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AM 2025\KHU TAI DINH CU NAM AN HOA\SP BTH NGAY\"/>
    </mc:Choice>
  </mc:AlternateContent>
  <bookViews>
    <workbookView xWindow="-105" yWindow="-105" windowWidth="19425" windowHeight="11505" firstSheet="60" activeTab="60"/>
  </bookViews>
  <sheets>
    <sheet name="NHAp DIEN TICH CHUAN" sheetId="11" state="hidden" r:id="rId1"/>
    <sheet name="Kangatang" sheetId="46" state="veryHidden" r:id="rId2"/>
    <sheet name="Kangatang_2" sheetId="47" state="veryHidden" r:id="rId3"/>
    <sheet name="Kangatang_3" sheetId="48" state="veryHidden" r:id="rId4"/>
    <sheet name="Kangatang_4" sheetId="49" state="veryHidden" r:id="rId5"/>
    <sheet name="Kangatang_5" sheetId="50" state="veryHidden" r:id="rId6"/>
    <sheet name="Kangatang_6" sheetId="51" state="veryHidden" r:id="rId7"/>
    <sheet name="Kangatang_7" sheetId="52" state="veryHidden" r:id="rId8"/>
    <sheet name="Kangatang_8" sheetId="53" state="veryHidden" r:id="rId9"/>
    <sheet name="Kangatang_9" sheetId="54" state="veryHidden" r:id="rId10"/>
    <sheet name="Kangatang_10" sheetId="55" state="veryHidden" r:id="rId11"/>
    <sheet name="Kangatang_11" sheetId="56" state="veryHidden" r:id="rId12"/>
    <sheet name="Kangatang_12" sheetId="58" state="veryHidden" r:id="rId13"/>
    <sheet name="Kangatang_13" sheetId="59" state="veryHidden" r:id="rId14"/>
    <sheet name="Kangatang_14" sheetId="60" state="veryHidden" r:id="rId15"/>
    <sheet name="Kangatang_15" sheetId="61" state="veryHidden" r:id="rId16"/>
    <sheet name="Kangatang_16" sheetId="62" state="veryHidden" r:id="rId17"/>
    <sheet name="Kangatang_17" sheetId="63" state="veryHidden" r:id="rId18"/>
    <sheet name="Kangatang_18" sheetId="64" state="veryHidden" r:id="rId19"/>
    <sheet name="Kangatang_19" sheetId="65" state="veryHidden" r:id="rId20"/>
    <sheet name="Kangatang_20" sheetId="66" state="veryHidden" r:id="rId21"/>
    <sheet name="Kangatang_21" sheetId="68" state="veryHidden" r:id="rId22"/>
    <sheet name="Kangatang_22" sheetId="69" state="veryHidden" r:id="rId23"/>
    <sheet name="Kangatang_23" sheetId="70" state="veryHidden" r:id="rId24"/>
    <sheet name="Kangatang_24" sheetId="71" state="veryHidden" r:id="rId25"/>
    <sheet name="Kangatang_25" sheetId="72" state="veryHidden" r:id="rId26"/>
    <sheet name="Kangatang_26" sheetId="73" state="veryHidden" r:id="rId27"/>
    <sheet name="Kangatang_27" sheetId="74" state="veryHidden" r:id="rId28"/>
    <sheet name="Kangatang_28" sheetId="75" state="veryHidden" r:id="rId29"/>
    <sheet name="Kangatang_29" sheetId="76" state="veryHidden" r:id="rId30"/>
    <sheet name="Kangatang_30" sheetId="77" state="veryHidden" r:id="rId31"/>
    <sheet name="Kangatang_31" sheetId="78" state="veryHidden" r:id="rId32"/>
    <sheet name="Kangatang_32" sheetId="79" state="veryHidden" r:id="rId33"/>
    <sheet name="Kangatang_33" sheetId="80" state="veryHidden" r:id="rId34"/>
    <sheet name="Kangatang_34" sheetId="81" state="veryHidden" r:id="rId35"/>
    <sheet name="Kangatang_35" sheetId="82" state="veryHidden" r:id="rId36"/>
    <sheet name="Kangatang_36" sheetId="83" state="veryHidden" r:id="rId37"/>
    <sheet name="Kangatang_37" sheetId="84" state="veryHidden" r:id="rId38"/>
    <sheet name="Kangatang_38" sheetId="85" state="veryHidden" r:id="rId39"/>
    <sheet name="Kangatang_39" sheetId="86" state="veryHidden" r:id="rId40"/>
    <sheet name="Kangatang_40" sheetId="87" state="veryHidden" r:id="rId41"/>
    <sheet name="Kangatang_41" sheetId="88" state="veryHidden" r:id="rId42"/>
    <sheet name="Kangatang_42" sheetId="89" state="veryHidden" r:id="rId43"/>
    <sheet name="Kangatang_43" sheetId="90" state="veryHidden" r:id="rId44"/>
    <sheet name="Kangatang_44" sheetId="91" state="veryHidden" r:id="rId45"/>
    <sheet name="Kangatang_45" sheetId="92" state="veryHidden" r:id="rId46"/>
    <sheet name="Kangatang_46" sheetId="93" state="veryHidden" r:id="rId47"/>
    <sheet name="Kangatang_47" sheetId="94" state="veryHidden" r:id="rId48"/>
    <sheet name="Kangatang_48" sheetId="95" state="veryHidden" r:id="rId49"/>
    <sheet name="Kangatang_49" sheetId="96" state="veryHidden" r:id="rId50"/>
    <sheet name="Kangatang_50" sheetId="97" state="veryHidden" r:id="rId51"/>
    <sheet name="Kangatang_51" sheetId="98" state="veryHidden" r:id="rId52"/>
    <sheet name="NHAP" sheetId="67" state="hidden" r:id="rId53"/>
    <sheet name="Kangatang_52" sheetId="99" state="veryHidden" r:id="rId54"/>
    <sheet name="Kangatang_53" sheetId="100" state="veryHidden" r:id="rId55"/>
    <sheet name="Kangatang_54" sheetId="101" state="veryHidden" r:id="rId56"/>
    <sheet name="Kangatang_55" sheetId="102" state="veryHidden" r:id="rId57"/>
    <sheet name="Kangatang_56" sheetId="103" state="veryHidden" r:id="rId58"/>
    <sheet name="Kangatang_57" sheetId="104" state="veryHidden" r:id="rId59"/>
    <sheet name="con to do BTH" sheetId="105" state="hidden" r:id="rId60"/>
    <sheet name="BTH" sheetId="10" r:id="rId61"/>
    <sheet name="TEN" sheetId="44" state="hidden" r:id="rId62"/>
    <sheet name="TRUNG TEN" sheetId="45" state="hidden" r:id="rId63"/>
    <sheet name="gia dat" sheetId="41" r:id="rId64"/>
    <sheet name="ODDS" sheetId="35" r:id="rId65"/>
    <sheet name="VKT" sheetId="33" r:id="rId66"/>
    <sheet name="Cây trong" sheetId="15" r:id="rId67"/>
  </sheets>
  <externalReferences>
    <externalReference r:id="rId68"/>
    <externalReference r:id="rId69"/>
    <externalReference r:id="rId70"/>
    <externalReference r:id="rId71"/>
    <externalReference r:id="rId72"/>
    <externalReference r:id="rId73"/>
    <externalReference r:id="rId74"/>
  </externalReferences>
  <definedNames>
    <definedName name="___LCB1" localSheetId="59">#REF!</definedName>
    <definedName name="___LCB1" localSheetId="52">#REF!</definedName>
    <definedName name="___LCB1" localSheetId="0">#REF!</definedName>
    <definedName name="___LCB1">#REF!</definedName>
    <definedName name="___PQD1" localSheetId="59">#REF!</definedName>
    <definedName name="___PQD1" localSheetId="52">#REF!</definedName>
    <definedName name="___PQD1" localSheetId="0">#REF!</definedName>
    <definedName name="___PQD1">#REF!</definedName>
    <definedName name="__LCB1" localSheetId="59">#REF!</definedName>
    <definedName name="__LCB1" localSheetId="52">#REF!</definedName>
    <definedName name="__LCB1" localSheetId="0">#REF!</definedName>
    <definedName name="__LCB1">#REF!</definedName>
    <definedName name="__PQD1" localSheetId="59">#REF!</definedName>
    <definedName name="__PQD1" localSheetId="52">#REF!</definedName>
    <definedName name="__PQD1" localSheetId="0">#REF!</definedName>
    <definedName name="__PQD1">#REF!</definedName>
    <definedName name="_Fill" localSheetId="59" hidden="1">#REF!</definedName>
    <definedName name="_Fill" localSheetId="52" hidden="1">#REF!</definedName>
    <definedName name="_Fill" localSheetId="0" hidden="1">#REF!</definedName>
    <definedName name="_Fill" hidden="1">#REF!</definedName>
    <definedName name="_xlnm._FilterDatabase" localSheetId="60" hidden="1">BTH!$A$8:$BQ$2439</definedName>
    <definedName name="_xlnm._FilterDatabase" localSheetId="66" hidden="1">'Cây trong'!$A$1:$H$246</definedName>
    <definedName name="_xlnm._FilterDatabase" localSheetId="59" hidden="1">'con to do BTH'!$A$8:$BQ$2439</definedName>
    <definedName name="_xlnm._FilterDatabase" localSheetId="63" hidden="1">'gia dat'!$A$1:$L$146</definedName>
    <definedName name="_xlnm._FilterDatabase" localSheetId="52" hidden="1">NHAP!$AH$1:$AH$2458</definedName>
    <definedName name="_xlnm._FilterDatabase" localSheetId="0" hidden="1">'NHAp DIEN TICH CHUAN'!$B$2:$B$2051</definedName>
    <definedName name="_xlnm._FilterDatabase" localSheetId="65" hidden="1">VKT!$A$1:$H$413</definedName>
    <definedName name="_LCB1" localSheetId="59">#REF!</definedName>
    <definedName name="_LCB1" localSheetId="52">#REF!</definedName>
    <definedName name="_LCB1" localSheetId="0">#REF!</definedName>
    <definedName name="_LCB1">#REF!</definedName>
    <definedName name="_PQD1" localSheetId="59">#REF!</definedName>
    <definedName name="_PQD1" localSheetId="52">#REF!</definedName>
    <definedName name="_PQD1" localSheetId="0">#REF!</definedName>
    <definedName name="_PQD1">#REF!</definedName>
    <definedName name="a" localSheetId="59">#REF!</definedName>
    <definedName name="a" localSheetId="52">#REF!</definedName>
    <definedName name="a" localSheetId="0">#REF!</definedName>
    <definedName name="a">#REF!</definedName>
    <definedName name="abc" localSheetId="59">'[1]Cong 6T'!#REF!</definedName>
    <definedName name="abc" localSheetId="52">'[1]Cong 6T'!#REF!</definedName>
    <definedName name="abc" localSheetId="0">'[1]Cong 6T'!#REF!</definedName>
    <definedName name="abc">'[1]Cong 6T'!#REF!</definedName>
    <definedName name="BarData" localSheetId="59">#REF!</definedName>
    <definedName name="BarData" localSheetId="52">#REF!</definedName>
    <definedName name="BarData" localSheetId="0">#REF!</definedName>
    <definedName name="BarData">#REF!</definedName>
    <definedName name="BDHT" localSheetId="59">#REF!</definedName>
    <definedName name="BDHT" localSheetId="52">#REF!</definedName>
    <definedName name="BDHT" localSheetId="0">#REF!</definedName>
    <definedName name="BDHT">#REF!</definedName>
    <definedName name="bgf">'[2]PX-SX'!$B$23:$H$171</definedName>
    <definedName name="counxlkcs" localSheetId="59">#REF!</definedName>
    <definedName name="counxlkcs" localSheetId="52">#REF!</definedName>
    <definedName name="counxlkcs" localSheetId="0">#REF!</definedName>
    <definedName name="counxlkcs">#REF!</definedName>
    <definedName name="couxlkcs" localSheetId="59">#REF!</definedName>
    <definedName name="couxlkcs" localSheetId="52">#REF!</definedName>
    <definedName name="couxlkcs" localSheetId="0">#REF!</definedName>
    <definedName name="couxlkcs">#REF!</definedName>
    <definedName name="couxlkd" localSheetId="59">#REF!</definedName>
    <definedName name="couxlkd" localSheetId="52">#REF!</definedName>
    <definedName name="couxlkd" localSheetId="0">#REF!</definedName>
    <definedName name="couxlkd">#REF!</definedName>
    <definedName name="couxlkh" localSheetId="59">#REF!</definedName>
    <definedName name="couxlkh" localSheetId="52">#REF!</definedName>
    <definedName name="couxlkh" localSheetId="0">#REF!</definedName>
    <definedName name="couxlkh">#REF!</definedName>
    <definedName name="couxlktnl" localSheetId="59">#REF!</definedName>
    <definedName name="couxlktnl" localSheetId="52">#REF!</definedName>
    <definedName name="couxlktnl" localSheetId="0">#REF!</definedName>
    <definedName name="couxlktnl">#REF!</definedName>
    <definedName name="couxlkttv" localSheetId="59">#REF!</definedName>
    <definedName name="couxlkttv" localSheetId="52">#REF!</definedName>
    <definedName name="couxlkttv" localSheetId="0">#REF!</definedName>
    <definedName name="couxlkttv">#REF!</definedName>
    <definedName name="couxlpxsx" localSheetId="59">#REF!</definedName>
    <definedName name="couxlpxsx" localSheetId="52">#REF!</definedName>
    <definedName name="couxlpxsx" localSheetId="0">#REF!</definedName>
    <definedName name="couxlpxsx">#REF!</definedName>
    <definedName name="couxltc" localSheetId="59">#REF!</definedName>
    <definedName name="couxltc" localSheetId="52">#REF!</definedName>
    <definedName name="couxltc" localSheetId="0">#REF!</definedName>
    <definedName name="couxltc">#REF!</definedName>
    <definedName name="cuond" localSheetId="59">#REF!</definedName>
    <definedName name="cuond" localSheetId="52">#REF!</definedName>
    <definedName name="cuond" localSheetId="0">#REF!</definedName>
    <definedName name="cuond">#REF!</definedName>
    <definedName name="data" localSheetId="59">#REF!</definedName>
    <definedName name="data" localSheetId="52">#REF!</definedName>
    <definedName name="data" localSheetId="0">#REF!</definedName>
    <definedName name="data">#REF!</definedName>
    <definedName name="Data11" localSheetId="59">#REF!</definedName>
    <definedName name="Data11" localSheetId="52">#REF!</definedName>
    <definedName name="Data11" localSheetId="0">#REF!</definedName>
    <definedName name="Data11">#REF!</definedName>
    <definedName name="Data41" localSheetId="59">#REF!</definedName>
    <definedName name="Data41" localSheetId="52">#REF!</definedName>
    <definedName name="Data41" localSheetId="0">#REF!</definedName>
    <definedName name="Data41">#REF!</definedName>
    <definedName name="DataYear2001">'[3]Data-year2001i'!$B$7:$L$426</definedName>
    <definedName name="dfgdg" localSheetId="59">#REF!</definedName>
    <definedName name="dfgdg" localSheetId="52">#REF!</definedName>
    <definedName name="dfgdg" localSheetId="0">#REF!</definedName>
    <definedName name="dfgdg">#REF!</definedName>
    <definedName name="dfgfdgfd" localSheetId="59">#REF!</definedName>
    <definedName name="dfgfdgfd" localSheetId="52">#REF!</definedName>
    <definedName name="dfgfdgfd" localSheetId="0">#REF!</definedName>
    <definedName name="dfgfdgfd">#REF!</definedName>
    <definedName name="DIEUKIEN" localSheetId="59">[4]Sheet1!#REF!</definedName>
    <definedName name="DIEUKIEN" localSheetId="52">[4]Sheet1!#REF!</definedName>
    <definedName name="DIEUKIEN" localSheetId="0">[4]Sheet1!#REF!</definedName>
    <definedName name="DIEUKIEN">[4]Sheet1!#REF!</definedName>
    <definedName name="dobgd">[2]BGD!$B$14:$F$17</definedName>
    <definedName name="doclb" localSheetId="59">#REF!</definedName>
    <definedName name="doclb" localSheetId="52">#REF!</definedName>
    <definedName name="doclb" localSheetId="0">#REF!</definedName>
    <definedName name="doclb">#REF!</definedName>
    <definedName name="Document_array">{"Book1","Danh sach DV nhiem ky III 2008-2009.xls"}</definedName>
    <definedName name="dofinbo6t">'[3]Tien Thuong'!$B$6:$I$432</definedName>
    <definedName name="dofinbonus6t">'[3]Tien Thuong'!$A$1:$I$432</definedName>
    <definedName name="dokcs">[2]KCS!$B$10:$H$45</definedName>
    <definedName name="dokd">[2]KD!$B$9:$K$39</definedName>
    <definedName name="dokh">[2]KH!$B$11:$K$33</definedName>
    <definedName name="dokt">[2]KT!$B$15:$H$19</definedName>
    <definedName name="doktnl">[2]KTNL!$B$11:$H$41</definedName>
    <definedName name="dolcb" localSheetId="59">#REF!</definedName>
    <definedName name="dolcb" localSheetId="52">#REF!</definedName>
    <definedName name="dolcb" localSheetId="0">#REF!</definedName>
    <definedName name="dolcb">#REF!</definedName>
    <definedName name="doncxlcn2001">'[3]NC XL 6T cuoi 01 CTy'!$B$6:$Q$487</definedName>
    <definedName name="doncxldn2001">'[3]Data -6T dau'!$B$6:$F$309</definedName>
    <definedName name="dopxsx">'[2]PX-SX'!$B$23:$H$171</definedName>
    <definedName name="dotc">[2]TC!$B$10:$H$38</definedName>
    <definedName name="dotchc">'[3]Tien Thuong'!$A$6:$K$31</definedName>
    <definedName name="dotdn">[2]KH!$B$56:$K$69</definedName>
    <definedName name="dottchc">'[3]Tien Thuong'!$A$6:$K$31</definedName>
    <definedName name="doxcd">'[2]Lcau - Lxuc'!$B$15:$M$33</definedName>
    <definedName name="Excel_BuiltIn_Print_Titles">NA()</definedName>
    <definedName name="fgfdsgdf" localSheetId="59">#REF!</definedName>
    <definedName name="fgfdsgdf" localSheetId="52">#REF!</definedName>
    <definedName name="fgfdsgdf" localSheetId="0">#REF!</definedName>
    <definedName name="fgfdsgdf">#REF!</definedName>
    <definedName name="finclb" localSheetId="59">#REF!</definedName>
    <definedName name="finclb" localSheetId="52">#REF!</definedName>
    <definedName name="finclb" localSheetId="0">#REF!</definedName>
    <definedName name="finclb">#REF!</definedName>
    <definedName name="FinTT">'[5]DS-Thuong 6T dau'!$B$10:$I$440</definedName>
    <definedName name="FinXL">'[3]NC XL 6T cuoi 01 CTy'!$R$6:$S$9</definedName>
    <definedName name="FinXL1">'[3]NC XL 6T cuoi 01 CTy'!$R$6:$S$9</definedName>
    <definedName name="G" localSheetId="59">'[1]Cong 6T'!#REF!</definedName>
    <definedName name="G" localSheetId="52">'[1]Cong 6T'!#REF!</definedName>
    <definedName name="G" localSheetId="0">'[1]Cong 6T'!#REF!</definedName>
    <definedName name="G">'[1]Cong 6T'!#REF!</definedName>
    <definedName name="GG" localSheetId="59">'[1]Cong 6T'!#REF!</definedName>
    <definedName name="GG" localSheetId="52">'[1]Cong 6T'!#REF!</definedName>
    <definedName name="GG" localSheetId="0">'[1]Cong 6T'!#REF!</definedName>
    <definedName name="GG">'[1]Cong 6T'!#REF!</definedName>
    <definedName name="hi" localSheetId="59">#REF!</definedName>
    <definedName name="hi" localSheetId="52">#REF!</definedName>
    <definedName name="hi" localSheetId="0">#REF!</definedName>
    <definedName name="hi">#REF!</definedName>
    <definedName name="hsqd" localSheetId="59">#REF!</definedName>
    <definedName name="hsqd" localSheetId="52">#REF!</definedName>
    <definedName name="hsqd" localSheetId="0">#REF!</definedName>
    <definedName name="hsqd">#REF!</definedName>
    <definedName name="ji" localSheetId="59">#REF!</definedName>
    <definedName name="ji" localSheetId="52">#REF!</definedName>
    <definedName name="ji" localSheetId="0">#REF!</definedName>
    <definedName name="ji">#REF!</definedName>
    <definedName name="jyjgy">'[3]NC XL 6T cuoi 01 CTy'!$N$6:$N$486</definedName>
    <definedName name="kd" localSheetId="59">#REF!</definedName>
    <definedName name="kd" localSheetId="52">#REF!</definedName>
    <definedName name="kd" localSheetId="0">#REF!</definedName>
    <definedName name="kd">#REF!</definedName>
    <definedName name="KK" localSheetId="59">'[1]Cong 6T'!#REF!</definedName>
    <definedName name="KK" localSheetId="52">'[1]Cong 6T'!#REF!</definedName>
    <definedName name="KK" localSheetId="0">'[1]Cong 6T'!#REF!</definedName>
    <definedName name="KK">'[1]Cong 6T'!#REF!</definedName>
    <definedName name="LCB" localSheetId="59">#REF!</definedName>
    <definedName name="LCB" localSheetId="52">#REF!</definedName>
    <definedName name="LCB" localSheetId="0">#REF!</definedName>
    <definedName name="LCB">#REF!</definedName>
    <definedName name="NCXL">'[3]Cong 6T'!$M$6:$M$31</definedName>
    <definedName name="ncxlkcs" localSheetId="59">#REF!</definedName>
    <definedName name="ncxlkcs" localSheetId="52">#REF!</definedName>
    <definedName name="ncxlkcs" localSheetId="0">#REF!</definedName>
    <definedName name="ncxlkcs">#REF!</definedName>
    <definedName name="ncxlkd" localSheetId="59">#REF!</definedName>
    <definedName name="ncxlkd" localSheetId="52">#REF!</definedName>
    <definedName name="ncxlkd" localSheetId="0">#REF!</definedName>
    <definedName name="ncxlkd">#REF!</definedName>
    <definedName name="ncxlkh" localSheetId="59">#REF!</definedName>
    <definedName name="ncxlkh" localSheetId="52">#REF!</definedName>
    <definedName name="ncxlkh" localSheetId="0">#REF!</definedName>
    <definedName name="ncxlkh">#REF!</definedName>
    <definedName name="ncxlkt" localSheetId="59">#REF!</definedName>
    <definedName name="ncxlkt" localSheetId="52">#REF!</definedName>
    <definedName name="ncxlkt" localSheetId="0">#REF!</definedName>
    <definedName name="ncxlkt">#REF!</definedName>
    <definedName name="ncxlktda" localSheetId="59">'[1]Cong 6T'!#REF!</definedName>
    <definedName name="ncxlktda" localSheetId="52">'[1]Cong 6T'!#REF!</definedName>
    <definedName name="ncxlktda" localSheetId="0">'[1]Cong 6T'!#REF!</definedName>
    <definedName name="ncxlktda">'[1]Cong 6T'!#REF!</definedName>
    <definedName name="ncxlktnl" localSheetId="59">#REF!</definedName>
    <definedName name="ncxlktnl" localSheetId="52">#REF!</definedName>
    <definedName name="ncxlktnl" localSheetId="0">#REF!</definedName>
    <definedName name="ncxlktnl">#REF!</definedName>
    <definedName name="ncxlpxsx" localSheetId="59">#REF!</definedName>
    <definedName name="ncxlpxsx" localSheetId="52">#REF!</definedName>
    <definedName name="ncxlpxsx" localSheetId="0">#REF!</definedName>
    <definedName name="ncxlpxsx">#REF!</definedName>
    <definedName name="ncxltc" localSheetId="59">#REF!</definedName>
    <definedName name="ncxltc" localSheetId="52">#REF!</definedName>
    <definedName name="ncxltc" localSheetId="0">#REF!</definedName>
    <definedName name="ncxltc">#REF!</definedName>
    <definedName name="NGHIEP" localSheetId="59">#REF!</definedName>
    <definedName name="NGHIEP" localSheetId="52">#REF!</definedName>
    <definedName name="NGHIEP" localSheetId="0">#REF!</definedName>
    <definedName name="NGHIEP">#REF!</definedName>
    <definedName name="NNGHIEP" localSheetId="59">#REF!</definedName>
    <definedName name="NNGHIEP" localSheetId="52">#REF!</definedName>
    <definedName name="NNGHIEP" localSheetId="0">#REF!</definedName>
    <definedName name="NNGHIEP">#REF!</definedName>
    <definedName name="none">'[3]Tien Thuong'!$A$6:$K$31</definedName>
    <definedName name="NVNGHIEP" localSheetId="59">#REF!</definedName>
    <definedName name="NVNGHIEP" localSheetId="52">#REF!</definedName>
    <definedName name="NVNGHIEP" localSheetId="0">#REF!</definedName>
    <definedName name="NVNGHIEP">#REF!</definedName>
    <definedName name="pqd" localSheetId="59">#REF!</definedName>
    <definedName name="pqd" localSheetId="52">#REF!</definedName>
    <definedName name="pqd" localSheetId="0">#REF!</definedName>
    <definedName name="pqd">#REF!</definedName>
    <definedName name="_xlnm.Print_Area" localSheetId="60">BTH!$A$1:$AK$2458</definedName>
    <definedName name="_xlnm.Print_Area" localSheetId="59">'con to do BTH'!$A$1:$AK$2439</definedName>
    <definedName name="_xlnm.Print_Area" localSheetId="52">NHAP!$A$1:$AJ$2426</definedName>
    <definedName name="_xlnm.Print_Area" localSheetId="0">'NHAp DIEN TICH CHUAN'!$A$1:$AF$2051</definedName>
    <definedName name="_xlnm.Print_Titles" localSheetId="60">BTH!$5:$6</definedName>
    <definedName name="_xlnm.Print_Titles" localSheetId="59">'con to do BTH'!$5:$6</definedName>
    <definedName name="_xlnm.Print_Titles" localSheetId="52">NHAP!$5:$6</definedName>
    <definedName name="_xlnm.Print_Titles" localSheetId="0">'NHAp DIEN TICH CHUAN'!$5:$6</definedName>
    <definedName name="_xlnm.Print_Titles">#N/A</definedName>
    <definedName name="qluong" localSheetId="59">#REF!</definedName>
    <definedName name="qluong" localSheetId="52">#REF!</definedName>
    <definedName name="qluong" localSheetId="0">#REF!</definedName>
    <definedName name="qluong">#REF!</definedName>
    <definedName name="Sheet1" localSheetId="59">#REF!</definedName>
    <definedName name="Sheet1" localSheetId="52">#REF!</definedName>
    <definedName name="Sheet1" localSheetId="0">#REF!</definedName>
    <definedName name="Sheet1">#REF!</definedName>
    <definedName name="SumXL">'[3]NC XL 6T cuoi 01 CTy'!$N$6:$N$486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2439" i="105" l="1"/>
  <c r="AI2438" i="105"/>
  <c r="AI2437" i="105"/>
  <c r="AI2436" i="105"/>
  <c r="AI2435" i="105"/>
  <c r="AI2434" i="105"/>
  <c r="AI2433" i="105"/>
  <c r="AH2433" i="105"/>
  <c r="AG2433" i="105"/>
  <c r="X2433" i="105"/>
  <c r="W2433" i="105"/>
  <c r="R2433" i="105"/>
  <c r="Q2433" i="105"/>
  <c r="AI2432" i="105"/>
  <c r="AH2432" i="105"/>
  <c r="AG2432" i="105"/>
  <c r="X2432" i="105"/>
  <c r="W2432" i="105"/>
  <c r="R2432" i="105"/>
  <c r="Q2432" i="105"/>
  <c r="AI2431" i="105"/>
  <c r="AH2431" i="105"/>
  <c r="AG2431" i="105"/>
  <c r="X2431" i="105"/>
  <c r="W2431" i="105"/>
  <c r="R2431" i="105"/>
  <c r="Q2431" i="105"/>
  <c r="AI2430" i="105"/>
  <c r="AH2430" i="105"/>
  <c r="AG2430" i="105"/>
  <c r="X2430" i="105"/>
  <c r="W2430" i="105"/>
  <c r="R2430" i="105"/>
  <c r="Q2430" i="105"/>
  <c r="H2430" i="105"/>
  <c r="AI2429" i="105"/>
  <c r="AH2429" i="105"/>
  <c r="AG2429" i="105"/>
  <c r="X2429" i="105"/>
  <c r="W2429" i="105"/>
  <c r="R2429" i="105"/>
  <c r="Q2429" i="105"/>
  <c r="H2429" i="105"/>
  <c r="AI2428" i="105"/>
  <c r="AH2428" i="105"/>
  <c r="AG2428" i="105"/>
  <c r="X2428" i="105"/>
  <c r="W2428" i="105"/>
  <c r="R2428" i="105"/>
  <c r="Q2428" i="105"/>
  <c r="A2428" i="105"/>
  <c r="A2429" i="105" s="1"/>
  <c r="A2430" i="105" s="1"/>
  <c r="A2431" i="105" s="1"/>
  <c r="A2432" i="105" s="1"/>
  <c r="A2433" i="105" s="1"/>
  <c r="A2434" i="105" s="1"/>
  <c r="A2435" i="105" s="1"/>
  <c r="A2436" i="105" s="1"/>
  <c r="A2437" i="105" s="1"/>
  <c r="A2438" i="105" s="1"/>
  <c r="A2439" i="105" s="1"/>
  <c r="AH2427" i="105"/>
  <c r="AF2427" i="105"/>
  <c r="X2427" i="105"/>
  <c r="U2427" i="105"/>
  <c r="R2427" i="105"/>
  <c r="P2427" i="105"/>
  <c r="N2427" i="105"/>
  <c r="M2427" i="105"/>
  <c r="AI2427" i="105" s="1"/>
  <c r="I2427" i="105"/>
  <c r="AI2426" i="105"/>
  <c r="AH2426" i="105"/>
  <c r="AG2426" i="105"/>
  <c r="X2426" i="105"/>
  <c r="W2426" i="105"/>
  <c r="R2426" i="105"/>
  <c r="Q2426" i="105"/>
  <c r="N2426" i="105"/>
  <c r="M2426" i="105"/>
  <c r="L2426" i="105"/>
  <c r="K2426" i="105"/>
  <c r="AI2425" i="105"/>
  <c r="AH2425" i="105"/>
  <c r="AG2425" i="105"/>
  <c r="X2425" i="105"/>
  <c r="W2425" i="105"/>
  <c r="R2425" i="105"/>
  <c r="Q2425" i="105"/>
  <c r="N2425" i="105"/>
  <c r="M2425" i="105"/>
  <c r="L2425" i="105"/>
  <c r="K2425" i="105"/>
  <c r="AI2424" i="105"/>
  <c r="AH2424" i="105"/>
  <c r="AG2424" i="105"/>
  <c r="X2424" i="105"/>
  <c r="W2424" i="105"/>
  <c r="R2424" i="105"/>
  <c r="Q2424" i="105"/>
  <c r="N2424" i="105"/>
  <c r="M2424" i="105"/>
  <c r="L2424" i="105"/>
  <c r="K2424" i="105"/>
  <c r="AI2423" i="105"/>
  <c r="AH2423" i="105"/>
  <c r="AG2423" i="105"/>
  <c r="X2423" i="105"/>
  <c r="W2423" i="105"/>
  <c r="R2423" i="105"/>
  <c r="Q2423" i="105"/>
  <c r="L2423" i="105"/>
  <c r="N2423" i="105" s="1"/>
  <c r="I2423" i="105" s="1"/>
  <c r="K2423" i="105"/>
  <c r="M2423" i="105" s="1"/>
  <c r="AI2422" i="105"/>
  <c r="AH2422" i="105"/>
  <c r="AG2422" i="105"/>
  <c r="X2422" i="105"/>
  <c r="W2422" i="105"/>
  <c r="R2422" i="105"/>
  <c r="Q2422" i="105"/>
  <c r="L2422" i="105"/>
  <c r="K2422" i="105"/>
  <c r="H2422" i="105"/>
  <c r="M2422" i="105" s="1"/>
  <c r="M2421" i="105" s="1"/>
  <c r="A2422" i="105"/>
  <c r="A2423" i="105" s="1"/>
  <c r="A2424" i="105" s="1"/>
  <c r="A2425" i="105" s="1"/>
  <c r="A2426" i="105" s="1"/>
  <c r="AH2421" i="105"/>
  <c r="AF2421" i="105"/>
  <c r="X2421" i="105"/>
  <c r="U2421" i="105"/>
  <c r="R2421" i="105"/>
  <c r="P2421" i="105"/>
  <c r="H2421" i="105"/>
  <c r="AI2420" i="105"/>
  <c r="N2420" i="105"/>
  <c r="M2420" i="105"/>
  <c r="L2420" i="105"/>
  <c r="K2420" i="105"/>
  <c r="AI2419" i="105"/>
  <c r="N2419" i="105"/>
  <c r="M2419" i="105"/>
  <c r="L2419" i="105"/>
  <c r="K2419" i="105"/>
  <c r="AI2418" i="105"/>
  <c r="N2418" i="105"/>
  <c r="M2418" i="105"/>
  <c r="L2418" i="105"/>
  <c r="K2418" i="105"/>
  <c r="AI2417" i="105"/>
  <c r="N2417" i="105"/>
  <c r="M2417" i="105"/>
  <c r="L2417" i="105"/>
  <c r="K2417" i="105"/>
  <c r="AI2416" i="105"/>
  <c r="N2416" i="105"/>
  <c r="M2416" i="105"/>
  <c r="L2416" i="105"/>
  <c r="K2416" i="105"/>
  <c r="A2416" i="105"/>
  <c r="A2417" i="105" s="1"/>
  <c r="A2418" i="105" s="1"/>
  <c r="A2419" i="105" s="1"/>
  <c r="A2420" i="105" s="1"/>
  <c r="AI2415" i="105"/>
  <c r="L2415" i="105"/>
  <c r="N2415" i="105" s="1"/>
  <c r="K2415" i="105"/>
  <c r="M2415" i="105" s="1"/>
  <c r="M2414" i="105" s="1"/>
  <c r="A2415" i="105"/>
  <c r="AH2414" i="105"/>
  <c r="AF2414" i="105"/>
  <c r="X2414" i="105"/>
  <c r="U2414" i="105"/>
  <c r="R2414" i="105"/>
  <c r="P2414" i="105"/>
  <c r="H2414" i="105"/>
  <c r="AI2413" i="105"/>
  <c r="AH2413" i="105"/>
  <c r="AG2413" i="105"/>
  <c r="X2413" i="105"/>
  <c r="W2413" i="105"/>
  <c r="R2413" i="105"/>
  <c r="Q2413" i="105"/>
  <c r="N2413" i="105"/>
  <c r="M2413" i="105"/>
  <c r="L2413" i="105"/>
  <c r="K2413" i="105"/>
  <c r="AI2412" i="105"/>
  <c r="AH2412" i="105"/>
  <c r="AG2412" i="105"/>
  <c r="X2412" i="105"/>
  <c r="W2412" i="105"/>
  <c r="R2412" i="105"/>
  <c r="Q2412" i="105"/>
  <c r="N2412" i="105"/>
  <c r="M2412" i="105"/>
  <c r="L2412" i="105"/>
  <c r="K2412" i="105"/>
  <c r="AI2411" i="105"/>
  <c r="AH2411" i="105"/>
  <c r="AG2411" i="105"/>
  <c r="X2411" i="105"/>
  <c r="W2411" i="105"/>
  <c r="R2411" i="105"/>
  <c r="Q2411" i="105"/>
  <c r="N2411" i="105"/>
  <c r="M2411" i="105"/>
  <c r="L2411" i="105"/>
  <c r="K2411" i="105"/>
  <c r="AI2410" i="105"/>
  <c r="AH2410" i="105"/>
  <c r="AG2410" i="105"/>
  <c r="X2410" i="105"/>
  <c r="W2410" i="105"/>
  <c r="R2410" i="105"/>
  <c r="Q2410" i="105"/>
  <c r="N2410" i="105"/>
  <c r="M2410" i="105"/>
  <c r="L2410" i="105"/>
  <c r="K2410" i="105"/>
  <c r="AI2409" i="105"/>
  <c r="AH2409" i="105"/>
  <c r="AG2409" i="105"/>
  <c r="X2409" i="105"/>
  <c r="W2409" i="105"/>
  <c r="R2409" i="105"/>
  <c r="Q2409" i="105"/>
  <c r="N2409" i="105"/>
  <c r="M2409" i="105"/>
  <c r="L2409" i="105"/>
  <c r="K2409" i="105"/>
  <c r="AI2408" i="105"/>
  <c r="AH2408" i="105"/>
  <c r="AG2408" i="105"/>
  <c r="X2408" i="105"/>
  <c r="W2408" i="105"/>
  <c r="R2408" i="105"/>
  <c r="Q2408" i="105"/>
  <c r="N2408" i="105"/>
  <c r="M2408" i="105"/>
  <c r="L2408" i="105"/>
  <c r="K2408" i="105"/>
  <c r="AI2407" i="105"/>
  <c r="AH2407" i="105"/>
  <c r="AG2407" i="105"/>
  <c r="X2407" i="105"/>
  <c r="W2407" i="105"/>
  <c r="R2407" i="105"/>
  <c r="Q2407" i="105"/>
  <c r="N2407" i="105"/>
  <c r="M2407" i="105"/>
  <c r="L2407" i="105"/>
  <c r="K2407" i="105"/>
  <c r="AI2406" i="105"/>
  <c r="AH2406" i="105"/>
  <c r="AG2406" i="105"/>
  <c r="X2406" i="105"/>
  <c r="W2406" i="105"/>
  <c r="R2406" i="105"/>
  <c r="Q2406" i="105"/>
  <c r="N2406" i="105"/>
  <c r="M2406" i="105"/>
  <c r="L2406" i="105"/>
  <c r="K2406" i="105"/>
  <c r="AI2405" i="105"/>
  <c r="AH2405" i="105"/>
  <c r="AG2405" i="105"/>
  <c r="X2405" i="105"/>
  <c r="W2405" i="105"/>
  <c r="R2405" i="105"/>
  <c r="Q2405" i="105"/>
  <c r="N2405" i="105"/>
  <c r="M2405" i="105"/>
  <c r="L2405" i="105"/>
  <c r="K2405" i="105"/>
  <c r="AI2404" i="105"/>
  <c r="AH2404" i="105"/>
  <c r="AG2404" i="105"/>
  <c r="X2404" i="105"/>
  <c r="W2404" i="105"/>
  <c r="R2404" i="105"/>
  <c r="Q2404" i="105"/>
  <c r="N2404" i="105"/>
  <c r="M2404" i="105"/>
  <c r="L2404" i="105"/>
  <c r="K2404" i="105"/>
  <c r="AI2403" i="105"/>
  <c r="AH2403" i="105"/>
  <c r="AG2403" i="105"/>
  <c r="X2403" i="105"/>
  <c r="W2403" i="105"/>
  <c r="R2403" i="105"/>
  <c r="Q2403" i="105"/>
  <c r="N2403" i="105"/>
  <c r="M2403" i="105"/>
  <c r="L2403" i="105"/>
  <c r="K2403" i="105"/>
  <c r="AI2402" i="105"/>
  <c r="AH2402" i="105"/>
  <c r="AH2399" i="105" s="1"/>
  <c r="AG2402" i="105"/>
  <c r="X2402" i="105"/>
  <c r="W2402" i="105"/>
  <c r="R2402" i="105"/>
  <c r="R2399" i="105" s="1"/>
  <c r="Q2402" i="105"/>
  <c r="N2402" i="105"/>
  <c r="M2402" i="105"/>
  <c r="L2402" i="105"/>
  <c r="K2402" i="105"/>
  <c r="AI2401" i="105"/>
  <c r="AG2401" i="105"/>
  <c r="W2401" i="105"/>
  <c r="X2401" i="105" s="1"/>
  <c r="R2401" i="105"/>
  <c r="Q2401" i="105"/>
  <c r="N2401" i="105"/>
  <c r="M2401" i="105"/>
  <c r="L2401" i="105"/>
  <c r="K2401" i="105"/>
  <c r="AI2400" i="105"/>
  <c r="AG2400" i="105"/>
  <c r="AH2400" i="105" s="1"/>
  <c r="W2400" i="105"/>
  <c r="X2400" i="105" s="1"/>
  <c r="X2399" i="105" s="1"/>
  <c r="R2400" i="105"/>
  <c r="Q2400" i="105"/>
  <c r="L2400" i="105"/>
  <c r="N2400" i="105" s="1"/>
  <c r="I2400" i="105" s="1"/>
  <c r="K2400" i="105"/>
  <c r="M2400" i="105" s="1"/>
  <c r="M2399" i="105" s="1"/>
  <c r="A2400" i="105"/>
  <c r="A2401" i="105" s="1"/>
  <c r="A2402" i="105" s="1"/>
  <c r="A2403" i="105" s="1"/>
  <c r="A2404" i="105" s="1"/>
  <c r="A2405" i="105" s="1"/>
  <c r="A2406" i="105" s="1"/>
  <c r="A2407" i="105" s="1"/>
  <c r="A2408" i="105" s="1"/>
  <c r="A2409" i="105" s="1"/>
  <c r="A2410" i="105" s="1"/>
  <c r="A2411" i="105" s="1"/>
  <c r="A2412" i="105" s="1"/>
  <c r="A2413" i="105" s="1"/>
  <c r="AF2399" i="105"/>
  <c r="U2399" i="105"/>
  <c r="P2399" i="105"/>
  <c r="I2399" i="105"/>
  <c r="H2399" i="105"/>
  <c r="AI2398" i="105"/>
  <c r="AH2398" i="105"/>
  <c r="AG2398" i="105"/>
  <c r="X2398" i="105"/>
  <c r="W2398" i="105"/>
  <c r="R2398" i="105"/>
  <c r="Q2398" i="105"/>
  <c r="N2398" i="105"/>
  <c r="M2398" i="105"/>
  <c r="L2398" i="105"/>
  <c r="K2398" i="105"/>
  <c r="AI2397" i="105"/>
  <c r="AH2397" i="105"/>
  <c r="AG2397" i="105"/>
  <c r="X2397" i="105"/>
  <c r="W2397" i="105"/>
  <c r="R2397" i="105"/>
  <c r="Q2397" i="105"/>
  <c r="N2397" i="105"/>
  <c r="M2397" i="105"/>
  <c r="L2397" i="105"/>
  <c r="K2397" i="105"/>
  <c r="AI2396" i="105"/>
  <c r="AH2396" i="105"/>
  <c r="AG2396" i="105"/>
  <c r="X2396" i="105"/>
  <c r="W2396" i="105"/>
  <c r="R2396" i="105"/>
  <c r="Q2396" i="105"/>
  <c r="N2396" i="105"/>
  <c r="M2396" i="105"/>
  <c r="L2396" i="105"/>
  <c r="K2396" i="105"/>
  <c r="AI2395" i="105"/>
  <c r="AH2395" i="105"/>
  <c r="AG2395" i="105"/>
  <c r="X2395" i="105"/>
  <c r="W2395" i="105"/>
  <c r="R2395" i="105"/>
  <c r="Q2395" i="105"/>
  <c r="N2395" i="105"/>
  <c r="M2395" i="105"/>
  <c r="L2395" i="105"/>
  <c r="K2395" i="105"/>
  <c r="AI2394" i="105"/>
  <c r="AH2394" i="105"/>
  <c r="AG2394" i="105"/>
  <c r="X2394" i="105"/>
  <c r="W2394" i="105"/>
  <c r="R2394" i="105"/>
  <c r="Q2394" i="105"/>
  <c r="L2394" i="105"/>
  <c r="N2394" i="105" s="1"/>
  <c r="I2394" i="105" s="1"/>
  <c r="K2394" i="105"/>
  <c r="M2394" i="105" s="1"/>
  <c r="M2393" i="105" s="1"/>
  <c r="A2394" i="105"/>
  <c r="A2395" i="105" s="1"/>
  <c r="A2396" i="105" s="1"/>
  <c r="A2397" i="105" s="1"/>
  <c r="A2398" i="105" s="1"/>
  <c r="AH2393" i="105"/>
  <c r="AF2393" i="105"/>
  <c r="X2393" i="105"/>
  <c r="U2393" i="105"/>
  <c r="R2393" i="105"/>
  <c r="P2393" i="105"/>
  <c r="I2393" i="105"/>
  <c r="H2393" i="105"/>
  <c r="AI2392" i="105"/>
  <c r="AH2392" i="105"/>
  <c r="AG2392" i="105"/>
  <c r="X2392" i="105"/>
  <c r="W2392" i="105"/>
  <c r="R2392" i="105"/>
  <c r="Q2392" i="105"/>
  <c r="N2392" i="105"/>
  <c r="M2392" i="105"/>
  <c r="L2392" i="105"/>
  <c r="K2392" i="105"/>
  <c r="AI2391" i="105"/>
  <c r="AH2391" i="105"/>
  <c r="AG2391" i="105"/>
  <c r="X2391" i="105"/>
  <c r="W2391" i="105"/>
  <c r="R2391" i="105"/>
  <c r="Q2391" i="105"/>
  <c r="N2391" i="105"/>
  <c r="M2391" i="105"/>
  <c r="L2391" i="105"/>
  <c r="K2391" i="105"/>
  <c r="AI2390" i="105"/>
  <c r="AH2390" i="105"/>
  <c r="AG2390" i="105"/>
  <c r="X2390" i="105"/>
  <c r="W2390" i="105"/>
  <c r="R2390" i="105"/>
  <c r="Q2390" i="105"/>
  <c r="N2390" i="105"/>
  <c r="M2390" i="105"/>
  <c r="L2390" i="105"/>
  <c r="K2390" i="105"/>
  <c r="AI2389" i="105"/>
  <c r="AH2389" i="105"/>
  <c r="AG2389" i="105"/>
  <c r="X2389" i="105"/>
  <c r="W2389" i="105"/>
  <c r="R2389" i="105"/>
  <c r="Q2389" i="105"/>
  <c r="N2389" i="105"/>
  <c r="M2389" i="105"/>
  <c r="L2389" i="105"/>
  <c r="K2389" i="105"/>
  <c r="AI2388" i="105"/>
  <c r="AH2388" i="105"/>
  <c r="AG2388" i="105"/>
  <c r="X2388" i="105"/>
  <c r="W2388" i="105"/>
  <c r="R2388" i="105"/>
  <c r="Q2388" i="105"/>
  <c r="L2388" i="105"/>
  <c r="N2388" i="105" s="1"/>
  <c r="I2388" i="105" s="1"/>
  <c r="K2388" i="105"/>
  <c r="M2388" i="105" s="1"/>
  <c r="M2387" i="105" s="1"/>
  <c r="A2388" i="105"/>
  <c r="A2389" i="105" s="1"/>
  <c r="A2390" i="105" s="1"/>
  <c r="A2391" i="105" s="1"/>
  <c r="A2392" i="105" s="1"/>
  <c r="AH2387" i="105"/>
  <c r="AF2387" i="105"/>
  <c r="X2387" i="105"/>
  <c r="U2387" i="105"/>
  <c r="R2387" i="105"/>
  <c r="P2387" i="105"/>
  <c r="I2387" i="105"/>
  <c r="H2387" i="105"/>
  <c r="AI2386" i="105"/>
  <c r="AH2386" i="105"/>
  <c r="AG2386" i="105"/>
  <c r="X2386" i="105"/>
  <c r="W2386" i="105"/>
  <c r="R2386" i="105"/>
  <c r="Q2386" i="105"/>
  <c r="N2386" i="105"/>
  <c r="M2386" i="105"/>
  <c r="L2386" i="105"/>
  <c r="K2386" i="105"/>
  <c r="AI2385" i="105"/>
  <c r="AH2385" i="105"/>
  <c r="AG2385" i="105"/>
  <c r="X2385" i="105"/>
  <c r="W2385" i="105"/>
  <c r="R2385" i="105"/>
  <c r="Q2385" i="105"/>
  <c r="N2385" i="105"/>
  <c r="M2385" i="105"/>
  <c r="L2385" i="105"/>
  <c r="K2385" i="105"/>
  <c r="AI2384" i="105"/>
  <c r="AH2384" i="105"/>
  <c r="AG2384" i="105"/>
  <c r="X2384" i="105"/>
  <c r="W2384" i="105"/>
  <c r="R2384" i="105"/>
  <c r="Q2384" i="105"/>
  <c r="N2384" i="105"/>
  <c r="M2384" i="105"/>
  <c r="L2384" i="105"/>
  <c r="K2384" i="105"/>
  <c r="AI2383" i="105"/>
  <c r="AH2383" i="105"/>
  <c r="AG2383" i="105"/>
  <c r="X2383" i="105"/>
  <c r="W2383" i="105"/>
  <c r="R2383" i="105"/>
  <c r="Q2383" i="105"/>
  <c r="N2383" i="105"/>
  <c r="M2383" i="105"/>
  <c r="L2383" i="105"/>
  <c r="K2383" i="105"/>
  <c r="AI2382" i="105"/>
  <c r="AH2382" i="105"/>
  <c r="AG2382" i="105"/>
  <c r="X2382" i="105"/>
  <c r="W2382" i="105"/>
  <c r="R2382" i="105"/>
  <c r="Q2382" i="105"/>
  <c r="L2382" i="105"/>
  <c r="N2382" i="105" s="1"/>
  <c r="I2382" i="105" s="1"/>
  <c r="K2382" i="105"/>
  <c r="M2382" i="105" s="1"/>
  <c r="M2381" i="105" s="1"/>
  <c r="A2382" i="105"/>
  <c r="A2383" i="105" s="1"/>
  <c r="A2384" i="105" s="1"/>
  <c r="A2385" i="105" s="1"/>
  <c r="A2386" i="105" s="1"/>
  <c r="AH2381" i="105"/>
  <c r="AF2381" i="105"/>
  <c r="X2381" i="105"/>
  <c r="U2381" i="105"/>
  <c r="R2381" i="105"/>
  <c r="P2381" i="105"/>
  <c r="I2381" i="105"/>
  <c r="H2381" i="105"/>
  <c r="AI2380" i="105"/>
  <c r="AH2380" i="105"/>
  <c r="AG2380" i="105"/>
  <c r="X2380" i="105"/>
  <c r="W2380" i="105"/>
  <c r="R2380" i="105"/>
  <c r="Q2380" i="105"/>
  <c r="N2380" i="105"/>
  <c r="M2380" i="105"/>
  <c r="L2380" i="105"/>
  <c r="K2380" i="105"/>
  <c r="AI2379" i="105"/>
  <c r="AH2379" i="105"/>
  <c r="AG2379" i="105"/>
  <c r="X2379" i="105"/>
  <c r="W2379" i="105"/>
  <c r="R2379" i="105"/>
  <c r="Q2379" i="105"/>
  <c r="N2379" i="105"/>
  <c r="M2379" i="105"/>
  <c r="L2379" i="105"/>
  <c r="K2379" i="105"/>
  <c r="AI2378" i="105"/>
  <c r="AH2378" i="105"/>
  <c r="AG2378" i="105"/>
  <c r="X2378" i="105"/>
  <c r="W2378" i="105"/>
  <c r="R2378" i="105"/>
  <c r="Q2378" i="105"/>
  <c r="N2378" i="105"/>
  <c r="M2378" i="105"/>
  <c r="L2378" i="105"/>
  <c r="K2378" i="105"/>
  <c r="AI2377" i="105"/>
  <c r="AH2377" i="105"/>
  <c r="AG2377" i="105"/>
  <c r="X2377" i="105"/>
  <c r="W2377" i="105"/>
  <c r="R2377" i="105"/>
  <c r="Q2377" i="105"/>
  <c r="N2377" i="105"/>
  <c r="M2377" i="105"/>
  <c r="L2377" i="105"/>
  <c r="K2377" i="105"/>
  <c r="AI2376" i="105"/>
  <c r="AG2376" i="105"/>
  <c r="X2376" i="105"/>
  <c r="X2375" i="105" s="1"/>
  <c r="W2376" i="105"/>
  <c r="R2376" i="105"/>
  <c r="R2375" i="105" s="1"/>
  <c r="Q2376" i="105"/>
  <c r="N2376" i="105"/>
  <c r="N2375" i="105" s="1"/>
  <c r="L2376" i="105"/>
  <c r="K2376" i="105"/>
  <c r="M2376" i="105" s="1"/>
  <c r="A2376" i="105"/>
  <c r="A2377" i="105" s="1"/>
  <c r="A2378" i="105" s="1"/>
  <c r="A2379" i="105" s="1"/>
  <c r="A2380" i="105" s="1"/>
  <c r="AH2375" i="105"/>
  <c r="AF2375" i="105"/>
  <c r="U2375" i="105"/>
  <c r="P2375" i="105"/>
  <c r="M2375" i="105"/>
  <c r="AI2375" i="105" s="1"/>
  <c r="H2375" i="105"/>
  <c r="AI2374" i="105"/>
  <c r="AH2374" i="105"/>
  <c r="AG2374" i="105"/>
  <c r="X2374" i="105"/>
  <c r="W2374" i="105"/>
  <c r="R2374" i="105"/>
  <c r="Q2374" i="105"/>
  <c r="N2374" i="105"/>
  <c r="M2374" i="105"/>
  <c r="L2374" i="105"/>
  <c r="K2374" i="105"/>
  <c r="AI2373" i="105"/>
  <c r="AH2373" i="105"/>
  <c r="AG2373" i="105"/>
  <c r="X2373" i="105"/>
  <c r="W2373" i="105"/>
  <c r="R2373" i="105"/>
  <c r="Q2373" i="105"/>
  <c r="N2373" i="105"/>
  <c r="M2373" i="105"/>
  <c r="L2373" i="105"/>
  <c r="K2373" i="105"/>
  <c r="AI2372" i="105"/>
  <c r="AH2372" i="105"/>
  <c r="AG2372" i="105"/>
  <c r="X2372" i="105"/>
  <c r="W2372" i="105"/>
  <c r="R2372" i="105"/>
  <c r="Q2372" i="105"/>
  <c r="N2372" i="105"/>
  <c r="M2372" i="105"/>
  <c r="L2372" i="105"/>
  <c r="K2372" i="105"/>
  <c r="AI2371" i="105"/>
  <c r="AH2371" i="105"/>
  <c r="AG2371" i="105"/>
  <c r="X2371" i="105"/>
  <c r="W2371" i="105"/>
  <c r="R2371" i="105"/>
  <c r="Q2371" i="105"/>
  <c r="N2371" i="105"/>
  <c r="M2371" i="105"/>
  <c r="L2371" i="105"/>
  <c r="K2371" i="105"/>
  <c r="AI2370" i="105"/>
  <c r="AG2370" i="105"/>
  <c r="W2370" i="105"/>
  <c r="X2370" i="105" s="1"/>
  <c r="X2369" i="105" s="1"/>
  <c r="R2370" i="105"/>
  <c r="Q2370" i="105"/>
  <c r="L2370" i="105"/>
  <c r="N2370" i="105" s="1"/>
  <c r="I2370" i="105" s="1"/>
  <c r="K2370" i="105"/>
  <c r="M2370" i="105" s="1"/>
  <c r="M2369" i="105" s="1"/>
  <c r="A2370" i="105"/>
  <c r="A2371" i="105" s="1"/>
  <c r="A2372" i="105" s="1"/>
  <c r="A2373" i="105" s="1"/>
  <c r="A2374" i="105" s="1"/>
  <c r="AH2369" i="105"/>
  <c r="AF2369" i="105"/>
  <c r="U2369" i="105"/>
  <c r="R2369" i="105"/>
  <c r="P2369" i="105"/>
  <c r="H2369" i="105"/>
  <c r="AI2368" i="105"/>
  <c r="AH2368" i="105"/>
  <c r="AG2368" i="105"/>
  <c r="X2368" i="105"/>
  <c r="W2368" i="105"/>
  <c r="R2368" i="105"/>
  <c r="Q2368" i="105"/>
  <c r="N2368" i="105"/>
  <c r="M2368" i="105"/>
  <c r="L2368" i="105"/>
  <c r="K2368" i="105"/>
  <c r="AI2367" i="105"/>
  <c r="AH2367" i="105"/>
  <c r="AG2367" i="105"/>
  <c r="X2367" i="105"/>
  <c r="W2367" i="105"/>
  <c r="R2367" i="105"/>
  <c r="Q2367" i="105"/>
  <c r="N2367" i="105"/>
  <c r="M2367" i="105"/>
  <c r="L2367" i="105"/>
  <c r="K2367" i="105"/>
  <c r="AI2366" i="105"/>
  <c r="AH2366" i="105"/>
  <c r="AG2366" i="105"/>
  <c r="X2366" i="105"/>
  <c r="W2366" i="105"/>
  <c r="R2366" i="105"/>
  <c r="Q2366" i="105"/>
  <c r="N2366" i="105"/>
  <c r="M2366" i="105"/>
  <c r="L2366" i="105"/>
  <c r="K2366" i="105"/>
  <c r="AI2365" i="105"/>
  <c r="AH2365" i="105"/>
  <c r="AG2365" i="105"/>
  <c r="X2365" i="105"/>
  <c r="W2365" i="105"/>
  <c r="R2365" i="105"/>
  <c r="Q2365" i="105"/>
  <c r="N2365" i="105"/>
  <c r="M2365" i="105"/>
  <c r="L2365" i="105"/>
  <c r="K2365" i="105"/>
  <c r="AI2364" i="105"/>
  <c r="AH2364" i="105"/>
  <c r="AG2364" i="105"/>
  <c r="X2364" i="105"/>
  <c r="W2364" i="105"/>
  <c r="R2364" i="105"/>
  <c r="Q2364" i="105"/>
  <c r="L2364" i="105"/>
  <c r="N2364" i="105" s="1"/>
  <c r="I2364" i="105" s="1"/>
  <c r="K2364" i="105"/>
  <c r="M2364" i="105" s="1"/>
  <c r="M2362" i="105" s="1"/>
  <c r="AI2362" i="105" s="1"/>
  <c r="A2364" i="105"/>
  <c r="A2365" i="105" s="1"/>
  <c r="A2366" i="105" s="1"/>
  <c r="A2367" i="105" s="1"/>
  <c r="A2368" i="105" s="1"/>
  <c r="AI2363" i="105"/>
  <c r="X2363" i="105"/>
  <c r="X2362" i="105" s="1"/>
  <c r="W2363" i="105"/>
  <c r="R2363" i="105"/>
  <c r="R2362" i="105" s="1"/>
  <c r="Q2363" i="105"/>
  <c r="N2363" i="105"/>
  <c r="N2362" i="105" s="1"/>
  <c r="L2363" i="105"/>
  <c r="K2363" i="105"/>
  <c r="M2363" i="105" s="1"/>
  <c r="A2363" i="105"/>
  <c r="AH2362" i="105"/>
  <c r="AF2362" i="105"/>
  <c r="U2362" i="105"/>
  <c r="P2362" i="105"/>
  <c r="H2362" i="105"/>
  <c r="AI2361" i="105"/>
  <c r="N2361" i="105"/>
  <c r="M2361" i="105"/>
  <c r="L2361" i="105"/>
  <c r="K2361" i="105"/>
  <c r="AI2360" i="105"/>
  <c r="N2360" i="105"/>
  <c r="M2360" i="105"/>
  <c r="L2360" i="105"/>
  <c r="K2360" i="105"/>
  <c r="AI2359" i="105"/>
  <c r="N2359" i="105"/>
  <c r="M2359" i="105"/>
  <c r="L2359" i="105"/>
  <c r="K2359" i="105"/>
  <c r="AI2358" i="105"/>
  <c r="N2358" i="105"/>
  <c r="M2358" i="105"/>
  <c r="L2358" i="105"/>
  <c r="K2358" i="105"/>
  <c r="AI2357" i="105"/>
  <c r="N2357" i="105"/>
  <c r="M2357" i="105"/>
  <c r="L2357" i="105"/>
  <c r="K2357" i="105"/>
  <c r="A2357" i="105"/>
  <c r="A2358" i="105" s="1"/>
  <c r="A2359" i="105" s="1"/>
  <c r="A2360" i="105" s="1"/>
  <c r="A2361" i="105" s="1"/>
  <c r="AI2356" i="105"/>
  <c r="L2356" i="105"/>
  <c r="N2356" i="105" s="1"/>
  <c r="K2356" i="105"/>
  <c r="M2356" i="105" s="1"/>
  <c r="A2356" i="105"/>
  <c r="AH2355" i="105"/>
  <c r="AF2355" i="105"/>
  <c r="X2355" i="105"/>
  <c r="U2355" i="105"/>
  <c r="R2355" i="105"/>
  <c r="P2355" i="105"/>
  <c r="M2355" i="105"/>
  <c r="H2355" i="105"/>
  <c r="AI2354" i="105"/>
  <c r="AH2354" i="105"/>
  <c r="AG2354" i="105"/>
  <c r="X2354" i="105"/>
  <c r="W2354" i="105"/>
  <c r="R2354" i="105"/>
  <c r="Q2354" i="105"/>
  <c r="N2354" i="105"/>
  <c r="M2354" i="105"/>
  <c r="L2354" i="105"/>
  <c r="K2354" i="105"/>
  <c r="AI2353" i="105"/>
  <c r="AH2353" i="105"/>
  <c r="AG2353" i="105"/>
  <c r="X2353" i="105"/>
  <c r="W2353" i="105"/>
  <c r="R2353" i="105"/>
  <c r="Q2353" i="105"/>
  <c r="N2353" i="105"/>
  <c r="M2353" i="105"/>
  <c r="L2353" i="105"/>
  <c r="K2353" i="105"/>
  <c r="AI2352" i="105"/>
  <c r="AH2352" i="105"/>
  <c r="AG2352" i="105"/>
  <c r="X2352" i="105"/>
  <c r="W2352" i="105"/>
  <c r="R2352" i="105"/>
  <c r="Q2352" i="105"/>
  <c r="N2352" i="105"/>
  <c r="M2352" i="105"/>
  <c r="L2352" i="105"/>
  <c r="K2352" i="105"/>
  <c r="AI2351" i="105"/>
  <c r="AH2351" i="105"/>
  <c r="AG2351" i="105"/>
  <c r="X2351" i="105"/>
  <c r="W2351" i="105"/>
  <c r="R2351" i="105"/>
  <c r="Q2351" i="105"/>
  <c r="N2351" i="105"/>
  <c r="M2351" i="105"/>
  <c r="L2351" i="105"/>
  <c r="K2351" i="105"/>
  <c r="AI2350" i="105"/>
  <c r="AH2350" i="105"/>
  <c r="AG2350" i="105"/>
  <c r="X2350" i="105"/>
  <c r="W2350" i="105"/>
  <c r="R2350" i="105"/>
  <c r="Q2350" i="105"/>
  <c r="N2350" i="105"/>
  <c r="M2350" i="105"/>
  <c r="L2350" i="105"/>
  <c r="K2350" i="105"/>
  <c r="AI2349" i="105"/>
  <c r="AH2349" i="105"/>
  <c r="AG2349" i="105"/>
  <c r="X2349" i="105"/>
  <c r="W2349" i="105"/>
  <c r="R2349" i="105"/>
  <c r="Q2349" i="105"/>
  <c r="N2349" i="105"/>
  <c r="M2349" i="105"/>
  <c r="L2349" i="105"/>
  <c r="K2349" i="105"/>
  <c r="AI2348" i="105"/>
  <c r="AH2348" i="105"/>
  <c r="AH2345" i="105" s="1"/>
  <c r="AG2348" i="105"/>
  <c r="X2348" i="105"/>
  <c r="X2345" i="105" s="1"/>
  <c r="W2348" i="105"/>
  <c r="R2348" i="105"/>
  <c r="R2345" i="105" s="1"/>
  <c r="Q2348" i="105"/>
  <c r="N2348" i="105"/>
  <c r="I2348" i="105" s="1"/>
  <c r="L2348" i="105"/>
  <c r="K2348" i="105"/>
  <c r="M2348" i="105" s="1"/>
  <c r="AI2347" i="105"/>
  <c r="AH2347" i="105"/>
  <c r="AG2347" i="105"/>
  <c r="X2347" i="105"/>
  <c r="W2347" i="105"/>
  <c r="R2347" i="105"/>
  <c r="Q2347" i="105"/>
  <c r="L2347" i="105"/>
  <c r="N2347" i="105" s="1"/>
  <c r="I2347" i="105" s="1"/>
  <c r="K2347" i="105"/>
  <c r="M2347" i="105" s="1"/>
  <c r="A2347" i="105"/>
  <c r="A2348" i="105" s="1"/>
  <c r="A2349" i="105" s="1"/>
  <c r="A2350" i="105" s="1"/>
  <c r="A2351" i="105" s="1"/>
  <c r="A2352" i="105" s="1"/>
  <c r="A2353" i="105" s="1"/>
  <c r="A2354" i="105" s="1"/>
  <c r="AI2346" i="105"/>
  <c r="AG2346" i="105"/>
  <c r="X2346" i="105"/>
  <c r="W2346" i="105"/>
  <c r="R2346" i="105"/>
  <c r="Q2346" i="105"/>
  <c r="L2346" i="105"/>
  <c r="K2346" i="105"/>
  <c r="H2346" i="105"/>
  <c r="N2346" i="105" s="1"/>
  <c r="I2346" i="105" s="1"/>
  <c r="A2346" i="105"/>
  <c r="AF2345" i="105"/>
  <c r="U2345" i="105"/>
  <c r="P2345" i="105"/>
  <c r="H2345" i="105"/>
  <c r="AI2344" i="105"/>
  <c r="N2344" i="105"/>
  <c r="M2344" i="105"/>
  <c r="L2344" i="105"/>
  <c r="K2344" i="105"/>
  <c r="AI2343" i="105"/>
  <c r="N2343" i="105"/>
  <c r="M2343" i="105"/>
  <c r="L2343" i="105"/>
  <c r="K2343" i="105"/>
  <c r="AI2342" i="105"/>
  <c r="N2342" i="105"/>
  <c r="M2342" i="105"/>
  <c r="L2342" i="105"/>
  <c r="K2342" i="105"/>
  <c r="AI2341" i="105"/>
  <c r="N2341" i="105"/>
  <c r="M2341" i="105"/>
  <c r="L2341" i="105"/>
  <c r="K2341" i="105"/>
  <c r="A2341" i="105"/>
  <c r="A2342" i="105" s="1"/>
  <c r="A2343" i="105" s="1"/>
  <c r="A2344" i="105" s="1"/>
  <c r="AI2340" i="105"/>
  <c r="L2340" i="105"/>
  <c r="N2340" i="105" s="1"/>
  <c r="N2339" i="105" s="1"/>
  <c r="K2340" i="105"/>
  <c r="M2340" i="105" s="1"/>
  <c r="I2340" i="105"/>
  <c r="A2340" i="105"/>
  <c r="AI2339" i="105"/>
  <c r="AH2339" i="105"/>
  <c r="AF2339" i="105"/>
  <c r="X2339" i="105"/>
  <c r="U2339" i="105"/>
  <c r="R2339" i="105"/>
  <c r="P2339" i="105"/>
  <c r="M2339" i="105"/>
  <c r="H2339" i="105"/>
  <c r="AI2338" i="105"/>
  <c r="AH2338" i="105"/>
  <c r="AG2338" i="105"/>
  <c r="X2338" i="105"/>
  <c r="W2338" i="105"/>
  <c r="R2338" i="105"/>
  <c r="Q2338" i="105"/>
  <c r="N2338" i="105"/>
  <c r="M2338" i="105"/>
  <c r="L2338" i="105"/>
  <c r="K2338" i="105"/>
  <c r="AI2337" i="105"/>
  <c r="AH2337" i="105"/>
  <c r="AG2337" i="105"/>
  <c r="X2337" i="105"/>
  <c r="W2337" i="105"/>
  <c r="R2337" i="105"/>
  <c r="Q2337" i="105"/>
  <c r="N2337" i="105"/>
  <c r="M2337" i="105"/>
  <c r="L2337" i="105"/>
  <c r="K2337" i="105"/>
  <c r="AI2336" i="105"/>
  <c r="AH2336" i="105"/>
  <c r="AG2336" i="105"/>
  <c r="X2336" i="105"/>
  <c r="W2336" i="105"/>
  <c r="R2336" i="105"/>
  <c r="Q2336" i="105"/>
  <c r="N2336" i="105"/>
  <c r="M2336" i="105"/>
  <c r="L2336" i="105"/>
  <c r="K2336" i="105"/>
  <c r="AI2335" i="105"/>
  <c r="AH2335" i="105"/>
  <c r="AG2335" i="105"/>
  <c r="X2335" i="105"/>
  <c r="W2335" i="105"/>
  <c r="R2335" i="105"/>
  <c r="Q2335" i="105"/>
  <c r="N2335" i="105"/>
  <c r="M2335" i="105"/>
  <c r="L2335" i="105"/>
  <c r="K2335" i="105"/>
  <c r="AI2334" i="105"/>
  <c r="AH2334" i="105"/>
  <c r="AG2334" i="105"/>
  <c r="X2334" i="105"/>
  <c r="W2334" i="105"/>
  <c r="R2334" i="105"/>
  <c r="Q2334" i="105"/>
  <c r="N2334" i="105"/>
  <c r="M2334" i="105"/>
  <c r="L2334" i="105"/>
  <c r="K2334" i="105"/>
  <c r="AI2333" i="105"/>
  <c r="AH2333" i="105"/>
  <c r="AG2333" i="105"/>
  <c r="X2333" i="105"/>
  <c r="W2333" i="105"/>
  <c r="R2333" i="105"/>
  <c r="Q2333" i="105"/>
  <c r="N2333" i="105"/>
  <c r="M2333" i="105"/>
  <c r="L2333" i="105"/>
  <c r="K2333" i="105"/>
  <c r="A2333" i="105"/>
  <c r="A2334" i="105" s="1"/>
  <c r="A2335" i="105" s="1"/>
  <c r="A2336" i="105" s="1"/>
  <c r="A2337" i="105" s="1"/>
  <c r="A2338" i="105" s="1"/>
  <c r="AI2332" i="105"/>
  <c r="AH2332" i="105"/>
  <c r="AH2331" i="105" s="1"/>
  <c r="AG2332" i="105"/>
  <c r="X2332" i="105"/>
  <c r="X2331" i="105" s="1"/>
  <c r="W2332" i="105"/>
  <c r="R2332" i="105"/>
  <c r="R2331" i="105" s="1"/>
  <c r="Q2332" i="105"/>
  <c r="N2332" i="105"/>
  <c r="N2331" i="105" s="1"/>
  <c r="L2332" i="105"/>
  <c r="K2332" i="105"/>
  <c r="M2332" i="105" s="1"/>
  <c r="M2331" i="105" s="1"/>
  <c r="AI2331" i="105" s="1"/>
  <c r="A2332" i="105"/>
  <c r="AF2331" i="105"/>
  <c r="U2331" i="105"/>
  <c r="P2331" i="105"/>
  <c r="H2331" i="105"/>
  <c r="AI2330" i="105"/>
  <c r="AH2330" i="105"/>
  <c r="AG2330" i="105"/>
  <c r="X2330" i="105"/>
  <c r="W2330" i="105"/>
  <c r="R2330" i="105"/>
  <c r="Q2330" i="105"/>
  <c r="N2330" i="105"/>
  <c r="M2330" i="105"/>
  <c r="L2330" i="105"/>
  <c r="K2330" i="105"/>
  <c r="AI2329" i="105"/>
  <c r="AH2329" i="105"/>
  <c r="AG2329" i="105"/>
  <c r="X2329" i="105"/>
  <c r="W2329" i="105"/>
  <c r="R2329" i="105"/>
  <c r="Q2329" i="105"/>
  <c r="N2329" i="105"/>
  <c r="M2329" i="105"/>
  <c r="L2329" i="105"/>
  <c r="K2329" i="105"/>
  <c r="AI2328" i="105"/>
  <c r="AH2328" i="105"/>
  <c r="AG2328" i="105"/>
  <c r="X2328" i="105"/>
  <c r="W2328" i="105"/>
  <c r="R2328" i="105"/>
  <c r="Q2328" i="105"/>
  <c r="N2328" i="105"/>
  <c r="M2328" i="105"/>
  <c r="L2328" i="105"/>
  <c r="K2328" i="105"/>
  <c r="AI2327" i="105"/>
  <c r="AH2327" i="105"/>
  <c r="AG2327" i="105"/>
  <c r="X2327" i="105"/>
  <c r="W2327" i="105"/>
  <c r="R2327" i="105"/>
  <c r="Q2327" i="105"/>
  <c r="N2327" i="105"/>
  <c r="M2327" i="105"/>
  <c r="L2327" i="105"/>
  <c r="K2327" i="105"/>
  <c r="AI2326" i="105"/>
  <c r="AH2326" i="105"/>
  <c r="AG2326" i="105"/>
  <c r="X2326" i="105"/>
  <c r="W2326" i="105"/>
  <c r="R2326" i="105"/>
  <c r="Q2326" i="105"/>
  <c r="N2326" i="105"/>
  <c r="M2326" i="105"/>
  <c r="L2326" i="105"/>
  <c r="K2326" i="105"/>
  <c r="AI2325" i="105"/>
  <c r="AH2325" i="105"/>
  <c r="AG2325" i="105"/>
  <c r="X2325" i="105"/>
  <c r="W2325" i="105"/>
  <c r="R2325" i="105"/>
  <c r="Q2325" i="105"/>
  <c r="N2325" i="105"/>
  <c r="M2325" i="105"/>
  <c r="L2325" i="105"/>
  <c r="K2325" i="105"/>
  <c r="AI2324" i="105"/>
  <c r="AH2324" i="105"/>
  <c r="AH2322" i="105" s="1"/>
  <c r="AG2324" i="105"/>
  <c r="X2324" i="105"/>
  <c r="X2322" i="105" s="1"/>
  <c r="W2324" i="105"/>
  <c r="R2324" i="105"/>
  <c r="R2322" i="105" s="1"/>
  <c r="Q2324" i="105"/>
  <c r="N2324" i="105"/>
  <c r="M2324" i="105"/>
  <c r="L2324" i="105"/>
  <c r="K2324" i="105"/>
  <c r="AI2323" i="105"/>
  <c r="AG2323" i="105"/>
  <c r="X2323" i="105"/>
  <c r="W2323" i="105"/>
  <c r="R2323" i="105"/>
  <c r="Q2323" i="105"/>
  <c r="L2323" i="105"/>
  <c r="N2323" i="105" s="1"/>
  <c r="I2323" i="105" s="1"/>
  <c r="K2323" i="105"/>
  <c r="M2323" i="105" s="1"/>
  <c r="M2322" i="105" s="1"/>
  <c r="A2323" i="105"/>
  <c r="A2324" i="105" s="1"/>
  <c r="A2325" i="105" s="1"/>
  <c r="A2326" i="105" s="1"/>
  <c r="A2327" i="105" s="1"/>
  <c r="A2328" i="105" s="1"/>
  <c r="A2329" i="105" s="1"/>
  <c r="A2330" i="105" s="1"/>
  <c r="AF2322" i="105"/>
  <c r="U2322" i="105"/>
  <c r="P2322" i="105"/>
  <c r="I2322" i="105"/>
  <c r="H2322" i="105"/>
  <c r="AI2321" i="105"/>
  <c r="AH2321" i="105"/>
  <c r="AG2321" i="105"/>
  <c r="X2321" i="105"/>
  <c r="W2321" i="105"/>
  <c r="R2321" i="105"/>
  <c r="Q2321" i="105"/>
  <c r="N2321" i="105"/>
  <c r="M2321" i="105"/>
  <c r="L2321" i="105"/>
  <c r="K2321" i="105"/>
  <c r="AI2320" i="105"/>
  <c r="AH2320" i="105"/>
  <c r="AG2320" i="105"/>
  <c r="X2320" i="105"/>
  <c r="W2320" i="105"/>
  <c r="R2320" i="105"/>
  <c r="Q2320" i="105"/>
  <c r="N2320" i="105"/>
  <c r="M2320" i="105"/>
  <c r="L2320" i="105"/>
  <c r="K2320" i="105"/>
  <c r="AI2319" i="105"/>
  <c r="AH2319" i="105"/>
  <c r="AG2319" i="105"/>
  <c r="X2319" i="105"/>
  <c r="W2319" i="105"/>
  <c r="R2319" i="105"/>
  <c r="Q2319" i="105"/>
  <c r="N2319" i="105"/>
  <c r="M2319" i="105"/>
  <c r="L2319" i="105"/>
  <c r="K2319" i="105"/>
  <c r="AI2318" i="105"/>
  <c r="AH2318" i="105"/>
  <c r="AG2318" i="105"/>
  <c r="X2318" i="105"/>
  <c r="W2318" i="105"/>
  <c r="R2318" i="105"/>
  <c r="Q2318" i="105"/>
  <c r="N2318" i="105"/>
  <c r="M2318" i="105"/>
  <c r="L2318" i="105"/>
  <c r="K2318" i="105"/>
  <c r="AI2317" i="105"/>
  <c r="AH2317" i="105"/>
  <c r="AG2317" i="105"/>
  <c r="X2317" i="105"/>
  <c r="W2317" i="105"/>
  <c r="R2317" i="105"/>
  <c r="Q2317" i="105"/>
  <c r="N2317" i="105"/>
  <c r="M2317" i="105"/>
  <c r="L2317" i="105"/>
  <c r="K2317" i="105"/>
  <c r="AI2316" i="105"/>
  <c r="AH2316" i="105"/>
  <c r="AG2316" i="105"/>
  <c r="X2316" i="105"/>
  <c r="W2316" i="105"/>
  <c r="R2316" i="105"/>
  <c r="Q2316" i="105"/>
  <c r="N2316" i="105"/>
  <c r="M2316" i="105"/>
  <c r="L2316" i="105"/>
  <c r="K2316" i="105"/>
  <c r="AI2315" i="105"/>
  <c r="AH2315" i="105"/>
  <c r="AG2315" i="105"/>
  <c r="X2315" i="105"/>
  <c r="W2315" i="105"/>
  <c r="R2315" i="105"/>
  <c r="Q2315" i="105"/>
  <c r="N2315" i="105"/>
  <c r="M2315" i="105"/>
  <c r="L2315" i="105"/>
  <c r="K2315" i="105"/>
  <c r="AI2314" i="105"/>
  <c r="AH2314" i="105"/>
  <c r="AG2314" i="105"/>
  <c r="X2314" i="105"/>
  <c r="W2314" i="105"/>
  <c r="R2314" i="105"/>
  <c r="Q2314" i="105"/>
  <c r="N2314" i="105"/>
  <c r="M2314" i="105"/>
  <c r="L2314" i="105"/>
  <c r="K2314" i="105"/>
  <c r="AI2313" i="105"/>
  <c r="AH2313" i="105"/>
  <c r="AG2313" i="105"/>
  <c r="X2313" i="105"/>
  <c r="W2313" i="105"/>
  <c r="R2313" i="105"/>
  <c r="Q2313" i="105"/>
  <c r="L2313" i="105"/>
  <c r="N2313" i="105" s="1"/>
  <c r="I2313" i="105" s="1"/>
  <c r="K2313" i="105"/>
  <c r="M2313" i="105" s="1"/>
  <c r="M2312" i="105" s="1"/>
  <c r="A2313" i="105"/>
  <c r="A2314" i="105" s="1"/>
  <c r="A2315" i="105" s="1"/>
  <c r="A2316" i="105" s="1"/>
  <c r="A2317" i="105" s="1"/>
  <c r="A2318" i="105" s="1"/>
  <c r="A2319" i="105" s="1"/>
  <c r="A2320" i="105" s="1"/>
  <c r="A2321" i="105" s="1"/>
  <c r="AH2312" i="105"/>
  <c r="AF2312" i="105"/>
  <c r="X2312" i="105"/>
  <c r="U2312" i="105"/>
  <c r="R2312" i="105"/>
  <c r="P2312" i="105"/>
  <c r="I2312" i="105"/>
  <c r="H2312" i="105"/>
  <c r="AI2311" i="105"/>
  <c r="AH2311" i="105"/>
  <c r="AG2311" i="105"/>
  <c r="X2311" i="105"/>
  <c r="W2311" i="105"/>
  <c r="R2311" i="105"/>
  <c r="Q2311" i="105"/>
  <c r="N2311" i="105"/>
  <c r="M2311" i="105"/>
  <c r="L2311" i="105"/>
  <c r="K2311" i="105"/>
  <c r="AI2310" i="105"/>
  <c r="AH2310" i="105"/>
  <c r="AG2310" i="105"/>
  <c r="X2310" i="105"/>
  <c r="W2310" i="105"/>
  <c r="R2310" i="105"/>
  <c r="Q2310" i="105"/>
  <c r="N2310" i="105"/>
  <c r="M2310" i="105"/>
  <c r="L2310" i="105"/>
  <c r="K2310" i="105"/>
  <c r="AI2309" i="105"/>
  <c r="AH2309" i="105"/>
  <c r="AG2309" i="105"/>
  <c r="X2309" i="105"/>
  <c r="W2309" i="105"/>
  <c r="R2309" i="105"/>
  <c r="Q2309" i="105"/>
  <c r="N2309" i="105"/>
  <c r="M2309" i="105"/>
  <c r="L2309" i="105"/>
  <c r="K2309" i="105"/>
  <c r="AI2308" i="105"/>
  <c r="AH2308" i="105"/>
  <c r="AG2308" i="105"/>
  <c r="X2308" i="105"/>
  <c r="W2308" i="105"/>
  <c r="R2308" i="105"/>
  <c r="Q2308" i="105"/>
  <c r="N2308" i="105"/>
  <c r="M2308" i="105"/>
  <c r="L2308" i="105"/>
  <c r="K2308" i="105"/>
  <c r="AI2307" i="105"/>
  <c r="AH2307" i="105"/>
  <c r="AG2307" i="105"/>
  <c r="X2307" i="105"/>
  <c r="W2307" i="105"/>
  <c r="R2307" i="105"/>
  <c r="Q2307" i="105"/>
  <c r="N2307" i="105"/>
  <c r="M2307" i="105"/>
  <c r="L2307" i="105"/>
  <c r="K2307" i="105"/>
  <c r="AI2306" i="105"/>
  <c r="AH2306" i="105"/>
  <c r="AG2306" i="105"/>
  <c r="X2306" i="105"/>
  <c r="W2306" i="105"/>
  <c r="R2306" i="105"/>
  <c r="Q2306" i="105"/>
  <c r="N2306" i="105"/>
  <c r="M2306" i="105"/>
  <c r="L2306" i="105"/>
  <c r="K2306" i="105"/>
  <c r="AI2305" i="105"/>
  <c r="AH2305" i="105"/>
  <c r="AG2305" i="105"/>
  <c r="X2305" i="105"/>
  <c r="W2305" i="105"/>
  <c r="R2305" i="105"/>
  <c r="Q2305" i="105"/>
  <c r="N2305" i="105"/>
  <c r="M2305" i="105"/>
  <c r="L2305" i="105"/>
  <c r="K2305" i="105"/>
  <c r="AI2304" i="105"/>
  <c r="AH2304" i="105"/>
  <c r="AG2304" i="105"/>
  <c r="X2304" i="105"/>
  <c r="W2304" i="105"/>
  <c r="R2304" i="105"/>
  <c r="Q2304" i="105"/>
  <c r="N2304" i="105"/>
  <c r="M2304" i="105"/>
  <c r="L2304" i="105"/>
  <c r="K2304" i="105"/>
  <c r="AI2303" i="105"/>
  <c r="AG2303" i="105"/>
  <c r="X2303" i="105"/>
  <c r="X2302" i="105" s="1"/>
  <c r="W2303" i="105"/>
  <c r="R2303" i="105"/>
  <c r="R2302" i="105" s="1"/>
  <c r="Q2303" i="105"/>
  <c r="N2303" i="105"/>
  <c r="N2302" i="105" s="1"/>
  <c r="L2303" i="105"/>
  <c r="K2303" i="105"/>
  <c r="M2303" i="105" s="1"/>
  <c r="A2303" i="105"/>
  <c r="A2304" i="105" s="1"/>
  <c r="A2305" i="105" s="1"/>
  <c r="A2306" i="105" s="1"/>
  <c r="A2307" i="105" s="1"/>
  <c r="A2308" i="105" s="1"/>
  <c r="A2309" i="105" s="1"/>
  <c r="A2310" i="105" s="1"/>
  <c r="A2311" i="105" s="1"/>
  <c r="AH2302" i="105"/>
  <c r="AF2302" i="105"/>
  <c r="U2302" i="105"/>
  <c r="P2302" i="105"/>
  <c r="M2302" i="105"/>
  <c r="AI2302" i="105" s="1"/>
  <c r="H2302" i="105"/>
  <c r="AI2301" i="105"/>
  <c r="AH2301" i="105"/>
  <c r="AG2301" i="105"/>
  <c r="X2301" i="105"/>
  <c r="W2301" i="105"/>
  <c r="R2301" i="105"/>
  <c r="Q2301" i="105"/>
  <c r="N2301" i="105"/>
  <c r="M2301" i="105"/>
  <c r="L2301" i="105"/>
  <c r="K2301" i="105"/>
  <c r="AI2300" i="105"/>
  <c r="AH2300" i="105"/>
  <c r="AG2300" i="105"/>
  <c r="X2300" i="105"/>
  <c r="W2300" i="105"/>
  <c r="R2300" i="105"/>
  <c r="Q2300" i="105"/>
  <c r="N2300" i="105"/>
  <c r="M2300" i="105"/>
  <c r="L2300" i="105"/>
  <c r="K2300" i="105"/>
  <c r="AI2299" i="105"/>
  <c r="AH2299" i="105"/>
  <c r="AG2299" i="105"/>
  <c r="X2299" i="105"/>
  <c r="W2299" i="105"/>
  <c r="R2299" i="105"/>
  <c r="Q2299" i="105"/>
  <c r="N2299" i="105"/>
  <c r="M2299" i="105"/>
  <c r="L2299" i="105"/>
  <c r="K2299" i="105"/>
  <c r="AI2298" i="105"/>
  <c r="AH2298" i="105"/>
  <c r="AG2298" i="105"/>
  <c r="X2298" i="105"/>
  <c r="W2298" i="105"/>
  <c r="R2298" i="105"/>
  <c r="Q2298" i="105"/>
  <c r="N2298" i="105"/>
  <c r="M2298" i="105"/>
  <c r="L2298" i="105"/>
  <c r="K2298" i="105"/>
  <c r="AI2297" i="105"/>
  <c r="AH2297" i="105"/>
  <c r="AG2297" i="105"/>
  <c r="X2297" i="105"/>
  <c r="W2297" i="105"/>
  <c r="R2297" i="105"/>
  <c r="Q2297" i="105"/>
  <c r="N2297" i="105"/>
  <c r="M2297" i="105"/>
  <c r="L2297" i="105"/>
  <c r="K2297" i="105"/>
  <c r="AI2296" i="105"/>
  <c r="AH2296" i="105"/>
  <c r="AG2296" i="105"/>
  <c r="X2296" i="105"/>
  <c r="W2296" i="105"/>
  <c r="R2296" i="105"/>
  <c r="Q2296" i="105"/>
  <c r="N2296" i="105"/>
  <c r="M2296" i="105"/>
  <c r="L2296" i="105"/>
  <c r="K2296" i="105"/>
  <c r="AI2295" i="105"/>
  <c r="AH2295" i="105"/>
  <c r="AG2295" i="105"/>
  <c r="X2295" i="105"/>
  <c r="W2295" i="105"/>
  <c r="R2295" i="105"/>
  <c r="Q2295" i="105"/>
  <c r="N2295" i="105"/>
  <c r="M2295" i="105"/>
  <c r="L2295" i="105"/>
  <c r="K2295" i="105"/>
  <c r="AI2294" i="105"/>
  <c r="AH2294" i="105"/>
  <c r="AG2294" i="105"/>
  <c r="X2294" i="105"/>
  <c r="W2294" i="105"/>
  <c r="R2294" i="105"/>
  <c r="Q2294" i="105"/>
  <c r="N2294" i="105"/>
  <c r="M2294" i="105"/>
  <c r="L2294" i="105"/>
  <c r="K2294" i="105"/>
  <c r="AI2293" i="105"/>
  <c r="AH2293" i="105"/>
  <c r="AG2293" i="105"/>
  <c r="X2293" i="105"/>
  <c r="W2293" i="105"/>
  <c r="R2293" i="105"/>
  <c r="Q2293" i="105"/>
  <c r="N2293" i="105"/>
  <c r="M2293" i="105"/>
  <c r="L2293" i="105"/>
  <c r="K2293" i="105"/>
  <c r="AI2292" i="105"/>
  <c r="AG2292" i="105"/>
  <c r="W2292" i="105"/>
  <c r="X2292" i="105" s="1"/>
  <c r="R2292" i="105"/>
  <c r="Q2292" i="105"/>
  <c r="N2292" i="105"/>
  <c r="M2292" i="105"/>
  <c r="L2292" i="105"/>
  <c r="K2292" i="105"/>
  <c r="AI2291" i="105"/>
  <c r="AG2291" i="105"/>
  <c r="AH2291" i="105" s="1"/>
  <c r="W2291" i="105"/>
  <c r="X2291" i="105" s="1"/>
  <c r="R2291" i="105"/>
  <c r="Q2291" i="105"/>
  <c r="L2291" i="105"/>
  <c r="N2291" i="105" s="1"/>
  <c r="I2291" i="105" s="1"/>
  <c r="K2291" i="105"/>
  <c r="M2291" i="105" s="1"/>
  <c r="M2290" i="105" s="1"/>
  <c r="AI2290" i="105" s="1"/>
  <c r="A2291" i="105"/>
  <c r="A2292" i="105" s="1"/>
  <c r="A2293" i="105" s="1"/>
  <c r="A2294" i="105" s="1"/>
  <c r="A2295" i="105" s="1"/>
  <c r="A2296" i="105" s="1"/>
  <c r="A2297" i="105" s="1"/>
  <c r="A2298" i="105" s="1"/>
  <c r="A2299" i="105" s="1"/>
  <c r="A2300" i="105" s="1"/>
  <c r="A2301" i="105" s="1"/>
  <c r="AH2290" i="105"/>
  <c r="AF2290" i="105"/>
  <c r="X2290" i="105"/>
  <c r="U2290" i="105"/>
  <c r="R2290" i="105"/>
  <c r="P2290" i="105"/>
  <c r="N2290" i="105"/>
  <c r="I2290" i="105"/>
  <c r="H2290" i="105"/>
  <c r="AI2289" i="105"/>
  <c r="AH2289" i="105"/>
  <c r="AG2289" i="105"/>
  <c r="X2289" i="105"/>
  <c r="W2289" i="105"/>
  <c r="R2289" i="105"/>
  <c r="Q2289" i="105"/>
  <c r="N2289" i="105"/>
  <c r="M2289" i="105"/>
  <c r="L2289" i="105"/>
  <c r="K2289" i="105"/>
  <c r="AI2288" i="105"/>
  <c r="AH2288" i="105"/>
  <c r="AG2288" i="105"/>
  <c r="X2288" i="105"/>
  <c r="W2288" i="105"/>
  <c r="R2288" i="105"/>
  <c r="Q2288" i="105"/>
  <c r="N2288" i="105"/>
  <c r="M2288" i="105"/>
  <c r="L2288" i="105"/>
  <c r="K2288" i="105"/>
  <c r="AI2287" i="105"/>
  <c r="AH2287" i="105"/>
  <c r="AG2287" i="105"/>
  <c r="X2287" i="105"/>
  <c r="W2287" i="105"/>
  <c r="R2287" i="105"/>
  <c r="Q2287" i="105"/>
  <c r="N2287" i="105"/>
  <c r="M2287" i="105"/>
  <c r="L2287" i="105"/>
  <c r="K2287" i="105"/>
  <c r="AI2286" i="105"/>
  <c r="AH2286" i="105"/>
  <c r="AG2286" i="105"/>
  <c r="X2286" i="105"/>
  <c r="W2286" i="105"/>
  <c r="R2286" i="105"/>
  <c r="Q2286" i="105"/>
  <c r="N2286" i="105"/>
  <c r="M2286" i="105"/>
  <c r="L2286" i="105"/>
  <c r="K2286" i="105"/>
  <c r="AI2285" i="105"/>
  <c r="AH2285" i="105"/>
  <c r="AG2285" i="105"/>
  <c r="X2285" i="105"/>
  <c r="W2285" i="105"/>
  <c r="R2285" i="105"/>
  <c r="Q2285" i="105"/>
  <c r="N2285" i="105"/>
  <c r="M2285" i="105"/>
  <c r="L2285" i="105"/>
  <c r="K2285" i="105"/>
  <c r="AI2284" i="105"/>
  <c r="AH2284" i="105"/>
  <c r="AG2284" i="105"/>
  <c r="X2284" i="105"/>
  <c r="W2284" i="105"/>
  <c r="R2284" i="105"/>
  <c r="Q2284" i="105"/>
  <c r="N2284" i="105"/>
  <c r="M2284" i="105"/>
  <c r="L2284" i="105"/>
  <c r="K2284" i="105"/>
  <c r="AI2283" i="105"/>
  <c r="AH2283" i="105"/>
  <c r="AG2283" i="105"/>
  <c r="X2283" i="105"/>
  <c r="W2283" i="105"/>
  <c r="R2283" i="105"/>
  <c r="Q2283" i="105"/>
  <c r="N2283" i="105"/>
  <c r="M2283" i="105"/>
  <c r="L2283" i="105"/>
  <c r="K2283" i="105"/>
  <c r="AI2282" i="105"/>
  <c r="AH2282" i="105"/>
  <c r="AH2280" i="105" s="1"/>
  <c r="AG2282" i="105"/>
  <c r="X2282" i="105"/>
  <c r="W2282" i="105"/>
  <c r="R2282" i="105"/>
  <c r="Q2282" i="105"/>
  <c r="L2282" i="105"/>
  <c r="N2282" i="105" s="1"/>
  <c r="I2282" i="105" s="1"/>
  <c r="K2282" i="105"/>
  <c r="M2282" i="105" s="1"/>
  <c r="AI2281" i="105"/>
  <c r="AG2281" i="105"/>
  <c r="X2281" i="105"/>
  <c r="X2280" i="105" s="1"/>
  <c r="W2281" i="105"/>
  <c r="R2281" i="105"/>
  <c r="R2280" i="105" s="1"/>
  <c r="Q2281" i="105"/>
  <c r="L2281" i="105"/>
  <c r="N2281" i="105" s="1"/>
  <c r="K2281" i="105"/>
  <c r="M2281" i="105" s="1"/>
  <c r="M2280" i="105" s="1"/>
  <c r="A2281" i="105"/>
  <c r="A2282" i="105" s="1"/>
  <c r="A2283" i="105" s="1"/>
  <c r="A2284" i="105" s="1"/>
  <c r="A2285" i="105" s="1"/>
  <c r="A2286" i="105" s="1"/>
  <c r="A2287" i="105" s="1"/>
  <c r="A2288" i="105" s="1"/>
  <c r="A2289" i="105" s="1"/>
  <c r="AF2280" i="105"/>
  <c r="U2280" i="105"/>
  <c r="P2280" i="105"/>
  <c r="H2280" i="105"/>
  <c r="AI2279" i="105"/>
  <c r="AH2279" i="105"/>
  <c r="AG2279" i="105"/>
  <c r="X2279" i="105"/>
  <c r="W2279" i="105"/>
  <c r="R2279" i="105"/>
  <c r="Q2279" i="105"/>
  <c r="N2279" i="105"/>
  <c r="M2279" i="105"/>
  <c r="L2279" i="105"/>
  <c r="K2279" i="105"/>
  <c r="AI2278" i="105"/>
  <c r="AH2278" i="105"/>
  <c r="AG2278" i="105"/>
  <c r="X2278" i="105"/>
  <c r="W2278" i="105"/>
  <c r="R2278" i="105"/>
  <c r="Q2278" i="105"/>
  <c r="N2278" i="105"/>
  <c r="M2278" i="105"/>
  <c r="L2278" i="105"/>
  <c r="K2278" i="105"/>
  <c r="AI2277" i="105"/>
  <c r="AH2277" i="105"/>
  <c r="AG2277" i="105"/>
  <c r="X2277" i="105"/>
  <c r="W2277" i="105"/>
  <c r="R2277" i="105"/>
  <c r="Q2277" i="105"/>
  <c r="N2277" i="105"/>
  <c r="M2277" i="105"/>
  <c r="L2277" i="105"/>
  <c r="K2277" i="105"/>
  <c r="AI2276" i="105"/>
  <c r="AH2276" i="105"/>
  <c r="AG2276" i="105"/>
  <c r="X2276" i="105"/>
  <c r="W2276" i="105"/>
  <c r="R2276" i="105"/>
  <c r="Q2276" i="105"/>
  <c r="N2276" i="105"/>
  <c r="M2276" i="105"/>
  <c r="L2276" i="105"/>
  <c r="K2276" i="105"/>
  <c r="AI2275" i="105"/>
  <c r="AH2275" i="105"/>
  <c r="AG2275" i="105"/>
  <c r="X2275" i="105"/>
  <c r="W2275" i="105"/>
  <c r="R2275" i="105"/>
  <c r="Q2275" i="105"/>
  <c r="N2275" i="105"/>
  <c r="M2275" i="105"/>
  <c r="L2275" i="105"/>
  <c r="K2275" i="105"/>
  <c r="AI2274" i="105"/>
  <c r="AH2274" i="105"/>
  <c r="AG2274" i="105"/>
  <c r="X2274" i="105"/>
  <c r="W2274" i="105"/>
  <c r="R2274" i="105"/>
  <c r="Q2274" i="105"/>
  <c r="N2274" i="105"/>
  <c r="M2274" i="105"/>
  <c r="L2274" i="105"/>
  <c r="K2274" i="105"/>
  <c r="AI2273" i="105"/>
  <c r="AH2273" i="105"/>
  <c r="AG2273" i="105"/>
  <c r="X2273" i="105"/>
  <c r="W2273" i="105"/>
  <c r="R2273" i="105"/>
  <c r="Q2273" i="105"/>
  <c r="N2273" i="105"/>
  <c r="M2273" i="105"/>
  <c r="L2273" i="105"/>
  <c r="K2273" i="105"/>
  <c r="AI2272" i="105"/>
  <c r="AH2272" i="105"/>
  <c r="AG2272" i="105"/>
  <c r="X2272" i="105"/>
  <c r="W2272" i="105"/>
  <c r="Q2272" i="105"/>
  <c r="R2272" i="105" s="1"/>
  <c r="N2272" i="105"/>
  <c r="M2272" i="105"/>
  <c r="L2272" i="105"/>
  <c r="K2272" i="105"/>
  <c r="AI2271" i="105"/>
  <c r="AG2271" i="105"/>
  <c r="X2271" i="105"/>
  <c r="X2270" i="105" s="1"/>
  <c r="W2271" i="105"/>
  <c r="R2271" i="105"/>
  <c r="R2270" i="105" s="1"/>
  <c r="Q2271" i="105"/>
  <c r="L2271" i="105"/>
  <c r="N2271" i="105" s="1"/>
  <c r="K2271" i="105"/>
  <c r="M2271" i="105" s="1"/>
  <c r="M2270" i="105" s="1"/>
  <c r="A2271" i="105"/>
  <c r="A2272" i="105" s="1"/>
  <c r="A2273" i="105" s="1"/>
  <c r="A2274" i="105" s="1"/>
  <c r="A2275" i="105" s="1"/>
  <c r="A2276" i="105" s="1"/>
  <c r="A2277" i="105" s="1"/>
  <c r="A2278" i="105" s="1"/>
  <c r="A2279" i="105" s="1"/>
  <c r="AH2270" i="105"/>
  <c r="AF2270" i="105"/>
  <c r="U2270" i="105"/>
  <c r="P2270" i="105"/>
  <c r="H2270" i="105"/>
  <c r="AI2269" i="105"/>
  <c r="AH2269" i="105"/>
  <c r="AG2269" i="105"/>
  <c r="X2269" i="105"/>
  <c r="W2269" i="105"/>
  <c r="R2269" i="105"/>
  <c r="Q2269" i="105"/>
  <c r="N2269" i="105"/>
  <c r="M2269" i="105"/>
  <c r="L2269" i="105"/>
  <c r="K2269" i="105"/>
  <c r="AI2268" i="105"/>
  <c r="AH2268" i="105"/>
  <c r="AG2268" i="105"/>
  <c r="X2268" i="105"/>
  <c r="W2268" i="105"/>
  <c r="R2268" i="105"/>
  <c r="Q2268" i="105"/>
  <c r="N2268" i="105"/>
  <c r="M2268" i="105"/>
  <c r="L2268" i="105"/>
  <c r="K2268" i="105"/>
  <c r="AI2267" i="105"/>
  <c r="AH2267" i="105"/>
  <c r="AG2267" i="105"/>
  <c r="X2267" i="105"/>
  <c r="W2267" i="105"/>
  <c r="R2267" i="105"/>
  <c r="Q2267" i="105"/>
  <c r="N2267" i="105"/>
  <c r="M2267" i="105"/>
  <c r="L2267" i="105"/>
  <c r="K2267" i="105"/>
  <c r="AI2266" i="105"/>
  <c r="AH2266" i="105"/>
  <c r="AG2266" i="105"/>
  <c r="X2266" i="105"/>
  <c r="W2266" i="105"/>
  <c r="R2266" i="105"/>
  <c r="Q2266" i="105"/>
  <c r="N2266" i="105"/>
  <c r="M2266" i="105"/>
  <c r="L2266" i="105"/>
  <c r="K2266" i="105"/>
  <c r="AI2265" i="105"/>
  <c r="AH2265" i="105"/>
  <c r="AG2265" i="105"/>
  <c r="X2265" i="105"/>
  <c r="W2265" i="105"/>
  <c r="R2265" i="105"/>
  <c r="Q2265" i="105"/>
  <c r="N2265" i="105"/>
  <c r="M2265" i="105"/>
  <c r="L2265" i="105"/>
  <c r="K2265" i="105"/>
  <c r="AI2264" i="105"/>
  <c r="AH2264" i="105"/>
  <c r="AG2264" i="105"/>
  <c r="X2264" i="105"/>
  <c r="W2264" i="105"/>
  <c r="R2264" i="105"/>
  <c r="Q2264" i="105"/>
  <c r="N2264" i="105"/>
  <c r="M2264" i="105"/>
  <c r="L2264" i="105"/>
  <c r="K2264" i="105"/>
  <c r="AI2263" i="105"/>
  <c r="AH2263" i="105"/>
  <c r="AG2263" i="105"/>
  <c r="X2263" i="105"/>
  <c r="W2263" i="105"/>
  <c r="R2263" i="105"/>
  <c r="Q2263" i="105"/>
  <c r="N2263" i="105"/>
  <c r="M2263" i="105"/>
  <c r="L2263" i="105"/>
  <c r="K2263" i="105"/>
  <c r="AI2262" i="105"/>
  <c r="AH2262" i="105"/>
  <c r="AG2262" i="105"/>
  <c r="X2262" i="105"/>
  <c r="W2262" i="105"/>
  <c r="R2262" i="105"/>
  <c r="Q2262" i="105"/>
  <c r="N2262" i="105"/>
  <c r="M2262" i="105"/>
  <c r="L2262" i="105"/>
  <c r="K2262" i="105"/>
  <c r="AI2261" i="105"/>
  <c r="AG2261" i="105"/>
  <c r="X2261" i="105"/>
  <c r="W2261" i="105"/>
  <c r="R2261" i="105"/>
  <c r="Q2261" i="105"/>
  <c r="L2261" i="105"/>
  <c r="N2261" i="105" s="1"/>
  <c r="K2261" i="105"/>
  <c r="M2261" i="105" s="1"/>
  <c r="M2260" i="105" s="1"/>
  <c r="A2261" i="105"/>
  <c r="A2262" i="105" s="1"/>
  <c r="A2263" i="105" s="1"/>
  <c r="A2264" i="105" s="1"/>
  <c r="A2265" i="105" s="1"/>
  <c r="A2266" i="105" s="1"/>
  <c r="A2267" i="105" s="1"/>
  <c r="A2268" i="105" s="1"/>
  <c r="A2269" i="105" s="1"/>
  <c r="AH2260" i="105"/>
  <c r="AF2260" i="105"/>
  <c r="X2260" i="105"/>
  <c r="U2260" i="105"/>
  <c r="R2260" i="105"/>
  <c r="P2260" i="105"/>
  <c r="H2260" i="105"/>
  <c r="AI2259" i="105"/>
  <c r="AH2259" i="105"/>
  <c r="AG2259" i="105"/>
  <c r="X2259" i="105"/>
  <c r="W2259" i="105"/>
  <c r="R2259" i="105"/>
  <c r="Q2259" i="105"/>
  <c r="N2259" i="105"/>
  <c r="M2259" i="105"/>
  <c r="L2259" i="105"/>
  <c r="K2259" i="105"/>
  <c r="AI2258" i="105"/>
  <c r="AH2258" i="105"/>
  <c r="AG2258" i="105"/>
  <c r="X2258" i="105"/>
  <c r="W2258" i="105"/>
  <c r="R2258" i="105"/>
  <c r="Q2258" i="105"/>
  <c r="N2258" i="105"/>
  <c r="M2258" i="105"/>
  <c r="L2258" i="105"/>
  <c r="K2258" i="105"/>
  <c r="AI2257" i="105"/>
  <c r="AH2257" i="105"/>
  <c r="AG2257" i="105"/>
  <c r="X2257" i="105"/>
  <c r="W2257" i="105"/>
  <c r="R2257" i="105"/>
  <c r="Q2257" i="105"/>
  <c r="N2257" i="105"/>
  <c r="M2257" i="105"/>
  <c r="L2257" i="105"/>
  <c r="K2257" i="105"/>
  <c r="AI2256" i="105"/>
  <c r="AH2256" i="105"/>
  <c r="AG2256" i="105"/>
  <c r="X2256" i="105"/>
  <c r="W2256" i="105"/>
  <c r="R2256" i="105"/>
  <c r="Q2256" i="105"/>
  <c r="N2256" i="105"/>
  <c r="M2256" i="105"/>
  <c r="L2256" i="105"/>
  <c r="K2256" i="105"/>
  <c r="AI2255" i="105"/>
  <c r="AH2255" i="105"/>
  <c r="AG2255" i="105"/>
  <c r="X2255" i="105"/>
  <c r="W2255" i="105"/>
  <c r="R2255" i="105"/>
  <c r="Q2255" i="105"/>
  <c r="N2255" i="105"/>
  <c r="M2255" i="105"/>
  <c r="L2255" i="105"/>
  <c r="K2255" i="105"/>
  <c r="AI2254" i="105"/>
  <c r="AH2254" i="105"/>
  <c r="AG2254" i="105"/>
  <c r="X2254" i="105"/>
  <c r="W2254" i="105"/>
  <c r="R2254" i="105"/>
  <c r="Q2254" i="105"/>
  <c r="N2254" i="105"/>
  <c r="M2254" i="105"/>
  <c r="L2254" i="105"/>
  <c r="K2254" i="105"/>
  <c r="AI2253" i="105"/>
  <c r="AH2253" i="105"/>
  <c r="AG2253" i="105"/>
  <c r="X2253" i="105"/>
  <c r="W2253" i="105"/>
  <c r="R2253" i="105"/>
  <c r="Q2253" i="105"/>
  <c r="N2253" i="105"/>
  <c r="M2253" i="105"/>
  <c r="L2253" i="105"/>
  <c r="K2253" i="105"/>
  <c r="AI2252" i="105"/>
  <c r="AH2252" i="105"/>
  <c r="AG2252" i="105"/>
  <c r="X2252" i="105"/>
  <c r="W2252" i="105"/>
  <c r="R2252" i="105"/>
  <c r="Q2252" i="105"/>
  <c r="N2252" i="105"/>
  <c r="M2252" i="105"/>
  <c r="L2252" i="105"/>
  <c r="K2252" i="105"/>
  <c r="AI2251" i="105"/>
  <c r="AH2251" i="105"/>
  <c r="AG2251" i="105"/>
  <c r="X2251" i="105"/>
  <c r="W2251" i="105"/>
  <c r="R2251" i="105"/>
  <c r="Q2251" i="105"/>
  <c r="L2251" i="105"/>
  <c r="N2251" i="105" s="1"/>
  <c r="K2251" i="105"/>
  <c r="M2251" i="105" s="1"/>
  <c r="M2250" i="105" s="1"/>
  <c r="A2251" i="105"/>
  <c r="A2252" i="105" s="1"/>
  <c r="A2253" i="105" s="1"/>
  <c r="A2254" i="105" s="1"/>
  <c r="A2255" i="105" s="1"/>
  <c r="A2256" i="105" s="1"/>
  <c r="A2257" i="105" s="1"/>
  <c r="A2258" i="105" s="1"/>
  <c r="A2259" i="105" s="1"/>
  <c r="AH2250" i="105"/>
  <c r="AF2250" i="105"/>
  <c r="X2250" i="105"/>
  <c r="U2250" i="105"/>
  <c r="R2250" i="105"/>
  <c r="P2250" i="105"/>
  <c r="H2250" i="105"/>
  <c r="AI2249" i="105"/>
  <c r="AH2249" i="105"/>
  <c r="AG2249" i="105"/>
  <c r="X2249" i="105"/>
  <c r="W2249" i="105"/>
  <c r="R2249" i="105"/>
  <c r="Q2249" i="105"/>
  <c r="N2249" i="105"/>
  <c r="M2249" i="105"/>
  <c r="L2249" i="105"/>
  <c r="K2249" i="105"/>
  <c r="AI2248" i="105"/>
  <c r="AH2248" i="105"/>
  <c r="AG2248" i="105"/>
  <c r="X2248" i="105"/>
  <c r="W2248" i="105"/>
  <c r="R2248" i="105"/>
  <c r="Q2248" i="105"/>
  <c r="N2248" i="105"/>
  <c r="M2248" i="105"/>
  <c r="L2248" i="105"/>
  <c r="K2248" i="105"/>
  <c r="AI2247" i="105"/>
  <c r="AH2247" i="105"/>
  <c r="AG2247" i="105"/>
  <c r="X2247" i="105"/>
  <c r="W2247" i="105"/>
  <c r="R2247" i="105"/>
  <c r="Q2247" i="105"/>
  <c r="N2247" i="105"/>
  <c r="M2247" i="105"/>
  <c r="L2247" i="105"/>
  <c r="K2247" i="105"/>
  <c r="AI2246" i="105"/>
  <c r="AH2246" i="105"/>
  <c r="AG2246" i="105"/>
  <c r="X2246" i="105"/>
  <c r="W2246" i="105"/>
  <c r="R2246" i="105"/>
  <c r="Q2246" i="105"/>
  <c r="N2246" i="105"/>
  <c r="M2246" i="105"/>
  <c r="L2246" i="105"/>
  <c r="K2246" i="105"/>
  <c r="AI2245" i="105"/>
  <c r="AH2245" i="105"/>
  <c r="AG2245" i="105"/>
  <c r="X2245" i="105"/>
  <c r="W2245" i="105"/>
  <c r="R2245" i="105"/>
  <c r="Q2245" i="105"/>
  <c r="N2245" i="105"/>
  <c r="M2245" i="105"/>
  <c r="L2245" i="105"/>
  <c r="K2245" i="105"/>
  <c r="AI2244" i="105"/>
  <c r="AH2244" i="105"/>
  <c r="AG2244" i="105"/>
  <c r="X2244" i="105"/>
  <c r="W2244" i="105"/>
  <c r="R2244" i="105"/>
  <c r="Q2244" i="105"/>
  <c r="N2244" i="105"/>
  <c r="M2244" i="105"/>
  <c r="L2244" i="105"/>
  <c r="K2244" i="105"/>
  <c r="AI2243" i="105"/>
  <c r="AH2243" i="105"/>
  <c r="AG2243" i="105"/>
  <c r="X2243" i="105"/>
  <c r="W2243" i="105"/>
  <c r="R2243" i="105"/>
  <c r="Q2243" i="105"/>
  <c r="N2243" i="105"/>
  <c r="M2243" i="105"/>
  <c r="L2243" i="105"/>
  <c r="K2243" i="105"/>
  <c r="AI2242" i="105"/>
  <c r="AH2242" i="105"/>
  <c r="AG2242" i="105"/>
  <c r="X2242" i="105"/>
  <c r="W2242" i="105"/>
  <c r="R2242" i="105"/>
  <c r="Q2242" i="105"/>
  <c r="N2242" i="105"/>
  <c r="M2242" i="105"/>
  <c r="L2242" i="105"/>
  <c r="K2242" i="105"/>
  <c r="AI2241" i="105"/>
  <c r="AG2241" i="105"/>
  <c r="X2241" i="105"/>
  <c r="X2240" i="105" s="1"/>
  <c r="W2241" i="105"/>
  <c r="R2241" i="105"/>
  <c r="R2240" i="105" s="1"/>
  <c r="Q2241" i="105"/>
  <c r="L2241" i="105"/>
  <c r="N2241" i="105" s="1"/>
  <c r="K2241" i="105"/>
  <c r="M2241" i="105" s="1"/>
  <c r="M2240" i="105" s="1"/>
  <c r="A2241" i="105"/>
  <c r="A2242" i="105" s="1"/>
  <c r="A2243" i="105" s="1"/>
  <c r="A2244" i="105" s="1"/>
  <c r="A2245" i="105" s="1"/>
  <c r="A2246" i="105" s="1"/>
  <c r="A2247" i="105" s="1"/>
  <c r="A2248" i="105" s="1"/>
  <c r="A2249" i="105" s="1"/>
  <c r="AH2240" i="105"/>
  <c r="AF2240" i="105"/>
  <c r="U2240" i="105"/>
  <c r="P2240" i="105"/>
  <c r="H2240" i="105"/>
  <c r="AI2239" i="105"/>
  <c r="AH2239" i="105"/>
  <c r="AG2239" i="105"/>
  <c r="X2239" i="105"/>
  <c r="W2239" i="105"/>
  <c r="R2239" i="105"/>
  <c r="Q2239" i="105"/>
  <c r="N2239" i="105"/>
  <c r="M2239" i="105"/>
  <c r="L2239" i="105"/>
  <c r="K2239" i="105"/>
  <c r="AI2238" i="105"/>
  <c r="AH2238" i="105"/>
  <c r="AG2238" i="105"/>
  <c r="X2238" i="105"/>
  <c r="W2238" i="105"/>
  <c r="R2238" i="105"/>
  <c r="Q2238" i="105"/>
  <c r="N2238" i="105"/>
  <c r="M2238" i="105"/>
  <c r="L2238" i="105"/>
  <c r="K2238" i="105"/>
  <c r="AI2237" i="105"/>
  <c r="AH2237" i="105"/>
  <c r="AG2237" i="105"/>
  <c r="X2237" i="105"/>
  <c r="W2237" i="105"/>
  <c r="R2237" i="105"/>
  <c r="Q2237" i="105"/>
  <c r="N2237" i="105"/>
  <c r="M2237" i="105"/>
  <c r="L2237" i="105"/>
  <c r="K2237" i="105"/>
  <c r="AI2236" i="105"/>
  <c r="AH2236" i="105"/>
  <c r="AG2236" i="105"/>
  <c r="X2236" i="105"/>
  <c r="W2236" i="105"/>
  <c r="R2236" i="105"/>
  <c r="Q2236" i="105"/>
  <c r="N2236" i="105"/>
  <c r="M2236" i="105"/>
  <c r="L2236" i="105"/>
  <c r="K2236" i="105"/>
  <c r="AI2235" i="105"/>
  <c r="AH2235" i="105"/>
  <c r="AG2235" i="105"/>
  <c r="X2235" i="105"/>
  <c r="W2235" i="105"/>
  <c r="R2235" i="105"/>
  <c r="Q2235" i="105"/>
  <c r="N2235" i="105"/>
  <c r="M2235" i="105"/>
  <c r="L2235" i="105"/>
  <c r="K2235" i="105"/>
  <c r="AI2234" i="105"/>
  <c r="AH2234" i="105"/>
  <c r="AG2234" i="105"/>
  <c r="X2234" i="105"/>
  <c r="W2234" i="105"/>
  <c r="R2234" i="105"/>
  <c r="Q2234" i="105"/>
  <c r="N2234" i="105"/>
  <c r="M2234" i="105"/>
  <c r="L2234" i="105"/>
  <c r="K2234" i="105"/>
  <c r="AI2233" i="105"/>
  <c r="AH2233" i="105"/>
  <c r="AG2233" i="105"/>
  <c r="X2233" i="105"/>
  <c r="W2233" i="105"/>
  <c r="R2233" i="105"/>
  <c r="Q2233" i="105"/>
  <c r="N2233" i="105"/>
  <c r="M2233" i="105"/>
  <c r="L2233" i="105"/>
  <c r="K2233" i="105"/>
  <c r="AI2232" i="105"/>
  <c r="AH2232" i="105"/>
  <c r="AG2232" i="105"/>
  <c r="X2232" i="105"/>
  <c r="W2232" i="105"/>
  <c r="Q2232" i="105"/>
  <c r="R2232" i="105" s="1"/>
  <c r="N2232" i="105"/>
  <c r="M2232" i="105"/>
  <c r="L2232" i="105"/>
  <c r="K2232" i="105"/>
  <c r="AI2231" i="105"/>
  <c r="AH2231" i="105"/>
  <c r="AG2231" i="105"/>
  <c r="X2231" i="105"/>
  <c r="W2231" i="105"/>
  <c r="Q2231" i="105"/>
  <c r="R2231" i="105" s="1"/>
  <c r="N2231" i="105"/>
  <c r="M2231" i="105"/>
  <c r="L2231" i="105"/>
  <c r="K2231" i="105"/>
  <c r="AI2230" i="105"/>
  <c r="AH2230" i="105"/>
  <c r="AG2230" i="105"/>
  <c r="X2230" i="105"/>
  <c r="W2230" i="105"/>
  <c r="Q2230" i="105"/>
  <c r="R2230" i="105" s="1"/>
  <c r="N2230" i="105"/>
  <c r="M2230" i="105"/>
  <c r="L2230" i="105"/>
  <c r="K2230" i="105"/>
  <c r="AI2229" i="105"/>
  <c r="AH2229" i="105"/>
  <c r="AG2229" i="105"/>
  <c r="X2229" i="105"/>
  <c r="W2229" i="105"/>
  <c r="Q2229" i="105"/>
  <c r="R2229" i="105" s="1"/>
  <c r="N2229" i="105"/>
  <c r="M2229" i="105"/>
  <c r="L2229" i="105"/>
  <c r="K2229" i="105"/>
  <c r="AI2228" i="105"/>
  <c r="AH2228" i="105"/>
  <c r="AG2228" i="105"/>
  <c r="X2228" i="105"/>
  <c r="W2228" i="105"/>
  <c r="Q2228" i="105"/>
  <c r="R2228" i="105" s="1"/>
  <c r="N2228" i="105"/>
  <c r="M2228" i="105"/>
  <c r="L2228" i="105"/>
  <c r="K2228" i="105"/>
  <c r="AI2227" i="105"/>
  <c r="AH2227" i="105"/>
  <c r="AG2227" i="105"/>
  <c r="X2227" i="105"/>
  <c r="W2227" i="105"/>
  <c r="Q2227" i="105"/>
  <c r="R2227" i="105" s="1"/>
  <c r="N2227" i="105"/>
  <c r="M2227" i="105"/>
  <c r="L2227" i="105"/>
  <c r="K2227" i="105"/>
  <c r="AI2226" i="105"/>
  <c r="AH2226" i="105"/>
  <c r="AG2226" i="105"/>
  <c r="W2226" i="105"/>
  <c r="X2226" i="105" s="1"/>
  <c r="Q2226" i="105"/>
  <c r="R2226" i="105" s="1"/>
  <c r="L2226" i="105"/>
  <c r="N2226" i="105" s="1"/>
  <c r="I2226" i="105" s="1"/>
  <c r="K2226" i="105"/>
  <c r="M2226" i="105" s="1"/>
  <c r="A2226" i="105"/>
  <c r="A2227" i="105" s="1"/>
  <c r="A2228" i="105" s="1"/>
  <c r="A2229" i="105" s="1"/>
  <c r="A2230" i="105" s="1"/>
  <c r="A2231" i="105" s="1"/>
  <c r="A2232" i="105" s="1"/>
  <c r="A2233" i="105" s="1"/>
  <c r="A2234" i="105" s="1"/>
  <c r="A2235" i="105" s="1"/>
  <c r="A2236" i="105" s="1"/>
  <c r="A2237" i="105" s="1"/>
  <c r="A2238" i="105" s="1"/>
  <c r="A2239" i="105" s="1"/>
  <c r="AI2225" i="105"/>
  <c r="AG2225" i="105"/>
  <c r="W2225" i="105"/>
  <c r="X2225" i="105" s="1"/>
  <c r="X2224" i="105" s="1"/>
  <c r="Q2225" i="105"/>
  <c r="R2225" i="105" s="1"/>
  <c r="L2225" i="105"/>
  <c r="K2225" i="105"/>
  <c r="H2225" i="105"/>
  <c r="N2225" i="105" s="1"/>
  <c r="A2225" i="105"/>
  <c r="AH2224" i="105"/>
  <c r="AF2224" i="105"/>
  <c r="U2224" i="105"/>
  <c r="P2224" i="105"/>
  <c r="H2224" i="105"/>
  <c r="AI2223" i="105"/>
  <c r="AH2223" i="105"/>
  <c r="AG2223" i="105"/>
  <c r="X2223" i="105"/>
  <c r="W2223" i="105"/>
  <c r="R2223" i="105"/>
  <c r="Q2223" i="105"/>
  <c r="N2223" i="105"/>
  <c r="M2223" i="105"/>
  <c r="L2223" i="105"/>
  <c r="K2223" i="105"/>
  <c r="AI2222" i="105"/>
  <c r="AH2222" i="105"/>
  <c r="AG2222" i="105"/>
  <c r="X2222" i="105"/>
  <c r="W2222" i="105"/>
  <c r="R2222" i="105"/>
  <c r="Q2222" i="105"/>
  <c r="N2222" i="105"/>
  <c r="M2222" i="105"/>
  <c r="L2222" i="105"/>
  <c r="K2222" i="105"/>
  <c r="AI2221" i="105"/>
  <c r="AH2221" i="105"/>
  <c r="AG2221" i="105"/>
  <c r="X2221" i="105"/>
  <c r="W2221" i="105"/>
  <c r="R2221" i="105"/>
  <c r="Q2221" i="105"/>
  <c r="N2221" i="105"/>
  <c r="M2221" i="105"/>
  <c r="L2221" i="105"/>
  <c r="K2221" i="105"/>
  <c r="AI2220" i="105"/>
  <c r="AH2220" i="105"/>
  <c r="AG2220" i="105"/>
  <c r="X2220" i="105"/>
  <c r="W2220" i="105"/>
  <c r="R2220" i="105"/>
  <c r="Q2220" i="105"/>
  <c r="N2220" i="105"/>
  <c r="M2220" i="105"/>
  <c r="L2220" i="105"/>
  <c r="K2220" i="105"/>
  <c r="AI2219" i="105"/>
  <c r="AH2219" i="105"/>
  <c r="AG2219" i="105"/>
  <c r="X2219" i="105"/>
  <c r="W2219" i="105"/>
  <c r="R2219" i="105"/>
  <c r="Q2219" i="105"/>
  <c r="N2219" i="105"/>
  <c r="M2219" i="105"/>
  <c r="L2219" i="105"/>
  <c r="K2219" i="105"/>
  <c r="AI2218" i="105"/>
  <c r="AH2218" i="105"/>
  <c r="AG2218" i="105"/>
  <c r="X2218" i="105"/>
  <c r="W2218" i="105"/>
  <c r="R2218" i="105"/>
  <c r="Q2218" i="105"/>
  <c r="N2218" i="105"/>
  <c r="M2218" i="105"/>
  <c r="L2218" i="105"/>
  <c r="K2218" i="105"/>
  <c r="AI2217" i="105"/>
  <c r="AH2217" i="105"/>
  <c r="AG2217" i="105"/>
  <c r="X2217" i="105"/>
  <c r="W2217" i="105"/>
  <c r="R2217" i="105"/>
  <c r="Q2217" i="105"/>
  <c r="N2217" i="105"/>
  <c r="M2217" i="105"/>
  <c r="L2217" i="105"/>
  <c r="K2217" i="105"/>
  <c r="AI2216" i="105"/>
  <c r="AH2216" i="105"/>
  <c r="AG2216" i="105"/>
  <c r="X2216" i="105"/>
  <c r="W2216" i="105"/>
  <c r="R2216" i="105"/>
  <c r="Q2216" i="105"/>
  <c r="N2216" i="105"/>
  <c r="M2216" i="105"/>
  <c r="L2216" i="105"/>
  <c r="K2216" i="105"/>
  <c r="AI2215" i="105"/>
  <c r="AH2215" i="105"/>
  <c r="AG2215" i="105"/>
  <c r="X2215" i="105"/>
  <c r="W2215" i="105"/>
  <c r="R2215" i="105"/>
  <c r="Q2215" i="105"/>
  <c r="N2215" i="105"/>
  <c r="M2215" i="105"/>
  <c r="L2215" i="105"/>
  <c r="K2215" i="105"/>
  <c r="A2215" i="105"/>
  <c r="A2216" i="105" s="1"/>
  <c r="A2217" i="105" s="1"/>
  <c r="A2218" i="105" s="1"/>
  <c r="A2219" i="105" s="1"/>
  <c r="A2220" i="105" s="1"/>
  <c r="A2221" i="105" s="1"/>
  <c r="A2222" i="105" s="1"/>
  <c r="A2223" i="105" s="1"/>
  <c r="AH2214" i="105"/>
  <c r="AF2214" i="105"/>
  <c r="X2214" i="105"/>
  <c r="U2214" i="105"/>
  <c r="R2214" i="105"/>
  <c r="P2214" i="105"/>
  <c r="N2214" i="105"/>
  <c r="M2214" i="105"/>
  <c r="AI2214" i="105" s="1"/>
  <c r="I2214" i="105"/>
  <c r="H2214" i="105"/>
  <c r="AI2213" i="105"/>
  <c r="AH2213" i="105"/>
  <c r="AG2213" i="105"/>
  <c r="X2213" i="105"/>
  <c r="W2213" i="105"/>
  <c r="R2213" i="105"/>
  <c r="Q2213" i="105"/>
  <c r="N2213" i="105"/>
  <c r="M2213" i="105"/>
  <c r="L2213" i="105"/>
  <c r="K2213" i="105"/>
  <c r="AI2212" i="105"/>
  <c r="AH2212" i="105"/>
  <c r="AG2212" i="105"/>
  <c r="X2212" i="105"/>
  <c r="W2212" i="105"/>
  <c r="R2212" i="105"/>
  <c r="Q2212" i="105"/>
  <c r="N2212" i="105"/>
  <c r="M2212" i="105"/>
  <c r="L2212" i="105"/>
  <c r="K2212" i="105"/>
  <c r="AI2211" i="105"/>
  <c r="AH2211" i="105"/>
  <c r="AG2211" i="105"/>
  <c r="X2211" i="105"/>
  <c r="W2211" i="105"/>
  <c r="R2211" i="105"/>
  <c r="Q2211" i="105"/>
  <c r="N2211" i="105"/>
  <c r="M2211" i="105"/>
  <c r="L2211" i="105"/>
  <c r="K2211" i="105"/>
  <c r="AI2210" i="105"/>
  <c r="AH2210" i="105"/>
  <c r="AG2210" i="105"/>
  <c r="X2210" i="105"/>
  <c r="W2210" i="105"/>
  <c r="R2210" i="105"/>
  <c r="Q2210" i="105"/>
  <c r="N2210" i="105"/>
  <c r="M2210" i="105"/>
  <c r="L2210" i="105"/>
  <c r="K2210" i="105"/>
  <c r="AI2209" i="105"/>
  <c r="AH2209" i="105"/>
  <c r="AG2209" i="105"/>
  <c r="X2209" i="105"/>
  <c r="W2209" i="105"/>
  <c r="R2209" i="105"/>
  <c r="Q2209" i="105"/>
  <c r="N2209" i="105"/>
  <c r="M2209" i="105"/>
  <c r="L2209" i="105"/>
  <c r="K2209" i="105"/>
  <c r="AI2208" i="105"/>
  <c r="AH2208" i="105"/>
  <c r="AG2208" i="105"/>
  <c r="X2208" i="105"/>
  <c r="W2208" i="105"/>
  <c r="Q2208" i="105"/>
  <c r="R2208" i="105" s="1"/>
  <c r="N2208" i="105"/>
  <c r="M2208" i="105"/>
  <c r="L2208" i="105"/>
  <c r="K2208" i="105"/>
  <c r="AI2207" i="105"/>
  <c r="AH2207" i="105"/>
  <c r="AG2207" i="105"/>
  <c r="X2207" i="105"/>
  <c r="W2207" i="105"/>
  <c r="Q2207" i="105"/>
  <c r="R2207" i="105" s="1"/>
  <c r="N2207" i="105"/>
  <c r="M2207" i="105"/>
  <c r="L2207" i="105"/>
  <c r="K2207" i="105"/>
  <c r="AI2206" i="105"/>
  <c r="AH2206" i="105"/>
  <c r="AG2206" i="105"/>
  <c r="X2206" i="105"/>
  <c r="W2206" i="105"/>
  <c r="Q2206" i="105"/>
  <c r="R2206" i="105" s="1"/>
  <c r="N2206" i="105"/>
  <c r="M2206" i="105"/>
  <c r="L2206" i="105"/>
  <c r="K2206" i="105"/>
  <c r="AI2205" i="105"/>
  <c r="AH2205" i="105"/>
  <c r="AG2205" i="105"/>
  <c r="X2205" i="105"/>
  <c r="W2205" i="105"/>
  <c r="Q2205" i="105"/>
  <c r="R2205" i="105" s="1"/>
  <c r="N2205" i="105"/>
  <c r="M2205" i="105"/>
  <c r="L2205" i="105"/>
  <c r="K2205" i="105"/>
  <c r="AI2204" i="105"/>
  <c r="AH2204" i="105"/>
  <c r="AG2204" i="105"/>
  <c r="W2204" i="105"/>
  <c r="X2204" i="105" s="1"/>
  <c r="Q2204" i="105"/>
  <c r="R2204" i="105" s="1"/>
  <c r="N2204" i="105"/>
  <c r="M2204" i="105"/>
  <c r="L2204" i="105"/>
  <c r="K2204" i="105"/>
  <c r="AI2203" i="105"/>
  <c r="AH2203" i="105"/>
  <c r="AG2203" i="105"/>
  <c r="W2203" i="105"/>
  <c r="X2203" i="105" s="1"/>
  <c r="Q2203" i="105"/>
  <c r="R2203" i="105" s="1"/>
  <c r="N2203" i="105"/>
  <c r="M2203" i="105"/>
  <c r="L2203" i="105"/>
  <c r="K2203" i="105"/>
  <c r="AI2202" i="105"/>
  <c r="AH2202" i="105"/>
  <c r="AG2202" i="105"/>
  <c r="W2202" i="105"/>
  <c r="X2202" i="105" s="1"/>
  <c r="Q2202" i="105"/>
  <c r="R2202" i="105" s="1"/>
  <c r="L2202" i="105"/>
  <c r="N2202" i="105" s="1"/>
  <c r="I2202" i="105" s="1"/>
  <c r="K2202" i="105"/>
  <c r="M2202" i="105" s="1"/>
  <c r="A2202" i="105"/>
  <c r="A2203" i="105" s="1"/>
  <c r="A2204" i="105" s="1"/>
  <c r="A2205" i="105" s="1"/>
  <c r="A2206" i="105" s="1"/>
  <c r="A2207" i="105" s="1"/>
  <c r="A2208" i="105" s="1"/>
  <c r="A2209" i="105" s="1"/>
  <c r="A2210" i="105" s="1"/>
  <c r="A2211" i="105" s="1"/>
  <c r="A2212" i="105" s="1"/>
  <c r="A2213" i="105" s="1"/>
  <c r="AI2201" i="105"/>
  <c r="AG2201" i="105"/>
  <c r="W2201" i="105"/>
  <c r="X2201" i="105" s="1"/>
  <c r="Q2201" i="105"/>
  <c r="R2201" i="105" s="1"/>
  <c r="R2200" i="105" s="1"/>
  <c r="L2201" i="105"/>
  <c r="K2201" i="105"/>
  <c r="H2201" i="105"/>
  <c r="N2201" i="105" s="1"/>
  <c r="A2201" i="105"/>
  <c r="AH2200" i="105"/>
  <c r="AF2200" i="105"/>
  <c r="U2200" i="105"/>
  <c r="P2200" i="105"/>
  <c r="H2200" i="105"/>
  <c r="AI2199" i="105"/>
  <c r="AH2199" i="105"/>
  <c r="AG2199" i="105"/>
  <c r="X2199" i="105"/>
  <c r="W2199" i="105"/>
  <c r="R2199" i="105"/>
  <c r="Q2199" i="105"/>
  <c r="N2199" i="105"/>
  <c r="M2199" i="105"/>
  <c r="L2199" i="105"/>
  <c r="K2199" i="105"/>
  <c r="AI2198" i="105"/>
  <c r="AH2198" i="105"/>
  <c r="AG2198" i="105"/>
  <c r="X2198" i="105"/>
  <c r="W2198" i="105"/>
  <c r="R2198" i="105"/>
  <c r="Q2198" i="105"/>
  <c r="N2198" i="105"/>
  <c r="M2198" i="105"/>
  <c r="L2198" i="105"/>
  <c r="K2198" i="105"/>
  <c r="AI2197" i="105"/>
  <c r="AH2197" i="105"/>
  <c r="AG2197" i="105"/>
  <c r="X2197" i="105"/>
  <c r="W2197" i="105"/>
  <c r="R2197" i="105"/>
  <c r="Q2197" i="105"/>
  <c r="N2197" i="105"/>
  <c r="M2197" i="105"/>
  <c r="L2197" i="105"/>
  <c r="K2197" i="105"/>
  <c r="AI2196" i="105"/>
  <c r="AH2196" i="105"/>
  <c r="AG2196" i="105"/>
  <c r="X2196" i="105"/>
  <c r="W2196" i="105"/>
  <c r="R2196" i="105"/>
  <c r="Q2196" i="105"/>
  <c r="N2196" i="105"/>
  <c r="M2196" i="105"/>
  <c r="L2196" i="105"/>
  <c r="K2196" i="105"/>
  <c r="AI2195" i="105"/>
  <c r="AH2195" i="105"/>
  <c r="AG2195" i="105"/>
  <c r="X2195" i="105"/>
  <c r="W2195" i="105"/>
  <c r="R2195" i="105"/>
  <c r="Q2195" i="105"/>
  <c r="N2195" i="105"/>
  <c r="M2195" i="105"/>
  <c r="L2195" i="105"/>
  <c r="K2195" i="105"/>
  <c r="AI2194" i="105"/>
  <c r="AH2194" i="105"/>
  <c r="AG2194" i="105"/>
  <c r="X2194" i="105"/>
  <c r="W2194" i="105"/>
  <c r="R2194" i="105"/>
  <c r="Q2194" i="105"/>
  <c r="N2194" i="105"/>
  <c r="M2194" i="105"/>
  <c r="L2194" i="105"/>
  <c r="K2194" i="105"/>
  <c r="AI2193" i="105"/>
  <c r="AH2193" i="105"/>
  <c r="AG2193" i="105"/>
  <c r="X2193" i="105"/>
  <c r="W2193" i="105"/>
  <c r="R2193" i="105"/>
  <c r="Q2193" i="105"/>
  <c r="N2193" i="105"/>
  <c r="M2193" i="105"/>
  <c r="L2193" i="105"/>
  <c r="K2193" i="105"/>
  <c r="AI2192" i="105"/>
  <c r="AH2192" i="105"/>
  <c r="AG2192" i="105"/>
  <c r="X2192" i="105"/>
  <c r="W2192" i="105"/>
  <c r="R2192" i="105"/>
  <c r="Q2192" i="105"/>
  <c r="N2192" i="105"/>
  <c r="M2192" i="105"/>
  <c r="L2192" i="105"/>
  <c r="K2192" i="105"/>
  <c r="AI2191" i="105"/>
  <c r="AH2191" i="105"/>
  <c r="AG2191" i="105"/>
  <c r="X2191" i="105"/>
  <c r="W2191" i="105"/>
  <c r="R2191" i="105"/>
  <c r="Q2191" i="105"/>
  <c r="N2191" i="105"/>
  <c r="M2191" i="105"/>
  <c r="L2191" i="105"/>
  <c r="K2191" i="105"/>
  <c r="AI2190" i="105"/>
  <c r="AH2190" i="105"/>
  <c r="AG2190" i="105"/>
  <c r="X2190" i="105"/>
  <c r="W2190" i="105"/>
  <c r="R2190" i="105"/>
  <c r="Q2190" i="105"/>
  <c r="N2190" i="105"/>
  <c r="M2190" i="105"/>
  <c r="L2190" i="105"/>
  <c r="K2190" i="105"/>
  <c r="AI2189" i="105"/>
  <c r="AH2189" i="105"/>
  <c r="AG2189" i="105"/>
  <c r="X2189" i="105"/>
  <c r="W2189" i="105"/>
  <c r="R2189" i="105"/>
  <c r="Q2189" i="105"/>
  <c r="N2189" i="105"/>
  <c r="M2189" i="105"/>
  <c r="L2189" i="105"/>
  <c r="K2189" i="105"/>
  <c r="AI2188" i="105"/>
  <c r="AH2188" i="105"/>
  <c r="AG2188" i="105"/>
  <c r="X2188" i="105"/>
  <c r="W2188" i="105"/>
  <c r="R2188" i="105"/>
  <c r="Q2188" i="105"/>
  <c r="N2188" i="105"/>
  <c r="M2188" i="105"/>
  <c r="L2188" i="105"/>
  <c r="K2188" i="105"/>
  <c r="AI2187" i="105"/>
  <c r="AH2187" i="105"/>
  <c r="AG2187" i="105"/>
  <c r="X2187" i="105"/>
  <c r="W2187" i="105"/>
  <c r="R2187" i="105"/>
  <c r="Q2187" i="105"/>
  <c r="N2187" i="105"/>
  <c r="M2187" i="105"/>
  <c r="L2187" i="105"/>
  <c r="K2187" i="105"/>
  <c r="AI2186" i="105"/>
  <c r="AH2186" i="105"/>
  <c r="AG2186" i="105"/>
  <c r="X2186" i="105"/>
  <c r="W2186" i="105"/>
  <c r="R2186" i="105"/>
  <c r="Q2186" i="105"/>
  <c r="N2186" i="105"/>
  <c r="M2186" i="105"/>
  <c r="L2186" i="105"/>
  <c r="K2186" i="105"/>
  <c r="AI2185" i="105"/>
  <c r="AH2185" i="105"/>
  <c r="AG2185" i="105"/>
  <c r="X2185" i="105"/>
  <c r="W2185" i="105"/>
  <c r="R2185" i="105"/>
  <c r="Q2185" i="105"/>
  <c r="N2185" i="105"/>
  <c r="M2185" i="105"/>
  <c r="L2185" i="105"/>
  <c r="K2185" i="105"/>
  <c r="AI2184" i="105"/>
  <c r="AH2184" i="105"/>
  <c r="AG2184" i="105"/>
  <c r="X2184" i="105"/>
  <c r="W2184" i="105"/>
  <c r="R2184" i="105"/>
  <c r="Q2184" i="105"/>
  <c r="N2184" i="105"/>
  <c r="M2184" i="105"/>
  <c r="L2184" i="105"/>
  <c r="K2184" i="105"/>
  <c r="AI2183" i="105"/>
  <c r="AH2183" i="105"/>
  <c r="AG2183" i="105"/>
  <c r="X2183" i="105"/>
  <c r="W2183" i="105"/>
  <c r="R2183" i="105"/>
  <c r="Q2183" i="105"/>
  <c r="N2183" i="105"/>
  <c r="M2183" i="105"/>
  <c r="L2183" i="105"/>
  <c r="K2183" i="105"/>
  <c r="AI2182" i="105"/>
  <c r="AH2182" i="105"/>
  <c r="AG2182" i="105"/>
  <c r="X2182" i="105"/>
  <c r="W2182" i="105"/>
  <c r="R2182" i="105"/>
  <c r="Q2182" i="105"/>
  <c r="N2182" i="105"/>
  <c r="M2182" i="105"/>
  <c r="L2182" i="105"/>
  <c r="K2182" i="105"/>
  <c r="AI2181" i="105"/>
  <c r="AH2181" i="105"/>
  <c r="AG2181" i="105"/>
  <c r="X2181" i="105"/>
  <c r="W2181" i="105"/>
  <c r="R2181" i="105"/>
  <c r="Q2181" i="105"/>
  <c r="N2181" i="105"/>
  <c r="M2181" i="105"/>
  <c r="L2181" i="105"/>
  <c r="K2181" i="105"/>
  <c r="AI2180" i="105"/>
  <c r="AH2180" i="105"/>
  <c r="AG2180" i="105"/>
  <c r="X2180" i="105"/>
  <c r="W2180" i="105"/>
  <c r="R2180" i="105"/>
  <c r="Q2180" i="105"/>
  <c r="N2180" i="105"/>
  <c r="M2180" i="105"/>
  <c r="L2180" i="105"/>
  <c r="K2180" i="105"/>
  <c r="AI2179" i="105"/>
  <c r="AH2179" i="105"/>
  <c r="AG2179" i="105"/>
  <c r="X2179" i="105"/>
  <c r="W2179" i="105"/>
  <c r="R2179" i="105"/>
  <c r="Q2179" i="105"/>
  <c r="N2179" i="105"/>
  <c r="M2179" i="105"/>
  <c r="L2179" i="105"/>
  <c r="K2179" i="105"/>
  <c r="A2179" i="105"/>
  <c r="A2180" i="105" s="1"/>
  <c r="A2181" i="105" s="1"/>
  <c r="A2182" i="105" s="1"/>
  <c r="A2183" i="105" s="1"/>
  <c r="A2184" i="105" s="1"/>
  <c r="A2185" i="105" s="1"/>
  <c r="A2186" i="105" s="1"/>
  <c r="A2187" i="105" s="1"/>
  <c r="A2188" i="105" s="1"/>
  <c r="A2189" i="105" s="1"/>
  <c r="A2190" i="105" s="1"/>
  <c r="A2191" i="105" s="1"/>
  <c r="A2192" i="105" s="1"/>
  <c r="A2193" i="105" s="1"/>
  <c r="A2194" i="105" s="1"/>
  <c r="A2195" i="105" s="1"/>
  <c r="A2196" i="105" s="1"/>
  <c r="A2197" i="105" s="1"/>
  <c r="A2198" i="105" s="1"/>
  <c r="A2199" i="105" s="1"/>
  <c r="AI2178" i="105"/>
  <c r="AH2178" i="105"/>
  <c r="AG2178" i="105"/>
  <c r="X2178" i="105"/>
  <c r="W2178" i="105"/>
  <c r="R2178" i="105"/>
  <c r="Q2178" i="105"/>
  <c r="N2178" i="105"/>
  <c r="I2178" i="105" s="1"/>
  <c r="L2178" i="105"/>
  <c r="K2178" i="105"/>
  <c r="M2178" i="105" s="1"/>
  <c r="AI2177" i="105"/>
  <c r="AG2177" i="105"/>
  <c r="X2177" i="105"/>
  <c r="W2177" i="105"/>
  <c r="R2177" i="105"/>
  <c r="Q2177" i="105"/>
  <c r="N2177" i="105"/>
  <c r="I2177" i="105" s="1"/>
  <c r="L2177" i="105"/>
  <c r="K2177" i="105"/>
  <c r="H2177" i="105"/>
  <c r="M2177" i="105" s="1"/>
  <c r="M2176" i="105" s="1"/>
  <c r="A2177" i="105"/>
  <c r="A2178" i="105" s="1"/>
  <c r="AH2176" i="105"/>
  <c r="AF2176" i="105"/>
  <c r="X2176" i="105"/>
  <c r="U2176" i="105"/>
  <c r="R2176" i="105"/>
  <c r="P2176" i="105"/>
  <c r="N2176" i="105"/>
  <c r="H2176" i="105"/>
  <c r="AI2175" i="105"/>
  <c r="AH2175" i="105"/>
  <c r="AG2175" i="105"/>
  <c r="X2175" i="105"/>
  <c r="W2175" i="105"/>
  <c r="R2175" i="105"/>
  <c r="Q2175" i="105"/>
  <c r="N2175" i="105"/>
  <c r="M2175" i="105"/>
  <c r="L2175" i="105"/>
  <c r="K2175" i="105"/>
  <c r="AI2174" i="105"/>
  <c r="AH2174" i="105"/>
  <c r="AG2174" i="105"/>
  <c r="X2174" i="105"/>
  <c r="W2174" i="105"/>
  <c r="R2174" i="105"/>
  <c r="Q2174" i="105"/>
  <c r="N2174" i="105"/>
  <c r="M2174" i="105"/>
  <c r="L2174" i="105"/>
  <c r="K2174" i="105"/>
  <c r="AI2173" i="105"/>
  <c r="AH2173" i="105"/>
  <c r="AG2173" i="105"/>
  <c r="X2173" i="105"/>
  <c r="W2173" i="105"/>
  <c r="R2173" i="105"/>
  <c r="Q2173" i="105"/>
  <c r="N2173" i="105"/>
  <c r="M2173" i="105"/>
  <c r="L2173" i="105"/>
  <c r="K2173" i="105"/>
  <c r="AI2172" i="105"/>
  <c r="AH2172" i="105"/>
  <c r="AG2172" i="105"/>
  <c r="X2172" i="105"/>
  <c r="W2172" i="105"/>
  <c r="R2172" i="105"/>
  <c r="Q2172" i="105"/>
  <c r="N2172" i="105"/>
  <c r="M2172" i="105"/>
  <c r="L2172" i="105"/>
  <c r="K2172" i="105"/>
  <c r="AI2171" i="105"/>
  <c r="AH2171" i="105"/>
  <c r="AG2171" i="105"/>
  <c r="X2171" i="105"/>
  <c r="W2171" i="105"/>
  <c r="Q2171" i="105"/>
  <c r="R2171" i="105" s="1"/>
  <c r="N2171" i="105"/>
  <c r="M2171" i="105"/>
  <c r="L2171" i="105"/>
  <c r="K2171" i="105"/>
  <c r="AI2170" i="105"/>
  <c r="AH2170" i="105"/>
  <c r="AG2170" i="105"/>
  <c r="W2170" i="105"/>
  <c r="X2170" i="105" s="1"/>
  <c r="Q2170" i="105"/>
  <c r="R2170" i="105" s="1"/>
  <c r="N2170" i="105"/>
  <c r="M2170" i="105"/>
  <c r="L2170" i="105"/>
  <c r="K2170" i="105"/>
  <c r="AI2169" i="105"/>
  <c r="AH2169" i="105"/>
  <c r="AG2169" i="105"/>
  <c r="W2169" i="105"/>
  <c r="X2169" i="105" s="1"/>
  <c r="Q2169" i="105"/>
  <c r="R2169" i="105" s="1"/>
  <c r="N2169" i="105"/>
  <c r="M2169" i="105"/>
  <c r="L2169" i="105"/>
  <c r="K2169" i="105"/>
  <c r="AI2168" i="105"/>
  <c r="AH2168" i="105"/>
  <c r="AG2168" i="105"/>
  <c r="W2168" i="105"/>
  <c r="X2168" i="105" s="1"/>
  <c r="Q2168" i="105"/>
  <c r="R2168" i="105" s="1"/>
  <c r="N2168" i="105"/>
  <c r="M2168" i="105"/>
  <c r="L2168" i="105"/>
  <c r="K2168" i="105"/>
  <c r="AI2167" i="105"/>
  <c r="AH2167" i="105"/>
  <c r="AG2167" i="105"/>
  <c r="W2167" i="105"/>
  <c r="X2167" i="105" s="1"/>
  <c r="Q2167" i="105"/>
  <c r="R2167" i="105" s="1"/>
  <c r="N2167" i="105"/>
  <c r="M2167" i="105"/>
  <c r="L2167" i="105"/>
  <c r="K2167" i="105"/>
  <c r="AI2166" i="105"/>
  <c r="AH2166" i="105"/>
  <c r="AG2166" i="105"/>
  <c r="W2166" i="105"/>
  <c r="X2166" i="105" s="1"/>
  <c r="Q2166" i="105"/>
  <c r="R2166" i="105" s="1"/>
  <c r="N2166" i="105"/>
  <c r="M2166" i="105"/>
  <c r="L2166" i="105"/>
  <c r="K2166" i="105"/>
  <c r="AI2165" i="105"/>
  <c r="AH2165" i="105"/>
  <c r="AG2165" i="105"/>
  <c r="W2165" i="105"/>
  <c r="X2165" i="105" s="1"/>
  <c r="Q2165" i="105"/>
  <c r="R2165" i="105" s="1"/>
  <c r="N2165" i="105"/>
  <c r="M2165" i="105"/>
  <c r="L2165" i="105"/>
  <c r="K2165" i="105"/>
  <c r="AI2164" i="105"/>
  <c r="AH2164" i="105"/>
  <c r="AG2164" i="105"/>
  <c r="W2164" i="105"/>
  <c r="X2164" i="105" s="1"/>
  <c r="Q2164" i="105"/>
  <c r="R2164" i="105" s="1"/>
  <c r="N2164" i="105"/>
  <c r="M2164" i="105"/>
  <c r="L2164" i="105"/>
  <c r="K2164" i="105"/>
  <c r="AI2163" i="105"/>
  <c r="AH2163" i="105"/>
  <c r="AG2163" i="105"/>
  <c r="W2163" i="105"/>
  <c r="X2163" i="105" s="1"/>
  <c r="Q2163" i="105"/>
  <c r="R2163" i="105" s="1"/>
  <c r="N2163" i="105"/>
  <c r="M2163" i="105"/>
  <c r="L2163" i="105"/>
  <c r="K2163" i="105"/>
  <c r="AI2162" i="105"/>
  <c r="AH2162" i="105"/>
  <c r="AG2162" i="105"/>
  <c r="W2162" i="105"/>
  <c r="X2162" i="105" s="1"/>
  <c r="Q2162" i="105"/>
  <c r="R2162" i="105" s="1"/>
  <c r="N2162" i="105"/>
  <c r="M2162" i="105"/>
  <c r="L2162" i="105"/>
  <c r="K2162" i="105"/>
  <c r="AI2161" i="105"/>
  <c r="AH2161" i="105"/>
  <c r="AG2161" i="105"/>
  <c r="W2161" i="105"/>
  <c r="X2161" i="105" s="1"/>
  <c r="Q2161" i="105"/>
  <c r="R2161" i="105" s="1"/>
  <c r="L2161" i="105"/>
  <c r="N2161" i="105" s="1"/>
  <c r="I2161" i="105" s="1"/>
  <c r="K2161" i="105"/>
  <c r="M2161" i="105" s="1"/>
  <c r="A2161" i="105"/>
  <c r="A2162" i="105" s="1"/>
  <c r="A2163" i="105" s="1"/>
  <c r="A2164" i="105" s="1"/>
  <c r="A2165" i="105" s="1"/>
  <c r="A2166" i="105" s="1"/>
  <c r="A2167" i="105" s="1"/>
  <c r="A2168" i="105" s="1"/>
  <c r="A2169" i="105" s="1"/>
  <c r="A2170" i="105" s="1"/>
  <c r="A2171" i="105" s="1"/>
  <c r="A2172" i="105" s="1"/>
  <c r="A2173" i="105" s="1"/>
  <c r="A2174" i="105" s="1"/>
  <c r="A2175" i="105" s="1"/>
  <c r="AI2160" i="105"/>
  <c r="AG2160" i="105"/>
  <c r="W2160" i="105"/>
  <c r="X2160" i="105" s="1"/>
  <c r="Q2160" i="105"/>
  <c r="R2160" i="105" s="1"/>
  <c r="L2160" i="105"/>
  <c r="K2160" i="105"/>
  <c r="H2160" i="105"/>
  <c r="A2160" i="105"/>
  <c r="AH2159" i="105"/>
  <c r="AF2159" i="105"/>
  <c r="U2159" i="105"/>
  <c r="P2159" i="105"/>
  <c r="AI2158" i="105"/>
  <c r="AH2158" i="105"/>
  <c r="AG2158" i="105"/>
  <c r="X2158" i="105"/>
  <c r="W2158" i="105"/>
  <c r="R2158" i="105"/>
  <c r="Q2158" i="105"/>
  <c r="N2158" i="105"/>
  <c r="M2158" i="105"/>
  <c r="L2158" i="105"/>
  <c r="K2158" i="105"/>
  <c r="AI2157" i="105"/>
  <c r="AH2157" i="105"/>
  <c r="AG2157" i="105"/>
  <c r="X2157" i="105"/>
  <c r="W2157" i="105"/>
  <c r="R2157" i="105"/>
  <c r="Q2157" i="105"/>
  <c r="N2157" i="105"/>
  <c r="M2157" i="105"/>
  <c r="L2157" i="105"/>
  <c r="K2157" i="105"/>
  <c r="AI2156" i="105"/>
  <c r="AH2156" i="105"/>
  <c r="AG2156" i="105"/>
  <c r="X2156" i="105"/>
  <c r="W2156" i="105"/>
  <c r="R2156" i="105"/>
  <c r="Q2156" i="105"/>
  <c r="N2156" i="105"/>
  <c r="M2156" i="105"/>
  <c r="L2156" i="105"/>
  <c r="K2156" i="105"/>
  <c r="AI2155" i="105"/>
  <c r="AH2155" i="105"/>
  <c r="AG2155" i="105"/>
  <c r="X2155" i="105"/>
  <c r="W2155" i="105"/>
  <c r="R2155" i="105"/>
  <c r="Q2155" i="105"/>
  <c r="N2155" i="105"/>
  <c r="M2155" i="105"/>
  <c r="L2155" i="105"/>
  <c r="K2155" i="105"/>
  <c r="AI2154" i="105"/>
  <c r="AH2154" i="105"/>
  <c r="AG2154" i="105"/>
  <c r="X2154" i="105"/>
  <c r="W2154" i="105"/>
  <c r="R2154" i="105"/>
  <c r="Q2154" i="105"/>
  <c r="N2154" i="105"/>
  <c r="M2154" i="105"/>
  <c r="L2154" i="105"/>
  <c r="K2154" i="105"/>
  <c r="AI2153" i="105"/>
  <c r="AH2153" i="105"/>
  <c r="AG2153" i="105"/>
  <c r="X2153" i="105"/>
  <c r="W2153" i="105"/>
  <c r="R2153" i="105"/>
  <c r="Q2153" i="105"/>
  <c r="N2153" i="105"/>
  <c r="M2153" i="105"/>
  <c r="L2153" i="105"/>
  <c r="K2153" i="105"/>
  <c r="AI2152" i="105"/>
  <c r="AH2152" i="105"/>
  <c r="AG2152" i="105"/>
  <c r="X2152" i="105"/>
  <c r="W2152" i="105"/>
  <c r="R2152" i="105"/>
  <c r="Q2152" i="105"/>
  <c r="N2152" i="105"/>
  <c r="M2152" i="105"/>
  <c r="L2152" i="105"/>
  <c r="K2152" i="105"/>
  <c r="AI2151" i="105"/>
  <c r="AH2151" i="105"/>
  <c r="AG2151" i="105"/>
  <c r="X2151" i="105"/>
  <c r="W2151" i="105"/>
  <c r="R2151" i="105"/>
  <c r="Q2151" i="105"/>
  <c r="N2151" i="105"/>
  <c r="M2151" i="105"/>
  <c r="L2151" i="105"/>
  <c r="K2151" i="105"/>
  <c r="AI2150" i="105"/>
  <c r="AH2150" i="105"/>
  <c r="AG2150" i="105"/>
  <c r="X2150" i="105"/>
  <c r="W2150" i="105"/>
  <c r="R2150" i="105"/>
  <c r="Q2150" i="105"/>
  <c r="N2150" i="105"/>
  <c r="M2150" i="105"/>
  <c r="L2150" i="105"/>
  <c r="K2150" i="105"/>
  <c r="AI2149" i="105"/>
  <c r="AH2149" i="105"/>
  <c r="AG2149" i="105"/>
  <c r="X2149" i="105"/>
  <c r="W2149" i="105"/>
  <c r="R2149" i="105"/>
  <c r="Q2149" i="105"/>
  <c r="N2149" i="105"/>
  <c r="M2149" i="105"/>
  <c r="L2149" i="105"/>
  <c r="K2149" i="105"/>
  <c r="AI2148" i="105"/>
  <c r="AH2148" i="105"/>
  <c r="AG2148" i="105"/>
  <c r="X2148" i="105"/>
  <c r="W2148" i="105"/>
  <c r="R2148" i="105"/>
  <c r="Q2148" i="105"/>
  <c r="N2148" i="105"/>
  <c r="M2148" i="105"/>
  <c r="L2148" i="105"/>
  <c r="K2148" i="105"/>
  <c r="AI2147" i="105"/>
  <c r="AH2147" i="105"/>
  <c r="AG2147" i="105"/>
  <c r="X2147" i="105"/>
  <c r="W2147" i="105"/>
  <c r="R2147" i="105"/>
  <c r="Q2147" i="105"/>
  <c r="N2147" i="105"/>
  <c r="I2147" i="105" s="1"/>
  <c r="L2147" i="105"/>
  <c r="K2147" i="105"/>
  <c r="M2147" i="105" s="1"/>
  <c r="AI2146" i="105"/>
  <c r="W2146" i="105"/>
  <c r="X2146" i="105" s="1"/>
  <c r="R2146" i="105"/>
  <c r="Q2146" i="105"/>
  <c r="L2146" i="105"/>
  <c r="K2146" i="105"/>
  <c r="M2146" i="105" s="1"/>
  <c r="M2145" i="105" s="1"/>
  <c r="AI2145" i="105" s="1"/>
  <c r="H2146" i="105"/>
  <c r="N2146" i="105" s="1"/>
  <c r="I2146" i="105" s="1"/>
  <c r="A2146" i="105"/>
  <c r="A2147" i="105" s="1"/>
  <c r="A2148" i="105" s="1"/>
  <c r="A2149" i="105" s="1"/>
  <c r="A2150" i="105" s="1"/>
  <c r="A2151" i="105" s="1"/>
  <c r="A2152" i="105" s="1"/>
  <c r="A2153" i="105" s="1"/>
  <c r="A2154" i="105" s="1"/>
  <c r="A2155" i="105" s="1"/>
  <c r="A2156" i="105" s="1"/>
  <c r="A2157" i="105" s="1"/>
  <c r="A2158" i="105" s="1"/>
  <c r="AH2145" i="105"/>
  <c r="AF2145" i="105"/>
  <c r="X2145" i="105"/>
  <c r="U2145" i="105"/>
  <c r="R2145" i="105"/>
  <c r="P2145" i="105"/>
  <c r="N2145" i="105"/>
  <c r="I2145" i="105"/>
  <c r="H2145" i="105"/>
  <c r="AI2144" i="105"/>
  <c r="AH2144" i="105"/>
  <c r="AG2144" i="105"/>
  <c r="X2144" i="105"/>
  <c r="W2144" i="105"/>
  <c r="R2144" i="105"/>
  <c r="Q2144" i="105"/>
  <c r="N2144" i="105"/>
  <c r="M2144" i="105"/>
  <c r="L2144" i="105"/>
  <c r="K2144" i="105"/>
  <c r="AI2143" i="105"/>
  <c r="AH2143" i="105"/>
  <c r="AG2143" i="105"/>
  <c r="X2143" i="105"/>
  <c r="W2143" i="105"/>
  <c r="R2143" i="105"/>
  <c r="Q2143" i="105"/>
  <c r="N2143" i="105"/>
  <c r="M2143" i="105"/>
  <c r="L2143" i="105"/>
  <c r="K2143" i="105"/>
  <c r="AI2142" i="105"/>
  <c r="AH2142" i="105"/>
  <c r="AG2142" i="105"/>
  <c r="X2142" i="105"/>
  <c r="W2142" i="105"/>
  <c r="R2142" i="105"/>
  <c r="Q2142" i="105"/>
  <c r="N2142" i="105"/>
  <c r="M2142" i="105"/>
  <c r="L2142" i="105"/>
  <c r="K2142" i="105"/>
  <c r="AI2141" i="105"/>
  <c r="AH2141" i="105"/>
  <c r="AG2141" i="105"/>
  <c r="X2141" i="105"/>
  <c r="W2141" i="105"/>
  <c r="R2141" i="105"/>
  <c r="Q2141" i="105"/>
  <c r="N2141" i="105"/>
  <c r="M2141" i="105"/>
  <c r="L2141" i="105"/>
  <c r="K2141" i="105"/>
  <c r="AI2140" i="105"/>
  <c r="AH2140" i="105"/>
  <c r="AG2140" i="105"/>
  <c r="X2140" i="105"/>
  <c r="W2140" i="105"/>
  <c r="R2140" i="105"/>
  <c r="Q2140" i="105"/>
  <c r="N2140" i="105"/>
  <c r="M2140" i="105"/>
  <c r="L2140" i="105"/>
  <c r="K2140" i="105"/>
  <c r="AI2139" i="105"/>
  <c r="AH2139" i="105"/>
  <c r="AG2139" i="105"/>
  <c r="X2139" i="105"/>
  <c r="W2139" i="105"/>
  <c r="R2139" i="105"/>
  <c r="Q2139" i="105"/>
  <c r="N2139" i="105"/>
  <c r="M2139" i="105"/>
  <c r="L2139" i="105"/>
  <c r="K2139" i="105"/>
  <c r="AI2138" i="105"/>
  <c r="AH2138" i="105"/>
  <c r="AG2138" i="105"/>
  <c r="W2138" i="105"/>
  <c r="X2138" i="105" s="1"/>
  <c r="X2137" i="105" s="1"/>
  <c r="R2138" i="105"/>
  <c r="Q2138" i="105"/>
  <c r="N2138" i="105"/>
  <c r="M2138" i="105"/>
  <c r="M2137" i="105" s="1"/>
  <c r="AI2137" i="105" s="1"/>
  <c r="L2138" i="105"/>
  <c r="K2138" i="105"/>
  <c r="A2138" i="105"/>
  <c r="A2139" i="105" s="1"/>
  <c r="A2140" i="105" s="1"/>
  <c r="A2141" i="105" s="1"/>
  <c r="A2142" i="105" s="1"/>
  <c r="A2143" i="105" s="1"/>
  <c r="A2144" i="105" s="1"/>
  <c r="AH2137" i="105"/>
  <c r="AF2137" i="105"/>
  <c r="U2137" i="105"/>
  <c r="R2137" i="105"/>
  <c r="P2137" i="105"/>
  <c r="N2137" i="105"/>
  <c r="I2137" i="105"/>
  <c r="H2137" i="105"/>
  <c r="AI2136" i="105"/>
  <c r="AH2136" i="105"/>
  <c r="AG2136" i="105"/>
  <c r="X2136" i="105"/>
  <c r="W2136" i="105"/>
  <c r="R2136" i="105"/>
  <c r="Q2136" i="105"/>
  <c r="N2136" i="105"/>
  <c r="M2136" i="105"/>
  <c r="L2136" i="105"/>
  <c r="K2136" i="105"/>
  <c r="AI2135" i="105"/>
  <c r="AH2135" i="105"/>
  <c r="AG2135" i="105"/>
  <c r="X2135" i="105"/>
  <c r="W2135" i="105"/>
  <c r="R2135" i="105"/>
  <c r="Q2135" i="105"/>
  <c r="N2135" i="105"/>
  <c r="M2135" i="105"/>
  <c r="L2135" i="105"/>
  <c r="K2135" i="105"/>
  <c r="AI2134" i="105"/>
  <c r="AH2134" i="105"/>
  <c r="AG2134" i="105"/>
  <c r="X2134" i="105"/>
  <c r="W2134" i="105"/>
  <c r="R2134" i="105"/>
  <c r="Q2134" i="105"/>
  <c r="N2134" i="105"/>
  <c r="M2134" i="105"/>
  <c r="L2134" i="105"/>
  <c r="K2134" i="105"/>
  <c r="AI2133" i="105"/>
  <c r="AH2133" i="105"/>
  <c r="AG2133" i="105"/>
  <c r="X2133" i="105"/>
  <c r="W2133" i="105"/>
  <c r="R2133" i="105"/>
  <c r="Q2133" i="105"/>
  <c r="N2133" i="105"/>
  <c r="M2133" i="105"/>
  <c r="L2133" i="105"/>
  <c r="K2133" i="105"/>
  <c r="AI2132" i="105"/>
  <c r="AH2132" i="105"/>
  <c r="AG2132" i="105"/>
  <c r="X2132" i="105"/>
  <c r="W2132" i="105"/>
  <c r="R2132" i="105"/>
  <c r="Q2132" i="105"/>
  <c r="N2132" i="105"/>
  <c r="M2132" i="105"/>
  <c r="L2132" i="105"/>
  <c r="K2132" i="105"/>
  <c r="AI2131" i="105"/>
  <c r="AH2131" i="105"/>
  <c r="AG2131" i="105"/>
  <c r="X2131" i="105"/>
  <c r="W2131" i="105"/>
  <c r="R2131" i="105"/>
  <c r="Q2131" i="105"/>
  <c r="N2131" i="105"/>
  <c r="M2131" i="105"/>
  <c r="L2131" i="105"/>
  <c r="K2131" i="105"/>
  <c r="A2131" i="105"/>
  <c r="A2132" i="105" s="1"/>
  <c r="A2133" i="105" s="1"/>
  <c r="A2134" i="105" s="1"/>
  <c r="A2135" i="105" s="1"/>
  <c r="A2136" i="105" s="1"/>
  <c r="AH2130" i="105"/>
  <c r="AF2130" i="105"/>
  <c r="X2130" i="105"/>
  <c r="U2130" i="105"/>
  <c r="R2130" i="105"/>
  <c r="P2130" i="105"/>
  <c r="N2130" i="105"/>
  <c r="M2130" i="105"/>
  <c r="I2130" i="105"/>
  <c r="H2130" i="105"/>
  <c r="AI2129" i="105"/>
  <c r="AH2129" i="105"/>
  <c r="AG2129" i="105"/>
  <c r="X2129" i="105"/>
  <c r="W2129" i="105"/>
  <c r="R2129" i="105"/>
  <c r="Q2129" i="105"/>
  <c r="N2129" i="105"/>
  <c r="M2129" i="105"/>
  <c r="L2129" i="105"/>
  <c r="K2129" i="105"/>
  <c r="AI2128" i="105"/>
  <c r="AH2128" i="105"/>
  <c r="AG2128" i="105"/>
  <c r="X2128" i="105"/>
  <c r="W2128" i="105"/>
  <c r="R2128" i="105"/>
  <c r="Q2128" i="105"/>
  <c r="N2128" i="105"/>
  <c r="M2128" i="105"/>
  <c r="L2128" i="105"/>
  <c r="K2128" i="105"/>
  <c r="AI2127" i="105"/>
  <c r="AH2127" i="105"/>
  <c r="AG2127" i="105"/>
  <c r="X2127" i="105"/>
  <c r="W2127" i="105"/>
  <c r="R2127" i="105"/>
  <c r="Q2127" i="105"/>
  <c r="N2127" i="105"/>
  <c r="M2127" i="105"/>
  <c r="L2127" i="105"/>
  <c r="K2127" i="105"/>
  <c r="AI2126" i="105"/>
  <c r="AH2126" i="105"/>
  <c r="AG2126" i="105"/>
  <c r="X2126" i="105"/>
  <c r="W2126" i="105"/>
  <c r="R2126" i="105"/>
  <c r="Q2126" i="105"/>
  <c r="N2126" i="105"/>
  <c r="M2126" i="105"/>
  <c r="L2126" i="105"/>
  <c r="K2126" i="105"/>
  <c r="AI2125" i="105"/>
  <c r="AH2125" i="105"/>
  <c r="AG2125" i="105"/>
  <c r="X2125" i="105"/>
  <c r="W2125" i="105"/>
  <c r="Q2125" i="105"/>
  <c r="R2125" i="105" s="1"/>
  <c r="N2125" i="105"/>
  <c r="M2125" i="105"/>
  <c r="L2125" i="105"/>
  <c r="K2125" i="105"/>
  <c r="AI2124" i="105"/>
  <c r="AH2124" i="105"/>
  <c r="AG2124" i="105"/>
  <c r="X2124" i="105"/>
  <c r="W2124" i="105"/>
  <c r="Q2124" i="105"/>
  <c r="R2124" i="105" s="1"/>
  <c r="N2124" i="105"/>
  <c r="M2124" i="105"/>
  <c r="L2124" i="105"/>
  <c r="K2124" i="105"/>
  <c r="AI2123" i="105"/>
  <c r="AH2123" i="105"/>
  <c r="AG2123" i="105"/>
  <c r="X2123" i="105"/>
  <c r="W2123" i="105"/>
  <c r="Q2123" i="105"/>
  <c r="R2123" i="105" s="1"/>
  <c r="N2123" i="105"/>
  <c r="M2123" i="105"/>
  <c r="L2123" i="105"/>
  <c r="K2123" i="105"/>
  <c r="AI2122" i="105"/>
  <c r="AH2122" i="105"/>
  <c r="AG2122" i="105"/>
  <c r="X2122" i="105"/>
  <c r="W2122" i="105"/>
  <c r="Q2122" i="105"/>
  <c r="R2122" i="105" s="1"/>
  <c r="N2122" i="105"/>
  <c r="M2122" i="105"/>
  <c r="L2122" i="105"/>
  <c r="K2122" i="105"/>
  <c r="AI2121" i="105"/>
  <c r="AH2121" i="105"/>
  <c r="AG2121" i="105"/>
  <c r="X2121" i="105"/>
  <c r="W2121" i="105"/>
  <c r="Q2121" i="105"/>
  <c r="R2121" i="105" s="1"/>
  <c r="N2121" i="105"/>
  <c r="M2121" i="105"/>
  <c r="L2121" i="105"/>
  <c r="K2121" i="105"/>
  <c r="AI2120" i="105"/>
  <c r="AH2120" i="105"/>
  <c r="AG2120" i="105"/>
  <c r="X2120" i="105"/>
  <c r="W2120" i="105"/>
  <c r="Q2120" i="105"/>
  <c r="R2120" i="105" s="1"/>
  <c r="N2120" i="105"/>
  <c r="M2120" i="105"/>
  <c r="L2120" i="105"/>
  <c r="K2120" i="105"/>
  <c r="AI2119" i="105"/>
  <c r="AH2119" i="105"/>
  <c r="AG2119" i="105"/>
  <c r="X2119" i="105"/>
  <c r="W2119" i="105"/>
  <c r="Q2119" i="105"/>
  <c r="R2119" i="105" s="1"/>
  <c r="N2119" i="105"/>
  <c r="M2119" i="105"/>
  <c r="L2119" i="105"/>
  <c r="K2119" i="105"/>
  <c r="AI2118" i="105"/>
  <c r="AH2118" i="105"/>
  <c r="AG2118" i="105"/>
  <c r="X2118" i="105"/>
  <c r="W2118" i="105"/>
  <c r="Q2118" i="105"/>
  <c r="R2118" i="105" s="1"/>
  <c r="N2118" i="105"/>
  <c r="M2118" i="105"/>
  <c r="L2118" i="105"/>
  <c r="K2118" i="105"/>
  <c r="AI2117" i="105"/>
  <c r="AH2117" i="105"/>
  <c r="AG2117" i="105"/>
  <c r="X2117" i="105"/>
  <c r="W2117" i="105"/>
  <c r="Q2117" i="105"/>
  <c r="R2117" i="105" s="1"/>
  <c r="N2117" i="105"/>
  <c r="M2117" i="105"/>
  <c r="L2117" i="105"/>
  <c r="K2117" i="105"/>
  <c r="AI2116" i="105"/>
  <c r="AH2116" i="105"/>
  <c r="AG2116" i="105"/>
  <c r="X2116" i="105"/>
  <c r="W2116" i="105"/>
  <c r="Q2116" i="105"/>
  <c r="R2116" i="105" s="1"/>
  <c r="N2116" i="105"/>
  <c r="M2116" i="105"/>
  <c r="L2116" i="105"/>
  <c r="K2116" i="105"/>
  <c r="AI2115" i="105"/>
  <c r="AH2115" i="105"/>
  <c r="AG2115" i="105"/>
  <c r="X2115" i="105"/>
  <c r="W2115" i="105"/>
  <c r="Q2115" i="105"/>
  <c r="R2115" i="105" s="1"/>
  <c r="N2115" i="105"/>
  <c r="M2115" i="105"/>
  <c r="L2115" i="105"/>
  <c r="K2115" i="105"/>
  <c r="AI2114" i="105"/>
  <c r="AH2114" i="105"/>
  <c r="AG2114" i="105"/>
  <c r="X2114" i="105"/>
  <c r="W2114" i="105"/>
  <c r="Q2114" i="105"/>
  <c r="R2114" i="105" s="1"/>
  <c r="N2114" i="105"/>
  <c r="M2114" i="105"/>
  <c r="L2114" i="105"/>
  <c r="K2114" i="105"/>
  <c r="AI2113" i="105"/>
  <c r="AH2113" i="105"/>
  <c r="AG2113" i="105"/>
  <c r="X2113" i="105"/>
  <c r="W2113" i="105"/>
  <c r="Q2113" i="105"/>
  <c r="R2113" i="105" s="1"/>
  <c r="N2113" i="105"/>
  <c r="M2113" i="105"/>
  <c r="L2113" i="105"/>
  <c r="K2113" i="105"/>
  <c r="AI2112" i="105"/>
  <c r="AH2112" i="105"/>
  <c r="AG2112" i="105"/>
  <c r="X2112" i="105"/>
  <c r="W2112" i="105"/>
  <c r="Q2112" i="105"/>
  <c r="R2112" i="105" s="1"/>
  <c r="N2112" i="105"/>
  <c r="M2112" i="105"/>
  <c r="L2112" i="105"/>
  <c r="K2112" i="105"/>
  <c r="AI2111" i="105"/>
  <c r="AH2111" i="105"/>
  <c r="AG2111" i="105"/>
  <c r="X2111" i="105"/>
  <c r="W2111" i="105"/>
  <c r="Q2111" i="105"/>
  <c r="R2111" i="105" s="1"/>
  <c r="N2111" i="105"/>
  <c r="M2111" i="105"/>
  <c r="L2111" i="105"/>
  <c r="K2111" i="105"/>
  <c r="AI2110" i="105"/>
  <c r="AH2110" i="105"/>
  <c r="AG2110" i="105"/>
  <c r="X2110" i="105"/>
  <c r="W2110" i="105"/>
  <c r="Q2110" i="105"/>
  <c r="R2110" i="105" s="1"/>
  <c r="N2110" i="105"/>
  <c r="M2110" i="105"/>
  <c r="L2110" i="105"/>
  <c r="K2110" i="105"/>
  <c r="AI2109" i="105"/>
  <c r="AH2109" i="105"/>
  <c r="AG2109" i="105"/>
  <c r="X2109" i="105"/>
  <c r="W2109" i="105"/>
  <c r="Q2109" i="105"/>
  <c r="R2109" i="105" s="1"/>
  <c r="N2109" i="105"/>
  <c r="M2109" i="105"/>
  <c r="L2109" i="105"/>
  <c r="K2109" i="105"/>
  <c r="AI2108" i="105"/>
  <c r="AH2108" i="105"/>
  <c r="AG2108" i="105"/>
  <c r="X2108" i="105"/>
  <c r="W2108" i="105"/>
  <c r="Q2108" i="105"/>
  <c r="R2108" i="105" s="1"/>
  <c r="N2108" i="105"/>
  <c r="M2108" i="105"/>
  <c r="L2108" i="105"/>
  <c r="K2108" i="105"/>
  <c r="AI2107" i="105"/>
  <c r="AH2107" i="105"/>
  <c r="AG2107" i="105"/>
  <c r="X2107" i="105"/>
  <c r="W2107" i="105"/>
  <c r="Q2107" i="105"/>
  <c r="R2107" i="105" s="1"/>
  <c r="N2107" i="105"/>
  <c r="M2107" i="105"/>
  <c r="L2107" i="105"/>
  <c r="K2107" i="105"/>
  <c r="AI2106" i="105"/>
  <c r="AH2106" i="105"/>
  <c r="AG2106" i="105"/>
  <c r="X2106" i="105"/>
  <c r="W2106" i="105"/>
  <c r="Q2106" i="105"/>
  <c r="R2106" i="105" s="1"/>
  <c r="N2106" i="105"/>
  <c r="M2106" i="105"/>
  <c r="L2106" i="105"/>
  <c r="K2106" i="105"/>
  <c r="AI2105" i="105"/>
  <c r="AH2105" i="105"/>
  <c r="AG2105" i="105"/>
  <c r="X2105" i="105"/>
  <c r="W2105" i="105"/>
  <c r="Q2105" i="105"/>
  <c r="R2105" i="105" s="1"/>
  <c r="N2105" i="105"/>
  <c r="M2105" i="105"/>
  <c r="L2105" i="105"/>
  <c r="K2105" i="105"/>
  <c r="AI2104" i="105"/>
  <c r="AH2104" i="105"/>
  <c r="AG2104" i="105"/>
  <c r="X2104" i="105"/>
  <c r="W2104" i="105"/>
  <c r="Q2104" i="105"/>
  <c r="R2104" i="105" s="1"/>
  <c r="N2104" i="105"/>
  <c r="M2104" i="105"/>
  <c r="L2104" i="105"/>
  <c r="K2104" i="105"/>
  <c r="AI2103" i="105"/>
  <c r="AH2103" i="105"/>
  <c r="AG2103" i="105"/>
  <c r="X2103" i="105"/>
  <c r="W2103" i="105"/>
  <c r="Q2103" i="105"/>
  <c r="R2103" i="105" s="1"/>
  <c r="N2103" i="105"/>
  <c r="M2103" i="105"/>
  <c r="L2103" i="105"/>
  <c r="K2103" i="105"/>
  <c r="AI2102" i="105"/>
  <c r="AH2102" i="105"/>
  <c r="AG2102" i="105"/>
  <c r="X2102" i="105"/>
  <c r="W2102" i="105"/>
  <c r="Q2102" i="105"/>
  <c r="R2102" i="105" s="1"/>
  <c r="N2102" i="105"/>
  <c r="M2102" i="105"/>
  <c r="L2102" i="105"/>
  <c r="K2102" i="105"/>
  <c r="AI2101" i="105"/>
  <c r="AH2101" i="105"/>
  <c r="AG2101" i="105"/>
  <c r="X2101" i="105"/>
  <c r="W2101" i="105"/>
  <c r="Q2101" i="105"/>
  <c r="R2101" i="105" s="1"/>
  <c r="N2101" i="105"/>
  <c r="M2101" i="105"/>
  <c r="L2101" i="105"/>
  <c r="K2101" i="105"/>
  <c r="AI2100" i="105"/>
  <c r="AH2100" i="105"/>
  <c r="AG2100" i="105"/>
  <c r="W2100" i="105"/>
  <c r="X2100" i="105" s="1"/>
  <c r="Q2100" i="105"/>
  <c r="R2100" i="105" s="1"/>
  <c r="N2100" i="105"/>
  <c r="M2100" i="105"/>
  <c r="L2100" i="105"/>
  <c r="K2100" i="105"/>
  <c r="AI2099" i="105"/>
  <c r="AH2099" i="105"/>
  <c r="AG2099" i="105"/>
  <c r="W2099" i="105"/>
  <c r="X2099" i="105" s="1"/>
  <c r="Q2099" i="105"/>
  <c r="R2099" i="105" s="1"/>
  <c r="N2099" i="105"/>
  <c r="M2099" i="105"/>
  <c r="L2099" i="105"/>
  <c r="K2099" i="105"/>
  <c r="AI2098" i="105"/>
  <c r="AH2098" i="105"/>
  <c r="AG2098" i="105"/>
  <c r="W2098" i="105"/>
  <c r="X2098" i="105" s="1"/>
  <c r="Q2098" i="105"/>
  <c r="R2098" i="105" s="1"/>
  <c r="N2098" i="105"/>
  <c r="M2098" i="105"/>
  <c r="L2098" i="105"/>
  <c r="K2098" i="105"/>
  <c r="AI2097" i="105"/>
  <c r="AH2097" i="105"/>
  <c r="AG2097" i="105"/>
  <c r="W2097" i="105"/>
  <c r="X2097" i="105" s="1"/>
  <c r="Q2097" i="105"/>
  <c r="R2097" i="105" s="1"/>
  <c r="N2097" i="105"/>
  <c r="M2097" i="105"/>
  <c r="L2097" i="105"/>
  <c r="K2097" i="105"/>
  <c r="AI2096" i="105"/>
  <c r="AH2096" i="105"/>
  <c r="AG2096" i="105"/>
  <c r="W2096" i="105"/>
  <c r="X2096" i="105" s="1"/>
  <c r="Q2096" i="105"/>
  <c r="R2096" i="105" s="1"/>
  <c r="N2096" i="105"/>
  <c r="M2096" i="105"/>
  <c r="L2096" i="105"/>
  <c r="K2096" i="105"/>
  <c r="AI2095" i="105"/>
  <c r="AH2095" i="105"/>
  <c r="AG2095" i="105"/>
  <c r="W2095" i="105"/>
  <c r="X2095" i="105" s="1"/>
  <c r="Q2095" i="105"/>
  <c r="R2095" i="105" s="1"/>
  <c r="N2095" i="105"/>
  <c r="M2095" i="105"/>
  <c r="L2095" i="105"/>
  <c r="K2095" i="105"/>
  <c r="AI2094" i="105"/>
  <c r="AH2094" i="105"/>
  <c r="AG2094" i="105"/>
  <c r="W2094" i="105"/>
  <c r="X2094" i="105" s="1"/>
  <c r="Q2094" i="105"/>
  <c r="R2094" i="105" s="1"/>
  <c r="N2094" i="105"/>
  <c r="M2094" i="105"/>
  <c r="L2094" i="105"/>
  <c r="K2094" i="105"/>
  <c r="AI2093" i="105"/>
  <c r="AH2093" i="105"/>
  <c r="AG2093" i="105"/>
  <c r="W2093" i="105"/>
  <c r="X2093" i="105" s="1"/>
  <c r="Q2093" i="105"/>
  <c r="R2093" i="105" s="1"/>
  <c r="N2093" i="105"/>
  <c r="M2093" i="105"/>
  <c r="L2093" i="105"/>
  <c r="K2093" i="105"/>
  <c r="AI2092" i="105"/>
  <c r="AH2092" i="105"/>
  <c r="AG2092" i="105"/>
  <c r="W2092" i="105"/>
  <c r="X2092" i="105" s="1"/>
  <c r="Q2092" i="105"/>
  <c r="R2092" i="105" s="1"/>
  <c r="N2092" i="105"/>
  <c r="M2092" i="105"/>
  <c r="L2092" i="105"/>
  <c r="K2092" i="105"/>
  <c r="AI2091" i="105"/>
  <c r="AH2091" i="105"/>
  <c r="AG2091" i="105"/>
  <c r="W2091" i="105"/>
  <c r="X2091" i="105" s="1"/>
  <c r="Q2091" i="105"/>
  <c r="R2091" i="105" s="1"/>
  <c r="N2091" i="105"/>
  <c r="M2091" i="105"/>
  <c r="L2091" i="105"/>
  <c r="K2091" i="105"/>
  <c r="AI2090" i="105"/>
  <c r="AH2090" i="105"/>
  <c r="AG2090" i="105"/>
  <c r="W2090" i="105"/>
  <c r="X2090" i="105" s="1"/>
  <c r="Q2090" i="105"/>
  <c r="R2090" i="105" s="1"/>
  <c r="N2090" i="105"/>
  <c r="M2090" i="105"/>
  <c r="L2090" i="105"/>
  <c r="K2090" i="105"/>
  <c r="AI2089" i="105"/>
  <c r="AH2089" i="105"/>
  <c r="AG2089" i="105"/>
  <c r="W2089" i="105"/>
  <c r="X2089" i="105" s="1"/>
  <c r="Q2089" i="105"/>
  <c r="R2089" i="105" s="1"/>
  <c r="N2089" i="105"/>
  <c r="M2089" i="105"/>
  <c r="L2089" i="105"/>
  <c r="K2089" i="105"/>
  <c r="AI2088" i="105"/>
  <c r="AH2088" i="105"/>
  <c r="AG2088" i="105"/>
  <c r="W2088" i="105"/>
  <c r="X2088" i="105" s="1"/>
  <c r="Q2088" i="105"/>
  <c r="R2088" i="105" s="1"/>
  <c r="N2088" i="105"/>
  <c r="M2088" i="105"/>
  <c r="L2088" i="105"/>
  <c r="K2088" i="105"/>
  <c r="AI2087" i="105"/>
  <c r="AH2087" i="105"/>
  <c r="AG2087" i="105"/>
  <c r="W2087" i="105"/>
  <c r="X2087" i="105" s="1"/>
  <c r="Q2087" i="105"/>
  <c r="R2087" i="105" s="1"/>
  <c r="N2087" i="105"/>
  <c r="M2087" i="105"/>
  <c r="L2087" i="105"/>
  <c r="K2087" i="105"/>
  <c r="AI2086" i="105"/>
  <c r="AH2086" i="105"/>
  <c r="AG2086" i="105"/>
  <c r="W2086" i="105"/>
  <c r="X2086" i="105" s="1"/>
  <c r="Q2086" i="105"/>
  <c r="R2086" i="105" s="1"/>
  <c r="N2086" i="105"/>
  <c r="M2086" i="105"/>
  <c r="L2086" i="105"/>
  <c r="K2086" i="105"/>
  <c r="AI2085" i="105"/>
  <c r="AH2085" i="105"/>
  <c r="AG2085" i="105"/>
  <c r="W2085" i="105"/>
  <c r="X2085" i="105" s="1"/>
  <c r="Q2085" i="105"/>
  <c r="R2085" i="105" s="1"/>
  <c r="N2085" i="105"/>
  <c r="M2085" i="105"/>
  <c r="L2085" i="105"/>
  <c r="K2085" i="105"/>
  <c r="AI2084" i="105"/>
  <c r="AH2084" i="105"/>
  <c r="AG2084" i="105"/>
  <c r="W2084" i="105"/>
  <c r="X2084" i="105" s="1"/>
  <c r="Q2084" i="105"/>
  <c r="R2084" i="105" s="1"/>
  <c r="N2084" i="105"/>
  <c r="M2084" i="105"/>
  <c r="L2084" i="105"/>
  <c r="K2084" i="105"/>
  <c r="AI2083" i="105"/>
  <c r="AH2083" i="105"/>
  <c r="AG2083" i="105"/>
  <c r="W2083" i="105"/>
  <c r="X2083" i="105" s="1"/>
  <c r="Q2083" i="105"/>
  <c r="R2083" i="105" s="1"/>
  <c r="N2083" i="105"/>
  <c r="M2083" i="105"/>
  <c r="L2083" i="105"/>
  <c r="K2083" i="105"/>
  <c r="AI2082" i="105"/>
  <c r="AH2082" i="105"/>
  <c r="AG2082" i="105"/>
  <c r="W2082" i="105"/>
  <c r="X2082" i="105" s="1"/>
  <c r="Q2082" i="105"/>
  <c r="R2082" i="105" s="1"/>
  <c r="N2082" i="105"/>
  <c r="M2082" i="105"/>
  <c r="L2082" i="105"/>
  <c r="K2082" i="105"/>
  <c r="AI2081" i="105"/>
  <c r="AH2081" i="105"/>
  <c r="AG2081" i="105"/>
  <c r="W2081" i="105"/>
  <c r="X2081" i="105" s="1"/>
  <c r="Q2081" i="105"/>
  <c r="R2081" i="105" s="1"/>
  <c r="L2081" i="105"/>
  <c r="N2081" i="105" s="1"/>
  <c r="I2081" i="105" s="1"/>
  <c r="K2081" i="105"/>
  <c r="M2081" i="105" s="1"/>
  <c r="AI2080" i="105"/>
  <c r="AH2080" i="105"/>
  <c r="AG2080" i="105"/>
  <c r="X2080" i="105"/>
  <c r="W2080" i="105"/>
  <c r="R2080" i="105"/>
  <c r="Q2080" i="105"/>
  <c r="L2080" i="105"/>
  <c r="N2080" i="105" s="1"/>
  <c r="I2080" i="105" s="1"/>
  <c r="K2080" i="105"/>
  <c r="M2080" i="105" s="1"/>
  <c r="AI2079" i="105"/>
  <c r="AH2079" i="105"/>
  <c r="AG2079" i="105"/>
  <c r="W2079" i="105"/>
  <c r="X2079" i="105" s="1"/>
  <c r="Q2079" i="105"/>
  <c r="R2079" i="105" s="1"/>
  <c r="L2079" i="105"/>
  <c r="N2079" i="105" s="1"/>
  <c r="I2079" i="105" s="1"/>
  <c r="K2079" i="105"/>
  <c r="M2079" i="105" s="1"/>
  <c r="AI2078" i="105"/>
  <c r="AH2078" i="105"/>
  <c r="AG2078" i="105"/>
  <c r="X2078" i="105"/>
  <c r="W2078" i="105"/>
  <c r="R2078" i="105"/>
  <c r="Q2078" i="105"/>
  <c r="L2078" i="105"/>
  <c r="N2078" i="105" s="1"/>
  <c r="I2078" i="105" s="1"/>
  <c r="K2078" i="105"/>
  <c r="M2078" i="105" s="1"/>
  <c r="AI2077" i="105"/>
  <c r="AG2077" i="105"/>
  <c r="X2077" i="105"/>
  <c r="W2077" i="105"/>
  <c r="R2077" i="105"/>
  <c r="Q2077" i="105"/>
  <c r="L2077" i="105"/>
  <c r="N2077" i="105" s="1"/>
  <c r="I2077" i="105" s="1"/>
  <c r="K2077" i="105"/>
  <c r="M2077" i="105" s="1"/>
  <c r="AI2076" i="105"/>
  <c r="AG2076" i="105"/>
  <c r="AH2076" i="105" s="1"/>
  <c r="AH2075" i="105" s="1"/>
  <c r="W2076" i="105"/>
  <c r="X2076" i="105" s="1"/>
  <c r="Q2076" i="105"/>
  <c r="R2076" i="105" s="1"/>
  <c r="R2075" i="105" s="1"/>
  <c r="L2076" i="105"/>
  <c r="K2076" i="105"/>
  <c r="H2076" i="105"/>
  <c r="N2076" i="105" s="1"/>
  <c r="A2076" i="105"/>
  <c r="A2077" i="105" s="1"/>
  <c r="A2078" i="105" s="1"/>
  <c r="A2079" i="105" s="1"/>
  <c r="A2080" i="105" s="1"/>
  <c r="A2081" i="105" s="1"/>
  <c r="A2082" i="105" s="1"/>
  <c r="A2083" i="105" s="1"/>
  <c r="A2084" i="105" s="1"/>
  <c r="A2085" i="105" s="1"/>
  <c r="A2086" i="105" s="1"/>
  <c r="A2087" i="105" s="1"/>
  <c r="A2088" i="105" s="1"/>
  <c r="A2089" i="105" s="1"/>
  <c r="A2090" i="105" s="1"/>
  <c r="A2091" i="105" s="1"/>
  <c r="A2092" i="105" s="1"/>
  <c r="A2093" i="105" s="1"/>
  <c r="A2094" i="105" s="1"/>
  <c r="A2095" i="105" s="1"/>
  <c r="A2096" i="105" s="1"/>
  <c r="A2097" i="105" s="1"/>
  <c r="A2098" i="105" s="1"/>
  <c r="A2099" i="105" s="1"/>
  <c r="A2100" i="105" s="1"/>
  <c r="A2101" i="105" s="1"/>
  <c r="A2102" i="105" s="1"/>
  <c r="A2103" i="105" s="1"/>
  <c r="A2104" i="105" s="1"/>
  <c r="A2105" i="105" s="1"/>
  <c r="A2106" i="105" s="1"/>
  <c r="A2107" i="105" s="1"/>
  <c r="A2108" i="105" s="1"/>
  <c r="A2109" i="105" s="1"/>
  <c r="A2110" i="105" s="1"/>
  <c r="A2111" i="105" s="1"/>
  <c r="A2112" i="105" s="1"/>
  <c r="A2113" i="105" s="1"/>
  <c r="A2114" i="105" s="1"/>
  <c r="A2115" i="105" s="1"/>
  <c r="A2116" i="105" s="1"/>
  <c r="A2117" i="105" s="1"/>
  <c r="A2118" i="105" s="1"/>
  <c r="A2119" i="105" s="1"/>
  <c r="A2120" i="105" s="1"/>
  <c r="A2121" i="105" s="1"/>
  <c r="A2122" i="105" s="1"/>
  <c r="A2123" i="105" s="1"/>
  <c r="A2124" i="105" s="1"/>
  <c r="A2125" i="105" s="1"/>
  <c r="A2126" i="105" s="1"/>
  <c r="A2127" i="105" s="1"/>
  <c r="A2128" i="105" s="1"/>
  <c r="A2129" i="105" s="1"/>
  <c r="AF2075" i="105"/>
  <c r="U2075" i="105"/>
  <c r="P2075" i="105"/>
  <c r="AI2074" i="105"/>
  <c r="AH2074" i="105"/>
  <c r="AG2074" i="105"/>
  <c r="X2074" i="105"/>
  <c r="W2074" i="105"/>
  <c r="R2074" i="105"/>
  <c r="Q2074" i="105"/>
  <c r="N2074" i="105"/>
  <c r="M2074" i="105"/>
  <c r="L2074" i="105"/>
  <c r="K2074" i="105"/>
  <c r="AI2073" i="105"/>
  <c r="AH2073" i="105"/>
  <c r="AG2073" i="105"/>
  <c r="X2073" i="105"/>
  <c r="W2073" i="105"/>
  <c r="R2073" i="105"/>
  <c r="Q2073" i="105"/>
  <c r="N2073" i="105"/>
  <c r="M2073" i="105"/>
  <c r="L2073" i="105"/>
  <c r="K2073" i="105"/>
  <c r="AI2072" i="105"/>
  <c r="AH2072" i="105"/>
  <c r="AG2072" i="105"/>
  <c r="X2072" i="105"/>
  <c r="W2072" i="105"/>
  <c r="R2072" i="105"/>
  <c r="Q2072" i="105"/>
  <c r="N2072" i="105"/>
  <c r="M2072" i="105"/>
  <c r="L2072" i="105"/>
  <c r="K2072" i="105"/>
  <c r="AI2071" i="105"/>
  <c r="AH2071" i="105"/>
  <c r="AG2071" i="105"/>
  <c r="X2071" i="105"/>
  <c r="W2071" i="105"/>
  <c r="R2071" i="105"/>
  <c r="Q2071" i="105"/>
  <c r="N2071" i="105"/>
  <c r="M2071" i="105"/>
  <c r="L2071" i="105"/>
  <c r="K2071" i="105"/>
  <c r="AI2070" i="105"/>
  <c r="AH2070" i="105"/>
  <c r="AG2070" i="105"/>
  <c r="X2070" i="105"/>
  <c r="W2070" i="105"/>
  <c r="R2070" i="105"/>
  <c r="Q2070" i="105"/>
  <c r="N2070" i="105"/>
  <c r="M2070" i="105"/>
  <c r="L2070" i="105"/>
  <c r="K2070" i="105"/>
  <c r="AI2069" i="105"/>
  <c r="AH2069" i="105"/>
  <c r="AG2069" i="105"/>
  <c r="X2069" i="105"/>
  <c r="W2069" i="105"/>
  <c r="R2069" i="105"/>
  <c r="Q2069" i="105"/>
  <c r="N2069" i="105"/>
  <c r="M2069" i="105"/>
  <c r="L2069" i="105"/>
  <c r="K2069" i="105"/>
  <c r="AI2068" i="105"/>
  <c r="AH2068" i="105"/>
  <c r="AG2068" i="105"/>
  <c r="X2068" i="105"/>
  <c r="W2068" i="105"/>
  <c r="R2068" i="105"/>
  <c r="Q2068" i="105"/>
  <c r="N2068" i="105"/>
  <c r="M2068" i="105"/>
  <c r="L2068" i="105"/>
  <c r="K2068" i="105"/>
  <c r="AI2067" i="105"/>
  <c r="AH2067" i="105"/>
  <c r="AG2067" i="105"/>
  <c r="X2067" i="105"/>
  <c r="W2067" i="105"/>
  <c r="R2067" i="105"/>
  <c r="Q2067" i="105"/>
  <c r="N2067" i="105"/>
  <c r="M2067" i="105"/>
  <c r="L2067" i="105"/>
  <c r="K2067" i="105"/>
  <c r="AI2066" i="105"/>
  <c r="AH2066" i="105"/>
  <c r="AH2064" i="105" s="1"/>
  <c r="AG2066" i="105"/>
  <c r="X2066" i="105"/>
  <c r="W2066" i="105"/>
  <c r="R2066" i="105"/>
  <c r="Q2066" i="105"/>
  <c r="L2066" i="105"/>
  <c r="N2066" i="105" s="1"/>
  <c r="I2066" i="105" s="1"/>
  <c r="K2066" i="105"/>
  <c r="M2066" i="105" s="1"/>
  <c r="AI2065" i="105"/>
  <c r="AG2065" i="105"/>
  <c r="X2065" i="105"/>
  <c r="X2064" i="105" s="1"/>
  <c r="W2065" i="105"/>
  <c r="R2065" i="105"/>
  <c r="R2064" i="105" s="1"/>
  <c r="Q2065" i="105"/>
  <c r="N2065" i="105"/>
  <c r="L2065" i="105"/>
  <c r="K2065" i="105"/>
  <c r="M2065" i="105" s="1"/>
  <c r="M2064" i="105" s="1"/>
  <c r="A2065" i="105"/>
  <c r="A2066" i="105" s="1"/>
  <c r="A2067" i="105" s="1"/>
  <c r="A2068" i="105" s="1"/>
  <c r="A2069" i="105" s="1"/>
  <c r="A2070" i="105" s="1"/>
  <c r="A2071" i="105" s="1"/>
  <c r="A2072" i="105" s="1"/>
  <c r="A2073" i="105" s="1"/>
  <c r="A2074" i="105" s="1"/>
  <c r="AF2064" i="105"/>
  <c r="U2064" i="105"/>
  <c r="P2064" i="105"/>
  <c r="H2064" i="105"/>
  <c r="AI2063" i="105"/>
  <c r="AH2063" i="105"/>
  <c r="AG2063" i="105"/>
  <c r="X2063" i="105"/>
  <c r="W2063" i="105"/>
  <c r="R2063" i="105"/>
  <c r="Q2063" i="105"/>
  <c r="N2063" i="105"/>
  <c r="M2063" i="105"/>
  <c r="L2063" i="105"/>
  <c r="K2063" i="105"/>
  <c r="AI2062" i="105"/>
  <c r="AH2062" i="105"/>
  <c r="AG2062" i="105"/>
  <c r="X2062" i="105"/>
  <c r="W2062" i="105"/>
  <c r="R2062" i="105"/>
  <c r="Q2062" i="105"/>
  <c r="N2062" i="105"/>
  <c r="M2062" i="105"/>
  <c r="L2062" i="105"/>
  <c r="K2062" i="105"/>
  <c r="AI2061" i="105"/>
  <c r="AH2061" i="105"/>
  <c r="AG2061" i="105"/>
  <c r="X2061" i="105"/>
  <c r="W2061" i="105"/>
  <c r="R2061" i="105"/>
  <c r="Q2061" i="105"/>
  <c r="N2061" i="105"/>
  <c r="M2061" i="105"/>
  <c r="L2061" i="105"/>
  <c r="K2061" i="105"/>
  <c r="AI2060" i="105"/>
  <c r="AH2060" i="105"/>
  <c r="AG2060" i="105"/>
  <c r="X2060" i="105"/>
  <c r="W2060" i="105"/>
  <c r="R2060" i="105"/>
  <c r="Q2060" i="105"/>
  <c r="N2060" i="105"/>
  <c r="M2060" i="105"/>
  <c r="L2060" i="105"/>
  <c r="K2060" i="105"/>
  <c r="AI2059" i="105"/>
  <c r="AH2059" i="105"/>
  <c r="AG2059" i="105"/>
  <c r="X2059" i="105"/>
  <c r="W2059" i="105"/>
  <c r="R2059" i="105"/>
  <c r="Q2059" i="105"/>
  <c r="N2059" i="105"/>
  <c r="M2059" i="105"/>
  <c r="L2059" i="105"/>
  <c r="K2059" i="105"/>
  <c r="AI2058" i="105"/>
  <c r="AH2058" i="105"/>
  <c r="AG2058" i="105"/>
  <c r="X2058" i="105"/>
  <c r="W2058" i="105"/>
  <c r="R2058" i="105"/>
  <c r="Q2058" i="105"/>
  <c r="N2058" i="105"/>
  <c r="M2058" i="105"/>
  <c r="L2058" i="105"/>
  <c r="K2058" i="105"/>
  <c r="AI2057" i="105"/>
  <c r="AH2057" i="105"/>
  <c r="AG2057" i="105"/>
  <c r="X2057" i="105"/>
  <c r="W2057" i="105"/>
  <c r="R2057" i="105"/>
  <c r="Q2057" i="105"/>
  <c r="N2057" i="105"/>
  <c r="M2057" i="105"/>
  <c r="L2057" i="105"/>
  <c r="K2057" i="105"/>
  <c r="AI2056" i="105"/>
  <c r="AH2056" i="105"/>
  <c r="AG2056" i="105"/>
  <c r="X2056" i="105"/>
  <c r="W2056" i="105"/>
  <c r="R2056" i="105"/>
  <c r="Q2056" i="105"/>
  <c r="L2056" i="105"/>
  <c r="N2056" i="105" s="1"/>
  <c r="I2056" i="105" s="1"/>
  <c r="K2056" i="105"/>
  <c r="M2056" i="105" s="1"/>
  <c r="A2056" i="105"/>
  <c r="A2057" i="105" s="1"/>
  <c r="A2058" i="105" s="1"/>
  <c r="A2059" i="105" s="1"/>
  <c r="A2060" i="105" s="1"/>
  <c r="A2061" i="105" s="1"/>
  <c r="A2062" i="105" s="1"/>
  <c r="A2063" i="105" s="1"/>
  <c r="AI2055" i="105"/>
  <c r="AG2055" i="105"/>
  <c r="X2055" i="105"/>
  <c r="W2055" i="105"/>
  <c r="Q2055" i="105"/>
  <c r="R2055" i="105" s="1"/>
  <c r="R2054" i="105" s="1"/>
  <c r="L2055" i="105"/>
  <c r="K2055" i="105"/>
  <c r="H2055" i="105"/>
  <c r="N2055" i="105" s="1"/>
  <c r="A2055" i="105"/>
  <c r="AH2054" i="105"/>
  <c r="AF2054" i="105"/>
  <c r="X2054" i="105"/>
  <c r="U2054" i="105"/>
  <c r="P2054" i="105"/>
  <c r="H2054" i="105"/>
  <c r="AI2053" i="105"/>
  <c r="AH2053" i="105"/>
  <c r="AG2053" i="105"/>
  <c r="X2053" i="105"/>
  <c r="W2053" i="105"/>
  <c r="R2053" i="105"/>
  <c r="Q2053" i="105"/>
  <c r="N2053" i="105"/>
  <c r="M2053" i="105"/>
  <c r="L2053" i="105"/>
  <c r="K2053" i="105"/>
  <c r="AI2052" i="105"/>
  <c r="AH2052" i="105"/>
  <c r="AG2052" i="105"/>
  <c r="X2052" i="105"/>
  <c r="W2052" i="105"/>
  <c r="R2052" i="105"/>
  <c r="Q2052" i="105"/>
  <c r="N2052" i="105"/>
  <c r="M2052" i="105"/>
  <c r="L2052" i="105"/>
  <c r="K2052" i="105"/>
  <c r="AI2051" i="105"/>
  <c r="AH2051" i="105"/>
  <c r="AG2051" i="105"/>
  <c r="X2051" i="105"/>
  <c r="W2051" i="105"/>
  <c r="R2051" i="105"/>
  <c r="Q2051" i="105"/>
  <c r="N2051" i="105"/>
  <c r="M2051" i="105"/>
  <c r="L2051" i="105"/>
  <c r="K2051" i="105"/>
  <c r="AI2050" i="105"/>
  <c r="AH2050" i="105"/>
  <c r="AG2050" i="105"/>
  <c r="X2050" i="105"/>
  <c r="W2050" i="105"/>
  <c r="R2050" i="105"/>
  <c r="Q2050" i="105"/>
  <c r="N2050" i="105"/>
  <c r="M2050" i="105"/>
  <c r="L2050" i="105"/>
  <c r="K2050" i="105"/>
  <c r="AI2049" i="105"/>
  <c r="AH2049" i="105"/>
  <c r="AG2049" i="105"/>
  <c r="X2049" i="105"/>
  <c r="W2049" i="105"/>
  <c r="R2049" i="105"/>
  <c r="Q2049" i="105"/>
  <c r="N2049" i="105"/>
  <c r="M2049" i="105"/>
  <c r="L2049" i="105"/>
  <c r="K2049" i="105"/>
  <c r="AI2048" i="105"/>
  <c r="AH2048" i="105"/>
  <c r="AG2048" i="105"/>
  <c r="X2048" i="105"/>
  <c r="W2048" i="105"/>
  <c r="R2048" i="105"/>
  <c r="Q2048" i="105"/>
  <c r="N2048" i="105"/>
  <c r="M2048" i="105"/>
  <c r="L2048" i="105"/>
  <c r="K2048" i="105"/>
  <c r="AI2047" i="105"/>
  <c r="AH2047" i="105"/>
  <c r="AG2047" i="105"/>
  <c r="X2047" i="105"/>
  <c r="W2047" i="105"/>
  <c r="R2047" i="105"/>
  <c r="Q2047" i="105"/>
  <c r="L2047" i="105"/>
  <c r="N2047" i="105" s="1"/>
  <c r="I2047" i="105" s="1"/>
  <c r="K2047" i="105"/>
  <c r="M2047" i="105" s="1"/>
  <c r="AL2046" i="105"/>
  <c r="AI2046" i="105"/>
  <c r="X2046" i="105"/>
  <c r="W2046" i="105"/>
  <c r="R2046" i="105"/>
  <c r="Q2046" i="105"/>
  <c r="L2046" i="105"/>
  <c r="N2046" i="105" s="1"/>
  <c r="I2046" i="105" s="1"/>
  <c r="K2046" i="105"/>
  <c r="M2046" i="105" s="1"/>
  <c r="AI2045" i="105"/>
  <c r="AG2045" i="105"/>
  <c r="AH2045" i="105" s="1"/>
  <c r="AH2044" i="105" s="1"/>
  <c r="W2045" i="105"/>
  <c r="X2045" i="105" s="1"/>
  <c r="X2044" i="105" s="1"/>
  <c r="Q2045" i="105"/>
  <c r="R2045" i="105" s="1"/>
  <c r="R2044" i="105" s="1"/>
  <c r="L2045" i="105"/>
  <c r="K2045" i="105"/>
  <c r="H2045" i="105"/>
  <c r="N2045" i="105" s="1"/>
  <c r="A2045" i="105"/>
  <c r="A2046" i="105" s="1"/>
  <c r="A2047" i="105" s="1"/>
  <c r="A2048" i="105" s="1"/>
  <c r="A2049" i="105" s="1"/>
  <c r="A2050" i="105" s="1"/>
  <c r="A2051" i="105" s="1"/>
  <c r="A2052" i="105" s="1"/>
  <c r="A2053" i="105" s="1"/>
  <c r="AF2044" i="105"/>
  <c r="U2044" i="105"/>
  <c r="P2044" i="105"/>
  <c r="H2044" i="105"/>
  <c r="AI2043" i="105"/>
  <c r="AH2043" i="105"/>
  <c r="AG2043" i="105"/>
  <c r="X2043" i="105"/>
  <c r="W2043" i="105"/>
  <c r="R2043" i="105"/>
  <c r="Q2043" i="105"/>
  <c r="N2043" i="105"/>
  <c r="M2043" i="105"/>
  <c r="L2043" i="105"/>
  <c r="K2043" i="105"/>
  <c r="AI2042" i="105"/>
  <c r="AH2042" i="105"/>
  <c r="AG2042" i="105"/>
  <c r="X2042" i="105"/>
  <c r="W2042" i="105"/>
  <c r="R2042" i="105"/>
  <c r="Q2042" i="105"/>
  <c r="N2042" i="105"/>
  <c r="M2042" i="105"/>
  <c r="L2042" i="105"/>
  <c r="K2042" i="105"/>
  <c r="AI2041" i="105"/>
  <c r="AH2041" i="105"/>
  <c r="AG2041" i="105"/>
  <c r="X2041" i="105"/>
  <c r="W2041" i="105"/>
  <c r="R2041" i="105"/>
  <c r="Q2041" i="105"/>
  <c r="N2041" i="105"/>
  <c r="M2041" i="105"/>
  <c r="L2041" i="105"/>
  <c r="K2041" i="105"/>
  <c r="AI2040" i="105"/>
  <c r="AH2040" i="105"/>
  <c r="AG2040" i="105"/>
  <c r="X2040" i="105"/>
  <c r="W2040" i="105"/>
  <c r="R2040" i="105"/>
  <c r="Q2040" i="105"/>
  <c r="N2040" i="105"/>
  <c r="M2040" i="105"/>
  <c r="L2040" i="105"/>
  <c r="K2040" i="105"/>
  <c r="AI2039" i="105"/>
  <c r="AH2039" i="105"/>
  <c r="AG2039" i="105"/>
  <c r="X2039" i="105"/>
  <c r="W2039" i="105"/>
  <c r="R2039" i="105"/>
  <c r="Q2039" i="105"/>
  <c r="N2039" i="105"/>
  <c r="M2039" i="105"/>
  <c r="L2039" i="105"/>
  <c r="K2039" i="105"/>
  <c r="AI2038" i="105"/>
  <c r="AH2038" i="105"/>
  <c r="AG2038" i="105"/>
  <c r="X2038" i="105"/>
  <c r="W2038" i="105"/>
  <c r="R2038" i="105"/>
  <c r="Q2038" i="105"/>
  <c r="N2038" i="105"/>
  <c r="M2038" i="105"/>
  <c r="L2038" i="105"/>
  <c r="K2038" i="105"/>
  <c r="AI2037" i="105"/>
  <c r="AH2037" i="105"/>
  <c r="AG2037" i="105"/>
  <c r="W2037" i="105"/>
  <c r="X2037" i="105" s="1"/>
  <c r="X2036" i="105" s="1"/>
  <c r="R2037" i="105"/>
  <c r="Q2037" i="105"/>
  <c r="N2037" i="105"/>
  <c r="M2037" i="105"/>
  <c r="L2037" i="105"/>
  <c r="K2037" i="105"/>
  <c r="A2037" i="105"/>
  <c r="A2038" i="105" s="1"/>
  <c r="A2039" i="105" s="1"/>
  <c r="A2040" i="105" s="1"/>
  <c r="A2041" i="105" s="1"/>
  <c r="A2042" i="105" s="1"/>
  <c r="A2043" i="105" s="1"/>
  <c r="AH2036" i="105"/>
  <c r="AF2036" i="105"/>
  <c r="U2036" i="105"/>
  <c r="R2036" i="105"/>
  <c r="P2036" i="105"/>
  <c r="N2036" i="105"/>
  <c r="M2036" i="105"/>
  <c r="AI2036" i="105" s="1"/>
  <c r="I2036" i="105"/>
  <c r="H2036" i="105"/>
  <c r="AI2035" i="105"/>
  <c r="AH2035" i="105"/>
  <c r="AG2035" i="105"/>
  <c r="X2035" i="105"/>
  <c r="W2035" i="105"/>
  <c r="R2035" i="105"/>
  <c r="Q2035" i="105"/>
  <c r="N2035" i="105"/>
  <c r="M2035" i="105"/>
  <c r="L2035" i="105"/>
  <c r="K2035" i="105"/>
  <c r="AI2034" i="105"/>
  <c r="AH2034" i="105"/>
  <c r="AG2034" i="105"/>
  <c r="X2034" i="105"/>
  <c r="W2034" i="105"/>
  <c r="R2034" i="105"/>
  <c r="Q2034" i="105"/>
  <c r="N2034" i="105"/>
  <c r="M2034" i="105"/>
  <c r="L2034" i="105"/>
  <c r="K2034" i="105"/>
  <c r="AI2033" i="105"/>
  <c r="AH2033" i="105"/>
  <c r="AG2033" i="105"/>
  <c r="X2033" i="105"/>
  <c r="W2033" i="105"/>
  <c r="R2033" i="105"/>
  <c r="Q2033" i="105"/>
  <c r="N2033" i="105"/>
  <c r="M2033" i="105"/>
  <c r="L2033" i="105"/>
  <c r="K2033" i="105"/>
  <c r="AI2032" i="105"/>
  <c r="AH2032" i="105"/>
  <c r="AG2032" i="105"/>
  <c r="X2032" i="105"/>
  <c r="W2032" i="105"/>
  <c r="R2032" i="105"/>
  <c r="Q2032" i="105"/>
  <c r="N2032" i="105"/>
  <c r="M2032" i="105"/>
  <c r="L2032" i="105"/>
  <c r="K2032" i="105"/>
  <c r="AI2031" i="105"/>
  <c r="AH2031" i="105"/>
  <c r="AG2031" i="105"/>
  <c r="W2031" i="105"/>
  <c r="X2031" i="105" s="1"/>
  <c r="R2031" i="105"/>
  <c r="Q2031" i="105"/>
  <c r="N2031" i="105"/>
  <c r="M2031" i="105"/>
  <c r="L2031" i="105"/>
  <c r="K2031" i="105"/>
  <c r="AI2030" i="105"/>
  <c r="AH2030" i="105"/>
  <c r="AG2030" i="105"/>
  <c r="W2030" i="105"/>
  <c r="X2030" i="105" s="1"/>
  <c r="R2030" i="105"/>
  <c r="Q2030" i="105"/>
  <c r="N2030" i="105"/>
  <c r="M2030" i="105"/>
  <c r="L2030" i="105"/>
  <c r="K2030" i="105"/>
  <c r="AI2029" i="105"/>
  <c r="AH2029" i="105"/>
  <c r="AG2029" i="105"/>
  <c r="W2029" i="105"/>
  <c r="X2029" i="105" s="1"/>
  <c r="X2028" i="105" s="1"/>
  <c r="R2029" i="105"/>
  <c r="Q2029" i="105"/>
  <c r="N2029" i="105"/>
  <c r="M2029" i="105"/>
  <c r="L2029" i="105"/>
  <c r="K2029" i="105"/>
  <c r="A2029" i="105"/>
  <c r="A2030" i="105" s="1"/>
  <c r="A2031" i="105" s="1"/>
  <c r="A2032" i="105" s="1"/>
  <c r="A2033" i="105" s="1"/>
  <c r="A2034" i="105" s="1"/>
  <c r="A2035" i="105" s="1"/>
  <c r="AH2028" i="105"/>
  <c r="AF2028" i="105"/>
  <c r="U2028" i="105"/>
  <c r="R2028" i="105"/>
  <c r="P2028" i="105"/>
  <c r="N2028" i="105"/>
  <c r="M2028" i="105"/>
  <c r="AI2028" i="105" s="1"/>
  <c r="I2028" i="105"/>
  <c r="H2028" i="105"/>
  <c r="AI2027" i="105"/>
  <c r="AH2027" i="105"/>
  <c r="AG2027" i="105"/>
  <c r="X2027" i="105"/>
  <c r="W2027" i="105"/>
  <c r="R2027" i="105"/>
  <c r="Q2027" i="105"/>
  <c r="N2027" i="105"/>
  <c r="M2027" i="105"/>
  <c r="L2027" i="105"/>
  <c r="K2027" i="105"/>
  <c r="AI2026" i="105"/>
  <c r="AH2026" i="105"/>
  <c r="AG2026" i="105"/>
  <c r="X2026" i="105"/>
  <c r="W2026" i="105"/>
  <c r="R2026" i="105"/>
  <c r="Q2026" i="105"/>
  <c r="N2026" i="105"/>
  <c r="M2026" i="105"/>
  <c r="L2026" i="105"/>
  <c r="K2026" i="105"/>
  <c r="AI2025" i="105"/>
  <c r="AH2025" i="105"/>
  <c r="AG2025" i="105"/>
  <c r="X2025" i="105"/>
  <c r="W2025" i="105"/>
  <c r="R2025" i="105"/>
  <c r="Q2025" i="105"/>
  <c r="N2025" i="105"/>
  <c r="M2025" i="105"/>
  <c r="L2025" i="105"/>
  <c r="K2025" i="105"/>
  <c r="AI2024" i="105"/>
  <c r="AH2024" i="105"/>
  <c r="AG2024" i="105"/>
  <c r="W2024" i="105"/>
  <c r="X2024" i="105" s="1"/>
  <c r="R2024" i="105"/>
  <c r="Q2024" i="105"/>
  <c r="N2024" i="105"/>
  <c r="M2024" i="105"/>
  <c r="L2024" i="105"/>
  <c r="K2024" i="105"/>
  <c r="AI2023" i="105"/>
  <c r="AH2023" i="105"/>
  <c r="AG2023" i="105"/>
  <c r="W2023" i="105"/>
  <c r="X2023" i="105" s="1"/>
  <c r="R2023" i="105"/>
  <c r="Q2023" i="105"/>
  <c r="N2023" i="105"/>
  <c r="M2023" i="105"/>
  <c r="L2023" i="105"/>
  <c r="K2023" i="105"/>
  <c r="AI2022" i="105"/>
  <c r="AH2022" i="105"/>
  <c r="AG2022" i="105"/>
  <c r="W2022" i="105"/>
  <c r="X2022" i="105" s="1"/>
  <c r="R2022" i="105"/>
  <c r="Q2022" i="105"/>
  <c r="N2022" i="105"/>
  <c r="M2022" i="105"/>
  <c r="L2022" i="105"/>
  <c r="K2022" i="105"/>
  <c r="AI2021" i="105"/>
  <c r="AH2021" i="105"/>
  <c r="AG2021" i="105"/>
  <c r="W2021" i="105"/>
  <c r="X2021" i="105" s="1"/>
  <c r="X2020" i="105" s="1"/>
  <c r="R2021" i="105"/>
  <c r="Q2021" i="105"/>
  <c r="N2021" i="105"/>
  <c r="M2021" i="105"/>
  <c r="L2021" i="105"/>
  <c r="K2021" i="105"/>
  <c r="A2021" i="105"/>
  <c r="A2022" i="105" s="1"/>
  <c r="A2023" i="105" s="1"/>
  <c r="A2024" i="105" s="1"/>
  <c r="A2025" i="105" s="1"/>
  <c r="A2026" i="105" s="1"/>
  <c r="A2027" i="105" s="1"/>
  <c r="AH2020" i="105"/>
  <c r="AF2020" i="105"/>
  <c r="U2020" i="105"/>
  <c r="R2020" i="105"/>
  <c r="P2020" i="105"/>
  <c r="N2020" i="105"/>
  <c r="M2020" i="105"/>
  <c r="AI2020" i="105" s="1"/>
  <c r="I2020" i="105"/>
  <c r="H2020" i="105"/>
  <c r="AI2019" i="105"/>
  <c r="AH2019" i="105"/>
  <c r="AG2019" i="105"/>
  <c r="X2019" i="105"/>
  <c r="W2019" i="105"/>
  <c r="R2019" i="105"/>
  <c r="Q2019" i="105"/>
  <c r="N2019" i="105"/>
  <c r="M2019" i="105"/>
  <c r="L2019" i="105"/>
  <c r="K2019" i="105"/>
  <c r="AI2018" i="105"/>
  <c r="AH2018" i="105"/>
  <c r="AG2018" i="105"/>
  <c r="X2018" i="105"/>
  <c r="W2018" i="105"/>
  <c r="R2018" i="105"/>
  <c r="Q2018" i="105"/>
  <c r="N2018" i="105"/>
  <c r="M2018" i="105"/>
  <c r="L2018" i="105"/>
  <c r="K2018" i="105"/>
  <c r="AI2017" i="105"/>
  <c r="AH2017" i="105"/>
  <c r="AG2017" i="105"/>
  <c r="X2017" i="105"/>
  <c r="W2017" i="105"/>
  <c r="R2017" i="105"/>
  <c r="Q2017" i="105"/>
  <c r="N2017" i="105"/>
  <c r="M2017" i="105"/>
  <c r="L2017" i="105"/>
  <c r="K2017" i="105"/>
  <c r="AI2016" i="105"/>
  <c r="AH2016" i="105"/>
  <c r="AG2016" i="105"/>
  <c r="X2016" i="105"/>
  <c r="W2016" i="105"/>
  <c r="R2016" i="105"/>
  <c r="Q2016" i="105"/>
  <c r="N2016" i="105"/>
  <c r="M2016" i="105"/>
  <c r="L2016" i="105"/>
  <c r="K2016" i="105"/>
  <c r="AI2015" i="105"/>
  <c r="AH2015" i="105"/>
  <c r="AG2015" i="105"/>
  <c r="X2015" i="105"/>
  <c r="W2015" i="105"/>
  <c r="R2015" i="105"/>
  <c r="Q2015" i="105"/>
  <c r="N2015" i="105"/>
  <c r="M2015" i="105"/>
  <c r="L2015" i="105"/>
  <c r="K2015" i="105"/>
  <c r="AI2014" i="105"/>
  <c r="AH2014" i="105"/>
  <c r="AG2014" i="105"/>
  <c r="X2014" i="105"/>
  <c r="W2014" i="105"/>
  <c r="R2014" i="105"/>
  <c r="Q2014" i="105"/>
  <c r="N2014" i="105"/>
  <c r="M2014" i="105"/>
  <c r="L2014" i="105"/>
  <c r="K2014" i="105"/>
  <c r="A2014" i="105"/>
  <c r="A2015" i="105" s="1"/>
  <c r="A2016" i="105" s="1"/>
  <c r="A2017" i="105" s="1"/>
  <c r="A2018" i="105" s="1"/>
  <c r="A2019" i="105" s="1"/>
  <c r="AI2013" i="105"/>
  <c r="AH2013" i="105"/>
  <c r="AH2012" i="105" s="1"/>
  <c r="AG2013" i="105"/>
  <c r="X2013" i="105"/>
  <c r="X2012" i="105" s="1"/>
  <c r="W2013" i="105"/>
  <c r="R2013" i="105"/>
  <c r="R2012" i="105" s="1"/>
  <c r="Q2013" i="105"/>
  <c r="L2013" i="105"/>
  <c r="N2013" i="105" s="1"/>
  <c r="K2013" i="105"/>
  <c r="M2013" i="105" s="1"/>
  <c r="M2012" i="105" s="1"/>
  <c r="A2013" i="105"/>
  <c r="AF2012" i="105"/>
  <c r="U2012" i="105"/>
  <c r="P2012" i="105"/>
  <c r="H2012" i="105"/>
  <c r="AI2011" i="105"/>
  <c r="AH2011" i="105"/>
  <c r="AG2011" i="105"/>
  <c r="X2011" i="105"/>
  <c r="W2011" i="105"/>
  <c r="R2011" i="105"/>
  <c r="Q2011" i="105"/>
  <c r="N2011" i="105"/>
  <c r="M2011" i="105"/>
  <c r="L2011" i="105"/>
  <c r="K2011" i="105"/>
  <c r="AI2010" i="105"/>
  <c r="AH2010" i="105"/>
  <c r="AG2010" i="105"/>
  <c r="X2010" i="105"/>
  <c r="W2010" i="105"/>
  <c r="R2010" i="105"/>
  <c r="Q2010" i="105"/>
  <c r="N2010" i="105"/>
  <c r="M2010" i="105"/>
  <c r="L2010" i="105"/>
  <c r="K2010" i="105"/>
  <c r="AI2009" i="105"/>
  <c r="AH2009" i="105"/>
  <c r="AG2009" i="105"/>
  <c r="X2009" i="105"/>
  <c r="W2009" i="105"/>
  <c r="R2009" i="105"/>
  <c r="Q2009" i="105"/>
  <c r="N2009" i="105"/>
  <c r="M2009" i="105"/>
  <c r="L2009" i="105"/>
  <c r="K2009" i="105"/>
  <c r="AI2008" i="105"/>
  <c r="AH2008" i="105"/>
  <c r="AG2008" i="105"/>
  <c r="X2008" i="105"/>
  <c r="W2008" i="105"/>
  <c r="R2008" i="105"/>
  <c r="Q2008" i="105"/>
  <c r="N2008" i="105"/>
  <c r="M2008" i="105"/>
  <c r="L2008" i="105"/>
  <c r="K2008" i="105"/>
  <c r="AI2007" i="105"/>
  <c r="AH2007" i="105"/>
  <c r="AG2007" i="105"/>
  <c r="X2007" i="105"/>
  <c r="W2007" i="105"/>
  <c r="R2007" i="105"/>
  <c r="Q2007" i="105"/>
  <c r="N2007" i="105"/>
  <c r="M2007" i="105"/>
  <c r="L2007" i="105"/>
  <c r="K2007" i="105"/>
  <c r="AI2006" i="105"/>
  <c r="AH2006" i="105"/>
  <c r="AG2006" i="105"/>
  <c r="X2006" i="105"/>
  <c r="W2006" i="105"/>
  <c r="R2006" i="105"/>
  <c r="Q2006" i="105"/>
  <c r="N2006" i="105"/>
  <c r="M2006" i="105"/>
  <c r="L2006" i="105"/>
  <c r="K2006" i="105"/>
  <c r="AI2005" i="105"/>
  <c r="AH2005" i="105"/>
  <c r="AG2005" i="105"/>
  <c r="X2005" i="105"/>
  <c r="W2005" i="105"/>
  <c r="R2005" i="105"/>
  <c r="Q2005" i="105"/>
  <c r="N2005" i="105"/>
  <c r="M2005" i="105"/>
  <c r="L2005" i="105"/>
  <c r="K2005" i="105"/>
  <c r="AI2004" i="105"/>
  <c r="AH2004" i="105"/>
  <c r="AG2004" i="105"/>
  <c r="X2004" i="105"/>
  <c r="W2004" i="105"/>
  <c r="R2004" i="105"/>
  <c r="Q2004" i="105"/>
  <c r="N2004" i="105"/>
  <c r="M2004" i="105"/>
  <c r="L2004" i="105"/>
  <c r="K2004" i="105"/>
  <c r="AI2003" i="105"/>
  <c r="AH2003" i="105"/>
  <c r="AG2003" i="105"/>
  <c r="X2003" i="105"/>
  <c r="W2003" i="105"/>
  <c r="R2003" i="105"/>
  <c r="Q2003" i="105"/>
  <c r="N2003" i="105"/>
  <c r="M2003" i="105"/>
  <c r="L2003" i="105"/>
  <c r="K2003" i="105"/>
  <c r="AI2002" i="105"/>
  <c r="AH2002" i="105"/>
  <c r="AG2002" i="105"/>
  <c r="X2002" i="105"/>
  <c r="W2002" i="105"/>
  <c r="R2002" i="105"/>
  <c r="Q2002" i="105"/>
  <c r="N2002" i="105"/>
  <c r="M2002" i="105"/>
  <c r="L2002" i="105"/>
  <c r="K2002" i="105"/>
  <c r="AI2001" i="105"/>
  <c r="AH2001" i="105"/>
  <c r="AG2001" i="105"/>
  <c r="X2001" i="105"/>
  <c r="W2001" i="105"/>
  <c r="R2001" i="105"/>
  <c r="Q2001" i="105"/>
  <c r="N2001" i="105"/>
  <c r="M2001" i="105"/>
  <c r="L2001" i="105"/>
  <c r="K2001" i="105"/>
  <c r="AI2000" i="105"/>
  <c r="AH2000" i="105"/>
  <c r="AG2000" i="105"/>
  <c r="X2000" i="105"/>
  <c r="W2000" i="105"/>
  <c r="R2000" i="105"/>
  <c r="Q2000" i="105"/>
  <c r="N2000" i="105"/>
  <c r="M2000" i="105"/>
  <c r="L2000" i="105"/>
  <c r="K2000" i="105"/>
  <c r="AI1999" i="105"/>
  <c r="AH1999" i="105"/>
  <c r="AG1999" i="105"/>
  <c r="X1999" i="105"/>
  <c r="W1999" i="105"/>
  <c r="R1999" i="105"/>
  <c r="Q1999" i="105"/>
  <c r="N1999" i="105"/>
  <c r="M1999" i="105"/>
  <c r="L1999" i="105"/>
  <c r="K1999" i="105"/>
  <c r="AI1998" i="105"/>
  <c r="AH1998" i="105"/>
  <c r="AG1998" i="105"/>
  <c r="X1998" i="105"/>
  <c r="W1998" i="105"/>
  <c r="R1998" i="105"/>
  <c r="Q1998" i="105"/>
  <c r="N1998" i="105"/>
  <c r="M1998" i="105"/>
  <c r="L1998" i="105"/>
  <c r="K1998" i="105"/>
  <c r="AI1997" i="105"/>
  <c r="AH1997" i="105"/>
  <c r="AG1997" i="105"/>
  <c r="X1997" i="105"/>
  <c r="W1997" i="105"/>
  <c r="R1997" i="105"/>
  <c r="Q1997" i="105"/>
  <c r="N1997" i="105"/>
  <c r="M1997" i="105"/>
  <c r="L1997" i="105"/>
  <c r="K1997" i="105"/>
  <c r="AI1996" i="105"/>
  <c r="AH1996" i="105"/>
  <c r="AG1996" i="105"/>
  <c r="X1996" i="105"/>
  <c r="W1996" i="105"/>
  <c r="R1996" i="105"/>
  <c r="Q1996" i="105"/>
  <c r="N1996" i="105"/>
  <c r="M1996" i="105"/>
  <c r="L1996" i="105"/>
  <c r="K1996" i="105"/>
  <c r="AI1995" i="105"/>
  <c r="AH1995" i="105"/>
  <c r="AG1995" i="105"/>
  <c r="X1995" i="105"/>
  <c r="W1995" i="105"/>
  <c r="R1995" i="105"/>
  <c r="Q1995" i="105"/>
  <c r="N1995" i="105"/>
  <c r="M1995" i="105"/>
  <c r="L1995" i="105"/>
  <c r="K1995" i="105"/>
  <c r="AI1994" i="105"/>
  <c r="AH1994" i="105"/>
  <c r="AG1994" i="105"/>
  <c r="X1994" i="105"/>
  <c r="W1994" i="105"/>
  <c r="R1994" i="105"/>
  <c r="Q1994" i="105"/>
  <c r="N1994" i="105"/>
  <c r="M1994" i="105"/>
  <c r="L1994" i="105"/>
  <c r="K1994" i="105"/>
  <c r="AI1993" i="105"/>
  <c r="AH1993" i="105"/>
  <c r="AG1993" i="105"/>
  <c r="X1993" i="105"/>
  <c r="W1993" i="105"/>
  <c r="R1993" i="105"/>
  <c r="Q1993" i="105"/>
  <c r="N1993" i="105"/>
  <c r="M1993" i="105"/>
  <c r="L1993" i="105"/>
  <c r="K1993" i="105"/>
  <c r="AI1992" i="105"/>
  <c r="AH1992" i="105"/>
  <c r="AH1990" i="105" s="1"/>
  <c r="AG1992" i="105"/>
  <c r="X1992" i="105"/>
  <c r="W1992" i="105"/>
  <c r="R1992" i="105"/>
  <c r="Q1992" i="105"/>
  <c r="L1992" i="105"/>
  <c r="N1992" i="105" s="1"/>
  <c r="I1992" i="105" s="1"/>
  <c r="K1992" i="105"/>
  <c r="H1992" i="105"/>
  <c r="M1992" i="105" s="1"/>
  <c r="A1992" i="105"/>
  <c r="A1993" i="105" s="1"/>
  <c r="A1994" i="105" s="1"/>
  <c r="A1995" i="105" s="1"/>
  <c r="A1996" i="105" s="1"/>
  <c r="A1997" i="105" s="1"/>
  <c r="A1998" i="105" s="1"/>
  <c r="A1999" i="105" s="1"/>
  <c r="A2000" i="105" s="1"/>
  <c r="A2001" i="105" s="1"/>
  <c r="A2002" i="105" s="1"/>
  <c r="A2003" i="105" s="1"/>
  <c r="A2004" i="105" s="1"/>
  <c r="A2005" i="105" s="1"/>
  <c r="A2006" i="105" s="1"/>
  <c r="A2007" i="105" s="1"/>
  <c r="A2008" i="105" s="1"/>
  <c r="A2009" i="105" s="1"/>
  <c r="A2010" i="105" s="1"/>
  <c r="A2011" i="105" s="1"/>
  <c r="AI1991" i="105"/>
  <c r="AG1991" i="105"/>
  <c r="W1991" i="105"/>
  <c r="X1991" i="105" s="1"/>
  <c r="X1990" i="105" s="1"/>
  <c r="Q1991" i="105"/>
  <c r="R1991" i="105" s="1"/>
  <c r="R1990" i="105" s="1"/>
  <c r="L1991" i="105"/>
  <c r="K1991" i="105"/>
  <c r="H1991" i="105"/>
  <c r="M1991" i="105" s="1"/>
  <c r="M1990" i="105" s="1"/>
  <c r="A1991" i="105"/>
  <c r="AF1990" i="105"/>
  <c r="U1990" i="105"/>
  <c r="P1990" i="105"/>
  <c r="H1990" i="105"/>
  <c r="AI1989" i="105"/>
  <c r="AG1989" i="105"/>
  <c r="X1989" i="105"/>
  <c r="W1989" i="105"/>
  <c r="N1989" i="105"/>
  <c r="M1989" i="105"/>
  <c r="L1989" i="105"/>
  <c r="K1989" i="105"/>
  <c r="AI1988" i="105"/>
  <c r="AG1988" i="105"/>
  <c r="X1988" i="105"/>
  <c r="W1988" i="105"/>
  <c r="N1988" i="105"/>
  <c r="M1988" i="105"/>
  <c r="L1988" i="105"/>
  <c r="K1988" i="105"/>
  <c r="AI1987" i="105"/>
  <c r="AG1987" i="105"/>
  <c r="X1987" i="105"/>
  <c r="W1987" i="105"/>
  <c r="N1987" i="105"/>
  <c r="M1987" i="105"/>
  <c r="L1987" i="105"/>
  <c r="K1987" i="105"/>
  <c r="AI1986" i="105"/>
  <c r="AG1986" i="105"/>
  <c r="X1986" i="105"/>
  <c r="W1986" i="105"/>
  <c r="N1986" i="105"/>
  <c r="M1986" i="105"/>
  <c r="L1986" i="105"/>
  <c r="K1986" i="105"/>
  <c r="AI1985" i="105"/>
  <c r="AG1985" i="105"/>
  <c r="X1985" i="105"/>
  <c r="W1985" i="105"/>
  <c r="N1985" i="105"/>
  <c r="M1985" i="105"/>
  <c r="L1985" i="105"/>
  <c r="K1985" i="105"/>
  <c r="AI1984" i="105"/>
  <c r="AG1984" i="105"/>
  <c r="X1984" i="105"/>
  <c r="W1984" i="105"/>
  <c r="N1984" i="105"/>
  <c r="M1984" i="105"/>
  <c r="L1984" i="105"/>
  <c r="K1984" i="105"/>
  <c r="AI1983" i="105"/>
  <c r="AG1983" i="105"/>
  <c r="X1983" i="105"/>
  <c r="W1983" i="105"/>
  <c r="N1983" i="105"/>
  <c r="M1983" i="105"/>
  <c r="L1983" i="105"/>
  <c r="K1983" i="105"/>
  <c r="AI1982" i="105"/>
  <c r="AG1982" i="105"/>
  <c r="X1982" i="105"/>
  <c r="W1982" i="105"/>
  <c r="N1982" i="105"/>
  <c r="M1982" i="105"/>
  <c r="L1982" i="105"/>
  <c r="K1982" i="105"/>
  <c r="AI1981" i="105"/>
  <c r="AG1981" i="105"/>
  <c r="X1981" i="105"/>
  <c r="W1981" i="105"/>
  <c r="L1981" i="105"/>
  <c r="N1981" i="105" s="1"/>
  <c r="K1981" i="105"/>
  <c r="M1981" i="105" s="1"/>
  <c r="M1980" i="105" s="1"/>
  <c r="A1981" i="105"/>
  <c r="A1982" i="105" s="1"/>
  <c r="A1983" i="105" s="1"/>
  <c r="A1984" i="105" s="1"/>
  <c r="A1985" i="105" s="1"/>
  <c r="A1986" i="105" s="1"/>
  <c r="A1987" i="105" s="1"/>
  <c r="A1988" i="105" s="1"/>
  <c r="A1989" i="105" s="1"/>
  <c r="AH1980" i="105"/>
  <c r="AF1980" i="105"/>
  <c r="X1980" i="105"/>
  <c r="U1980" i="105"/>
  <c r="R1980" i="105"/>
  <c r="P1980" i="105"/>
  <c r="H1980" i="105"/>
  <c r="AI1979" i="105"/>
  <c r="AG1979" i="105"/>
  <c r="X1979" i="105"/>
  <c r="W1979" i="105"/>
  <c r="N1979" i="105"/>
  <c r="M1979" i="105"/>
  <c r="L1979" i="105"/>
  <c r="K1979" i="105"/>
  <c r="AI1978" i="105"/>
  <c r="AG1978" i="105"/>
  <c r="X1978" i="105"/>
  <c r="W1978" i="105"/>
  <c r="N1978" i="105"/>
  <c r="M1978" i="105"/>
  <c r="L1978" i="105"/>
  <c r="K1978" i="105"/>
  <c r="AI1977" i="105"/>
  <c r="AG1977" i="105"/>
  <c r="X1977" i="105"/>
  <c r="W1977" i="105"/>
  <c r="N1977" i="105"/>
  <c r="M1977" i="105"/>
  <c r="L1977" i="105"/>
  <c r="K1977" i="105"/>
  <c r="AI1976" i="105"/>
  <c r="AG1976" i="105"/>
  <c r="X1976" i="105"/>
  <c r="W1976" i="105"/>
  <c r="N1976" i="105"/>
  <c r="M1976" i="105"/>
  <c r="L1976" i="105"/>
  <c r="K1976" i="105"/>
  <c r="AI1975" i="105"/>
  <c r="AG1975" i="105"/>
  <c r="X1975" i="105"/>
  <c r="W1975" i="105"/>
  <c r="L1975" i="105"/>
  <c r="N1975" i="105" s="1"/>
  <c r="I1975" i="105" s="1"/>
  <c r="K1975" i="105"/>
  <c r="M1975" i="105" s="1"/>
  <c r="AI1974" i="105"/>
  <c r="AG1974" i="105"/>
  <c r="X1974" i="105"/>
  <c r="X1973" i="105" s="1"/>
  <c r="W1974" i="105"/>
  <c r="L1974" i="105"/>
  <c r="N1974" i="105" s="1"/>
  <c r="K1974" i="105"/>
  <c r="M1974" i="105" s="1"/>
  <c r="M1973" i="105" s="1"/>
  <c r="A1974" i="105"/>
  <c r="A1975" i="105" s="1"/>
  <c r="A1976" i="105" s="1"/>
  <c r="A1977" i="105" s="1"/>
  <c r="A1978" i="105" s="1"/>
  <c r="A1979" i="105" s="1"/>
  <c r="AH1973" i="105"/>
  <c r="AF1973" i="105"/>
  <c r="U1973" i="105"/>
  <c r="R1973" i="105"/>
  <c r="P1973" i="105"/>
  <c r="H1973" i="105"/>
  <c r="AI1972" i="105"/>
  <c r="AG1972" i="105"/>
  <c r="X1972" i="105"/>
  <c r="W1972" i="105"/>
  <c r="N1972" i="105"/>
  <c r="M1972" i="105"/>
  <c r="L1972" i="105"/>
  <c r="K1972" i="105"/>
  <c r="AI1971" i="105"/>
  <c r="AG1971" i="105"/>
  <c r="X1971" i="105"/>
  <c r="W1971" i="105"/>
  <c r="N1971" i="105"/>
  <c r="M1971" i="105"/>
  <c r="L1971" i="105"/>
  <c r="K1971" i="105"/>
  <c r="AI1970" i="105"/>
  <c r="AG1970" i="105"/>
  <c r="X1970" i="105"/>
  <c r="W1970" i="105"/>
  <c r="N1970" i="105"/>
  <c r="M1970" i="105"/>
  <c r="L1970" i="105"/>
  <c r="K1970" i="105"/>
  <c r="AI1969" i="105"/>
  <c r="AG1969" i="105"/>
  <c r="X1969" i="105"/>
  <c r="W1969" i="105"/>
  <c r="L1969" i="105"/>
  <c r="N1969" i="105" s="1"/>
  <c r="I1969" i="105" s="1"/>
  <c r="K1969" i="105"/>
  <c r="M1969" i="105" s="1"/>
  <c r="AI1968" i="105"/>
  <c r="AG1968" i="105"/>
  <c r="X1968" i="105"/>
  <c r="W1968" i="105"/>
  <c r="L1968" i="105"/>
  <c r="N1968" i="105" s="1"/>
  <c r="K1968" i="105"/>
  <c r="H1968" i="105"/>
  <c r="M1968" i="105" s="1"/>
  <c r="A1968" i="105"/>
  <c r="A1969" i="105" s="1"/>
  <c r="A1970" i="105" s="1"/>
  <c r="A1971" i="105" s="1"/>
  <c r="A1972" i="105" s="1"/>
  <c r="AH1967" i="105"/>
  <c r="AF1967" i="105"/>
  <c r="X1967" i="105"/>
  <c r="U1967" i="105"/>
  <c r="R1967" i="105"/>
  <c r="P1967" i="105"/>
  <c r="H1967" i="105"/>
  <c r="AI1966" i="105"/>
  <c r="AH1966" i="105"/>
  <c r="AG1966" i="105"/>
  <c r="X1966" i="105"/>
  <c r="W1966" i="105"/>
  <c r="R1966" i="105"/>
  <c r="Q1966" i="105"/>
  <c r="N1966" i="105"/>
  <c r="M1966" i="105"/>
  <c r="L1966" i="105"/>
  <c r="K1966" i="105"/>
  <c r="AI1965" i="105"/>
  <c r="AH1965" i="105"/>
  <c r="AG1965" i="105"/>
  <c r="X1965" i="105"/>
  <c r="W1965" i="105"/>
  <c r="R1965" i="105"/>
  <c r="Q1965" i="105"/>
  <c r="N1965" i="105"/>
  <c r="M1965" i="105"/>
  <c r="L1965" i="105"/>
  <c r="K1965" i="105"/>
  <c r="AI1964" i="105"/>
  <c r="AH1964" i="105"/>
  <c r="AG1964" i="105"/>
  <c r="X1964" i="105"/>
  <c r="W1964" i="105"/>
  <c r="R1964" i="105"/>
  <c r="Q1964" i="105"/>
  <c r="N1964" i="105"/>
  <c r="M1964" i="105"/>
  <c r="L1964" i="105"/>
  <c r="K1964" i="105"/>
  <c r="AI1963" i="105"/>
  <c r="AH1963" i="105"/>
  <c r="AG1963" i="105"/>
  <c r="W1963" i="105"/>
  <c r="X1963" i="105" s="1"/>
  <c r="R1963" i="105"/>
  <c r="Q1963" i="105"/>
  <c r="N1963" i="105"/>
  <c r="M1963" i="105"/>
  <c r="L1963" i="105"/>
  <c r="K1963" i="105"/>
  <c r="AI1962" i="105"/>
  <c r="AG1962" i="105"/>
  <c r="AH1962" i="105" s="1"/>
  <c r="W1962" i="105"/>
  <c r="X1962" i="105" s="1"/>
  <c r="R1962" i="105"/>
  <c r="Q1962" i="105"/>
  <c r="N1962" i="105"/>
  <c r="M1962" i="105"/>
  <c r="L1962" i="105"/>
  <c r="K1962" i="105"/>
  <c r="AI1961" i="105"/>
  <c r="W1961" i="105"/>
  <c r="X1961" i="105" s="1"/>
  <c r="R1961" i="105"/>
  <c r="Q1961" i="105"/>
  <c r="N1961" i="105"/>
  <c r="M1961" i="105"/>
  <c r="L1961" i="105"/>
  <c r="K1961" i="105"/>
  <c r="AI1960" i="105"/>
  <c r="AG1960" i="105"/>
  <c r="AH1960" i="105" s="1"/>
  <c r="W1960" i="105"/>
  <c r="X1960" i="105" s="1"/>
  <c r="X1959" i="105" s="1"/>
  <c r="R1960" i="105"/>
  <c r="Q1960" i="105"/>
  <c r="L1960" i="105"/>
  <c r="N1960" i="105" s="1"/>
  <c r="K1960" i="105"/>
  <c r="M1960" i="105" s="1"/>
  <c r="M1959" i="105" s="1"/>
  <c r="A1960" i="105"/>
  <c r="A1961" i="105" s="1"/>
  <c r="A1962" i="105" s="1"/>
  <c r="A1963" i="105" s="1"/>
  <c r="A1964" i="105" s="1"/>
  <c r="A1965" i="105" s="1"/>
  <c r="A1966" i="105" s="1"/>
  <c r="AF1959" i="105"/>
  <c r="U1959" i="105"/>
  <c r="R1959" i="105"/>
  <c r="P1959" i="105"/>
  <c r="H1959" i="105"/>
  <c r="AI1958" i="105"/>
  <c r="AH1958" i="105"/>
  <c r="AG1958" i="105"/>
  <c r="X1958" i="105"/>
  <c r="W1958" i="105"/>
  <c r="R1958" i="105"/>
  <c r="Q1958" i="105"/>
  <c r="N1958" i="105"/>
  <c r="M1958" i="105"/>
  <c r="L1958" i="105"/>
  <c r="K1958" i="105"/>
  <c r="AI1957" i="105"/>
  <c r="AH1957" i="105"/>
  <c r="AG1957" i="105"/>
  <c r="X1957" i="105"/>
  <c r="W1957" i="105"/>
  <c r="R1957" i="105"/>
  <c r="Q1957" i="105"/>
  <c r="N1957" i="105"/>
  <c r="M1957" i="105"/>
  <c r="L1957" i="105"/>
  <c r="K1957" i="105"/>
  <c r="AI1956" i="105"/>
  <c r="AH1956" i="105"/>
  <c r="AG1956" i="105"/>
  <c r="X1956" i="105"/>
  <c r="W1956" i="105"/>
  <c r="R1956" i="105"/>
  <c r="Q1956" i="105"/>
  <c r="N1956" i="105"/>
  <c r="M1956" i="105"/>
  <c r="L1956" i="105"/>
  <c r="K1956" i="105"/>
  <c r="AI1955" i="105"/>
  <c r="AH1955" i="105"/>
  <c r="AG1955" i="105"/>
  <c r="X1955" i="105"/>
  <c r="W1955" i="105"/>
  <c r="R1955" i="105"/>
  <c r="Q1955" i="105"/>
  <c r="N1955" i="105"/>
  <c r="M1955" i="105"/>
  <c r="L1955" i="105"/>
  <c r="K1955" i="105"/>
  <c r="AI1954" i="105"/>
  <c r="AH1954" i="105"/>
  <c r="AG1954" i="105"/>
  <c r="W1954" i="105"/>
  <c r="X1954" i="105" s="1"/>
  <c r="R1954" i="105"/>
  <c r="Q1954" i="105"/>
  <c r="N1954" i="105"/>
  <c r="M1954" i="105"/>
  <c r="L1954" i="105"/>
  <c r="K1954" i="105"/>
  <c r="AI1953" i="105"/>
  <c r="AH1953" i="105"/>
  <c r="AG1953" i="105"/>
  <c r="W1953" i="105"/>
  <c r="X1953" i="105" s="1"/>
  <c r="R1953" i="105"/>
  <c r="Q1953" i="105"/>
  <c r="N1953" i="105"/>
  <c r="M1953" i="105"/>
  <c r="L1953" i="105"/>
  <c r="K1953" i="105"/>
  <c r="AI1952" i="105"/>
  <c r="AH1952" i="105"/>
  <c r="AG1952" i="105"/>
  <c r="W1952" i="105"/>
  <c r="X1952" i="105" s="1"/>
  <c r="R1952" i="105"/>
  <c r="Q1952" i="105"/>
  <c r="N1952" i="105"/>
  <c r="M1952" i="105"/>
  <c r="L1952" i="105"/>
  <c r="K1952" i="105"/>
  <c r="AI1951" i="105"/>
  <c r="AH1951" i="105"/>
  <c r="AG1951" i="105"/>
  <c r="W1951" i="105"/>
  <c r="X1951" i="105" s="1"/>
  <c r="R1951" i="105"/>
  <c r="Q1951" i="105"/>
  <c r="N1951" i="105"/>
  <c r="M1951" i="105"/>
  <c r="L1951" i="105"/>
  <c r="K1951" i="105"/>
  <c r="AI1950" i="105"/>
  <c r="AH1950" i="105"/>
  <c r="AG1950" i="105"/>
  <c r="W1950" i="105"/>
  <c r="X1950" i="105" s="1"/>
  <c r="R1950" i="105"/>
  <c r="Q1950" i="105"/>
  <c r="N1950" i="105"/>
  <c r="M1950" i="105"/>
  <c r="L1950" i="105"/>
  <c r="K1950" i="105"/>
  <c r="AI1949" i="105"/>
  <c r="AH1949" i="105"/>
  <c r="AG1949" i="105"/>
  <c r="W1949" i="105"/>
  <c r="X1949" i="105" s="1"/>
  <c r="R1949" i="105"/>
  <c r="Q1949" i="105"/>
  <c r="N1949" i="105"/>
  <c r="M1949" i="105"/>
  <c r="L1949" i="105"/>
  <c r="K1949" i="105"/>
  <c r="AI1948" i="105"/>
  <c r="AH1948" i="105"/>
  <c r="AG1948" i="105"/>
  <c r="W1948" i="105"/>
  <c r="X1948" i="105" s="1"/>
  <c r="R1948" i="105"/>
  <c r="Q1948" i="105"/>
  <c r="N1948" i="105"/>
  <c r="M1948" i="105"/>
  <c r="L1948" i="105"/>
  <c r="K1948" i="105"/>
  <c r="AI1947" i="105"/>
  <c r="AH1947" i="105"/>
  <c r="AG1947" i="105"/>
  <c r="W1947" i="105"/>
  <c r="X1947" i="105" s="1"/>
  <c r="R1947" i="105"/>
  <c r="Q1947" i="105"/>
  <c r="N1947" i="105"/>
  <c r="M1947" i="105"/>
  <c r="L1947" i="105"/>
  <c r="K1947" i="105"/>
  <c r="AI1946" i="105"/>
  <c r="AH1946" i="105"/>
  <c r="AG1946" i="105"/>
  <c r="W1946" i="105"/>
  <c r="X1946" i="105" s="1"/>
  <c r="R1946" i="105"/>
  <c r="Q1946" i="105"/>
  <c r="N1946" i="105"/>
  <c r="M1946" i="105"/>
  <c r="L1946" i="105"/>
  <c r="K1946" i="105"/>
  <c r="AI1945" i="105"/>
  <c r="AH1945" i="105"/>
  <c r="AG1945" i="105"/>
  <c r="W1945" i="105"/>
  <c r="X1945" i="105" s="1"/>
  <c r="R1945" i="105"/>
  <c r="Q1945" i="105"/>
  <c r="N1945" i="105"/>
  <c r="M1945" i="105"/>
  <c r="L1945" i="105"/>
  <c r="K1945" i="105"/>
  <c r="AI1944" i="105"/>
  <c r="AH1944" i="105"/>
  <c r="AG1944" i="105"/>
  <c r="W1944" i="105"/>
  <c r="X1944" i="105" s="1"/>
  <c r="R1944" i="105"/>
  <c r="Q1944" i="105"/>
  <c r="N1944" i="105"/>
  <c r="M1944" i="105"/>
  <c r="L1944" i="105"/>
  <c r="K1944" i="105"/>
  <c r="AI1943" i="105"/>
  <c r="AH1943" i="105"/>
  <c r="AG1943" i="105"/>
  <c r="W1943" i="105"/>
  <c r="X1943" i="105" s="1"/>
  <c r="X1942" i="105" s="1"/>
  <c r="R1943" i="105"/>
  <c r="Q1943" i="105"/>
  <c r="N1943" i="105"/>
  <c r="M1943" i="105"/>
  <c r="L1943" i="105"/>
  <c r="K1943" i="105"/>
  <c r="A1943" i="105"/>
  <c r="A1944" i="105" s="1"/>
  <c r="A1945" i="105" s="1"/>
  <c r="A1946" i="105" s="1"/>
  <c r="A1947" i="105" s="1"/>
  <c r="A1948" i="105" s="1"/>
  <c r="A1949" i="105" s="1"/>
  <c r="A1950" i="105" s="1"/>
  <c r="A1951" i="105" s="1"/>
  <c r="A1952" i="105" s="1"/>
  <c r="A1953" i="105" s="1"/>
  <c r="A1954" i="105" s="1"/>
  <c r="A1955" i="105" s="1"/>
  <c r="A1956" i="105" s="1"/>
  <c r="A1957" i="105" s="1"/>
  <c r="A1958" i="105" s="1"/>
  <c r="AH1942" i="105"/>
  <c r="AF1942" i="105"/>
  <c r="U1942" i="105"/>
  <c r="R1942" i="105"/>
  <c r="P1942" i="105"/>
  <c r="N1942" i="105"/>
  <c r="M1942" i="105"/>
  <c r="AI1942" i="105" s="1"/>
  <c r="I1942" i="105"/>
  <c r="H1942" i="105"/>
  <c r="AI1941" i="105"/>
  <c r="AH1941" i="105"/>
  <c r="AG1941" i="105"/>
  <c r="X1941" i="105"/>
  <c r="W1941" i="105"/>
  <c r="R1941" i="105"/>
  <c r="Q1941" i="105"/>
  <c r="N1941" i="105"/>
  <c r="M1941" i="105"/>
  <c r="L1941" i="105"/>
  <c r="K1941" i="105"/>
  <c r="AI1940" i="105"/>
  <c r="AH1940" i="105"/>
  <c r="AG1940" i="105"/>
  <c r="X1940" i="105"/>
  <c r="W1940" i="105"/>
  <c r="R1940" i="105"/>
  <c r="Q1940" i="105"/>
  <c r="N1940" i="105"/>
  <c r="M1940" i="105"/>
  <c r="L1940" i="105"/>
  <c r="K1940" i="105"/>
  <c r="AI1939" i="105"/>
  <c r="AH1939" i="105"/>
  <c r="AG1939" i="105"/>
  <c r="X1939" i="105"/>
  <c r="W1939" i="105"/>
  <c r="R1939" i="105"/>
  <c r="Q1939" i="105"/>
  <c r="N1939" i="105"/>
  <c r="M1939" i="105"/>
  <c r="L1939" i="105"/>
  <c r="K1939" i="105"/>
  <c r="AI1938" i="105"/>
  <c r="AH1938" i="105"/>
  <c r="AG1938" i="105"/>
  <c r="X1938" i="105"/>
  <c r="W1938" i="105"/>
  <c r="R1938" i="105"/>
  <c r="Q1938" i="105"/>
  <c r="N1938" i="105"/>
  <c r="M1938" i="105"/>
  <c r="L1938" i="105"/>
  <c r="K1938" i="105"/>
  <c r="AI1937" i="105"/>
  <c r="AH1937" i="105"/>
  <c r="AG1937" i="105"/>
  <c r="X1937" i="105"/>
  <c r="W1937" i="105"/>
  <c r="R1937" i="105"/>
  <c r="Q1937" i="105"/>
  <c r="N1937" i="105"/>
  <c r="M1937" i="105"/>
  <c r="L1937" i="105"/>
  <c r="K1937" i="105"/>
  <c r="AI1936" i="105"/>
  <c r="AH1936" i="105"/>
  <c r="AG1936" i="105"/>
  <c r="X1936" i="105"/>
  <c r="W1936" i="105"/>
  <c r="R1936" i="105"/>
  <c r="Q1936" i="105"/>
  <c r="N1936" i="105"/>
  <c r="M1936" i="105"/>
  <c r="L1936" i="105"/>
  <c r="K1936" i="105"/>
  <c r="AI1935" i="105"/>
  <c r="AH1935" i="105"/>
  <c r="AG1935" i="105"/>
  <c r="X1935" i="105"/>
  <c r="W1935" i="105"/>
  <c r="R1935" i="105"/>
  <c r="Q1935" i="105"/>
  <c r="N1935" i="105"/>
  <c r="M1935" i="105"/>
  <c r="L1935" i="105"/>
  <c r="K1935" i="105"/>
  <c r="AI1934" i="105"/>
  <c r="AH1934" i="105"/>
  <c r="AG1934" i="105"/>
  <c r="X1934" i="105"/>
  <c r="W1934" i="105"/>
  <c r="R1934" i="105"/>
  <c r="Q1934" i="105"/>
  <c r="N1934" i="105"/>
  <c r="M1934" i="105"/>
  <c r="L1934" i="105"/>
  <c r="K1934" i="105"/>
  <c r="AI1933" i="105"/>
  <c r="AH1933" i="105"/>
  <c r="AG1933" i="105"/>
  <c r="X1933" i="105"/>
  <c r="W1933" i="105"/>
  <c r="R1933" i="105"/>
  <c r="Q1933" i="105"/>
  <c r="N1933" i="105"/>
  <c r="M1933" i="105"/>
  <c r="L1933" i="105"/>
  <c r="K1933" i="105"/>
  <c r="AI1932" i="105"/>
  <c r="AH1932" i="105"/>
  <c r="AG1932" i="105"/>
  <c r="X1932" i="105"/>
  <c r="W1932" i="105"/>
  <c r="R1932" i="105"/>
  <c r="Q1932" i="105"/>
  <c r="N1932" i="105"/>
  <c r="M1932" i="105"/>
  <c r="L1932" i="105"/>
  <c r="K1932" i="105"/>
  <c r="AI1931" i="105"/>
  <c r="AH1931" i="105"/>
  <c r="AG1931" i="105"/>
  <c r="X1931" i="105"/>
  <c r="W1931" i="105"/>
  <c r="R1931" i="105"/>
  <c r="Q1931" i="105"/>
  <c r="N1931" i="105"/>
  <c r="M1931" i="105"/>
  <c r="L1931" i="105"/>
  <c r="K1931" i="105"/>
  <c r="AI1930" i="105"/>
  <c r="AH1930" i="105"/>
  <c r="AG1930" i="105"/>
  <c r="X1930" i="105"/>
  <c r="W1930" i="105"/>
  <c r="R1930" i="105"/>
  <c r="Q1930" i="105"/>
  <c r="N1930" i="105"/>
  <c r="M1930" i="105"/>
  <c r="L1930" i="105"/>
  <c r="K1930" i="105"/>
  <c r="AI1929" i="105"/>
  <c r="AH1929" i="105"/>
  <c r="AG1929" i="105"/>
  <c r="X1929" i="105"/>
  <c r="W1929" i="105"/>
  <c r="R1929" i="105"/>
  <c r="Q1929" i="105"/>
  <c r="N1929" i="105"/>
  <c r="M1929" i="105"/>
  <c r="L1929" i="105"/>
  <c r="K1929" i="105"/>
  <c r="AI1928" i="105"/>
  <c r="AH1928" i="105"/>
  <c r="AG1928" i="105"/>
  <c r="X1928" i="105"/>
  <c r="W1928" i="105"/>
  <c r="R1928" i="105"/>
  <c r="Q1928" i="105"/>
  <c r="N1928" i="105"/>
  <c r="M1928" i="105"/>
  <c r="L1928" i="105"/>
  <c r="K1928" i="105"/>
  <c r="AI1927" i="105"/>
  <c r="AH1927" i="105"/>
  <c r="AG1927" i="105"/>
  <c r="X1927" i="105"/>
  <c r="W1927" i="105"/>
  <c r="R1927" i="105"/>
  <c r="Q1927" i="105"/>
  <c r="N1927" i="105"/>
  <c r="M1927" i="105"/>
  <c r="L1927" i="105"/>
  <c r="K1927" i="105"/>
  <c r="AI1926" i="105"/>
  <c r="AH1926" i="105"/>
  <c r="AG1926" i="105"/>
  <c r="X1926" i="105"/>
  <c r="W1926" i="105"/>
  <c r="R1926" i="105"/>
  <c r="Q1926" i="105"/>
  <c r="N1926" i="105"/>
  <c r="M1926" i="105"/>
  <c r="L1926" i="105"/>
  <c r="K1926" i="105"/>
  <c r="AI1925" i="105"/>
  <c r="AH1925" i="105"/>
  <c r="AG1925" i="105"/>
  <c r="X1925" i="105"/>
  <c r="W1925" i="105"/>
  <c r="R1925" i="105"/>
  <c r="Q1925" i="105"/>
  <c r="N1925" i="105"/>
  <c r="M1925" i="105"/>
  <c r="L1925" i="105"/>
  <c r="K1925" i="105"/>
  <c r="AI1924" i="105"/>
  <c r="AH1924" i="105"/>
  <c r="AG1924" i="105"/>
  <c r="X1924" i="105"/>
  <c r="W1924" i="105"/>
  <c r="R1924" i="105"/>
  <c r="Q1924" i="105"/>
  <c r="N1924" i="105"/>
  <c r="M1924" i="105"/>
  <c r="L1924" i="105"/>
  <c r="K1924" i="105"/>
  <c r="AI1923" i="105"/>
  <c r="AH1923" i="105"/>
  <c r="AG1923" i="105"/>
  <c r="X1923" i="105"/>
  <c r="W1923" i="105"/>
  <c r="R1923" i="105"/>
  <c r="Q1923" i="105"/>
  <c r="N1923" i="105"/>
  <c r="M1923" i="105"/>
  <c r="L1923" i="105"/>
  <c r="K1923" i="105"/>
  <c r="AI1922" i="105"/>
  <c r="AH1922" i="105"/>
  <c r="AG1922" i="105"/>
  <c r="X1922" i="105"/>
  <c r="W1922" i="105"/>
  <c r="R1922" i="105"/>
  <c r="Q1922" i="105"/>
  <c r="N1922" i="105"/>
  <c r="M1922" i="105"/>
  <c r="L1922" i="105"/>
  <c r="K1922" i="105"/>
  <c r="AI1921" i="105"/>
  <c r="AH1921" i="105"/>
  <c r="AG1921" i="105"/>
  <c r="X1921" i="105"/>
  <c r="W1921" i="105"/>
  <c r="R1921" i="105"/>
  <c r="Q1921" i="105"/>
  <c r="N1921" i="105"/>
  <c r="M1921" i="105"/>
  <c r="L1921" i="105"/>
  <c r="K1921" i="105"/>
  <c r="AI1920" i="105"/>
  <c r="AH1920" i="105"/>
  <c r="AG1920" i="105"/>
  <c r="X1920" i="105"/>
  <c r="W1920" i="105"/>
  <c r="R1920" i="105"/>
  <c r="Q1920" i="105"/>
  <c r="N1920" i="105"/>
  <c r="M1920" i="105"/>
  <c r="L1920" i="105"/>
  <c r="K1920" i="105"/>
  <c r="AI1919" i="105"/>
  <c r="AH1919" i="105"/>
  <c r="AG1919" i="105"/>
  <c r="X1919" i="105"/>
  <c r="W1919" i="105"/>
  <c r="R1919" i="105"/>
  <c r="Q1919" i="105"/>
  <c r="N1919" i="105"/>
  <c r="M1919" i="105"/>
  <c r="L1919" i="105"/>
  <c r="K1919" i="105"/>
  <c r="AI1918" i="105"/>
  <c r="AH1918" i="105"/>
  <c r="AG1918" i="105"/>
  <c r="X1918" i="105"/>
  <c r="W1918" i="105"/>
  <c r="R1918" i="105"/>
  <c r="Q1918" i="105"/>
  <c r="N1918" i="105"/>
  <c r="M1918" i="105"/>
  <c r="L1918" i="105"/>
  <c r="K1918" i="105"/>
  <c r="AI1917" i="105"/>
  <c r="X1917" i="105"/>
  <c r="W1917" i="105"/>
  <c r="R1917" i="105"/>
  <c r="Q1917" i="105"/>
  <c r="L1917" i="105"/>
  <c r="N1917" i="105" s="1"/>
  <c r="I1917" i="105" s="1"/>
  <c r="K1917" i="105"/>
  <c r="M1917" i="105" s="1"/>
  <c r="AI1916" i="105"/>
  <c r="AG1916" i="105"/>
  <c r="AH1916" i="105" s="1"/>
  <c r="AH1915" i="105" s="1"/>
  <c r="W1916" i="105"/>
  <c r="X1916" i="105" s="1"/>
  <c r="X1915" i="105" s="1"/>
  <c r="Q1916" i="105"/>
  <c r="R1916" i="105" s="1"/>
  <c r="R1915" i="105" s="1"/>
  <c r="L1916" i="105"/>
  <c r="K1916" i="105"/>
  <c r="H1916" i="105"/>
  <c r="M1916" i="105" s="1"/>
  <c r="M1915" i="105" s="1"/>
  <c r="A1916" i="105"/>
  <c r="A1917" i="105" s="1"/>
  <c r="A1918" i="105" s="1"/>
  <c r="A1919" i="105" s="1"/>
  <c r="A1920" i="105" s="1"/>
  <c r="A1921" i="105" s="1"/>
  <c r="A1922" i="105" s="1"/>
  <c r="A1923" i="105" s="1"/>
  <c r="A1924" i="105" s="1"/>
  <c r="A1925" i="105" s="1"/>
  <c r="A1926" i="105" s="1"/>
  <c r="A1927" i="105" s="1"/>
  <c r="A1928" i="105" s="1"/>
  <c r="A1929" i="105" s="1"/>
  <c r="A1930" i="105" s="1"/>
  <c r="A1931" i="105" s="1"/>
  <c r="A1932" i="105" s="1"/>
  <c r="A1933" i="105" s="1"/>
  <c r="A1934" i="105" s="1"/>
  <c r="A1935" i="105" s="1"/>
  <c r="A1936" i="105" s="1"/>
  <c r="A1937" i="105" s="1"/>
  <c r="A1938" i="105" s="1"/>
  <c r="A1939" i="105" s="1"/>
  <c r="A1940" i="105" s="1"/>
  <c r="A1941" i="105" s="1"/>
  <c r="AF1915" i="105"/>
  <c r="U1915" i="105"/>
  <c r="P1915" i="105"/>
  <c r="H1915" i="105"/>
  <c r="AI1914" i="105"/>
  <c r="AH1914" i="105"/>
  <c r="AG1914" i="105"/>
  <c r="X1914" i="105"/>
  <c r="W1914" i="105"/>
  <c r="R1914" i="105"/>
  <c r="Q1914" i="105"/>
  <c r="N1914" i="105"/>
  <c r="M1914" i="105"/>
  <c r="L1914" i="105"/>
  <c r="K1914" i="105"/>
  <c r="AI1913" i="105"/>
  <c r="AH1913" i="105"/>
  <c r="AG1913" i="105"/>
  <c r="X1913" i="105"/>
  <c r="W1913" i="105"/>
  <c r="R1913" i="105"/>
  <c r="Q1913" i="105"/>
  <c r="N1913" i="105"/>
  <c r="M1913" i="105"/>
  <c r="L1913" i="105"/>
  <c r="K1913" i="105"/>
  <c r="AI1912" i="105"/>
  <c r="AH1912" i="105"/>
  <c r="AG1912" i="105"/>
  <c r="X1912" i="105"/>
  <c r="W1912" i="105"/>
  <c r="R1912" i="105"/>
  <c r="Q1912" i="105"/>
  <c r="N1912" i="105"/>
  <c r="M1912" i="105"/>
  <c r="L1912" i="105"/>
  <c r="K1912" i="105"/>
  <c r="AI1911" i="105"/>
  <c r="AH1911" i="105"/>
  <c r="AG1911" i="105"/>
  <c r="X1911" i="105"/>
  <c r="W1911" i="105"/>
  <c r="R1911" i="105"/>
  <c r="Q1911" i="105"/>
  <c r="N1911" i="105"/>
  <c r="M1911" i="105"/>
  <c r="L1911" i="105"/>
  <c r="K1911" i="105"/>
  <c r="AI1910" i="105"/>
  <c r="AH1910" i="105"/>
  <c r="AG1910" i="105"/>
  <c r="X1910" i="105"/>
  <c r="W1910" i="105"/>
  <c r="R1910" i="105"/>
  <c r="Q1910" i="105"/>
  <c r="N1910" i="105"/>
  <c r="M1910" i="105"/>
  <c r="L1910" i="105"/>
  <c r="K1910" i="105"/>
  <c r="AI1909" i="105"/>
  <c r="AH1909" i="105"/>
  <c r="AH1907" i="105" s="1"/>
  <c r="AG1909" i="105"/>
  <c r="X1909" i="105"/>
  <c r="W1909" i="105"/>
  <c r="R1909" i="105"/>
  <c r="Q1909" i="105"/>
  <c r="L1909" i="105"/>
  <c r="N1909" i="105" s="1"/>
  <c r="I1909" i="105" s="1"/>
  <c r="K1909" i="105"/>
  <c r="H1909" i="105"/>
  <c r="M1909" i="105" s="1"/>
  <c r="A1909" i="105"/>
  <c r="A1910" i="105" s="1"/>
  <c r="A1911" i="105" s="1"/>
  <c r="A1912" i="105" s="1"/>
  <c r="A1913" i="105" s="1"/>
  <c r="A1914" i="105" s="1"/>
  <c r="AI1908" i="105"/>
  <c r="X1908" i="105"/>
  <c r="X1907" i="105" s="1"/>
  <c r="W1908" i="105"/>
  <c r="R1908" i="105"/>
  <c r="R1907" i="105" s="1"/>
  <c r="Q1908" i="105"/>
  <c r="L1908" i="105"/>
  <c r="N1908" i="105" s="1"/>
  <c r="K1908" i="105"/>
  <c r="M1908" i="105" s="1"/>
  <c r="M1907" i="105" s="1"/>
  <c r="A1908" i="105"/>
  <c r="AF1907" i="105"/>
  <c r="U1907" i="105"/>
  <c r="P1907" i="105"/>
  <c r="H1907" i="105"/>
  <c r="AI1906" i="105"/>
  <c r="AH1906" i="105"/>
  <c r="AG1906" i="105"/>
  <c r="X1906" i="105"/>
  <c r="W1906" i="105"/>
  <c r="R1906" i="105"/>
  <c r="Q1906" i="105"/>
  <c r="N1906" i="105"/>
  <c r="M1906" i="105"/>
  <c r="L1906" i="105"/>
  <c r="K1906" i="105"/>
  <c r="AI1905" i="105"/>
  <c r="AH1905" i="105"/>
  <c r="AG1905" i="105"/>
  <c r="X1905" i="105"/>
  <c r="W1905" i="105"/>
  <c r="R1905" i="105"/>
  <c r="Q1905" i="105"/>
  <c r="N1905" i="105"/>
  <c r="M1905" i="105"/>
  <c r="L1905" i="105"/>
  <c r="K1905" i="105"/>
  <c r="AI1904" i="105"/>
  <c r="AH1904" i="105"/>
  <c r="AG1904" i="105"/>
  <c r="X1904" i="105"/>
  <c r="W1904" i="105"/>
  <c r="R1904" i="105"/>
  <c r="Q1904" i="105"/>
  <c r="N1904" i="105"/>
  <c r="M1904" i="105"/>
  <c r="L1904" i="105"/>
  <c r="K1904" i="105"/>
  <c r="AI1903" i="105"/>
  <c r="AH1903" i="105"/>
  <c r="AG1903" i="105"/>
  <c r="X1903" i="105"/>
  <c r="W1903" i="105"/>
  <c r="R1903" i="105"/>
  <c r="Q1903" i="105"/>
  <c r="N1903" i="105"/>
  <c r="M1903" i="105"/>
  <c r="L1903" i="105"/>
  <c r="K1903" i="105"/>
  <c r="AI1902" i="105"/>
  <c r="AH1902" i="105"/>
  <c r="AG1902" i="105"/>
  <c r="X1902" i="105"/>
  <c r="W1902" i="105"/>
  <c r="R1902" i="105"/>
  <c r="Q1902" i="105"/>
  <c r="N1902" i="105"/>
  <c r="M1902" i="105"/>
  <c r="L1902" i="105"/>
  <c r="K1902" i="105"/>
  <c r="AI1901" i="105"/>
  <c r="AH1901" i="105"/>
  <c r="AG1901" i="105"/>
  <c r="X1901" i="105"/>
  <c r="W1901" i="105"/>
  <c r="R1901" i="105"/>
  <c r="Q1901" i="105"/>
  <c r="N1901" i="105"/>
  <c r="M1901" i="105"/>
  <c r="L1901" i="105"/>
  <c r="K1901" i="105"/>
  <c r="AI1900" i="105"/>
  <c r="AH1900" i="105"/>
  <c r="AG1900" i="105"/>
  <c r="X1900" i="105"/>
  <c r="W1900" i="105"/>
  <c r="R1900" i="105"/>
  <c r="Q1900" i="105"/>
  <c r="N1900" i="105"/>
  <c r="M1900" i="105"/>
  <c r="L1900" i="105"/>
  <c r="K1900" i="105"/>
  <c r="A1900" i="105"/>
  <c r="A1901" i="105" s="1"/>
  <c r="A1902" i="105" s="1"/>
  <c r="A1903" i="105" s="1"/>
  <c r="A1904" i="105" s="1"/>
  <c r="A1905" i="105" s="1"/>
  <c r="A1906" i="105" s="1"/>
  <c r="AH1899" i="105"/>
  <c r="AF1899" i="105"/>
  <c r="X1899" i="105"/>
  <c r="U1899" i="105"/>
  <c r="R1899" i="105"/>
  <c r="P1899" i="105"/>
  <c r="N1899" i="105"/>
  <c r="M1899" i="105"/>
  <c r="AI1899" i="105" s="1"/>
  <c r="I1899" i="105"/>
  <c r="H1899" i="105"/>
  <c r="AI1898" i="105"/>
  <c r="AH1898" i="105"/>
  <c r="AG1898" i="105"/>
  <c r="X1898" i="105"/>
  <c r="W1898" i="105"/>
  <c r="R1898" i="105"/>
  <c r="Q1898" i="105"/>
  <c r="N1898" i="105"/>
  <c r="M1898" i="105"/>
  <c r="L1898" i="105"/>
  <c r="K1898" i="105"/>
  <c r="AI1897" i="105"/>
  <c r="AH1897" i="105"/>
  <c r="AG1897" i="105"/>
  <c r="X1897" i="105"/>
  <c r="W1897" i="105"/>
  <c r="R1897" i="105"/>
  <c r="Q1897" i="105"/>
  <c r="N1897" i="105"/>
  <c r="M1897" i="105"/>
  <c r="L1897" i="105"/>
  <c r="K1897" i="105"/>
  <c r="AI1896" i="105"/>
  <c r="AH1896" i="105"/>
  <c r="AG1896" i="105"/>
  <c r="X1896" i="105"/>
  <c r="W1896" i="105"/>
  <c r="R1896" i="105"/>
  <c r="Q1896" i="105"/>
  <c r="N1896" i="105"/>
  <c r="M1896" i="105"/>
  <c r="L1896" i="105"/>
  <c r="K1896" i="105"/>
  <c r="AI1895" i="105"/>
  <c r="AH1895" i="105"/>
  <c r="AG1895" i="105"/>
  <c r="X1895" i="105"/>
  <c r="W1895" i="105"/>
  <c r="R1895" i="105"/>
  <c r="Q1895" i="105"/>
  <c r="N1895" i="105"/>
  <c r="M1895" i="105"/>
  <c r="L1895" i="105"/>
  <c r="K1895" i="105"/>
  <c r="AI1894" i="105"/>
  <c r="AH1894" i="105"/>
  <c r="AG1894" i="105"/>
  <c r="X1894" i="105"/>
  <c r="W1894" i="105"/>
  <c r="R1894" i="105"/>
  <c r="Q1894" i="105"/>
  <c r="N1894" i="105"/>
  <c r="M1894" i="105"/>
  <c r="L1894" i="105"/>
  <c r="K1894" i="105"/>
  <c r="AI1893" i="105"/>
  <c r="AH1893" i="105"/>
  <c r="AG1893" i="105"/>
  <c r="X1893" i="105"/>
  <c r="W1893" i="105"/>
  <c r="R1893" i="105"/>
  <c r="Q1893" i="105"/>
  <c r="N1893" i="105"/>
  <c r="M1893" i="105"/>
  <c r="L1893" i="105"/>
  <c r="K1893" i="105"/>
  <c r="AI1892" i="105"/>
  <c r="AH1892" i="105"/>
  <c r="AG1892" i="105"/>
  <c r="X1892" i="105"/>
  <c r="W1892" i="105"/>
  <c r="R1892" i="105"/>
  <c r="Q1892" i="105"/>
  <c r="N1892" i="105"/>
  <c r="M1892" i="105"/>
  <c r="L1892" i="105"/>
  <c r="K1892" i="105"/>
  <c r="A1892" i="105"/>
  <c r="A1893" i="105" s="1"/>
  <c r="A1894" i="105" s="1"/>
  <c r="A1895" i="105" s="1"/>
  <c r="A1896" i="105" s="1"/>
  <c r="A1897" i="105" s="1"/>
  <c r="A1898" i="105" s="1"/>
  <c r="AH1891" i="105"/>
  <c r="AF1891" i="105"/>
  <c r="X1891" i="105"/>
  <c r="U1891" i="105"/>
  <c r="R1891" i="105"/>
  <c r="P1891" i="105"/>
  <c r="N1891" i="105"/>
  <c r="M1891" i="105"/>
  <c r="AI1891" i="105" s="1"/>
  <c r="I1891" i="105"/>
  <c r="H1891" i="105"/>
  <c r="AI1890" i="105"/>
  <c r="AG1890" i="105"/>
  <c r="X1890" i="105"/>
  <c r="W1890" i="105"/>
  <c r="N1890" i="105"/>
  <c r="M1890" i="105"/>
  <c r="L1890" i="105"/>
  <c r="K1890" i="105"/>
  <c r="AI1889" i="105"/>
  <c r="AG1889" i="105"/>
  <c r="X1889" i="105"/>
  <c r="W1889" i="105"/>
  <c r="N1889" i="105"/>
  <c r="M1889" i="105"/>
  <c r="L1889" i="105"/>
  <c r="K1889" i="105"/>
  <c r="AI1888" i="105"/>
  <c r="AG1888" i="105"/>
  <c r="X1888" i="105"/>
  <c r="W1888" i="105"/>
  <c r="N1888" i="105"/>
  <c r="M1888" i="105"/>
  <c r="L1888" i="105"/>
  <c r="K1888" i="105"/>
  <c r="AI1887" i="105"/>
  <c r="AG1887" i="105"/>
  <c r="X1887" i="105"/>
  <c r="W1887" i="105"/>
  <c r="N1887" i="105"/>
  <c r="M1887" i="105"/>
  <c r="L1887" i="105"/>
  <c r="K1887" i="105"/>
  <c r="AI1886" i="105"/>
  <c r="AG1886" i="105"/>
  <c r="X1886" i="105"/>
  <c r="W1886" i="105"/>
  <c r="N1886" i="105"/>
  <c r="M1886" i="105"/>
  <c r="L1886" i="105"/>
  <c r="K1886" i="105"/>
  <c r="AI1885" i="105"/>
  <c r="AG1885" i="105"/>
  <c r="X1885" i="105"/>
  <c r="W1885" i="105"/>
  <c r="N1885" i="105"/>
  <c r="M1885" i="105"/>
  <c r="L1885" i="105"/>
  <c r="K1885" i="105"/>
  <c r="AI1884" i="105"/>
  <c r="AG1884" i="105"/>
  <c r="X1884" i="105"/>
  <c r="W1884" i="105"/>
  <c r="N1884" i="105"/>
  <c r="M1884" i="105"/>
  <c r="L1884" i="105"/>
  <c r="K1884" i="105"/>
  <c r="AI1883" i="105"/>
  <c r="AG1883" i="105"/>
  <c r="X1883" i="105"/>
  <c r="W1883" i="105"/>
  <c r="N1883" i="105"/>
  <c r="M1883" i="105"/>
  <c r="L1883" i="105"/>
  <c r="K1883" i="105"/>
  <c r="AI1882" i="105"/>
  <c r="AG1882" i="105"/>
  <c r="X1882" i="105"/>
  <c r="W1882" i="105"/>
  <c r="L1882" i="105"/>
  <c r="N1882" i="105" s="1"/>
  <c r="I1882" i="105" s="1"/>
  <c r="K1882" i="105"/>
  <c r="M1882" i="105" s="1"/>
  <c r="AI1881" i="105"/>
  <c r="AG1881" i="105"/>
  <c r="X1881" i="105"/>
  <c r="X1880" i="105" s="1"/>
  <c r="W1881" i="105"/>
  <c r="L1881" i="105"/>
  <c r="N1881" i="105" s="1"/>
  <c r="K1881" i="105"/>
  <c r="M1881" i="105" s="1"/>
  <c r="M1880" i="105" s="1"/>
  <c r="A1881" i="105"/>
  <c r="A1882" i="105" s="1"/>
  <c r="A1883" i="105" s="1"/>
  <c r="A1884" i="105" s="1"/>
  <c r="A1885" i="105" s="1"/>
  <c r="A1886" i="105" s="1"/>
  <c r="A1887" i="105" s="1"/>
  <c r="A1888" i="105" s="1"/>
  <c r="A1889" i="105" s="1"/>
  <c r="A1890" i="105" s="1"/>
  <c r="AH1880" i="105"/>
  <c r="AF1880" i="105"/>
  <c r="U1880" i="105"/>
  <c r="R1880" i="105"/>
  <c r="P1880" i="105"/>
  <c r="H1880" i="105"/>
  <c r="AI1879" i="105"/>
  <c r="AG1879" i="105"/>
  <c r="X1879" i="105"/>
  <c r="W1879" i="105"/>
  <c r="N1879" i="105"/>
  <c r="M1879" i="105"/>
  <c r="L1879" i="105"/>
  <c r="K1879" i="105"/>
  <c r="AI1878" i="105"/>
  <c r="AG1878" i="105"/>
  <c r="X1878" i="105"/>
  <c r="W1878" i="105"/>
  <c r="N1878" i="105"/>
  <c r="M1878" i="105"/>
  <c r="L1878" i="105"/>
  <c r="K1878" i="105"/>
  <c r="AI1877" i="105"/>
  <c r="AG1877" i="105"/>
  <c r="X1877" i="105"/>
  <c r="W1877" i="105"/>
  <c r="N1877" i="105"/>
  <c r="M1877" i="105"/>
  <c r="L1877" i="105"/>
  <c r="K1877" i="105"/>
  <c r="AI1876" i="105"/>
  <c r="AG1876" i="105"/>
  <c r="X1876" i="105"/>
  <c r="W1876" i="105"/>
  <c r="N1876" i="105"/>
  <c r="M1876" i="105"/>
  <c r="L1876" i="105"/>
  <c r="K1876" i="105"/>
  <c r="AI1875" i="105"/>
  <c r="AG1875" i="105"/>
  <c r="X1875" i="105"/>
  <c r="W1875" i="105"/>
  <c r="L1875" i="105"/>
  <c r="N1875" i="105" s="1"/>
  <c r="K1875" i="105"/>
  <c r="M1875" i="105" s="1"/>
  <c r="M1874" i="105" s="1"/>
  <c r="A1875" i="105"/>
  <c r="A1876" i="105" s="1"/>
  <c r="A1877" i="105" s="1"/>
  <c r="A1878" i="105" s="1"/>
  <c r="A1879" i="105" s="1"/>
  <c r="AH1874" i="105"/>
  <c r="AF1874" i="105"/>
  <c r="X1874" i="105"/>
  <c r="U1874" i="105"/>
  <c r="R1874" i="105"/>
  <c r="P1874" i="105"/>
  <c r="H1874" i="105"/>
  <c r="AI1873" i="105"/>
  <c r="AH1873" i="105"/>
  <c r="AG1873" i="105"/>
  <c r="X1873" i="105"/>
  <c r="W1873" i="105"/>
  <c r="R1873" i="105"/>
  <c r="Q1873" i="105"/>
  <c r="N1873" i="105"/>
  <c r="M1873" i="105"/>
  <c r="L1873" i="105"/>
  <c r="K1873" i="105"/>
  <c r="AI1872" i="105"/>
  <c r="AH1872" i="105"/>
  <c r="AG1872" i="105"/>
  <c r="X1872" i="105"/>
  <c r="W1872" i="105"/>
  <c r="R1872" i="105"/>
  <c r="Q1872" i="105"/>
  <c r="N1872" i="105"/>
  <c r="M1872" i="105"/>
  <c r="L1872" i="105"/>
  <c r="K1872" i="105"/>
  <c r="AI1871" i="105"/>
  <c r="AH1871" i="105"/>
  <c r="AG1871" i="105"/>
  <c r="X1871" i="105"/>
  <c r="W1871" i="105"/>
  <c r="R1871" i="105"/>
  <c r="Q1871" i="105"/>
  <c r="N1871" i="105"/>
  <c r="M1871" i="105"/>
  <c r="L1871" i="105"/>
  <c r="K1871" i="105"/>
  <c r="AI1870" i="105"/>
  <c r="AH1870" i="105"/>
  <c r="AG1870" i="105"/>
  <c r="X1870" i="105"/>
  <c r="W1870" i="105"/>
  <c r="R1870" i="105"/>
  <c r="Q1870" i="105"/>
  <c r="N1870" i="105"/>
  <c r="M1870" i="105"/>
  <c r="L1870" i="105"/>
  <c r="K1870" i="105"/>
  <c r="AI1869" i="105"/>
  <c r="AH1869" i="105"/>
  <c r="AG1869" i="105"/>
  <c r="X1869" i="105"/>
  <c r="W1869" i="105"/>
  <c r="R1869" i="105"/>
  <c r="Q1869" i="105"/>
  <c r="L1869" i="105"/>
  <c r="N1869" i="105" s="1"/>
  <c r="I1869" i="105" s="1"/>
  <c r="K1869" i="105"/>
  <c r="M1869" i="105" s="1"/>
  <c r="AI1868" i="105"/>
  <c r="AH1868" i="105"/>
  <c r="AH1866" i="105" s="1"/>
  <c r="AG1868" i="105"/>
  <c r="X1868" i="105"/>
  <c r="W1868" i="105"/>
  <c r="R1868" i="105"/>
  <c r="Q1868" i="105"/>
  <c r="L1868" i="105"/>
  <c r="N1868" i="105" s="1"/>
  <c r="I1868" i="105" s="1"/>
  <c r="K1868" i="105"/>
  <c r="M1868" i="105" s="1"/>
  <c r="AI1867" i="105"/>
  <c r="AG1867" i="105"/>
  <c r="X1867" i="105"/>
  <c r="X1866" i="105" s="1"/>
  <c r="W1867" i="105"/>
  <c r="R1867" i="105"/>
  <c r="R1866" i="105" s="1"/>
  <c r="Q1867" i="105"/>
  <c r="L1867" i="105"/>
  <c r="N1867" i="105" s="1"/>
  <c r="K1867" i="105"/>
  <c r="M1867" i="105" s="1"/>
  <c r="M1866" i="105" s="1"/>
  <c r="A1867" i="105"/>
  <c r="A1868" i="105" s="1"/>
  <c r="A1869" i="105" s="1"/>
  <c r="A1870" i="105" s="1"/>
  <c r="A1871" i="105" s="1"/>
  <c r="A1872" i="105" s="1"/>
  <c r="A1873" i="105" s="1"/>
  <c r="AF1866" i="105"/>
  <c r="U1866" i="105"/>
  <c r="P1866" i="105"/>
  <c r="H1866" i="105"/>
  <c r="AI1865" i="105"/>
  <c r="AH1865" i="105"/>
  <c r="AG1865" i="105"/>
  <c r="X1865" i="105"/>
  <c r="W1865" i="105"/>
  <c r="R1865" i="105"/>
  <c r="Q1865" i="105"/>
  <c r="N1865" i="105"/>
  <c r="M1865" i="105"/>
  <c r="L1865" i="105"/>
  <c r="K1865" i="105"/>
  <c r="AI1864" i="105"/>
  <c r="AH1864" i="105"/>
  <c r="AG1864" i="105"/>
  <c r="X1864" i="105"/>
  <c r="W1864" i="105"/>
  <c r="R1864" i="105"/>
  <c r="Q1864" i="105"/>
  <c r="N1864" i="105"/>
  <c r="M1864" i="105"/>
  <c r="L1864" i="105"/>
  <c r="K1864" i="105"/>
  <c r="AI1863" i="105"/>
  <c r="AH1863" i="105"/>
  <c r="AG1863" i="105"/>
  <c r="X1863" i="105"/>
  <c r="W1863" i="105"/>
  <c r="R1863" i="105"/>
  <c r="Q1863" i="105"/>
  <c r="N1863" i="105"/>
  <c r="M1863" i="105"/>
  <c r="L1863" i="105"/>
  <c r="K1863" i="105"/>
  <c r="AI1862" i="105"/>
  <c r="AH1862" i="105"/>
  <c r="AG1862" i="105"/>
  <c r="X1862" i="105"/>
  <c r="W1862" i="105"/>
  <c r="R1862" i="105"/>
  <c r="Q1862" i="105"/>
  <c r="N1862" i="105"/>
  <c r="M1862" i="105"/>
  <c r="L1862" i="105"/>
  <c r="K1862" i="105"/>
  <c r="AI1861" i="105"/>
  <c r="AH1861" i="105"/>
  <c r="AG1861" i="105"/>
  <c r="X1861" i="105"/>
  <c r="W1861" i="105"/>
  <c r="R1861" i="105"/>
  <c r="Q1861" i="105"/>
  <c r="N1861" i="105"/>
  <c r="M1861" i="105"/>
  <c r="L1861" i="105"/>
  <c r="K1861" i="105"/>
  <c r="AI1860" i="105"/>
  <c r="AH1860" i="105"/>
  <c r="AG1860" i="105"/>
  <c r="X1860" i="105"/>
  <c r="W1860" i="105"/>
  <c r="R1860" i="105"/>
  <c r="Q1860" i="105"/>
  <c r="N1860" i="105"/>
  <c r="M1860" i="105"/>
  <c r="L1860" i="105"/>
  <c r="K1860" i="105"/>
  <c r="AI1859" i="105"/>
  <c r="AH1859" i="105"/>
  <c r="AG1859" i="105"/>
  <c r="X1859" i="105"/>
  <c r="W1859" i="105"/>
  <c r="R1859" i="105"/>
  <c r="Q1859" i="105"/>
  <c r="N1859" i="105"/>
  <c r="M1859" i="105"/>
  <c r="L1859" i="105"/>
  <c r="K1859" i="105"/>
  <c r="AI1858" i="105"/>
  <c r="AH1858" i="105"/>
  <c r="AG1858" i="105"/>
  <c r="X1858" i="105"/>
  <c r="W1858" i="105"/>
  <c r="R1858" i="105"/>
  <c r="Q1858" i="105"/>
  <c r="N1858" i="105"/>
  <c r="M1858" i="105"/>
  <c r="L1858" i="105"/>
  <c r="K1858" i="105"/>
  <c r="AI1857" i="105"/>
  <c r="AH1857" i="105"/>
  <c r="AG1857" i="105"/>
  <c r="X1857" i="105"/>
  <c r="W1857" i="105"/>
  <c r="R1857" i="105"/>
  <c r="Q1857" i="105"/>
  <c r="L1857" i="105"/>
  <c r="N1857" i="105" s="1"/>
  <c r="I1857" i="105" s="1"/>
  <c r="K1857" i="105"/>
  <c r="M1857" i="105" s="1"/>
  <c r="AI1856" i="105"/>
  <c r="AG1856" i="105"/>
  <c r="X1856" i="105"/>
  <c r="W1856" i="105"/>
  <c r="R1856" i="105"/>
  <c r="Q1856" i="105"/>
  <c r="L1856" i="105"/>
  <c r="N1856" i="105" s="1"/>
  <c r="K1856" i="105"/>
  <c r="H1856" i="105"/>
  <c r="M1856" i="105" s="1"/>
  <c r="A1856" i="105"/>
  <c r="A1857" i="105" s="1"/>
  <c r="A1858" i="105" s="1"/>
  <c r="A1859" i="105" s="1"/>
  <c r="A1860" i="105" s="1"/>
  <c r="A1861" i="105" s="1"/>
  <c r="A1862" i="105" s="1"/>
  <c r="A1863" i="105" s="1"/>
  <c r="A1864" i="105" s="1"/>
  <c r="A1865" i="105" s="1"/>
  <c r="AH1855" i="105"/>
  <c r="AF1855" i="105"/>
  <c r="X1855" i="105"/>
  <c r="U1855" i="105"/>
  <c r="R1855" i="105"/>
  <c r="P1855" i="105"/>
  <c r="H1855" i="105"/>
  <c r="AI1854" i="105"/>
  <c r="AH1854" i="105"/>
  <c r="AG1854" i="105"/>
  <c r="X1854" i="105"/>
  <c r="W1854" i="105"/>
  <c r="R1854" i="105"/>
  <c r="Q1854" i="105"/>
  <c r="N1854" i="105"/>
  <c r="M1854" i="105"/>
  <c r="L1854" i="105"/>
  <c r="K1854" i="105"/>
  <c r="AI1853" i="105"/>
  <c r="AH1853" i="105"/>
  <c r="AG1853" i="105"/>
  <c r="X1853" i="105"/>
  <c r="W1853" i="105"/>
  <c r="R1853" i="105"/>
  <c r="Q1853" i="105"/>
  <c r="N1853" i="105"/>
  <c r="M1853" i="105"/>
  <c r="L1853" i="105"/>
  <c r="K1853" i="105"/>
  <c r="AI1852" i="105"/>
  <c r="AH1852" i="105"/>
  <c r="AG1852" i="105"/>
  <c r="X1852" i="105"/>
  <c r="W1852" i="105"/>
  <c r="R1852" i="105"/>
  <c r="Q1852" i="105"/>
  <c r="N1852" i="105"/>
  <c r="M1852" i="105"/>
  <c r="L1852" i="105"/>
  <c r="K1852" i="105"/>
  <c r="AI1851" i="105"/>
  <c r="AH1851" i="105"/>
  <c r="AG1851" i="105"/>
  <c r="X1851" i="105"/>
  <c r="W1851" i="105"/>
  <c r="R1851" i="105"/>
  <c r="Q1851" i="105"/>
  <c r="N1851" i="105"/>
  <c r="M1851" i="105"/>
  <c r="L1851" i="105"/>
  <c r="K1851" i="105"/>
  <c r="AI1850" i="105"/>
  <c r="AH1850" i="105"/>
  <c r="AG1850" i="105"/>
  <c r="X1850" i="105"/>
  <c r="W1850" i="105"/>
  <c r="R1850" i="105"/>
  <c r="Q1850" i="105"/>
  <c r="L1850" i="105"/>
  <c r="N1850" i="105" s="1"/>
  <c r="I1850" i="105" s="1"/>
  <c r="K1850" i="105"/>
  <c r="M1850" i="105" s="1"/>
  <c r="A1850" i="105"/>
  <c r="A1851" i="105" s="1"/>
  <c r="A1852" i="105" s="1"/>
  <c r="A1853" i="105" s="1"/>
  <c r="A1854" i="105" s="1"/>
  <c r="AI1849" i="105"/>
  <c r="AG1849" i="105"/>
  <c r="W1849" i="105"/>
  <c r="X1849" i="105" s="1"/>
  <c r="X1848" i="105" s="1"/>
  <c r="R1849" i="105"/>
  <c r="Q1849" i="105"/>
  <c r="L1849" i="105"/>
  <c r="K1849" i="105"/>
  <c r="H1849" i="105"/>
  <c r="N1849" i="105" s="1"/>
  <c r="A1849" i="105"/>
  <c r="AH1848" i="105"/>
  <c r="AF1848" i="105"/>
  <c r="U1848" i="105"/>
  <c r="R1848" i="105"/>
  <c r="P1848" i="105"/>
  <c r="H1848" i="105"/>
  <c r="AI1847" i="105"/>
  <c r="AH1847" i="105"/>
  <c r="AG1847" i="105"/>
  <c r="X1847" i="105"/>
  <c r="W1847" i="105"/>
  <c r="R1847" i="105"/>
  <c r="Q1847" i="105"/>
  <c r="N1847" i="105"/>
  <c r="M1847" i="105"/>
  <c r="L1847" i="105"/>
  <c r="K1847" i="105"/>
  <c r="AI1846" i="105"/>
  <c r="AH1846" i="105"/>
  <c r="AG1846" i="105"/>
  <c r="X1846" i="105"/>
  <c r="W1846" i="105"/>
  <c r="R1846" i="105"/>
  <c r="Q1846" i="105"/>
  <c r="N1846" i="105"/>
  <c r="M1846" i="105"/>
  <c r="L1846" i="105"/>
  <c r="K1846" i="105"/>
  <c r="AI1845" i="105"/>
  <c r="AH1845" i="105"/>
  <c r="AG1845" i="105"/>
  <c r="X1845" i="105"/>
  <c r="W1845" i="105"/>
  <c r="R1845" i="105"/>
  <c r="Q1845" i="105"/>
  <c r="N1845" i="105"/>
  <c r="M1845" i="105"/>
  <c r="L1845" i="105"/>
  <c r="K1845" i="105"/>
  <c r="AI1844" i="105"/>
  <c r="AH1844" i="105"/>
  <c r="AG1844" i="105"/>
  <c r="W1844" i="105"/>
  <c r="X1844" i="105" s="1"/>
  <c r="R1844" i="105"/>
  <c r="Q1844" i="105"/>
  <c r="N1844" i="105"/>
  <c r="M1844" i="105"/>
  <c r="L1844" i="105"/>
  <c r="K1844" i="105"/>
  <c r="AI1843" i="105"/>
  <c r="AH1843" i="105"/>
  <c r="AG1843" i="105"/>
  <c r="W1843" i="105"/>
  <c r="X1843" i="105" s="1"/>
  <c r="R1843" i="105"/>
  <c r="Q1843" i="105"/>
  <c r="N1843" i="105"/>
  <c r="M1843" i="105"/>
  <c r="L1843" i="105"/>
  <c r="K1843" i="105"/>
  <c r="AI1842" i="105"/>
  <c r="AH1842" i="105"/>
  <c r="AG1842" i="105"/>
  <c r="W1842" i="105"/>
  <c r="X1842" i="105" s="1"/>
  <c r="R1842" i="105"/>
  <c r="Q1842" i="105"/>
  <c r="N1842" i="105"/>
  <c r="M1842" i="105"/>
  <c r="L1842" i="105"/>
  <c r="K1842" i="105"/>
  <c r="AI1841" i="105"/>
  <c r="AG1841" i="105"/>
  <c r="X1841" i="105"/>
  <c r="W1841" i="105"/>
  <c r="R1841" i="105"/>
  <c r="Q1841" i="105"/>
  <c r="N1841" i="105"/>
  <c r="M1841" i="105"/>
  <c r="L1841" i="105"/>
  <c r="K1841" i="105"/>
  <c r="A1841" i="105"/>
  <c r="A1842" i="105" s="1"/>
  <c r="A1843" i="105" s="1"/>
  <c r="A1844" i="105" s="1"/>
  <c r="A1845" i="105" s="1"/>
  <c r="A1846" i="105" s="1"/>
  <c r="A1847" i="105" s="1"/>
  <c r="AI1840" i="105"/>
  <c r="AH1840" i="105"/>
  <c r="AH1839" i="105" s="1"/>
  <c r="AG1840" i="105"/>
  <c r="X1840" i="105"/>
  <c r="X1839" i="105" s="1"/>
  <c r="W1840" i="105"/>
  <c r="R1840" i="105"/>
  <c r="R1839" i="105" s="1"/>
  <c r="Q1840" i="105"/>
  <c r="L1840" i="105"/>
  <c r="N1840" i="105" s="1"/>
  <c r="K1840" i="105"/>
  <c r="M1840" i="105" s="1"/>
  <c r="M1839" i="105" s="1"/>
  <c r="A1840" i="105"/>
  <c r="AF1839" i="105"/>
  <c r="U1839" i="105"/>
  <c r="P1839" i="105"/>
  <c r="H1839" i="105"/>
  <c r="AI1838" i="105"/>
  <c r="AH1838" i="105"/>
  <c r="AG1838" i="105"/>
  <c r="X1838" i="105"/>
  <c r="W1838" i="105"/>
  <c r="R1838" i="105"/>
  <c r="Q1838" i="105"/>
  <c r="N1838" i="105"/>
  <c r="M1838" i="105"/>
  <c r="L1838" i="105"/>
  <c r="K1838" i="105"/>
  <c r="AI1837" i="105"/>
  <c r="AH1837" i="105"/>
  <c r="AG1837" i="105"/>
  <c r="X1837" i="105"/>
  <c r="W1837" i="105"/>
  <c r="R1837" i="105"/>
  <c r="Q1837" i="105"/>
  <c r="N1837" i="105"/>
  <c r="M1837" i="105"/>
  <c r="L1837" i="105"/>
  <c r="K1837" i="105"/>
  <c r="AI1836" i="105"/>
  <c r="AH1836" i="105"/>
  <c r="AG1836" i="105"/>
  <c r="X1836" i="105"/>
  <c r="W1836" i="105"/>
  <c r="R1836" i="105"/>
  <c r="Q1836" i="105"/>
  <c r="N1836" i="105"/>
  <c r="M1836" i="105"/>
  <c r="L1836" i="105"/>
  <c r="K1836" i="105"/>
  <c r="AI1835" i="105"/>
  <c r="AH1835" i="105"/>
  <c r="AG1835" i="105"/>
  <c r="X1835" i="105"/>
  <c r="W1835" i="105"/>
  <c r="R1835" i="105"/>
  <c r="Q1835" i="105"/>
  <c r="N1835" i="105"/>
  <c r="M1835" i="105"/>
  <c r="L1835" i="105"/>
  <c r="K1835" i="105"/>
  <c r="AI1834" i="105"/>
  <c r="AH1834" i="105"/>
  <c r="AG1834" i="105"/>
  <c r="X1834" i="105"/>
  <c r="W1834" i="105"/>
  <c r="R1834" i="105"/>
  <c r="Q1834" i="105"/>
  <c r="N1834" i="105"/>
  <c r="M1834" i="105"/>
  <c r="L1834" i="105"/>
  <c r="K1834" i="105"/>
  <c r="AI1833" i="105"/>
  <c r="AH1833" i="105"/>
  <c r="AG1833" i="105"/>
  <c r="X1833" i="105"/>
  <c r="W1833" i="105"/>
  <c r="R1833" i="105"/>
  <c r="Q1833" i="105"/>
  <c r="N1833" i="105"/>
  <c r="M1833" i="105"/>
  <c r="L1833" i="105"/>
  <c r="K1833" i="105"/>
  <c r="AI1832" i="105"/>
  <c r="AG1832" i="105"/>
  <c r="W1832" i="105"/>
  <c r="X1832" i="105" s="1"/>
  <c r="X1831" i="105" s="1"/>
  <c r="Q1832" i="105"/>
  <c r="R1832" i="105" s="1"/>
  <c r="R1831" i="105" s="1"/>
  <c r="L1832" i="105"/>
  <c r="N1832" i="105" s="1"/>
  <c r="K1832" i="105"/>
  <c r="M1832" i="105" s="1"/>
  <c r="M1831" i="105" s="1"/>
  <c r="A1832" i="105"/>
  <c r="A1833" i="105" s="1"/>
  <c r="A1834" i="105" s="1"/>
  <c r="A1835" i="105" s="1"/>
  <c r="A1836" i="105" s="1"/>
  <c r="A1837" i="105" s="1"/>
  <c r="A1838" i="105" s="1"/>
  <c r="AH1831" i="105"/>
  <c r="AF1831" i="105"/>
  <c r="U1831" i="105"/>
  <c r="P1831" i="105"/>
  <c r="H1831" i="105"/>
  <c r="AI1830" i="105"/>
  <c r="AH1830" i="105"/>
  <c r="AG1830" i="105"/>
  <c r="X1830" i="105"/>
  <c r="W1830" i="105"/>
  <c r="R1830" i="105"/>
  <c r="Q1830" i="105"/>
  <c r="N1830" i="105"/>
  <c r="M1830" i="105"/>
  <c r="L1830" i="105"/>
  <c r="K1830" i="105"/>
  <c r="AI1829" i="105"/>
  <c r="AH1829" i="105"/>
  <c r="AG1829" i="105"/>
  <c r="X1829" i="105"/>
  <c r="W1829" i="105"/>
  <c r="R1829" i="105"/>
  <c r="Q1829" i="105"/>
  <c r="N1829" i="105"/>
  <c r="M1829" i="105"/>
  <c r="L1829" i="105"/>
  <c r="K1829" i="105"/>
  <c r="AI1828" i="105"/>
  <c r="AH1828" i="105"/>
  <c r="AG1828" i="105"/>
  <c r="X1828" i="105"/>
  <c r="W1828" i="105"/>
  <c r="R1828" i="105"/>
  <c r="Q1828" i="105"/>
  <c r="N1828" i="105"/>
  <c r="M1828" i="105"/>
  <c r="L1828" i="105"/>
  <c r="K1828" i="105"/>
  <c r="AI1827" i="105"/>
  <c r="AH1827" i="105"/>
  <c r="AG1827" i="105"/>
  <c r="X1827" i="105"/>
  <c r="W1827" i="105"/>
  <c r="R1827" i="105"/>
  <c r="Q1827" i="105"/>
  <c r="N1827" i="105"/>
  <c r="M1827" i="105"/>
  <c r="L1827" i="105"/>
  <c r="K1827" i="105"/>
  <c r="AI1826" i="105"/>
  <c r="AH1826" i="105"/>
  <c r="AG1826" i="105"/>
  <c r="X1826" i="105"/>
  <c r="W1826" i="105"/>
  <c r="R1826" i="105"/>
  <c r="Q1826" i="105"/>
  <c r="N1826" i="105"/>
  <c r="M1826" i="105"/>
  <c r="L1826" i="105"/>
  <c r="K1826" i="105"/>
  <c r="AI1825" i="105"/>
  <c r="AG1825" i="105"/>
  <c r="X1825" i="105"/>
  <c r="W1825" i="105"/>
  <c r="R1825" i="105"/>
  <c r="Q1825" i="105"/>
  <c r="L1825" i="105"/>
  <c r="N1825" i="105" s="1"/>
  <c r="K1825" i="105"/>
  <c r="H1825" i="105"/>
  <c r="M1825" i="105" s="1"/>
  <c r="M1824" i="105" s="1"/>
  <c r="A1825" i="105"/>
  <c r="A1826" i="105" s="1"/>
  <c r="A1827" i="105" s="1"/>
  <c r="A1828" i="105" s="1"/>
  <c r="A1829" i="105" s="1"/>
  <c r="A1830" i="105" s="1"/>
  <c r="AH1824" i="105"/>
  <c r="AF1824" i="105"/>
  <c r="X1824" i="105"/>
  <c r="U1824" i="105"/>
  <c r="R1824" i="105"/>
  <c r="P1824" i="105"/>
  <c r="H1824" i="105"/>
  <c r="AI1823" i="105"/>
  <c r="AH1823" i="105"/>
  <c r="AG1823" i="105"/>
  <c r="X1823" i="105"/>
  <c r="W1823" i="105"/>
  <c r="R1823" i="105"/>
  <c r="Q1823" i="105"/>
  <c r="N1823" i="105"/>
  <c r="M1823" i="105"/>
  <c r="L1823" i="105"/>
  <c r="K1823" i="105"/>
  <c r="AI1822" i="105"/>
  <c r="AH1822" i="105"/>
  <c r="AG1822" i="105"/>
  <c r="X1822" i="105"/>
  <c r="W1822" i="105"/>
  <c r="R1822" i="105"/>
  <c r="Q1822" i="105"/>
  <c r="N1822" i="105"/>
  <c r="M1822" i="105"/>
  <c r="L1822" i="105"/>
  <c r="K1822" i="105"/>
  <c r="AI1821" i="105"/>
  <c r="AH1821" i="105"/>
  <c r="AG1821" i="105"/>
  <c r="X1821" i="105"/>
  <c r="W1821" i="105"/>
  <c r="R1821" i="105"/>
  <c r="Q1821" i="105"/>
  <c r="N1821" i="105"/>
  <c r="M1821" i="105"/>
  <c r="L1821" i="105"/>
  <c r="K1821" i="105"/>
  <c r="AI1820" i="105"/>
  <c r="AH1820" i="105"/>
  <c r="AG1820" i="105"/>
  <c r="X1820" i="105"/>
  <c r="W1820" i="105"/>
  <c r="R1820" i="105"/>
  <c r="Q1820" i="105"/>
  <c r="N1820" i="105"/>
  <c r="M1820" i="105"/>
  <c r="L1820" i="105"/>
  <c r="K1820" i="105"/>
  <c r="AI1819" i="105"/>
  <c r="AH1819" i="105"/>
  <c r="AG1819" i="105"/>
  <c r="X1819" i="105"/>
  <c r="W1819" i="105"/>
  <c r="R1819" i="105"/>
  <c r="Q1819" i="105"/>
  <c r="N1819" i="105"/>
  <c r="M1819" i="105"/>
  <c r="L1819" i="105"/>
  <c r="K1819" i="105"/>
  <c r="AI1818" i="105"/>
  <c r="AH1818" i="105"/>
  <c r="AG1818" i="105"/>
  <c r="W1818" i="105"/>
  <c r="X1818" i="105" s="1"/>
  <c r="R1818" i="105"/>
  <c r="Q1818" i="105"/>
  <c r="N1818" i="105"/>
  <c r="M1818" i="105"/>
  <c r="L1818" i="105"/>
  <c r="K1818" i="105"/>
  <c r="AI1817" i="105"/>
  <c r="AH1817" i="105"/>
  <c r="AG1817" i="105"/>
  <c r="W1817" i="105"/>
  <c r="X1817" i="105" s="1"/>
  <c r="R1817" i="105"/>
  <c r="Q1817" i="105"/>
  <c r="N1817" i="105"/>
  <c r="M1817" i="105"/>
  <c r="L1817" i="105"/>
  <c r="K1817" i="105"/>
  <c r="AI1816" i="105"/>
  <c r="AH1816" i="105"/>
  <c r="AG1816" i="105"/>
  <c r="W1816" i="105"/>
  <c r="X1816" i="105" s="1"/>
  <c r="R1816" i="105"/>
  <c r="Q1816" i="105"/>
  <c r="N1816" i="105"/>
  <c r="M1816" i="105"/>
  <c r="L1816" i="105"/>
  <c r="K1816" i="105"/>
  <c r="AI1815" i="105"/>
  <c r="AH1815" i="105"/>
  <c r="AG1815" i="105"/>
  <c r="W1815" i="105"/>
  <c r="X1815" i="105" s="1"/>
  <c r="R1815" i="105"/>
  <c r="Q1815" i="105"/>
  <c r="N1815" i="105"/>
  <c r="M1815" i="105"/>
  <c r="L1815" i="105"/>
  <c r="K1815" i="105"/>
  <c r="AI1814" i="105"/>
  <c r="AH1814" i="105"/>
  <c r="AG1814" i="105"/>
  <c r="W1814" i="105"/>
  <c r="X1814" i="105" s="1"/>
  <c r="R1814" i="105"/>
  <c r="Q1814" i="105"/>
  <c r="N1814" i="105"/>
  <c r="M1814" i="105"/>
  <c r="L1814" i="105"/>
  <c r="K1814" i="105"/>
  <c r="AI1813" i="105"/>
  <c r="AH1813" i="105"/>
  <c r="AG1813" i="105"/>
  <c r="W1813" i="105"/>
  <c r="X1813" i="105" s="1"/>
  <c r="R1813" i="105"/>
  <c r="Q1813" i="105"/>
  <c r="N1813" i="105"/>
  <c r="M1813" i="105"/>
  <c r="L1813" i="105"/>
  <c r="K1813" i="105"/>
  <c r="AI1812" i="105"/>
  <c r="AH1812" i="105"/>
  <c r="AG1812" i="105"/>
  <c r="W1812" i="105"/>
  <c r="X1812" i="105" s="1"/>
  <c r="R1812" i="105"/>
  <c r="Q1812" i="105"/>
  <c r="N1812" i="105"/>
  <c r="M1812" i="105"/>
  <c r="L1812" i="105"/>
  <c r="K1812" i="105"/>
  <c r="AI1811" i="105"/>
  <c r="AH1811" i="105"/>
  <c r="AG1811" i="105"/>
  <c r="W1811" i="105"/>
  <c r="X1811" i="105" s="1"/>
  <c r="Q1811" i="105"/>
  <c r="R1811" i="105" s="1"/>
  <c r="N1811" i="105"/>
  <c r="M1811" i="105"/>
  <c r="L1811" i="105"/>
  <c r="K1811" i="105"/>
  <c r="AI1810" i="105"/>
  <c r="AH1810" i="105"/>
  <c r="AG1810" i="105"/>
  <c r="W1810" i="105"/>
  <c r="X1810" i="105" s="1"/>
  <c r="Q1810" i="105"/>
  <c r="R1810" i="105" s="1"/>
  <c r="N1810" i="105"/>
  <c r="M1810" i="105"/>
  <c r="L1810" i="105"/>
  <c r="K1810" i="105"/>
  <c r="AI1809" i="105"/>
  <c r="AH1809" i="105"/>
  <c r="AG1809" i="105"/>
  <c r="W1809" i="105"/>
  <c r="X1809" i="105" s="1"/>
  <c r="Q1809" i="105"/>
  <c r="R1809" i="105" s="1"/>
  <c r="N1809" i="105"/>
  <c r="M1809" i="105"/>
  <c r="L1809" i="105"/>
  <c r="K1809" i="105"/>
  <c r="AI1808" i="105"/>
  <c r="AG1808" i="105"/>
  <c r="AH1808" i="105" s="1"/>
  <c r="W1808" i="105"/>
  <c r="X1808" i="105" s="1"/>
  <c r="Q1808" i="105"/>
  <c r="R1808" i="105" s="1"/>
  <c r="N1808" i="105"/>
  <c r="M1808" i="105"/>
  <c r="L1808" i="105"/>
  <c r="K1808" i="105"/>
  <c r="AI1807" i="105"/>
  <c r="W1807" i="105"/>
  <c r="X1807" i="105" s="1"/>
  <c r="Q1807" i="105"/>
  <c r="R1807" i="105" s="1"/>
  <c r="N1807" i="105"/>
  <c r="M1807" i="105"/>
  <c r="L1807" i="105"/>
  <c r="K1807" i="105"/>
  <c r="AI1806" i="105"/>
  <c r="AG1806" i="105"/>
  <c r="AH1806" i="105" s="1"/>
  <c r="W1806" i="105"/>
  <c r="X1806" i="105" s="1"/>
  <c r="Q1806" i="105"/>
  <c r="R1806" i="105" s="1"/>
  <c r="L1806" i="105"/>
  <c r="N1806" i="105" s="1"/>
  <c r="I1806" i="105" s="1"/>
  <c r="K1806" i="105"/>
  <c r="M1806" i="105" s="1"/>
  <c r="M1805" i="105" s="1"/>
  <c r="AI1805" i="105" s="1"/>
  <c r="A1806" i="105"/>
  <c r="A1807" i="105" s="1"/>
  <c r="A1808" i="105" s="1"/>
  <c r="A1809" i="105" s="1"/>
  <c r="A1810" i="105" s="1"/>
  <c r="A1811" i="105" s="1"/>
  <c r="A1812" i="105" s="1"/>
  <c r="A1813" i="105" s="1"/>
  <c r="A1814" i="105" s="1"/>
  <c r="A1815" i="105" s="1"/>
  <c r="A1816" i="105" s="1"/>
  <c r="A1817" i="105" s="1"/>
  <c r="A1818" i="105" s="1"/>
  <c r="A1819" i="105" s="1"/>
  <c r="A1820" i="105" s="1"/>
  <c r="A1821" i="105" s="1"/>
  <c r="A1822" i="105" s="1"/>
  <c r="A1823" i="105" s="1"/>
  <c r="AH1805" i="105"/>
  <c r="AF1805" i="105"/>
  <c r="X1805" i="105"/>
  <c r="U1805" i="105"/>
  <c r="R1805" i="105"/>
  <c r="P1805" i="105"/>
  <c r="N1805" i="105"/>
  <c r="I1805" i="105"/>
  <c r="H1805" i="105"/>
  <c r="AI1804" i="105"/>
  <c r="AH1804" i="105"/>
  <c r="AG1804" i="105"/>
  <c r="X1804" i="105"/>
  <c r="W1804" i="105"/>
  <c r="R1804" i="105"/>
  <c r="Q1804" i="105"/>
  <c r="N1804" i="105"/>
  <c r="M1804" i="105"/>
  <c r="L1804" i="105"/>
  <c r="K1804" i="105"/>
  <c r="AI1803" i="105"/>
  <c r="AH1803" i="105"/>
  <c r="AG1803" i="105"/>
  <c r="X1803" i="105"/>
  <c r="W1803" i="105"/>
  <c r="R1803" i="105"/>
  <c r="Q1803" i="105"/>
  <c r="N1803" i="105"/>
  <c r="M1803" i="105"/>
  <c r="L1803" i="105"/>
  <c r="K1803" i="105"/>
  <c r="AI1802" i="105"/>
  <c r="AH1802" i="105"/>
  <c r="AG1802" i="105"/>
  <c r="X1802" i="105"/>
  <c r="W1802" i="105"/>
  <c r="R1802" i="105"/>
  <c r="Q1802" i="105"/>
  <c r="N1802" i="105"/>
  <c r="M1802" i="105"/>
  <c r="L1802" i="105"/>
  <c r="K1802" i="105"/>
  <c r="AI1801" i="105"/>
  <c r="AH1801" i="105"/>
  <c r="AG1801" i="105"/>
  <c r="W1801" i="105"/>
  <c r="X1801" i="105" s="1"/>
  <c r="R1801" i="105"/>
  <c r="Q1801" i="105"/>
  <c r="N1801" i="105"/>
  <c r="M1801" i="105"/>
  <c r="L1801" i="105"/>
  <c r="K1801" i="105"/>
  <c r="AI1800" i="105"/>
  <c r="AH1800" i="105"/>
  <c r="AG1800" i="105"/>
  <c r="W1800" i="105"/>
  <c r="X1800" i="105" s="1"/>
  <c r="R1800" i="105"/>
  <c r="Q1800" i="105"/>
  <c r="N1800" i="105"/>
  <c r="M1800" i="105"/>
  <c r="L1800" i="105"/>
  <c r="K1800" i="105"/>
  <c r="AI1799" i="105"/>
  <c r="AH1799" i="105"/>
  <c r="AG1799" i="105"/>
  <c r="W1799" i="105"/>
  <c r="X1799" i="105" s="1"/>
  <c r="R1799" i="105"/>
  <c r="Q1799" i="105"/>
  <c r="N1799" i="105"/>
  <c r="M1799" i="105"/>
  <c r="L1799" i="105"/>
  <c r="K1799" i="105"/>
  <c r="AI1798" i="105"/>
  <c r="AH1798" i="105"/>
  <c r="AG1798" i="105"/>
  <c r="W1798" i="105"/>
  <c r="X1798" i="105" s="1"/>
  <c r="X1797" i="105" s="1"/>
  <c r="R1798" i="105"/>
  <c r="Q1798" i="105"/>
  <c r="N1798" i="105"/>
  <c r="M1798" i="105"/>
  <c r="L1798" i="105"/>
  <c r="K1798" i="105"/>
  <c r="A1798" i="105"/>
  <c r="A1799" i="105" s="1"/>
  <c r="A1800" i="105" s="1"/>
  <c r="A1801" i="105" s="1"/>
  <c r="A1802" i="105" s="1"/>
  <c r="A1803" i="105" s="1"/>
  <c r="A1804" i="105" s="1"/>
  <c r="AH1797" i="105"/>
  <c r="AF1797" i="105"/>
  <c r="U1797" i="105"/>
  <c r="R1797" i="105"/>
  <c r="P1797" i="105"/>
  <c r="N1797" i="105"/>
  <c r="M1797" i="105"/>
  <c r="AI1797" i="105" s="1"/>
  <c r="I1797" i="105"/>
  <c r="H1797" i="105"/>
  <c r="AI1796" i="105"/>
  <c r="AH1796" i="105"/>
  <c r="AG1796" i="105"/>
  <c r="X1796" i="105"/>
  <c r="W1796" i="105"/>
  <c r="R1796" i="105"/>
  <c r="Q1796" i="105"/>
  <c r="N1796" i="105"/>
  <c r="M1796" i="105"/>
  <c r="L1796" i="105"/>
  <c r="K1796" i="105"/>
  <c r="AI1795" i="105"/>
  <c r="AH1795" i="105"/>
  <c r="AG1795" i="105"/>
  <c r="X1795" i="105"/>
  <c r="W1795" i="105"/>
  <c r="R1795" i="105"/>
  <c r="Q1795" i="105"/>
  <c r="N1795" i="105"/>
  <c r="M1795" i="105"/>
  <c r="L1795" i="105"/>
  <c r="K1795" i="105"/>
  <c r="AI1794" i="105"/>
  <c r="AH1794" i="105"/>
  <c r="AG1794" i="105"/>
  <c r="X1794" i="105"/>
  <c r="W1794" i="105"/>
  <c r="R1794" i="105"/>
  <c r="Q1794" i="105"/>
  <c r="N1794" i="105"/>
  <c r="M1794" i="105"/>
  <c r="L1794" i="105"/>
  <c r="K1794" i="105"/>
  <c r="AI1793" i="105"/>
  <c r="AH1793" i="105"/>
  <c r="AG1793" i="105"/>
  <c r="X1793" i="105"/>
  <c r="W1793" i="105"/>
  <c r="R1793" i="105"/>
  <c r="Q1793" i="105"/>
  <c r="N1793" i="105"/>
  <c r="M1793" i="105"/>
  <c r="L1793" i="105"/>
  <c r="K1793" i="105"/>
  <c r="AI1792" i="105"/>
  <c r="AH1792" i="105"/>
  <c r="AH1790" i="105" s="1"/>
  <c r="AG1792" i="105"/>
  <c r="X1792" i="105"/>
  <c r="X1790" i="105" s="1"/>
  <c r="W1792" i="105"/>
  <c r="R1792" i="105"/>
  <c r="Q1792" i="105"/>
  <c r="N1792" i="105"/>
  <c r="M1792" i="105"/>
  <c r="L1792" i="105"/>
  <c r="K1792" i="105"/>
  <c r="A1792" i="105"/>
  <c r="A1793" i="105" s="1"/>
  <c r="A1794" i="105" s="1"/>
  <c r="A1795" i="105" s="1"/>
  <c r="A1796" i="105" s="1"/>
  <c r="AI1791" i="105"/>
  <c r="AG1791" i="105"/>
  <c r="X1791" i="105"/>
  <c r="W1791" i="105"/>
  <c r="Q1791" i="105"/>
  <c r="R1791" i="105" s="1"/>
  <c r="L1791" i="105"/>
  <c r="K1791" i="105"/>
  <c r="M1791" i="105" s="1"/>
  <c r="M1790" i="105" s="1"/>
  <c r="H1791" i="105"/>
  <c r="N1791" i="105" s="1"/>
  <c r="A1791" i="105"/>
  <c r="AF1790" i="105"/>
  <c r="U1790" i="105"/>
  <c r="P1790" i="105"/>
  <c r="H1790" i="105"/>
  <c r="AI1789" i="105"/>
  <c r="AH1789" i="105"/>
  <c r="AG1789" i="105"/>
  <c r="X1789" i="105"/>
  <c r="W1789" i="105"/>
  <c r="R1789" i="105"/>
  <c r="Q1789" i="105"/>
  <c r="N1789" i="105"/>
  <c r="M1789" i="105"/>
  <c r="L1789" i="105"/>
  <c r="K1789" i="105"/>
  <c r="AI1788" i="105"/>
  <c r="AH1788" i="105"/>
  <c r="AG1788" i="105"/>
  <c r="X1788" i="105"/>
  <c r="W1788" i="105"/>
  <c r="R1788" i="105"/>
  <c r="Q1788" i="105"/>
  <c r="N1788" i="105"/>
  <c r="M1788" i="105"/>
  <c r="L1788" i="105"/>
  <c r="K1788" i="105"/>
  <c r="AI1787" i="105"/>
  <c r="AH1787" i="105"/>
  <c r="AG1787" i="105"/>
  <c r="X1787" i="105"/>
  <c r="W1787" i="105"/>
  <c r="R1787" i="105"/>
  <c r="Q1787" i="105"/>
  <c r="N1787" i="105"/>
  <c r="M1787" i="105"/>
  <c r="L1787" i="105"/>
  <c r="K1787" i="105"/>
  <c r="AI1786" i="105"/>
  <c r="AH1786" i="105"/>
  <c r="AG1786" i="105"/>
  <c r="X1786" i="105"/>
  <c r="W1786" i="105"/>
  <c r="R1786" i="105"/>
  <c r="Q1786" i="105"/>
  <c r="N1786" i="105"/>
  <c r="M1786" i="105"/>
  <c r="L1786" i="105"/>
  <c r="K1786" i="105"/>
  <c r="AI1785" i="105"/>
  <c r="AH1785" i="105"/>
  <c r="AG1785" i="105"/>
  <c r="X1785" i="105"/>
  <c r="W1785" i="105"/>
  <c r="R1785" i="105"/>
  <c r="Q1785" i="105"/>
  <c r="N1785" i="105"/>
  <c r="M1785" i="105"/>
  <c r="L1785" i="105"/>
  <c r="K1785" i="105"/>
  <c r="AI1784" i="105"/>
  <c r="AH1784" i="105"/>
  <c r="AG1784" i="105"/>
  <c r="X1784" i="105"/>
  <c r="W1784" i="105"/>
  <c r="R1784" i="105"/>
  <c r="Q1784" i="105"/>
  <c r="N1784" i="105"/>
  <c r="M1784" i="105"/>
  <c r="L1784" i="105"/>
  <c r="K1784" i="105"/>
  <c r="AI1783" i="105"/>
  <c r="AH1783" i="105"/>
  <c r="AG1783" i="105"/>
  <c r="X1783" i="105"/>
  <c r="W1783" i="105"/>
  <c r="R1783" i="105"/>
  <c r="Q1783" i="105"/>
  <c r="N1783" i="105"/>
  <c r="M1783" i="105"/>
  <c r="L1783" i="105"/>
  <c r="K1783" i="105"/>
  <c r="AI1782" i="105"/>
  <c r="AH1782" i="105"/>
  <c r="AG1782" i="105"/>
  <c r="X1782" i="105"/>
  <c r="W1782" i="105"/>
  <c r="R1782" i="105"/>
  <c r="Q1782" i="105"/>
  <c r="N1782" i="105"/>
  <c r="M1782" i="105"/>
  <c r="L1782" i="105"/>
  <c r="K1782" i="105"/>
  <c r="AI1781" i="105"/>
  <c r="AH1781" i="105"/>
  <c r="AG1781" i="105"/>
  <c r="X1781" i="105"/>
  <c r="W1781" i="105"/>
  <c r="R1781" i="105"/>
  <c r="Q1781" i="105"/>
  <c r="N1781" i="105"/>
  <c r="M1781" i="105"/>
  <c r="L1781" i="105"/>
  <c r="K1781" i="105"/>
  <c r="AI1780" i="105"/>
  <c r="AH1780" i="105"/>
  <c r="AH1778" i="105" s="1"/>
  <c r="AG1780" i="105"/>
  <c r="X1780" i="105"/>
  <c r="W1780" i="105"/>
  <c r="R1780" i="105"/>
  <c r="Q1780" i="105"/>
  <c r="N1780" i="105"/>
  <c r="M1780" i="105"/>
  <c r="L1780" i="105"/>
  <c r="K1780" i="105"/>
  <c r="A1780" i="105"/>
  <c r="A1781" i="105" s="1"/>
  <c r="A1782" i="105" s="1"/>
  <c r="A1783" i="105" s="1"/>
  <c r="A1784" i="105" s="1"/>
  <c r="A1785" i="105" s="1"/>
  <c r="A1786" i="105" s="1"/>
  <c r="A1787" i="105" s="1"/>
  <c r="A1788" i="105" s="1"/>
  <c r="A1789" i="105" s="1"/>
  <c r="AI1779" i="105"/>
  <c r="AG1779" i="105"/>
  <c r="W1779" i="105"/>
  <c r="X1779" i="105" s="1"/>
  <c r="Q1779" i="105"/>
  <c r="R1779" i="105" s="1"/>
  <c r="R1778" i="105" s="1"/>
  <c r="L1779" i="105"/>
  <c r="K1779" i="105"/>
  <c r="H1779" i="105"/>
  <c r="N1779" i="105" s="1"/>
  <c r="A1779" i="105"/>
  <c r="AF1778" i="105"/>
  <c r="U1778" i="105"/>
  <c r="P1778" i="105"/>
  <c r="AI1777" i="105"/>
  <c r="AH1777" i="105"/>
  <c r="AG1777" i="105"/>
  <c r="X1777" i="105"/>
  <c r="W1777" i="105"/>
  <c r="R1777" i="105"/>
  <c r="Q1777" i="105"/>
  <c r="N1777" i="105"/>
  <c r="M1777" i="105"/>
  <c r="L1777" i="105"/>
  <c r="K1777" i="105"/>
  <c r="AI1776" i="105"/>
  <c r="AH1776" i="105"/>
  <c r="AG1776" i="105"/>
  <c r="X1776" i="105"/>
  <c r="W1776" i="105"/>
  <c r="R1776" i="105"/>
  <c r="Q1776" i="105"/>
  <c r="N1776" i="105"/>
  <c r="M1776" i="105"/>
  <c r="L1776" i="105"/>
  <c r="K1776" i="105"/>
  <c r="AI1775" i="105"/>
  <c r="AH1775" i="105"/>
  <c r="AG1775" i="105"/>
  <c r="X1775" i="105"/>
  <c r="W1775" i="105"/>
  <c r="R1775" i="105"/>
  <c r="Q1775" i="105"/>
  <c r="N1775" i="105"/>
  <c r="M1775" i="105"/>
  <c r="L1775" i="105"/>
  <c r="K1775" i="105"/>
  <c r="AI1774" i="105"/>
  <c r="AH1774" i="105"/>
  <c r="AG1774" i="105"/>
  <c r="X1774" i="105"/>
  <c r="W1774" i="105"/>
  <c r="R1774" i="105"/>
  <c r="Q1774" i="105"/>
  <c r="N1774" i="105"/>
  <c r="M1774" i="105"/>
  <c r="L1774" i="105"/>
  <c r="K1774" i="105"/>
  <c r="AI1773" i="105"/>
  <c r="AH1773" i="105"/>
  <c r="AH1771" i="105" s="1"/>
  <c r="AG1773" i="105"/>
  <c r="X1773" i="105"/>
  <c r="W1773" i="105"/>
  <c r="R1773" i="105"/>
  <c r="R1771" i="105" s="1"/>
  <c r="Q1773" i="105"/>
  <c r="N1773" i="105"/>
  <c r="M1773" i="105"/>
  <c r="L1773" i="105"/>
  <c r="K1773" i="105"/>
  <c r="A1773" i="105"/>
  <c r="A1774" i="105" s="1"/>
  <c r="A1775" i="105" s="1"/>
  <c r="A1776" i="105" s="1"/>
  <c r="A1777" i="105" s="1"/>
  <c r="AI1772" i="105"/>
  <c r="AG1772" i="105"/>
  <c r="W1772" i="105"/>
  <c r="X1772" i="105" s="1"/>
  <c r="X1771" i="105" s="1"/>
  <c r="R1772" i="105"/>
  <c r="Q1772" i="105"/>
  <c r="L1772" i="105"/>
  <c r="K1772" i="105"/>
  <c r="H1772" i="105"/>
  <c r="N1772" i="105" s="1"/>
  <c r="A1772" i="105"/>
  <c r="AF1771" i="105"/>
  <c r="U1771" i="105"/>
  <c r="P1771" i="105"/>
  <c r="AI1770" i="105"/>
  <c r="AH1770" i="105"/>
  <c r="AG1770" i="105"/>
  <c r="X1770" i="105"/>
  <c r="W1770" i="105"/>
  <c r="R1770" i="105"/>
  <c r="Q1770" i="105"/>
  <c r="N1770" i="105"/>
  <c r="M1770" i="105"/>
  <c r="L1770" i="105"/>
  <c r="K1770" i="105"/>
  <c r="AI1769" i="105"/>
  <c r="AH1769" i="105"/>
  <c r="AG1769" i="105"/>
  <c r="X1769" i="105"/>
  <c r="W1769" i="105"/>
  <c r="R1769" i="105"/>
  <c r="Q1769" i="105"/>
  <c r="N1769" i="105"/>
  <c r="M1769" i="105"/>
  <c r="L1769" i="105"/>
  <c r="K1769" i="105"/>
  <c r="AI1768" i="105"/>
  <c r="AH1768" i="105"/>
  <c r="AG1768" i="105"/>
  <c r="X1768" i="105"/>
  <c r="W1768" i="105"/>
  <c r="R1768" i="105"/>
  <c r="Q1768" i="105"/>
  <c r="N1768" i="105"/>
  <c r="M1768" i="105"/>
  <c r="L1768" i="105"/>
  <c r="K1768" i="105"/>
  <c r="AI1767" i="105"/>
  <c r="AH1767" i="105"/>
  <c r="AG1767" i="105"/>
  <c r="X1767" i="105"/>
  <c r="W1767" i="105"/>
  <c r="R1767" i="105"/>
  <c r="Q1767" i="105"/>
  <c r="N1767" i="105"/>
  <c r="M1767" i="105"/>
  <c r="L1767" i="105"/>
  <c r="K1767" i="105"/>
  <c r="AI1766" i="105"/>
  <c r="AH1766" i="105"/>
  <c r="AG1766" i="105"/>
  <c r="X1766" i="105"/>
  <c r="W1766" i="105"/>
  <c r="R1766" i="105"/>
  <c r="Q1766" i="105"/>
  <c r="N1766" i="105"/>
  <c r="M1766" i="105"/>
  <c r="L1766" i="105"/>
  <c r="K1766" i="105"/>
  <c r="AI1765" i="105"/>
  <c r="AH1765" i="105"/>
  <c r="AG1765" i="105"/>
  <c r="X1765" i="105"/>
  <c r="W1765" i="105"/>
  <c r="R1765" i="105"/>
  <c r="Q1765" i="105"/>
  <c r="N1765" i="105"/>
  <c r="M1765" i="105"/>
  <c r="L1765" i="105"/>
  <c r="K1765" i="105"/>
  <c r="AI1764" i="105"/>
  <c r="AH1764" i="105"/>
  <c r="AG1764" i="105"/>
  <c r="X1764" i="105"/>
  <c r="W1764" i="105"/>
  <c r="R1764" i="105"/>
  <c r="Q1764" i="105"/>
  <c r="N1764" i="105"/>
  <c r="M1764" i="105"/>
  <c r="L1764" i="105"/>
  <c r="K1764" i="105"/>
  <c r="AI1763" i="105"/>
  <c r="AH1763" i="105"/>
  <c r="AG1763" i="105"/>
  <c r="X1763" i="105"/>
  <c r="W1763" i="105"/>
  <c r="R1763" i="105"/>
  <c r="Q1763" i="105"/>
  <c r="N1763" i="105"/>
  <c r="M1763" i="105"/>
  <c r="L1763" i="105"/>
  <c r="K1763" i="105"/>
  <c r="AI1762" i="105"/>
  <c r="AH1762" i="105"/>
  <c r="AG1762" i="105"/>
  <c r="X1762" i="105"/>
  <c r="W1762" i="105"/>
  <c r="R1762" i="105"/>
  <c r="Q1762" i="105"/>
  <c r="N1762" i="105"/>
  <c r="M1762" i="105"/>
  <c r="L1762" i="105"/>
  <c r="K1762" i="105"/>
  <c r="AI1761" i="105"/>
  <c r="AH1761" i="105"/>
  <c r="AG1761" i="105"/>
  <c r="X1761" i="105"/>
  <c r="W1761" i="105"/>
  <c r="R1761" i="105"/>
  <c r="Q1761" i="105"/>
  <c r="N1761" i="105"/>
  <c r="M1761" i="105"/>
  <c r="L1761" i="105"/>
  <c r="K1761" i="105"/>
  <c r="AI1760" i="105"/>
  <c r="AH1760" i="105"/>
  <c r="AG1760" i="105"/>
  <c r="X1760" i="105"/>
  <c r="W1760" i="105"/>
  <c r="R1760" i="105"/>
  <c r="Q1760" i="105"/>
  <c r="N1760" i="105"/>
  <c r="M1760" i="105"/>
  <c r="L1760" i="105"/>
  <c r="K1760" i="105"/>
  <c r="AI1759" i="105"/>
  <c r="AH1759" i="105"/>
  <c r="AG1759" i="105"/>
  <c r="X1759" i="105"/>
  <c r="W1759" i="105"/>
  <c r="R1759" i="105"/>
  <c r="Q1759" i="105"/>
  <c r="N1759" i="105"/>
  <c r="M1759" i="105"/>
  <c r="L1759" i="105"/>
  <c r="K1759" i="105"/>
  <c r="AI1758" i="105"/>
  <c r="AG1758" i="105"/>
  <c r="X1758" i="105"/>
  <c r="W1758" i="105"/>
  <c r="Q1758" i="105"/>
  <c r="R1758" i="105" s="1"/>
  <c r="R1757" i="105" s="1"/>
  <c r="L1758" i="105"/>
  <c r="N1758" i="105" s="1"/>
  <c r="I1758" i="105" s="1"/>
  <c r="K1758" i="105"/>
  <c r="M1758" i="105" s="1"/>
  <c r="M1757" i="105" s="1"/>
  <c r="A1758" i="105"/>
  <c r="A1759" i="105" s="1"/>
  <c r="A1760" i="105" s="1"/>
  <c r="A1761" i="105" s="1"/>
  <c r="A1762" i="105" s="1"/>
  <c r="A1763" i="105" s="1"/>
  <c r="A1764" i="105" s="1"/>
  <c r="A1765" i="105" s="1"/>
  <c r="A1766" i="105" s="1"/>
  <c r="A1767" i="105" s="1"/>
  <c r="A1768" i="105" s="1"/>
  <c r="A1769" i="105" s="1"/>
  <c r="A1770" i="105" s="1"/>
  <c r="AH1757" i="105"/>
  <c r="AF1757" i="105"/>
  <c r="X1757" i="105"/>
  <c r="U1757" i="105"/>
  <c r="P1757" i="105"/>
  <c r="I1757" i="105"/>
  <c r="H1757" i="105"/>
  <c r="AI1756" i="105"/>
  <c r="AH1756" i="105"/>
  <c r="AG1756" i="105"/>
  <c r="X1756" i="105"/>
  <c r="W1756" i="105"/>
  <c r="R1756" i="105"/>
  <c r="Q1756" i="105"/>
  <c r="N1756" i="105"/>
  <c r="M1756" i="105"/>
  <c r="L1756" i="105"/>
  <c r="K1756" i="105"/>
  <c r="AI1755" i="105"/>
  <c r="AH1755" i="105"/>
  <c r="AG1755" i="105"/>
  <c r="X1755" i="105"/>
  <c r="W1755" i="105"/>
  <c r="R1755" i="105"/>
  <c r="Q1755" i="105"/>
  <c r="N1755" i="105"/>
  <c r="M1755" i="105"/>
  <c r="L1755" i="105"/>
  <c r="K1755" i="105"/>
  <c r="AI1754" i="105"/>
  <c r="AH1754" i="105"/>
  <c r="AG1754" i="105"/>
  <c r="X1754" i="105"/>
  <c r="W1754" i="105"/>
  <c r="R1754" i="105"/>
  <c r="Q1754" i="105"/>
  <c r="N1754" i="105"/>
  <c r="M1754" i="105"/>
  <c r="L1754" i="105"/>
  <c r="K1754" i="105"/>
  <c r="AI1753" i="105"/>
  <c r="AH1753" i="105"/>
  <c r="AG1753" i="105"/>
  <c r="X1753" i="105"/>
  <c r="W1753" i="105"/>
  <c r="Q1753" i="105"/>
  <c r="R1753" i="105" s="1"/>
  <c r="N1753" i="105"/>
  <c r="M1753" i="105"/>
  <c r="L1753" i="105"/>
  <c r="K1753" i="105"/>
  <c r="AI1752" i="105"/>
  <c r="AH1752" i="105"/>
  <c r="AG1752" i="105"/>
  <c r="X1752" i="105"/>
  <c r="W1752" i="105"/>
  <c r="Q1752" i="105"/>
  <c r="R1752" i="105" s="1"/>
  <c r="N1752" i="105"/>
  <c r="M1752" i="105"/>
  <c r="L1752" i="105"/>
  <c r="K1752" i="105"/>
  <c r="AI1751" i="105"/>
  <c r="AH1751" i="105"/>
  <c r="AG1751" i="105"/>
  <c r="X1751" i="105"/>
  <c r="W1751" i="105"/>
  <c r="Q1751" i="105"/>
  <c r="R1751" i="105" s="1"/>
  <c r="N1751" i="105"/>
  <c r="M1751" i="105"/>
  <c r="L1751" i="105"/>
  <c r="K1751" i="105"/>
  <c r="AI1750" i="105"/>
  <c r="AH1750" i="105"/>
  <c r="AG1750" i="105"/>
  <c r="X1750" i="105"/>
  <c r="W1750" i="105"/>
  <c r="Q1750" i="105"/>
  <c r="R1750" i="105" s="1"/>
  <c r="N1750" i="105"/>
  <c r="M1750" i="105"/>
  <c r="L1750" i="105"/>
  <c r="K1750" i="105"/>
  <c r="AI1749" i="105"/>
  <c r="AH1749" i="105"/>
  <c r="AG1749" i="105"/>
  <c r="X1749" i="105"/>
  <c r="W1749" i="105"/>
  <c r="Q1749" i="105"/>
  <c r="R1749" i="105" s="1"/>
  <c r="N1749" i="105"/>
  <c r="M1749" i="105"/>
  <c r="L1749" i="105"/>
  <c r="K1749" i="105"/>
  <c r="AI1748" i="105"/>
  <c r="AH1748" i="105"/>
  <c r="AG1748" i="105"/>
  <c r="X1748" i="105"/>
  <c r="W1748" i="105"/>
  <c r="R1748" i="105"/>
  <c r="Q1748" i="105"/>
  <c r="N1748" i="105"/>
  <c r="M1748" i="105"/>
  <c r="L1748" i="105"/>
  <c r="K1748" i="105"/>
  <c r="AI1747" i="105"/>
  <c r="AH1747" i="105"/>
  <c r="AG1747" i="105"/>
  <c r="X1747" i="105"/>
  <c r="W1747" i="105"/>
  <c r="R1747" i="105"/>
  <c r="Q1747" i="105"/>
  <c r="N1747" i="105"/>
  <c r="M1747" i="105"/>
  <c r="L1747" i="105"/>
  <c r="K1747" i="105"/>
  <c r="AI1746" i="105"/>
  <c r="AH1746" i="105"/>
  <c r="AG1746" i="105"/>
  <c r="X1746" i="105"/>
  <c r="W1746" i="105"/>
  <c r="R1746" i="105"/>
  <c r="Q1746" i="105"/>
  <c r="N1746" i="105"/>
  <c r="M1746" i="105"/>
  <c r="L1746" i="105"/>
  <c r="K1746" i="105"/>
  <c r="AI1745" i="105"/>
  <c r="AH1745" i="105"/>
  <c r="AG1745" i="105"/>
  <c r="X1745" i="105"/>
  <c r="W1745" i="105"/>
  <c r="R1745" i="105"/>
  <c r="Q1745" i="105"/>
  <c r="N1745" i="105"/>
  <c r="M1745" i="105"/>
  <c r="L1745" i="105"/>
  <c r="K1745" i="105"/>
  <c r="AI1744" i="105"/>
  <c r="AH1744" i="105"/>
  <c r="AG1744" i="105"/>
  <c r="X1744" i="105"/>
  <c r="W1744" i="105"/>
  <c r="R1744" i="105"/>
  <c r="Q1744" i="105"/>
  <c r="N1744" i="105"/>
  <c r="M1744" i="105"/>
  <c r="L1744" i="105"/>
  <c r="K1744" i="105"/>
  <c r="AI1743" i="105"/>
  <c r="AH1743" i="105"/>
  <c r="AG1743" i="105"/>
  <c r="X1743" i="105"/>
  <c r="W1743" i="105"/>
  <c r="R1743" i="105"/>
  <c r="Q1743" i="105"/>
  <c r="N1743" i="105"/>
  <c r="M1743" i="105"/>
  <c r="L1743" i="105"/>
  <c r="K1743" i="105"/>
  <c r="AI1742" i="105"/>
  <c r="AH1742" i="105"/>
  <c r="AG1742" i="105"/>
  <c r="X1742" i="105"/>
  <c r="W1742" i="105"/>
  <c r="R1742" i="105"/>
  <c r="Q1742" i="105"/>
  <c r="N1742" i="105"/>
  <c r="M1742" i="105"/>
  <c r="L1742" i="105"/>
  <c r="K1742" i="105"/>
  <c r="AI1741" i="105"/>
  <c r="AH1741" i="105"/>
  <c r="AG1741" i="105"/>
  <c r="X1741" i="105"/>
  <c r="W1741" i="105"/>
  <c r="R1741" i="105"/>
  <c r="Q1741" i="105"/>
  <c r="N1741" i="105"/>
  <c r="M1741" i="105"/>
  <c r="L1741" i="105"/>
  <c r="K1741" i="105"/>
  <c r="AI1740" i="105"/>
  <c r="AH1740" i="105"/>
  <c r="AG1740" i="105"/>
  <c r="X1740" i="105"/>
  <c r="W1740" i="105"/>
  <c r="R1740" i="105"/>
  <c r="Q1740" i="105"/>
  <c r="N1740" i="105"/>
  <c r="M1740" i="105"/>
  <c r="L1740" i="105"/>
  <c r="K1740" i="105"/>
  <c r="AI1739" i="105"/>
  <c r="AH1739" i="105"/>
  <c r="AG1739" i="105"/>
  <c r="X1739" i="105"/>
  <c r="W1739" i="105"/>
  <c r="R1739" i="105"/>
  <c r="Q1739" i="105"/>
  <c r="N1739" i="105"/>
  <c r="M1739" i="105"/>
  <c r="L1739" i="105"/>
  <c r="K1739" i="105"/>
  <c r="AI1738" i="105"/>
  <c r="AH1738" i="105"/>
  <c r="AG1738" i="105"/>
  <c r="X1738" i="105"/>
  <c r="W1738" i="105"/>
  <c r="R1738" i="105"/>
  <c r="Q1738" i="105"/>
  <c r="N1738" i="105"/>
  <c r="M1738" i="105"/>
  <c r="L1738" i="105"/>
  <c r="K1738" i="105"/>
  <c r="AI1737" i="105"/>
  <c r="AH1737" i="105"/>
  <c r="AG1737" i="105"/>
  <c r="X1737" i="105"/>
  <c r="W1737" i="105"/>
  <c r="R1737" i="105"/>
  <c r="Q1737" i="105"/>
  <c r="N1737" i="105"/>
  <c r="M1737" i="105"/>
  <c r="L1737" i="105"/>
  <c r="K1737" i="105"/>
  <c r="AI1736" i="105"/>
  <c r="AH1736" i="105"/>
  <c r="AG1736" i="105"/>
  <c r="X1736" i="105"/>
  <c r="W1736" i="105"/>
  <c r="R1736" i="105"/>
  <c r="Q1736" i="105"/>
  <c r="L1736" i="105"/>
  <c r="N1736" i="105" s="1"/>
  <c r="I1736" i="105" s="1"/>
  <c r="K1736" i="105"/>
  <c r="M1736" i="105" s="1"/>
  <c r="AI1735" i="105"/>
  <c r="AG1735" i="105"/>
  <c r="X1735" i="105"/>
  <c r="W1735" i="105"/>
  <c r="R1735" i="105"/>
  <c r="Q1735" i="105"/>
  <c r="L1735" i="105"/>
  <c r="N1735" i="105" s="1"/>
  <c r="K1735" i="105"/>
  <c r="H1735" i="105"/>
  <c r="M1735" i="105" s="1"/>
  <c r="A1735" i="105"/>
  <c r="A1736" i="105" s="1"/>
  <c r="A1737" i="105" s="1"/>
  <c r="A1738" i="105" s="1"/>
  <c r="A1739" i="105" s="1"/>
  <c r="A1740" i="105" s="1"/>
  <c r="A1741" i="105" s="1"/>
  <c r="A1742" i="105" s="1"/>
  <c r="A1743" i="105" s="1"/>
  <c r="A1744" i="105" s="1"/>
  <c r="A1745" i="105" s="1"/>
  <c r="A1746" i="105" s="1"/>
  <c r="A1747" i="105" s="1"/>
  <c r="A1748" i="105" s="1"/>
  <c r="A1749" i="105" s="1"/>
  <c r="A1750" i="105" s="1"/>
  <c r="A1751" i="105" s="1"/>
  <c r="A1752" i="105" s="1"/>
  <c r="A1753" i="105" s="1"/>
  <c r="A1754" i="105" s="1"/>
  <c r="A1755" i="105" s="1"/>
  <c r="A1756" i="105" s="1"/>
  <c r="AH1734" i="105"/>
  <c r="AF1734" i="105"/>
  <c r="X1734" i="105"/>
  <c r="U1734" i="105"/>
  <c r="R1734" i="105"/>
  <c r="P1734" i="105"/>
  <c r="H1734" i="105"/>
  <c r="AI1733" i="105"/>
  <c r="AH1733" i="105"/>
  <c r="AG1733" i="105"/>
  <c r="X1733" i="105"/>
  <c r="W1733" i="105"/>
  <c r="R1733" i="105"/>
  <c r="Q1733" i="105"/>
  <c r="N1733" i="105"/>
  <c r="M1733" i="105"/>
  <c r="L1733" i="105"/>
  <c r="K1733" i="105"/>
  <c r="AI1732" i="105"/>
  <c r="AH1732" i="105"/>
  <c r="AG1732" i="105"/>
  <c r="X1732" i="105"/>
  <c r="W1732" i="105"/>
  <c r="R1732" i="105"/>
  <c r="Q1732" i="105"/>
  <c r="N1732" i="105"/>
  <c r="M1732" i="105"/>
  <c r="L1732" i="105"/>
  <c r="K1732" i="105"/>
  <c r="AI1731" i="105"/>
  <c r="AH1731" i="105"/>
  <c r="AG1731" i="105"/>
  <c r="X1731" i="105"/>
  <c r="W1731" i="105"/>
  <c r="R1731" i="105"/>
  <c r="Q1731" i="105"/>
  <c r="N1731" i="105"/>
  <c r="M1731" i="105"/>
  <c r="L1731" i="105"/>
  <c r="K1731" i="105"/>
  <c r="AI1730" i="105"/>
  <c r="AH1730" i="105"/>
  <c r="AG1730" i="105"/>
  <c r="X1730" i="105"/>
  <c r="W1730" i="105"/>
  <c r="R1730" i="105"/>
  <c r="Q1730" i="105"/>
  <c r="N1730" i="105"/>
  <c r="M1730" i="105"/>
  <c r="L1730" i="105"/>
  <c r="K1730" i="105"/>
  <c r="AI1729" i="105"/>
  <c r="AH1729" i="105"/>
  <c r="AG1729" i="105"/>
  <c r="X1729" i="105"/>
  <c r="W1729" i="105"/>
  <c r="R1729" i="105"/>
  <c r="Q1729" i="105"/>
  <c r="N1729" i="105"/>
  <c r="M1729" i="105"/>
  <c r="L1729" i="105"/>
  <c r="K1729" i="105"/>
  <c r="AI1728" i="105"/>
  <c r="AH1728" i="105"/>
  <c r="AG1728" i="105"/>
  <c r="X1728" i="105"/>
  <c r="W1728" i="105"/>
  <c r="R1728" i="105"/>
  <c r="Q1728" i="105"/>
  <c r="L1728" i="105"/>
  <c r="N1728" i="105" s="1"/>
  <c r="I1728" i="105" s="1"/>
  <c r="K1728" i="105"/>
  <c r="M1728" i="105" s="1"/>
  <c r="A1728" i="105"/>
  <c r="A1729" i="105" s="1"/>
  <c r="A1730" i="105" s="1"/>
  <c r="A1731" i="105" s="1"/>
  <c r="A1732" i="105" s="1"/>
  <c r="A1733" i="105" s="1"/>
  <c r="AI1727" i="105"/>
  <c r="AG1727" i="105"/>
  <c r="W1727" i="105"/>
  <c r="X1727" i="105" s="1"/>
  <c r="X1726" i="105" s="1"/>
  <c r="Q1727" i="105"/>
  <c r="R1727" i="105" s="1"/>
  <c r="R1726" i="105" s="1"/>
  <c r="L1727" i="105"/>
  <c r="K1727" i="105"/>
  <c r="H1727" i="105"/>
  <c r="N1727" i="105" s="1"/>
  <c r="A1727" i="105"/>
  <c r="AH1726" i="105"/>
  <c r="AF1726" i="105"/>
  <c r="U1726" i="105"/>
  <c r="P1726" i="105"/>
  <c r="H1726" i="105"/>
  <c r="AI1725" i="105"/>
  <c r="AH1725" i="105"/>
  <c r="AG1725" i="105"/>
  <c r="X1725" i="105"/>
  <c r="W1725" i="105"/>
  <c r="R1725" i="105"/>
  <c r="Q1725" i="105"/>
  <c r="N1725" i="105"/>
  <c r="M1725" i="105"/>
  <c r="L1725" i="105"/>
  <c r="K1725" i="105"/>
  <c r="AI1724" i="105"/>
  <c r="AH1724" i="105"/>
  <c r="AG1724" i="105"/>
  <c r="X1724" i="105"/>
  <c r="W1724" i="105"/>
  <c r="R1724" i="105"/>
  <c r="Q1724" i="105"/>
  <c r="N1724" i="105"/>
  <c r="M1724" i="105"/>
  <c r="L1724" i="105"/>
  <c r="K1724" i="105"/>
  <c r="AI1723" i="105"/>
  <c r="AH1723" i="105"/>
  <c r="AG1723" i="105"/>
  <c r="X1723" i="105"/>
  <c r="W1723" i="105"/>
  <c r="R1723" i="105"/>
  <c r="Q1723" i="105"/>
  <c r="N1723" i="105"/>
  <c r="M1723" i="105"/>
  <c r="L1723" i="105"/>
  <c r="K1723" i="105"/>
  <c r="AI1722" i="105"/>
  <c r="AH1722" i="105"/>
  <c r="AG1722" i="105"/>
  <c r="X1722" i="105"/>
  <c r="W1722" i="105"/>
  <c r="R1722" i="105"/>
  <c r="Q1722" i="105"/>
  <c r="N1722" i="105"/>
  <c r="M1722" i="105"/>
  <c r="L1722" i="105"/>
  <c r="K1722" i="105"/>
  <c r="AI1721" i="105"/>
  <c r="AH1721" i="105"/>
  <c r="AG1721" i="105"/>
  <c r="X1721" i="105"/>
  <c r="W1721" i="105"/>
  <c r="R1721" i="105"/>
  <c r="Q1721" i="105"/>
  <c r="N1721" i="105"/>
  <c r="M1721" i="105"/>
  <c r="L1721" i="105"/>
  <c r="K1721" i="105"/>
  <c r="A1721" i="105"/>
  <c r="A1722" i="105" s="1"/>
  <c r="A1723" i="105" s="1"/>
  <c r="A1724" i="105" s="1"/>
  <c r="A1725" i="105" s="1"/>
  <c r="AI1720" i="105"/>
  <c r="AH1720" i="105"/>
  <c r="AH1719" i="105" s="1"/>
  <c r="AG1720" i="105"/>
  <c r="X1720" i="105"/>
  <c r="X1719" i="105" s="1"/>
  <c r="W1720" i="105"/>
  <c r="R1720" i="105"/>
  <c r="R1719" i="105" s="1"/>
  <c r="Q1720" i="105"/>
  <c r="L1720" i="105"/>
  <c r="N1720" i="105" s="1"/>
  <c r="K1720" i="105"/>
  <c r="M1720" i="105" s="1"/>
  <c r="M1719" i="105" s="1"/>
  <c r="A1720" i="105"/>
  <c r="AF1719" i="105"/>
  <c r="U1719" i="105"/>
  <c r="P1719" i="105"/>
  <c r="H1719" i="105"/>
  <c r="AI1718" i="105"/>
  <c r="AH1718" i="105"/>
  <c r="AG1718" i="105"/>
  <c r="X1718" i="105"/>
  <c r="W1718" i="105"/>
  <c r="R1718" i="105"/>
  <c r="Q1718" i="105"/>
  <c r="N1718" i="105"/>
  <c r="M1718" i="105"/>
  <c r="L1718" i="105"/>
  <c r="K1718" i="105"/>
  <c r="AI1717" i="105"/>
  <c r="AH1717" i="105"/>
  <c r="AG1717" i="105"/>
  <c r="X1717" i="105"/>
  <c r="W1717" i="105"/>
  <c r="R1717" i="105"/>
  <c r="Q1717" i="105"/>
  <c r="N1717" i="105"/>
  <c r="M1717" i="105"/>
  <c r="L1717" i="105"/>
  <c r="K1717" i="105"/>
  <c r="AI1716" i="105"/>
  <c r="AH1716" i="105"/>
  <c r="AG1716" i="105"/>
  <c r="X1716" i="105"/>
  <c r="W1716" i="105"/>
  <c r="R1716" i="105"/>
  <c r="Q1716" i="105"/>
  <c r="N1716" i="105"/>
  <c r="M1716" i="105"/>
  <c r="L1716" i="105"/>
  <c r="K1716" i="105"/>
  <c r="AI1715" i="105"/>
  <c r="AH1715" i="105"/>
  <c r="AG1715" i="105"/>
  <c r="X1715" i="105"/>
  <c r="W1715" i="105"/>
  <c r="R1715" i="105"/>
  <c r="Q1715" i="105"/>
  <c r="N1715" i="105"/>
  <c r="M1715" i="105"/>
  <c r="L1715" i="105"/>
  <c r="K1715" i="105"/>
  <c r="AI1714" i="105"/>
  <c r="AH1714" i="105"/>
  <c r="AG1714" i="105"/>
  <c r="X1714" i="105"/>
  <c r="W1714" i="105"/>
  <c r="R1714" i="105"/>
  <c r="Q1714" i="105"/>
  <c r="N1714" i="105"/>
  <c r="M1714" i="105"/>
  <c r="L1714" i="105"/>
  <c r="K1714" i="105"/>
  <c r="AI1713" i="105"/>
  <c r="AH1713" i="105"/>
  <c r="AG1713" i="105"/>
  <c r="X1713" i="105"/>
  <c r="W1713" i="105"/>
  <c r="R1713" i="105"/>
  <c r="Q1713" i="105"/>
  <c r="N1713" i="105"/>
  <c r="M1713" i="105"/>
  <c r="L1713" i="105"/>
  <c r="K1713" i="105"/>
  <c r="AI1712" i="105"/>
  <c r="AG1712" i="105"/>
  <c r="X1712" i="105"/>
  <c r="W1712" i="105"/>
  <c r="Q1712" i="105"/>
  <c r="R1712" i="105" s="1"/>
  <c r="R1711" i="105" s="1"/>
  <c r="L1712" i="105"/>
  <c r="N1712" i="105" s="1"/>
  <c r="K1712" i="105"/>
  <c r="M1712" i="105" s="1"/>
  <c r="M1711" i="105" s="1"/>
  <c r="A1712" i="105"/>
  <c r="A1713" i="105" s="1"/>
  <c r="A1714" i="105" s="1"/>
  <c r="A1715" i="105" s="1"/>
  <c r="A1716" i="105" s="1"/>
  <c r="A1717" i="105" s="1"/>
  <c r="A1718" i="105" s="1"/>
  <c r="AH1711" i="105"/>
  <c r="AF1711" i="105"/>
  <c r="X1711" i="105"/>
  <c r="U1711" i="105"/>
  <c r="P1711" i="105"/>
  <c r="H1711" i="105"/>
  <c r="AI1710" i="105"/>
  <c r="N1710" i="105"/>
  <c r="M1710" i="105"/>
  <c r="L1710" i="105"/>
  <c r="K1710" i="105"/>
  <c r="AI1709" i="105"/>
  <c r="N1709" i="105"/>
  <c r="M1709" i="105"/>
  <c r="L1709" i="105"/>
  <c r="K1709" i="105"/>
  <c r="AI1708" i="105"/>
  <c r="N1708" i="105"/>
  <c r="M1708" i="105"/>
  <c r="L1708" i="105"/>
  <c r="K1708" i="105"/>
  <c r="AI1707" i="105"/>
  <c r="L1707" i="105"/>
  <c r="N1707" i="105" s="1"/>
  <c r="K1707" i="105"/>
  <c r="M1707" i="105" s="1"/>
  <c r="M1706" i="105" s="1"/>
  <c r="A1707" i="105"/>
  <c r="A1708" i="105" s="1"/>
  <c r="A1709" i="105" s="1"/>
  <c r="A1710" i="105" s="1"/>
  <c r="AH1706" i="105"/>
  <c r="AF1706" i="105"/>
  <c r="X1706" i="105"/>
  <c r="U1706" i="105"/>
  <c r="R1706" i="105"/>
  <c r="P1706" i="105"/>
  <c r="H1706" i="105"/>
  <c r="AI1705" i="105"/>
  <c r="AH1705" i="105"/>
  <c r="AG1705" i="105"/>
  <c r="X1705" i="105"/>
  <c r="W1705" i="105"/>
  <c r="R1705" i="105"/>
  <c r="Q1705" i="105"/>
  <c r="N1705" i="105"/>
  <c r="M1705" i="105"/>
  <c r="L1705" i="105"/>
  <c r="K1705" i="105"/>
  <c r="AI1704" i="105"/>
  <c r="AH1704" i="105"/>
  <c r="AG1704" i="105"/>
  <c r="X1704" i="105"/>
  <c r="W1704" i="105"/>
  <c r="R1704" i="105"/>
  <c r="Q1704" i="105"/>
  <c r="N1704" i="105"/>
  <c r="M1704" i="105"/>
  <c r="L1704" i="105"/>
  <c r="K1704" i="105"/>
  <c r="AI1703" i="105"/>
  <c r="AH1703" i="105"/>
  <c r="AG1703" i="105"/>
  <c r="X1703" i="105"/>
  <c r="W1703" i="105"/>
  <c r="R1703" i="105"/>
  <c r="Q1703" i="105"/>
  <c r="N1703" i="105"/>
  <c r="M1703" i="105"/>
  <c r="L1703" i="105"/>
  <c r="K1703" i="105"/>
  <c r="AI1702" i="105"/>
  <c r="AH1702" i="105"/>
  <c r="AG1702" i="105"/>
  <c r="W1702" i="105"/>
  <c r="X1702" i="105" s="1"/>
  <c r="R1702" i="105"/>
  <c r="Q1702" i="105"/>
  <c r="N1702" i="105"/>
  <c r="M1702" i="105"/>
  <c r="L1702" i="105"/>
  <c r="K1702" i="105"/>
  <c r="AI1701" i="105"/>
  <c r="AH1701" i="105"/>
  <c r="AG1701" i="105"/>
  <c r="W1701" i="105"/>
  <c r="X1701" i="105" s="1"/>
  <c r="R1701" i="105"/>
  <c r="Q1701" i="105"/>
  <c r="N1701" i="105"/>
  <c r="M1701" i="105"/>
  <c r="L1701" i="105"/>
  <c r="K1701" i="105"/>
  <c r="AI1700" i="105"/>
  <c r="AH1700" i="105"/>
  <c r="AG1700" i="105"/>
  <c r="W1700" i="105"/>
  <c r="X1700" i="105" s="1"/>
  <c r="R1700" i="105"/>
  <c r="Q1700" i="105"/>
  <c r="N1700" i="105"/>
  <c r="M1700" i="105"/>
  <c r="L1700" i="105"/>
  <c r="K1700" i="105"/>
  <c r="AI1699" i="105"/>
  <c r="AH1699" i="105"/>
  <c r="AG1699" i="105"/>
  <c r="W1699" i="105"/>
  <c r="X1699" i="105" s="1"/>
  <c r="R1699" i="105"/>
  <c r="Q1699" i="105"/>
  <c r="N1699" i="105"/>
  <c r="M1699" i="105"/>
  <c r="L1699" i="105"/>
  <c r="K1699" i="105"/>
  <c r="AI1698" i="105"/>
  <c r="AH1698" i="105"/>
  <c r="AG1698" i="105"/>
  <c r="W1698" i="105"/>
  <c r="X1698" i="105" s="1"/>
  <c r="R1698" i="105"/>
  <c r="Q1698" i="105"/>
  <c r="N1698" i="105"/>
  <c r="M1698" i="105"/>
  <c r="L1698" i="105"/>
  <c r="K1698" i="105"/>
  <c r="AI1697" i="105"/>
  <c r="AH1697" i="105"/>
  <c r="AG1697" i="105"/>
  <c r="W1697" i="105"/>
  <c r="X1697" i="105" s="1"/>
  <c r="R1697" i="105"/>
  <c r="Q1697" i="105"/>
  <c r="N1697" i="105"/>
  <c r="M1697" i="105"/>
  <c r="L1697" i="105"/>
  <c r="K1697" i="105"/>
  <c r="AI1696" i="105"/>
  <c r="AH1696" i="105"/>
  <c r="AG1696" i="105"/>
  <c r="W1696" i="105"/>
  <c r="X1696" i="105" s="1"/>
  <c r="R1696" i="105"/>
  <c r="Q1696" i="105"/>
  <c r="N1696" i="105"/>
  <c r="M1696" i="105"/>
  <c r="L1696" i="105"/>
  <c r="K1696" i="105"/>
  <c r="AI1695" i="105"/>
  <c r="AH1695" i="105"/>
  <c r="AG1695" i="105"/>
  <c r="W1695" i="105"/>
  <c r="X1695" i="105" s="1"/>
  <c r="Q1695" i="105"/>
  <c r="R1695" i="105" s="1"/>
  <c r="N1695" i="105"/>
  <c r="M1695" i="105"/>
  <c r="L1695" i="105"/>
  <c r="K1695" i="105"/>
  <c r="AI1694" i="105"/>
  <c r="AG1694" i="105"/>
  <c r="X1694" i="105"/>
  <c r="X1693" i="105" s="1"/>
  <c r="W1694" i="105"/>
  <c r="R1694" i="105"/>
  <c r="R1693" i="105" s="1"/>
  <c r="Q1694" i="105"/>
  <c r="L1694" i="105"/>
  <c r="N1694" i="105" s="1"/>
  <c r="K1694" i="105"/>
  <c r="M1694" i="105" s="1"/>
  <c r="M1693" i="105" s="1"/>
  <c r="A1694" i="105"/>
  <c r="A1695" i="105" s="1"/>
  <c r="A1696" i="105" s="1"/>
  <c r="A1697" i="105" s="1"/>
  <c r="A1698" i="105" s="1"/>
  <c r="A1699" i="105" s="1"/>
  <c r="A1700" i="105" s="1"/>
  <c r="A1701" i="105" s="1"/>
  <c r="A1702" i="105" s="1"/>
  <c r="A1703" i="105" s="1"/>
  <c r="A1704" i="105" s="1"/>
  <c r="A1705" i="105" s="1"/>
  <c r="AH1693" i="105"/>
  <c r="AF1693" i="105"/>
  <c r="U1693" i="105"/>
  <c r="P1693" i="105"/>
  <c r="H1693" i="105"/>
  <c r="AI1692" i="105"/>
  <c r="N1692" i="105"/>
  <c r="M1692" i="105"/>
  <c r="L1692" i="105"/>
  <c r="K1692" i="105"/>
  <c r="AI1691" i="105"/>
  <c r="N1691" i="105"/>
  <c r="M1691" i="105"/>
  <c r="L1691" i="105"/>
  <c r="K1691" i="105"/>
  <c r="AI1690" i="105"/>
  <c r="N1690" i="105"/>
  <c r="M1690" i="105"/>
  <c r="L1690" i="105"/>
  <c r="K1690" i="105"/>
  <c r="AI1689" i="105"/>
  <c r="N1689" i="105"/>
  <c r="M1689" i="105"/>
  <c r="L1689" i="105"/>
  <c r="K1689" i="105"/>
  <c r="AI1688" i="105"/>
  <c r="N1688" i="105"/>
  <c r="M1688" i="105"/>
  <c r="L1688" i="105"/>
  <c r="K1688" i="105"/>
  <c r="AI1687" i="105"/>
  <c r="N1687" i="105"/>
  <c r="M1687" i="105"/>
  <c r="L1687" i="105"/>
  <c r="K1687" i="105"/>
  <c r="A1687" i="105"/>
  <c r="A1688" i="105" s="1"/>
  <c r="A1689" i="105" s="1"/>
  <c r="A1690" i="105" s="1"/>
  <c r="A1691" i="105" s="1"/>
  <c r="A1692" i="105" s="1"/>
  <c r="AI1686" i="105"/>
  <c r="L1686" i="105"/>
  <c r="N1686" i="105" s="1"/>
  <c r="K1686" i="105"/>
  <c r="M1686" i="105" s="1"/>
  <c r="M1685" i="105" s="1"/>
  <c r="A1686" i="105"/>
  <c r="AH1685" i="105"/>
  <c r="AF1685" i="105"/>
  <c r="X1685" i="105"/>
  <c r="U1685" i="105"/>
  <c r="R1685" i="105"/>
  <c r="P1685" i="105"/>
  <c r="H1685" i="105"/>
  <c r="AI1684" i="105"/>
  <c r="N1684" i="105"/>
  <c r="M1684" i="105"/>
  <c r="L1684" i="105"/>
  <c r="K1684" i="105"/>
  <c r="AI1683" i="105"/>
  <c r="AH1683" i="105"/>
  <c r="AG1683" i="105"/>
  <c r="X1683" i="105"/>
  <c r="W1683" i="105"/>
  <c r="R1683" i="105"/>
  <c r="Q1683" i="105"/>
  <c r="N1683" i="105"/>
  <c r="M1683" i="105"/>
  <c r="L1683" i="105"/>
  <c r="K1683" i="105"/>
  <c r="AI1682" i="105"/>
  <c r="AH1682" i="105"/>
  <c r="AG1682" i="105"/>
  <c r="X1682" i="105"/>
  <c r="W1682" i="105"/>
  <c r="R1682" i="105"/>
  <c r="Q1682" i="105"/>
  <c r="N1682" i="105"/>
  <c r="M1682" i="105"/>
  <c r="L1682" i="105"/>
  <c r="K1682" i="105"/>
  <c r="AI1681" i="105"/>
  <c r="AH1681" i="105"/>
  <c r="AG1681" i="105"/>
  <c r="X1681" i="105"/>
  <c r="W1681" i="105"/>
  <c r="R1681" i="105"/>
  <c r="Q1681" i="105"/>
  <c r="N1681" i="105"/>
  <c r="M1681" i="105"/>
  <c r="L1681" i="105"/>
  <c r="K1681" i="105"/>
  <c r="AI1680" i="105"/>
  <c r="AH1680" i="105"/>
  <c r="AG1680" i="105"/>
  <c r="X1680" i="105"/>
  <c r="W1680" i="105"/>
  <c r="R1680" i="105"/>
  <c r="Q1680" i="105"/>
  <c r="N1680" i="105"/>
  <c r="M1680" i="105"/>
  <c r="L1680" i="105"/>
  <c r="K1680" i="105"/>
  <c r="AI1679" i="105"/>
  <c r="AH1679" i="105"/>
  <c r="AG1679" i="105"/>
  <c r="X1679" i="105"/>
  <c r="W1679" i="105"/>
  <c r="R1679" i="105"/>
  <c r="Q1679" i="105"/>
  <c r="N1679" i="105"/>
  <c r="M1679" i="105"/>
  <c r="L1679" i="105"/>
  <c r="K1679" i="105"/>
  <c r="AI1678" i="105"/>
  <c r="AH1678" i="105"/>
  <c r="AG1678" i="105"/>
  <c r="X1678" i="105"/>
  <c r="W1678" i="105"/>
  <c r="R1678" i="105"/>
  <c r="Q1678" i="105"/>
  <c r="N1678" i="105"/>
  <c r="M1678" i="105"/>
  <c r="L1678" i="105"/>
  <c r="K1678" i="105"/>
  <c r="AI1677" i="105"/>
  <c r="AH1677" i="105"/>
  <c r="AG1677" i="105"/>
  <c r="X1677" i="105"/>
  <c r="W1677" i="105"/>
  <c r="R1677" i="105"/>
  <c r="Q1677" i="105"/>
  <c r="L1677" i="105"/>
  <c r="N1677" i="105" s="1"/>
  <c r="I1677" i="105" s="1"/>
  <c r="K1677" i="105"/>
  <c r="M1677" i="105" s="1"/>
  <c r="AI1676" i="105"/>
  <c r="X1676" i="105"/>
  <c r="W1676" i="105"/>
  <c r="R1676" i="105"/>
  <c r="Q1676" i="105"/>
  <c r="L1676" i="105"/>
  <c r="N1676" i="105" s="1"/>
  <c r="K1676" i="105"/>
  <c r="M1676" i="105" s="1"/>
  <c r="M1675" i="105" s="1"/>
  <c r="A1676" i="105"/>
  <c r="A1677" i="105" s="1"/>
  <c r="A1678" i="105" s="1"/>
  <c r="A1679" i="105" s="1"/>
  <c r="A1680" i="105" s="1"/>
  <c r="A1681" i="105" s="1"/>
  <c r="A1682" i="105" s="1"/>
  <c r="A1683" i="105" s="1"/>
  <c r="A1684" i="105" s="1"/>
  <c r="AH1675" i="105"/>
  <c r="AF1675" i="105"/>
  <c r="X1675" i="105"/>
  <c r="U1675" i="105"/>
  <c r="R1675" i="105"/>
  <c r="P1675" i="105"/>
  <c r="H1675" i="105"/>
  <c r="AI1674" i="105"/>
  <c r="N1674" i="105"/>
  <c r="M1674" i="105"/>
  <c r="L1674" i="105"/>
  <c r="K1674" i="105"/>
  <c r="AI1673" i="105"/>
  <c r="N1673" i="105"/>
  <c r="M1673" i="105"/>
  <c r="L1673" i="105"/>
  <c r="K1673" i="105"/>
  <c r="AI1672" i="105"/>
  <c r="N1672" i="105"/>
  <c r="M1672" i="105"/>
  <c r="L1672" i="105"/>
  <c r="K1672" i="105"/>
  <c r="AI1671" i="105"/>
  <c r="N1671" i="105"/>
  <c r="M1671" i="105"/>
  <c r="L1671" i="105"/>
  <c r="K1671" i="105"/>
  <c r="AI1670" i="105"/>
  <c r="N1670" i="105"/>
  <c r="M1670" i="105"/>
  <c r="L1670" i="105"/>
  <c r="K1670" i="105"/>
  <c r="AI1669" i="105"/>
  <c r="N1669" i="105"/>
  <c r="M1669" i="105"/>
  <c r="L1669" i="105"/>
  <c r="K1669" i="105"/>
  <c r="AI1668" i="105"/>
  <c r="N1668" i="105"/>
  <c r="M1668" i="105"/>
  <c r="L1668" i="105"/>
  <c r="K1668" i="105"/>
  <c r="AI1667" i="105"/>
  <c r="L1667" i="105"/>
  <c r="N1667" i="105" s="1"/>
  <c r="K1667" i="105"/>
  <c r="M1667" i="105" s="1"/>
  <c r="M1666" i="105" s="1"/>
  <c r="A1667" i="105"/>
  <c r="A1668" i="105" s="1"/>
  <c r="A1669" i="105" s="1"/>
  <c r="A1670" i="105" s="1"/>
  <c r="A1671" i="105" s="1"/>
  <c r="A1672" i="105" s="1"/>
  <c r="A1673" i="105" s="1"/>
  <c r="A1674" i="105" s="1"/>
  <c r="AH1666" i="105"/>
  <c r="AF1666" i="105"/>
  <c r="X1666" i="105"/>
  <c r="U1666" i="105"/>
  <c r="R1666" i="105"/>
  <c r="P1666" i="105"/>
  <c r="H1666" i="105"/>
  <c r="AI1665" i="105"/>
  <c r="AH1665" i="105"/>
  <c r="AG1665" i="105"/>
  <c r="X1665" i="105"/>
  <c r="W1665" i="105"/>
  <c r="R1665" i="105"/>
  <c r="Q1665" i="105"/>
  <c r="N1665" i="105"/>
  <c r="M1665" i="105"/>
  <c r="L1665" i="105"/>
  <c r="K1665" i="105"/>
  <c r="AI1664" i="105"/>
  <c r="AH1664" i="105"/>
  <c r="AG1664" i="105"/>
  <c r="X1664" i="105"/>
  <c r="W1664" i="105"/>
  <c r="R1664" i="105"/>
  <c r="Q1664" i="105"/>
  <c r="N1664" i="105"/>
  <c r="M1664" i="105"/>
  <c r="L1664" i="105"/>
  <c r="K1664" i="105"/>
  <c r="AI1663" i="105"/>
  <c r="AH1663" i="105"/>
  <c r="AG1663" i="105"/>
  <c r="X1663" i="105"/>
  <c r="W1663" i="105"/>
  <c r="R1663" i="105"/>
  <c r="Q1663" i="105"/>
  <c r="N1663" i="105"/>
  <c r="M1663" i="105"/>
  <c r="L1663" i="105"/>
  <c r="K1663" i="105"/>
  <c r="AI1662" i="105"/>
  <c r="AH1662" i="105"/>
  <c r="AG1662" i="105"/>
  <c r="X1662" i="105"/>
  <c r="W1662" i="105"/>
  <c r="R1662" i="105"/>
  <c r="Q1662" i="105"/>
  <c r="N1662" i="105"/>
  <c r="M1662" i="105"/>
  <c r="L1662" i="105"/>
  <c r="K1662" i="105"/>
  <c r="AI1661" i="105"/>
  <c r="AH1661" i="105"/>
  <c r="AG1661" i="105"/>
  <c r="X1661" i="105"/>
  <c r="W1661" i="105"/>
  <c r="R1661" i="105"/>
  <c r="Q1661" i="105"/>
  <c r="N1661" i="105"/>
  <c r="M1661" i="105"/>
  <c r="L1661" i="105"/>
  <c r="K1661" i="105"/>
  <c r="AI1660" i="105"/>
  <c r="AH1660" i="105"/>
  <c r="AG1660" i="105"/>
  <c r="W1660" i="105"/>
  <c r="X1660" i="105" s="1"/>
  <c r="R1660" i="105"/>
  <c r="Q1660" i="105"/>
  <c r="N1660" i="105"/>
  <c r="M1660" i="105"/>
  <c r="L1660" i="105"/>
  <c r="K1660" i="105"/>
  <c r="AI1659" i="105"/>
  <c r="AH1659" i="105"/>
  <c r="AG1659" i="105"/>
  <c r="W1659" i="105"/>
  <c r="X1659" i="105" s="1"/>
  <c r="X1658" i="105" s="1"/>
  <c r="R1659" i="105"/>
  <c r="Q1659" i="105"/>
  <c r="N1659" i="105"/>
  <c r="M1659" i="105"/>
  <c r="L1659" i="105"/>
  <c r="K1659" i="105"/>
  <c r="A1659" i="105"/>
  <c r="A1660" i="105" s="1"/>
  <c r="A1661" i="105" s="1"/>
  <c r="A1662" i="105" s="1"/>
  <c r="A1663" i="105" s="1"/>
  <c r="A1664" i="105" s="1"/>
  <c r="A1665" i="105" s="1"/>
  <c r="AH1658" i="105"/>
  <c r="AF1658" i="105"/>
  <c r="U1658" i="105"/>
  <c r="R1658" i="105"/>
  <c r="P1658" i="105"/>
  <c r="N1658" i="105"/>
  <c r="M1658" i="105"/>
  <c r="AI1658" i="105" s="1"/>
  <c r="I1658" i="105"/>
  <c r="H1658" i="105"/>
  <c r="AI1657" i="105"/>
  <c r="AH1657" i="105"/>
  <c r="AG1657" i="105"/>
  <c r="X1657" i="105"/>
  <c r="W1657" i="105"/>
  <c r="R1657" i="105"/>
  <c r="Q1657" i="105"/>
  <c r="N1657" i="105"/>
  <c r="M1657" i="105"/>
  <c r="L1657" i="105"/>
  <c r="K1657" i="105"/>
  <c r="AI1656" i="105"/>
  <c r="AH1656" i="105"/>
  <c r="AG1656" i="105"/>
  <c r="X1656" i="105"/>
  <c r="W1656" i="105"/>
  <c r="R1656" i="105"/>
  <c r="Q1656" i="105"/>
  <c r="N1656" i="105"/>
  <c r="M1656" i="105"/>
  <c r="L1656" i="105"/>
  <c r="K1656" i="105"/>
  <c r="AI1655" i="105"/>
  <c r="AH1655" i="105"/>
  <c r="AG1655" i="105"/>
  <c r="X1655" i="105"/>
  <c r="W1655" i="105"/>
  <c r="R1655" i="105"/>
  <c r="Q1655" i="105"/>
  <c r="N1655" i="105"/>
  <c r="M1655" i="105"/>
  <c r="L1655" i="105"/>
  <c r="K1655" i="105"/>
  <c r="AI1654" i="105"/>
  <c r="AH1654" i="105"/>
  <c r="AG1654" i="105"/>
  <c r="X1654" i="105"/>
  <c r="W1654" i="105"/>
  <c r="R1654" i="105"/>
  <c r="Q1654" i="105"/>
  <c r="N1654" i="105"/>
  <c r="M1654" i="105"/>
  <c r="L1654" i="105"/>
  <c r="K1654" i="105"/>
  <c r="AI1653" i="105"/>
  <c r="AH1653" i="105"/>
  <c r="AG1653" i="105"/>
  <c r="X1653" i="105"/>
  <c r="W1653" i="105"/>
  <c r="R1653" i="105"/>
  <c r="Q1653" i="105"/>
  <c r="N1653" i="105"/>
  <c r="M1653" i="105"/>
  <c r="L1653" i="105"/>
  <c r="K1653" i="105"/>
  <c r="AI1652" i="105"/>
  <c r="AH1652" i="105"/>
  <c r="AG1652" i="105"/>
  <c r="X1652" i="105"/>
  <c r="W1652" i="105"/>
  <c r="R1652" i="105"/>
  <c r="Q1652" i="105"/>
  <c r="N1652" i="105"/>
  <c r="M1652" i="105"/>
  <c r="L1652" i="105"/>
  <c r="K1652" i="105"/>
  <c r="AI1651" i="105"/>
  <c r="AH1651" i="105"/>
  <c r="AH1649" i="105" s="1"/>
  <c r="AG1651" i="105"/>
  <c r="X1651" i="105"/>
  <c r="X1649" i="105" s="1"/>
  <c r="W1651" i="105"/>
  <c r="R1651" i="105"/>
  <c r="R1649" i="105" s="1"/>
  <c r="Q1651" i="105"/>
  <c r="N1651" i="105"/>
  <c r="M1651" i="105"/>
  <c r="L1651" i="105"/>
  <c r="K1651" i="105"/>
  <c r="A1651" i="105"/>
  <c r="A1652" i="105" s="1"/>
  <c r="A1653" i="105" s="1"/>
  <c r="A1654" i="105" s="1"/>
  <c r="A1655" i="105" s="1"/>
  <c r="A1656" i="105" s="1"/>
  <c r="A1657" i="105" s="1"/>
  <c r="AI1650" i="105"/>
  <c r="AG1650" i="105"/>
  <c r="X1650" i="105"/>
  <c r="W1650" i="105"/>
  <c r="R1650" i="105"/>
  <c r="Q1650" i="105"/>
  <c r="L1650" i="105"/>
  <c r="K1650" i="105"/>
  <c r="H1650" i="105"/>
  <c r="N1650" i="105" s="1"/>
  <c r="A1650" i="105"/>
  <c r="AF1649" i="105"/>
  <c r="U1649" i="105"/>
  <c r="P1649" i="105"/>
  <c r="H1649" i="105"/>
  <c r="AI1648" i="105"/>
  <c r="AH1648" i="105"/>
  <c r="AG1648" i="105"/>
  <c r="X1648" i="105"/>
  <c r="W1648" i="105"/>
  <c r="R1648" i="105"/>
  <c r="Q1648" i="105"/>
  <c r="N1648" i="105"/>
  <c r="M1648" i="105"/>
  <c r="L1648" i="105"/>
  <c r="K1648" i="105"/>
  <c r="AI1647" i="105"/>
  <c r="AH1647" i="105"/>
  <c r="AG1647" i="105"/>
  <c r="X1647" i="105"/>
  <c r="W1647" i="105"/>
  <c r="R1647" i="105"/>
  <c r="Q1647" i="105"/>
  <c r="N1647" i="105"/>
  <c r="M1647" i="105"/>
  <c r="L1647" i="105"/>
  <c r="K1647" i="105"/>
  <c r="AI1646" i="105"/>
  <c r="AH1646" i="105"/>
  <c r="AG1646" i="105"/>
  <c r="X1646" i="105"/>
  <c r="W1646" i="105"/>
  <c r="R1646" i="105"/>
  <c r="Q1646" i="105"/>
  <c r="N1646" i="105"/>
  <c r="M1646" i="105"/>
  <c r="L1646" i="105"/>
  <c r="K1646" i="105"/>
  <c r="AI1645" i="105"/>
  <c r="AH1645" i="105"/>
  <c r="AG1645" i="105"/>
  <c r="X1645" i="105"/>
  <c r="W1645" i="105"/>
  <c r="R1645" i="105"/>
  <c r="Q1645" i="105"/>
  <c r="N1645" i="105"/>
  <c r="M1645" i="105"/>
  <c r="L1645" i="105"/>
  <c r="K1645" i="105"/>
  <c r="AI1644" i="105"/>
  <c r="AH1644" i="105"/>
  <c r="AG1644" i="105"/>
  <c r="X1644" i="105"/>
  <c r="W1644" i="105"/>
  <c r="R1644" i="105"/>
  <c r="Q1644" i="105"/>
  <c r="N1644" i="105"/>
  <c r="M1644" i="105"/>
  <c r="L1644" i="105"/>
  <c r="K1644" i="105"/>
  <c r="AI1643" i="105"/>
  <c r="AH1643" i="105"/>
  <c r="AG1643" i="105"/>
  <c r="X1643" i="105"/>
  <c r="W1643" i="105"/>
  <c r="R1643" i="105"/>
  <c r="Q1643" i="105"/>
  <c r="N1643" i="105"/>
  <c r="M1643" i="105"/>
  <c r="L1643" i="105"/>
  <c r="K1643" i="105"/>
  <c r="A1643" i="105"/>
  <c r="A1644" i="105" s="1"/>
  <c r="A1645" i="105" s="1"/>
  <c r="A1646" i="105" s="1"/>
  <c r="A1647" i="105" s="1"/>
  <c r="A1648" i="105" s="1"/>
  <c r="AI1642" i="105"/>
  <c r="AH1642" i="105"/>
  <c r="AH1641" i="105" s="1"/>
  <c r="AG1642" i="105"/>
  <c r="X1642" i="105"/>
  <c r="X1641" i="105" s="1"/>
  <c r="W1642" i="105"/>
  <c r="R1642" i="105"/>
  <c r="R1641" i="105" s="1"/>
  <c r="Q1642" i="105"/>
  <c r="L1642" i="105"/>
  <c r="N1642" i="105" s="1"/>
  <c r="K1642" i="105"/>
  <c r="M1642" i="105" s="1"/>
  <c r="M1641" i="105" s="1"/>
  <c r="A1642" i="105"/>
  <c r="AF1641" i="105"/>
  <c r="U1641" i="105"/>
  <c r="P1641" i="105"/>
  <c r="H1641" i="105"/>
  <c r="AI1640" i="105"/>
  <c r="AH1640" i="105"/>
  <c r="AG1640" i="105"/>
  <c r="X1640" i="105"/>
  <c r="W1640" i="105"/>
  <c r="R1640" i="105"/>
  <c r="Q1640" i="105"/>
  <c r="N1640" i="105"/>
  <c r="M1640" i="105"/>
  <c r="L1640" i="105"/>
  <c r="K1640" i="105"/>
  <c r="AI1639" i="105"/>
  <c r="AH1639" i="105"/>
  <c r="AG1639" i="105"/>
  <c r="X1639" i="105"/>
  <c r="W1639" i="105"/>
  <c r="R1639" i="105"/>
  <c r="Q1639" i="105"/>
  <c r="N1639" i="105"/>
  <c r="M1639" i="105"/>
  <c r="L1639" i="105"/>
  <c r="K1639" i="105"/>
  <c r="AI1638" i="105"/>
  <c r="AH1638" i="105"/>
  <c r="AG1638" i="105"/>
  <c r="X1638" i="105"/>
  <c r="W1638" i="105"/>
  <c r="R1638" i="105"/>
  <c r="Q1638" i="105"/>
  <c r="N1638" i="105"/>
  <c r="M1638" i="105"/>
  <c r="L1638" i="105"/>
  <c r="K1638" i="105"/>
  <c r="AI1637" i="105"/>
  <c r="AH1637" i="105"/>
  <c r="AG1637" i="105"/>
  <c r="X1637" i="105"/>
  <c r="W1637" i="105"/>
  <c r="R1637" i="105"/>
  <c r="Q1637" i="105"/>
  <c r="N1637" i="105"/>
  <c r="M1637" i="105"/>
  <c r="L1637" i="105"/>
  <c r="K1637" i="105"/>
  <c r="AI1636" i="105"/>
  <c r="AH1636" i="105"/>
  <c r="AG1636" i="105"/>
  <c r="X1636" i="105"/>
  <c r="W1636" i="105"/>
  <c r="R1636" i="105"/>
  <c r="Q1636" i="105"/>
  <c r="N1636" i="105"/>
  <c r="M1636" i="105"/>
  <c r="L1636" i="105"/>
  <c r="K1636" i="105"/>
  <c r="AI1635" i="105"/>
  <c r="AH1635" i="105"/>
  <c r="AG1635" i="105"/>
  <c r="X1635" i="105"/>
  <c r="W1635" i="105"/>
  <c r="R1635" i="105"/>
  <c r="Q1635" i="105"/>
  <c r="N1635" i="105"/>
  <c r="M1635" i="105"/>
  <c r="L1635" i="105"/>
  <c r="K1635" i="105"/>
  <c r="AI1634" i="105"/>
  <c r="AH1634" i="105"/>
  <c r="AG1634" i="105"/>
  <c r="X1634" i="105"/>
  <c r="W1634" i="105"/>
  <c r="R1634" i="105"/>
  <c r="Q1634" i="105"/>
  <c r="N1634" i="105"/>
  <c r="M1634" i="105"/>
  <c r="L1634" i="105"/>
  <c r="K1634" i="105"/>
  <c r="AI1633" i="105"/>
  <c r="AH1633" i="105"/>
  <c r="AH1631" i="105" s="1"/>
  <c r="AG1633" i="105"/>
  <c r="X1633" i="105"/>
  <c r="X1631" i="105" s="1"/>
  <c r="W1633" i="105"/>
  <c r="R1633" i="105"/>
  <c r="Q1633" i="105"/>
  <c r="N1633" i="105"/>
  <c r="M1633" i="105"/>
  <c r="L1633" i="105"/>
  <c r="K1633" i="105"/>
  <c r="A1633" i="105"/>
  <c r="A1634" i="105" s="1"/>
  <c r="A1635" i="105" s="1"/>
  <c r="A1636" i="105" s="1"/>
  <c r="A1637" i="105" s="1"/>
  <c r="A1638" i="105" s="1"/>
  <c r="A1639" i="105" s="1"/>
  <c r="A1640" i="105" s="1"/>
  <c r="AI1632" i="105"/>
  <c r="AG1632" i="105"/>
  <c r="X1632" i="105"/>
  <c r="W1632" i="105"/>
  <c r="Q1632" i="105"/>
  <c r="R1632" i="105" s="1"/>
  <c r="R1631" i="105" s="1"/>
  <c r="L1632" i="105"/>
  <c r="K1632" i="105"/>
  <c r="H1632" i="105"/>
  <c r="N1632" i="105" s="1"/>
  <c r="A1632" i="105"/>
  <c r="AF1631" i="105"/>
  <c r="U1631" i="105"/>
  <c r="P1631" i="105"/>
  <c r="H1631" i="105"/>
  <c r="AI1630" i="105"/>
  <c r="AH1630" i="105"/>
  <c r="AG1630" i="105"/>
  <c r="X1630" i="105"/>
  <c r="W1630" i="105"/>
  <c r="R1630" i="105"/>
  <c r="Q1630" i="105"/>
  <c r="N1630" i="105"/>
  <c r="M1630" i="105"/>
  <c r="L1630" i="105"/>
  <c r="K1630" i="105"/>
  <c r="AI1629" i="105"/>
  <c r="AH1629" i="105"/>
  <c r="AG1629" i="105"/>
  <c r="X1629" i="105"/>
  <c r="W1629" i="105"/>
  <c r="R1629" i="105"/>
  <c r="Q1629" i="105"/>
  <c r="N1629" i="105"/>
  <c r="M1629" i="105"/>
  <c r="L1629" i="105"/>
  <c r="K1629" i="105"/>
  <c r="AI1628" i="105"/>
  <c r="AH1628" i="105"/>
  <c r="AG1628" i="105"/>
  <c r="X1628" i="105"/>
  <c r="W1628" i="105"/>
  <c r="R1628" i="105"/>
  <c r="Q1628" i="105"/>
  <c r="N1628" i="105"/>
  <c r="M1628" i="105"/>
  <c r="L1628" i="105"/>
  <c r="K1628" i="105"/>
  <c r="AI1627" i="105"/>
  <c r="AH1627" i="105"/>
  <c r="AG1627" i="105"/>
  <c r="X1627" i="105"/>
  <c r="W1627" i="105"/>
  <c r="R1627" i="105"/>
  <c r="Q1627" i="105"/>
  <c r="N1627" i="105"/>
  <c r="M1627" i="105"/>
  <c r="L1627" i="105"/>
  <c r="K1627" i="105"/>
  <c r="AI1626" i="105"/>
  <c r="AH1626" i="105"/>
  <c r="AG1626" i="105"/>
  <c r="X1626" i="105"/>
  <c r="W1626" i="105"/>
  <c r="R1626" i="105"/>
  <c r="Q1626" i="105"/>
  <c r="N1626" i="105"/>
  <c r="M1626" i="105"/>
  <c r="L1626" i="105"/>
  <c r="K1626" i="105"/>
  <c r="AI1625" i="105"/>
  <c r="AH1625" i="105"/>
  <c r="AG1625" i="105"/>
  <c r="X1625" i="105"/>
  <c r="W1625" i="105"/>
  <c r="R1625" i="105"/>
  <c r="Q1625" i="105"/>
  <c r="N1625" i="105"/>
  <c r="M1625" i="105"/>
  <c r="L1625" i="105"/>
  <c r="K1625" i="105"/>
  <c r="AI1624" i="105"/>
  <c r="AH1624" i="105"/>
  <c r="AG1624" i="105"/>
  <c r="X1624" i="105"/>
  <c r="W1624" i="105"/>
  <c r="R1624" i="105"/>
  <c r="Q1624" i="105"/>
  <c r="N1624" i="105"/>
  <c r="M1624" i="105"/>
  <c r="L1624" i="105"/>
  <c r="K1624" i="105"/>
  <c r="AI1623" i="105"/>
  <c r="AH1623" i="105"/>
  <c r="AG1623" i="105"/>
  <c r="X1623" i="105"/>
  <c r="W1623" i="105"/>
  <c r="R1623" i="105"/>
  <c r="Q1623" i="105"/>
  <c r="L1623" i="105"/>
  <c r="N1623" i="105" s="1"/>
  <c r="K1623" i="105"/>
  <c r="H1623" i="105"/>
  <c r="M1623" i="105" s="1"/>
  <c r="M1622" i="105" s="1"/>
  <c r="A1623" i="105"/>
  <c r="A1624" i="105" s="1"/>
  <c r="A1625" i="105" s="1"/>
  <c r="A1626" i="105" s="1"/>
  <c r="A1627" i="105" s="1"/>
  <c r="A1628" i="105" s="1"/>
  <c r="A1629" i="105" s="1"/>
  <c r="A1630" i="105" s="1"/>
  <c r="AH1622" i="105"/>
  <c r="AF1622" i="105"/>
  <c r="X1622" i="105"/>
  <c r="U1622" i="105"/>
  <c r="R1622" i="105"/>
  <c r="P1622" i="105"/>
  <c r="H1622" i="105"/>
  <c r="AI1621" i="105"/>
  <c r="AH1621" i="105"/>
  <c r="AG1621" i="105"/>
  <c r="X1621" i="105"/>
  <c r="W1621" i="105"/>
  <c r="R1621" i="105"/>
  <c r="Q1621" i="105"/>
  <c r="N1621" i="105"/>
  <c r="M1621" i="105"/>
  <c r="L1621" i="105"/>
  <c r="K1621" i="105"/>
  <c r="AI1620" i="105"/>
  <c r="AH1620" i="105"/>
  <c r="AG1620" i="105"/>
  <c r="X1620" i="105"/>
  <c r="W1620" i="105"/>
  <c r="R1620" i="105"/>
  <c r="Q1620" i="105"/>
  <c r="N1620" i="105"/>
  <c r="M1620" i="105"/>
  <c r="L1620" i="105"/>
  <c r="K1620" i="105"/>
  <c r="AI1619" i="105"/>
  <c r="AH1619" i="105"/>
  <c r="AG1619" i="105"/>
  <c r="X1619" i="105"/>
  <c r="W1619" i="105"/>
  <c r="R1619" i="105"/>
  <c r="Q1619" i="105"/>
  <c r="N1619" i="105"/>
  <c r="M1619" i="105"/>
  <c r="L1619" i="105"/>
  <c r="K1619" i="105"/>
  <c r="AI1618" i="105"/>
  <c r="AH1618" i="105"/>
  <c r="AG1618" i="105"/>
  <c r="X1618" i="105"/>
  <c r="W1618" i="105"/>
  <c r="R1618" i="105"/>
  <c r="Q1618" i="105"/>
  <c r="N1618" i="105"/>
  <c r="M1618" i="105"/>
  <c r="L1618" i="105"/>
  <c r="K1618" i="105"/>
  <c r="AI1617" i="105"/>
  <c r="AH1617" i="105"/>
  <c r="AG1617" i="105"/>
  <c r="X1617" i="105"/>
  <c r="W1617" i="105"/>
  <c r="R1617" i="105"/>
  <c r="Q1617" i="105"/>
  <c r="N1617" i="105"/>
  <c r="M1617" i="105"/>
  <c r="L1617" i="105"/>
  <c r="K1617" i="105"/>
  <c r="AI1616" i="105"/>
  <c r="AH1616" i="105"/>
  <c r="AG1616" i="105"/>
  <c r="X1616" i="105"/>
  <c r="W1616" i="105"/>
  <c r="Q1616" i="105"/>
  <c r="R1616" i="105" s="1"/>
  <c r="N1616" i="105"/>
  <c r="M1616" i="105"/>
  <c r="L1616" i="105"/>
  <c r="K1616" i="105"/>
  <c r="AI1615" i="105"/>
  <c r="AH1615" i="105"/>
  <c r="AG1615" i="105"/>
  <c r="X1615" i="105"/>
  <c r="W1615" i="105"/>
  <c r="Q1615" i="105"/>
  <c r="R1615" i="105" s="1"/>
  <c r="N1615" i="105"/>
  <c r="M1615" i="105"/>
  <c r="L1615" i="105"/>
  <c r="K1615" i="105"/>
  <c r="AI1614" i="105"/>
  <c r="AH1614" i="105"/>
  <c r="AG1614" i="105"/>
  <c r="X1614" i="105"/>
  <c r="W1614" i="105"/>
  <c r="Q1614" i="105"/>
  <c r="R1614" i="105" s="1"/>
  <c r="N1614" i="105"/>
  <c r="M1614" i="105"/>
  <c r="L1614" i="105"/>
  <c r="K1614" i="105"/>
  <c r="AI1613" i="105"/>
  <c r="AH1613" i="105"/>
  <c r="AG1613" i="105"/>
  <c r="X1613" i="105"/>
  <c r="W1613" i="105"/>
  <c r="Q1613" i="105"/>
  <c r="R1613" i="105" s="1"/>
  <c r="N1613" i="105"/>
  <c r="M1613" i="105"/>
  <c r="L1613" i="105"/>
  <c r="K1613" i="105"/>
  <c r="AI1612" i="105"/>
  <c r="AH1612" i="105"/>
  <c r="AG1612" i="105"/>
  <c r="X1612" i="105"/>
  <c r="W1612" i="105"/>
  <c r="Q1612" i="105"/>
  <c r="R1612" i="105" s="1"/>
  <c r="N1612" i="105"/>
  <c r="M1612" i="105"/>
  <c r="L1612" i="105"/>
  <c r="K1612" i="105"/>
  <c r="AI1611" i="105"/>
  <c r="AH1611" i="105"/>
  <c r="AG1611" i="105"/>
  <c r="X1611" i="105"/>
  <c r="W1611" i="105"/>
  <c r="Q1611" i="105"/>
  <c r="R1611" i="105" s="1"/>
  <c r="R1608" i="105" s="1"/>
  <c r="L1611" i="105"/>
  <c r="N1611" i="105" s="1"/>
  <c r="I1611" i="105" s="1"/>
  <c r="K1611" i="105"/>
  <c r="M1611" i="105" s="1"/>
  <c r="AI1610" i="105"/>
  <c r="AH1610" i="105"/>
  <c r="AG1610" i="105"/>
  <c r="X1610" i="105"/>
  <c r="W1610" i="105"/>
  <c r="R1610" i="105"/>
  <c r="Q1610" i="105"/>
  <c r="L1610" i="105"/>
  <c r="N1610" i="105" s="1"/>
  <c r="I1610" i="105" s="1"/>
  <c r="K1610" i="105"/>
  <c r="M1610" i="105" s="1"/>
  <c r="AI1609" i="105"/>
  <c r="AG1609" i="105"/>
  <c r="X1609" i="105"/>
  <c r="W1609" i="105"/>
  <c r="R1609" i="105"/>
  <c r="Q1609" i="105"/>
  <c r="L1609" i="105"/>
  <c r="N1609" i="105" s="1"/>
  <c r="K1609" i="105"/>
  <c r="H1609" i="105"/>
  <c r="M1609" i="105" s="1"/>
  <c r="M1608" i="105" s="1"/>
  <c r="A1609" i="105"/>
  <c r="A1610" i="105" s="1"/>
  <c r="A1611" i="105" s="1"/>
  <c r="A1612" i="105" s="1"/>
  <c r="A1613" i="105" s="1"/>
  <c r="A1614" i="105" s="1"/>
  <c r="A1615" i="105" s="1"/>
  <c r="A1616" i="105" s="1"/>
  <c r="A1617" i="105" s="1"/>
  <c r="A1618" i="105" s="1"/>
  <c r="A1619" i="105" s="1"/>
  <c r="A1620" i="105" s="1"/>
  <c r="A1621" i="105" s="1"/>
  <c r="AH1608" i="105"/>
  <c r="AF1608" i="105"/>
  <c r="X1608" i="105"/>
  <c r="U1608" i="105"/>
  <c r="P1608" i="105"/>
  <c r="H1608" i="105"/>
  <c r="AI1607" i="105"/>
  <c r="AH1607" i="105"/>
  <c r="AG1607" i="105"/>
  <c r="X1607" i="105"/>
  <c r="W1607" i="105"/>
  <c r="R1607" i="105"/>
  <c r="Q1607" i="105"/>
  <c r="N1607" i="105"/>
  <c r="M1607" i="105"/>
  <c r="L1607" i="105"/>
  <c r="K1607" i="105"/>
  <c r="AI1606" i="105"/>
  <c r="AH1606" i="105"/>
  <c r="AG1606" i="105"/>
  <c r="X1606" i="105"/>
  <c r="W1606" i="105"/>
  <c r="R1606" i="105"/>
  <c r="Q1606" i="105"/>
  <c r="N1606" i="105"/>
  <c r="M1606" i="105"/>
  <c r="L1606" i="105"/>
  <c r="K1606" i="105"/>
  <c r="AI1605" i="105"/>
  <c r="AH1605" i="105"/>
  <c r="AG1605" i="105"/>
  <c r="X1605" i="105"/>
  <c r="W1605" i="105"/>
  <c r="R1605" i="105"/>
  <c r="Q1605" i="105"/>
  <c r="N1605" i="105"/>
  <c r="M1605" i="105"/>
  <c r="L1605" i="105"/>
  <c r="K1605" i="105"/>
  <c r="AI1604" i="105"/>
  <c r="AH1604" i="105"/>
  <c r="AG1604" i="105"/>
  <c r="X1604" i="105"/>
  <c r="W1604" i="105"/>
  <c r="R1604" i="105"/>
  <c r="Q1604" i="105"/>
  <c r="N1604" i="105"/>
  <c r="M1604" i="105"/>
  <c r="L1604" i="105"/>
  <c r="K1604" i="105"/>
  <c r="AI1603" i="105"/>
  <c r="AH1603" i="105"/>
  <c r="AG1603" i="105"/>
  <c r="W1603" i="105"/>
  <c r="X1603" i="105" s="1"/>
  <c r="R1603" i="105"/>
  <c r="Q1603" i="105"/>
  <c r="N1603" i="105"/>
  <c r="M1603" i="105"/>
  <c r="L1603" i="105"/>
  <c r="K1603" i="105"/>
  <c r="AI1602" i="105"/>
  <c r="AH1602" i="105"/>
  <c r="AG1602" i="105"/>
  <c r="W1602" i="105"/>
  <c r="X1602" i="105" s="1"/>
  <c r="R1602" i="105"/>
  <c r="Q1602" i="105"/>
  <c r="N1602" i="105"/>
  <c r="M1602" i="105"/>
  <c r="L1602" i="105"/>
  <c r="K1602" i="105"/>
  <c r="AI1601" i="105"/>
  <c r="AH1601" i="105"/>
  <c r="AG1601" i="105"/>
  <c r="W1601" i="105"/>
  <c r="X1601" i="105" s="1"/>
  <c r="R1601" i="105"/>
  <c r="Q1601" i="105"/>
  <c r="N1601" i="105"/>
  <c r="M1601" i="105"/>
  <c r="L1601" i="105"/>
  <c r="K1601" i="105"/>
  <c r="AI1600" i="105"/>
  <c r="AH1600" i="105"/>
  <c r="AG1600" i="105"/>
  <c r="W1600" i="105"/>
  <c r="X1600" i="105" s="1"/>
  <c r="R1600" i="105"/>
  <c r="Q1600" i="105"/>
  <c r="N1600" i="105"/>
  <c r="M1600" i="105"/>
  <c r="L1600" i="105"/>
  <c r="K1600" i="105"/>
  <c r="AI1599" i="105"/>
  <c r="AG1599" i="105"/>
  <c r="X1599" i="105"/>
  <c r="W1599" i="105"/>
  <c r="R1599" i="105"/>
  <c r="Q1599" i="105"/>
  <c r="L1599" i="105"/>
  <c r="N1599" i="105" s="1"/>
  <c r="I1599" i="105" s="1"/>
  <c r="K1599" i="105"/>
  <c r="M1599" i="105" s="1"/>
  <c r="AI1598" i="105"/>
  <c r="AG1598" i="105"/>
  <c r="AH1598" i="105" s="1"/>
  <c r="AH1597" i="105" s="1"/>
  <c r="W1598" i="105"/>
  <c r="X1598" i="105" s="1"/>
  <c r="X1597" i="105" s="1"/>
  <c r="R1598" i="105"/>
  <c r="Q1598" i="105"/>
  <c r="L1598" i="105"/>
  <c r="N1598" i="105" s="1"/>
  <c r="K1598" i="105"/>
  <c r="M1598" i="105" s="1"/>
  <c r="M1597" i="105" s="1"/>
  <c r="A1598" i="105"/>
  <c r="A1599" i="105" s="1"/>
  <c r="A1600" i="105" s="1"/>
  <c r="A1601" i="105" s="1"/>
  <c r="A1602" i="105" s="1"/>
  <c r="A1603" i="105" s="1"/>
  <c r="A1604" i="105" s="1"/>
  <c r="A1605" i="105" s="1"/>
  <c r="A1606" i="105" s="1"/>
  <c r="A1607" i="105" s="1"/>
  <c r="AF1597" i="105"/>
  <c r="U1597" i="105"/>
  <c r="R1597" i="105"/>
  <c r="P1597" i="105"/>
  <c r="H1597" i="105"/>
  <c r="AI1596" i="105"/>
  <c r="AH1596" i="105"/>
  <c r="AG1596" i="105"/>
  <c r="X1596" i="105"/>
  <c r="W1596" i="105"/>
  <c r="R1596" i="105"/>
  <c r="Q1596" i="105"/>
  <c r="N1596" i="105"/>
  <c r="M1596" i="105"/>
  <c r="L1596" i="105"/>
  <c r="K1596" i="105"/>
  <c r="AI1595" i="105"/>
  <c r="AH1595" i="105"/>
  <c r="AG1595" i="105"/>
  <c r="X1595" i="105"/>
  <c r="W1595" i="105"/>
  <c r="R1595" i="105"/>
  <c r="Q1595" i="105"/>
  <c r="N1595" i="105"/>
  <c r="M1595" i="105"/>
  <c r="L1595" i="105"/>
  <c r="K1595" i="105"/>
  <c r="AI1594" i="105"/>
  <c r="AH1594" i="105"/>
  <c r="AG1594" i="105"/>
  <c r="X1594" i="105"/>
  <c r="W1594" i="105"/>
  <c r="R1594" i="105"/>
  <c r="Q1594" i="105"/>
  <c r="N1594" i="105"/>
  <c r="M1594" i="105"/>
  <c r="L1594" i="105"/>
  <c r="K1594" i="105"/>
  <c r="AI1593" i="105"/>
  <c r="AH1593" i="105"/>
  <c r="AG1593" i="105"/>
  <c r="X1593" i="105"/>
  <c r="W1593" i="105"/>
  <c r="R1593" i="105"/>
  <c r="Q1593" i="105"/>
  <c r="N1593" i="105"/>
  <c r="M1593" i="105"/>
  <c r="L1593" i="105"/>
  <c r="K1593" i="105"/>
  <c r="AI1592" i="105"/>
  <c r="AH1592" i="105"/>
  <c r="AG1592" i="105"/>
  <c r="X1592" i="105"/>
  <c r="W1592" i="105"/>
  <c r="R1592" i="105"/>
  <c r="Q1592" i="105"/>
  <c r="N1592" i="105"/>
  <c r="M1592" i="105"/>
  <c r="L1592" i="105"/>
  <c r="K1592" i="105"/>
  <c r="AI1591" i="105"/>
  <c r="AG1591" i="105"/>
  <c r="X1591" i="105"/>
  <c r="X1590" i="105" s="1"/>
  <c r="W1591" i="105"/>
  <c r="R1591" i="105"/>
  <c r="R1590" i="105" s="1"/>
  <c r="Q1591" i="105"/>
  <c r="L1591" i="105"/>
  <c r="N1591" i="105" s="1"/>
  <c r="K1591" i="105"/>
  <c r="M1591" i="105" s="1"/>
  <c r="M1590" i="105" s="1"/>
  <c r="A1591" i="105"/>
  <c r="A1592" i="105" s="1"/>
  <c r="A1593" i="105" s="1"/>
  <c r="A1594" i="105" s="1"/>
  <c r="A1595" i="105" s="1"/>
  <c r="A1596" i="105" s="1"/>
  <c r="AH1590" i="105"/>
  <c r="AF1590" i="105"/>
  <c r="U1590" i="105"/>
  <c r="P1590" i="105"/>
  <c r="H1590" i="105"/>
  <c r="AI1589" i="105"/>
  <c r="AH1589" i="105"/>
  <c r="AG1589" i="105"/>
  <c r="X1589" i="105"/>
  <c r="W1589" i="105"/>
  <c r="R1589" i="105"/>
  <c r="Q1589" i="105"/>
  <c r="N1589" i="105"/>
  <c r="M1589" i="105"/>
  <c r="L1589" i="105"/>
  <c r="K1589" i="105"/>
  <c r="AI1588" i="105"/>
  <c r="AH1588" i="105"/>
  <c r="AG1588" i="105"/>
  <c r="X1588" i="105"/>
  <c r="W1588" i="105"/>
  <c r="R1588" i="105"/>
  <c r="Q1588" i="105"/>
  <c r="N1588" i="105"/>
  <c r="M1588" i="105"/>
  <c r="L1588" i="105"/>
  <c r="K1588" i="105"/>
  <c r="AI1587" i="105"/>
  <c r="AH1587" i="105"/>
  <c r="AG1587" i="105"/>
  <c r="X1587" i="105"/>
  <c r="W1587" i="105"/>
  <c r="R1587" i="105"/>
  <c r="Q1587" i="105"/>
  <c r="N1587" i="105"/>
  <c r="M1587" i="105"/>
  <c r="L1587" i="105"/>
  <c r="K1587" i="105"/>
  <c r="AI1586" i="105"/>
  <c r="AH1586" i="105"/>
  <c r="AG1586" i="105"/>
  <c r="X1586" i="105"/>
  <c r="W1586" i="105"/>
  <c r="R1586" i="105"/>
  <c r="Q1586" i="105"/>
  <c r="N1586" i="105"/>
  <c r="M1586" i="105"/>
  <c r="L1586" i="105"/>
  <c r="K1586" i="105"/>
  <c r="AI1585" i="105"/>
  <c r="AH1585" i="105"/>
  <c r="AH1583" i="105" s="1"/>
  <c r="AG1585" i="105"/>
  <c r="X1585" i="105"/>
  <c r="W1585" i="105"/>
  <c r="R1585" i="105"/>
  <c r="Q1585" i="105"/>
  <c r="L1585" i="105"/>
  <c r="N1585" i="105" s="1"/>
  <c r="I1585" i="105" s="1"/>
  <c r="K1585" i="105"/>
  <c r="M1585" i="105" s="1"/>
  <c r="AI1584" i="105"/>
  <c r="AG1584" i="105"/>
  <c r="X1584" i="105"/>
  <c r="X1583" i="105" s="1"/>
  <c r="W1584" i="105"/>
  <c r="R1584" i="105"/>
  <c r="R1583" i="105" s="1"/>
  <c r="Q1584" i="105"/>
  <c r="L1584" i="105"/>
  <c r="N1584" i="105" s="1"/>
  <c r="K1584" i="105"/>
  <c r="M1584" i="105" s="1"/>
  <c r="M1583" i="105" s="1"/>
  <c r="A1584" i="105"/>
  <c r="A1585" i="105" s="1"/>
  <c r="A1586" i="105" s="1"/>
  <c r="A1587" i="105" s="1"/>
  <c r="A1588" i="105" s="1"/>
  <c r="A1589" i="105" s="1"/>
  <c r="AF1583" i="105"/>
  <c r="U1583" i="105"/>
  <c r="P1583" i="105"/>
  <c r="H1583" i="105"/>
  <c r="AI1582" i="105"/>
  <c r="AH1582" i="105"/>
  <c r="AG1582" i="105"/>
  <c r="X1582" i="105"/>
  <c r="W1582" i="105"/>
  <c r="R1582" i="105"/>
  <c r="Q1582" i="105"/>
  <c r="N1582" i="105"/>
  <c r="M1582" i="105"/>
  <c r="L1582" i="105"/>
  <c r="K1582" i="105"/>
  <c r="AI1581" i="105"/>
  <c r="AH1581" i="105"/>
  <c r="AG1581" i="105"/>
  <c r="X1581" i="105"/>
  <c r="W1581" i="105"/>
  <c r="R1581" i="105"/>
  <c r="Q1581" i="105"/>
  <c r="N1581" i="105"/>
  <c r="M1581" i="105"/>
  <c r="L1581" i="105"/>
  <c r="K1581" i="105"/>
  <c r="AI1580" i="105"/>
  <c r="AH1580" i="105"/>
  <c r="AG1580" i="105"/>
  <c r="X1580" i="105"/>
  <c r="W1580" i="105"/>
  <c r="R1580" i="105"/>
  <c r="Q1580" i="105"/>
  <c r="N1580" i="105"/>
  <c r="M1580" i="105"/>
  <c r="L1580" i="105"/>
  <c r="K1580" i="105"/>
  <c r="AI1579" i="105"/>
  <c r="AH1579" i="105"/>
  <c r="AG1579" i="105"/>
  <c r="X1579" i="105"/>
  <c r="W1579" i="105"/>
  <c r="R1579" i="105"/>
  <c r="Q1579" i="105"/>
  <c r="N1579" i="105"/>
  <c r="M1579" i="105"/>
  <c r="L1579" i="105"/>
  <c r="K1579" i="105"/>
  <c r="AI1578" i="105"/>
  <c r="AH1578" i="105"/>
  <c r="AG1578" i="105"/>
  <c r="X1578" i="105"/>
  <c r="W1578" i="105"/>
  <c r="R1578" i="105"/>
  <c r="Q1578" i="105"/>
  <c r="L1578" i="105"/>
  <c r="N1578" i="105" s="1"/>
  <c r="I1578" i="105" s="1"/>
  <c r="K1578" i="105"/>
  <c r="M1578" i="105" s="1"/>
  <c r="AI1577" i="105"/>
  <c r="AG1577" i="105"/>
  <c r="X1577" i="105"/>
  <c r="W1577" i="105"/>
  <c r="R1577" i="105"/>
  <c r="Q1577" i="105"/>
  <c r="L1577" i="105"/>
  <c r="N1577" i="105" s="1"/>
  <c r="K1577" i="105"/>
  <c r="H1577" i="105"/>
  <c r="M1577" i="105" s="1"/>
  <c r="A1577" i="105"/>
  <c r="A1578" i="105" s="1"/>
  <c r="A1579" i="105" s="1"/>
  <c r="A1580" i="105" s="1"/>
  <c r="A1581" i="105" s="1"/>
  <c r="A1582" i="105" s="1"/>
  <c r="AH1576" i="105"/>
  <c r="AF1576" i="105"/>
  <c r="X1576" i="105"/>
  <c r="U1576" i="105"/>
  <c r="R1576" i="105"/>
  <c r="P1576" i="105"/>
  <c r="H1576" i="105"/>
  <c r="AI1575" i="105"/>
  <c r="AH1575" i="105"/>
  <c r="AG1575" i="105"/>
  <c r="X1575" i="105"/>
  <c r="W1575" i="105"/>
  <c r="R1575" i="105"/>
  <c r="Q1575" i="105"/>
  <c r="N1575" i="105"/>
  <c r="M1575" i="105"/>
  <c r="L1575" i="105"/>
  <c r="K1575" i="105"/>
  <c r="AI1574" i="105"/>
  <c r="AH1574" i="105"/>
  <c r="AG1574" i="105"/>
  <c r="X1574" i="105"/>
  <c r="W1574" i="105"/>
  <c r="R1574" i="105"/>
  <c r="Q1574" i="105"/>
  <c r="N1574" i="105"/>
  <c r="M1574" i="105"/>
  <c r="L1574" i="105"/>
  <c r="K1574" i="105"/>
  <c r="AI1573" i="105"/>
  <c r="AH1573" i="105"/>
  <c r="AG1573" i="105"/>
  <c r="X1573" i="105"/>
  <c r="W1573" i="105"/>
  <c r="R1573" i="105"/>
  <c r="Q1573" i="105"/>
  <c r="N1573" i="105"/>
  <c r="M1573" i="105"/>
  <c r="L1573" i="105"/>
  <c r="K1573" i="105"/>
  <c r="AI1572" i="105"/>
  <c r="AH1572" i="105"/>
  <c r="AG1572" i="105"/>
  <c r="X1572" i="105"/>
  <c r="W1572" i="105"/>
  <c r="R1572" i="105"/>
  <c r="Q1572" i="105"/>
  <c r="N1572" i="105"/>
  <c r="M1572" i="105"/>
  <c r="L1572" i="105"/>
  <c r="K1572" i="105"/>
  <c r="AI1571" i="105"/>
  <c r="AH1571" i="105"/>
  <c r="AG1571" i="105"/>
  <c r="X1571" i="105"/>
  <c r="W1571" i="105"/>
  <c r="R1571" i="105"/>
  <c r="Q1571" i="105"/>
  <c r="L1571" i="105"/>
  <c r="N1571" i="105" s="1"/>
  <c r="I1571" i="105" s="1"/>
  <c r="K1571" i="105"/>
  <c r="M1571" i="105" s="1"/>
  <c r="AI1570" i="105"/>
  <c r="AG1570" i="105"/>
  <c r="X1570" i="105"/>
  <c r="W1570" i="105"/>
  <c r="R1570" i="105"/>
  <c r="Q1570" i="105"/>
  <c r="L1570" i="105"/>
  <c r="N1570" i="105" s="1"/>
  <c r="K1570" i="105"/>
  <c r="M1570" i="105" s="1"/>
  <c r="M1569" i="105" s="1"/>
  <c r="A1570" i="105"/>
  <c r="A1571" i="105" s="1"/>
  <c r="A1572" i="105" s="1"/>
  <c r="A1573" i="105" s="1"/>
  <c r="A1574" i="105" s="1"/>
  <c r="A1575" i="105" s="1"/>
  <c r="AH1569" i="105"/>
  <c r="AF1569" i="105"/>
  <c r="X1569" i="105"/>
  <c r="U1569" i="105"/>
  <c r="R1569" i="105"/>
  <c r="P1569" i="105"/>
  <c r="H1569" i="105"/>
  <c r="AI1568" i="105"/>
  <c r="AH1568" i="105"/>
  <c r="AG1568" i="105"/>
  <c r="X1568" i="105"/>
  <c r="W1568" i="105"/>
  <c r="R1568" i="105"/>
  <c r="Q1568" i="105"/>
  <c r="N1568" i="105"/>
  <c r="M1568" i="105"/>
  <c r="L1568" i="105"/>
  <c r="K1568" i="105"/>
  <c r="AI1567" i="105"/>
  <c r="AH1567" i="105"/>
  <c r="AG1567" i="105"/>
  <c r="X1567" i="105"/>
  <c r="W1567" i="105"/>
  <c r="R1567" i="105"/>
  <c r="Q1567" i="105"/>
  <c r="N1567" i="105"/>
  <c r="M1567" i="105"/>
  <c r="L1567" i="105"/>
  <c r="K1567" i="105"/>
  <c r="AI1566" i="105"/>
  <c r="AH1566" i="105"/>
  <c r="AG1566" i="105"/>
  <c r="X1566" i="105"/>
  <c r="W1566" i="105"/>
  <c r="R1566" i="105"/>
  <c r="Q1566" i="105"/>
  <c r="N1566" i="105"/>
  <c r="M1566" i="105"/>
  <c r="L1566" i="105"/>
  <c r="K1566" i="105"/>
  <c r="AI1565" i="105"/>
  <c r="AH1565" i="105"/>
  <c r="AG1565" i="105"/>
  <c r="X1565" i="105"/>
  <c r="W1565" i="105"/>
  <c r="R1565" i="105"/>
  <c r="Q1565" i="105"/>
  <c r="N1565" i="105"/>
  <c r="M1565" i="105"/>
  <c r="L1565" i="105"/>
  <c r="K1565" i="105"/>
  <c r="AI1564" i="105"/>
  <c r="AH1564" i="105"/>
  <c r="AG1564" i="105"/>
  <c r="X1564" i="105"/>
  <c r="W1564" i="105"/>
  <c r="R1564" i="105"/>
  <c r="Q1564" i="105"/>
  <c r="N1564" i="105"/>
  <c r="M1564" i="105"/>
  <c r="L1564" i="105"/>
  <c r="K1564" i="105"/>
  <c r="AI1563" i="105"/>
  <c r="AH1563" i="105"/>
  <c r="AG1563" i="105"/>
  <c r="X1563" i="105"/>
  <c r="W1563" i="105"/>
  <c r="R1563" i="105"/>
  <c r="Q1563" i="105"/>
  <c r="N1563" i="105"/>
  <c r="M1563" i="105"/>
  <c r="L1563" i="105"/>
  <c r="K1563" i="105"/>
  <c r="AI1562" i="105"/>
  <c r="AH1562" i="105"/>
  <c r="AG1562" i="105"/>
  <c r="X1562" i="105"/>
  <c r="W1562" i="105"/>
  <c r="R1562" i="105"/>
  <c r="Q1562" i="105"/>
  <c r="N1562" i="105"/>
  <c r="M1562" i="105"/>
  <c r="L1562" i="105"/>
  <c r="K1562" i="105"/>
  <c r="AI1561" i="105"/>
  <c r="AH1561" i="105"/>
  <c r="AG1561" i="105"/>
  <c r="X1561" i="105"/>
  <c r="W1561" i="105"/>
  <c r="R1561" i="105"/>
  <c r="Q1561" i="105"/>
  <c r="N1561" i="105"/>
  <c r="M1561" i="105"/>
  <c r="L1561" i="105"/>
  <c r="K1561" i="105"/>
  <c r="AI1560" i="105"/>
  <c r="AH1560" i="105"/>
  <c r="AG1560" i="105"/>
  <c r="X1560" i="105"/>
  <c r="W1560" i="105"/>
  <c r="R1560" i="105"/>
  <c r="Q1560" i="105"/>
  <c r="N1560" i="105"/>
  <c r="M1560" i="105"/>
  <c r="L1560" i="105"/>
  <c r="K1560" i="105"/>
  <c r="AI1559" i="105"/>
  <c r="AH1559" i="105"/>
  <c r="AG1559" i="105"/>
  <c r="X1559" i="105"/>
  <c r="W1559" i="105"/>
  <c r="R1559" i="105"/>
  <c r="Q1559" i="105"/>
  <c r="N1559" i="105"/>
  <c r="M1559" i="105"/>
  <c r="L1559" i="105"/>
  <c r="K1559" i="105"/>
  <c r="AI1558" i="105"/>
  <c r="AH1558" i="105"/>
  <c r="AG1558" i="105"/>
  <c r="X1558" i="105"/>
  <c r="W1558" i="105"/>
  <c r="R1558" i="105"/>
  <c r="Q1558" i="105"/>
  <c r="L1558" i="105"/>
  <c r="N1558" i="105" s="1"/>
  <c r="I1558" i="105" s="1"/>
  <c r="K1558" i="105"/>
  <c r="M1558" i="105" s="1"/>
  <c r="A1558" i="105"/>
  <c r="A1559" i="105" s="1"/>
  <c r="A1560" i="105" s="1"/>
  <c r="A1561" i="105" s="1"/>
  <c r="A1562" i="105" s="1"/>
  <c r="A1563" i="105" s="1"/>
  <c r="A1564" i="105" s="1"/>
  <c r="A1565" i="105" s="1"/>
  <c r="A1566" i="105" s="1"/>
  <c r="A1567" i="105" s="1"/>
  <c r="A1568" i="105" s="1"/>
  <c r="AI1557" i="105"/>
  <c r="AG1557" i="105"/>
  <c r="X1557" i="105"/>
  <c r="W1557" i="105"/>
  <c r="R1557" i="105"/>
  <c r="Q1557" i="105"/>
  <c r="L1557" i="105"/>
  <c r="K1557" i="105"/>
  <c r="H1557" i="105"/>
  <c r="N1557" i="105" s="1"/>
  <c r="A1557" i="105"/>
  <c r="AH1556" i="105"/>
  <c r="AF1556" i="105"/>
  <c r="X1556" i="105"/>
  <c r="U1556" i="105"/>
  <c r="R1556" i="105"/>
  <c r="P1556" i="105"/>
  <c r="H1556" i="105"/>
  <c r="AI1555" i="105"/>
  <c r="AH1555" i="105"/>
  <c r="AG1555" i="105"/>
  <c r="X1555" i="105"/>
  <c r="W1555" i="105"/>
  <c r="R1555" i="105"/>
  <c r="Q1555" i="105"/>
  <c r="N1555" i="105"/>
  <c r="M1555" i="105"/>
  <c r="L1555" i="105"/>
  <c r="K1555" i="105"/>
  <c r="AI1554" i="105"/>
  <c r="AH1554" i="105"/>
  <c r="AG1554" i="105"/>
  <c r="X1554" i="105"/>
  <c r="W1554" i="105"/>
  <c r="R1554" i="105"/>
  <c r="Q1554" i="105"/>
  <c r="N1554" i="105"/>
  <c r="M1554" i="105"/>
  <c r="L1554" i="105"/>
  <c r="K1554" i="105"/>
  <c r="AI1553" i="105"/>
  <c r="AH1553" i="105"/>
  <c r="AG1553" i="105"/>
  <c r="X1553" i="105"/>
  <c r="W1553" i="105"/>
  <c r="R1553" i="105"/>
  <c r="Q1553" i="105"/>
  <c r="N1553" i="105"/>
  <c r="M1553" i="105"/>
  <c r="L1553" i="105"/>
  <c r="K1553" i="105"/>
  <c r="AI1552" i="105"/>
  <c r="AH1552" i="105"/>
  <c r="AG1552" i="105"/>
  <c r="X1552" i="105"/>
  <c r="W1552" i="105"/>
  <c r="R1552" i="105"/>
  <c r="Q1552" i="105"/>
  <c r="N1552" i="105"/>
  <c r="M1552" i="105"/>
  <c r="L1552" i="105"/>
  <c r="K1552" i="105"/>
  <c r="AI1551" i="105"/>
  <c r="AH1551" i="105"/>
  <c r="AG1551" i="105"/>
  <c r="X1551" i="105"/>
  <c r="W1551" i="105"/>
  <c r="R1551" i="105"/>
  <c r="Q1551" i="105"/>
  <c r="N1551" i="105"/>
  <c r="M1551" i="105"/>
  <c r="L1551" i="105"/>
  <c r="K1551" i="105"/>
  <c r="AI1550" i="105"/>
  <c r="AG1550" i="105"/>
  <c r="X1550" i="105"/>
  <c r="W1550" i="105"/>
  <c r="R1550" i="105"/>
  <c r="Q1550" i="105"/>
  <c r="L1550" i="105"/>
  <c r="N1550" i="105" s="1"/>
  <c r="K1550" i="105"/>
  <c r="M1550" i="105" s="1"/>
  <c r="M1549" i="105" s="1"/>
  <c r="A1550" i="105"/>
  <c r="A1551" i="105" s="1"/>
  <c r="A1552" i="105" s="1"/>
  <c r="A1553" i="105" s="1"/>
  <c r="A1554" i="105" s="1"/>
  <c r="A1555" i="105" s="1"/>
  <c r="AH1549" i="105"/>
  <c r="AF1549" i="105"/>
  <c r="X1549" i="105"/>
  <c r="U1549" i="105"/>
  <c r="R1549" i="105"/>
  <c r="P1549" i="105"/>
  <c r="H1549" i="105"/>
  <c r="AI1548" i="105"/>
  <c r="AH1548" i="105"/>
  <c r="AG1548" i="105"/>
  <c r="X1548" i="105"/>
  <c r="W1548" i="105"/>
  <c r="R1548" i="105"/>
  <c r="Q1548" i="105"/>
  <c r="N1548" i="105"/>
  <c r="M1548" i="105"/>
  <c r="L1548" i="105"/>
  <c r="K1548" i="105"/>
  <c r="AI1547" i="105"/>
  <c r="AH1547" i="105"/>
  <c r="AG1547" i="105"/>
  <c r="X1547" i="105"/>
  <c r="W1547" i="105"/>
  <c r="R1547" i="105"/>
  <c r="Q1547" i="105"/>
  <c r="N1547" i="105"/>
  <c r="M1547" i="105"/>
  <c r="L1547" i="105"/>
  <c r="K1547" i="105"/>
  <c r="AI1546" i="105"/>
  <c r="AH1546" i="105"/>
  <c r="AG1546" i="105"/>
  <c r="X1546" i="105"/>
  <c r="W1546" i="105"/>
  <c r="R1546" i="105"/>
  <c r="Q1546" i="105"/>
  <c r="N1546" i="105"/>
  <c r="M1546" i="105"/>
  <c r="L1546" i="105"/>
  <c r="K1546" i="105"/>
  <c r="AI1545" i="105"/>
  <c r="AH1545" i="105"/>
  <c r="AG1545" i="105"/>
  <c r="X1545" i="105"/>
  <c r="W1545" i="105"/>
  <c r="R1545" i="105"/>
  <c r="Q1545" i="105"/>
  <c r="N1545" i="105"/>
  <c r="M1545" i="105"/>
  <c r="L1545" i="105"/>
  <c r="K1545" i="105"/>
  <c r="AI1544" i="105"/>
  <c r="AG1544" i="105"/>
  <c r="X1544" i="105"/>
  <c r="X1543" i="105" s="1"/>
  <c r="W1544" i="105"/>
  <c r="R1544" i="105"/>
  <c r="R1543" i="105" s="1"/>
  <c r="Q1544" i="105"/>
  <c r="L1544" i="105"/>
  <c r="N1544" i="105" s="1"/>
  <c r="K1544" i="105"/>
  <c r="M1544" i="105" s="1"/>
  <c r="M1543" i="105" s="1"/>
  <c r="A1544" i="105"/>
  <c r="A1545" i="105" s="1"/>
  <c r="A1546" i="105" s="1"/>
  <c r="A1547" i="105" s="1"/>
  <c r="A1548" i="105" s="1"/>
  <c r="AH1543" i="105"/>
  <c r="AF1543" i="105"/>
  <c r="U1543" i="105"/>
  <c r="P1543" i="105"/>
  <c r="H1543" i="105"/>
  <c r="AI1542" i="105"/>
  <c r="AH1542" i="105"/>
  <c r="AG1542" i="105"/>
  <c r="X1542" i="105"/>
  <c r="W1542" i="105"/>
  <c r="R1542" i="105"/>
  <c r="Q1542" i="105"/>
  <c r="N1542" i="105"/>
  <c r="M1542" i="105"/>
  <c r="L1542" i="105"/>
  <c r="K1542" i="105"/>
  <c r="AI1541" i="105"/>
  <c r="AH1541" i="105"/>
  <c r="AG1541" i="105"/>
  <c r="X1541" i="105"/>
  <c r="W1541" i="105"/>
  <c r="R1541" i="105"/>
  <c r="Q1541" i="105"/>
  <c r="N1541" i="105"/>
  <c r="M1541" i="105"/>
  <c r="L1541" i="105"/>
  <c r="K1541" i="105"/>
  <c r="AI1540" i="105"/>
  <c r="AH1540" i="105"/>
  <c r="AG1540" i="105"/>
  <c r="X1540" i="105"/>
  <c r="W1540" i="105"/>
  <c r="R1540" i="105"/>
  <c r="Q1540" i="105"/>
  <c r="N1540" i="105"/>
  <c r="M1540" i="105"/>
  <c r="L1540" i="105"/>
  <c r="K1540" i="105"/>
  <c r="AI1539" i="105"/>
  <c r="AH1539" i="105"/>
  <c r="AG1539" i="105"/>
  <c r="X1539" i="105"/>
  <c r="W1539" i="105"/>
  <c r="R1539" i="105"/>
  <c r="Q1539" i="105"/>
  <c r="N1539" i="105"/>
  <c r="M1539" i="105"/>
  <c r="L1539" i="105"/>
  <c r="K1539" i="105"/>
  <c r="AI1538" i="105"/>
  <c r="AG1538" i="105"/>
  <c r="X1538" i="105"/>
  <c r="W1538" i="105"/>
  <c r="R1538" i="105"/>
  <c r="Q1538" i="105"/>
  <c r="L1538" i="105"/>
  <c r="N1538" i="105" s="1"/>
  <c r="K1538" i="105"/>
  <c r="M1538" i="105" s="1"/>
  <c r="M1537" i="105" s="1"/>
  <c r="A1538" i="105"/>
  <c r="A1539" i="105" s="1"/>
  <c r="A1540" i="105" s="1"/>
  <c r="A1541" i="105" s="1"/>
  <c r="A1542" i="105" s="1"/>
  <c r="AH1537" i="105"/>
  <c r="AF1537" i="105"/>
  <c r="X1537" i="105"/>
  <c r="U1537" i="105"/>
  <c r="R1537" i="105"/>
  <c r="P1537" i="105"/>
  <c r="H1537" i="105"/>
  <c r="AI1536" i="105"/>
  <c r="AH1536" i="105"/>
  <c r="AG1536" i="105"/>
  <c r="X1536" i="105"/>
  <c r="W1536" i="105"/>
  <c r="R1536" i="105"/>
  <c r="Q1536" i="105"/>
  <c r="N1536" i="105"/>
  <c r="M1536" i="105"/>
  <c r="L1536" i="105"/>
  <c r="K1536" i="105"/>
  <c r="AI1535" i="105"/>
  <c r="AH1535" i="105"/>
  <c r="AG1535" i="105"/>
  <c r="X1535" i="105"/>
  <c r="W1535" i="105"/>
  <c r="R1535" i="105"/>
  <c r="Q1535" i="105"/>
  <c r="N1535" i="105"/>
  <c r="M1535" i="105"/>
  <c r="L1535" i="105"/>
  <c r="K1535" i="105"/>
  <c r="AI1534" i="105"/>
  <c r="AH1534" i="105"/>
  <c r="AG1534" i="105"/>
  <c r="X1534" i="105"/>
  <c r="W1534" i="105"/>
  <c r="R1534" i="105"/>
  <c r="Q1534" i="105"/>
  <c r="N1534" i="105"/>
  <c r="M1534" i="105"/>
  <c r="L1534" i="105"/>
  <c r="K1534" i="105"/>
  <c r="AI1533" i="105"/>
  <c r="AH1533" i="105"/>
  <c r="AG1533" i="105"/>
  <c r="X1533" i="105"/>
  <c r="W1533" i="105"/>
  <c r="R1533" i="105"/>
  <c r="Q1533" i="105"/>
  <c r="N1533" i="105"/>
  <c r="M1533" i="105"/>
  <c r="L1533" i="105"/>
  <c r="K1533" i="105"/>
  <c r="AI1532" i="105"/>
  <c r="AH1532" i="105"/>
  <c r="AG1532" i="105"/>
  <c r="X1532" i="105"/>
  <c r="W1532" i="105"/>
  <c r="R1532" i="105"/>
  <c r="Q1532" i="105"/>
  <c r="N1532" i="105"/>
  <c r="M1532" i="105"/>
  <c r="L1532" i="105"/>
  <c r="K1532" i="105"/>
  <c r="AI1531" i="105"/>
  <c r="AH1531" i="105"/>
  <c r="AG1531" i="105"/>
  <c r="X1531" i="105"/>
  <c r="W1531" i="105"/>
  <c r="R1531" i="105"/>
  <c r="Q1531" i="105"/>
  <c r="N1531" i="105"/>
  <c r="M1531" i="105"/>
  <c r="L1531" i="105"/>
  <c r="K1531" i="105"/>
  <c r="AI1530" i="105"/>
  <c r="AH1530" i="105"/>
  <c r="AG1530" i="105"/>
  <c r="X1530" i="105"/>
  <c r="W1530" i="105"/>
  <c r="R1530" i="105"/>
  <c r="Q1530" i="105"/>
  <c r="N1530" i="105"/>
  <c r="M1530" i="105"/>
  <c r="L1530" i="105"/>
  <c r="K1530" i="105"/>
  <c r="AI1529" i="105"/>
  <c r="AH1529" i="105"/>
  <c r="AG1529" i="105"/>
  <c r="X1529" i="105"/>
  <c r="W1529" i="105"/>
  <c r="R1529" i="105"/>
  <c r="Q1529" i="105"/>
  <c r="L1529" i="105"/>
  <c r="N1529" i="105" s="1"/>
  <c r="K1529" i="105"/>
  <c r="M1529" i="105" s="1"/>
  <c r="M1528" i="105" s="1"/>
  <c r="A1529" i="105"/>
  <c r="A1530" i="105" s="1"/>
  <c r="A1531" i="105" s="1"/>
  <c r="A1532" i="105" s="1"/>
  <c r="A1533" i="105" s="1"/>
  <c r="A1534" i="105" s="1"/>
  <c r="A1535" i="105" s="1"/>
  <c r="A1536" i="105" s="1"/>
  <c r="AH1528" i="105"/>
  <c r="AF1528" i="105"/>
  <c r="X1528" i="105"/>
  <c r="U1528" i="105"/>
  <c r="R1528" i="105"/>
  <c r="P1528" i="105"/>
  <c r="H1528" i="105"/>
  <c r="AI1527" i="105"/>
  <c r="AH1527" i="105"/>
  <c r="AG1527" i="105"/>
  <c r="X1527" i="105"/>
  <c r="W1527" i="105"/>
  <c r="R1527" i="105"/>
  <c r="Q1527" i="105"/>
  <c r="N1527" i="105"/>
  <c r="M1527" i="105"/>
  <c r="L1527" i="105"/>
  <c r="K1527" i="105"/>
  <c r="AI1526" i="105"/>
  <c r="AH1526" i="105"/>
  <c r="AG1526" i="105"/>
  <c r="X1526" i="105"/>
  <c r="W1526" i="105"/>
  <c r="R1526" i="105"/>
  <c r="Q1526" i="105"/>
  <c r="N1526" i="105"/>
  <c r="M1526" i="105"/>
  <c r="L1526" i="105"/>
  <c r="K1526" i="105"/>
  <c r="AI1525" i="105"/>
  <c r="AH1525" i="105"/>
  <c r="AG1525" i="105"/>
  <c r="X1525" i="105"/>
  <c r="W1525" i="105"/>
  <c r="R1525" i="105"/>
  <c r="Q1525" i="105"/>
  <c r="N1525" i="105"/>
  <c r="M1525" i="105"/>
  <c r="L1525" i="105"/>
  <c r="K1525" i="105"/>
  <c r="AI1524" i="105"/>
  <c r="AH1524" i="105"/>
  <c r="AG1524" i="105"/>
  <c r="X1524" i="105"/>
  <c r="W1524" i="105"/>
  <c r="R1524" i="105"/>
  <c r="Q1524" i="105"/>
  <c r="N1524" i="105"/>
  <c r="M1524" i="105"/>
  <c r="L1524" i="105"/>
  <c r="K1524" i="105"/>
  <c r="AI1523" i="105"/>
  <c r="AH1523" i="105"/>
  <c r="AG1523" i="105"/>
  <c r="X1523" i="105"/>
  <c r="W1523" i="105"/>
  <c r="R1523" i="105"/>
  <c r="Q1523" i="105"/>
  <c r="N1523" i="105"/>
  <c r="M1523" i="105"/>
  <c r="L1523" i="105"/>
  <c r="K1523" i="105"/>
  <c r="AI1522" i="105"/>
  <c r="AH1522" i="105"/>
  <c r="AG1522" i="105"/>
  <c r="X1522" i="105"/>
  <c r="W1522" i="105"/>
  <c r="R1522" i="105"/>
  <c r="Q1522" i="105"/>
  <c r="L1522" i="105"/>
  <c r="K1522" i="105"/>
  <c r="H1522" i="105"/>
  <c r="N1522" i="105" s="1"/>
  <c r="I1522" i="105" s="1"/>
  <c r="AI1521" i="105"/>
  <c r="AG1521" i="105"/>
  <c r="X1521" i="105"/>
  <c r="W1521" i="105"/>
  <c r="R1521" i="105"/>
  <c r="Q1521" i="105"/>
  <c r="L1521" i="105"/>
  <c r="N1521" i="105" s="1"/>
  <c r="K1521" i="105"/>
  <c r="H1521" i="105"/>
  <c r="M1521" i="105" s="1"/>
  <c r="A1521" i="105"/>
  <c r="A1522" i="105" s="1"/>
  <c r="A1523" i="105" s="1"/>
  <c r="A1524" i="105" s="1"/>
  <c r="A1525" i="105" s="1"/>
  <c r="A1526" i="105" s="1"/>
  <c r="A1527" i="105" s="1"/>
  <c r="AH1520" i="105"/>
  <c r="AF1520" i="105"/>
  <c r="X1520" i="105"/>
  <c r="U1520" i="105"/>
  <c r="R1520" i="105"/>
  <c r="P1520" i="105"/>
  <c r="AI1519" i="105"/>
  <c r="AH1519" i="105"/>
  <c r="AG1519" i="105"/>
  <c r="X1519" i="105"/>
  <c r="W1519" i="105"/>
  <c r="R1519" i="105"/>
  <c r="Q1519" i="105"/>
  <c r="N1519" i="105"/>
  <c r="M1519" i="105"/>
  <c r="L1519" i="105"/>
  <c r="K1519" i="105"/>
  <c r="AI1518" i="105"/>
  <c r="AH1518" i="105"/>
  <c r="AG1518" i="105"/>
  <c r="X1518" i="105"/>
  <c r="W1518" i="105"/>
  <c r="R1518" i="105"/>
  <c r="Q1518" i="105"/>
  <c r="N1518" i="105"/>
  <c r="M1518" i="105"/>
  <c r="L1518" i="105"/>
  <c r="K1518" i="105"/>
  <c r="AI1517" i="105"/>
  <c r="AH1517" i="105"/>
  <c r="AG1517" i="105"/>
  <c r="X1517" i="105"/>
  <c r="W1517" i="105"/>
  <c r="R1517" i="105"/>
  <c r="Q1517" i="105"/>
  <c r="N1517" i="105"/>
  <c r="M1517" i="105"/>
  <c r="L1517" i="105"/>
  <c r="K1517" i="105"/>
  <c r="AI1516" i="105"/>
  <c r="AH1516" i="105"/>
  <c r="AG1516" i="105"/>
  <c r="X1516" i="105"/>
  <c r="W1516" i="105"/>
  <c r="R1516" i="105"/>
  <c r="Q1516" i="105"/>
  <c r="N1516" i="105"/>
  <c r="M1516" i="105"/>
  <c r="L1516" i="105"/>
  <c r="K1516" i="105"/>
  <c r="AI1515" i="105"/>
  <c r="AG1515" i="105"/>
  <c r="X1515" i="105"/>
  <c r="X1514" i="105" s="1"/>
  <c r="W1515" i="105"/>
  <c r="R1515" i="105"/>
  <c r="R1514" i="105" s="1"/>
  <c r="Q1515" i="105"/>
  <c r="L1515" i="105"/>
  <c r="N1515" i="105" s="1"/>
  <c r="K1515" i="105"/>
  <c r="M1515" i="105" s="1"/>
  <c r="M1514" i="105" s="1"/>
  <c r="A1515" i="105"/>
  <c r="A1516" i="105" s="1"/>
  <c r="A1517" i="105" s="1"/>
  <c r="A1518" i="105" s="1"/>
  <c r="A1519" i="105" s="1"/>
  <c r="AH1514" i="105"/>
  <c r="AF1514" i="105"/>
  <c r="U1514" i="105"/>
  <c r="P1514" i="105"/>
  <c r="H1514" i="105"/>
  <c r="AI1513" i="105"/>
  <c r="AH1513" i="105"/>
  <c r="AG1513" i="105"/>
  <c r="X1513" i="105"/>
  <c r="W1513" i="105"/>
  <c r="R1513" i="105"/>
  <c r="Q1513" i="105"/>
  <c r="N1513" i="105"/>
  <c r="M1513" i="105"/>
  <c r="L1513" i="105"/>
  <c r="K1513" i="105"/>
  <c r="AI1512" i="105"/>
  <c r="AH1512" i="105"/>
  <c r="AG1512" i="105"/>
  <c r="X1512" i="105"/>
  <c r="W1512" i="105"/>
  <c r="R1512" i="105"/>
  <c r="Q1512" i="105"/>
  <c r="N1512" i="105"/>
  <c r="M1512" i="105"/>
  <c r="L1512" i="105"/>
  <c r="K1512" i="105"/>
  <c r="AI1511" i="105"/>
  <c r="AH1511" i="105"/>
  <c r="AG1511" i="105"/>
  <c r="X1511" i="105"/>
  <c r="W1511" i="105"/>
  <c r="R1511" i="105"/>
  <c r="Q1511" i="105"/>
  <c r="N1511" i="105"/>
  <c r="M1511" i="105"/>
  <c r="L1511" i="105"/>
  <c r="K1511" i="105"/>
  <c r="AI1510" i="105"/>
  <c r="AH1510" i="105"/>
  <c r="AG1510" i="105"/>
  <c r="X1510" i="105"/>
  <c r="W1510" i="105"/>
  <c r="R1510" i="105"/>
  <c r="Q1510" i="105"/>
  <c r="N1510" i="105"/>
  <c r="M1510" i="105"/>
  <c r="L1510" i="105"/>
  <c r="K1510" i="105"/>
  <c r="AI1509" i="105"/>
  <c r="AH1509" i="105"/>
  <c r="AG1509" i="105"/>
  <c r="X1509" i="105"/>
  <c r="W1509" i="105"/>
  <c r="R1509" i="105"/>
  <c r="Q1509" i="105"/>
  <c r="N1509" i="105"/>
  <c r="M1509" i="105"/>
  <c r="L1509" i="105"/>
  <c r="K1509" i="105"/>
  <c r="AI1508" i="105"/>
  <c r="AG1508" i="105"/>
  <c r="X1508" i="105"/>
  <c r="W1508" i="105"/>
  <c r="R1508" i="105"/>
  <c r="Q1508" i="105"/>
  <c r="L1508" i="105"/>
  <c r="N1508" i="105" s="1"/>
  <c r="K1508" i="105"/>
  <c r="M1508" i="105" s="1"/>
  <c r="M1507" i="105" s="1"/>
  <c r="A1508" i="105"/>
  <c r="A1509" i="105" s="1"/>
  <c r="A1510" i="105" s="1"/>
  <c r="A1511" i="105" s="1"/>
  <c r="A1512" i="105" s="1"/>
  <c r="A1513" i="105" s="1"/>
  <c r="AH1507" i="105"/>
  <c r="AF1507" i="105"/>
  <c r="X1507" i="105"/>
  <c r="U1507" i="105"/>
  <c r="R1507" i="105"/>
  <c r="P1507" i="105"/>
  <c r="H1507" i="105"/>
  <c r="AI1506" i="105"/>
  <c r="AH1506" i="105"/>
  <c r="AG1506" i="105"/>
  <c r="X1506" i="105"/>
  <c r="W1506" i="105"/>
  <c r="R1506" i="105"/>
  <c r="Q1506" i="105"/>
  <c r="N1506" i="105"/>
  <c r="M1506" i="105"/>
  <c r="L1506" i="105"/>
  <c r="K1506" i="105"/>
  <c r="AI1505" i="105"/>
  <c r="AH1505" i="105"/>
  <c r="AG1505" i="105"/>
  <c r="X1505" i="105"/>
  <c r="W1505" i="105"/>
  <c r="R1505" i="105"/>
  <c r="Q1505" i="105"/>
  <c r="N1505" i="105"/>
  <c r="M1505" i="105"/>
  <c r="L1505" i="105"/>
  <c r="K1505" i="105"/>
  <c r="AI1504" i="105"/>
  <c r="AH1504" i="105"/>
  <c r="AG1504" i="105"/>
  <c r="X1504" i="105"/>
  <c r="W1504" i="105"/>
  <c r="R1504" i="105"/>
  <c r="Q1504" i="105"/>
  <c r="N1504" i="105"/>
  <c r="M1504" i="105"/>
  <c r="L1504" i="105"/>
  <c r="K1504" i="105"/>
  <c r="AI1503" i="105"/>
  <c r="AH1503" i="105"/>
  <c r="AG1503" i="105"/>
  <c r="X1503" i="105"/>
  <c r="W1503" i="105"/>
  <c r="R1503" i="105"/>
  <c r="Q1503" i="105"/>
  <c r="N1503" i="105"/>
  <c r="M1503" i="105"/>
  <c r="L1503" i="105"/>
  <c r="K1503" i="105"/>
  <c r="AI1502" i="105"/>
  <c r="AG1502" i="105"/>
  <c r="X1502" i="105"/>
  <c r="X1501" i="105" s="1"/>
  <c r="W1502" i="105"/>
  <c r="R1502" i="105"/>
  <c r="R1501" i="105" s="1"/>
  <c r="Q1502" i="105"/>
  <c r="L1502" i="105"/>
  <c r="N1502" i="105" s="1"/>
  <c r="K1502" i="105"/>
  <c r="M1502" i="105" s="1"/>
  <c r="M1501" i="105" s="1"/>
  <c r="A1502" i="105"/>
  <c r="A1503" i="105" s="1"/>
  <c r="A1504" i="105" s="1"/>
  <c r="A1505" i="105" s="1"/>
  <c r="A1506" i="105" s="1"/>
  <c r="AH1501" i="105"/>
  <c r="AF1501" i="105"/>
  <c r="U1501" i="105"/>
  <c r="P1501" i="105"/>
  <c r="H1501" i="105"/>
  <c r="AI1500" i="105"/>
  <c r="AH1500" i="105"/>
  <c r="AG1500" i="105"/>
  <c r="X1500" i="105"/>
  <c r="W1500" i="105"/>
  <c r="R1500" i="105"/>
  <c r="Q1500" i="105"/>
  <c r="N1500" i="105"/>
  <c r="M1500" i="105"/>
  <c r="L1500" i="105"/>
  <c r="K1500" i="105"/>
  <c r="AI1499" i="105"/>
  <c r="AH1499" i="105"/>
  <c r="AG1499" i="105"/>
  <c r="X1499" i="105"/>
  <c r="W1499" i="105"/>
  <c r="R1499" i="105"/>
  <c r="Q1499" i="105"/>
  <c r="N1499" i="105"/>
  <c r="M1499" i="105"/>
  <c r="L1499" i="105"/>
  <c r="K1499" i="105"/>
  <c r="AI1498" i="105"/>
  <c r="AH1498" i="105"/>
  <c r="AG1498" i="105"/>
  <c r="X1498" i="105"/>
  <c r="W1498" i="105"/>
  <c r="R1498" i="105"/>
  <c r="Q1498" i="105"/>
  <c r="N1498" i="105"/>
  <c r="M1498" i="105"/>
  <c r="L1498" i="105"/>
  <c r="K1498" i="105"/>
  <c r="AI1497" i="105"/>
  <c r="AH1497" i="105"/>
  <c r="AG1497" i="105"/>
  <c r="X1497" i="105"/>
  <c r="W1497" i="105"/>
  <c r="R1497" i="105"/>
  <c r="Q1497" i="105"/>
  <c r="N1497" i="105"/>
  <c r="M1497" i="105"/>
  <c r="L1497" i="105"/>
  <c r="K1497" i="105"/>
  <c r="AI1496" i="105"/>
  <c r="AH1496" i="105"/>
  <c r="AG1496" i="105"/>
  <c r="X1496" i="105"/>
  <c r="W1496" i="105"/>
  <c r="R1496" i="105"/>
  <c r="Q1496" i="105"/>
  <c r="N1496" i="105"/>
  <c r="M1496" i="105"/>
  <c r="L1496" i="105"/>
  <c r="K1496" i="105"/>
  <c r="AI1495" i="105"/>
  <c r="AH1495" i="105"/>
  <c r="AG1495" i="105"/>
  <c r="X1495" i="105"/>
  <c r="W1495" i="105"/>
  <c r="R1495" i="105"/>
  <c r="Q1495" i="105"/>
  <c r="N1495" i="105"/>
  <c r="M1495" i="105"/>
  <c r="L1495" i="105"/>
  <c r="K1495" i="105"/>
  <c r="AI1494" i="105"/>
  <c r="AH1494" i="105"/>
  <c r="AG1494" i="105"/>
  <c r="X1494" i="105"/>
  <c r="W1494" i="105"/>
  <c r="R1494" i="105"/>
  <c r="Q1494" i="105"/>
  <c r="N1494" i="105"/>
  <c r="M1494" i="105"/>
  <c r="L1494" i="105"/>
  <c r="K1494" i="105"/>
  <c r="AI1493" i="105"/>
  <c r="AH1493" i="105"/>
  <c r="AG1493" i="105"/>
  <c r="X1493" i="105"/>
  <c r="W1493" i="105"/>
  <c r="R1493" i="105"/>
  <c r="Q1493" i="105"/>
  <c r="N1493" i="105"/>
  <c r="M1493" i="105"/>
  <c r="L1493" i="105"/>
  <c r="K1493" i="105"/>
  <c r="AI1492" i="105"/>
  <c r="AH1492" i="105"/>
  <c r="AG1492" i="105"/>
  <c r="X1492" i="105"/>
  <c r="W1492" i="105"/>
  <c r="R1492" i="105"/>
  <c r="Q1492" i="105"/>
  <c r="N1492" i="105"/>
  <c r="M1492" i="105"/>
  <c r="L1492" i="105"/>
  <c r="K1492" i="105"/>
  <c r="AI1491" i="105"/>
  <c r="AH1491" i="105"/>
  <c r="AG1491" i="105"/>
  <c r="X1491" i="105"/>
  <c r="W1491" i="105"/>
  <c r="R1491" i="105"/>
  <c r="Q1491" i="105"/>
  <c r="N1491" i="105"/>
  <c r="M1491" i="105"/>
  <c r="L1491" i="105"/>
  <c r="K1491" i="105"/>
  <c r="AI1490" i="105"/>
  <c r="AH1490" i="105"/>
  <c r="AG1490" i="105"/>
  <c r="X1490" i="105"/>
  <c r="W1490" i="105"/>
  <c r="R1490" i="105"/>
  <c r="Q1490" i="105"/>
  <c r="N1490" i="105"/>
  <c r="M1490" i="105"/>
  <c r="L1490" i="105"/>
  <c r="K1490" i="105"/>
  <c r="AI1489" i="105"/>
  <c r="AH1489" i="105"/>
  <c r="AG1489" i="105"/>
  <c r="X1489" i="105"/>
  <c r="W1489" i="105"/>
  <c r="R1489" i="105"/>
  <c r="Q1489" i="105"/>
  <c r="N1489" i="105"/>
  <c r="M1489" i="105"/>
  <c r="L1489" i="105"/>
  <c r="K1489" i="105"/>
  <c r="AI1488" i="105"/>
  <c r="AH1488" i="105"/>
  <c r="AG1488" i="105"/>
  <c r="X1488" i="105"/>
  <c r="W1488" i="105"/>
  <c r="R1488" i="105"/>
  <c r="Q1488" i="105"/>
  <c r="N1488" i="105"/>
  <c r="M1488" i="105"/>
  <c r="L1488" i="105"/>
  <c r="K1488" i="105"/>
  <c r="AI1487" i="105"/>
  <c r="AH1487" i="105"/>
  <c r="AG1487" i="105"/>
  <c r="X1487" i="105"/>
  <c r="W1487" i="105"/>
  <c r="R1487" i="105"/>
  <c r="Q1487" i="105"/>
  <c r="N1487" i="105"/>
  <c r="M1487" i="105"/>
  <c r="L1487" i="105"/>
  <c r="K1487" i="105"/>
  <c r="AI1486" i="105"/>
  <c r="AH1486" i="105"/>
  <c r="AG1486" i="105"/>
  <c r="X1486" i="105"/>
  <c r="W1486" i="105"/>
  <c r="R1486" i="105"/>
  <c r="Q1486" i="105"/>
  <c r="N1486" i="105"/>
  <c r="M1486" i="105"/>
  <c r="L1486" i="105"/>
  <c r="K1486" i="105"/>
  <c r="AI1485" i="105"/>
  <c r="AH1485" i="105"/>
  <c r="AG1485" i="105"/>
  <c r="X1485" i="105"/>
  <c r="W1485" i="105"/>
  <c r="R1485" i="105"/>
  <c r="Q1485" i="105"/>
  <c r="N1485" i="105"/>
  <c r="M1485" i="105"/>
  <c r="L1485" i="105"/>
  <c r="K1485" i="105"/>
  <c r="AI1484" i="105"/>
  <c r="AH1484" i="105"/>
  <c r="AG1484" i="105"/>
  <c r="X1484" i="105"/>
  <c r="W1484" i="105"/>
  <c r="R1484" i="105"/>
  <c r="Q1484" i="105"/>
  <c r="N1484" i="105"/>
  <c r="M1484" i="105"/>
  <c r="L1484" i="105"/>
  <c r="K1484" i="105"/>
  <c r="A1484" i="105"/>
  <c r="A1485" i="105" s="1"/>
  <c r="A1486" i="105" s="1"/>
  <c r="A1487" i="105" s="1"/>
  <c r="A1488" i="105" s="1"/>
  <c r="A1489" i="105" s="1"/>
  <c r="A1490" i="105" s="1"/>
  <c r="A1491" i="105" s="1"/>
  <c r="A1492" i="105" s="1"/>
  <c r="A1493" i="105" s="1"/>
  <c r="A1494" i="105" s="1"/>
  <c r="A1495" i="105" s="1"/>
  <c r="A1496" i="105" s="1"/>
  <c r="A1497" i="105" s="1"/>
  <c r="A1498" i="105" s="1"/>
  <c r="A1499" i="105" s="1"/>
  <c r="A1500" i="105" s="1"/>
  <c r="AH1483" i="105"/>
  <c r="AF1483" i="105"/>
  <c r="X1483" i="105"/>
  <c r="U1483" i="105"/>
  <c r="R1483" i="105"/>
  <c r="P1483" i="105"/>
  <c r="N1483" i="105"/>
  <c r="M1483" i="105"/>
  <c r="AI1483" i="105" s="1"/>
  <c r="I1483" i="105"/>
  <c r="H1483" i="105"/>
  <c r="AI1482" i="105"/>
  <c r="AH1482" i="105"/>
  <c r="AG1482" i="105"/>
  <c r="X1482" i="105"/>
  <c r="W1482" i="105"/>
  <c r="R1482" i="105"/>
  <c r="Q1482" i="105"/>
  <c r="N1482" i="105"/>
  <c r="M1482" i="105"/>
  <c r="L1482" i="105"/>
  <c r="K1482" i="105"/>
  <c r="AI1481" i="105"/>
  <c r="AH1481" i="105"/>
  <c r="AG1481" i="105"/>
  <c r="X1481" i="105"/>
  <c r="W1481" i="105"/>
  <c r="R1481" i="105"/>
  <c r="Q1481" i="105"/>
  <c r="N1481" i="105"/>
  <c r="M1481" i="105"/>
  <c r="L1481" i="105"/>
  <c r="K1481" i="105"/>
  <c r="AI1480" i="105"/>
  <c r="AH1480" i="105"/>
  <c r="AG1480" i="105"/>
  <c r="X1480" i="105"/>
  <c r="W1480" i="105"/>
  <c r="R1480" i="105"/>
  <c r="Q1480" i="105"/>
  <c r="N1480" i="105"/>
  <c r="M1480" i="105"/>
  <c r="L1480" i="105"/>
  <c r="K1480" i="105"/>
  <c r="AI1479" i="105"/>
  <c r="AH1479" i="105"/>
  <c r="AG1479" i="105"/>
  <c r="W1479" i="105"/>
  <c r="X1479" i="105" s="1"/>
  <c r="R1479" i="105"/>
  <c r="Q1479" i="105"/>
  <c r="N1479" i="105"/>
  <c r="M1479" i="105"/>
  <c r="L1479" i="105"/>
  <c r="K1479" i="105"/>
  <c r="AI1478" i="105"/>
  <c r="AH1478" i="105"/>
  <c r="AG1478" i="105"/>
  <c r="W1478" i="105"/>
  <c r="X1478" i="105" s="1"/>
  <c r="R1478" i="105"/>
  <c r="Q1478" i="105"/>
  <c r="N1478" i="105"/>
  <c r="M1478" i="105"/>
  <c r="L1478" i="105"/>
  <c r="K1478" i="105"/>
  <c r="AI1477" i="105"/>
  <c r="AH1477" i="105"/>
  <c r="AG1477" i="105"/>
  <c r="W1477" i="105"/>
  <c r="X1477" i="105" s="1"/>
  <c r="R1477" i="105"/>
  <c r="Q1477" i="105"/>
  <c r="N1477" i="105"/>
  <c r="M1477" i="105"/>
  <c r="L1477" i="105"/>
  <c r="K1477" i="105"/>
  <c r="AI1476" i="105"/>
  <c r="AH1476" i="105"/>
  <c r="AG1476" i="105"/>
  <c r="W1476" i="105"/>
  <c r="X1476" i="105" s="1"/>
  <c r="R1476" i="105"/>
  <c r="Q1476" i="105"/>
  <c r="N1476" i="105"/>
  <c r="M1476" i="105"/>
  <c r="L1476" i="105"/>
  <c r="K1476" i="105"/>
  <c r="AI1475" i="105"/>
  <c r="AH1475" i="105"/>
  <c r="AG1475" i="105"/>
  <c r="W1475" i="105"/>
  <c r="X1475" i="105" s="1"/>
  <c r="R1475" i="105"/>
  <c r="Q1475" i="105"/>
  <c r="N1475" i="105"/>
  <c r="M1475" i="105"/>
  <c r="L1475" i="105"/>
  <c r="K1475" i="105"/>
  <c r="AI1474" i="105"/>
  <c r="AH1474" i="105"/>
  <c r="AG1474" i="105"/>
  <c r="W1474" i="105"/>
  <c r="X1474" i="105" s="1"/>
  <c r="R1474" i="105"/>
  <c r="Q1474" i="105"/>
  <c r="N1474" i="105"/>
  <c r="M1474" i="105"/>
  <c r="L1474" i="105"/>
  <c r="K1474" i="105"/>
  <c r="AI1473" i="105"/>
  <c r="AH1473" i="105"/>
  <c r="AG1473" i="105"/>
  <c r="W1473" i="105"/>
  <c r="X1473" i="105" s="1"/>
  <c r="R1473" i="105"/>
  <c r="Q1473" i="105"/>
  <c r="N1473" i="105"/>
  <c r="M1473" i="105"/>
  <c r="L1473" i="105"/>
  <c r="K1473" i="105"/>
  <c r="AI1472" i="105"/>
  <c r="AH1472" i="105"/>
  <c r="AG1472" i="105"/>
  <c r="W1472" i="105"/>
  <c r="X1472" i="105" s="1"/>
  <c r="R1472" i="105"/>
  <c r="Q1472" i="105"/>
  <c r="N1472" i="105"/>
  <c r="M1472" i="105"/>
  <c r="L1472" i="105"/>
  <c r="K1472" i="105"/>
  <c r="AI1471" i="105"/>
  <c r="AH1471" i="105"/>
  <c r="AG1471" i="105"/>
  <c r="W1471" i="105"/>
  <c r="X1471" i="105" s="1"/>
  <c r="R1471" i="105"/>
  <c r="Q1471" i="105"/>
  <c r="N1471" i="105"/>
  <c r="M1471" i="105"/>
  <c r="L1471" i="105"/>
  <c r="K1471" i="105"/>
  <c r="AI1470" i="105"/>
  <c r="AH1470" i="105"/>
  <c r="AG1470" i="105"/>
  <c r="W1470" i="105"/>
  <c r="X1470" i="105" s="1"/>
  <c r="X1469" i="105" s="1"/>
  <c r="R1470" i="105"/>
  <c r="Q1470" i="105"/>
  <c r="N1470" i="105"/>
  <c r="M1470" i="105"/>
  <c r="L1470" i="105"/>
  <c r="K1470" i="105"/>
  <c r="A1470" i="105"/>
  <c r="A1471" i="105" s="1"/>
  <c r="A1472" i="105" s="1"/>
  <c r="A1473" i="105" s="1"/>
  <c r="A1474" i="105" s="1"/>
  <c r="A1475" i="105" s="1"/>
  <c r="A1476" i="105" s="1"/>
  <c r="A1477" i="105" s="1"/>
  <c r="A1478" i="105" s="1"/>
  <c r="A1479" i="105" s="1"/>
  <c r="A1480" i="105" s="1"/>
  <c r="A1481" i="105" s="1"/>
  <c r="A1482" i="105" s="1"/>
  <c r="AH1469" i="105"/>
  <c r="AF1469" i="105"/>
  <c r="U1469" i="105"/>
  <c r="R1469" i="105"/>
  <c r="P1469" i="105"/>
  <c r="N1469" i="105"/>
  <c r="M1469" i="105"/>
  <c r="AI1469" i="105" s="1"/>
  <c r="I1469" i="105"/>
  <c r="H1469" i="105"/>
  <c r="AI1468" i="105"/>
  <c r="AH1468" i="105"/>
  <c r="AG1468" i="105"/>
  <c r="X1468" i="105"/>
  <c r="W1468" i="105"/>
  <c r="R1468" i="105"/>
  <c r="Q1468" i="105"/>
  <c r="N1468" i="105"/>
  <c r="M1468" i="105"/>
  <c r="L1468" i="105"/>
  <c r="K1468" i="105"/>
  <c r="AI1467" i="105"/>
  <c r="AH1467" i="105"/>
  <c r="AG1467" i="105"/>
  <c r="X1467" i="105"/>
  <c r="W1467" i="105"/>
  <c r="R1467" i="105"/>
  <c r="Q1467" i="105"/>
  <c r="N1467" i="105"/>
  <c r="M1467" i="105"/>
  <c r="L1467" i="105"/>
  <c r="K1467" i="105"/>
  <c r="AI1466" i="105"/>
  <c r="AH1466" i="105"/>
  <c r="AG1466" i="105"/>
  <c r="X1466" i="105"/>
  <c r="W1466" i="105"/>
  <c r="R1466" i="105"/>
  <c r="Q1466" i="105"/>
  <c r="N1466" i="105"/>
  <c r="M1466" i="105"/>
  <c r="L1466" i="105"/>
  <c r="K1466" i="105"/>
  <c r="AI1465" i="105"/>
  <c r="AH1465" i="105"/>
  <c r="AG1465" i="105"/>
  <c r="X1465" i="105"/>
  <c r="W1465" i="105"/>
  <c r="R1465" i="105"/>
  <c r="Q1465" i="105"/>
  <c r="N1465" i="105"/>
  <c r="M1465" i="105"/>
  <c r="L1465" i="105"/>
  <c r="K1465" i="105"/>
  <c r="AI1464" i="105"/>
  <c r="AH1464" i="105"/>
  <c r="AG1464" i="105"/>
  <c r="X1464" i="105"/>
  <c r="W1464" i="105"/>
  <c r="R1464" i="105"/>
  <c r="Q1464" i="105"/>
  <c r="N1464" i="105"/>
  <c r="M1464" i="105"/>
  <c r="L1464" i="105"/>
  <c r="K1464" i="105"/>
  <c r="AI1463" i="105"/>
  <c r="AH1463" i="105"/>
  <c r="AG1463" i="105"/>
  <c r="X1463" i="105"/>
  <c r="W1463" i="105"/>
  <c r="R1463" i="105"/>
  <c r="Q1463" i="105"/>
  <c r="N1463" i="105"/>
  <c r="M1463" i="105"/>
  <c r="L1463" i="105"/>
  <c r="K1463" i="105"/>
  <c r="AI1462" i="105"/>
  <c r="AH1462" i="105"/>
  <c r="AG1462" i="105"/>
  <c r="X1462" i="105"/>
  <c r="W1462" i="105"/>
  <c r="R1462" i="105"/>
  <c r="Q1462" i="105"/>
  <c r="N1462" i="105"/>
  <c r="M1462" i="105"/>
  <c r="L1462" i="105"/>
  <c r="K1462" i="105"/>
  <c r="AI1461" i="105"/>
  <c r="AH1461" i="105"/>
  <c r="AG1461" i="105"/>
  <c r="X1461" i="105"/>
  <c r="W1461" i="105"/>
  <c r="R1461" i="105"/>
  <c r="Q1461" i="105"/>
  <c r="N1461" i="105"/>
  <c r="M1461" i="105"/>
  <c r="L1461" i="105"/>
  <c r="K1461" i="105"/>
  <c r="AI1460" i="105"/>
  <c r="AH1460" i="105"/>
  <c r="AG1460" i="105"/>
  <c r="X1460" i="105"/>
  <c r="W1460" i="105"/>
  <c r="R1460" i="105"/>
  <c r="Q1460" i="105"/>
  <c r="N1460" i="105"/>
  <c r="M1460" i="105"/>
  <c r="L1460" i="105"/>
  <c r="K1460" i="105"/>
  <c r="A1460" i="105"/>
  <c r="A1461" i="105" s="1"/>
  <c r="A1462" i="105" s="1"/>
  <c r="A1463" i="105" s="1"/>
  <c r="A1464" i="105" s="1"/>
  <c r="A1465" i="105" s="1"/>
  <c r="A1466" i="105" s="1"/>
  <c r="A1467" i="105" s="1"/>
  <c r="A1468" i="105" s="1"/>
  <c r="AH1459" i="105"/>
  <c r="AF1459" i="105"/>
  <c r="X1459" i="105"/>
  <c r="U1459" i="105"/>
  <c r="R1459" i="105"/>
  <c r="P1459" i="105"/>
  <c r="N1459" i="105"/>
  <c r="M1459" i="105"/>
  <c r="AI1459" i="105" s="1"/>
  <c r="I1459" i="105"/>
  <c r="H1459" i="105"/>
  <c r="AI1458" i="105"/>
  <c r="AH1458" i="105"/>
  <c r="AG1458" i="105"/>
  <c r="X1458" i="105"/>
  <c r="W1458" i="105"/>
  <c r="R1458" i="105"/>
  <c r="Q1458" i="105"/>
  <c r="N1458" i="105"/>
  <c r="M1458" i="105"/>
  <c r="L1458" i="105"/>
  <c r="K1458" i="105"/>
  <c r="AI1457" i="105"/>
  <c r="AH1457" i="105"/>
  <c r="AG1457" i="105"/>
  <c r="X1457" i="105"/>
  <c r="W1457" i="105"/>
  <c r="R1457" i="105"/>
  <c r="Q1457" i="105"/>
  <c r="N1457" i="105"/>
  <c r="M1457" i="105"/>
  <c r="L1457" i="105"/>
  <c r="K1457" i="105"/>
  <c r="AI1456" i="105"/>
  <c r="AH1456" i="105"/>
  <c r="AG1456" i="105"/>
  <c r="X1456" i="105"/>
  <c r="W1456" i="105"/>
  <c r="R1456" i="105"/>
  <c r="Q1456" i="105"/>
  <c r="N1456" i="105"/>
  <c r="M1456" i="105"/>
  <c r="L1456" i="105"/>
  <c r="K1456" i="105"/>
  <c r="AI1455" i="105"/>
  <c r="AH1455" i="105"/>
  <c r="AG1455" i="105"/>
  <c r="X1455" i="105"/>
  <c r="W1455" i="105"/>
  <c r="R1455" i="105"/>
  <c r="Q1455" i="105"/>
  <c r="N1455" i="105"/>
  <c r="M1455" i="105"/>
  <c r="L1455" i="105"/>
  <c r="K1455" i="105"/>
  <c r="AI1454" i="105"/>
  <c r="AH1454" i="105"/>
  <c r="AG1454" i="105"/>
  <c r="X1454" i="105"/>
  <c r="W1454" i="105"/>
  <c r="R1454" i="105"/>
  <c r="Q1454" i="105"/>
  <c r="N1454" i="105"/>
  <c r="M1454" i="105"/>
  <c r="L1454" i="105"/>
  <c r="K1454" i="105"/>
  <c r="AI1453" i="105"/>
  <c r="AH1453" i="105"/>
  <c r="AG1453" i="105"/>
  <c r="X1453" i="105"/>
  <c r="W1453" i="105"/>
  <c r="R1453" i="105"/>
  <c r="Q1453" i="105"/>
  <c r="N1453" i="105"/>
  <c r="M1453" i="105"/>
  <c r="L1453" i="105"/>
  <c r="K1453" i="105"/>
  <c r="A1453" i="105"/>
  <c r="A1454" i="105" s="1"/>
  <c r="A1455" i="105" s="1"/>
  <c r="A1456" i="105" s="1"/>
  <c r="A1457" i="105" s="1"/>
  <c r="A1458" i="105" s="1"/>
  <c r="AH1452" i="105"/>
  <c r="AF1452" i="105"/>
  <c r="X1452" i="105"/>
  <c r="U1452" i="105"/>
  <c r="R1452" i="105"/>
  <c r="P1452" i="105"/>
  <c r="N1452" i="105"/>
  <c r="M1452" i="105"/>
  <c r="AI1452" i="105" s="1"/>
  <c r="I1452" i="105"/>
  <c r="H1452" i="105"/>
  <c r="AI1451" i="105"/>
  <c r="AH1451" i="105"/>
  <c r="AG1451" i="105"/>
  <c r="X1451" i="105"/>
  <c r="W1451" i="105"/>
  <c r="R1451" i="105"/>
  <c r="Q1451" i="105"/>
  <c r="N1451" i="105"/>
  <c r="M1451" i="105"/>
  <c r="L1451" i="105"/>
  <c r="K1451" i="105"/>
  <c r="AI1450" i="105"/>
  <c r="AH1450" i="105"/>
  <c r="AG1450" i="105"/>
  <c r="X1450" i="105"/>
  <c r="W1450" i="105"/>
  <c r="R1450" i="105"/>
  <c r="Q1450" i="105"/>
  <c r="N1450" i="105"/>
  <c r="M1450" i="105"/>
  <c r="L1450" i="105"/>
  <c r="K1450" i="105"/>
  <c r="AI1449" i="105"/>
  <c r="AH1449" i="105"/>
  <c r="AG1449" i="105"/>
  <c r="X1449" i="105"/>
  <c r="W1449" i="105"/>
  <c r="R1449" i="105"/>
  <c r="Q1449" i="105"/>
  <c r="N1449" i="105"/>
  <c r="M1449" i="105"/>
  <c r="L1449" i="105"/>
  <c r="K1449" i="105"/>
  <c r="AI1448" i="105"/>
  <c r="AH1448" i="105"/>
  <c r="AG1448" i="105"/>
  <c r="X1448" i="105"/>
  <c r="W1448" i="105"/>
  <c r="R1448" i="105"/>
  <c r="Q1448" i="105"/>
  <c r="N1448" i="105"/>
  <c r="M1448" i="105"/>
  <c r="L1448" i="105"/>
  <c r="K1448" i="105"/>
  <c r="AI1447" i="105"/>
  <c r="AH1447" i="105"/>
  <c r="AG1447" i="105"/>
  <c r="X1447" i="105"/>
  <c r="W1447" i="105"/>
  <c r="R1447" i="105"/>
  <c r="Q1447" i="105"/>
  <c r="N1447" i="105"/>
  <c r="M1447" i="105"/>
  <c r="L1447" i="105"/>
  <c r="K1447" i="105"/>
  <c r="AI1446" i="105"/>
  <c r="AH1446" i="105"/>
  <c r="AG1446" i="105"/>
  <c r="W1446" i="105"/>
  <c r="X1446" i="105" s="1"/>
  <c r="R1446" i="105"/>
  <c r="Q1446" i="105"/>
  <c r="N1446" i="105"/>
  <c r="M1446" i="105"/>
  <c r="L1446" i="105"/>
  <c r="K1446" i="105"/>
  <c r="AI1445" i="105"/>
  <c r="AH1445" i="105"/>
  <c r="AG1445" i="105"/>
  <c r="W1445" i="105"/>
  <c r="X1445" i="105" s="1"/>
  <c r="R1445" i="105"/>
  <c r="Q1445" i="105"/>
  <c r="N1445" i="105"/>
  <c r="M1445" i="105"/>
  <c r="L1445" i="105"/>
  <c r="K1445" i="105"/>
  <c r="AI1444" i="105"/>
  <c r="AH1444" i="105"/>
  <c r="AG1444" i="105"/>
  <c r="W1444" i="105"/>
  <c r="X1444" i="105" s="1"/>
  <c r="R1444" i="105"/>
  <c r="Q1444" i="105"/>
  <c r="N1444" i="105"/>
  <c r="M1444" i="105"/>
  <c r="L1444" i="105"/>
  <c r="K1444" i="105"/>
  <c r="AI1443" i="105"/>
  <c r="AH1443" i="105"/>
  <c r="AG1443" i="105"/>
  <c r="W1443" i="105"/>
  <c r="X1443" i="105" s="1"/>
  <c r="R1443" i="105"/>
  <c r="Q1443" i="105"/>
  <c r="N1443" i="105"/>
  <c r="M1443" i="105"/>
  <c r="L1443" i="105"/>
  <c r="K1443" i="105"/>
  <c r="AI1442" i="105"/>
  <c r="AH1442" i="105"/>
  <c r="AG1442" i="105"/>
  <c r="W1442" i="105"/>
  <c r="X1442" i="105" s="1"/>
  <c r="R1442" i="105"/>
  <c r="Q1442" i="105"/>
  <c r="N1442" i="105"/>
  <c r="M1442" i="105"/>
  <c r="L1442" i="105"/>
  <c r="K1442" i="105"/>
  <c r="AI1441" i="105"/>
  <c r="AH1441" i="105"/>
  <c r="AG1441" i="105"/>
  <c r="W1441" i="105"/>
  <c r="X1441" i="105" s="1"/>
  <c r="R1441" i="105"/>
  <c r="Q1441" i="105"/>
  <c r="N1441" i="105"/>
  <c r="M1441" i="105"/>
  <c r="L1441" i="105"/>
  <c r="K1441" i="105"/>
  <c r="AI1440" i="105"/>
  <c r="AH1440" i="105"/>
  <c r="AG1440" i="105"/>
  <c r="W1440" i="105"/>
  <c r="X1440" i="105" s="1"/>
  <c r="R1440" i="105"/>
  <c r="Q1440" i="105"/>
  <c r="N1440" i="105"/>
  <c r="M1440" i="105"/>
  <c r="L1440" i="105"/>
  <c r="K1440" i="105"/>
  <c r="AI1439" i="105"/>
  <c r="AH1439" i="105"/>
  <c r="AG1439" i="105"/>
  <c r="W1439" i="105"/>
  <c r="X1439" i="105" s="1"/>
  <c r="R1439" i="105"/>
  <c r="Q1439" i="105"/>
  <c r="N1439" i="105"/>
  <c r="M1439" i="105"/>
  <c r="L1439" i="105"/>
  <c r="K1439" i="105"/>
  <c r="AI1438" i="105"/>
  <c r="AH1438" i="105"/>
  <c r="AG1438" i="105"/>
  <c r="W1438" i="105"/>
  <c r="X1438" i="105" s="1"/>
  <c r="R1438" i="105"/>
  <c r="Q1438" i="105"/>
  <c r="N1438" i="105"/>
  <c r="M1438" i="105"/>
  <c r="L1438" i="105"/>
  <c r="K1438" i="105"/>
  <c r="AI1437" i="105"/>
  <c r="AH1437" i="105"/>
  <c r="AG1437" i="105"/>
  <c r="W1437" i="105"/>
  <c r="X1437" i="105" s="1"/>
  <c r="Q1437" i="105"/>
  <c r="R1437" i="105" s="1"/>
  <c r="N1437" i="105"/>
  <c r="M1437" i="105"/>
  <c r="L1437" i="105"/>
  <c r="K1437" i="105"/>
  <c r="AI1436" i="105"/>
  <c r="AH1436" i="105"/>
  <c r="AG1436" i="105"/>
  <c r="W1436" i="105"/>
  <c r="X1436" i="105" s="1"/>
  <c r="Q1436" i="105"/>
  <c r="R1436" i="105" s="1"/>
  <c r="N1436" i="105"/>
  <c r="M1436" i="105"/>
  <c r="L1436" i="105"/>
  <c r="K1436" i="105"/>
  <c r="AI1435" i="105"/>
  <c r="AH1435" i="105"/>
  <c r="AG1435" i="105"/>
  <c r="W1435" i="105"/>
  <c r="X1435" i="105" s="1"/>
  <c r="Q1435" i="105"/>
  <c r="R1435" i="105" s="1"/>
  <c r="N1435" i="105"/>
  <c r="M1435" i="105"/>
  <c r="L1435" i="105"/>
  <c r="K1435" i="105"/>
  <c r="AI1434" i="105"/>
  <c r="AH1434" i="105"/>
  <c r="AG1434" i="105"/>
  <c r="W1434" i="105"/>
  <c r="X1434" i="105" s="1"/>
  <c r="Q1434" i="105"/>
  <c r="R1434" i="105" s="1"/>
  <c r="L1434" i="105"/>
  <c r="N1434" i="105" s="1"/>
  <c r="I1434" i="105" s="1"/>
  <c r="K1434" i="105"/>
  <c r="M1434" i="105" s="1"/>
  <c r="AI1433" i="105"/>
  <c r="AH1433" i="105"/>
  <c r="AG1433" i="105"/>
  <c r="X1433" i="105"/>
  <c r="W1433" i="105"/>
  <c r="R1433" i="105"/>
  <c r="Q1433" i="105"/>
  <c r="L1433" i="105"/>
  <c r="N1433" i="105" s="1"/>
  <c r="I1433" i="105" s="1"/>
  <c r="K1433" i="105"/>
  <c r="M1433" i="105" s="1"/>
  <c r="AI1432" i="105"/>
  <c r="AH1432" i="105"/>
  <c r="AG1432" i="105"/>
  <c r="W1432" i="105"/>
  <c r="X1432" i="105" s="1"/>
  <c r="Q1432" i="105"/>
  <c r="R1432" i="105" s="1"/>
  <c r="L1432" i="105"/>
  <c r="N1432" i="105" s="1"/>
  <c r="I1432" i="105" s="1"/>
  <c r="K1432" i="105"/>
  <c r="M1432" i="105" s="1"/>
  <c r="AI1431" i="105"/>
  <c r="AH1431" i="105"/>
  <c r="AG1431" i="105"/>
  <c r="X1431" i="105"/>
  <c r="W1431" i="105"/>
  <c r="R1431" i="105"/>
  <c r="Q1431" i="105"/>
  <c r="L1431" i="105"/>
  <c r="N1431" i="105" s="1"/>
  <c r="I1431" i="105" s="1"/>
  <c r="K1431" i="105"/>
  <c r="H1431" i="105"/>
  <c r="M1431" i="105" s="1"/>
  <c r="A1431" i="105"/>
  <c r="A1432" i="105" s="1"/>
  <c r="A1433" i="105" s="1"/>
  <c r="A1434" i="105" s="1"/>
  <c r="A1435" i="105" s="1"/>
  <c r="A1436" i="105" s="1"/>
  <c r="A1437" i="105" s="1"/>
  <c r="A1438" i="105" s="1"/>
  <c r="A1439" i="105" s="1"/>
  <c r="A1440" i="105" s="1"/>
  <c r="A1441" i="105" s="1"/>
  <c r="A1442" i="105" s="1"/>
  <c r="A1443" i="105" s="1"/>
  <c r="A1444" i="105" s="1"/>
  <c r="A1445" i="105" s="1"/>
  <c r="A1446" i="105" s="1"/>
  <c r="A1447" i="105" s="1"/>
  <c r="A1448" i="105" s="1"/>
  <c r="A1449" i="105" s="1"/>
  <c r="A1450" i="105" s="1"/>
  <c r="A1451" i="105" s="1"/>
  <c r="AI1430" i="105"/>
  <c r="AH1430" i="105"/>
  <c r="AH1428" i="105" s="1"/>
  <c r="AG1430" i="105"/>
  <c r="X1430" i="105"/>
  <c r="W1430" i="105"/>
  <c r="R1430" i="105"/>
  <c r="Q1430" i="105"/>
  <c r="N1430" i="105"/>
  <c r="I1430" i="105" s="1"/>
  <c r="L1430" i="105"/>
  <c r="K1430" i="105"/>
  <c r="H1430" i="105"/>
  <c r="M1430" i="105" s="1"/>
  <c r="A1430" i="105"/>
  <c r="AI1429" i="105"/>
  <c r="AG1429" i="105"/>
  <c r="W1429" i="105"/>
  <c r="X1429" i="105" s="1"/>
  <c r="X1428" i="105" s="1"/>
  <c r="Q1429" i="105"/>
  <c r="R1429" i="105" s="1"/>
  <c r="L1429" i="105"/>
  <c r="K1429" i="105"/>
  <c r="M1429" i="105" s="1"/>
  <c r="M1428" i="105" s="1"/>
  <c r="H1429" i="105"/>
  <c r="N1429" i="105" s="1"/>
  <c r="A1429" i="105"/>
  <c r="AF1428" i="105"/>
  <c r="U1428" i="105"/>
  <c r="P1428" i="105"/>
  <c r="H1428" i="105"/>
  <c r="AI1427" i="105"/>
  <c r="AH1427" i="105"/>
  <c r="AG1427" i="105"/>
  <c r="X1427" i="105"/>
  <c r="W1427" i="105"/>
  <c r="R1427" i="105"/>
  <c r="Q1427" i="105"/>
  <c r="N1427" i="105"/>
  <c r="M1427" i="105"/>
  <c r="L1427" i="105"/>
  <c r="K1427" i="105"/>
  <c r="AI1426" i="105"/>
  <c r="AH1426" i="105"/>
  <c r="AG1426" i="105"/>
  <c r="X1426" i="105"/>
  <c r="W1426" i="105"/>
  <c r="R1426" i="105"/>
  <c r="Q1426" i="105"/>
  <c r="N1426" i="105"/>
  <c r="M1426" i="105"/>
  <c r="L1426" i="105"/>
  <c r="K1426" i="105"/>
  <c r="AI1425" i="105"/>
  <c r="AH1425" i="105"/>
  <c r="AG1425" i="105"/>
  <c r="X1425" i="105"/>
  <c r="W1425" i="105"/>
  <c r="R1425" i="105"/>
  <c r="Q1425" i="105"/>
  <c r="N1425" i="105"/>
  <c r="M1425" i="105"/>
  <c r="L1425" i="105"/>
  <c r="K1425" i="105"/>
  <c r="AI1424" i="105"/>
  <c r="AH1424" i="105"/>
  <c r="AG1424" i="105"/>
  <c r="X1424" i="105"/>
  <c r="W1424" i="105"/>
  <c r="R1424" i="105"/>
  <c r="Q1424" i="105"/>
  <c r="N1424" i="105"/>
  <c r="M1424" i="105"/>
  <c r="L1424" i="105"/>
  <c r="K1424" i="105"/>
  <c r="AI1423" i="105"/>
  <c r="AH1423" i="105"/>
  <c r="AG1423" i="105"/>
  <c r="X1423" i="105"/>
  <c r="W1423" i="105"/>
  <c r="R1423" i="105"/>
  <c r="Q1423" i="105"/>
  <c r="N1423" i="105"/>
  <c r="M1423" i="105"/>
  <c r="L1423" i="105"/>
  <c r="K1423" i="105"/>
  <c r="AI1422" i="105"/>
  <c r="AH1422" i="105"/>
  <c r="AG1422" i="105"/>
  <c r="X1422" i="105"/>
  <c r="W1422" i="105"/>
  <c r="R1422" i="105"/>
  <c r="Q1422" i="105"/>
  <c r="N1422" i="105"/>
  <c r="M1422" i="105"/>
  <c r="L1422" i="105"/>
  <c r="K1422" i="105"/>
  <c r="AI1421" i="105"/>
  <c r="AH1421" i="105"/>
  <c r="AG1421" i="105"/>
  <c r="X1421" i="105"/>
  <c r="W1421" i="105"/>
  <c r="R1421" i="105"/>
  <c r="Q1421" i="105"/>
  <c r="N1421" i="105"/>
  <c r="M1421" i="105"/>
  <c r="L1421" i="105"/>
  <c r="K1421" i="105"/>
  <c r="AI1420" i="105"/>
  <c r="AH1420" i="105"/>
  <c r="AG1420" i="105"/>
  <c r="X1420" i="105"/>
  <c r="W1420" i="105"/>
  <c r="R1420" i="105"/>
  <c r="Q1420" i="105"/>
  <c r="N1420" i="105"/>
  <c r="M1420" i="105"/>
  <c r="L1420" i="105"/>
  <c r="K1420" i="105"/>
  <c r="AI1419" i="105"/>
  <c r="AH1419" i="105"/>
  <c r="AG1419" i="105"/>
  <c r="X1419" i="105"/>
  <c r="W1419" i="105"/>
  <c r="R1419" i="105"/>
  <c r="Q1419" i="105"/>
  <c r="N1419" i="105"/>
  <c r="M1419" i="105"/>
  <c r="L1419" i="105"/>
  <c r="K1419" i="105"/>
  <c r="AI1418" i="105"/>
  <c r="AH1418" i="105"/>
  <c r="AG1418" i="105"/>
  <c r="X1418" i="105"/>
  <c r="W1418" i="105"/>
  <c r="R1418" i="105"/>
  <c r="Q1418" i="105"/>
  <c r="N1418" i="105"/>
  <c r="M1418" i="105"/>
  <c r="L1418" i="105"/>
  <c r="K1418" i="105"/>
  <c r="AI1417" i="105"/>
  <c r="AH1417" i="105"/>
  <c r="AH1415" i="105" s="1"/>
  <c r="AG1417" i="105"/>
  <c r="X1417" i="105"/>
  <c r="W1417" i="105"/>
  <c r="R1417" i="105"/>
  <c r="Q1417" i="105"/>
  <c r="L1417" i="105"/>
  <c r="N1417" i="105" s="1"/>
  <c r="I1417" i="105" s="1"/>
  <c r="K1417" i="105"/>
  <c r="M1417" i="105" s="1"/>
  <c r="AI1416" i="105"/>
  <c r="W1416" i="105"/>
  <c r="X1416" i="105" s="1"/>
  <c r="X1415" i="105" s="1"/>
  <c r="Q1416" i="105"/>
  <c r="R1416" i="105" s="1"/>
  <c r="R1415" i="105" s="1"/>
  <c r="L1416" i="105"/>
  <c r="K1416" i="105"/>
  <c r="H1416" i="105"/>
  <c r="M1416" i="105" s="1"/>
  <c r="M1415" i="105" s="1"/>
  <c r="A1416" i="105"/>
  <c r="A1417" i="105" s="1"/>
  <c r="A1418" i="105" s="1"/>
  <c r="A1419" i="105" s="1"/>
  <c r="A1420" i="105" s="1"/>
  <c r="A1421" i="105" s="1"/>
  <c r="A1422" i="105" s="1"/>
  <c r="A1423" i="105" s="1"/>
  <c r="A1424" i="105" s="1"/>
  <c r="A1425" i="105" s="1"/>
  <c r="A1426" i="105" s="1"/>
  <c r="A1427" i="105" s="1"/>
  <c r="AF1415" i="105"/>
  <c r="U1415" i="105"/>
  <c r="P1415" i="105"/>
  <c r="H1415" i="105"/>
  <c r="AI1414" i="105"/>
  <c r="AH1414" i="105"/>
  <c r="AG1414" i="105"/>
  <c r="X1414" i="105"/>
  <c r="W1414" i="105"/>
  <c r="R1414" i="105"/>
  <c r="Q1414" i="105"/>
  <c r="N1414" i="105"/>
  <c r="M1414" i="105"/>
  <c r="L1414" i="105"/>
  <c r="K1414" i="105"/>
  <c r="AI1413" i="105"/>
  <c r="AH1413" i="105"/>
  <c r="AG1413" i="105"/>
  <c r="X1413" i="105"/>
  <c r="W1413" i="105"/>
  <c r="R1413" i="105"/>
  <c r="Q1413" i="105"/>
  <c r="N1413" i="105"/>
  <c r="M1413" i="105"/>
  <c r="L1413" i="105"/>
  <c r="K1413" i="105"/>
  <c r="AI1412" i="105"/>
  <c r="AH1412" i="105"/>
  <c r="AG1412" i="105"/>
  <c r="X1412" i="105"/>
  <c r="W1412" i="105"/>
  <c r="R1412" i="105"/>
  <c r="Q1412" i="105"/>
  <c r="N1412" i="105"/>
  <c r="M1412" i="105"/>
  <c r="L1412" i="105"/>
  <c r="K1412" i="105"/>
  <c r="AI1411" i="105"/>
  <c r="AH1411" i="105"/>
  <c r="AG1411" i="105"/>
  <c r="X1411" i="105"/>
  <c r="W1411" i="105"/>
  <c r="R1411" i="105"/>
  <c r="Q1411" i="105"/>
  <c r="N1411" i="105"/>
  <c r="M1411" i="105"/>
  <c r="L1411" i="105"/>
  <c r="K1411" i="105"/>
  <c r="AI1410" i="105"/>
  <c r="AH1410" i="105"/>
  <c r="AG1410" i="105"/>
  <c r="X1410" i="105"/>
  <c r="W1410" i="105"/>
  <c r="R1410" i="105"/>
  <c r="Q1410" i="105"/>
  <c r="N1410" i="105"/>
  <c r="M1410" i="105"/>
  <c r="L1410" i="105"/>
  <c r="K1410" i="105"/>
  <c r="AI1409" i="105"/>
  <c r="AH1409" i="105"/>
  <c r="AG1409" i="105"/>
  <c r="X1409" i="105"/>
  <c r="W1409" i="105"/>
  <c r="R1409" i="105"/>
  <c r="Q1409" i="105"/>
  <c r="N1409" i="105"/>
  <c r="M1409" i="105"/>
  <c r="L1409" i="105"/>
  <c r="K1409" i="105"/>
  <c r="AI1408" i="105"/>
  <c r="AH1408" i="105"/>
  <c r="AG1408" i="105"/>
  <c r="X1408" i="105"/>
  <c r="W1408" i="105"/>
  <c r="R1408" i="105"/>
  <c r="Q1408" i="105"/>
  <c r="N1408" i="105"/>
  <c r="M1408" i="105"/>
  <c r="L1408" i="105"/>
  <c r="K1408" i="105"/>
  <c r="AI1407" i="105"/>
  <c r="AH1407" i="105"/>
  <c r="AG1407" i="105"/>
  <c r="X1407" i="105"/>
  <c r="W1407" i="105"/>
  <c r="R1407" i="105"/>
  <c r="Q1407" i="105"/>
  <c r="N1407" i="105"/>
  <c r="M1407" i="105"/>
  <c r="L1407" i="105"/>
  <c r="K1407" i="105"/>
  <c r="AI1406" i="105"/>
  <c r="AH1406" i="105"/>
  <c r="AG1406" i="105"/>
  <c r="X1406" i="105"/>
  <c r="W1406" i="105"/>
  <c r="R1406" i="105"/>
  <c r="Q1406" i="105"/>
  <c r="N1406" i="105"/>
  <c r="M1406" i="105"/>
  <c r="L1406" i="105"/>
  <c r="K1406" i="105"/>
  <c r="AI1405" i="105"/>
  <c r="AH1405" i="105"/>
  <c r="AG1405" i="105"/>
  <c r="X1405" i="105"/>
  <c r="W1405" i="105"/>
  <c r="R1405" i="105"/>
  <c r="Q1405" i="105"/>
  <c r="N1405" i="105"/>
  <c r="M1405" i="105"/>
  <c r="L1405" i="105"/>
  <c r="K1405" i="105"/>
  <c r="AI1404" i="105"/>
  <c r="AH1404" i="105"/>
  <c r="AG1404" i="105"/>
  <c r="X1404" i="105"/>
  <c r="W1404" i="105"/>
  <c r="R1404" i="105"/>
  <c r="Q1404" i="105"/>
  <c r="N1404" i="105"/>
  <c r="M1404" i="105"/>
  <c r="L1404" i="105"/>
  <c r="K1404" i="105"/>
  <c r="AI1403" i="105"/>
  <c r="AH1403" i="105"/>
  <c r="AG1403" i="105"/>
  <c r="X1403" i="105"/>
  <c r="W1403" i="105"/>
  <c r="R1403" i="105"/>
  <c r="Q1403" i="105"/>
  <c r="N1403" i="105"/>
  <c r="M1403" i="105"/>
  <c r="L1403" i="105"/>
  <c r="K1403" i="105"/>
  <c r="AI1402" i="105"/>
  <c r="AH1402" i="105"/>
  <c r="AG1402" i="105"/>
  <c r="X1402" i="105"/>
  <c r="W1402" i="105"/>
  <c r="R1402" i="105"/>
  <c r="Q1402" i="105"/>
  <c r="N1402" i="105"/>
  <c r="M1402" i="105"/>
  <c r="L1402" i="105"/>
  <c r="K1402" i="105"/>
  <c r="AI1401" i="105"/>
  <c r="AH1401" i="105"/>
  <c r="AG1401" i="105"/>
  <c r="X1401" i="105"/>
  <c r="W1401" i="105"/>
  <c r="R1401" i="105"/>
  <c r="Q1401" i="105"/>
  <c r="N1401" i="105"/>
  <c r="M1401" i="105"/>
  <c r="L1401" i="105"/>
  <c r="K1401" i="105"/>
  <c r="AI1400" i="105"/>
  <c r="AH1400" i="105"/>
  <c r="AG1400" i="105"/>
  <c r="X1400" i="105"/>
  <c r="W1400" i="105"/>
  <c r="R1400" i="105"/>
  <c r="Q1400" i="105"/>
  <c r="N1400" i="105"/>
  <c r="M1400" i="105"/>
  <c r="L1400" i="105"/>
  <c r="K1400" i="105"/>
  <c r="AI1399" i="105"/>
  <c r="AH1399" i="105"/>
  <c r="AG1399" i="105"/>
  <c r="X1399" i="105"/>
  <c r="W1399" i="105"/>
  <c r="R1399" i="105"/>
  <c r="Q1399" i="105"/>
  <c r="N1399" i="105"/>
  <c r="M1399" i="105"/>
  <c r="L1399" i="105"/>
  <c r="K1399" i="105"/>
  <c r="AI1398" i="105"/>
  <c r="AH1398" i="105"/>
  <c r="AG1398" i="105"/>
  <c r="X1398" i="105"/>
  <c r="W1398" i="105"/>
  <c r="R1398" i="105"/>
  <c r="Q1398" i="105"/>
  <c r="N1398" i="105"/>
  <c r="M1398" i="105"/>
  <c r="L1398" i="105"/>
  <c r="K1398" i="105"/>
  <c r="AI1397" i="105"/>
  <c r="AH1397" i="105"/>
  <c r="AG1397" i="105"/>
  <c r="X1397" i="105"/>
  <c r="W1397" i="105"/>
  <c r="R1397" i="105"/>
  <c r="Q1397" i="105"/>
  <c r="N1397" i="105"/>
  <c r="M1397" i="105"/>
  <c r="L1397" i="105"/>
  <c r="K1397" i="105"/>
  <c r="AI1396" i="105"/>
  <c r="AH1396" i="105"/>
  <c r="AG1396" i="105"/>
  <c r="X1396" i="105"/>
  <c r="W1396" i="105"/>
  <c r="R1396" i="105"/>
  <c r="Q1396" i="105"/>
  <c r="N1396" i="105"/>
  <c r="M1396" i="105"/>
  <c r="L1396" i="105"/>
  <c r="K1396" i="105"/>
  <c r="AI1395" i="105"/>
  <c r="AH1395" i="105"/>
  <c r="AG1395" i="105"/>
  <c r="X1395" i="105"/>
  <c r="W1395" i="105"/>
  <c r="R1395" i="105"/>
  <c r="Q1395" i="105"/>
  <c r="N1395" i="105"/>
  <c r="M1395" i="105"/>
  <c r="L1395" i="105"/>
  <c r="K1395" i="105"/>
  <c r="AI1394" i="105"/>
  <c r="AH1394" i="105"/>
  <c r="AG1394" i="105"/>
  <c r="X1394" i="105"/>
  <c r="W1394" i="105"/>
  <c r="R1394" i="105"/>
  <c r="Q1394" i="105"/>
  <c r="N1394" i="105"/>
  <c r="M1394" i="105"/>
  <c r="L1394" i="105"/>
  <c r="K1394" i="105"/>
  <c r="AI1393" i="105"/>
  <c r="AH1393" i="105"/>
  <c r="AG1393" i="105"/>
  <c r="X1393" i="105"/>
  <c r="W1393" i="105"/>
  <c r="R1393" i="105"/>
  <c r="Q1393" i="105"/>
  <c r="N1393" i="105"/>
  <c r="M1393" i="105"/>
  <c r="L1393" i="105"/>
  <c r="K1393" i="105"/>
  <c r="AI1392" i="105"/>
  <c r="AH1392" i="105"/>
  <c r="AG1392" i="105"/>
  <c r="X1392" i="105"/>
  <c r="W1392" i="105"/>
  <c r="R1392" i="105"/>
  <c r="Q1392" i="105"/>
  <c r="N1392" i="105"/>
  <c r="M1392" i="105"/>
  <c r="L1392" i="105"/>
  <c r="K1392" i="105"/>
  <c r="AI1391" i="105"/>
  <c r="AH1391" i="105"/>
  <c r="AG1391" i="105"/>
  <c r="X1391" i="105"/>
  <c r="W1391" i="105"/>
  <c r="Q1391" i="105"/>
  <c r="R1391" i="105" s="1"/>
  <c r="N1391" i="105"/>
  <c r="M1391" i="105"/>
  <c r="L1391" i="105"/>
  <c r="K1391" i="105"/>
  <c r="AI1390" i="105"/>
  <c r="AH1390" i="105"/>
  <c r="AG1390" i="105"/>
  <c r="W1390" i="105"/>
  <c r="X1390" i="105" s="1"/>
  <c r="Q1390" i="105"/>
  <c r="R1390" i="105" s="1"/>
  <c r="N1390" i="105"/>
  <c r="M1390" i="105"/>
  <c r="L1390" i="105"/>
  <c r="K1390" i="105"/>
  <c r="AI1389" i="105"/>
  <c r="AH1389" i="105"/>
  <c r="AG1389" i="105"/>
  <c r="W1389" i="105"/>
  <c r="X1389" i="105" s="1"/>
  <c r="Q1389" i="105"/>
  <c r="R1389" i="105" s="1"/>
  <c r="N1389" i="105"/>
  <c r="M1389" i="105"/>
  <c r="L1389" i="105"/>
  <c r="K1389" i="105"/>
  <c r="AI1388" i="105"/>
  <c r="AH1388" i="105"/>
  <c r="AG1388" i="105"/>
  <c r="W1388" i="105"/>
  <c r="X1388" i="105" s="1"/>
  <c r="Q1388" i="105"/>
  <c r="R1388" i="105" s="1"/>
  <c r="N1388" i="105"/>
  <c r="M1388" i="105"/>
  <c r="L1388" i="105"/>
  <c r="K1388" i="105"/>
  <c r="AI1387" i="105"/>
  <c r="AH1387" i="105"/>
  <c r="AG1387" i="105"/>
  <c r="W1387" i="105"/>
  <c r="X1387" i="105" s="1"/>
  <c r="Q1387" i="105"/>
  <c r="R1387" i="105" s="1"/>
  <c r="N1387" i="105"/>
  <c r="M1387" i="105"/>
  <c r="L1387" i="105"/>
  <c r="K1387" i="105"/>
  <c r="AI1386" i="105"/>
  <c r="AH1386" i="105"/>
  <c r="AG1386" i="105"/>
  <c r="W1386" i="105"/>
  <c r="X1386" i="105" s="1"/>
  <c r="Q1386" i="105"/>
  <c r="R1386" i="105" s="1"/>
  <c r="N1386" i="105"/>
  <c r="M1386" i="105"/>
  <c r="L1386" i="105"/>
  <c r="K1386" i="105"/>
  <c r="AI1385" i="105"/>
  <c r="AH1385" i="105"/>
  <c r="AG1385" i="105"/>
  <c r="W1385" i="105"/>
  <c r="X1385" i="105" s="1"/>
  <c r="Q1385" i="105"/>
  <c r="R1385" i="105" s="1"/>
  <c r="N1385" i="105"/>
  <c r="M1385" i="105"/>
  <c r="L1385" i="105"/>
  <c r="K1385" i="105"/>
  <c r="AI1384" i="105"/>
  <c r="AH1384" i="105"/>
  <c r="AG1384" i="105"/>
  <c r="W1384" i="105"/>
  <c r="X1384" i="105" s="1"/>
  <c r="Q1384" i="105"/>
  <c r="R1384" i="105" s="1"/>
  <c r="N1384" i="105"/>
  <c r="M1384" i="105"/>
  <c r="L1384" i="105"/>
  <c r="K1384" i="105"/>
  <c r="AI1383" i="105"/>
  <c r="AH1383" i="105"/>
  <c r="AG1383" i="105"/>
  <c r="W1383" i="105"/>
  <c r="X1383" i="105" s="1"/>
  <c r="Q1383" i="105"/>
  <c r="R1383" i="105" s="1"/>
  <c r="N1383" i="105"/>
  <c r="M1383" i="105"/>
  <c r="L1383" i="105"/>
  <c r="K1383" i="105"/>
  <c r="AI1382" i="105"/>
  <c r="AH1382" i="105"/>
  <c r="AG1382" i="105"/>
  <c r="W1382" i="105"/>
  <c r="X1382" i="105" s="1"/>
  <c r="Q1382" i="105"/>
  <c r="R1382" i="105" s="1"/>
  <c r="L1382" i="105"/>
  <c r="K1382" i="105"/>
  <c r="H1382" i="105"/>
  <c r="N1382" i="105" s="1"/>
  <c r="I1382" i="105" s="1"/>
  <c r="AI1381" i="105"/>
  <c r="AG1381" i="105"/>
  <c r="AH1381" i="105" s="1"/>
  <c r="AH1379" i="105" s="1"/>
  <c r="W1381" i="105"/>
  <c r="X1381" i="105" s="1"/>
  <c r="Q1381" i="105"/>
  <c r="R1381" i="105" s="1"/>
  <c r="L1381" i="105"/>
  <c r="N1381" i="105" s="1"/>
  <c r="I1381" i="105" s="1"/>
  <c r="K1381" i="105"/>
  <c r="M1381" i="105" s="1"/>
  <c r="A1381" i="105"/>
  <c r="A1382" i="105" s="1"/>
  <c r="A1383" i="105" s="1"/>
  <c r="A1384" i="105" s="1"/>
  <c r="A1385" i="105" s="1"/>
  <c r="A1386" i="105" s="1"/>
  <c r="A1387" i="105" s="1"/>
  <c r="A1388" i="105" s="1"/>
  <c r="A1389" i="105" s="1"/>
  <c r="A1390" i="105" s="1"/>
  <c r="A1391" i="105" s="1"/>
  <c r="A1392" i="105" s="1"/>
  <c r="A1393" i="105" s="1"/>
  <c r="A1394" i="105" s="1"/>
  <c r="A1395" i="105" s="1"/>
  <c r="A1396" i="105" s="1"/>
  <c r="A1397" i="105" s="1"/>
  <c r="A1398" i="105" s="1"/>
  <c r="A1399" i="105" s="1"/>
  <c r="A1400" i="105" s="1"/>
  <c r="A1401" i="105" s="1"/>
  <c r="A1402" i="105" s="1"/>
  <c r="A1403" i="105" s="1"/>
  <c r="A1404" i="105" s="1"/>
  <c r="A1405" i="105" s="1"/>
  <c r="A1406" i="105" s="1"/>
  <c r="A1407" i="105" s="1"/>
  <c r="A1408" i="105" s="1"/>
  <c r="A1409" i="105" s="1"/>
  <c r="A1410" i="105" s="1"/>
  <c r="A1411" i="105" s="1"/>
  <c r="A1412" i="105" s="1"/>
  <c r="A1413" i="105" s="1"/>
  <c r="A1414" i="105" s="1"/>
  <c r="AI1380" i="105"/>
  <c r="X1380" i="105"/>
  <c r="X1379" i="105" s="1"/>
  <c r="W1380" i="105"/>
  <c r="R1380" i="105"/>
  <c r="R1379" i="105" s="1"/>
  <c r="Q1380" i="105"/>
  <c r="L1380" i="105"/>
  <c r="N1380" i="105" s="1"/>
  <c r="K1380" i="105"/>
  <c r="M1380" i="105" s="1"/>
  <c r="A1380" i="105"/>
  <c r="AF1379" i="105"/>
  <c r="U1379" i="105"/>
  <c r="P1379" i="105"/>
  <c r="H1379" i="105"/>
  <c r="AI1378" i="105"/>
  <c r="AH1378" i="105"/>
  <c r="AG1378" i="105"/>
  <c r="X1378" i="105"/>
  <c r="W1378" i="105"/>
  <c r="R1378" i="105"/>
  <c r="Q1378" i="105"/>
  <c r="N1378" i="105"/>
  <c r="M1378" i="105"/>
  <c r="L1378" i="105"/>
  <c r="K1378" i="105"/>
  <c r="AI1377" i="105"/>
  <c r="AH1377" i="105"/>
  <c r="AG1377" i="105"/>
  <c r="X1377" i="105"/>
  <c r="W1377" i="105"/>
  <c r="R1377" i="105"/>
  <c r="Q1377" i="105"/>
  <c r="N1377" i="105"/>
  <c r="M1377" i="105"/>
  <c r="L1377" i="105"/>
  <c r="K1377" i="105"/>
  <c r="AI1376" i="105"/>
  <c r="AH1376" i="105"/>
  <c r="AG1376" i="105"/>
  <c r="X1376" i="105"/>
  <c r="W1376" i="105"/>
  <c r="R1376" i="105"/>
  <c r="Q1376" i="105"/>
  <c r="N1376" i="105"/>
  <c r="M1376" i="105"/>
  <c r="L1376" i="105"/>
  <c r="K1376" i="105"/>
  <c r="AI1375" i="105"/>
  <c r="AH1375" i="105"/>
  <c r="AG1375" i="105"/>
  <c r="X1375" i="105"/>
  <c r="W1375" i="105"/>
  <c r="R1375" i="105"/>
  <c r="Q1375" i="105"/>
  <c r="N1375" i="105"/>
  <c r="M1375" i="105"/>
  <c r="L1375" i="105"/>
  <c r="K1375" i="105"/>
  <c r="AI1374" i="105"/>
  <c r="AH1374" i="105"/>
  <c r="AG1374" i="105"/>
  <c r="X1374" i="105"/>
  <c r="W1374" i="105"/>
  <c r="R1374" i="105"/>
  <c r="Q1374" i="105"/>
  <c r="L1374" i="105"/>
  <c r="N1374" i="105" s="1"/>
  <c r="I1374" i="105" s="1"/>
  <c r="K1374" i="105"/>
  <c r="H1374" i="105"/>
  <c r="M1374" i="105" s="1"/>
  <c r="AI1373" i="105"/>
  <c r="AH1373" i="105"/>
  <c r="AH1371" i="105" s="1"/>
  <c r="AG1373" i="105"/>
  <c r="X1373" i="105"/>
  <c r="X1371" i="105" s="1"/>
  <c r="W1373" i="105"/>
  <c r="R1373" i="105"/>
  <c r="Q1373" i="105"/>
  <c r="L1373" i="105"/>
  <c r="N1373" i="105" s="1"/>
  <c r="I1373" i="105" s="1"/>
  <c r="K1373" i="105"/>
  <c r="M1373" i="105" s="1"/>
  <c r="AI1372" i="105"/>
  <c r="X1372" i="105"/>
  <c r="W1372" i="105"/>
  <c r="Q1372" i="105"/>
  <c r="R1372" i="105" s="1"/>
  <c r="R1371" i="105" s="1"/>
  <c r="L1372" i="105"/>
  <c r="K1372" i="105"/>
  <c r="H1372" i="105"/>
  <c r="N1372" i="105" s="1"/>
  <c r="A1372" i="105"/>
  <c r="A1373" i="105" s="1"/>
  <c r="A1374" i="105" s="1"/>
  <c r="A1375" i="105" s="1"/>
  <c r="A1376" i="105" s="1"/>
  <c r="A1377" i="105" s="1"/>
  <c r="A1378" i="105" s="1"/>
  <c r="AF1371" i="105"/>
  <c r="U1371" i="105"/>
  <c r="P1371" i="105"/>
  <c r="H1371" i="105"/>
  <c r="AI1370" i="105"/>
  <c r="AH1370" i="105"/>
  <c r="AG1370" i="105"/>
  <c r="X1370" i="105"/>
  <c r="W1370" i="105"/>
  <c r="R1370" i="105"/>
  <c r="Q1370" i="105"/>
  <c r="N1370" i="105"/>
  <c r="M1370" i="105"/>
  <c r="L1370" i="105"/>
  <c r="K1370" i="105"/>
  <c r="AI1369" i="105"/>
  <c r="AH1369" i="105"/>
  <c r="AG1369" i="105"/>
  <c r="X1369" i="105"/>
  <c r="W1369" i="105"/>
  <c r="R1369" i="105"/>
  <c r="Q1369" i="105"/>
  <c r="N1369" i="105"/>
  <c r="M1369" i="105"/>
  <c r="L1369" i="105"/>
  <c r="K1369" i="105"/>
  <c r="AI1368" i="105"/>
  <c r="AH1368" i="105"/>
  <c r="AG1368" i="105"/>
  <c r="X1368" i="105"/>
  <c r="W1368" i="105"/>
  <c r="R1368" i="105"/>
  <c r="Q1368" i="105"/>
  <c r="N1368" i="105"/>
  <c r="M1368" i="105"/>
  <c r="L1368" i="105"/>
  <c r="K1368" i="105"/>
  <c r="AI1367" i="105"/>
  <c r="AH1367" i="105"/>
  <c r="AG1367" i="105"/>
  <c r="X1367" i="105"/>
  <c r="W1367" i="105"/>
  <c r="R1367" i="105"/>
  <c r="Q1367" i="105"/>
  <c r="N1367" i="105"/>
  <c r="M1367" i="105"/>
  <c r="L1367" i="105"/>
  <c r="K1367" i="105"/>
  <c r="AI1366" i="105"/>
  <c r="AH1366" i="105"/>
  <c r="AG1366" i="105"/>
  <c r="X1366" i="105"/>
  <c r="W1366" i="105"/>
  <c r="R1366" i="105"/>
  <c r="Q1366" i="105"/>
  <c r="N1366" i="105"/>
  <c r="M1366" i="105"/>
  <c r="L1366" i="105"/>
  <c r="K1366" i="105"/>
  <c r="AI1365" i="105"/>
  <c r="AH1365" i="105"/>
  <c r="AG1365" i="105"/>
  <c r="X1365" i="105"/>
  <c r="W1365" i="105"/>
  <c r="R1365" i="105"/>
  <c r="Q1365" i="105"/>
  <c r="L1365" i="105"/>
  <c r="K1365" i="105"/>
  <c r="H1365" i="105"/>
  <c r="M1365" i="105" s="1"/>
  <c r="AI1364" i="105"/>
  <c r="AH1364" i="105"/>
  <c r="AG1364" i="105"/>
  <c r="X1364" i="105"/>
  <c r="W1364" i="105"/>
  <c r="Q1364" i="105"/>
  <c r="R1364" i="105" s="1"/>
  <c r="R1362" i="105" s="1"/>
  <c r="L1364" i="105"/>
  <c r="N1364" i="105" s="1"/>
  <c r="I1364" i="105" s="1"/>
  <c r="K1364" i="105"/>
  <c r="M1364" i="105" s="1"/>
  <c r="AI1363" i="105"/>
  <c r="X1363" i="105"/>
  <c r="W1363" i="105"/>
  <c r="R1363" i="105"/>
  <c r="Q1363" i="105"/>
  <c r="L1363" i="105"/>
  <c r="N1363" i="105" s="1"/>
  <c r="K1363" i="105"/>
  <c r="H1363" i="105"/>
  <c r="M1363" i="105" s="1"/>
  <c r="M1362" i="105" s="1"/>
  <c r="A1363" i="105"/>
  <c r="A1364" i="105" s="1"/>
  <c r="A1365" i="105" s="1"/>
  <c r="A1366" i="105" s="1"/>
  <c r="A1367" i="105" s="1"/>
  <c r="A1368" i="105" s="1"/>
  <c r="A1369" i="105" s="1"/>
  <c r="A1370" i="105" s="1"/>
  <c r="AH1362" i="105"/>
  <c r="AF1362" i="105"/>
  <c r="X1362" i="105"/>
  <c r="U1362" i="105"/>
  <c r="P1362" i="105"/>
  <c r="AI1361" i="105"/>
  <c r="AH1361" i="105"/>
  <c r="AG1361" i="105"/>
  <c r="X1361" i="105"/>
  <c r="W1361" i="105"/>
  <c r="R1361" i="105"/>
  <c r="Q1361" i="105"/>
  <c r="N1361" i="105"/>
  <c r="M1361" i="105"/>
  <c r="L1361" i="105"/>
  <c r="K1361" i="105"/>
  <c r="AI1360" i="105"/>
  <c r="AH1360" i="105"/>
  <c r="AG1360" i="105"/>
  <c r="X1360" i="105"/>
  <c r="W1360" i="105"/>
  <c r="R1360" i="105"/>
  <c r="Q1360" i="105"/>
  <c r="N1360" i="105"/>
  <c r="M1360" i="105"/>
  <c r="L1360" i="105"/>
  <c r="K1360" i="105"/>
  <c r="AI1359" i="105"/>
  <c r="AH1359" i="105"/>
  <c r="AG1359" i="105"/>
  <c r="X1359" i="105"/>
  <c r="W1359" i="105"/>
  <c r="R1359" i="105"/>
  <c r="Q1359" i="105"/>
  <c r="N1359" i="105"/>
  <c r="M1359" i="105"/>
  <c r="L1359" i="105"/>
  <c r="K1359" i="105"/>
  <c r="AI1358" i="105"/>
  <c r="AH1358" i="105"/>
  <c r="AG1358" i="105"/>
  <c r="X1358" i="105"/>
  <c r="W1358" i="105"/>
  <c r="R1358" i="105"/>
  <c r="Q1358" i="105"/>
  <c r="N1358" i="105"/>
  <c r="M1358" i="105"/>
  <c r="L1358" i="105"/>
  <c r="K1358" i="105"/>
  <c r="AI1357" i="105"/>
  <c r="AH1357" i="105"/>
  <c r="AG1357" i="105"/>
  <c r="X1357" i="105"/>
  <c r="W1357" i="105"/>
  <c r="R1357" i="105"/>
  <c r="Q1357" i="105"/>
  <c r="N1357" i="105"/>
  <c r="M1357" i="105"/>
  <c r="L1357" i="105"/>
  <c r="K1357" i="105"/>
  <c r="AI1356" i="105"/>
  <c r="AH1356" i="105"/>
  <c r="AG1356" i="105"/>
  <c r="X1356" i="105"/>
  <c r="W1356" i="105"/>
  <c r="Q1356" i="105"/>
  <c r="R1356" i="105" s="1"/>
  <c r="L1356" i="105"/>
  <c r="N1356" i="105" s="1"/>
  <c r="I1356" i="105" s="1"/>
  <c r="K1356" i="105"/>
  <c r="M1356" i="105" s="1"/>
  <c r="A1356" i="105"/>
  <c r="A1357" i="105" s="1"/>
  <c r="A1358" i="105" s="1"/>
  <c r="A1359" i="105" s="1"/>
  <c r="A1360" i="105" s="1"/>
  <c r="A1361" i="105" s="1"/>
  <c r="AI1355" i="105"/>
  <c r="X1355" i="105"/>
  <c r="X1354" i="105" s="1"/>
  <c r="W1355" i="105"/>
  <c r="R1355" i="105"/>
  <c r="R1354" i="105" s="1"/>
  <c r="Q1355" i="105"/>
  <c r="L1355" i="105"/>
  <c r="N1355" i="105" s="1"/>
  <c r="K1355" i="105"/>
  <c r="M1355" i="105" s="1"/>
  <c r="M1354" i="105" s="1"/>
  <c r="A1355" i="105"/>
  <c r="AH1354" i="105"/>
  <c r="AF1354" i="105"/>
  <c r="U1354" i="105"/>
  <c r="P1354" i="105"/>
  <c r="H1354" i="105"/>
  <c r="AI1353" i="105"/>
  <c r="AH1353" i="105"/>
  <c r="AG1353" i="105"/>
  <c r="X1353" i="105"/>
  <c r="W1353" i="105"/>
  <c r="R1353" i="105"/>
  <c r="Q1353" i="105"/>
  <c r="N1353" i="105"/>
  <c r="M1353" i="105"/>
  <c r="L1353" i="105"/>
  <c r="K1353" i="105"/>
  <c r="AI1352" i="105"/>
  <c r="AH1352" i="105"/>
  <c r="AG1352" i="105"/>
  <c r="X1352" i="105"/>
  <c r="W1352" i="105"/>
  <c r="R1352" i="105"/>
  <c r="Q1352" i="105"/>
  <c r="N1352" i="105"/>
  <c r="M1352" i="105"/>
  <c r="L1352" i="105"/>
  <c r="K1352" i="105"/>
  <c r="AI1351" i="105"/>
  <c r="AH1351" i="105"/>
  <c r="AG1351" i="105"/>
  <c r="X1351" i="105"/>
  <c r="W1351" i="105"/>
  <c r="R1351" i="105"/>
  <c r="Q1351" i="105"/>
  <c r="N1351" i="105"/>
  <c r="M1351" i="105"/>
  <c r="L1351" i="105"/>
  <c r="K1351" i="105"/>
  <c r="AI1350" i="105"/>
  <c r="AH1350" i="105"/>
  <c r="AG1350" i="105"/>
  <c r="X1350" i="105"/>
  <c r="W1350" i="105"/>
  <c r="R1350" i="105"/>
  <c r="Q1350" i="105"/>
  <c r="N1350" i="105"/>
  <c r="M1350" i="105"/>
  <c r="L1350" i="105"/>
  <c r="K1350" i="105"/>
  <c r="AI1349" i="105"/>
  <c r="AH1349" i="105"/>
  <c r="AG1349" i="105"/>
  <c r="X1349" i="105"/>
  <c r="W1349" i="105"/>
  <c r="R1349" i="105"/>
  <c r="Q1349" i="105"/>
  <c r="N1349" i="105"/>
  <c r="M1349" i="105"/>
  <c r="L1349" i="105"/>
  <c r="K1349" i="105"/>
  <c r="AI1348" i="105"/>
  <c r="AH1348" i="105"/>
  <c r="AG1348" i="105"/>
  <c r="X1348" i="105"/>
  <c r="W1348" i="105"/>
  <c r="R1348" i="105"/>
  <c r="Q1348" i="105"/>
  <c r="N1348" i="105"/>
  <c r="M1348" i="105"/>
  <c r="L1348" i="105"/>
  <c r="K1348" i="105"/>
  <c r="AI1347" i="105"/>
  <c r="AH1347" i="105"/>
  <c r="AG1347" i="105"/>
  <c r="X1347" i="105"/>
  <c r="W1347" i="105"/>
  <c r="R1347" i="105"/>
  <c r="Q1347" i="105"/>
  <c r="N1347" i="105"/>
  <c r="M1347" i="105"/>
  <c r="L1347" i="105"/>
  <c r="K1347" i="105"/>
  <c r="AI1346" i="105"/>
  <c r="AH1346" i="105"/>
  <c r="AH1344" i="105" s="1"/>
  <c r="AG1346" i="105"/>
  <c r="X1346" i="105"/>
  <c r="W1346" i="105"/>
  <c r="R1346" i="105"/>
  <c r="Q1346" i="105"/>
  <c r="L1346" i="105"/>
  <c r="N1346" i="105" s="1"/>
  <c r="I1346" i="105" s="1"/>
  <c r="K1346" i="105"/>
  <c r="M1346" i="105" s="1"/>
  <c r="AI1345" i="105"/>
  <c r="W1345" i="105"/>
  <c r="X1345" i="105" s="1"/>
  <c r="X1344" i="105" s="1"/>
  <c r="Q1345" i="105"/>
  <c r="R1345" i="105" s="1"/>
  <c r="R1344" i="105" s="1"/>
  <c r="L1345" i="105"/>
  <c r="K1345" i="105"/>
  <c r="H1345" i="105"/>
  <c r="M1345" i="105" s="1"/>
  <c r="M1344" i="105" s="1"/>
  <c r="A1345" i="105"/>
  <c r="A1346" i="105" s="1"/>
  <c r="A1347" i="105" s="1"/>
  <c r="A1348" i="105" s="1"/>
  <c r="A1349" i="105" s="1"/>
  <c r="A1350" i="105" s="1"/>
  <c r="A1351" i="105" s="1"/>
  <c r="A1352" i="105" s="1"/>
  <c r="A1353" i="105" s="1"/>
  <c r="AF1344" i="105"/>
  <c r="U1344" i="105"/>
  <c r="P1344" i="105"/>
  <c r="H1344" i="105"/>
  <c r="AI1343" i="105"/>
  <c r="AH1343" i="105"/>
  <c r="AG1343" i="105"/>
  <c r="X1343" i="105"/>
  <c r="W1343" i="105"/>
  <c r="R1343" i="105"/>
  <c r="Q1343" i="105"/>
  <c r="N1343" i="105"/>
  <c r="M1343" i="105"/>
  <c r="L1343" i="105"/>
  <c r="K1343" i="105"/>
  <c r="AI1342" i="105"/>
  <c r="AH1342" i="105"/>
  <c r="AG1342" i="105"/>
  <c r="X1342" i="105"/>
  <c r="W1342" i="105"/>
  <c r="R1342" i="105"/>
  <c r="Q1342" i="105"/>
  <c r="N1342" i="105"/>
  <c r="M1342" i="105"/>
  <c r="L1342" i="105"/>
  <c r="K1342" i="105"/>
  <c r="AI1341" i="105"/>
  <c r="AH1341" i="105"/>
  <c r="AG1341" i="105"/>
  <c r="X1341" i="105"/>
  <c r="W1341" i="105"/>
  <c r="R1341" i="105"/>
  <c r="Q1341" i="105"/>
  <c r="N1341" i="105"/>
  <c r="M1341" i="105"/>
  <c r="L1341" i="105"/>
  <c r="K1341" i="105"/>
  <c r="AI1340" i="105"/>
  <c r="AH1340" i="105"/>
  <c r="AG1340" i="105"/>
  <c r="X1340" i="105"/>
  <c r="W1340" i="105"/>
  <c r="R1340" i="105"/>
  <c r="Q1340" i="105"/>
  <c r="N1340" i="105"/>
  <c r="M1340" i="105"/>
  <c r="L1340" i="105"/>
  <c r="K1340" i="105"/>
  <c r="AI1339" i="105"/>
  <c r="AH1339" i="105"/>
  <c r="AG1339" i="105"/>
  <c r="X1339" i="105"/>
  <c r="W1339" i="105"/>
  <c r="R1339" i="105"/>
  <c r="Q1339" i="105"/>
  <c r="N1339" i="105"/>
  <c r="M1339" i="105"/>
  <c r="L1339" i="105"/>
  <c r="K1339" i="105"/>
  <c r="AI1338" i="105"/>
  <c r="AH1338" i="105"/>
  <c r="AG1338" i="105"/>
  <c r="X1338" i="105"/>
  <c r="W1338" i="105"/>
  <c r="R1338" i="105"/>
  <c r="Q1338" i="105"/>
  <c r="N1338" i="105"/>
  <c r="M1338" i="105"/>
  <c r="L1338" i="105"/>
  <c r="K1338" i="105"/>
  <c r="AI1337" i="105"/>
  <c r="AH1337" i="105"/>
  <c r="AG1337" i="105"/>
  <c r="X1337" i="105"/>
  <c r="Q1337" i="105"/>
  <c r="R1337" i="105" s="1"/>
  <c r="N1337" i="105"/>
  <c r="M1337" i="105"/>
  <c r="L1337" i="105"/>
  <c r="K1337" i="105"/>
  <c r="AI1336" i="105"/>
  <c r="AH1336" i="105"/>
  <c r="AG1336" i="105"/>
  <c r="W1336" i="105"/>
  <c r="X1336" i="105" s="1"/>
  <c r="X1335" i="105" s="1"/>
  <c r="Q1336" i="105"/>
  <c r="R1336" i="105" s="1"/>
  <c r="R1335" i="105" s="1"/>
  <c r="L1336" i="105"/>
  <c r="N1336" i="105" s="1"/>
  <c r="K1336" i="105"/>
  <c r="M1336" i="105" s="1"/>
  <c r="M1335" i="105" s="1"/>
  <c r="A1336" i="105"/>
  <c r="A1337" i="105" s="1"/>
  <c r="A1338" i="105" s="1"/>
  <c r="A1339" i="105" s="1"/>
  <c r="A1340" i="105" s="1"/>
  <c r="A1341" i="105" s="1"/>
  <c r="A1342" i="105" s="1"/>
  <c r="A1343" i="105" s="1"/>
  <c r="AH1335" i="105"/>
  <c r="AF1335" i="105"/>
  <c r="U1335" i="105"/>
  <c r="P1335" i="105"/>
  <c r="H1335" i="105"/>
  <c r="AI1334" i="105"/>
  <c r="AH1334" i="105"/>
  <c r="AG1334" i="105"/>
  <c r="X1334" i="105"/>
  <c r="W1334" i="105"/>
  <c r="R1334" i="105"/>
  <c r="Q1334" i="105"/>
  <c r="N1334" i="105"/>
  <c r="M1334" i="105"/>
  <c r="L1334" i="105"/>
  <c r="K1334" i="105"/>
  <c r="AI1333" i="105"/>
  <c r="AH1333" i="105"/>
  <c r="AG1333" i="105"/>
  <c r="X1333" i="105"/>
  <c r="W1333" i="105"/>
  <c r="R1333" i="105"/>
  <c r="Q1333" i="105"/>
  <c r="N1333" i="105"/>
  <c r="M1333" i="105"/>
  <c r="L1333" i="105"/>
  <c r="K1333" i="105"/>
  <c r="AI1332" i="105"/>
  <c r="AH1332" i="105"/>
  <c r="AG1332" i="105"/>
  <c r="X1332" i="105"/>
  <c r="W1332" i="105"/>
  <c r="R1332" i="105"/>
  <c r="Q1332" i="105"/>
  <c r="N1332" i="105"/>
  <c r="M1332" i="105"/>
  <c r="L1332" i="105"/>
  <c r="K1332" i="105"/>
  <c r="AI1331" i="105"/>
  <c r="AH1331" i="105"/>
  <c r="AG1331" i="105"/>
  <c r="X1331" i="105"/>
  <c r="R1331" i="105"/>
  <c r="Q1331" i="105"/>
  <c r="N1331" i="105"/>
  <c r="M1331" i="105"/>
  <c r="L1331" i="105"/>
  <c r="K1331" i="105"/>
  <c r="AI1330" i="105"/>
  <c r="AH1330" i="105"/>
  <c r="AG1330" i="105"/>
  <c r="X1330" i="105"/>
  <c r="R1330" i="105"/>
  <c r="Q1330" i="105"/>
  <c r="N1330" i="105"/>
  <c r="M1330" i="105"/>
  <c r="L1330" i="105"/>
  <c r="K1330" i="105"/>
  <c r="AI1329" i="105"/>
  <c r="AH1329" i="105"/>
  <c r="AG1329" i="105"/>
  <c r="X1329" i="105"/>
  <c r="R1329" i="105"/>
  <c r="Q1329" i="105"/>
  <c r="N1329" i="105"/>
  <c r="M1329" i="105"/>
  <c r="L1329" i="105"/>
  <c r="K1329" i="105"/>
  <c r="AI1328" i="105"/>
  <c r="AH1328" i="105"/>
  <c r="AG1328" i="105"/>
  <c r="X1328" i="105"/>
  <c r="R1328" i="105"/>
  <c r="Q1328" i="105"/>
  <c r="N1328" i="105"/>
  <c r="M1328" i="105"/>
  <c r="L1328" i="105"/>
  <c r="K1328" i="105"/>
  <c r="AI1327" i="105"/>
  <c r="AH1327" i="105"/>
  <c r="AG1327" i="105"/>
  <c r="X1327" i="105"/>
  <c r="R1327" i="105"/>
  <c r="Q1327" i="105"/>
  <c r="N1327" i="105"/>
  <c r="M1327" i="105"/>
  <c r="L1327" i="105"/>
  <c r="K1327" i="105"/>
  <c r="AI1326" i="105"/>
  <c r="AH1326" i="105"/>
  <c r="AG1326" i="105"/>
  <c r="X1326" i="105"/>
  <c r="R1326" i="105"/>
  <c r="Q1326" i="105"/>
  <c r="N1326" i="105"/>
  <c r="M1326" i="105"/>
  <c r="L1326" i="105"/>
  <c r="K1326" i="105"/>
  <c r="AI1325" i="105"/>
  <c r="AH1325" i="105"/>
  <c r="AG1325" i="105"/>
  <c r="U1325" i="105"/>
  <c r="X1325" i="105" s="1"/>
  <c r="R1325" i="105"/>
  <c r="Q1325" i="105"/>
  <c r="N1325" i="105"/>
  <c r="M1325" i="105"/>
  <c r="L1325" i="105"/>
  <c r="K1325" i="105"/>
  <c r="AI1324" i="105"/>
  <c r="AH1324" i="105"/>
  <c r="AG1324" i="105"/>
  <c r="X1324" i="105"/>
  <c r="R1324" i="105"/>
  <c r="Q1324" i="105"/>
  <c r="N1324" i="105"/>
  <c r="M1324" i="105"/>
  <c r="L1324" i="105"/>
  <c r="K1324" i="105"/>
  <c r="AI1323" i="105"/>
  <c r="AH1323" i="105"/>
  <c r="AG1323" i="105"/>
  <c r="X1323" i="105"/>
  <c r="U1323" i="105"/>
  <c r="R1323" i="105"/>
  <c r="Q1323" i="105"/>
  <c r="N1323" i="105"/>
  <c r="M1323" i="105"/>
  <c r="L1323" i="105"/>
  <c r="K1323" i="105"/>
  <c r="AI1322" i="105"/>
  <c r="AH1322" i="105"/>
  <c r="AG1322" i="105"/>
  <c r="X1322" i="105"/>
  <c r="U1322" i="105"/>
  <c r="R1322" i="105"/>
  <c r="Q1322" i="105"/>
  <c r="N1322" i="105"/>
  <c r="M1322" i="105"/>
  <c r="L1322" i="105"/>
  <c r="K1322" i="105"/>
  <c r="AI1321" i="105"/>
  <c r="AH1321" i="105"/>
  <c r="AG1321" i="105"/>
  <c r="X1321" i="105"/>
  <c r="Q1321" i="105"/>
  <c r="R1321" i="105" s="1"/>
  <c r="N1321" i="105"/>
  <c r="M1321" i="105"/>
  <c r="L1321" i="105"/>
  <c r="K1321" i="105"/>
  <c r="AI1320" i="105"/>
  <c r="AH1320" i="105"/>
  <c r="AG1320" i="105"/>
  <c r="U1320" i="105"/>
  <c r="X1320" i="105" s="1"/>
  <c r="X1312" i="105" s="1"/>
  <c r="Q1320" i="105"/>
  <c r="R1320" i="105" s="1"/>
  <c r="N1320" i="105"/>
  <c r="M1320" i="105"/>
  <c r="L1320" i="105"/>
  <c r="K1320" i="105"/>
  <c r="AI1319" i="105"/>
  <c r="AH1319" i="105"/>
  <c r="AG1319" i="105"/>
  <c r="X1319" i="105"/>
  <c r="R1319" i="105"/>
  <c r="Q1319" i="105"/>
  <c r="N1319" i="105"/>
  <c r="M1319" i="105"/>
  <c r="L1319" i="105"/>
  <c r="K1319" i="105"/>
  <c r="AI1318" i="105"/>
  <c r="AH1318" i="105"/>
  <c r="AG1318" i="105"/>
  <c r="X1318" i="105"/>
  <c r="Q1318" i="105"/>
  <c r="R1318" i="105" s="1"/>
  <c r="N1318" i="105"/>
  <c r="M1318" i="105"/>
  <c r="L1318" i="105"/>
  <c r="K1318" i="105"/>
  <c r="AI1317" i="105"/>
  <c r="AH1317" i="105"/>
  <c r="AG1317" i="105"/>
  <c r="X1317" i="105"/>
  <c r="R1317" i="105"/>
  <c r="Q1317" i="105"/>
  <c r="N1317" i="105"/>
  <c r="M1317" i="105"/>
  <c r="L1317" i="105"/>
  <c r="K1317" i="105"/>
  <c r="AI1316" i="105"/>
  <c r="AH1316" i="105"/>
  <c r="AG1316" i="105"/>
  <c r="X1316" i="105"/>
  <c r="Q1316" i="105"/>
  <c r="R1316" i="105" s="1"/>
  <c r="N1316" i="105"/>
  <c r="M1316" i="105"/>
  <c r="L1316" i="105"/>
  <c r="K1316" i="105"/>
  <c r="AI1315" i="105"/>
  <c r="AH1315" i="105"/>
  <c r="AG1315" i="105"/>
  <c r="X1315" i="105"/>
  <c r="R1315" i="105"/>
  <c r="Q1315" i="105"/>
  <c r="N1315" i="105"/>
  <c r="M1315" i="105"/>
  <c r="L1315" i="105"/>
  <c r="K1315" i="105"/>
  <c r="AI1314" i="105"/>
  <c r="AH1314" i="105"/>
  <c r="AG1314" i="105"/>
  <c r="X1314" i="105"/>
  <c r="Q1314" i="105"/>
  <c r="R1314" i="105" s="1"/>
  <c r="R1312" i="105" s="1"/>
  <c r="L1314" i="105"/>
  <c r="K1314" i="105"/>
  <c r="H1314" i="105"/>
  <c r="M1314" i="105" s="1"/>
  <c r="AI1313" i="105"/>
  <c r="AH1313" i="105"/>
  <c r="AG1313" i="105"/>
  <c r="X1313" i="105"/>
  <c r="R1313" i="105"/>
  <c r="Q1313" i="105"/>
  <c r="L1313" i="105"/>
  <c r="K1313" i="105"/>
  <c r="A1313" i="105"/>
  <c r="A1314" i="105" s="1"/>
  <c r="A1315" i="105" s="1"/>
  <c r="A1316" i="105" s="1"/>
  <c r="A1317" i="105" s="1"/>
  <c r="A1318" i="105" s="1"/>
  <c r="A1319" i="105" s="1"/>
  <c r="A1320" i="105" s="1"/>
  <c r="A1321" i="105" s="1"/>
  <c r="A1322" i="105" s="1"/>
  <c r="A1323" i="105" s="1"/>
  <c r="A1324" i="105" s="1"/>
  <c r="A1325" i="105" s="1"/>
  <c r="A1326" i="105" s="1"/>
  <c r="A1327" i="105" s="1"/>
  <c r="A1328" i="105" s="1"/>
  <c r="A1329" i="105" s="1"/>
  <c r="A1330" i="105" s="1"/>
  <c r="A1331" i="105" s="1"/>
  <c r="A1332" i="105" s="1"/>
  <c r="A1333" i="105" s="1"/>
  <c r="A1334" i="105" s="1"/>
  <c r="AH1312" i="105"/>
  <c r="AF1312" i="105"/>
  <c r="P1312" i="105"/>
  <c r="AI1311" i="105"/>
  <c r="AH1311" i="105"/>
  <c r="AG1311" i="105"/>
  <c r="X1311" i="105"/>
  <c r="W1311" i="105"/>
  <c r="R1311" i="105"/>
  <c r="Q1311" i="105"/>
  <c r="N1311" i="105"/>
  <c r="M1311" i="105"/>
  <c r="L1311" i="105"/>
  <c r="K1311" i="105"/>
  <c r="AI1310" i="105"/>
  <c r="AH1310" i="105"/>
  <c r="AG1310" i="105"/>
  <c r="X1310" i="105"/>
  <c r="W1310" i="105"/>
  <c r="R1310" i="105"/>
  <c r="Q1310" i="105"/>
  <c r="N1310" i="105"/>
  <c r="M1310" i="105"/>
  <c r="L1310" i="105"/>
  <c r="K1310" i="105"/>
  <c r="AI1309" i="105"/>
  <c r="AH1309" i="105"/>
  <c r="AG1309" i="105"/>
  <c r="X1309" i="105"/>
  <c r="W1309" i="105"/>
  <c r="R1309" i="105"/>
  <c r="Q1309" i="105"/>
  <c r="N1309" i="105"/>
  <c r="M1309" i="105"/>
  <c r="L1309" i="105"/>
  <c r="K1309" i="105"/>
  <c r="AI1308" i="105"/>
  <c r="AH1308" i="105"/>
  <c r="AG1308" i="105"/>
  <c r="X1308" i="105"/>
  <c r="W1308" i="105"/>
  <c r="R1308" i="105"/>
  <c r="Q1308" i="105"/>
  <c r="N1308" i="105"/>
  <c r="M1308" i="105"/>
  <c r="L1308" i="105"/>
  <c r="K1308" i="105"/>
  <c r="AI1307" i="105"/>
  <c r="AH1307" i="105"/>
  <c r="AG1307" i="105"/>
  <c r="X1307" i="105"/>
  <c r="W1307" i="105"/>
  <c r="R1307" i="105"/>
  <c r="Q1307" i="105"/>
  <c r="N1307" i="105"/>
  <c r="M1307" i="105"/>
  <c r="L1307" i="105"/>
  <c r="K1307" i="105"/>
  <c r="AI1306" i="105"/>
  <c r="AH1306" i="105"/>
  <c r="AG1306" i="105"/>
  <c r="X1306" i="105"/>
  <c r="W1306" i="105"/>
  <c r="R1306" i="105"/>
  <c r="Q1306" i="105"/>
  <c r="N1306" i="105"/>
  <c r="M1306" i="105"/>
  <c r="L1306" i="105"/>
  <c r="K1306" i="105"/>
  <c r="AI1305" i="105"/>
  <c r="AH1305" i="105"/>
  <c r="AG1305" i="105"/>
  <c r="X1305" i="105"/>
  <c r="W1305" i="105"/>
  <c r="R1305" i="105"/>
  <c r="Q1305" i="105"/>
  <c r="N1305" i="105"/>
  <c r="M1305" i="105"/>
  <c r="L1305" i="105"/>
  <c r="K1305" i="105"/>
  <c r="AI1304" i="105"/>
  <c r="AH1304" i="105"/>
  <c r="AG1304" i="105"/>
  <c r="X1304" i="105"/>
  <c r="W1304" i="105"/>
  <c r="R1304" i="105"/>
  <c r="Q1304" i="105"/>
  <c r="N1304" i="105"/>
  <c r="M1304" i="105"/>
  <c r="L1304" i="105"/>
  <c r="K1304" i="105"/>
  <c r="A1304" i="105"/>
  <c r="A1305" i="105" s="1"/>
  <c r="A1306" i="105" s="1"/>
  <c r="A1307" i="105" s="1"/>
  <c r="A1308" i="105" s="1"/>
  <c r="A1309" i="105" s="1"/>
  <c r="A1310" i="105" s="1"/>
  <c r="A1311" i="105" s="1"/>
  <c r="AH1303" i="105"/>
  <c r="AF1303" i="105"/>
  <c r="X1303" i="105"/>
  <c r="U1303" i="105"/>
  <c r="R1303" i="105"/>
  <c r="P1303" i="105"/>
  <c r="N1303" i="105"/>
  <c r="M1303" i="105"/>
  <c r="AI1303" i="105" s="1"/>
  <c r="I1303" i="105"/>
  <c r="H1303" i="105"/>
  <c r="AI1302" i="105"/>
  <c r="AH1302" i="105"/>
  <c r="AG1302" i="105"/>
  <c r="X1302" i="105"/>
  <c r="W1302" i="105"/>
  <c r="R1302" i="105"/>
  <c r="Q1302" i="105"/>
  <c r="N1302" i="105"/>
  <c r="M1302" i="105"/>
  <c r="L1302" i="105"/>
  <c r="K1302" i="105"/>
  <c r="AI1301" i="105"/>
  <c r="AH1301" i="105"/>
  <c r="AG1301" i="105"/>
  <c r="X1301" i="105"/>
  <c r="W1301" i="105"/>
  <c r="R1301" i="105"/>
  <c r="Q1301" i="105"/>
  <c r="N1301" i="105"/>
  <c r="M1301" i="105"/>
  <c r="L1301" i="105"/>
  <c r="K1301" i="105"/>
  <c r="AI1300" i="105"/>
  <c r="AH1300" i="105"/>
  <c r="AG1300" i="105"/>
  <c r="X1300" i="105"/>
  <c r="W1300" i="105"/>
  <c r="R1300" i="105"/>
  <c r="Q1300" i="105"/>
  <c r="N1300" i="105"/>
  <c r="M1300" i="105"/>
  <c r="L1300" i="105"/>
  <c r="K1300" i="105"/>
  <c r="AI1299" i="105"/>
  <c r="AH1299" i="105"/>
  <c r="AG1299" i="105"/>
  <c r="W1299" i="105"/>
  <c r="X1299" i="105" s="1"/>
  <c r="R1299" i="105"/>
  <c r="Q1299" i="105"/>
  <c r="N1299" i="105"/>
  <c r="M1299" i="105"/>
  <c r="L1299" i="105"/>
  <c r="K1299" i="105"/>
  <c r="AI1298" i="105"/>
  <c r="AH1298" i="105"/>
  <c r="AG1298" i="105"/>
  <c r="W1298" i="105"/>
  <c r="X1298" i="105" s="1"/>
  <c r="R1298" i="105"/>
  <c r="Q1298" i="105"/>
  <c r="N1298" i="105"/>
  <c r="M1298" i="105"/>
  <c r="L1298" i="105"/>
  <c r="K1298" i="105"/>
  <c r="AI1297" i="105"/>
  <c r="AH1297" i="105"/>
  <c r="AG1297" i="105"/>
  <c r="W1297" i="105"/>
  <c r="X1297" i="105" s="1"/>
  <c r="X1296" i="105" s="1"/>
  <c r="R1297" i="105"/>
  <c r="Q1297" i="105"/>
  <c r="N1297" i="105"/>
  <c r="M1297" i="105"/>
  <c r="L1297" i="105"/>
  <c r="K1297" i="105"/>
  <c r="A1297" i="105"/>
  <c r="A1298" i="105" s="1"/>
  <c r="A1299" i="105" s="1"/>
  <c r="A1300" i="105" s="1"/>
  <c r="A1301" i="105" s="1"/>
  <c r="A1302" i="105" s="1"/>
  <c r="AH1296" i="105"/>
  <c r="AF1296" i="105"/>
  <c r="U1296" i="105"/>
  <c r="R1296" i="105"/>
  <c r="P1296" i="105"/>
  <c r="N1296" i="105"/>
  <c r="M1296" i="105"/>
  <c r="AI1296" i="105" s="1"/>
  <c r="I1296" i="105"/>
  <c r="H1296" i="105"/>
  <c r="AI1295" i="105"/>
  <c r="AH1295" i="105"/>
  <c r="AG1295" i="105"/>
  <c r="X1295" i="105"/>
  <c r="W1295" i="105"/>
  <c r="R1295" i="105"/>
  <c r="Q1295" i="105"/>
  <c r="N1295" i="105"/>
  <c r="M1295" i="105"/>
  <c r="L1295" i="105"/>
  <c r="K1295" i="105"/>
  <c r="AI1294" i="105"/>
  <c r="AH1294" i="105"/>
  <c r="AG1294" i="105"/>
  <c r="X1294" i="105"/>
  <c r="W1294" i="105"/>
  <c r="R1294" i="105"/>
  <c r="Q1294" i="105"/>
  <c r="N1294" i="105"/>
  <c r="M1294" i="105"/>
  <c r="L1294" i="105"/>
  <c r="K1294" i="105"/>
  <c r="AI1293" i="105"/>
  <c r="AH1293" i="105"/>
  <c r="AG1293" i="105"/>
  <c r="X1293" i="105"/>
  <c r="W1293" i="105"/>
  <c r="R1293" i="105"/>
  <c r="Q1293" i="105"/>
  <c r="N1293" i="105"/>
  <c r="M1293" i="105"/>
  <c r="L1293" i="105"/>
  <c r="K1293" i="105"/>
  <c r="AI1292" i="105"/>
  <c r="AH1292" i="105"/>
  <c r="AG1292" i="105"/>
  <c r="X1292" i="105"/>
  <c r="W1292" i="105"/>
  <c r="R1292" i="105"/>
  <c r="Q1292" i="105"/>
  <c r="N1292" i="105"/>
  <c r="M1292" i="105"/>
  <c r="L1292" i="105"/>
  <c r="K1292" i="105"/>
  <c r="AI1291" i="105"/>
  <c r="AH1291" i="105"/>
  <c r="AG1291" i="105"/>
  <c r="X1291" i="105"/>
  <c r="W1291" i="105"/>
  <c r="R1291" i="105"/>
  <c r="Q1291" i="105"/>
  <c r="N1291" i="105"/>
  <c r="M1291" i="105"/>
  <c r="L1291" i="105"/>
  <c r="K1291" i="105"/>
  <c r="AI1290" i="105"/>
  <c r="AH1290" i="105"/>
  <c r="AG1290" i="105"/>
  <c r="X1290" i="105"/>
  <c r="W1290" i="105"/>
  <c r="R1290" i="105"/>
  <c r="Q1290" i="105"/>
  <c r="N1290" i="105"/>
  <c r="M1290" i="105"/>
  <c r="L1290" i="105"/>
  <c r="K1290" i="105"/>
  <c r="AI1289" i="105"/>
  <c r="AH1289" i="105"/>
  <c r="AG1289" i="105"/>
  <c r="X1289" i="105"/>
  <c r="W1289" i="105"/>
  <c r="R1289" i="105"/>
  <c r="Q1289" i="105"/>
  <c r="N1289" i="105"/>
  <c r="M1289" i="105"/>
  <c r="L1289" i="105"/>
  <c r="K1289" i="105"/>
  <c r="AI1288" i="105"/>
  <c r="AH1288" i="105"/>
  <c r="AG1288" i="105"/>
  <c r="X1288" i="105"/>
  <c r="W1288" i="105"/>
  <c r="R1288" i="105"/>
  <c r="Q1288" i="105"/>
  <c r="N1288" i="105"/>
  <c r="M1288" i="105"/>
  <c r="L1288" i="105"/>
  <c r="K1288" i="105"/>
  <c r="AI1287" i="105"/>
  <c r="AH1287" i="105"/>
  <c r="AG1287" i="105"/>
  <c r="X1287" i="105"/>
  <c r="W1287" i="105"/>
  <c r="R1287" i="105"/>
  <c r="Q1287" i="105"/>
  <c r="N1287" i="105"/>
  <c r="M1287" i="105"/>
  <c r="L1287" i="105"/>
  <c r="K1287" i="105"/>
  <c r="AI1286" i="105"/>
  <c r="AH1286" i="105"/>
  <c r="AG1286" i="105"/>
  <c r="X1286" i="105"/>
  <c r="W1286" i="105"/>
  <c r="R1286" i="105"/>
  <c r="Q1286" i="105"/>
  <c r="N1286" i="105"/>
  <c r="M1286" i="105"/>
  <c r="L1286" i="105"/>
  <c r="K1286" i="105"/>
  <c r="AI1285" i="105"/>
  <c r="AH1285" i="105"/>
  <c r="AG1285" i="105"/>
  <c r="X1285" i="105"/>
  <c r="W1285" i="105"/>
  <c r="R1285" i="105"/>
  <c r="Q1285" i="105"/>
  <c r="N1285" i="105"/>
  <c r="M1285" i="105"/>
  <c r="L1285" i="105"/>
  <c r="K1285" i="105"/>
  <c r="AI1284" i="105"/>
  <c r="AH1284" i="105"/>
  <c r="AG1284" i="105"/>
  <c r="X1284" i="105"/>
  <c r="W1284" i="105"/>
  <c r="R1284" i="105"/>
  <c r="Q1284" i="105"/>
  <c r="N1284" i="105"/>
  <c r="M1284" i="105"/>
  <c r="L1284" i="105"/>
  <c r="K1284" i="105"/>
  <c r="AI1283" i="105"/>
  <c r="AH1283" i="105"/>
  <c r="AG1283" i="105"/>
  <c r="X1283" i="105"/>
  <c r="W1283" i="105"/>
  <c r="R1283" i="105"/>
  <c r="Q1283" i="105"/>
  <c r="N1283" i="105"/>
  <c r="M1283" i="105"/>
  <c r="L1283" i="105"/>
  <c r="K1283" i="105"/>
  <c r="AI1282" i="105"/>
  <c r="AH1282" i="105"/>
  <c r="AG1282" i="105"/>
  <c r="X1282" i="105"/>
  <c r="W1282" i="105"/>
  <c r="R1282" i="105"/>
  <c r="Q1282" i="105"/>
  <c r="N1282" i="105"/>
  <c r="M1282" i="105"/>
  <c r="L1282" i="105"/>
  <c r="K1282" i="105"/>
  <c r="AI1281" i="105"/>
  <c r="AH1281" i="105"/>
  <c r="AG1281" i="105"/>
  <c r="X1281" i="105"/>
  <c r="W1281" i="105"/>
  <c r="R1281" i="105"/>
  <c r="Q1281" i="105"/>
  <c r="N1281" i="105"/>
  <c r="M1281" i="105"/>
  <c r="L1281" i="105"/>
  <c r="K1281" i="105"/>
  <c r="AI1280" i="105"/>
  <c r="AH1280" i="105"/>
  <c r="AG1280" i="105"/>
  <c r="X1280" i="105"/>
  <c r="W1280" i="105"/>
  <c r="R1280" i="105"/>
  <c r="Q1280" i="105"/>
  <c r="N1280" i="105"/>
  <c r="M1280" i="105"/>
  <c r="L1280" i="105"/>
  <c r="K1280" i="105"/>
  <c r="AI1279" i="105"/>
  <c r="AH1279" i="105"/>
  <c r="AG1279" i="105"/>
  <c r="X1279" i="105"/>
  <c r="W1279" i="105"/>
  <c r="R1279" i="105"/>
  <c r="Q1279" i="105"/>
  <c r="N1279" i="105"/>
  <c r="M1279" i="105"/>
  <c r="L1279" i="105"/>
  <c r="K1279" i="105"/>
  <c r="AI1278" i="105"/>
  <c r="AH1278" i="105"/>
  <c r="AG1278" i="105"/>
  <c r="X1278" i="105"/>
  <c r="W1278" i="105"/>
  <c r="R1278" i="105"/>
  <c r="Q1278" i="105"/>
  <c r="N1278" i="105"/>
  <c r="M1278" i="105"/>
  <c r="L1278" i="105"/>
  <c r="K1278" i="105"/>
  <c r="AI1277" i="105"/>
  <c r="AH1277" i="105"/>
  <c r="AG1277" i="105"/>
  <c r="X1277" i="105"/>
  <c r="W1277" i="105"/>
  <c r="R1277" i="105"/>
  <c r="Q1277" i="105"/>
  <c r="N1277" i="105"/>
  <c r="M1277" i="105"/>
  <c r="L1277" i="105"/>
  <c r="K1277" i="105"/>
  <c r="AI1276" i="105"/>
  <c r="AH1276" i="105"/>
  <c r="AG1276" i="105"/>
  <c r="X1276" i="105"/>
  <c r="W1276" i="105"/>
  <c r="R1276" i="105"/>
  <c r="Q1276" i="105"/>
  <c r="N1276" i="105"/>
  <c r="M1276" i="105"/>
  <c r="L1276" i="105"/>
  <c r="K1276" i="105"/>
  <c r="AI1275" i="105"/>
  <c r="AH1275" i="105"/>
  <c r="AG1275" i="105"/>
  <c r="X1275" i="105"/>
  <c r="W1275" i="105"/>
  <c r="R1275" i="105"/>
  <c r="Q1275" i="105"/>
  <c r="N1275" i="105"/>
  <c r="M1275" i="105"/>
  <c r="L1275" i="105"/>
  <c r="K1275" i="105"/>
  <c r="A1275" i="105"/>
  <c r="A1276" i="105" s="1"/>
  <c r="A1277" i="105" s="1"/>
  <c r="A1278" i="105" s="1"/>
  <c r="A1279" i="105" s="1"/>
  <c r="A1280" i="105" s="1"/>
  <c r="A1281" i="105" s="1"/>
  <c r="A1282" i="105" s="1"/>
  <c r="A1283" i="105" s="1"/>
  <c r="A1284" i="105" s="1"/>
  <c r="A1285" i="105" s="1"/>
  <c r="A1286" i="105" s="1"/>
  <c r="A1287" i="105" s="1"/>
  <c r="A1288" i="105" s="1"/>
  <c r="A1289" i="105" s="1"/>
  <c r="A1290" i="105" s="1"/>
  <c r="A1291" i="105" s="1"/>
  <c r="A1292" i="105" s="1"/>
  <c r="A1293" i="105" s="1"/>
  <c r="A1294" i="105" s="1"/>
  <c r="A1295" i="105" s="1"/>
  <c r="AH1274" i="105"/>
  <c r="AF1274" i="105"/>
  <c r="X1274" i="105"/>
  <c r="U1274" i="105"/>
  <c r="R1274" i="105"/>
  <c r="P1274" i="105"/>
  <c r="N1274" i="105"/>
  <c r="M1274" i="105"/>
  <c r="AI1274" i="105" s="1"/>
  <c r="I1274" i="105"/>
  <c r="H1274" i="105"/>
  <c r="AI1273" i="105"/>
  <c r="AG1273" i="105"/>
  <c r="X1273" i="105"/>
  <c r="W1273" i="105"/>
  <c r="N1273" i="105"/>
  <c r="M1273" i="105"/>
  <c r="L1273" i="105"/>
  <c r="K1273" i="105"/>
  <c r="AI1272" i="105"/>
  <c r="AG1272" i="105"/>
  <c r="X1272" i="105"/>
  <c r="W1272" i="105"/>
  <c r="N1272" i="105"/>
  <c r="M1272" i="105"/>
  <c r="L1272" i="105"/>
  <c r="K1272" i="105"/>
  <c r="AI1271" i="105"/>
  <c r="AG1271" i="105"/>
  <c r="X1271" i="105"/>
  <c r="W1271" i="105"/>
  <c r="N1271" i="105"/>
  <c r="M1271" i="105"/>
  <c r="L1271" i="105"/>
  <c r="K1271" i="105"/>
  <c r="AI1270" i="105"/>
  <c r="AG1270" i="105"/>
  <c r="X1270" i="105"/>
  <c r="W1270" i="105"/>
  <c r="N1270" i="105"/>
  <c r="M1270" i="105"/>
  <c r="L1270" i="105"/>
  <c r="K1270" i="105"/>
  <c r="AI1269" i="105"/>
  <c r="AG1269" i="105"/>
  <c r="X1269" i="105"/>
  <c r="W1269" i="105"/>
  <c r="N1269" i="105"/>
  <c r="M1269" i="105"/>
  <c r="L1269" i="105"/>
  <c r="K1269" i="105"/>
  <c r="AI1268" i="105"/>
  <c r="AG1268" i="105"/>
  <c r="X1268" i="105"/>
  <c r="W1268" i="105"/>
  <c r="N1268" i="105"/>
  <c r="M1268" i="105"/>
  <c r="L1268" i="105"/>
  <c r="K1268" i="105"/>
  <c r="AI1267" i="105"/>
  <c r="AG1267" i="105"/>
  <c r="X1267" i="105"/>
  <c r="X1266" i="105" s="1"/>
  <c r="W1267" i="105"/>
  <c r="L1267" i="105"/>
  <c r="N1267" i="105" s="1"/>
  <c r="K1267" i="105"/>
  <c r="M1267" i="105" s="1"/>
  <c r="M1266" i="105" s="1"/>
  <c r="A1267" i="105"/>
  <c r="A1268" i="105" s="1"/>
  <c r="A1269" i="105" s="1"/>
  <c r="A1270" i="105" s="1"/>
  <c r="A1271" i="105" s="1"/>
  <c r="A1272" i="105" s="1"/>
  <c r="A1273" i="105" s="1"/>
  <c r="AH1266" i="105"/>
  <c r="AF1266" i="105"/>
  <c r="U1266" i="105"/>
  <c r="R1266" i="105"/>
  <c r="P1266" i="105"/>
  <c r="H1266" i="105"/>
  <c r="AI1265" i="105"/>
  <c r="AG1265" i="105"/>
  <c r="X1265" i="105"/>
  <c r="W1265" i="105"/>
  <c r="N1265" i="105"/>
  <c r="M1265" i="105"/>
  <c r="L1265" i="105"/>
  <c r="K1265" i="105"/>
  <c r="AI1264" i="105"/>
  <c r="AG1264" i="105"/>
  <c r="X1264" i="105"/>
  <c r="W1264" i="105"/>
  <c r="N1264" i="105"/>
  <c r="M1264" i="105"/>
  <c r="L1264" i="105"/>
  <c r="K1264" i="105"/>
  <c r="AI1263" i="105"/>
  <c r="AG1263" i="105"/>
  <c r="X1263" i="105"/>
  <c r="W1263" i="105"/>
  <c r="N1263" i="105"/>
  <c r="M1263" i="105"/>
  <c r="L1263" i="105"/>
  <c r="K1263" i="105"/>
  <c r="AI1262" i="105"/>
  <c r="AG1262" i="105"/>
  <c r="X1262" i="105"/>
  <c r="W1262" i="105"/>
  <c r="N1262" i="105"/>
  <c r="M1262" i="105"/>
  <c r="L1262" i="105"/>
  <c r="K1262" i="105"/>
  <c r="AI1261" i="105"/>
  <c r="AG1261" i="105"/>
  <c r="X1261" i="105"/>
  <c r="W1261" i="105"/>
  <c r="N1261" i="105"/>
  <c r="M1261" i="105"/>
  <c r="L1261" i="105"/>
  <c r="K1261" i="105"/>
  <c r="AI1260" i="105"/>
  <c r="AG1260" i="105"/>
  <c r="X1260" i="105"/>
  <c r="W1260" i="105"/>
  <c r="N1260" i="105"/>
  <c r="M1260" i="105"/>
  <c r="L1260" i="105"/>
  <c r="K1260" i="105"/>
  <c r="AI1259" i="105"/>
  <c r="AG1259" i="105"/>
  <c r="X1259" i="105"/>
  <c r="W1259" i="105"/>
  <c r="N1259" i="105"/>
  <c r="M1259" i="105"/>
  <c r="L1259" i="105"/>
  <c r="K1259" i="105"/>
  <c r="AI1258" i="105"/>
  <c r="AG1258" i="105"/>
  <c r="X1258" i="105"/>
  <c r="X1256" i="105" s="1"/>
  <c r="W1258" i="105"/>
  <c r="N1258" i="105"/>
  <c r="M1258" i="105"/>
  <c r="L1258" i="105"/>
  <c r="K1258" i="105"/>
  <c r="A1258" i="105"/>
  <c r="A1259" i="105" s="1"/>
  <c r="A1260" i="105" s="1"/>
  <c r="A1261" i="105" s="1"/>
  <c r="A1262" i="105" s="1"/>
  <c r="A1263" i="105" s="1"/>
  <c r="A1264" i="105" s="1"/>
  <c r="A1265" i="105" s="1"/>
  <c r="AI1257" i="105"/>
  <c r="AG1257" i="105"/>
  <c r="X1257" i="105"/>
  <c r="W1257" i="105"/>
  <c r="L1257" i="105"/>
  <c r="K1257" i="105"/>
  <c r="H1257" i="105"/>
  <c r="M1257" i="105" s="1"/>
  <c r="M1256" i="105" s="1"/>
  <c r="A1257" i="105"/>
  <c r="AH1256" i="105"/>
  <c r="AF1256" i="105"/>
  <c r="U1256" i="105"/>
  <c r="R1256" i="105"/>
  <c r="P1256" i="105"/>
  <c r="H1256" i="105"/>
  <c r="AI1255" i="105"/>
  <c r="AG1255" i="105"/>
  <c r="X1255" i="105"/>
  <c r="W1255" i="105"/>
  <c r="N1255" i="105"/>
  <c r="M1255" i="105"/>
  <c r="L1255" i="105"/>
  <c r="K1255" i="105"/>
  <c r="AI1254" i="105"/>
  <c r="AG1254" i="105"/>
  <c r="X1254" i="105"/>
  <c r="W1254" i="105"/>
  <c r="N1254" i="105"/>
  <c r="M1254" i="105"/>
  <c r="L1254" i="105"/>
  <c r="K1254" i="105"/>
  <c r="AI1253" i="105"/>
  <c r="AG1253" i="105"/>
  <c r="X1253" i="105"/>
  <c r="W1253" i="105"/>
  <c r="N1253" i="105"/>
  <c r="M1253" i="105"/>
  <c r="L1253" i="105"/>
  <c r="K1253" i="105"/>
  <c r="AI1252" i="105"/>
  <c r="AG1252" i="105"/>
  <c r="X1252" i="105"/>
  <c r="W1252" i="105"/>
  <c r="N1252" i="105"/>
  <c r="M1252" i="105"/>
  <c r="L1252" i="105"/>
  <c r="K1252" i="105"/>
  <c r="AI1251" i="105"/>
  <c r="AH1251" i="105"/>
  <c r="AG1251" i="105"/>
  <c r="X1251" i="105"/>
  <c r="W1251" i="105"/>
  <c r="R1251" i="105"/>
  <c r="Q1251" i="105"/>
  <c r="N1251" i="105"/>
  <c r="M1251" i="105"/>
  <c r="L1251" i="105"/>
  <c r="K1251" i="105"/>
  <c r="AI1250" i="105"/>
  <c r="AH1250" i="105"/>
  <c r="AG1250" i="105"/>
  <c r="X1250" i="105"/>
  <c r="W1250" i="105"/>
  <c r="R1250" i="105"/>
  <c r="Q1250" i="105"/>
  <c r="N1250" i="105"/>
  <c r="M1250" i="105"/>
  <c r="L1250" i="105"/>
  <c r="K1250" i="105"/>
  <c r="AI1249" i="105"/>
  <c r="AH1249" i="105"/>
  <c r="AG1249" i="105"/>
  <c r="X1249" i="105"/>
  <c r="W1249" i="105"/>
  <c r="R1249" i="105"/>
  <c r="Q1249" i="105"/>
  <c r="N1249" i="105"/>
  <c r="M1249" i="105"/>
  <c r="L1249" i="105"/>
  <c r="K1249" i="105"/>
  <c r="AI1248" i="105"/>
  <c r="AH1248" i="105"/>
  <c r="AG1248" i="105"/>
  <c r="X1248" i="105"/>
  <c r="W1248" i="105"/>
  <c r="R1248" i="105"/>
  <c r="Q1248" i="105"/>
  <c r="N1248" i="105"/>
  <c r="M1248" i="105"/>
  <c r="L1248" i="105"/>
  <c r="K1248" i="105"/>
  <c r="AI1247" i="105"/>
  <c r="AH1247" i="105"/>
  <c r="AG1247" i="105"/>
  <c r="X1247" i="105"/>
  <c r="W1247" i="105"/>
  <c r="R1247" i="105"/>
  <c r="Q1247" i="105"/>
  <c r="N1247" i="105"/>
  <c r="M1247" i="105"/>
  <c r="L1247" i="105"/>
  <c r="K1247" i="105"/>
  <c r="AI1246" i="105"/>
  <c r="AH1246" i="105"/>
  <c r="AG1246" i="105"/>
  <c r="X1246" i="105"/>
  <c r="W1246" i="105"/>
  <c r="R1246" i="105"/>
  <c r="Q1246" i="105"/>
  <c r="N1246" i="105"/>
  <c r="M1246" i="105"/>
  <c r="L1246" i="105"/>
  <c r="K1246" i="105"/>
  <c r="AI1245" i="105"/>
  <c r="AH1245" i="105"/>
  <c r="AG1245" i="105"/>
  <c r="X1245" i="105"/>
  <c r="W1245" i="105"/>
  <c r="R1245" i="105"/>
  <c r="Q1245" i="105"/>
  <c r="N1245" i="105"/>
  <c r="M1245" i="105"/>
  <c r="L1245" i="105"/>
  <c r="K1245" i="105"/>
  <c r="AI1244" i="105"/>
  <c r="AH1244" i="105"/>
  <c r="AG1244" i="105"/>
  <c r="X1244" i="105"/>
  <c r="W1244" i="105"/>
  <c r="R1244" i="105"/>
  <c r="Q1244" i="105"/>
  <c r="N1244" i="105"/>
  <c r="M1244" i="105"/>
  <c r="L1244" i="105"/>
  <c r="K1244" i="105"/>
  <c r="AI1243" i="105"/>
  <c r="AH1243" i="105"/>
  <c r="AG1243" i="105"/>
  <c r="X1243" i="105"/>
  <c r="W1243" i="105"/>
  <c r="R1243" i="105"/>
  <c r="Q1243" i="105"/>
  <c r="N1243" i="105"/>
  <c r="M1243" i="105"/>
  <c r="L1243" i="105"/>
  <c r="K1243" i="105"/>
  <c r="AI1242" i="105"/>
  <c r="AH1242" i="105"/>
  <c r="AG1242" i="105"/>
  <c r="X1242" i="105"/>
  <c r="W1242" i="105"/>
  <c r="R1242" i="105"/>
  <c r="Q1242" i="105"/>
  <c r="N1242" i="105"/>
  <c r="M1242" i="105"/>
  <c r="L1242" i="105"/>
  <c r="K1242" i="105"/>
  <c r="AI1241" i="105"/>
  <c r="AH1241" i="105"/>
  <c r="AH1239" i="105" s="1"/>
  <c r="AG1241" i="105"/>
  <c r="X1241" i="105"/>
  <c r="X1239" i="105" s="1"/>
  <c r="W1241" i="105"/>
  <c r="R1241" i="105"/>
  <c r="Q1241" i="105"/>
  <c r="N1241" i="105"/>
  <c r="M1241" i="105"/>
  <c r="L1241" i="105"/>
  <c r="K1241" i="105"/>
  <c r="A1241" i="105"/>
  <c r="A1242" i="105" s="1"/>
  <c r="A1243" i="105" s="1"/>
  <c r="A1244" i="105" s="1"/>
  <c r="A1245" i="105" s="1"/>
  <c r="A1246" i="105" s="1"/>
  <c r="A1247" i="105" s="1"/>
  <c r="A1248" i="105" s="1"/>
  <c r="A1249" i="105" s="1"/>
  <c r="A1250" i="105" s="1"/>
  <c r="A1251" i="105" s="1"/>
  <c r="A1252" i="105" s="1"/>
  <c r="A1253" i="105" s="1"/>
  <c r="A1254" i="105" s="1"/>
  <c r="A1255" i="105" s="1"/>
  <c r="AI1240" i="105"/>
  <c r="AG1240" i="105"/>
  <c r="X1240" i="105"/>
  <c r="W1240" i="105"/>
  <c r="Q1240" i="105"/>
  <c r="R1240" i="105" s="1"/>
  <c r="R1239" i="105" s="1"/>
  <c r="L1240" i="105"/>
  <c r="K1240" i="105"/>
  <c r="H1240" i="105"/>
  <c r="M1240" i="105" s="1"/>
  <c r="M1239" i="105" s="1"/>
  <c r="A1240" i="105"/>
  <c r="AF1239" i="105"/>
  <c r="U1239" i="105"/>
  <c r="P1239" i="105"/>
  <c r="H1239" i="105"/>
  <c r="AI1238" i="105"/>
  <c r="AH1238" i="105"/>
  <c r="AG1238" i="105"/>
  <c r="X1238" i="105"/>
  <c r="W1238" i="105"/>
  <c r="R1238" i="105"/>
  <c r="Q1238" i="105"/>
  <c r="N1238" i="105"/>
  <c r="M1238" i="105"/>
  <c r="L1238" i="105"/>
  <c r="K1238" i="105"/>
  <c r="AI1237" i="105"/>
  <c r="AH1237" i="105"/>
  <c r="AG1237" i="105"/>
  <c r="X1237" i="105"/>
  <c r="W1237" i="105"/>
  <c r="R1237" i="105"/>
  <c r="Q1237" i="105"/>
  <c r="N1237" i="105"/>
  <c r="M1237" i="105"/>
  <c r="L1237" i="105"/>
  <c r="K1237" i="105"/>
  <c r="AI1236" i="105"/>
  <c r="AH1236" i="105"/>
  <c r="AG1236" i="105"/>
  <c r="X1236" i="105"/>
  <c r="W1236" i="105"/>
  <c r="R1236" i="105"/>
  <c r="Q1236" i="105"/>
  <c r="N1236" i="105"/>
  <c r="M1236" i="105"/>
  <c r="L1236" i="105"/>
  <c r="K1236" i="105"/>
  <c r="AI1235" i="105"/>
  <c r="AH1235" i="105"/>
  <c r="AG1235" i="105"/>
  <c r="X1235" i="105"/>
  <c r="W1235" i="105"/>
  <c r="R1235" i="105"/>
  <c r="Q1235" i="105"/>
  <c r="N1235" i="105"/>
  <c r="M1235" i="105"/>
  <c r="L1235" i="105"/>
  <c r="K1235" i="105"/>
  <c r="AI1234" i="105"/>
  <c r="AH1234" i="105"/>
  <c r="AG1234" i="105"/>
  <c r="X1234" i="105"/>
  <c r="W1234" i="105"/>
  <c r="R1234" i="105"/>
  <c r="Q1234" i="105"/>
  <c r="N1234" i="105"/>
  <c r="M1234" i="105"/>
  <c r="L1234" i="105"/>
  <c r="K1234" i="105"/>
  <c r="AI1233" i="105"/>
  <c r="AH1233" i="105"/>
  <c r="AG1233" i="105"/>
  <c r="X1233" i="105"/>
  <c r="W1233" i="105"/>
  <c r="R1233" i="105"/>
  <c r="Q1233" i="105"/>
  <c r="N1233" i="105"/>
  <c r="M1233" i="105"/>
  <c r="L1233" i="105"/>
  <c r="K1233" i="105"/>
  <c r="AI1232" i="105"/>
  <c r="AH1232" i="105"/>
  <c r="AG1232" i="105"/>
  <c r="X1232" i="105"/>
  <c r="W1232" i="105"/>
  <c r="R1232" i="105"/>
  <c r="Q1232" i="105"/>
  <c r="N1232" i="105"/>
  <c r="M1232" i="105"/>
  <c r="L1232" i="105"/>
  <c r="K1232" i="105"/>
  <c r="AI1231" i="105"/>
  <c r="AH1231" i="105"/>
  <c r="AG1231" i="105"/>
  <c r="X1231" i="105"/>
  <c r="W1231" i="105"/>
  <c r="R1231" i="105"/>
  <c r="Q1231" i="105"/>
  <c r="N1231" i="105"/>
  <c r="M1231" i="105"/>
  <c r="L1231" i="105"/>
  <c r="K1231" i="105"/>
  <c r="AI1230" i="105"/>
  <c r="AH1230" i="105"/>
  <c r="AG1230" i="105"/>
  <c r="X1230" i="105"/>
  <c r="W1230" i="105"/>
  <c r="R1230" i="105"/>
  <c r="Q1230" i="105"/>
  <c r="N1230" i="105"/>
  <c r="M1230" i="105"/>
  <c r="L1230" i="105"/>
  <c r="K1230" i="105"/>
  <c r="AI1229" i="105"/>
  <c r="AG1229" i="105"/>
  <c r="X1229" i="105"/>
  <c r="W1229" i="105"/>
  <c r="Q1229" i="105"/>
  <c r="R1229" i="105" s="1"/>
  <c r="R1228" i="105" s="1"/>
  <c r="L1229" i="105"/>
  <c r="N1229" i="105" s="1"/>
  <c r="K1229" i="105"/>
  <c r="M1229" i="105" s="1"/>
  <c r="M1228" i="105" s="1"/>
  <c r="A1229" i="105"/>
  <c r="A1230" i="105" s="1"/>
  <c r="A1231" i="105" s="1"/>
  <c r="A1232" i="105" s="1"/>
  <c r="A1233" i="105" s="1"/>
  <c r="A1234" i="105" s="1"/>
  <c r="A1235" i="105" s="1"/>
  <c r="A1236" i="105" s="1"/>
  <c r="A1237" i="105" s="1"/>
  <c r="A1238" i="105" s="1"/>
  <c r="AH1228" i="105"/>
  <c r="AF1228" i="105"/>
  <c r="X1228" i="105"/>
  <c r="U1228" i="105"/>
  <c r="P1228" i="105"/>
  <c r="H1228" i="105"/>
  <c r="AI1227" i="105"/>
  <c r="AH1227" i="105"/>
  <c r="AG1227" i="105"/>
  <c r="X1227" i="105"/>
  <c r="W1227" i="105"/>
  <c r="R1227" i="105"/>
  <c r="Q1227" i="105"/>
  <c r="N1227" i="105"/>
  <c r="M1227" i="105"/>
  <c r="L1227" i="105"/>
  <c r="K1227" i="105"/>
  <c r="AI1226" i="105"/>
  <c r="AH1226" i="105"/>
  <c r="AG1226" i="105"/>
  <c r="X1226" i="105"/>
  <c r="W1226" i="105"/>
  <c r="R1226" i="105"/>
  <c r="Q1226" i="105"/>
  <c r="N1226" i="105"/>
  <c r="M1226" i="105"/>
  <c r="L1226" i="105"/>
  <c r="K1226" i="105"/>
  <c r="AI1225" i="105"/>
  <c r="AH1225" i="105"/>
  <c r="AG1225" i="105"/>
  <c r="X1225" i="105"/>
  <c r="W1225" i="105"/>
  <c r="R1225" i="105"/>
  <c r="Q1225" i="105"/>
  <c r="N1225" i="105"/>
  <c r="M1225" i="105"/>
  <c r="L1225" i="105"/>
  <c r="K1225" i="105"/>
  <c r="AI1224" i="105"/>
  <c r="AH1224" i="105"/>
  <c r="AG1224" i="105"/>
  <c r="X1224" i="105"/>
  <c r="W1224" i="105"/>
  <c r="R1224" i="105"/>
  <c r="Q1224" i="105"/>
  <c r="N1224" i="105"/>
  <c r="M1224" i="105"/>
  <c r="L1224" i="105"/>
  <c r="K1224" i="105"/>
  <c r="AI1223" i="105"/>
  <c r="AH1223" i="105"/>
  <c r="AG1223" i="105"/>
  <c r="X1223" i="105"/>
  <c r="W1223" i="105"/>
  <c r="R1223" i="105"/>
  <c r="Q1223" i="105"/>
  <c r="N1223" i="105"/>
  <c r="M1223" i="105"/>
  <c r="L1223" i="105"/>
  <c r="K1223" i="105"/>
  <c r="AI1222" i="105"/>
  <c r="AH1222" i="105"/>
  <c r="AG1222" i="105"/>
  <c r="X1222" i="105"/>
  <c r="W1222" i="105"/>
  <c r="R1222" i="105"/>
  <c r="Q1222" i="105"/>
  <c r="N1222" i="105"/>
  <c r="M1222" i="105"/>
  <c r="L1222" i="105"/>
  <c r="K1222" i="105"/>
  <c r="AI1221" i="105"/>
  <c r="AG1221" i="105"/>
  <c r="X1221" i="105"/>
  <c r="X1220" i="105" s="1"/>
  <c r="W1221" i="105"/>
  <c r="R1221" i="105"/>
  <c r="R1220" i="105" s="1"/>
  <c r="Q1221" i="105"/>
  <c r="L1221" i="105"/>
  <c r="N1221" i="105" s="1"/>
  <c r="K1221" i="105"/>
  <c r="M1221" i="105" s="1"/>
  <c r="M1220" i="105" s="1"/>
  <c r="A1221" i="105"/>
  <c r="A1222" i="105" s="1"/>
  <c r="A1223" i="105" s="1"/>
  <c r="A1224" i="105" s="1"/>
  <c r="A1225" i="105" s="1"/>
  <c r="A1226" i="105" s="1"/>
  <c r="A1227" i="105" s="1"/>
  <c r="AH1220" i="105"/>
  <c r="AF1220" i="105"/>
  <c r="U1220" i="105"/>
  <c r="P1220" i="105"/>
  <c r="H1220" i="105"/>
  <c r="AI1219" i="105"/>
  <c r="AH1219" i="105"/>
  <c r="AG1219" i="105"/>
  <c r="X1219" i="105"/>
  <c r="W1219" i="105"/>
  <c r="R1219" i="105"/>
  <c r="Q1219" i="105"/>
  <c r="N1219" i="105"/>
  <c r="M1219" i="105"/>
  <c r="L1219" i="105"/>
  <c r="K1219" i="105"/>
  <c r="AI1218" i="105"/>
  <c r="AH1218" i="105"/>
  <c r="AG1218" i="105"/>
  <c r="X1218" i="105"/>
  <c r="W1218" i="105"/>
  <c r="R1218" i="105"/>
  <c r="Q1218" i="105"/>
  <c r="N1218" i="105"/>
  <c r="M1218" i="105"/>
  <c r="L1218" i="105"/>
  <c r="K1218" i="105"/>
  <c r="AI1217" i="105"/>
  <c r="AH1217" i="105"/>
  <c r="AG1217" i="105"/>
  <c r="X1217" i="105"/>
  <c r="W1217" i="105"/>
  <c r="R1217" i="105"/>
  <c r="Q1217" i="105"/>
  <c r="N1217" i="105"/>
  <c r="M1217" i="105"/>
  <c r="L1217" i="105"/>
  <c r="K1217" i="105"/>
  <c r="AI1216" i="105"/>
  <c r="AH1216" i="105"/>
  <c r="AG1216" i="105"/>
  <c r="X1216" i="105"/>
  <c r="W1216" i="105"/>
  <c r="R1216" i="105"/>
  <c r="Q1216" i="105"/>
  <c r="N1216" i="105"/>
  <c r="M1216" i="105"/>
  <c r="L1216" i="105"/>
  <c r="K1216" i="105"/>
  <c r="AI1215" i="105"/>
  <c r="AH1215" i="105"/>
  <c r="AH1213" i="105" s="1"/>
  <c r="AG1215" i="105"/>
  <c r="X1215" i="105"/>
  <c r="X1213" i="105" s="1"/>
  <c r="W1215" i="105"/>
  <c r="R1215" i="105"/>
  <c r="R1213" i="105" s="1"/>
  <c r="Q1215" i="105"/>
  <c r="N1215" i="105"/>
  <c r="M1215" i="105"/>
  <c r="L1215" i="105"/>
  <c r="K1215" i="105"/>
  <c r="A1215" i="105"/>
  <c r="A1216" i="105" s="1"/>
  <c r="A1217" i="105" s="1"/>
  <c r="A1218" i="105" s="1"/>
  <c r="A1219" i="105" s="1"/>
  <c r="AI1214" i="105"/>
  <c r="AG1214" i="105"/>
  <c r="X1214" i="105"/>
  <c r="W1214" i="105"/>
  <c r="R1214" i="105"/>
  <c r="Q1214" i="105"/>
  <c r="L1214" i="105"/>
  <c r="K1214" i="105"/>
  <c r="H1214" i="105"/>
  <c r="M1214" i="105" s="1"/>
  <c r="M1213" i="105" s="1"/>
  <c r="A1214" i="105"/>
  <c r="AF1213" i="105"/>
  <c r="U1213" i="105"/>
  <c r="P1213" i="105"/>
  <c r="H1213" i="105"/>
  <c r="AI1212" i="105"/>
  <c r="AH1212" i="105"/>
  <c r="AG1212" i="105"/>
  <c r="X1212" i="105"/>
  <c r="W1212" i="105"/>
  <c r="R1212" i="105"/>
  <c r="Q1212" i="105"/>
  <c r="N1212" i="105"/>
  <c r="M1212" i="105"/>
  <c r="L1212" i="105"/>
  <c r="K1212" i="105"/>
  <c r="AI1211" i="105"/>
  <c r="AH1211" i="105"/>
  <c r="AG1211" i="105"/>
  <c r="X1211" i="105"/>
  <c r="W1211" i="105"/>
  <c r="R1211" i="105"/>
  <c r="Q1211" i="105"/>
  <c r="N1211" i="105"/>
  <c r="M1211" i="105"/>
  <c r="L1211" i="105"/>
  <c r="K1211" i="105"/>
  <c r="AI1210" i="105"/>
  <c r="AH1210" i="105"/>
  <c r="AG1210" i="105"/>
  <c r="X1210" i="105"/>
  <c r="W1210" i="105"/>
  <c r="R1210" i="105"/>
  <c r="Q1210" i="105"/>
  <c r="N1210" i="105"/>
  <c r="M1210" i="105"/>
  <c r="L1210" i="105"/>
  <c r="K1210" i="105"/>
  <c r="AI1209" i="105"/>
  <c r="AH1209" i="105"/>
  <c r="AG1209" i="105"/>
  <c r="X1209" i="105"/>
  <c r="W1209" i="105"/>
  <c r="R1209" i="105"/>
  <c r="Q1209" i="105"/>
  <c r="N1209" i="105"/>
  <c r="M1209" i="105"/>
  <c r="L1209" i="105"/>
  <c r="K1209" i="105"/>
  <c r="AI1208" i="105"/>
  <c r="AH1208" i="105"/>
  <c r="AH1206" i="105" s="1"/>
  <c r="AG1208" i="105"/>
  <c r="X1208" i="105"/>
  <c r="X1206" i="105" s="1"/>
  <c r="W1208" i="105"/>
  <c r="R1208" i="105"/>
  <c r="R1206" i="105" s="1"/>
  <c r="Q1208" i="105"/>
  <c r="N1208" i="105"/>
  <c r="M1208" i="105"/>
  <c r="L1208" i="105"/>
  <c r="K1208" i="105"/>
  <c r="A1208" i="105"/>
  <c r="A1209" i="105" s="1"/>
  <c r="A1210" i="105" s="1"/>
  <c r="A1211" i="105" s="1"/>
  <c r="A1212" i="105" s="1"/>
  <c r="AI1207" i="105"/>
  <c r="AG1207" i="105"/>
  <c r="X1207" i="105"/>
  <c r="W1207" i="105"/>
  <c r="R1207" i="105"/>
  <c r="Q1207" i="105"/>
  <c r="L1207" i="105"/>
  <c r="K1207" i="105"/>
  <c r="H1207" i="105"/>
  <c r="M1207" i="105" s="1"/>
  <c r="M1206" i="105" s="1"/>
  <c r="A1207" i="105"/>
  <c r="AF1206" i="105"/>
  <c r="U1206" i="105"/>
  <c r="P1206" i="105"/>
  <c r="H1206" i="105"/>
  <c r="AI1205" i="105"/>
  <c r="AH1205" i="105"/>
  <c r="AG1205" i="105"/>
  <c r="X1205" i="105"/>
  <c r="W1205" i="105"/>
  <c r="R1205" i="105"/>
  <c r="Q1205" i="105"/>
  <c r="N1205" i="105"/>
  <c r="M1205" i="105"/>
  <c r="L1205" i="105"/>
  <c r="K1205" i="105"/>
  <c r="AI1204" i="105"/>
  <c r="AH1204" i="105"/>
  <c r="AG1204" i="105"/>
  <c r="X1204" i="105"/>
  <c r="W1204" i="105"/>
  <c r="R1204" i="105"/>
  <c r="Q1204" i="105"/>
  <c r="N1204" i="105"/>
  <c r="M1204" i="105"/>
  <c r="L1204" i="105"/>
  <c r="K1204" i="105"/>
  <c r="AI1203" i="105"/>
  <c r="AH1203" i="105"/>
  <c r="AG1203" i="105"/>
  <c r="X1203" i="105"/>
  <c r="W1203" i="105"/>
  <c r="R1203" i="105"/>
  <c r="Q1203" i="105"/>
  <c r="N1203" i="105"/>
  <c r="M1203" i="105"/>
  <c r="L1203" i="105"/>
  <c r="K1203" i="105"/>
  <c r="AI1202" i="105"/>
  <c r="AH1202" i="105"/>
  <c r="AG1202" i="105"/>
  <c r="X1202" i="105"/>
  <c r="W1202" i="105"/>
  <c r="R1202" i="105"/>
  <c r="Q1202" i="105"/>
  <c r="N1202" i="105"/>
  <c r="M1202" i="105"/>
  <c r="L1202" i="105"/>
  <c r="K1202" i="105"/>
  <c r="AI1201" i="105"/>
  <c r="AH1201" i="105"/>
  <c r="AG1201" i="105"/>
  <c r="X1201" i="105"/>
  <c r="W1201" i="105"/>
  <c r="R1201" i="105"/>
  <c r="Q1201" i="105"/>
  <c r="N1201" i="105"/>
  <c r="M1201" i="105"/>
  <c r="L1201" i="105"/>
  <c r="K1201" i="105"/>
  <c r="AI1200" i="105"/>
  <c r="AH1200" i="105"/>
  <c r="AG1200" i="105"/>
  <c r="X1200" i="105"/>
  <c r="W1200" i="105"/>
  <c r="R1200" i="105"/>
  <c r="Q1200" i="105"/>
  <c r="N1200" i="105"/>
  <c r="M1200" i="105"/>
  <c r="L1200" i="105"/>
  <c r="K1200" i="105"/>
  <c r="AI1199" i="105"/>
  <c r="AH1199" i="105"/>
  <c r="AG1199" i="105"/>
  <c r="X1199" i="105"/>
  <c r="W1199" i="105"/>
  <c r="R1199" i="105"/>
  <c r="Q1199" i="105"/>
  <c r="N1199" i="105"/>
  <c r="M1199" i="105"/>
  <c r="L1199" i="105"/>
  <c r="K1199" i="105"/>
  <c r="AI1198" i="105"/>
  <c r="AH1198" i="105"/>
  <c r="AH1196" i="105" s="1"/>
  <c r="AG1198" i="105"/>
  <c r="X1198" i="105"/>
  <c r="X1196" i="105" s="1"/>
  <c r="W1198" i="105"/>
  <c r="R1198" i="105"/>
  <c r="R1196" i="105" s="1"/>
  <c r="Q1198" i="105"/>
  <c r="N1198" i="105"/>
  <c r="M1198" i="105"/>
  <c r="L1198" i="105"/>
  <c r="K1198" i="105"/>
  <c r="A1198" i="105"/>
  <c r="A1199" i="105" s="1"/>
  <c r="A1200" i="105" s="1"/>
  <c r="A1201" i="105" s="1"/>
  <c r="A1202" i="105" s="1"/>
  <c r="A1203" i="105" s="1"/>
  <c r="A1204" i="105" s="1"/>
  <c r="A1205" i="105" s="1"/>
  <c r="AI1197" i="105"/>
  <c r="AG1197" i="105"/>
  <c r="X1197" i="105"/>
  <c r="W1197" i="105"/>
  <c r="R1197" i="105"/>
  <c r="Q1197" i="105"/>
  <c r="L1197" i="105"/>
  <c r="K1197" i="105"/>
  <c r="H1197" i="105"/>
  <c r="M1197" i="105" s="1"/>
  <c r="M1196" i="105" s="1"/>
  <c r="A1197" i="105"/>
  <c r="AF1196" i="105"/>
  <c r="U1196" i="105"/>
  <c r="P1196" i="105"/>
  <c r="H1196" i="105"/>
  <c r="AI1195" i="105"/>
  <c r="AH1195" i="105"/>
  <c r="AG1195" i="105"/>
  <c r="X1195" i="105"/>
  <c r="W1195" i="105"/>
  <c r="R1195" i="105"/>
  <c r="Q1195" i="105"/>
  <c r="N1195" i="105"/>
  <c r="M1195" i="105"/>
  <c r="L1195" i="105"/>
  <c r="K1195" i="105"/>
  <c r="AI1194" i="105"/>
  <c r="AH1194" i="105"/>
  <c r="AG1194" i="105"/>
  <c r="X1194" i="105"/>
  <c r="W1194" i="105"/>
  <c r="R1194" i="105"/>
  <c r="Q1194" i="105"/>
  <c r="N1194" i="105"/>
  <c r="M1194" i="105"/>
  <c r="L1194" i="105"/>
  <c r="K1194" i="105"/>
  <c r="AI1193" i="105"/>
  <c r="AH1193" i="105"/>
  <c r="AG1193" i="105"/>
  <c r="X1193" i="105"/>
  <c r="W1193" i="105"/>
  <c r="R1193" i="105"/>
  <c r="Q1193" i="105"/>
  <c r="N1193" i="105"/>
  <c r="M1193" i="105"/>
  <c r="L1193" i="105"/>
  <c r="K1193" i="105"/>
  <c r="AI1192" i="105"/>
  <c r="AH1192" i="105"/>
  <c r="AG1192" i="105"/>
  <c r="X1192" i="105"/>
  <c r="W1192" i="105"/>
  <c r="R1192" i="105"/>
  <c r="Q1192" i="105"/>
  <c r="N1192" i="105"/>
  <c r="M1192" i="105"/>
  <c r="L1192" i="105"/>
  <c r="K1192" i="105"/>
  <c r="AI1191" i="105"/>
  <c r="AH1191" i="105"/>
  <c r="AG1191" i="105"/>
  <c r="X1191" i="105"/>
  <c r="W1191" i="105"/>
  <c r="R1191" i="105"/>
  <c r="Q1191" i="105"/>
  <c r="N1191" i="105"/>
  <c r="M1191" i="105"/>
  <c r="L1191" i="105"/>
  <c r="K1191" i="105"/>
  <c r="AI1190" i="105"/>
  <c r="AH1190" i="105"/>
  <c r="AG1190" i="105"/>
  <c r="X1190" i="105"/>
  <c r="W1190" i="105"/>
  <c r="R1190" i="105"/>
  <c r="Q1190" i="105"/>
  <c r="N1190" i="105"/>
  <c r="M1190" i="105"/>
  <c r="L1190" i="105"/>
  <c r="K1190" i="105"/>
  <c r="AI1189" i="105"/>
  <c r="AH1189" i="105"/>
  <c r="AG1189" i="105"/>
  <c r="X1189" i="105"/>
  <c r="W1189" i="105"/>
  <c r="R1189" i="105"/>
  <c r="Q1189" i="105"/>
  <c r="N1189" i="105"/>
  <c r="M1189" i="105"/>
  <c r="L1189" i="105"/>
  <c r="K1189" i="105"/>
  <c r="AI1188" i="105"/>
  <c r="AH1188" i="105"/>
  <c r="AG1188" i="105"/>
  <c r="X1188" i="105"/>
  <c r="W1188" i="105"/>
  <c r="R1188" i="105"/>
  <c r="Q1188" i="105"/>
  <c r="N1188" i="105"/>
  <c r="M1188" i="105"/>
  <c r="L1188" i="105"/>
  <c r="K1188" i="105"/>
  <c r="AI1187" i="105"/>
  <c r="AG1187" i="105"/>
  <c r="X1187" i="105"/>
  <c r="W1187" i="105"/>
  <c r="R1187" i="105"/>
  <c r="Q1187" i="105"/>
  <c r="L1187" i="105"/>
  <c r="N1187" i="105" s="1"/>
  <c r="K1187" i="105"/>
  <c r="M1187" i="105" s="1"/>
  <c r="M1186" i="105" s="1"/>
  <c r="A1187" i="105"/>
  <c r="A1188" i="105" s="1"/>
  <c r="A1189" i="105" s="1"/>
  <c r="A1190" i="105" s="1"/>
  <c r="A1191" i="105" s="1"/>
  <c r="A1192" i="105" s="1"/>
  <c r="A1193" i="105" s="1"/>
  <c r="A1194" i="105" s="1"/>
  <c r="A1195" i="105" s="1"/>
  <c r="AH1186" i="105"/>
  <c r="AF1186" i="105"/>
  <c r="X1186" i="105"/>
  <c r="U1186" i="105"/>
  <c r="R1186" i="105"/>
  <c r="P1186" i="105"/>
  <c r="H1186" i="105"/>
  <c r="AI1185" i="105"/>
  <c r="AH1185" i="105"/>
  <c r="AG1185" i="105"/>
  <c r="X1185" i="105"/>
  <c r="W1185" i="105"/>
  <c r="R1185" i="105"/>
  <c r="Q1185" i="105"/>
  <c r="N1185" i="105"/>
  <c r="M1185" i="105"/>
  <c r="L1185" i="105"/>
  <c r="K1185" i="105"/>
  <c r="AI1184" i="105"/>
  <c r="AH1184" i="105"/>
  <c r="AG1184" i="105"/>
  <c r="X1184" i="105"/>
  <c r="W1184" i="105"/>
  <c r="R1184" i="105"/>
  <c r="Q1184" i="105"/>
  <c r="N1184" i="105"/>
  <c r="M1184" i="105"/>
  <c r="L1184" i="105"/>
  <c r="K1184" i="105"/>
  <c r="AI1183" i="105"/>
  <c r="AH1183" i="105"/>
  <c r="AG1183" i="105"/>
  <c r="X1183" i="105"/>
  <c r="W1183" i="105"/>
  <c r="R1183" i="105"/>
  <c r="Q1183" i="105"/>
  <c r="N1183" i="105"/>
  <c r="M1183" i="105"/>
  <c r="L1183" i="105"/>
  <c r="K1183" i="105"/>
  <c r="AI1182" i="105"/>
  <c r="AH1182" i="105"/>
  <c r="AG1182" i="105"/>
  <c r="X1182" i="105"/>
  <c r="W1182" i="105"/>
  <c r="R1182" i="105"/>
  <c r="Q1182" i="105"/>
  <c r="N1182" i="105"/>
  <c r="M1182" i="105"/>
  <c r="L1182" i="105"/>
  <c r="K1182" i="105"/>
  <c r="AI1181" i="105"/>
  <c r="AH1181" i="105"/>
  <c r="AG1181" i="105"/>
  <c r="X1181" i="105"/>
  <c r="W1181" i="105"/>
  <c r="R1181" i="105"/>
  <c r="Q1181" i="105"/>
  <c r="N1181" i="105"/>
  <c r="M1181" i="105"/>
  <c r="L1181" i="105"/>
  <c r="K1181" i="105"/>
  <c r="AI1180" i="105"/>
  <c r="AH1180" i="105"/>
  <c r="AG1180" i="105"/>
  <c r="X1180" i="105"/>
  <c r="W1180" i="105"/>
  <c r="R1180" i="105"/>
  <c r="Q1180" i="105"/>
  <c r="N1180" i="105"/>
  <c r="M1180" i="105"/>
  <c r="L1180" i="105"/>
  <c r="K1180" i="105"/>
  <c r="AI1179" i="105"/>
  <c r="AH1179" i="105"/>
  <c r="AG1179" i="105"/>
  <c r="X1179" i="105"/>
  <c r="W1179" i="105"/>
  <c r="R1179" i="105"/>
  <c r="Q1179" i="105"/>
  <c r="N1179" i="105"/>
  <c r="M1179" i="105"/>
  <c r="L1179" i="105"/>
  <c r="K1179" i="105"/>
  <c r="AI1178" i="105"/>
  <c r="AH1178" i="105"/>
  <c r="AG1178" i="105"/>
  <c r="X1178" i="105"/>
  <c r="W1178" i="105"/>
  <c r="R1178" i="105"/>
  <c r="Q1178" i="105"/>
  <c r="N1178" i="105"/>
  <c r="M1178" i="105"/>
  <c r="L1178" i="105"/>
  <c r="K1178" i="105"/>
  <c r="AI1177" i="105"/>
  <c r="AG1177" i="105"/>
  <c r="X1177" i="105"/>
  <c r="X1176" i="105" s="1"/>
  <c r="W1177" i="105"/>
  <c r="R1177" i="105"/>
  <c r="R1176" i="105" s="1"/>
  <c r="Q1177" i="105"/>
  <c r="L1177" i="105"/>
  <c r="N1177" i="105" s="1"/>
  <c r="K1177" i="105"/>
  <c r="M1177" i="105" s="1"/>
  <c r="M1176" i="105" s="1"/>
  <c r="A1177" i="105"/>
  <c r="A1178" i="105" s="1"/>
  <c r="A1179" i="105" s="1"/>
  <c r="A1180" i="105" s="1"/>
  <c r="A1181" i="105" s="1"/>
  <c r="A1182" i="105" s="1"/>
  <c r="A1183" i="105" s="1"/>
  <c r="A1184" i="105" s="1"/>
  <c r="A1185" i="105" s="1"/>
  <c r="AH1176" i="105"/>
  <c r="AF1176" i="105"/>
  <c r="U1176" i="105"/>
  <c r="P1176" i="105"/>
  <c r="H1176" i="105"/>
  <c r="AI1175" i="105"/>
  <c r="AH1175" i="105"/>
  <c r="AG1175" i="105"/>
  <c r="X1175" i="105"/>
  <c r="W1175" i="105"/>
  <c r="R1175" i="105"/>
  <c r="Q1175" i="105"/>
  <c r="N1175" i="105"/>
  <c r="M1175" i="105"/>
  <c r="L1175" i="105"/>
  <c r="K1175" i="105"/>
  <c r="AI1174" i="105"/>
  <c r="AH1174" i="105"/>
  <c r="AG1174" i="105"/>
  <c r="X1174" i="105"/>
  <c r="W1174" i="105"/>
  <c r="R1174" i="105"/>
  <c r="Q1174" i="105"/>
  <c r="N1174" i="105"/>
  <c r="M1174" i="105"/>
  <c r="L1174" i="105"/>
  <c r="K1174" i="105"/>
  <c r="AI1173" i="105"/>
  <c r="AH1173" i="105"/>
  <c r="AG1173" i="105"/>
  <c r="X1173" i="105"/>
  <c r="W1173" i="105"/>
  <c r="R1173" i="105"/>
  <c r="Q1173" i="105"/>
  <c r="N1173" i="105"/>
  <c r="M1173" i="105"/>
  <c r="L1173" i="105"/>
  <c r="K1173" i="105"/>
  <c r="AI1172" i="105"/>
  <c r="AH1172" i="105"/>
  <c r="AG1172" i="105"/>
  <c r="X1172" i="105"/>
  <c r="W1172" i="105"/>
  <c r="R1172" i="105"/>
  <c r="Q1172" i="105"/>
  <c r="N1172" i="105"/>
  <c r="M1172" i="105"/>
  <c r="L1172" i="105"/>
  <c r="K1172" i="105"/>
  <c r="AI1171" i="105"/>
  <c r="AH1171" i="105"/>
  <c r="AG1171" i="105"/>
  <c r="X1171" i="105"/>
  <c r="W1171" i="105"/>
  <c r="R1171" i="105"/>
  <c r="Q1171" i="105"/>
  <c r="N1171" i="105"/>
  <c r="M1171" i="105"/>
  <c r="L1171" i="105"/>
  <c r="K1171" i="105"/>
  <c r="AI1170" i="105"/>
  <c r="AH1170" i="105"/>
  <c r="AG1170" i="105"/>
  <c r="X1170" i="105"/>
  <c r="W1170" i="105"/>
  <c r="R1170" i="105"/>
  <c r="Q1170" i="105"/>
  <c r="N1170" i="105"/>
  <c r="M1170" i="105"/>
  <c r="L1170" i="105"/>
  <c r="K1170" i="105"/>
  <c r="AI1169" i="105"/>
  <c r="AG1169" i="105"/>
  <c r="X1169" i="105"/>
  <c r="W1169" i="105"/>
  <c r="Q1169" i="105"/>
  <c r="R1169" i="105" s="1"/>
  <c r="R1168" i="105" s="1"/>
  <c r="L1169" i="105"/>
  <c r="N1169" i="105" s="1"/>
  <c r="K1169" i="105"/>
  <c r="M1169" i="105" s="1"/>
  <c r="M1168" i="105" s="1"/>
  <c r="A1169" i="105"/>
  <c r="A1170" i="105" s="1"/>
  <c r="A1171" i="105" s="1"/>
  <c r="A1172" i="105" s="1"/>
  <c r="A1173" i="105" s="1"/>
  <c r="A1174" i="105" s="1"/>
  <c r="A1175" i="105" s="1"/>
  <c r="AH1168" i="105"/>
  <c r="AF1168" i="105"/>
  <c r="X1168" i="105"/>
  <c r="U1168" i="105"/>
  <c r="P1168" i="105"/>
  <c r="H1168" i="105"/>
  <c r="AI1167" i="105"/>
  <c r="AH1167" i="105"/>
  <c r="AG1167" i="105"/>
  <c r="X1167" i="105"/>
  <c r="W1167" i="105"/>
  <c r="R1167" i="105"/>
  <c r="Q1167" i="105"/>
  <c r="N1167" i="105"/>
  <c r="M1167" i="105"/>
  <c r="L1167" i="105"/>
  <c r="K1167" i="105"/>
  <c r="AI1166" i="105"/>
  <c r="AH1166" i="105"/>
  <c r="AG1166" i="105"/>
  <c r="X1166" i="105"/>
  <c r="W1166" i="105"/>
  <c r="R1166" i="105"/>
  <c r="Q1166" i="105"/>
  <c r="N1166" i="105"/>
  <c r="M1166" i="105"/>
  <c r="L1166" i="105"/>
  <c r="K1166" i="105"/>
  <c r="AI1165" i="105"/>
  <c r="AH1165" i="105"/>
  <c r="AG1165" i="105"/>
  <c r="X1165" i="105"/>
  <c r="W1165" i="105"/>
  <c r="R1165" i="105"/>
  <c r="Q1165" i="105"/>
  <c r="N1165" i="105"/>
  <c r="M1165" i="105"/>
  <c r="L1165" i="105"/>
  <c r="K1165" i="105"/>
  <c r="AI1164" i="105"/>
  <c r="AH1164" i="105"/>
  <c r="AG1164" i="105"/>
  <c r="X1164" i="105"/>
  <c r="W1164" i="105"/>
  <c r="R1164" i="105"/>
  <c r="Q1164" i="105"/>
  <c r="N1164" i="105"/>
  <c r="M1164" i="105"/>
  <c r="L1164" i="105"/>
  <c r="K1164" i="105"/>
  <c r="AI1163" i="105"/>
  <c r="AH1163" i="105"/>
  <c r="AG1163" i="105"/>
  <c r="X1163" i="105"/>
  <c r="W1163" i="105"/>
  <c r="R1163" i="105"/>
  <c r="Q1163" i="105"/>
  <c r="N1163" i="105"/>
  <c r="M1163" i="105"/>
  <c r="L1163" i="105"/>
  <c r="K1163" i="105"/>
  <c r="AI1162" i="105"/>
  <c r="AG1162" i="105"/>
  <c r="X1162" i="105"/>
  <c r="X1161" i="105" s="1"/>
  <c r="W1162" i="105"/>
  <c r="R1162" i="105"/>
  <c r="R1161" i="105" s="1"/>
  <c r="Q1162" i="105"/>
  <c r="L1162" i="105"/>
  <c r="N1162" i="105" s="1"/>
  <c r="K1162" i="105"/>
  <c r="M1162" i="105" s="1"/>
  <c r="M1161" i="105" s="1"/>
  <c r="A1162" i="105"/>
  <c r="A1163" i="105" s="1"/>
  <c r="A1164" i="105" s="1"/>
  <c r="A1165" i="105" s="1"/>
  <c r="A1166" i="105" s="1"/>
  <c r="A1167" i="105" s="1"/>
  <c r="AH1161" i="105"/>
  <c r="AF1161" i="105"/>
  <c r="U1161" i="105"/>
  <c r="P1161" i="105"/>
  <c r="H1161" i="105"/>
  <c r="AI1160" i="105"/>
  <c r="AH1160" i="105"/>
  <c r="AG1160" i="105"/>
  <c r="X1160" i="105"/>
  <c r="W1160" i="105"/>
  <c r="R1160" i="105"/>
  <c r="Q1160" i="105"/>
  <c r="N1160" i="105"/>
  <c r="M1160" i="105"/>
  <c r="L1160" i="105"/>
  <c r="K1160" i="105"/>
  <c r="AI1159" i="105"/>
  <c r="AH1159" i="105"/>
  <c r="AG1159" i="105"/>
  <c r="X1159" i="105"/>
  <c r="W1159" i="105"/>
  <c r="R1159" i="105"/>
  <c r="Q1159" i="105"/>
  <c r="N1159" i="105"/>
  <c r="M1159" i="105"/>
  <c r="L1159" i="105"/>
  <c r="K1159" i="105"/>
  <c r="AI1158" i="105"/>
  <c r="AH1158" i="105"/>
  <c r="AG1158" i="105"/>
  <c r="X1158" i="105"/>
  <c r="W1158" i="105"/>
  <c r="R1158" i="105"/>
  <c r="Q1158" i="105"/>
  <c r="N1158" i="105"/>
  <c r="M1158" i="105"/>
  <c r="L1158" i="105"/>
  <c r="K1158" i="105"/>
  <c r="AI1157" i="105"/>
  <c r="AH1157" i="105"/>
  <c r="AG1157" i="105"/>
  <c r="X1157" i="105"/>
  <c r="W1157" i="105"/>
  <c r="R1157" i="105"/>
  <c r="Q1157" i="105"/>
  <c r="N1157" i="105"/>
  <c r="M1157" i="105"/>
  <c r="L1157" i="105"/>
  <c r="K1157" i="105"/>
  <c r="AI1156" i="105"/>
  <c r="AH1156" i="105"/>
  <c r="AG1156" i="105"/>
  <c r="X1156" i="105"/>
  <c r="W1156" i="105"/>
  <c r="R1156" i="105"/>
  <c r="Q1156" i="105"/>
  <c r="N1156" i="105"/>
  <c r="M1156" i="105"/>
  <c r="L1156" i="105"/>
  <c r="K1156" i="105"/>
  <c r="AI1155" i="105"/>
  <c r="AG1155" i="105"/>
  <c r="X1155" i="105"/>
  <c r="W1155" i="105"/>
  <c r="R1155" i="105"/>
  <c r="Q1155" i="105"/>
  <c r="L1155" i="105"/>
  <c r="N1155" i="105" s="1"/>
  <c r="K1155" i="105"/>
  <c r="M1155" i="105" s="1"/>
  <c r="M1154" i="105" s="1"/>
  <c r="A1155" i="105"/>
  <c r="A1156" i="105" s="1"/>
  <c r="A1157" i="105" s="1"/>
  <c r="A1158" i="105" s="1"/>
  <c r="A1159" i="105" s="1"/>
  <c r="A1160" i="105" s="1"/>
  <c r="AH1154" i="105"/>
  <c r="AF1154" i="105"/>
  <c r="X1154" i="105"/>
  <c r="U1154" i="105"/>
  <c r="R1154" i="105"/>
  <c r="P1154" i="105"/>
  <c r="H1154" i="105"/>
  <c r="AI1153" i="105"/>
  <c r="AH1153" i="105"/>
  <c r="AG1153" i="105"/>
  <c r="X1153" i="105"/>
  <c r="W1153" i="105"/>
  <c r="R1153" i="105"/>
  <c r="Q1153" i="105"/>
  <c r="N1153" i="105"/>
  <c r="M1153" i="105"/>
  <c r="L1153" i="105"/>
  <c r="K1153" i="105"/>
  <c r="AI1152" i="105"/>
  <c r="AH1152" i="105"/>
  <c r="AG1152" i="105"/>
  <c r="X1152" i="105"/>
  <c r="W1152" i="105"/>
  <c r="R1152" i="105"/>
  <c r="Q1152" i="105"/>
  <c r="N1152" i="105"/>
  <c r="M1152" i="105"/>
  <c r="L1152" i="105"/>
  <c r="K1152" i="105"/>
  <c r="AI1151" i="105"/>
  <c r="AH1151" i="105"/>
  <c r="AG1151" i="105"/>
  <c r="X1151" i="105"/>
  <c r="W1151" i="105"/>
  <c r="R1151" i="105"/>
  <c r="Q1151" i="105"/>
  <c r="N1151" i="105"/>
  <c r="M1151" i="105"/>
  <c r="L1151" i="105"/>
  <c r="K1151" i="105"/>
  <c r="AI1150" i="105"/>
  <c r="AH1150" i="105"/>
  <c r="AG1150" i="105"/>
  <c r="X1150" i="105"/>
  <c r="W1150" i="105"/>
  <c r="R1150" i="105"/>
  <c r="Q1150" i="105"/>
  <c r="N1150" i="105"/>
  <c r="M1150" i="105"/>
  <c r="L1150" i="105"/>
  <c r="K1150" i="105"/>
  <c r="AI1149" i="105"/>
  <c r="AH1149" i="105"/>
  <c r="AG1149" i="105"/>
  <c r="X1149" i="105"/>
  <c r="W1149" i="105"/>
  <c r="Q1149" i="105"/>
  <c r="R1149" i="105" s="1"/>
  <c r="N1149" i="105"/>
  <c r="M1149" i="105"/>
  <c r="L1149" i="105"/>
  <c r="K1149" i="105"/>
  <c r="AI1148" i="105"/>
  <c r="AH1148" i="105"/>
  <c r="AG1148" i="105"/>
  <c r="X1148" i="105"/>
  <c r="W1148" i="105"/>
  <c r="Q1148" i="105"/>
  <c r="R1148" i="105" s="1"/>
  <c r="R1146" i="105" s="1"/>
  <c r="N1148" i="105"/>
  <c r="M1148" i="105"/>
  <c r="L1148" i="105"/>
  <c r="K1148" i="105"/>
  <c r="AI1147" i="105"/>
  <c r="AG1147" i="105"/>
  <c r="X1147" i="105"/>
  <c r="W1147" i="105"/>
  <c r="R1147" i="105"/>
  <c r="Q1147" i="105"/>
  <c r="L1147" i="105"/>
  <c r="N1147" i="105" s="1"/>
  <c r="K1147" i="105"/>
  <c r="H1147" i="105"/>
  <c r="M1147" i="105" s="1"/>
  <c r="M1146" i="105" s="1"/>
  <c r="A1147" i="105"/>
  <c r="A1148" i="105" s="1"/>
  <c r="A1149" i="105" s="1"/>
  <c r="A1150" i="105" s="1"/>
  <c r="A1151" i="105" s="1"/>
  <c r="A1152" i="105" s="1"/>
  <c r="A1153" i="105" s="1"/>
  <c r="AH1146" i="105"/>
  <c r="AF1146" i="105"/>
  <c r="X1146" i="105"/>
  <c r="U1146" i="105"/>
  <c r="P1146" i="105"/>
  <c r="H1146" i="105"/>
  <c r="AI1145" i="105"/>
  <c r="AH1145" i="105"/>
  <c r="AG1145" i="105"/>
  <c r="X1145" i="105"/>
  <c r="W1145" i="105"/>
  <c r="R1145" i="105"/>
  <c r="Q1145" i="105"/>
  <c r="N1145" i="105"/>
  <c r="M1145" i="105"/>
  <c r="L1145" i="105"/>
  <c r="K1145" i="105"/>
  <c r="AI1144" i="105"/>
  <c r="AH1144" i="105"/>
  <c r="AG1144" i="105"/>
  <c r="X1144" i="105"/>
  <c r="W1144" i="105"/>
  <c r="R1144" i="105"/>
  <c r="Q1144" i="105"/>
  <c r="N1144" i="105"/>
  <c r="M1144" i="105"/>
  <c r="L1144" i="105"/>
  <c r="K1144" i="105"/>
  <c r="AI1143" i="105"/>
  <c r="AH1143" i="105"/>
  <c r="AG1143" i="105"/>
  <c r="X1143" i="105"/>
  <c r="W1143" i="105"/>
  <c r="R1143" i="105"/>
  <c r="Q1143" i="105"/>
  <c r="N1143" i="105"/>
  <c r="M1143" i="105"/>
  <c r="L1143" i="105"/>
  <c r="K1143" i="105"/>
  <c r="AI1142" i="105"/>
  <c r="AH1142" i="105"/>
  <c r="AG1142" i="105"/>
  <c r="X1142" i="105"/>
  <c r="W1142" i="105"/>
  <c r="R1142" i="105"/>
  <c r="Q1142" i="105"/>
  <c r="N1142" i="105"/>
  <c r="M1142" i="105"/>
  <c r="L1142" i="105"/>
  <c r="K1142" i="105"/>
  <c r="AI1141" i="105"/>
  <c r="AH1141" i="105"/>
  <c r="AG1141" i="105"/>
  <c r="X1141" i="105"/>
  <c r="W1141" i="105"/>
  <c r="R1141" i="105"/>
  <c r="Q1141" i="105"/>
  <c r="N1141" i="105"/>
  <c r="M1141" i="105"/>
  <c r="L1141" i="105"/>
  <c r="K1141" i="105"/>
  <c r="AI1140" i="105"/>
  <c r="AH1140" i="105"/>
  <c r="AG1140" i="105"/>
  <c r="X1140" i="105"/>
  <c r="W1140" i="105"/>
  <c r="R1140" i="105"/>
  <c r="Q1140" i="105"/>
  <c r="N1140" i="105"/>
  <c r="M1140" i="105"/>
  <c r="L1140" i="105"/>
  <c r="K1140" i="105"/>
  <c r="AI1139" i="105"/>
  <c r="AH1139" i="105"/>
  <c r="AG1139" i="105"/>
  <c r="X1139" i="105"/>
  <c r="W1139" i="105"/>
  <c r="R1139" i="105"/>
  <c r="Q1139" i="105"/>
  <c r="N1139" i="105"/>
  <c r="M1139" i="105"/>
  <c r="L1139" i="105"/>
  <c r="K1139" i="105"/>
  <c r="AI1138" i="105"/>
  <c r="AG1138" i="105"/>
  <c r="X1138" i="105"/>
  <c r="X1137" i="105" s="1"/>
  <c r="W1138" i="105"/>
  <c r="R1138" i="105"/>
  <c r="R1137" i="105" s="1"/>
  <c r="Q1138" i="105"/>
  <c r="L1138" i="105"/>
  <c r="N1138" i="105" s="1"/>
  <c r="K1138" i="105"/>
  <c r="M1138" i="105" s="1"/>
  <c r="M1137" i="105" s="1"/>
  <c r="A1138" i="105"/>
  <c r="A1139" i="105" s="1"/>
  <c r="A1140" i="105" s="1"/>
  <c r="A1141" i="105" s="1"/>
  <c r="A1142" i="105" s="1"/>
  <c r="A1143" i="105" s="1"/>
  <c r="A1144" i="105" s="1"/>
  <c r="A1145" i="105" s="1"/>
  <c r="AH1137" i="105"/>
  <c r="AF1137" i="105"/>
  <c r="U1137" i="105"/>
  <c r="P1137" i="105"/>
  <c r="H1137" i="105"/>
  <c r="AI1136" i="105"/>
  <c r="AH1136" i="105"/>
  <c r="AG1136" i="105"/>
  <c r="X1136" i="105"/>
  <c r="W1136" i="105"/>
  <c r="R1136" i="105"/>
  <c r="Q1136" i="105"/>
  <c r="N1136" i="105"/>
  <c r="M1136" i="105"/>
  <c r="L1136" i="105"/>
  <c r="K1136" i="105"/>
  <c r="AI1135" i="105"/>
  <c r="AH1135" i="105"/>
  <c r="AG1135" i="105"/>
  <c r="X1135" i="105"/>
  <c r="W1135" i="105"/>
  <c r="R1135" i="105"/>
  <c r="Q1135" i="105"/>
  <c r="N1135" i="105"/>
  <c r="M1135" i="105"/>
  <c r="L1135" i="105"/>
  <c r="K1135" i="105"/>
  <c r="AI1134" i="105"/>
  <c r="AH1134" i="105"/>
  <c r="AG1134" i="105"/>
  <c r="X1134" i="105"/>
  <c r="W1134" i="105"/>
  <c r="R1134" i="105"/>
  <c r="Q1134" i="105"/>
  <c r="N1134" i="105"/>
  <c r="M1134" i="105"/>
  <c r="L1134" i="105"/>
  <c r="K1134" i="105"/>
  <c r="AI1133" i="105"/>
  <c r="AH1133" i="105"/>
  <c r="AG1133" i="105"/>
  <c r="X1133" i="105"/>
  <c r="W1133" i="105"/>
  <c r="R1133" i="105"/>
  <c r="Q1133" i="105"/>
  <c r="N1133" i="105"/>
  <c r="M1133" i="105"/>
  <c r="L1133" i="105"/>
  <c r="K1133" i="105"/>
  <c r="AI1132" i="105"/>
  <c r="AH1132" i="105"/>
  <c r="AG1132" i="105"/>
  <c r="X1132" i="105"/>
  <c r="W1132" i="105"/>
  <c r="R1132" i="105"/>
  <c r="Q1132" i="105"/>
  <c r="N1132" i="105"/>
  <c r="M1132" i="105"/>
  <c r="L1132" i="105"/>
  <c r="K1132" i="105"/>
  <c r="AI1131" i="105"/>
  <c r="AH1131" i="105"/>
  <c r="AG1131" i="105"/>
  <c r="X1131" i="105"/>
  <c r="W1131" i="105"/>
  <c r="R1131" i="105"/>
  <c r="Q1131" i="105"/>
  <c r="N1131" i="105"/>
  <c r="M1131" i="105"/>
  <c r="L1131" i="105"/>
  <c r="K1131" i="105"/>
  <c r="AI1130" i="105"/>
  <c r="AH1130" i="105"/>
  <c r="AG1130" i="105"/>
  <c r="X1130" i="105"/>
  <c r="W1130" i="105"/>
  <c r="R1130" i="105"/>
  <c r="Q1130" i="105"/>
  <c r="N1130" i="105"/>
  <c r="M1130" i="105"/>
  <c r="L1130" i="105"/>
  <c r="K1130" i="105"/>
  <c r="AI1129" i="105"/>
  <c r="AH1129" i="105"/>
  <c r="AG1129" i="105"/>
  <c r="X1129" i="105"/>
  <c r="W1129" i="105"/>
  <c r="R1129" i="105"/>
  <c r="Q1129" i="105"/>
  <c r="N1129" i="105"/>
  <c r="M1129" i="105"/>
  <c r="L1129" i="105"/>
  <c r="K1129" i="105"/>
  <c r="AI1128" i="105"/>
  <c r="AH1128" i="105"/>
  <c r="AG1128" i="105"/>
  <c r="X1128" i="105"/>
  <c r="W1128" i="105"/>
  <c r="R1128" i="105"/>
  <c r="Q1128" i="105"/>
  <c r="N1128" i="105"/>
  <c r="M1128" i="105"/>
  <c r="L1128" i="105"/>
  <c r="K1128" i="105"/>
  <c r="AI1127" i="105"/>
  <c r="AH1127" i="105"/>
  <c r="AG1127" i="105"/>
  <c r="X1127" i="105"/>
  <c r="W1127" i="105"/>
  <c r="R1127" i="105"/>
  <c r="Q1127" i="105"/>
  <c r="N1127" i="105"/>
  <c r="M1127" i="105"/>
  <c r="L1127" i="105"/>
  <c r="K1127" i="105"/>
  <c r="AI1126" i="105"/>
  <c r="AH1126" i="105"/>
  <c r="AG1126" i="105"/>
  <c r="X1126" i="105"/>
  <c r="W1126" i="105"/>
  <c r="R1126" i="105"/>
  <c r="Q1126" i="105"/>
  <c r="N1126" i="105"/>
  <c r="M1126" i="105"/>
  <c r="L1126" i="105"/>
  <c r="K1126" i="105"/>
  <c r="AI1125" i="105"/>
  <c r="AH1125" i="105"/>
  <c r="AG1125" i="105"/>
  <c r="X1125" i="105"/>
  <c r="W1125" i="105"/>
  <c r="R1125" i="105"/>
  <c r="Q1125" i="105"/>
  <c r="N1125" i="105"/>
  <c r="M1125" i="105"/>
  <c r="L1125" i="105"/>
  <c r="K1125" i="105"/>
  <c r="AI1124" i="105"/>
  <c r="AH1124" i="105"/>
  <c r="AG1124" i="105"/>
  <c r="X1124" i="105"/>
  <c r="W1124" i="105"/>
  <c r="R1124" i="105"/>
  <c r="Q1124" i="105"/>
  <c r="N1124" i="105"/>
  <c r="M1124" i="105"/>
  <c r="L1124" i="105"/>
  <c r="K1124" i="105"/>
  <c r="AI1123" i="105"/>
  <c r="AH1123" i="105"/>
  <c r="AG1123" i="105"/>
  <c r="X1123" i="105"/>
  <c r="W1123" i="105"/>
  <c r="R1123" i="105"/>
  <c r="Q1123" i="105"/>
  <c r="N1123" i="105"/>
  <c r="M1123" i="105"/>
  <c r="L1123" i="105"/>
  <c r="K1123" i="105"/>
  <c r="AI1122" i="105"/>
  <c r="AH1122" i="105"/>
  <c r="AG1122" i="105"/>
  <c r="X1122" i="105"/>
  <c r="W1122" i="105"/>
  <c r="R1122" i="105"/>
  <c r="Q1122" i="105"/>
  <c r="N1122" i="105"/>
  <c r="M1122" i="105"/>
  <c r="L1122" i="105"/>
  <c r="K1122" i="105"/>
  <c r="AI1121" i="105"/>
  <c r="AH1121" i="105"/>
  <c r="AG1121" i="105"/>
  <c r="X1121" i="105"/>
  <c r="W1121" i="105"/>
  <c r="R1121" i="105"/>
  <c r="Q1121" i="105"/>
  <c r="N1121" i="105"/>
  <c r="M1121" i="105"/>
  <c r="L1121" i="105"/>
  <c r="K1121" i="105"/>
  <c r="AI1120" i="105"/>
  <c r="AH1120" i="105"/>
  <c r="AG1120" i="105"/>
  <c r="X1120" i="105"/>
  <c r="W1120" i="105"/>
  <c r="R1120" i="105"/>
  <c r="Q1120" i="105"/>
  <c r="N1120" i="105"/>
  <c r="M1120" i="105"/>
  <c r="L1120" i="105"/>
  <c r="K1120" i="105"/>
  <c r="AI1119" i="105"/>
  <c r="AH1119" i="105"/>
  <c r="AG1119" i="105"/>
  <c r="X1119" i="105"/>
  <c r="W1119" i="105"/>
  <c r="R1119" i="105"/>
  <c r="Q1119" i="105"/>
  <c r="N1119" i="105"/>
  <c r="M1119" i="105"/>
  <c r="L1119" i="105"/>
  <c r="K1119" i="105"/>
  <c r="AI1118" i="105"/>
  <c r="AH1118" i="105"/>
  <c r="AG1118" i="105"/>
  <c r="X1118" i="105"/>
  <c r="W1118" i="105"/>
  <c r="R1118" i="105"/>
  <c r="Q1118" i="105"/>
  <c r="N1118" i="105"/>
  <c r="M1118" i="105"/>
  <c r="L1118" i="105"/>
  <c r="K1118" i="105"/>
  <c r="AI1117" i="105"/>
  <c r="AH1117" i="105"/>
  <c r="AG1117" i="105"/>
  <c r="X1117" i="105"/>
  <c r="W1117" i="105"/>
  <c r="R1117" i="105"/>
  <c r="Q1117" i="105"/>
  <c r="N1117" i="105"/>
  <c r="M1117" i="105"/>
  <c r="L1117" i="105"/>
  <c r="K1117" i="105"/>
  <c r="AI1116" i="105"/>
  <c r="AH1116" i="105"/>
  <c r="AG1116" i="105"/>
  <c r="X1116" i="105"/>
  <c r="W1116" i="105"/>
  <c r="R1116" i="105"/>
  <c r="Q1116" i="105"/>
  <c r="N1116" i="105"/>
  <c r="M1116" i="105"/>
  <c r="L1116" i="105"/>
  <c r="K1116" i="105"/>
  <c r="AI1115" i="105"/>
  <c r="AH1115" i="105"/>
  <c r="AG1115" i="105"/>
  <c r="X1115" i="105"/>
  <c r="W1115" i="105"/>
  <c r="R1115" i="105"/>
  <c r="Q1115" i="105"/>
  <c r="N1115" i="105"/>
  <c r="M1115" i="105"/>
  <c r="L1115" i="105"/>
  <c r="K1115" i="105"/>
  <c r="AI1114" i="105"/>
  <c r="AH1114" i="105"/>
  <c r="AG1114" i="105"/>
  <c r="X1114" i="105"/>
  <c r="W1114" i="105"/>
  <c r="R1114" i="105"/>
  <c r="Q1114" i="105"/>
  <c r="L1114" i="105"/>
  <c r="N1114" i="105" s="1"/>
  <c r="I1114" i="105" s="1"/>
  <c r="K1114" i="105"/>
  <c r="M1114" i="105" s="1"/>
  <c r="AI1113" i="105"/>
  <c r="AG1113" i="105"/>
  <c r="X1113" i="105"/>
  <c r="W1113" i="105"/>
  <c r="R1113" i="105"/>
  <c r="Q1113" i="105"/>
  <c r="L1113" i="105"/>
  <c r="N1113" i="105" s="1"/>
  <c r="K1113" i="105"/>
  <c r="H1113" i="105"/>
  <c r="M1113" i="105" s="1"/>
  <c r="M1112" i="105" s="1"/>
  <c r="A1113" i="105"/>
  <c r="A1114" i="105" s="1"/>
  <c r="A1115" i="105" s="1"/>
  <c r="A1116" i="105" s="1"/>
  <c r="A1117" i="105" s="1"/>
  <c r="A1118" i="105" s="1"/>
  <c r="A1119" i="105" s="1"/>
  <c r="A1120" i="105" s="1"/>
  <c r="A1121" i="105" s="1"/>
  <c r="A1122" i="105" s="1"/>
  <c r="A1123" i="105" s="1"/>
  <c r="A1124" i="105" s="1"/>
  <c r="A1125" i="105" s="1"/>
  <c r="A1126" i="105" s="1"/>
  <c r="A1127" i="105" s="1"/>
  <c r="A1128" i="105" s="1"/>
  <c r="A1129" i="105" s="1"/>
  <c r="A1130" i="105" s="1"/>
  <c r="A1131" i="105" s="1"/>
  <c r="A1132" i="105" s="1"/>
  <c r="A1133" i="105" s="1"/>
  <c r="A1134" i="105" s="1"/>
  <c r="A1135" i="105" s="1"/>
  <c r="A1136" i="105" s="1"/>
  <c r="AH1112" i="105"/>
  <c r="AF1112" i="105"/>
  <c r="X1112" i="105"/>
  <c r="U1112" i="105"/>
  <c r="R1112" i="105"/>
  <c r="P1112" i="105"/>
  <c r="H1112" i="105"/>
  <c r="AI1111" i="105"/>
  <c r="AH1111" i="105"/>
  <c r="AG1111" i="105"/>
  <c r="X1111" i="105"/>
  <c r="W1111" i="105"/>
  <c r="R1111" i="105"/>
  <c r="Q1111" i="105"/>
  <c r="N1111" i="105"/>
  <c r="M1111" i="105"/>
  <c r="L1111" i="105"/>
  <c r="K1111" i="105"/>
  <c r="AI1110" i="105"/>
  <c r="AH1110" i="105"/>
  <c r="AG1110" i="105"/>
  <c r="X1110" i="105"/>
  <c r="W1110" i="105"/>
  <c r="R1110" i="105"/>
  <c r="Q1110" i="105"/>
  <c r="N1110" i="105"/>
  <c r="M1110" i="105"/>
  <c r="L1110" i="105"/>
  <c r="K1110" i="105"/>
  <c r="AI1109" i="105"/>
  <c r="AH1109" i="105"/>
  <c r="AG1109" i="105"/>
  <c r="X1109" i="105"/>
  <c r="R1109" i="105"/>
  <c r="Q1109" i="105"/>
  <c r="N1109" i="105"/>
  <c r="M1109" i="105"/>
  <c r="L1109" i="105"/>
  <c r="K1109" i="105"/>
  <c r="AI1108" i="105"/>
  <c r="AH1108" i="105"/>
  <c r="AG1108" i="105"/>
  <c r="X1108" i="105"/>
  <c r="R1108" i="105"/>
  <c r="Q1108" i="105"/>
  <c r="N1108" i="105"/>
  <c r="M1108" i="105"/>
  <c r="L1108" i="105"/>
  <c r="K1108" i="105"/>
  <c r="AI1107" i="105"/>
  <c r="AH1107" i="105"/>
  <c r="AG1107" i="105"/>
  <c r="X1107" i="105"/>
  <c r="R1107" i="105"/>
  <c r="Q1107" i="105"/>
  <c r="N1107" i="105"/>
  <c r="M1107" i="105"/>
  <c r="L1107" i="105"/>
  <c r="K1107" i="105"/>
  <c r="AI1106" i="105"/>
  <c r="AH1106" i="105"/>
  <c r="AG1106" i="105"/>
  <c r="X1106" i="105"/>
  <c r="R1106" i="105"/>
  <c r="Q1106" i="105"/>
  <c r="N1106" i="105"/>
  <c r="M1106" i="105"/>
  <c r="L1106" i="105"/>
  <c r="K1106" i="105"/>
  <c r="AI1105" i="105"/>
  <c r="AH1105" i="105"/>
  <c r="AG1105" i="105"/>
  <c r="X1105" i="105"/>
  <c r="R1105" i="105"/>
  <c r="Q1105" i="105"/>
  <c r="N1105" i="105"/>
  <c r="M1105" i="105"/>
  <c r="L1105" i="105"/>
  <c r="K1105" i="105"/>
  <c r="AI1104" i="105"/>
  <c r="AH1104" i="105"/>
  <c r="AG1104" i="105"/>
  <c r="X1104" i="105"/>
  <c r="R1104" i="105"/>
  <c r="Q1104" i="105"/>
  <c r="N1104" i="105"/>
  <c r="M1104" i="105"/>
  <c r="L1104" i="105"/>
  <c r="K1104" i="105"/>
  <c r="AI1103" i="105"/>
  <c r="AH1103" i="105"/>
  <c r="AG1103" i="105"/>
  <c r="X1103" i="105"/>
  <c r="R1103" i="105"/>
  <c r="Q1103" i="105"/>
  <c r="L1103" i="105"/>
  <c r="K1103" i="105"/>
  <c r="H1103" i="105"/>
  <c r="N1103" i="105" s="1"/>
  <c r="I1103" i="105" s="1"/>
  <c r="AI1102" i="105"/>
  <c r="AG1102" i="105"/>
  <c r="X1102" i="105"/>
  <c r="R1102" i="105"/>
  <c r="Q1102" i="105"/>
  <c r="L1102" i="105"/>
  <c r="K1102" i="105"/>
  <c r="H1102" i="105"/>
  <c r="N1102" i="105" s="1"/>
  <c r="A1102" i="105"/>
  <c r="A1103" i="105" s="1"/>
  <c r="A1104" i="105" s="1"/>
  <c r="A1105" i="105" s="1"/>
  <c r="A1106" i="105" s="1"/>
  <c r="A1107" i="105" s="1"/>
  <c r="A1108" i="105" s="1"/>
  <c r="A1109" i="105" s="1"/>
  <c r="A1110" i="105" s="1"/>
  <c r="A1111" i="105" s="1"/>
  <c r="AH1101" i="105"/>
  <c r="AF1101" i="105"/>
  <c r="X1101" i="105"/>
  <c r="U1101" i="105"/>
  <c r="R1101" i="105"/>
  <c r="P1101" i="105"/>
  <c r="H1101" i="105"/>
  <c r="AI1100" i="105"/>
  <c r="AH1100" i="105"/>
  <c r="AG1100" i="105"/>
  <c r="X1100" i="105"/>
  <c r="W1100" i="105"/>
  <c r="R1100" i="105"/>
  <c r="Q1100" i="105"/>
  <c r="N1100" i="105"/>
  <c r="M1100" i="105"/>
  <c r="L1100" i="105"/>
  <c r="K1100" i="105"/>
  <c r="AI1099" i="105"/>
  <c r="AH1099" i="105"/>
  <c r="AG1099" i="105"/>
  <c r="X1099" i="105"/>
  <c r="W1099" i="105"/>
  <c r="R1099" i="105"/>
  <c r="Q1099" i="105"/>
  <c r="N1099" i="105"/>
  <c r="M1099" i="105"/>
  <c r="L1099" i="105"/>
  <c r="K1099" i="105"/>
  <c r="AI1098" i="105"/>
  <c r="AH1098" i="105"/>
  <c r="AG1098" i="105"/>
  <c r="X1098" i="105"/>
  <c r="R1098" i="105"/>
  <c r="Q1098" i="105"/>
  <c r="N1098" i="105"/>
  <c r="M1098" i="105"/>
  <c r="L1098" i="105"/>
  <c r="K1098" i="105"/>
  <c r="AI1097" i="105"/>
  <c r="AH1097" i="105"/>
  <c r="AG1097" i="105"/>
  <c r="X1097" i="105"/>
  <c r="R1097" i="105"/>
  <c r="Q1097" i="105"/>
  <c r="N1097" i="105"/>
  <c r="M1097" i="105"/>
  <c r="L1097" i="105"/>
  <c r="K1097" i="105"/>
  <c r="AI1096" i="105"/>
  <c r="AH1096" i="105"/>
  <c r="AG1096" i="105"/>
  <c r="X1096" i="105"/>
  <c r="R1096" i="105"/>
  <c r="Q1096" i="105"/>
  <c r="N1096" i="105"/>
  <c r="M1096" i="105"/>
  <c r="L1096" i="105"/>
  <c r="K1096" i="105"/>
  <c r="AI1095" i="105"/>
  <c r="AH1095" i="105"/>
  <c r="AG1095" i="105"/>
  <c r="X1095" i="105"/>
  <c r="R1095" i="105"/>
  <c r="Q1095" i="105"/>
  <c r="N1095" i="105"/>
  <c r="M1095" i="105"/>
  <c r="L1095" i="105"/>
  <c r="K1095" i="105"/>
  <c r="AI1094" i="105"/>
  <c r="AH1094" i="105"/>
  <c r="AG1094" i="105"/>
  <c r="X1094" i="105"/>
  <c r="Q1094" i="105"/>
  <c r="R1094" i="105" s="1"/>
  <c r="N1094" i="105"/>
  <c r="M1094" i="105"/>
  <c r="L1094" i="105"/>
  <c r="K1094" i="105"/>
  <c r="AI1093" i="105"/>
  <c r="AH1093" i="105"/>
  <c r="AG1093" i="105"/>
  <c r="X1093" i="105"/>
  <c r="R1093" i="105"/>
  <c r="Q1093" i="105"/>
  <c r="N1093" i="105"/>
  <c r="M1093" i="105"/>
  <c r="L1093" i="105"/>
  <c r="K1093" i="105"/>
  <c r="AI1092" i="105"/>
  <c r="AH1092" i="105"/>
  <c r="AG1092" i="105"/>
  <c r="X1092" i="105"/>
  <c r="Q1092" i="105"/>
  <c r="R1092" i="105" s="1"/>
  <c r="N1092" i="105"/>
  <c r="M1092" i="105"/>
  <c r="L1092" i="105"/>
  <c r="K1092" i="105"/>
  <c r="AI1091" i="105"/>
  <c r="AH1091" i="105"/>
  <c r="AG1091" i="105"/>
  <c r="X1091" i="105"/>
  <c r="R1091" i="105"/>
  <c r="Q1091" i="105"/>
  <c r="N1091" i="105"/>
  <c r="M1091" i="105"/>
  <c r="L1091" i="105"/>
  <c r="K1091" i="105"/>
  <c r="AI1090" i="105"/>
  <c r="AH1090" i="105"/>
  <c r="AG1090" i="105"/>
  <c r="X1090" i="105"/>
  <c r="Q1090" i="105"/>
  <c r="R1090" i="105" s="1"/>
  <c r="N1090" i="105"/>
  <c r="M1090" i="105"/>
  <c r="L1090" i="105"/>
  <c r="K1090" i="105"/>
  <c r="AI1089" i="105"/>
  <c r="AH1089" i="105"/>
  <c r="AG1089" i="105"/>
  <c r="X1089" i="105"/>
  <c r="Q1089" i="105"/>
  <c r="R1089" i="105" s="1"/>
  <c r="N1089" i="105"/>
  <c r="M1089" i="105"/>
  <c r="L1089" i="105"/>
  <c r="K1089" i="105"/>
  <c r="AI1088" i="105"/>
  <c r="AH1088" i="105"/>
  <c r="AG1088" i="105"/>
  <c r="X1088" i="105"/>
  <c r="Q1088" i="105"/>
  <c r="R1088" i="105" s="1"/>
  <c r="N1088" i="105"/>
  <c r="M1088" i="105"/>
  <c r="L1088" i="105"/>
  <c r="K1088" i="105"/>
  <c r="AI1087" i="105"/>
  <c r="AH1087" i="105"/>
  <c r="AG1087" i="105"/>
  <c r="X1087" i="105"/>
  <c r="Q1087" i="105"/>
  <c r="R1087" i="105" s="1"/>
  <c r="N1087" i="105"/>
  <c r="M1087" i="105"/>
  <c r="L1087" i="105"/>
  <c r="K1087" i="105"/>
  <c r="AI1086" i="105"/>
  <c r="AH1086" i="105"/>
  <c r="AG1086" i="105"/>
  <c r="X1086" i="105"/>
  <c r="Q1086" i="105"/>
  <c r="R1086" i="105" s="1"/>
  <c r="N1086" i="105"/>
  <c r="M1086" i="105"/>
  <c r="L1086" i="105"/>
  <c r="K1086" i="105"/>
  <c r="AI1085" i="105"/>
  <c r="AH1085" i="105"/>
  <c r="AG1085" i="105"/>
  <c r="X1085" i="105"/>
  <c r="Q1085" i="105"/>
  <c r="R1085" i="105" s="1"/>
  <c r="N1085" i="105"/>
  <c r="M1085" i="105"/>
  <c r="L1085" i="105"/>
  <c r="K1085" i="105"/>
  <c r="AI1084" i="105"/>
  <c r="AH1084" i="105"/>
  <c r="AG1084" i="105"/>
  <c r="X1084" i="105"/>
  <c r="R1084" i="105"/>
  <c r="Q1084" i="105"/>
  <c r="N1084" i="105"/>
  <c r="M1084" i="105"/>
  <c r="L1084" i="105"/>
  <c r="K1084" i="105"/>
  <c r="AI1083" i="105"/>
  <c r="AH1083" i="105"/>
  <c r="AG1083" i="105"/>
  <c r="X1083" i="105"/>
  <c r="Q1083" i="105"/>
  <c r="R1083" i="105" s="1"/>
  <c r="N1083" i="105"/>
  <c r="M1083" i="105"/>
  <c r="L1083" i="105"/>
  <c r="K1083" i="105"/>
  <c r="AI1082" i="105"/>
  <c r="AH1082" i="105"/>
  <c r="AG1082" i="105"/>
  <c r="X1082" i="105"/>
  <c r="R1082" i="105"/>
  <c r="Q1082" i="105"/>
  <c r="N1082" i="105"/>
  <c r="M1082" i="105"/>
  <c r="L1082" i="105"/>
  <c r="K1082" i="105"/>
  <c r="AI1081" i="105"/>
  <c r="AH1081" i="105"/>
  <c r="AG1081" i="105"/>
  <c r="X1081" i="105"/>
  <c r="Q1081" i="105"/>
  <c r="R1081" i="105" s="1"/>
  <c r="N1081" i="105"/>
  <c r="M1081" i="105"/>
  <c r="L1081" i="105"/>
  <c r="K1081" i="105"/>
  <c r="AI1080" i="105"/>
  <c r="AH1080" i="105"/>
  <c r="AG1080" i="105"/>
  <c r="X1080" i="105"/>
  <c r="Q1080" i="105"/>
  <c r="R1080" i="105" s="1"/>
  <c r="L1080" i="105"/>
  <c r="N1080" i="105" s="1"/>
  <c r="I1080" i="105" s="1"/>
  <c r="K1080" i="105"/>
  <c r="M1080" i="105" s="1"/>
  <c r="AI1079" i="105"/>
  <c r="AH1079" i="105"/>
  <c r="AG1079" i="105"/>
  <c r="X1079" i="105"/>
  <c r="Q1079" i="105"/>
  <c r="R1079" i="105" s="1"/>
  <c r="R1077" i="105" s="1"/>
  <c r="L1079" i="105"/>
  <c r="N1079" i="105" s="1"/>
  <c r="I1079" i="105" s="1"/>
  <c r="K1079" i="105"/>
  <c r="M1079" i="105" s="1"/>
  <c r="AI1078" i="105"/>
  <c r="AG1078" i="105"/>
  <c r="X1078" i="105"/>
  <c r="R1078" i="105"/>
  <c r="Q1078" i="105"/>
  <c r="L1078" i="105"/>
  <c r="N1078" i="105" s="1"/>
  <c r="K1078" i="105"/>
  <c r="M1078" i="105" s="1"/>
  <c r="A1078" i="105"/>
  <c r="A1079" i="105" s="1"/>
  <c r="A1080" i="105" s="1"/>
  <c r="A1081" i="105" s="1"/>
  <c r="A1082" i="105" s="1"/>
  <c r="A1083" i="105" s="1"/>
  <c r="A1084" i="105" s="1"/>
  <c r="A1085" i="105" s="1"/>
  <c r="A1086" i="105" s="1"/>
  <c r="A1087" i="105" s="1"/>
  <c r="A1088" i="105" s="1"/>
  <c r="A1089" i="105" s="1"/>
  <c r="A1090" i="105" s="1"/>
  <c r="A1091" i="105" s="1"/>
  <c r="A1092" i="105" s="1"/>
  <c r="A1093" i="105" s="1"/>
  <c r="A1094" i="105" s="1"/>
  <c r="A1095" i="105" s="1"/>
  <c r="A1096" i="105" s="1"/>
  <c r="A1097" i="105" s="1"/>
  <c r="A1098" i="105" s="1"/>
  <c r="A1099" i="105" s="1"/>
  <c r="A1100" i="105" s="1"/>
  <c r="AH1077" i="105"/>
  <c r="AF1077" i="105"/>
  <c r="X1077" i="105"/>
  <c r="U1077" i="105"/>
  <c r="P1077" i="105"/>
  <c r="H1077" i="105"/>
  <c r="AI1076" i="105"/>
  <c r="AH1076" i="105"/>
  <c r="AG1076" i="105"/>
  <c r="X1076" i="105"/>
  <c r="W1076" i="105"/>
  <c r="R1076" i="105"/>
  <c r="Q1076" i="105"/>
  <c r="N1076" i="105"/>
  <c r="M1076" i="105"/>
  <c r="L1076" i="105"/>
  <c r="K1076" i="105"/>
  <c r="AI1075" i="105"/>
  <c r="AH1075" i="105"/>
  <c r="AG1075" i="105"/>
  <c r="X1075" i="105"/>
  <c r="W1075" i="105"/>
  <c r="R1075" i="105"/>
  <c r="Q1075" i="105"/>
  <c r="N1075" i="105"/>
  <c r="M1075" i="105"/>
  <c r="L1075" i="105"/>
  <c r="K1075" i="105"/>
  <c r="AI1074" i="105"/>
  <c r="AH1074" i="105"/>
  <c r="AG1074" i="105"/>
  <c r="X1074" i="105"/>
  <c r="W1074" i="105"/>
  <c r="R1074" i="105"/>
  <c r="Q1074" i="105"/>
  <c r="N1074" i="105"/>
  <c r="M1074" i="105"/>
  <c r="L1074" i="105"/>
  <c r="K1074" i="105"/>
  <c r="AI1073" i="105"/>
  <c r="AH1073" i="105"/>
  <c r="AG1073" i="105"/>
  <c r="X1073" i="105"/>
  <c r="W1073" i="105"/>
  <c r="R1073" i="105"/>
  <c r="Q1073" i="105"/>
  <c r="N1073" i="105"/>
  <c r="M1073" i="105"/>
  <c r="L1073" i="105"/>
  <c r="K1073" i="105"/>
  <c r="AI1072" i="105"/>
  <c r="AH1072" i="105"/>
  <c r="AG1072" i="105"/>
  <c r="X1072" i="105"/>
  <c r="W1072" i="105"/>
  <c r="R1072" i="105"/>
  <c r="Q1072" i="105"/>
  <c r="N1072" i="105"/>
  <c r="M1072" i="105"/>
  <c r="L1072" i="105"/>
  <c r="K1072" i="105"/>
  <c r="AI1071" i="105"/>
  <c r="AH1071" i="105"/>
  <c r="AG1071" i="105"/>
  <c r="X1071" i="105"/>
  <c r="W1071" i="105"/>
  <c r="R1071" i="105"/>
  <c r="Q1071" i="105"/>
  <c r="N1071" i="105"/>
  <c r="M1071" i="105"/>
  <c r="L1071" i="105"/>
  <c r="K1071" i="105"/>
  <c r="AI1070" i="105"/>
  <c r="AH1070" i="105"/>
  <c r="AG1070" i="105"/>
  <c r="X1070" i="105"/>
  <c r="W1070" i="105"/>
  <c r="R1070" i="105"/>
  <c r="Q1070" i="105"/>
  <c r="N1070" i="105"/>
  <c r="M1070" i="105"/>
  <c r="L1070" i="105"/>
  <c r="K1070" i="105"/>
  <c r="AI1069" i="105"/>
  <c r="AH1069" i="105"/>
  <c r="AG1069" i="105"/>
  <c r="X1069" i="105"/>
  <c r="W1069" i="105"/>
  <c r="R1069" i="105"/>
  <c r="Q1069" i="105"/>
  <c r="L1069" i="105"/>
  <c r="N1069" i="105" s="1"/>
  <c r="K1069" i="105"/>
  <c r="M1069" i="105" s="1"/>
  <c r="M1068" i="105" s="1"/>
  <c r="A1069" i="105"/>
  <c r="A1070" i="105" s="1"/>
  <c r="A1071" i="105" s="1"/>
  <c r="A1072" i="105" s="1"/>
  <c r="A1073" i="105" s="1"/>
  <c r="A1074" i="105" s="1"/>
  <c r="A1075" i="105" s="1"/>
  <c r="A1076" i="105" s="1"/>
  <c r="AH1068" i="105"/>
  <c r="AF1068" i="105"/>
  <c r="X1068" i="105"/>
  <c r="U1068" i="105"/>
  <c r="R1068" i="105"/>
  <c r="P1068" i="105"/>
  <c r="H1068" i="105"/>
  <c r="AI1067" i="105"/>
  <c r="AH1067" i="105"/>
  <c r="AG1067" i="105"/>
  <c r="X1067" i="105"/>
  <c r="W1067" i="105"/>
  <c r="R1067" i="105"/>
  <c r="Q1067" i="105"/>
  <c r="N1067" i="105"/>
  <c r="M1067" i="105"/>
  <c r="L1067" i="105"/>
  <c r="K1067" i="105"/>
  <c r="AI1066" i="105"/>
  <c r="AH1066" i="105"/>
  <c r="AG1066" i="105"/>
  <c r="X1066" i="105"/>
  <c r="W1066" i="105"/>
  <c r="R1066" i="105"/>
  <c r="Q1066" i="105"/>
  <c r="N1066" i="105"/>
  <c r="M1066" i="105"/>
  <c r="L1066" i="105"/>
  <c r="K1066" i="105"/>
  <c r="AI1065" i="105"/>
  <c r="AH1065" i="105"/>
  <c r="AG1065" i="105"/>
  <c r="X1065" i="105"/>
  <c r="W1065" i="105"/>
  <c r="R1065" i="105"/>
  <c r="Q1065" i="105"/>
  <c r="N1065" i="105"/>
  <c r="M1065" i="105"/>
  <c r="L1065" i="105"/>
  <c r="K1065" i="105"/>
  <c r="AI1064" i="105"/>
  <c r="AH1064" i="105"/>
  <c r="AG1064" i="105"/>
  <c r="X1064" i="105"/>
  <c r="W1064" i="105"/>
  <c r="R1064" i="105"/>
  <c r="Q1064" i="105"/>
  <c r="N1064" i="105"/>
  <c r="M1064" i="105"/>
  <c r="L1064" i="105"/>
  <c r="K1064" i="105"/>
  <c r="AI1063" i="105"/>
  <c r="AH1063" i="105"/>
  <c r="AG1063" i="105"/>
  <c r="X1063" i="105"/>
  <c r="W1063" i="105"/>
  <c r="R1063" i="105"/>
  <c r="Q1063" i="105"/>
  <c r="N1063" i="105"/>
  <c r="M1063" i="105"/>
  <c r="L1063" i="105"/>
  <c r="K1063" i="105"/>
  <c r="AI1062" i="105"/>
  <c r="AH1062" i="105"/>
  <c r="AG1062" i="105"/>
  <c r="X1062" i="105"/>
  <c r="W1062" i="105"/>
  <c r="R1062" i="105"/>
  <c r="Q1062" i="105"/>
  <c r="N1062" i="105"/>
  <c r="M1062" i="105"/>
  <c r="L1062" i="105"/>
  <c r="K1062" i="105"/>
  <c r="AI1061" i="105"/>
  <c r="AH1061" i="105"/>
  <c r="AG1061" i="105"/>
  <c r="X1061" i="105"/>
  <c r="W1061" i="105"/>
  <c r="R1061" i="105"/>
  <c r="Q1061" i="105"/>
  <c r="N1061" i="105"/>
  <c r="M1061" i="105"/>
  <c r="L1061" i="105"/>
  <c r="K1061" i="105"/>
  <c r="AI1060" i="105"/>
  <c r="AH1060" i="105"/>
  <c r="AG1060" i="105"/>
  <c r="X1060" i="105"/>
  <c r="W1060" i="105"/>
  <c r="R1060" i="105"/>
  <c r="Q1060" i="105"/>
  <c r="N1060" i="105"/>
  <c r="M1060" i="105"/>
  <c r="L1060" i="105"/>
  <c r="K1060" i="105"/>
  <c r="AI1059" i="105"/>
  <c r="AH1059" i="105"/>
  <c r="AG1059" i="105"/>
  <c r="W1059" i="105"/>
  <c r="X1059" i="105" s="1"/>
  <c r="X1058" i="105" s="1"/>
  <c r="R1059" i="105"/>
  <c r="Q1059" i="105"/>
  <c r="L1059" i="105"/>
  <c r="N1059" i="105" s="1"/>
  <c r="K1059" i="105"/>
  <c r="M1059" i="105" s="1"/>
  <c r="M1058" i="105" s="1"/>
  <c r="A1059" i="105"/>
  <c r="A1060" i="105" s="1"/>
  <c r="A1061" i="105" s="1"/>
  <c r="A1062" i="105" s="1"/>
  <c r="A1063" i="105" s="1"/>
  <c r="A1064" i="105" s="1"/>
  <c r="A1065" i="105" s="1"/>
  <c r="A1066" i="105" s="1"/>
  <c r="A1067" i="105" s="1"/>
  <c r="AH1058" i="105"/>
  <c r="AF1058" i="105"/>
  <c r="U1058" i="105"/>
  <c r="R1058" i="105"/>
  <c r="P1058" i="105"/>
  <c r="H1058" i="105"/>
  <c r="AI1057" i="105"/>
  <c r="AH1057" i="105"/>
  <c r="AG1057" i="105"/>
  <c r="X1057" i="105"/>
  <c r="W1057" i="105"/>
  <c r="R1057" i="105"/>
  <c r="Q1057" i="105"/>
  <c r="N1057" i="105"/>
  <c r="M1057" i="105"/>
  <c r="L1057" i="105"/>
  <c r="K1057" i="105"/>
  <c r="AI1056" i="105"/>
  <c r="AH1056" i="105"/>
  <c r="AG1056" i="105"/>
  <c r="X1056" i="105"/>
  <c r="W1056" i="105"/>
  <c r="R1056" i="105"/>
  <c r="Q1056" i="105"/>
  <c r="N1056" i="105"/>
  <c r="M1056" i="105"/>
  <c r="L1056" i="105"/>
  <c r="K1056" i="105"/>
  <c r="AI1055" i="105"/>
  <c r="AH1055" i="105"/>
  <c r="AG1055" i="105"/>
  <c r="X1055" i="105"/>
  <c r="W1055" i="105"/>
  <c r="R1055" i="105"/>
  <c r="Q1055" i="105"/>
  <c r="N1055" i="105"/>
  <c r="M1055" i="105"/>
  <c r="L1055" i="105"/>
  <c r="K1055" i="105"/>
  <c r="AI1054" i="105"/>
  <c r="AH1054" i="105"/>
  <c r="AG1054" i="105"/>
  <c r="X1054" i="105"/>
  <c r="W1054" i="105"/>
  <c r="Q1054" i="105"/>
  <c r="R1054" i="105" s="1"/>
  <c r="N1054" i="105"/>
  <c r="M1054" i="105"/>
  <c r="L1054" i="105"/>
  <c r="K1054" i="105"/>
  <c r="AI1053" i="105"/>
  <c r="AH1053" i="105"/>
  <c r="AG1053" i="105"/>
  <c r="X1053" i="105"/>
  <c r="W1053" i="105"/>
  <c r="Q1053" i="105"/>
  <c r="R1053" i="105" s="1"/>
  <c r="N1053" i="105"/>
  <c r="M1053" i="105"/>
  <c r="L1053" i="105"/>
  <c r="K1053" i="105"/>
  <c r="AI1052" i="105"/>
  <c r="AH1052" i="105"/>
  <c r="AG1052" i="105"/>
  <c r="X1052" i="105"/>
  <c r="W1052" i="105"/>
  <c r="Q1052" i="105"/>
  <c r="R1052" i="105" s="1"/>
  <c r="N1052" i="105"/>
  <c r="M1052" i="105"/>
  <c r="L1052" i="105"/>
  <c r="K1052" i="105"/>
  <c r="AI1051" i="105"/>
  <c r="AH1051" i="105"/>
  <c r="AG1051" i="105"/>
  <c r="X1051" i="105"/>
  <c r="W1051" i="105"/>
  <c r="Q1051" i="105"/>
  <c r="R1051" i="105" s="1"/>
  <c r="N1051" i="105"/>
  <c r="M1051" i="105"/>
  <c r="L1051" i="105"/>
  <c r="K1051" i="105"/>
  <c r="AI1050" i="105"/>
  <c r="AH1050" i="105"/>
  <c r="AG1050" i="105"/>
  <c r="X1050" i="105"/>
  <c r="W1050" i="105"/>
  <c r="Q1050" i="105"/>
  <c r="R1050" i="105" s="1"/>
  <c r="N1050" i="105"/>
  <c r="M1050" i="105"/>
  <c r="L1050" i="105"/>
  <c r="K1050" i="105"/>
  <c r="AI1049" i="105"/>
  <c r="AH1049" i="105"/>
  <c r="AG1049" i="105"/>
  <c r="X1049" i="105"/>
  <c r="W1049" i="105"/>
  <c r="Q1049" i="105"/>
  <c r="R1049" i="105" s="1"/>
  <c r="N1049" i="105"/>
  <c r="M1049" i="105"/>
  <c r="L1049" i="105"/>
  <c r="K1049" i="105"/>
  <c r="AI1048" i="105"/>
  <c r="AH1048" i="105"/>
  <c r="AG1048" i="105"/>
  <c r="X1048" i="105"/>
  <c r="W1048" i="105"/>
  <c r="Q1048" i="105"/>
  <c r="R1048" i="105" s="1"/>
  <c r="N1048" i="105"/>
  <c r="M1048" i="105"/>
  <c r="L1048" i="105"/>
  <c r="K1048" i="105"/>
  <c r="AI1047" i="105"/>
  <c r="AH1047" i="105"/>
  <c r="AG1047" i="105"/>
  <c r="X1047" i="105"/>
  <c r="W1047" i="105"/>
  <c r="Q1047" i="105"/>
  <c r="R1047" i="105" s="1"/>
  <c r="N1047" i="105"/>
  <c r="M1047" i="105"/>
  <c r="L1047" i="105"/>
  <c r="K1047" i="105"/>
  <c r="AI1046" i="105"/>
  <c r="AH1046" i="105"/>
  <c r="AG1046" i="105"/>
  <c r="X1046" i="105"/>
  <c r="W1046" i="105"/>
  <c r="Q1046" i="105"/>
  <c r="R1046" i="105" s="1"/>
  <c r="N1046" i="105"/>
  <c r="M1046" i="105"/>
  <c r="L1046" i="105"/>
  <c r="K1046" i="105"/>
  <c r="AI1045" i="105"/>
  <c r="AH1045" i="105"/>
  <c r="AG1045" i="105"/>
  <c r="X1045" i="105"/>
  <c r="W1045" i="105"/>
  <c r="Q1045" i="105"/>
  <c r="R1045" i="105" s="1"/>
  <c r="N1045" i="105"/>
  <c r="M1045" i="105"/>
  <c r="L1045" i="105"/>
  <c r="K1045" i="105"/>
  <c r="AI1044" i="105"/>
  <c r="AH1044" i="105"/>
  <c r="AG1044" i="105"/>
  <c r="X1044" i="105"/>
  <c r="W1044" i="105"/>
  <c r="Q1044" i="105"/>
  <c r="R1044" i="105" s="1"/>
  <c r="N1044" i="105"/>
  <c r="M1044" i="105"/>
  <c r="L1044" i="105"/>
  <c r="K1044" i="105"/>
  <c r="AI1043" i="105"/>
  <c r="AH1043" i="105"/>
  <c r="AG1043" i="105"/>
  <c r="W1043" i="105"/>
  <c r="X1043" i="105" s="1"/>
  <c r="Q1043" i="105"/>
  <c r="R1043" i="105" s="1"/>
  <c r="L1043" i="105"/>
  <c r="N1043" i="105" s="1"/>
  <c r="I1043" i="105" s="1"/>
  <c r="K1043" i="105"/>
  <c r="M1043" i="105" s="1"/>
  <c r="A1043" i="105"/>
  <c r="A1044" i="105" s="1"/>
  <c r="A1045" i="105" s="1"/>
  <c r="A1046" i="105" s="1"/>
  <c r="A1047" i="105" s="1"/>
  <c r="A1048" i="105" s="1"/>
  <c r="A1049" i="105" s="1"/>
  <c r="A1050" i="105" s="1"/>
  <c r="A1051" i="105" s="1"/>
  <c r="A1052" i="105" s="1"/>
  <c r="A1053" i="105" s="1"/>
  <c r="A1054" i="105" s="1"/>
  <c r="A1055" i="105" s="1"/>
  <c r="A1056" i="105" s="1"/>
  <c r="A1057" i="105" s="1"/>
  <c r="AI1042" i="105"/>
  <c r="AH1042" i="105"/>
  <c r="AH1041" i="105" s="1"/>
  <c r="AG1042" i="105"/>
  <c r="X1042" i="105"/>
  <c r="X1041" i="105" s="1"/>
  <c r="W1042" i="105"/>
  <c r="R1042" i="105"/>
  <c r="R1041" i="105" s="1"/>
  <c r="Q1042" i="105"/>
  <c r="L1042" i="105"/>
  <c r="N1042" i="105" s="1"/>
  <c r="K1042" i="105"/>
  <c r="M1042" i="105" s="1"/>
  <c r="M1041" i="105" s="1"/>
  <c r="A1042" i="105"/>
  <c r="AF1041" i="105"/>
  <c r="U1041" i="105"/>
  <c r="P1041" i="105"/>
  <c r="H1041" i="105"/>
  <c r="AI1040" i="105"/>
  <c r="AH1040" i="105"/>
  <c r="AG1040" i="105"/>
  <c r="X1040" i="105"/>
  <c r="W1040" i="105"/>
  <c r="R1040" i="105"/>
  <c r="Q1040" i="105"/>
  <c r="N1040" i="105"/>
  <c r="M1040" i="105"/>
  <c r="L1040" i="105"/>
  <c r="K1040" i="105"/>
  <c r="AI1039" i="105"/>
  <c r="AH1039" i="105"/>
  <c r="AG1039" i="105"/>
  <c r="X1039" i="105"/>
  <c r="W1039" i="105"/>
  <c r="R1039" i="105"/>
  <c r="Q1039" i="105"/>
  <c r="N1039" i="105"/>
  <c r="M1039" i="105"/>
  <c r="L1039" i="105"/>
  <c r="K1039" i="105"/>
  <c r="AI1038" i="105"/>
  <c r="AH1038" i="105"/>
  <c r="AG1038" i="105"/>
  <c r="X1038" i="105"/>
  <c r="W1038" i="105"/>
  <c r="R1038" i="105"/>
  <c r="Q1038" i="105"/>
  <c r="N1038" i="105"/>
  <c r="M1038" i="105"/>
  <c r="L1038" i="105"/>
  <c r="K1038" i="105"/>
  <c r="AI1037" i="105"/>
  <c r="AH1037" i="105"/>
  <c r="AG1037" i="105"/>
  <c r="X1037" i="105"/>
  <c r="W1037" i="105"/>
  <c r="R1037" i="105"/>
  <c r="Q1037" i="105"/>
  <c r="N1037" i="105"/>
  <c r="M1037" i="105"/>
  <c r="L1037" i="105"/>
  <c r="K1037" i="105"/>
  <c r="AI1036" i="105"/>
  <c r="AH1036" i="105"/>
  <c r="AG1036" i="105"/>
  <c r="X1036" i="105"/>
  <c r="W1036" i="105"/>
  <c r="R1036" i="105"/>
  <c r="Q1036" i="105"/>
  <c r="N1036" i="105"/>
  <c r="M1036" i="105"/>
  <c r="L1036" i="105"/>
  <c r="K1036" i="105"/>
  <c r="AI1035" i="105"/>
  <c r="AH1035" i="105"/>
  <c r="AG1035" i="105"/>
  <c r="X1035" i="105"/>
  <c r="W1035" i="105"/>
  <c r="R1035" i="105"/>
  <c r="Q1035" i="105"/>
  <c r="N1035" i="105"/>
  <c r="M1035" i="105"/>
  <c r="L1035" i="105"/>
  <c r="K1035" i="105"/>
  <c r="AI1034" i="105"/>
  <c r="AH1034" i="105"/>
  <c r="AG1034" i="105"/>
  <c r="X1034" i="105"/>
  <c r="W1034" i="105"/>
  <c r="R1034" i="105"/>
  <c r="Q1034" i="105"/>
  <c r="N1034" i="105"/>
  <c r="M1034" i="105"/>
  <c r="L1034" i="105"/>
  <c r="K1034" i="105"/>
  <c r="AI1033" i="105"/>
  <c r="AH1033" i="105"/>
  <c r="AG1033" i="105"/>
  <c r="X1033" i="105"/>
  <c r="W1033" i="105"/>
  <c r="R1033" i="105"/>
  <c r="Q1033" i="105"/>
  <c r="N1033" i="105"/>
  <c r="M1033" i="105"/>
  <c r="L1033" i="105"/>
  <c r="K1033" i="105"/>
  <c r="AI1032" i="105"/>
  <c r="AH1032" i="105"/>
  <c r="AG1032" i="105"/>
  <c r="X1032" i="105"/>
  <c r="W1032" i="105"/>
  <c r="R1032" i="105"/>
  <c r="Q1032" i="105"/>
  <c r="N1032" i="105"/>
  <c r="M1032" i="105"/>
  <c r="L1032" i="105"/>
  <c r="K1032" i="105"/>
  <c r="AI1031" i="105"/>
  <c r="AH1031" i="105"/>
  <c r="AG1031" i="105"/>
  <c r="X1031" i="105"/>
  <c r="W1031" i="105"/>
  <c r="R1031" i="105"/>
  <c r="Q1031" i="105"/>
  <c r="N1031" i="105"/>
  <c r="M1031" i="105"/>
  <c r="L1031" i="105"/>
  <c r="K1031" i="105"/>
  <c r="AI1030" i="105"/>
  <c r="AH1030" i="105"/>
  <c r="AG1030" i="105"/>
  <c r="X1030" i="105"/>
  <c r="W1030" i="105"/>
  <c r="R1030" i="105"/>
  <c r="Q1030" i="105"/>
  <c r="N1030" i="105"/>
  <c r="M1030" i="105"/>
  <c r="L1030" i="105"/>
  <c r="K1030" i="105"/>
  <c r="AI1029" i="105"/>
  <c r="AH1029" i="105"/>
  <c r="AG1029" i="105"/>
  <c r="X1029" i="105"/>
  <c r="W1029" i="105"/>
  <c r="R1029" i="105"/>
  <c r="Q1029" i="105"/>
  <c r="N1029" i="105"/>
  <c r="M1029" i="105"/>
  <c r="L1029" i="105"/>
  <c r="K1029" i="105"/>
  <c r="AI1028" i="105"/>
  <c r="AH1028" i="105"/>
  <c r="AG1028" i="105"/>
  <c r="X1028" i="105"/>
  <c r="W1028" i="105"/>
  <c r="R1028" i="105"/>
  <c r="Q1028" i="105"/>
  <c r="L1028" i="105"/>
  <c r="N1028" i="105" s="1"/>
  <c r="I1028" i="105" s="1"/>
  <c r="K1028" i="105"/>
  <c r="M1028" i="105" s="1"/>
  <c r="AI1027" i="105"/>
  <c r="AG1027" i="105"/>
  <c r="X1027" i="105"/>
  <c r="W1027" i="105"/>
  <c r="R1027" i="105"/>
  <c r="Q1027" i="105"/>
  <c r="L1027" i="105"/>
  <c r="N1027" i="105" s="1"/>
  <c r="K1027" i="105"/>
  <c r="H1027" i="105"/>
  <c r="M1027" i="105" s="1"/>
  <c r="M1026" i="105" s="1"/>
  <c r="A1027" i="105"/>
  <c r="A1028" i="105" s="1"/>
  <c r="A1029" i="105" s="1"/>
  <c r="A1030" i="105" s="1"/>
  <c r="A1031" i="105" s="1"/>
  <c r="A1032" i="105" s="1"/>
  <c r="A1033" i="105" s="1"/>
  <c r="A1034" i="105" s="1"/>
  <c r="A1035" i="105" s="1"/>
  <c r="A1036" i="105" s="1"/>
  <c r="A1037" i="105" s="1"/>
  <c r="A1038" i="105" s="1"/>
  <c r="A1039" i="105" s="1"/>
  <c r="A1040" i="105" s="1"/>
  <c r="AH1026" i="105"/>
  <c r="AF1026" i="105"/>
  <c r="X1026" i="105"/>
  <c r="U1026" i="105"/>
  <c r="R1026" i="105"/>
  <c r="P1026" i="105"/>
  <c r="H1026" i="105"/>
  <c r="AI1025" i="105"/>
  <c r="AH1025" i="105"/>
  <c r="AG1025" i="105"/>
  <c r="X1025" i="105"/>
  <c r="W1025" i="105"/>
  <c r="R1025" i="105"/>
  <c r="Q1025" i="105"/>
  <c r="N1025" i="105"/>
  <c r="M1025" i="105"/>
  <c r="L1025" i="105"/>
  <c r="K1025" i="105"/>
  <c r="AI1024" i="105"/>
  <c r="AH1024" i="105"/>
  <c r="AG1024" i="105"/>
  <c r="X1024" i="105"/>
  <c r="W1024" i="105"/>
  <c r="R1024" i="105"/>
  <c r="Q1024" i="105"/>
  <c r="N1024" i="105"/>
  <c r="M1024" i="105"/>
  <c r="L1024" i="105"/>
  <c r="K1024" i="105"/>
  <c r="AI1023" i="105"/>
  <c r="AH1023" i="105"/>
  <c r="AG1023" i="105"/>
  <c r="X1023" i="105"/>
  <c r="W1023" i="105"/>
  <c r="R1023" i="105"/>
  <c r="Q1023" i="105"/>
  <c r="N1023" i="105"/>
  <c r="M1023" i="105"/>
  <c r="L1023" i="105"/>
  <c r="K1023" i="105"/>
  <c r="AI1022" i="105"/>
  <c r="AH1022" i="105"/>
  <c r="AG1022" i="105"/>
  <c r="X1022" i="105"/>
  <c r="W1022" i="105"/>
  <c r="R1022" i="105"/>
  <c r="Q1022" i="105"/>
  <c r="N1022" i="105"/>
  <c r="M1022" i="105"/>
  <c r="L1022" i="105"/>
  <c r="K1022" i="105"/>
  <c r="AI1021" i="105"/>
  <c r="AH1021" i="105"/>
  <c r="AG1021" i="105"/>
  <c r="X1021" i="105"/>
  <c r="W1021" i="105"/>
  <c r="R1021" i="105"/>
  <c r="Q1021" i="105"/>
  <c r="N1021" i="105"/>
  <c r="M1021" i="105"/>
  <c r="L1021" i="105"/>
  <c r="K1021" i="105"/>
  <c r="AI1020" i="105"/>
  <c r="AH1020" i="105"/>
  <c r="AG1020" i="105"/>
  <c r="X1020" i="105"/>
  <c r="W1020" i="105"/>
  <c r="Q1020" i="105"/>
  <c r="R1020" i="105" s="1"/>
  <c r="N1020" i="105"/>
  <c r="M1020" i="105"/>
  <c r="L1020" i="105"/>
  <c r="K1020" i="105"/>
  <c r="AI1019" i="105"/>
  <c r="AH1019" i="105"/>
  <c r="AG1019" i="105"/>
  <c r="X1019" i="105"/>
  <c r="W1019" i="105"/>
  <c r="Q1019" i="105"/>
  <c r="R1019" i="105" s="1"/>
  <c r="N1019" i="105"/>
  <c r="M1019" i="105"/>
  <c r="L1019" i="105"/>
  <c r="K1019" i="105"/>
  <c r="AI1018" i="105"/>
  <c r="AH1018" i="105"/>
  <c r="AG1018" i="105"/>
  <c r="X1018" i="105"/>
  <c r="W1018" i="105"/>
  <c r="Q1018" i="105"/>
  <c r="R1018" i="105" s="1"/>
  <c r="N1018" i="105"/>
  <c r="M1018" i="105"/>
  <c r="L1018" i="105"/>
  <c r="K1018" i="105"/>
  <c r="AI1017" i="105"/>
  <c r="AH1017" i="105"/>
  <c r="AG1017" i="105"/>
  <c r="X1017" i="105"/>
  <c r="W1017" i="105"/>
  <c r="Q1017" i="105"/>
  <c r="R1017" i="105" s="1"/>
  <c r="N1017" i="105"/>
  <c r="M1017" i="105"/>
  <c r="L1017" i="105"/>
  <c r="K1017" i="105"/>
  <c r="AI1016" i="105"/>
  <c r="AH1016" i="105"/>
  <c r="AG1016" i="105"/>
  <c r="X1016" i="105"/>
  <c r="W1016" i="105"/>
  <c r="Q1016" i="105"/>
  <c r="R1016" i="105" s="1"/>
  <c r="N1016" i="105"/>
  <c r="M1016" i="105"/>
  <c r="L1016" i="105"/>
  <c r="K1016" i="105"/>
  <c r="AI1015" i="105"/>
  <c r="AH1015" i="105"/>
  <c r="AG1015" i="105"/>
  <c r="X1015" i="105"/>
  <c r="W1015" i="105"/>
  <c r="Q1015" i="105"/>
  <c r="R1015" i="105" s="1"/>
  <c r="N1015" i="105"/>
  <c r="M1015" i="105"/>
  <c r="L1015" i="105"/>
  <c r="K1015" i="105"/>
  <c r="AI1014" i="105"/>
  <c r="AH1014" i="105"/>
  <c r="AG1014" i="105"/>
  <c r="X1014" i="105"/>
  <c r="W1014" i="105"/>
  <c r="Q1014" i="105"/>
  <c r="R1014" i="105" s="1"/>
  <c r="N1014" i="105"/>
  <c r="M1014" i="105"/>
  <c r="L1014" i="105"/>
  <c r="K1014" i="105"/>
  <c r="AI1013" i="105"/>
  <c r="AH1013" i="105"/>
  <c r="AG1013" i="105"/>
  <c r="X1013" i="105"/>
  <c r="W1013" i="105"/>
  <c r="Q1013" i="105"/>
  <c r="R1013" i="105" s="1"/>
  <c r="N1013" i="105"/>
  <c r="M1013" i="105"/>
  <c r="L1013" i="105"/>
  <c r="K1013" i="105"/>
  <c r="AI1012" i="105"/>
  <c r="AH1012" i="105"/>
  <c r="AG1012" i="105"/>
  <c r="W1012" i="105"/>
  <c r="X1012" i="105" s="1"/>
  <c r="Q1012" i="105"/>
  <c r="R1012" i="105" s="1"/>
  <c r="N1012" i="105"/>
  <c r="M1012" i="105"/>
  <c r="L1012" i="105"/>
  <c r="K1012" i="105"/>
  <c r="AI1011" i="105"/>
  <c r="AH1011" i="105"/>
  <c r="AG1011" i="105"/>
  <c r="W1011" i="105"/>
  <c r="X1011" i="105" s="1"/>
  <c r="X1009" i="105" s="1"/>
  <c r="Q1011" i="105"/>
  <c r="R1011" i="105" s="1"/>
  <c r="L1011" i="105"/>
  <c r="N1011" i="105" s="1"/>
  <c r="I1011" i="105" s="1"/>
  <c r="K1011" i="105"/>
  <c r="M1011" i="105" s="1"/>
  <c r="AI1010" i="105"/>
  <c r="AH1010" i="105"/>
  <c r="AG1010" i="105"/>
  <c r="X1010" i="105"/>
  <c r="W1010" i="105"/>
  <c r="R1010" i="105"/>
  <c r="Q1010" i="105"/>
  <c r="L1010" i="105"/>
  <c r="N1010" i="105" s="1"/>
  <c r="K1010" i="105"/>
  <c r="H1010" i="105"/>
  <c r="M1010" i="105" s="1"/>
  <c r="M1009" i="105" s="1"/>
  <c r="A1010" i="105"/>
  <c r="A1011" i="105" s="1"/>
  <c r="A1012" i="105" s="1"/>
  <c r="A1013" i="105" s="1"/>
  <c r="A1014" i="105" s="1"/>
  <c r="A1015" i="105" s="1"/>
  <c r="A1016" i="105" s="1"/>
  <c r="A1017" i="105" s="1"/>
  <c r="A1018" i="105" s="1"/>
  <c r="A1019" i="105" s="1"/>
  <c r="A1020" i="105" s="1"/>
  <c r="A1021" i="105" s="1"/>
  <c r="A1022" i="105" s="1"/>
  <c r="A1023" i="105" s="1"/>
  <c r="A1024" i="105" s="1"/>
  <c r="A1025" i="105" s="1"/>
  <c r="AH1009" i="105"/>
  <c r="AF1009" i="105"/>
  <c r="U1009" i="105"/>
  <c r="P1009" i="105"/>
  <c r="H1009" i="105"/>
  <c r="AI1008" i="105"/>
  <c r="AH1008" i="105"/>
  <c r="AG1008" i="105"/>
  <c r="X1008" i="105"/>
  <c r="W1008" i="105"/>
  <c r="R1008" i="105"/>
  <c r="Q1008" i="105"/>
  <c r="N1008" i="105"/>
  <c r="M1008" i="105"/>
  <c r="L1008" i="105"/>
  <c r="K1008" i="105"/>
  <c r="AI1007" i="105"/>
  <c r="AH1007" i="105"/>
  <c r="AG1007" i="105"/>
  <c r="X1007" i="105"/>
  <c r="W1007" i="105"/>
  <c r="R1007" i="105"/>
  <c r="Q1007" i="105"/>
  <c r="N1007" i="105"/>
  <c r="M1007" i="105"/>
  <c r="L1007" i="105"/>
  <c r="K1007" i="105"/>
  <c r="AI1006" i="105"/>
  <c r="AH1006" i="105"/>
  <c r="AG1006" i="105"/>
  <c r="X1006" i="105"/>
  <c r="W1006" i="105"/>
  <c r="R1006" i="105"/>
  <c r="Q1006" i="105"/>
  <c r="N1006" i="105"/>
  <c r="M1006" i="105"/>
  <c r="L1006" i="105"/>
  <c r="K1006" i="105"/>
  <c r="AI1005" i="105"/>
  <c r="AH1005" i="105"/>
  <c r="AG1005" i="105"/>
  <c r="X1005" i="105"/>
  <c r="W1005" i="105"/>
  <c r="R1005" i="105"/>
  <c r="Q1005" i="105"/>
  <c r="N1005" i="105"/>
  <c r="M1005" i="105"/>
  <c r="L1005" i="105"/>
  <c r="K1005" i="105"/>
  <c r="AI1004" i="105"/>
  <c r="AH1004" i="105"/>
  <c r="AG1004" i="105"/>
  <c r="X1004" i="105"/>
  <c r="W1004" i="105"/>
  <c r="R1004" i="105"/>
  <c r="Q1004" i="105"/>
  <c r="N1004" i="105"/>
  <c r="M1004" i="105"/>
  <c r="L1004" i="105"/>
  <c r="K1004" i="105"/>
  <c r="AI1003" i="105"/>
  <c r="AH1003" i="105"/>
  <c r="AG1003" i="105"/>
  <c r="X1003" i="105"/>
  <c r="W1003" i="105"/>
  <c r="R1003" i="105"/>
  <c r="Q1003" i="105"/>
  <c r="N1003" i="105"/>
  <c r="M1003" i="105"/>
  <c r="L1003" i="105"/>
  <c r="K1003" i="105"/>
  <c r="AI1002" i="105"/>
  <c r="AH1002" i="105"/>
  <c r="AG1002" i="105"/>
  <c r="X1002" i="105"/>
  <c r="W1002" i="105"/>
  <c r="R1002" i="105"/>
  <c r="Q1002" i="105"/>
  <c r="N1002" i="105"/>
  <c r="M1002" i="105"/>
  <c r="L1002" i="105"/>
  <c r="K1002" i="105"/>
  <c r="AI1001" i="105"/>
  <c r="AH1001" i="105"/>
  <c r="AG1001" i="105"/>
  <c r="X1001" i="105"/>
  <c r="W1001" i="105"/>
  <c r="R1001" i="105"/>
  <c r="Q1001" i="105"/>
  <c r="N1001" i="105"/>
  <c r="M1001" i="105"/>
  <c r="L1001" i="105"/>
  <c r="K1001" i="105"/>
  <c r="AI1000" i="105"/>
  <c r="AH1000" i="105"/>
  <c r="AG1000" i="105"/>
  <c r="X1000" i="105"/>
  <c r="W1000" i="105"/>
  <c r="R1000" i="105"/>
  <c r="Q1000" i="105"/>
  <c r="N1000" i="105"/>
  <c r="M1000" i="105"/>
  <c r="L1000" i="105"/>
  <c r="K1000" i="105"/>
  <c r="AI999" i="105"/>
  <c r="AH999" i="105"/>
  <c r="AG999" i="105"/>
  <c r="X999" i="105"/>
  <c r="W999" i="105"/>
  <c r="Q999" i="105"/>
  <c r="R999" i="105" s="1"/>
  <c r="N999" i="105"/>
  <c r="M999" i="105"/>
  <c r="L999" i="105"/>
  <c r="K999" i="105"/>
  <c r="AI998" i="105"/>
  <c r="AH998" i="105"/>
  <c r="AG998" i="105"/>
  <c r="X998" i="105"/>
  <c r="W998" i="105"/>
  <c r="Q998" i="105"/>
  <c r="R998" i="105" s="1"/>
  <c r="N998" i="105"/>
  <c r="M998" i="105"/>
  <c r="L998" i="105"/>
  <c r="K998" i="105"/>
  <c r="AI997" i="105"/>
  <c r="AH997" i="105"/>
  <c r="AG997" i="105"/>
  <c r="X997" i="105"/>
  <c r="W997" i="105"/>
  <c r="Q997" i="105"/>
  <c r="R997" i="105" s="1"/>
  <c r="N997" i="105"/>
  <c r="M997" i="105"/>
  <c r="L997" i="105"/>
  <c r="K997" i="105"/>
  <c r="AI996" i="105"/>
  <c r="AH996" i="105"/>
  <c r="AG996" i="105"/>
  <c r="X996" i="105"/>
  <c r="W996" i="105"/>
  <c r="Q996" i="105"/>
  <c r="R996" i="105" s="1"/>
  <c r="N996" i="105"/>
  <c r="M996" i="105"/>
  <c r="L996" i="105"/>
  <c r="K996" i="105"/>
  <c r="AI995" i="105"/>
  <c r="AH995" i="105"/>
  <c r="AG995" i="105"/>
  <c r="X995" i="105"/>
  <c r="W995" i="105"/>
  <c r="Q995" i="105"/>
  <c r="R995" i="105" s="1"/>
  <c r="N995" i="105"/>
  <c r="M995" i="105"/>
  <c r="L995" i="105"/>
  <c r="K995" i="105"/>
  <c r="AI994" i="105"/>
  <c r="AH994" i="105"/>
  <c r="AG994" i="105"/>
  <c r="X994" i="105"/>
  <c r="W994" i="105"/>
  <c r="Q994" i="105"/>
  <c r="R994" i="105" s="1"/>
  <c r="N994" i="105"/>
  <c r="M994" i="105"/>
  <c r="L994" i="105"/>
  <c r="K994" i="105"/>
  <c r="AI993" i="105"/>
  <c r="AH993" i="105"/>
  <c r="AG993" i="105"/>
  <c r="X993" i="105"/>
  <c r="W993" i="105"/>
  <c r="Q993" i="105"/>
  <c r="R993" i="105" s="1"/>
  <c r="N993" i="105"/>
  <c r="M993" i="105"/>
  <c r="L993" i="105"/>
  <c r="K993" i="105"/>
  <c r="AI992" i="105"/>
  <c r="AH992" i="105"/>
  <c r="AG992" i="105"/>
  <c r="X992" i="105"/>
  <c r="W992" i="105"/>
  <c r="Q992" i="105"/>
  <c r="R992" i="105" s="1"/>
  <c r="N992" i="105"/>
  <c r="M992" i="105"/>
  <c r="L992" i="105"/>
  <c r="K992" i="105"/>
  <c r="AI991" i="105"/>
  <c r="AH991" i="105"/>
  <c r="AG991" i="105"/>
  <c r="X991" i="105"/>
  <c r="W991" i="105"/>
  <c r="Q991" i="105"/>
  <c r="R991" i="105" s="1"/>
  <c r="N991" i="105"/>
  <c r="M991" i="105"/>
  <c r="L991" i="105"/>
  <c r="K991" i="105"/>
  <c r="AI990" i="105"/>
  <c r="AH990" i="105"/>
  <c r="AG990" i="105"/>
  <c r="X990" i="105"/>
  <c r="W990" i="105"/>
  <c r="Q990" i="105"/>
  <c r="R990" i="105" s="1"/>
  <c r="N990" i="105"/>
  <c r="M990" i="105"/>
  <c r="L990" i="105"/>
  <c r="K990" i="105"/>
  <c r="AI989" i="105"/>
  <c r="AH989" i="105"/>
  <c r="AG989" i="105"/>
  <c r="X989" i="105"/>
  <c r="W989" i="105"/>
  <c r="Q989" i="105"/>
  <c r="R989" i="105" s="1"/>
  <c r="N989" i="105"/>
  <c r="M989" i="105"/>
  <c r="L989" i="105"/>
  <c r="K989" i="105"/>
  <c r="AI988" i="105"/>
  <c r="AH988" i="105"/>
  <c r="AG988" i="105"/>
  <c r="X988" i="105"/>
  <c r="W988" i="105"/>
  <c r="Q988" i="105"/>
  <c r="R988" i="105" s="1"/>
  <c r="N988" i="105"/>
  <c r="M988" i="105"/>
  <c r="L988" i="105"/>
  <c r="K988" i="105"/>
  <c r="AI987" i="105"/>
  <c r="AH987" i="105"/>
  <c r="AG987" i="105"/>
  <c r="W987" i="105"/>
  <c r="X987" i="105" s="1"/>
  <c r="Q987" i="105"/>
  <c r="R987" i="105" s="1"/>
  <c r="N987" i="105"/>
  <c r="M987" i="105"/>
  <c r="L987" i="105"/>
  <c r="K987" i="105"/>
  <c r="AI986" i="105"/>
  <c r="AH986" i="105"/>
  <c r="AG986" i="105"/>
  <c r="W986" i="105"/>
  <c r="X986" i="105" s="1"/>
  <c r="Q986" i="105"/>
  <c r="R986" i="105" s="1"/>
  <c r="N986" i="105"/>
  <c r="M986" i="105"/>
  <c r="L986" i="105"/>
  <c r="K986" i="105"/>
  <c r="AI985" i="105"/>
  <c r="AH985" i="105"/>
  <c r="AG985" i="105"/>
  <c r="W985" i="105"/>
  <c r="X985" i="105" s="1"/>
  <c r="Q985" i="105"/>
  <c r="R985" i="105" s="1"/>
  <c r="N985" i="105"/>
  <c r="M985" i="105"/>
  <c r="L985" i="105"/>
  <c r="K985" i="105"/>
  <c r="AI984" i="105"/>
  <c r="AH984" i="105"/>
  <c r="AG984" i="105"/>
  <c r="W984" i="105"/>
  <c r="X984" i="105" s="1"/>
  <c r="Q984" i="105"/>
  <c r="R984" i="105" s="1"/>
  <c r="N984" i="105"/>
  <c r="M984" i="105"/>
  <c r="L984" i="105"/>
  <c r="K984" i="105"/>
  <c r="AI983" i="105"/>
  <c r="AH983" i="105"/>
  <c r="AG983" i="105"/>
  <c r="W983" i="105"/>
  <c r="X983" i="105" s="1"/>
  <c r="Q983" i="105"/>
  <c r="R983" i="105" s="1"/>
  <c r="N983" i="105"/>
  <c r="M983" i="105"/>
  <c r="L983" i="105"/>
  <c r="K983" i="105"/>
  <c r="AI982" i="105"/>
  <c r="AH982" i="105"/>
  <c r="AG982" i="105"/>
  <c r="W982" i="105"/>
  <c r="X982" i="105" s="1"/>
  <c r="Q982" i="105"/>
  <c r="R982" i="105" s="1"/>
  <c r="N982" i="105"/>
  <c r="M982" i="105"/>
  <c r="L982" i="105"/>
  <c r="K982" i="105"/>
  <c r="AI981" i="105"/>
  <c r="AH981" i="105"/>
  <c r="AG981" i="105"/>
  <c r="W981" i="105"/>
  <c r="X981" i="105" s="1"/>
  <c r="Q981" i="105"/>
  <c r="R981" i="105" s="1"/>
  <c r="N981" i="105"/>
  <c r="M981" i="105"/>
  <c r="L981" i="105"/>
  <c r="K981" i="105"/>
  <c r="AI980" i="105"/>
  <c r="AH980" i="105"/>
  <c r="AG980" i="105"/>
  <c r="W980" i="105"/>
  <c r="X980" i="105" s="1"/>
  <c r="Q980" i="105"/>
  <c r="R980" i="105" s="1"/>
  <c r="N980" i="105"/>
  <c r="M980" i="105"/>
  <c r="L980" i="105"/>
  <c r="K980" i="105"/>
  <c r="AI979" i="105"/>
  <c r="AH979" i="105"/>
  <c r="AG979" i="105"/>
  <c r="W979" i="105"/>
  <c r="X979" i="105" s="1"/>
  <c r="X977" i="105" s="1"/>
  <c r="Q979" i="105"/>
  <c r="R979" i="105" s="1"/>
  <c r="L979" i="105"/>
  <c r="N979" i="105" s="1"/>
  <c r="I979" i="105" s="1"/>
  <c r="K979" i="105"/>
  <c r="M979" i="105" s="1"/>
  <c r="AI978" i="105"/>
  <c r="AH978" i="105"/>
  <c r="AG978" i="105"/>
  <c r="X978" i="105"/>
  <c r="W978" i="105"/>
  <c r="R978" i="105"/>
  <c r="Q978" i="105"/>
  <c r="L978" i="105"/>
  <c r="N978" i="105" s="1"/>
  <c r="K978" i="105"/>
  <c r="H978" i="105"/>
  <c r="M978" i="105" s="1"/>
  <c r="M977" i="105" s="1"/>
  <c r="A978" i="105"/>
  <c r="A979" i="105" s="1"/>
  <c r="A980" i="105" s="1"/>
  <c r="A981" i="105" s="1"/>
  <c r="A982" i="105" s="1"/>
  <c r="A983" i="105" s="1"/>
  <c r="A984" i="105" s="1"/>
  <c r="A985" i="105" s="1"/>
  <c r="A986" i="105" s="1"/>
  <c r="A987" i="105" s="1"/>
  <c r="A988" i="105" s="1"/>
  <c r="A989" i="105" s="1"/>
  <c r="A990" i="105" s="1"/>
  <c r="A991" i="105" s="1"/>
  <c r="A992" i="105" s="1"/>
  <c r="A993" i="105" s="1"/>
  <c r="A994" i="105" s="1"/>
  <c r="A995" i="105" s="1"/>
  <c r="A996" i="105" s="1"/>
  <c r="A997" i="105" s="1"/>
  <c r="A998" i="105" s="1"/>
  <c r="A999" i="105" s="1"/>
  <c r="A1000" i="105" s="1"/>
  <c r="A1001" i="105" s="1"/>
  <c r="A1002" i="105" s="1"/>
  <c r="A1003" i="105" s="1"/>
  <c r="A1004" i="105" s="1"/>
  <c r="A1005" i="105" s="1"/>
  <c r="A1006" i="105" s="1"/>
  <c r="A1007" i="105" s="1"/>
  <c r="A1008" i="105" s="1"/>
  <c r="AH977" i="105"/>
  <c r="AF977" i="105"/>
  <c r="U977" i="105"/>
  <c r="P977" i="105"/>
  <c r="H977" i="105"/>
  <c r="AI976" i="105"/>
  <c r="AH976" i="105"/>
  <c r="AG976" i="105"/>
  <c r="X976" i="105"/>
  <c r="W976" i="105"/>
  <c r="R976" i="105"/>
  <c r="Q976" i="105"/>
  <c r="N976" i="105"/>
  <c r="M976" i="105"/>
  <c r="L976" i="105"/>
  <c r="K976" i="105"/>
  <c r="AI975" i="105"/>
  <c r="AH975" i="105"/>
  <c r="AG975" i="105"/>
  <c r="X975" i="105"/>
  <c r="W975" i="105"/>
  <c r="R975" i="105"/>
  <c r="Q975" i="105"/>
  <c r="N975" i="105"/>
  <c r="M975" i="105"/>
  <c r="L975" i="105"/>
  <c r="K975" i="105"/>
  <c r="AI974" i="105"/>
  <c r="AH974" i="105"/>
  <c r="AG974" i="105"/>
  <c r="X974" i="105"/>
  <c r="W974" i="105"/>
  <c r="R974" i="105"/>
  <c r="Q974" i="105"/>
  <c r="N974" i="105"/>
  <c r="M974" i="105"/>
  <c r="L974" i="105"/>
  <c r="K974" i="105"/>
  <c r="AI973" i="105"/>
  <c r="AH973" i="105"/>
  <c r="AG973" i="105"/>
  <c r="X973" i="105"/>
  <c r="W973" i="105"/>
  <c r="R973" i="105"/>
  <c r="Q973" i="105"/>
  <c r="N973" i="105"/>
  <c r="M973" i="105"/>
  <c r="L973" i="105"/>
  <c r="K973" i="105"/>
  <c r="AI972" i="105"/>
  <c r="AH972" i="105"/>
  <c r="AG972" i="105"/>
  <c r="X972" i="105"/>
  <c r="W972" i="105"/>
  <c r="R972" i="105"/>
  <c r="Q972" i="105"/>
  <c r="N972" i="105"/>
  <c r="M972" i="105"/>
  <c r="L972" i="105"/>
  <c r="K972" i="105"/>
  <c r="AI971" i="105"/>
  <c r="AH971" i="105"/>
  <c r="AG971" i="105"/>
  <c r="X971" i="105"/>
  <c r="W971" i="105"/>
  <c r="R971" i="105"/>
  <c r="Q971" i="105"/>
  <c r="N971" i="105"/>
  <c r="M971" i="105"/>
  <c r="L971" i="105"/>
  <c r="K971" i="105"/>
  <c r="AI970" i="105"/>
  <c r="AH970" i="105"/>
  <c r="AG970" i="105"/>
  <c r="X970" i="105"/>
  <c r="W970" i="105"/>
  <c r="R970" i="105"/>
  <c r="Q970" i="105"/>
  <c r="L970" i="105"/>
  <c r="K970" i="105"/>
  <c r="H970" i="105"/>
  <c r="M970" i="105" s="1"/>
  <c r="M969" i="105" s="1"/>
  <c r="A970" i="105"/>
  <c r="A971" i="105" s="1"/>
  <c r="A972" i="105" s="1"/>
  <c r="A973" i="105" s="1"/>
  <c r="A974" i="105" s="1"/>
  <c r="A975" i="105" s="1"/>
  <c r="A976" i="105" s="1"/>
  <c r="AH969" i="105"/>
  <c r="AF969" i="105"/>
  <c r="X969" i="105"/>
  <c r="U969" i="105"/>
  <c r="R969" i="105"/>
  <c r="P969" i="105"/>
  <c r="H969" i="105"/>
  <c r="AI968" i="105"/>
  <c r="AH968" i="105"/>
  <c r="AG968" i="105"/>
  <c r="X968" i="105"/>
  <c r="W968" i="105"/>
  <c r="R968" i="105"/>
  <c r="Q968" i="105"/>
  <c r="N968" i="105"/>
  <c r="M968" i="105"/>
  <c r="L968" i="105"/>
  <c r="K968" i="105"/>
  <c r="AI967" i="105"/>
  <c r="AH967" i="105"/>
  <c r="AG967" i="105"/>
  <c r="X967" i="105"/>
  <c r="W967" i="105"/>
  <c r="R967" i="105"/>
  <c r="Q967" i="105"/>
  <c r="N967" i="105"/>
  <c r="M967" i="105"/>
  <c r="L967" i="105"/>
  <c r="K967" i="105"/>
  <c r="AI966" i="105"/>
  <c r="AH966" i="105"/>
  <c r="AG966" i="105"/>
  <c r="X966" i="105"/>
  <c r="W966" i="105"/>
  <c r="R966" i="105"/>
  <c r="Q966" i="105"/>
  <c r="N966" i="105"/>
  <c r="M966" i="105"/>
  <c r="L966" i="105"/>
  <c r="K966" i="105"/>
  <c r="AI965" i="105"/>
  <c r="AH965" i="105"/>
  <c r="AG965" i="105"/>
  <c r="X965" i="105"/>
  <c r="W965" i="105"/>
  <c r="R965" i="105"/>
  <c r="Q965" i="105"/>
  <c r="N965" i="105"/>
  <c r="M965" i="105"/>
  <c r="L965" i="105"/>
  <c r="K965" i="105"/>
  <c r="AI964" i="105"/>
  <c r="AH964" i="105"/>
  <c r="AG964" i="105"/>
  <c r="X964" i="105"/>
  <c r="W964" i="105"/>
  <c r="R964" i="105"/>
  <c r="Q964" i="105"/>
  <c r="N964" i="105"/>
  <c r="M964" i="105"/>
  <c r="L964" i="105"/>
  <c r="K964" i="105"/>
  <c r="AI963" i="105"/>
  <c r="AH963" i="105"/>
  <c r="AG963" i="105"/>
  <c r="X963" i="105"/>
  <c r="W963" i="105"/>
  <c r="R963" i="105"/>
  <c r="Q963" i="105"/>
  <c r="N963" i="105"/>
  <c r="M963" i="105"/>
  <c r="L963" i="105"/>
  <c r="K963" i="105"/>
  <c r="A963" i="105"/>
  <c r="A964" i="105" s="1"/>
  <c r="A965" i="105" s="1"/>
  <c r="A966" i="105" s="1"/>
  <c r="A967" i="105" s="1"/>
  <c r="A968" i="105" s="1"/>
  <c r="AI962" i="105"/>
  <c r="AH962" i="105"/>
  <c r="AH961" i="105" s="1"/>
  <c r="AG962" i="105"/>
  <c r="X962" i="105"/>
  <c r="X961" i="105" s="1"/>
  <c r="W962" i="105"/>
  <c r="R962" i="105"/>
  <c r="R961" i="105" s="1"/>
  <c r="Q962" i="105"/>
  <c r="L962" i="105"/>
  <c r="N962" i="105" s="1"/>
  <c r="K962" i="105"/>
  <c r="M962" i="105" s="1"/>
  <c r="M961" i="105" s="1"/>
  <c r="A962" i="105"/>
  <c r="AF961" i="105"/>
  <c r="U961" i="105"/>
  <c r="P961" i="105"/>
  <c r="H961" i="105"/>
  <c r="AI960" i="105"/>
  <c r="AH960" i="105"/>
  <c r="AG960" i="105"/>
  <c r="X960" i="105"/>
  <c r="W960" i="105"/>
  <c r="R960" i="105"/>
  <c r="Q960" i="105"/>
  <c r="N960" i="105"/>
  <c r="M960" i="105"/>
  <c r="L960" i="105"/>
  <c r="K960" i="105"/>
  <c r="AI959" i="105"/>
  <c r="AH959" i="105"/>
  <c r="AG959" i="105"/>
  <c r="X959" i="105"/>
  <c r="W959" i="105"/>
  <c r="R959" i="105"/>
  <c r="Q959" i="105"/>
  <c r="N959" i="105"/>
  <c r="M959" i="105"/>
  <c r="L959" i="105"/>
  <c r="K959" i="105"/>
  <c r="AI958" i="105"/>
  <c r="AH958" i="105"/>
  <c r="AG958" i="105"/>
  <c r="X958" i="105"/>
  <c r="W958" i="105"/>
  <c r="R958" i="105"/>
  <c r="Q958" i="105"/>
  <c r="N958" i="105"/>
  <c r="M958" i="105"/>
  <c r="L958" i="105"/>
  <c r="K958" i="105"/>
  <c r="AI957" i="105"/>
  <c r="AH957" i="105"/>
  <c r="AG957" i="105"/>
  <c r="X957" i="105"/>
  <c r="W957" i="105"/>
  <c r="R957" i="105"/>
  <c r="Q957" i="105"/>
  <c r="N957" i="105"/>
  <c r="M957" i="105"/>
  <c r="L957" i="105"/>
  <c r="K957" i="105"/>
  <c r="AI956" i="105"/>
  <c r="AH956" i="105"/>
  <c r="AG956" i="105"/>
  <c r="X956" i="105"/>
  <c r="W956" i="105"/>
  <c r="R956" i="105"/>
  <c r="Q956" i="105"/>
  <c r="N956" i="105"/>
  <c r="M956" i="105"/>
  <c r="L956" i="105"/>
  <c r="K956" i="105"/>
  <c r="AI955" i="105"/>
  <c r="AH955" i="105"/>
  <c r="AG955" i="105"/>
  <c r="X955" i="105"/>
  <c r="W955" i="105"/>
  <c r="R955" i="105"/>
  <c r="Q955" i="105"/>
  <c r="N955" i="105"/>
  <c r="M955" i="105"/>
  <c r="L955" i="105"/>
  <c r="K955" i="105"/>
  <c r="A955" i="105"/>
  <c r="A956" i="105" s="1"/>
  <c r="A957" i="105" s="1"/>
  <c r="A958" i="105" s="1"/>
  <c r="A959" i="105" s="1"/>
  <c r="A960" i="105" s="1"/>
  <c r="AI954" i="105"/>
  <c r="AH954" i="105"/>
  <c r="AH953" i="105" s="1"/>
  <c r="AG954" i="105"/>
  <c r="X954" i="105"/>
  <c r="X953" i="105" s="1"/>
  <c r="W954" i="105"/>
  <c r="R954" i="105"/>
  <c r="R953" i="105" s="1"/>
  <c r="Q954" i="105"/>
  <c r="L954" i="105"/>
  <c r="N954" i="105" s="1"/>
  <c r="K954" i="105"/>
  <c r="M954" i="105" s="1"/>
  <c r="M953" i="105" s="1"/>
  <c r="A954" i="105"/>
  <c r="AF953" i="105"/>
  <c r="U953" i="105"/>
  <c r="P953" i="105"/>
  <c r="H953" i="105"/>
  <c r="AI952" i="105"/>
  <c r="AH952" i="105"/>
  <c r="AG952" i="105"/>
  <c r="X952" i="105"/>
  <c r="W952" i="105"/>
  <c r="R952" i="105"/>
  <c r="Q952" i="105"/>
  <c r="N952" i="105"/>
  <c r="M952" i="105"/>
  <c r="L952" i="105"/>
  <c r="K952" i="105"/>
  <c r="AI951" i="105"/>
  <c r="AH951" i="105"/>
  <c r="AG951" i="105"/>
  <c r="X951" i="105"/>
  <c r="W951" i="105"/>
  <c r="R951" i="105"/>
  <c r="Q951" i="105"/>
  <c r="N951" i="105"/>
  <c r="M951" i="105"/>
  <c r="L951" i="105"/>
  <c r="K951" i="105"/>
  <c r="AI950" i="105"/>
  <c r="AH950" i="105"/>
  <c r="AG950" i="105"/>
  <c r="X950" i="105"/>
  <c r="W950" i="105"/>
  <c r="R950" i="105"/>
  <c r="Q950" i="105"/>
  <c r="N950" i="105"/>
  <c r="M950" i="105"/>
  <c r="L950" i="105"/>
  <c r="K950" i="105"/>
  <c r="AI949" i="105"/>
  <c r="AH949" i="105"/>
  <c r="AG949" i="105"/>
  <c r="X949" i="105"/>
  <c r="W949" i="105"/>
  <c r="R949" i="105"/>
  <c r="Q949" i="105"/>
  <c r="N949" i="105"/>
  <c r="M949" i="105"/>
  <c r="L949" i="105"/>
  <c r="K949" i="105"/>
  <c r="AI948" i="105"/>
  <c r="AH948" i="105"/>
  <c r="AG948" i="105"/>
  <c r="X948" i="105"/>
  <c r="W948" i="105"/>
  <c r="R948" i="105"/>
  <c r="Q948" i="105"/>
  <c r="N948" i="105"/>
  <c r="M948" i="105"/>
  <c r="L948" i="105"/>
  <c r="K948" i="105"/>
  <c r="AI947" i="105"/>
  <c r="AH947" i="105"/>
  <c r="AG947" i="105"/>
  <c r="X947" i="105"/>
  <c r="W947" i="105"/>
  <c r="R947" i="105"/>
  <c r="Q947" i="105"/>
  <c r="N947" i="105"/>
  <c r="M947" i="105"/>
  <c r="L947" i="105"/>
  <c r="K947" i="105"/>
  <c r="A947" i="105"/>
  <c r="A948" i="105" s="1"/>
  <c r="A949" i="105" s="1"/>
  <c r="A950" i="105" s="1"/>
  <c r="A951" i="105" s="1"/>
  <c r="A952" i="105" s="1"/>
  <c r="AI946" i="105"/>
  <c r="AH946" i="105"/>
  <c r="AH945" i="105" s="1"/>
  <c r="AG946" i="105"/>
  <c r="X946" i="105"/>
  <c r="X945" i="105" s="1"/>
  <c r="W946" i="105"/>
  <c r="R946" i="105"/>
  <c r="R945" i="105" s="1"/>
  <c r="Q946" i="105"/>
  <c r="L946" i="105"/>
  <c r="N946" i="105" s="1"/>
  <c r="K946" i="105"/>
  <c r="M946" i="105" s="1"/>
  <c r="M945" i="105" s="1"/>
  <c r="A946" i="105"/>
  <c r="AF945" i="105"/>
  <c r="U945" i="105"/>
  <c r="P945" i="105"/>
  <c r="H945" i="105"/>
  <c r="AI944" i="105"/>
  <c r="AH944" i="105"/>
  <c r="AG944" i="105"/>
  <c r="X944" i="105"/>
  <c r="W944" i="105"/>
  <c r="R944" i="105"/>
  <c r="Q944" i="105"/>
  <c r="N944" i="105"/>
  <c r="M944" i="105"/>
  <c r="L944" i="105"/>
  <c r="K944" i="105"/>
  <c r="AI943" i="105"/>
  <c r="AH943" i="105"/>
  <c r="AG943" i="105"/>
  <c r="X943" i="105"/>
  <c r="W943" i="105"/>
  <c r="R943" i="105"/>
  <c r="Q943" i="105"/>
  <c r="N943" i="105"/>
  <c r="M943" i="105"/>
  <c r="L943" i="105"/>
  <c r="K943" i="105"/>
  <c r="AI942" i="105"/>
  <c r="AH942" i="105"/>
  <c r="AG942" i="105"/>
  <c r="X942" i="105"/>
  <c r="W942" i="105"/>
  <c r="R942" i="105"/>
  <c r="Q942" i="105"/>
  <c r="N942" i="105"/>
  <c r="M942" i="105"/>
  <c r="L942" i="105"/>
  <c r="K942" i="105"/>
  <c r="AI941" i="105"/>
  <c r="AH941" i="105"/>
  <c r="AG941" i="105"/>
  <c r="X941" i="105"/>
  <c r="W941" i="105"/>
  <c r="R941" i="105"/>
  <c r="Q941" i="105"/>
  <c r="N941" i="105"/>
  <c r="M941" i="105"/>
  <c r="L941" i="105"/>
  <c r="K941" i="105"/>
  <c r="AI940" i="105"/>
  <c r="AH940" i="105"/>
  <c r="AG940" i="105"/>
  <c r="X940" i="105"/>
  <c r="W940" i="105"/>
  <c r="R940" i="105"/>
  <c r="Q940" i="105"/>
  <c r="N940" i="105"/>
  <c r="M940" i="105"/>
  <c r="L940" i="105"/>
  <c r="K940" i="105"/>
  <c r="AI939" i="105"/>
  <c r="AG939" i="105"/>
  <c r="X939" i="105"/>
  <c r="W939" i="105"/>
  <c r="R939" i="105"/>
  <c r="Q939" i="105"/>
  <c r="L939" i="105"/>
  <c r="N939" i="105" s="1"/>
  <c r="K939" i="105"/>
  <c r="M939" i="105" s="1"/>
  <c r="M938" i="105" s="1"/>
  <c r="A939" i="105"/>
  <c r="A940" i="105" s="1"/>
  <c r="A941" i="105" s="1"/>
  <c r="A942" i="105" s="1"/>
  <c r="A943" i="105" s="1"/>
  <c r="A944" i="105" s="1"/>
  <c r="AH938" i="105"/>
  <c r="AF938" i="105"/>
  <c r="X938" i="105"/>
  <c r="U938" i="105"/>
  <c r="R938" i="105"/>
  <c r="P938" i="105"/>
  <c r="H938" i="105"/>
  <c r="AI937" i="105"/>
  <c r="AH937" i="105"/>
  <c r="AG937" i="105"/>
  <c r="X937" i="105"/>
  <c r="W937" i="105"/>
  <c r="R937" i="105"/>
  <c r="Q937" i="105"/>
  <c r="N937" i="105"/>
  <c r="M937" i="105"/>
  <c r="L937" i="105"/>
  <c r="K937" i="105"/>
  <c r="AI936" i="105"/>
  <c r="AH936" i="105"/>
  <c r="AG936" i="105"/>
  <c r="X936" i="105"/>
  <c r="W936" i="105"/>
  <c r="R936" i="105"/>
  <c r="Q936" i="105"/>
  <c r="N936" i="105"/>
  <c r="M936" i="105"/>
  <c r="L936" i="105"/>
  <c r="K936" i="105"/>
  <c r="AI935" i="105"/>
  <c r="AH935" i="105"/>
  <c r="AG935" i="105"/>
  <c r="X935" i="105"/>
  <c r="W935" i="105"/>
  <c r="R935" i="105"/>
  <c r="Q935" i="105"/>
  <c r="N935" i="105"/>
  <c r="M935" i="105"/>
  <c r="L935" i="105"/>
  <c r="K935" i="105"/>
  <c r="AI934" i="105"/>
  <c r="AH934" i="105"/>
  <c r="AG934" i="105"/>
  <c r="X934" i="105"/>
  <c r="W934" i="105"/>
  <c r="R934" i="105"/>
  <c r="Q934" i="105"/>
  <c r="N934" i="105"/>
  <c r="M934" i="105"/>
  <c r="L934" i="105"/>
  <c r="K934" i="105"/>
  <c r="AI933" i="105"/>
  <c r="AH933" i="105"/>
  <c r="AG933" i="105"/>
  <c r="X933" i="105"/>
  <c r="W933" i="105"/>
  <c r="Q933" i="105"/>
  <c r="R933" i="105" s="1"/>
  <c r="N933" i="105"/>
  <c r="M933" i="105"/>
  <c r="L933" i="105"/>
  <c r="K933" i="105"/>
  <c r="AI932" i="105"/>
  <c r="AH932" i="105"/>
  <c r="AG932" i="105"/>
  <c r="X932" i="105"/>
  <c r="W932" i="105"/>
  <c r="Q932" i="105"/>
  <c r="R932" i="105" s="1"/>
  <c r="N932" i="105"/>
  <c r="M932" i="105"/>
  <c r="L932" i="105"/>
  <c r="K932" i="105"/>
  <c r="AI931" i="105"/>
  <c r="AH931" i="105"/>
  <c r="AG931" i="105"/>
  <c r="X931" i="105"/>
  <c r="W931" i="105"/>
  <c r="Q931" i="105"/>
  <c r="R931" i="105" s="1"/>
  <c r="N931" i="105"/>
  <c r="M931" i="105"/>
  <c r="L931" i="105"/>
  <c r="K931" i="105"/>
  <c r="AI930" i="105"/>
  <c r="AH930" i="105"/>
  <c r="AG930" i="105"/>
  <c r="X930" i="105"/>
  <c r="W930" i="105"/>
  <c r="Q930" i="105"/>
  <c r="R930" i="105" s="1"/>
  <c r="N930" i="105"/>
  <c r="M930" i="105"/>
  <c r="L930" i="105"/>
  <c r="K930" i="105"/>
  <c r="AI929" i="105"/>
  <c r="AH929" i="105"/>
  <c r="AG929" i="105"/>
  <c r="X929" i="105"/>
  <c r="W929" i="105"/>
  <c r="Q929" i="105"/>
  <c r="R929" i="105" s="1"/>
  <c r="N929" i="105"/>
  <c r="M929" i="105"/>
  <c r="L929" i="105"/>
  <c r="K929" i="105"/>
  <c r="AI928" i="105"/>
  <c r="AH928" i="105"/>
  <c r="AG928" i="105"/>
  <c r="X928" i="105"/>
  <c r="W928" i="105"/>
  <c r="Q928" i="105"/>
  <c r="R928" i="105" s="1"/>
  <c r="N928" i="105"/>
  <c r="M928" i="105"/>
  <c r="L928" i="105"/>
  <c r="K928" i="105"/>
  <c r="AI927" i="105"/>
  <c r="AH927" i="105"/>
  <c r="AG927" i="105"/>
  <c r="X927" i="105"/>
  <c r="W927" i="105"/>
  <c r="Q927" i="105"/>
  <c r="R927" i="105" s="1"/>
  <c r="N927" i="105"/>
  <c r="M927" i="105"/>
  <c r="L927" i="105"/>
  <c r="K927" i="105"/>
  <c r="AI926" i="105"/>
  <c r="AH926" i="105"/>
  <c r="AG926" i="105"/>
  <c r="X926" i="105"/>
  <c r="W926" i="105"/>
  <c r="Q926" i="105"/>
  <c r="R926" i="105" s="1"/>
  <c r="N926" i="105"/>
  <c r="M926" i="105"/>
  <c r="L926" i="105"/>
  <c r="K926" i="105"/>
  <c r="AI925" i="105"/>
  <c r="AH925" i="105"/>
  <c r="AG925" i="105"/>
  <c r="X925" i="105"/>
  <c r="W925" i="105"/>
  <c r="Q925" i="105"/>
  <c r="R925" i="105" s="1"/>
  <c r="N925" i="105"/>
  <c r="M925" i="105"/>
  <c r="L925" i="105"/>
  <c r="K925" i="105"/>
  <c r="AI924" i="105"/>
  <c r="AH924" i="105"/>
  <c r="AG924" i="105"/>
  <c r="X924" i="105"/>
  <c r="W924" i="105"/>
  <c r="Q924" i="105"/>
  <c r="R924" i="105" s="1"/>
  <c r="N924" i="105"/>
  <c r="M924" i="105"/>
  <c r="L924" i="105"/>
  <c r="K924" i="105"/>
  <c r="AI923" i="105"/>
  <c r="AH923" i="105"/>
  <c r="AG923" i="105"/>
  <c r="X923" i="105"/>
  <c r="W923" i="105"/>
  <c r="R923" i="105"/>
  <c r="Q923" i="105"/>
  <c r="N923" i="105"/>
  <c r="M923" i="105"/>
  <c r="L923" i="105"/>
  <c r="K923" i="105"/>
  <c r="AI922" i="105"/>
  <c r="AH922" i="105"/>
  <c r="AG922" i="105"/>
  <c r="X922" i="105"/>
  <c r="W922" i="105"/>
  <c r="R922" i="105"/>
  <c r="Q922" i="105"/>
  <c r="N922" i="105"/>
  <c r="M922" i="105"/>
  <c r="L922" i="105"/>
  <c r="K922" i="105"/>
  <c r="AI921" i="105"/>
  <c r="AH921" i="105"/>
  <c r="AG921" i="105"/>
  <c r="X921" i="105"/>
  <c r="W921" i="105"/>
  <c r="R921" i="105"/>
  <c r="Q921" i="105"/>
  <c r="N921" i="105"/>
  <c r="M921" i="105"/>
  <c r="L921" i="105"/>
  <c r="K921" i="105"/>
  <c r="AI920" i="105"/>
  <c r="AH920" i="105"/>
  <c r="AG920" i="105"/>
  <c r="X920" i="105"/>
  <c r="W920" i="105"/>
  <c r="R920" i="105"/>
  <c r="Q920" i="105"/>
  <c r="N920" i="105"/>
  <c r="M920" i="105"/>
  <c r="L920" i="105"/>
  <c r="K920" i="105"/>
  <c r="AI919" i="105"/>
  <c r="AH919" i="105"/>
  <c r="AG919" i="105"/>
  <c r="X919" i="105"/>
  <c r="W919" i="105"/>
  <c r="R919" i="105"/>
  <c r="Q919" i="105"/>
  <c r="N919" i="105"/>
  <c r="M919" i="105"/>
  <c r="L919" i="105"/>
  <c r="K919" i="105"/>
  <c r="AI918" i="105"/>
  <c r="AH918" i="105"/>
  <c r="AG918" i="105"/>
  <c r="X918" i="105"/>
  <c r="W918" i="105"/>
  <c r="R918" i="105"/>
  <c r="Q918" i="105"/>
  <c r="N918" i="105"/>
  <c r="M918" i="105"/>
  <c r="L918" i="105"/>
  <c r="K918" i="105"/>
  <c r="AI917" i="105"/>
  <c r="AH917" i="105"/>
  <c r="AG917" i="105"/>
  <c r="X917" i="105"/>
  <c r="W917" i="105"/>
  <c r="R917" i="105"/>
  <c r="Q917" i="105"/>
  <c r="N917" i="105"/>
  <c r="M917" i="105"/>
  <c r="L917" i="105"/>
  <c r="K917" i="105"/>
  <c r="AI916" i="105"/>
  <c r="AH916" i="105"/>
  <c r="AG916" i="105"/>
  <c r="X916" i="105"/>
  <c r="W916" i="105"/>
  <c r="R916" i="105"/>
  <c r="Q916" i="105"/>
  <c r="N916" i="105"/>
  <c r="M916" i="105"/>
  <c r="L916" i="105"/>
  <c r="K916" i="105"/>
  <c r="AI915" i="105"/>
  <c r="AH915" i="105"/>
  <c r="AG915" i="105"/>
  <c r="X915" i="105"/>
  <c r="W915" i="105"/>
  <c r="R915" i="105"/>
  <c r="Q915" i="105"/>
  <c r="N915" i="105"/>
  <c r="M915" i="105"/>
  <c r="L915" i="105"/>
  <c r="K915" i="105"/>
  <c r="AI914" i="105"/>
  <c r="AH914" i="105"/>
  <c r="AG914" i="105"/>
  <c r="X914" i="105"/>
  <c r="W914" i="105"/>
  <c r="R914" i="105"/>
  <c r="Q914" i="105"/>
  <c r="N914" i="105"/>
  <c r="M914" i="105"/>
  <c r="L914" i="105"/>
  <c r="K914" i="105"/>
  <c r="AI913" i="105"/>
  <c r="AH913" i="105"/>
  <c r="AG913" i="105"/>
  <c r="X913" i="105"/>
  <c r="W913" i="105"/>
  <c r="R913" i="105"/>
  <c r="Q913" i="105"/>
  <c r="N913" i="105"/>
  <c r="M913" i="105"/>
  <c r="L913" i="105"/>
  <c r="K913" i="105"/>
  <c r="AI912" i="105"/>
  <c r="AH912" i="105"/>
  <c r="AG912" i="105"/>
  <c r="X912" i="105"/>
  <c r="W912" i="105"/>
  <c r="Q912" i="105"/>
  <c r="R912" i="105" s="1"/>
  <c r="N912" i="105"/>
  <c r="M912" i="105"/>
  <c r="L912" i="105"/>
  <c r="K912" i="105"/>
  <c r="AI911" i="105"/>
  <c r="AH911" i="105"/>
  <c r="AG911" i="105"/>
  <c r="X911" i="105"/>
  <c r="W911" i="105"/>
  <c r="Q911" i="105"/>
  <c r="R911" i="105" s="1"/>
  <c r="N911" i="105"/>
  <c r="M911" i="105"/>
  <c r="L911" i="105"/>
  <c r="K911" i="105"/>
  <c r="AI910" i="105"/>
  <c r="AH910" i="105"/>
  <c r="AG910" i="105"/>
  <c r="X910" i="105"/>
  <c r="W910" i="105"/>
  <c r="Q910" i="105"/>
  <c r="R910" i="105" s="1"/>
  <c r="N910" i="105"/>
  <c r="M910" i="105"/>
  <c r="L910" i="105"/>
  <c r="K910" i="105"/>
  <c r="AI909" i="105"/>
  <c r="AH909" i="105"/>
  <c r="AG909" i="105"/>
  <c r="X909" i="105"/>
  <c r="W909" i="105"/>
  <c r="Q909" i="105"/>
  <c r="R909" i="105" s="1"/>
  <c r="N909" i="105"/>
  <c r="M909" i="105"/>
  <c r="L909" i="105"/>
  <c r="K909" i="105"/>
  <c r="AI908" i="105"/>
  <c r="AH908" i="105"/>
  <c r="AG908" i="105"/>
  <c r="X908" i="105"/>
  <c r="W908" i="105"/>
  <c r="Q908" i="105"/>
  <c r="R908" i="105" s="1"/>
  <c r="N908" i="105"/>
  <c r="M908" i="105"/>
  <c r="L908" i="105"/>
  <c r="K908" i="105"/>
  <c r="AI907" i="105"/>
  <c r="AH907" i="105"/>
  <c r="AG907" i="105"/>
  <c r="X907" i="105"/>
  <c r="W907" i="105"/>
  <c r="Q907" i="105"/>
  <c r="R907" i="105" s="1"/>
  <c r="N907" i="105"/>
  <c r="M907" i="105"/>
  <c r="L907" i="105"/>
  <c r="K907" i="105"/>
  <c r="AI906" i="105"/>
  <c r="AH906" i="105"/>
  <c r="AG906" i="105"/>
  <c r="X906" i="105"/>
  <c r="W906" i="105"/>
  <c r="Q906" i="105"/>
  <c r="R906" i="105" s="1"/>
  <c r="N906" i="105"/>
  <c r="M906" i="105"/>
  <c r="L906" i="105"/>
  <c r="K906" i="105"/>
  <c r="AI905" i="105"/>
  <c r="AH905" i="105"/>
  <c r="AG905" i="105"/>
  <c r="X905" i="105"/>
  <c r="W905" i="105"/>
  <c r="Q905" i="105"/>
  <c r="R905" i="105" s="1"/>
  <c r="N905" i="105"/>
  <c r="M905" i="105"/>
  <c r="L905" i="105"/>
  <c r="K905" i="105"/>
  <c r="AI904" i="105"/>
  <c r="AH904" i="105"/>
  <c r="AG904" i="105"/>
  <c r="X904" i="105"/>
  <c r="W904" i="105"/>
  <c r="Q904" i="105"/>
  <c r="R904" i="105" s="1"/>
  <c r="N904" i="105"/>
  <c r="M904" i="105"/>
  <c r="L904" i="105"/>
  <c r="K904" i="105"/>
  <c r="AI903" i="105"/>
  <c r="AH903" i="105"/>
  <c r="AG903" i="105"/>
  <c r="W903" i="105"/>
  <c r="X903" i="105" s="1"/>
  <c r="Q903" i="105"/>
  <c r="R903" i="105" s="1"/>
  <c r="N903" i="105"/>
  <c r="M903" i="105"/>
  <c r="L903" i="105"/>
  <c r="K903" i="105"/>
  <c r="AI902" i="105"/>
  <c r="AH902" i="105"/>
  <c r="AG902" i="105"/>
  <c r="W902" i="105"/>
  <c r="X902" i="105" s="1"/>
  <c r="Q902" i="105"/>
  <c r="R902" i="105" s="1"/>
  <c r="N902" i="105"/>
  <c r="M902" i="105"/>
  <c r="L902" i="105"/>
  <c r="K902" i="105"/>
  <c r="AI901" i="105"/>
  <c r="AH901" i="105"/>
  <c r="AG901" i="105"/>
  <c r="W901" i="105"/>
  <c r="X901" i="105" s="1"/>
  <c r="Q901" i="105"/>
  <c r="R901" i="105" s="1"/>
  <c r="N901" i="105"/>
  <c r="M901" i="105"/>
  <c r="L901" i="105"/>
  <c r="K901" i="105"/>
  <c r="AI900" i="105"/>
  <c r="AH900" i="105"/>
  <c r="AG900" i="105"/>
  <c r="W900" i="105"/>
  <c r="X900" i="105" s="1"/>
  <c r="Q900" i="105"/>
  <c r="R900" i="105" s="1"/>
  <c r="N900" i="105"/>
  <c r="M900" i="105"/>
  <c r="L900" i="105"/>
  <c r="K900" i="105"/>
  <c r="AI899" i="105"/>
  <c r="AH899" i="105"/>
  <c r="AG899" i="105"/>
  <c r="W899" i="105"/>
  <c r="X899" i="105" s="1"/>
  <c r="Q899" i="105"/>
  <c r="R899" i="105" s="1"/>
  <c r="N899" i="105"/>
  <c r="M899" i="105"/>
  <c r="L899" i="105"/>
  <c r="K899" i="105"/>
  <c r="AI898" i="105"/>
  <c r="AH898" i="105"/>
  <c r="AG898" i="105"/>
  <c r="W898" i="105"/>
  <c r="X898" i="105" s="1"/>
  <c r="Q898" i="105"/>
  <c r="R898" i="105" s="1"/>
  <c r="N898" i="105"/>
  <c r="M898" i="105"/>
  <c r="L898" i="105"/>
  <c r="K898" i="105"/>
  <c r="AI897" i="105"/>
  <c r="AH897" i="105"/>
  <c r="AG897" i="105"/>
  <c r="W897" i="105"/>
  <c r="X897" i="105" s="1"/>
  <c r="Q897" i="105"/>
  <c r="R897" i="105" s="1"/>
  <c r="N897" i="105"/>
  <c r="M897" i="105"/>
  <c r="L897" i="105"/>
  <c r="K897" i="105"/>
  <c r="AI896" i="105"/>
  <c r="AH896" i="105"/>
  <c r="AG896" i="105"/>
  <c r="W896" i="105"/>
  <c r="X896" i="105" s="1"/>
  <c r="Q896" i="105"/>
  <c r="R896" i="105" s="1"/>
  <c r="N896" i="105"/>
  <c r="M896" i="105"/>
  <c r="L896" i="105"/>
  <c r="K896" i="105"/>
  <c r="AI895" i="105"/>
  <c r="AH895" i="105"/>
  <c r="AG895" i="105"/>
  <c r="W895" i="105"/>
  <c r="X895" i="105" s="1"/>
  <c r="Q895" i="105"/>
  <c r="R895" i="105" s="1"/>
  <c r="N895" i="105"/>
  <c r="M895" i="105"/>
  <c r="L895" i="105"/>
  <c r="K895" i="105"/>
  <c r="AI894" i="105"/>
  <c r="AH894" i="105"/>
  <c r="AG894" i="105"/>
  <c r="W894" i="105"/>
  <c r="X894" i="105" s="1"/>
  <c r="Q894" i="105"/>
  <c r="R894" i="105" s="1"/>
  <c r="N894" i="105"/>
  <c r="M894" i="105"/>
  <c r="L894" i="105"/>
  <c r="K894" i="105"/>
  <c r="AI893" i="105"/>
  <c r="AH893" i="105"/>
  <c r="AG893" i="105"/>
  <c r="W893" i="105"/>
  <c r="X893" i="105" s="1"/>
  <c r="Q893" i="105"/>
  <c r="R893" i="105" s="1"/>
  <c r="N893" i="105"/>
  <c r="M893" i="105"/>
  <c r="L893" i="105"/>
  <c r="K893" i="105"/>
  <c r="AI892" i="105"/>
  <c r="AH892" i="105"/>
  <c r="AG892" i="105"/>
  <c r="W892" i="105"/>
  <c r="X892" i="105" s="1"/>
  <c r="Q892" i="105"/>
  <c r="R892" i="105" s="1"/>
  <c r="N892" i="105"/>
  <c r="M892" i="105"/>
  <c r="L892" i="105"/>
  <c r="K892" i="105"/>
  <c r="AI891" i="105"/>
  <c r="AH891" i="105"/>
  <c r="AG891" i="105"/>
  <c r="W891" i="105"/>
  <c r="X891" i="105" s="1"/>
  <c r="Q891" i="105"/>
  <c r="R891" i="105" s="1"/>
  <c r="N891" i="105"/>
  <c r="M891" i="105"/>
  <c r="L891" i="105"/>
  <c r="K891" i="105"/>
  <c r="AI890" i="105"/>
  <c r="AH890" i="105"/>
  <c r="AG890" i="105"/>
  <c r="W890" i="105"/>
  <c r="X890" i="105" s="1"/>
  <c r="Q890" i="105"/>
  <c r="R890" i="105" s="1"/>
  <c r="N890" i="105"/>
  <c r="M890" i="105"/>
  <c r="L890" i="105"/>
  <c r="K890" i="105"/>
  <c r="AI889" i="105"/>
  <c r="AH889" i="105"/>
  <c r="AG889" i="105"/>
  <c r="W889" i="105"/>
  <c r="X889" i="105" s="1"/>
  <c r="Q889" i="105"/>
  <c r="R889" i="105" s="1"/>
  <c r="N889" i="105"/>
  <c r="M889" i="105"/>
  <c r="L889" i="105"/>
  <c r="K889" i="105"/>
  <c r="AI888" i="105"/>
  <c r="AH888" i="105"/>
  <c r="AG888" i="105"/>
  <c r="W888" i="105"/>
  <c r="X888" i="105" s="1"/>
  <c r="Q888" i="105"/>
  <c r="R888" i="105" s="1"/>
  <c r="N888" i="105"/>
  <c r="M888" i="105"/>
  <c r="L888" i="105"/>
  <c r="K888" i="105"/>
  <c r="AI887" i="105"/>
  <c r="AH887" i="105"/>
  <c r="AG887" i="105"/>
  <c r="W887" i="105"/>
  <c r="X887" i="105" s="1"/>
  <c r="Q887" i="105"/>
  <c r="R887" i="105" s="1"/>
  <c r="N887" i="105"/>
  <c r="M887" i="105"/>
  <c r="L887" i="105"/>
  <c r="K887" i="105"/>
  <c r="AI886" i="105"/>
  <c r="AH886" i="105"/>
  <c r="AG886" i="105"/>
  <c r="W886" i="105"/>
  <c r="X886" i="105" s="1"/>
  <c r="Q886" i="105"/>
  <c r="R886" i="105" s="1"/>
  <c r="N886" i="105"/>
  <c r="M886" i="105"/>
  <c r="L886" i="105"/>
  <c r="K886" i="105"/>
  <c r="AI885" i="105"/>
  <c r="AH885" i="105"/>
  <c r="AG885" i="105"/>
  <c r="W885" i="105"/>
  <c r="X885" i="105" s="1"/>
  <c r="Q885" i="105"/>
  <c r="R885" i="105" s="1"/>
  <c r="N885" i="105"/>
  <c r="M885" i="105"/>
  <c r="L885" i="105"/>
  <c r="K885" i="105"/>
  <c r="AI884" i="105"/>
  <c r="AH884" i="105"/>
  <c r="AG884" i="105"/>
  <c r="W884" i="105"/>
  <c r="X884" i="105" s="1"/>
  <c r="Q884" i="105"/>
  <c r="R884" i="105" s="1"/>
  <c r="N884" i="105"/>
  <c r="M884" i="105"/>
  <c r="L884" i="105"/>
  <c r="K884" i="105"/>
  <c r="AI883" i="105"/>
  <c r="AH883" i="105"/>
  <c r="AG883" i="105"/>
  <c r="W883" i="105"/>
  <c r="X883" i="105" s="1"/>
  <c r="Q883" i="105"/>
  <c r="R883" i="105" s="1"/>
  <c r="N883" i="105"/>
  <c r="M883" i="105"/>
  <c r="L883" i="105"/>
  <c r="K883" i="105"/>
  <c r="AI882" i="105"/>
  <c r="AH882" i="105"/>
  <c r="AG882" i="105"/>
  <c r="W882" i="105"/>
  <c r="X882" i="105" s="1"/>
  <c r="Q882" i="105"/>
  <c r="R882" i="105" s="1"/>
  <c r="N882" i="105"/>
  <c r="M882" i="105"/>
  <c r="L882" i="105"/>
  <c r="K882" i="105"/>
  <c r="AI881" i="105"/>
  <c r="AH881" i="105"/>
  <c r="AG881" i="105"/>
  <c r="W881" i="105"/>
  <c r="X881" i="105" s="1"/>
  <c r="Q881" i="105"/>
  <c r="R881" i="105" s="1"/>
  <c r="N881" i="105"/>
  <c r="M881" i="105"/>
  <c r="L881" i="105"/>
  <c r="K881" i="105"/>
  <c r="AI880" i="105"/>
  <c r="AH880" i="105"/>
  <c r="AG880" i="105"/>
  <c r="W880" i="105"/>
  <c r="X880" i="105" s="1"/>
  <c r="Q880" i="105"/>
  <c r="R880" i="105" s="1"/>
  <c r="N880" i="105"/>
  <c r="M880" i="105"/>
  <c r="L880" i="105"/>
  <c r="K880" i="105"/>
  <c r="AI879" i="105"/>
  <c r="AH879" i="105"/>
  <c r="AG879" i="105"/>
  <c r="W879" i="105"/>
  <c r="X879" i="105" s="1"/>
  <c r="Q879" i="105"/>
  <c r="R879" i="105" s="1"/>
  <c r="N879" i="105"/>
  <c r="M879" i="105"/>
  <c r="L879" i="105"/>
  <c r="K879" i="105"/>
  <c r="AI878" i="105"/>
  <c r="AH878" i="105"/>
  <c r="AG878" i="105"/>
  <c r="W878" i="105"/>
  <c r="X878" i="105" s="1"/>
  <c r="Q878" i="105"/>
  <c r="R878" i="105" s="1"/>
  <c r="N878" i="105"/>
  <c r="M878" i="105"/>
  <c r="L878" i="105"/>
  <c r="K878" i="105"/>
  <c r="AI877" i="105"/>
  <c r="AH877" i="105"/>
  <c r="AG877" i="105"/>
  <c r="W877" i="105"/>
  <c r="X877" i="105" s="1"/>
  <c r="Q877" i="105"/>
  <c r="R877" i="105" s="1"/>
  <c r="N877" i="105"/>
  <c r="M877" i="105"/>
  <c r="L877" i="105"/>
  <c r="K877" i="105"/>
  <c r="AI876" i="105"/>
  <c r="AH876" i="105"/>
  <c r="AG876" i="105"/>
  <c r="W876" i="105"/>
  <c r="X876" i="105" s="1"/>
  <c r="Q876" i="105"/>
  <c r="R876" i="105" s="1"/>
  <c r="N876" i="105"/>
  <c r="M876" i="105"/>
  <c r="L876" i="105"/>
  <c r="K876" i="105"/>
  <c r="AI875" i="105"/>
  <c r="AH875" i="105"/>
  <c r="AG875" i="105"/>
  <c r="W875" i="105"/>
  <c r="X875" i="105" s="1"/>
  <c r="Q875" i="105"/>
  <c r="R875" i="105" s="1"/>
  <c r="N875" i="105"/>
  <c r="M875" i="105"/>
  <c r="L875" i="105"/>
  <c r="K875" i="105"/>
  <c r="AI874" i="105"/>
  <c r="AH874" i="105"/>
  <c r="AG874" i="105"/>
  <c r="W874" i="105"/>
  <c r="X874" i="105" s="1"/>
  <c r="Q874" i="105"/>
  <c r="R874" i="105" s="1"/>
  <c r="N874" i="105"/>
  <c r="M874" i="105"/>
  <c r="L874" i="105"/>
  <c r="K874" i="105"/>
  <c r="AI873" i="105"/>
  <c r="AH873" i="105"/>
  <c r="AG873" i="105"/>
  <c r="W873" i="105"/>
  <c r="X873" i="105" s="1"/>
  <c r="Q873" i="105"/>
  <c r="R873" i="105" s="1"/>
  <c r="N873" i="105"/>
  <c r="M873" i="105"/>
  <c r="L873" i="105"/>
  <c r="K873" i="105"/>
  <c r="AI872" i="105"/>
  <c r="AG872" i="105"/>
  <c r="AH872" i="105" s="1"/>
  <c r="W872" i="105"/>
  <c r="X872" i="105" s="1"/>
  <c r="Q872" i="105"/>
  <c r="R872" i="105" s="1"/>
  <c r="L872" i="105"/>
  <c r="N872" i="105" s="1"/>
  <c r="I872" i="105" s="1"/>
  <c r="K872" i="105"/>
  <c r="M872" i="105" s="1"/>
  <c r="AI871" i="105"/>
  <c r="X871" i="105"/>
  <c r="W871" i="105"/>
  <c r="R871" i="105"/>
  <c r="Q871" i="105"/>
  <c r="L871" i="105"/>
  <c r="N871" i="105" s="1"/>
  <c r="K871" i="105"/>
  <c r="H871" i="105"/>
  <c r="M871" i="105" s="1"/>
  <c r="A871" i="105"/>
  <c r="A872" i="105" s="1"/>
  <c r="A873" i="105" s="1"/>
  <c r="A874" i="105" s="1"/>
  <c r="A875" i="105" s="1"/>
  <c r="A876" i="105" s="1"/>
  <c r="A877" i="105" s="1"/>
  <c r="A878" i="105" s="1"/>
  <c r="A879" i="105" s="1"/>
  <c r="A880" i="105" s="1"/>
  <c r="A881" i="105" s="1"/>
  <c r="A882" i="105" s="1"/>
  <c r="A883" i="105" s="1"/>
  <c r="A884" i="105" s="1"/>
  <c r="A885" i="105" s="1"/>
  <c r="A886" i="105" s="1"/>
  <c r="A887" i="105" s="1"/>
  <c r="A888" i="105" s="1"/>
  <c r="A889" i="105" s="1"/>
  <c r="A890" i="105" s="1"/>
  <c r="A891" i="105" s="1"/>
  <c r="A892" i="105" s="1"/>
  <c r="A893" i="105" s="1"/>
  <c r="A894" i="105" s="1"/>
  <c r="A895" i="105" s="1"/>
  <c r="A896" i="105" s="1"/>
  <c r="A897" i="105" s="1"/>
  <c r="A898" i="105" s="1"/>
  <c r="A899" i="105" s="1"/>
  <c r="A900" i="105" s="1"/>
  <c r="A901" i="105" s="1"/>
  <c r="A902" i="105" s="1"/>
  <c r="A903" i="105" s="1"/>
  <c r="A904" i="105" s="1"/>
  <c r="A905" i="105" s="1"/>
  <c r="A906" i="105" s="1"/>
  <c r="A907" i="105" s="1"/>
  <c r="A908" i="105" s="1"/>
  <c r="A909" i="105" s="1"/>
  <c r="A910" i="105" s="1"/>
  <c r="A911" i="105" s="1"/>
  <c r="A912" i="105" s="1"/>
  <c r="A913" i="105" s="1"/>
  <c r="A914" i="105" s="1"/>
  <c r="A915" i="105" s="1"/>
  <c r="A916" i="105" s="1"/>
  <c r="A917" i="105" s="1"/>
  <c r="A918" i="105" s="1"/>
  <c r="A919" i="105" s="1"/>
  <c r="A920" i="105" s="1"/>
  <c r="A921" i="105" s="1"/>
  <c r="A922" i="105" s="1"/>
  <c r="A923" i="105" s="1"/>
  <c r="A924" i="105" s="1"/>
  <c r="A925" i="105" s="1"/>
  <c r="A926" i="105" s="1"/>
  <c r="A927" i="105" s="1"/>
  <c r="A928" i="105" s="1"/>
  <c r="A929" i="105" s="1"/>
  <c r="A930" i="105" s="1"/>
  <c r="A931" i="105" s="1"/>
  <c r="A932" i="105" s="1"/>
  <c r="A933" i="105" s="1"/>
  <c r="A934" i="105" s="1"/>
  <c r="A935" i="105" s="1"/>
  <c r="A936" i="105" s="1"/>
  <c r="A937" i="105" s="1"/>
  <c r="AH870" i="105"/>
  <c r="AF870" i="105"/>
  <c r="X870" i="105"/>
  <c r="U870" i="105"/>
  <c r="R870" i="105"/>
  <c r="P870" i="105"/>
  <c r="H870" i="105"/>
  <c r="AI869" i="105"/>
  <c r="AH869" i="105"/>
  <c r="AG869" i="105"/>
  <c r="X869" i="105"/>
  <c r="W869" i="105"/>
  <c r="R869" i="105"/>
  <c r="Q869" i="105"/>
  <c r="N869" i="105"/>
  <c r="M869" i="105"/>
  <c r="L869" i="105"/>
  <c r="K869" i="105"/>
  <c r="AI868" i="105"/>
  <c r="AH868" i="105"/>
  <c r="AG868" i="105"/>
  <c r="X868" i="105"/>
  <c r="W868" i="105"/>
  <c r="R868" i="105"/>
  <c r="Q868" i="105"/>
  <c r="N868" i="105"/>
  <c r="M868" i="105"/>
  <c r="L868" i="105"/>
  <c r="K868" i="105"/>
  <c r="AI867" i="105"/>
  <c r="AH867" i="105"/>
  <c r="AG867" i="105"/>
  <c r="X867" i="105"/>
  <c r="W867" i="105"/>
  <c r="R867" i="105"/>
  <c r="Q867" i="105"/>
  <c r="N867" i="105"/>
  <c r="M867" i="105"/>
  <c r="L867" i="105"/>
  <c r="K867" i="105"/>
  <c r="AI866" i="105"/>
  <c r="AH866" i="105"/>
  <c r="AG866" i="105"/>
  <c r="X866" i="105"/>
  <c r="W866" i="105"/>
  <c r="R866" i="105"/>
  <c r="Q866" i="105"/>
  <c r="N866" i="105"/>
  <c r="M866" i="105"/>
  <c r="L866" i="105"/>
  <c r="K866" i="105"/>
  <c r="AI865" i="105"/>
  <c r="AH865" i="105"/>
  <c r="AG865" i="105"/>
  <c r="X865" i="105"/>
  <c r="W865" i="105"/>
  <c r="R865" i="105"/>
  <c r="Q865" i="105"/>
  <c r="N865" i="105"/>
  <c r="M865" i="105"/>
  <c r="L865" i="105"/>
  <c r="K865" i="105"/>
  <c r="AI864" i="105"/>
  <c r="AH864" i="105"/>
  <c r="AG864" i="105"/>
  <c r="W864" i="105"/>
  <c r="X864" i="105" s="1"/>
  <c r="R864" i="105"/>
  <c r="Q864" i="105"/>
  <c r="N864" i="105"/>
  <c r="M864" i="105"/>
  <c r="L864" i="105"/>
  <c r="K864" i="105"/>
  <c r="AI863" i="105"/>
  <c r="AH863" i="105"/>
  <c r="AG863" i="105"/>
  <c r="W863" i="105"/>
  <c r="X863" i="105" s="1"/>
  <c r="R863" i="105"/>
  <c r="Q863" i="105"/>
  <c r="N863" i="105"/>
  <c r="M863" i="105"/>
  <c r="L863" i="105"/>
  <c r="K863" i="105"/>
  <c r="AI862" i="105"/>
  <c r="AH862" i="105"/>
  <c r="AG862" i="105"/>
  <c r="W862" i="105"/>
  <c r="X862" i="105" s="1"/>
  <c r="R862" i="105"/>
  <c r="Q862" i="105"/>
  <c r="N862" i="105"/>
  <c r="M862" i="105"/>
  <c r="L862" i="105"/>
  <c r="K862" i="105"/>
  <c r="AI861" i="105"/>
  <c r="AH861" i="105"/>
  <c r="AG861" i="105"/>
  <c r="W861" i="105"/>
  <c r="X861" i="105" s="1"/>
  <c r="X860" i="105" s="1"/>
  <c r="R861" i="105"/>
  <c r="Q861" i="105"/>
  <c r="L861" i="105"/>
  <c r="N861" i="105" s="1"/>
  <c r="I861" i="105" s="1"/>
  <c r="K861" i="105"/>
  <c r="M861" i="105" s="1"/>
  <c r="M860" i="105" s="1"/>
  <c r="A861" i="105"/>
  <c r="A862" i="105" s="1"/>
  <c r="A863" i="105" s="1"/>
  <c r="A864" i="105" s="1"/>
  <c r="A865" i="105" s="1"/>
  <c r="A866" i="105" s="1"/>
  <c r="A867" i="105" s="1"/>
  <c r="A868" i="105" s="1"/>
  <c r="A869" i="105" s="1"/>
  <c r="AH860" i="105"/>
  <c r="AF860" i="105"/>
  <c r="U860" i="105"/>
  <c r="R860" i="105"/>
  <c r="P860" i="105"/>
  <c r="I860" i="105"/>
  <c r="H860" i="105"/>
  <c r="AI859" i="105"/>
  <c r="AH859" i="105"/>
  <c r="AG859" i="105"/>
  <c r="X859" i="105"/>
  <c r="W859" i="105"/>
  <c r="R859" i="105"/>
  <c r="Q859" i="105"/>
  <c r="N859" i="105"/>
  <c r="M859" i="105"/>
  <c r="L859" i="105"/>
  <c r="K859" i="105"/>
  <c r="AI858" i="105"/>
  <c r="AH858" i="105"/>
  <c r="AG858" i="105"/>
  <c r="X858" i="105"/>
  <c r="W858" i="105"/>
  <c r="R858" i="105"/>
  <c r="Q858" i="105"/>
  <c r="N858" i="105"/>
  <c r="M858" i="105"/>
  <c r="L858" i="105"/>
  <c r="K858" i="105"/>
  <c r="AI857" i="105"/>
  <c r="AH857" i="105"/>
  <c r="AG857" i="105"/>
  <c r="X857" i="105"/>
  <c r="W857" i="105"/>
  <c r="R857" i="105"/>
  <c r="Q857" i="105"/>
  <c r="N857" i="105"/>
  <c r="M857" i="105"/>
  <c r="L857" i="105"/>
  <c r="K857" i="105"/>
  <c r="AI856" i="105"/>
  <c r="AH856" i="105"/>
  <c r="AG856" i="105"/>
  <c r="X856" i="105"/>
  <c r="W856" i="105"/>
  <c r="R856" i="105"/>
  <c r="Q856" i="105"/>
  <c r="N856" i="105"/>
  <c r="M856" i="105"/>
  <c r="L856" i="105"/>
  <c r="K856" i="105"/>
  <c r="AI855" i="105"/>
  <c r="AH855" i="105"/>
  <c r="AG855" i="105"/>
  <c r="X855" i="105"/>
  <c r="W855" i="105"/>
  <c r="R855" i="105"/>
  <c r="Q855" i="105"/>
  <c r="N855" i="105"/>
  <c r="M855" i="105"/>
  <c r="L855" i="105"/>
  <c r="K855" i="105"/>
  <c r="AI854" i="105"/>
  <c r="AH854" i="105"/>
  <c r="AG854" i="105"/>
  <c r="W854" i="105"/>
  <c r="X854" i="105" s="1"/>
  <c r="R854" i="105"/>
  <c r="Q854" i="105"/>
  <c r="N854" i="105"/>
  <c r="M854" i="105"/>
  <c r="L854" i="105"/>
  <c r="K854" i="105"/>
  <c r="AI853" i="105"/>
  <c r="AH853" i="105"/>
  <c r="AG853" i="105"/>
  <c r="W853" i="105"/>
  <c r="X853" i="105" s="1"/>
  <c r="X852" i="105" s="1"/>
  <c r="R853" i="105"/>
  <c r="Q853" i="105"/>
  <c r="N853" i="105"/>
  <c r="M853" i="105"/>
  <c r="M852" i="105" s="1"/>
  <c r="AI852" i="105" s="1"/>
  <c r="L853" i="105"/>
  <c r="K853" i="105"/>
  <c r="A853" i="105"/>
  <c r="A854" i="105" s="1"/>
  <c r="A855" i="105" s="1"/>
  <c r="A856" i="105" s="1"/>
  <c r="A857" i="105" s="1"/>
  <c r="A858" i="105" s="1"/>
  <c r="A859" i="105" s="1"/>
  <c r="AH852" i="105"/>
  <c r="AF852" i="105"/>
  <c r="U852" i="105"/>
  <c r="R852" i="105"/>
  <c r="P852" i="105"/>
  <c r="N852" i="105"/>
  <c r="I852" i="105"/>
  <c r="H852" i="105"/>
  <c r="AI851" i="105"/>
  <c r="AH851" i="105"/>
  <c r="AG851" i="105"/>
  <c r="X851" i="105"/>
  <c r="W851" i="105"/>
  <c r="R851" i="105"/>
  <c r="Q851" i="105"/>
  <c r="N851" i="105"/>
  <c r="M851" i="105"/>
  <c r="L851" i="105"/>
  <c r="K851" i="105"/>
  <c r="AI850" i="105"/>
  <c r="AH850" i="105"/>
  <c r="AG850" i="105"/>
  <c r="X850" i="105"/>
  <c r="W850" i="105"/>
  <c r="R850" i="105"/>
  <c r="Q850" i="105"/>
  <c r="N850" i="105"/>
  <c r="M850" i="105"/>
  <c r="L850" i="105"/>
  <c r="K850" i="105"/>
  <c r="AI849" i="105"/>
  <c r="AH849" i="105"/>
  <c r="AG849" i="105"/>
  <c r="X849" i="105"/>
  <c r="W849" i="105"/>
  <c r="R849" i="105"/>
  <c r="Q849" i="105"/>
  <c r="N849" i="105"/>
  <c r="M849" i="105"/>
  <c r="L849" i="105"/>
  <c r="K849" i="105"/>
  <c r="AI848" i="105"/>
  <c r="AH848" i="105"/>
  <c r="AG848" i="105"/>
  <c r="X848" i="105"/>
  <c r="W848" i="105"/>
  <c r="R848" i="105"/>
  <c r="Q848" i="105"/>
  <c r="N848" i="105"/>
  <c r="M848" i="105"/>
  <c r="L848" i="105"/>
  <c r="K848" i="105"/>
  <c r="AI847" i="105"/>
  <c r="AH847" i="105"/>
  <c r="AG847" i="105"/>
  <c r="X847" i="105"/>
  <c r="W847" i="105"/>
  <c r="R847" i="105"/>
  <c r="Q847" i="105"/>
  <c r="N847" i="105"/>
  <c r="M847" i="105"/>
  <c r="L847" i="105"/>
  <c r="K847" i="105"/>
  <c r="AI846" i="105"/>
  <c r="AH846" i="105"/>
  <c r="AG846" i="105"/>
  <c r="X846" i="105"/>
  <c r="W846" i="105"/>
  <c r="R846" i="105"/>
  <c r="Q846" i="105"/>
  <c r="N846" i="105"/>
  <c r="M846" i="105"/>
  <c r="L846" i="105"/>
  <c r="K846" i="105"/>
  <c r="AI845" i="105"/>
  <c r="AH845" i="105"/>
  <c r="AG845" i="105"/>
  <c r="X845" i="105"/>
  <c r="W845" i="105"/>
  <c r="R845" i="105"/>
  <c r="Q845" i="105"/>
  <c r="N845" i="105"/>
  <c r="M845" i="105"/>
  <c r="L845" i="105"/>
  <c r="K845" i="105"/>
  <c r="AI844" i="105"/>
  <c r="AH844" i="105"/>
  <c r="AG844" i="105"/>
  <c r="X844" i="105"/>
  <c r="W844" i="105"/>
  <c r="R844" i="105"/>
  <c r="Q844" i="105"/>
  <c r="N844" i="105"/>
  <c r="M844" i="105"/>
  <c r="L844" i="105"/>
  <c r="K844" i="105"/>
  <c r="AI843" i="105"/>
  <c r="AH843" i="105"/>
  <c r="AG843" i="105"/>
  <c r="X843" i="105"/>
  <c r="W843" i="105"/>
  <c r="R843" i="105"/>
  <c r="Q843" i="105"/>
  <c r="N843" i="105"/>
  <c r="M843" i="105"/>
  <c r="L843" i="105"/>
  <c r="K843" i="105"/>
  <c r="AI842" i="105"/>
  <c r="AH842" i="105"/>
  <c r="AG842" i="105"/>
  <c r="X842" i="105"/>
  <c r="W842" i="105"/>
  <c r="R842" i="105"/>
  <c r="Q842" i="105"/>
  <c r="N842" i="105"/>
  <c r="M842" i="105"/>
  <c r="L842" i="105"/>
  <c r="K842" i="105"/>
  <c r="AI841" i="105"/>
  <c r="AH841" i="105"/>
  <c r="AG841" i="105"/>
  <c r="X841" i="105"/>
  <c r="W841" i="105"/>
  <c r="R841" i="105"/>
  <c r="Q841" i="105"/>
  <c r="N841" i="105"/>
  <c r="M841" i="105"/>
  <c r="L841" i="105"/>
  <c r="K841" i="105"/>
  <c r="AI840" i="105"/>
  <c r="AH840" i="105"/>
  <c r="AG840" i="105"/>
  <c r="X840" i="105"/>
  <c r="W840" i="105"/>
  <c r="R840" i="105"/>
  <c r="Q840" i="105"/>
  <c r="N840" i="105"/>
  <c r="I840" i="105" s="1"/>
  <c r="L840" i="105"/>
  <c r="K840" i="105"/>
  <c r="M840" i="105" s="1"/>
  <c r="AI839" i="105"/>
  <c r="AH839" i="105"/>
  <c r="AG839" i="105"/>
  <c r="X839" i="105"/>
  <c r="W839" i="105"/>
  <c r="Q839" i="105"/>
  <c r="R839" i="105" s="1"/>
  <c r="L839" i="105"/>
  <c r="N839" i="105" s="1"/>
  <c r="I839" i="105" s="1"/>
  <c r="K839" i="105"/>
  <c r="M839" i="105" s="1"/>
  <c r="AI838" i="105"/>
  <c r="AH838" i="105"/>
  <c r="AG838" i="105"/>
  <c r="X838" i="105"/>
  <c r="W838" i="105"/>
  <c r="R838" i="105"/>
  <c r="Q838" i="105"/>
  <c r="L838" i="105"/>
  <c r="N838" i="105" s="1"/>
  <c r="I838" i="105" s="1"/>
  <c r="K838" i="105"/>
  <c r="M838" i="105" s="1"/>
  <c r="AI837" i="105"/>
  <c r="AG837" i="105"/>
  <c r="X837" i="105"/>
  <c r="W837" i="105"/>
  <c r="R837" i="105"/>
  <c r="Q837" i="105"/>
  <c r="L837" i="105"/>
  <c r="N837" i="105" s="1"/>
  <c r="K837" i="105"/>
  <c r="H837" i="105"/>
  <c r="M837" i="105" s="1"/>
  <c r="A837" i="105"/>
  <c r="A838" i="105" s="1"/>
  <c r="A839" i="105" s="1"/>
  <c r="A840" i="105" s="1"/>
  <c r="A841" i="105" s="1"/>
  <c r="A842" i="105" s="1"/>
  <c r="A843" i="105" s="1"/>
  <c r="A844" i="105" s="1"/>
  <c r="A845" i="105" s="1"/>
  <c r="A846" i="105" s="1"/>
  <c r="A847" i="105" s="1"/>
  <c r="A848" i="105" s="1"/>
  <c r="A849" i="105" s="1"/>
  <c r="A850" i="105" s="1"/>
  <c r="A851" i="105" s="1"/>
  <c r="AH836" i="105"/>
  <c r="AF836" i="105"/>
  <c r="X836" i="105"/>
  <c r="U836" i="105"/>
  <c r="R836" i="105"/>
  <c r="P836" i="105"/>
  <c r="H836" i="105"/>
  <c r="AI835" i="105"/>
  <c r="AH835" i="105"/>
  <c r="AG835" i="105"/>
  <c r="X835" i="105"/>
  <c r="W835" i="105"/>
  <c r="R835" i="105"/>
  <c r="Q835" i="105"/>
  <c r="N835" i="105"/>
  <c r="M835" i="105"/>
  <c r="L835" i="105"/>
  <c r="K835" i="105"/>
  <c r="AI834" i="105"/>
  <c r="AH834" i="105"/>
  <c r="AG834" i="105"/>
  <c r="X834" i="105"/>
  <c r="W834" i="105"/>
  <c r="R834" i="105"/>
  <c r="Q834" i="105"/>
  <c r="N834" i="105"/>
  <c r="M834" i="105"/>
  <c r="L834" i="105"/>
  <c r="K834" i="105"/>
  <c r="AI833" i="105"/>
  <c r="AH833" i="105"/>
  <c r="AG833" i="105"/>
  <c r="X833" i="105"/>
  <c r="W833" i="105"/>
  <c r="R833" i="105"/>
  <c r="Q833" i="105"/>
  <c r="N833" i="105"/>
  <c r="M833" i="105"/>
  <c r="L833" i="105"/>
  <c r="K833" i="105"/>
  <c r="AI832" i="105"/>
  <c r="AH832" i="105"/>
  <c r="AG832" i="105"/>
  <c r="X832" i="105"/>
  <c r="W832" i="105"/>
  <c r="R832" i="105"/>
  <c r="Q832" i="105"/>
  <c r="N832" i="105"/>
  <c r="M832" i="105"/>
  <c r="L832" i="105"/>
  <c r="K832" i="105"/>
  <c r="AI831" i="105"/>
  <c r="AH831" i="105"/>
  <c r="AG831" i="105"/>
  <c r="X831" i="105"/>
  <c r="W831" i="105"/>
  <c r="R831" i="105"/>
  <c r="Q831" i="105"/>
  <c r="N831" i="105"/>
  <c r="M831" i="105"/>
  <c r="L831" i="105"/>
  <c r="K831" i="105"/>
  <c r="AI830" i="105"/>
  <c r="AH830" i="105"/>
  <c r="AG830" i="105"/>
  <c r="X830" i="105"/>
  <c r="W830" i="105"/>
  <c r="R830" i="105"/>
  <c r="Q830" i="105"/>
  <c r="N830" i="105"/>
  <c r="M830" i="105"/>
  <c r="L830" i="105"/>
  <c r="K830" i="105"/>
  <c r="AI829" i="105"/>
  <c r="AH829" i="105"/>
  <c r="AG829" i="105"/>
  <c r="W829" i="105"/>
  <c r="X829" i="105" s="1"/>
  <c r="R829" i="105"/>
  <c r="Q829" i="105"/>
  <c r="N829" i="105"/>
  <c r="M829" i="105"/>
  <c r="L829" i="105"/>
  <c r="K829" i="105"/>
  <c r="AI828" i="105"/>
  <c r="AH828" i="105"/>
  <c r="AG828" i="105"/>
  <c r="W828" i="105"/>
  <c r="X828" i="105" s="1"/>
  <c r="R828" i="105"/>
  <c r="Q828" i="105"/>
  <c r="N828" i="105"/>
  <c r="M828" i="105"/>
  <c r="L828" i="105"/>
  <c r="K828" i="105"/>
  <c r="AI827" i="105"/>
  <c r="AH827" i="105"/>
  <c r="AG827" i="105"/>
  <c r="W827" i="105"/>
  <c r="X827" i="105" s="1"/>
  <c r="R827" i="105"/>
  <c r="Q827" i="105"/>
  <c r="N827" i="105"/>
  <c r="M827" i="105"/>
  <c r="L827" i="105"/>
  <c r="K827" i="105"/>
  <c r="AI826" i="105"/>
  <c r="AH826" i="105"/>
  <c r="AG826" i="105"/>
  <c r="W826" i="105"/>
  <c r="X826" i="105" s="1"/>
  <c r="R826" i="105"/>
  <c r="Q826" i="105"/>
  <c r="N826" i="105"/>
  <c r="M826" i="105"/>
  <c r="L826" i="105"/>
  <c r="K826" i="105"/>
  <c r="AI825" i="105"/>
  <c r="AH825" i="105"/>
  <c r="AG825" i="105"/>
  <c r="W825" i="105"/>
  <c r="X825" i="105" s="1"/>
  <c r="R825" i="105"/>
  <c r="Q825" i="105"/>
  <c r="N825" i="105"/>
  <c r="M825" i="105"/>
  <c r="L825" i="105"/>
  <c r="K825" i="105"/>
  <c r="AI824" i="105"/>
  <c r="AH824" i="105"/>
  <c r="AG824" i="105"/>
  <c r="W824" i="105"/>
  <c r="X824" i="105" s="1"/>
  <c r="R824" i="105"/>
  <c r="Q824" i="105"/>
  <c r="N824" i="105"/>
  <c r="M824" i="105"/>
  <c r="L824" i="105"/>
  <c r="K824" i="105"/>
  <c r="AI823" i="105"/>
  <c r="AH823" i="105"/>
  <c r="AG823" i="105"/>
  <c r="W823" i="105"/>
  <c r="X823" i="105" s="1"/>
  <c r="R823" i="105"/>
  <c r="Q823" i="105"/>
  <c r="N823" i="105"/>
  <c r="M823" i="105"/>
  <c r="L823" i="105"/>
  <c r="K823" i="105"/>
  <c r="AI822" i="105"/>
  <c r="AH822" i="105"/>
  <c r="AG822" i="105"/>
  <c r="W822" i="105"/>
  <c r="X822" i="105" s="1"/>
  <c r="R822" i="105"/>
  <c r="Q822" i="105"/>
  <c r="N822" i="105"/>
  <c r="M822" i="105"/>
  <c r="L822" i="105"/>
  <c r="K822" i="105"/>
  <c r="AI821" i="105"/>
  <c r="AH821" i="105"/>
  <c r="AG821" i="105"/>
  <c r="W821" i="105"/>
  <c r="X821" i="105" s="1"/>
  <c r="R821" i="105"/>
  <c r="Q821" i="105"/>
  <c r="N821" i="105"/>
  <c r="M821" i="105"/>
  <c r="L821" i="105"/>
  <c r="K821" i="105"/>
  <c r="AI820" i="105"/>
  <c r="AH820" i="105"/>
  <c r="AG820" i="105"/>
  <c r="W820" i="105"/>
  <c r="X820" i="105" s="1"/>
  <c r="R820" i="105"/>
  <c r="Q820" i="105"/>
  <c r="N820" i="105"/>
  <c r="M820" i="105"/>
  <c r="L820" i="105"/>
  <c r="K820" i="105"/>
  <c r="AI819" i="105"/>
  <c r="AH819" i="105"/>
  <c r="AG819" i="105"/>
  <c r="W819" i="105"/>
  <c r="X819" i="105" s="1"/>
  <c r="R819" i="105"/>
  <c r="Q819" i="105"/>
  <c r="N819" i="105"/>
  <c r="M819" i="105"/>
  <c r="L819" i="105"/>
  <c r="K819" i="105"/>
  <c r="AI818" i="105"/>
  <c r="AH818" i="105"/>
  <c r="AG818" i="105"/>
  <c r="W818" i="105"/>
  <c r="X818" i="105" s="1"/>
  <c r="R818" i="105"/>
  <c r="Q818" i="105"/>
  <c r="N818" i="105"/>
  <c r="M818" i="105"/>
  <c r="L818" i="105"/>
  <c r="K818" i="105"/>
  <c r="AI817" i="105"/>
  <c r="AH817" i="105"/>
  <c r="AG817" i="105"/>
  <c r="W817" i="105"/>
  <c r="X817" i="105" s="1"/>
  <c r="R817" i="105"/>
  <c r="Q817" i="105"/>
  <c r="N817" i="105"/>
  <c r="M817" i="105"/>
  <c r="L817" i="105"/>
  <c r="K817" i="105"/>
  <c r="AI816" i="105"/>
  <c r="AH816" i="105"/>
  <c r="AG816" i="105"/>
  <c r="W816" i="105"/>
  <c r="X816" i="105" s="1"/>
  <c r="R816" i="105"/>
  <c r="Q816" i="105"/>
  <c r="N816" i="105"/>
  <c r="M816" i="105"/>
  <c r="L816" i="105"/>
  <c r="K816" i="105"/>
  <c r="AI815" i="105"/>
  <c r="AH815" i="105"/>
  <c r="AG815" i="105"/>
  <c r="W815" i="105"/>
  <c r="X815" i="105" s="1"/>
  <c r="X813" i="105" s="1"/>
  <c r="R815" i="105"/>
  <c r="Q815" i="105"/>
  <c r="N815" i="105"/>
  <c r="M815" i="105"/>
  <c r="L815" i="105"/>
  <c r="K815" i="105"/>
  <c r="AI814" i="105"/>
  <c r="AG814" i="105"/>
  <c r="X814" i="105"/>
  <c r="W814" i="105"/>
  <c r="R814" i="105"/>
  <c r="Q814" i="105"/>
  <c r="L814" i="105"/>
  <c r="N814" i="105" s="1"/>
  <c r="K814" i="105"/>
  <c r="H814" i="105"/>
  <c r="M814" i="105" s="1"/>
  <c r="M813" i="105" s="1"/>
  <c r="A814" i="105"/>
  <c r="A815" i="105" s="1"/>
  <c r="A816" i="105" s="1"/>
  <c r="A817" i="105" s="1"/>
  <c r="A818" i="105" s="1"/>
  <c r="A819" i="105" s="1"/>
  <c r="A820" i="105" s="1"/>
  <c r="A821" i="105" s="1"/>
  <c r="A822" i="105" s="1"/>
  <c r="A823" i="105" s="1"/>
  <c r="A824" i="105" s="1"/>
  <c r="A825" i="105" s="1"/>
  <c r="A826" i="105" s="1"/>
  <c r="A827" i="105" s="1"/>
  <c r="A828" i="105" s="1"/>
  <c r="A829" i="105" s="1"/>
  <c r="A830" i="105" s="1"/>
  <c r="A831" i="105" s="1"/>
  <c r="A832" i="105" s="1"/>
  <c r="A833" i="105" s="1"/>
  <c r="A834" i="105" s="1"/>
  <c r="A835" i="105" s="1"/>
  <c r="AH813" i="105"/>
  <c r="AF813" i="105"/>
  <c r="U813" i="105"/>
  <c r="R813" i="105"/>
  <c r="P813" i="105"/>
  <c r="H813" i="105"/>
  <c r="AI812" i="105"/>
  <c r="AH812" i="105"/>
  <c r="AG812" i="105"/>
  <c r="X812" i="105"/>
  <c r="W812" i="105"/>
  <c r="R812" i="105"/>
  <c r="Q812" i="105"/>
  <c r="N812" i="105"/>
  <c r="M812" i="105"/>
  <c r="L812" i="105"/>
  <c r="K812" i="105"/>
  <c r="AI811" i="105"/>
  <c r="AH811" i="105"/>
  <c r="AG811" i="105"/>
  <c r="X811" i="105"/>
  <c r="W811" i="105"/>
  <c r="R811" i="105"/>
  <c r="Q811" i="105"/>
  <c r="N811" i="105"/>
  <c r="M811" i="105"/>
  <c r="L811" i="105"/>
  <c r="K811" i="105"/>
  <c r="AI810" i="105"/>
  <c r="AH810" i="105"/>
  <c r="AG810" i="105"/>
  <c r="X810" i="105"/>
  <c r="W810" i="105"/>
  <c r="R810" i="105"/>
  <c r="Q810" i="105"/>
  <c r="N810" i="105"/>
  <c r="M810" i="105"/>
  <c r="L810" i="105"/>
  <c r="K810" i="105"/>
  <c r="AI809" i="105"/>
  <c r="AH809" i="105"/>
  <c r="AG809" i="105"/>
  <c r="X809" i="105"/>
  <c r="W809" i="105"/>
  <c r="R809" i="105"/>
  <c r="Q809" i="105"/>
  <c r="N809" i="105"/>
  <c r="M809" i="105"/>
  <c r="L809" i="105"/>
  <c r="K809" i="105"/>
  <c r="AI808" i="105"/>
  <c r="AH808" i="105"/>
  <c r="AG808" i="105"/>
  <c r="X808" i="105"/>
  <c r="W808" i="105"/>
  <c r="R808" i="105"/>
  <c r="Q808" i="105"/>
  <c r="N808" i="105"/>
  <c r="M808" i="105"/>
  <c r="L808" i="105"/>
  <c r="K808" i="105"/>
  <c r="AI807" i="105"/>
  <c r="AH807" i="105"/>
  <c r="AG807" i="105"/>
  <c r="X807" i="105"/>
  <c r="W807" i="105"/>
  <c r="Q807" i="105"/>
  <c r="R807" i="105" s="1"/>
  <c r="N807" i="105"/>
  <c r="M807" i="105"/>
  <c r="L807" i="105"/>
  <c r="K807" i="105"/>
  <c r="AI806" i="105"/>
  <c r="AH806" i="105"/>
  <c r="AG806" i="105"/>
  <c r="X806" i="105"/>
  <c r="W806" i="105"/>
  <c r="Q806" i="105"/>
  <c r="R806" i="105" s="1"/>
  <c r="N806" i="105"/>
  <c r="M806" i="105"/>
  <c r="L806" i="105"/>
  <c r="K806" i="105"/>
  <c r="AI805" i="105"/>
  <c r="AH805" i="105"/>
  <c r="AG805" i="105"/>
  <c r="W805" i="105"/>
  <c r="X805" i="105" s="1"/>
  <c r="Q805" i="105"/>
  <c r="R805" i="105" s="1"/>
  <c r="N805" i="105"/>
  <c r="M805" i="105"/>
  <c r="L805" i="105"/>
  <c r="K805" i="105"/>
  <c r="AI804" i="105"/>
  <c r="AH804" i="105"/>
  <c r="AG804" i="105"/>
  <c r="W804" i="105"/>
  <c r="X804" i="105" s="1"/>
  <c r="Q804" i="105"/>
  <c r="R804" i="105" s="1"/>
  <c r="N804" i="105"/>
  <c r="M804" i="105"/>
  <c r="L804" i="105"/>
  <c r="K804" i="105"/>
  <c r="AI803" i="105"/>
  <c r="AH803" i="105"/>
  <c r="AG803" i="105"/>
  <c r="W803" i="105"/>
  <c r="X803" i="105" s="1"/>
  <c r="Q803" i="105"/>
  <c r="R803" i="105" s="1"/>
  <c r="N803" i="105"/>
  <c r="M803" i="105"/>
  <c r="L803" i="105"/>
  <c r="K803" i="105"/>
  <c r="AI802" i="105"/>
  <c r="AH802" i="105"/>
  <c r="AG802" i="105"/>
  <c r="W802" i="105"/>
  <c r="X802" i="105" s="1"/>
  <c r="Q802" i="105"/>
  <c r="R802" i="105" s="1"/>
  <c r="N802" i="105"/>
  <c r="M802" i="105"/>
  <c r="L802" i="105"/>
  <c r="K802" i="105"/>
  <c r="AI801" i="105"/>
  <c r="AH801" i="105"/>
  <c r="AG801" i="105"/>
  <c r="W801" i="105"/>
  <c r="X801" i="105" s="1"/>
  <c r="Q801" i="105"/>
  <c r="R801" i="105" s="1"/>
  <c r="N801" i="105"/>
  <c r="M801" i="105"/>
  <c r="L801" i="105"/>
  <c r="K801" i="105"/>
  <c r="AI800" i="105"/>
  <c r="AH800" i="105"/>
  <c r="AG800" i="105"/>
  <c r="W800" i="105"/>
  <c r="X800" i="105" s="1"/>
  <c r="Q800" i="105"/>
  <c r="R800" i="105" s="1"/>
  <c r="N800" i="105"/>
  <c r="M800" i="105"/>
  <c r="L800" i="105"/>
  <c r="K800" i="105"/>
  <c r="AI799" i="105"/>
  <c r="AH799" i="105"/>
  <c r="AG799" i="105"/>
  <c r="W799" i="105"/>
  <c r="X799" i="105" s="1"/>
  <c r="Q799" i="105"/>
  <c r="R799" i="105" s="1"/>
  <c r="N799" i="105"/>
  <c r="M799" i="105"/>
  <c r="L799" i="105"/>
  <c r="K799" i="105"/>
  <c r="AI798" i="105"/>
  <c r="AH798" i="105"/>
  <c r="AG798" i="105"/>
  <c r="W798" i="105"/>
  <c r="X798" i="105" s="1"/>
  <c r="Q798" i="105"/>
  <c r="R798" i="105" s="1"/>
  <c r="L798" i="105"/>
  <c r="K798" i="105"/>
  <c r="H798" i="105"/>
  <c r="M798" i="105" s="1"/>
  <c r="AI797" i="105"/>
  <c r="AH797" i="105"/>
  <c r="AG797" i="105"/>
  <c r="W797" i="105"/>
  <c r="X797" i="105" s="1"/>
  <c r="Q797" i="105"/>
  <c r="R797" i="105" s="1"/>
  <c r="L797" i="105"/>
  <c r="N797" i="105" s="1"/>
  <c r="I797" i="105" s="1"/>
  <c r="K797" i="105"/>
  <c r="M797" i="105" s="1"/>
  <c r="AI796" i="105"/>
  <c r="AH796" i="105"/>
  <c r="AG796" i="105"/>
  <c r="X796" i="105"/>
  <c r="W796" i="105"/>
  <c r="R796" i="105"/>
  <c r="Q796" i="105"/>
  <c r="L796" i="105"/>
  <c r="N796" i="105" s="1"/>
  <c r="I796" i="105" s="1"/>
  <c r="K796" i="105"/>
  <c r="M796" i="105" s="1"/>
  <c r="AI795" i="105"/>
  <c r="W795" i="105"/>
  <c r="X795" i="105" s="1"/>
  <c r="X794" i="105" s="1"/>
  <c r="Q795" i="105"/>
  <c r="R795" i="105" s="1"/>
  <c r="R794" i="105" s="1"/>
  <c r="L795" i="105"/>
  <c r="N795" i="105" s="1"/>
  <c r="K795" i="105"/>
  <c r="M795" i="105" s="1"/>
  <c r="M794" i="105" s="1"/>
  <c r="A795" i="105"/>
  <c r="A796" i="105" s="1"/>
  <c r="A797" i="105" s="1"/>
  <c r="A798" i="105" s="1"/>
  <c r="A799" i="105" s="1"/>
  <c r="A800" i="105" s="1"/>
  <c r="A801" i="105" s="1"/>
  <c r="A802" i="105" s="1"/>
  <c r="A803" i="105" s="1"/>
  <c r="A804" i="105" s="1"/>
  <c r="A805" i="105" s="1"/>
  <c r="A806" i="105" s="1"/>
  <c r="A807" i="105" s="1"/>
  <c r="A808" i="105" s="1"/>
  <c r="A809" i="105" s="1"/>
  <c r="A810" i="105" s="1"/>
  <c r="A811" i="105" s="1"/>
  <c r="A812" i="105" s="1"/>
  <c r="AH794" i="105"/>
  <c r="AF794" i="105"/>
  <c r="U794" i="105"/>
  <c r="P794" i="105"/>
  <c r="AI793" i="105"/>
  <c r="AH793" i="105"/>
  <c r="AG793" i="105"/>
  <c r="X793" i="105"/>
  <c r="W793" i="105"/>
  <c r="R793" i="105"/>
  <c r="Q793" i="105"/>
  <c r="N793" i="105"/>
  <c r="M793" i="105"/>
  <c r="L793" i="105"/>
  <c r="K793" i="105"/>
  <c r="AI792" i="105"/>
  <c r="AH792" i="105"/>
  <c r="AG792" i="105"/>
  <c r="X792" i="105"/>
  <c r="W792" i="105"/>
  <c r="R792" i="105"/>
  <c r="Q792" i="105"/>
  <c r="N792" i="105"/>
  <c r="M792" i="105"/>
  <c r="L792" i="105"/>
  <c r="K792" i="105"/>
  <c r="AI791" i="105"/>
  <c r="AH791" i="105"/>
  <c r="AG791" i="105"/>
  <c r="X791" i="105"/>
  <c r="W791" i="105"/>
  <c r="R791" i="105"/>
  <c r="Q791" i="105"/>
  <c r="N791" i="105"/>
  <c r="M791" i="105"/>
  <c r="L791" i="105"/>
  <c r="K791" i="105"/>
  <c r="AI790" i="105"/>
  <c r="AH790" i="105"/>
  <c r="AG790" i="105"/>
  <c r="X790" i="105"/>
  <c r="W790" i="105"/>
  <c r="R790" i="105"/>
  <c r="Q790" i="105"/>
  <c r="N790" i="105"/>
  <c r="M790" i="105"/>
  <c r="L790" i="105"/>
  <c r="K790" i="105"/>
  <c r="AI789" i="105"/>
  <c r="AH789" i="105"/>
  <c r="AG789" i="105"/>
  <c r="W789" i="105"/>
  <c r="X789" i="105" s="1"/>
  <c r="R789" i="105"/>
  <c r="Q789" i="105"/>
  <c r="N789" i="105"/>
  <c r="M789" i="105"/>
  <c r="L789" i="105"/>
  <c r="K789" i="105"/>
  <c r="AI788" i="105"/>
  <c r="AH788" i="105"/>
  <c r="AG788" i="105"/>
  <c r="W788" i="105"/>
  <c r="X788" i="105" s="1"/>
  <c r="X787" i="105" s="1"/>
  <c r="R788" i="105"/>
  <c r="Q788" i="105"/>
  <c r="L788" i="105"/>
  <c r="N788" i="105" s="1"/>
  <c r="K788" i="105"/>
  <c r="M788" i="105" s="1"/>
  <c r="M787" i="105" s="1"/>
  <c r="A788" i="105"/>
  <c r="A789" i="105" s="1"/>
  <c r="A790" i="105" s="1"/>
  <c r="A791" i="105" s="1"/>
  <c r="A792" i="105" s="1"/>
  <c r="A793" i="105" s="1"/>
  <c r="AH787" i="105"/>
  <c r="AF787" i="105"/>
  <c r="U787" i="105"/>
  <c r="R787" i="105"/>
  <c r="P787" i="105"/>
  <c r="H787" i="105"/>
  <c r="AI786" i="105"/>
  <c r="AH786" i="105"/>
  <c r="AG786" i="105"/>
  <c r="X786" i="105"/>
  <c r="W786" i="105"/>
  <c r="R786" i="105"/>
  <c r="Q786" i="105"/>
  <c r="N786" i="105"/>
  <c r="M786" i="105"/>
  <c r="L786" i="105"/>
  <c r="K786" i="105"/>
  <c r="AI785" i="105"/>
  <c r="AH785" i="105"/>
  <c r="AG785" i="105"/>
  <c r="X785" i="105"/>
  <c r="W785" i="105"/>
  <c r="R785" i="105"/>
  <c r="Q785" i="105"/>
  <c r="N785" i="105"/>
  <c r="M785" i="105"/>
  <c r="L785" i="105"/>
  <c r="K785" i="105"/>
  <c r="AI784" i="105"/>
  <c r="AH784" i="105"/>
  <c r="AG784" i="105"/>
  <c r="X784" i="105"/>
  <c r="W784" i="105"/>
  <c r="R784" i="105"/>
  <c r="Q784" i="105"/>
  <c r="N784" i="105"/>
  <c r="M784" i="105"/>
  <c r="L784" i="105"/>
  <c r="K784" i="105"/>
  <c r="AI783" i="105"/>
  <c r="AH783" i="105"/>
  <c r="AG783" i="105"/>
  <c r="X783" i="105"/>
  <c r="W783" i="105"/>
  <c r="Q783" i="105"/>
  <c r="R783" i="105" s="1"/>
  <c r="N783" i="105"/>
  <c r="M783" i="105"/>
  <c r="L783" i="105"/>
  <c r="K783" i="105"/>
  <c r="AI782" i="105"/>
  <c r="AH782" i="105"/>
  <c r="AG782" i="105"/>
  <c r="X782" i="105"/>
  <c r="W782" i="105"/>
  <c r="Q782" i="105"/>
  <c r="R782" i="105" s="1"/>
  <c r="N782" i="105"/>
  <c r="M782" i="105"/>
  <c r="L782" i="105"/>
  <c r="K782" i="105"/>
  <c r="AI781" i="105"/>
  <c r="AH781" i="105"/>
  <c r="AG781" i="105"/>
  <c r="W781" i="105"/>
  <c r="X781" i="105" s="1"/>
  <c r="Q781" i="105"/>
  <c r="R781" i="105" s="1"/>
  <c r="N781" i="105"/>
  <c r="M781" i="105"/>
  <c r="L781" i="105"/>
  <c r="K781" i="105"/>
  <c r="AI780" i="105"/>
  <c r="AH780" i="105"/>
  <c r="AG780" i="105"/>
  <c r="W780" i="105"/>
  <c r="X780" i="105" s="1"/>
  <c r="Q780" i="105"/>
  <c r="R780" i="105" s="1"/>
  <c r="N780" i="105"/>
  <c r="M780" i="105"/>
  <c r="L780" i="105"/>
  <c r="K780" i="105"/>
  <c r="AI779" i="105"/>
  <c r="AH779" i="105"/>
  <c r="AG779" i="105"/>
  <c r="W779" i="105"/>
  <c r="X779" i="105" s="1"/>
  <c r="Q779" i="105"/>
  <c r="R779" i="105" s="1"/>
  <c r="N779" i="105"/>
  <c r="M779" i="105"/>
  <c r="L779" i="105"/>
  <c r="K779" i="105"/>
  <c r="AI778" i="105"/>
  <c r="AH778" i="105"/>
  <c r="AG778" i="105"/>
  <c r="W778" i="105"/>
  <c r="X778" i="105" s="1"/>
  <c r="Q778" i="105"/>
  <c r="R778" i="105" s="1"/>
  <c r="N778" i="105"/>
  <c r="M778" i="105"/>
  <c r="L778" i="105"/>
  <c r="K778" i="105"/>
  <c r="AI777" i="105"/>
  <c r="AH777" i="105"/>
  <c r="AG777" i="105"/>
  <c r="W777" i="105"/>
  <c r="X777" i="105" s="1"/>
  <c r="Q777" i="105"/>
  <c r="R777" i="105" s="1"/>
  <c r="N777" i="105"/>
  <c r="M777" i="105"/>
  <c r="L777" i="105"/>
  <c r="K777" i="105"/>
  <c r="AI776" i="105"/>
  <c r="AH776" i="105"/>
  <c r="AG776" i="105"/>
  <c r="W776" i="105"/>
  <c r="X776" i="105" s="1"/>
  <c r="Q776" i="105"/>
  <c r="R776" i="105" s="1"/>
  <c r="N776" i="105"/>
  <c r="M776" i="105"/>
  <c r="L776" i="105"/>
  <c r="K776" i="105"/>
  <c r="AI775" i="105"/>
  <c r="AH775" i="105"/>
  <c r="AG775" i="105"/>
  <c r="W775" i="105"/>
  <c r="X775" i="105" s="1"/>
  <c r="Q775" i="105"/>
  <c r="R775" i="105" s="1"/>
  <c r="N775" i="105"/>
  <c r="M775" i="105"/>
  <c r="L775" i="105"/>
  <c r="K775" i="105"/>
  <c r="AI774" i="105"/>
  <c r="AH774" i="105"/>
  <c r="AG774" i="105"/>
  <c r="W774" i="105"/>
  <c r="X774" i="105" s="1"/>
  <c r="Q774" i="105"/>
  <c r="R774" i="105" s="1"/>
  <c r="N774" i="105"/>
  <c r="M774" i="105"/>
  <c r="L774" i="105"/>
  <c r="K774" i="105"/>
  <c r="AI773" i="105"/>
  <c r="AH773" i="105"/>
  <c r="AG773" i="105"/>
  <c r="W773" i="105"/>
  <c r="X773" i="105" s="1"/>
  <c r="Q773" i="105"/>
  <c r="R773" i="105" s="1"/>
  <c r="L773" i="105"/>
  <c r="N773" i="105" s="1"/>
  <c r="I773" i="105" s="1"/>
  <c r="K773" i="105"/>
  <c r="M773" i="105" s="1"/>
  <c r="AI772" i="105"/>
  <c r="AH772" i="105"/>
  <c r="AG772" i="105"/>
  <c r="X772" i="105"/>
  <c r="W772" i="105"/>
  <c r="R772" i="105"/>
  <c r="Q772" i="105"/>
  <c r="L772" i="105"/>
  <c r="N772" i="105" s="1"/>
  <c r="I772" i="105" s="1"/>
  <c r="K772" i="105"/>
  <c r="M772" i="105" s="1"/>
  <c r="AI771" i="105"/>
  <c r="AH771" i="105"/>
  <c r="AG771" i="105"/>
  <c r="W771" i="105"/>
  <c r="X771" i="105" s="1"/>
  <c r="Q771" i="105"/>
  <c r="R771" i="105" s="1"/>
  <c r="L771" i="105"/>
  <c r="N771" i="105" s="1"/>
  <c r="I771" i="105" s="1"/>
  <c r="K771" i="105"/>
  <c r="M771" i="105" s="1"/>
  <c r="AI770" i="105"/>
  <c r="AH770" i="105"/>
  <c r="AG770" i="105"/>
  <c r="X770" i="105"/>
  <c r="W770" i="105"/>
  <c r="R770" i="105"/>
  <c r="Q770" i="105"/>
  <c r="L770" i="105"/>
  <c r="N770" i="105" s="1"/>
  <c r="I770" i="105" s="1"/>
  <c r="K770" i="105"/>
  <c r="M770" i="105" s="1"/>
  <c r="AI769" i="105"/>
  <c r="AH769" i="105"/>
  <c r="AG769" i="105"/>
  <c r="W769" i="105"/>
  <c r="X769" i="105" s="1"/>
  <c r="X767" i="105" s="1"/>
  <c r="Q769" i="105"/>
  <c r="R769" i="105" s="1"/>
  <c r="R767" i="105" s="1"/>
  <c r="L769" i="105"/>
  <c r="K769" i="105"/>
  <c r="H769" i="105"/>
  <c r="M769" i="105" s="1"/>
  <c r="AI768" i="105"/>
  <c r="AG768" i="105"/>
  <c r="X768" i="105"/>
  <c r="W768" i="105"/>
  <c r="R768" i="105"/>
  <c r="Q768" i="105"/>
  <c r="L768" i="105"/>
  <c r="N768" i="105" s="1"/>
  <c r="K768" i="105"/>
  <c r="H768" i="105"/>
  <c r="M768" i="105" s="1"/>
  <c r="M767" i="105" s="1"/>
  <c r="A768" i="105"/>
  <c r="A769" i="105" s="1"/>
  <c r="A770" i="105" s="1"/>
  <c r="A771" i="105" s="1"/>
  <c r="A772" i="105" s="1"/>
  <c r="A773" i="105" s="1"/>
  <c r="A774" i="105" s="1"/>
  <c r="A775" i="105" s="1"/>
  <c r="A776" i="105" s="1"/>
  <c r="A777" i="105" s="1"/>
  <c r="A778" i="105" s="1"/>
  <c r="A779" i="105" s="1"/>
  <c r="A780" i="105" s="1"/>
  <c r="A781" i="105" s="1"/>
  <c r="A782" i="105" s="1"/>
  <c r="A783" i="105" s="1"/>
  <c r="A784" i="105" s="1"/>
  <c r="A785" i="105" s="1"/>
  <c r="A786" i="105" s="1"/>
  <c r="AH767" i="105"/>
  <c r="AF767" i="105"/>
  <c r="U767" i="105"/>
  <c r="P767" i="105"/>
  <c r="AI766" i="105"/>
  <c r="AH766" i="105"/>
  <c r="AG766" i="105"/>
  <c r="X766" i="105"/>
  <c r="W766" i="105"/>
  <c r="R766" i="105"/>
  <c r="Q766" i="105"/>
  <c r="N766" i="105"/>
  <c r="M766" i="105"/>
  <c r="L766" i="105"/>
  <c r="K766" i="105"/>
  <c r="AI765" i="105"/>
  <c r="AH765" i="105"/>
  <c r="AG765" i="105"/>
  <c r="X765" i="105"/>
  <c r="W765" i="105"/>
  <c r="R765" i="105"/>
  <c r="Q765" i="105"/>
  <c r="N765" i="105"/>
  <c r="M765" i="105"/>
  <c r="L765" i="105"/>
  <c r="K765" i="105"/>
  <c r="AI764" i="105"/>
  <c r="AH764" i="105"/>
  <c r="AG764" i="105"/>
  <c r="X764" i="105"/>
  <c r="W764" i="105"/>
  <c r="R764" i="105"/>
  <c r="Q764" i="105"/>
  <c r="N764" i="105"/>
  <c r="M764" i="105"/>
  <c r="L764" i="105"/>
  <c r="K764" i="105"/>
  <c r="AI763" i="105"/>
  <c r="AH763" i="105"/>
  <c r="AG763" i="105"/>
  <c r="X763" i="105"/>
  <c r="W763" i="105"/>
  <c r="R763" i="105"/>
  <c r="Q763" i="105"/>
  <c r="N763" i="105"/>
  <c r="M763" i="105"/>
  <c r="L763" i="105"/>
  <c r="K763" i="105"/>
  <c r="AI762" i="105"/>
  <c r="AH762" i="105"/>
  <c r="AG762" i="105"/>
  <c r="X762" i="105"/>
  <c r="W762" i="105"/>
  <c r="R762" i="105"/>
  <c r="Q762" i="105"/>
  <c r="L762" i="105"/>
  <c r="N762" i="105" s="1"/>
  <c r="I762" i="105" s="1"/>
  <c r="K762" i="105"/>
  <c r="M762" i="105" s="1"/>
  <c r="AI761" i="105"/>
  <c r="AG761" i="105"/>
  <c r="X761" i="105"/>
  <c r="W761" i="105"/>
  <c r="R761" i="105"/>
  <c r="Q761" i="105"/>
  <c r="L761" i="105"/>
  <c r="N761" i="105" s="1"/>
  <c r="K761" i="105"/>
  <c r="M761" i="105" s="1"/>
  <c r="M760" i="105" s="1"/>
  <c r="A761" i="105"/>
  <c r="A762" i="105" s="1"/>
  <c r="A763" i="105" s="1"/>
  <c r="A764" i="105" s="1"/>
  <c r="A765" i="105" s="1"/>
  <c r="A766" i="105" s="1"/>
  <c r="AH760" i="105"/>
  <c r="AF760" i="105"/>
  <c r="X760" i="105"/>
  <c r="U760" i="105"/>
  <c r="R760" i="105"/>
  <c r="P760" i="105"/>
  <c r="H760" i="105"/>
  <c r="AI759" i="105"/>
  <c r="AH759" i="105"/>
  <c r="AG759" i="105"/>
  <c r="X759" i="105"/>
  <c r="W759" i="105"/>
  <c r="R759" i="105"/>
  <c r="Q759" i="105"/>
  <c r="N759" i="105"/>
  <c r="M759" i="105"/>
  <c r="L759" i="105"/>
  <c r="K759" i="105"/>
  <c r="AI758" i="105"/>
  <c r="AH758" i="105"/>
  <c r="AG758" i="105"/>
  <c r="X758" i="105"/>
  <c r="W758" i="105"/>
  <c r="R758" i="105"/>
  <c r="Q758" i="105"/>
  <c r="N758" i="105"/>
  <c r="M758" i="105"/>
  <c r="L758" i="105"/>
  <c r="K758" i="105"/>
  <c r="AI757" i="105"/>
  <c r="AH757" i="105"/>
  <c r="AG757" i="105"/>
  <c r="X757" i="105"/>
  <c r="W757" i="105"/>
  <c r="R757" i="105"/>
  <c r="Q757" i="105"/>
  <c r="N757" i="105"/>
  <c r="M757" i="105"/>
  <c r="L757" i="105"/>
  <c r="K757" i="105"/>
  <c r="AI756" i="105"/>
  <c r="AH756" i="105"/>
  <c r="AG756" i="105"/>
  <c r="X756" i="105"/>
  <c r="W756" i="105"/>
  <c r="R756" i="105"/>
  <c r="Q756" i="105"/>
  <c r="N756" i="105"/>
  <c r="M756" i="105"/>
  <c r="L756" i="105"/>
  <c r="K756" i="105"/>
  <c r="AI755" i="105"/>
  <c r="AH755" i="105"/>
  <c r="AG755" i="105"/>
  <c r="X755" i="105"/>
  <c r="W755" i="105"/>
  <c r="R755" i="105"/>
  <c r="Q755" i="105"/>
  <c r="N755" i="105"/>
  <c r="M755" i="105"/>
  <c r="L755" i="105"/>
  <c r="K755" i="105"/>
  <c r="AI754" i="105"/>
  <c r="AH754" i="105"/>
  <c r="AG754" i="105"/>
  <c r="X754" i="105"/>
  <c r="W754" i="105"/>
  <c r="R754" i="105"/>
  <c r="Q754" i="105"/>
  <c r="N754" i="105"/>
  <c r="M754" i="105"/>
  <c r="L754" i="105"/>
  <c r="K754" i="105"/>
  <c r="AI753" i="105"/>
  <c r="AH753" i="105"/>
  <c r="AG753" i="105"/>
  <c r="X753" i="105"/>
  <c r="W753" i="105"/>
  <c r="R753" i="105"/>
  <c r="Q753" i="105"/>
  <c r="L753" i="105"/>
  <c r="N753" i="105" s="1"/>
  <c r="I753" i="105" s="1"/>
  <c r="K753" i="105"/>
  <c r="M753" i="105" s="1"/>
  <c r="AI752" i="105"/>
  <c r="AG752" i="105"/>
  <c r="X752" i="105"/>
  <c r="W752" i="105"/>
  <c r="R752" i="105"/>
  <c r="Q752" i="105"/>
  <c r="L752" i="105"/>
  <c r="N752" i="105" s="1"/>
  <c r="K752" i="105"/>
  <c r="M752" i="105" s="1"/>
  <c r="M751" i="105" s="1"/>
  <c r="A752" i="105"/>
  <c r="A753" i="105" s="1"/>
  <c r="A754" i="105" s="1"/>
  <c r="A755" i="105" s="1"/>
  <c r="A756" i="105" s="1"/>
  <c r="A757" i="105" s="1"/>
  <c r="A758" i="105" s="1"/>
  <c r="A759" i="105" s="1"/>
  <c r="AH751" i="105"/>
  <c r="AF751" i="105"/>
  <c r="X751" i="105"/>
  <c r="U751" i="105"/>
  <c r="R751" i="105"/>
  <c r="P751" i="105"/>
  <c r="H751" i="105"/>
  <c r="AI750" i="105"/>
  <c r="AH750" i="105"/>
  <c r="AG750" i="105"/>
  <c r="X750" i="105"/>
  <c r="W750" i="105"/>
  <c r="R750" i="105"/>
  <c r="Q750" i="105"/>
  <c r="N750" i="105"/>
  <c r="M750" i="105"/>
  <c r="L750" i="105"/>
  <c r="K750" i="105"/>
  <c r="AI749" i="105"/>
  <c r="AH749" i="105"/>
  <c r="AG749" i="105"/>
  <c r="X749" i="105"/>
  <c r="W749" i="105"/>
  <c r="R749" i="105"/>
  <c r="Q749" i="105"/>
  <c r="N749" i="105"/>
  <c r="M749" i="105"/>
  <c r="L749" i="105"/>
  <c r="K749" i="105"/>
  <c r="AI748" i="105"/>
  <c r="AH748" i="105"/>
  <c r="AG748" i="105"/>
  <c r="X748" i="105"/>
  <c r="W748" i="105"/>
  <c r="R748" i="105"/>
  <c r="Q748" i="105"/>
  <c r="N748" i="105"/>
  <c r="M748" i="105"/>
  <c r="L748" i="105"/>
  <c r="K748" i="105"/>
  <c r="AI747" i="105"/>
  <c r="AH747" i="105"/>
  <c r="AG747" i="105"/>
  <c r="X747" i="105"/>
  <c r="W747" i="105"/>
  <c r="R747" i="105"/>
  <c r="Q747" i="105"/>
  <c r="N747" i="105"/>
  <c r="M747" i="105"/>
  <c r="L747" i="105"/>
  <c r="K747" i="105"/>
  <c r="AI746" i="105"/>
  <c r="AH746" i="105"/>
  <c r="AG746" i="105"/>
  <c r="X746" i="105"/>
  <c r="W746" i="105"/>
  <c r="R746" i="105"/>
  <c r="Q746" i="105"/>
  <c r="N746" i="105"/>
  <c r="M746" i="105"/>
  <c r="L746" i="105"/>
  <c r="K746" i="105"/>
  <c r="AI745" i="105"/>
  <c r="AH745" i="105"/>
  <c r="AG745" i="105"/>
  <c r="X745" i="105"/>
  <c r="W745" i="105"/>
  <c r="R745" i="105"/>
  <c r="Q745" i="105"/>
  <c r="N745" i="105"/>
  <c r="M745" i="105"/>
  <c r="L745" i="105"/>
  <c r="K745" i="105"/>
  <c r="AI744" i="105"/>
  <c r="AH744" i="105"/>
  <c r="AG744" i="105"/>
  <c r="X744" i="105"/>
  <c r="W744" i="105"/>
  <c r="R744" i="105"/>
  <c r="Q744" i="105"/>
  <c r="L744" i="105"/>
  <c r="N744" i="105" s="1"/>
  <c r="I744" i="105" s="1"/>
  <c r="K744" i="105"/>
  <c r="M744" i="105" s="1"/>
  <c r="AI743" i="105"/>
  <c r="AH743" i="105"/>
  <c r="AH741" i="105" s="1"/>
  <c r="AG743" i="105"/>
  <c r="X743" i="105"/>
  <c r="W743" i="105"/>
  <c r="R743" i="105"/>
  <c r="Q743" i="105"/>
  <c r="L743" i="105"/>
  <c r="N743" i="105" s="1"/>
  <c r="I743" i="105" s="1"/>
  <c r="K743" i="105"/>
  <c r="M743" i="105" s="1"/>
  <c r="AI742" i="105"/>
  <c r="AG742" i="105"/>
  <c r="X742" i="105"/>
  <c r="X741" i="105" s="1"/>
  <c r="W742" i="105"/>
  <c r="R742" i="105"/>
  <c r="R741" i="105" s="1"/>
  <c r="Q742" i="105"/>
  <c r="L742" i="105"/>
  <c r="N742" i="105" s="1"/>
  <c r="K742" i="105"/>
  <c r="M742" i="105" s="1"/>
  <c r="M741" i="105" s="1"/>
  <c r="A742" i="105"/>
  <c r="A743" i="105" s="1"/>
  <c r="A744" i="105" s="1"/>
  <c r="A745" i="105" s="1"/>
  <c r="A746" i="105" s="1"/>
  <c r="A747" i="105" s="1"/>
  <c r="A748" i="105" s="1"/>
  <c r="A749" i="105" s="1"/>
  <c r="A750" i="105" s="1"/>
  <c r="AF741" i="105"/>
  <c r="U741" i="105"/>
  <c r="P741" i="105"/>
  <c r="H741" i="105"/>
  <c r="AI740" i="105"/>
  <c r="AH740" i="105"/>
  <c r="AG740" i="105"/>
  <c r="X740" i="105"/>
  <c r="W740" i="105"/>
  <c r="R740" i="105"/>
  <c r="Q740" i="105"/>
  <c r="N740" i="105"/>
  <c r="M740" i="105"/>
  <c r="L740" i="105"/>
  <c r="K740" i="105"/>
  <c r="AI739" i="105"/>
  <c r="AH739" i="105"/>
  <c r="AG739" i="105"/>
  <c r="X739" i="105"/>
  <c r="W739" i="105"/>
  <c r="R739" i="105"/>
  <c r="Q739" i="105"/>
  <c r="N739" i="105"/>
  <c r="M739" i="105"/>
  <c r="L739" i="105"/>
  <c r="K739" i="105"/>
  <c r="AI738" i="105"/>
  <c r="AH738" i="105"/>
  <c r="AG738" i="105"/>
  <c r="X738" i="105"/>
  <c r="W738" i="105"/>
  <c r="R738" i="105"/>
  <c r="Q738" i="105"/>
  <c r="N738" i="105"/>
  <c r="M738" i="105"/>
  <c r="L738" i="105"/>
  <c r="K738" i="105"/>
  <c r="AI737" i="105"/>
  <c r="AH737" i="105"/>
  <c r="AG737" i="105"/>
  <c r="X737" i="105"/>
  <c r="W737" i="105"/>
  <c r="R737" i="105"/>
  <c r="Q737" i="105"/>
  <c r="N737" i="105"/>
  <c r="M737" i="105"/>
  <c r="L737" i="105"/>
  <c r="K737" i="105"/>
  <c r="AI736" i="105"/>
  <c r="AH736" i="105"/>
  <c r="AG736" i="105"/>
  <c r="X736" i="105"/>
  <c r="R736" i="105"/>
  <c r="Q736" i="105"/>
  <c r="N736" i="105"/>
  <c r="M736" i="105"/>
  <c r="L736" i="105"/>
  <c r="K736" i="105"/>
  <c r="AI735" i="105"/>
  <c r="AH735" i="105"/>
  <c r="AG735" i="105"/>
  <c r="X735" i="105"/>
  <c r="R735" i="105"/>
  <c r="Q735" i="105"/>
  <c r="N735" i="105"/>
  <c r="M735" i="105"/>
  <c r="L735" i="105"/>
  <c r="K735" i="105"/>
  <c r="AI734" i="105"/>
  <c r="AH734" i="105"/>
  <c r="AG734" i="105"/>
  <c r="X734" i="105"/>
  <c r="R734" i="105"/>
  <c r="Q734" i="105"/>
  <c r="N734" i="105"/>
  <c r="M734" i="105"/>
  <c r="L734" i="105"/>
  <c r="K734" i="105"/>
  <c r="AI733" i="105"/>
  <c r="AH733" i="105"/>
  <c r="AG733" i="105"/>
  <c r="X733" i="105"/>
  <c r="R733" i="105"/>
  <c r="Q733" i="105"/>
  <c r="N733" i="105"/>
  <c r="M733" i="105"/>
  <c r="L733" i="105"/>
  <c r="K733" i="105"/>
  <c r="AI732" i="105"/>
  <c r="AH732" i="105"/>
  <c r="AG732" i="105"/>
  <c r="X732" i="105"/>
  <c r="R732" i="105"/>
  <c r="Q732" i="105"/>
  <c r="N732" i="105"/>
  <c r="M732" i="105"/>
  <c r="L732" i="105"/>
  <c r="K732" i="105"/>
  <c r="AI731" i="105"/>
  <c r="AH731" i="105"/>
  <c r="AG731" i="105"/>
  <c r="X731" i="105"/>
  <c r="R731" i="105"/>
  <c r="Q731" i="105"/>
  <c r="N731" i="105"/>
  <c r="M731" i="105"/>
  <c r="L731" i="105"/>
  <c r="K731" i="105"/>
  <c r="AI730" i="105"/>
  <c r="AH730" i="105"/>
  <c r="AG730" i="105"/>
  <c r="X730" i="105"/>
  <c r="R730" i="105"/>
  <c r="Q730" i="105"/>
  <c r="N730" i="105"/>
  <c r="M730" i="105"/>
  <c r="L730" i="105"/>
  <c r="K730" i="105"/>
  <c r="AI729" i="105"/>
  <c r="AH729" i="105"/>
  <c r="AG729" i="105"/>
  <c r="X729" i="105"/>
  <c r="R729" i="105"/>
  <c r="Q729" i="105"/>
  <c r="N729" i="105"/>
  <c r="M729" i="105"/>
  <c r="L729" i="105"/>
  <c r="K729" i="105"/>
  <c r="AI728" i="105"/>
  <c r="AH728" i="105"/>
  <c r="AG728" i="105"/>
  <c r="X728" i="105"/>
  <c r="R728" i="105"/>
  <c r="Q728" i="105"/>
  <c r="N728" i="105"/>
  <c r="M728" i="105"/>
  <c r="L728" i="105"/>
  <c r="K728" i="105"/>
  <c r="AI727" i="105"/>
  <c r="AH727" i="105"/>
  <c r="AG727" i="105"/>
  <c r="X727" i="105"/>
  <c r="R727" i="105"/>
  <c r="Q727" i="105"/>
  <c r="N727" i="105"/>
  <c r="M727" i="105"/>
  <c r="L727" i="105"/>
  <c r="K727" i="105"/>
  <c r="AI726" i="105"/>
  <c r="AH726" i="105"/>
  <c r="AG726" i="105"/>
  <c r="X726" i="105"/>
  <c r="R726" i="105"/>
  <c r="Q726" i="105"/>
  <c r="N726" i="105"/>
  <c r="M726" i="105"/>
  <c r="L726" i="105"/>
  <c r="K726" i="105"/>
  <c r="AI725" i="105"/>
  <c r="AH725" i="105"/>
  <c r="AG725" i="105"/>
  <c r="X725" i="105"/>
  <c r="R725" i="105"/>
  <c r="Q725" i="105"/>
  <c r="N725" i="105"/>
  <c r="M725" i="105"/>
  <c r="L725" i="105"/>
  <c r="K725" i="105"/>
  <c r="AI724" i="105"/>
  <c r="AH724" i="105"/>
  <c r="AG724" i="105"/>
  <c r="X724" i="105"/>
  <c r="R724" i="105"/>
  <c r="Q724" i="105"/>
  <c r="N724" i="105"/>
  <c r="M724" i="105"/>
  <c r="L724" i="105"/>
  <c r="K724" i="105"/>
  <c r="AI723" i="105"/>
  <c r="AH723" i="105"/>
  <c r="AG723" i="105"/>
  <c r="X723" i="105"/>
  <c r="R723" i="105"/>
  <c r="Q723" i="105"/>
  <c r="N723" i="105"/>
  <c r="M723" i="105"/>
  <c r="L723" i="105"/>
  <c r="K723" i="105"/>
  <c r="AI722" i="105"/>
  <c r="AH722" i="105"/>
  <c r="AG722" i="105"/>
  <c r="X722" i="105"/>
  <c r="R722" i="105"/>
  <c r="Q722" i="105"/>
  <c r="N722" i="105"/>
  <c r="M722" i="105"/>
  <c r="L722" i="105"/>
  <c r="K722" i="105"/>
  <c r="AI721" i="105"/>
  <c r="AH721" i="105"/>
  <c r="AG721" i="105"/>
  <c r="X721" i="105"/>
  <c r="R721" i="105"/>
  <c r="Q721" i="105"/>
  <c r="N721" i="105"/>
  <c r="M721" i="105"/>
  <c r="L721" i="105"/>
  <c r="K721" i="105"/>
  <c r="AI720" i="105"/>
  <c r="AH720" i="105"/>
  <c r="AG720" i="105"/>
  <c r="X720" i="105"/>
  <c r="R720" i="105"/>
  <c r="Q720" i="105"/>
  <c r="N720" i="105"/>
  <c r="M720" i="105"/>
  <c r="L720" i="105"/>
  <c r="K720" i="105"/>
  <c r="AI719" i="105"/>
  <c r="AH719" i="105"/>
  <c r="AG719" i="105"/>
  <c r="X719" i="105"/>
  <c r="R719" i="105"/>
  <c r="Q719" i="105"/>
  <c r="N719" i="105"/>
  <c r="M719" i="105"/>
  <c r="L719" i="105"/>
  <c r="K719" i="105"/>
  <c r="AI718" i="105"/>
  <c r="AH718" i="105"/>
  <c r="AG718" i="105"/>
  <c r="X718" i="105"/>
  <c r="R718" i="105"/>
  <c r="Q718" i="105"/>
  <c r="N718" i="105"/>
  <c r="M718" i="105"/>
  <c r="L718" i="105"/>
  <c r="K718" i="105"/>
  <c r="AI717" i="105"/>
  <c r="AH717" i="105"/>
  <c r="AG717" i="105"/>
  <c r="X717" i="105"/>
  <c r="R717" i="105"/>
  <c r="Q717" i="105"/>
  <c r="N717" i="105"/>
  <c r="M717" i="105"/>
  <c r="L717" i="105"/>
  <c r="K717" i="105"/>
  <c r="AI716" i="105"/>
  <c r="AH716" i="105"/>
  <c r="AG716" i="105"/>
  <c r="X716" i="105"/>
  <c r="R716" i="105"/>
  <c r="Q716" i="105"/>
  <c r="N716" i="105"/>
  <c r="M716" i="105"/>
  <c r="L716" i="105"/>
  <c r="K716" i="105"/>
  <c r="AI715" i="105"/>
  <c r="AH715" i="105"/>
  <c r="AG715" i="105"/>
  <c r="X715" i="105"/>
  <c r="R715" i="105"/>
  <c r="Q715" i="105"/>
  <c r="N715" i="105"/>
  <c r="M715" i="105"/>
  <c r="L715" i="105"/>
  <c r="K715" i="105"/>
  <c r="AI714" i="105"/>
  <c r="AH714" i="105"/>
  <c r="AG714" i="105"/>
  <c r="X714" i="105"/>
  <c r="R714" i="105"/>
  <c r="Q714" i="105"/>
  <c r="N714" i="105"/>
  <c r="M714" i="105"/>
  <c r="L714" i="105"/>
  <c r="K714" i="105"/>
  <c r="AI713" i="105"/>
  <c r="AH713" i="105"/>
  <c r="AG713" i="105"/>
  <c r="X713" i="105"/>
  <c r="R713" i="105"/>
  <c r="Q713" i="105"/>
  <c r="N713" i="105"/>
  <c r="M713" i="105"/>
  <c r="L713" i="105"/>
  <c r="K713" i="105"/>
  <c r="AI712" i="105"/>
  <c r="AH712" i="105"/>
  <c r="AG712" i="105"/>
  <c r="X712" i="105"/>
  <c r="R712" i="105"/>
  <c r="Q712" i="105"/>
  <c r="N712" i="105"/>
  <c r="M712" i="105"/>
  <c r="L712" i="105"/>
  <c r="K712" i="105"/>
  <c r="AI711" i="105"/>
  <c r="AH711" i="105"/>
  <c r="AG711" i="105"/>
  <c r="X711" i="105"/>
  <c r="R711" i="105"/>
  <c r="Q711" i="105"/>
  <c r="N711" i="105"/>
  <c r="M711" i="105"/>
  <c r="L711" i="105"/>
  <c r="K711" i="105"/>
  <c r="AI710" i="105"/>
  <c r="AH710" i="105"/>
  <c r="AG710" i="105"/>
  <c r="X710" i="105"/>
  <c r="R710" i="105"/>
  <c r="Q710" i="105"/>
  <c r="N710" i="105"/>
  <c r="M710" i="105"/>
  <c r="L710" i="105"/>
  <c r="K710" i="105"/>
  <c r="AI709" i="105"/>
  <c r="AH709" i="105"/>
  <c r="AG709" i="105"/>
  <c r="X709" i="105"/>
  <c r="R709" i="105"/>
  <c r="Q709" i="105"/>
  <c r="L709" i="105"/>
  <c r="N709" i="105" s="1"/>
  <c r="I709" i="105" s="1"/>
  <c r="K709" i="105"/>
  <c r="M709" i="105" s="1"/>
  <c r="AI708" i="105"/>
  <c r="AH708" i="105"/>
  <c r="AG708" i="105"/>
  <c r="X708" i="105"/>
  <c r="R708" i="105"/>
  <c r="Q708" i="105"/>
  <c r="L708" i="105"/>
  <c r="N708" i="105" s="1"/>
  <c r="I708" i="105" s="1"/>
  <c r="K708" i="105"/>
  <c r="M708" i="105" s="1"/>
  <c r="AI707" i="105"/>
  <c r="AH707" i="105"/>
  <c r="AG707" i="105"/>
  <c r="X707" i="105"/>
  <c r="R707" i="105"/>
  <c r="Q707" i="105"/>
  <c r="L707" i="105"/>
  <c r="N707" i="105" s="1"/>
  <c r="I707" i="105" s="1"/>
  <c r="K707" i="105"/>
  <c r="M707" i="105" s="1"/>
  <c r="AI706" i="105"/>
  <c r="AG706" i="105"/>
  <c r="X706" i="105"/>
  <c r="X704" i="105" s="1"/>
  <c r="Q706" i="105"/>
  <c r="R706" i="105" s="1"/>
  <c r="L706" i="105"/>
  <c r="K706" i="105"/>
  <c r="H706" i="105"/>
  <c r="M706" i="105" s="1"/>
  <c r="AI705" i="105"/>
  <c r="AG705" i="105"/>
  <c r="AH705" i="105" s="1"/>
  <c r="AH704" i="105" s="1"/>
  <c r="X705" i="105"/>
  <c r="R705" i="105"/>
  <c r="R704" i="105" s="1"/>
  <c r="Q705" i="105"/>
  <c r="L705" i="105"/>
  <c r="N705" i="105" s="1"/>
  <c r="K705" i="105"/>
  <c r="M705" i="105" s="1"/>
  <c r="A705" i="105"/>
  <c r="A706" i="105" s="1"/>
  <c r="A707" i="105" s="1"/>
  <c r="A708" i="105" s="1"/>
  <c r="A709" i="105" s="1"/>
  <c r="A710" i="105" s="1"/>
  <c r="A711" i="105" s="1"/>
  <c r="A712" i="105" s="1"/>
  <c r="A713" i="105" s="1"/>
  <c r="A714" i="105" s="1"/>
  <c r="A715" i="105" s="1"/>
  <c r="A716" i="105" s="1"/>
  <c r="A717" i="105" s="1"/>
  <c r="A718" i="105" s="1"/>
  <c r="A719" i="105" s="1"/>
  <c r="A720" i="105" s="1"/>
  <c r="A721" i="105" s="1"/>
  <c r="A722" i="105" s="1"/>
  <c r="A723" i="105" s="1"/>
  <c r="A724" i="105" s="1"/>
  <c r="A725" i="105" s="1"/>
  <c r="A726" i="105" s="1"/>
  <c r="A727" i="105" s="1"/>
  <c r="A728" i="105" s="1"/>
  <c r="A729" i="105" s="1"/>
  <c r="A730" i="105" s="1"/>
  <c r="A731" i="105" s="1"/>
  <c r="A732" i="105" s="1"/>
  <c r="A733" i="105" s="1"/>
  <c r="A734" i="105" s="1"/>
  <c r="A735" i="105" s="1"/>
  <c r="A736" i="105" s="1"/>
  <c r="A737" i="105" s="1"/>
  <c r="A738" i="105" s="1"/>
  <c r="A739" i="105" s="1"/>
  <c r="A740" i="105" s="1"/>
  <c r="AF704" i="105"/>
  <c r="U704" i="105"/>
  <c r="P704" i="105"/>
  <c r="H704" i="105"/>
  <c r="AI703" i="105"/>
  <c r="AH703" i="105"/>
  <c r="AG703" i="105"/>
  <c r="X703" i="105"/>
  <c r="W703" i="105"/>
  <c r="R703" i="105"/>
  <c r="Q703" i="105"/>
  <c r="N703" i="105"/>
  <c r="M703" i="105"/>
  <c r="L703" i="105"/>
  <c r="K703" i="105"/>
  <c r="AI702" i="105"/>
  <c r="AH702" i="105"/>
  <c r="AG702" i="105"/>
  <c r="X702" i="105"/>
  <c r="W702" i="105"/>
  <c r="R702" i="105"/>
  <c r="Q702" i="105"/>
  <c r="N702" i="105"/>
  <c r="M702" i="105"/>
  <c r="L702" i="105"/>
  <c r="K702" i="105"/>
  <c r="AI701" i="105"/>
  <c r="AH701" i="105"/>
  <c r="AG701" i="105"/>
  <c r="X701" i="105"/>
  <c r="W701" i="105"/>
  <c r="R701" i="105"/>
  <c r="Q701" i="105"/>
  <c r="N701" i="105"/>
  <c r="M701" i="105"/>
  <c r="L701" i="105"/>
  <c r="K701" i="105"/>
  <c r="AI700" i="105"/>
  <c r="AH700" i="105"/>
  <c r="AG700" i="105"/>
  <c r="X700" i="105"/>
  <c r="W700" i="105"/>
  <c r="R700" i="105"/>
  <c r="Q700" i="105"/>
  <c r="N700" i="105"/>
  <c r="M700" i="105"/>
  <c r="L700" i="105"/>
  <c r="K700" i="105"/>
  <c r="AI699" i="105"/>
  <c r="AH699" i="105"/>
  <c r="AG699" i="105"/>
  <c r="X699" i="105"/>
  <c r="W699" i="105"/>
  <c r="R699" i="105"/>
  <c r="Q699" i="105"/>
  <c r="N699" i="105"/>
  <c r="M699" i="105"/>
  <c r="L699" i="105"/>
  <c r="K699" i="105"/>
  <c r="AI698" i="105"/>
  <c r="AH698" i="105"/>
  <c r="AH696" i="105" s="1"/>
  <c r="AG698" i="105"/>
  <c r="X698" i="105"/>
  <c r="X696" i="105" s="1"/>
  <c r="W698" i="105"/>
  <c r="R698" i="105"/>
  <c r="Q698" i="105"/>
  <c r="L698" i="105"/>
  <c r="N698" i="105" s="1"/>
  <c r="I698" i="105" s="1"/>
  <c r="K698" i="105"/>
  <c r="M698" i="105" s="1"/>
  <c r="AI697" i="105"/>
  <c r="AH697" i="105"/>
  <c r="AG697" i="105"/>
  <c r="X697" i="105"/>
  <c r="W697" i="105"/>
  <c r="Q697" i="105"/>
  <c r="R697" i="105" s="1"/>
  <c r="R696" i="105" s="1"/>
  <c r="L697" i="105"/>
  <c r="K697" i="105"/>
  <c r="H697" i="105"/>
  <c r="M697" i="105" s="1"/>
  <c r="A697" i="105"/>
  <c r="A698" i="105" s="1"/>
  <c r="A699" i="105" s="1"/>
  <c r="A700" i="105" s="1"/>
  <c r="A701" i="105" s="1"/>
  <c r="A702" i="105" s="1"/>
  <c r="A703" i="105" s="1"/>
  <c r="AF696" i="105"/>
  <c r="U696" i="105"/>
  <c r="P696" i="105"/>
  <c r="H696" i="105"/>
  <c r="AI695" i="105"/>
  <c r="AH695" i="105"/>
  <c r="AG695" i="105"/>
  <c r="X695" i="105"/>
  <c r="W695" i="105"/>
  <c r="R695" i="105"/>
  <c r="Q695" i="105"/>
  <c r="N695" i="105"/>
  <c r="M695" i="105"/>
  <c r="L695" i="105"/>
  <c r="K695" i="105"/>
  <c r="AI694" i="105"/>
  <c r="AH694" i="105"/>
  <c r="AG694" i="105"/>
  <c r="X694" i="105"/>
  <c r="W694" i="105"/>
  <c r="R694" i="105"/>
  <c r="Q694" i="105"/>
  <c r="N694" i="105"/>
  <c r="M694" i="105"/>
  <c r="L694" i="105"/>
  <c r="K694" i="105"/>
  <c r="AI693" i="105"/>
  <c r="AH693" i="105"/>
  <c r="AG693" i="105"/>
  <c r="X693" i="105"/>
  <c r="W693" i="105"/>
  <c r="R693" i="105"/>
  <c r="Q693" i="105"/>
  <c r="N693" i="105"/>
  <c r="M693" i="105"/>
  <c r="L693" i="105"/>
  <c r="K693" i="105"/>
  <c r="AI692" i="105"/>
  <c r="AH692" i="105"/>
  <c r="AG692" i="105"/>
  <c r="X692" i="105"/>
  <c r="W692" i="105"/>
  <c r="R692" i="105"/>
  <c r="Q692" i="105"/>
  <c r="N692" i="105"/>
  <c r="M692" i="105"/>
  <c r="L692" i="105"/>
  <c r="K692" i="105"/>
  <c r="AI691" i="105"/>
  <c r="AH691" i="105"/>
  <c r="AG691" i="105"/>
  <c r="X691" i="105"/>
  <c r="W691" i="105"/>
  <c r="R691" i="105"/>
  <c r="Q691" i="105"/>
  <c r="N691" i="105"/>
  <c r="M691" i="105"/>
  <c r="L691" i="105"/>
  <c r="K691" i="105"/>
  <c r="AI690" i="105"/>
  <c r="AH690" i="105"/>
  <c r="AG690" i="105"/>
  <c r="X690" i="105"/>
  <c r="W690" i="105"/>
  <c r="R690" i="105"/>
  <c r="Q690" i="105"/>
  <c r="L690" i="105"/>
  <c r="N690" i="105" s="1"/>
  <c r="I690" i="105" s="1"/>
  <c r="K690" i="105"/>
  <c r="M690" i="105" s="1"/>
  <c r="AI689" i="105"/>
  <c r="AG689" i="105"/>
  <c r="X689" i="105"/>
  <c r="W689" i="105"/>
  <c r="R689" i="105"/>
  <c r="Q689" i="105"/>
  <c r="L689" i="105"/>
  <c r="N689" i="105" s="1"/>
  <c r="K689" i="105"/>
  <c r="H689" i="105"/>
  <c r="M689" i="105" s="1"/>
  <c r="A689" i="105"/>
  <c r="A690" i="105" s="1"/>
  <c r="A691" i="105" s="1"/>
  <c r="A692" i="105" s="1"/>
  <c r="A693" i="105" s="1"/>
  <c r="A694" i="105" s="1"/>
  <c r="A695" i="105" s="1"/>
  <c r="AH688" i="105"/>
  <c r="AF688" i="105"/>
  <c r="X688" i="105"/>
  <c r="U688" i="105"/>
  <c r="R688" i="105"/>
  <c r="P688" i="105"/>
  <c r="H688" i="105"/>
  <c r="AI687" i="105"/>
  <c r="AH687" i="105"/>
  <c r="AG687" i="105"/>
  <c r="X687" i="105"/>
  <c r="W687" i="105"/>
  <c r="R687" i="105"/>
  <c r="Q687" i="105"/>
  <c r="N687" i="105"/>
  <c r="M687" i="105"/>
  <c r="L687" i="105"/>
  <c r="K687" i="105"/>
  <c r="AI686" i="105"/>
  <c r="AH686" i="105"/>
  <c r="AG686" i="105"/>
  <c r="X686" i="105"/>
  <c r="W686" i="105"/>
  <c r="R686" i="105"/>
  <c r="Q686" i="105"/>
  <c r="N686" i="105"/>
  <c r="M686" i="105"/>
  <c r="L686" i="105"/>
  <c r="K686" i="105"/>
  <c r="AI685" i="105"/>
  <c r="AH685" i="105"/>
  <c r="AG685" i="105"/>
  <c r="X685" i="105"/>
  <c r="W685" i="105"/>
  <c r="R685" i="105"/>
  <c r="Q685" i="105"/>
  <c r="N685" i="105"/>
  <c r="M685" i="105"/>
  <c r="L685" i="105"/>
  <c r="K685" i="105"/>
  <c r="AI684" i="105"/>
  <c r="AH684" i="105"/>
  <c r="AG684" i="105"/>
  <c r="W684" i="105"/>
  <c r="X684" i="105" s="1"/>
  <c r="R684" i="105"/>
  <c r="Q684" i="105"/>
  <c r="N684" i="105"/>
  <c r="M684" i="105"/>
  <c r="L684" i="105"/>
  <c r="K684" i="105"/>
  <c r="AI683" i="105"/>
  <c r="AH683" i="105"/>
  <c r="AG683" i="105"/>
  <c r="W683" i="105"/>
  <c r="X683" i="105" s="1"/>
  <c r="R683" i="105"/>
  <c r="Q683" i="105"/>
  <c r="N683" i="105"/>
  <c r="M683" i="105"/>
  <c r="L683" i="105"/>
  <c r="K683" i="105"/>
  <c r="AI682" i="105"/>
  <c r="AH682" i="105"/>
  <c r="AG682" i="105"/>
  <c r="W682" i="105"/>
  <c r="X682" i="105" s="1"/>
  <c r="X680" i="105" s="1"/>
  <c r="R682" i="105"/>
  <c r="Q682" i="105"/>
  <c r="N682" i="105"/>
  <c r="M682" i="105"/>
  <c r="L682" i="105"/>
  <c r="K682" i="105"/>
  <c r="AI681" i="105"/>
  <c r="AG681" i="105"/>
  <c r="X681" i="105"/>
  <c r="W681" i="105"/>
  <c r="R681" i="105"/>
  <c r="Q681" i="105"/>
  <c r="L681" i="105"/>
  <c r="N681" i="105" s="1"/>
  <c r="K681" i="105"/>
  <c r="H681" i="105"/>
  <c r="M681" i="105" s="1"/>
  <c r="M680" i="105" s="1"/>
  <c r="A681" i="105"/>
  <c r="A682" i="105" s="1"/>
  <c r="A683" i="105" s="1"/>
  <c r="A684" i="105" s="1"/>
  <c r="A685" i="105" s="1"/>
  <c r="A686" i="105" s="1"/>
  <c r="A687" i="105" s="1"/>
  <c r="AH680" i="105"/>
  <c r="AF680" i="105"/>
  <c r="U680" i="105"/>
  <c r="R680" i="105"/>
  <c r="P680" i="105"/>
  <c r="H680" i="105"/>
  <c r="AI679" i="105"/>
  <c r="AH679" i="105"/>
  <c r="AG679" i="105"/>
  <c r="X679" i="105"/>
  <c r="W679" i="105"/>
  <c r="R679" i="105"/>
  <c r="Q679" i="105"/>
  <c r="N679" i="105"/>
  <c r="M679" i="105"/>
  <c r="L679" i="105"/>
  <c r="K679" i="105"/>
  <c r="AI678" i="105"/>
  <c r="AH678" i="105"/>
  <c r="AG678" i="105"/>
  <c r="X678" i="105"/>
  <c r="W678" i="105"/>
  <c r="R678" i="105"/>
  <c r="Q678" i="105"/>
  <c r="N678" i="105"/>
  <c r="M678" i="105"/>
  <c r="L678" i="105"/>
  <c r="K678" i="105"/>
  <c r="AI677" i="105"/>
  <c r="AH677" i="105"/>
  <c r="AG677" i="105"/>
  <c r="W677" i="105"/>
  <c r="X677" i="105" s="1"/>
  <c r="R677" i="105"/>
  <c r="Q677" i="105"/>
  <c r="N677" i="105"/>
  <c r="M677" i="105"/>
  <c r="L677" i="105"/>
  <c r="K677" i="105"/>
  <c r="AI676" i="105"/>
  <c r="AH676" i="105"/>
  <c r="AG676" i="105"/>
  <c r="W676" i="105"/>
  <c r="X676" i="105" s="1"/>
  <c r="R676" i="105"/>
  <c r="Q676" i="105"/>
  <c r="N676" i="105"/>
  <c r="M676" i="105"/>
  <c r="L676" i="105"/>
  <c r="K676" i="105"/>
  <c r="AI675" i="105"/>
  <c r="AH675" i="105"/>
  <c r="AG675" i="105"/>
  <c r="W675" i="105"/>
  <c r="X675" i="105" s="1"/>
  <c r="R675" i="105"/>
  <c r="Q675" i="105"/>
  <c r="N675" i="105"/>
  <c r="M675" i="105"/>
  <c r="L675" i="105"/>
  <c r="K675" i="105"/>
  <c r="AI674" i="105"/>
  <c r="AH674" i="105"/>
  <c r="AG674" i="105"/>
  <c r="W674" i="105"/>
  <c r="X674" i="105" s="1"/>
  <c r="R674" i="105"/>
  <c r="Q674" i="105"/>
  <c r="N674" i="105"/>
  <c r="M674" i="105"/>
  <c r="L674" i="105"/>
  <c r="K674" i="105"/>
  <c r="AI673" i="105"/>
  <c r="AH673" i="105"/>
  <c r="AG673" i="105"/>
  <c r="W673" i="105"/>
  <c r="X673" i="105" s="1"/>
  <c r="R673" i="105"/>
  <c r="Q673" i="105"/>
  <c r="N673" i="105"/>
  <c r="M673" i="105"/>
  <c r="L673" i="105"/>
  <c r="K673" i="105"/>
  <c r="AI672" i="105"/>
  <c r="AH672" i="105"/>
  <c r="AG672" i="105"/>
  <c r="W672" i="105"/>
  <c r="U672" i="105"/>
  <c r="X672" i="105" s="1"/>
  <c r="R672" i="105"/>
  <c r="Q672" i="105"/>
  <c r="L672" i="105"/>
  <c r="N672" i="105" s="1"/>
  <c r="I672" i="105" s="1"/>
  <c r="K672" i="105"/>
  <c r="M672" i="105" s="1"/>
  <c r="AI671" i="105"/>
  <c r="AG671" i="105"/>
  <c r="W671" i="105"/>
  <c r="U671" i="105"/>
  <c r="X671" i="105" s="1"/>
  <c r="R671" i="105"/>
  <c r="Q671" i="105"/>
  <c r="L671" i="105"/>
  <c r="N671" i="105" s="1"/>
  <c r="K671" i="105"/>
  <c r="M671" i="105" s="1"/>
  <c r="M670" i="105" s="1"/>
  <c r="A671" i="105"/>
  <c r="A672" i="105" s="1"/>
  <c r="A673" i="105" s="1"/>
  <c r="A674" i="105" s="1"/>
  <c r="A675" i="105" s="1"/>
  <c r="A676" i="105" s="1"/>
  <c r="A677" i="105" s="1"/>
  <c r="A678" i="105" s="1"/>
  <c r="A679" i="105" s="1"/>
  <c r="AH670" i="105"/>
  <c r="AF670" i="105"/>
  <c r="R670" i="105"/>
  <c r="P670" i="105"/>
  <c r="H670" i="105"/>
  <c r="AI669" i="105"/>
  <c r="AH669" i="105"/>
  <c r="AG669" i="105"/>
  <c r="X669" i="105"/>
  <c r="W669" i="105"/>
  <c r="R669" i="105"/>
  <c r="Q669" i="105"/>
  <c r="N669" i="105"/>
  <c r="M669" i="105"/>
  <c r="L669" i="105"/>
  <c r="K669" i="105"/>
  <c r="AI668" i="105"/>
  <c r="AH668" i="105"/>
  <c r="AG668" i="105"/>
  <c r="X668" i="105"/>
  <c r="W668" i="105"/>
  <c r="R668" i="105"/>
  <c r="Q668" i="105"/>
  <c r="N668" i="105"/>
  <c r="M668" i="105"/>
  <c r="L668" i="105"/>
  <c r="K668" i="105"/>
  <c r="AI667" i="105"/>
  <c r="AH667" i="105"/>
  <c r="AG667" i="105"/>
  <c r="X667" i="105"/>
  <c r="W667" i="105"/>
  <c r="R667" i="105"/>
  <c r="Q667" i="105"/>
  <c r="N667" i="105"/>
  <c r="M667" i="105"/>
  <c r="L667" i="105"/>
  <c r="K667" i="105"/>
  <c r="AI666" i="105"/>
  <c r="AH666" i="105"/>
  <c r="AG666" i="105"/>
  <c r="X666" i="105"/>
  <c r="W666" i="105"/>
  <c r="R666" i="105"/>
  <c r="Q666" i="105"/>
  <c r="N666" i="105"/>
  <c r="M666" i="105"/>
  <c r="L666" i="105"/>
  <c r="K666" i="105"/>
  <c r="AI665" i="105"/>
  <c r="AH665" i="105"/>
  <c r="AG665" i="105"/>
  <c r="W665" i="105"/>
  <c r="X665" i="105" s="1"/>
  <c r="R665" i="105"/>
  <c r="Q665" i="105"/>
  <c r="N665" i="105"/>
  <c r="M665" i="105"/>
  <c r="L665" i="105"/>
  <c r="K665" i="105"/>
  <c r="AI664" i="105"/>
  <c r="AH664" i="105"/>
  <c r="AG664" i="105"/>
  <c r="W664" i="105"/>
  <c r="X664" i="105" s="1"/>
  <c r="R664" i="105"/>
  <c r="Q664" i="105"/>
  <c r="N664" i="105"/>
  <c r="M664" i="105"/>
  <c r="L664" i="105"/>
  <c r="K664" i="105"/>
  <c r="AI663" i="105"/>
  <c r="AH663" i="105"/>
  <c r="AG663" i="105"/>
  <c r="W663" i="105"/>
  <c r="X663" i="105" s="1"/>
  <c r="R663" i="105"/>
  <c r="Q663" i="105"/>
  <c r="L663" i="105"/>
  <c r="N663" i="105" s="1"/>
  <c r="I663" i="105" s="1"/>
  <c r="K663" i="105"/>
  <c r="M663" i="105" s="1"/>
  <c r="A663" i="105"/>
  <c r="A664" i="105" s="1"/>
  <c r="A665" i="105" s="1"/>
  <c r="A666" i="105" s="1"/>
  <c r="A667" i="105" s="1"/>
  <c r="A668" i="105" s="1"/>
  <c r="A669" i="105" s="1"/>
  <c r="AI662" i="105"/>
  <c r="AG662" i="105"/>
  <c r="W662" i="105"/>
  <c r="X662" i="105" s="1"/>
  <c r="X661" i="105" s="1"/>
  <c r="R662" i="105"/>
  <c r="Q662" i="105"/>
  <c r="L662" i="105"/>
  <c r="K662" i="105"/>
  <c r="H662" i="105"/>
  <c r="M662" i="105" s="1"/>
  <c r="M661" i="105" s="1"/>
  <c r="A662" i="105"/>
  <c r="AH661" i="105"/>
  <c r="AF661" i="105"/>
  <c r="U661" i="105"/>
  <c r="R661" i="105"/>
  <c r="P661" i="105"/>
  <c r="H661" i="105"/>
  <c r="AI660" i="105"/>
  <c r="AH660" i="105"/>
  <c r="AG660" i="105"/>
  <c r="X660" i="105"/>
  <c r="W660" i="105"/>
  <c r="R660" i="105"/>
  <c r="Q660" i="105"/>
  <c r="N660" i="105"/>
  <c r="M660" i="105"/>
  <c r="L660" i="105"/>
  <c r="K660" i="105"/>
  <c r="AI659" i="105"/>
  <c r="AH659" i="105"/>
  <c r="AG659" i="105"/>
  <c r="X659" i="105"/>
  <c r="W659" i="105"/>
  <c r="R659" i="105"/>
  <c r="Q659" i="105"/>
  <c r="N659" i="105"/>
  <c r="M659" i="105"/>
  <c r="L659" i="105"/>
  <c r="K659" i="105"/>
  <c r="AI658" i="105"/>
  <c r="AH658" i="105"/>
  <c r="AG658" i="105"/>
  <c r="X658" i="105"/>
  <c r="W658" i="105"/>
  <c r="R658" i="105"/>
  <c r="Q658" i="105"/>
  <c r="N658" i="105"/>
  <c r="M658" i="105"/>
  <c r="L658" i="105"/>
  <c r="K658" i="105"/>
  <c r="AI657" i="105"/>
  <c r="AH657" i="105"/>
  <c r="AG657" i="105"/>
  <c r="X657" i="105"/>
  <c r="W657" i="105"/>
  <c r="R657" i="105"/>
  <c r="Q657" i="105"/>
  <c r="N657" i="105"/>
  <c r="M657" i="105"/>
  <c r="L657" i="105"/>
  <c r="K657" i="105"/>
  <c r="AI656" i="105"/>
  <c r="AH656" i="105"/>
  <c r="AG656" i="105"/>
  <c r="X656" i="105"/>
  <c r="W656" i="105"/>
  <c r="R656" i="105"/>
  <c r="Q656" i="105"/>
  <c r="N656" i="105"/>
  <c r="M656" i="105"/>
  <c r="L656" i="105"/>
  <c r="K656" i="105"/>
  <c r="AI655" i="105"/>
  <c r="AH655" i="105"/>
  <c r="AG655" i="105"/>
  <c r="X655" i="105"/>
  <c r="W655" i="105"/>
  <c r="R655" i="105"/>
  <c r="Q655" i="105"/>
  <c r="N655" i="105"/>
  <c r="M655" i="105"/>
  <c r="L655" i="105"/>
  <c r="K655" i="105"/>
  <c r="AI654" i="105"/>
  <c r="AH654" i="105"/>
  <c r="AG654" i="105"/>
  <c r="X654" i="105"/>
  <c r="W654" i="105"/>
  <c r="R654" i="105"/>
  <c r="Q654" i="105"/>
  <c r="N654" i="105"/>
  <c r="M654" i="105"/>
  <c r="L654" i="105"/>
  <c r="K654" i="105"/>
  <c r="AI653" i="105"/>
  <c r="AH653" i="105"/>
  <c r="AG653" i="105"/>
  <c r="X653" i="105"/>
  <c r="W653" i="105"/>
  <c r="R653" i="105"/>
  <c r="Q653" i="105"/>
  <c r="N653" i="105"/>
  <c r="M653" i="105"/>
  <c r="L653" i="105"/>
  <c r="K653" i="105"/>
  <c r="AI652" i="105"/>
  <c r="AH652" i="105"/>
  <c r="AH649" i="105" s="1"/>
  <c r="AG652" i="105"/>
  <c r="X652" i="105"/>
  <c r="W652" i="105"/>
  <c r="R652" i="105"/>
  <c r="R649" i="105" s="1"/>
  <c r="Q652" i="105"/>
  <c r="L652" i="105"/>
  <c r="N652" i="105" s="1"/>
  <c r="I652" i="105" s="1"/>
  <c r="K652" i="105"/>
  <c r="M652" i="105" s="1"/>
  <c r="AI651" i="105"/>
  <c r="AH651" i="105"/>
  <c r="AG651" i="105"/>
  <c r="W651" i="105"/>
  <c r="X651" i="105" s="1"/>
  <c r="R651" i="105"/>
  <c r="Q651" i="105"/>
  <c r="L651" i="105"/>
  <c r="K651" i="105"/>
  <c r="H651" i="105"/>
  <c r="M651" i="105" s="1"/>
  <c r="AI650" i="105"/>
  <c r="AG650" i="105"/>
  <c r="W650" i="105"/>
  <c r="U650" i="105"/>
  <c r="X650" i="105" s="1"/>
  <c r="R650" i="105"/>
  <c r="Q650" i="105"/>
  <c r="L650" i="105"/>
  <c r="K650" i="105"/>
  <c r="H650" i="105"/>
  <c r="M650" i="105" s="1"/>
  <c r="M649" i="105" s="1"/>
  <c r="A650" i="105"/>
  <c r="A651" i="105" s="1"/>
  <c r="A652" i="105" s="1"/>
  <c r="A653" i="105" s="1"/>
  <c r="A654" i="105" s="1"/>
  <c r="A655" i="105" s="1"/>
  <c r="A656" i="105" s="1"/>
  <c r="A657" i="105" s="1"/>
  <c r="A658" i="105" s="1"/>
  <c r="A659" i="105" s="1"/>
  <c r="A660" i="105" s="1"/>
  <c r="AF649" i="105"/>
  <c r="U649" i="105"/>
  <c r="P649" i="105"/>
  <c r="H649" i="105"/>
  <c r="AI648" i="105"/>
  <c r="AH648" i="105"/>
  <c r="AG648" i="105"/>
  <c r="X648" i="105"/>
  <c r="W648" i="105"/>
  <c r="R648" i="105"/>
  <c r="Q648" i="105"/>
  <c r="N648" i="105"/>
  <c r="M648" i="105"/>
  <c r="L648" i="105"/>
  <c r="K648" i="105"/>
  <c r="AI647" i="105"/>
  <c r="AH647" i="105"/>
  <c r="AG647" i="105"/>
  <c r="X647" i="105"/>
  <c r="W647" i="105"/>
  <c r="R647" i="105"/>
  <c r="Q647" i="105"/>
  <c r="N647" i="105"/>
  <c r="M647" i="105"/>
  <c r="L647" i="105"/>
  <c r="K647" i="105"/>
  <c r="AI646" i="105"/>
  <c r="AH646" i="105"/>
  <c r="AG646" i="105"/>
  <c r="X646" i="105"/>
  <c r="W646" i="105"/>
  <c r="R646" i="105"/>
  <c r="Q646" i="105"/>
  <c r="N646" i="105"/>
  <c r="M646" i="105"/>
  <c r="L646" i="105"/>
  <c r="K646" i="105"/>
  <c r="AI645" i="105"/>
  <c r="AH645" i="105"/>
  <c r="AG645" i="105"/>
  <c r="X645" i="105"/>
  <c r="W645" i="105"/>
  <c r="R645" i="105"/>
  <c r="Q645" i="105"/>
  <c r="N645" i="105"/>
  <c r="M645" i="105"/>
  <c r="L645" i="105"/>
  <c r="K645" i="105"/>
  <c r="AI644" i="105"/>
  <c r="AH644" i="105"/>
  <c r="AG644" i="105"/>
  <c r="X644" i="105"/>
  <c r="W644" i="105"/>
  <c r="R644" i="105"/>
  <c r="Q644" i="105"/>
  <c r="N644" i="105"/>
  <c r="M644" i="105"/>
  <c r="L644" i="105"/>
  <c r="K644" i="105"/>
  <c r="AI643" i="105"/>
  <c r="AH643" i="105"/>
  <c r="AG643" i="105"/>
  <c r="X643" i="105"/>
  <c r="W643" i="105"/>
  <c r="R643" i="105"/>
  <c r="Q643" i="105"/>
  <c r="N643" i="105"/>
  <c r="M643" i="105"/>
  <c r="L643" i="105"/>
  <c r="K643" i="105"/>
  <c r="AI642" i="105"/>
  <c r="AH642" i="105"/>
  <c r="AG642" i="105"/>
  <c r="X642" i="105"/>
  <c r="W642" i="105"/>
  <c r="R642" i="105"/>
  <c r="Q642" i="105"/>
  <c r="L642" i="105"/>
  <c r="N642" i="105" s="1"/>
  <c r="I642" i="105" s="1"/>
  <c r="K642" i="105"/>
  <c r="M642" i="105" s="1"/>
  <c r="AI641" i="105"/>
  <c r="AG641" i="105"/>
  <c r="X641" i="105"/>
  <c r="W641" i="105"/>
  <c r="R641" i="105"/>
  <c r="Q641" i="105"/>
  <c r="L641" i="105"/>
  <c r="N641" i="105" s="1"/>
  <c r="K641" i="105"/>
  <c r="H641" i="105"/>
  <c r="M641" i="105" s="1"/>
  <c r="A641" i="105"/>
  <c r="A642" i="105" s="1"/>
  <c r="A643" i="105" s="1"/>
  <c r="A644" i="105" s="1"/>
  <c r="A645" i="105" s="1"/>
  <c r="A646" i="105" s="1"/>
  <c r="A647" i="105" s="1"/>
  <c r="A648" i="105" s="1"/>
  <c r="AH640" i="105"/>
  <c r="AF640" i="105"/>
  <c r="X640" i="105"/>
  <c r="U640" i="105"/>
  <c r="R640" i="105"/>
  <c r="P640" i="105"/>
  <c r="H640" i="105"/>
  <c r="AI639" i="105"/>
  <c r="AH639" i="105"/>
  <c r="AG639" i="105"/>
  <c r="X639" i="105"/>
  <c r="W639" i="105"/>
  <c r="R639" i="105"/>
  <c r="Q639" i="105"/>
  <c r="N639" i="105"/>
  <c r="M639" i="105"/>
  <c r="L639" i="105"/>
  <c r="K639" i="105"/>
  <c r="AI638" i="105"/>
  <c r="AH638" i="105"/>
  <c r="AG638" i="105"/>
  <c r="X638" i="105"/>
  <c r="W638" i="105"/>
  <c r="R638" i="105"/>
  <c r="Q638" i="105"/>
  <c r="N638" i="105"/>
  <c r="M638" i="105"/>
  <c r="L638" i="105"/>
  <c r="K638" i="105"/>
  <c r="AI637" i="105"/>
  <c r="AH637" i="105"/>
  <c r="AG637" i="105"/>
  <c r="X637" i="105"/>
  <c r="W637" i="105"/>
  <c r="R637" i="105"/>
  <c r="Q637" i="105"/>
  <c r="N637" i="105"/>
  <c r="M637" i="105"/>
  <c r="L637" i="105"/>
  <c r="K637" i="105"/>
  <c r="AI636" i="105"/>
  <c r="AH636" i="105"/>
  <c r="AG636" i="105"/>
  <c r="W636" i="105"/>
  <c r="X636" i="105" s="1"/>
  <c r="R636" i="105"/>
  <c r="Q636" i="105"/>
  <c r="N636" i="105"/>
  <c r="M636" i="105"/>
  <c r="L636" i="105"/>
  <c r="K636" i="105"/>
  <c r="AI635" i="105"/>
  <c r="AH635" i="105"/>
  <c r="AG635" i="105"/>
  <c r="W635" i="105"/>
  <c r="X635" i="105" s="1"/>
  <c r="R635" i="105"/>
  <c r="Q635" i="105"/>
  <c r="N635" i="105"/>
  <c r="M635" i="105"/>
  <c r="L635" i="105"/>
  <c r="K635" i="105"/>
  <c r="AI634" i="105"/>
  <c r="AH634" i="105"/>
  <c r="AG634" i="105"/>
  <c r="W634" i="105"/>
  <c r="X634" i="105" s="1"/>
  <c r="R634" i="105"/>
  <c r="Q634" i="105"/>
  <c r="N634" i="105"/>
  <c r="M634" i="105"/>
  <c r="L634" i="105"/>
  <c r="K634" i="105"/>
  <c r="AI633" i="105"/>
  <c r="AH633" i="105"/>
  <c r="AG633" i="105"/>
  <c r="W633" i="105"/>
  <c r="X633" i="105" s="1"/>
  <c r="R633" i="105"/>
  <c r="Q633" i="105"/>
  <c r="N633" i="105"/>
  <c r="M633" i="105"/>
  <c r="L633" i="105"/>
  <c r="K633" i="105"/>
  <c r="AI632" i="105"/>
  <c r="AH632" i="105"/>
  <c r="AG632" i="105"/>
  <c r="W632" i="105"/>
  <c r="X632" i="105" s="1"/>
  <c r="R632" i="105"/>
  <c r="Q632" i="105"/>
  <c r="L632" i="105"/>
  <c r="N632" i="105" s="1"/>
  <c r="I632" i="105" s="1"/>
  <c r="K632" i="105"/>
  <c r="M632" i="105" s="1"/>
  <c r="AI631" i="105"/>
  <c r="AH631" i="105"/>
  <c r="AG631" i="105"/>
  <c r="X631" i="105"/>
  <c r="W631" i="105"/>
  <c r="R631" i="105"/>
  <c r="Q631" i="105"/>
  <c r="L631" i="105"/>
  <c r="N631" i="105" s="1"/>
  <c r="I631" i="105" s="1"/>
  <c r="K631" i="105"/>
  <c r="M631" i="105" s="1"/>
  <c r="AI630" i="105"/>
  <c r="AG630" i="105"/>
  <c r="W630" i="105"/>
  <c r="U630" i="105"/>
  <c r="X630" i="105" s="1"/>
  <c r="R630" i="105"/>
  <c r="Q630" i="105"/>
  <c r="L630" i="105"/>
  <c r="N630" i="105" s="1"/>
  <c r="K630" i="105"/>
  <c r="M630" i="105" s="1"/>
  <c r="A630" i="105"/>
  <c r="A631" i="105" s="1"/>
  <c r="A632" i="105" s="1"/>
  <c r="A633" i="105" s="1"/>
  <c r="A634" i="105" s="1"/>
  <c r="A635" i="105" s="1"/>
  <c r="A636" i="105" s="1"/>
  <c r="A637" i="105" s="1"/>
  <c r="A638" i="105" s="1"/>
  <c r="A639" i="105" s="1"/>
  <c r="AH629" i="105"/>
  <c r="AF629" i="105"/>
  <c r="R629" i="105"/>
  <c r="P629" i="105"/>
  <c r="H629" i="105"/>
  <c r="AI628" i="105"/>
  <c r="AH628" i="105"/>
  <c r="AG628" i="105"/>
  <c r="X628" i="105"/>
  <c r="W628" i="105"/>
  <c r="R628" i="105"/>
  <c r="Q628" i="105"/>
  <c r="N628" i="105"/>
  <c r="M628" i="105"/>
  <c r="L628" i="105"/>
  <c r="K628" i="105"/>
  <c r="AI627" i="105"/>
  <c r="AH627" i="105"/>
  <c r="AG627" i="105"/>
  <c r="X627" i="105"/>
  <c r="W627" i="105"/>
  <c r="R627" i="105"/>
  <c r="Q627" i="105"/>
  <c r="N627" i="105"/>
  <c r="M627" i="105"/>
  <c r="L627" i="105"/>
  <c r="K627" i="105"/>
  <c r="AI626" i="105"/>
  <c r="AH626" i="105"/>
  <c r="AG626" i="105"/>
  <c r="X626" i="105"/>
  <c r="W626" i="105"/>
  <c r="R626" i="105"/>
  <c r="Q626" i="105"/>
  <c r="N626" i="105"/>
  <c r="M626" i="105"/>
  <c r="L626" i="105"/>
  <c r="K626" i="105"/>
  <c r="AI625" i="105"/>
  <c r="AH625" i="105"/>
  <c r="AG625" i="105"/>
  <c r="X625" i="105"/>
  <c r="W625" i="105"/>
  <c r="R625" i="105"/>
  <c r="Q625" i="105"/>
  <c r="N625" i="105"/>
  <c r="M625" i="105"/>
  <c r="L625" i="105"/>
  <c r="K625" i="105"/>
  <c r="AI624" i="105"/>
  <c r="AH624" i="105"/>
  <c r="AG624" i="105"/>
  <c r="W624" i="105"/>
  <c r="X624" i="105" s="1"/>
  <c r="R624" i="105"/>
  <c r="Q624" i="105"/>
  <c r="N624" i="105"/>
  <c r="M624" i="105"/>
  <c r="L624" i="105"/>
  <c r="K624" i="105"/>
  <c r="AI623" i="105"/>
  <c r="AH623" i="105"/>
  <c r="AG623" i="105"/>
  <c r="W623" i="105"/>
  <c r="X623" i="105" s="1"/>
  <c r="R623" i="105"/>
  <c r="Q623" i="105"/>
  <c r="N623" i="105"/>
  <c r="M623" i="105"/>
  <c r="L623" i="105"/>
  <c r="K623" i="105"/>
  <c r="AI622" i="105"/>
  <c r="AH622" i="105"/>
  <c r="AG622" i="105"/>
  <c r="W622" i="105"/>
  <c r="X622" i="105" s="1"/>
  <c r="R622" i="105"/>
  <c r="Q622" i="105"/>
  <c r="L622" i="105"/>
  <c r="N622" i="105" s="1"/>
  <c r="I622" i="105" s="1"/>
  <c r="K622" i="105"/>
  <c r="M622" i="105" s="1"/>
  <c r="AI621" i="105"/>
  <c r="AH621" i="105"/>
  <c r="AG621" i="105"/>
  <c r="X621" i="105"/>
  <c r="W621" i="105"/>
  <c r="R621" i="105"/>
  <c r="Q621" i="105"/>
  <c r="L621" i="105"/>
  <c r="N621" i="105" s="1"/>
  <c r="I621" i="105" s="1"/>
  <c r="K621" i="105"/>
  <c r="M621" i="105" s="1"/>
  <c r="AI620" i="105"/>
  <c r="AG620" i="105"/>
  <c r="W620" i="105"/>
  <c r="U620" i="105"/>
  <c r="X620" i="105" s="1"/>
  <c r="X619" i="105" s="1"/>
  <c r="R620" i="105"/>
  <c r="Q620" i="105"/>
  <c r="L620" i="105"/>
  <c r="N620" i="105" s="1"/>
  <c r="K620" i="105"/>
  <c r="M620" i="105" s="1"/>
  <c r="M619" i="105" s="1"/>
  <c r="A620" i="105"/>
  <c r="A621" i="105" s="1"/>
  <c r="A622" i="105" s="1"/>
  <c r="A623" i="105" s="1"/>
  <c r="A624" i="105" s="1"/>
  <c r="A625" i="105" s="1"/>
  <c r="A626" i="105" s="1"/>
  <c r="A627" i="105" s="1"/>
  <c r="A628" i="105" s="1"/>
  <c r="AH619" i="105"/>
  <c r="AF619" i="105"/>
  <c r="R619" i="105"/>
  <c r="P619" i="105"/>
  <c r="H619" i="105"/>
  <c r="AI618" i="105"/>
  <c r="AH618" i="105"/>
  <c r="AG618" i="105"/>
  <c r="X618" i="105"/>
  <c r="W618" i="105"/>
  <c r="R618" i="105"/>
  <c r="Q618" i="105"/>
  <c r="N618" i="105"/>
  <c r="M618" i="105"/>
  <c r="L618" i="105"/>
  <c r="K618" i="105"/>
  <c r="AI617" i="105"/>
  <c r="AH617" i="105"/>
  <c r="AG617" i="105"/>
  <c r="X617" i="105"/>
  <c r="W617" i="105"/>
  <c r="R617" i="105"/>
  <c r="Q617" i="105"/>
  <c r="N617" i="105"/>
  <c r="M617" i="105"/>
  <c r="L617" i="105"/>
  <c r="K617" i="105"/>
  <c r="AI616" i="105"/>
  <c r="AH616" i="105"/>
  <c r="AG616" i="105"/>
  <c r="X616" i="105"/>
  <c r="W616" i="105"/>
  <c r="R616" i="105"/>
  <c r="Q616" i="105"/>
  <c r="N616" i="105"/>
  <c r="M616" i="105"/>
  <c r="L616" i="105"/>
  <c r="K616" i="105"/>
  <c r="AI615" i="105"/>
  <c r="AH615" i="105"/>
  <c r="AG615" i="105"/>
  <c r="X615" i="105"/>
  <c r="W615" i="105"/>
  <c r="R615" i="105"/>
  <c r="Q615" i="105"/>
  <c r="N615" i="105"/>
  <c r="M615" i="105"/>
  <c r="L615" i="105"/>
  <c r="K615" i="105"/>
  <c r="AI614" i="105"/>
  <c r="AH614" i="105"/>
  <c r="AG614" i="105"/>
  <c r="X614" i="105"/>
  <c r="W614" i="105"/>
  <c r="R614" i="105"/>
  <c r="Q614" i="105"/>
  <c r="N614" i="105"/>
  <c r="M614" i="105"/>
  <c r="L614" i="105"/>
  <c r="K614" i="105"/>
  <c r="AI613" i="105"/>
  <c r="AH613" i="105"/>
  <c r="AG613" i="105"/>
  <c r="X613" i="105"/>
  <c r="W613" i="105"/>
  <c r="R613" i="105"/>
  <c r="Q613" i="105"/>
  <c r="N613" i="105"/>
  <c r="M613" i="105"/>
  <c r="L613" i="105"/>
  <c r="K613" i="105"/>
  <c r="AI612" i="105"/>
  <c r="AH612" i="105"/>
  <c r="AG612" i="105"/>
  <c r="X612" i="105"/>
  <c r="W612" i="105"/>
  <c r="R612" i="105"/>
  <c r="Q612" i="105"/>
  <c r="N612" i="105"/>
  <c r="M612" i="105"/>
  <c r="L612" i="105"/>
  <c r="K612" i="105"/>
  <c r="AI611" i="105"/>
  <c r="AH611" i="105"/>
  <c r="AG611" i="105"/>
  <c r="X611" i="105"/>
  <c r="W611" i="105"/>
  <c r="Q611" i="105"/>
  <c r="R611" i="105" s="1"/>
  <c r="N611" i="105"/>
  <c r="M611" i="105"/>
  <c r="L611" i="105"/>
  <c r="K611" i="105"/>
  <c r="AI610" i="105"/>
  <c r="AH610" i="105"/>
  <c r="AG610" i="105"/>
  <c r="X610" i="105"/>
  <c r="W610" i="105"/>
  <c r="Q610" i="105"/>
  <c r="R610" i="105" s="1"/>
  <c r="L610" i="105"/>
  <c r="N610" i="105" s="1"/>
  <c r="I610" i="105" s="1"/>
  <c r="K610" i="105"/>
  <c r="M610" i="105" s="1"/>
  <c r="A610" i="105"/>
  <c r="A611" i="105" s="1"/>
  <c r="A612" i="105" s="1"/>
  <c r="A613" i="105" s="1"/>
  <c r="A614" i="105" s="1"/>
  <c r="A615" i="105" s="1"/>
  <c r="A616" i="105" s="1"/>
  <c r="A617" i="105" s="1"/>
  <c r="A618" i="105" s="1"/>
  <c r="AI609" i="105"/>
  <c r="X609" i="105"/>
  <c r="X608" i="105" s="1"/>
  <c r="W609" i="105"/>
  <c r="R609" i="105"/>
  <c r="R608" i="105" s="1"/>
  <c r="Q609" i="105"/>
  <c r="L609" i="105"/>
  <c r="N609" i="105" s="1"/>
  <c r="K609" i="105"/>
  <c r="M609" i="105" s="1"/>
  <c r="M608" i="105" s="1"/>
  <c r="A609" i="105"/>
  <c r="AH608" i="105"/>
  <c r="AF608" i="105"/>
  <c r="U608" i="105"/>
  <c r="P608" i="105"/>
  <c r="H608" i="105"/>
  <c r="AI607" i="105"/>
  <c r="AH607" i="105"/>
  <c r="AG607" i="105"/>
  <c r="X607" i="105"/>
  <c r="W607" i="105"/>
  <c r="R607" i="105"/>
  <c r="Q607" i="105"/>
  <c r="N607" i="105"/>
  <c r="M607" i="105"/>
  <c r="L607" i="105"/>
  <c r="K607" i="105"/>
  <c r="AI606" i="105"/>
  <c r="AH606" i="105"/>
  <c r="AG606" i="105"/>
  <c r="X606" i="105"/>
  <c r="W606" i="105"/>
  <c r="R606" i="105"/>
  <c r="Q606" i="105"/>
  <c r="N606" i="105"/>
  <c r="M606" i="105"/>
  <c r="L606" i="105"/>
  <c r="K606" i="105"/>
  <c r="AI605" i="105"/>
  <c r="AH605" i="105"/>
  <c r="AG605" i="105"/>
  <c r="X605" i="105"/>
  <c r="W605" i="105"/>
  <c r="R605" i="105"/>
  <c r="Q605" i="105"/>
  <c r="N605" i="105"/>
  <c r="M605" i="105"/>
  <c r="L605" i="105"/>
  <c r="K605" i="105"/>
  <c r="AI604" i="105"/>
  <c r="AH604" i="105"/>
  <c r="AG604" i="105"/>
  <c r="X604" i="105"/>
  <c r="W604" i="105"/>
  <c r="R604" i="105"/>
  <c r="Q604" i="105"/>
  <c r="N604" i="105"/>
  <c r="M604" i="105"/>
  <c r="L604" i="105"/>
  <c r="K604" i="105"/>
  <c r="AI603" i="105"/>
  <c r="AH603" i="105"/>
  <c r="AG603" i="105"/>
  <c r="X603" i="105"/>
  <c r="W603" i="105"/>
  <c r="R603" i="105"/>
  <c r="Q603" i="105"/>
  <c r="N603" i="105"/>
  <c r="M603" i="105"/>
  <c r="L603" i="105"/>
  <c r="K603" i="105"/>
  <c r="AI602" i="105"/>
  <c r="AH602" i="105"/>
  <c r="AG602" i="105"/>
  <c r="X602" i="105"/>
  <c r="W602" i="105"/>
  <c r="R602" i="105"/>
  <c r="Q602" i="105"/>
  <c r="N602" i="105"/>
  <c r="M602" i="105"/>
  <c r="L602" i="105"/>
  <c r="K602" i="105"/>
  <c r="AI601" i="105"/>
  <c r="AH601" i="105"/>
  <c r="AG601" i="105"/>
  <c r="X601" i="105"/>
  <c r="W601" i="105"/>
  <c r="R601" i="105"/>
  <c r="Q601" i="105"/>
  <c r="N601" i="105"/>
  <c r="M601" i="105"/>
  <c r="L601" i="105"/>
  <c r="K601" i="105"/>
  <c r="AI600" i="105"/>
  <c r="AH600" i="105"/>
  <c r="AG600" i="105"/>
  <c r="X600" i="105"/>
  <c r="W600" i="105"/>
  <c r="R600" i="105"/>
  <c r="Q600" i="105"/>
  <c r="N600" i="105"/>
  <c r="M600" i="105"/>
  <c r="L600" i="105"/>
  <c r="K600" i="105"/>
  <c r="AI599" i="105"/>
  <c r="AH599" i="105"/>
  <c r="AG599" i="105"/>
  <c r="X599" i="105"/>
  <c r="W599" i="105"/>
  <c r="R599" i="105"/>
  <c r="Q599" i="105"/>
  <c r="N599" i="105"/>
  <c r="M599" i="105"/>
  <c r="L599" i="105"/>
  <c r="K599" i="105"/>
  <c r="AI598" i="105"/>
  <c r="AH598" i="105"/>
  <c r="AG598" i="105"/>
  <c r="X598" i="105"/>
  <c r="W598" i="105"/>
  <c r="R598" i="105"/>
  <c r="Q598" i="105"/>
  <c r="N598" i="105"/>
  <c r="M598" i="105"/>
  <c r="L598" i="105"/>
  <c r="K598" i="105"/>
  <c r="AI597" i="105"/>
  <c r="AH597" i="105"/>
  <c r="AG597" i="105"/>
  <c r="X597" i="105"/>
  <c r="W597" i="105"/>
  <c r="R597" i="105"/>
  <c r="Q597" i="105"/>
  <c r="N597" i="105"/>
  <c r="M597" i="105"/>
  <c r="L597" i="105"/>
  <c r="K597" i="105"/>
  <c r="AI596" i="105"/>
  <c r="AH596" i="105"/>
  <c r="AG596" i="105"/>
  <c r="X596" i="105"/>
  <c r="W596" i="105"/>
  <c r="R596" i="105"/>
  <c r="Q596" i="105"/>
  <c r="N596" i="105"/>
  <c r="M596" i="105"/>
  <c r="L596" i="105"/>
  <c r="K596" i="105"/>
  <c r="AI595" i="105"/>
  <c r="AH595" i="105"/>
  <c r="AG595" i="105"/>
  <c r="X595" i="105"/>
  <c r="W595" i="105"/>
  <c r="R595" i="105"/>
  <c r="Q595" i="105"/>
  <c r="N595" i="105"/>
  <c r="M595" i="105"/>
  <c r="L595" i="105"/>
  <c r="K595" i="105"/>
  <c r="AI594" i="105"/>
  <c r="AH594" i="105"/>
  <c r="AG594" i="105"/>
  <c r="X594" i="105"/>
  <c r="W594" i="105"/>
  <c r="R594" i="105"/>
  <c r="Q594" i="105"/>
  <c r="N594" i="105"/>
  <c r="M594" i="105"/>
  <c r="L594" i="105"/>
  <c r="K594" i="105"/>
  <c r="AI593" i="105"/>
  <c r="AH593" i="105"/>
  <c r="AG593" i="105"/>
  <c r="X593" i="105"/>
  <c r="W593" i="105"/>
  <c r="R593" i="105"/>
  <c r="Q593" i="105"/>
  <c r="N593" i="105"/>
  <c r="M593" i="105"/>
  <c r="L593" i="105"/>
  <c r="K593" i="105"/>
  <c r="AI592" i="105"/>
  <c r="AH592" i="105"/>
  <c r="AG592" i="105"/>
  <c r="X592" i="105"/>
  <c r="W592" i="105"/>
  <c r="R592" i="105"/>
  <c r="Q592" i="105"/>
  <c r="N592" i="105"/>
  <c r="M592" i="105"/>
  <c r="L592" i="105"/>
  <c r="K592" i="105"/>
  <c r="AI591" i="105"/>
  <c r="AH591" i="105"/>
  <c r="AG591" i="105"/>
  <c r="X591" i="105"/>
  <c r="W591" i="105"/>
  <c r="R591" i="105"/>
  <c r="Q591" i="105"/>
  <c r="N591" i="105"/>
  <c r="M591" i="105"/>
  <c r="L591" i="105"/>
  <c r="K591" i="105"/>
  <c r="AI590" i="105"/>
  <c r="AH590" i="105"/>
  <c r="AG590" i="105"/>
  <c r="X590" i="105"/>
  <c r="W590" i="105"/>
  <c r="R590" i="105"/>
  <c r="Q590" i="105"/>
  <c r="N590" i="105"/>
  <c r="M590" i="105"/>
  <c r="L590" i="105"/>
  <c r="K590" i="105"/>
  <c r="AI589" i="105"/>
  <c r="AH589" i="105"/>
  <c r="AG589" i="105"/>
  <c r="X589" i="105"/>
  <c r="W589" i="105"/>
  <c r="R589" i="105"/>
  <c r="Q589" i="105"/>
  <c r="L589" i="105"/>
  <c r="N589" i="105" s="1"/>
  <c r="I589" i="105" s="1"/>
  <c r="K589" i="105"/>
  <c r="M589" i="105" s="1"/>
  <c r="AI588" i="105"/>
  <c r="AH588" i="105"/>
  <c r="AG588" i="105"/>
  <c r="W588" i="105"/>
  <c r="X588" i="105" s="1"/>
  <c r="Q588" i="105"/>
  <c r="R588" i="105" s="1"/>
  <c r="L588" i="105"/>
  <c r="N588" i="105" s="1"/>
  <c r="I588" i="105" s="1"/>
  <c r="K588" i="105"/>
  <c r="M588" i="105" s="1"/>
  <c r="AI587" i="105"/>
  <c r="AH587" i="105"/>
  <c r="AG587" i="105"/>
  <c r="X587" i="105"/>
  <c r="W587" i="105"/>
  <c r="R587" i="105"/>
  <c r="Q587" i="105"/>
  <c r="L587" i="105"/>
  <c r="N587" i="105" s="1"/>
  <c r="I587" i="105" s="1"/>
  <c r="K587" i="105"/>
  <c r="M587" i="105" s="1"/>
  <c r="AI586" i="105"/>
  <c r="W586" i="105"/>
  <c r="X586" i="105" s="1"/>
  <c r="X585" i="105" s="1"/>
  <c r="Q586" i="105"/>
  <c r="R586" i="105" s="1"/>
  <c r="R585" i="105" s="1"/>
  <c r="L586" i="105"/>
  <c r="N586" i="105" s="1"/>
  <c r="K586" i="105"/>
  <c r="M586" i="105" s="1"/>
  <c r="A586" i="105"/>
  <c r="A587" i="105" s="1"/>
  <c r="A588" i="105" s="1"/>
  <c r="A589" i="105" s="1"/>
  <c r="A590" i="105" s="1"/>
  <c r="A591" i="105" s="1"/>
  <c r="A592" i="105" s="1"/>
  <c r="A593" i="105" s="1"/>
  <c r="A594" i="105" s="1"/>
  <c r="A595" i="105" s="1"/>
  <c r="A596" i="105" s="1"/>
  <c r="A597" i="105" s="1"/>
  <c r="A598" i="105" s="1"/>
  <c r="A599" i="105" s="1"/>
  <c r="A600" i="105" s="1"/>
  <c r="A601" i="105" s="1"/>
  <c r="A602" i="105" s="1"/>
  <c r="A603" i="105" s="1"/>
  <c r="A604" i="105" s="1"/>
  <c r="A605" i="105" s="1"/>
  <c r="A606" i="105" s="1"/>
  <c r="A607" i="105" s="1"/>
  <c r="AH585" i="105"/>
  <c r="AF585" i="105"/>
  <c r="U585" i="105"/>
  <c r="P585" i="105"/>
  <c r="H585" i="105"/>
  <c r="AI584" i="105"/>
  <c r="AH584" i="105"/>
  <c r="AG584" i="105"/>
  <c r="X584" i="105"/>
  <c r="W584" i="105"/>
  <c r="R584" i="105"/>
  <c r="Q584" i="105"/>
  <c r="N584" i="105"/>
  <c r="M584" i="105"/>
  <c r="L584" i="105"/>
  <c r="K584" i="105"/>
  <c r="AI583" i="105"/>
  <c r="AH583" i="105"/>
  <c r="AG583" i="105"/>
  <c r="X583" i="105"/>
  <c r="W583" i="105"/>
  <c r="R583" i="105"/>
  <c r="Q583" i="105"/>
  <c r="N583" i="105"/>
  <c r="M583" i="105"/>
  <c r="L583" i="105"/>
  <c r="K583" i="105"/>
  <c r="AI582" i="105"/>
  <c r="AH582" i="105"/>
  <c r="AG582" i="105"/>
  <c r="X582" i="105"/>
  <c r="W582" i="105"/>
  <c r="R582" i="105"/>
  <c r="Q582" i="105"/>
  <c r="N582" i="105"/>
  <c r="M582" i="105"/>
  <c r="L582" i="105"/>
  <c r="K582" i="105"/>
  <c r="AI581" i="105"/>
  <c r="AH581" i="105"/>
  <c r="AG581" i="105"/>
  <c r="W581" i="105"/>
  <c r="X581" i="105" s="1"/>
  <c r="R581" i="105"/>
  <c r="Q581" i="105"/>
  <c r="N581" i="105"/>
  <c r="M581" i="105"/>
  <c r="L581" i="105"/>
  <c r="K581" i="105"/>
  <c r="AI580" i="105"/>
  <c r="AH580" i="105"/>
  <c r="AG580" i="105"/>
  <c r="W580" i="105"/>
  <c r="X580" i="105" s="1"/>
  <c r="R580" i="105"/>
  <c r="Q580" i="105"/>
  <c r="N580" i="105"/>
  <c r="M580" i="105"/>
  <c r="L580" i="105"/>
  <c r="K580" i="105"/>
  <c r="AI579" i="105"/>
  <c r="AH579" i="105"/>
  <c r="AG579" i="105"/>
  <c r="W579" i="105"/>
  <c r="X579" i="105" s="1"/>
  <c r="R579" i="105"/>
  <c r="Q579" i="105"/>
  <c r="N579" i="105"/>
  <c r="M579" i="105"/>
  <c r="L579" i="105"/>
  <c r="K579" i="105"/>
  <c r="AI578" i="105"/>
  <c r="AH578" i="105"/>
  <c r="AG578" i="105"/>
  <c r="W578" i="105"/>
  <c r="X578" i="105" s="1"/>
  <c r="R578" i="105"/>
  <c r="Q578" i="105"/>
  <c r="N578" i="105"/>
  <c r="M578" i="105"/>
  <c r="L578" i="105"/>
  <c r="K578" i="105"/>
  <c r="AI577" i="105"/>
  <c r="AH577" i="105"/>
  <c r="AG577" i="105"/>
  <c r="W577" i="105"/>
  <c r="X577" i="105" s="1"/>
  <c r="R577" i="105"/>
  <c r="Q577" i="105"/>
  <c r="N577" i="105"/>
  <c r="M577" i="105"/>
  <c r="L577" i="105"/>
  <c r="K577" i="105"/>
  <c r="AI576" i="105"/>
  <c r="AH576" i="105"/>
  <c r="AG576" i="105"/>
  <c r="W576" i="105"/>
  <c r="X576" i="105" s="1"/>
  <c r="R576" i="105"/>
  <c r="Q576" i="105"/>
  <c r="N576" i="105"/>
  <c r="M576" i="105"/>
  <c r="L576" i="105"/>
  <c r="K576" i="105"/>
  <c r="AI575" i="105"/>
  <c r="AH575" i="105"/>
  <c r="AG575" i="105"/>
  <c r="W575" i="105"/>
  <c r="X575" i="105" s="1"/>
  <c r="R575" i="105"/>
  <c r="Q575" i="105"/>
  <c r="N575" i="105"/>
  <c r="M575" i="105"/>
  <c r="L575" i="105"/>
  <c r="K575" i="105"/>
  <c r="AI574" i="105"/>
  <c r="AH574" i="105"/>
  <c r="AG574" i="105"/>
  <c r="W574" i="105"/>
  <c r="X574" i="105" s="1"/>
  <c r="R574" i="105"/>
  <c r="Q574" i="105"/>
  <c r="N574" i="105"/>
  <c r="M574" i="105"/>
  <c r="L574" i="105"/>
  <c r="K574" i="105"/>
  <c r="AI573" i="105"/>
  <c r="AH573" i="105"/>
  <c r="AG573" i="105"/>
  <c r="W573" i="105"/>
  <c r="X573" i="105" s="1"/>
  <c r="R573" i="105"/>
  <c r="Q573" i="105"/>
  <c r="N573" i="105"/>
  <c r="M573" i="105"/>
  <c r="L573" i="105"/>
  <c r="K573" i="105"/>
  <c r="AI572" i="105"/>
  <c r="AH572" i="105"/>
  <c r="AG572" i="105"/>
  <c r="W572" i="105"/>
  <c r="X572" i="105" s="1"/>
  <c r="R572" i="105"/>
  <c r="Q572" i="105"/>
  <c r="N572" i="105"/>
  <c r="M572" i="105"/>
  <c r="L572" i="105"/>
  <c r="K572" i="105"/>
  <c r="AI571" i="105"/>
  <c r="AH571" i="105"/>
  <c r="AG571" i="105"/>
  <c r="W571" i="105"/>
  <c r="X571" i="105" s="1"/>
  <c r="R571" i="105"/>
  <c r="Q571" i="105"/>
  <c r="N571" i="105"/>
  <c r="M571" i="105"/>
  <c r="L571" i="105"/>
  <c r="K571" i="105"/>
  <c r="AI570" i="105"/>
  <c r="AH570" i="105"/>
  <c r="AG570" i="105"/>
  <c r="W570" i="105"/>
  <c r="X570" i="105" s="1"/>
  <c r="R570" i="105"/>
  <c r="Q570" i="105"/>
  <c r="L570" i="105"/>
  <c r="N570" i="105" s="1"/>
  <c r="I570" i="105" s="1"/>
  <c r="K570" i="105"/>
  <c r="M570" i="105" s="1"/>
  <c r="AI569" i="105"/>
  <c r="AH569" i="105"/>
  <c r="AG569" i="105"/>
  <c r="X569" i="105"/>
  <c r="W569" i="105"/>
  <c r="R569" i="105"/>
  <c r="Q569" i="105"/>
  <c r="L569" i="105"/>
  <c r="N569" i="105" s="1"/>
  <c r="I569" i="105" s="1"/>
  <c r="K569" i="105"/>
  <c r="M569" i="105" s="1"/>
  <c r="AI568" i="105"/>
  <c r="W568" i="105"/>
  <c r="X568" i="105" s="1"/>
  <c r="Q568" i="105"/>
  <c r="R568" i="105" s="1"/>
  <c r="R567" i="105" s="1"/>
  <c r="L568" i="105"/>
  <c r="N568" i="105" s="1"/>
  <c r="K568" i="105"/>
  <c r="M568" i="105" s="1"/>
  <c r="M567" i="105" s="1"/>
  <c r="A568" i="105"/>
  <c r="A569" i="105" s="1"/>
  <c r="A570" i="105" s="1"/>
  <c r="A571" i="105" s="1"/>
  <c r="A572" i="105" s="1"/>
  <c r="A573" i="105" s="1"/>
  <c r="A574" i="105" s="1"/>
  <c r="A575" i="105" s="1"/>
  <c r="A576" i="105" s="1"/>
  <c r="A577" i="105" s="1"/>
  <c r="A578" i="105" s="1"/>
  <c r="A579" i="105" s="1"/>
  <c r="A580" i="105" s="1"/>
  <c r="A581" i="105" s="1"/>
  <c r="A582" i="105" s="1"/>
  <c r="A583" i="105" s="1"/>
  <c r="A584" i="105" s="1"/>
  <c r="AH567" i="105"/>
  <c r="AF567" i="105"/>
  <c r="U567" i="105"/>
  <c r="P567" i="105"/>
  <c r="H567" i="105"/>
  <c r="AI566" i="105"/>
  <c r="AH566" i="105"/>
  <c r="AG566" i="105"/>
  <c r="X566" i="105"/>
  <c r="W566" i="105"/>
  <c r="R566" i="105"/>
  <c r="Q566" i="105"/>
  <c r="N566" i="105"/>
  <c r="M566" i="105"/>
  <c r="L566" i="105"/>
  <c r="K566" i="105"/>
  <c r="AI565" i="105"/>
  <c r="AH565" i="105"/>
  <c r="AG565" i="105"/>
  <c r="X565" i="105"/>
  <c r="W565" i="105"/>
  <c r="R565" i="105"/>
  <c r="Q565" i="105"/>
  <c r="N565" i="105"/>
  <c r="M565" i="105"/>
  <c r="L565" i="105"/>
  <c r="K565" i="105"/>
  <c r="AI564" i="105"/>
  <c r="AH564" i="105"/>
  <c r="AG564" i="105"/>
  <c r="X564" i="105"/>
  <c r="W564" i="105"/>
  <c r="Q564" i="105"/>
  <c r="R564" i="105" s="1"/>
  <c r="N564" i="105"/>
  <c r="M564" i="105"/>
  <c r="L564" i="105"/>
  <c r="K564" i="105"/>
  <c r="AI563" i="105"/>
  <c r="AH563" i="105"/>
  <c r="AG563" i="105"/>
  <c r="X563" i="105"/>
  <c r="W563" i="105"/>
  <c r="Q563" i="105"/>
  <c r="R563" i="105" s="1"/>
  <c r="N563" i="105"/>
  <c r="M563" i="105"/>
  <c r="L563" i="105"/>
  <c r="K563" i="105"/>
  <c r="AI562" i="105"/>
  <c r="AH562" i="105"/>
  <c r="AG562" i="105"/>
  <c r="X562" i="105"/>
  <c r="W562" i="105"/>
  <c r="Q562" i="105"/>
  <c r="R562" i="105" s="1"/>
  <c r="L562" i="105"/>
  <c r="N562" i="105" s="1"/>
  <c r="I562" i="105" s="1"/>
  <c r="K562" i="105"/>
  <c r="M562" i="105" s="1"/>
  <c r="AI561" i="105"/>
  <c r="AH561" i="105"/>
  <c r="AH559" i="105" s="1"/>
  <c r="AG561" i="105"/>
  <c r="X561" i="105"/>
  <c r="W561" i="105"/>
  <c r="R561" i="105"/>
  <c r="Q561" i="105"/>
  <c r="L561" i="105"/>
  <c r="N561" i="105" s="1"/>
  <c r="I561" i="105" s="1"/>
  <c r="K561" i="105"/>
  <c r="M561" i="105" s="1"/>
  <c r="AI560" i="105"/>
  <c r="AG560" i="105"/>
  <c r="X560" i="105"/>
  <c r="X559" i="105" s="1"/>
  <c r="W560" i="105"/>
  <c r="R560" i="105"/>
  <c r="R559" i="105" s="1"/>
  <c r="Q560" i="105"/>
  <c r="L560" i="105"/>
  <c r="N560" i="105" s="1"/>
  <c r="K560" i="105"/>
  <c r="M560" i="105" s="1"/>
  <c r="A560" i="105"/>
  <c r="A561" i="105" s="1"/>
  <c r="A562" i="105" s="1"/>
  <c r="A563" i="105" s="1"/>
  <c r="A564" i="105" s="1"/>
  <c r="A565" i="105" s="1"/>
  <c r="A566" i="105" s="1"/>
  <c r="AF559" i="105"/>
  <c r="U559" i="105"/>
  <c r="P559" i="105"/>
  <c r="H559" i="105"/>
  <c r="AI558" i="105"/>
  <c r="AH558" i="105"/>
  <c r="AG558" i="105"/>
  <c r="X558" i="105"/>
  <c r="W558" i="105"/>
  <c r="R558" i="105"/>
  <c r="Q558" i="105"/>
  <c r="N558" i="105"/>
  <c r="M558" i="105"/>
  <c r="L558" i="105"/>
  <c r="K558" i="105"/>
  <c r="AI557" i="105"/>
  <c r="AH557" i="105"/>
  <c r="AG557" i="105"/>
  <c r="X557" i="105"/>
  <c r="W557" i="105"/>
  <c r="R557" i="105"/>
  <c r="Q557" i="105"/>
  <c r="N557" i="105"/>
  <c r="M557" i="105"/>
  <c r="L557" i="105"/>
  <c r="K557" i="105"/>
  <c r="AI556" i="105"/>
  <c r="AH556" i="105"/>
  <c r="AG556" i="105"/>
  <c r="X556" i="105"/>
  <c r="W556" i="105"/>
  <c r="R556" i="105"/>
  <c r="Q556" i="105"/>
  <c r="N556" i="105"/>
  <c r="M556" i="105"/>
  <c r="L556" i="105"/>
  <c r="K556" i="105"/>
  <c r="AI555" i="105"/>
  <c r="AH555" i="105"/>
  <c r="AG555" i="105"/>
  <c r="X555" i="105"/>
  <c r="W555" i="105"/>
  <c r="R555" i="105"/>
  <c r="Q555" i="105"/>
  <c r="N555" i="105"/>
  <c r="M555" i="105"/>
  <c r="L555" i="105"/>
  <c r="K555" i="105"/>
  <c r="AI554" i="105"/>
  <c r="AH554" i="105"/>
  <c r="AG554" i="105"/>
  <c r="X554" i="105"/>
  <c r="W554" i="105"/>
  <c r="R554" i="105"/>
  <c r="Q554" i="105"/>
  <c r="N554" i="105"/>
  <c r="M554" i="105"/>
  <c r="L554" i="105"/>
  <c r="K554" i="105"/>
  <c r="AI553" i="105"/>
  <c r="AH553" i="105"/>
  <c r="AG553" i="105"/>
  <c r="X553" i="105"/>
  <c r="W553" i="105"/>
  <c r="R553" i="105"/>
  <c r="Q553" i="105"/>
  <c r="N553" i="105"/>
  <c r="M553" i="105"/>
  <c r="L553" i="105"/>
  <c r="K553" i="105"/>
  <c r="AI552" i="105"/>
  <c r="AH552" i="105"/>
  <c r="AG552" i="105"/>
  <c r="X552" i="105"/>
  <c r="W552" i="105"/>
  <c r="R552" i="105"/>
  <c r="Q552" i="105"/>
  <c r="N552" i="105"/>
  <c r="M552" i="105"/>
  <c r="L552" i="105"/>
  <c r="K552" i="105"/>
  <c r="AI551" i="105"/>
  <c r="AH551" i="105"/>
  <c r="AG551" i="105"/>
  <c r="X551" i="105"/>
  <c r="W551" i="105"/>
  <c r="R551" i="105"/>
  <c r="Q551" i="105"/>
  <c r="L551" i="105"/>
  <c r="N551" i="105" s="1"/>
  <c r="I551" i="105" s="1"/>
  <c r="K551" i="105"/>
  <c r="M551" i="105" s="1"/>
  <c r="AI550" i="105"/>
  <c r="X550" i="105"/>
  <c r="W550" i="105"/>
  <c r="R550" i="105"/>
  <c r="Q550" i="105"/>
  <c r="L550" i="105"/>
  <c r="N550" i="105" s="1"/>
  <c r="K550" i="105"/>
  <c r="M550" i="105" s="1"/>
  <c r="A550" i="105"/>
  <c r="A551" i="105" s="1"/>
  <c r="A552" i="105" s="1"/>
  <c r="A553" i="105" s="1"/>
  <c r="A554" i="105" s="1"/>
  <c r="A555" i="105" s="1"/>
  <c r="A556" i="105" s="1"/>
  <c r="A557" i="105" s="1"/>
  <c r="A558" i="105" s="1"/>
  <c r="AH549" i="105"/>
  <c r="AF549" i="105"/>
  <c r="X549" i="105"/>
  <c r="U549" i="105"/>
  <c r="R549" i="105"/>
  <c r="P549" i="105"/>
  <c r="H549" i="105"/>
  <c r="AI548" i="105"/>
  <c r="AH548" i="105"/>
  <c r="AG548" i="105"/>
  <c r="X548" i="105"/>
  <c r="W548" i="105"/>
  <c r="R548" i="105"/>
  <c r="Q548" i="105"/>
  <c r="N548" i="105"/>
  <c r="M548" i="105"/>
  <c r="L548" i="105"/>
  <c r="K548" i="105"/>
  <c r="AI547" i="105"/>
  <c r="AH547" i="105"/>
  <c r="AG547" i="105"/>
  <c r="X547" i="105"/>
  <c r="W547" i="105"/>
  <c r="R547" i="105"/>
  <c r="Q547" i="105"/>
  <c r="N547" i="105"/>
  <c r="M547" i="105"/>
  <c r="L547" i="105"/>
  <c r="K547" i="105"/>
  <c r="AI546" i="105"/>
  <c r="AH546" i="105"/>
  <c r="AG546" i="105"/>
  <c r="X546" i="105"/>
  <c r="W546" i="105"/>
  <c r="R546" i="105"/>
  <c r="Q546" i="105"/>
  <c r="N546" i="105"/>
  <c r="M546" i="105"/>
  <c r="L546" i="105"/>
  <c r="K546" i="105"/>
  <c r="AI545" i="105"/>
  <c r="AH545" i="105"/>
  <c r="AG545" i="105"/>
  <c r="X545" i="105"/>
  <c r="W545" i="105"/>
  <c r="R545" i="105"/>
  <c r="Q545" i="105"/>
  <c r="N545" i="105"/>
  <c r="M545" i="105"/>
  <c r="L545" i="105"/>
  <c r="K545" i="105"/>
  <c r="AI544" i="105"/>
  <c r="AH544" i="105"/>
  <c r="AG544" i="105"/>
  <c r="X544" i="105"/>
  <c r="W544" i="105"/>
  <c r="R544" i="105"/>
  <c r="Q544" i="105"/>
  <c r="N544" i="105"/>
  <c r="M544" i="105"/>
  <c r="L544" i="105"/>
  <c r="K544" i="105"/>
  <c r="AI543" i="105"/>
  <c r="AH543" i="105"/>
  <c r="AG543" i="105"/>
  <c r="X543" i="105"/>
  <c r="W543" i="105"/>
  <c r="R543" i="105"/>
  <c r="Q543" i="105"/>
  <c r="N543" i="105"/>
  <c r="M543" i="105"/>
  <c r="L543" i="105"/>
  <c r="K543" i="105"/>
  <c r="AI542" i="105"/>
  <c r="AH542" i="105"/>
  <c r="AG542" i="105"/>
  <c r="X542" i="105"/>
  <c r="W542" i="105"/>
  <c r="R542" i="105"/>
  <c r="Q542" i="105"/>
  <c r="L542" i="105"/>
  <c r="N542" i="105" s="1"/>
  <c r="I542" i="105" s="1"/>
  <c r="K542" i="105"/>
  <c r="M542" i="105" s="1"/>
  <c r="AI541" i="105"/>
  <c r="AH541" i="105"/>
  <c r="AG541" i="105"/>
  <c r="X541" i="105"/>
  <c r="W541" i="105"/>
  <c r="R541" i="105"/>
  <c r="Q541" i="105"/>
  <c r="L541" i="105"/>
  <c r="N541" i="105" s="1"/>
  <c r="I541" i="105" s="1"/>
  <c r="K541" i="105"/>
  <c r="M541" i="105" s="1"/>
  <c r="AI540" i="105"/>
  <c r="X540" i="105"/>
  <c r="W540" i="105"/>
  <c r="R540" i="105"/>
  <c r="Q540" i="105"/>
  <c r="L540" i="105"/>
  <c r="N540" i="105" s="1"/>
  <c r="K540" i="105"/>
  <c r="M540" i="105" s="1"/>
  <c r="M539" i="105" s="1"/>
  <c r="A540" i="105"/>
  <c r="A541" i="105" s="1"/>
  <c r="A542" i="105" s="1"/>
  <c r="A543" i="105" s="1"/>
  <c r="A544" i="105" s="1"/>
  <c r="A545" i="105" s="1"/>
  <c r="A546" i="105" s="1"/>
  <c r="A547" i="105" s="1"/>
  <c r="A548" i="105" s="1"/>
  <c r="AH539" i="105"/>
  <c r="AF539" i="105"/>
  <c r="X539" i="105"/>
  <c r="U539" i="105"/>
  <c r="R539" i="105"/>
  <c r="P539" i="105"/>
  <c r="H539" i="105"/>
  <c r="AI538" i="105"/>
  <c r="AH538" i="105"/>
  <c r="AG538" i="105"/>
  <c r="X538" i="105"/>
  <c r="W538" i="105"/>
  <c r="R538" i="105"/>
  <c r="Q538" i="105"/>
  <c r="N538" i="105"/>
  <c r="M538" i="105"/>
  <c r="L538" i="105"/>
  <c r="K538" i="105"/>
  <c r="AI537" i="105"/>
  <c r="AH537" i="105"/>
  <c r="AG537" i="105"/>
  <c r="X537" i="105"/>
  <c r="W537" i="105"/>
  <c r="R537" i="105"/>
  <c r="Q537" i="105"/>
  <c r="N537" i="105"/>
  <c r="M537" i="105"/>
  <c r="L537" i="105"/>
  <c r="K537" i="105"/>
  <c r="AI536" i="105"/>
  <c r="AH536" i="105"/>
  <c r="AG536" i="105"/>
  <c r="X536" i="105"/>
  <c r="W536" i="105"/>
  <c r="R536" i="105"/>
  <c r="Q536" i="105"/>
  <c r="N536" i="105"/>
  <c r="M536" i="105"/>
  <c r="L536" i="105"/>
  <c r="K536" i="105"/>
  <c r="AI535" i="105"/>
  <c r="AH535" i="105"/>
  <c r="AG535" i="105"/>
  <c r="X535" i="105"/>
  <c r="W535" i="105"/>
  <c r="R535" i="105"/>
  <c r="Q535" i="105"/>
  <c r="N535" i="105"/>
  <c r="M535" i="105"/>
  <c r="L535" i="105"/>
  <c r="K535" i="105"/>
  <c r="AI534" i="105"/>
  <c r="AH534" i="105"/>
  <c r="AG534" i="105"/>
  <c r="W534" i="105"/>
  <c r="X534" i="105" s="1"/>
  <c r="R534" i="105"/>
  <c r="Q534" i="105"/>
  <c r="N534" i="105"/>
  <c r="M534" i="105"/>
  <c r="L534" i="105"/>
  <c r="K534" i="105"/>
  <c r="AI533" i="105"/>
  <c r="AH533" i="105"/>
  <c r="AG533" i="105"/>
  <c r="W533" i="105"/>
  <c r="X533" i="105" s="1"/>
  <c r="R533" i="105"/>
  <c r="Q533" i="105"/>
  <c r="N533" i="105"/>
  <c r="M533" i="105"/>
  <c r="L533" i="105"/>
  <c r="K533" i="105"/>
  <c r="AI532" i="105"/>
  <c r="AH532" i="105"/>
  <c r="AG532" i="105"/>
  <c r="W532" i="105"/>
  <c r="X532" i="105" s="1"/>
  <c r="R532" i="105"/>
  <c r="Q532" i="105"/>
  <c r="N532" i="105"/>
  <c r="M532" i="105"/>
  <c r="L532" i="105"/>
  <c r="K532" i="105"/>
  <c r="AI531" i="105"/>
  <c r="AH531" i="105"/>
  <c r="AG531" i="105"/>
  <c r="W531" i="105"/>
  <c r="X531" i="105" s="1"/>
  <c r="R531" i="105"/>
  <c r="Q531" i="105"/>
  <c r="N531" i="105"/>
  <c r="M531" i="105"/>
  <c r="L531" i="105"/>
  <c r="K531" i="105"/>
  <c r="AI530" i="105"/>
  <c r="AH530" i="105"/>
  <c r="AG530" i="105"/>
  <c r="W530" i="105"/>
  <c r="X530" i="105" s="1"/>
  <c r="R530" i="105"/>
  <c r="Q530" i="105"/>
  <c r="N530" i="105"/>
  <c r="M530" i="105"/>
  <c r="L530" i="105"/>
  <c r="K530" i="105"/>
  <c r="AI529" i="105"/>
  <c r="AH529" i="105"/>
  <c r="AG529" i="105"/>
  <c r="W529" i="105"/>
  <c r="X529" i="105" s="1"/>
  <c r="R529" i="105"/>
  <c r="Q529" i="105"/>
  <c r="N529" i="105"/>
  <c r="M529" i="105"/>
  <c r="L529" i="105"/>
  <c r="K529" i="105"/>
  <c r="AI528" i="105"/>
  <c r="AH528" i="105"/>
  <c r="AG528" i="105"/>
  <c r="W528" i="105"/>
  <c r="X528" i="105" s="1"/>
  <c r="R528" i="105"/>
  <c r="Q528" i="105"/>
  <c r="N528" i="105"/>
  <c r="M528" i="105"/>
  <c r="L528" i="105"/>
  <c r="K528" i="105"/>
  <c r="AI527" i="105"/>
  <c r="AH527" i="105"/>
  <c r="AG527" i="105"/>
  <c r="W527" i="105"/>
  <c r="X527" i="105" s="1"/>
  <c r="R527" i="105"/>
  <c r="Q527" i="105"/>
  <c r="N527" i="105"/>
  <c r="M527" i="105"/>
  <c r="L527" i="105"/>
  <c r="K527" i="105"/>
  <c r="AI526" i="105"/>
  <c r="AH526" i="105"/>
  <c r="AG526" i="105"/>
  <c r="W526" i="105"/>
  <c r="X526" i="105" s="1"/>
  <c r="R526" i="105"/>
  <c r="Q526" i="105"/>
  <c r="N526" i="105"/>
  <c r="M526" i="105"/>
  <c r="L526" i="105"/>
  <c r="K526" i="105"/>
  <c r="AI525" i="105"/>
  <c r="AH525" i="105"/>
  <c r="AG525" i="105"/>
  <c r="W525" i="105"/>
  <c r="X525" i="105" s="1"/>
  <c r="R525" i="105"/>
  <c r="Q525" i="105"/>
  <c r="N525" i="105"/>
  <c r="M525" i="105"/>
  <c r="L525" i="105"/>
  <c r="K525" i="105"/>
  <c r="AI524" i="105"/>
  <c r="AH524" i="105"/>
  <c r="AG524" i="105"/>
  <c r="W524" i="105"/>
  <c r="X524" i="105" s="1"/>
  <c r="R524" i="105"/>
  <c r="Q524" i="105"/>
  <c r="N524" i="105"/>
  <c r="M524" i="105"/>
  <c r="L524" i="105"/>
  <c r="K524" i="105"/>
  <c r="AI523" i="105"/>
  <c r="AH523" i="105"/>
  <c r="AG523" i="105"/>
  <c r="W523" i="105"/>
  <c r="X523" i="105" s="1"/>
  <c r="R523" i="105"/>
  <c r="Q523" i="105"/>
  <c r="N523" i="105"/>
  <c r="M523" i="105"/>
  <c r="L523" i="105"/>
  <c r="K523" i="105"/>
  <c r="AI522" i="105"/>
  <c r="AH522" i="105"/>
  <c r="AG522" i="105"/>
  <c r="W522" i="105"/>
  <c r="X522" i="105" s="1"/>
  <c r="X521" i="105" s="1"/>
  <c r="R522" i="105"/>
  <c r="Q522" i="105"/>
  <c r="N522" i="105"/>
  <c r="M522" i="105"/>
  <c r="L522" i="105"/>
  <c r="K522" i="105"/>
  <c r="A522" i="105"/>
  <c r="A523" i="105" s="1"/>
  <c r="A524" i="105" s="1"/>
  <c r="A525" i="105" s="1"/>
  <c r="A526" i="105" s="1"/>
  <c r="A527" i="105" s="1"/>
  <c r="A528" i="105" s="1"/>
  <c r="A529" i="105" s="1"/>
  <c r="A530" i="105" s="1"/>
  <c r="A531" i="105" s="1"/>
  <c r="A532" i="105" s="1"/>
  <c r="A533" i="105" s="1"/>
  <c r="A534" i="105" s="1"/>
  <c r="A535" i="105" s="1"/>
  <c r="A536" i="105" s="1"/>
  <c r="A537" i="105" s="1"/>
  <c r="A538" i="105" s="1"/>
  <c r="AH521" i="105"/>
  <c r="AF521" i="105"/>
  <c r="U521" i="105"/>
  <c r="R521" i="105"/>
  <c r="P521" i="105"/>
  <c r="N521" i="105"/>
  <c r="M521" i="105"/>
  <c r="AI521" i="105" s="1"/>
  <c r="I521" i="105"/>
  <c r="H521" i="105"/>
  <c r="AI520" i="105"/>
  <c r="AH520" i="105"/>
  <c r="AG520" i="105"/>
  <c r="X520" i="105"/>
  <c r="W520" i="105"/>
  <c r="R520" i="105"/>
  <c r="Q520" i="105"/>
  <c r="N520" i="105"/>
  <c r="M520" i="105"/>
  <c r="L520" i="105"/>
  <c r="K520" i="105"/>
  <c r="AI519" i="105"/>
  <c r="AH519" i="105"/>
  <c r="AG519" i="105"/>
  <c r="X519" i="105"/>
  <c r="W519" i="105"/>
  <c r="R519" i="105"/>
  <c r="Q519" i="105"/>
  <c r="N519" i="105"/>
  <c r="M519" i="105"/>
  <c r="L519" i="105"/>
  <c r="K519" i="105"/>
  <c r="AI518" i="105"/>
  <c r="AH518" i="105"/>
  <c r="AG518" i="105"/>
  <c r="X518" i="105"/>
  <c r="W518" i="105"/>
  <c r="R518" i="105"/>
  <c r="Q518" i="105"/>
  <c r="N518" i="105"/>
  <c r="M518" i="105"/>
  <c r="L518" i="105"/>
  <c r="K518" i="105"/>
  <c r="AI517" i="105"/>
  <c r="AH517" i="105"/>
  <c r="AG517" i="105"/>
  <c r="X517" i="105"/>
  <c r="W517" i="105"/>
  <c r="R517" i="105"/>
  <c r="Q517" i="105"/>
  <c r="N517" i="105"/>
  <c r="M517" i="105"/>
  <c r="L517" i="105"/>
  <c r="K517" i="105"/>
  <c r="AI516" i="105"/>
  <c r="AH516" i="105"/>
  <c r="AG516" i="105"/>
  <c r="X516" i="105"/>
  <c r="W516" i="105"/>
  <c r="R516" i="105"/>
  <c r="Q516" i="105"/>
  <c r="N516" i="105"/>
  <c r="M516" i="105"/>
  <c r="L516" i="105"/>
  <c r="K516" i="105"/>
  <c r="AI515" i="105"/>
  <c r="AH515" i="105"/>
  <c r="AG515" i="105"/>
  <c r="X515" i="105"/>
  <c r="W515" i="105"/>
  <c r="R515" i="105"/>
  <c r="Q515" i="105"/>
  <c r="N515" i="105"/>
  <c r="M515" i="105"/>
  <c r="L515" i="105"/>
  <c r="K515" i="105"/>
  <c r="AI514" i="105"/>
  <c r="AH514" i="105"/>
  <c r="AG514" i="105"/>
  <c r="X514" i="105"/>
  <c r="W514" i="105"/>
  <c r="R514" i="105"/>
  <c r="Q514" i="105"/>
  <c r="N514" i="105"/>
  <c r="M514" i="105"/>
  <c r="L514" i="105"/>
  <c r="K514" i="105"/>
  <c r="AI513" i="105"/>
  <c r="AH513" i="105"/>
  <c r="AG513" i="105"/>
  <c r="X513" i="105"/>
  <c r="W513" i="105"/>
  <c r="R513" i="105"/>
  <c r="Q513" i="105"/>
  <c r="N513" i="105"/>
  <c r="M513" i="105"/>
  <c r="L513" i="105"/>
  <c r="K513" i="105"/>
  <c r="AI512" i="105"/>
  <c r="AH512" i="105"/>
  <c r="AG512" i="105"/>
  <c r="X512" i="105"/>
  <c r="W512" i="105"/>
  <c r="R512" i="105"/>
  <c r="Q512" i="105"/>
  <c r="N512" i="105"/>
  <c r="M512" i="105"/>
  <c r="L512" i="105"/>
  <c r="K512" i="105"/>
  <c r="AI511" i="105"/>
  <c r="AH511" i="105"/>
  <c r="AG511" i="105"/>
  <c r="X511" i="105"/>
  <c r="W511" i="105"/>
  <c r="R511" i="105"/>
  <c r="Q511" i="105"/>
  <c r="N511" i="105"/>
  <c r="M511" i="105"/>
  <c r="L511" i="105"/>
  <c r="K511" i="105"/>
  <c r="AI510" i="105"/>
  <c r="AH510" i="105"/>
  <c r="AG510" i="105"/>
  <c r="X510" i="105"/>
  <c r="W510" i="105"/>
  <c r="R510" i="105"/>
  <c r="Q510" i="105"/>
  <c r="N510" i="105"/>
  <c r="M510" i="105"/>
  <c r="L510" i="105"/>
  <c r="K510" i="105"/>
  <c r="AI509" i="105"/>
  <c r="AH509" i="105"/>
  <c r="AG509" i="105"/>
  <c r="X509" i="105"/>
  <c r="W509" i="105"/>
  <c r="R509" i="105"/>
  <c r="Q509" i="105"/>
  <c r="N509" i="105"/>
  <c r="M509" i="105"/>
  <c r="L509" i="105"/>
  <c r="K509" i="105"/>
  <c r="AI508" i="105"/>
  <c r="AH508" i="105"/>
  <c r="AG508" i="105"/>
  <c r="X508" i="105"/>
  <c r="W508" i="105"/>
  <c r="R508" i="105"/>
  <c r="Q508" i="105"/>
  <c r="N508" i="105"/>
  <c r="M508" i="105"/>
  <c r="L508" i="105"/>
  <c r="K508" i="105"/>
  <c r="AI507" i="105"/>
  <c r="AH507" i="105"/>
  <c r="AG507" i="105"/>
  <c r="X507" i="105"/>
  <c r="W507" i="105"/>
  <c r="R507" i="105"/>
  <c r="Q507" i="105"/>
  <c r="N507" i="105"/>
  <c r="M507" i="105"/>
  <c r="L507" i="105"/>
  <c r="K507" i="105"/>
  <c r="A507" i="105"/>
  <c r="A508" i="105" s="1"/>
  <c r="A509" i="105" s="1"/>
  <c r="A510" i="105" s="1"/>
  <c r="A511" i="105" s="1"/>
  <c r="A512" i="105" s="1"/>
  <c r="A513" i="105" s="1"/>
  <c r="A514" i="105" s="1"/>
  <c r="A515" i="105" s="1"/>
  <c r="A516" i="105" s="1"/>
  <c r="A517" i="105" s="1"/>
  <c r="A518" i="105" s="1"/>
  <c r="A519" i="105" s="1"/>
  <c r="A520" i="105" s="1"/>
  <c r="AH506" i="105"/>
  <c r="AF506" i="105"/>
  <c r="X506" i="105"/>
  <c r="U506" i="105"/>
  <c r="R506" i="105"/>
  <c r="P506" i="105"/>
  <c r="N506" i="105"/>
  <c r="M506" i="105"/>
  <c r="AI506" i="105" s="1"/>
  <c r="I506" i="105"/>
  <c r="H506" i="105"/>
  <c r="AI505" i="105"/>
  <c r="AG505" i="105"/>
  <c r="X505" i="105"/>
  <c r="W505" i="105"/>
  <c r="N505" i="105"/>
  <c r="M505" i="105"/>
  <c r="L505" i="105"/>
  <c r="K505" i="105"/>
  <c r="AI504" i="105"/>
  <c r="AG504" i="105"/>
  <c r="X504" i="105"/>
  <c r="W504" i="105"/>
  <c r="N504" i="105"/>
  <c r="M504" i="105"/>
  <c r="L504" i="105"/>
  <c r="K504" i="105"/>
  <c r="AI503" i="105"/>
  <c r="AG503" i="105"/>
  <c r="X503" i="105"/>
  <c r="W503" i="105"/>
  <c r="N503" i="105"/>
  <c r="M503" i="105"/>
  <c r="L503" i="105"/>
  <c r="K503" i="105"/>
  <c r="AI502" i="105"/>
  <c r="AG502" i="105"/>
  <c r="X502" i="105"/>
  <c r="W502" i="105"/>
  <c r="N502" i="105"/>
  <c r="M502" i="105"/>
  <c r="L502" i="105"/>
  <c r="K502" i="105"/>
  <c r="AI501" i="105"/>
  <c r="AG501" i="105"/>
  <c r="X501" i="105"/>
  <c r="W501" i="105"/>
  <c r="N501" i="105"/>
  <c r="M501" i="105"/>
  <c r="L501" i="105"/>
  <c r="K501" i="105"/>
  <c r="AI500" i="105"/>
  <c r="AG500" i="105"/>
  <c r="X500" i="105"/>
  <c r="W500" i="105"/>
  <c r="N500" i="105"/>
  <c r="M500" i="105"/>
  <c r="L500" i="105"/>
  <c r="K500" i="105"/>
  <c r="AI499" i="105"/>
  <c r="AG499" i="105"/>
  <c r="X499" i="105"/>
  <c r="W499" i="105"/>
  <c r="N499" i="105"/>
  <c r="M499" i="105"/>
  <c r="L499" i="105"/>
  <c r="K499" i="105"/>
  <c r="AI498" i="105"/>
  <c r="AG498" i="105"/>
  <c r="X498" i="105"/>
  <c r="W498" i="105"/>
  <c r="N498" i="105"/>
  <c r="M498" i="105"/>
  <c r="L498" i="105"/>
  <c r="K498" i="105"/>
  <c r="AI497" i="105"/>
  <c r="AG497" i="105"/>
  <c r="X497" i="105"/>
  <c r="X496" i="105" s="1"/>
  <c r="W497" i="105"/>
  <c r="L497" i="105"/>
  <c r="N497" i="105" s="1"/>
  <c r="K497" i="105"/>
  <c r="M497" i="105" s="1"/>
  <c r="M496" i="105" s="1"/>
  <c r="A497" i="105"/>
  <c r="A498" i="105" s="1"/>
  <c r="A499" i="105" s="1"/>
  <c r="A500" i="105" s="1"/>
  <c r="A501" i="105" s="1"/>
  <c r="A502" i="105" s="1"/>
  <c r="A503" i="105" s="1"/>
  <c r="A504" i="105" s="1"/>
  <c r="A505" i="105" s="1"/>
  <c r="AH496" i="105"/>
  <c r="AF496" i="105"/>
  <c r="U496" i="105"/>
  <c r="R496" i="105"/>
  <c r="P496" i="105"/>
  <c r="H496" i="105"/>
  <c r="AI495" i="105"/>
  <c r="AG495" i="105"/>
  <c r="X495" i="105"/>
  <c r="W495" i="105"/>
  <c r="N495" i="105"/>
  <c r="M495" i="105"/>
  <c r="L495" i="105"/>
  <c r="K495" i="105"/>
  <c r="AI494" i="105"/>
  <c r="AG494" i="105"/>
  <c r="X494" i="105"/>
  <c r="W494" i="105"/>
  <c r="N494" i="105"/>
  <c r="M494" i="105"/>
  <c r="L494" i="105"/>
  <c r="K494" i="105"/>
  <c r="AI493" i="105"/>
  <c r="AG493" i="105"/>
  <c r="X493" i="105"/>
  <c r="W493" i="105"/>
  <c r="N493" i="105"/>
  <c r="M493" i="105"/>
  <c r="L493" i="105"/>
  <c r="K493" i="105"/>
  <c r="AI492" i="105"/>
  <c r="AG492" i="105"/>
  <c r="X492" i="105"/>
  <c r="W492" i="105"/>
  <c r="N492" i="105"/>
  <c r="M492" i="105"/>
  <c r="L492" i="105"/>
  <c r="K492" i="105"/>
  <c r="AI491" i="105"/>
  <c r="AG491" i="105"/>
  <c r="X491" i="105"/>
  <c r="W491" i="105"/>
  <c r="N491" i="105"/>
  <c r="M491" i="105"/>
  <c r="L491" i="105"/>
  <c r="K491" i="105"/>
  <c r="AI490" i="105"/>
  <c r="AG490" i="105"/>
  <c r="X490" i="105"/>
  <c r="W490" i="105"/>
  <c r="N490" i="105"/>
  <c r="M490" i="105"/>
  <c r="L490" i="105"/>
  <c r="K490" i="105"/>
  <c r="AI489" i="105"/>
  <c r="AG489" i="105"/>
  <c r="X489" i="105"/>
  <c r="W489" i="105"/>
  <c r="L489" i="105"/>
  <c r="N489" i="105" s="1"/>
  <c r="K489" i="105"/>
  <c r="M489" i="105" s="1"/>
  <c r="M488" i="105" s="1"/>
  <c r="A489" i="105"/>
  <c r="A490" i="105" s="1"/>
  <c r="A491" i="105" s="1"/>
  <c r="A492" i="105" s="1"/>
  <c r="A493" i="105" s="1"/>
  <c r="A494" i="105" s="1"/>
  <c r="A495" i="105" s="1"/>
  <c r="AH488" i="105"/>
  <c r="AF488" i="105"/>
  <c r="X488" i="105"/>
  <c r="U488" i="105"/>
  <c r="R488" i="105"/>
  <c r="P488" i="105"/>
  <c r="H488" i="105"/>
  <c r="AI487" i="105"/>
  <c r="AH487" i="105"/>
  <c r="AG487" i="105"/>
  <c r="X487" i="105"/>
  <c r="W487" i="105"/>
  <c r="R487" i="105"/>
  <c r="Q487" i="105"/>
  <c r="N487" i="105"/>
  <c r="M487" i="105"/>
  <c r="L487" i="105"/>
  <c r="K487" i="105"/>
  <c r="AI486" i="105"/>
  <c r="AH486" i="105"/>
  <c r="AG486" i="105"/>
  <c r="X486" i="105"/>
  <c r="W486" i="105"/>
  <c r="R486" i="105"/>
  <c r="Q486" i="105"/>
  <c r="N486" i="105"/>
  <c r="M486" i="105"/>
  <c r="L486" i="105"/>
  <c r="K486" i="105"/>
  <c r="AI485" i="105"/>
  <c r="AH485" i="105"/>
  <c r="AG485" i="105"/>
  <c r="W485" i="105"/>
  <c r="X485" i="105" s="1"/>
  <c r="R485" i="105"/>
  <c r="Q485" i="105"/>
  <c r="N485" i="105"/>
  <c r="M485" i="105"/>
  <c r="L485" i="105"/>
  <c r="K485" i="105"/>
  <c r="AI484" i="105"/>
  <c r="AH484" i="105"/>
  <c r="AG484" i="105"/>
  <c r="W484" i="105"/>
  <c r="X484" i="105" s="1"/>
  <c r="R484" i="105"/>
  <c r="Q484" i="105"/>
  <c r="N484" i="105"/>
  <c r="M484" i="105"/>
  <c r="L484" i="105"/>
  <c r="K484" i="105"/>
  <c r="AI483" i="105"/>
  <c r="AH483" i="105"/>
  <c r="AG483" i="105"/>
  <c r="W483" i="105"/>
  <c r="X483" i="105" s="1"/>
  <c r="R483" i="105"/>
  <c r="Q483" i="105"/>
  <c r="N483" i="105"/>
  <c r="M483" i="105"/>
  <c r="L483" i="105"/>
  <c r="K483" i="105"/>
  <c r="AI482" i="105"/>
  <c r="AH482" i="105"/>
  <c r="AG482" i="105"/>
  <c r="W482" i="105"/>
  <c r="X482" i="105" s="1"/>
  <c r="R482" i="105"/>
  <c r="Q482" i="105"/>
  <c r="N482" i="105"/>
  <c r="M482" i="105"/>
  <c r="L482" i="105"/>
  <c r="K482" i="105"/>
  <c r="AI481" i="105"/>
  <c r="AH481" i="105"/>
  <c r="AG481" i="105"/>
  <c r="W481" i="105"/>
  <c r="X481" i="105" s="1"/>
  <c r="R481" i="105"/>
  <c r="Q481" i="105"/>
  <c r="N481" i="105"/>
  <c r="M481" i="105"/>
  <c r="L481" i="105"/>
  <c r="K481" i="105"/>
  <c r="AI480" i="105"/>
  <c r="AH480" i="105"/>
  <c r="AG480" i="105"/>
  <c r="W480" i="105"/>
  <c r="X480" i="105" s="1"/>
  <c r="R480" i="105"/>
  <c r="Q480" i="105"/>
  <c r="N480" i="105"/>
  <c r="M480" i="105"/>
  <c r="L480" i="105"/>
  <c r="K480" i="105"/>
  <c r="AI479" i="105"/>
  <c r="AH479" i="105"/>
  <c r="AG479" i="105"/>
  <c r="W479" i="105"/>
  <c r="X479" i="105" s="1"/>
  <c r="R479" i="105"/>
  <c r="Q479" i="105"/>
  <c r="N479" i="105"/>
  <c r="M479" i="105"/>
  <c r="L479" i="105"/>
  <c r="K479" i="105"/>
  <c r="AI478" i="105"/>
  <c r="AH478" i="105"/>
  <c r="AG478" i="105"/>
  <c r="W478" i="105"/>
  <c r="X478" i="105" s="1"/>
  <c r="R478" i="105"/>
  <c r="Q478" i="105"/>
  <c r="N478" i="105"/>
  <c r="M478" i="105"/>
  <c r="L478" i="105"/>
  <c r="K478" i="105"/>
  <c r="AI477" i="105"/>
  <c r="AH477" i="105"/>
  <c r="AG477" i="105"/>
  <c r="W477" i="105"/>
  <c r="X477" i="105" s="1"/>
  <c r="R477" i="105"/>
  <c r="Q477" i="105"/>
  <c r="N477" i="105"/>
  <c r="M477" i="105"/>
  <c r="L477" i="105"/>
  <c r="K477" i="105"/>
  <c r="AI476" i="105"/>
  <c r="AH476" i="105"/>
  <c r="AG476" i="105"/>
  <c r="W476" i="105"/>
  <c r="X476" i="105" s="1"/>
  <c r="Q476" i="105"/>
  <c r="R476" i="105" s="1"/>
  <c r="N476" i="105"/>
  <c r="M476" i="105"/>
  <c r="L476" i="105"/>
  <c r="K476" i="105"/>
  <c r="AI475" i="105"/>
  <c r="AH475" i="105"/>
  <c r="AG475" i="105"/>
  <c r="W475" i="105"/>
  <c r="X475" i="105" s="1"/>
  <c r="Q475" i="105"/>
  <c r="R475" i="105" s="1"/>
  <c r="N475" i="105"/>
  <c r="M475" i="105"/>
  <c r="L475" i="105"/>
  <c r="K475" i="105"/>
  <c r="AI474" i="105"/>
  <c r="AH474" i="105"/>
  <c r="AG474" i="105"/>
  <c r="W474" i="105"/>
  <c r="X474" i="105" s="1"/>
  <c r="Q474" i="105"/>
  <c r="R474" i="105" s="1"/>
  <c r="N474" i="105"/>
  <c r="M474" i="105"/>
  <c r="L474" i="105"/>
  <c r="K474" i="105"/>
  <c r="AI473" i="105"/>
  <c r="AH473" i="105"/>
  <c r="AG473" i="105"/>
  <c r="W473" i="105"/>
  <c r="X473" i="105" s="1"/>
  <c r="Q473" i="105"/>
  <c r="R473" i="105" s="1"/>
  <c r="N473" i="105"/>
  <c r="M473" i="105"/>
  <c r="L473" i="105"/>
  <c r="K473" i="105"/>
  <c r="AI472" i="105"/>
  <c r="AH472" i="105"/>
  <c r="AG472" i="105"/>
  <c r="W472" i="105"/>
  <c r="X472" i="105" s="1"/>
  <c r="Q472" i="105"/>
  <c r="R472" i="105" s="1"/>
  <c r="N472" i="105"/>
  <c r="M472" i="105"/>
  <c r="L472" i="105"/>
  <c r="K472" i="105"/>
  <c r="AI471" i="105"/>
  <c r="AH471" i="105"/>
  <c r="AG471" i="105"/>
  <c r="W471" i="105"/>
  <c r="X471" i="105" s="1"/>
  <c r="Q471" i="105"/>
  <c r="R471" i="105" s="1"/>
  <c r="N471" i="105"/>
  <c r="M471" i="105"/>
  <c r="L471" i="105"/>
  <c r="K471" i="105"/>
  <c r="AI470" i="105"/>
  <c r="AH470" i="105"/>
  <c r="AG470" i="105"/>
  <c r="W470" i="105"/>
  <c r="X470" i="105" s="1"/>
  <c r="Q470" i="105"/>
  <c r="R470" i="105" s="1"/>
  <c r="N470" i="105"/>
  <c r="M470" i="105"/>
  <c r="L470" i="105"/>
  <c r="K470" i="105"/>
  <c r="AI469" i="105"/>
  <c r="AH469" i="105"/>
  <c r="AG469" i="105"/>
  <c r="W469" i="105"/>
  <c r="X469" i="105" s="1"/>
  <c r="Q469" i="105"/>
  <c r="R469" i="105" s="1"/>
  <c r="N469" i="105"/>
  <c r="M469" i="105"/>
  <c r="L469" i="105"/>
  <c r="K469" i="105"/>
  <c r="AI468" i="105"/>
  <c r="AH468" i="105"/>
  <c r="AG468" i="105"/>
  <c r="W468" i="105"/>
  <c r="X468" i="105" s="1"/>
  <c r="Q468" i="105"/>
  <c r="R468" i="105" s="1"/>
  <c r="L468" i="105"/>
  <c r="N468" i="105" s="1"/>
  <c r="I468" i="105" s="1"/>
  <c r="K468" i="105"/>
  <c r="M468" i="105" s="1"/>
  <c r="AI467" i="105"/>
  <c r="AH467" i="105"/>
  <c r="AG467" i="105"/>
  <c r="X467" i="105"/>
  <c r="W467" i="105"/>
  <c r="R467" i="105"/>
  <c r="Q467" i="105"/>
  <c r="L467" i="105"/>
  <c r="N467" i="105" s="1"/>
  <c r="I467" i="105" s="1"/>
  <c r="K467" i="105"/>
  <c r="M467" i="105" s="1"/>
  <c r="AI466" i="105"/>
  <c r="W466" i="105"/>
  <c r="X466" i="105" s="1"/>
  <c r="X465" i="105" s="1"/>
  <c r="Q466" i="105"/>
  <c r="R466" i="105" s="1"/>
  <c r="L466" i="105"/>
  <c r="N466" i="105" s="1"/>
  <c r="K466" i="105"/>
  <c r="M466" i="105" s="1"/>
  <c r="A466" i="105"/>
  <c r="A467" i="105" s="1"/>
  <c r="A468" i="105" s="1"/>
  <c r="A469" i="105" s="1"/>
  <c r="A470" i="105" s="1"/>
  <c r="A471" i="105" s="1"/>
  <c r="A472" i="105" s="1"/>
  <c r="A473" i="105" s="1"/>
  <c r="A474" i="105" s="1"/>
  <c r="A475" i="105" s="1"/>
  <c r="A476" i="105" s="1"/>
  <c r="A477" i="105" s="1"/>
  <c r="A478" i="105" s="1"/>
  <c r="A479" i="105" s="1"/>
  <c r="A480" i="105" s="1"/>
  <c r="A481" i="105" s="1"/>
  <c r="A482" i="105" s="1"/>
  <c r="A483" i="105" s="1"/>
  <c r="A484" i="105" s="1"/>
  <c r="A485" i="105" s="1"/>
  <c r="A486" i="105" s="1"/>
  <c r="A487" i="105" s="1"/>
  <c r="AH465" i="105"/>
  <c r="AF465" i="105"/>
  <c r="U465" i="105"/>
  <c r="P465" i="105"/>
  <c r="H465" i="105"/>
  <c r="AI464" i="105"/>
  <c r="AH464" i="105"/>
  <c r="AG464" i="105"/>
  <c r="X464" i="105"/>
  <c r="W464" i="105"/>
  <c r="R464" i="105"/>
  <c r="Q464" i="105"/>
  <c r="N464" i="105"/>
  <c r="M464" i="105"/>
  <c r="L464" i="105"/>
  <c r="K464" i="105"/>
  <c r="AI463" i="105"/>
  <c r="AH463" i="105"/>
  <c r="AG463" i="105"/>
  <c r="X463" i="105"/>
  <c r="W463" i="105"/>
  <c r="R463" i="105"/>
  <c r="Q463" i="105"/>
  <c r="N463" i="105"/>
  <c r="M463" i="105"/>
  <c r="L463" i="105"/>
  <c r="K463" i="105"/>
  <c r="AI462" i="105"/>
  <c r="AH462" i="105"/>
  <c r="AG462" i="105"/>
  <c r="X462" i="105"/>
  <c r="W462" i="105"/>
  <c r="R462" i="105"/>
  <c r="Q462" i="105"/>
  <c r="N462" i="105"/>
  <c r="M462" i="105"/>
  <c r="L462" i="105"/>
  <c r="K462" i="105"/>
  <c r="AI461" i="105"/>
  <c r="AH461" i="105"/>
  <c r="AG461" i="105"/>
  <c r="W461" i="105"/>
  <c r="X461" i="105" s="1"/>
  <c r="R461" i="105"/>
  <c r="Q461" i="105"/>
  <c r="N461" i="105"/>
  <c r="M461" i="105"/>
  <c r="L461" i="105"/>
  <c r="K461" i="105"/>
  <c r="AI460" i="105"/>
  <c r="AH460" i="105"/>
  <c r="AG460" i="105"/>
  <c r="W460" i="105"/>
  <c r="X460" i="105" s="1"/>
  <c r="R460" i="105"/>
  <c r="Q460" i="105"/>
  <c r="N460" i="105"/>
  <c r="M460" i="105"/>
  <c r="L460" i="105"/>
  <c r="K460" i="105"/>
  <c r="AI459" i="105"/>
  <c r="AH459" i="105"/>
  <c r="AG459" i="105"/>
  <c r="W459" i="105"/>
  <c r="X459" i="105" s="1"/>
  <c r="R459" i="105"/>
  <c r="Q459" i="105"/>
  <c r="N459" i="105"/>
  <c r="M459" i="105"/>
  <c r="L459" i="105"/>
  <c r="K459" i="105"/>
  <c r="AI458" i="105"/>
  <c r="AH458" i="105"/>
  <c r="AG458" i="105"/>
  <c r="W458" i="105"/>
  <c r="X458" i="105" s="1"/>
  <c r="R458" i="105"/>
  <c r="Q458" i="105"/>
  <c r="N458" i="105"/>
  <c r="M458" i="105"/>
  <c r="L458" i="105"/>
  <c r="K458" i="105"/>
  <c r="AI457" i="105"/>
  <c r="AH457" i="105"/>
  <c r="AG457" i="105"/>
  <c r="W457" i="105"/>
  <c r="X457" i="105" s="1"/>
  <c r="R457" i="105"/>
  <c r="Q457" i="105"/>
  <c r="N457" i="105"/>
  <c r="M457" i="105"/>
  <c r="L457" i="105"/>
  <c r="K457" i="105"/>
  <c r="AI456" i="105"/>
  <c r="AH456" i="105"/>
  <c r="AG456" i="105"/>
  <c r="W456" i="105"/>
  <c r="X456" i="105" s="1"/>
  <c r="X455" i="105" s="1"/>
  <c r="R456" i="105"/>
  <c r="Q456" i="105"/>
  <c r="N456" i="105"/>
  <c r="M456" i="105"/>
  <c r="L456" i="105"/>
  <c r="K456" i="105"/>
  <c r="A456" i="105"/>
  <c r="A457" i="105" s="1"/>
  <c r="A458" i="105" s="1"/>
  <c r="A459" i="105" s="1"/>
  <c r="A460" i="105" s="1"/>
  <c r="A461" i="105" s="1"/>
  <c r="A462" i="105" s="1"/>
  <c r="A463" i="105" s="1"/>
  <c r="A464" i="105" s="1"/>
  <c r="AH455" i="105"/>
  <c r="AF455" i="105"/>
  <c r="U455" i="105"/>
  <c r="R455" i="105"/>
  <c r="P455" i="105"/>
  <c r="N455" i="105"/>
  <c r="M455" i="105"/>
  <c r="AI455" i="105" s="1"/>
  <c r="I455" i="105"/>
  <c r="H455" i="105"/>
  <c r="AI454" i="105"/>
  <c r="AH454" i="105"/>
  <c r="AG454" i="105"/>
  <c r="X454" i="105"/>
  <c r="W454" i="105"/>
  <c r="R454" i="105"/>
  <c r="Q454" i="105"/>
  <c r="N454" i="105"/>
  <c r="M454" i="105"/>
  <c r="L454" i="105"/>
  <c r="K454" i="105"/>
  <c r="AI453" i="105"/>
  <c r="AH453" i="105"/>
  <c r="AG453" i="105"/>
  <c r="X453" i="105"/>
  <c r="W453" i="105"/>
  <c r="R453" i="105"/>
  <c r="Q453" i="105"/>
  <c r="N453" i="105"/>
  <c r="M453" i="105"/>
  <c r="L453" i="105"/>
  <c r="K453" i="105"/>
  <c r="AI452" i="105"/>
  <c r="AH452" i="105"/>
  <c r="AG452" i="105"/>
  <c r="X452" i="105"/>
  <c r="W452" i="105"/>
  <c r="R452" i="105"/>
  <c r="Q452" i="105"/>
  <c r="N452" i="105"/>
  <c r="M452" i="105"/>
  <c r="L452" i="105"/>
  <c r="K452" i="105"/>
  <c r="AI451" i="105"/>
  <c r="AH451" i="105"/>
  <c r="AG451" i="105"/>
  <c r="X451" i="105"/>
  <c r="W451" i="105"/>
  <c r="R451" i="105"/>
  <c r="Q451" i="105"/>
  <c r="N451" i="105"/>
  <c r="M451" i="105"/>
  <c r="L451" i="105"/>
  <c r="K451" i="105"/>
  <c r="AI450" i="105"/>
  <c r="AH450" i="105"/>
  <c r="AG450" i="105"/>
  <c r="X450" i="105"/>
  <c r="W450" i="105"/>
  <c r="R450" i="105"/>
  <c r="Q450" i="105"/>
  <c r="N450" i="105"/>
  <c r="M450" i="105"/>
  <c r="L450" i="105"/>
  <c r="K450" i="105"/>
  <c r="AI449" i="105"/>
  <c r="AH449" i="105"/>
  <c r="AG449" i="105"/>
  <c r="X449" i="105"/>
  <c r="W449" i="105"/>
  <c r="R449" i="105"/>
  <c r="Q449" i="105"/>
  <c r="N449" i="105"/>
  <c r="M449" i="105"/>
  <c r="L449" i="105"/>
  <c r="K449" i="105"/>
  <c r="AI448" i="105"/>
  <c r="AH448" i="105"/>
  <c r="AG448" i="105"/>
  <c r="X448" i="105"/>
  <c r="W448" i="105"/>
  <c r="R448" i="105"/>
  <c r="Q448" i="105"/>
  <c r="N448" i="105"/>
  <c r="M448" i="105"/>
  <c r="L448" i="105"/>
  <c r="K448" i="105"/>
  <c r="AI447" i="105"/>
  <c r="AH447" i="105"/>
  <c r="AG447" i="105"/>
  <c r="X447" i="105"/>
  <c r="W447" i="105"/>
  <c r="R447" i="105"/>
  <c r="Q447" i="105"/>
  <c r="N447" i="105"/>
  <c r="M447" i="105"/>
  <c r="L447" i="105"/>
  <c r="K447" i="105"/>
  <c r="AI446" i="105"/>
  <c r="AH446" i="105"/>
  <c r="AG446" i="105"/>
  <c r="X446" i="105"/>
  <c r="W446" i="105"/>
  <c r="R446" i="105"/>
  <c r="Q446" i="105"/>
  <c r="N446" i="105"/>
  <c r="M446" i="105"/>
  <c r="L446" i="105"/>
  <c r="K446" i="105"/>
  <c r="AI445" i="105"/>
  <c r="AH445" i="105"/>
  <c r="AG445" i="105"/>
  <c r="X445" i="105"/>
  <c r="W445" i="105"/>
  <c r="R445" i="105"/>
  <c r="Q445" i="105"/>
  <c r="N445" i="105"/>
  <c r="M445" i="105"/>
  <c r="L445" i="105"/>
  <c r="K445" i="105"/>
  <c r="AI444" i="105"/>
  <c r="AH444" i="105"/>
  <c r="AG444" i="105"/>
  <c r="X444" i="105"/>
  <c r="W444" i="105"/>
  <c r="R444" i="105"/>
  <c r="Q444" i="105"/>
  <c r="N444" i="105"/>
  <c r="M444" i="105"/>
  <c r="L444" i="105"/>
  <c r="K444" i="105"/>
  <c r="AI443" i="105"/>
  <c r="AH443" i="105"/>
  <c r="AG443" i="105"/>
  <c r="X443" i="105"/>
  <c r="W443" i="105"/>
  <c r="R443" i="105"/>
  <c r="Q443" i="105"/>
  <c r="N443" i="105"/>
  <c r="M443" i="105"/>
  <c r="L443" i="105"/>
  <c r="K443" i="105"/>
  <c r="A443" i="105"/>
  <c r="A444" i="105" s="1"/>
  <c r="A445" i="105" s="1"/>
  <c r="A446" i="105" s="1"/>
  <c r="A447" i="105" s="1"/>
  <c r="A448" i="105" s="1"/>
  <c r="A449" i="105" s="1"/>
  <c r="A450" i="105" s="1"/>
  <c r="A451" i="105" s="1"/>
  <c r="A452" i="105" s="1"/>
  <c r="A453" i="105" s="1"/>
  <c r="A454" i="105" s="1"/>
  <c r="AH442" i="105"/>
  <c r="AF442" i="105"/>
  <c r="X442" i="105"/>
  <c r="U442" i="105"/>
  <c r="R442" i="105"/>
  <c r="P442" i="105"/>
  <c r="N442" i="105"/>
  <c r="M442" i="105"/>
  <c r="AI442" i="105" s="1"/>
  <c r="I442" i="105"/>
  <c r="H442" i="105"/>
  <c r="AI441" i="105"/>
  <c r="AG441" i="105"/>
  <c r="X441" i="105"/>
  <c r="W441" i="105"/>
  <c r="N441" i="105"/>
  <c r="M441" i="105"/>
  <c r="L441" i="105"/>
  <c r="K441" i="105"/>
  <c r="AI440" i="105"/>
  <c r="AG440" i="105"/>
  <c r="X440" i="105"/>
  <c r="W440" i="105"/>
  <c r="N440" i="105"/>
  <c r="M440" i="105"/>
  <c r="L440" i="105"/>
  <c r="K440" i="105"/>
  <c r="AI439" i="105"/>
  <c r="AG439" i="105"/>
  <c r="X439" i="105"/>
  <c r="W439" i="105"/>
  <c r="L439" i="105"/>
  <c r="N439" i="105" s="1"/>
  <c r="I439" i="105" s="1"/>
  <c r="K439" i="105"/>
  <c r="M439" i="105" s="1"/>
  <c r="AI438" i="105"/>
  <c r="AG438" i="105"/>
  <c r="X438" i="105"/>
  <c r="W438" i="105"/>
  <c r="L438" i="105"/>
  <c r="N438" i="105" s="1"/>
  <c r="I438" i="105" s="1"/>
  <c r="K438" i="105"/>
  <c r="M438" i="105" s="1"/>
  <c r="AI437" i="105"/>
  <c r="AG437" i="105"/>
  <c r="X437" i="105"/>
  <c r="W437" i="105"/>
  <c r="L437" i="105"/>
  <c r="N437" i="105" s="1"/>
  <c r="I437" i="105" s="1"/>
  <c r="K437" i="105"/>
  <c r="H437" i="105"/>
  <c r="M437" i="105" s="1"/>
  <c r="AI436" i="105"/>
  <c r="AG436" i="105"/>
  <c r="X436" i="105"/>
  <c r="W436" i="105"/>
  <c r="L436" i="105"/>
  <c r="N436" i="105" s="1"/>
  <c r="K436" i="105"/>
  <c r="M436" i="105" s="1"/>
  <c r="M435" i="105" s="1"/>
  <c r="A436" i="105"/>
  <c r="A437" i="105" s="1"/>
  <c r="A438" i="105" s="1"/>
  <c r="A439" i="105" s="1"/>
  <c r="A440" i="105" s="1"/>
  <c r="A441" i="105" s="1"/>
  <c r="AH435" i="105"/>
  <c r="AF435" i="105"/>
  <c r="X435" i="105"/>
  <c r="U435" i="105"/>
  <c r="R435" i="105"/>
  <c r="P435" i="105"/>
  <c r="H435" i="105"/>
  <c r="AI434" i="105"/>
  <c r="AG434" i="105"/>
  <c r="X434" i="105"/>
  <c r="W434" i="105"/>
  <c r="N434" i="105"/>
  <c r="M434" i="105"/>
  <c r="L434" i="105"/>
  <c r="K434" i="105"/>
  <c r="AI433" i="105"/>
  <c r="AG433" i="105"/>
  <c r="X433" i="105"/>
  <c r="W433" i="105"/>
  <c r="N433" i="105"/>
  <c r="M433" i="105"/>
  <c r="L433" i="105"/>
  <c r="K433" i="105"/>
  <c r="AI432" i="105"/>
  <c r="AG432" i="105"/>
  <c r="X432" i="105"/>
  <c r="W432" i="105"/>
  <c r="L432" i="105"/>
  <c r="N432" i="105" s="1"/>
  <c r="I432" i="105" s="1"/>
  <c r="K432" i="105"/>
  <c r="M432" i="105" s="1"/>
  <c r="AI431" i="105"/>
  <c r="AG431" i="105"/>
  <c r="X431" i="105"/>
  <c r="W431" i="105"/>
  <c r="L431" i="105"/>
  <c r="N431" i="105" s="1"/>
  <c r="I431" i="105" s="1"/>
  <c r="K431" i="105"/>
  <c r="M431" i="105" s="1"/>
  <c r="AI430" i="105"/>
  <c r="AH430" i="105"/>
  <c r="AG430" i="105"/>
  <c r="X430" i="105"/>
  <c r="W430" i="105"/>
  <c r="L430" i="105"/>
  <c r="K430" i="105"/>
  <c r="H430" i="105"/>
  <c r="M430" i="105" s="1"/>
  <c r="AI429" i="105"/>
  <c r="X429" i="105"/>
  <c r="W429" i="105"/>
  <c r="L429" i="105"/>
  <c r="N429" i="105" s="1"/>
  <c r="K429" i="105"/>
  <c r="M429" i="105" s="1"/>
  <c r="A429" i="105"/>
  <c r="A430" i="105" s="1"/>
  <c r="A431" i="105" s="1"/>
  <c r="A432" i="105" s="1"/>
  <c r="A433" i="105" s="1"/>
  <c r="A434" i="105" s="1"/>
  <c r="AH428" i="105"/>
  <c r="AF428" i="105"/>
  <c r="X428" i="105"/>
  <c r="U428" i="105"/>
  <c r="R428" i="105"/>
  <c r="P428" i="105"/>
  <c r="AI427" i="105"/>
  <c r="AH427" i="105"/>
  <c r="AG427" i="105"/>
  <c r="X427" i="105"/>
  <c r="W427" i="105"/>
  <c r="R427" i="105"/>
  <c r="Q427" i="105"/>
  <c r="N427" i="105"/>
  <c r="M427" i="105"/>
  <c r="L427" i="105"/>
  <c r="K427" i="105"/>
  <c r="AI426" i="105"/>
  <c r="AH426" i="105"/>
  <c r="AG426" i="105"/>
  <c r="X426" i="105"/>
  <c r="W426" i="105"/>
  <c r="R426" i="105"/>
  <c r="Q426" i="105"/>
  <c r="N426" i="105"/>
  <c r="M426" i="105"/>
  <c r="L426" i="105"/>
  <c r="K426" i="105"/>
  <c r="AI425" i="105"/>
  <c r="AH425" i="105"/>
  <c r="AG425" i="105"/>
  <c r="X425" i="105"/>
  <c r="W425" i="105"/>
  <c r="R425" i="105"/>
  <c r="Q425" i="105"/>
  <c r="N425" i="105"/>
  <c r="M425" i="105"/>
  <c r="L425" i="105"/>
  <c r="K425" i="105"/>
  <c r="AI424" i="105"/>
  <c r="AH424" i="105"/>
  <c r="AG424" i="105"/>
  <c r="X424" i="105"/>
  <c r="W424" i="105"/>
  <c r="Q424" i="105"/>
  <c r="R424" i="105" s="1"/>
  <c r="N424" i="105"/>
  <c r="M424" i="105"/>
  <c r="L424" i="105"/>
  <c r="K424" i="105"/>
  <c r="AI423" i="105"/>
  <c r="AH423" i="105"/>
  <c r="AG423" i="105"/>
  <c r="X423" i="105"/>
  <c r="W423" i="105"/>
  <c r="Q423" i="105"/>
  <c r="R423" i="105" s="1"/>
  <c r="N423" i="105"/>
  <c r="M423" i="105"/>
  <c r="L423" i="105"/>
  <c r="K423" i="105"/>
  <c r="AI422" i="105"/>
  <c r="AH422" i="105"/>
  <c r="AG422" i="105"/>
  <c r="W422" i="105"/>
  <c r="X422" i="105" s="1"/>
  <c r="Q422" i="105"/>
  <c r="R422" i="105" s="1"/>
  <c r="N422" i="105"/>
  <c r="M422" i="105"/>
  <c r="L422" i="105"/>
  <c r="K422" i="105"/>
  <c r="AI421" i="105"/>
  <c r="AH421" i="105"/>
  <c r="AG421" i="105"/>
  <c r="W421" i="105"/>
  <c r="X421" i="105" s="1"/>
  <c r="Q421" i="105"/>
  <c r="R421" i="105" s="1"/>
  <c r="N421" i="105"/>
  <c r="M421" i="105"/>
  <c r="L421" i="105"/>
  <c r="K421" i="105"/>
  <c r="AI420" i="105"/>
  <c r="AH420" i="105"/>
  <c r="AG420" i="105"/>
  <c r="W420" i="105"/>
  <c r="X420" i="105" s="1"/>
  <c r="Q420" i="105"/>
  <c r="R420" i="105" s="1"/>
  <c r="R419" i="105" s="1"/>
  <c r="N420" i="105"/>
  <c r="M420" i="105"/>
  <c r="L420" i="105"/>
  <c r="K420" i="105"/>
  <c r="A420" i="105"/>
  <c r="A421" i="105" s="1"/>
  <c r="A422" i="105" s="1"/>
  <c r="A423" i="105" s="1"/>
  <c r="A424" i="105" s="1"/>
  <c r="A425" i="105" s="1"/>
  <c r="A426" i="105" s="1"/>
  <c r="A427" i="105" s="1"/>
  <c r="AH419" i="105"/>
  <c r="AF419" i="105"/>
  <c r="U419" i="105"/>
  <c r="P419" i="105"/>
  <c r="N419" i="105"/>
  <c r="M419" i="105"/>
  <c r="I419" i="105"/>
  <c r="H419" i="105"/>
  <c r="AI418" i="105"/>
  <c r="AG418" i="105"/>
  <c r="X418" i="105"/>
  <c r="W418" i="105"/>
  <c r="N418" i="105"/>
  <c r="M418" i="105"/>
  <c r="L418" i="105"/>
  <c r="K418" i="105"/>
  <c r="AI417" i="105"/>
  <c r="AG417" i="105"/>
  <c r="X417" i="105"/>
  <c r="W417" i="105"/>
  <c r="N417" i="105"/>
  <c r="M417" i="105"/>
  <c r="L417" i="105"/>
  <c r="K417" i="105"/>
  <c r="AI416" i="105"/>
  <c r="AG416" i="105"/>
  <c r="X416" i="105"/>
  <c r="W416" i="105"/>
  <c r="N416" i="105"/>
  <c r="M416" i="105"/>
  <c r="L416" i="105"/>
  <c r="K416" i="105"/>
  <c r="AI415" i="105"/>
  <c r="AG415" i="105"/>
  <c r="X415" i="105"/>
  <c r="X411" i="105" s="1"/>
  <c r="W415" i="105"/>
  <c r="N415" i="105"/>
  <c r="M415" i="105"/>
  <c r="L415" i="105"/>
  <c r="K415" i="105"/>
  <c r="AI414" i="105"/>
  <c r="AG414" i="105"/>
  <c r="X414" i="105"/>
  <c r="W414" i="105"/>
  <c r="L414" i="105"/>
  <c r="N414" i="105" s="1"/>
  <c r="I414" i="105" s="1"/>
  <c r="K414" i="105"/>
  <c r="M414" i="105" s="1"/>
  <c r="AI413" i="105"/>
  <c r="AG413" i="105"/>
  <c r="X413" i="105"/>
  <c r="W413" i="105"/>
  <c r="L413" i="105"/>
  <c r="N413" i="105" s="1"/>
  <c r="I413" i="105" s="1"/>
  <c r="K413" i="105"/>
  <c r="M413" i="105" s="1"/>
  <c r="A413" i="105"/>
  <c r="A414" i="105" s="1"/>
  <c r="A415" i="105" s="1"/>
  <c r="A416" i="105" s="1"/>
  <c r="A417" i="105" s="1"/>
  <c r="A418" i="105" s="1"/>
  <c r="AI412" i="105"/>
  <c r="AG412" i="105"/>
  <c r="X412" i="105"/>
  <c r="W412" i="105"/>
  <c r="L412" i="105"/>
  <c r="K412" i="105"/>
  <c r="H412" i="105"/>
  <c r="M412" i="105" s="1"/>
  <c r="M411" i="105" s="1"/>
  <c r="A412" i="105"/>
  <c r="AH411" i="105"/>
  <c r="AF411" i="105"/>
  <c r="U411" i="105"/>
  <c r="R411" i="105"/>
  <c r="P411" i="105"/>
  <c r="H411" i="105"/>
  <c r="AI410" i="105"/>
  <c r="AG410" i="105"/>
  <c r="X410" i="105"/>
  <c r="W410" i="105"/>
  <c r="N410" i="105"/>
  <c r="M410" i="105"/>
  <c r="L410" i="105"/>
  <c r="K410" i="105"/>
  <c r="AI409" i="105"/>
  <c r="AG409" i="105"/>
  <c r="X409" i="105"/>
  <c r="W409" i="105"/>
  <c r="N409" i="105"/>
  <c r="M409" i="105"/>
  <c r="L409" i="105"/>
  <c r="K409" i="105"/>
  <c r="AI408" i="105"/>
  <c r="AG408" i="105"/>
  <c r="X408" i="105"/>
  <c r="W408" i="105"/>
  <c r="N408" i="105"/>
  <c r="M408" i="105"/>
  <c r="L408" i="105"/>
  <c r="K408" i="105"/>
  <c r="AI407" i="105"/>
  <c r="AH407" i="105"/>
  <c r="AG407" i="105"/>
  <c r="X407" i="105"/>
  <c r="W407" i="105"/>
  <c r="R407" i="105"/>
  <c r="Q407" i="105"/>
  <c r="N407" i="105"/>
  <c r="M407" i="105"/>
  <c r="L407" i="105"/>
  <c r="K407" i="105"/>
  <c r="AI406" i="105"/>
  <c r="AH406" i="105"/>
  <c r="AG406" i="105"/>
  <c r="X406" i="105"/>
  <c r="W406" i="105"/>
  <c r="R406" i="105"/>
  <c r="Q406" i="105"/>
  <c r="N406" i="105"/>
  <c r="M406" i="105"/>
  <c r="L406" i="105"/>
  <c r="K406" i="105"/>
  <c r="AI405" i="105"/>
  <c r="AH405" i="105"/>
  <c r="AG405" i="105"/>
  <c r="X405" i="105"/>
  <c r="W405" i="105"/>
  <c r="R405" i="105"/>
  <c r="Q405" i="105"/>
  <c r="N405" i="105"/>
  <c r="M405" i="105"/>
  <c r="L405" i="105"/>
  <c r="K405" i="105"/>
  <c r="AI404" i="105"/>
  <c r="AH404" i="105"/>
  <c r="AG404" i="105"/>
  <c r="X404" i="105"/>
  <c r="W404" i="105"/>
  <c r="R404" i="105"/>
  <c r="Q404" i="105"/>
  <c r="N404" i="105"/>
  <c r="M404" i="105"/>
  <c r="L404" i="105"/>
  <c r="K404" i="105"/>
  <c r="AI403" i="105"/>
  <c r="AH403" i="105"/>
  <c r="AG403" i="105"/>
  <c r="W403" i="105"/>
  <c r="X403" i="105" s="1"/>
  <c r="R403" i="105"/>
  <c r="Q403" i="105"/>
  <c r="N403" i="105"/>
  <c r="M403" i="105"/>
  <c r="L403" i="105"/>
  <c r="K403" i="105"/>
  <c r="AI402" i="105"/>
  <c r="AH402" i="105"/>
  <c r="AG402" i="105"/>
  <c r="W402" i="105"/>
  <c r="X402" i="105" s="1"/>
  <c r="R402" i="105"/>
  <c r="Q402" i="105"/>
  <c r="N402" i="105"/>
  <c r="M402" i="105"/>
  <c r="L402" i="105"/>
  <c r="K402" i="105"/>
  <c r="AI401" i="105"/>
  <c r="AH401" i="105"/>
  <c r="AG401" i="105"/>
  <c r="W401" i="105"/>
  <c r="X401" i="105" s="1"/>
  <c r="R401" i="105"/>
  <c r="Q401" i="105"/>
  <c r="N401" i="105"/>
  <c r="M401" i="105"/>
  <c r="L401" i="105"/>
  <c r="K401" i="105"/>
  <c r="AI400" i="105"/>
  <c r="AH400" i="105"/>
  <c r="AG400" i="105"/>
  <c r="W400" i="105"/>
  <c r="X400" i="105" s="1"/>
  <c r="R400" i="105"/>
  <c r="Q400" i="105"/>
  <c r="N400" i="105"/>
  <c r="M400" i="105"/>
  <c r="L400" i="105"/>
  <c r="K400" i="105"/>
  <c r="AI399" i="105"/>
  <c r="AH399" i="105"/>
  <c r="AG399" i="105"/>
  <c r="W399" i="105"/>
  <c r="X399" i="105" s="1"/>
  <c r="R399" i="105"/>
  <c r="Q399" i="105"/>
  <c r="N399" i="105"/>
  <c r="M399" i="105"/>
  <c r="L399" i="105"/>
  <c r="K399" i="105"/>
  <c r="AI398" i="105"/>
  <c r="AH398" i="105"/>
  <c r="AG398" i="105"/>
  <c r="W398" i="105"/>
  <c r="X398" i="105" s="1"/>
  <c r="R398" i="105"/>
  <c r="Q398" i="105"/>
  <c r="N398" i="105"/>
  <c r="M398" i="105"/>
  <c r="L398" i="105"/>
  <c r="K398" i="105"/>
  <c r="AI397" i="105"/>
  <c r="AH397" i="105"/>
  <c r="AG397" i="105"/>
  <c r="W397" i="105"/>
  <c r="X397" i="105" s="1"/>
  <c r="R397" i="105"/>
  <c r="Q397" i="105"/>
  <c r="N397" i="105"/>
  <c r="M397" i="105"/>
  <c r="L397" i="105"/>
  <c r="K397" i="105"/>
  <c r="AI396" i="105"/>
  <c r="AH396" i="105"/>
  <c r="AG396" i="105"/>
  <c r="W396" i="105"/>
  <c r="X396" i="105" s="1"/>
  <c r="R396" i="105"/>
  <c r="Q396" i="105"/>
  <c r="N396" i="105"/>
  <c r="M396" i="105"/>
  <c r="L396" i="105"/>
  <c r="K396" i="105"/>
  <c r="AI395" i="105"/>
  <c r="AH395" i="105"/>
  <c r="AG395" i="105"/>
  <c r="W395" i="105"/>
  <c r="X395" i="105" s="1"/>
  <c r="R395" i="105"/>
  <c r="Q395" i="105"/>
  <c r="N395" i="105"/>
  <c r="M395" i="105"/>
  <c r="L395" i="105"/>
  <c r="K395" i="105"/>
  <c r="AI394" i="105"/>
  <c r="AH394" i="105"/>
  <c r="AG394" i="105"/>
  <c r="W394" i="105"/>
  <c r="X394" i="105" s="1"/>
  <c r="Q394" i="105"/>
  <c r="R394" i="105" s="1"/>
  <c r="N394" i="105"/>
  <c r="M394" i="105"/>
  <c r="L394" i="105"/>
  <c r="K394" i="105"/>
  <c r="AI393" i="105"/>
  <c r="AH393" i="105"/>
  <c r="AG393" i="105"/>
  <c r="W393" i="105"/>
  <c r="X393" i="105" s="1"/>
  <c r="Q393" i="105"/>
  <c r="R393" i="105" s="1"/>
  <c r="N393" i="105"/>
  <c r="M393" i="105"/>
  <c r="L393" i="105"/>
  <c r="K393" i="105"/>
  <c r="AI392" i="105"/>
  <c r="AH392" i="105"/>
  <c r="AG392" i="105"/>
  <c r="W392" i="105"/>
  <c r="X392" i="105" s="1"/>
  <c r="Q392" i="105"/>
  <c r="R392" i="105" s="1"/>
  <c r="N392" i="105"/>
  <c r="M392" i="105"/>
  <c r="L392" i="105"/>
  <c r="K392" i="105"/>
  <c r="AI391" i="105"/>
  <c r="AH391" i="105"/>
  <c r="AG391" i="105"/>
  <c r="W391" i="105"/>
  <c r="X391" i="105" s="1"/>
  <c r="Q391" i="105"/>
  <c r="R391" i="105" s="1"/>
  <c r="N391" i="105"/>
  <c r="M391" i="105"/>
  <c r="L391" i="105"/>
  <c r="K391" i="105"/>
  <c r="AI390" i="105"/>
  <c r="AH390" i="105"/>
  <c r="AG390" i="105"/>
  <c r="W390" i="105"/>
  <c r="X390" i="105" s="1"/>
  <c r="Q390" i="105"/>
  <c r="R390" i="105" s="1"/>
  <c r="N390" i="105"/>
  <c r="M390" i="105"/>
  <c r="L390" i="105"/>
  <c r="K390" i="105"/>
  <c r="AI389" i="105"/>
  <c r="AH389" i="105"/>
  <c r="AG389" i="105"/>
  <c r="W389" i="105"/>
  <c r="X389" i="105" s="1"/>
  <c r="Q389" i="105"/>
  <c r="R389" i="105" s="1"/>
  <c r="L389" i="105"/>
  <c r="N389" i="105" s="1"/>
  <c r="I389" i="105" s="1"/>
  <c r="K389" i="105"/>
  <c r="M389" i="105" s="1"/>
  <c r="AI388" i="105"/>
  <c r="AH388" i="105"/>
  <c r="AG388" i="105"/>
  <c r="X388" i="105"/>
  <c r="W388" i="105"/>
  <c r="R388" i="105"/>
  <c r="Q388" i="105"/>
  <c r="L388" i="105"/>
  <c r="N388" i="105" s="1"/>
  <c r="I388" i="105" s="1"/>
  <c r="K388" i="105"/>
  <c r="M388" i="105" s="1"/>
  <c r="AI387" i="105"/>
  <c r="AG387" i="105"/>
  <c r="AH387" i="105" s="1"/>
  <c r="AH385" i="105" s="1"/>
  <c r="W387" i="105"/>
  <c r="X387" i="105" s="1"/>
  <c r="Q387" i="105"/>
  <c r="R387" i="105" s="1"/>
  <c r="L387" i="105"/>
  <c r="K387" i="105"/>
  <c r="H387" i="105"/>
  <c r="M387" i="105" s="1"/>
  <c r="AI386" i="105"/>
  <c r="W386" i="105"/>
  <c r="X386" i="105" s="1"/>
  <c r="X385" i="105" s="1"/>
  <c r="Q386" i="105"/>
  <c r="R386" i="105" s="1"/>
  <c r="L386" i="105"/>
  <c r="N386" i="105" s="1"/>
  <c r="K386" i="105"/>
  <c r="M386" i="105" s="1"/>
  <c r="A386" i="105"/>
  <c r="A387" i="105" s="1"/>
  <c r="A388" i="105" s="1"/>
  <c r="A389" i="105" s="1"/>
  <c r="A390" i="105" s="1"/>
  <c r="A391" i="105" s="1"/>
  <c r="A392" i="105" s="1"/>
  <c r="A393" i="105" s="1"/>
  <c r="A394" i="105" s="1"/>
  <c r="A395" i="105" s="1"/>
  <c r="A396" i="105" s="1"/>
  <c r="A397" i="105" s="1"/>
  <c r="A398" i="105" s="1"/>
  <c r="A399" i="105" s="1"/>
  <c r="A400" i="105" s="1"/>
  <c r="A401" i="105" s="1"/>
  <c r="A402" i="105" s="1"/>
  <c r="A403" i="105" s="1"/>
  <c r="A404" i="105" s="1"/>
  <c r="A405" i="105" s="1"/>
  <c r="A406" i="105" s="1"/>
  <c r="A407" i="105" s="1"/>
  <c r="A408" i="105" s="1"/>
  <c r="A409" i="105" s="1"/>
  <c r="A410" i="105" s="1"/>
  <c r="AF385" i="105"/>
  <c r="U385" i="105"/>
  <c r="P385" i="105"/>
  <c r="AI384" i="105"/>
  <c r="AH384" i="105"/>
  <c r="AG384" i="105"/>
  <c r="X384" i="105"/>
  <c r="W384" i="105"/>
  <c r="R384" i="105"/>
  <c r="Q384" i="105"/>
  <c r="N384" i="105"/>
  <c r="M384" i="105"/>
  <c r="L384" i="105"/>
  <c r="K384" i="105"/>
  <c r="AI383" i="105"/>
  <c r="AH383" i="105"/>
  <c r="AG383" i="105"/>
  <c r="X383" i="105"/>
  <c r="W383" i="105"/>
  <c r="R383" i="105"/>
  <c r="Q383" i="105"/>
  <c r="N383" i="105"/>
  <c r="M383" i="105"/>
  <c r="L383" i="105"/>
  <c r="K383" i="105"/>
  <c r="AI382" i="105"/>
  <c r="AH382" i="105"/>
  <c r="AG382" i="105"/>
  <c r="X382" i="105"/>
  <c r="W382" i="105"/>
  <c r="R382" i="105"/>
  <c r="Q382" i="105"/>
  <c r="N382" i="105"/>
  <c r="M382" i="105"/>
  <c r="L382" i="105"/>
  <c r="K382" i="105"/>
  <c r="AI381" i="105"/>
  <c r="AH381" i="105"/>
  <c r="AG381" i="105"/>
  <c r="X381" i="105"/>
  <c r="W381" i="105"/>
  <c r="R381" i="105"/>
  <c r="Q381" i="105"/>
  <c r="N381" i="105"/>
  <c r="M381" i="105"/>
  <c r="L381" i="105"/>
  <c r="K381" i="105"/>
  <c r="AI380" i="105"/>
  <c r="AH380" i="105"/>
  <c r="AG380" i="105"/>
  <c r="X380" i="105"/>
  <c r="W380" i="105"/>
  <c r="R380" i="105"/>
  <c r="Q380" i="105"/>
  <c r="N380" i="105"/>
  <c r="M380" i="105"/>
  <c r="L380" i="105"/>
  <c r="K380" i="105"/>
  <c r="AI379" i="105"/>
  <c r="AH379" i="105"/>
  <c r="AG379" i="105"/>
  <c r="W379" i="105"/>
  <c r="X379" i="105" s="1"/>
  <c r="R379" i="105"/>
  <c r="Q379" i="105"/>
  <c r="N379" i="105"/>
  <c r="M379" i="105"/>
  <c r="L379" i="105"/>
  <c r="K379" i="105"/>
  <c r="AI378" i="105"/>
  <c r="AH378" i="105"/>
  <c r="AG378" i="105"/>
  <c r="W378" i="105"/>
  <c r="X378" i="105" s="1"/>
  <c r="R378" i="105"/>
  <c r="Q378" i="105"/>
  <c r="N378" i="105"/>
  <c r="M378" i="105"/>
  <c r="L378" i="105"/>
  <c r="K378" i="105"/>
  <c r="AI377" i="105"/>
  <c r="AH377" i="105"/>
  <c r="AG377" i="105"/>
  <c r="W377" i="105"/>
  <c r="X377" i="105" s="1"/>
  <c r="R377" i="105"/>
  <c r="Q377" i="105"/>
  <c r="N377" i="105"/>
  <c r="M377" i="105"/>
  <c r="L377" i="105"/>
  <c r="K377" i="105"/>
  <c r="AI376" i="105"/>
  <c r="AH376" i="105"/>
  <c r="AG376" i="105"/>
  <c r="W376" i="105"/>
  <c r="X376" i="105" s="1"/>
  <c r="R376" i="105"/>
  <c r="Q376" i="105"/>
  <c r="N376" i="105"/>
  <c r="M376" i="105"/>
  <c r="L376" i="105"/>
  <c r="K376" i="105"/>
  <c r="AI375" i="105"/>
  <c r="AH375" i="105"/>
  <c r="AG375" i="105"/>
  <c r="W375" i="105"/>
  <c r="X375" i="105" s="1"/>
  <c r="R375" i="105"/>
  <c r="Q375" i="105"/>
  <c r="N375" i="105"/>
  <c r="M375" i="105"/>
  <c r="L375" i="105"/>
  <c r="K375" i="105"/>
  <c r="AI374" i="105"/>
  <c r="AH374" i="105"/>
  <c r="AG374" i="105"/>
  <c r="W374" i="105"/>
  <c r="X374" i="105" s="1"/>
  <c r="R374" i="105"/>
  <c r="Q374" i="105"/>
  <c r="N374" i="105"/>
  <c r="M374" i="105"/>
  <c r="L374" i="105"/>
  <c r="K374" i="105"/>
  <c r="AI373" i="105"/>
  <c r="AH373" i="105"/>
  <c r="AG373" i="105"/>
  <c r="W373" i="105"/>
  <c r="X373" i="105" s="1"/>
  <c r="R373" i="105"/>
  <c r="Q373" i="105"/>
  <c r="N373" i="105"/>
  <c r="M373" i="105"/>
  <c r="L373" i="105"/>
  <c r="K373" i="105"/>
  <c r="AI372" i="105"/>
  <c r="AH372" i="105"/>
  <c r="AG372" i="105"/>
  <c r="W372" i="105"/>
  <c r="X372" i="105" s="1"/>
  <c r="R372" i="105"/>
  <c r="Q372" i="105"/>
  <c r="N372" i="105"/>
  <c r="M372" i="105"/>
  <c r="L372" i="105"/>
  <c r="K372" i="105"/>
  <c r="AI371" i="105"/>
  <c r="AH371" i="105"/>
  <c r="AG371" i="105"/>
  <c r="W371" i="105"/>
  <c r="X371" i="105" s="1"/>
  <c r="R371" i="105"/>
  <c r="Q371" i="105"/>
  <c r="N371" i="105"/>
  <c r="M371" i="105"/>
  <c r="L371" i="105"/>
  <c r="K371" i="105"/>
  <c r="AI370" i="105"/>
  <c r="AH370" i="105"/>
  <c r="AG370" i="105"/>
  <c r="W370" i="105"/>
  <c r="X370" i="105" s="1"/>
  <c r="R370" i="105"/>
  <c r="Q370" i="105"/>
  <c r="N370" i="105"/>
  <c r="M370" i="105"/>
  <c r="L370" i="105"/>
  <c r="K370" i="105"/>
  <c r="AI369" i="105"/>
  <c r="AH369" i="105"/>
  <c r="AG369" i="105"/>
  <c r="W369" i="105"/>
  <c r="X369" i="105" s="1"/>
  <c r="R369" i="105"/>
  <c r="Q369" i="105"/>
  <c r="N369" i="105"/>
  <c r="M369" i="105"/>
  <c r="L369" i="105"/>
  <c r="K369" i="105"/>
  <c r="AI368" i="105"/>
  <c r="AH368" i="105"/>
  <c r="AG368" i="105"/>
  <c r="W368" i="105"/>
  <c r="X368" i="105" s="1"/>
  <c r="R368" i="105"/>
  <c r="Q368" i="105"/>
  <c r="N368" i="105"/>
  <c r="M368" i="105"/>
  <c r="L368" i="105"/>
  <c r="K368" i="105"/>
  <c r="AI367" i="105"/>
  <c r="AH367" i="105"/>
  <c r="AG367" i="105"/>
  <c r="W367" i="105"/>
  <c r="X367" i="105" s="1"/>
  <c r="Q367" i="105"/>
  <c r="R367" i="105" s="1"/>
  <c r="N367" i="105"/>
  <c r="M367" i="105"/>
  <c r="L367" i="105"/>
  <c r="K367" i="105"/>
  <c r="AI366" i="105"/>
  <c r="AH366" i="105"/>
  <c r="AG366" i="105"/>
  <c r="W366" i="105"/>
  <c r="X366" i="105" s="1"/>
  <c r="Q366" i="105"/>
  <c r="R366" i="105" s="1"/>
  <c r="N366" i="105"/>
  <c r="M366" i="105"/>
  <c r="L366" i="105"/>
  <c r="K366" i="105"/>
  <c r="AI365" i="105"/>
  <c r="AH365" i="105"/>
  <c r="AG365" i="105"/>
  <c r="W365" i="105"/>
  <c r="X365" i="105" s="1"/>
  <c r="Q365" i="105"/>
  <c r="R365" i="105" s="1"/>
  <c r="N365" i="105"/>
  <c r="M365" i="105"/>
  <c r="L365" i="105"/>
  <c r="K365" i="105"/>
  <c r="AI364" i="105"/>
  <c r="AH364" i="105"/>
  <c r="AG364" i="105"/>
  <c r="W364" i="105"/>
  <c r="X364" i="105" s="1"/>
  <c r="Q364" i="105"/>
  <c r="R364" i="105" s="1"/>
  <c r="N364" i="105"/>
  <c r="M364" i="105"/>
  <c r="L364" i="105"/>
  <c r="K364" i="105"/>
  <c r="AI363" i="105"/>
  <c r="AH363" i="105"/>
  <c r="AG363" i="105"/>
  <c r="W363" i="105"/>
  <c r="X363" i="105" s="1"/>
  <c r="Q363" i="105"/>
  <c r="R363" i="105" s="1"/>
  <c r="N363" i="105"/>
  <c r="M363" i="105"/>
  <c r="L363" i="105"/>
  <c r="K363" i="105"/>
  <c r="AI362" i="105"/>
  <c r="AH362" i="105"/>
  <c r="AG362" i="105"/>
  <c r="W362" i="105"/>
  <c r="X362" i="105" s="1"/>
  <c r="Q362" i="105"/>
  <c r="R362" i="105" s="1"/>
  <c r="N362" i="105"/>
  <c r="M362" i="105"/>
  <c r="L362" i="105"/>
  <c r="K362" i="105"/>
  <c r="AI361" i="105"/>
  <c r="AH361" i="105"/>
  <c r="AG361" i="105"/>
  <c r="W361" i="105"/>
  <c r="X361" i="105" s="1"/>
  <c r="Q361" i="105"/>
  <c r="R361" i="105" s="1"/>
  <c r="N361" i="105"/>
  <c r="M361" i="105"/>
  <c r="L361" i="105"/>
  <c r="K361" i="105"/>
  <c r="AI360" i="105"/>
  <c r="AH360" i="105"/>
  <c r="AG360" i="105"/>
  <c r="W360" i="105"/>
  <c r="X360" i="105" s="1"/>
  <c r="Q360" i="105"/>
  <c r="R360" i="105" s="1"/>
  <c r="N360" i="105"/>
  <c r="M360" i="105"/>
  <c r="L360" i="105"/>
  <c r="K360" i="105"/>
  <c r="AI359" i="105"/>
  <c r="AH359" i="105"/>
  <c r="AG359" i="105"/>
  <c r="W359" i="105"/>
  <c r="X359" i="105" s="1"/>
  <c r="Q359" i="105"/>
  <c r="R359" i="105" s="1"/>
  <c r="N359" i="105"/>
  <c r="M359" i="105"/>
  <c r="L359" i="105"/>
  <c r="K359" i="105"/>
  <c r="AI358" i="105"/>
  <c r="AH358" i="105"/>
  <c r="AG358" i="105"/>
  <c r="W358" i="105"/>
  <c r="X358" i="105" s="1"/>
  <c r="Q358" i="105"/>
  <c r="R358" i="105" s="1"/>
  <c r="N358" i="105"/>
  <c r="M358" i="105"/>
  <c r="L358" i="105"/>
  <c r="K358" i="105"/>
  <c r="AI357" i="105"/>
  <c r="AH357" i="105"/>
  <c r="AG357" i="105"/>
  <c r="W357" i="105"/>
  <c r="X357" i="105" s="1"/>
  <c r="Q357" i="105"/>
  <c r="R357" i="105" s="1"/>
  <c r="N357" i="105"/>
  <c r="M357" i="105"/>
  <c r="L357" i="105"/>
  <c r="K357" i="105"/>
  <c r="AI356" i="105"/>
  <c r="AH356" i="105"/>
  <c r="AG356" i="105"/>
  <c r="W356" i="105"/>
  <c r="X356" i="105" s="1"/>
  <c r="Q356" i="105"/>
  <c r="R356" i="105" s="1"/>
  <c r="N356" i="105"/>
  <c r="M356" i="105"/>
  <c r="L356" i="105"/>
  <c r="K356" i="105"/>
  <c r="AI355" i="105"/>
  <c r="AH355" i="105"/>
  <c r="AG355" i="105"/>
  <c r="W355" i="105"/>
  <c r="X355" i="105" s="1"/>
  <c r="Q355" i="105"/>
  <c r="R355" i="105" s="1"/>
  <c r="N355" i="105"/>
  <c r="M355" i="105"/>
  <c r="L355" i="105"/>
  <c r="K355" i="105"/>
  <c r="AI354" i="105"/>
  <c r="AH354" i="105"/>
  <c r="AG354" i="105"/>
  <c r="W354" i="105"/>
  <c r="X354" i="105" s="1"/>
  <c r="Q354" i="105"/>
  <c r="R354" i="105" s="1"/>
  <c r="N354" i="105"/>
  <c r="M354" i="105"/>
  <c r="L354" i="105"/>
  <c r="K354" i="105"/>
  <c r="AI353" i="105"/>
  <c r="AH353" i="105"/>
  <c r="AG353" i="105"/>
  <c r="W353" i="105"/>
  <c r="X353" i="105" s="1"/>
  <c r="Q353" i="105"/>
  <c r="R353" i="105" s="1"/>
  <c r="N353" i="105"/>
  <c r="M353" i="105"/>
  <c r="L353" i="105"/>
  <c r="K353" i="105"/>
  <c r="AI352" i="105"/>
  <c r="AH352" i="105"/>
  <c r="AG352" i="105"/>
  <c r="W352" i="105"/>
  <c r="X352" i="105" s="1"/>
  <c r="Q352" i="105"/>
  <c r="R352" i="105" s="1"/>
  <c r="L352" i="105"/>
  <c r="N352" i="105" s="1"/>
  <c r="I352" i="105" s="1"/>
  <c r="K352" i="105"/>
  <c r="M352" i="105" s="1"/>
  <c r="AI351" i="105"/>
  <c r="AH351" i="105"/>
  <c r="AG351" i="105"/>
  <c r="X351" i="105"/>
  <c r="W351" i="105"/>
  <c r="R351" i="105"/>
  <c r="Q351" i="105"/>
  <c r="L351" i="105"/>
  <c r="N351" i="105" s="1"/>
  <c r="I351" i="105" s="1"/>
  <c r="K351" i="105"/>
  <c r="M351" i="105" s="1"/>
  <c r="AI350" i="105"/>
  <c r="W350" i="105"/>
  <c r="X350" i="105" s="1"/>
  <c r="Q350" i="105"/>
  <c r="R350" i="105" s="1"/>
  <c r="R349" i="105" s="1"/>
  <c r="L350" i="105"/>
  <c r="N350" i="105" s="1"/>
  <c r="K350" i="105"/>
  <c r="M350" i="105" s="1"/>
  <c r="M349" i="105" s="1"/>
  <c r="A350" i="105"/>
  <c r="A351" i="105" s="1"/>
  <c r="A352" i="105" s="1"/>
  <c r="A353" i="105" s="1"/>
  <c r="A354" i="105" s="1"/>
  <c r="A355" i="105" s="1"/>
  <c r="A356" i="105" s="1"/>
  <c r="A357" i="105" s="1"/>
  <c r="A358" i="105" s="1"/>
  <c r="A359" i="105" s="1"/>
  <c r="A360" i="105" s="1"/>
  <c r="A361" i="105" s="1"/>
  <c r="A362" i="105" s="1"/>
  <c r="A363" i="105" s="1"/>
  <c r="A364" i="105" s="1"/>
  <c r="A365" i="105" s="1"/>
  <c r="A366" i="105" s="1"/>
  <c r="A367" i="105" s="1"/>
  <c r="A368" i="105" s="1"/>
  <c r="A369" i="105" s="1"/>
  <c r="A370" i="105" s="1"/>
  <c r="A371" i="105" s="1"/>
  <c r="A372" i="105" s="1"/>
  <c r="A373" i="105" s="1"/>
  <c r="A374" i="105" s="1"/>
  <c r="A375" i="105" s="1"/>
  <c r="A376" i="105" s="1"/>
  <c r="A377" i="105" s="1"/>
  <c r="A378" i="105" s="1"/>
  <c r="A379" i="105" s="1"/>
  <c r="A380" i="105" s="1"/>
  <c r="A381" i="105" s="1"/>
  <c r="A382" i="105" s="1"/>
  <c r="A383" i="105" s="1"/>
  <c r="A384" i="105" s="1"/>
  <c r="AH349" i="105"/>
  <c r="AF349" i="105"/>
  <c r="U349" i="105"/>
  <c r="P349" i="105"/>
  <c r="H349" i="105"/>
  <c r="AI348" i="105"/>
  <c r="AH348" i="105"/>
  <c r="AG348" i="105"/>
  <c r="X348" i="105"/>
  <c r="W348" i="105"/>
  <c r="R348" i="105"/>
  <c r="Q348" i="105"/>
  <c r="N348" i="105"/>
  <c r="M348" i="105"/>
  <c r="L348" i="105"/>
  <c r="K348" i="105"/>
  <c r="AI347" i="105"/>
  <c r="AH347" i="105"/>
  <c r="AG347" i="105"/>
  <c r="X347" i="105"/>
  <c r="W347" i="105"/>
  <c r="R347" i="105"/>
  <c r="Q347" i="105"/>
  <c r="N347" i="105"/>
  <c r="M347" i="105"/>
  <c r="L347" i="105"/>
  <c r="K347" i="105"/>
  <c r="AI346" i="105"/>
  <c r="AH346" i="105"/>
  <c r="AG346" i="105"/>
  <c r="X346" i="105"/>
  <c r="W346" i="105"/>
  <c r="R346" i="105"/>
  <c r="Q346" i="105"/>
  <c r="N346" i="105"/>
  <c r="M346" i="105"/>
  <c r="L346" i="105"/>
  <c r="K346" i="105"/>
  <c r="AI345" i="105"/>
  <c r="AH345" i="105"/>
  <c r="AG345" i="105"/>
  <c r="W345" i="105"/>
  <c r="X345" i="105" s="1"/>
  <c r="R345" i="105"/>
  <c r="Q345" i="105"/>
  <c r="N345" i="105"/>
  <c r="M345" i="105"/>
  <c r="L345" i="105"/>
  <c r="K345" i="105"/>
  <c r="AI344" i="105"/>
  <c r="AH344" i="105"/>
  <c r="AG344" i="105"/>
  <c r="W344" i="105"/>
  <c r="X344" i="105" s="1"/>
  <c r="R344" i="105"/>
  <c r="Q344" i="105"/>
  <c r="N344" i="105"/>
  <c r="M344" i="105"/>
  <c r="L344" i="105"/>
  <c r="K344" i="105"/>
  <c r="AI343" i="105"/>
  <c r="AH343" i="105"/>
  <c r="AG343" i="105"/>
  <c r="W343" i="105"/>
  <c r="X343" i="105" s="1"/>
  <c r="R343" i="105"/>
  <c r="Q343" i="105"/>
  <c r="N343" i="105"/>
  <c r="M343" i="105"/>
  <c r="L343" i="105"/>
  <c r="K343" i="105"/>
  <c r="AI342" i="105"/>
  <c r="AH342" i="105"/>
  <c r="AG342" i="105"/>
  <c r="W342" i="105"/>
  <c r="X342" i="105" s="1"/>
  <c r="R342" i="105"/>
  <c r="Q342" i="105"/>
  <c r="N342" i="105"/>
  <c r="M342" i="105"/>
  <c r="L342" i="105"/>
  <c r="K342" i="105"/>
  <c r="AI341" i="105"/>
  <c r="AH341" i="105"/>
  <c r="AG341" i="105"/>
  <c r="W341" i="105"/>
  <c r="X341" i="105" s="1"/>
  <c r="R341" i="105"/>
  <c r="Q341" i="105"/>
  <c r="N341" i="105"/>
  <c r="M341" i="105"/>
  <c r="L341" i="105"/>
  <c r="K341" i="105"/>
  <c r="AI340" i="105"/>
  <c r="AH340" i="105"/>
  <c r="AG340" i="105"/>
  <c r="W340" i="105"/>
  <c r="X340" i="105" s="1"/>
  <c r="R340" i="105"/>
  <c r="Q340" i="105"/>
  <c r="N340" i="105"/>
  <c r="M340" i="105"/>
  <c r="L340" i="105"/>
  <c r="K340" i="105"/>
  <c r="AI339" i="105"/>
  <c r="AH339" i="105"/>
  <c r="AG339" i="105"/>
  <c r="W339" i="105"/>
  <c r="X339" i="105" s="1"/>
  <c r="R339" i="105"/>
  <c r="Q339" i="105"/>
  <c r="N339" i="105"/>
  <c r="M339" i="105"/>
  <c r="L339" i="105"/>
  <c r="K339" i="105"/>
  <c r="AI338" i="105"/>
  <c r="AH338" i="105"/>
  <c r="AG338" i="105"/>
  <c r="W338" i="105"/>
  <c r="X338" i="105" s="1"/>
  <c r="R338" i="105"/>
  <c r="Q338" i="105"/>
  <c r="N338" i="105"/>
  <c r="M338" i="105"/>
  <c r="L338" i="105"/>
  <c r="K338" i="105"/>
  <c r="AI337" i="105"/>
  <c r="AH337" i="105"/>
  <c r="AG337" i="105"/>
  <c r="W337" i="105"/>
  <c r="X337" i="105" s="1"/>
  <c r="R337" i="105"/>
  <c r="Q337" i="105"/>
  <c r="N337" i="105"/>
  <c r="M337" i="105"/>
  <c r="L337" i="105"/>
  <c r="K337" i="105"/>
  <c r="AI336" i="105"/>
  <c r="AH336" i="105"/>
  <c r="AG336" i="105"/>
  <c r="W336" i="105"/>
  <c r="X336" i="105" s="1"/>
  <c r="R336" i="105"/>
  <c r="Q336" i="105"/>
  <c r="N336" i="105"/>
  <c r="M336" i="105"/>
  <c r="L336" i="105"/>
  <c r="K336" i="105"/>
  <c r="AI335" i="105"/>
  <c r="AH335" i="105"/>
  <c r="AG335" i="105"/>
  <c r="W335" i="105"/>
  <c r="X335" i="105" s="1"/>
  <c r="X332" i="105" s="1"/>
  <c r="R335" i="105"/>
  <c r="Q335" i="105"/>
  <c r="L335" i="105"/>
  <c r="N335" i="105" s="1"/>
  <c r="I335" i="105" s="1"/>
  <c r="K335" i="105"/>
  <c r="M335" i="105" s="1"/>
  <c r="AI334" i="105"/>
  <c r="AH334" i="105"/>
  <c r="AG334" i="105"/>
  <c r="X334" i="105"/>
  <c r="W334" i="105"/>
  <c r="R334" i="105"/>
  <c r="Q334" i="105"/>
  <c r="L334" i="105"/>
  <c r="N334" i="105" s="1"/>
  <c r="I334" i="105" s="1"/>
  <c r="K334" i="105"/>
  <c r="M334" i="105" s="1"/>
  <c r="AI333" i="105"/>
  <c r="AG333" i="105"/>
  <c r="X333" i="105"/>
  <c r="W333" i="105"/>
  <c r="R333" i="105"/>
  <c r="Q333" i="105"/>
  <c r="L333" i="105"/>
  <c r="N333" i="105" s="1"/>
  <c r="K333" i="105"/>
  <c r="H333" i="105"/>
  <c r="M333" i="105" s="1"/>
  <c r="A333" i="105"/>
  <c r="A334" i="105" s="1"/>
  <c r="A335" i="105" s="1"/>
  <c r="A336" i="105" s="1"/>
  <c r="A337" i="105" s="1"/>
  <c r="A338" i="105" s="1"/>
  <c r="A339" i="105" s="1"/>
  <c r="A340" i="105" s="1"/>
  <c r="A341" i="105" s="1"/>
  <c r="A342" i="105" s="1"/>
  <c r="A343" i="105" s="1"/>
  <c r="A344" i="105" s="1"/>
  <c r="A345" i="105" s="1"/>
  <c r="A346" i="105" s="1"/>
  <c r="A347" i="105" s="1"/>
  <c r="A348" i="105" s="1"/>
  <c r="AH332" i="105"/>
  <c r="AF332" i="105"/>
  <c r="U332" i="105"/>
  <c r="R332" i="105"/>
  <c r="P332" i="105"/>
  <c r="H332" i="105"/>
  <c r="AI331" i="105"/>
  <c r="AH331" i="105"/>
  <c r="AG331" i="105"/>
  <c r="X331" i="105"/>
  <c r="W331" i="105"/>
  <c r="R331" i="105"/>
  <c r="Q331" i="105"/>
  <c r="N331" i="105"/>
  <c r="M331" i="105"/>
  <c r="L331" i="105"/>
  <c r="K331" i="105"/>
  <c r="AI330" i="105"/>
  <c r="AH330" i="105"/>
  <c r="AG330" i="105"/>
  <c r="X330" i="105"/>
  <c r="W330" i="105"/>
  <c r="R330" i="105"/>
  <c r="Q330" i="105"/>
  <c r="N330" i="105"/>
  <c r="M330" i="105"/>
  <c r="L330" i="105"/>
  <c r="K330" i="105"/>
  <c r="AI329" i="105"/>
  <c r="AH329" i="105"/>
  <c r="AG329" i="105"/>
  <c r="X329" i="105"/>
  <c r="W329" i="105"/>
  <c r="R329" i="105"/>
  <c r="Q329" i="105"/>
  <c r="N329" i="105"/>
  <c r="M329" i="105"/>
  <c r="L329" i="105"/>
  <c r="K329" i="105"/>
  <c r="AI328" i="105"/>
  <c r="AH328" i="105"/>
  <c r="AG328" i="105"/>
  <c r="X328" i="105"/>
  <c r="W328" i="105"/>
  <c r="R328" i="105"/>
  <c r="Q328" i="105"/>
  <c r="N328" i="105"/>
  <c r="M328" i="105"/>
  <c r="L328" i="105"/>
  <c r="K328" i="105"/>
  <c r="AI327" i="105"/>
  <c r="AH327" i="105"/>
  <c r="AG327" i="105"/>
  <c r="X327" i="105"/>
  <c r="W327" i="105"/>
  <c r="R327" i="105"/>
  <c r="Q327" i="105"/>
  <c r="N327" i="105"/>
  <c r="M327" i="105"/>
  <c r="L327" i="105"/>
  <c r="K327" i="105"/>
  <c r="AI326" i="105"/>
  <c r="AH326" i="105"/>
  <c r="AG326" i="105"/>
  <c r="X326" i="105"/>
  <c r="W326" i="105"/>
  <c r="R326" i="105"/>
  <c r="Q326" i="105"/>
  <c r="N326" i="105"/>
  <c r="M326" i="105"/>
  <c r="L326" i="105"/>
  <c r="K326" i="105"/>
  <c r="AI325" i="105"/>
  <c r="AH325" i="105"/>
  <c r="AG325" i="105"/>
  <c r="X325" i="105"/>
  <c r="W325" i="105"/>
  <c r="R325" i="105"/>
  <c r="Q325" i="105"/>
  <c r="N325" i="105"/>
  <c r="M325" i="105"/>
  <c r="L325" i="105"/>
  <c r="K325" i="105"/>
  <c r="AI324" i="105"/>
  <c r="AH324" i="105"/>
  <c r="AG324" i="105"/>
  <c r="X324" i="105"/>
  <c r="W324" i="105"/>
  <c r="R324" i="105"/>
  <c r="Q324" i="105"/>
  <c r="N324" i="105"/>
  <c r="M324" i="105"/>
  <c r="L324" i="105"/>
  <c r="K324" i="105"/>
  <c r="AI323" i="105"/>
  <c r="AH323" i="105"/>
  <c r="AG323" i="105"/>
  <c r="X323" i="105"/>
  <c r="W323" i="105"/>
  <c r="R323" i="105"/>
  <c r="Q323" i="105"/>
  <c r="N323" i="105"/>
  <c r="M323" i="105"/>
  <c r="L323" i="105"/>
  <c r="K323" i="105"/>
  <c r="AI322" i="105"/>
  <c r="AH322" i="105"/>
  <c r="AG322" i="105"/>
  <c r="W322" i="105"/>
  <c r="X322" i="105" s="1"/>
  <c r="R322" i="105"/>
  <c r="Q322" i="105"/>
  <c r="N322" i="105"/>
  <c r="M322" i="105"/>
  <c r="L322" i="105"/>
  <c r="K322" i="105"/>
  <c r="AI321" i="105"/>
  <c r="AH321" i="105"/>
  <c r="AG321" i="105"/>
  <c r="W321" i="105"/>
  <c r="X321" i="105" s="1"/>
  <c r="R321" i="105"/>
  <c r="Q321" i="105"/>
  <c r="N321" i="105"/>
  <c r="M321" i="105"/>
  <c r="L321" i="105"/>
  <c r="K321" i="105"/>
  <c r="AI320" i="105"/>
  <c r="AH320" i="105"/>
  <c r="AG320" i="105"/>
  <c r="W320" i="105"/>
  <c r="X320" i="105" s="1"/>
  <c r="R320" i="105"/>
  <c r="Q320" i="105"/>
  <c r="N320" i="105"/>
  <c r="M320" i="105"/>
  <c r="L320" i="105"/>
  <c r="K320" i="105"/>
  <c r="AI319" i="105"/>
  <c r="AH319" i="105"/>
  <c r="AG319" i="105"/>
  <c r="W319" i="105"/>
  <c r="X319" i="105" s="1"/>
  <c r="R319" i="105"/>
  <c r="Q319" i="105"/>
  <c r="N319" i="105"/>
  <c r="M319" i="105"/>
  <c r="L319" i="105"/>
  <c r="K319" i="105"/>
  <c r="AI318" i="105"/>
  <c r="AH318" i="105"/>
  <c r="AG318" i="105"/>
  <c r="W318" i="105"/>
  <c r="X318" i="105" s="1"/>
  <c r="R318" i="105"/>
  <c r="Q318" i="105"/>
  <c r="N318" i="105"/>
  <c r="M318" i="105"/>
  <c r="L318" i="105"/>
  <c r="K318" i="105"/>
  <c r="AI317" i="105"/>
  <c r="AH317" i="105"/>
  <c r="AG317" i="105"/>
  <c r="W317" i="105"/>
  <c r="X317" i="105" s="1"/>
  <c r="R317" i="105"/>
  <c r="Q317" i="105"/>
  <c r="N317" i="105"/>
  <c r="M317" i="105"/>
  <c r="L317" i="105"/>
  <c r="K317" i="105"/>
  <c r="AI316" i="105"/>
  <c r="AH316" i="105"/>
  <c r="AG316" i="105"/>
  <c r="W316" i="105"/>
  <c r="X316" i="105" s="1"/>
  <c r="R316" i="105"/>
  <c r="Q316" i="105"/>
  <c r="N316" i="105"/>
  <c r="M316" i="105"/>
  <c r="L316" i="105"/>
  <c r="K316" i="105"/>
  <c r="AI315" i="105"/>
  <c r="AH315" i="105"/>
  <c r="AG315" i="105"/>
  <c r="W315" i="105"/>
  <c r="X315" i="105" s="1"/>
  <c r="R315" i="105"/>
  <c r="Q315" i="105"/>
  <c r="N315" i="105"/>
  <c r="M315" i="105"/>
  <c r="L315" i="105"/>
  <c r="K315" i="105"/>
  <c r="AI314" i="105"/>
  <c r="AH314" i="105"/>
  <c r="AG314" i="105"/>
  <c r="W314" i="105"/>
  <c r="X314" i="105" s="1"/>
  <c r="Q314" i="105"/>
  <c r="R314" i="105" s="1"/>
  <c r="N314" i="105"/>
  <c r="M314" i="105"/>
  <c r="L314" i="105"/>
  <c r="K314" i="105"/>
  <c r="AI313" i="105"/>
  <c r="AH313" i="105"/>
  <c r="AG313" i="105"/>
  <c r="W313" i="105"/>
  <c r="X313" i="105" s="1"/>
  <c r="Q313" i="105"/>
  <c r="R313" i="105" s="1"/>
  <c r="N313" i="105"/>
  <c r="M313" i="105"/>
  <c r="L313" i="105"/>
  <c r="K313" i="105"/>
  <c r="AI312" i="105"/>
  <c r="AH312" i="105"/>
  <c r="AG312" i="105"/>
  <c r="W312" i="105"/>
  <c r="X312" i="105" s="1"/>
  <c r="Q312" i="105"/>
  <c r="R312" i="105" s="1"/>
  <c r="L312" i="105"/>
  <c r="N312" i="105" s="1"/>
  <c r="I312" i="105" s="1"/>
  <c r="K312" i="105"/>
  <c r="M312" i="105" s="1"/>
  <c r="AI311" i="105"/>
  <c r="AH311" i="105"/>
  <c r="AG311" i="105"/>
  <c r="X311" i="105"/>
  <c r="W311" i="105"/>
  <c r="R311" i="105"/>
  <c r="Q311" i="105"/>
  <c r="L311" i="105"/>
  <c r="N311" i="105" s="1"/>
  <c r="I311" i="105" s="1"/>
  <c r="K311" i="105"/>
  <c r="H311" i="105"/>
  <c r="M311" i="105" s="1"/>
  <c r="AI310" i="105"/>
  <c r="X310" i="105"/>
  <c r="W310" i="105"/>
  <c r="R310" i="105"/>
  <c r="Q310" i="105"/>
  <c r="L310" i="105"/>
  <c r="N310" i="105" s="1"/>
  <c r="I310" i="105" s="1"/>
  <c r="K310" i="105"/>
  <c r="M310" i="105" s="1"/>
  <c r="AI309" i="105"/>
  <c r="AG309" i="105"/>
  <c r="AH309" i="105" s="1"/>
  <c r="AH308" i="105" s="1"/>
  <c r="W309" i="105"/>
  <c r="X309" i="105" s="1"/>
  <c r="X308" i="105" s="1"/>
  <c r="Q309" i="105"/>
  <c r="R309" i="105" s="1"/>
  <c r="L309" i="105"/>
  <c r="N309" i="105" s="1"/>
  <c r="K309" i="105"/>
  <c r="M309" i="105" s="1"/>
  <c r="A309" i="105"/>
  <c r="A310" i="105" s="1"/>
  <c r="A311" i="105" s="1"/>
  <c r="A312" i="105" s="1"/>
  <c r="A313" i="105" s="1"/>
  <c r="A314" i="105" s="1"/>
  <c r="A315" i="105" s="1"/>
  <c r="A316" i="105" s="1"/>
  <c r="A317" i="105" s="1"/>
  <c r="A318" i="105" s="1"/>
  <c r="A319" i="105" s="1"/>
  <c r="A320" i="105" s="1"/>
  <c r="A321" i="105" s="1"/>
  <c r="A322" i="105" s="1"/>
  <c r="A323" i="105" s="1"/>
  <c r="A324" i="105" s="1"/>
  <c r="A325" i="105" s="1"/>
  <c r="A326" i="105" s="1"/>
  <c r="A327" i="105" s="1"/>
  <c r="A328" i="105" s="1"/>
  <c r="A329" i="105" s="1"/>
  <c r="A330" i="105" s="1"/>
  <c r="A331" i="105" s="1"/>
  <c r="AF308" i="105"/>
  <c r="U308" i="105"/>
  <c r="P308" i="105"/>
  <c r="H308" i="105"/>
  <c r="AI307" i="105"/>
  <c r="AH307" i="105"/>
  <c r="AG307" i="105"/>
  <c r="X307" i="105"/>
  <c r="W307" i="105"/>
  <c r="R307" i="105"/>
  <c r="Q307" i="105"/>
  <c r="N307" i="105"/>
  <c r="M307" i="105"/>
  <c r="L307" i="105"/>
  <c r="K307" i="105"/>
  <c r="AI306" i="105"/>
  <c r="AH306" i="105"/>
  <c r="AG306" i="105"/>
  <c r="X306" i="105"/>
  <c r="W306" i="105"/>
  <c r="R306" i="105"/>
  <c r="Q306" i="105"/>
  <c r="N306" i="105"/>
  <c r="M306" i="105"/>
  <c r="L306" i="105"/>
  <c r="K306" i="105"/>
  <c r="AI305" i="105"/>
  <c r="AH305" i="105"/>
  <c r="AG305" i="105"/>
  <c r="X305" i="105"/>
  <c r="W305" i="105"/>
  <c r="R305" i="105"/>
  <c r="Q305" i="105"/>
  <c r="N305" i="105"/>
  <c r="M305" i="105"/>
  <c r="L305" i="105"/>
  <c r="K305" i="105"/>
  <c r="AI304" i="105"/>
  <c r="AH304" i="105"/>
  <c r="AG304" i="105"/>
  <c r="X304" i="105"/>
  <c r="W304" i="105"/>
  <c r="R304" i="105"/>
  <c r="Q304" i="105"/>
  <c r="N304" i="105"/>
  <c r="M304" i="105"/>
  <c r="L304" i="105"/>
  <c r="K304" i="105"/>
  <c r="AI303" i="105"/>
  <c r="AH303" i="105"/>
  <c r="AG303" i="105"/>
  <c r="X303" i="105"/>
  <c r="W303" i="105"/>
  <c r="R303" i="105"/>
  <c r="Q303" i="105"/>
  <c r="N303" i="105"/>
  <c r="M303" i="105"/>
  <c r="L303" i="105"/>
  <c r="K303" i="105"/>
  <c r="AI302" i="105"/>
  <c r="AH302" i="105"/>
  <c r="AG302" i="105"/>
  <c r="X302" i="105"/>
  <c r="W302" i="105"/>
  <c r="R302" i="105"/>
  <c r="Q302" i="105"/>
  <c r="N302" i="105"/>
  <c r="M302" i="105"/>
  <c r="L302" i="105"/>
  <c r="K302" i="105"/>
  <c r="AI301" i="105"/>
  <c r="AH301" i="105"/>
  <c r="AG301" i="105"/>
  <c r="X301" i="105"/>
  <c r="W301" i="105"/>
  <c r="R301" i="105"/>
  <c r="Q301" i="105"/>
  <c r="N301" i="105"/>
  <c r="M301" i="105"/>
  <c r="L301" i="105"/>
  <c r="K301" i="105"/>
  <c r="AI300" i="105"/>
  <c r="AH300" i="105"/>
  <c r="AG300" i="105"/>
  <c r="X300" i="105"/>
  <c r="W300" i="105"/>
  <c r="R300" i="105"/>
  <c r="Q300" i="105"/>
  <c r="N300" i="105"/>
  <c r="M300" i="105"/>
  <c r="L300" i="105"/>
  <c r="K300" i="105"/>
  <c r="AI299" i="105"/>
  <c r="AH299" i="105"/>
  <c r="AG299" i="105"/>
  <c r="X299" i="105"/>
  <c r="W299" i="105"/>
  <c r="R299" i="105"/>
  <c r="Q299" i="105"/>
  <c r="N299" i="105"/>
  <c r="M299" i="105"/>
  <c r="L299" i="105"/>
  <c r="K299" i="105"/>
  <c r="AI298" i="105"/>
  <c r="AH298" i="105"/>
  <c r="AG298" i="105"/>
  <c r="W298" i="105"/>
  <c r="X298" i="105" s="1"/>
  <c r="R298" i="105"/>
  <c r="Q298" i="105"/>
  <c r="N298" i="105"/>
  <c r="M298" i="105"/>
  <c r="L298" i="105"/>
  <c r="K298" i="105"/>
  <c r="AI297" i="105"/>
  <c r="AH297" i="105"/>
  <c r="AG297" i="105"/>
  <c r="W297" i="105"/>
  <c r="X297" i="105" s="1"/>
  <c r="R297" i="105"/>
  <c r="Q297" i="105"/>
  <c r="N297" i="105"/>
  <c r="M297" i="105"/>
  <c r="L297" i="105"/>
  <c r="K297" i="105"/>
  <c r="AI296" i="105"/>
  <c r="AH296" i="105"/>
  <c r="AG296" i="105"/>
  <c r="W296" i="105"/>
  <c r="X296" i="105" s="1"/>
  <c r="R296" i="105"/>
  <c r="Q296" i="105"/>
  <c r="N296" i="105"/>
  <c r="M296" i="105"/>
  <c r="L296" i="105"/>
  <c r="K296" i="105"/>
  <c r="AI295" i="105"/>
  <c r="AH295" i="105"/>
  <c r="AG295" i="105"/>
  <c r="W295" i="105"/>
  <c r="X295" i="105" s="1"/>
  <c r="R295" i="105"/>
  <c r="Q295" i="105"/>
  <c r="N295" i="105"/>
  <c r="M295" i="105"/>
  <c r="L295" i="105"/>
  <c r="K295" i="105"/>
  <c r="AI294" i="105"/>
  <c r="AH294" i="105"/>
  <c r="AG294" i="105"/>
  <c r="W294" i="105"/>
  <c r="X294" i="105" s="1"/>
  <c r="R294" i="105"/>
  <c r="Q294" i="105"/>
  <c r="N294" i="105"/>
  <c r="M294" i="105"/>
  <c r="L294" i="105"/>
  <c r="K294" i="105"/>
  <c r="AI293" i="105"/>
  <c r="AH293" i="105"/>
  <c r="AG293" i="105"/>
  <c r="W293" i="105"/>
  <c r="X293" i="105" s="1"/>
  <c r="R293" i="105"/>
  <c r="Q293" i="105"/>
  <c r="N293" i="105"/>
  <c r="M293" i="105"/>
  <c r="L293" i="105"/>
  <c r="K293" i="105"/>
  <c r="AI292" i="105"/>
  <c r="AH292" i="105"/>
  <c r="AG292" i="105"/>
  <c r="W292" i="105"/>
  <c r="X292" i="105" s="1"/>
  <c r="R292" i="105"/>
  <c r="Q292" i="105"/>
  <c r="N292" i="105"/>
  <c r="M292" i="105"/>
  <c r="L292" i="105"/>
  <c r="K292" i="105"/>
  <c r="AI291" i="105"/>
  <c r="AH291" i="105"/>
  <c r="AG291" i="105"/>
  <c r="W291" i="105"/>
  <c r="X291" i="105" s="1"/>
  <c r="Q291" i="105"/>
  <c r="R291" i="105" s="1"/>
  <c r="N291" i="105"/>
  <c r="M291" i="105"/>
  <c r="L291" i="105"/>
  <c r="K291" i="105"/>
  <c r="AI290" i="105"/>
  <c r="AH290" i="105"/>
  <c r="AG290" i="105"/>
  <c r="W290" i="105"/>
  <c r="X290" i="105" s="1"/>
  <c r="Q290" i="105"/>
  <c r="R290" i="105" s="1"/>
  <c r="N290" i="105"/>
  <c r="M290" i="105"/>
  <c r="L290" i="105"/>
  <c r="K290" i="105"/>
  <c r="AI289" i="105"/>
  <c r="AH289" i="105"/>
  <c r="AG289" i="105"/>
  <c r="W289" i="105"/>
  <c r="X289" i="105" s="1"/>
  <c r="Q289" i="105"/>
  <c r="R289" i="105" s="1"/>
  <c r="N289" i="105"/>
  <c r="M289" i="105"/>
  <c r="L289" i="105"/>
  <c r="K289" i="105"/>
  <c r="AI288" i="105"/>
  <c r="AH288" i="105"/>
  <c r="AG288" i="105"/>
  <c r="W288" i="105"/>
  <c r="X288" i="105" s="1"/>
  <c r="Q288" i="105"/>
  <c r="R288" i="105" s="1"/>
  <c r="N288" i="105"/>
  <c r="M288" i="105"/>
  <c r="L288" i="105"/>
  <c r="K288" i="105"/>
  <c r="AI287" i="105"/>
  <c r="AH287" i="105"/>
  <c r="AG287" i="105"/>
  <c r="W287" i="105"/>
  <c r="X287" i="105" s="1"/>
  <c r="Q287" i="105"/>
  <c r="R287" i="105" s="1"/>
  <c r="N287" i="105"/>
  <c r="M287" i="105"/>
  <c r="L287" i="105"/>
  <c r="K287" i="105"/>
  <c r="AI286" i="105"/>
  <c r="AH286" i="105"/>
  <c r="AG286" i="105"/>
  <c r="W286" i="105"/>
  <c r="X286" i="105" s="1"/>
  <c r="Q286" i="105"/>
  <c r="R286" i="105" s="1"/>
  <c r="N286" i="105"/>
  <c r="M286" i="105"/>
  <c r="L286" i="105"/>
  <c r="K286" i="105"/>
  <c r="AI285" i="105"/>
  <c r="AH285" i="105"/>
  <c r="AG285" i="105"/>
  <c r="W285" i="105"/>
  <c r="X285" i="105" s="1"/>
  <c r="Q285" i="105"/>
  <c r="R285" i="105" s="1"/>
  <c r="N285" i="105"/>
  <c r="M285" i="105"/>
  <c r="L285" i="105"/>
  <c r="K285" i="105"/>
  <c r="AI284" i="105"/>
  <c r="AH284" i="105"/>
  <c r="AG284" i="105"/>
  <c r="W284" i="105"/>
  <c r="X284" i="105" s="1"/>
  <c r="Q284" i="105"/>
  <c r="R284" i="105" s="1"/>
  <c r="N284" i="105"/>
  <c r="M284" i="105"/>
  <c r="L284" i="105"/>
  <c r="K284" i="105"/>
  <c r="AI283" i="105"/>
  <c r="AH283" i="105"/>
  <c r="AG283" i="105"/>
  <c r="W283" i="105"/>
  <c r="X283" i="105" s="1"/>
  <c r="Q283" i="105"/>
  <c r="R283" i="105" s="1"/>
  <c r="N283" i="105"/>
  <c r="M283" i="105"/>
  <c r="L283" i="105"/>
  <c r="K283" i="105"/>
  <c r="AI282" i="105"/>
  <c r="AH282" i="105"/>
  <c r="AG282" i="105"/>
  <c r="W282" i="105"/>
  <c r="X282" i="105" s="1"/>
  <c r="Q282" i="105"/>
  <c r="R282" i="105" s="1"/>
  <c r="N282" i="105"/>
  <c r="M282" i="105"/>
  <c r="L282" i="105"/>
  <c r="K282" i="105"/>
  <c r="AI281" i="105"/>
  <c r="AG281" i="105"/>
  <c r="AH281" i="105" s="1"/>
  <c r="W281" i="105"/>
  <c r="X281" i="105" s="1"/>
  <c r="Q281" i="105"/>
  <c r="R281" i="105" s="1"/>
  <c r="L281" i="105"/>
  <c r="N281" i="105" s="1"/>
  <c r="I281" i="105" s="1"/>
  <c r="K281" i="105"/>
  <c r="M281" i="105" s="1"/>
  <c r="AI280" i="105"/>
  <c r="X280" i="105"/>
  <c r="W280" i="105"/>
  <c r="R280" i="105"/>
  <c r="Q280" i="105"/>
  <c r="L280" i="105"/>
  <c r="N280" i="105" s="1"/>
  <c r="I280" i="105" s="1"/>
  <c r="K280" i="105"/>
  <c r="M280" i="105" s="1"/>
  <c r="AI279" i="105"/>
  <c r="AG279" i="105"/>
  <c r="AH279" i="105" s="1"/>
  <c r="AH278" i="105" s="1"/>
  <c r="W279" i="105"/>
  <c r="X279" i="105" s="1"/>
  <c r="Q279" i="105"/>
  <c r="R279" i="105" s="1"/>
  <c r="R278" i="105" s="1"/>
  <c r="L279" i="105"/>
  <c r="N279" i="105" s="1"/>
  <c r="K279" i="105"/>
  <c r="M279" i="105" s="1"/>
  <c r="M278" i="105" s="1"/>
  <c r="A279" i="105"/>
  <c r="A280" i="105" s="1"/>
  <c r="A281" i="105" s="1"/>
  <c r="A282" i="105" s="1"/>
  <c r="A283" i="105" s="1"/>
  <c r="A284" i="105" s="1"/>
  <c r="A285" i="105" s="1"/>
  <c r="A286" i="105" s="1"/>
  <c r="A287" i="105" s="1"/>
  <c r="A288" i="105" s="1"/>
  <c r="A289" i="105" s="1"/>
  <c r="A290" i="105" s="1"/>
  <c r="A291" i="105" s="1"/>
  <c r="A292" i="105" s="1"/>
  <c r="A293" i="105" s="1"/>
  <c r="A294" i="105" s="1"/>
  <c r="A295" i="105" s="1"/>
  <c r="A296" i="105" s="1"/>
  <c r="A297" i="105" s="1"/>
  <c r="A298" i="105" s="1"/>
  <c r="A299" i="105" s="1"/>
  <c r="A300" i="105" s="1"/>
  <c r="A301" i="105" s="1"/>
  <c r="A302" i="105" s="1"/>
  <c r="A303" i="105" s="1"/>
  <c r="A304" i="105" s="1"/>
  <c r="A305" i="105" s="1"/>
  <c r="A306" i="105" s="1"/>
  <c r="A307" i="105" s="1"/>
  <c r="AF278" i="105"/>
  <c r="U278" i="105"/>
  <c r="P278" i="105"/>
  <c r="H278" i="105"/>
  <c r="AI277" i="105"/>
  <c r="AH277" i="105"/>
  <c r="AG277" i="105"/>
  <c r="X277" i="105"/>
  <c r="W277" i="105"/>
  <c r="R277" i="105"/>
  <c r="Q277" i="105"/>
  <c r="N277" i="105"/>
  <c r="M277" i="105"/>
  <c r="L277" i="105"/>
  <c r="K277" i="105"/>
  <c r="AI276" i="105"/>
  <c r="AH276" i="105"/>
  <c r="AG276" i="105"/>
  <c r="X276" i="105"/>
  <c r="W276" i="105"/>
  <c r="R276" i="105"/>
  <c r="Q276" i="105"/>
  <c r="N276" i="105"/>
  <c r="M276" i="105"/>
  <c r="L276" i="105"/>
  <c r="K276" i="105"/>
  <c r="AI275" i="105"/>
  <c r="AH275" i="105"/>
  <c r="AG275" i="105"/>
  <c r="X275" i="105"/>
  <c r="W275" i="105"/>
  <c r="R275" i="105"/>
  <c r="Q275" i="105"/>
  <c r="N275" i="105"/>
  <c r="M275" i="105"/>
  <c r="L275" i="105"/>
  <c r="K275" i="105"/>
  <c r="AI274" i="105"/>
  <c r="AH274" i="105"/>
  <c r="AG274" i="105"/>
  <c r="X274" i="105"/>
  <c r="W274" i="105"/>
  <c r="R274" i="105"/>
  <c r="Q274" i="105"/>
  <c r="N274" i="105"/>
  <c r="M274" i="105"/>
  <c r="L274" i="105"/>
  <c r="K274" i="105"/>
  <c r="AI273" i="105"/>
  <c r="AH273" i="105"/>
  <c r="AG273" i="105"/>
  <c r="X273" i="105"/>
  <c r="W273" i="105"/>
  <c r="R273" i="105"/>
  <c r="Q273" i="105"/>
  <c r="N273" i="105"/>
  <c r="M273" i="105"/>
  <c r="L273" i="105"/>
  <c r="K273" i="105"/>
  <c r="AI272" i="105"/>
  <c r="AG272" i="105"/>
  <c r="X272" i="105"/>
  <c r="X271" i="105" s="1"/>
  <c r="W272" i="105"/>
  <c r="R272" i="105"/>
  <c r="R271" i="105" s="1"/>
  <c r="Q272" i="105"/>
  <c r="L272" i="105"/>
  <c r="N272" i="105" s="1"/>
  <c r="K272" i="105"/>
  <c r="M272" i="105" s="1"/>
  <c r="M271" i="105" s="1"/>
  <c r="A272" i="105"/>
  <c r="A273" i="105" s="1"/>
  <c r="A274" i="105" s="1"/>
  <c r="A275" i="105" s="1"/>
  <c r="A276" i="105" s="1"/>
  <c r="A277" i="105" s="1"/>
  <c r="AH271" i="105"/>
  <c r="AF271" i="105"/>
  <c r="U271" i="105"/>
  <c r="P271" i="105"/>
  <c r="H271" i="105"/>
  <c r="AI270" i="105"/>
  <c r="AH270" i="105"/>
  <c r="AG270" i="105"/>
  <c r="X270" i="105"/>
  <c r="W270" i="105"/>
  <c r="R270" i="105"/>
  <c r="Q270" i="105"/>
  <c r="N270" i="105"/>
  <c r="M270" i="105"/>
  <c r="L270" i="105"/>
  <c r="K270" i="105"/>
  <c r="AI269" i="105"/>
  <c r="AH269" i="105"/>
  <c r="AG269" i="105"/>
  <c r="X269" i="105"/>
  <c r="W269" i="105"/>
  <c r="R269" i="105"/>
  <c r="Q269" i="105"/>
  <c r="N269" i="105"/>
  <c r="M269" i="105"/>
  <c r="L269" i="105"/>
  <c r="K269" i="105"/>
  <c r="AI268" i="105"/>
  <c r="AH268" i="105"/>
  <c r="AG268" i="105"/>
  <c r="X268" i="105"/>
  <c r="W268" i="105"/>
  <c r="R268" i="105"/>
  <c r="Q268" i="105"/>
  <c r="N268" i="105"/>
  <c r="M268" i="105"/>
  <c r="L268" i="105"/>
  <c r="K268" i="105"/>
  <c r="AI267" i="105"/>
  <c r="AH267" i="105"/>
  <c r="AG267" i="105"/>
  <c r="X267" i="105"/>
  <c r="W267" i="105"/>
  <c r="R267" i="105"/>
  <c r="Q267" i="105"/>
  <c r="N267" i="105"/>
  <c r="M267" i="105"/>
  <c r="L267" i="105"/>
  <c r="K267" i="105"/>
  <c r="AI266" i="105"/>
  <c r="AH266" i="105"/>
  <c r="AG266" i="105"/>
  <c r="X266" i="105"/>
  <c r="W266" i="105"/>
  <c r="R266" i="105"/>
  <c r="Q266" i="105"/>
  <c r="N266" i="105"/>
  <c r="M266" i="105"/>
  <c r="L266" i="105"/>
  <c r="K266" i="105"/>
  <c r="AI265" i="105"/>
  <c r="AH265" i="105"/>
  <c r="AG265" i="105"/>
  <c r="X265" i="105"/>
  <c r="W265" i="105"/>
  <c r="R265" i="105"/>
  <c r="Q265" i="105"/>
  <c r="N265" i="105"/>
  <c r="M265" i="105"/>
  <c r="L265" i="105"/>
  <c r="K265" i="105"/>
  <c r="AI264" i="105"/>
  <c r="AH264" i="105"/>
  <c r="AG264" i="105"/>
  <c r="X264" i="105"/>
  <c r="W264" i="105"/>
  <c r="R264" i="105"/>
  <c r="Q264" i="105"/>
  <c r="N264" i="105"/>
  <c r="M264" i="105"/>
  <c r="L264" i="105"/>
  <c r="K264" i="105"/>
  <c r="AI263" i="105"/>
  <c r="AG263" i="105"/>
  <c r="W263" i="105"/>
  <c r="X263" i="105" s="1"/>
  <c r="X262" i="105" s="1"/>
  <c r="R263" i="105"/>
  <c r="Q263" i="105"/>
  <c r="L263" i="105"/>
  <c r="N263" i="105" s="1"/>
  <c r="K263" i="105"/>
  <c r="M263" i="105" s="1"/>
  <c r="M262" i="105" s="1"/>
  <c r="A263" i="105"/>
  <c r="A264" i="105" s="1"/>
  <c r="A265" i="105" s="1"/>
  <c r="A266" i="105" s="1"/>
  <c r="A267" i="105" s="1"/>
  <c r="A268" i="105" s="1"/>
  <c r="A269" i="105" s="1"/>
  <c r="A270" i="105" s="1"/>
  <c r="AH262" i="105"/>
  <c r="AF262" i="105"/>
  <c r="U262" i="105"/>
  <c r="R262" i="105"/>
  <c r="P262" i="105"/>
  <c r="H262" i="105"/>
  <c r="AI261" i="105"/>
  <c r="AH261" i="105"/>
  <c r="AG261" i="105"/>
  <c r="X261" i="105"/>
  <c r="W261" i="105"/>
  <c r="R261" i="105"/>
  <c r="Q261" i="105"/>
  <c r="N261" i="105"/>
  <c r="M261" i="105"/>
  <c r="L261" i="105"/>
  <c r="K261" i="105"/>
  <c r="AI260" i="105"/>
  <c r="AH260" i="105"/>
  <c r="AG260" i="105"/>
  <c r="X260" i="105"/>
  <c r="W260" i="105"/>
  <c r="R260" i="105"/>
  <c r="Q260" i="105"/>
  <c r="N260" i="105"/>
  <c r="M260" i="105"/>
  <c r="L260" i="105"/>
  <c r="K260" i="105"/>
  <c r="AI259" i="105"/>
  <c r="AH259" i="105"/>
  <c r="AG259" i="105"/>
  <c r="X259" i="105"/>
  <c r="W259" i="105"/>
  <c r="R259" i="105"/>
  <c r="Q259" i="105"/>
  <c r="N259" i="105"/>
  <c r="M259" i="105"/>
  <c r="L259" i="105"/>
  <c r="K259" i="105"/>
  <c r="AI258" i="105"/>
  <c r="AH258" i="105"/>
  <c r="AG258" i="105"/>
  <c r="X258" i="105"/>
  <c r="W258" i="105"/>
  <c r="R258" i="105"/>
  <c r="Q258" i="105"/>
  <c r="N258" i="105"/>
  <c r="M258" i="105"/>
  <c r="L258" i="105"/>
  <c r="K258" i="105"/>
  <c r="AI257" i="105"/>
  <c r="AH257" i="105"/>
  <c r="AG257" i="105"/>
  <c r="W257" i="105"/>
  <c r="X257" i="105" s="1"/>
  <c r="R257" i="105"/>
  <c r="Q257" i="105"/>
  <c r="N257" i="105"/>
  <c r="M257" i="105"/>
  <c r="L257" i="105"/>
  <c r="K257" i="105"/>
  <c r="AI256" i="105"/>
  <c r="AH256" i="105"/>
  <c r="AG256" i="105"/>
  <c r="W256" i="105"/>
  <c r="X256" i="105" s="1"/>
  <c r="R256" i="105"/>
  <c r="Q256" i="105"/>
  <c r="N256" i="105"/>
  <c r="M256" i="105"/>
  <c r="L256" i="105"/>
  <c r="K256" i="105"/>
  <c r="AI255" i="105"/>
  <c r="AH255" i="105"/>
  <c r="AG255" i="105"/>
  <c r="W255" i="105"/>
  <c r="X255" i="105" s="1"/>
  <c r="R255" i="105"/>
  <c r="Q255" i="105"/>
  <c r="N255" i="105"/>
  <c r="M255" i="105"/>
  <c r="L255" i="105"/>
  <c r="K255" i="105"/>
  <c r="AI254" i="105"/>
  <c r="AH254" i="105"/>
  <c r="AG254" i="105"/>
  <c r="W254" i="105"/>
  <c r="X254" i="105" s="1"/>
  <c r="R254" i="105"/>
  <c r="Q254" i="105"/>
  <c r="N254" i="105"/>
  <c r="M254" i="105"/>
  <c r="L254" i="105"/>
  <c r="K254" i="105"/>
  <c r="AI253" i="105"/>
  <c r="AH253" i="105"/>
  <c r="AG253" i="105"/>
  <c r="W253" i="105"/>
  <c r="X253" i="105" s="1"/>
  <c r="R253" i="105"/>
  <c r="Q253" i="105"/>
  <c r="N253" i="105"/>
  <c r="M253" i="105"/>
  <c r="L253" i="105"/>
  <c r="K253" i="105"/>
  <c r="AI252" i="105"/>
  <c r="AH252" i="105"/>
  <c r="AG252" i="105"/>
  <c r="W252" i="105"/>
  <c r="X252" i="105" s="1"/>
  <c r="R252" i="105"/>
  <c r="Q252" i="105"/>
  <c r="N252" i="105"/>
  <c r="M252" i="105"/>
  <c r="L252" i="105"/>
  <c r="K252" i="105"/>
  <c r="AI251" i="105"/>
  <c r="AH251" i="105"/>
  <c r="AG251" i="105"/>
  <c r="W251" i="105"/>
  <c r="X251" i="105" s="1"/>
  <c r="R251" i="105"/>
  <c r="Q251" i="105"/>
  <c r="N251" i="105"/>
  <c r="M251" i="105"/>
  <c r="L251" i="105"/>
  <c r="K251" i="105"/>
  <c r="AI250" i="105"/>
  <c r="AH250" i="105"/>
  <c r="AG250" i="105"/>
  <c r="W250" i="105"/>
  <c r="X250" i="105" s="1"/>
  <c r="R250" i="105"/>
  <c r="Q250" i="105"/>
  <c r="N250" i="105"/>
  <c r="M250" i="105"/>
  <c r="L250" i="105"/>
  <c r="K250" i="105"/>
  <c r="AI249" i="105"/>
  <c r="AH249" i="105"/>
  <c r="AG249" i="105"/>
  <c r="W249" i="105"/>
  <c r="X249" i="105" s="1"/>
  <c r="R249" i="105"/>
  <c r="Q249" i="105"/>
  <c r="N249" i="105"/>
  <c r="M249" i="105"/>
  <c r="L249" i="105"/>
  <c r="K249" i="105"/>
  <c r="AI248" i="105"/>
  <c r="AH248" i="105"/>
  <c r="AG248" i="105"/>
  <c r="W248" i="105"/>
  <c r="X248" i="105" s="1"/>
  <c r="R248" i="105"/>
  <c r="Q248" i="105"/>
  <c r="N248" i="105"/>
  <c r="M248" i="105"/>
  <c r="L248" i="105"/>
  <c r="K248" i="105"/>
  <c r="AI247" i="105"/>
  <c r="AH247" i="105"/>
  <c r="AG247" i="105"/>
  <c r="W247" i="105"/>
  <c r="X247" i="105" s="1"/>
  <c r="R247" i="105"/>
  <c r="Q247" i="105"/>
  <c r="N247" i="105"/>
  <c r="M247" i="105"/>
  <c r="L247" i="105"/>
  <c r="K247" i="105"/>
  <c r="AI246" i="105"/>
  <c r="AH246" i="105"/>
  <c r="AG246" i="105"/>
  <c r="W246" i="105"/>
  <c r="X246" i="105" s="1"/>
  <c r="Q246" i="105"/>
  <c r="R246" i="105" s="1"/>
  <c r="N246" i="105"/>
  <c r="M246" i="105"/>
  <c r="L246" i="105"/>
  <c r="K246" i="105"/>
  <c r="AI245" i="105"/>
  <c r="AH245" i="105"/>
  <c r="AG245" i="105"/>
  <c r="W245" i="105"/>
  <c r="X245" i="105" s="1"/>
  <c r="Q245" i="105"/>
  <c r="R245" i="105" s="1"/>
  <c r="N245" i="105"/>
  <c r="M245" i="105"/>
  <c r="L245" i="105"/>
  <c r="K245" i="105"/>
  <c r="AI244" i="105"/>
  <c r="AH244" i="105"/>
  <c r="AG244" i="105"/>
  <c r="W244" i="105"/>
  <c r="X244" i="105" s="1"/>
  <c r="Q244" i="105"/>
  <c r="R244" i="105" s="1"/>
  <c r="N244" i="105"/>
  <c r="M244" i="105"/>
  <c r="L244" i="105"/>
  <c r="K244" i="105"/>
  <c r="AI243" i="105"/>
  <c r="AH243" i="105"/>
  <c r="AG243" i="105"/>
  <c r="W243" i="105"/>
  <c r="X243" i="105" s="1"/>
  <c r="Q243" i="105"/>
  <c r="R243" i="105" s="1"/>
  <c r="N243" i="105"/>
  <c r="M243" i="105"/>
  <c r="L243" i="105"/>
  <c r="K243" i="105"/>
  <c r="AI242" i="105"/>
  <c r="AH242" i="105"/>
  <c r="AG242" i="105"/>
  <c r="W242" i="105"/>
  <c r="X242" i="105" s="1"/>
  <c r="Q242" i="105"/>
  <c r="R242" i="105" s="1"/>
  <c r="N242" i="105"/>
  <c r="M242" i="105"/>
  <c r="L242" i="105"/>
  <c r="K242" i="105"/>
  <c r="AI241" i="105"/>
  <c r="AH241" i="105"/>
  <c r="AG241" i="105"/>
  <c r="W241" i="105"/>
  <c r="X241" i="105" s="1"/>
  <c r="Q241" i="105"/>
  <c r="R241" i="105" s="1"/>
  <c r="N241" i="105"/>
  <c r="M241" i="105"/>
  <c r="L241" i="105"/>
  <c r="K241" i="105"/>
  <c r="AI240" i="105"/>
  <c r="AH240" i="105"/>
  <c r="AG240" i="105"/>
  <c r="W240" i="105"/>
  <c r="X240" i="105" s="1"/>
  <c r="Q240" i="105"/>
  <c r="R240" i="105" s="1"/>
  <c r="N240" i="105"/>
  <c r="M240" i="105"/>
  <c r="L240" i="105"/>
  <c r="K240" i="105"/>
  <c r="AI239" i="105"/>
  <c r="AH239" i="105"/>
  <c r="AG239" i="105"/>
  <c r="W239" i="105"/>
  <c r="X239" i="105" s="1"/>
  <c r="Q239" i="105"/>
  <c r="R239" i="105" s="1"/>
  <c r="L239" i="105"/>
  <c r="N239" i="105" s="1"/>
  <c r="I239" i="105" s="1"/>
  <c r="K239" i="105"/>
  <c r="M239" i="105" s="1"/>
  <c r="AI238" i="105"/>
  <c r="AH238" i="105"/>
  <c r="AH236" i="105" s="1"/>
  <c r="AG238" i="105"/>
  <c r="X238" i="105"/>
  <c r="W238" i="105"/>
  <c r="R238" i="105"/>
  <c r="Q238" i="105"/>
  <c r="L238" i="105"/>
  <c r="N238" i="105" s="1"/>
  <c r="I238" i="105" s="1"/>
  <c r="K238" i="105"/>
  <c r="M238" i="105" s="1"/>
  <c r="AI237" i="105"/>
  <c r="W237" i="105"/>
  <c r="X237" i="105" s="1"/>
  <c r="X236" i="105" s="1"/>
  <c r="Q237" i="105"/>
  <c r="R237" i="105" s="1"/>
  <c r="L237" i="105"/>
  <c r="K237" i="105"/>
  <c r="H237" i="105"/>
  <c r="N237" i="105" s="1"/>
  <c r="A237" i="105"/>
  <c r="A238" i="105" s="1"/>
  <c r="A239" i="105" s="1"/>
  <c r="A240" i="105" s="1"/>
  <c r="A241" i="105" s="1"/>
  <c r="A242" i="105" s="1"/>
  <c r="A243" i="105" s="1"/>
  <c r="A244" i="105" s="1"/>
  <c r="A245" i="105" s="1"/>
  <c r="A246" i="105" s="1"/>
  <c r="A247" i="105" s="1"/>
  <c r="A248" i="105" s="1"/>
  <c r="A249" i="105" s="1"/>
  <c r="A250" i="105" s="1"/>
  <c r="A251" i="105" s="1"/>
  <c r="A252" i="105" s="1"/>
  <c r="A253" i="105" s="1"/>
  <c r="A254" i="105" s="1"/>
  <c r="A255" i="105" s="1"/>
  <c r="A256" i="105" s="1"/>
  <c r="A257" i="105" s="1"/>
  <c r="A258" i="105" s="1"/>
  <c r="A259" i="105" s="1"/>
  <c r="A260" i="105" s="1"/>
  <c r="A261" i="105" s="1"/>
  <c r="AF236" i="105"/>
  <c r="U236" i="105"/>
  <c r="P236" i="105"/>
  <c r="H236" i="105"/>
  <c r="AI235" i="105"/>
  <c r="AH235" i="105"/>
  <c r="AG235" i="105"/>
  <c r="X235" i="105"/>
  <c r="W235" i="105"/>
  <c r="R235" i="105"/>
  <c r="Q235" i="105"/>
  <c r="N235" i="105"/>
  <c r="M235" i="105"/>
  <c r="L235" i="105"/>
  <c r="K235" i="105"/>
  <c r="AI234" i="105"/>
  <c r="AH234" i="105"/>
  <c r="AG234" i="105"/>
  <c r="X234" i="105"/>
  <c r="W234" i="105"/>
  <c r="R234" i="105"/>
  <c r="Q234" i="105"/>
  <c r="N234" i="105"/>
  <c r="M234" i="105"/>
  <c r="L234" i="105"/>
  <c r="K234" i="105"/>
  <c r="AI233" i="105"/>
  <c r="AH233" i="105"/>
  <c r="AG233" i="105"/>
  <c r="X233" i="105"/>
  <c r="W233" i="105"/>
  <c r="R233" i="105"/>
  <c r="Q233" i="105"/>
  <c r="N233" i="105"/>
  <c r="M233" i="105"/>
  <c r="L233" i="105"/>
  <c r="K233" i="105"/>
  <c r="AI232" i="105"/>
  <c r="AH232" i="105"/>
  <c r="AG232" i="105"/>
  <c r="X232" i="105"/>
  <c r="W232" i="105"/>
  <c r="R232" i="105"/>
  <c r="Q232" i="105"/>
  <c r="N232" i="105"/>
  <c r="M232" i="105"/>
  <c r="L232" i="105"/>
  <c r="K232" i="105"/>
  <c r="AI231" i="105"/>
  <c r="AH231" i="105"/>
  <c r="AG231" i="105"/>
  <c r="X231" i="105"/>
  <c r="W231" i="105"/>
  <c r="R231" i="105"/>
  <c r="Q231" i="105"/>
  <c r="N231" i="105"/>
  <c r="M231" i="105"/>
  <c r="L231" i="105"/>
  <c r="K231" i="105"/>
  <c r="AI230" i="105"/>
  <c r="AH230" i="105"/>
  <c r="AG230" i="105"/>
  <c r="X230" i="105"/>
  <c r="W230" i="105"/>
  <c r="R230" i="105"/>
  <c r="Q230" i="105"/>
  <c r="N230" i="105"/>
  <c r="M230" i="105"/>
  <c r="L230" i="105"/>
  <c r="K230" i="105"/>
  <c r="A230" i="105"/>
  <c r="A231" i="105" s="1"/>
  <c r="A232" i="105" s="1"/>
  <c r="A233" i="105" s="1"/>
  <c r="A234" i="105" s="1"/>
  <c r="A235" i="105" s="1"/>
  <c r="AI229" i="105"/>
  <c r="AH229" i="105"/>
  <c r="AH228" i="105" s="1"/>
  <c r="AG229" i="105"/>
  <c r="X229" i="105"/>
  <c r="X228" i="105" s="1"/>
  <c r="W229" i="105"/>
  <c r="R229" i="105"/>
  <c r="R228" i="105" s="1"/>
  <c r="Q229" i="105"/>
  <c r="L229" i="105"/>
  <c r="N229" i="105" s="1"/>
  <c r="K229" i="105"/>
  <c r="M229" i="105" s="1"/>
  <c r="M228" i="105" s="1"/>
  <c r="A229" i="105"/>
  <c r="AF228" i="105"/>
  <c r="U228" i="105"/>
  <c r="P228" i="105"/>
  <c r="H228" i="105"/>
  <c r="AI227" i="105"/>
  <c r="AH227" i="105"/>
  <c r="AG227" i="105"/>
  <c r="X227" i="105"/>
  <c r="W227" i="105"/>
  <c r="R227" i="105"/>
  <c r="Q227" i="105"/>
  <c r="N227" i="105"/>
  <c r="M227" i="105"/>
  <c r="L227" i="105"/>
  <c r="K227" i="105"/>
  <c r="AI226" i="105"/>
  <c r="AH226" i="105"/>
  <c r="AG226" i="105"/>
  <c r="X226" i="105"/>
  <c r="W226" i="105"/>
  <c r="R226" i="105"/>
  <c r="Q226" i="105"/>
  <c r="N226" i="105"/>
  <c r="M226" i="105"/>
  <c r="L226" i="105"/>
  <c r="K226" i="105"/>
  <c r="AI225" i="105"/>
  <c r="AH225" i="105"/>
  <c r="AG225" i="105"/>
  <c r="X225" i="105"/>
  <c r="W225" i="105"/>
  <c r="R225" i="105"/>
  <c r="Q225" i="105"/>
  <c r="N225" i="105"/>
  <c r="M225" i="105"/>
  <c r="L225" i="105"/>
  <c r="K225" i="105"/>
  <c r="AI224" i="105"/>
  <c r="AH224" i="105"/>
  <c r="AG224" i="105"/>
  <c r="X224" i="105"/>
  <c r="W224" i="105"/>
  <c r="R224" i="105"/>
  <c r="Q224" i="105"/>
  <c r="N224" i="105"/>
  <c r="M224" i="105"/>
  <c r="L224" i="105"/>
  <c r="K224" i="105"/>
  <c r="AI223" i="105"/>
  <c r="AH223" i="105"/>
  <c r="AG223" i="105"/>
  <c r="X223" i="105"/>
  <c r="W223" i="105"/>
  <c r="R223" i="105"/>
  <c r="Q223" i="105"/>
  <c r="N223" i="105"/>
  <c r="M223" i="105"/>
  <c r="L223" i="105"/>
  <c r="K223" i="105"/>
  <c r="AI222" i="105"/>
  <c r="AH222" i="105"/>
  <c r="AG222" i="105"/>
  <c r="X222" i="105"/>
  <c r="W222" i="105"/>
  <c r="R222" i="105"/>
  <c r="Q222" i="105"/>
  <c r="N222" i="105"/>
  <c r="M222" i="105"/>
  <c r="L222" i="105"/>
  <c r="K222" i="105"/>
  <c r="A222" i="105"/>
  <c r="A223" i="105" s="1"/>
  <c r="A224" i="105" s="1"/>
  <c r="A225" i="105" s="1"/>
  <c r="A226" i="105" s="1"/>
  <c r="A227" i="105" s="1"/>
  <c r="AI221" i="105"/>
  <c r="AH221" i="105"/>
  <c r="AH220" i="105" s="1"/>
  <c r="AG221" i="105"/>
  <c r="X221" i="105"/>
  <c r="X220" i="105" s="1"/>
  <c r="W221" i="105"/>
  <c r="R221" i="105"/>
  <c r="R220" i="105" s="1"/>
  <c r="Q221" i="105"/>
  <c r="L221" i="105"/>
  <c r="N221" i="105" s="1"/>
  <c r="K221" i="105"/>
  <c r="M221" i="105" s="1"/>
  <c r="M220" i="105" s="1"/>
  <c r="A221" i="105"/>
  <c r="AF220" i="105"/>
  <c r="U220" i="105"/>
  <c r="P220" i="105"/>
  <c r="H220" i="105"/>
  <c r="AI219" i="105"/>
  <c r="AH219" i="105"/>
  <c r="AG219" i="105"/>
  <c r="X219" i="105"/>
  <c r="W219" i="105"/>
  <c r="R219" i="105"/>
  <c r="Q219" i="105"/>
  <c r="N219" i="105"/>
  <c r="M219" i="105"/>
  <c r="L219" i="105"/>
  <c r="K219" i="105"/>
  <c r="AI218" i="105"/>
  <c r="AH218" i="105"/>
  <c r="AG218" i="105"/>
  <c r="X218" i="105"/>
  <c r="W218" i="105"/>
  <c r="R218" i="105"/>
  <c r="Q218" i="105"/>
  <c r="N218" i="105"/>
  <c r="M218" i="105"/>
  <c r="L218" i="105"/>
  <c r="K218" i="105"/>
  <c r="AI217" i="105"/>
  <c r="AH217" i="105"/>
  <c r="AG217" i="105"/>
  <c r="X217" i="105"/>
  <c r="W217" i="105"/>
  <c r="R217" i="105"/>
  <c r="Q217" i="105"/>
  <c r="N217" i="105"/>
  <c r="M217" i="105"/>
  <c r="L217" i="105"/>
  <c r="K217" i="105"/>
  <c r="AI216" i="105"/>
  <c r="AH216" i="105"/>
  <c r="AG216" i="105"/>
  <c r="X216" i="105"/>
  <c r="W216" i="105"/>
  <c r="R216" i="105"/>
  <c r="Q216" i="105"/>
  <c r="N216" i="105"/>
  <c r="M216" i="105"/>
  <c r="L216" i="105"/>
  <c r="K216" i="105"/>
  <c r="AI215" i="105"/>
  <c r="AH215" i="105"/>
  <c r="AG215" i="105"/>
  <c r="X215" i="105"/>
  <c r="W215" i="105"/>
  <c r="R215" i="105"/>
  <c r="Q215" i="105"/>
  <c r="N215" i="105"/>
  <c r="M215" i="105"/>
  <c r="L215" i="105"/>
  <c r="K215" i="105"/>
  <c r="AI214" i="105"/>
  <c r="AH214" i="105"/>
  <c r="AG214" i="105"/>
  <c r="X214" i="105"/>
  <c r="W214" i="105"/>
  <c r="R214" i="105"/>
  <c r="Q214" i="105"/>
  <c r="N214" i="105"/>
  <c r="M214" i="105"/>
  <c r="L214" i="105"/>
  <c r="K214" i="105"/>
  <c r="AI213" i="105"/>
  <c r="AH213" i="105"/>
  <c r="AG213" i="105"/>
  <c r="X213" i="105"/>
  <c r="W213" i="105"/>
  <c r="R213" i="105"/>
  <c r="Q213" i="105"/>
  <c r="N213" i="105"/>
  <c r="M213" i="105"/>
  <c r="L213" i="105"/>
  <c r="K213" i="105"/>
  <c r="AI212" i="105"/>
  <c r="AH212" i="105"/>
  <c r="AG212" i="105"/>
  <c r="X212" i="105"/>
  <c r="W212" i="105"/>
  <c r="R212" i="105"/>
  <c r="Q212" i="105"/>
  <c r="N212" i="105"/>
  <c r="M212" i="105"/>
  <c r="L212" i="105"/>
  <c r="K212" i="105"/>
  <c r="AI211" i="105"/>
  <c r="AH211" i="105"/>
  <c r="AG211" i="105"/>
  <c r="X211" i="105"/>
  <c r="W211" i="105"/>
  <c r="R211" i="105"/>
  <c r="Q211" i="105"/>
  <c r="L211" i="105"/>
  <c r="N211" i="105" s="1"/>
  <c r="I211" i="105" s="1"/>
  <c r="K211" i="105"/>
  <c r="M211" i="105" s="1"/>
  <c r="AI210" i="105"/>
  <c r="AH210" i="105"/>
  <c r="AG210" i="105"/>
  <c r="W210" i="105"/>
  <c r="X210" i="105" s="1"/>
  <c r="Q210" i="105"/>
  <c r="R210" i="105" s="1"/>
  <c r="L210" i="105"/>
  <c r="N210" i="105" s="1"/>
  <c r="I210" i="105" s="1"/>
  <c r="K210" i="105"/>
  <c r="M210" i="105" s="1"/>
  <c r="AI209" i="105"/>
  <c r="AG209" i="105"/>
  <c r="W209" i="105"/>
  <c r="X209" i="105" s="1"/>
  <c r="X208" i="105" s="1"/>
  <c r="Q209" i="105"/>
  <c r="R209" i="105" s="1"/>
  <c r="R208" i="105" s="1"/>
  <c r="L209" i="105"/>
  <c r="N209" i="105" s="1"/>
  <c r="K209" i="105"/>
  <c r="M209" i="105" s="1"/>
  <c r="A209" i="105"/>
  <c r="A210" i="105" s="1"/>
  <c r="A211" i="105" s="1"/>
  <c r="A212" i="105" s="1"/>
  <c r="A213" i="105" s="1"/>
  <c r="A214" i="105" s="1"/>
  <c r="A215" i="105" s="1"/>
  <c r="A216" i="105" s="1"/>
  <c r="A217" i="105" s="1"/>
  <c r="A218" i="105" s="1"/>
  <c r="A219" i="105" s="1"/>
  <c r="AH208" i="105"/>
  <c r="AF208" i="105"/>
  <c r="U208" i="105"/>
  <c r="P208" i="105"/>
  <c r="H208" i="105"/>
  <c r="AI207" i="105"/>
  <c r="AH207" i="105"/>
  <c r="AG207" i="105"/>
  <c r="X207" i="105"/>
  <c r="W207" i="105"/>
  <c r="R207" i="105"/>
  <c r="Q207" i="105"/>
  <c r="N207" i="105"/>
  <c r="M207" i="105"/>
  <c r="L207" i="105"/>
  <c r="K207" i="105"/>
  <c r="AI206" i="105"/>
  <c r="AH206" i="105"/>
  <c r="AG206" i="105"/>
  <c r="X206" i="105"/>
  <c r="W206" i="105"/>
  <c r="R206" i="105"/>
  <c r="Q206" i="105"/>
  <c r="N206" i="105"/>
  <c r="M206" i="105"/>
  <c r="L206" i="105"/>
  <c r="K206" i="105"/>
  <c r="AI205" i="105"/>
  <c r="AH205" i="105"/>
  <c r="AG205" i="105"/>
  <c r="X205" i="105"/>
  <c r="W205" i="105"/>
  <c r="R205" i="105"/>
  <c r="Q205" i="105"/>
  <c r="N205" i="105"/>
  <c r="M205" i="105"/>
  <c r="L205" i="105"/>
  <c r="K205" i="105"/>
  <c r="AI204" i="105"/>
  <c r="AH204" i="105"/>
  <c r="AG204" i="105"/>
  <c r="X204" i="105"/>
  <c r="W204" i="105"/>
  <c r="R204" i="105"/>
  <c r="Q204" i="105"/>
  <c r="N204" i="105"/>
  <c r="M204" i="105"/>
  <c r="L204" i="105"/>
  <c r="K204" i="105"/>
  <c r="AI203" i="105"/>
  <c r="AH203" i="105"/>
  <c r="AG203" i="105"/>
  <c r="X203" i="105"/>
  <c r="W203" i="105"/>
  <c r="R203" i="105"/>
  <c r="Q203" i="105"/>
  <c r="N203" i="105"/>
  <c r="M203" i="105"/>
  <c r="L203" i="105"/>
  <c r="K203" i="105"/>
  <c r="AI202" i="105"/>
  <c r="AH202" i="105"/>
  <c r="AG202" i="105"/>
  <c r="X202" i="105"/>
  <c r="W202" i="105"/>
  <c r="R202" i="105"/>
  <c r="Q202" i="105"/>
  <c r="N202" i="105"/>
  <c r="M202" i="105"/>
  <c r="L202" i="105"/>
  <c r="K202" i="105"/>
  <c r="AI201" i="105"/>
  <c r="AG201" i="105"/>
  <c r="X201" i="105"/>
  <c r="W201" i="105"/>
  <c r="R201" i="105"/>
  <c r="Q201" i="105"/>
  <c r="L201" i="105"/>
  <c r="N201" i="105" s="1"/>
  <c r="K201" i="105"/>
  <c r="H201" i="105"/>
  <c r="M201" i="105" s="1"/>
  <c r="M200" i="105" s="1"/>
  <c r="A201" i="105"/>
  <c r="A202" i="105" s="1"/>
  <c r="A203" i="105" s="1"/>
  <c r="A204" i="105" s="1"/>
  <c r="A205" i="105" s="1"/>
  <c r="A206" i="105" s="1"/>
  <c r="A207" i="105" s="1"/>
  <c r="AH200" i="105"/>
  <c r="AF200" i="105"/>
  <c r="X200" i="105"/>
  <c r="U200" i="105"/>
  <c r="R200" i="105"/>
  <c r="P200" i="105"/>
  <c r="H200" i="105"/>
  <c r="AI199" i="105"/>
  <c r="AH199" i="105"/>
  <c r="AG199" i="105"/>
  <c r="X199" i="105"/>
  <c r="W199" i="105"/>
  <c r="R199" i="105"/>
  <c r="Q199" i="105"/>
  <c r="N199" i="105"/>
  <c r="M199" i="105"/>
  <c r="L199" i="105"/>
  <c r="K199" i="105"/>
  <c r="AI198" i="105"/>
  <c r="AH198" i="105"/>
  <c r="AG198" i="105"/>
  <c r="X198" i="105"/>
  <c r="W198" i="105"/>
  <c r="R198" i="105"/>
  <c r="Q198" i="105"/>
  <c r="N198" i="105"/>
  <c r="M198" i="105"/>
  <c r="L198" i="105"/>
  <c r="K198" i="105"/>
  <c r="AI197" i="105"/>
  <c r="AH197" i="105"/>
  <c r="AG197" i="105"/>
  <c r="X197" i="105"/>
  <c r="W197" i="105"/>
  <c r="R197" i="105"/>
  <c r="Q197" i="105"/>
  <c r="N197" i="105"/>
  <c r="M197" i="105"/>
  <c r="L197" i="105"/>
  <c r="K197" i="105"/>
  <c r="AI196" i="105"/>
  <c r="AH196" i="105"/>
  <c r="AG196" i="105"/>
  <c r="X196" i="105"/>
  <c r="W196" i="105"/>
  <c r="R196" i="105"/>
  <c r="Q196" i="105"/>
  <c r="N196" i="105"/>
  <c r="M196" i="105"/>
  <c r="L196" i="105"/>
  <c r="K196" i="105"/>
  <c r="AI195" i="105"/>
  <c r="AH195" i="105"/>
  <c r="AG195" i="105"/>
  <c r="X195" i="105"/>
  <c r="W195" i="105"/>
  <c r="R195" i="105"/>
  <c r="Q195" i="105"/>
  <c r="N195" i="105"/>
  <c r="M195" i="105"/>
  <c r="L195" i="105"/>
  <c r="K195" i="105"/>
  <c r="AI194" i="105"/>
  <c r="AH194" i="105"/>
  <c r="AG194" i="105"/>
  <c r="X194" i="105"/>
  <c r="W194" i="105"/>
  <c r="R194" i="105"/>
  <c r="Q194" i="105"/>
  <c r="N194" i="105"/>
  <c r="M194" i="105"/>
  <c r="L194" i="105"/>
  <c r="K194" i="105"/>
  <c r="AI193" i="105"/>
  <c r="AH193" i="105"/>
  <c r="AG193" i="105"/>
  <c r="X193" i="105"/>
  <c r="W193" i="105"/>
  <c r="R193" i="105"/>
  <c r="Q193" i="105"/>
  <c r="N193" i="105"/>
  <c r="M193" i="105"/>
  <c r="L193" i="105"/>
  <c r="K193" i="105"/>
  <c r="AI192" i="105"/>
  <c r="AH192" i="105"/>
  <c r="AG192" i="105"/>
  <c r="X192" i="105"/>
  <c r="W192" i="105"/>
  <c r="R192" i="105"/>
  <c r="Q192" i="105"/>
  <c r="N192" i="105"/>
  <c r="M192" i="105"/>
  <c r="L192" i="105"/>
  <c r="K192" i="105"/>
  <c r="AI191" i="105"/>
  <c r="AG191" i="105"/>
  <c r="X191" i="105"/>
  <c r="W191" i="105"/>
  <c r="R191" i="105"/>
  <c r="Q191" i="105"/>
  <c r="L191" i="105"/>
  <c r="N191" i="105" s="1"/>
  <c r="K191" i="105"/>
  <c r="H191" i="105"/>
  <c r="M191" i="105" s="1"/>
  <c r="M190" i="105" s="1"/>
  <c r="A191" i="105"/>
  <c r="A192" i="105" s="1"/>
  <c r="A193" i="105" s="1"/>
  <c r="A194" i="105" s="1"/>
  <c r="A195" i="105" s="1"/>
  <c r="A196" i="105" s="1"/>
  <c r="A197" i="105" s="1"/>
  <c r="A198" i="105" s="1"/>
  <c r="A199" i="105" s="1"/>
  <c r="AH190" i="105"/>
  <c r="AF190" i="105"/>
  <c r="X190" i="105"/>
  <c r="U190" i="105"/>
  <c r="R190" i="105"/>
  <c r="P190" i="105"/>
  <c r="H190" i="105"/>
  <c r="AI189" i="105"/>
  <c r="AH189" i="105"/>
  <c r="AG189" i="105"/>
  <c r="X189" i="105"/>
  <c r="W189" i="105"/>
  <c r="R189" i="105"/>
  <c r="Q189" i="105"/>
  <c r="N189" i="105"/>
  <c r="M189" i="105"/>
  <c r="L189" i="105"/>
  <c r="K189" i="105"/>
  <c r="AI188" i="105"/>
  <c r="AH188" i="105"/>
  <c r="AG188" i="105"/>
  <c r="X188" i="105"/>
  <c r="W188" i="105"/>
  <c r="R188" i="105"/>
  <c r="Q188" i="105"/>
  <c r="N188" i="105"/>
  <c r="M188" i="105"/>
  <c r="L188" i="105"/>
  <c r="K188" i="105"/>
  <c r="AI187" i="105"/>
  <c r="AH187" i="105"/>
  <c r="AG187" i="105"/>
  <c r="X187" i="105"/>
  <c r="W187" i="105"/>
  <c r="R187" i="105"/>
  <c r="Q187" i="105"/>
  <c r="N187" i="105"/>
  <c r="M187" i="105"/>
  <c r="L187" i="105"/>
  <c r="K187" i="105"/>
  <c r="AI186" i="105"/>
  <c r="AH186" i="105"/>
  <c r="AG186" i="105"/>
  <c r="X186" i="105"/>
  <c r="W186" i="105"/>
  <c r="R186" i="105"/>
  <c r="Q186" i="105"/>
  <c r="N186" i="105"/>
  <c r="M186" i="105"/>
  <c r="L186" i="105"/>
  <c r="K186" i="105"/>
  <c r="AI185" i="105"/>
  <c r="AH185" i="105"/>
  <c r="AG185" i="105"/>
  <c r="X185" i="105"/>
  <c r="W185" i="105"/>
  <c r="R185" i="105"/>
  <c r="Q185" i="105"/>
  <c r="N185" i="105"/>
  <c r="M185" i="105"/>
  <c r="L185" i="105"/>
  <c r="K185" i="105"/>
  <c r="AI184" i="105"/>
  <c r="AH184" i="105"/>
  <c r="AG184" i="105"/>
  <c r="X184" i="105"/>
  <c r="W184" i="105"/>
  <c r="R184" i="105"/>
  <c r="Q184" i="105"/>
  <c r="N184" i="105"/>
  <c r="M184" i="105"/>
  <c r="L184" i="105"/>
  <c r="K184" i="105"/>
  <c r="AI183" i="105"/>
  <c r="AH183" i="105"/>
  <c r="AG183" i="105"/>
  <c r="X183" i="105"/>
  <c r="W183" i="105"/>
  <c r="R183" i="105"/>
  <c r="Q183" i="105"/>
  <c r="N183" i="105"/>
  <c r="M183" i="105"/>
  <c r="L183" i="105"/>
  <c r="K183" i="105"/>
  <c r="AI182" i="105"/>
  <c r="AH182" i="105"/>
  <c r="AG182" i="105"/>
  <c r="X182" i="105"/>
  <c r="W182" i="105"/>
  <c r="R182" i="105"/>
  <c r="Q182" i="105"/>
  <c r="L182" i="105"/>
  <c r="N182" i="105" s="1"/>
  <c r="K182" i="105"/>
  <c r="M182" i="105" s="1"/>
  <c r="M181" i="105" s="1"/>
  <c r="A182" i="105"/>
  <c r="A183" i="105" s="1"/>
  <c r="A184" i="105" s="1"/>
  <c r="A185" i="105" s="1"/>
  <c r="A186" i="105" s="1"/>
  <c r="A187" i="105" s="1"/>
  <c r="A188" i="105" s="1"/>
  <c r="A189" i="105" s="1"/>
  <c r="AH181" i="105"/>
  <c r="AF181" i="105"/>
  <c r="X181" i="105"/>
  <c r="U181" i="105"/>
  <c r="R181" i="105"/>
  <c r="P181" i="105"/>
  <c r="H181" i="105"/>
  <c r="AI180" i="105"/>
  <c r="AH180" i="105"/>
  <c r="AG180" i="105"/>
  <c r="X180" i="105"/>
  <c r="W180" i="105"/>
  <c r="R180" i="105"/>
  <c r="Q180" i="105"/>
  <c r="N180" i="105"/>
  <c r="M180" i="105"/>
  <c r="L180" i="105"/>
  <c r="K180" i="105"/>
  <c r="AI179" i="105"/>
  <c r="AH179" i="105"/>
  <c r="AG179" i="105"/>
  <c r="X179" i="105"/>
  <c r="W179" i="105"/>
  <c r="R179" i="105"/>
  <c r="Q179" i="105"/>
  <c r="N179" i="105"/>
  <c r="M179" i="105"/>
  <c r="L179" i="105"/>
  <c r="K179" i="105"/>
  <c r="AI178" i="105"/>
  <c r="AH178" i="105"/>
  <c r="AG178" i="105"/>
  <c r="X178" i="105"/>
  <c r="W178" i="105"/>
  <c r="R178" i="105"/>
  <c r="Q178" i="105"/>
  <c r="N178" i="105"/>
  <c r="M178" i="105"/>
  <c r="L178" i="105"/>
  <c r="K178" i="105"/>
  <c r="AI177" i="105"/>
  <c r="AH177" i="105"/>
  <c r="AG177" i="105"/>
  <c r="X177" i="105"/>
  <c r="W177" i="105"/>
  <c r="R177" i="105"/>
  <c r="Q177" i="105"/>
  <c r="N177" i="105"/>
  <c r="M177" i="105"/>
  <c r="L177" i="105"/>
  <c r="K177" i="105"/>
  <c r="AI176" i="105"/>
  <c r="AH176" i="105"/>
  <c r="AG176" i="105"/>
  <c r="X176" i="105"/>
  <c r="W176" i="105"/>
  <c r="R176" i="105"/>
  <c r="Q176" i="105"/>
  <c r="N176" i="105"/>
  <c r="M176" i="105"/>
  <c r="L176" i="105"/>
  <c r="K176" i="105"/>
  <c r="AI175" i="105"/>
  <c r="AH175" i="105"/>
  <c r="AG175" i="105"/>
  <c r="X175" i="105"/>
  <c r="W175" i="105"/>
  <c r="R175" i="105"/>
  <c r="Q175" i="105"/>
  <c r="N175" i="105"/>
  <c r="M175" i="105"/>
  <c r="L175" i="105"/>
  <c r="K175" i="105"/>
  <c r="AI174" i="105"/>
  <c r="AH174" i="105"/>
  <c r="AG174" i="105"/>
  <c r="X174" i="105"/>
  <c r="W174" i="105"/>
  <c r="R174" i="105"/>
  <c r="Q174" i="105"/>
  <c r="N174" i="105"/>
  <c r="M174" i="105"/>
  <c r="L174" i="105"/>
  <c r="K174" i="105"/>
  <c r="AI173" i="105"/>
  <c r="AG173" i="105"/>
  <c r="X173" i="105"/>
  <c r="X172" i="105" s="1"/>
  <c r="W173" i="105"/>
  <c r="R173" i="105"/>
  <c r="R172" i="105" s="1"/>
  <c r="Q173" i="105"/>
  <c r="L173" i="105"/>
  <c r="N173" i="105" s="1"/>
  <c r="K173" i="105"/>
  <c r="M173" i="105" s="1"/>
  <c r="M172" i="105" s="1"/>
  <c r="A173" i="105"/>
  <c r="A174" i="105" s="1"/>
  <c r="A175" i="105" s="1"/>
  <c r="A176" i="105" s="1"/>
  <c r="A177" i="105" s="1"/>
  <c r="A178" i="105" s="1"/>
  <c r="A179" i="105" s="1"/>
  <c r="A180" i="105" s="1"/>
  <c r="AH172" i="105"/>
  <c r="AF172" i="105"/>
  <c r="U172" i="105"/>
  <c r="P172" i="105"/>
  <c r="H172" i="105"/>
  <c r="AI171" i="105"/>
  <c r="AH171" i="105"/>
  <c r="AG171" i="105"/>
  <c r="X171" i="105"/>
  <c r="W171" i="105"/>
  <c r="R171" i="105"/>
  <c r="Q171" i="105"/>
  <c r="N171" i="105"/>
  <c r="M171" i="105"/>
  <c r="L171" i="105"/>
  <c r="K171" i="105"/>
  <c r="AI170" i="105"/>
  <c r="AH170" i="105"/>
  <c r="AG170" i="105"/>
  <c r="X170" i="105"/>
  <c r="W170" i="105"/>
  <c r="R170" i="105"/>
  <c r="Q170" i="105"/>
  <c r="N170" i="105"/>
  <c r="M170" i="105"/>
  <c r="L170" i="105"/>
  <c r="K170" i="105"/>
  <c r="AI169" i="105"/>
  <c r="AH169" i="105"/>
  <c r="AG169" i="105"/>
  <c r="X169" i="105"/>
  <c r="W169" i="105"/>
  <c r="R169" i="105"/>
  <c r="Q169" i="105"/>
  <c r="N169" i="105"/>
  <c r="M169" i="105"/>
  <c r="L169" i="105"/>
  <c r="K169" i="105"/>
  <c r="AI168" i="105"/>
  <c r="AH168" i="105"/>
  <c r="AG168" i="105"/>
  <c r="X168" i="105"/>
  <c r="W168" i="105"/>
  <c r="R168" i="105"/>
  <c r="Q168" i="105"/>
  <c r="N168" i="105"/>
  <c r="M168" i="105"/>
  <c r="L168" i="105"/>
  <c r="K168" i="105"/>
  <c r="AI167" i="105"/>
  <c r="AH167" i="105"/>
  <c r="AG167" i="105"/>
  <c r="X167" i="105"/>
  <c r="W167" i="105"/>
  <c r="R167" i="105"/>
  <c r="Q167" i="105"/>
  <c r="N167" i="105"/>
  <c r="M167" i="105"/>
  <c r="L167" i="105"/>
  <c r="K167" i="105"/>
  <c r="AI166" i="105"/>
  <c r="AG166" i="105"/>
  <c r="X166" i="105"/>
  <c r="W166" i="105"/>
  <c r="R166" i="105"/>
  <c r="Q166" i="105"/>
  <c r="L166" i="105"/>
  <c r="N166" i="105" s="1"/>
  <c r="K166" i="105"/>
  <c r="M166" i="105" s="1"/>
  <c r="M165" i="105" s="1"/>
  <c r="A166" i="105"/>
  <c r="A167" i="105" s="1"/>
  <c r="A168" i="105" s="1"/>
  <c r="A169" i="105" s="1"/>
  <c r="A170" i="105" s="1"/>
  <c r="A171" i="105" s="1"/>
  <c r="AH165" i="105"/>
  <c r="AF165" i="105"/>
  <c r="X165" i="105"/>
  <c r="U165" i="105"/>
  <c r="R165" i="105"/>
  <c r="P165" i="105"/>
  <c r="H165" i="105"/>
  <c r="AI164" i="105"/>
  <c r="AH164" i="105"/>
  <c r="AG164" i="105"/>
  <c r="X164" i="105"/>
  <c r="W164" i="105"/>
  <c r="R164" i="105"/>
  <c r="Q164" i="105"/>
  <c r="N164" i="105"/>
  <c r="M164" i="105"/>
  <c r="L164" i="105"/>
  <c r="K164" i="105"/>
  <c r="AI163" i="105"/>
  <c r="AH163" i="105"/>
  <c r="AG163" i="105"/>
  <c r="X163" i="105"/>
  <c r="W163" i="105"/>
  <c r="R163" i="105"/>
  <c r="Q163" i="105"/>
  <c r="N163" i="105"/>
  <c r="M163" i="105"/>
  <c r="L163" i="105"/>
  <c r="K163" i="105"/>
  <c r="AI162" i="105"/>
  <c r="AH162" i="105"/>
  <c r="AG162" i="105"/>
  <c r="X162" i="105"/>
  <c r="W162" i="105"/>
  <c r="R162" i="105"/>
  <c r="Q162" i="105"/>
  <c r="N162" i="105"/>
  <c r="M162" i="105"/>
  <c r="L162" i="105"/>
  <c r="K162" i="105"/>
  <c r="AI161" i="105"/>
  <c r="AH161" i="105"/>
  <c r="AG161" i="105"/>
  <c r="X161" i="105"/>
  <c r="W161" i="105"/>
  <c r="R161" i="105"/>
  <c r="Q161" i="105"/>
  <c r="N161" i="105"/>
  <c r="M161" i="105"/>
  <c r="L161" i="105"/>
  <c r="K161" i="105"/>
  <c r="AI160" i="105"/>
  <c r="AH160" i="105"/>
  <c r="AG160" i="105"/>
  <c r="X160" i="105"/>
  <c r="W160" i="105"/>
  <c r="R160" i="105"/>
  <c r="Q160" i="105"/>
  <c r="N160" i="105"/>
  <c r="M160" i="105"/>
  <c r="L160" i="105"/>
  <c r="K160" i="105"/>
  <c r="AI159" i="105"/>
  <c r="AH159" i="105"/>
  <c r="AG159" i="105"/>
  <c r="X159" i="105"/>
  <c r="W159" i="105"/>
  <c r="R159" i="105"/>
  <c r="Q159" i="105"/>
  <c r="L159" i="105"/>
  <c r="K159" i="105"/>
  <c r="H159" i="105"/>
  <c r="N159" i="105" s="1"/>
  <c r="I159" i="105" s="1"/>
  <c r="AI158" i="105"/>
  <c r="AG158" i="105"/>
  <c r="X158" i="105"/>
  <c r="X157" i="105" s="1"/>
  <c r="W158" i="105"/>
  <c r="R158" i="105"/>
  <c r="R157" i="105" s="1"/>
  <c r="Q158" i="105"/>
  <c r="L158" i="105"/>
  <c r="N158" i="105" s="1"/>
  <c r="K158" i="105"/>
  <c r="M158" i="105" s="1"/>
  <c r="A158" i="105"/>
  <c r="A159" i="105" s="1"/>
  <c r="A160" i="105" s="1"/>
  <c r="A161" i="105" s="1"/>
  <c r="A162" i="105" s="1"/>
  <c r="A163" i="105" s="1"/>
  <c r="A164" i="105" s="1"/>
  <c r="AH157" i="105"/>
  <c r="AF157" i="105"/>
  <c r="U157" i="105"/>
  <c r="P157" i="105"/>
  <c r="H157" i="105"/>
  <c r="AI156" i="105"/>
  <c r="AH156" i="105"/>
  <c r="AG156" i="105"/>
  <c r="X156" i="105"/>
  <c r="W156" i="105"/>
  <c r="R156" i="105"/>
  <c r="Q156" i="105"/>
  <c r="N156" i="105"/>
  <c r="M156" i="105"/>
  <c r="L156" i="105"/>
  <c r="K156" i="105"/>
  <c r="AI155" i="105"/>
  <c r="AH155" i="105"/>
  <c r="AG155" i="105"/>
  <c r="X155" i="105"/>
  <c r="W155" i="105"/>
  <c r="R155" i="105"/>
  <c r="Q155" i="105"/>
  <c r="N155" i="105"/>
  <c r="M155" i="105"/>
  <c r="L155" i="105"/>
  <c r="K155" i="105"/>
  <c r="AI154" i="105"/>
  <c r="AH154" i="105"/>
  <c r="AG154" i="105"/>
  <c r="X154" i="105"/>
  <c r="W154" i="105"/>
  <c r="R154" i="105"/>
  <c r="Q154" i="105"/>
  <c r="N154" i="105"/>
  <c r="M154" i="105"/>
  <c r="L154" i="105"/>
  <c r="K154" i="105"/>
  <c r="AI153" i="105"/>
  <c r="AH153" i="105"/>
  <c r="AG153" i="105"/>
  <c r="X153" i="105"/>
  <c r="W153" i="105"/>
  <c r="R153" i="105"/>
  <c r="Q153" i="105"/>
  <c r="N153" i="105"/>
  <c r="M153" i="105"/>
  <c r="L153" i="105"/>
  <c r="K153" i="105"/>
  <c r="AI152" i="105"/>
  <c r="AH152" i="105"/>
  <c r="AG152" i="105"/>
  <c r="X152" i="105"/>
  <c r="W152" i="105"/>
  <c r="R152" i="105"/>
  <c r="Q152" i="105"/>
  <c r="N152" i="105"/>
  <c r="M152" i="105"/>
  <c r="L152" i="105"/>
  <c r="K152" i="105"/>
  <c r="AI151" i="105"/>
  <c r="AH151" i="105"/>
  <c r="AG151" i="105"/>
  <c r="X151" i="105"/>
  <c r="W151" i="105"/>
  <c r="R151" i="105"/>
  <c r="Q151" i="105"/>
  <c r="L151" i="105"/>
  <c r="N151" i="105" s="1"/>
  <c r="I151" i="105" s="1"/>
  <c r="K151" i="105"/>
  <c r="M151" i="105" s="1"/>
  <c r="AI150" i="105"/>
  <c r="AH150" i="105"/>
  <c r="AG150" i="105"/>
  <c r="W150" i="105"/>
  <c r="X150" i="105" s="1"/>
  <c r="X149" i="105" s="1"/>
  <c r="R150" i="105"/>
  <c r="Q150" i="105"/>
  <c r="L150" i="105"/>
  <c r="N150" i="105" s="1"/>
  <c r="K150" i="105"/>
  <c r="M150" i="105" s="1"/>
  <c r="M149" i="105" s="1"/>
  <c r="A150" i="105"/>
  <c r="A151" i="105" s="1"/>
  <c r="A152" i="105" s="1"/>
  <c r="A153" i="105" s="1"/>
  <c r="A154" i="105" s="1"/>
  <c r="A155" i="105" s="1"/>
  <c r="A156" i="105" s="1"/>
  <c r="AH149" i="105"/>
  <c r="AF149" i="105"/>
  <c r="U149" i="105"/>
  <c r="R149" i="105"/>
  <c r="P149" i="105"/>
  <c r="H149" i="105"/>
  <c r="AI148" i="105"/>
  <c r="AH148" i="105"/>
  <c r="AG148" i="105"/>
  <c r="X148" i="105"/>
  <c r="W148" i="105"/>
  <c r="R148" i="105"/>
  <c r="Q148" i="105"/>
  <c r="N148" i="105"/>
  <c r="M148" i="105"/>
  <c r="L148" i="105"/>
  <c r="K148" i="105"/>
  <c r="AI147" i="105"/>
  <c r="AH147" i="105"/>
  <c r="AG147" i="105"/>
  <c r="X147" i="105"/>
  <c r="W147" i="105"/>
  <c r="R147" i="105"/>
  <c r="Q147" i="105"/>
  <c r="N147" i="105"/>
  <c r="M147" i="105"/>
  <c r="L147" i="105"/>
  <c r="K147" i="105"/>
  <c r="AI146" i="105"/>
  <c r="AH146" i="105"/>
  <c r="AG146" i="105"/>
  <c r="X146" i="105"/>
  <c r="W146" i="105"/>
  <c r="R146" i="105"/>
  <c r="Q146" i="105"/>
  <c r="N146" i="105"/>
  <c r="M146" i="105"/>
  <c r="L146" i="105"/>
  <c r="K146" i="105"/>
  <c r="AI145" i="105"/>
  <c r="AH145" i="105"/>
  <c r="AG145" i="105"/>
  <c r="X145" i="105"/>
  <c r="W145" i="105"/>
  <c r="R145" i="105"/>
  <c r="Q145" i="105"/>
  <c r="N145" i="105"/>
  <c r="M145" i="105"/>
  <c r="L145" i="105"/>
  <c r="K145" i="105"/>
  <c r="AI144" i="105"/>
  <c r="AH144" i="105"/>
  <c r="AG144" i="105"/>
  <c r="X144" i="105"/>
  <c r="W144" i="105"/>
  <c r="R144" i="105"/>
  <c r="Q144" i="105"/>
  <c r="N144" i="105"/>
  <c r="M144" i="105"/>
  <c r="L144" i="105"/>
  <c r="K144" i="105"/>
  <c r="AI143" i="105"/>
  <c r="AH143" i="105"/>
  <c r="AG143" i="105"/>
  <c r="X143" i="105"/>
  <c r="W143" i="105"/>
  <c r="R143" i="105"/>
  <c r="Q143" i="105"/>
  <c r="L143" i="105"/>
  <c r="N143" i="105" s="1"/>
  <c r="I143" i="105" s="1"/>
  <c r="K143" i="105"/>
  <c r="M143" i="105" s="1"/>
  <c r="A143" i="105"/>
  <c r="A144" i="105" s="1"/>
  <c r="A145" i="105" s="1"/>
  <c r="A146" i="105" s="1"/>
  <c r="A147" i="105" s="1"/>
  <c r="A148" i="105" s="1"/>
  <c r="AI142" i="105"/>
  <c r="AG142" i="105"/>
  <c r="W142" i="105"/>
  <c r="X142" i="105" s="1"/>
  <c r="X141" i="105" s="1"/>
  <c r="R142" i="105"/>
  <c r="Q142" i="105"/>
  <c r="L142" i="105"/>
  <c r="K142" i="105"/>
  <c r="H142" i="105"/>
  <c r="M142" i="105" s="1"/>
  <c r="M141" i="105" s="1"/>
  <c r="A142" i="105"/>
  <c r="AH141" i="105"/>
  <c r="AF141" i="105"/>
  <c r="U141" i="105"/>
  <c r="R141" i="105"/>
  <c r="P141" i="105"/>
  <c r="H141" i="105"/>
  <c r="AI140" i="105"/>
  <c r="AH140" i="105"/>
  <c r="AG140" i="105"/>
  <c r="X140" i="105"/>
  <c r="W140" i="105"/>
  <c r="R140" i="105"/>
  <c r="Q140" i="105"/>
  <c r="N140" i="105"/>
  <c r="M140" i="105"/>
  <c r="L140" i="105"/>
  <c r="K140" i="105"/>
  <c r="AI139" i="105"/>
  <c r="AH139" i="105"/>
  <c r="AG139" i="105"/>
  <c r="X139" i="105"/>
  <c r="W139" i="105"/>
  <c r="R139" i="105"/>
  <c r="Q139" i="105"/>
  <c r="N139" i="105"/>
  <c r="M139" i="105"/>
  <c r="L139" i="105"/>
  <c r="K139" i="105"/>
  <c r="AI138" i="105"/>
  <c r="AH138" i="105"/>
  <c r="AG138" i="105"/>
  <c r="X138" i="105"/>
  <c r="W138" i="105"/>
  <c r="R138" i="105"/>
  <c r="Q138" i="105"/>
  <c r="N138" i="105"/>
  <c r="M138" i="105"/>
  <c r="L138" i="105"/>
  <c r="K138" i="105"/>
  <c r="AI137" i="105"/>
  <c r="AH137" i="105"/>
  <c r="AG137" i="105"/>
  <c r="X137" i="105"/>
  <c r="W137" i="105"/>
  <c r="R137" i="105"/>
  <c r="Q137" i="105"/>
  <c r="N137" i="105"/>
  <c r="M137" i="105"/>
  <c r="L137" i="105"/>
  <c r="K137" i="105"/>
  <c r="AI136" i="105"/>
  <c r="AH136" i="105"/>
  <c r="AG136" i="105"/>
  <c r="X136" i="105"/>
  <c r="W136" i="105"/>
  <c r="R136" i="105"/>
  <c r="Q136" i="105"/>
  <c r="N136" i="105"/>
  <c r="M136" i="105"/>
  <c r="L136" i="105"/>
  <c r="K136" i="105"/>
  <c r="AI135" i="105"/>
  <c r="AH135" i="105"/>
  <c r="AG135" i="105"/>
  <c r="X135" i="105"/>
  <c r="W135" i="105"/>
  <c r="R135" i="105"/>
  <c r="Q135" i="105"/>
  <c r="N135" i="105"/>
  <c r="M135" i="105"/>
  <c r="L135" i="105"/>
  <c r="K135" i="105"/>
  <c r="AI134" i="105"/>
  <c r="AH134" i="105"/>
  <c r="AG134" i="105"/>
  <c r="X134" i="105"/>
  <c r="W134" i="105"/>
  <c r="R134" i="105"/>
  <c r="Q134" i="105"/>
  <c r="N134" i="105"/>
  <c r="M134" i="105"/>
  <c r="L134" i="105"/>
  <c r="K134" i="105"/>
  <c r="A134" i="105"/>
  <c r="A135" i="105" s="1"/>
  <c r="A136" i="105" s="1"/>
  <c r="A137" i="105" s="1"/>
  <c r="A138" i="105" s="1"/>
  <c r="A139" i="105" s="1"/>
  <c r="A140" i="105" s="1"/>
  <c r="AH133" i="105"/>
  <c r="AF133" i="105"/>
  <c r="X133" i="105"/>
  <c r="U133" i="105"/>
  <c r="R133" i="105"/>
  <c r="P133" i="105"/>
  <c r="N133" i="105"/>
  <c r="M133" i="105"/>
  <c r="AI133" i="105" s="1"/>
  <c r="I133" i="105"/>
  <c r="H133" i="105"/>
  <c r="AI132" i="105"/>
  <c r="AH132" i="105"/>
  <c r="AG132" i="105"/>
  <c r="X132" i="105"/>
  <c r="W132" i="105"/>
  <c r="R132" i="105"/>
  <c r="Q132" i="105"/>
  <c r="N132" i="105"/>
  <c r="M132" i="105"/>
  <c r="L132" i="105"/>
  <c r="K132" i="105"/>
  <c r="AI131" i="105"/>
  <c r="AH131" i="105"/>
  <c r="AG131" i="105"/>
  <c r="X131" i="105"/>
  <c r="W131" i="105"/>
  <c r="R131" i="105"/>
  <c r="Q131" i="105"/>
  <c r="N131" i="105"/>
  <c r="M131" i="105"/>
  <c r="L131" i="105"/>
  <c r="K131" i="105"/>
  <c r="AI130" i="105"/>
  <c r="AH130" i="105"/>
  <c r="AG130" i="105"/>
  <c r="X130" i="105"/>
  <c r="W130" i="105"/>
  <c r="R130" i="105"/>
  <c r="Q130" i="105"/>
  <c r="N130" i="105"/>
  <c r="M130" i="105"/>
  <c r="L130" i="105"/>
  <c r="K130" i="105"/>
  <c r="AI129" i="105"/>
  <c r="AH129" i="105"/>
  <c r="AG129" i="105"/>
  <c r="X129" i="105"/>
  <c r="W129" i="105"/>
  <c r="R129" i="105"/>
  <c r="Q129" i="105"/>
  <c r="N129" i="105"/>
  <c r="M129" i="105"/>
  <c r="L129" i="105"/>
  <c r="K129" i="105"/>
  <c r="AI128" i="105"/>
  <c r="AH128" i="105"/>
  <c r="AG128" i="105"/>
  <c r="X128" i="105"/>
  <c r="W128" i="105"/>
  <c r="R128" i="105"/>
  <c r="Q128" i="105"/>
  <c r="N128" i="105"/>
  <c r="M128" i="105"/>
  <c r="L128" i="105"/>
  <c r="K128" i="105"/>
  <c r="AI127" i="105"/>
  <c r="AH127" i="105"/>
  <c r="AG127" i="105"/>
  <c r="W127" i="105"/>
  <c r="X127" i="105" s="1"/>
  <c r="X126" i="105" s="1"/>
  <c r="R127" i="105"/>
  <c r="Q127" i="105"/>
  <c r="N127" i="105"/>
  <c r="M127" i="105"/>
  <c r="L127" i="105"/>
  <c r="K127" i="105"/>
  <c r="A127" i="105"/>
  <c r="A128" i="105" s="1"/>
  <c r="A129" i="105" s="1"/>
  <c r="A130" i="105" s="1"/>
  <c r="A131" i="105" s="1"/>
  <c r="A132" i="105" s="1"/>
  <c r="AH126" i="105"/>
  <c r="AF126" i="105"/>
  <c r="U126" i="105"/>
  <c r="R126" i="105"/>
  <c r="P126" i="105"/>
  <c r="N126" i="105"/>
  <c r="M126" i="105"/>
  <c r="AI126" i="105" s="1"/>
  <c r="I126" i="105"/>
  <c r="H126" i="105"/>
  <c r="AI125" i="105"/>
  <c r="AH125" i="105"/>
  <c r="AG125" i="105"/>
  <c r="X125" i="105"/>
  <c r="W125" i="105"/>
  <c r="R125" i="105"/>
  <c r="Q125" i="105"/>
  <c r="N125" i="105"/>
  <c r="M125" i="105"/>
  <c r="L125" i="105"/>
  <c r="K125" i="105"/>
  <c r="AI124" i="105"/>
  <c r="AH124" i="105"/>
  <c r="AG124" i="105"/>
  <c r="X124" i="105"/>
  <c r="W124" i="105"/>
  <c r="R124" i="105"/>
  <c r="Q124" i="105"/>
  <c r="N124" i="105"/>
  <c r="M124" i="105"/>
  <c r="L124" i="105"/>
  <c r="K124" i="105"/>
  <c r="AI123" i="105"/>
  <c r="AH123" i="105"/>
  <c r="AG123" i="105"/>
  <c r="X123" i="105"/>
  <c r="W123" i="105"/>
  <c r="R123" i="105"/>
  <c r="Q123" i="105"/>
  <c r="N123" i="105"/>
  <c r="M123" i="105"/>
  <c r="L123" i="105"/>
  <c r="K123" i="105"/>
  <c r="AI122" i="105"/>
  <c r="AH122" i="105"/>
  <c r="AG122" i="105"/>
  <c r="X122" i="105"/>
  <c r="W122" i="105"/>
  <c r="R122" i="105"/>
  <c r="Q122" i="105"/>
  <c r="N122" i="105"/>
  <c r="M122" i="105"/>
  <c r="L122" i="105"/>
  <c r="K122" i="105"/>
  <c r="AI121" i="105"/>
  <c r="AH121" i="105"/>
  <c r="AG121" i="105"/>
  <c r="X121" i="105"/>
  <c r="W121" i="105"/>
  <c r="R121" i="105"/>
  <c r="Q121" i="105"/>
  <c r="N121" i="105"/>
  <c r="M121" i="105"/>
  <c r="L121" i="105"/>
  <c r="K121" i="105"/>
  <c r="AI120" i="105"/>
  <c r="AH120" i="105"/>
  <c r="AG120" i="105"/>
  <c r="X120" i="105"/>
  <c r="W120" i="105"/>
  <c r="R120" i="105"/>
  <c r="Q120" i="105"/>
  <c r="N120" i="105"/>
  <c r="M120" i="105"/>
  <c r="L120" i="105"/>
  <c r="K120" i="105"/>
  <c r="A120" i="105"/>
  <c r="A121" i="105" s="1"/>
  <c r="A122" i="105" s="1"/>
  <c r="A123" i="105" s="1"/>
  <c r="A124" i="105" s="1"/>
  <c r="A125" i="105" s="1"/>
  <c r="AH119" i="105"/>
  <c r="AF119" i="105"/>
  <c r="X119" i="105"/>
  <c r="U119" i="105"/>
  <c r="R119" i="105"/>
  <c r="P119" i="105"/>
  <c r="N119" i="105"/>
  <c r="M119" i="105"/>
  <c r="AI119" i="105" s="1"/>
  <c r="I119" i="105"/>
  <c r="H119" i="105"/>
  <c r="AI118" i="105"/>
  <c r="AH118" i="105"/>
  <c r="AG118" i="105"/>
  <c r="X118" i="105"/>
  <c r="W118" i="105"/>
  <c r="R118" i="105"/>
  <c r="Q118" i="105"/>
  <c r="N118" i="105"/>
  <c r="M118" i="105"/>
  <c r="L118" i="105"/>
  <c r="K118" i="105"/>
  <c r="AI117" i="105"/>
  <c r="AH117" i="105"/>
  <c r="AG117" i="105"/>
  <c r="X117" i="105"/>
  <c r="W117" i="105"/>
  <c r="R117" i="105"/>
  <c r="Q117" i="105"/>
  <c r="N117" i="105"/>
  <c r="M117" i="105"/>
  <c r="L117" i="105"/>
  <c r="K117" i="105"/>
  <c r="AI116" i="105"/>
  <c r="AH116" i="105"/>
  <c r="AG116" i="105"/>
  <c r="W116" i="105"/>
  <c r="X116" i="105" s="1"/>
  <c r="R116" i="105"/>
  <c r="Q116" i="105"/>
  <c r="N116" i="105"/>
  <c r="M116" i="105"/>
  <c r="L116" i="105"/>
  <c r="K116" i="105"/>
  <c r="AI115" i="105"/>
  <c r="AH115" i="105"/>
  <c r="AG115" i="105"/>
  <c r="W115" i="105"/>
  <c r="X115" i="105" s="1"/>
  <c r="R115" i="105"/>
  <c r="Q115" i="105"/>
  <c r="N115" i="105"/>
  <c r="M115" i="105"/>
  <c r="L115" i="105"/>
  <c r="K115" i="105"/>
  <c r="AI114" i="105"/>
  <c r="AH114" i="105"/>
  <c r="AG114" i="105"/>
  <c r="W114" i="105"/>
  <c r="X114" i="105" s="1"/>
  <c r="R114" i="105"/>
  <c r="Q114" i="105"/>
  <c r="N114" i="105"/>
  <c r="M114" i="105"/>
  <c r="L114" i="105"/>
  <c r="K114" i="105"/>
  <c r="AI113" i="105"/>
  <c r="AH113" i="105"/>
  <c r="AG113" i="105"/>
  <c r="W113" i="105"/>
  <c r="X113" i="105" s="1"/>
  <c r="Q113" i="105"/>
  <c r="R113" i="105" s="1"/>
  <c r="N113" i="105"/>
  <c r="M113" i="105"/>
  <c r="L113" i="105"/>
  <c r="K113" i="105"/>
  <c r="AI112" i="105"/>
  <c r="AH112" i="105"/>
  <c r="AG112" i="105"/>
  <c r="W112" i="105"/>
  <c r="X112" i="105" s="1"/>
  <c r="Q112" i="105"/>
  <c r="R112" i="105" s="1"/>
  <c r="N112" i="105"/>
  <c r="M112" i="105"/>
  <c r="L112" i="105"/>
  <c r="K112" i="105"/>
  <c r="AI111" i="105"/>
  <c r="AH111" i="105"/>
  <c r="AG111" i="105"/>
  <c r="W111" i="105"/>
  <c r="X111" i="105" s="1"/>
  <c r="Q111" i="105"/>
  <c r="R111" i="105" s="1"/>
  <c r="N111" i="105"/>
  <c r="M111" i="105"/>
  <c r="L111" i="105"/>
  <c r="K111" i="105"/>
  <c r="AI110" i="105"/>
  <c r="AH110" i="105"/>
  <c r="AG110" i="105"/>
  <c r="W110" i="105"/>
  <c r="X110" i="105" s="1"/>
  <c r="Q110" i="105"/>
  <c r="R110" i="105" s="1"/>
  <c r="N110" i="105"/>
  <c r="M110" i="105"/>
  <c r="L110" i="105"/>
  <c r="K110" i="105"/>
  <c r="AI109" i="105"/>
  <c r="AH109" i="105"/>
  <c r="AG109" i="105"/>
  <c r="W109" i="105"/>
  <c r="X109" i="105" s="1"/>
  <c r="Q109" i="105"/>
  <c r="R109" i="105" s="1"/>
  <c r="R108" i="105" s="1"/>
  <c r="N109" i="105"/>
  <c r="M109" i="105"/>
  <c r="L109" i="105"/>
  <c r="K109" i="105"/>
  <c r="A109" i="105"/>
  <c r="A110" i="105" s="1"/>
  <c r="A111" i="105" s="1"/>
  <c r="A112" i="105" s="1"/>
  <c r="A113" i="105" s="1"/>
  <c r="A114" i="105" s="1"/>
  <c r="A115" i="105" s="1"/>
  <c r="A116" i="105" s="1"/>
  <c r="A117" i="105" s="1"/>
  <c r="A118" i="105" s="1"/>
  <c r="AH108" i="105"/>
  <c r="AF108" i="105"/>
  <c r="U108" i="105"/>
  <c r="P108" i="105"/>
  <c r="N108" i="105"/>
  <c r="M108" i="105"/>
  <c r="I108" i="105"/>
  <c r="H108" i="105"/>
  <c r="AI107" i="105"/>
  <c r="AG107" i="105"/>
  <c r="X107" i="105"/>
  <c r="W107" i="105"/>
  <c r="N107" i="105"/>
  <c r="M107" i="105"/>
  <c r="L107" i="105"/>
  <c r="K107" i="105"/>
  <c r="AI106" i="105"/>
  <c r="AG106" i="105"/>
  <c r="X106" i="105"/>
  <c r="X103" i="105" s="1"/>
  <c r="W106" i="105"/>
  <c r="N106" i="105"/>
  <c r="M106" i="105"/>
  <c r="L106" i="105"/>
  <c r="K106" i="105"/>
  <c r="AI105" i="105"/>
  <c r="AG105" i="105"/>
  <c r="X105" i="105"/>
  <c r="W105" i="105"/>
  <c r="L105" i="105"/>
  <c r="N105" i="105" s="1"/>
  <c r="I105" i="105" s="1"/>
  <c r="K105" i="105"/>
  <c r="M105" i="105" s="1"/>
  <c r="A105" i="105"/>
  <c r="A106" i="105" s="1"/>
  <c r="A107" i="105" s="1"/>
  <c r="AI104" i="105"/>
  <c r="AG104" i="105"/>
  <c r="X104" i="105"/>
  <c r="W104" i="105"/>
  <c r="L104" i="105"/>
  <c r="K104" i="105"/>
  <c r="H104" i="105"/>
  <c r="N104" i="105" s="1"/>
  <c r="A104" i="105"/>
  <c r="AH103" i="105"/>
  <c r="AF103" i="105"/>
  <c r="U103" i="105"/>
  <c r="R103" i="105"/>
  <c r="P103" i="105"/>
  <c r="H103" i="105"/>
  <c r="AI102" i="105"/>
  <c r="AG102" i="105"/>
  <c r="X102" i="105"/>
  <c r="W102" i="105"/>
  <c r="N102" i="105"/>
  <c r="M102" i="105"/>
  <c r="L102" i="105"/>
  <c r="K102" i="105"/>
  <c r="AI101" i="105"/>
  <c r="AG101" i="105"/>
  <c r="X101" i="105"/>
  <c r="W101" i="105"/>
  <c r="N101" i="105"/>
  <c r="M101" i="105"/>
  <c r="L101" i="105"/>
  <c r="K101" i="105"/>
  <c r="AI100" i="105"/>
  <c r="AG100" i="105"/>
  <c r="X100" i="105"/>
  <c r="W100" i="105"/>
  <c r="N100" i="105"/>
  <c r="M100" i="105"/>
  <c r="L100" i="105"/>
  <c r="K100" i="105"/>
  <c r="AI99" i="105"/>
  <c r="AG99" i="105"/>
  <c r="X99" i="105"/>
  <c r="X98" i="105" s="1"/>
  <c r="W99" i="105"/>
  <c r="L99" i="105"/>
  <c r="N99" i="105" s="1"/>
  <c r="K99" i="105"/>
  <c r="M99" i="105" s="1"/>
  <c r="M98" i="105" s="1"/>
  <c r="A99" i="105"/>
  <c r="A100" i="105" s="1"/>
  <c r="A101" i="105" s="1"/>
  <c r="A102" i="105" s="1"/>
  <c r="AH98" i="105"/>
  <c r="AF98" i="105"/>
  <c r="U98" i="105"/>
  <c r="R98" i="105"/>
  <c r="P98" i="105"/>
  <c r="H98" i="105"/>
  <c r="AI97" i="105"/>
  <c r="AG97" i="105"/>
  <c r="X97" i="105"/>
  <c r="W97" i="105"/>
  <c r="N97" i="105"/>
  <c r="M97" i="105"/>
  <c r="L97" i="105"/>
  <c r="K97" i="105"/>
  <c r="AI96" i="105"/>
  <c r="AG96" i="105"/>
  <c r="X96" i="105"/>
  <c r="W96" i="105"/>
  <c r="N96" i="105"/>
  <c r="M96" i="105"/>
  <c r="L96" i="105"/>
  <c r="K96" i="105"/>
  <c r="AI95" i="105"/>
  <c r="AG95" i="105"/>
  <c r="X95" i="105"/>
  <c r="W95" i="105"/>
  <c r="N95" i="105"/>
  <c r="M95" i="105"/>
  <c r="L95" i="105"/>
  <c r="K95" i="105"/>
  <c r="AI94" i="105"/>
  <c r="AG94" i="105"/>
  <c r="X94" i="105"/>
  <c r="W94" i="105"/>
  <c r="N94" i="105"/>
  <c r="M94" i="105"/>
  <c r="L94" i="105"/>
  <c r="K94" i="105"/>
  <c r="AI93" i="105"/>
  <c r="AG93" i="105"/>
  <c r="X93" i="105"/>
  <c r="W93" i="105"/>
  <c r="L93" i="105"/>
  <c r="N93" i="105" s="1"/>
  <c r="K93" i="105"/>
  <c r="M93" i="105" s="1"/>
  <c r="M92" i="105" s="1"/>
  <c r="A93" i="105"/>
  <c r="A94" i="105" s="1"/>
  <c r="A95" i="105" s="1"/>
  <c r="A96" i="105" s="1"/>
  <c r="A97" i="105" s="1"/>
  <c r="AH92" i="105"/>
  <c r="AF92" i="105"/>
  <c r="X92" i="105"/>
  <c r="U92" i="105"/>
  <c r="R92" i="105"/>
  <c r="P92" i="105"/>
  <c r="H92" i="105"/>
  <c r="AI91" i="105"/>
  <c r="AG91" i="105"/>
  <c r="X91" i="105"/>
  <c r="W91" i="105"/>
  <c r="N91" i="105"/>
  <c r="M91" i="105"/>
  <c r="L91" i="105"/>
  <c r="K91" i="105"/>
  <c r="AI90" i="105"/>
  <c r="AG90" i="105"/>
  <c r="X90" i="105"/>
  <c r="W90" i="105"/>
  <c r="N90" i="105"/>
  <c r="M90" i="105"/>
  <c r="L90" i="105"/>
  <c r="K90" i="105"/>
  <c r="AI89" i="105"/>
  <c r="AG89" i="105"/>
  <c r="X89" i="105"/>
  <c r="W89" i="105"/>
  <c r="N89" i="105"/>
  <c r="M89" i="105"/>
  <c r="L89" i="105"/>
  <c r="K89" i="105"/>
  <c r="AI88" i="105"/>
  <c r="AG88" i="105"/>
  <c r="X88" i="105"/>
  <c r="W88" i="105"/>
  <c r="N88" i="105"/>
  <c r="M88" i="105"/>
  <c r="L88" i="105"/>
  <c r="K88" i="105"/>
  <c r="AI87" i="105"/>
  <c r="AG87" i="105"/>
  <c r="X87" i="105"/>
  <c r="W87" i="105"/>
  <c r="N87" i="105"/>
  <c r="M87" i="105"/>
  <c r="L87" i="105"/>
  <c r="K87" i="105"/>
  <c r="A87" i="105"/>
  <c r="A88" i="105" s="1"/>
  <c r="A89" i="105" s="1"/>
  <c r="A90" i="105" s="1"/>
  <c r="A91" i="105" s="1"/>
  <c r="AI86" i="105"/>
  <c r="AH86" i="105"/>
  <c r="AH85" i="105" s="1"/>
  <c r="AG86" i="105"/>
  <c r="X86" i="105"/>
  <c r="X85" i="105" s="1"/>
  <c r="W86" i="105"/>
  <c r="L86" i="105"/>
  <c r="N86" i="105" s="1"/>
  <c r="K86" i="105"/>
  <c r="M86" i="105" s="1"/>
  <c r="M85" i="105" s="1"/>
  <c r="A86" i="105"/>
  <c r="AF85" i="105"/>
  <c r="U85" i="105"/>
  <c r="R85" i="105"/>
  <c r="P85" i="105"/>
  <c r="H85" i="105"/>
  <c r="AI84" i="105"/>
  <c r="AH84" i="105"/>
  <c r="AG84" i="105"/>
  <c r="X84" i="105"/>
  <c r="W84" i="105"/>
  <c r="R84" i="105"/>
  <c r="Q84" i="105"/>
  <c r="N84" i="105"/>
  <c r="M84" i="105"/>
  <c r="L84" i="105"/>
  <c r="K84" i="105"/>
  <c r="AI83" i="105"/>
  <c r="AH83" i="105"/>
  <c r="AG83" i="105"/>
  <c r="X83" i="105"/>
  <c r="W83" i="105"/>
  <c r="R83" i="105"/>
  <c r="Q83" i="105"/>
  <c r="N83" i="105"/>
  <c r="M83" i="105"/>
  <c r="L83" i="105"/>
  <c r="K83" i="105"/>
  <c r="AI82" i="105"/>
  <c r="AH82" i="105"/>
  <c r="AG82" i="105"/>
  <c r="X82" i="105"/>
  <c r="W82" i="105"/>
  <c r="R82" i="105"/>
  <c r="Q82" i="105"/>
  <c r="N82" i="105"/>
  <c r="M82" i="105"/>
  <c r="L82" i="105"/>
  <c r="K82" i="105"/>
  <c r="AI81" i="105"/>
  <c r="AH81" i="105"/>
  <c r="AG81" i="105"/>
  <c r="X81" i="105"/>
  <c r="W81" i="105"/>
  <c r="R81" i="105"/>
  <c r="Q81" i="105"/>
  <c r="N81" i="105"/>
  <c r="M81" i="105"/>
  <c r="L81" i="105"/>
  <c r="K81" i="105"/>
  <c r="AI80" i="105"/>
  <c r="AH80" i="105"/>
  <c r="AG80" i="105"/>
  <c r="X80" i="105"/>
  <c r="W80" i="105"/>
  <c r="R80" i="105"/>
  <c r="Q80" i="105"/>
  <c r="N80" i="105"/>
  <c r="M80" i="105"/>
  <c r="L80" i="105"/>
  <c r="K80" i="105"/>
  <c r="AI79" i="105"/>
  <c r="AH79" i="105"/>
  <c r="AG79" i="105"/>
  <c r="X79" i="105"/>
  <c r="W79" i="105"/>
  <c r="R79" i="105"/>
  <c r="Q79" i="105"/>
  <c r="N79" i="105"/>
  <c r="M79" i="105"/>
  <c r="L79" i="105"/>
  <c r="K79" i="105"/>
  <c r="AI78" i="105"/>
  <c r="AH78" i="105"/>
  <c r="AG78" i="105"/>
  <c r="X78" i="105"/>
  <c r="W78" i="105"/>
  <c r="R78" i="105"/>
  <c r="Q78" i="105"/>
  <c r="N78" i="105"/>
  <c r="M78" i="105"/>
  <c r="L78" i="105"/>
  <c r="K78" i="105"/>
  <c r="A78" i="105"/>
  <c r="A79" i="105" s="1"/>
  <c r="A80" i="105" s="1"/>
  <c r="A81" i="105" s="1"/>
  <c r="A82" i="105" s="1"/>
  <c r="A83" i="105" s="1"/>
  <c r="A84" i="105" s="1"/>
  <c r="AH77" i="105"/>
  <c r="AF77" i="105"/>
  <c r="X77" i="105"/>
  <c r="U77" i="105"/>
  <c r="R77" i="105"/>
  <c r="P77" i="105"/>
  <c r="N77" i="105"/>
  <c r="M77" i="105"/>
  <c r="AI77" i="105" s="1"/>
  <c r="I77" i="105"/>
  <c r="H77" i="105"/>
  <c r="AI76" i="105"/>
  <c r="AH76" i="105"/>
  <c r="AG76" i="105"/>
  <c r="X76" i="105"/>
  <c r="W76" i="105"/>
  <c r="R76" i="105"/>
  <c r="Q76" i="105"/>
  <c r="N76" i="105"/>
  <c r="M76" i="105"/>
  <c r="L76" i="105"/>
  <c r="K76" i="105"/>
  <c r="AI75" i="105"/>
  <c r="AH75" i="105"/>
  <c r="AG75" i="105"/>
  <c r="X75" i="105"/>
  <c r="W75" i="105"/>
  <c r="R75" i="105"/>
  <c r="Q75" i="105"/>
  <c r="N75" i="105"/>
  <c r="M75" i="105"/>
  <c r="L75" i="105"/>
  <c r="K75" i="105"/>
  <c r="AI74" i="105"/>
  <c r="AH74" i="105"/>
  <c r="AG74" i="105"/>
  <c r="X74" i="105"/>
  <c r="W74" i="105"/>
  <c r="R74" i="105"/>
  <c r="Q74" i="105"/>
  <c r="N74" i="105"/>
  <c r="M74" i="105"/>
  <c r="L74" i="105"/>
  <c r="K74" i="105"/>
  <c r="AI73" i="105"/>
  <c r="AH73" i="105"/>
  <c r="AG73" i="105"/>
  <c r="W73" i="105"/>
  <c r="X73" i="105" s="1"/>
  <c r="R73" i="105"/>
  <c r="Q73" i="105"/>
  <c r="N73" i="105"/>
  <c r="M73" i="105"/>
  <c r="L73" i="105"/>
  <c r="K73" i="105"/>
  <c r="AI72" i="105"/>
  <c r="AH72" i="105"/>
  <c r="AG72" i="105"/>
  <c r="W72" i="105"/>
  <c r="X72" i="105" s="1"/>
  <c r="R72" i="105"/>
  <c r="Q72" i="105"/>
  <c r="N72" i="105"/>
  <c r="M72" i="105"/>
  <c r="L72" i="105"/>
  <c r="K72" i="105"/>
  <c r="AI71" i="105"/>
  <c r="AH71" i="105"/>
  <c r="AG71" i="105"/>
  <c r="W71" i="105"/>
  <c r="X71" i="105" s="1"/>
  <c r="R71" i="105"/>
  <c r="Q71" i="105"/>
  <c r="N71" i="105"/>
  <c r="M71" i="105"/>
  <c r="L71" i="105"/>
  <c r="K71" i="105"/>
  <c r="AI70" i="105"/>
  <c r="AH70" i="105"/>
  <c r="AG70" i="105"/>
  <c r="W70" i="105"/>
  <c r="X70" i="105" s="1"/>
  <c r="R70" i="105"/>
  <c r="Q70" i="105"/>
  <c r="N70" i="105"/>
  <c r="M70" i="105"/>
  <c r="L70" i="105"/>
  <c r="K70" i="105"/>
  <c r="AI69" i="105"/>
  <c r="AH69" i="105"/>
  <c r="AG69" i="105"/>
  <c r="W69" i="105"/>
  <c r="X69" i="105" s="1"/>
  <c r="R69" i="105"/>
  <c r="Q69" i="105"/>
  <c r="N69" i="105"/>
  <c r="M69" i="105"/>
  <c r="L69" i="105"/>
  <c r="K69" i="105"/>
  <c r="AI68" i="105"/>
  <c r="AH68" i="105"/>
  <c r="AG68" i="105"/>
  <c r="W68" i="105"/>
  <c r="X68" i="105" s="1"/>
  <c r="X67" i="105" s="1"/>
  <c r="R68" i="105"/>
  <c r="Q68" i="105"/>
  <c r="N68" i="105"/>
  <c r="M68" i="105"/>
  <c r="L68" i="105"/>
  <c r="K68" i="105"/>
  <c r="A68" i="105"/>
  <c r="A69" i="105" s="1"/>
  <c r="A70" i="105" s="1"/>
  <c r="A71" i="105" s="1"/>
  <c r="A72" i="105" s="1"/>
  <c r="A73" i="105" s="1"/>
  <c r="A74" i="105" s="1"/>
  <c r="A75" i="105" s="1"/>
  <c r="A76" i="105" s="1"/>
  <c r="AH67" i="105"/>
  <c r="AF67" i="105"/>
  <c r="U67" i="105"/>
  <c r="R67" i="105"/>
  <c r="P67" i="105"/>
  <c r="N67" i="105"/>
  <c r="M67" i="105"/>
  <c r="AI67" i="105" s="1"/>
  <c r="I67" i="105"/>
  <c r="H67" i="105"/>
  <c r="AI66" i="105"/>
  <c r="AG66" i="105"/>
  <c r="X66" i="105"/>
  <c r="W66" i="105"/>
  <c r="N66" i="105"/>
  <c r="M66" i="105"/>
  <c r="L66" i="105"/>
  <c r="K66" i="105"/>
  <c r="AI65" i="105"/>
  <c r="AG65" i="105"/>
  <c r="X65" i="105"/>
  <c r="W65" i="105"/>
  <c r="N65" i="105"/>
  <c r="M65" i="105"/>
  <c r="L65" i="105"/>
  <c r="K65" i="105"/>
  <c r="AI64" i="105"/>
  <c r="AG64" i="105"/>
  <c r="X64" i="105"/>
  <c r="W64" i="105"/>
  <c r="N64" i="105"/>
  <c r="M64" i="105"/>
  <c r="L64" i="105"/>
  <c r="K64" i="105"/>
  <c r="AI63" i="105"/>
  <c r="AG63" i="105"/>
  <c r="X63" i="105"/>
  <c r="W63" i="105"/>
  <c r="N63" i="105"/>
  <c r="M63" i="105"/>
  <c r="L63" i="105"/>
  <c r="K63" i="105"/>
  <c r="AI62" i="105"/>
  <c r="AG62" i="105"/>
  <c r="X62" i="105"/>
  <c r="W62" i="105"/>
  <c r="N62" i="105"/>
  <c r="M62" i="105"/>
  <c r="L62" i="105"/>
  <c r="K62" i="105"/>
  <c r="AI61" i="105"/>
  <c r="AG61" i="105"/>
  <c r="X61" i="105"/>
  <c r="W61" i="105"/>
  <c r="N61" i="105"/>
  <c r="M61" i="105"/>
  <c r="L61" i="105"/>
  <c r="K61" i="105"/>
  <c r="AI60" i="105"/>
  <c r="AG60" i="105"/>
  <c r="X60" i="105"/>
  <c r="W60" i="105"/>
  <c r="N60" i="105"/>
  <c r="M60" i="105"/>
  <c r="L60" i="105"/>
  <c r="K60" i="105"/>
  <c r="AI59" i="105"/>
  <c r="AG59" i="105"/>
  <c r="X59" i="105"/>
  <c r="X58" i="105" s="1"/>
  <c r="W59" i="105"/>
  <c r="L59" i="105"/>
  <c r="N59" i="105" s="1"/>
  <c r="K59" i="105"/>
  <c r="M59" i="105" s="1"/>
  <c r="M58" i="105" s="1"/>
  <c r="A59" i="105"/>
  <c r="A60" i="105" s="1"/>
  <c r="A61" i="105" s="1"/>
  <c r="A62" i="105" s="1"/>
  <c r="A63" i="105" s="1"/>
  <c r="A64" i="105" s="1"/>
  <c r="A65" i="105" s="1"/>
  <c r="A66" i="105" s="1"/>
  <c r="AH58" i="105"/>
  <c r="AF58" i="105"/>
  <c r="U58" i="105"/>
  <c r="R58" i="105"/>
  <c r="P58" i="105"/>
  <c r="H58" i="105"/>
  <c r="AI57" i="105"/>
  <c r="AG57" i="105"/>
  <c r="X57" i="105"/>
  <c r="W57" i="105"/>
  <c r="N57" i="105"/>
  <c r="M57" i="105"/>
  <c r="L57" i="105"/>
  <c r="K57" i="105"/>
  <c r="AI56" i="105"/>
  <c r="AG56" i="105"/>
  <c r="X56" i="105"/>
  <c r="W56" i="105"/>
  <c r="N56" i="105"/>
  <c r="M56" i="105"/>
  <c r="L56" i="105"/>
  <c r="K56" i="105"/>
  <c r="AI55" i="105"/>
  <c r="AH55" i="105"/>
  <c r="AG55" i="105"/>
  <c r="X55" i="105"/>
  <c r="W55" i="105"/>
  <c r="R55" i="105"/>
  <c r="Q55" i="105"/>
  <c r="N55" i="105"/>
  <c r="M55" i="105"/>
  <c r="L55" i="105"/>
  <c r="K55" i="105"/>
  <c r="AI54" i="105"/>
  <c r="AH54" i="105"/>
  <c r="AG54" i="105"/>
  <c r="X54" i="105"/>
  <c r="W54" i="105"/>
  <c r="R54" i="105"/>
  <c r="Q54" i="105"/>
  <c r="N54" i="105"/>
  <c r="M54" i="105"/>
  <c r="L54" i="105"/>
  <c r="K54" i="105"/>
  <c r="AI53" i="105"/>
  <c r="AG53" i="105"/>
  <c r="X53" i="105"/>
  <c r="W53" i="105"/>
  <c r="N53" i="105"/>
  <c r="M53" i="105"/>
  <c r="L53" i="105"/>
  <c r="K53" i="105"/>
  <c r="AI52" i="105"/>
  <c r="AG52" i="105"/>
  <c r="X52" i="105"/>
  <c r="W52" i="105"/>
  <c r="N52" i="105"/>
  <c r="M52" i="105"/>
  <c r="L52" i="105"/>
  <c r="K52" i="105"/>
  <c r="AI51" i="105"/>
  <c r="AG51" i="105"/>
  <c r="X51" i="105"/>
  <c r="W51" i="105"/>
  <c r="L51" i="105"/>
  <c r="N51" i="105" s="1"/>
  <c r="I51" i="105" s="1"/>
  <c r="K51" i="105"/>
  <c r="M51" i="105" s="1"/>
  <c r="AI50" i="105"/>
  <c r="AG50" i="105"/>
  <c r="X50" i="105"/>
  <c r="W50" i="105"/>
  <c r="L50" i="105"/>
  <c r="N50" i="105" s="1"/>
  <c r="K50" i="105"/>
  <c r="M50" i="105" s="1"/>
  <c r="M49" i="105" s="1"/>
  <c r="A50" i="105"/>
  <c r="A51" i="105" s="1"/>
  <c r="A52" i="105" s="1"/>
  <c r="A53" i="105" s="1"/>
  <c r="A54" i="105" s="1"/>
  <c r="A55" i="105" s="1"/>
  <c r="A56" i="105" s="1"/>
  <c r="A57" i="105" s="1"/>
  <c r="AH49" i="105"/>
  <c r="AF49" i="105"/>
  <c r="X49" i="105"/>
  <c r="U49" i="105"/>
  <c r="R49" i="105"/>
  <c r="P49" i="105"/>
  <c r="H49" i="105"/>
  <c r="AI48" i="105"/>
  <c r="AG48" i="105"/>
  <c r="X48" i="105"/>
  <c r="W48" i="105"/>
  <c r="N48" i="105"/>
  <c r="M48" i="105"/>
  <c r="L48" i="105"/>
  <c r="K48" i="105"/>
  <c r="AI47" i="105"/>
  <c r="AG47" i="105"/>
  <c r="X47" i="105"/>
  <c r="W47" i="105"/>
  <c r="N47" i="105"/>
  <c r="M47" i="105"/>
  <c r="L47" i="105"/>
  <c r="K47" i="105"/>
  <c r="AI46" i="105"/>
  <c r="AH46" i="105"/>
  <c r="AG46" i="105"/>
  <c r="X46" i="105"/>
  <c r="W46" i="105"/>
  <c r="R46" i="105"/>
  <c r="Q46" i="105"/>
  <c r="N46" i="105"/>
  <c r="M46" i="105"/>
  <c r="L46" i="105"/>
  <c r="K46" i="105"/>
  <c r="AI45" i="105"/>
  <c r="AH45" i="105"/>
  <c r="AG45" i="105"/>
  <c r="W45" i="105"/>
  <c r="X45" i="105" s="1"/>
  <c r="Q45" i="105"/>
  <c r="R45" i="105" s="1"/>
  <c r="N45" i="105"/>
  <c r="M45" i="105"/>
  <c r="L45" i="105"/>
  <c r="K45" i="105"/>
  <c r="AI44" i="105"/>
  <c r="AH44" i="105"/>
  <c r="AG44" i="105"/>
  <c r="W44" i="105"/>
  <c r="X44" i="105" s="1"/>
  <c r="Q44" i="105"/>
  <c r="R44" i="105" s="1"/>
  <c r="N44" i="105"/>
  <c r="M44" i="105"/>
  <c r="L44" i="105"/>
  <c r="K44" i="105"/>
  <c r="AI43" i="105"/>
  <c r="AH43" i="105"/>
  <c r="AG43" i="105"/>
  <c r="W43" i="105"/>
  <c r="X43" i="105" s="1"/>
  <c r="Q43" i="105"/>
  <c r="R43" i="105" s="1"/>
  <c r="N43" i="105"/>
  <c r="M43" i="105"/>
  <c r="L43" i="105"/>
  <c r="K43" i="105"/>
  <c r="AI42" i="105"/>
  <c r="AH42" i="105"/>
  <c r="AG42" i="105"/>
  <c r="W42" i="105"/>
  <c r="X42" i="105" s="1"/>
  <c r="Q42" i="105"/>
  <c r="R42" i="105" s="1"/>
  <c r="N42" i="105"/>
  <c r="M42" i="105"/>
  <c r="L42" i="105"/>
  <c r="K42" i="105"/>
  <c r="AI41" i="105"/>
  <c r="AH41" i="105"/>
  <c r="AG41" i="105"/>
  <c r="W41" i="105"/>
  <c r="X41" i="105" s="1"/>
  <c r="Q41" i="105"/>
  <c r="R41" i="105" s="1"/>
  <c r="N41" i="105"/>
  <c r="M41" i="105"/>
  <c r="L41" i="105"/>
  <c r="K41" i="105"/>
  <c r="AI40" i="105"/>
  <c r="AH40" i="105"/>
  <c r="AG40" i="105"/>
  <c r="W40" i="105"/>
  <c r="X40" i="105" s="1"/>
  <c r="Q40" i="105"/>
  <c r="R40" i="105" s="1"/>
  <c r="N40" i="105"/>
  <c r="M40" i="105"/>
  <c r="L40" i="105"/>
  <c r="K40" i="105"/>
  <c r="AI39" i="105"/>
  <c r="AH39" i="105"/>
  <c r="AG39" i="105"/>
  <c r="W39" i="105"/>
  <c r="X39" i="105" s="1"/>
  <c r="Q39" i="105"/>
  <c r="R39" i="105" s="1"/>
  <c r="N39" i="105"/>
  <c r="M39" i="105"/>
  <c r="L39" i="105"/>
  <c r="K39" i="105"/>
  <c r="AI38" i="105"/>
  <c r="AH38" i="105"/>
  <c r="AG38" i="105"/>
  <c r="W38" i="105"/>
  <c r="X38" i="105" s="1"/>
  <c r="Q38" i="105"/>
  <c r="R38" i="105" s="1"/>
  <c r="N38" i="105"/>
  <c r="M38" i="105"/>
  <c r="L38" i="105"/>
  <c r="K38" i="105"/>
  <c r="AI37" i="105"/>
  <c r="AH37" i="105"/>
  <c r="AG37" i="105"/>
  <c r="W37" i="105"/>
  <c r="X37" i="105" s="1"/>
  <c r="Q37" i="105"/>
  <c r="R37" i="105" s="1"/>
  <c r="N37" i="105"/>
  <c r="M37" i="105"/>
  <c r="L37" i="105"/>
  <c r="K37" i="105"/>
  <c r="AI36" i="105"/>
  <c r="AH36" i="105"/>
  <c r="AG36" i="105"/>
  <c r="W36" i="105"/>
  <c r="X36" i="105" s="1"/>
  <c r="Q36" i="105"/>
  <c r="R36" i="105" s="1"/>
  <c r="N36" i="105"/>
  <c r="M36" i="105"/>
  <c r="L36" i="105"/>
  <c r="K36" i="105"/>
  <c r="AI35" i="105"/>
  <c r="AH35" i="105"/>
  <c r="AG35" i="105"/>
  <c r="W35" i="105"/>
  <c r="X35" i="105" s="1"/>
  <c r="Q35" i="105"/>
  <c r="R35" i="105" s="1"/>
  <c r="N35" i="105"/>
  <c r="M35" i="105"/>
  <c r="L35" i="105"/>
  <c r="K35" i="105"/>
  <c r="AI34" i="105"/>
  <c r="AH34" i="105"/>
  <c r="AG34" i="105"/>
  <c r="W34" i="105"/>
  <c r="X34" i="105" s="1"/>
  <c r="Q34" i="105"/>
  <c r="R34" i="105" s="1"/>
  <c r="N34" i="105"/>
  <c r="M34" i="105"/>
  <c r="L34" i="105"/>
  <c r="K34" i="105"/>
  <c r="AI33" i="105"/>
  <c r="AH33" i="105"/>
  <c r="AG33" i="105"/>
  <c r="W33" i="105"/>
  <c r="X33" i="105" s="1"/>
  <c r="Q33" i="105"/>
  <c r="R33" i="105" s="1"/>
  <c r="N33" i="105"/>
  <c r="M33" i="105"/>
  <c r="L33" i="105"/>
  <c r="K33" i="105"/>
  <c r="AI32" i="105"/>
  <c r="AH32" i="105"/>
  <c r="AG32" i="105"/>
  <c r="W32" i="105"/>
  <c r="X32" i="105" s="1"/>
  <c r="Q32" i="105"/>
  <c r="R32" i="105" s="1"/>
  <c r="N32" i="105"/>
  <c r="M32" i="105"/>
  <c r="L32" i="105"/>
  <c r="K32" i="105"/>
  <c r="AI31" i="105"/>
  <c r="AH31" i="105"/>
  <c r="AG31" i="105"/>
  <c r="W31" i="105"/>
  <c r="X31" i="105" s="1"/>
  <c r="Q31" i="105"/>
  <c r="R31" i="105" s="1"/>
  <c r="N31" i="105"/>
  <c r="M31" i="105"/>
  <c r="L31" i="105"/>
  <c r="K31" i="105"/>
  <c r="AI30" i="105"/>
  <c r="AH30" i="105"/>
  <c r="AG30" i="105"/>
  <c r="W30" i="105"/>
  <c r="X30" i="105" s="1"/>
  <c r="Q30" i="105"/>
  <c r="R30" i="105" s="1"/>
  <c r="N30" i="105"/>
  <c r="M30" i="105"/>
  <c r="L30" i="105"/>
  <c r="K30" i="105"/>
  <c r="AI29" i="105"/>
  <c r="AH29" i="105"/>
  <c r="AG29" i="105"/>
  <c r="W29" i="105"/>
  <c r="X29" i="105" s="1"/>
  <c r="Q29" i="105"/>
  <c r="R29" i="105" s="1"/>
  <c r="N29" i="105"/>
  <c r="M29" i="105"/>
  <c r="L29" i="105"/>
  <c r="K29" i="105"/>
  <c r="AI28" i="105"/>
  <c r="AH28" i="105"/>
  <c r="AG28" i="105"/>
  <c r="W28" i="105"/>
  <c r="X28" i="105" s="1"/>
  <c r="Q28" i="105"/>
  <c r="R28" i="105" s="1"/>
  <c r="N28" i="105"/>
  <c r="M28" i="105"/>
  <c r="L28" i="105"/>
  <c r="K28" i="105"/>
  <c r="AI27" i="105"/>
  <c r="AH27" i="105"/>
  <c r="AG27" i="105"/>
  <c r="W27" i="105"/>
  <c r="X27" i="105" s="1"/>
  <c r="Q27" i="105"/>
  <c r="R27" i="105" s="1"/>
  <c r="N27" i="105"/>
  <c r="M27" i="105"/>
  <c r="L27" i="105"/>
  <c r="K27" i="105"/>
  <c r="AI26" i="105"/>
  <c r="AH26" i="105"/>
  <c r="AG26" i="105"/>
  <c r="W26" i="105"/>
  <c r="X26" i="105" s="1"/>
  <c r="Q26" i="105"/>
  <c r="R26" i="105" s="1"/>
  <c r="L26" i="105"/>
  <c r="N26" i="105" s="1"/>
  <c r="I26" i="105" s="1"/>
  <c r="K26" i="105"/>
  <c r="M26" i="105" s="1"/>
  <c r="AI25" i="105"/>
  <c r="AH25" i="105"/>
  <c r="AH22" i="105" s="1"/>
  <c r="AG25" i="105"/>
  <c r="X25" i="105"/>
  <c r="W25" i="105"/>
  <c r="R25" i="105"/>
  <c r="Q25" i="105"/>
  <c r="L25" i="105"/>
  <c r="N25" i="105" s="1"/>
  <c r="I25" i="105" s="1"/>
  <c r="K25" i="105"/>
  <c r="M25" i="105" s="1"/>
  <c r="AI24" i="105"/>
  <c r="AH24" i="105"/>
  <c r="AG24" i="105"/>
  <c r="W24" i="105"/>
  <c r="X24" i="105" s="1"/>
  <c r="Q24" i="105"/>
  <c r="R24" i="105" s="1"/>
  <c r="L24" i="105"/>
  <c r="K24" i="105"/>
  <c r="M24" i="105" s="1"/>
  <c r="H24" i="105"/>
  <c r="N24" i="105" s="1"/>
  <c r="I24" i="105" s="1"/>
  <c r="AI23" i="105"/>
  <c r="AG23" i="105"/>
  <c r="X23" i="105"/>
  <c r="X22" i="105" s="1"/>
  <c r="W23" i="105"/>
  <c r="R23" i="105"/>
  <c r="R22" i="105" s="1"/>
  <c r="Q23" i="105"/>
  <c r="N23" i="105"/>
  <c r="L23" i="105"/>
  <c r="K23" i="105"/>
  <c r="M23" i="105" s="1"/>
  <c r="M22" i="105" s="1"/>
  <c r="A23" i="105"/>
  <c r="A24" i="105" s="1"/>
  <c r="A25" i="105" s="1"/>
  <c r="A26" i="105" s="1"/>
  <c r="A27" i="105" s="1"/>
  <c r="A28" i="105" s="1"/>
  <c r="A29" i="105" s="1"/>
  <c r="A30" i="105" s="1"/>
  <c r="A31" i="105" s="1"/>
  <c r="A32" i="105" s="1"/>
  <c r="A33" i="105" s="1"/>
  <c r="A34" i="105" s="1"/>
  <c r="A35" i="105" s="1"/>
  <c r="A36" i="105" s="1"/>
  <c r="A37" i="105" s="1"/>
  <c r="A38" i="105" s="1"/>
  <c r="A39" i="105" s="1"/>
  <c r="A40" i="105" s="1"/>
  <c r="A41" i="105" s="1"/>
  <c r="A42" i="105" s="1"/>
  <c r="A43" i="105" s="1"/>
  <c r="A44" i="105" s="1"/>
  <c r="A45" i="105" s="1"/>
  <c r="A46" i="105" s="1"/>
  <c r="A47" i="105" s="1"/>
  <c r="A48" i="105" s="1"/>
  <c r="AF22" i="105"/>
  <c r="U22" i="105"/>
  <c r="P22" i="105"/>
  <c r="H22" i="105"/>
  <c r="AI21" i="105"/>
  <c r="AH21" i="105"/>
  <c r="AG21" i="105"/>
  <c r="X21" i="105"/>
  <c r="W21" i="105"/>
  <c r="R21" i="105"/>
  <c r="Q21" i="105"/>
  <c r="N21" i="105"/>
  <c r="M21" i="105"/>
  <c r="L21" i="105"/>
  <c r="K21" i="105"/>
  <c r="AI20" i="105"/>
  <c r="AH20" i="105"/>
  <c r="AH15" i="105" s="1"/>
  <c r="AG20" i="105"/>
  <c r="X20" i="105"/>
  <c r="W20" i="105"/>
  <c r="R20" i="105"/>
  <c r="R15" i="105" s="1"/>
  <c r="Q20" i="105"/>
  <c r="N20" i="105"/>
  <c r="M20" i="105"/>
  <c r="L20" i="105"/>
  <c r="K20" i="105"/>
  <c r="AI19" i="105"/>
  <c r="AG19" i="105"/>
  <c r="X19" i="105"/>
  <c r="W19" i="105"/>
  <c r="N19" i="105"/>
  <c r="M19" i="105"/>
  <c r="L19" i="105"/>
  <c r="K19" i="105"/>
  <c r="AI18" i="105"/>
  <c r="AG18" i="105"/>
  <c r="X18" i="105"/>
  <c r="W18" i="105"/>
  <c r="N18" i="105"/>
  <c r="M18" i="105"/>
  <c r="L18" i="105"/>
  <c r="K18" i="105"/>
  <c r="AI17" i="105"/>
  <c r="AG17" i="105"/>
  <c r="X17" i="105"/>
  <c r="W17" i="105"/>
  <c r="N17" i="105"/>
  <c r="M17" i="105"/>
  <c r="L17" i="105"/>
  <c r="K17" i="105"/>
  <c r="AI16" i="105"/>
  <c r="AG16" i="105"/>
  <c r="X16" i="105"/>
  <c r="X15" i="105" s="1"/>
  <c r="W16" i="105"/>
  <c r="N16" i="105"/>
  <c r="N15" i="105" s="1"/>
  <c r="L16" i="105"/>
  <c r="K16" i="105"/>
  <c r="M16" i="105" s="1"/>
  <c r="M15" i="105" s="1"/>
  <c r="AI15" i="105" s="1"/>
  <c r="A16" i="105"/>
  <c r="A17" i="105" s="1"/>
  <c r="A18" i="105" s="1"/>
  <c r="A19" i="105" s="1"/>
  <c r="A20" i="105" s="1"/>
  <c r="A21" i="105" s="1"/>
  <c r="AF15" i="105"/>
  <c r="U15" i="105"/>
  <c r="P15" i="105"/>
  <c r="H15" i="105"/>
  <c r="AI14" i="105"/>
  <c r="AG14" i="105"/>
  <c r="X14" i="105"/>
  <c r="W14" i="105"/>
  <c r="N14" i="105"/>
  <c r="M14" i="105"/>
  <c r="M8" i="105" s="1"/>
  <c r="L14" i="105"/>
  <c r="K14" i="105"/>
  <c r="AI13" i="105"/>
  <c r="AG13" i="105"/>
  <c r="X13" i="105"/>
  <c r="W13" i="105"/>
  <c r="N13" i="105"/>
  <c r="M13" i="105"/>
  <c r="L13" i="105"/>
  <c r="K13" i="105"/>
  <c r="AI12" i="105"/>
  <c r="AH12" i="105"/>
  <c r="AG12" i="105"/>
  <c r="X12" i="105"/>
  <c r="W12" i="105"/>
  <c r="R12" i="105"/>
  <c r="Q12" i="105"/>
  <c r="N12" i="105"/>
  <c r="M12" i="105"/>
  <c r="L12" i="105"/>
  <c r="K12" i="105"/>
  <c r="AI11" i="105"/>
  <c r="AH11" i="105"/>
  <c r="AG11" i="105"/>
  <c r="X11" i="105"/>
  <c r="W11" i="105"/>
  <c r="R11" i="105"/>
  <c r="Q11" i="105"/>
  <c r="N11" i="105"/>
  <c r="M11" i="105"/>
  <c r="L11" i="105"/>
  <c r="K11" i="105"/>
  <c r="AI10" i="105"/>
  <c r="AH10" i="105"/>
  <c r="AG10" i="105"/>
  <c r="X10" i="105"/>
  <c r="W10" i="105"/>
  <c r="R10" i="105"/>
  <c r="Q10" i="105"/>
  <c r="N10" i="105"/>
  <c r="M10" i="105"/>
  <c r="L10" i="105"/>
  <c r="K10" i="105"/>
  <c r="AI9" i="105"/>
  <c r="AH9" i="105"/>
  <c r="AG9" i="105"/>
  <c r="X9" i="105"/>
  <c r="W9" i="105"/>
  <c r="R9" i="105"/>
  <c r="Q9" i="105"/>
  <c r="N9" i="105"/>
  <c r="M9" i="105"/>
  <c r="L9" i="105"/>
  <c r="K9" i="105"/>
  <c r="A9" i="105"/>
  <c r="A10" i="105" s="1"/>
  <c r="A11" i="105" s="1"/>
  <c r="A12" i="105" s="1"/>
  <c r="A13" i="105" s="1"/>
  <c r="A14" i="105" s="1"/>
  <c r="AH8" i="105"/>
  <c r="AF8" i="105"/>
  <c r="X8" i="105"/>
  <c r="U8" i="105"/>
  <c r="R8" i="105"/>
  <c r="P8" i="105"/>
  <c r="N8" i="105"/>
  <c r="I8" i="105"/>
  <c r="H8" i="105"/>
  <c r="AF7" i="105"/>
  <c r="P7" i="105"/>
  <c r="C1" i="105"/>
  <c r="AI8" i="105" l="1"/>
  <c r="N22" i="105"/>
  <c r="AI22" i="105" s="1"/>
  <c r="I16" i="105"/>
  <c r="I15" i="105" s="1"/>
  <c r="I23" i="105"/>
  <c r="I22" i="105" s="1"/>
  <c r="N58" i="105"/>
  <c r="I59" i="105"/>
  <c r="I58" i="105" s="1"/>
  <c r="AI85" i="105"/>
  <c r="I99" i="105"/>
  <c r="N98" i="105"/>
  <c r="I104" i="105"/>
  <c r="I103" i="105" s="1"/>
  <c r="N103" i="105"/>
  <c r="AI108" i="105"/>
  <c r="X108" i="105"/>
  <c r="X7" i="105" s="1"/>
  <c r="N149" i="105"/>
  <c r="AI149" i="105" s="1"/>
  <c r="I150" i="105"/>
  <c r="I149" i="105" s="1"/>
  <c r="I158" i="105"/>
  <c r="I157" i="105" s="1"/>
  <c r="N157" i="105"/>
  <c r="I173" i="105"/>
  <c r="I172" i="105" s="1"/>
  <c r="N172" i="105"/>
  <c r="AI172" i="105" s="1"/>
  <c r="I191" i="105"/>
  <c r="I190" i="105" s="1"/>
  <c r="N190" i="105"/>
  <c r="AI190" i="105" s="1"/>
  <c r="M208" i="105"/>
  <c r="I221" i="105"/>
  <c r="I220" i="105" s="1"/>
  <c r="N220" i="105"/>
  <c r="R236" i="105"/>
  <c r="R7" i="105" s="1"/>
  <c r="N262" i="105"/>
  <c r="I263" i="105"/>
  <c r="I262" i="105" s="1"/>
  <c r="I272" i="105"/>
  <c r="I271" i="105" s="1"/>
  <c r="N271" i="105"/>
  <c r="N278" i="105"/>
  <c r="I279" i="105"/>
  <c r="I278" i="105" s="1"/>
  <c r="X278" i="105"/>
  <c r="M308" i="105"/>
  <c r="R308" i="105"/>
  <c r="M332" i="105"/>
  <c r="I333" i="105"/>
  <c r="I332" i="105" s="1"/>
  <c r="N332" i="105"/>
  <c r="N349" i="105"/>
  <c r="AI349" i="105" s="1"/>
  <c r="I350" i="105"/>
  <c r="I349" i="105" s="1"/>
  <c r="X349" i="105"/>
  <c r="M385" i="105"/>
  <c r="R385" i="105"/>
  <c r="AI419" i="105"/>
  <c r="X419" i="105"/>
  <c r="M428" i="105"/>
  <c r="N435" i="105"/>
  <c r="I436" i="105"/>
  <c r="I435" i="105" s="1"/>
  <c r="M465" i="105"/>
  <c r="R465" i="105"/>
  <c r="N488" i="105"/>
  <c r="I489" i="105"/>
  <c r="I488" i="105" s="1"/>
  <c r="N539" i="105"/>
  <c r="I540" i="105"/>
  <c r="I539" i="105" s="1"/>
  <c r="M549" i="105"/>
  <c r="AI549" i="105" s="1"/>
  <c r="M559" i="105"/>
  <c r="N567" i="105"/>
  <c r="AI567" i="105" s="1"/>
  <c r="I568" i="105"/>
  <c r="I567" i="105" s="1"/>
  <c r="X567" i="105"/>
  <c r="M585" i="105"/>
  <c r="AI608" i="105"/>
  <c r="N619" i="105"/>
  <c r="I620" i="105"/>
  <c r="I619" i="105" s="1"/>
  <c r="M629" i="105"/>
  <c r="X629" i="105"/>
  <c r="M640" i="105"/>
  <c r="I641" i="105"/>
  <c r="I640" i="105" s="1"/>
  <c r="N640" i="105"/>
  <c r="X649" i="105"/>
  <c r="X670" i="105"/>
  <c r="I681" i="105"/>
  <c r="I680" i="105" s="1"/>
  <c r="N680" i="105"/>
  <c r="AI680" i="105" s="1"/>
  <c r="M688" i="105"/>
  <c r="I689" i="105"/>
  <c r="I688" i="105" s="1"/>
  <c r="N688" i="105"/>
  <c r="M696" i="105"/>
  <c r="M704" i="105"/>
  <c r="I742" i="105"/>
  <c r="I741" i="105" s="1"/>
  <c r="N741" i="105"/>
  <c r="AI741" i="105" s="1"/>
  <c r="N751" i="105"/>
  <c r="I752" i="105"/>
  <c r="I751" i="105" s="1"/>
  <c r="I768" i="105"/>
  <c r="N787" i="105"/>
  <c r="I788" i="105"/>
  <c r="I787" i="105" s="1"/>
  <c r="I814" i="105"/>
  <c r="I813" i="105" s="1"/>
  <c r="N813" i="105"/>
  <c r="AI813" i="105" s="1"/>
  <c r="I50" i="105"/>
  <c r="I49" i="105" s="1"/>
  <c r="N49" i="105"/>
  <c r="AI58" i="105"/>
  <c r="N85" i="105"/>
  <c r="I86" i="105"/>
  <c r="I85" i="105" s="1"/>
  <c r="N92" i="105"/>
  <c r="AI92" i="105" s="1"/>
  <c r="I93" i="105"/>
  <c r="AI98" i="105"/>
  <c r="M157" i="105"/>
  <c r="AI157" i="105" s="1"/>
  <c r="I166" i="105"/>
  <c r="I165" i="105" s="1"/>
  <c r="N165" i="105"/>
  <c r="AI165" i="105" s="1"/>
  <c r="I182" i="105"/>
  <c r="I181" i="105" s="1"/>
  <c r="N181" i="105"/>
  <c r="AI181" i="105" s="1"/>
  <c r="I201" i="105"/>
  <c r="I200" i="105" s="1"/>
  <c r="N200" i="105"/>
  <c r="AI200" i="105" s="1"/>
  <c r="N208" i="105"/>
  <c r="I209" i="105"/>
  <c r="I208" i="105" s="1"/>
  <c r="AI220" i="105"/>
  <c r="N228" i="105"/>
  <c r="AI228" i="105" s="1"/>
  <c r="I229" i="105"/>
  <c r="I228" i="105" s="1"/>
  <c r="I237" i="105"/>
  <c r="I236" i="105" s="1"/>
  <c r="N236" i="105"/>
  <c r="AI262" i="105"/>
  <c r="AI271" i="105"/>
  <c r="AI278" i="105"/>
  <c r="N308" i="105"/>
  <c r="I309" i="105"/>
  <c r="I308" i="105" s="1"/>
  <c r="N385" i="105"/>
  <c r="I386" i="105"/>
  <c r="I429" i="105"/>
  <c r="AI435" i="105"/>
  <c r="N465" i="105"/>
  <c r="I466" i="105"/>
  <c r="I465" i="105" s="1"/>
  <c r="AI488" i="105"/>
  <c r="I497" i="105"/>
  <c r="I496" i="105" s="1"/>
  <c r="N496" i="105"/>
  <c r="AI496" i="105" s="1"/>
  <c r="AI539" i="105"/>
  <c r="N549" i="105"/>
  <c r="I550" i="105"/>
  <c r="I549" i="105" s="1"/>
  <c r="I560" i="105"/>
  <c r="I559" i="105" s="1"/>
  <c r="N559" i="105"/>
  <c r="N585" i="105"/>
  <c r="I586" i="105"/>
  <c r="I585" i="105" s="1"/>
  <c r="I609" i="105"/>
  <c r="I608" i="105" s="1"/>
  <c r="N608" i="105"/>
  <c r="AI619" i="105"/>
  <c r="N629" i="105"/>
  <c r="I630" i="105"/>
  <c r="I629" i="105" s="1"/>
  <c r="N670" i="105"/>
  <c r="AI670" i="105" s="1"/>
  <c r="I671" i="105"/>
  <c r="I670" i="105" s="1"/>
  <c r="I705" i="105"/>
  <c r="AI751" i="105"/>
  <c r="N760" i="105"/>
  <c r="AI760" i="105" s="1"/>
  <c r="I761" i="105"/>
  <c r="I760" i="105" s="1"/>
  <c r="AI787" i="105"/>
  <c r="I795" i="105"/>
  <c r="I837" i="105"/>
  <c r="I836" i="105" s="1"/>
  <c r="N836" i="105"/>
  <c r="N870" i="105"/>
  <c r="I871" i="105"/>
  <c r="I870" i="105" s="1"/>
  <c r="M104" i="105"/>
  <c r="M103" i="105" s="1"/>
  <c r="AI103" i="105" s="1"/>
  <c r="M159" i="105"/>
  <c r="M237" i="105"/>
  <c r="M236" i="105" s="1"/>
  <c r="AI236" i="105" s="1"/>
  <c r="N142" i="105"/>
  <c r="H385" i="105"/>
  <c r="N387" i="105"/>
  <c r="I387" i="105" s="1"/>
  <c r="N412" i="105"/>
  <c r="H428" i="105"/>
  <c r="N430" i="105"/>
  <c r="I430" i="105" s="1"/>
  <c r="U619" i="105"/>
  <c r="U629" i="105"/>
  <c r="N650" i="105"/>
  <c r="N651" i="105"/>
  <c r="I651" i="105" s="1"/>
  <c r="N662" i="105"/>
  <c r="U670" i="105"/>
  <c r="N697" i="105"/>
  <c r="N706" i="105"/>
  <c r="I706" i="105" s="1"/>
  <c r="H767" i="105"/>
  <c r="N769" i="105"/>
  <c r="I769" i="105" s="1"/>
  <c r="H794" i="105"/>
  <c r="N798" i="105"/>
  <c r="I798" i="105" s="1"/>
  <c r="M836" i="105"/>
  <c r="AI836" i="105" s="1"/>
  <c r="N938" i="105"/>
  <c r="I939" i="105"/>
  <c r="I938" i="105" s="1"/>
  <c r="I946" i="105"/>
  <c r="I945" i="105" s="1"/>
  <c r="N945" i="105"/>
  <c r="AI953" i="105"/>
  <c r="I962" i="105"/>
  <c r="I961" i="105" s="1"/>
  <c r="N961" i="105"/>
  <c r="I1027" i="105"/>
  <c r="I1026" i="105" s="1"/>
  <c r="N1026" i="105"/>
  <c r="AI1026" i="105" s="1"/>
  <c r="I1042" i="105"/>
  <c r="I1041" i="105" s="1"/>
  <c r="N1041" i="105"/>
  <c r="AI1058" i="105"/>
  <c r="N1077" i="105"/>
  <c r="I1078" i="105"/>
  <c r="I1077" i="105" s="1"/>
  <c r="I1102" i="105"/>
  <c r="I1101" i="105" s="1"/>
  <c r="N1101" i="105"/>
  <c r="I1138" i="105"/>
  <c r="I1137" i="105" s="1"/>
  <c r="N1137" i="105"/>
  <c r="AI1154" i="105"/>
  <c r="I1162" i="105"/>
  <c r="I1161" i="105" s="1"/>
  <c r="N1161" i="105"/>
  <c r="AI1161" i="105" s="1"/>
  <c r="N1168" i="105"/>
  <c r="I1169" i="105"/>
  <c r="I1168" i="105" s="1"/>
  <c r="AI1186" i="105"/>
  <c r="I1221" i="105"/>
  <c r="I1220" i="105" s="1"/>
  <c r="N1220" i="105"/>
  <c r="I1267" i="105"/>
  <c r="I1266" i="105" s="1"/>
  <c r="N1266" i="105"/>
  <c r="I1355" i="105"/>
  <c r="I1354" i="105" s="1"/>
  <c r="N1354" i="105"/>
  <c r="I1363" i="105"/>
  <c r="N1362" i="105"/>
  <c r="AI1362" i="105" s="1"/>
  <c r="I1372" i="105"/>
  <c r="I1371" i="105" s="1"/>
  <c r="N1371" i="105"/>
  <c r="N1379" i="105"/>
  <c r="I1380" i="105"/>
  <c r="I1379" i="105" s="1"/>
  <c r="N860" i="105"/>
  <c r="AI860" i="105" s="1"/>
  <c r="M870" i="105"/>
  <c r="AI938" i="105"/>
  <c r="AI945" i="105"/>
  <c r="I954" i="105"/>
  <c r="I953" i="105" s="1"/>
  <c r="N953" i="105"/>
  <c r="AI961" i="105"/>
  <c r="I978" i="105"/>
  <c r="I977" i="105" s="1"/>
  <c r="N977" i="105"/>
  <c r="AI977" i="105" s="1"/>
  <c r="R977" i="105"/>
  <c r="I1010" i="105"/>
  <c r="I1009" i="105" s="1"/>
  <c r="N1009" i="105"/>
  <c r="AI1009" i="105" s="1"/>
  <c r="R1009" i="105"/>
  <c r="AI1041" i="105"/>
  <c r="N1058" i="105"/>
  <c r="I1059" i="105"/>
  <c r="I1058" i="105" s="1"/>
  <c r="N1068" i="105"/>
  <c r="AI1068" i="105" s="1"/>
  <c r="I1069" i="105"/>
  <c r="I1068" i="105" s="1"/>
  <c r="M1077" i="105"/>
  <c r="I1113" i="105"/>
  <c r="I1112" i="105" s="1"/>
  <c r="N1112" i="105"/>
  <c r="AI1112" i="105" s="1"/>
  <c r="AI1137" i="105"/>
  <c r="I1147" i="105"/>
  <c r="I1146" i="105" s="1"/>
  <c r="N1146" i="105"/>
  <c r="AI1146" i="105" s="1"/>
  <c r="N1154" i="105"/>
  <c r="I1155" i="105"/>
  <c r="I1154" i="105" s="1"/>
  <c r="AI1168" i="105"/>
  <c r="I1177" i="105"/>
  <c r="I1176" i="105" s="1"/>
  <c r="N1176" i="105"/>
  <c r="AI1176" i="105" s="1"/>
  <c r="N1186" i="105"/>
  <c r="I1187" i="105"/>
  <c r="I1186" i="105" s="1"/>
  <c r="AI1220" i="105"/>
  <c r="N1228" i="105"/>
  <c r="AI1228" i="105" s="1"/>
  <c r="I1229" i="105"/>
  <c r="I1228" i="105" s="1"/>
  <c r="AI1266" i="105"/>
  <c r="N1335" i="105"/>
  <c r="AI1335" i="105" s="1"/>
  <c r="I1336" i="105"/>
  <c r="I1335" i="105" s="1"/>
  <c r="AI1354" i="105"/>
  <c r="N970" i="105"/>
  <c r="M1102" i="105"/>
  <c r="M1101" i="105" s="1"/>
  <c r="AI1101" i="105" s="1"/>
  <c r="M1103" i="105"/>
  <c r="N1197" i="105"/>
  <c r="N1207" i="105"/>
  <c r="N1214" i="105"/>
  <c r="N1240" i="105"/>
  <c r="N1257" i="105"/>
  <c r="Q1312" i="105"/>
  <c r="U1312" i="105"/>
  <c r="H1313" i="105"/>
  <c r="N1314" i="105"/>
  <c r="I1314" i="105" s="1"/>
  <c r="N1345" i="105"/>
  <c r="H1362" i="105"/>
  <c r="N1365" i="105"/>
  <c r="I1365" i="105" s="1"/>
  <c r="M1372" i="105"/>
  <c r="M1371" i="105" s="1"/>
  <c r="AI1371" i="105" s="1"/>
  <c r="M1382" i="105"/>
  <c r="M1379" i="105" s="1"/>
  <c r="AI1379" i="105" s="1"/>
  <c r="N1416" i="105"/>
  <c r="I1429" i="105"/>
  <c r="I1428" i="105" s="1"/>
  <c r="N1428" i="105"/>
  <c r="AI1428" i="105" s="1"/>
  <c r="R1428" i="105"/>
  <c r="N1514" i="105"/>
  <c r="I1515" i="105"/>
  <c r="I1521" i="105"/>
  <c r="I1520" i="105" s="1"/>
  <c r="N1520" i="105"/>
  <c r="N1590" i="105"/>
  <c r="I1591" i="105"/>
  <c r="I1590" i="105" s="1"/>
  <c r="I1609" i="105"/>
  <c r="I1608" i="105" s="1"/>
  <c r="N1608" i="105"/>
  <c r="AI1608" i="105" s="1"/>
  <c r="N1641" i="105"/>
  <c r="I1642" i="105"/>
  <c r="I1641" i="105" s="1"/>
  <c r="I1650" i="105"/>
  <c r="I1649" i="105" s="1"/>
  <c r="N1649" i="105"/>
  <c r="N1685" i="105"/>
  <c r="I1686" i="105"/>
  <c r="I1685" i="105" s="1"/>
  <c r="N1693" i="105"/>
  <c r="I1694" i="105"/>
  <c r="I1693" i="105" s="1"/>
  <c r="I1707" i="105"/>
  <c r="N1706" i="105"/>
  <c r="AI1706" i="105" s="1"/>
  <c r="N1501" i="105"/>
  <c r="AI1501" i="105" s="1"/>
  <c r="I1502" i="105"/>
  <c r="I1508" i="105"/>
  <c r="I1507" i="105" s="1"/>
  <c r="N1507" i="105"/>
  <c r="AI1507" i="105" s="1"/>
  <c r="AI1514" i="105"/>
  <c r="I1529" i="105"/>
  <c r="I1528" i="105" s="1"/>
  <c r="N1528" i="105"/>
  <c r="AI1528" i="105" s="1"/>
  <c r="I1538" i="105"/>
  <c r="N1537" i="105"/>
  <c r="AI1537" i="105" s="1"/>
  <c r="N1543" i="105"/>
  <c r="AI1543" i="105" s="1"/>
  <c r="I1544" i="105"/>
  <c r="I1543" i="105" s="1"/>
  <c r="I1550" i="105"/>
  <c r="I1549" i="105" s="1"/>
  <c r="N1549" i="105"/>
  <c r="AI1549" i="105" s="1"/>
  <c r="I1557" i="105"/>
  <c r="I1556" i="105" s="1"/>
  <c r="N1556" i="105"/>
  <c r="I1570" i="105"/>
  <c r="I1569" i="105" s="1"/>
  <c r="N1569" i="105"/>
  <c r="AI1569" i="105" s="1"/>
  <c r="M1576" i="105"/>
  <c r="I1577" i="105"/>
  <c r="I1576" i="105" s="1"/>
  <c r="N1576" i="105"/>
  <c r="N1583" i="105"/>
  <c r="AI1583" i="105" s="1"/>
  <c r="I1584" i="105"/>
  <c r="I1583" i="105" s="1"/>
  <c r="AI1590" i="105"/>
  <c r="I1598" i="105"/>
  <c r="I1597" i="105" s="1"/>
  <c r="N1597" i="105"/>
  <c r="AI1597" i="105" s="1"/>
  <c r="I1623" i="105"/>
  <c r="I1622" i="105" s="1"/>
  <c r="N1622" i="105"/>
  <c r="AI1622" i="105" s="1"/>
  <c r="I1632" i="105"/>
  <c r="I1631" i="105" s="1"/>
  <c r="N1631" i="105"/>
  <c r="AI1641" i="105"/>
  <c r="I1667" i="105"/>
  <c r="I1666" i="105" s="1"/>
  <c r="N1666" i="105"/>
  <c r="AI1666" i="105" s="1"/>
  <c r="I1676" i="105"/>
  <c r="I1675" i="105" s="1"/>
  <c r="N1675" i="105"/>
  <c r="AI1675" i="105" s="1"/>
  <c r="AI1685" i="105"/>
  <c r="AI1693" i="105"/>
  <c r="I1712" i="105"/>
  <c r="I1711" i="105" s="1"/>
  <c r="N1711" i="105"/>
  <c r="AI1711" i="105" s="1"/>
  <c r="N1719" i="105"/>
  <c r="AI1719" i="105" s="1"/>
  <c r="I1720" i="105"/>
  <c r="I1719" i="105" s="1"/>
  <c r="I1727" i="105"/>
  <c r="I1726" i="105" s="1"/>
  <c r="N1726" i="105"/>
  <c r="M1734" i="105"/>
  <c r="I1735" i="105"/>
  <c r="I1734" i="105" s="1"/>
  <c r="N1734" i="105"/>
  <c r="M1522" i="105"/>
  <c r="M1520" i="105" s="1"/>
  <c r="AI1520" i="105" s="1"/>
  <c r="M1557" i="105"/>
  <c r="M1556" i="105" s="1"/>
  <c r="M1632" i="105"/>
  <c r="M1631" i="105" s="1"/>
  <c r="AI1631" i="105" s="1"/>
  <c r="M1650" i="105"/>
  <c r="M1649" i="105" s="1"/>
  <c r="M1727" i="105"/>
  <c r="M1726" i="105" s="1"/>
  <c r="AI1726" i="105" s="1"/>
  <c r="I1772" i="105"/>
  <c r="I1771" i="105" s="1"/>
  <c r="N1771" i="105"/>
  <c r="I1779" i="105"/>
  <c r="I1778" i="105" s="1"/>
  <c r="N1778" i="105"/>
  <c r="I1825" i="105"/>
  <c r="I1824" i="105" s="1"/>
  <c r="N1824" i="105"/>
  <c r="AI1824" i="105" s="1"/>
  <c r="I1840" i="105"/>
  <c r="I1839" i="105" s="1"/>
  <c r="N1839" i="105"/>
  <c r="AI1874" i="105"/>
  <c r="N1880" i="105"/>
  <c r="I1881" i="105"/>
  <c r="I1880" i="105" s="1"/>
  <c r="I1974" i="105"/>
  <c r="I1973" i="105" s="1"/>
  <c r="N1973" i="105"/>
  <c r="N1980" i="105"/>
  <c r="I1981" i="105"/>
  <c r="I1980" i="105" s="1"/>
  <c r="I2045" i="105"/>
  <c r="I2044" i="105" s="1"/>
  <c r="N2044" i="105"/>
  <c r="H1520" i="105"/>
  <c r="N1757" i="105"/>
  <c r="AI1757" i="105" s="1"/>
  <c r="H1771" i="105"/>
  <c r="M1772" i="105"/>
  <c r="M1771" i="105" s="1"/>
  <c r="H1778" i="105"/>
  <c r="M1779" i="105"/>
  <c r="M1778" i="105" s="1"/>
  <c r="X1778" i="105"/>
  <c r="I1791" i="105"/>
  <c r="I1790" i="105" s="1"/>
  <c r="N1790" i="105"/>
  <c r="AI1790" i="105" s="1"/>
  <c r="R1790" i="105"/>
  <c r="N1831" i="105"/>
  <c r="AI1831" i="105" s="1"/>
  <c r="I1832" i="105"/>
  <c r="I1831" i="105" s="1"/>
  <c r="AI1839" i="105"/>
  <c r="I1849" i="105"/>
  <c r="I1848" i="105" s="1"/>
  <c r="N1848" i="105"/>
  <c r="M1855" i="105"/>
  <c r="I1856" i="105"/>
  <c r="I1855" i="105" s="1"/>
  <c r="N1855" i="105"/>
  <c r="N1866" i="105"/>
  <c r="AI1866" i="105" s="1"/>
  <c r="I1867" i="105"/>
  <c r="I1866" i="105" s="1"/>
  <c r="I1875" i="105"/>
  <c r="I1874" i="105" s="1"/>
  <c r="N1874" i="105"/>
  <c r="AI1880" i="105"/>
  <c r="I1908" i="105"/>
  <c r="I1907" i="105" s="1"/>
  <c r="N1907" i="105"/>
  <c r="AI1907" i="105" s="1"/>
  <c r="N1959" i="105"/>
  <c r="AI1959" i="105" s="1"/>
  <c r="I1960" i="105"/>
  <c r="I1959" i="105" s="1"/>
  <c r="AH1959" i="105"/>
  <c r="AH7" i="105" s="1"/>
  <c r="M1967" i="105"/>
  <c r="AI1967" i="105" s="1"/>
  <c r="I1968" i="105"/>
  <c r="N1967" i="105"/>
  <c r="AI1973" i="105"/>
  <c r="AI1980" i="105"/>
  <c r="I2013" i="105"/>
  <c r="I2012" i="105" s="1"/>
  <c r="N2012" i="105"/>
  <c r="AI2012" i="105" s="1"/>
  <c r="I2055" i="105"/>
  <c r="I2054" i="105" s="1"/>
  <c r="N2054" i="105"/>
  <c r="M1849" i="105"/>
  <c r="M1848" i="105" s="1"/>
  <c r="AI1848" i="105" s="1"/>
  <c r="N1916" i="105"/>
  <c r="N1991" i="105"/>
  <c r="M2045" i="105"/>
  <c r="M2044" i="105" s="1"/>
  <c r="AI2044" i="105" s="1"/>
  <c r="M2055" i="105"/>
  <c r="M2054" i="105" s="1"/>
  <c r="AI2054" i="105" s="1"/>
  <c r="N2064" i="105"/>
  <c r="AI2064" i="105" s="1"/>
  <c r="H2075" i="105"/>
  <c r="M2076" i="105"/>
  <c r="M2075" i="105" s="1"/>
  <c r="X2075" i="105"/>
  <c r="AI2130" i="105"/>
  <c r="N2160" i="105"/>
  <c r="M2160" i="105"/>
  <c r="M2159" i="105" s="1"/>
  <c r="I2176" i="105"/>
  <c r="I2065" i="105"/>
  <c r="I2064" i="105" s="1"/>
  <c r="I2076" i="105"/>
  <c r="I2075" i="105" s="1"/>
  <c r="N2075" i="105"/>
  <c r="H2159" i="105"/>
  <c r="R2159" i="105"/>
  <c r="AI2176" i="105"/>
  <c r="X2159" i="105"/>
  <c r="M2201" i="105"/>
  <c r="M2200" i="105" s="1"/>
  <c r="X2200" i="105"/>
  <c r="R2224" i="105"/>
  <c r="I2241" i="105"/>
  <c r="I2240" i="105" s="1"/>
  <c r="N2240" i="105"/>
  <c r="AI2240" i="105" s="1"/>
  <c r="N2250" i="105"/>
  <c r="I2251" i="105"/>
  <c r="I2250" i="105" s="1"/>
  <c r="I2201" i="105"/>
  <c r="I2200" i="105" s="1"/>
  <c r="N2200" i="105"/>
  <c r="I2225" i="105"/>
  <c r="I2224" i="105" s="1"/>
  <c r="N2224" i="105"/>
  <c r="AI2250" i="105"/>
  <c r="N2260" i="105"/>
  <c r="AI2260" i="105" s="1"/>
  <c r="I2261" i="105"/>
  <c r="I2260" i="105" s="1"/>
  <c r="I2271" i="105"/>
  <c r="I2270" i="105" s="1"/>
  <c r="N2270" i="105"/>
  <c r="AI2270" i="105" s="1"/>
  <c r="N2280" i="105"/>
  <c r="AI2280" i="105" s="1"/>
  <c r="I2281" i="105"/>
  <c r="I2280" i="105" s="1"/>
  <c r="M2225" i="105"/>
  <c r="M2224" i="105" s="1"/>
  <c r="AI2224" i="105" s="1"/>
  <c r="I2345" i="105"/>
  <c r="I2339" i="105" s="1"/>
  <c r="I2303" i="105"/>
  <c r="I2302" i="105" s="1"/>
  <c r="N2312" i="105"/>
  <c r="AI2312" i="105" s="1"/>
  <c r="N2322" i="105"/>
  <c r="AI2322" i="105" s="1"/>
  <c r="I2332" i="105"/>
  <c r="I2331" i="105" s="1"/>
  <c r="N2355" i="105"/>
  <c r="AI2355" i="105" s="1"/>
  <c r="I2356" i="105"/>
  <c r="I2355" i="105" s="1"/>
  <c r="I2415" i="105"/>
  <c r="I2414" i="105" s="1"/>
  <c r="N2414" i="105"/>
  <c r="N2345" i="105"/>
  <c r="M2346" i="105"/>
  <c r="M2345" i="105" s="1"/>
  <c r="AI2345" i="105" s="1"/>
  <c r="I2363" i="105"/>
  <c r="I2362" i="105" s="1"/>
  <c r="N2369" i="105"/>
  <c r="AI2369" i="105" s="1"/>
  <c r="I2376" i="105"/>
  <c r="I2375" i="105" s="1"/>
  <c r="I2369" i="105" s="1"/>
  <c r="N2381" i="105"/>
  <c r="AI2381" i="105" s="1"/>
  <c r="N2387" i="105"/>
  <c r="AI2387" i="105" s="1"/>
  <c r="N2393" i="105"/>
  <c r="AI2393" i="105" s="1"/>
  <c r="N2399" i="105"/>
  <c r="AI2399" i="105" s="1"/>
  <c r="AI2414" i="105"/>
  <c r="N2422" i="105"/>
  <c r="C13" i="41"/>
  <c r="AI2200" i="105" l="1"/>
  <c r="I2160" i="105"/>
  <c r="I2159" i="105" s="1"/>
  <c r="N2159" i="105"/>
  <c r="I1257" i="105"/>
  <c r="I1256" i="105" s="1"/>
  <c r="N1256" i="105"/>
  <c r="AI1256" i="105" s="1"/>
  <c r="I1214" i="105"/>
  <c r="I1213" i="105" s="1"/>
  <c r="N1213" i="105"/>
  <c r="AI1213" i="105" s="1"/>
  <c r="I1197" i="105"/>
  <c r="I1196" i="105" s="1"/>
  <c r="N1196" i="105"/>
  <c r="AI1196" i="105" s="1"/>
  <c r="N794" i="105"/>
  <c r="AI794" i="105" s="1"/>
  <c r="N704" i="105"/>
  <c r="N428" i="105"/>
  <c r="I92" i="105"/>
  <c r="N767" i="105"/>
  <c r="AI767" i="105" s="1"/>
  <c r="AI704" i="105"/>
  <c r="AI688" i="105"/>
  <c r="AI428" i="105"/>
  <c r="I98" i="105"/>
  <c r="I1991" i="105"/>
  <c r="I1990" i="105" s="1"/>
  <c r="N1990" i="105"/>
  <c r="AI1990" i="105" s="1"/>
  <c r="AI1734" i="105"/>
  <c r="I1416" i="105"/>
  <c r="I1415" i="105" s="1"/>
  <c r="N1415" i="105"/>
  <c r="AI1415" i="105" s="1"/>
  <c r="I412" i="105"/>
  <c r="I411" i="105" s="1"/>
  <c r="N411" i="105"/>
  <c r="AI411" i="105" s="1"/>
  <c r="I2422" i="105"/>
  <c r="I2421" i="105" s="1"/>
  <c r="N2421" i="105"/>
  <c r="AI2421" i="105" s="1"/>
  <c r="AI2159" i="105"/>
  <c r="AI2075" i="105"/>
  <c r="I1916" i="105"/>
  <c r="I1915" i="105" s="1"/>
  <c r="N1915" i="105"/>
  <c r="AI1915" i="105" s="1"/>
  <c r="I1967" i="105"/>
  <c r="AI1855" i="105"/>
  <c r="AI1778" i="105"/>
  <c r="AI1771" i="105"/>
  <c r="AI1649" i="105"/>
  <c r="AI1556" i="105"/>
  <c r="AI1576" i="105"/>
  <c r="I1537" i="105"/>
  <c r="I1501" i="105"/>
  <c r="I1706" i="105"/>
  <c r="I1514" i="105"/>
  <c r="I1345" i="105"/>
  <c r="I1344" i="105" s="1"/>
  <c r="N1344" i="105"/>
  <c r="AI1344" i="105" s="1"/>
  <c r="N1313" i="105"/>
  <c r="H1312" i="105"/>
  <c r="M1313" i="105"/>
  <c r="M1312" i="105" s="1"/>
  <c r="I1240" i="105"/>
  <c r="I1239" i="105" s="1"/>
  <c r="N1239" i="105"/>
  <c r="AI1239" i="105" s="1"/>
  <c r="I1207" i="105"/>
  <c r="I1206" i="105" s="1"/>
  <c r="N1206" i="105"/>
  <c r="AI1206" i="105" s="1"/>
  <c r="I970" i="105"/>
  <c r="I969" i="105" s="1"/>
  <c r="N969" i="105"/>
  <c r="AI969" i="105" s="1"/>
  <c r="AI1077" i="105"/>
  <c r="AI870" i="105"/>
  <c r="I1362" i="105"/>
  <c r="I697" i="105"/>
  <c r="I696" i="105" s="1"/>
  <c r="N696" i="105"/>
  <c r="I662" i="105"/>
  <c r="I661" i="105" s="1"/>
  <c r="N661" i="105"/>
  <c r="AI661" i="105" s="1"/>
  <c r="I650" i="105"/>
  <c r="I649" i="105" s="1"/>
  <c r="N649" i="105"/>
  <c r="AI649" i="105" s="1"/>
  <c r="U7" i="105"/>
  <c r="I142" i="105"/>
  <c r="I141" i="105" s="1"/>
  <c r="N141" i="105"/>
  <c r="AI141" i="105" s="1"/>
  <c r="I794" i="105"/>
  <c r="I704" i="105"/>
  <c r="I428" i="105"/>
  <c r="I385" i="105"/>
  <c r="I767" i="105"/>
  <c r="AI696" i="105"/>
  <c r="AI640" i="105"/>
  <c r="AI629" i="105"/>
  <c r="AI585" i="105"/>
  <c r="AI559" i="105"/>
  <c r="AI465" i="105"/>
  <c r="AI385" i="105"/>
  <c r="AI332" i="105"/>
  <c r="AI308" i="105"/>
  <c r="AI208" i="105"/>
  <c r="AI49" i="105"/>
  <c r="C16" i="41"/>
  <c r="I1313" i="105" l="1"/>
  <c r="I1312" i="105" s="1"/>
  <c r="I7" i="105" s="1"/>
  <c r="N1312" i="105"/>
  <c r="N7" i="105" s="1"/>
  <c r="M7" i="105"/>
  <c r="AE2421" i="67"/>
  <c r="AE2414" i="67"/>
  <c r="AE2399" i="67"/>
  <c r="AE2393" i="67"/>
  <c r="AE2387" i="67"/>
  <c r="AE2381" i="67"/>
  <c r="AE2375" i="67"/>
  <c r="AE2369" i="67"/>
  <c r="AE2362" i="67"/>
  <c r="AE2355" i="67"/>
  <c r="AE2345" i="67"/>
  <c r="AE2339" i="67"/>
  <c r="AE2331" i="67"/>
  <c r="AE2322" i="67"/>
  <c r="AE2312" i="67"/>
  <c r="AE2302" i="67"/>
  <c r="AE2290" i="67"/>
  <c r="AE2280" i="67"/>
  <c r="AE2270" i="67"/>
  <c r="AE2260" i="67"/>
  <c r="AE2250" i="67"/>
  <c r="AE2240" i="67"/>
  <c r="AE2224" i="67"/>
  <c r="AE2214" i="67"/>
  <c r="AE2200" i="67"/>
  <c r="AE2176" i="67"/>
  <c r="AE2159" i="67"/>
  <c r="AE2145" i="67"/>
  <c r="AE2137" i="67"/>
  <c r="AE2130" i="67"/>
  <c r="AE2075" i="67"/>
  <c r="AE2064" i="67"/>
  <c r="AE2054" i="67"/>
  <c r="AK2046" i="67"/>
  <c r="AE2044" i="67"/>
  <c r="AE2036" i="67"/>
  <c r="AE2028" i="67"/>
  <c r="AE2020" i="67"/>
  <c r="AE2012" i="67"/>
  <c r="AE1990" i="67"/>
  <c r="AE1980" i="67"/>
  <c r="AE1973" i="67"/>
  <c r="AE1967" i="67"/>
  <c r="AE1959" i="67"/>
  <c r="AE1942" i="67"/>
  <c r="AE1915" i="67"/>
  <c r="AE1907" i="67"/>
  <c r="AE1899" i="67"/>
  <c r="AE1891" i="67"/>
  <c r="AE1880" i="67"/>
  <c r="AE1874" i="67"/>
  <c r="AE1866" i="67"/>
  <c r="AE1855" i="67"/>
  <c r="AE1848" i="67"/>
  <c r="AE1839" i="67"/>
  <c r="AE1831" i="67"/>
  <c r="AE1824" i="67"/>
  <c r="AE1805" i="67"/>
  <c r="AE1797" i="67"/>
  <c r="AE1790" i="67"/>
  <c r="AE1778" i="67"/>
  <c r="AE1771" i="67"/>
  <c r="AE1757" i="67"/>
  <c r="AE1734" i="67"/>
  <c r="AE1726" i="67"/>
  <c r="AE1719" i="67"/>
  <c r="AE1711" i="67"/>
  <c r="AE1706" i="67"/>
  <c r="AE1693" i="67"/>
  <c r="AE1685" i="67"/>
  <c r="AE1675" i="67"/>
  <c r="AE1666" i="67"/>
  <c r="AE1658" i="67"/>
  <c r="AE1649" i="67"/>
  <c r="AE1641" i="67"/>
  <c r="AE1631" i="67"/>
  <c r="AE1622" i="67"/>
  <c r="AE1608" i="67"/>
  <c r="AE1597" i="67"/>
  <c r="AE1590" i="67"/>
  <c r="AE1583" i="67"/>
  <c r="AE1576" i="67"/>
  <c r="AE1569" i="67"/>
  <c r="AE1556" i="67"/>
  <c r="AE1549" i="67"/>
  <c r="AE1543" i="67"/>
  <c r="AE1537" i="67"/>
  <c r="AE1528" i="67"/>
  <c r="AE1520" i="67"/>
  <c r="AE1514" i="67"/>
  <c r="AE1507" i="67"/>
  <c r="AE1501" i="67"/>
  <c r="AE1483" i="67"/>
  <c r="AE1469" i="67"/>
  <c r="AE1459" i="67"/>
  <c r="AE1452" i="67"/>
  <c r="AE1428" i="67"/>
  <c r="AE1415" i="67"/>
  <c r="AE1379" i="67"/>
  <c r="AE1371" i="67"/>
  <c r="AE1362" i="67"/>
  <c r="AE1354" i="67"/>
  <c r="AE1344" i="67"/>
  <c r="AE1335" i="67"/>
  <c r="AE1312" i="67"/>
  <c r="AE1303" i="67"/>
  <c r="AE1296" i="67"/>
  <c r="AE1274" i="67"/>
  <c r="AE1266" i="67"/>
  <c r="AE1256" i="67"/>
  <c r="AE1239" i="67"/>
  <c r="AE1228" i="67"/>
  <c r="AE1220" i="67"/>
  <c r="AE1213" i="67"/>
  <c r="AE1206" i="67"/>
  <c r="AE1196" i="67"/>
  <c r="AE1186" i="67"/>
  <c r="AE1176" i="67"/>
  <c r="AE1168" i="67"/>
  <c r="AE1161" i="67"/>
  <c r="AE1154" i="67"/>
  <c r="AE1146" i="67"/>
  <c r="AE1137" i="67"/>
  <c r="AE1112" i="67"/>
  <c r="AE1101" i="67"/>
  <c r="AE1077" i="67"/>
  <c r="AE1068" i="67"/>
  <c r="AE1058" i="67"/>
  <c r="AE1041" i="67"/>
  <c r="AE1026" i="67"/>
  <c r="AE1009" i="67"/>
  <c r="AE977" i="67"/>
  <c r="AE969" i="67"/>
  <c r="AE961" i="67"/>
  <c r="AE953" i="67"/>
  <c r="AE945" i="67"/>
  <c r="AE938" i="67"/>
  <c r="AE870" i="67"/>
  <c r="AE860" i="67"/>
  <c r="AE852" i="67"/>
  <c r="AE836" i="67"/>
  <c r="AE813" i="67"/>
  <c r="AE794" i="67"/>
  <c r="AE787" i="67"/>
  <c r="AE767" i="67"/>
  <c r="AE760" i="67"/>
  <c r="AE751" i="67"/>
  <c r="AE741" i="67"/>
  <c r="AE704" i="67"/>
  <c r="AE696" i="67"/>
  <c r="AE688" i="67"/>
  <c r="AE680" i="67"/>
  <c r="AE670" i="67"/>
  <c r="AE661" i="67"/>
  <c r="AE649" i="67"/>
  <c r="AE640" i="67"/>
  <c r="AE629" i="67"/>
  <c r="AE619" i="67"/>
  <c r="AE608" i="67"/>
  <c r="AE585" i="67"/>
  <c r="AE567" i="67"/>
  <c r="AE559" i="67"/>
  <c r="AE549" i="67"/>
  <c r="AE539" i="67"/>
  <c r="AE521" i="67"/>
  <c r="AE506" i="67"/>
  <c r="AE496" i="67"/>
  <c r="AE488" i="67"/>
  <c r="AE465" i="67"/>
  <c r="AE455" i="67"/>
  <c r="AE442" i="67"/>
  <c r="AE435" i="67"/>
  <c r="AE428" i="67"/>
  <c r="AE419" i="67"/>
  <c r="AE411" i="67"/>
  <c r="AE385" i="67"/>
  <c r="AE349" i="67"/>
  <c r="AE332" i="67"/>
  <c r="AE308" i="67"/>
  <c r="AE278" i="67"/>
  <c r="AE271" i="67"/>
  <c r="AE262" i="67"/>
  <c r="AE236" i="67"/>
  <c r="AE228" i="67"/>
  <c r="AE220" i="67"/>
  <c r="AE208" i="67"/>
  <c r="AE200" i="67"/>
  <c r="AE190" i="67"/>
  <c r="AE181" i="67"/>
  <c r="AE172" i="67"/>
  <c r="AE165" i="67"/>
  <c r="AE157" i="67"/>
  <c r="AE149" i="67"/>
  <c r="AE141" i="67"/>
  <c r="AE133" i="67"/>
  <c r="AE126" i="67"/>
  <c r="AE119" i="67"/>
  <c r="AE108" i="67"/>
  <c r="AE103" i="67"/>
  <c r="AE98" i="67"/>
  <c r="AE92" i="67"/>
  <c r="AE85" i="67"/>
  <c r="AE77" i="67"/>
  <c r="AE67" i="67"/>
  <c r="AE58" i="67"/>
  <c r="AE49" i="67"/>
  <c r="AE8" i="67"/>
  <c r="AE42" i="67"/>
  <c r="AE35" i="67"/>
  <c r="B1" i="67"/>
  <c r="I2214" i="10"/>
  <c r="I2137" i="10"/>
  <c r="I2130" i="10"/>
  <c r="I2036" i="10"/>
  <c r="I2028" i="10"/>
  <c r="I2020" i="10"/>
  <c r="I1942" i="10"/>
  <c r="I1899" i="10"/>
  <c r="I1891" i="10"/>
  <c r="I1797" i="10"/>
  <c r="I1658" i="10"/>
  <c r="I1483" i="10"/>
  <c r="I1469" i="10"/>
  <c r="I1459" i="10"/>
  <c r="I1452" i="10"/>
  <c r="I1303" i="10"/>
  <c r="I1296" i="10"/>
  <c r="I1274" i="10"/>
  <c r="I852" i="10"/>
  <c r="I521" i="10"/>
  <c r="I506" i="10"/>
  <c r="I455" i="10"/>
  <c r="I442" i="10"/>
  <c r="I419" i="10"/>
  <c r="I133" i="10"/>
  <c r="I126" i="10"/>
  <c r="I119" i="10"/>
  <c r="I108" i="10"/>
  <c r="I77" i="10"/>
  <c r="I67" i="10"/>
  <c r="I8" i="10"/>
  <c r="AI1312" i="105" l="1"/>
  <c r="AI7" i="105" s="1"/>
  <c r="AE7" i="67"/>
  <c r="F24" i="41"/>
  <c r="F25" i="41"/>
  <c r="F135" i="41"/>
  <c r="F122" i="41"/>
  <c r="F119" i="41"/>
  <c r="F118" i="41"/>
  <c r="F109" i="41"/>
  <c r="F107" i="41"/>
  <c r="F106" i="41"/>
  <c r="F81" i="41"/>
  <c r="F80" i="41"/>
  <c r="F75" i="41"/>
  <c r="F74" i="41"/>
  <c r="F51" i="41"/>
  <c r="F50" i="41"/>
  <c r="F49" i="41"/>
  <c r="F44" i="41"/>
  <c r="F42" i="41"/>
  <c r="F40" i="41"/>
  <c r="F39" i="41"/>
  <c r="F35" i="41"/>
  <c r="F27" i="41"/>
  <c r="F26" i="41"/>
  <c r="E80" i="41" l="1"/>
  <c r="G80" i="41" s="1"/>
  <c r="E78" i="41"/>
  <c r="G78" i="41" s="1"/>
  <c r="E135" i="41"/>
  <c r="E123" i="41"/>
  <c r="E122" i="41"/>
  <c r="E121" i="41"/>
  <c r="E120" i="41"/>
  <c r="E119" i="41"/>
  <c r="E118" i="41"/>
  <c r="E117" i="41"/>
  <c r="E115" i="41"/>
  <c r="E114" i="41"/>
  <c r="E109" i="41"/>
  <c r="E108" i="41"/>
  <c r="E107" i="41"/>
  <c r="E106" i="41"/>
  <c r="E105" i="41"/>
  <c r="E82" i="41"/>
  <c r="E81" i="41"/>
  <c r="E75" i="41"/>
  <c r="E74" i="41"/>
  <c r="E67" i="41"/>
  <c r="E66" i="41"/>
  <c r="E57" i="41"/>
  <c r="E52" i="41"/>
  <c r="E51" i="41"/>
  <c r="E50" i="41"/>
  <c r="E49" i="41"/>
  <c r="E48" i="41"/>
  <c r="E45" i="41"/>
  <c r="E44" i="41"/>
  <c r="E43" i="41"/>
  <c r="E42" i="41"/>
  <c r="E41" i="41"/>
  <c r="E40" i="41"/>
  <c r="E39" i="41"/>
  <c r="E38" i="41"/>
  <c r="E36" i="41"/>
  <c r="E35" i="41"/>
  <c r="E27" i="41"/>
  <c r="E25" i="41"/>
  <c r="E24" i="41"/>
  <c r="E23" i="41"/>
  <c r="E83" i="41"/>
  <c r="H1207" i="10" l="1"/>
  <c r="H1214" i="10" l="1"/>
  <c r="H2429" i="10"/>
  <c r="H2430" i="10"/>
  <c r="H2177" i="10"/>
  <c r="H2146" i="10"/>
  <c r="H2145" i="10" s="1"/>
  <c r="C8" i="41"/>
  <c r="C7" i="41"/>
  <c r="C5" i="41"/>
  <c r="E5" i="41" s="1"/>
  <c r="C15" i="41"/>
  <c r="E15" i="41"/>
  <c r="C9" i="41"/>
  <c r="E9" i="41" s="1"/>
  <c r="C10" i="41"/>
  <c r="C6" i="41"/>
  <c r="E6" i="41" s="1"/>
  <c r="C4" i="41"/>
  <c r="C3" i="41"/>
  <c r="E3" i="41" s="1"/>
  <c r="E53" i="41"/>
  <c r="E26" i="41"/>
  <c r="H133" i="41"/>
  <c r="E131" i="41"/>
  <c r="E77" i="41"/>
  <c r="E10" i="41"/>
  <c r="C11" i="41"/>
  <c r="E11" i="41" s="1"/>
  <c r="D4" i="35"/>
  <c r="D3" i="35"/>
  <c r="E133" i="41"/>
  <c r="C1" i="10"/>
  <c r="G10" i="41" l="1"/>
  <c r="G133" i="41"/>
  <c r="G9" i="41"/>
  <c r="K312" i="10"/>
  <c r="H651" i="10"/>
  <c r="H650" i="10"/>
  <c r="H1314" i="10"/>
  <c r="H1313" i="10"/>
  <c r="Q705" i="10"/>
  <c r="R705" i="10" s="1"/>
  <c r="Q1078" i="10"/>
  <c r="R1078" i="10" s="1"/>
  <c r="Q1079" i="10"/>
  <c r="Q1080" i="10"/>
  <c r="Q1081" i="10"/>
  <c r="Q1082" i="10"/>
  <c r="Q1083" i="10"/>
  <c r="Q1084" i="10"/>
  <c r="Q1085" i="10"/>
  <c r="Q1086" i="10"/>
  <c r="Q1087" i="10"/>
  <c r="Q1088" i="10"/>
  <c r="Q1089" i="10"/>
  <c r="Q1090" i="10"/>
  <c r="Q1091" i="10"/>
  <c r="Q1092" i="10"/>
  <c r="Q1093" i="10"/>
  <c r="Q1094" i="10"/>
  <c r="Q1095" i="10"/>
  <c r="Q1096" i="10"/>
  <c r="Q1097" i="10"/>
  <c r="Q1098" i="10"/>
  <c r="Q1099" i="10"/>
  <c r="Q1100" i="10"/>
  <c r="Q1314" i="10"/>
  <c r="Q1315" i="10"/>
  <c r="Q1316" i="10"/>
  <c r="Q1317" i="10"/>
  <c r="Q1318" i="10"/>
  <c r="Q1319" i="10"/>
  <c r="Q1320" i="10"/>
  <c r="Q1321" i="10"/>
  <c r="Q1322" i="10"/>
  <c r="Q1323" i="10"/>
  <c r="Q1324" i="10"/>
  <c r="Q1325" i="10"/>
  <c r="Q1326" i="10"/>
  <c r="Q1327" i="10"/>
  <c r="Q1328" i="10"/>
  <c r="Q1329" i="10"/>
  <c r="Q1330" i="10"/>
  <c r="Q1331" i="10"/>
  <c r="Q1332" i="10"/>
  <c r="Q1333" i="10"/>
  <c r="Q1334" i="10"/>
  <c r="Q1313" i="10"/>
  <c r="E140" i="41"/>
  <c r="F140" i="41"/>
  <c r="E141" i="41"/>
  <c r="F141" i="41"/>
  <c r="K17" i="10"/>
  <c r="AI9" i="10"/>
  <c r="AI10" i="10"/>
  <c r="AI11" i="10"/>
  <c r="AI12" i="10"/>
  <c r="AI13" i="10"/>
  <c r="AI14" i="10"/>
  <c r="AI16" i="10"/>
  <c r="AI17" i="10"/>
  <c r="AI18" i="10"/>
  <c r="AI19" i="10"/>
  <c r="AI20" i="10"/>
  <c r="AI21" i="10"/>
  <c r="AI23" i="10"/>
  <c r="AI24" i="10"/>
  <c r="AI25" i="10"/>
  <c r="AI26" i="10"/>
  <c r="AI27" i="10"/>
  <c r="AI28" i="10"/>
  <c r="AI29" i="10"/>
  <c r="AI30" i="10"/>
  <c r="AI31" i="10"/>
  <c r="AI32" i="10"/>
  <c r="AI33" i="10"/>
  <c r="AI34" i="10"/>
  <c r="AI35" i="10"/>
  <c r="AI36" i="10"/>
  <c r="AI37" i="10"/>
  <c r="AI38" i="10"/>
  <c r="AI39" i="10"/>
  <c r="AI40" i="10"/>
  <c r="AI41" i="10"/>
  <c r="AI42" i="10"/>
  <c r="AI43" i="10"/>
  <c r="AI44" i="10"/>
  <c r="AI45" i="10"/>
  <c r="AI46" i="10"/>
  <c r="AI47" i="10"/>
  <c r="AI48" i="10"/>
  <c r="AI50" i="10"/>
  <c r="AI51" i="10"/>
  <c r="AI52" i="10"/>
  <c r="AI53" i="10"/>
  <c r="AI54" i="10"/>
  <c r="AI55" i="10"/>
  <c r="AI56" i="10"/>
  <c r="AI57" i="10"/>
  <c r="AI59" i="10"/>
  <c r="AI60" i="10"/>
  <c r="AI61" i="10"/>
  <c r="AI62" i="10"/>
  <c r="AI63" i="10"/>
  <c r="AI64" i="10"/>
  <c r="AI65" i="10"/>
  <c r="AI66" i="10"/>
  <c r="AI68" i="10"/>
  <c r="AI69" i="10"/>
  <c r="AI70" i="10"/>
  <c r="AI71" i="10"/>
  <c r="AI72" i="10"/>
  <c r="AI73" i="10"/>
  <c r="AI74" i="10"/>
  <c r="AI75" i="10"/>
  <c r="AI76" i="10"/>
  <c r="AI78" i="10"/>
  <c r="AI79" i="10"/>
  <c r="AI80" i="10"/>
  <c r="AI81" i="10"/>
  <c r="AI82" i="10"/>
  <c r="AI83" i="10"/>
  <c r="AI84" i="10"/>
  <c r="AI86" i="10"/>
  <c r="AI87" i="10"/>
  <c r="AI88" i="10"/>
  <c r="AI89" i="10"/>
  <c r="AI90" i="10"/>
  <c r="AI91" i="10"/>
  <c r="AI93" i="10"/>
  <c r="AI94" i="10"/>
  <c r="AI95" i="10"/>
  <c r="AI96" i="10"/>
  <c r="AI97" i="10"/>
  <c r="AI99" i="10"/>
  <c r="AI100" i="10"/>
  <c r="AI101" i="10"/>
  <c r="AI102" i="10"/>
  <c r="AI104" i="10"/>
  <c r="AI105" i="10"/>
  <c r="AI106" i="10"/>
  <c r="AI107" i="10"/>
  <c r="AI109" i="10"/>
  <c r="AI110" i="10"/>
  <c r="AI111" i="10"/>
  <c r="AI112" i="10"/>
  <c r="AI113" i="10"/>
  <c r="AI114" i="10"/>
  <c r="AI115" i="10"/>
  <c r="AI116" i="10"/>
  <c r="AI117" i="10"/>
  <c r="AI118" i="10"/>
  <c r="AI120" i="10"/>
  <c r="AI121" i="10"/>
  <c r="AI122" i="10"/>
  <c r="AI123" i="10"/>
  <c r="AI124" i="10"/>
  <c r="AI125" i="10"/>
  <c r="AI127" i="10"/>
  <c r="AI128" i="10"/>
  <c r="AI129" i="10"/>
  <c r="AI130" i="10"/>
  <c r="AI131" i="10"/>
  <c r="AI132" i="10"/>
  <c r="AI134" i="10"/>
  <c r="AI135" i="10"/>
  <c r="AI136" i="10"/>
  <c r="AI137" i="10"/>
  <c r="AI138" i="10"/>
  <c r="AI139" i="10"/>
  <c r="AI140" i="10"/>
  <c r="AI142" i="10"/>
  <c r="AI143" i="10"/>
  <c r="AI144" i="10"/>
  <c r="AI145" i="10"/>
  <c r="AI146" i="10"/>
  <c r="AI147" i="10"/>
  <c r="AI148" i="10"/>
  <c r="AI150" i="10"/>
  <c r="AI151" i="10"/>
  <c r="AI152" i="10"/>
  <c r="AI153" i="10"/>
  <c r="AI154" i="10"/>
  <c r="AI155" i="10"/>
  <c r="AI156" i="10"/>
  <c r="AI158" i="10"/>
  <c r="AI159" i="10"/>
  <c r="AI160" i="10"/>
  <c r="AI161" i="10"/>
  <c r="AI162" i="10"/>
  <c r="AI163" i="10"/>
  <c r="AI164" i="10"/>
  <c r="AI166" i="10"/>
  <c r="AI167" i="10"/>
  <c r="AI168" i="10"/>
  <c r="AI169" i="10"/>
  <c r="AI170" i="10"/>
  <c r="AI171" i="10"/>
  <c r="AI173" i="10"/>
  <c r="AI174" i="10"/>
  <c r="AI175" i="10"/>
  <c r="AI176" i="10"/>
  <c r="AI177" i="10"/>
  <c r="AI178" i="10"/>
  <c r="AI179" i="10"/>
  <c r="AI180" i="10"/>
  <c r="AI182" i="10"/>
  <c r="AI183" i="10"/>
  <c r="AI184" i="10"/>
  <c r="AI185" i="10"/>
  <c r="AI186" i="10"/>
  <c r="AI187" i="10"/>
  <c r="AI188" i="10"/>
  <c r="AI189" i="10"/>
  <c r="AI191" i="10"/>
  <c r="AI192" i="10"/>
  <c r="AI193" i="10"/>
  <c r="AI194" i="10"/>
  <c r="AI195" i="10"/>
  <c r="AI196" i="10"/>
  <c r="AI197" i="10"/>
  <c r="AI198" i="10"/>
  <c r="AI199" i="10"/>
  <c r="AI201" i="10"/>
  <c r="AI202" i="10"/>
  <c r="AI203" i="10"/>
  <c r="AI204" i="10"/>
  <c r="AI205" i="10"/>
  <c r="AI206" i="10"/>
  <c r="AI207" i="10"/>
  <c r="AI209" i="10"/>
  <c r="AI210" i="10"/>
  <c r="AI211" i="10"/>
  <c r="AI212" i="10"/>
  <c r="AI213" i="10"/>
  <c r="AI214" i="10"/>
  <c r="AI215" i="10"/>
  <c r="AI216" i="10"/>
  <c r="AI217" i="10"/>
  <c r="AI218" i="10"/>
  <c r="AI219" i="10"/>
  <c r="AI221" i="10"/>
  <c r="AI222" i="10"/>
  <c r="AI223" i="10"/>
  <c r="AI224" i="10"/>
  <c r="AI225" i="10"/>
  <c r="AI226" i="10"/>
  <c r="AI227" i="10"/>
  <c r="AI229" i="10"/>
  <c r="AI230" i="10"/>
  <c r="AI231" i="10"/>
  <c r="AI232" i="10"/>
  <c r="AI233" i="10"/>
  <c r="AI234" i="10"/>
  <c r="AI235" i="10"/>
  <c r="AI237" i="10"/>
  <c r="AI238" i="10"/>
  <c r="AI239" i="10"/>
  <c r="AI240" i="10"/>
  <c r="AI241" i="10"/>
  <c r="AI242" i="10"/>
  <c r="AI243" i="10"/>
  <c r="AI244" i="10"/>
  <c r="AI245" i="10"/>
  <c r="AI246" i="10"/>
  <c r="AI247" i="10"/>
  <c r="AI248" i="10"/>
  <c r="AI249" i="10"/>
  <c r="AI250" i="10"/>
  <c r="AI251" i="10"/>
  <c r="AI252" i="10"/>
  <c r="AI253" i="10"/>
  <c r="AI254" i="10"/>
  <c r="AI255" i="10"/>
  <c r="AI256" i="10"/>
  <c r="AI257" i="10"/>
  <c r="AI258" i="10"/>
  <c r="AI259" i="10"/>
  <c r="AI260" i="10"/>
  <c r="AI261" i="10"/>
  <c r="AI263" i="10"/>
  <c r="AI264" i="10"/>
  <c r="AI265" i="10"/>
  <c r="AI266" i="10"/>
  <c r="AI267" i="10"/>
  <c r="AI268" i="10"/>
  <c r="AI269" i="10"/>
  <c r="AI270" i="10"/>
  <c r="AI272" i="10"/>
  <c r="AI273" i="10"/>
  <c r="AI274" i="10"/>
  <c r="AI275" i="10"/>
  <c r="AI276" i="10"/>
  <c r="AI277" i="10"/>
  <c r="AI279" i="10"/>
  <c r="AI280" i="10"/>
  <c r="AI281" i="10"/>
  <c r="AI282" i="10"/>
  <c r="AI283" i="10"/>
  <c r="AI284" i="10"/>
  <c r="AI285" i="10"/>
  <c r="AI286" i="10"/>
  <c r="AI287" i="10"/>
  <c r="AI288" i="10"/>
  <c r="AI289" i="10"/>
  <c r="AI290" i="10"/>
  <c r="AI291" i="10"/>
  <c r="AI292" i="10"/>
  <c r="AI293" i="10"/>
  <c r="AI294" i="10"/>
  <c r="AI295" i="10"/>
  <c r="AI296" i="10"/>
  <c r="AI297" i="10"/>
  <c r="AI298" i="10"/>
  <c r="AI299" i="10"/>
  <c r="AI300" i="10"/>
  <c r="AI301" i="10"/>
  <c r="AI302" i="10"/>
  <c r="AI303" i="10"/>
  <c r="AI304" i="10"/>
  <c r="AI305" i="10"/>
  <c r="AI306" i="10"/>
  <c r="AI307" i="10"/>
  <c r="AI309" i="10"/>
  <c r="AI310" i="10"/>
  <c r="AI311" i="10"/>
  <c r="AI312" i="10"/>
  <c r="AI313" i="10"/>
  <c r="AI314" i="10"/>
  <c r="AI315" i="10"/>
  <c r="AI316" i="10"/>
  <c r="AI317" i="10"/>
  <c r="AI318" i="10"/>
  <c r="AI319" i="10"/>
  <c r="AI320" i="10"/>
  <c r="AI321" i="10"/>
  <c r="AI322" i="10"/>
  <c r="AI323" i="10"/>
  <c r="AI324" i="10"/>
  <c r="AI325" i="10"/>
  <c r="AI326" i="10"/>
  <c r="AI327" i="10"/>
  <c r="AI328" i="10"/>
  <c r="AI329" i="10"/>
  <c r="AI330" i="10"/>
  <c r="AI331" i="10"/>
  <c r="AI333" i="10"/>
  <c r="AI334" i="10"/>
  <c r="AI335" i="10"/>
  <c r="AI336" i="10"/>
  <c r="AI337" i="10"/>
  <c r="AI338" i="10"/>
  <c r="AI339" i="10"/>
  <c r="AI340" i="10"/>
  <c r="AI341" i="10"/>
  <c r="AI342" i="10"/>
  <c r="AI343" i="10"/>
  <c r="AI344" i="10"/>
  <c r="AI345" i="10"/>
  <c r="AI346" i="10"/>
  <c r="AI347" i="10"/>
  <c r="AI348" i="10"/>
  <c r="AI350" i="10"/>
  <c r="AI351" i="10"/>
  <c r="AI352" i="10"/>
  <c r="AI353" i="10"/>
  <c r="AI354" i="10"/>
  <c r="AI355" i="10"/>
  <c r="AI356" i="10"/>
  <c r="AI357" i="10"/>
  <c r="AI358" i="10"/>
  <c r="AI359" i="10"/>
  <c r="AI360" i="10"/>
  <c r="AI361" i="10"/>
  <c r="AI362" i="10"/>
  <c r="AI363" i="10"/>
  <c r="AI364" i="10"/>
  <c r="AI365" i="10"/>
  <c r="AI366" i="10"/>
  <c r="AI367" i="10"/>
  <c r="AI368" i="10"/>
  <c r="AI369" i="10"/>
  <c r="AI370" i="10"/>
  <c r="AI371" i="10"/>
  <c r="AI372" i="10"/>
  <c r="AI373" i="10"/>
  <c r="AI374" i="10"/>
  <c r="AI375" i="10"/>
  <c r="AI376" i="10"/>
  <c r="AI377" i="10"/>
  <c r="AI378" i="10"/>
  <c r="AI379" i="10"/>
  <c r="AI380" i="10"/>
  <c r="AI381" i="10"/>
  <c r="AI382" i="10"/>
  <c r="AI383" i="10"/>
  <c r="AI384" i="10"/>
  <c r="AI386" i="10"/>
  <c r="AI387" i="10"/>
  <c r="AI388" i="10"/>
  <c r="AI389" i="10"/>
  <c r="AI390" i="10"/>
  <c r="AI391" i="10"/>
  <c r="AI392" i="10"/>
  <c r="AI393" i="10"/>
  <c r="AI394" i="10"/>
  <c r="AI395" i="10"/>
  <c r="AI396" i="10"/>
  <c r="AI397" i="10"/>
  <c r="AI398" i="10"/>
  <c r="AI399" i="10"/>
  <c r="AI400" i="10"/>
  <c r="AI401" i="10"/>
  <c r="AI402" i="10"/>
  <c r="AI403" i="10"/>
  <c r="AI404" i="10"/>
  <c r="AI405" i="10"/>
  <c r="AI406" i="10"/>
  <c r="AI407" i="10"/>
  <c r="AI408" i="10"/>
  <c r="AI409" i="10"/>
  <c r="AI410" i="10"/>
  <c r="AI412" i="10"/>
  <c r="AI413" i="10"/>
  <c r="AI414" i="10"/>
  <c r="AI415" i="10"/>
  <c r="AI416" i="10"/>
  <c r="AI417" i="10"/>
  <c r="AI418" i="10"/>
  <c r="AI420" i="10"/>
  <c r="AI421" i="10"/>
  <c r="AI422" i="10"/>
  <c r="AI423" i="10"/>
  <c r="AI424" i="10"/>
  <c r="AI425" i="10"/>
  <c r="AI426" i="10"/>
  <c r="AI427" i="10"/>
  <c r="AI429" i="10"/>
  <c r="AI430" i="10"/>
  <c r="AI431" i="10"/>
  <c r="AI432" i="10"/>
  <c r="AI433" i="10"/>
  <c r="AI434" i="10"/>
  <c r="AI436" i="10"/>
  <c r="AI437" i="10"/>
  <c r="AI438" i="10"/>
  <c r="AI439" i="10"/>
  <c r="AI440" i="10"/>
  <c r="AI441" i="10"/>
  <c r="AI443" i="10"/>
  <c r="AI444" i="10"/>
  <c r="AI445" i="10"/>
  <c r="AI446" i="10"/>
  <c r="AI447" i="10"/>
  <c r="AI448" i="10"/>
  <c r="AI449" i="10"/>
  <c r="AI450" i="10"/>
  <c r="AI451" i="10"/>
  <c r="AI452" i="10"/>
  <c r="AI453" i="10"/>
  <c r="AI454" i="10"/>
  <c r="AI456" i="10"/>
  <c r="AI457" i="10"/>
  <c r="AI458" i="10"/>
  <c r="AI459" i="10"/>
  <c r="AI460" i="10"/>
  <c r="AI461" i="10"/>
  <c r="AI462" i="10"/>
  <c r="AI463" i="10"/>
  <c r="AI464" i="10"/>
  <c r="AI466" i="10"/>
  <c r="AI467" i="10"/>
  <c r="AI468" i="10"/>
  <c r="AI469" i="10"/>
  <c r="AI470" i="10"/>
  <c r="AI471" i="10"/>
  <c r="AI472" i="10"/>
  <c r="AI473" i="10"/>
  <c r="AI474" i="10"/>
  <c r="AI475" i="10"/>
  <c r="AI476" i="10"/>
  <c r="AI477" i="10"/>
  <c r="AI478" i="10"/>
  <c r="AI479" i="10"/>
  <c r="AI480" i="10"/>
  <c r="AI481" i="10"/>
  <c r="AI482" i="10"/>
  <c r="AI483" i="10"/>
  <c r="AI484" i="10"/>
  <c r="AI485" i="10"/>
  <c r="AI486" i="10"/>
  <c r="AI487" i="10"/>
  <c r="AI489" i="10"/>
  <c r="AI490" i="10"/>
  <c r="AI491" i="10"/>
  <c r="AI492" i="10"/>
  <c r="AI493" i="10"/>
  <c r="AI494" i="10"/>
  <c r="AI495" i="10"/>
  <c r="AI497" i="10"/>
  <c r="AI498" i="10"/>
  <c r="AI499" i="10"/>
  <c r="AI500" i="10"/>
  <c r="AI501" i="10"/>
  <c r="AI502" i="10"/>
  <c r="AI503" i="10"/>
  <c r="AI504" i="10"/>
  <c r="AI505" i="10"/>
  <c r="AI507" i="10"/>
  <c r="AI508" i="10"/>
  <c r="AI509" i="10"/>
  <c r="AI510" i="10"/>
  <c r="AI511" i="10"/>
  <c r="AI512" i="10"/>
  <c r="AI513" i="10"/>
  <c r="AI514" i="10"/>
  <c r="AI515" i="10"/>
  <c r="AI516" i="10"/>
  <c r="AI517" i="10"/>
  <c r="AI518" i="10"/>
  <c r="AI519" i="10"/>
  <c r="AI520" i="10"/>
  <c r="AI522" i="10"/>
  <c r="AI523" i="10"/>
  <c r="AI524" i="10"/>
  <c r="AI525" i="10"/>
  <c r="AI526" i="10"/>
  <c r="AI527" i="10"/>
  <c r="AI528" i="10"/>
  <c r="AI529" i="10"/>
  <c r="AI530" i="10"/>
  <c r="AI531" i="10"/>
  <c r="AI532" i="10"/>
  <c r="AI533" i="10"/>
  <c r="AI534" i="10"/>
  <c r="AI535" i="10"/>
  <c r="AI536" i="10"/>
  <c r="AI537" i="10"/>
  <c r="AI538" i="10"/>
  <c r="AI540" i="10"/>
  <c r="AI541" i="10"/>
  <c r="AI542" i="10"/>
  <c r="AI543" i="10"/>
  <c r="AI544" i="10"/>
  <c r="AI545" i="10"/>
  <c r="AI546" i="10"/>
  <c r="AI547" i="10"/>
  <c r="AI548" i="10"/>
  <c r="AI550" i="10"/>
  <c r="AI551" i="10"/>
  <c r="AI552" i="10"/>
  <c r="AI553" i="10"/>
  <c r="AI554" i="10"/>
  <c r="AI555" i="10"/>
  <c r="AI556" i="10"/>
  <c r="AI557" i="10"/>
  <c r="AI558" i="10"/>
  <c r="AI560" i="10"/>
  <c r="AI561" i="10"/>
  <c r="AI562" i="10"/>
  <c r="AI563" i="10"/>
  <c r="AI564" i="10"/>
  <c r="AI565" i="10"/>
  <c r="AI566" i="10"/>
  <c r="AI568" i="10"/>
  <c r="AI569" i="10"/>
  <c r="AI570" i="10"/>
  <c r="AI571" i="10"/>
  <c r="AI572" i="10"/>
  <c r="AI573" i="10"/>
  <c r="AI574" i="10"/>
  <c r="AI575" i="10"/>
  <c r="AI576" i="10"/>
  <c r="AI577" i="10"/>
  <c r="AI578" i="10"/>
  <c r="AI579" i="10"/>
  <c r="AI580" i="10"/>
  <c r="AI581" i="10"/>
  <c r="AI582" i="10"/>
  <c r="AI583" i="10"/>
  <c r="AI584" i="10"/>
  <c r="AI586" i="10"/>
  <c r="AI587" i="10"/>
  <c r="AI588" i="10"/>
  <c r="AI589" i="10"/>
  <c r="AI590" i="10"/>
  <c r="AI591" i="10"/>
  <c r="AI592" i="10"/>
  <c r="AI593" i="10"/>
  <c r="AI594" i="10"/>
  <c r="AI595" i="10"/>
  <c r="AI596" i="10"/>
  <c r="AI597" i="10"/>
  <c r="AI598" i="10"/>
  <c r="AI599" i="10"/>
  <c r="AI600" i="10"/>
  <c r="AI601" i="10"/>
  <c r="AI602" i="10"/>
  <c r="AI603" i="10"/>
  <c r="AI604" i="10"/>
  <c r="AI605" i="10"/>
  <c r="AI606" i="10"/>
  <c r="AI607" i="10"/>
  <c r="AI609" i="10"/>
  <c r="AI610" i="10"/>
  <c r="AI611" i="10"/>
  <c r="AI612" i="10"/>
  <c r="AI613" i="10"/>
  <c r="AI614" i="10"/>
  <c r="AI615" i="10"/>
  <c r="AI616" i="10"/>
  <c r="AI617" i="10"/>
  <c r="AI618" i="10"/>
  <c r="AI620" i="10"/>
  <c r="AI621" i="10"/>
  <c r="AI622" i="10"/>
  <c r="AI623" i="10"/>
  <c r="AI624" i="10"/>
  <c r="AI625" i="10"/>
  <c r="AI626" i="10"/>
  <c r="AI627" i="10"/>
  <c r="AI628" i="10"/>
  <c r="AI630" i="10"/>
  <c r="AI631" i="10"/>
  <c r="AI632" i="10"/>
  <c r="AI633" i="10"/>
  <c r="AI634" i="10"/>
  <c r="AI635" i="10"/>
  <c r="AI636" i="10"/>
  <c r="AI637" i="10"/>
  <c r="AI638" i="10"/>
  <c r="AI639" i="10"/>
  <c r="AI641" i="10"/>
  <c r="AI642" i="10"/>
  <c r="AI643" i="10"/>
  <c r="AI644" i="10"/>
  <c r="AI645" i="10"/>
  <c r="AI646" i="10"/>
  <c r="AI647" i="10"/>
  <c r="AI648" i="10"/>
  <c r="AI650" i="10"/>
  <c r="AI651" i="10"/>
  <c r="AI652" i="10"/>
  <c r="AI653" i="10"/>
  <c r="AI654" i="10"/>
  <c r="AI655" i="10"/>
  <c r="AI656" i="10"/>
  <c r="AI657" i="10"/>
  <c r="AI658" i="10"/>
  <c r="AI659" i="10"/>
  <c r="AI660" i="10"/>
  <c r="AI662" i="10"/>
  <c r="AI663" i="10"/>
  <c r="AI664" i="10"/>
  <c r="AI665" i="10"/>
  <c r="AI666" i="10"/>
  <c r="AI667" i="10"/>
  <c r="AI668" i="10"/>
  <c r="AI669" i="10"/>
  <c r="AI671" i="10"/>
  <c r="AI672" i="10"/>
  <c r="AI673" i="10"/>
  <c r="AI674" i="10"/>
  <c r="AI675" i="10"/>
  <c r="AI676" i="10"/>
  <c r="AI677" i="10"/>
  <c r="AI678" i="10"/>
  <c r="AI679" i="10"/>
  <c r="AI681" i="10"/>
  <c r="AI682" i="10"/>
  <c r="AI683" i="10"/>
  <c r="AI684" i="10"/>
  <c r="AI685" i="10"/>
  <c r="AI686" i="10"/>
  <c r="AI687" i="10"/>
  <c r="AI689" i="10"/>
  <c r="AI690" i="10"/>
  <c r="AI691" i="10"/>
  <c r="AI692" i="10"/>
  <c r="AI693" i="10"/>
  <c r="AI694" i="10"/>
  <c r="AI695" i="10"/>
  <c r="AI697" i="10"/>
  <c r="AI698" i="10"/>
  <c r="AI699" i="10"/>
  <c r="AI700" i="10"/>
  <c r="AI701" i="10"/>
  <c r="AI702" i="10"/>
  <c r="AI703" i="10"/>
  <c r="AI705" i="10"/>
  <c r="AI706" i="10"/>
  <c r="AI707" i="10"/>
  <c r="AI708" i="10"/>
  <c r="AI709" i="10"/>
  <c r="AI710" i="10"/>
  <c r="AI711" i="10"/>
  <c r="AI712" i="10"/>
  <c r="AI713" i="10"/>
  <c r="AI714" i="10"/>
  <c r="AI715" i="10"/>
  <c r="AI716" i="10"/>
  <c r="AI717" i="10"/>
  <c r="AI718" i="10"/>
  <c r="AI719" i="10"/>
  <c r="AI720" i="10"/>
  <c r="AI721" i="10"/>
  <c r="AI722" i="10"/>
  <c r="AI723" i="10"/>
  <c r="AI724" i="10"/>
  <c r="AI725" i="10"/>
  <c r="AI726" i="10"/>
  <c r="AI727" i="10"/>
  <c r="AI728" i="10"/>
  <c r="AI729" i="10"/>
  <c r="AI730" i="10"/>
  <c r="AI731" i="10"/>
  <c r="AI732" i="10"/>
  <c r="AI733" i="10"/>
  <c r="AI734" i="10"/>
  <c r="AI735" i="10"/>
  <c r="AI736" i="10"/>
  <c r="AI737" i="10"/>
  <c r="AI738" i="10"/>
  <c r="AI739" i="10"/>
  <c r="AI740" i="10"/>
  <c r="AI742" i="10"/>
  <c r="AI743" i="10"/>
  <c r="AI744" i="10"/>
  <c r="AI745" i="10"/>
  <c r="AI746" i="10"/>
  <c r="AI747" i="10"/>
  <c r="AI748" i="10"/>
  <c r="AI749" i="10"/>
  <c r="AI750" i="10"/>
  <c r="AI752" i="10"/>
  <c r="AI753" i="10"/>
  <c r="AI754" i="10"/>
  <c r="AI755" i="10"/>
  <c r="AI756" i="10"/>
  <c r="AI757" i="10"/>
  <c r="AI758" i="10"/>
  <c r="AI759" i="10"/>
  <c r="AI761" i="10"/>
  <c r="AI762" i="10"/>
  <c r="AI763" i="10"/>
  <c r="AI764" i="10"/>
  <c r="AI765" i="10"/>
  <c r="AI766" i="10"/>
  <c r="AI768" i="10"/>
  <c r="AI769" i="10"/>
  <c r="AI770" i="10"/>
  <c r="AI771" i="10"/>
  <c r="AI772" i="10"/>
  <c r="AI773" i="10"/>
  <c r="AI774" i="10"/>
  <c r="AI775" i="10"/>
  <c r="AI776" i="10"/>
  <c r="AI777" i="10"/>
  <c r="AI778" i="10"/>
  <c r="AI779" i="10"/>
  <c r="AI780" i="10"/>
  <c r="AI781" i="10"/>
  <c r="AI782" i="10"/>
  <c r="AI783" i="10"/>
  <c r="AI784" i="10"/>
  <c r="AI785" i="10"/>
  <c r="AI786" i="10"/>
  <c r="AI788" i="10"/>
  <c r="AI789" i="10"/>
  <c r="AI790" i="10"/>
  <c r="AI791" i="10"/>
  <c r="AI792" i="10"/>
  <c r="AI793" i="10"/>
  <c r="AI795" i="10"/>
  <c r="AI796" i="10"/>
  <c r="AI797" i="10"/>
  <c r="AI798" i="10"/>
  <c r="AI799" i="10"/>
  <c r="AI800" i="10"/>
  <c r="AI801" i="10"/>
  <c r="AI802" i="10"/>
  <c r="AI803" i="10"/>
  <c r="AI804" i="10"/>
  <c r="AI805" i="10"/>
  <c r="AI806" i="10"/>
  <c r="AI807" i="10"/>
  <c r="AI808" i="10"/>
  <c r="AI809" i="10"/>
  <c r="AI810" i="10"/>
  <c r="AI811" i="10"/>
  <c r="AI812" i="10"/>
  <c r="AI814" i="10"/>
  <c r="AI815" i="10"/>
  <c r="AI816" i="10"/>
  <c r="AI817" i="10"/>
  <c r="AI818" i="10"/>
  <c r="AI819" i="10"/>
  <c r="AI820" i="10"/>
  <c r="AI821" i="10"/>
  <c r="AI822" i="10"/>
  <c r="AI823" i="10"/>
  <c r="AI824" i="10"/>
  <c r="AI825" i="10"/>
  <c r="AI826" i="10"/>
  <c r="AI827" i="10"/>
  <c r="AI828" i="10"/>
  <c r="AI829" i="10"/>
  <c r="AI830" i="10"/>
  <c r="AI831" i="10"/>
  <c r="AI832" i="10"/>
  <c r="AI833" i="10"/>
  <c r="AI834" i="10"/>
  <c r="AI835" i="10"/>
  <c r="AI837" i="10"/>
  <c r="AI838" i="10"/>
  <c r="AI839" i="10"/>
  <c r="AI840" i="10"/>
  <c r="AI841" i="10"/>
  <c r="AI842" i="10"/>
  <c r="AI843" i="10"/>
  <c r="AI844" i="10"/>
  <c r="AI845" i="10"/>
  <c r="AI846" i="10"/>
  <c r="AI847" i="10"/>
  <c r="AI848" i="10"/>
  <c r="AI849" i="10"/>
  <c r="AI850" i="10"/>
  <c r="AI851" i="10"/>
  <c r="AI853" i="10"/>
  <c r="AI854" i="10"/>
  <c r="AI855" i="10"/>
  <c r="AI856" i="10"/>
  <c r="AI857" i="10"/>
  <c r="AI858" i="10"/>
  <c r="AI859" i="10"/>
  <c r="AI861" i="10"/>
  <c r="AI862" i="10"/>
  <c r="AI863" i="10"/>
  <c r="AI864" i="10"/>
  <c r="AI865" i="10"/>
  <c r="AI866" i="10"/>
  <c r="AI867" i="10"/>
  <c r="AI868" i="10"/>
  <c r="AI869" i="10"/>
  <c r="AI871" i="10"/>
  <c r="AI872" i="10"/>
  <c r="AI873" i="10"/>
  <c r="AI874" i="10"/>
  <c r="AI875" i="10"/>
  <c r="AI876" i="10"/>
  <c r="AI877" i="10"/>
  <c r="AI878" i="10"/>
  <c r="AI879" i="10"/>
  <c r="AI880" i="10"/>
  <c r="AI881" i="10"/>
  <c r="AI882" i="10"/>
  <c r="AI883" i="10"/>
  <c r="AI884" i="10"/>
  <c r="AI885" i="10"/>
  <c r="AI886" i="10"/>
  <c r="AI887" i="10"/>
  <c r="AI888" i="10"/>
  <c r="AI889" i="10"/>
  <c r="AI890" i="10"/>
  <c r="AI891" i="10"/>
  <c r="AI892" i="10"/>
  <c r="AI893" i="10"/>
  <c r="AI894" i="10"/>
  <c r="AI895" i="10"/>
  <c r="AI896" i="10"/>
  <c r="AI897" i="10"/>
  <c r="AI898" i="10"/>
  <c r="AI899" i="10"/>
  <c r="AI900" i="10"/>
  <c r="AI901" i="10"/>
  <c r="AI902" i="10"/>
  <c r="AI903" i="10"/>
  <c r="AI904" i="10"/>
  <c r="AI905" i="10"/>
  <c r="AI906" i="10"/>
  <c r="AI907" i="10"/>
  <c r="AI908" i="10"/>
  <c r="AI909" i="10"/>
  <c r="AI910" i="10"/>
  <c r="AI911" i="10"/>
  <c r="AI912" i="10"/>
  <c r="AI913" i="10"/>
  <c r="AI914" i="10"/>
  <c r="AI915" i="10"/>
  <c r="AI916" i="10"/>
  <c r="AI917" i="10"/>
  <c r="AI918" i="10"/>
  <c r="AI919" i="10"/>
  <c r="AI920" i="10"/>
  <c r="AI921" i="10"/>
  <c r="AI922" i="10"/>
  <c r="AI923" i="10"/>
  <c r="AI924" i="10"/>
  <c r="AI925" i="10"/>
  <c r="AI926" i="10"/>
  <c r="AI927" i="10"/>
  <c r="AI928" i="10"/>
  <c r="AI929" i="10"/>
  <c r="AI930" i="10"/>
  <c r="AI931" i="10"/>
  <c r="AI932" i="10"/>
  <c r="AI933" i="10"/>
  <c r="AI934" i="10"/>
  <c r="AI935" i="10"/>
  <c r="AI936" i="10"/>
  <c r="AI937" i="10"/>
  <c r="AI939" i="10"/>
  <c r="AI940" i="10"/>
  <c r="AI941" i="10"/>
  <c r="AI942" i="10"/>
  <c r="AI943" i="10"/>
  <c r="AI944" i="10"/>
  <c r="AI946" i="10"/>
  <c r="AI947" i="10"/>
  <c r="AI948" i="10"/>
  <c r="AI949" i="10"/>
  <c r="AI950" i="10"/>
  <c r="AI951" i="10"/>
  <c r="AI952" i="10"/>
  <c r="AI954" i="10"/>
  <c r="AI955" i="10"/>
  <c r="AI956" i="10"/>
  <c r="AI957" i="10"/>
  <c r="AI958" i="10"/>
  <c r="AI959" i="10"/>
  <c r="AI960" i="10"/>
  <c r="AI962" i="10"/>
  <c r="AI963" i="10"/>
  <c r="AI964" i="10"/>
  <c r="AI965" i="10"/>
  <c r="AI966" i="10"/>
  <c r="AI967" i="10"/>
  <c r="AI968" i="10"/>
  <c r="AI970" i="10"/>
  <c r="AI971" i="10"/>
  <c r="AI972" i="10"/>
  <c r="AI973" i="10"/>
  <c r="AI974" i="10"/>
  <c r="AI975" i="10"/>
  <c r="AI976" i="10"/>
  <c r="AI978" i="10"/>
  <c r="AI979" i="10"/>
  <c r="AI980" i="10"/>
  <c r="AI981" i="10"/>
  <c r="AI982" i="10"/>
  <c r="AI983" i="10"/>
  <c r="AI984" i="10"/>
  <c r="AI985" i="10"/>
  <c r="AI986" i="10"/>
  <c r="AI987" i="10"/>
  <c r="AI988" i="10"/>
  <c r="AI989" i="10"/>
  <c r="AI990" i="10"/>
  <c r="AI991" i="10"/>
  <c r="AI992" i="10"/>
  <c r="AI993" i="10"/>
  <c r="AI994" i="10"/>
  <c r="AI995" i="10"/>
  <c r="AI996" i="10"/>
  <c r="AI997" i="10"/>
  <c r="AI998" i="10"/>
  <c r="AI999" i="10"/>
  <c r="AI1000" i="10"/>
  <c r="AI1001" i="10"/>
  <c r="AI1002" i="10"/>
  <c r="AI1003" i="10"/>
  <c r="AI1004" i="10"/>
  <c r="AI1005" i="10"/>
  <c r="AI1006" i="10"/>
  <c r="AI1007" i="10"/>
  <c r="AI1008" i="10"/>
  <c r="AI1010" i="10"/>
  <c r="AI1011" i="10"/>
  <c r="AI1012" i="10"/>
  <c r="AI1013" i="10"/>
  <c r="AI1014" i="10"/>
  <c r="AI1015" i="10"/>
  <c r="AI1016" i="10"/>
  <c r="AI1017" i="10"/>
  <c r="AI1018" i="10"/>
  <c r="AI1019" i="10"/>
  <c r="AI1020" i="10"/>
  <c r="AI1021" i="10"/>
  <c r="AI1022" i="10"/>
  <c r="AI1023" i="10"/>
  <c r="AI1024" i="10"/>
  <c r="AI1025" i="10"/>
  <c r="AI1027" i="10"/>
  <c r="AI1028" i="10"/>
  <c r="AI1029" i="10"/>
  <c r="AI1030" i="10"/>
  <c r="AI1031" i="10"/>
  <c r="AI1032" i="10"/>
  <c r="AI1033" i="10"/>
  <c r="AI1034" i="10"/>
  <c r="AI1035" i="10"/>
  <c r="AI1036" i="10"/>
  <c r="AI1037" i="10"/>
  <c r="AI1038" i="10"/>
  <c r="AI1039" i="10"/>
  <c r="AI1040" i="10"/>
  <c r="AI1042" i="10"/>
  <c r="AI1043" i="10"/>
  <c r="AI1044" i="10"/>
  <c r="AI1045" i="10"/>
  <c r="AI1046" i="10"/>
  <c r="AI1047" i="10"/>
  <c r="AI1048" i="10"/>
  <c r="AI1049" i="10"/>
  <c r="AI1050" i="10"/>
  <c r="AI1051" i="10"/>
  <c r="AI1052" i="10"/>
  <c r="AI1053" i="10"/>
  <c r="AI1054" i="10"/>
  <c r="AI1055" i="10"/>
  <c r="AI1056" i="10"/>
  <c r="AI1057" i="10"/>
  <c r="AI1059" i="10"/>
  <c r="AI1060" i="10"/>
  <c r="AI1061" i="10"/>
  <c r="AI1062" i="10"/>
  <c r="AI1063" i="10"/>
  <c r="AI1064" i="10"/>
  <c r="AI1065" i="10"/>
  <c r="AI1066" i="10"/>
  <c r="AI1067" i="10"/>
  <c r="AI1069" i="10"/>
  <c r="AI1070" i="10"/>
  <c r="AI1071" i="10"/>
  <c r="AI1072" i="10"/>
  <c r="AI1073" i="10"/>
  <c r="AI1074" i="10"/>
  <c r="AI1075" i="10"/>
  <c r="AI1076" i="10"/>
  <c r="AI1078" i="10"/>
  <c r="AI1079" i="10"/>
  <c r="AI1080" i="10"/>
  <c r="AI1081" i="10"/>
  <c r="AI1082" i="10"/>
  <c r="AI1083" i="10"/>
  <c r="AI1084" i="10"/>
  <c r="AI1085" i="10"/>
  <c r="AI1086" i="10"/>
  <c r="AI1087" i="10"/>
  <c r="AI1088" i="10"/>
  <c r="AI1089" i="10"/>
  <c r="AI1090" i="10"/>
  <c r="AI1091" i="10"/>
  <c r="AI1092" i="10"/>
  <c r="AI1093" i="10"/>
  <c r="AI1094" i="10"/>
  <c r="AI1095" i="10"/>
  <c r="AI1096" i="10"/>
  <c r="AI1097" i="10"/>
  <c r="AI1098" i="10"/>
  <c r="AI1099" i="10"/>
  <c r="AI1100" i="10"/>
  <c r="AI1102" i="10"/>
  <c r="AI1103" i="10"/>
  <c r="AI1104" i="10"/>
  <c r="AI1105" i="10"/>
  <c r="AI1106" i="10"/>
  <c r="AI1107" i="10"/>
  <c r="AI1108" i="10"/>
  <c r="AI1109" i="10"/>
  <c r="AI1110" i="10"/>
  <c r="AI1111" i="10"/>
  <c r="AI1113" i="10"/>
  <c r="AI1114" i="10"/>
  <c r="AI1115" i="10"/>
  <c r="AI1116" i="10"/>
  <c r="AI1117" i="10"/>
  <c r="AI1118" i="10"/>
  <c r="AI1119" i="10"/>
  <c r="AI1120" i="10"/>
  <c r="AI1121" i="10"/>
  <c r="AI1122" i="10"/>
  <c r="AI1123" i="10"/>
  <c r="AI1124" i="10"/>
  <c r="AI1125" i="10"/>
  <c r="AI1126" i="10"/>
  <c r="AI1127" i="10"/>
  <c r="AI1128" i="10"/>
  <c r="AI1129" i="10"/>
  <c r="AI1130" i="10"/>
  <c r="AI1131" i="10"/>
  <c r="AI1132" i="10"/>
  <c r="AI1133" i="10"/>
  <c r="AI1134" i="10"/>
  <c r="AI1135" i="10"/>
  <c r="AI1136" i="10"/>
  <c r="AI1138" i="10"/>
  <c r="AI1139" i="10"/>
  <c r="AI1140" i="10"/>
  <c r="AI1141" i="10"/>
  <c r="AI1142" i="10"/>
  <c r="AI1143" i="10"/>
  <c r="AI1144" i="10"/>
  <c r="AI1145" i="10"/>
  <c r="AI1147" i="10"/>
  <c r="AI1148" i="10"/>
  <c r="AI1149" i="10"/>
  <c r="AI1150" i="10"/>
  <c r="AI1151" i="10"/>
  <c r="AI1152" i="10"/>
  <c r="AI1153" i="10"/>
  <c r="AI1155" i="10"/>
  <c r="AI1156" i="10"/>
  <c r="AI1157" i="10"/>
  <c r="AI1158" i="10"/>
  <c r="AI1159" i="10"/>
  <c r="AI1160" i="10"/>
  <c r="AI1162" i="10"/>
  <c r="AI1163" i="10"/>
  <c r="AI1164" i="10"/>
  <c r="AI1165" i="10"/>
  <c r="AI1166" i="10"/>
  <c r="AI1167" i="10"/>
  <c r="AI1169" i="10"/>
  <c r="AI1170" i="10"/>
  <c r="AI1171" i="10"/>
  <c r="AI1172" i="10"/>
  <c r="AI1173" i="10"/>
  <c r="AI1174" i="10"/>
  <c r="AI1175" i="10"/>
  <c r="AI1177" i="10"/>
  <c r="AI1178" i="10"/>
  <c r="AI1179" i="10"/>
  <c r="AI1180" i="10"/>
  <c r="AI1181" i="10"/>
  <c r="AI1182" i="10"/>
  <c r="AI1183" i="10"/>
  <c r="AI1184" i="10"/>
  <c r="AI1185" i="10"/>
  <c r="AI1187" i="10"/>
  <c r="AI1188" i="10"/>
  <c r="AI1189" i="10"/>
  <c r="AI1190" i="10"/>
  <c r="AI1191" i="10"/>
  <c r="AI1192" i="10"/>
  <c r="AI1193" i="10"/>
  <c r="AI1194" i="10"/>
  <c r="AI1195" i="10"/>
  <c r="AI1197" i="10"/>
  <c r="AI1198" i="10"/>
  <c r="AI1199" i="10"/>
  <c r="AI1200" i="10"/>
  <c r="AI1201" i="10"/>
  <c r="AI1202" i="10"/>
  <c r="AI1203" i="10"/>
  <c r="AI1204" i="10"/>
  <c r="AI1205" i="10"/>
  <c r="AI1207" i="10"/>
  <c r="AI1208" i="10"/>
  <c r="AI1209" i="10"/>
  <c r="AI1210" i="10"/>
  <c r="AI1211" i="10"/>
  <c r="AI1212" i="10"/>
  <c r="AI1214" i="10"/>
  <c r="AI1215" i="10"/>
  <c r="AI1216" i="10"/>
  <c r="AI1217" i="10"/>
  <c r="AI1218" i="10"/>
  <c r="AI1219" i="10"/>
  <c r="AI1221" i="10"/>
  <c r="AI1222" i="10"/>
  <c r="AI1223" i="10"/>
  <c r="AI1224" i="10"/>
  <c r="AI1225" i="10"/>
  <c r="AI1226" i="10"/>
  <c r="AI1227" i="10"/>
  <c r="AI1229" i="10"/>
  <c r="AI1230" i="10"/>
  <c r="AI1231" i="10"/>
  <c r="AI1232" i="10"/>
  <c r="AI1233" i="10"/>
  <c r="AI1234" i="10"/>
  <c r="AI1235" i="10"/>
  <c r="AI1236" i="10"/>
  <c r="AI1237" i="10"/>
  <c r="AI1238" i="10"/>
  <c r="AI1240" i="10"/>
  <c r="AI1241" i="10"/>
  <c r="AI1242" i="10"/>
  <c r="AI1243" i="10"/>
  <c r="AI1244" i="10"/>
  <c r="AI1245" i="10"/>
  <c r="AI1246" i="10"/>
  <c r="AI1247" i="10"/>
  <c r="AI1248" i="10"/>
  <c r="AI1249" i="10"/>
  <c r="AI1250" i="10"/>
  <c r="AI1251" i="10"/>
  <c r="AI1252" i="10"/>
  <c r="AI1253" i="10"/>
  <c r="AI1254" i="10"/>
  <c r="AI1255" i="10"/>
  <c r="AI1257" i="10"/>
  <c r="AI1258" i="10"/>
  <c r="AI1259" i="10"/>
  <c r="AI1260" i="10"/>
  <c r="AI1261" i="10"/>
  <c r="AI1262" i="10"/>
  <c r="AI1263" i="10"/>
  <c r="AI1264" i="10"/>
  <c r="AI1265" i="10"/>
  <c r="AI1267" i="10"/>
  <c r="AI1268" i="10"/>
  <c r="AI1269" i="10"/>
  <c r="AI1270" i="10"/>
  <c r="AI1271" i="10"/>
  <c r="AI1272" i="10"/>
  <c r="AI1273" i="10"/>
  <c r="AI1275" i="10"/>
  <c r="AI1276" i="10"/>
  <c r="AI1277" i="10"/>
  <c r="AI1278" i="10"/>
  <c r="AI1279" i="10"/>
  <c r="AI1280" i="10"/>
  <c r="AI1281" i="10"/>
  <c r="AI1282" i="10"/>
  <c r="AI1283" i="10"/>
  <c r="AI1284" i="10"/>
  <c r="AI1285" i="10"/>
  <c r="AI1286" i="10"/>
  <c r="AI1287" i="10"/>
  <c r="AI1288" i="10"/>
  <c r="AI1289" i="10"/>
  <c r="AI1290" i="10"/>
  <c r="AI1291" i="10"/>
  <c r="AI1292" i="10"/>
  <c r="AI1293" i="10"/>
  <c r="AI1294" i="10"/>
  <c r="AI1295" i="10"/>
  <c r="AI1297" i="10"/>
  <c r="AI1298" i="10"/>
  <c r="AI1299" i="10"/>
  <c r="AI1300" i="10"/>
  <c r="AI1301" i="10"/>
  <c r="AI1302" i="10"/>
  <c r="AI1304" i="10"/>
  <c r="AI1305" i="10"/>
  <c r="AI1306" i="10"/>
  <c r="AI1307" i="10"/>
  <c r="AI1308" i="10"/>
  <c r="AI1309" i="10"/>
  <c r="AI1310" i="10"/>
  <c r="AI1311" i="10"/>
  <c r="AI1313" i="10"/>
  <c r="AI1314" i="10"/>
  <c r="AI1315" i="10"/>
  <c r="AI1316" i="10"/>
  <c r="AI1317" i="10"/>
  <c r="AI1318" i="10"/>
  <c r="AI1319" i="10"/>
  <c r="AI1320" i="10"/>
  <c r="AI1321" i="10"/>
  <c r="AI1322" i="10"/>
  <c r="AI1323" i="10"/>
  <c r="AI1324" i="10"/>
  <c r="AI1325" i="10"/>
  <c r="AI1326" i="10"/>
  <c r="AI1327" i="10"/>
  <c r="AI1328" i="10"/>
  <c r="AI1329" i="10"/>
  <c r="AI1330" i="10"/>
  <c r="AI1331" i="10"/>
  <c r="AI1332" i="10"/>
  <c r="AI1333" i="10"/>
  <c r="AI1334" i="10"/>
  <c r="AI1336" i="10"/>
  <c r="AI1337" i="10"/>
  <c r="AI1338" i="10"/>
  <c r="AI1339" i="10"/>
  <c r="AI1340" i="10"/>
  <c r="AI1341" i="10"/>
  <c r="AI1342" i="10"/>
  <c r="AI1343" i="10"/>
  <c r="AI1345" i="10"/>
  <c r="AI1346" i="10"/>
  <c r="AI1347" i="10"/>
  <c r="AI1348" i="10"/>
  <c r="AI1349" i="10"/>
  <c r="AI1350" i="10"/>
  <c r="AI1351" i="10"/>
  <c r="AI1352" i="10"/>
  <c r="AI1353" i="10"/>
  <c r="AI1355" i="10"/>
  <c r="AI1356" i="10"/>
  <c r="AI1357" i="10"/>
  <c r="AI1358" i="10"/>
  <c r="AI1359" i="10"/>
  <c r="AI1360" i="10"/>
  <c r="AI1361" i="10"/>
  <c r="AI1363" i="10"/>
  <c r="AI1364" i="10"/>
  <c r="AI1365" i="10"/>
  <c r="AI1366" i="10"/>
  <c r="AI1367" i="10"/>
  <c r="AI1368" i="10"/>
  <c r="AI1369" i="10"/>
  <c r="AI1370" i="10"/>
  <c r="AI1372" i="10"/>
  <c r="AI1373" i="10"/>
  <c r="AI1374" i="10"/>
  <c r="AI1375" i="10"/>
  <c r="AI1376" i="10"/>
  <c r="AI1377" i="10"/>
  <c r="AI1378" i="10"/>
  <c r="AI1380" i="10"/>
  <c r="AI1381" i="10"/>
  <c r="AI1382" i="10"/>
  <c r="AI1383" i="10"/>
  <c r="AI1384" i="10"/>
  <c r="AI1385" i="10"/>
  <c r="AI1386" i="10"/>
  <c r="AI1387" i="10"/>
  <c r="AI1388" i="10"/>
  <c r="AI1389" i="10"/>
  <c r="AI1390" i="10"/>
  <c r="AI1391" i="10"/>
  <c r="AI1392" i="10"/>
  <c r="AI1393" i="10"/>
  <c r="AI1394" i="10"/>
  <c r="AI1395" i="10"/>
  <c r="AI1396" i="10"/>
  <c r="AI1397" i="10"/>
  <c r="AI1398" i="10"/>
  <c r="AI1399" i="10"/>
  <c r="AI1400" i="10"/>
  <c r="AI1401" i="10"/>
  <c r="AI1402" i="10"/>
  <c r="AI1403" i="10"/>
  <c r="AI1404" i="10"/>
  <c r="AI1405" i="10"/>
  <c r="AI1406" i="10"/>
  <c r="AI1407" i="10"/>
  <c r="AI1408" i="10"/>
  <c r="AI1409" i="10"/>
  <c r="AI1410" i="10"/>
  <c r="AI1411" i="10"/>
  <c r="AI1412" i="10"/>
  <c r="AI1413" i="10"/>
  <c r="AI1414" i="10"/>
  <c r="AI1416" i="10"/>
  <c r="AI1417" i="10"/>
  <c r="AI1418" i="10"/>
  <c r="AI1419" i="10"/>
  <c r="AI1420" i="10"/>
  <c r="AI1421" i="10"/>
  <c r="AI1422" i="10"/>
  <c r="AI1423" i="10"/>
  <c r="AI1424" i="10"/>
  <c r="AI1425" i="10"/>
  <c r="AI1426" i="10"/>
  <c r="AI1427" i="10"/>
  <c r="AI1429" i="10"/>
  <c r="AI1430" i="10"/>
  <c r="AI1431" i="10"/>
  <c r="AI1432" i="10"/>
  <c r="AI1433" i="10"/>
  <c r="AI1434" i="10"/>
  <c r="AI1435" i="10"/>
  <c r="AI1436" i="10"/>
  <c r="AI1437" i="10"/>
  <c r="AI1438" i="10"/>
  <c r="AI1439" i="10"/>
  <c r="AI1440" i="10"/>
  <c r="AI1441" i="10"/>
  <c r="AI1442" i="10"/>
  <c r="AI1443" i="10"/>
  <c r="AI1444" i="10"/>
  <c r="AI1445" i="10"/>
  <c r="AI1446" i="10"/>
  <c r="AI1447" i="10"/>
  <c r="AI1448" i="10"/>
  <c r="AI1449" i="10"/>
  <c r="AI1450" i="10"/>
  <c r="AI1451" i="10"/>
  <c r="AI1453" i="10"/>
  <c r="AI1454" i="10"/>
  <c r="AI1455" i="10"/>
  <c r="AI1456" i="10"/>
  <c r="AI1457" i="10"/>
  <c r="AI1458" i="10"/>
  <c r="AI1460" i="10"/>
  <c r="AI1461" i="10"/>
  <c r="AI1462" i="10"/>
  <c r="AI1463" i="10"/>
  <c r="AI1464" i="10"/>
  <c r="AI1465" i="10"/>
  <c r="AI1466" i="10"/>
  <c r="AI1467" i="10"/>
  <c r="AI1468" i="10"/>
  <c r="AI1470" i="10"/>
  <c r="AI1471" i="10"/>
  <c r="AI1472" i="10"/>
  <c r="AI1473" i="10"/>
  <c r="AI1474" i="10"/>
  <c r="AI1475" i="10"/>
  <c r="AI1476" i="10"/>
  <c r="AI1477" i="10"/>
  <c r="AI1478" i="10"/>
  <c r="AI1479" i="10"/>
  <c r="AI1480" i="10"/>
  <c r="AI1481" i="10"/>
  <c r="AI1482" i="10"/>
  <c r="AI1484" i="10"/>
  <c r="AI1485" i="10"/>
  <c r="AI1486" i="10"/>
  <c r="AI1487" i="10"/>
  <c r="AI1488" i="10"/>
  <c r="AI1489" i="10"/>
  <c r="AI1490" i="10"/>
  <c r="AI1491" i="10"/>
  <c r="AI1492" i="10"/>
  <c r="AI1493" i="10"/>
  <c r="AI1494" i="10"/>
  <c r="AI1495" i="10"/>
  <c r="AI1496" i="10"/>
  <c r="AI1497" i="10"/>
  <c r="AI1498" i="10"/>
  <c r="AI1499" i="10"/>
  <c r="AI1500" i="10"/>
  <c r="AI1502" i="10"/>
  <c r="AI1503" i="10"/>
  <c r="AI1504" i="10"/>
  <c r="AI1505" i="10"/>
  <c r="AI1506" i="10"/>
  <c r="AI1508" i="10"/>
  <c r="AI1509" i="10"/>
  <c r="AI1510" i="10"/>
  <c r="AI1511" i="10"/>
  <c r="AI1512" i="10"/>
  <c r="AI1513" i="10"/>
  <c r="AI1515" i="10"/>
  <c r="AI1516" i="10"/>
  <c r="AI1517" i="10"/>
  <c r="AI1518" i="10"/>
  <c r="AI1519" i="10"/>
  <c r="AI1521" i="10"/>
  <c r="AI1522" i="10"/>
  <c r="AI1523" i="10"/>
  <c r="AI1524" i="10"/>
  <c r="AI1525" i="10"/>
  <c r="AI1526" i="10"/>
  <c r="AI1527" i="10"/>
  <c r="AI1529" i="10"/>
  <c r="AI1530" i="10"/>
  <c r="AI1531" i="10"/>
  <c r="AI1532" i="10"/>
  <c r="AI1533" i="10"/>
  <c r="AI1534" i="10"/>
  <c r="AI1535" i="10"/>
  <c r="AI1536" i="10"/>
  <c r="AI1538" i="10"/>
  <c r="AI1539" i="10"/>
  <c r="AI1540" i="10"/>
  <c r="AI1541" i="10"/>
  <c r="AI1542" i="10"/>
  <c r="AI1544" i="10"/>
  <c r="AI1545" i="10"/>
  <c r="AI1546" i="10"/>
  <c r="AI1547" i="10"/>
  <c r="AI1548" i="10"/>
  <c r="AI1550" i="10"/>
  <c r="AI1551" i="10"/>
  <c r="AI1552" i="10"/>
  <c r="AI1553" i="10"/>
  <c r="AI1554" i="10"/>
  <c r="AI1555" i="10"/>
  <c r="AI1557" i="10"/>
  <c r="AI1558" i="10"/>
  <c r="AI1559" i="10"/>
  <c r="AI1560" i="10"/>
  <c r="AI1561" i="10"/>
  <c r="AI1562" i="10"/>
  <c r="AI1563" i="10"/>
  <c r="AI1564" i="10"/>
  <c r="AI1565" i="10"/>
  <c r="AI1566" i="10"/>
  <c r="AI1567" i="10"/>
  <c r="AI1568" i="10"/>
  <c r="AI1570" i="10"/>
  <c r="AI1571" i="10"/>
  <c r="AI1572" i="10"/>
  <c r="AI1573" i="10"/>
  <c r="AI1574" i="10"/>
  <c r="AI1575" i="10"/>
  <c r="AI1577" i="10"/>
  <c r="AI1578" i="10"/>
  <c r="AI1579" i="10"/>
  <c r="AI1580" i="10"/>
  <c r="AI1581" i="10"/>
  <c r="AI1582" i="10"/>
  <c r="AI1584" i="10"/>
  <c r="AI1585" i="10"/>
  <c r="AI1586" i="10"/>
  <c r="AI1587" i="10"/>
  <c r="AI1588" i="10"/>
  <c r="AI1589" i="10"/>
  <c r="AI1591" i="10"/>
  <c r="AI1592" i="10"/>
  <c r="AI1593" i="10"/>
  <c r="AI1594" i="10"/>
  <c r="AI1595" i="10"/>
  <c r="AI1596" i="10"/>
  <c r="AI1598" i="10"/>
  <c r="AI1599" i="10"/>
  <c r="AI1600" i="10"/>
  <c r="AI1601" i="10"/>
  <c r="AI1602" i="10"/>
  <c r="AI1603" i="10"/>
  <c r="AI1604" i="10"/>
  <c r="AI1605" i="10"/>
  <c r="AI1606" i="10"/>
  <c r="AI1607" i="10"/>
  <c r="AI1609" i="10"/>
  <c r="AI1610" i="10"/>
  <c r="AI1611" i="10"/>
  <c r="AI1612" i="10"/>
  <c r="AI1613" i="10"/>
  <c r="AI1614" i="10"/>
  <c r="AI1615" i="10"/>
  <c r="AI1616" i="10"/>
  <c r="AI1617" i="10"/>
  <c r="AI1618" i="10"/>
  <c r="AI1619" i="10"/>
  <c r="AI1620" i="10"/>
  <c r="AI1621" i="10"/>
  <c r="AI1623" i="10"/>
  <c r="AI1624" i="10"/>
  <c r="AI1625" i="10"/>
  <c r="AI1626" i="10"/>
  <c r="AI1627" i="10"/>
  <c r="AI1628" i="10"/>
  <c r="AI1629" i="10"/>
  <c r="AI1630" i="10"/>
  <c r="AI1632" i="10"/>
  <c r="AI1633" i="10"/>
  <c r="AI1634" i="10"/>
  <c r="AI1635" i="10"/>
  <c r="AI1636" i="10"/>
  <c r="AI1637" i="10"/>
  <c r="AI1638" i="10"/>
  <c r="AI1639" i="10"/>
  <c r="AI1640" i="10"/>
  <c r="AI1642" i="10"/>
  <c r="AI1643" i="10"/>
  <c r="AI1644" i="10"/>
  <c r="AI1645" i="10"/>
  <c r="AI1646" i="10"/>
  <c r="AI1647" i="10"/>
  <c r="AI1648" i="10"/>
  <c r="AI1650" i="10"/>
  <c r="AI1651" i="10"/>
  <c r="AI1652" i="10"/>
  <c r="AI1653" i="10"/>
  <c r="AI1654" i="10"/>
  <c r="AI1655" i="10"/>
  <c r="AI1656" i="10"/>
  <c r="AI1657" i="10"/>
  <c r="AI1659" i="10"/>
  <c r="AI1660" i="10"/>
  <c r="AI1661" i="10"/>
  <c r="AI1662" i="10"/>
  <c r="AI1663" i="10"/>
  <c r="AI1664" i="10"/>
  <c r="AI1665" i="10"/>
  <c r="AI1667" i="10"/>
  <c r="AI1668" i="10"/>
  <c r="AI1669" i="10"/>
  <c r="AI1670" i="10"/>
  <c r="AI1671" i="10"/>
  <c r="AI1672" i="10"/>
  <c r="AI1673" i="10"/>
  <c r="AI1674" i="10"/>
  <c r="AI1676" i="10"/>
  <c r="AI1677" i="10"/>
  <c r="AI1678" i="10"/>
  <c r="AI1679" i="10"/>
  <c r="AI1680" i="10"/>
  <c r="AI1681" i="10"/>
  <c r="AI1682" i="10"/>
  <c r="AI1683" i="10"/>
  <c r="AI1684" i="10"/>
  <c r="AI1686" i="10"/>
  <c r="AI1687" i="10"/>
  <c r="AI1688" i="10"/>
  <c r="AI1689" i="10"/>
  <c r="AI1690" i="10"/>
  <c r="AI1691" i="10"/>
  <c r="AI1692" i="10"/>
  <c r="AI1694" i="10"/>
  <c r="AI1695" i="10"/>
  <c r="AI1696" i="10"/>
  <c r="AI1697" i="10"/>
  <c r="AI1698" i="10"/>
  <c r="AI1699" i="10"/>
  <c r="AI1700" i="10"/>
  <c r="AI1701" i="10"/>
  <c r="AI1702" i="10"/>
  <c r="AI1703" i="10"/>
  <c r="AI1704" i="10"/>
  <c r="AI1705" i="10"/>
  <c r="AI1707" i="10"/>
  <c r="AI1708" i="10"/>
  <c r="AI1709" i="10"/>
  <c r="AI1710" i="10"/>
  <c r="AI1712" i="10"/>
  <c r="AI1713" i="10"/>
  <c r="AI1714" i="10"/>
  <c r="AI1715" i="10"/>
  <c r="AI1716" i="10"/>
  <c r="AI1717" i="10"/>
  <c r="AI1718" i="10"/>
  <c r="AI1720" i="10"/>
  <c r="AI1721" i="10"/>
  <c r="AI1722" i="10"/>
  <c r="AI1723" i="10"/>
  <c r="AI1724" i="10"/>
  <c r="AI1725" i="10"/>
  <c r="AI1727" i="10"/>
  <c r="AI1728" i="10"/>
  <c r="AI1729" i="10"/>
  <c r="AI1730" i="10"/>
  <c r="AI1731" i="10"/>
  <c r="AI1732" i="10"/>
  <c r="AI1733" i="10"/>
  <c r="AI1735" i="10"/>
  <c r="AI1736" i="10"/>
  <c r="AI1737" i="10"/>
  <c r="AI1738" i="10"/>
  <c r="AI1739" i="10"/>
  <c r="AI1740" i="10"/>
  <c r="AI1741" i="10"/>
  <c r="AI1742" i="10"/>
  <c r="AI1743" i="10"/>
  <c r="AI1744" i="10"/>
  <c r="AI1745" i="10"/>
  <c r="AI1746" i="10"/>
  <c r="AI1747" i="10"/>
  <c r="AI1748" i="10"/>
  <c r="AI1749" i="10"/>
  <c r="AI1750" i="10"/>
  <c r="AI1751" i="10"/>
  <c r="AI1752" i="10"/>
  <c r="AI1753" i="10"/>
  <c r="AI1754" i="10"/>
  <c r="AI1755" i="10"/>
  <c r="AI1756" i="10"/>
  <c r="AI1758" i="10"/>
  <c r="AI1759" i="10"/>
  <c r="AI1760" i="10"/>
  <c r="AI1761" i="10"/>
  <c r="AI1762" i="10"/>
  <c r="AI1763" i="10"/>
  <c r="AI1764" i="10"/>
  <c r="AI1765" i="10"/>
  <c r="AI1766" i="10"/>
  <c r="AI1767" i="10"/>
  <c r="AI1768" i="10"/>
  <c r="AI1769" i="10"/>
  <c r="AI1770" i="10"/>
  <c r="AI1772" i="10"/>
  <c r="AI1773" i="10"/>
  <c r="AI1774" i="10"/>
  <c r="AI1775" i="10"/>
  <c r="AI1776" i="10"/>
  <c r="AI1777" i="10"/>
  <c r="AI1779" i="10"/>
  <c r="AI1780" i="10"/>
  <c r="AI1781" i="10"/>
  <c r="AI1782" i="10"/>
  <c r="AI1783" i="10"/>
  <c r="AI1784" i="10"/>
  <c r="AI1785" i="10"/>
  <c r="AI1786" i="10"/>
  <c r="AI1787" i="10"/>
  <c r="AI1788" i="10"/>
  <c r="AI1789" i="10"/>
  <c r="AI1791" i="10"/>
  <c r="AI1792" i="10"/>
  <c r="AI1793" i="10"/>
  <c r="AI1794" i="10"/>
  <c r="AI1795" i="10"/>
  <c r="AI1796" i="10"/>
  <c r="AI1798" i="10"/>
  <c r="AI1799" i="10"/>
  <c r="AI1800" i="10"/>
  <c r="AI1801" i="10"/>
  <c r="AI1802" i="10"/>
  <c r="AI1803" i="10"/>
  <c r="AI1804" i="10"/>
  <c r="AI1806" i="10"/>
  <c r="AI1807" i="10"/>
  <c r="AI1808" i="10"/>
  <c r="AI1809" i="10"/>
  <c r="AI1810" i="10"/>
  <c r="AI1811" i="10"/>
  <c r="AI1812" i="10"/>
  <c r="AI1813" i="10"/>
  <c r="AI1814" i="10"/>
  <c r="AI1815" i="10"/>
  <c r="AI1816" i="10"/>
  <c r="AI1817" i="10"/>
  <c r="AI1818" i="10"/>
  <c r="AI1819" i="10"/>
  <c r="AI1820" i="10"/>
  <c r="AI1821" i="10"/>
  <c r="AI1822" i="10"/>
  <c r="AI1823" i="10"/>
  <c r="AI1825" i="10"/>
  <c r="AI1826" i="10"/>
  <c r="AI1827" i="10"/>
  <c r="AI1828" i="10"/>
  <c r="AI1829" i="10"/>
  <c r="AI1830" i="10"/>
  <c r="AI1832" i="10"/>
  <c r="AI1833" i="10"/>
  <c r="AI1834" i="10"/>
  <c r="AI1835" i="10"/>
  <c r="AI1836" i="10"/>
  <c r="AI1837" i="10"/>
  <c r="AI1838" i="10"/>
  <c r="AI1840" i="10"/>
  <c r="AI1841" i="10"/>
  <c r="AI1842" i="10"/>
  <c r="AI1843" i="10"/>
  <c r="AI1844" i="10"/>
  <c r="AI1845" i="10"/>
  <c r="AI1846" i="10"/>
  <c r="AI1847" i="10"/>
  <c r="AI1849" i="10"/>
  <c r="AI1850" i="10"/>
  <c r="AI1851" i="10"/>
  <c r="AI1852" i="10"/>
  <c r="AI1853" i="10"/>
  <c r="AI1854" i="10"/>
  <c r="AI1856" i="10"/>
  <c r="AI1857" i="10"/>
  <c r="AI1858" i="10"/>
  <c r="AI1859" i="10"/>
  <c r="AI1860" i="10"/>
  <c r="AI1861" i="10"/>
  <c r="AI1862" i="10"/>
  <c r="AI1863" i="10"/>
  <c r="AI1864" i="10"/>
  <c r="AI1865" i="10"/>
  <c r="AI1867" i="10"/>
  <c r="AI1868" i="10"/>
  <c r="AI1869" i="10"/>
  <c r="AI1870" i="10"/>
  <c r="AI1871" i="10"/>
  <c r="AI1872" i="10"/>
  <c r="AI1873" i="10"/>
  <c r="AI1875" i="10"/>
  <c r="AI1876" i="10"/>
  <c r="AI1877" i="10"/>
  <c r="AI1878" i="10"/>
  <c r="AI1879" i="10"/>
  <c r="AI1881" i="10"/>
  <c r="AI1882" i="10"/>
  <c r="AI1883" i="10"/>
  <c r="AI1884" i="10"/>
  <c r="AI1885" i="10"/>
  <c r="AI1886" i="10"/>
  <c r="AI1887" i="10"/>
  <c r="AI1888" i="10"/>
  <c r="AI1889" i="10"/>
  <c r="AI1890" i="10"/>
  <c r="AI1892" i="10"/>
  <c r="AI1893" i="10"/>
  <c r="AI1894" i="10"/>
  <c r="AI1895" i="10"/>
  <c r="AI1896" i="10"/>
  <c r="AI1897" i="10"/>
  <c r="AI1898" i="10"/>
  <c r="AI1900" i="10"/>
  <c r="AI1901" i="10"/>
  <c r="AI1902" i="10"/>
  <c r="AI1903" i="10"/>
  <c r="AI1904" i="10"/>
  <c r="AI1905" i="10"/>
  <c r="AI1906" i="10"/>
  <c r="AI1908" i="10"/>
  <c r="AI1909" i="10"/>
  <c r="AI1910" i="10"/>
  <c r="AI1911" i="10"/>
  <c r="AI1912" i="10"/>
  <c r="AI1913" i="10"/>
  <c r="AI1914" i="10"/>
  <c r="AI1916" i="10"/>
  <c r="AI1917" i="10"/>
  <c r="AI1918" i="10"/>
  <c r="AI1919" i="10"/>
  <c r="AI1920" i="10"/>
  <c r="AI1921" i="10"/>
  <c r="AI1922" i="10"/>
  <c r="AI1923" i="10"/>
  <c r="AI1924" i="10"/>
  <c r="AI1925" i="10"/>
  <c r="AI1926" i="10"/>
  <c r="AI1927" i="10"/>
  <c r="AI1928" i="10"/>
  <c r="AI1929" i="10"/>
  <c r="AI1930" i="10"/>
  <c r="AI1931" i="10"/>
  <c r="AI1932" i="10"/>
  <c r="AI1933" i="10"/>
  <c r="AI1934" i="10"/>
  <c r="AI1935" i="10"/>
  <c r="AI1936" i="10"/>
  <c r="AI1937" i="10"/>
  <c r="AI1938" i="10"/>
  <c r="AI1939" i="10"/>
  <c r="AI1940" i="10"/>
  <c r="AI1941" i="10"/>
  <c r="AI1943" i="10"/>
  <c r="AI1944" i="10"/>
  <c r="AI1945" i="10"/>
  <c r="AI1946" i="10"/>
  <c r="AI1947" i="10"/>
  <c r="AI1948" i="10"/>
  <c r="AI1949" i="10"/>
  <c r="AI1950" i="10"/>
  <c r="AI1951" i="10"/>
  <c r="AI1952" i="10"/>
  <c r="AI1953" i="10"/>
  <c r="AI1954" i="10"/>
  <c r="AI1955" i="10"/>
  <c r="AI1956" i="10"/>
  <c r="AI1957" i="10"/>
  <c r="AI1958" i="10"/>
  <c r="AI1960" i="10"/>
  <c r="AI1961" i="10"/>
  <c r="AI1962" i="10"/>
  <c r="AI1963" i="10"/>
  <c r="AI1964" i="10"/>
  <c r="AI1965" i="10"/>
  <c r="AI1966" i="10"/>
  <c r="AI1968" i="10"/>
  <c r="AI1969" i="10"/>
  <c r="AI1970" i="10"/>
  <c r="AI1971" i="10"/>
  <c r="AI1972" i="10"/>
  <c r="AI1974" i="10"/>
  <c r="AI1975" i="10"/>
  <c r="AI1976" i="10"/>
  <c r="AI1977" i="10"/>
  <c r="AI1978" i="10"/>
  <c r="AI1979" i="10"/>
  <c r="AI1981" i="10"/>
  <c r="AI1982" i="10"/>
  <c r="AI1983" i="10"/>
  <c r="AI1984" i="10"/>
  <c r="AI1985" i="10"/>
  <c r="AI1986" i="10"/>
  <c r="AI1987" i="10"/>
  <c r="AI1988" i="10"/>
  <c r="AI1989" i="10"/>
  <c r="AI1991" i="10"/>
  <c r="AI1992" i="10"/>
  <c r="AI1993" i="10"/>
  <c r="AI1994" i="10"/>
  <c r="AI1995" i="10"/>
  <c r="AI1996" i="10"/>
  <c r="AI1997" i="10"/>
  <c r="AI1998" i="10"/>
  <c r="AI1999" i="10"/>
  <c r="AI2000" i="10"/>
  <c r="AI2001" i="10"/>
  <c r="AI2002" i="10"/>
  <c r="AI2003" i="10"/>
  <c r="AI2004" i="10"/>
  <c r="AI2005" i="10"/>
  <c r="AI2006" i="10"/>
  <c r="AI2007" i="10"/>
  <c r="AI2008" i="10"/>
  <c r="AI2009" i="10"/>
  <c r="AI2010" i="10"/>
  <c r="AI2011" i="10"/>
  <c r="AI2013" i="10"/>
  <c r="AI2014" i="10"/>
  <c r="AI2015" i="10"/>
  <c r="AI2016" i="10"/>
  <c r="AI2017" i="10"/>
  <c r="AI2018" i="10"/>
  <c r="AI2019" i="10"/>
  <c r="AI2021" i="10"/>
  <c r="AI2022" i="10"/>
  <c r="AI2023" i="10"/>
  <c r="AI2024" i="10"/>
  <c r="AI2025" i="10"/>
  <c r="AI2026" i="10"/>
  <c r="AI2027" i="10"/>
  <c r="AI2029" i="10"/>
  <c r="AI2030" i="10"/>
  <c r="AI2031" i="10"/>
  <c r="AI2032" i="10"/>
  <c r="AI2033" i="10"/>
  <c r="AI2034" i="10"/>
  <c r="AI2035" i="10"/>
  <c r="AI2037" i="10"/>
  <c r="AI2038" i="10"/>
  <c r="AI2039" i="10"/>
  <c r="AI2040" i="10"/>
  <c r="AI2041" i="10"/>
  <c r="AI2042" i="10"/>
  <c r="AI2043" i="10"/>
  <c r="AI2045" i="10"/>
  <c r="AI2046" i="10"/>
  <c r="AI2047" i="10"/>
  <c r="AI2048" i="10"/>
  <c r="AI2049" i="10"/>
  <c r="AI2050" i="10"/>
  <c r="AI2051" i="10"/>
  <c r="AI2052" i="10"/>
  <c r="AI2053" i="10"/>
  <c r="AI2055" i="10"/>
  <c r="AI2056" i="10"/>
  <c r="AI2057" i="10"/>
  <c r="AI2058" i="10"/>
  <c r="AI2059" i="10"/>
  <c r="AI2060" i="10"/>
  <c r="AI2061" i="10"/>
  <c r="AI2062" i="10"/>
  <c r="AI2063" i="10"/>
  <c r="AI2065" i="10"/>
  <c r="AI2066" i="10"/>
  <c r="AI2067" i="10"/>
  <c r="AI2068" i="10"/>
  <c r="AI2069" i="10"/>
  <c r="AI2070" i="10"/>
  <c r="AI2071" i="10"/>
  <c r="AI2072" i="10"/>
  <c r="AI2073" i="10"/>
  <c r="AI2074" i="10"/>
  <c r="AI2076" i="10"/>
  <c r="AI2077" i="10"/>
  <c r="AI2078" i="10"/>
  <c r="AI2079" i="10"/>
  <c r="AI2080" i="10"/>
  <c r="AI2081" i="10"/>
  <c r="AI2082" i="10"/>
  <c r="AI2083" i="10"/>
  <c r="AI2084" i="10"/>
  <c r="AI2085" i="10"/>
  <c r="AI2086" i="10"/>
  <c r="AI2087" i="10"/>
  <c r="AI2088" i="10"/>
  <c r="AI2089" i="10"/>
  <c r="AI2090" i="10"/>
  <c r="AI2091" i="10"/>
  <c r="AI2092" i="10"/>
  <c r="AI2093" i="10"/>
  <c r="AI2094" i="10"/>
  <c r="AI2095" i="10"/>
  <c r="AI2096" i="10"/>
  <c r="AI2097" i="10"/>
  <c r="AI2098" i="10"/>
  <c r="AI2099" i="10"/>
  <c r="AI2100" i="10"/>
  <c r="AI2101" i="10"/>
  <c r="AI2102" i="10"/>
  <c r="AI2103" i="10"/>
  <c r="AI2104" i="10"/>
  <c r="AI2105" i="10"/>
  <c r="AI2106" i="10"/>
  <c r="AI2107" i="10"/>
  <c r="AI2108" i="10"/>
  <c r="AI2109" i="10"/>
  <c r="AI2110" i="10"/>
  <c r="AI2111" i="10"/>
  <c r="AI2112" i="10"/>
  <c r="AI2113" i="10"/>
  <c r="AI2114" i="10"/>
  <c r="AI2115" i="10"/>
  <c r="AI2116" i="10"/>
  <c r="AI2117" i="10"/>
  <c r="AI2118" i="10"/>
  <c r="AI2119" i="10"/>
  <c r="AI2120" i="10"/>
  <c r="AI2121" i="10"/>
  <c r="AI2122" i="10"/>
  <c r="AI2123" i="10"/>
  <c r="AI2124" i="10"/>
  <c r="AI2125" i="10"/>
  <c r="AI2126" i="10"/>
  <c r="AI2127" i="10"/>
  <c r="AI2128" i="10"/>
  <c r="AI2129" i="10"/>
  <c r="AI2131" i="10"/>
  <c r="AI2132" i="10"/>
  <c r="AI2133" i="10"/>
  <c r="AI2134" i="10"/>
  <c r="AI2135" i="10"/>
  <c r="AI2136" i="10"/>
  <c r="AI2138" i="10"/>
  <c r="AI2139" i="10"/>
  <c r="AI2140" i="10"/>
  <c r="AI2141" i="10"/>
  <c r="AI2142" i="10"/>
  <c r="AI2143" i="10"/>
  <c r="AI2144" i="10"/>
  <c r="AI2146" i="10"/>
  <c r="AI2147" i="10"/>
  <c r="AI2148" i="10"/>
  <c r="AI2149" i="10"/>
  <c r="AI2150" i="10"/>
  <c r="AI2151" i="10"/>
  <c r="AI2152" i="10"/>
  <c r="AI2153" i="10"/>
  <c r="AI2154" i="10"/>
  <c r="AI2155" i="10"/>
  <c r="AI2156" i="10"/>
  <c r="AI2157" i="10"/>
  <c r="AI2158" i="10"/>
  <c r="AI2160" i="10"/>
  <c r="AI2161" i="10"/>
  <c r="AI2162" i="10"/>
  <c r="AI2163" i="10"/>
  <c r="AI2164" i="10"/>
  <c r="AI2165" i="10"/>
  <c r="AI2166" i="10"/>
  <c r="AI2167" i="10"/>
  <c r="AI2168" i="10"/>
  <c r="AI2169" i="10"/>
  <c r="AI2170" i="10"/>
  <c r="AI2171" i="10"/>
  <c r="AI2172" i="10"/>
  <c r="AI2173" i="10"/>
  <c r="AI2174" i="10"/>
  <c r="AI2175" i="10"/>
  <c r="AI2177" i="10"/>
  <c r="AI2178" i="10"/>
  <c r="AI2179" i="10"/>
  <c r="AI2180" i="10"/>
  <c r="AI2181" i="10"/>
  <c r="AI2182" i="10"/>
  <c r="AI2183" i="10"/>
  <c r="AI2184" i="10"/>
  <c r="AI2185" i="10"/>
  <c r="AI2186" i="10"/>
  <c r="AI2187" i="10"/>
  <c r="AI2188" i="10"/>
  <c r="AI2189" i="10"/>
  <c r="AI2190" i="10"/>
  <c r="AI2191" i="10"/>
  <c r="AI2192" i="10"/>
  <c r="AI2193" i="10"/>
  <c r="AI2194" i="10"/>
  <c r="AI2195" i="10"/>
  <c r="AI2196" i="10"/>
  <c r="AI2197" i="10"/>
  <c r="AI2198" i="10"/>
  <c r="AI2199" i="10"/>
  <c r="AI2201" i="10"/>
  <c r="AI2202" i="10"/>
  <c r="AI2203" i="10"/>
  <c r="AI2204" i="10"/>
  <c r="AI2205" i="10"/>
  <c r="AI2206" i="10"/>
  <c r="AI2207" i="10"/>
  <c r="AI2208" i="10"/>
  <c r="AI2209" i="10"/>
  <c r="AI2210" i="10"/>
  <c r="AI2211" i="10"/>
  <c r="AI2212" i="10"/>
  <c r="AI2213" i="10"/>
  <c r="AI2215" i="10"/>
  <c r="AI2216" i="10"/>
  <c r="AI2217" i="10"/>
  <c r="AI2218" i="10"/>
  <c r="AI2219" i="10"/>
  <c r="AI2220" i="10"/>
  <c r="AI2221" i="10"/>
  <c r="AI2222" i="10"/>
  <c r="AI2223" i="10"/>
  <c r="AI2225" i="10"/>
  <c r="AI2226" i="10"/>
  <c r="AI2227" i="10"/>
  <c r="AI2228" i="10"/>
  <c r="AI2229" i="10"/>
  <c r="AI2230" i="10"/>
  <c r="AI2231" i="10"/>
  <c r="AI2232" i="10"/>
  <c r="AI2233" i="10"/>
  <c r="AI2234" i="10"/>
  <c r="AI2235" i="10"/>
  <c r="AI2236" i="10"/>
  <c r="AI2237" i="10"/>
  <c r="AI2238" i="10"/>
  <c r="AI2239" i="10"/>
  <c r="AI2241" i="10"/>
  <c r="AI2242" i="10"/>
  <c r="AI2243" i="10"/>
  <c r="AI2244" i="10"/>
  <c r="AI2245" i="10"/>
  <c r="AI2246" i="10"/>
  <c r="AI2247" i="10"/>
  <c r="AI2248" i="10"/>
  <c r="AI2249" i="10"/>
  <c r="AI2251" i="10"/>
  <c r="AI2252" i="10"/>
  <c r="AI2253" i="10"/>
  <c r="AI2254" i="10"/>
  <c r="AI2255" i="10"/>
  <c r="AI2256" i="10"/>
  <c r="AI2257" i="10"/>
  <c r="AI2258" i="10"/>
  <c r="AI2259" i="10"/>
  <c r="AI2261" i="10"/>
  <c r="AI2262" i="10"/>
  <c r="AI2263" i="10"/>
  <c r="AI2264" i="10"/>
  <c r="AI2265" i="10"/>
  <c r="AI2266" i="10"/>
  <c r="AI2267" i="10"/>
  <c r="AI2268" i="10"/>
  <c r="AI2269" i="10"/>
  <c r="AI2271" i="10"/>
  <c r="AI2272" i="10"/>
  <c r="AI2273" i="10"/>
  <c r="AI2274" i="10"/>
  <c r="AI2275" i="10"/>
  <c r="AI2276" i="10"/>
  <c r="AI2277" i="10"/>
  <c r="AI2278" i="10"/>
  <c r="AI2279" i="10"/>
  <c r="AI2281" i="10"/>
  <c r="AI2282" i="10"/>
  <c r="AI2283" i="10"/>
  <c r="AI2284" i="10"/>
  <c r="AI2285" i="10"/>
  <c r="AI2286" i="10"/>
  <c r="AI2287" i="10"/>
  <c r="AI2288" i="10"/>
  <c r="AI2289" i="10"/>
  <c r="AI2291" i="10"/>
  <c r="AI2292" i="10"/>
  <c r="AI2293" i="10"/>
  <c r="AI2294" i="10"/>
  <c r="AI2295" i="10"/>
  <c r="AI2296" i="10"/>
  <c r="AI2297" i="10"/>
  <c r="AI2298" i="10"/>
  <c r="AI2299" i="10"/>
  <c r="AI2300" i="10"/>
  <c r="AI2301" i="10"/>
  <c r="AI2303" i="10"/>
  <c r="AI2304" i="10"/>
  <c r="AI2305" i="10"/>
  <c r="AI2306" i="10"/>
  <c r="AI2307" i="10"/>
  <c r="AI2308" i="10"/>
  <c r="AI2309" i="10"/>
  <c r="AI2310" i="10"/>
  <c r="AI2311" i="10"/>
  <c r="AI2313" i="10"/>
  <c r="AI2314" i="10"/>
  <c r="AI2315" i="10"/>
  <c r="AI2316" i="10"/>
  <c r="AI2317" i="10"/>
  <c r="AI2318" i="10"/>
  <c r="AI2319" i="10"/>
  <c r="AI2320" i="10"/>
  <c r="AI2321" i="10"/>
  <c r="AI2323" i="10"/>
  <c r="AI2324" i="10"/>
  <c r="AI2325" i="10"/>
  <c r="AI2326" i="10"/>
  <c r="AI2327" i="10"/>
  <c r="AI2328" i="10"/>
  <c r="AI2329" i="10"/>
  <c r="AI2330" i="10"/>
  <c r="AI2332" i="10"/>
  <c r="AI2333" i="10"/>
  <c r="AI2334" i="10"/>
  <c r="AI2335" i="10"/>
  <c r="AI2336" i="10"/>
  <c r="AI2337" i="10"/>
  <c r="AI2338" i="10"/>
  <c r="AI2340" i="10"/>
  <c r="AI2341" i="10"/>
  <c r="AI2342" i="10"/>
  <c r="AI2343" i="10"/>
  <c r="AI2344" i="10"/>
  <c r="AI2346" i="10"/>
  <c r="AI2347" i="10"/>
  <c r="AI2348" i="10"/>
  <c r="AI2349" i="10"/>
  <c r="AI2350" i="10"/>
  <c r="AI2351" i="10"/>
  <c r="AI2352" i="10"/>
  <c r="AI2353" i="10"/>
  <c r="AI2354" i="10"/>
  <c r="AI2356" i="10"/>
  <c r="AI2357" i="10"/>
  <c r="AI2358" i="10"/>
  <c r="AI2359" i="10"/>
  <c r="AI2360" i="10"/>
  <c r="AI2361" i="10"/>
  <c r="AI2363" i="10"/>
  <c r="AI2364" i="10"/>
  <c r="AI2365" i="10"/>
  <c r="AI2366" i="10"/>
  <c r="AI2367" i="10"/>
  <c r="AI2368" i="10"/>
  <c r="AI2370" i="10"/>
  <c r="AI2371" i="10"/>
  <c r="AI2372" i="10"/>
  <c r="AI2373" i="10"/>
  <c r="AI2374" i="10"/>
  <c r="AI2376" i="10"/>
  <c r="AI2377" i="10"/>
  <c r="AI2378" i="10"/>
  <c r="AI2379" i="10"/>
  <c r="AI2380" i="10"/>
  <c r="AI2382" i="10"/>
  <c r="AI2383" i="10"/>
  <c r="AI2384" i="10"/>
  <c r="AI2385" i="10"/>
  <c r="AI2386" i="10"/>
  <c r="AI2388" i="10"/>
  <c r="AI2389" i="10"/>
  <c r="AI2390" i="10"/>
  <c r="AI2391" i="10"/>
  <c r="AI2392" i="10"/>
  <c r="AI2394" i="10"/>
  <c r="AI2395" i="10"/>
  <c r="AI2396" i="10"/>
  <c r="AI2397" i="10"/>
  <c r="AI2398" i="10"/>
  <c r="AI2400" i="10"/>
  <c r="AI2401" i="10"/>
  <c r="AI2402" i="10"/>
  <c r="AI2403" i="10"/>
  <c r="AI2404" i="10"/>
  <c r="AI2405" i="10"/>
  <c r="AI2406" i="10"/>
  <c r="AI2407" i="10"/>
  <c r="AI2408" i="10"/>
  <c r="AI2409" i="10"/>
  <c r="AI2410" i="10"/>
  <c r="AI2411" i="10"/>
  <c r="AI2412" i="10"/>
  <c r="AI2413" i="10"/>
  <c r="AI2415" i="10"/>
  <c r="AI2416" i="10"/>
  <c r="AI2417" i="10"/>
  <c r="AI2418" i="10"/>
  <c r="AI2419" i="10"/>
  <c r="AI2420" i="10"/>
  <c r="AI2422" i="10"/>
  <c r="AI2423" i="10"/>
  <c r="AI2424" i="10"/>
  <c r="AI2425" i="10"/>
  <c r="AI2426" i="10"/>
  <c r="AI2428" i="10"/>
  <c r="AI2429" i="10"/>
  <c r="AI2430" i="10"/>
  <c r="AI2431" i="10"/>
  <c r="AI2432" i="10"/>
  <c r="AI2433" i="10"/>
  <c r="AI2434" i="10"/>
  <c r="AI2435" i="10"/>
  <c r="AI2436" i="10"/>
  <c r="AI2437" i="10"/>
  <c r="AI2438" i="10"/>
  <c r="AI2439" i="10"/>
  <c r="AF8" i="10"/>
  <c r="U8" i="10"/>
  <c r="P8" i="10"/>
  <c r="H8" i="10"/>
  <c r="AF15" i="10"/>
  <c r="U15" i="10"/>
  <c r="P15" i="10"/>
  <c r="H15" i="10"/>
  <c r="AF22" i="10"/>
  <c r="U22" i="10"/>
  <c r="P22" i="10"/>
  <c r="AF49" i="10"/>
  <c r="U49" i="10"/>
  <c r="P49" i="10"/>
  <c r="H49" i="10"/>
  <c r="AH58" i="10"/>
  <c r="AF58" i="10"/>
  <c r="U58" i="10"/>
  <c r="R58" i="10"/>
  <c r="P58" i="10"/>
  <c r="H58" i="10"/>
  <c r="AF67" i="10"/>
  <c r="U67" i="10"/>
  <c r="P67" i="10"/>
  <c r="H67" i="10"/>
  <c r="AF77" i="10"/>
  <c r="U77" i="10"/>
  <c r="P77" i="10"/>
  <c r="H77" i="10"/>
  <c r="AF85" i="10"/>
  <c r="U85" i="10"/>
  <c r="R85" i="10"/>
  <c r="P85" i="10"/>
  <c r="H85" i="10"/>
  <c r="AH92" i="10"/>
  <c r="AF92" i="10"/>
  <c r="U92" i="10"/>
  <c r="R92" i="10"/>
  <c r="P92" i="10"/>
  <c r="H92" i="10"/>
  <c r="AH98" i="10"/>
  <c r="AF98" i="10"/>
  <c r="U98" i="10"/>
  <c r="R98" i="10"/>
  <c r="P98" i="10"/>
  <c r="H98" i="10"/>
  <c r="AH103" i="10"/>
  <c r="AF103" i="10"/>
  <c r="U103" i="10"/>
  <c r="R103" i="10"/>
  <c r="P103" i="10"/>
  <c r="AF108" i="10"/>
  <c r="U108" i="10"/>
  <c r="P108" i="10"/>
  <c r="H108" i="10"/>
  <c r="AF119" i="10"/>
  <c r="U119" i="10"/>
  <c r="P119" i="10"/>
  <c r="H119" i="10"/>
  <c r="AF126" i="10"/>
  <c r="U126" i="10"/>
  <c r="P126" i="10"/>
  <c r="H126" i="10"/>
  <c r="AF133" i="10"/>
  <c r="U133" i="10"/>
  <c r="P133" i="10"/>
  <c r="H133" i="10"/>
  <c r="AF141" i="10"/>
  <c r="U141" i="10"/>
  <c r="P141" i="10"/>
  <c r="AF149" i="10"/>
  <c r="U149" i="10"/>
  <c r="P149" i="10"/>
  <c r="H149" i="10"/>
  <c r="AF157" i="10"/>
  <c r="U157" i="10"/>
  <c r="P157" i="10"/>
  <c r="AF165" i="10"/>
  <c r="U165" i="10"/>
  <c r="P165" i="10"/>
  <c r="H165" i="10"/>
  <c r="AF172" i="10"/>
  <c r="U172" i="10"/>
  <c r="P172" i="10"/>
  <c r="H172" i="10"/>
  <c r="AF181" i="10"/>
  <c r="U181" i="10"/>
  <c r="P181" i="10"/>
  <c r="H181" i="10"/>
  <c r="AF190" i="10"/>
  <c r="U190" i="10"/>
  <c r="P190" i="10"/>
  <c r="AF200" i="10"/>
  <c r="U200" i="10"/>
  <c r="P200" i="10"/>
  <c r="AF208" i="10"/>
  <c r="U208" i="10"/>
  <c r="P208" i="10"/>
  <c r="H208" i="10"/>
  <c r="AF220" i="10"/>
  <c r="U220" i="10"/>
  <c r="P220" i="10"/>
  <c r="H220" i="10"/>
  <c r="AF228" i="10"/>
  <c r="U228" i="10"/>
  <c r="P228" i="10"/>
  <c r="H228" i="10"/>
  <c r="AF236" i="10"/>
  <c r="U236" i="10"/>
  <c r="P236" i="10"/>
  <c r="AF262" i="10"/>
  <c r="U262" i="10"/>
  <c r="P262" i="10"/>
  <c r="H262" i="10"/>
  <c r="AF271" i="10"/>
  <c r="U271" i="10"/>
  <c r="P271" i="10"/>
  <c r="H271" i="10"/>
  <c r="AF278" i="10"/>
  <c r="U278" i="10"/>
  <c r="P278" i="10"/>
  <c r="AF308" i="10"/>
  <c r="U308" i="10"/>
  <c r="P308" i="10"/>
  <c r="AF332" i="10"/>
  <c r="U332" i="10"/>
  <c r="P332" i="10"/>
  <c r="AF349" i="10"/>
  <c r="U349" i="10"/>
  <c r="P349" i="10"/>
  <c r="H349" i="10"/>
  <c r="AF385" i="10"/>
  <c r="U385" i="10"/>
  <c r="P385" i="10"/>
  <c r="AH411" i="10"/>
  <c r="AF411" i="10"/>
  <c r="U411" i="10"/>
  <c r="R411" i="10"/>
  <c r="P411" i="10"/>
  <c r="AF419" i="10"/>
  <c r="U419" i="10"/>
  <c r="P419" i="10"/>
  <c r="H419" i="10"/>
  <c r="AF428" i="10"/>
  <c r="U428" i="10"/>
  <c r="R428" i="10"/>
  <c r="P428" i="10"/>
  <c r="AH435" i="10"/>
  <c r="AF435" i="10"/>
  <c r="U435" i="10"/>
  <c r="R435" i="10"/>
  <c r="P435" i="10"/>
  <c r="AF442" i="10"/>
  <c r="U442" i="10"/>
  <c r="P442" i="10"/>
  <c r="H442" i="10"/>
  <c r="AF455" i="10"/>
  <c r="U455" i="10"/>
  <c r="P455" i="10"/>
  <c r="H455" i="10"/>
  <c r="AF465" i="10"/>
  <c r="U465" i="10"/>
  <c r="P465" i="10"/>
  <c r="H465" i="10"/>
  <c r="AH488" i="10"/>
  <c r="AF488" i="10"/>
  <c r="U488" i="10"/>
  <c r="R488" i="10"/>
  <c r="P488" i="10"/>
  <c r="H488" i="10"/>
  <c r="AH496" i="10"/>
  <c r="AF496" i="10"/>
  <c r="U496" i="10"/>
  <c r="R496" i="10"/>
  <c r="P496" i="10"/>
  <c r="H496" i="10"/>
  <c r="AF506" i="10"/>
  <c r="U506" i="10"/>
  <c r="P506" i="10"/>
  <c r="H506" i="10"/>
  <c r="AF521" i="10"/>
  <c r="U521" i="10"/>
  <c r="P521" i="10"/>
  <c r="H521" i="10"/>
  <c r="AF539" i="10"/>
  <c r="U539" i="10"/>
  <c r="P539" i="10"/>
  <c r="H539" i="10"/>
  <c r="AF549" i="10"/>
  <c r="U549" i="10"/>
  <c r="P549" i="10"/>
  <c r="H549" i="10"/>
  <c r="AF559" i="10"/>
  <c r="U559" i="10"/>
  <c r="P559" i="10"/>
  <c r="H559" i="10"/>
  <c r="AF567" i="10"/>
  <c r="U567" i="10"/>
  <c r="P567" i="10"/>
  <c r="H567" i="10"/>
  <c r="AF585" i="10"/>
  <c r="U585" i="10"/>
  <c r="P585" i="10"/>
  <c r="H585" i="10"/>
  <c r="AF608" i="10"/>
  <c r="U608" i="10"/>
  <c r="P608" i="10"/>
  <c r="H608" i="10"/>
  <c r="AF619" i="10"/>
  <c r="P619" i="10"/>
  <c r="H619" i="10"/>
  <c r="AF629" i="10"/>
  <c r="P629" i="10"/>
  <c r="H629" i="10"/>
  <c r="AF640" i="10"/>
  <c r="U640" i="10"/>
  <c r="P640" i="10"/>
  <c r="AF649" i="10"/>
  <c r="P649" i="10"/>
  <c r="AF661" i="10"/>
  <c r="U661" i="10"/>
  <c r="P661" i="10"/>
  <c r="AF670" i="10"/>
  <c r="P670" i="10"/>
  <c r="H670" i="10"/>
  <c r="AF680" i="10"/>
  <c r="U680" i="10"/>
  <c r="P680" i="10"/>
  <c r="AF688" i="10"/>
  <c r="U688" i="10"/>
  <c r="P688" i="10"/>
  <c r="AF696" i="10"/>
  <c r="U696" i="10"/>
  <c r="P696" i="10"/>
  <c r="AF704" i="10"/>
  <c r="U704" i="10"/>
  <c r="P704" i="10"/>
  <c r="AF741" i="10"/>
  <c r="U741" i="10"/>
  <c r="P741" i="10"/>
  <c r="H741" i="10"/>
  <c r="AF751" i="10"/>
  <c r="U751" i="10"/>
  <c r="P751" i="10"/>
  <c r="H751" i="10"/>
  <c r="AF760" i="10"/>
  <c r="U760" i="10"/>
  <c r="P760" i="10"/>
  <c r="H760" i="10"/>
  <c r="AF767" i="10"/>
  <c r="U767" i="10"/>
  <c r="P767" i="10"/>
  <c r="AF787" i="10"/>
  <c r="U787" i="10"/>
  <c r="P787" i="10"/>
  <c r="H787" i="10"/>
  <c r="AF794" i="10"/>
  <c r="U794" i="10"/>
  <c r="P794" i="10"/>
  <c r="AF813" i="10"/>
  <c r="U813" i="10"/>
  <c r="P813" i="10"/>
  <c r="AF836" i="10"/>
  <c r="U836" i="10"/>
  <c r="P836" i="10"/>
  <c r="AF852" i="10"/>
  <c r="U852" i="10"/>
  <c r="P852" i="10"/>
  <c r="H852" i="10"/>
  <c r="AF860" i="10"/>
  <c r="U860" i="10"/>
  <c r="P860" i="10"/>
  <c r="H860" i="10"/>
  <c r="AF870" i="10"/>
  <c r="U870" i="10"/>
  <c r="P870" i="10"/>
  <c r="AF938" i="10"/>
  <c r="U938" i="10"/>
  <c r="P938" i="10"/>
  <c r="H938" i="10"/>
  <c r="AF945" i="10"/>
  <c r="U945" i="10"/>
  <c r="P945" i="10"/>
  <c r="H945" i="10"/>
  <c r="AF953" i="10"/>
  <c r="U953" i="10"/>
  <c r="P953" i="10"/>
  <c r="H953" i="10"/>
  <c r="AF961" i="10"/>
  <c r="U961" i="10"/>
  <c r="P961" i="10"/>
  <c r="H961" i="10"/>
  <c r="AF969" i="10"/>
  <c r="U969" i="10"/>
  <c r="P969" i="10"/>
  <c r="AF977" i="10"/>
  <c r="U977" i="10"/>
  <c r="P977" i="10"/>
  <c r="AF1009" i="10"/>
  <c r="U1009" i="10"/>
  <c r="P1009" i="10"/>
  <c r="AF1026" i="10"/>
  <c r="U1026" i="10"/>
  <c r="P1026" i="10"/>
  <c r="AF1041" i="10"/>
  <c r="U1041" i="10"/>
  <c r="P1041" i="10"/>
  <c r="H1041" i="10"/>
  <c r="AF1058" i="10"/>
  <c r="U1058" i="10"/>
  <c r="P1058" i="10"/>
  <c r="H1058" i="10"/>
  <c r="AF1068" i="10"/>
  <c r="U1068" i="10"/>
  <c r="P1068" i="10"/>
  <c r="H1068" i="10"/>
  <c r="AF1077" i="10"/>
  <c r="U1077" i="10"/>
  <c r="P1077" i="10"/>
  <c r="H1077" i="10"/>
  <c r="AF1101" i="10"/>
  <c r="U1101" i="10"/>
  <c r="P1101" i="10"/>
  <c r="AF1112" i="10"/>
  <c r="U1112" i="10"/>
  <c r="P1112" i="10"/>
  <c r="AF1137" i="10"/>
  <c r="U1137" i="10"/>
  <c r="P1137" i="10"/>
  <c r="H1137" i="10"/>
  <c r="AF1146" i="10"/>
  <c r="U1146" i="10"/>
  <c r="P1146" i="10"/>
  <c r="AF1154" i="10"/>
  <c r="U1154" i="10"/>
  <c r="P1154" i="10"/>
  <c r="H1154" i="10"/>
  <c r="AF1161" i="10"/>
  <c r="U1161" i="10"/>
  <c r="P1161" i="10"/>
  <c r="H1161" i="10"/>
  <c r="AF1168" i="10"/>
  <c r="U1168" i="10"/>
  <c r="P1168" i="10"/>
  <c r="H1168" i="10"/>
  <c r="AF1176" i="10"/>
  <c r="U1176" i="10"/>
  <c r="P1176" i="10"/>
  <c r="H1176" i="10"/>
  <c r="AF1186" i="10"/>
  <c r="U1186" i="10"/>
  <c r="P1186" i="10"/>
  <c r="H1186" i="10"/>
  <c r="AF1196" i="10"/>
  <c r="U1196" i="10"/>
  <c r="P1196" i="10"/>
  <c r="AF1206" i="10"/>
  <c r="U1206" i="10"/>
  <c r="P1206" i="10"/>
  <c r="H1206" i="10"/>
  <c r="AF1213" i="10"/>
  <c r="U1213" i="10"/>
  <c r="P1213" i="10"/>
  <c r="AF1220" i="10"/>
  <c r="U1220" i="10"/>
  <c r="P1220" i="10"/>
  <c r="H1220" i="10"/>
  <c r="AF1228" i="10"/>
  <c r="U1228" i="10"/>
  <c r="P1228" i="10"/>
  <c r="H1228" i="10"/>
  <c r="AF1239" i="10"/>
  <c r="U1239" i="10"/>
  <c r="P1239" i="10"/>
  <c r="AH1256" i="10"/>
  <c r="AF1256" i="10"/>
  <c r="U1256" i="10"/>
  <c r="R1256" i="10"/>
  <c r="P1256" i="10"/>
  <c r="AH1266" i="10"/>
  <c r="AF1266" i="10"/>
  <c r="U1266" i="10"/>
  <c r="R1266" i="10"/>
  <c r="P1266" i="10"/>
  <c r="H1266" i="10"/>
  <c r="AF1274" i="10"/>
  <c r="U1274" i="10"/>
  <c r="P1274" i="10"/>
  <c r="H1274" i="10"/>
  <c r="AF1296" i="10"/>
  <c r="U1296" i="10"/>
  <c r="P1296" i="10"/>
  <c r="H1296" i="10"/>
  <c r="AF1303" i="10"/>
  <c r="U1303" i="10"/>
  <c r="P1303" i="10"/>
  <c r="H1303" i="10"/>
  <c r="AF1312" i="10"/>
  <c r="P1312" i="10"/>
  <c r="AF1335" i="10"/>
  <c r="U1335" i="10"/>
  <c r="P1335" i="10"/>
  <c r="H1335" i="10"/>
  <c r="AF1344" i="10"/>
  <c r="U1344" i="10"/>
  <c r="P1344" i="10"/>
  <c r="AF1354" i="10"/>
  <c r="U1354" i="10"/>
  <c r="P1354" i="10"/>
  <c r="H1354" i="10"/>
  <c r="AF1362" i="10"/>
  <c r="U1362" i="10"/>
  <c r="P1362" i="10"/>
  <c r="AF1371" i="10"/>
  <c r="U1371" i="10"/>
  <c r="P1371" i="10"/>
  <c r="AF1379" i="10"/>
  <c r="U1379" i="10"/>
  <c r="P1379" i="10"/>
  <c r="AF1415" i="10"/>
  <c r="U1415" i="10"/>
  <c r="P1415" i="10"/>
  <c r="AF1428" i="10"/>
  <c r="U1428" i="10"/>
  <c r="P1428" i="10"/>
  <c r="AF1452" i="10"/>
  <c r="U1452" i="10"/>
  <c r="P1452" i="10"/>
  <c r="H1452" i="10"/>
  <c r="AF1459" i="10"/>
  <c r="U1459" i="10"/>
  <c r="P1459" i="10"/>
  <c r="H1459" i="10"/>
  <c r="AF1469" i="10"/>
  <c r="U1469" i="10"/>
  <c r="P1469" i="10"/>
  <c r="H1469" i="10"/>
  <c r="AF1483" i="10"/>
  <c r="U1483" i="10"/>
  <c r="P1483" i="10"/>
  <c r="H1483" i="10"/>
  <c r="AF1501" i="10"/>
  <c r="U1501" i="10"/>
  <c r="P1501" i="10"/>
  <c r="H1501" i="10"/>
  <c r="AF1507" i="10"/>
  <c r="U1507" i="10"/>
  <c r="P1507" i="10"/>
  <c r="H1507" i="10"/>
  <c r="AF1514" i="10"/>
  <c r="U1514" i="10"/>
  <c r="P1514" i="10"/>
  <c r="H1514" i="10"/>
  <c r="AF1520" i="10"/>
  <c r="U1520" i="10"/>
  <c r="P1520" i="10"/>
  <c r="AF1528" i="10"/>
  <c r="U1528" i="10"/>
  <c r="P1528" i="10"/>
  <c r="H1528" i="10"/>
  <c r="AF1537" i="10"/>
  <c r="U1537" i="10"/>
  <c r="P1537" i="10"/>
  <c r="H1537" i="10"/>
  <c r="AF1543" i="10"/>
  <c r="U1543" i="10"/>
  <c r="P1543" i="10"/>
  <c r="H1543" i="10"/>
  <c r="AF1549" i="10"/>
  <c r="U1549" i="10"/>
  <c r="P1549" i="10"/>
  <c r="H1549" i="10"/>
  <c r="AF1556" i="10"/>
  <c r="U1556" i="10"/>
  <c r="P1556" i="10"/>
  <c r="AF1569" i="10"/>
  <c r="U1569" i="10"/>
  <c r="P1569" i="10"/>
  <c r="H1569" i="10"/>
  <c r="AF1576" i="10"/>
  <c r="U1576" i="10"/>
  <c r="P1576" i="10"/>
  <c r="AF1583" i="10"/>
  <c r="U1583" i="10"/>
  <c r="P1583" i="10"/>
  <c r="H1583" i="10"/>
  <c r="AF1590" i="10"/>
  <c r="U1590" i="10"/>
  <c r="P1590" i="10"/>
  <c r="H1590" i="10"/>
  <c r="AF1597" i="10"/>
  <c r="U1597" i="10"/>
  <c r="P1597" i="10"/>
  <c r="H1597" i="10"/>
  <c r="AF1608" i="10"/>
  <c r="U1608" i="10"/>
  <c r="P1608" i="10"/>
  <c r="AF1622" i="10"/>
  <c r="U1622" i="10"/>
  <c r="P1622" i="10"/>
  <c r="AF1631" i="10"/>
  <c r="U1631" i="10"/>
  <c r="P1631" i="10"/>
  <c r="AF1641" i="10"/>
  <c r="U1641" i="10"/>
  <c r="P1641" i="10"/>
  <c r="H1641" i="10"/>
  <c r="AF1649" i="10"/>
  <c r="U1649" i="10"/>
  <c r="P1649" i="10"/>
  <c r="AF1658" i="10"/>
  <c r="U1658" i="10"/>
  <c r="P1658" i="10"/>
  <c r="H1658" i="10"/>
  <c r="AH1666" i="10"/>
  <c r="AF1666" i="10"/>
  <c r="X1666" i="10"/>
  <c r="U1666" i="10"/>
  <c r="R1666" i="10"/>
  <c r="P1666" i="10"/>
  <c r="H1666" i="10"/>
  <c r="AF1675" i="10"/>
  <c r="U1675" i="10"/>
  <c r="P1675" i="10"/>
  <c r="H1675" i="10"/>
  <c r="AH1685" i="10"/>
  <c r="AF1685" i="10"/>
  <c r="X1685" i="10"/>
  <c r="U1685" i="10"/>
  <c r="R1685" i="10"/>
  <c r="P1685" i="10"/>
  <c r="H1685" i="10"/>
  <c r="AF1693" i="10"/>
  <c r="U1693" i="10"/>
  <c r="P1693" i="10"/>
  <c r="H1693" i="10"/>
  <c r="AH1706" i="10"/>
  <c r="AF1706" i="10"/>
  <c r="X1706" i="10"/>
  <c r="U1706" i="10"/>
  <c r="R1706" i="10"/>
  <c r="P1706" i="10"/>
  <c r="H1706" i="10"/>
  <c r="AF1711" i="10"/>
  <c r="U1711" i="10"/>
  <c r="P1711" i="10"/>
  <c r="H1711" i="10"/>
  <c r="AF1719" i="10"/>
  <c r="U1719" i="10"/>
  <c r="P1719" i="10"/>
  <c r="H1719" i="10"/>
  <c r="AF1726" i="10"/>
  <c r="U1726" i="10"/>
  <c r="P1726" i="10"/>
  <c r="AF1734" i="10"/>
  <c r="U1734" i="10"/>
  <c r="P1734" i="10"/>
  <c r="AF1757" i="10"/>
  <c r="U1757" i="10"/>
  <c r="P1757" i="10"/>
  <c r="H1757" i="10"/>
  <c r="AF1771" i="10"/>
  <c r="U1771" i="10"/>
  <c r="P1771" i="10"/>
  <c r="AF1778" i="10"/>
  <c r="U1778" i="10"/>
  <c r="P1778" i="10"/>
  <c r="AF1790" i="10"/>
  <c r="U1790" i="10"/>
  <c r="P1790" i="10"/>
  <c r="AF1797" i="10"/>
  <c r="U1797" i="10"/>
  <c r="P1797" i="10"/>
  <c r="H1797" i="10"/>
  <c r="AF1805" i="10"/>
  <c r="U1805" i="10"/>
  <c r="P1805" i="10"/>
  <c r="H1805" i="10"/>
  <c r="AF1824" i="10"/>
  <c r="U1824" i="10"/>
  <c r="P1824" i="10"/>
  <c r="AF1831" i="10"/>
  <c r="U1831" i="10"/>
  <c r="P1831" i="10"/>
  <c r="H1831" i="10"/>
  <c r="AF1839" i="10"/>
  <c r="U1839" i="10"/>
  <c r="P1839" i="10"/>
  <c r="H1839" i="10"/>
  <c r="AF1848" i="10"/>
  <c r="U1848" i="10"/>
  <c r="P1848" i="10"/>
  <c r="AF1855" i="10"/>
  <c r="U1855" i="10"/>
  <c r="P1855" i="10"/>
  <c r="AF1866" i="10"/>
  <c r="U1866" i="10"/>
  <c r="P1866" i="10"/>
  <c r="H1866" i="10"/>
  <c r="AH1874" i="10"/>
  <c r="AF1874" i="10"/>
  <c r="U1874" i="10"/>
  <c r="R1874" i="10"/>
  <c r="P1874" i="10"/>
  <c r="H1874" i="10"/>
  <c r="AH1880" i="10"/>
  <c r="AF1880" i="10"/>
  <c r="U1880" i="10"/>
  <c r="R1880" i="10"/>
  <c r="P1880" i="10"/>
  <c r="H1880" i="10"/>
  <c r="AF1891" i="10"/>
  <c r="U1891" i="10"/>
  <c r="P1891" i="10"/>
  <c r="H1891" i="10"/>
  <c r="AF1899" i="10"/>
  <c r="U1899" i="10"/>
  <c r="P1899" i="10"/>
  <c r="H1899" i="10"/>
  <c r="AF1907" i="10"/>
  <c r="U1907" i="10"/>
  <c r="P1907" i="10"/>
  <c r="AF1915" i="10"/>
  <c r="U1915" i="10"/>
  <c r="P1915" i="10"/>
  <c r="AF1942" i="10"/>
  <c r="U1942" i="10"/>
  <c r="P1942" i="10"/>
  <c r="H1942" i="10"/>
  <c r="AF1959" i="10"/>
  <c r="U1959" i="10"/>
  <c r="P1959" i="10"/>
  <c r="H1959" i="10"/>
  <c r="AH1967" i="10"/>
  <c r="AF1967" i="10"/>
  <c r="U1967" i="10"/>
  <c r="R1967" i="10"/>
  <c r="P1967" i="10"/>
  <c r="AH1973" i="10"/>
  <c r="AF1973" i="10"/>
  <c r="U1973" i="10"/>
  <c r="R1973" i="10"/>
  <c r="P1973" i="10"/>
  <c r="H1973" i="10"/>
  <c r="AH1980" i="10"/>
  <c r="AF1980" i="10"/>
  <c r="U1980" i="10"/>
  <c r="R1980" i="10"/>
  <c r="P1980" i="10"/>
  <c r="H1980" i="10"/>
  <c r="AF1990" i="10"/>
  <c r="U1990" i="10"/>
  <c r="P1990" i="10"/>
  <c r="AF2012" i="10"/>
  <c r="U2012" i="10"/>
  <c r="P2012" i="10"/>
  <c r="H2012" i="10"/>
  <c r="AF2020" i="10"/>
  <c r="U2020" i="10"/>
  <c r="P2020" i="10"/>
  <c r="H2020" i="10"/>
  <c r="AF2028" i="10"/>
  <c r="U2028" i="10"/>
  <c r="P2028" i="10"/>
  <c r="H2028" i="10"/>
  <c r="AF2036" i="10"/>
  <c r="U2036" i="10"/>
  <c r="P2036" i="10"/>
  <c r="H2036" i="10"/>
  <c r="AF2044" i="10"/>
  <c r="U2044" i="10"/>
  <c r="P2044" i="10"/>
  <c r="AF2054" i="10"/>
  <c r="U2054" i="10"/>
  <c r="P2054" i="10"/>
  <c r="AF2064" i="10"/>
  <c r="U2064" i="10"/>
  <c r="P2064" i="10"/>
  <c r="H2064" i="10"/>
  <c r="AF2075" i="10"/>
  <c r="U2075" i="10"/>
  <c r="P2075" i="10"/>
  <c r="AF2130" i="10"/>
  <c r="U2130" i="10"/>
  <c r="P2130" i="10"/>
  <c r="H2130" i="10"/>
  <c r="AF2137" i="10"/>
  <c r="U2137" i="10"/>
  <c r="P2137" i="10"/>
  <c r="H2137" i="10"/>
  <c r="AF2145" i="10"/>
  <c r="U2145" i="10"/>
  <c r="P2145" i="10"/>
  <c r="AF2159" i="10"/>
  <c r="U2159" i="10"/>
  <c r="P2159" i="10"/>
  <c r="AF2176" i="10"/>
  <c r="U2176" i="10"/>
  <c r="P2176" i="10"/>
  <c r="AF2200" i="10"/>
  <c r="U2200" i="10"/>
  <c r="P2200" i="10"/>
  <c r="AF2214" i="10"/>
  <c r="U2214" i="10"/>
  <c r="P2214" i="10"/>
  <c r="H2214" i="10"/>
  <c r="AF2224" i="10"/>
  <c r="U2224" i="10"/>
  <c r="P2224" i="10"/>
  <c r="AF2240" i="10"/>
  <c r="U2240" i="10"/>
  <c r="P2240" i="10"/>
  <c r="H2240" i="10"/>
  <c r="AF2250" i="10"/>
  <c r="U2250" i="10"/>
  <c r="P2250" i="10"/>
  <c r="H2250" i="10"/>
  <c r="AF2260" i="10"/>
  <c r="U2260" i="10"/>
  <c r="P2260" i="10"/>
  <c r="H2260" i="10"/>
  <c r="AF2270" i="10"/>
  <c r="U2270" i="10"/>
  <c r="P2270" i="10"/>
  <c r="H2270" i="10"/>
  <c r="AF2280" i="10"/>
  <c r="U2280" i="10"/>
  <c r="P2280" i="10"/>
  <c r="H2280" i="10"/>
  <c r="AF2290" i="10"/>
  <c r="U2290" i="10"/>
  <c r="P2290" i="10"/>
  <c r="H2290" i="10"/>
  <c r="AF2302" i="10"/>
  <c r="U2302" i="10"/>
  <c r="P2302" i="10"/>
  <c r="H2302" i="10"/>
  <c r="AF2312" i="10"/>
  <c r="U2312" i="10"/>
  <c r="P2312" i="10"/>
  <c r="H2312" i="10"/>
  <c r="AF2322" i="10"/>
  <c r="U2322" i="10"/>
  <c r="P2322" i="10"/>
  <c r="H2322" i="10"/>
  <c r="AF2331" i="10"/>
  <c r="U2331" i="10"/>
  <c r="P2331" i="10"/>
  <c r="H2331" i="10"/>
  <c r="AH2339" i="10"/>
  <c r="AF2339" i="10"/>
  <c r="X2339" i="10"/>
  <c r="U2339" i="10"/>
  <c r="R2339" i="10"/>
  <c r="P2339" i="10"/>
  <c r="H2339" i="10"/>
  <c r="AF2345" i="10"/>
  <c r="U2345" i="10"/>
  <c r="P2345" i="10"/>
  <c r="AH2355" i="10"/>
  <c r="AF2355" i="10"/>
  <c r="X2355" i="10"/>
  <c r="U2355" i="10"/>
  <c r="R2355" i="10"/>
  <c r="P2355" i="10"/>
  <c r="H2355" i="10"/>
  <c r="AF2362" i="10"/>
  <c r="U2362" i="10"/>
  <c r="P2362" i="10"/>
  <c r="H2362" i="10"/>
  <c r="AF2369" i="10"/>
  <c r="U2369" i="10"/>
  <c r="P2369" i="10"/>
  <c r="H2369" i="10"/>
  <c r="AF2375" i="10"/>
  <c r="U2375" i="10"/>
  <c r="P2375" i="10"/>
  <c r="H2375" i="10"/>
  <c r="AF2381" i="10"/>
  <c r="U2381" i="10"/>
  <c r="P2381" i="10"/>
  <c r="H2381" i="10"/>
  <c r="AF2387" i="10"/>
  <c r="U2387" i="10"/>
  <c r="P2387" i="10"/>
  <c r="H2387" i="10"/>
  <c r="AF2393" i="10"/>
  <c r="U2393" i="10"/>
  <c r="P2393" i="10"/>
  <c r="H2393" i="10"/>
  <c r="AF2399" i="10"/>
  <c r="U2399" i="10"/>
  <c r="P2399" i="10"/>
  <c r="H2399" i="10"/>
  <c r="AH2414" i="10"/>
  <c r="AF2414" i="10"/>
  <c r="X2414" i="10"/>
  <c r="U2414" i="10"/>
  <c r="R2414" i="10"/>
  <c r="P2414" i="10"/>
  <c r="H2414" i="10"/>
  <c r="AF2421" i="10"/>
  <c r="U2421" i="10"/>
  <c r="P2421" i="10"/>
  <c r="W1342" i="10"/>
  <c r="W1343" i="10"/>
  <c r="A16" i="10"/>
  <c r="A17" i="10" s="1"/>
  <c r="A18" i="10" s="1"/>
  <c r="A19" i="10" s="1"/>
  <c r="A20" i="10" s="1"/>
  <c r="A21" i="10" s="1"/>
  <c r="A23" i="10"/>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50" i="10"/>
  <c r="A51" i="10" s="1"/>
  <c r="A52" i="10" s="1"/>
  <c r="A53" i="10" s="1"/>
  <c r="A54" i="10" s="1"/>
  <c r="A55" i="10" s="1"/>
  <c r="A56" i="10" s="1"/>
  <c r="A57" i="10" s="1"/>
  <c r="A59" i="10"/>
  <c r="A60" i="10" s="1"/>
  <c r="A61" i="10" s="1"/>
  <c r="A62" i="10" s="1"/>
  <c r="A63" i="10" s="1"/>
  <c r="A64" i="10" s="1"/>
  <c r="A65" i="10" s="1"/>
  <c r="A66" i="10" s="1"/>
  <c r="A68" i="10"/>
  <c r="A69" i="10" s="1"/>
  <c r="A70" i="10" s="1"/>
  <c r="A71" i="10" s="1"/>
  <c r="A72" i="10" s="1"/>
  <c r="A73" i="10" s="1"/>
  <c r="A74" i="10" s="1"/>
  <c r="A75" i="10" s="1"/>
  <c r="A76" i="10" s="1"/>
  <c r="A78" i="10"/>
  <c r="A79" i="10" s="1"/>
  <c r="A80" i="10" s="1"/>
  <c r="A81" i="10" s="1"/>
  <c r="A82" i="10" s="1"/>
  <c r="A83" i="10" s="1"/>
  <c r="A84" i="10" s="1"/>
  <c r="A86" i="10"/>
  <c r="A87" i="10" s="1"/>
  <c r="A88" i="10" s="1"/>
  <c r="A89" i="10" s="1"/>
  <c r="A90" i="10" s="1"/>
  <c r="A91" i="10" s="1"/>
  <c r="A93" i="10"/>
  <c r="A94" i="10" s="1"/>
  <c r="A95" i="10" s="1"/>
  <c r="A96" i="10" s="1"/>
  <c r="A97" i="10" s="1"/>
  <c r="A99" i="10"/>
  <c r="A100" i="10" s="1"/>
  <c r="A101" i="10" s="1"/>
  <c r="A102" i="10" s="1"/>
  <c r="A104" i="10"/>
  <c r="A105" i="10" s="1"/>
  <c r="A106" i="10" s="1"/>
  <c r="A107" i="10" s="1"/>
  <c r="A109" i="10"/>
  <c r="A110" i="10" s="1"/>
  <c r="A111" i="10" s="1"/>
  <c r="A112" i="10" s="1"/>
  <c r="A113" i="10" s="1"/>
  <c r="A114" i="10" s="1"/>
  <c r="A115" i="10" s="1"/>
  <c r="A116" i="10" s="1"/>
  <c r="A117" i="10" s="1"/>
  <c r="A118" i="10" s="1"/>
  <c r="A120" i="10"/>
  <c r="A121" i="10" s="1"/>
  <c r="A122" i="10" s="1"/>
  <c r="A123" i="10" s="1"/>
  <c r="A124" i="10" s="1"/>
  <c r="A125" i="10" s="1"/>
  <c r="A127" i="10"/>
  <c r="A128" i="10" s="1"/>
  <c r="A129" i="10" s="1"/>
  <c r="A130" i="10" s="1"/>
  <c r="A131" i="10" s="1"/>
  <c r="A132" i="10" s="1"/>
  <c r="A134" i="10"/>
  <c r="A135" i="10" s="1"/>
  <c r="A136" i="10" s="1"/>
  <c r="A137" i="10" s="1"/>
  <c r="A138" i="10" s="1"/>
  <c r="A139" i="10" s="1"/>
  <c r="A140" i="10" s="1"/>
  <c r="A142" i="10"/>
  <c r="A143" i="10" s="1"/>
  <c r="A144" i="10" s="1"/>
  <c r="A145" i="10" s="1"/>
  <c r="A146" i="10" s="1"/>
  <c r="A147" i="10" s="1"/>
  <c r="A148" i="10" s="1"/>
  <c r="A150" i="10"/>
  <c r="A151" i="10" s="1"/>
  <c r="A152" i="10" s="1"/>
  <c r="A153" i="10" s="1"/>
  <c r="A154" i="10" s="1"/>
  <c r="A155" i="10" s="1"/>
  <c r="A156" i="10" s="1"/>
  <c r="A158" i="10"/>
  <c r="A159" i="10" s="1"/>
  <c r="A160" i="10" s="1"/>
  <c r="A161" i="10" s="1"/>
  <c r="A162" i="10" s="1"/>
  <c r="A163" i="10" s="1"/>
  <c r="A164" i="10" s="1"/>
  <c r="A166" i="10"/>
  <c r="A167" i="10" s="1"/>
  <c r="A168" i="10" s="1"/>
  <c r="A169" i="10" s="1"/>
  <c r="A170" i="10" s="1"/>
  <c r="A171" i="10" s="1"/>
  <c r="A173" i="10"/>
  <c r="A174" i="10" s="1"/>
  <c r="A175" i="10" s="1"/>
  <c r="A176" i="10" s="1"/>
  <c r="A177" i="10" s="1"/>
  <c r="A178" i="10" s="1"/>
  <c r="A179" i="10" s="1"/>
  <c r="A180" i="10" s="1"/>
  <c r="A182" i="10"/>
  <c r="A183" i="10" s="1"/>
  <c r="A184" i="10" s="1"/>
  <c r="A185" i="10" s="1"/>
  <c r="A186" i="10" s="1"/>
  <c r="A187" i="10" s="1"/>
  <c r="A188" i="10" s="1"/>
  <c r="A189" i="10" s="1"/>
  <c r="A191" i="10"/>
  <c r="A192" i="10" s="1"/>
  <c r="A193" i="10" s="1"/>
  <c r="A194" i="10" s="1"/>
  <c r="A195" i="10" s="1"/>
  <c r="A196" i="10" s="1"/>
  <c r="A197" i="10" s="1"/>
  <c r="A198" i="10" s="1"/>
  <c r="A199" i="10" s="1"/>
  <c r="A201" i="10"/>
  <c r="A202" i="10" s="1"/>
  <c r="A203" i="10" s="1"/>
  <c r="A204" i="10" s="1"/>
  <c r="A205" i="10" s="1"/>
  <c r="A206" i="10" s="1"/>
  <c r="A207" i="10" s="1"/>
  <c r="A209" i="10"/>
  <c r="A210" i="10" s="1"/>
  <c r="A211" i="10" s="1"/>
  <c r="A212" i="10" s="1"/>
  <c r="A213" i="10" s="1"/>
  <c r="A214" i="10" s="1"/>
  <c r="A215" i="10" s="1"/>
  <c r="A216" i="10" s="1"/>
  <c r="A217" i="10" s="1"/>
  <c r="A218" i="10" s="1"/>
  <c r="A219" i="10" s="1"/>
  <c r="A221" i="10"/>
  <c r="A222" i="10" s="1"/>
  <c r="A223" i="10" s="1"/>
  <c r="A224" i="10" s="1"/>
  <c r="A225" i="10" s="1"/>
  <c r="A226" i="10" s="1"/>
  <c r="A227" i="10" s="1"/>
  <c r="A229" i="10"/>
  <c r="A230" i="10" s="1"/>
  <c r="A231" i="10" s="1"/>
  <c r="A232" i="10" s="1"/>
  <c r="A233" i="10" s="1"/>
  <c r="A234" i="10" s="1"/>
  <c r="A235" i="10" s="1"/>
  <c r="A237" i="10"/>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3" i="10"/>
  <c r="A264" i="10" s="1"/>
  <c r="A265" i="10" s="1"/>
  <c r="A266" i="10" s="1"/>
  <c r="A267" i="10" s="1"/>
  <c r="A268" i="10" s="1"/>
  <c r="A269" i="10" s="1"/>
  <c r="A270" i="10" s="1"/>
  <c r="A272" i="10"/>
  <c r="A273" i="10" s="1"/>
  <c r="A274" i="10" s="1"/>
  <c r="A275" i="10" s="1"/>
  <c r="A276" i="10" s="1"/>
  <c r="A277" i="10" s="1"/>
  <c r="A279" i="10"/>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9" i="10"/>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3" i="10"/>
  <c r="A334" i="10" s="1"/>
  <c r="A335" i="10" s="1"/>
  <c r="A336" i="10" s="1"/>
  <c r="A337" i="10" s="1"/>
  <c r="A338" i="10" s="1"/>
  <c r="A339" i="10" s="1"/>
  <c r="A340" i="10" s="1"/>
  <c r="A341" i="10" s="1"/>
  <c r="A342" i="10" s="1"/>
  <c r="A343" i="10" s="1"/>
  <c r="A344" i="10" s="1"/>
  <c r="A345" i="10" s="1"/>
  <c r="A346" i="10" s="1"/>
  <c r="A347" i="10" s="1"/>
  <c r="A348" i="10" s="1"/>
  <c r="A350" i="10"/>
  <c r="A351" i="10" s="1"/>
  <c r="A352" i="10" s="1"/>
  <c r="A353" i="10" s="1"/>
  <c r="A354" i="10" s="1"/>
  <c r="A355" i="10" s="1"/>
  <c r="A356" i="10" s="1"/>
  <c r="A357" i="10" s="1"/>
  <c r="A358" i="10" s="1"/>
  <c r="A359" i="10" s="1"/>
  <c r="A360" i="10" s="1"/>
  <c r="A361" i="10" s="1"/>
  <c r="A362" i="10" s="1"/>
  <c r="A363" i="10" s="1"/>
  <c r="A364" i="10" s="1"/>
  <c r="A365" i="10" s="1"/>
  <c r="A366" i="10" s="1"/>
  <c r="A367" i="10" s="1"/>
  <c r="A368" i="10" s="1"/>
  <c r="A369" i="10" s="1"/>
  <c r="A370" i="10" s="1"/>
  <c r="A371" i="10" s="1"/>
  <c r="A372" i="10" s="1"/>
  <c r="A373" i="10" s="1"/>
  <c r="A374" i="10" s="1"/>
  <c r="A375" i="10" s="1"/>
  <c r="A376" i="10" s="1"/>
  <c r="A377" i="10" s="1"/>
  <c r="A378" i="10" s="1"/>
  <c r="A379" i="10" s="1"/>
  <c r="A380" i="10" s="1"/>
  <c r="A381" i="10" s="1"/>
  <c r="A382" i="10" s="1"/>
  <c r="A383" i="10" s="1"/>
  <c r="A384" i="10" s="1"/>
  <c r="A386" i="10"/>
  <c r="A387" i="10" s="1"/>
  <c r="A388" i="10" s="1"/>
  <c r="A389" i="10" s="1"/>
  <c r="A390" i="10" s="1"/>
  <c r="A391" i="10" s="1"/>
  <c r="A392" i="10" s="1"/>
  <c r="A393" i="10" s="1"/>
  <c r="A394" i="10" s="1"/>
  <c r="A395" i="10" s="1"/>
  <c r="A396" i="10" s="1"/>
  <c r="A397" i="10" s="1"/>
  <c r="A398" i="10" s="1"/>
  <c r="A399" i="10" s="1"/>
  <c r="A400" i="10" s="1"/>
  <c r="A401" i="10" s="1"/>
  <c r="A402" i="10" s="1"/>
  <c r="A403" i="10" s="1"/>
  <c r="A404" i="10" s="1"/>
  <c r="A405" i="10" s="1"/>
  <c r="A406" i="10" s="1"/>
  <c r="A407" i="10" s="1"/>
  <c r="A408" i="10" s="1"/>
  <c r="A409" i="10" s="1"/>
  <c r="A410" i="10" s="1"/>
  <c r="A412" i="10"/>
  <c r="A413" i="10" s="1"/>
  <c r="A414" i="10" s="1"/>
  <c r="A415" i="10" s="1"/>
  <c r="A416" i="10" s="1"/>
  <c r="A417" i="10" s="1"/>
  <c r="A418" i="10" s="1"/>
  <c r="A420" i="10"/>
  <c r="A421" i="10" s="1"/>
  <c r="A422" i="10" s="1"/>
  <c r="A423" i="10" s="1"/>
  <c r="A424" i="10" s="1"/>
  <c r="A425" i="10" s="1"/>
  <c r="A426" i="10" s="1"/>
  <c r="A427" i="10" s="1"/>
  <c r="A429" i="10"/>
  <c r="A430" i="10" s="1"/>
  <c r="A431" i="10" s="1"/>
  <c r="A432" i="10" s="1"/>
  <c r="A433" i="10" s="1"/>
  <c r="A434" i="10" s="1"/>
  <c r="A436" i="10"/>
  <c r="A437" i="10" s="1"/>
  <c r="A438" i="10" s="1"/>
  <c r="A439" i="10" s="1"/>
  <c r="A440" i="10" s="1"/>
  <c r="A441" i="10" s="1"/>
  <c r="A443" i="10"/>
  <c r="A444" i="10" s="1"/>
  <c r="A445" i="10" s="1"/>
  <c r="A446" i="10" s="1"/>
  <c r="A447" i="10" s="1"/>
  <c r="A448" i="10" s="1"/>
  <c r="A449" i="10" s="1"/>
  <c r="A450" i="10" s="1"/>
  <c r="A451" i="10" s="1"/>
  <c r="A452" i="10" s="1"/>
  <c r="A453" i="10" s="1"/>
  <c r="A454" i="10" s="1"/>
  <c r="A456" i="10"/>
  <c r="A457" i="10" s="1"/>
  <c r="A458" i="10" s="1"/>
  <c r="A459" i="10" s="1"/>
  <c r="A460" i="10" s="1"/>
  <c r="A461" i="10" s="1"/>
  <c r="A462" i="10" s="1"/>
  <c r="A463" i="10" s="1"/>
  <c r="A464" i="10" s="1"/>
  <c r="A466" i="10"/>
  <c r="A467" i="10" s="1"/>
  <c r="A468" i="10" s="1"/>
  <c r="A469" i="10" s="1"/>
  <c r="A470" i="10" s="1"/>
  <c r="A471" i="10" s="1"/>
  <c r="A472" i="10" s="1"/>
  <c r="A473" i="10" s="1"/>
  <c r="A474" i="10" s="1"/>
  <c r="A475" i="10" s="1"/>
  <c r="A476" i="10" s="1"/>
  <c r="A477" i="10" s="1"/>
  <c r="A478" i="10" s="1"/>
  <c r="A479" i="10" s="1"/>
  <c r="A480" i="10" s="1"/>
  <c r="A481" i="10" s="1"/>
  <c r="A482" i="10" s="1"/>
  <c r="A483" i="10" s="1"/>
  <c r="A484" i="10" s="1"/>
  <c r="A485" i="10" s="1"/>
  <c r="A486" i="10" s="1"/>
  <c r="A487" i="10" s="1"/>
  <c r="A489" i="10"/>
  <c r="A490" i="10" s="1"/>
  <c r="A491" i="10" s="1"/>
  <c r="A492" i="10" s="1"/>
  <c r="A493" i="10" s="1"/>
  <c r="A494" i="10" s="1"/>
  <c r="A495" i="10" s="1"/>
  <c r="A497" i="10"/>
  <c r="A498" i="10" s="1"/>
  <c r="A499" i="10" s="1"/>
  <c r="A500" i="10" s="1"/>
  <c r="A501" i="10" s="1"/>
  <c r="A502" i="10" s="1"/>
  <c r="A503" i="10" s="1"/>
  <c r="A504" i="10" s="1"/>
  <c r="A505" i="10" s="1"/>
  <c r="A507" i="10"/>
  <c r="A508" i="10" s="1"/>
  <c r="A509" i="10" s="1"/>
  <c r="A510" i="10" s="1"/>
  <c r="A511" i="10" s="1"/>
  <c r="A512" i="10" s="1"/>
  <c r="A513" i="10" s="1"/>
  <c r="A514" i="10" s="1"/>
  <c r="A515" i="10" s="1"/>
  <c r="A516" i="10" s="1"/>
  <c r="A517" i="10" s="1"/>
  <c r="A518" i="10" s="1"/>
  <c r="A519" i="10" s="1"/>
  <c r="A520" i="10" s="1"/>
  <c r="A522" i="10"/>
  <c r="A523" i="10" s="1"/>
  <c r="A524" i="10" s="1"/>
  <c r="A525" i="10" s="1"/>
  <c r="A526" i="10" s="1"/>
  <c r="A527" i="10" s="1"/>
  <c r="A528" i="10" s="1"/>
  <c r="A529" i="10" s="1"/>
  <c r="A530" i="10" s="1"/>
  <c r="A531" i="10" s="1"/>
  <c r="A532" i="10" s="1"/>
  <c r="A533" i="10" s="1"/>
  <c r="A534" i="10" s="1"/>
  <c r="A535" i="10" s="1"/>
  <c r="A536" i="10" s="1"/>
  <c r="A537" i="10" s="1"/>
  <c r="A538" i="10" s="1"/>
  <c r="A540" i="10"/>
  <c r="A541" i="10" s="1"/>
  <c r="A542" i="10" s="1"/>
  <c r="A543" i="10" s="1"/>
  <c r="A544" i="10" s="1"/>
  <c r="A545" i="10" s="1"/>
  <c r="A546" i="10" s="1"/>
  <c r="A547" i="10" s="1"/>
  <c r="A548" i="10" s="1"/>
  <c r="A550" i="10"/>
  <c r="A551" i="10" s="1"/>
  <c r="A552" i="10" s="1"/>
  <c r="A553" i="10" s="1"/>
  <c r="A554" i="10" s="1"/>
  <c r="A555" i="10" s="1"/>
  <c r="A556" i="10" s="1"/>
  <c r="A557" i="10" s="1"/>
  <c r="A558" i="10" s="1"/>
  <c r="A560" i="10"/>
  <c r="A561" i="10" s="1"/>
  <c r="A562" i="10" s="1"/>
  <c r="A563" i="10" s="1"/>
  <c r="A564" i="10" s="1"/>
  <c r="A565" i="10" s="1"/>
  <c r="A566" i="10" s="1"/>
  <c r="A568" i="10"/>
  <c r="A569" i="10" s="1"/>
  <c r="A570" i="10" s="1"/>
  <c r="A571" i="10" s="1"/>
  <c r="A572" i="10" s="1"/>
  <c r="A573" i="10" s="1"/>
  <c r="A574" i="10" s="1"/>
  <c r="A575" i="10" s="1"/>
  <c r="A576" i="10" s="1"/>
  <c r="A577" i="10" s="1"/>
  <c r="A578" i="10" s="1"/>
  <c r="A579" i="10" s="1"/>
  <c r="A580" i="10" s="1"/>
  <c r="A581" i="10" s="1"/>
  <c r="A582" i="10" s="1"/>
  <c r="A583" i="10" s="1"/>
  <c r="A584" i="10" s="1"/>
  <c r="A586" i="10"/>
  <c r="A587" i="10" s="1"/>
  <c r="A588" i="10" s="1"/>
  <c r="A589" i="10" s="1"/>
  <c r="A590" i="10" s="1"/>
  <c r="A591" i="10" s="1"/>
  <c r="A592" i="10" s="1"/>
  <c r="A593" i="10" s="1"/>
  <c r="A594" i="10" s="1"/>
  <c r="A595" i="10" s="1"/>
  <c r="A596" i="10" s="1"/>
  <c r="A597" i="10" s="1"/>
  <c r="A598" i="10" s="1"/>
  <c r="A599" i="10" s="1"/>
  <c r="A600" i="10" s="1"/>
  <c r="A601" i="10" s="1"/>
  <c r="A602" i="10" s="1"/>
  <c r="A603" i="10" s="1"/>
  <c r="A604" i="10" s="1"/>
  <c r="A605" i="10" s="1"/>
  <c r="A606" i="10" s="1"/>
  <c r="A607" i="10" s="1"/>
  <c r="A609" i="10"/>
  <c r="A610" i="10" s="1"/>
  <c r="A611" i="10" s="1"/>
  <c r="A612" i="10" s="1"/>
  <c r="A613" i="10" s="1"/>
  <c r="A614" i="10" s="1"/>
  <c r="A615" i="10" s="1"/>
  <c r="A616" i="10" s="1"/>
  <c r="A617" i="10" s="1"/>
  <c r="A618" i="10" s="1"/>
  <c r="A620" i="10"/>
  <c r="A621" i="10" s="1"/>
  <c r="A622" i="10" s="1"/>
  <c r="A623" i="10" s="1"/>
  <c r="A624" i="10" s="1"/>
  <c r="A625" i="10" s="1"/>
  <c r="A626" i="10" s="1"/>
  <c r="A627" i="10" s="1"/>
  <c r="A628" i="10" s="1"/>
  <c r="A630" i="10"/>
  <c r="A631" i="10" s="1"/>
  <c r="A632" i="10" s="1"/>
  <c r="A633" i="10" s="1"/>
  <c r="A634" i="10" s="1"/>
  <c r="A635" i="10" s="1"/>
  <c r="A636" i="10" s="1"/>
  <c r="A637" i="10" s="1"/>
  <c r="A638" i="10" s="1"/>
  <c r="A639" i="10" s="1"/>
  <c r="A641" i="10"/>
  <c r="A642" i="10" s="1"/>
  <c r="A643" i="10" s="1"/>
  <c r="A644" i="10" s="1"/>
  <c r="A645" i="10" s="1"/>
  <c r="A646" i="10" s="1"/>
  <c r="A647" i="10" s="1"/>
  <c r="A648" i="10" s="1"/>
  <c r="A650" i="10"/>
  <c r="A651" i="10" s="1"/>
  <c r="A652" i="10" s="1"/>
  <c r="A653" i="10" s="1"/>
  <c r="A654" i="10" s="1"/>
  <c r="A655" i="10" s="1"/>
  <c r="A656" i="10" s="1"/>
  <c r="A657" i="10" s="1"/>
  <c r="A658" i="10" s="1"/>
  <c r="A659" i="10" s="1"/>
  <c r="A660" i="10" s="1"/>
  <c r="A662" i="10"/>
  <c r="A663" i="10" s="1"/>
  <c r="A664" i="10" s="1"/>
  <c r="A665" i="10" s="1"/>
  <c r="A666" i="10" s="1"/>
  <c r="A667" i="10" s="1"/>
  <c r="A668" i="10" s="1"/>
  <c r="A669" i="10" s="1"/>
  <c r="A671" i="10"/>
  <c r="A672" i="10" s="1"/>
  <c r="A673" i="10" s="1"/>
  <c r="A674" i="10" s="1"/>
  <c r="A675" i="10" s="1"/>
  <c r="A676" i="10" s="1"/>
  <c r="A677" i="10" s="1"/>
  <c r="A678" i="10" s="1"/>
  <c r="A679" i="10" s="1"/>
  <c r="A681" i="10"/>
  <c r="A682" i="10" s="1"/>
  <c r="A683" i="10" s="1"/>
  <c r="A684" i="10" s="1"/>
  <c r="A685" i="10" s="1"/>
  <c r="A686" i="10" s="1"/>
  <c r="A687" i="10" s="1"/>
  <c r="A689" i="10"/>
  <c r="A690" i="10" s="1"/>
  <c r="A691" i="10" s="1"/>
  <c r="A692" i="10" s="1"/>
  <c r="A693" i="10" s="1"/>
  <c r="A694" i="10" s="1"/>
  <c r="A695" i="10" s="1"/>
  <c r="A697" i="10"/>
  <c r="A698" i="10" s="1"/>
  <c r="A699" i="10" s="1"/>
  <c r="A700" i="10" s="1"/>
  <c r="A701" i="10" s="1"/>
  <c r="A702" i="10" s="1"/>
  <c r="A703" i="10" s="1"/>
  <c r="A705" i="10"/>
  <c r="A706" i="10" s="1"/>
  <c r="A707" i="10" s="1"/>
  <c r="A708" i="10" s="1"/>
  <c r="A709" i="10" s="1"/>
  <c r="A710" i="10" s="1"/>
  <c r="A711" i="10" s="1"/>
  <c r="A712" i="10" s="1"/>
  <c r="A713" i="10" s="1"/>
  <c r="A714" i="10" s="1"/>
  <c r="A715" i="10" s="1"/>
  <c r="A716" i="10" s="1"/>
  <c r="A717" i="10" s="1"/>
  <c r="A718" i="10" s="1"/>
  <c r="A719" i="10" s="1"/>
  <c r="A720" i="10" s="1"/>
  <c r="A721" i="10" s="1"/>
  <c r="A722" i="10" s="1"/>
  <c r="A723" i="10" s="1"/>
  <c r="A724" i="10" s="1"/>
  <c r="A725" i="10" s="1"/>
  <c r="A726" i="10" s="1"/>
  <c r="A727" i="10" s="1"/>
  <c r="A728" i="10" s="1"/>
  <c r="A729" i="10" s="1"/>
  <c r="A730" i="10" s="1"/>
  <c r="A731" i="10" s="1"/>
  <c r="A732" i="10" s="1"/>
  <c r="A733" i="10" s="1"/>
  <c r="A734" i="10" s="1"/>
  <c r="A735" i="10" s="1"/>
  <c r="A736" i="10" s="1"/>
  <c r="A737" i="10" s="1"/>
  <c r="A738" i="10" s="1"/>
  <c r="A739" i="10" s="1"/>
  <c r="A740" i="10" s="1"/>
  <c r="A742" i="10"/>
  <c r="A743" i="10" s="1"/>
  <c r="A744" i="10" s="1"/>
  <c r="A745" i="10" s="1"/>
  <c r="A746" i="10" s="1"/>
  <c r="A747" i="10" s="1"/>
  <c r="A748" i="10" s="1"/>
  <c r="A749" i="10" s="1"/>
  <c r="A750" i="10" s="1"/>
  <c r="A752" i="10"/>
  <c r="A753" i="10" s="1"/>
  <c r="A754" i="10" s="1"/>
  <c r="A755" i="10" s="1"/>
  <c r="A756" i="10" s="1"/>
  <c r="A757" i="10" s="1"/>
  <c r="A758" i="10" s="1"/>
  <c r="A759" i="10" s="1"/>
  <c r="A761" i="10"/>
  <c r="A762" i="10" s="1"/>
  <c r="A763" i="10" s="1"/>
  <c r="A764" i="10" s="1"/>
  <c r="A765" i="10" s="1"/>
  <c r="A766" i="10" s="1"/>
  <c r="A768" i="10"/>
  <c r="A769" i="10" s="1"/>
  <c r="A770" i="10" s="1"/>
  <c r="A771" i="10" s="1"/>
  <c r="A772" i="10" s="1"/>
  <c r="A773" i="10" s="1"/>
  <c r="A774" i="10" s="1"/>
  <c r="A775" i="10" s="1"/>
  <c r="A776" i="10" s="1"/>
  <c r="A777" i="10" s="1"/>
  <c r="A778" i="10" s="1"/>
  <c r="A779" i="10" s="1"/>
  <c r="A780" i="10" s="1"/>
  <c r="A781" i="10" s="1"/>
  <c r="A782" i="10" s="1"/>
  <c r="A783" i="10" s="1"/>
  <c r="A784" i="10" s="1"/>
  <c r="A785" i="10" s="1"/>
  <c r="A786" i="10" s="1"/>
  <c r="A788" i="10"/>
  <c r="A789" i="10" s="1"/>
  <c r="A790" i="10" s="1"/>
  <c r="A791" i="10" s="1"/>
  <c r="A792" i="10" s="1"/>
  <c r="A793" i="10" s="1"/>
  <c r="A795" i="10"/>
  <c r="A796" i="10" s="1"/>
  <c r="A797" i="10" s="1"/>
  <c r="A798" i="10" s="1"/>
  <c r="A799" i="10" s="1"/>
  <c r="A800" i="10" s="1"/>
  <c r="A801" i="10" s="1"/>
  <c r="A802" i="10" s="1"/>
  <c r="A803" i="10" s="1"/>
  <c r="A804" i="10" s="1"/>
  <c r="A805" i="10" s="1"/>
  <c r="A806" i="10" s="1"/>
  <c r="A807" i="10" s="1"/>
  <c r="A808" i="10" s="1"/>
  <c r="A809" i="10" s="1"/>
  <c r="A810" i="10" s="1"/>
  <c r="A811" i="10" s="1"/>
  <c r="A812" i="10" s="1"/>
  <c r="A814" i="10"/>
  <c r="A815" i="10" s="1"/>
  <c r="A816" i="10" s="1"/>
  <c r="A817" i="10" s="1"/>
  <c r="A818" i="10" s="1"/>
  <c r="A819" i="10" s="1"/>
  <c r="A820" i="10" s="1"/>
  <c r="A821" i="10" s="1"/>
  <c r="A822" i="10" s="1"/>
  <c r="A823" i="10" s="1"/>
  <c r="A824" i="10" s="1"/>
  <c r="A825" i="10" s="1"/>
  <c r="A826" i="10" s="1"/>
  <c r="A827" i="10" s="1"/>
  <c r="A828" i="10" s="1"/>
  <c r="A829" i="10" s="1"/>
  <c r="A830" i="10" s="1"/>
  <c r="A831" i="10" s="1"/>
  <c r="A832" i="10" s="1"/>
  <c r="A833" i="10" s="1"/>
  <c r="A834" i="10" s="1"/>
  <c r="A835" i="10" s="1"/>
  <c r="A837" i="10"/>
  <c r="A838" i="10" s="1"/>
  <c r="A839" i="10" s="1"/>
  <c r="A840" i="10" s="1"/>
  <c r="A841" i="10" s="1"/>
  <c r="A842" i="10" s="1"/>
  <c r="A843" i="10" s="1"/>
  <c r="A844" i="10" s="1"/>
  <c r="A845" i="10" s="1"/>
  <c r="A846" i="10" s="1"/>
  <c r="A847" i="10" s="1"/>
  <c r="A848" i="10" s="1"/>
  <c r="A849" i="10" s="1"/>
  <c r="A850" i="10" s="1"/>
  <c r="A851" i="10" s="1"/>
  <c r="A853" i="10"/>
  <c r="A854" i="10" s="1"/>
  <c r="A855" i="10" s="1"/>
  <c r="A856" i="10" s="1"/>
  <c r="A857" i="10" s="1"/>
  <c r="A858" i="10" s="1"/>
  <c r="A859" i="10" s="1"/>
  <c r="A861" i="10"/>
  <c r="A862" i="10" s="1"/>
  <c r="A863" i="10" s="1"/>
  <c r="A864" i="10" s="1"/>
  <c r="A865" i="10" s="1"/>
  <c r="A866" i="10" s="1"/>
  <c r="A867" i="10" s="1"/>
  <c r="A868" i="10" s="1"/>
  <c r="A869" i="10" s="1"/>
  <c r="A871" i="10"/>
  <c r="A872" i="10" s="1"/>
  <c r="A873" i="10" s="1"/>
  <c r="A874" i="10" s="1"/>
  <c r="A875" i="10" s="1"/>
  <c r="A876" i="10" s="1"/>
  <c r="A877" i="10" s="1"/>
  <c r="A878" i="10" s="1"/>
  <c r="A879" i="10" s="1"/>
  <c r="A880" i="10" s="1"/>
  <c r="A881" i="10" s="1"/>
  <c r="A882" i="10" s="1"/>
  <c r="A883" i="10" s="1"/>
  <c r="A884" i="10" s="1"/>
  <c r="A885" i="10" s="1"/>
  <c r="A886" i="10" s="1"/>
  <c r="A887" i="10" s="1"/>
  <c r="A888" i="10" s="1"/>
  <c r="A889" i="10" s="1"/>
  <c r="A890" i="10" s="1"/>
  <c r="A891" i="10" s="1"/>
  <c r="A892" i="10" s="1"/>
  <c r="A893" i="10" s="1"/>
  <c r="A894" i="10" s="1"/>
  <c r="A895" i="10" s="1"/>
  <c r="A896" i="10" s="1"/>
  <c r="A897" i="10" s="1"/>
  <c r="A898" i="10" s="1"/>
  <c r="A899" i="10" s="1"/>
  <c r="A900" i="10" s="1"/>
  <c r="A901" i="10" s="1"/>
  <c r="A902" i="10" s="1"/>
  <c r="A903" i="10" s="1"/>
  <c r="A904" i="10" s="1"/>
  <c r="A905" i="10" s="1"/>
  <c r="A906" i="10" s="1"/>
  <c r="A907" i="10" s="1"/>
  <c r="A908" i="10" s="1"/>
  <c r="A909" i="10" s="1"/>
  <c r="A910" i="10" s="1"/>
  <c r="A911" i="10" s="1"/>
  <c r="A912" i="10" s="1"/>
  <c r="A913" i="10" s="1"/>
  <c r="A914" i="10" s="1"/>
  <c r="A915" i="10" s="1"/>
  <c r="A916" i="10" s="1"/>
  <c r="A917" i="10" s="1"/>
  <c r="A918" i="10" s="1"/>
  <c r="A919" i="10" s="1"/>
  <c r="A920" i="10" s="1"/>
  <c r="A921" i="10" s="1"/>
  <c r="A922" i="10" s="1"/>
  <c r="A923" i="10" s="1"/>
  <c r="A924" i="10" s="1"/>
  <c r="A925" i="10" s="1"/>
  <c r="A926" i="10" s="1"/>
  <c r="A927" i="10" s="1"/>
  <c r="A928" i="10" s="1"/>
  <c r="A929" i="10" s="1"/>
  <c r="A930" i="10" s="1"/>
  <c r="A931" i="10" s="1"/>
  <c r="A932" i="10" s="1"/>
  <c r="A933" i="10" s="1"/>
  <c r="A934" i="10" s="1"/>
  <c r="A935" i="10" s="1"/>
  <c r="A936" i="10" s="1"/>
  <c r="A937" i="10" s="1"/>
  <c r="A939" i="10"/>
  <c r="A940" i="10" s="1"/>
  <c r="A941" i="10" s="1"/>
  <c r="A942" i="10" s="1"/>
  <c r="A943" i="10" s="1"/>
  <c r="A944" i="10" s="1"/>
  <c r="A946" i="10"/>
  <c r="A947" i="10" s="1"/>
  <c r="A948" i="10" s="1"/>
  <c r="A949" i="10" s="1"/>
  <c r="A950" i="10" s="1"/>
  <c r="A951" i="10" s="1"/>
  <c r="A952" i="10" s="1"/>
  <c r="A954" i="10"/>
  <c r="A955" i="10" s="1"/>
  <c r="A956" i="10" s="1"/>
  <c r="A957" i="10" s="1"/>
  <c r="A958" i="10" s="1"/>
  <c r="A959" i="10" s="1"/>
  <c r="A960" i="10" s="1"/>
  <c r="A962" i="10"/>
  <c r="A963" i="10" s="1"/>
  <c r="A964" i="10" s="1"/>
  <c r="A965" i="10" s="1"/>
  <c r="A966" i="10" s="1"/>
  <c r="A967" i="10" s="1"/>
  <c r="A968" i="10" s="1"/>
  <c r="A970" i="10"/>
  <c r="A971" i="10" s="1"/>
  <c r="A972" i="10" s="1"/>
  <c r="A973" i="10" s="1"/>
  <c r="A974" i="10" s="1"/>
  <c r="A975" i="10" s="1"/>
  <c r="A976" i="10" s="1"/>
  <c r="A978" i="10"/>
  <c r="A979" i="10" s="1"/>
  <c r="A980" i="10" s="1"/>
  <c r="A981" i="10" s="1"/>
  <c r="A982" i="10" s="1"/>
  <c r="A983" i="10" s="1"/>
  <c r="A984" i="10" s="1"/>
  <c r="A985" i="10" s="1"/>
  <c r="A986" i="10" s="1"/>
  <c r="A987" i="10" s="1"/>
  <c r="A988" i="10" s="1"/>
  <c r="A989" i="10" s="1"/>
  <c r="A990" i="10" s="1"/>
  <c r="A991" i="10" s="1"/>
  <c r="A992" i="10" s="1"/>
  <c r="A993" i="10" s="1"/>
  <c r="A994" i="10" s="1"/>
  <c r="A995" i="10" s="1"/>
  <c r="A996" i="10" s="1"/>
  <c r="A997" i="10" s="1"/>
  <c r="A998" i="10" s="1"/>
  <c r="A999" i="10" s="1"/>
  <c r="A1000" i="10" s="1"/>
  <c r="A1001" i="10" s="1"/>
  <c r="A1002" i="10" s="1"/>
  <c r="A1003" i="10" s="1"/>
  <c r="A1004" i="10" s="1"/>
  <c r="A1005" i="10" s="1"/>
  <c r="A1006" i="10" s="1"/>
  <c r="A1007" i="10" s="1"/>
  <c r="A1008" i="10" s="1"/>
  <c r="A1010" i="10"/>
  <c r="A1011" i="10" s="1"/>
  <c r="A1012" i="10" s="1"/>
  <c r="A1013" i="10" s="1"/>
  <c r="A1014" i="10" s="1"/>
  <c r="A1015" i="10" s="1"/>
  <c r="A1016" i="10" s="1"/>
  <c r="A1017" i="10" s="1"/>
  <c r="A1018" i="10" s="1"/>
  <c r="A1019" i="10" s="1"/>
  <c r="A1020" i="10" s="1"/>
  <c r="A1021" i="10" s="1"/>
  <c r="A1022" i="10" s="1"/>
  <c r="A1023" i="10" s="1"/>
  <c r="A1024" i="10" s="1"/>
  <c r="A1025" i="10" s="1"/>
  <c r="A1027" i="10"/>
  <c r="A1028" i="10" s="1"/>
  <c r="A1029" i="10" s="1"/>
  <c r="A1030" i="10" s="1"/>
  <c r="A1031" i="10" s="1"/>
  <c r="A1032" i="10" s="1"/>
  <c r="A1033" i="10" s="1"/>
  <c r="A1034" i="10" s="1"/>
  <c r="A1035" i="10" s="1"/>
  <c r="A1036" i="10" s="1"/>
  <c r="A1037" i="10" s="1"/>
  <c r="A1038" i="10" s="1"/>
  <c r="A1039" i="10" s="1"/>
  <c r="A1040" i="10" s="1"/>
  <c r="A1042" i="10"/>
  <c r="A1043" i="10" s="1"/>
  <c r="A1044" i="10" s="1"/>
  <c r="A1045" i="10" s="1"/>
  <c r="A1046" i="10" s="1"/>
  <c r="A1047" i="10" s="1"/>
  <c r="A1048" i="10" s="1"/>
  <c r="A1049" i="10" s="1"/>
  <c r="A1050" i="10" s="1"/>
  <c r="A1051" i="10" s="1"/>
  <c r="A1052" i="10" s="1"/>
  <c r="A1053" i="10" s="1"/>
  <c r="A1054" i="10" s="1"/>
  <c r="A1055" i="10" s="1"/>
  <c r="A1056" i="10" s="1"/>
  <c r="A1057" i="10" s="1"/>
  <c r="A1059" i="10"/>
  <c r="A1060" i="10" s="1"/>
  <c r="A1061" i="10" s="1"/>
  <c r="A1062" i="10" s="1"/>
  <c r="A1063" i="10" s="1"/>
  <c r="A1064" i="10" s="1"/>
  <c r="A1065" i="10" s="1"/>
  <c r="A1066" i="10" s="1"/>
  <c r="A1067" i="10" s="1"/>
  <c r="A1069" i="10"/>
  <c r="A1070" i="10" s="1"/>
  <c r="A1071" i="10" s="1"/>
  <c r="A1072" i="10" s="1"/>
  <c r="A1073" i="10" s="1"/>
  <c r="A1074" i="10" s="1"/>
  <c r="A1075" i="10" s="1"/>
  <c r="A1076" i="10" s="1"/>
  <c r="A1078" i="10"/>
  <c r="A1079" i="10" s="1"/>
  <c r="A1080" i="10" s="1"/>
  <c r="A1081" i="10" s="1"/>
  <c r="A1082" i="10" s="1"/>
  <c r="A1083" i="10" s="1"/>
  <c r="A1084" i="10" s="1"/>
  <c r="A1085" i="10" s="1"/>
  <c r="A1086" i="10" s="1"/>
  <c r="A1087" i="10" s="1"/>
  <c r="A1088" i="10" s="1"/>
  <c r="A1089" i="10" s="1"/>
  <c r="A1090" i="10" s="1"/>
  <c r="A1091" i="10" s="1"/>
  <c r="A1092" i="10" s="1"/>
  <c r="A1093" i="10" s="1"/>
  <c r="A1094" i="10" s="1"/>
  <c r="A1095" i="10" s="1"/>
  <c r="A1096" i="10" s="1"/>
  <c r="A1097" i="10" s="1"/>
  <c r="A1098" i="10" s="1"/>
  <c r="A1099" i="10" s="1"/>
  <c r="A1100" i="10" s="1"/>
  <c r="A1102" i="10"/>
  <c r="A1103" i="10" s="1"/>
  <c r="A1104" i="10" s="1"/>
  <c r="A1105" i="10" s="1"/>
  <c r="A1106" i="10" s="1"/>
  <c r="A1107" i="10" s="1"/>
  <c r="A1108" i="10" s="1"/>
  <c r="A1109" i="10" s="1"/>
  <c r="A1110" i="10" s="1"/>
  <c r="A1111" i="10" s="1"/>
  <c r="A1113" i="10"/>
  <c r="A1114" i="10" s="1"/>
  <c r="A1115" i="10" s="1"/>
  <c r="A1116" i="10" s="1"/>
  <c r="A1117" i="10" s="1"/>
  <c r="A1118" i="10" s="1"/>
  <c r="A1119" i="10" s="1"/>
  <c r="A1120" i="10" s="1"/>
  <c r="A1121" i="10" s="1"/>
  <c r="A1122" i="10" s="1"/>
  <c r="A1123" i="10" s="1"/>
  <c r="A1124" i="10" s="1"/>
  <c r="A1125" i="10" s="1"/>
  <c r="A1126" i="10" s="1"/>
  <c r="A1127" i="10" s="1"/>
  <c r="A1128" i="10" s="1"/>
  <c r="A1129" i="10" s="1"/>
  <c r="A1130" i="10" s="1"/>
  <c r="A1131" i="10" s="1"/>
  <c r="A1132" i="10" s="1"/>
  <c r="A1133" i="10" s="1"/>
  <c r="A1134" i="10" s="1"/>
  <c r="A1135" i="10" s="1"/>
  <c r="A1136" i="10" s="1"/>
  <c r="A1138" i="10"/>
  <c r="A1139" i="10" s="1"/>
  <c r="A1140" i="10" s="1"/>
  <c r="A1141" i="10" s="1"/>
  <c r="A1142" i="10" s="1"/>
  <c r="A1143" i="10" s="1"/>
  <c r="A1144" i="10" s="1"/>
  <c r="A1145" i="10" s="1"/>
  <c r="A1147" i="10"/>
  <c r="A1148" i="10" s="1"/>
  <c r="A1149" i="10" s="1"/>
  <c r="A1150" i="10" s="1"/>
  <c r="A1151" i="10" s="1"/>
  <c r="A1152" i="10" s="1"/>
  <c r="A1153" i="10" s="1"/>
  <c r="A1155" i="10"/>
  <c r="A1156" i="10" s="1"/>
  <c r="A1157" i="10" s="1"/>
  <c r="A1158" i="10" s="1"/>
  <c r="A1159" i="10" s="1"/>
  <c r="A1160" i="10" s="1"/>
  <c r="A1162" i="10"/>
  <c r="A1163" i="10" s="1"/>
  <c r="A1164" i="10" s="1"/>
  <c r="A1165" i="10" s="1"/>
  <c r="A1166" i="10" s="1"/>
  <c r="A1167" i="10" s="1"/>
  <c r="A1169" i="10"/>
  <c r="A1170" i="10" s="1"/>
  <c r="A1171" i="10" s="1"/>
  <c r="A1172" i="10" s="1"/>
  <c r="A1173" i="10" s="1"/>
  <c r="A1174" i="10" s="1"/>
  <c r="A1175" i="10" s="1"/>
  <c r="A1177" i="10"/>
  <c r="A1178" i="10" s="1"/>
  <c r="A1179" i="10" s="1"/>
  <c r="A1180" i="10" s="1"/>
  <c r="A1181" i="10" s="1"/>
  <c r="A1182" i="10" s="1"/>
  <c r="A1183" i="10" s="1"/>
  <c r="A1184" i="10" s="1"/>
  <c r="A1185" i="10" s="1"/>
  <c r="A1187" i="10"/>
  <c r="A1188" i="10" s="1"/>
  <c r="A1189" i="10" s="1"/>
  <c r="A1190" i="10" s="1"/>
  <c r="A1191" i="10" s="1"/>
  <c r="A1192" i="10" s="1"/>
  <c r="A1193" i="10" s="1"/>
  <c r="A1194" i="10" s="1"/>
  <c r="A1195" i="10" s="1"/>
  <c r="A1197" i="10"/>
  <c r="A1198" i="10" s="1"/>
  <c r="A1199" i="10" s="1"/>
  <c r="A1200" i="10" s="1"/>
  <c r="A1201" i="10" s="1"/>
  <c r="A1202" i="10" s="1"/>
  <c r="A1203" i="10" s="1"/>
  <c r="A1204" i="10" s="1"/>
  <c r="A1205" i="10" s="1"/>
  <c r="A1207" i="10"/>
  <c r="A1208" i="10" s="1"/>
  <c r="A1209" i="10" s="1"/>
  <c r="A1210" i="10" s="1"/>
  <c r="A1211" i="10" s="1"/>
  <c r="A1212" i="10" s="1"/>
  <c r="A1214" i="10"/>
  <c r="A1215" i="10" s="1"/>
  <c r="A1216" i="10" s="1"/>
  <c r="A1217" i="10" s="1"/>
  <c r="A1218" i="10" s="1"/>
  <c r="A1219" i="10" s="1"/>
  <c r="A1221" i="10"/>
  <c r="A1222" i="10" s="1"/>
  <c r="A1223" i="10" s="1"/>
  <c r="A1224" i="10" s="1"/>
  <c r="A1225" i="10" s="1"/>
  <c r="A1226" i="10" s="1"/>
  <c r="A1227" i="10" s="1"/>
  <c r="A1229" i="10"/>
  <c r="A1230" i="10" s="1"/>
  <c r="A1231" i="10" s="1"/>
  <c r="A1232" i="10" s="1"/>
  <c r="A1233" i="10" s="1"/>
  <c r="A1234" i="10" s="1"/>
  <c r="A1235" i="10" s="1"/>
  <c r="A1236" i="10" s="1"/>
  <c r="A1237" i="10" s="1"/>
  <c r="A1238" i="10" s="1"/>
  <c r="A1240" i="10"/>
  <c r="A1241" i="10" s="1"/>
  <c r="A1242" i="10" s="1"/>
  <c r="A1243" i="10" s="1"/>
  <c r="A1244" i="10" s="1"/>
  <c r="A1245" i="10" s="1"/>
  <c r="A1246" i="10" s="1"/>
  <c r="A1247" i="10" s="1"/>
  <c r="A1248" i="10" s="1"/>
  <c r="A1249" i="10" s="1"/>
  <c r="A1250" i="10" s="1"/>
  <c r="A1251" i="10" s="1"/>
  <c r="A1252" i="10" s="1"/>
  <c r="A1253" i="10" s="1"/>
  <c r="A1254" i="10" s="1"/>
  <c r="A1255" i="10" s="1"/>
  <c r="A1257" i="10"/>
  <c r="A1258" i="10" s="1"/>
  <c r="A1259" i="10" s="1"/>
  <c r="A1260" i="10" s="1"/>
  <c r="A1261" i="10" s="1"/>
  <c r="A1262" i="10" s="1"/>
  <c r="A1263" i="10" s="1"/>
  <c r="A1264" i="10" s="1"/>
  <c r="A1265" i="10" s="1"/>
  <c r="A1267" i="10"/>
  <c r="A1268" i="10" s="1"/>
  <c r="A1269" i="10" s="1"/>
  <c r="A1270" i="10" s="1"/>
  <c r="A1271" i="10" s="1"/>
  <c r="A1272" i="10" s="1"/>
  <c r="A1273" i="10" s="1"/>
  <c r="A1275" i="10"/>
  <c r="A1276" i="10" s="1"/>
  <c r="A1277" i="10" s="1"/>
  <c r="A1278" i="10" s="1"/>
  <c r="A1279" i="10" s="1"/>
  <c r="A1280" i="10" s="1"/>
  <c r="A1281" i="10" s="1"/>
  <c r="A1282" i="10" s="1"/>
  <c r="A1283" i="10" s="1"/>
  <c r="A1284" i="10" s="1"/>
  <c r="A1285" i="10" s="1"/>
  <c r="A1286" i="10" s="1"/>
  <c r="A1287" i="10" s="1"/>
  <c r="A1288" i="10" s="1"/>
  <c r="A1289" i="10" s="1"/>
  <c r="A1290" i="10" s="1"/>
  <c r="A1291" i="10" s="1"/>
  <c r="A1292" i="10" s="1"/>
  <c r="A1293" i="10" s="1"/>
  <c r="A1294" i="10" s="1"/>
  <c r="A1295" i="10" s="1"/>
  <c r="A1297" i="10"/>
  <c r="A1298" i="10" s="1"/>
  <c r="A1299" i="10" s="1"/>
  <c r="A1300" i="10" s="1"/>
  <c r="A1301" i="10" s="1"/>
  <c r="A1302" i="10" s="1"/>
  <c r="A1304" i="10"/>
  <c r="A1305" i="10" s="1"/>
  <c r="A1306" i="10" s="1"/>
  <c r="A1307" i="10" s="1"/>
  <c r="A1308" i="10" s="1"/>
  <c r="A1309" i="10" s="1"/>
  <c r="A1310" i="10" s="1"/>
  <c r="A1311" i="10" s="1"/>
  <c r="A1313" i="10"/>
  <c r="A1314" i="10" s="1"/>
  <c r="A1315" i="10" s="1"/>
  <c r="A1316" i="10" s="1"/>
  <c r="A1317" i="10" s="1"/>
  <c r="A1318" i="10" s="1"/>
  <c r="A1319" i="10" s="1"/>
  <c r="A1320" i="10" s="1"/>
  <c r="A1321" i="10" s="1"/>
  <c r="A1322" i="10" s="1"/>
  <c r="A1323" i="10" s="1"/>
  <c r="A1324" i="10" s="1"/>
  <c r="A1325" i="10" s="1"/>
  <c r="A1326" i="10" s="1"/>
  <c r="A1327" i="10" s="1"/>
  <c r="A1328" i="10" s="1"/>
  <c r="A1329" i="10" s="1"/>
  <c r="A1330" i="10" s="1"/>
  <c r="A1331" i="10" s="1"/>
  <c r="A1332" i="10" s="1"/>
  <c r="A1333" i="10" s="1"/>
  <c r="A1334" i="10" s="1"/>
  <c r="A1336" i="10"/>
  <c r="A1337" i="10" s="1"/>
  <c r="A1338" i="10" s="1"/>
  <c r="A1339" i="10" s="1"/>
  <c r="A1340" i="10" s="1"/>
  <c r="A1341" i="10" s="1"/>
  <c r="A1342" i="10" s="1"/>
  <c r="A1343" i="10" s="1"/>
  <c r="A1345" i="10"/>
  <c r="A1346" i="10" s="1"/>
  <c r="A1347" i="10" s="1"/>
  <c r="A1348" i="10" s="1"/>
  <c r="A1349" i="10" s="1"/>
  <c r="A1350" i="10" s="1"/>
  <c r="A1351" i="10" s="1"/>
  <c r="A1352" i="10" s="1"/>
  <c r="A1353" i="10" s="1"/>
  <c r="A1355" i="10"/>
  <c r="A1356" i="10" s="1"/>
  <c r="A1357" i="10" s="1"/>
  <c r="A1358" i="10" s="1"/>
  <c r="A1359" i="10" s="1"/>
  <c r="A1360" i="10" s="1"/>
  <c r="A1361" i="10" s="1"/>
  <c r="A1363" i="10"/>
  <c r="A1364" i="10" s="1"/>
  <c r="A1365" i="10" s="1"/>
  <c r="A1366" i="10" s="1"/>
  <c r="A1367" i="10" s="1"/>
  <c r="A1368" i="10" s="1"/>
  <c r="A1369" i="10" s="1"/>
  <c r="A1370" i="10" s="1"/>
  <c r="A1372" i="10"/>
  <c r="A1373" i="10" s="1"/>
  <c r="A1374" i="10" s="1"/>
  <c r="A1375" i="10" s="1"/>
  <c r="A1376" i="10" s="1"/>
  <c r="A1377" i="10" s="1"/>
  <c r="A1378" i="10" s="1"/>
  <c r="A1380" i="10"/>
  <c r="A1381" i="10" s="1"/>
  <c r="A1382" i="10" s="1"/>
  <c r="A1383" i="10" s="1"/>
  <c r="A1384" i="10" s="1"/>
  <c r="A1385" i="10" s="1"/>
  <c r="A1386" i="10" s="1"/>
  <c r="A1387" i="10" s="1"/>
  <c r="A1388" i="10" s="1"/>
  <c r="A1389" i="10" s="1"/>
  <c r="A1390" i="10" s="1"/>
  <c r="A1391" i="10" s="1"/>
  <c r="A1392" i="10" s="1"/>
  <c r="A1393" i="10" s="1"/>
  <c r="A1394" i="10" s="1"/>
  <c r="A1395" i="10" s="1"/>
  <c r="A1396" i="10" s="1"/>
  <c r="A1397" i="10" s="1"/>
  <c r="A1398" i="10" s="1"/>
  <c r="A1399" i="10" s="1"/>
  <c r="A1400" i="10" s="1"/>
  <c r="A1401" i="10" s="1"/>
  <c r="A1402" i="10" s="1"/>
  <c r="A1403" i="10" s="1"/>
  <c r="A1404" i="10" s="1"/>
  <c r="A1405" i="10" s="1"/>
  <c r="A1406" i="10" s="1"/>
  <c r="A1407" i="10" s="1"/>
  <c r="A1408" i="10" s="1"/>
  <c r="A1409" i="10" s="1"/>
  <c r="A1410" i="10" s="1"/>
  <c r="A1411" i="10" s="1"/>
  <c r="A1412" i="10" s="1"/>
  <c r="A1413" i="10" s="1"/>
  <c r="A1414" i="10" s="1"/>
  <c r="A1416" i="10"/>
  <c r="A1417" i="10" s="1"/>
  <c r="A1418" i="10" s="1"/>
  <c r="A1419" i="10" s="1"/>
  <c r="A1420" i="10" s="1"/>
  <c r="A1421" i="10" s="1"/>
  <c r="A1422" i="10" s="1"/>
  <c r="A1423" i="10" s="1"/>
  <c r="A1424" i="10" s="1"/>
  <c r="A1425" i="10" s="1"/>
  <c r="A1426" i="10" s="1"/>
  <c r="A1427" i="10" s="1"/>
  <c r="A1429" i="10"/>
  <c r="A1430" i="10" s="1"/>
  <c r="A1431" i="10" s="1"/>
  <c r="A1432" i="10" s="1"/>
  <c r="A1433" i="10" s="1"/>
  <c r="A1434" i="10" s="1"/>
  <c r="A1435" i="10" s="1"/>
  <c r="A1436" i="10" s="1"/>
  <c r="A1437" i="10" s="1"/>
  <c r="A1438" i="10" s="1"/>
  <c r="A1439" i="10" s="1"/>
  <c r="A1440" i="10" s="1"/>
  <c r="A1441" i="10" s="1"/>
  <c r="A1442" i="10" s="1"/>
  <c r="A1443" i="10" s="1"/>
  <c r="A1444" i="10" s="1"/>
  <c r="A1445" i="10" s="1"/>
  <c r="A1446" i="10" s="1"/>
  <c r="A1447" i="10" s="1"/>
  <c r="A1448" i="10" s="1"/>
  <c r="A1449" i="10" s="1"/>
  <c r="A1450" i="10" s="1"/>
  <c r="A1451" i="10" s="1"/>
  <c r="A1453" i="10"/>
  <c r="A1454" i="10" s="1"/>
  <c r="A1455" i="10" s="1"/>
  <c r="A1456" i="10" s="1"/>
  <c r="A1457" i="10" s="1"/>
  <c r="A1458" i="10" s="1"/>
  <c r="A1460" i="10"/>
  <c r="A1461" i="10" s="1"/>
  <c r="A1462" i="10" s="1"/>
  <c r="A1463" i="10" s="1"/>
  <c r="A1464" i="10" s="1"/>
  <c r="A1465" i="10" s="1"/>
  <c r="A1466" i="10" s="1"/>
  <c r="A1467" i="10" s="1"/>
  <c r="A1468" i="10" s="1"/>
  <c r="A1470" i="10"/>
  <c r="A1471" i="10" s="1"/>
  <c r="A1472" i="10" s="1"/>
  <c r="A1473" i="10" s="1"/>
  <c r="A1474" i="10" s="1"/>
  <c r="A1475" i="10" s="1"/>
  <c r="A1476" i="10" s="1"/>
  <c r="A1477" i="10" s="1"/>
  <c r="A1478" i="10" s="1"/>
  <c r="A1479" i="10" s="1"/>
  <c r="A1480" i="10" s="1"/>
  <c r="A1481" i="10" s="1"/>
  <c r="A1482" i="10" s="1"/>
  <c r="A1484" i="10"/>
  <c r="A1485" i="10" s="1"/>
  <c r="A1486" i="10" s="1"/>
  <c r="A1487" i="10" s="1"/>
  <c r="A1488" i="10" s="1"/>
  <c r="A1489" i="10" s="1"/>
  <c r="A1490" i="10" s="1"/>
  <c r="A1491" i="10" s="1"/>
  <c r="A1492" i="10" s="1"/>
  <c r="A1493" i="10" s="1"/>
  <c r="A1494" i="10" s="1"/>
  <c r="A1495" i="10" s="1"/>
  <c r="A1496" i="10" s="1"/>
  <c r="A1497" i="10" s="1"/>
  <c r="A1498" i="10" s="1"/>
  <c r="A1499" i="10" s="1"/>
  <c r="A1500" i="10" s="1"/>
  <c r="A1502" i="10"/>
  <c r="A1503" i="10" s="1"/>
  <c r="A1504" i="10" s="1"/>
  <c r="A1505" i="10" s="1"/>
  <c r="A1506" i="10" s="1"/>
  <c r="A1508" i="10"/>
  <c r="A1509" i="10" s="1"/>
  <c r="A1510" i="10" s="1"/>
  <c r="A1511" i="10" s="1"/>
  <c r="A1512" i="10" s="1"/>
  <c r="A1513" i="10" s="1"/>
  <c r="A1515" i="10"/>
  <c r="A1516" i="10" s="1"/>
  <c r="A1517" i="10" s="1"/>
  <c r="A1518" i="10" s="1"/>
  <c r="A1519" i="10" s="1"/>
  <c r="A1521" i="10"/>
  <c r="A1522" i="10" s="1"/>
  <c r="A1523" i="10" s="1"/>
  <c r="A1524" i="10" s="1"/>
  <c r="A1525" i="10" s="1"/>
  <c r="A1526" i="10" s="1"/>
  <c r="A1527" i="10" s="1"/>
  <c r="A1529" i="10"/>
  <c r="A1530" i="10" s="1"/>
  <c r="A1531" i="10" s="1"/>
  <c r="A1532" i="10" s="1"/>
  <c r="A1533" i="10" s="1"/>
  <c r="A1534" i="10" s="1"/>
  <c r="A1535" i="10" s="1"/>
  <c r="A1536" i="10" s="1"/>
  <c r="A1538" i="10"/>
  <c r="A1539" i="10" s="1"/>
  <c r="A1540" i="10" s="1"/>
  <c r="A1541" i="10" s="1"/>
  <c r="A1542" i="10" s="1"/>
  <c r="A1544" i="10"/>
  <c r="A1545" i="10" s="1"/>
  <c r="A1546" i="10" s="1"/>
  <c r="A1547" i="10" s="1"/>
  <c r="A1548" i="10" s="1"/>
  <c r="A1550" i="10"/>
  <c r="A1551" i="10" s="1"/>
  <c r="A1552" i="10" s="1"/>
  <c r="A1553" i="10" s="1"/>
  <c r="A1554" i="10" s="1"/>
  <c r="A1555" i="10" s="1"/>
  <c r="A1557" i="10"/>
  <c r="A1558" i="10" s="1"/>
  <c r="A1559" i="10" s="1"/>
  <c r="A1560" i="10" s="1"/>
  <c r="A1561" i="10" s="1"/>
  <c r="A1562" i="10" s="1"/>
  <c r="A1563" i="10" s="1"/>
  <c r="A1564" i="10" s="1"/>
  <c r="A1565" i="10" s="1"/>
  <c r="A1566" i="10" s="1"/>
  <c r="A1567" i="10" s="1"/>
  <c r="A1568" i="10" s="1"/>
  <c r="A1570" i="10"/>
  <c r="A1571" i="10" s="1"/>
  <c r="A1572" i="10" s="1"/>
  <c r="A1573" i="10" s="1"/>
  <c r="A1574" i="10" s="1"/>
  <c r="A1575" i="10" s="1"/>
  <c r="A1577" i="10"/>
  <c r="A1578" i="10" s="1"/>
  <c r="A1579" i="10" s="1"/>
  <c r="A1580" i="10" s="1"/>
  <c r="A1581" i="10" s="1"/>
  <c r="A1582" i="10" s="1"/>
  <c r="A1584" i="10"/>
  <c r="A1585" i="10" s="1"/>
  <c r="A1586" i="10" s="1"/>
  <c r="A1587" i="10" s="1"/>
  <c r="A1588" i="10" s="1"/>
  <c r="A1589" i="10" s="1"/>
  <c r="A1591" i="10"/>
  <c r="A1592" i="10" s="1"/>
  <c r="A1593" i="10" s="1"/>
  <c r="A1594" i="10" s="1"/>
  <c r="A1595" i="10" s="1"/>
  <c r="A1596" i="10" s="1"/>
  <c r="A1598" i="10"/>
  <c r="A1599" i="10" s="1"/>
  <c r="A1600" i="10" s="1"/>
  <c r="A1601" i="10" s="1"/>
  <c r="A1602" i="10" s="1"/>
  <c r="A1603" i="10" s="1"/>
  <c r="A1604" i="10" s="1"/>
  <c r="A1605" i="10" s="1"/>
  <c r="A1606" i="10" s="1"/>
  <c r="A1607" i="10" s="1"/>
  <c r="A1609" i="10"/>
  <c r="A1610" i="10" s="1"/>
  <c r="A1611" i="10" s="1"/>
  <c r="A1612" i="10" s="1"/>
  <c r="A1613" i="10" s="1"/>
  <c r="A1614" i="10" s="1"/>
  <c r="A1615" i="10" s="1"/>
  <c r="A1616" i="10" s="1"/>
  <c r="A1617" i="10" s="1"/>
  <c r="A1618" i="10" s="1"/>
  <c r="A1619" i="10" s="1"/>
  <c r="A1620" i="10" s="1"/>
  <c r="A1621" i="10" s="1"/>
  <c r="A1623" i="10"/>
  <c r="A1624" i="10" s="1"/>
  <c r="A1625" i="10" s="1"/>
  <c r="A1626" i="10" s="1"/>
  <c r="A1627" i="10" s="1"/>
  <c r="A1628" i="10" s="1"/>
  <c r="A1629" i="10" s="1"/>
  <c r="A1630" i="10" s="1"/>
  <c r="A1632" i="10"/>
  <c r="A1633" i="10" s="1"/>
  <c r="A1634" i="10" s="1"/>
  <c r="A1635" i="10" s="1"/>
  <c r="A1636" i="10" s="1"/>
  <c r="A1637" i="10" s="1"/>
  <c r="A1638" i="10" s="1"/>
  <c r="A1639" i="10" s="1"/>
  <c r="A1640" i="10" s="1"/>
  <c r="A1642" i="10"/>
  <c r="A1643" i="10" s="1"/>
  <c r="A1644" i="10" s="1"/>
  <c r="A1645" i="10" s="1"/>
  <c r="A1646" i="10" s="1"/>
  <c r="A1647" i="10" s="1"/>
  <c r="A1648" i="10" s="1"/>
  <c r="A1650" i="10"/>
  <c r="A1651" i="10" s="1"/>
  <c r="A1652" i="10" s="1"/>
  <c r="A1653" i="10" s="1"/>
  <c r="A1654" i="10" s="1"/>
  <c r="A1655" i="10" s="1"/>
  <c r="A1656" i="10" s="1"/>
  <c r="A1657" i="10" s="1"/>
  <c r="A1659" i="10"/>
  <c r="A1660" i="10" s="1"/>
  <c r="A1661" i="10" s="1"/>
  <c r="A1662" i="10" s="1"/>
  <c r="A1663" i="10" s="1"/>
  <c r="A1664" i="10" s="1"/>
  <c r="A1665" i="10" s="1"/>
  <c r="A1667" i="10"/>
  <c r="A1668" i="10" s="1"/>
  <c r="A1669" i="10" s="1"/>
  <c r="A1670" i="10" s="1"/>
  <c r="A1671" i="10" s="1"/>
  <c r="A1672" i="10" s="1"/>
  <c r="A1673" i="10" s="1"/>
  <c r="A1674" i="10" s="1"/>
  <c r="A1676" i="10"/>
  <c r="A1677" i="10" s="1"/>
  <c r="A1678" i="10" s="1"/>
  <c r="A1679" i="10" s="1"/>
  <c r="A1680" i="10" s="1"/>
  <c r="A1681" i="10" s="1"/>
  <c r="A1682" i="10" s="1"/>
  <c r="A1683" i="10" s="1"/>
  <c r="A1684" i="10" s="1"/>
  <c r="A1686" i="10"/>
  <c r="A1687" i="10" s="1"/>
  <c r="A1688" i="10" s="1"/>
  <c r="A1689" i="10" s="1"/>
  <c r="A1690" i="10" s="1"/>
  <c r="A1691" i="10" s="1"/>
  <c r="A1692" i="10" s="1"/>
  <c r="A1694" i="10"/>
  <c r="A1695" i="10" s="1"/>
  <c r="A1696" i="10" s="1"/>
  <c r="A1697" i="10" s="1"/>
  <c r="A1698" i="10" s="1"/>
  <c r="A1699" i="10" s="1"/>
  <c r="A1700" i="10" s="1"/>
  <c r="A1701" i="10" s="1"/>
  <c r="A1702" i="10" s="1"/>
  <c r="A1703" i="10" s="1"/>
  <c r="A1704" i="10" s="1"/>
  <c r="A1705" i="10" s="1"/>
  <c r="A1707" i="10"/>
  <c r="A1708" i="10" s="1"/>
  <c r="A1709" i="10" s="1"/>
  <c r="A1710" i="10" s="1"/>
  <c r="A1712" i="10"/>
  <c r="A1713" i="10" s="1"/>
  <c r="A1714" i="10" s="1"/>
  <c r="A1715" i="10" s="1"/>
  <c r="A1716" i="10" s="1"/>
  <c r="A1717" i="10" s="1"/>
  <c r="A1718" i="10" s="1"/>
  <c r="A1720" i="10"/>
  <c r="A1721" i="10" s="1"/>
  <c r="A1722" i="10" s="1"/>
  <c r="A1723" i="10" s="1"/>
  <c r="A1724" i="10" s="1"/>
  <c r="A1725" i="10" s="1"/>
  <c r="A1727" i="10"/>
  <c r="A1728" i="10" s="1"/>
  <c r="A1729" i="10" s="1"/>
  <c r="A1730" i="10" s="1"/>
  <c r="A1731" i="10" s="1"/>
  <c r="A1732" i="10" s="1"/>
  <c r="A1733" i="10" s="1"/>
  <c r="A1735" i="10"/>
  <c r="A1736" i="10" s="1"/>
  <c r="A1737" i="10" s="1"/>
  <c r="A1738" i="10" s="1"/>
  <c r="A1739" i="10" s="1"/>
  <c r="A1740" i="10" s="1"/>
  <c r="A1741" i="10" s="1"/>
  <c r="A1742" i="10" s="1"/>
  <c r="A1743" i="10" s="1"/>
  <c r="A1744" i="10" s="1"/>
  <c r="A1745" i="10" s="1"/>
  <c r="A1746" i="10" s="1"/>
  <c r="A1747" i="10" s="1"/>
  <c r="A1748" i="10" s="1"/>
  <c r="A1749" i="10" s="1"/>
  <c r="A1750" i="10" s="1"/>
  <c r="A1751" i="10" s="1"/>
  <c r="A1752" i="10" s="1"/>
  <c r="A1753" i="10" s="1"/>
  <c r="A1754" i="10" s="1"/>
  <c r="A1755" i="10" s="1"/>
  <c r="A1756" i="10" s="1"/>
  <c r="A1758" i="10"/>
  <c r="A1759" i="10" s="1"/>
  <c r="A1760" i="10" s="1"/>
  <c r="A1761" i="10" s="1"/>
  <c r="A1762" i="10" s="1"/>
  <c r="A1763" i="10" s="1"/>
  <c r="A1764" i="10" s="1"/>
  <c r="A1765" i="10" s="1"/>
  <c r="A1766" i="10" s="1"/>
  <c r="A1767" i="10" s="1"/>
  <c r="A1768" i="10" s="1"/>
  <c r="A1769" i="10" s="1"/>
  <c r="A1770" i="10" s="1"/>
  <c r="A1772" i="10"/>
  <c r="A1773" i="10" s="1"/>
  <c r="A1774" i="10" s="1"/>
  <c r="A1775" i="10" s="1"/>
  <c r="A1776" i="10" s="1"/>
  <c r="A1777" i="10" s="1"/>
  <c r="A1779" i="10"/>
  <c r="A1780" i="10" s="1"/>
  <c r="A1781" i="10" s="1"/>
  <c r="A1782" i="10" s="1"/>
  <c r="A1783" i="10" s="1"/>
  <c r="A1784" i="10" s="1"/>
  <c r="A1785" i="10" s="1"/>
  <c r="A1786" i="10" s="1"/>
  <c r="A1787" i="10" s="1"/>
  <c r="A1788" i="10" s="1"/>
  <c r="A1789" i="10" s="1"/>
  <c r="A1791" i="10"/>
  <c r="A1792" i="10" s="1"/>
  <c r="A1793" i="10" s="1"/>
  <c r="A1794" i="10" s="1"/>
  <c r="A1795" i="10" s="1"/>
  <c r="A1796" i="10" s="1"/>
  <c r="A1798" i="10"/>
  <c r="A1799" i="10" s="1"/>
  <c r="A1800" i="10" s="1"/>
  <c r="A1801" i="10" s="1"/>
  <c r="A1802" i="10" s="1"/>
  <c r="A1803" i="10" s="1"/>
  <c r="A1804" i="10" s="1"/>
  <c r="A1806" i="10"/>
  <c r="A1807" i="10" s="1"/>
  <c r="A1808" i="10" s="1"/>
  <c r="A1809" i="10" s="1"/>
  <c r="A1810" i="10" s="1"/>
  <c r="A1811" i="10" s="1"/>
  <c r="A1812" i="10" s="1"/>
  <c r="A1813" i="10" s="1"/>
  <c r="A1814" i="10" s="1"/>
  <c r="A1815" i="10" s="1"/>
  <c r="A1816" i="10" s="1"/>
  <c r="A1817" i="10" s="1"/>
  <c r="A1818" i="10" s="1"/>
  <c r="A1819" i="10" s="1"/>
  <c r="A1820" i="10" s="1"/>
  <c r="A1821" i="10" s="1"/>
  <c r="A1822" i="10" s="1"/>
  <c r="A1823" i="10" s="1"/>
  <c r="A1825" i="10"/>
  <c r="A1826" i="10" s="1"/>
  <c r="A1827" i="10" s="1"/>
  <c r="A1828" i="10" s="1"/>
  <c r="A1829" i="10" s="1"/>
  <c r="A1830" i="10" s="1"/>
  <c r="A1832" i="10"/>
  <c r="A1833" i="10" s="1"/>
  <c r="A1834" i="10" s="1"/>
  <c r="A1835" i="10" s="1"/>
  <c r="A1836" i="10" s="1"/>
  <c r="A1837" i="10" s="1"/>
  <c r="A1838" i="10" s="1"/>
  <c r="A1840" i="10"/>
  <c r="A1841" i="10" s="1"/>
  <c r="A1842" i="10" s="1"/>
  <c r="A1843" i="10" s="1"/>
  <c r="A1844" i="10" s="1"/>
  <c r="A1845" i="10" s="1"/>
  <c r="A1846" i="10" s="1"/>
  <c r="A1847" i="10" s="1"/>
  <c r="A1849" i="10"/>
  <c r="A1850" i="10" s="1"/>
  <c r="A1851" i="10" s="1"/>
  <c r="A1852" i="10" s="1"/>
  <c r="A1853" i="10" s="1"/>
  <c r="A1854" i="10" s="1"/>
  <c r="A1856" i="10"/>
  <c r="A1857" i="10" s="1"/>
  <c r="A1858" i="10" s="1"/>
  <c r="A1859" i="10" s="1"/>
  <c r="A1860" i="10" s="1"/>
  <c r="A1861" i="10" s="1"/>
  <c r="A1862" i="10" s="1"/>
  <c r="A1863" i="10" s="1"/>
  <c r="A1864" i="10" s="1"/>
  <c r="A1865" i="10" s="1"/>
  <c r="A1867" i="10"/>
  <c r="A1868" i="10" s="1"/>
  <c r="A1869" i="10" s="1"/>
  <c r="A1870" i="10" s="1"/>
  <c r="A1871" i="10" s="1"/>
  <c r="A1872" i="10" s="1"/>
  <c r="A1873" i="10" s="1"/>
  <c r="A1875" i="10"/>
  <c r="A1876" i="10" s="1"/>
  <c r="A1877" i="10" s="1"/>
  <c r="A1878" i="10" s="1"/>
  <c r="A1879" i="10" s="1"/>
  <c r="A1881" i="10"/>
  <c r="A1882" i="10" s="1"/>
  <c r="A1883" i="10" s="1"/>
  <c r="A1884" i="10" s="1"/>
  <c r="A1885" i="10" s="1"/>
  <c r="A1886" i="10" s="1"/>
  <c r="A1887" i="10" s="1"/>
  <c r="A1888" i="10" s="1"/>
  <c r="A1889" i="10" s="1"/>
  <c r="A1890" i="10" s="1"/>
  <c r="A1892" i="10"/>
  <c r="A1893" i="10" s="1"/>
  <c r="A1894" i="10" s="1"/>
  <c r="A1895" i="10" s="1"/>
  <c r="A1896" i="10" s="1"/>
  <c r="A1897" i="10" s="1"/>
  <c r="A1898" i="10" s="1"/>
  <c r="A1900" i="10"/>
  <c r="A1901" i="10" s="1"/>
  <c r="A1902" i="10" s="1"/>
  <c r="A1903" i="10" s="1"/>
  <c r="A1904" i="10" s="1"/>
  <c r="A1905" i="10" s="1"/>
  <c r="A1906" i="10" s="1"/>
  <c r="A1908" i="10"/>
  <c r="A1909" i="10" s="1"/>
  <c r="A1910" i="10" s="1"/>
  <c r="A1911" i="10" s="1"/>
  <c r="A1912" i="10" s="1"/>
  <c r="A1913" i="10" s="1"/>
  <c r="A1914" i="10" s="1"/>
  <c r="A1916" i="10"/>
  <c r="A1917" i="10" s="1"/>
  <c r="A1918" i="10" s="1"/>
  <c r="A1919" i="10" s="1"/>
  <c r="A1920" i="10" s="1"/>
  <c r="A1921" i="10" s="1"/>
  <c r="A1922" i="10" s="1"/>
  <c r="A1923" i="10" s="1"/>
  <c r="A1924" i="10" s="1"/>
  <c r="A1925" i="10" s="1"/>
  <c r="A1926" i="10" s="1"/>
  <c r="A1927" i="10" s="1"/>
  <c r="A1928" i="10" s="1"/>
  <c r="A1929" i="10" s="1"/>
  <c r="A1930" i="10" s="1"/>
  <c r="A1931" i="10" s="1"/>
  <c r="A1932" i="10" s="1"/>
  <c r="A1933" i="10" s="1"/>
  <c r="A1934" i="10" s="1"/>
  <c r="A1935" i="10" s="1"/>
  <c r="A1936" i="10" s="1"/>
  <c r="A1937" i="10" s="1"/>
  <c r="A1938" i="10" s="1"/>
  <c r="A1939" i="10" s="1"/>
  <c r="A1940" i="10" s="1"/>
  <c r="A1941" i="10" s="1"/>
  <c r="A1943" i="10"/>
  <c r="A1944" i="10" s="1"/>
  <c r="A1945" i="10" s="1"/>
  <c r="A1946" i="10" s="1"/>
  <c r="A1947" i="10" s="1"/>
  <c r="A1948" i="10" s="1"/>
  <c r="A1949" i="10" s="1"/>
  <c r="A1950" i="10" s="1"/>
  <c r="A1951" i="10" s="1"/>
  <c r="A1952" i="10" s="1"/>
  <c r="A1953" i="10" s="1"/>
  <c r="A1954" i="10" s="1"/>
  <c r="A1955" i="10" s="1"/>
  <c r="A1956" i="10" s="1"/>
  <c r="A1957" i="10" s="1"/>
  <c r="A1958" i="10" s="1"/>
  <c r="A1960" i="10"/>
  <c r="A1961" i="10" s="1"/>
  <c r="A1962" i="10" s="1"/>
  <c r="A1963" i="10" s="1"/>
  <c r="A1964" i="10" s="1"/>
  <c r="A1965" i="10" s="1"/>
  <c r="A1966" i="10" s="1"/>
  <c r="A1968" i="10"/>
  <c r="A1969" i="10" s="1"/>
  <c r="A1970" i="10" s="1"/>
  <c r="A1971" i="10" s="1"/>
  <c r="A1972" i="10" s="1"/>
  <c r="A1974" i="10"/>
  <c r="A1975" i="10" s="1"/>
  <c r="A1976" i="10" s="1"/>
  <c r="A1977" i="10" s="1"/>
  <c r="A1978" i="10" s="1"/>
  <c r="A1979" i="10" s="1"/>
  <c r="A1981" i="10"/>
  <c r="A1982" i="10" s="1"/>
  <c r="A1983" i="10" s="1"/>
  <c r="A1984" i="10" s="1"/>
  <c r="A1985" i="10" s="1"/>
  <c r="A1986" i="10" s="1"/>
  <c r="A1987" i="10" s="1"/>
  <c r="A1988" i="10" s="1"/>
  <c r="A1989" i="10" s="1"/>
  <c r="A1991" i="10"/>
  <c r="A1992" i="10" s="1"/>
  <c r="A1993" i="10" s="1"/>
  <c r="A1994" i="10" s="1"/>
  <c r="A1995" i="10" s="1"/>
  <c r="A1996" i="10" s="1"/>
  <c r="A1997" i="10" s="1"/>
  <c r="A1998" i="10" s="1"/>
  <c r="A1999" i="10" s="1"/>
  <c r="A2000" i="10" s="1"/>
  <c r="A2001" i="10" s="1"/>
  <c r="A2002" i="10" s="1"/>
  <c r="A2003" i="10" s="1"/>
  <c r="A2004" i="10" s="1"/>
  <c r="A2005" i="10" s="1"/>
  <c r="A2006" i="10" s="1"/>
  <c r="A2007" i="10" s="1"/>
  <c r="A2008" i="10" s="1"/>
  <c r="A2009" i="10" s="1"/>
  <c r="A2010" i="10" s="1"/>
  <c r="A2011" i="10" s="1"/>
  <c r="A2013" i="10"/>
  <c r="A2014" i="10" s="1"/>
  <c r="A2015" i="10" s="1"/>
  <c r="A2016" i="10" s="1"/>
  <c r="A2017" i="10" s="1"/>
  <c r="A2018" i="10" s="1"/>
  <c r="A2019" i="10" s="1"/>
  <c r="A2021" i="10"/>
  <c r="A2022" i="10" s="1"/>
  <c r="A2023" i="10" s="1"/>
  <c r="A2024" i="10" s="1"/>
  <c r="A2025" i="10" s="1"/>
  <c r="A2026" i="10" s="1"/>
  <c r="A2027" i="10" s="1"/>
  <c r="A2029" i="10"/>
  <c r="A2030" i="10" s="1"/>
  <c r="A2031" i="10" s="1"/>
  <c r="A2032" i="10" s="1"/>
  <c r="A2033" i="10" s="1"/>
  <c r="A2034" i="10" s="1"/>
  <c r="A2035" i="10" s="1"/>
  <c r="A2037" i="10"/>
  <c r="A2038" i="10" s="1"/>
  <c r="A2039" i="10" s="1"/>
  <c r="A2040" i="10" s="1"/>
  <c r="A2041" i="10" s="1"/>
  <c r="A2042" i="10" s="1"/>
  <c r="A2043" i="10" s="1"/>
  <c r="A2045" i="10"/>
  <c r="A2046" i="10" s="1"/>
  <c r="A2047" i="10" s="1"/>
  <c r="A2048" i="10" s="1"/>
  <c r="A2049" i="10" s="1"/>
  <c r="A2050" i="10" s="1"/>
  <c r="A2051" i="10" s="1"/>
  <c r="A2052" i="10" s="1"/>
  <c r="A2053" i="10" s="1"/>
  <c r="A2055" i="10"/>
  <c r="A2056" i="10" s="1"/>
  <c r="A2057" i="10" s="1"/>
  <c r="A2058" i="10" s="1"/>
  <c r="A2059" i="10" s="1"/>
  <c r="A2060" i="10" s="1"/>
  <c r="A2061" i="10" s="1"/>
  <c r="A2062" i="10" s="1"/>
  <c r="A2063" i="10" s="1"/>
  <c r="A2065" i="10"/>
  <c r="A2066" i="10" s="1"/>
  <c r="A2067" i="10" s="1"/>
  <c r="A2068" i="10" s="1"/>
  <c r="A2069" i="10" s="1"/>
  <c r="A2070" i="10" s="1"/>
  <c r="A2071" i="10" s="1"/>
  <c r="A2072" i="10" s="1"/>
  <c r="A2073" i="10" s="1"/>
  <c r="A2074" i="10" s="1"/>
  <c r="A2076" i="10"/>
  <c r="A2077" i="10" s="1"/>
  <c r="A2078" i="10" s="1"/>
  <c r="A2079" i="10" s="1"/>
  <c r="A2080" i="10" s="1"/>
  <c r="A2081" i="10" s="1"/>
  <c r="A2082" i="10" s="1"/>
  <c r="A2083" i="10" s="1"/>
  <c r="A2084" i="10" s="1"/>
  <c r="A2085" i="10" s="1"/>
  <c r="A2086" i="10" s="1"/>
  <c r="A2087" i="10" s="1"/>
  <c r="A2088" i="10" s="1"/>
  <c r="A2089" i="10" s="1"/>
  <c r="A2090" i="10" s="1"/>
  <c r="A2091" i="10" s="1"/>
  <c r="A2092" i="10" s="1"/>
  <c r="A2093" i="10" s="1"/>
  <c r="A2094" i="10" s="1"/>
  <c r="A2095" i="10" s="1"/>
  <c r="A2096" i="10" s="1"/>
  <c r="A2097" i="10" s="1"/>
  <c r="A2098" i="10" s="1"/>
  <c r="A2099" i="10" s="1"/>
  <c r="A2100" i="10" s="1"/>
  <c r="A2101" i="10" s="1"/>
  <c r="A2102" i="10" s="1"/>
  <c r="A2103" i="10" s="1"/>
  <c r="A2104" i="10" s="1"/>
  <c r="A2105" i="10" s="1"/>
  <c r="A2106" i="10" s="1"/>
  <c r="A2107" i="10" s="1"/>
  <c r="A2108" i="10" s="1"/>
  <c r="A2109" i="10" s="1"/>
  <c r="A2110" i="10" s="1"/>
  <c r="A2111" i="10" s="1"/>
  <c r="A2112" i="10" s="1"/>
  <c r="A2113" i="10" s="1"/>
  <c r="A2114" i="10" s="1"/>
  <c r="A2115" i="10" s="1"/>
  <c r="A2116" i="10" s="1"/>
  <c r="A2117" i="10" s="1"/>
  <c r="A2118" i="10" s="1"/>
  <c r="A2119" i="10" s="1"/>
  <c r="A2120" i="10" s="1"/>
  <c r="A2121" i="10" s="1"/>
  <c r="A2122" i="10" s="1"/>
  <c r="A2123" i="10" s="1"/>
  <c r="A2124" i="10" s="1"/>
  <c r="A2125" i="10" s="1"/>
  <c r="A2126" i="10" s="1"/>
  <c r="A2127" i="10" s="1"/>
  <c r="A2128" i="10" s="1"/>
  <c r="A2129" i="10" s="1"/>
  <c r="A2131" i="10"/>
  <c r="A2132" i="10" s="1"/>
  <c r="A2133" i="10" s="1"/>
  <c r="A2134" i="10" s="1"/>
  <c r="A2135" i="10" s="1"/>
  <c r="A2136" i="10" s="1"/>
  <c r="A2138" i="10"/>
  <c r="A2139" i="10" s="1"/>
  <c r="A2140" i="10" s="1"/>
  <c r="A2141" i="10" s="1"/>
  <c r="A2142" i="10" s="1"/>
  <c r="A2143" i="10" s="1"/>
  <c r="A2144" i="10" s="1"/>
  <c r="A2146" i="10"/>
  <c r="A2147" i="10" s="1"/>
  <c r="A2148" i="10" s="1"/>
  <c r="A2149" i="10" s="1"/>
  <c r="A2150" i="10" s="1"/>
  <c r="A2151" i="10" s="1"/>
  <c r="A2152" i="10" s="1"/>
  <c r="A2153" i="10" s="1"/>
  <c r="A2154" i="10" s="1"/>
  <c r="A2155" i="10" s="1"/>
  <c r="A2156" i="10" s="1"/>
  <c r="A2157" i="10" s="1"/>
  <c r="A2158" i="10" s="1"/>
  <c r="A2160" i="10"/>
  <c r="A2161" i="10" s="1"/>
  <c r="A2162" i="10" s="1"/>
  <c r="A2163" i="10" s="1"/>
  <c r="A2164" i="10" s="1"/>
  <c r="A2165" i="10" s="1"/>
  <c r="A2166" i="10" s="1"/>
  <c r="A2167" i="10" s="1"/>
  <c r="A2168" i="10" s="1"/>
  <c r="A2169" i="10" s="1"/>
  <c r="A2170" i="10" s="1"/>
  <c r="A2171" i="10" s="1"/>
  <c r="A2172" i="10" s="1"/>
  <c r="A2173" i="10" s="1"/>
  <c r="A2174" i="10" s="1"/>
  <c r="A2175" i="10" s="1"/>
  <c r="A2177" i="10"/>
  <c r="A2178" i="10" s="1"/>
  <c r="A2179" i="10" s="1"/>
  <c r="A2180" i="10" s="1"/>
  <c r="A2181" i="10" s="1"/>
  <c r="A2182" i="10" s="1"/>
  <c r="A2183" i="10" s="1"/>
  <c r="A2184" i="10" s="1"/>
  <c r="A2185" i="10" s="1"/>
  <c r="A2186" i="10" s="1"/>
  <c r="A2187" i="10" s="1"/>
  <c r="A2188" i="10" s="1"/>
  <c r="A2189" i="10" s="1"/>
  <c r="A2190" i="10" s="1"/>
  <c r="A2191" i="10" s="1"/>
  <c r="A2192" i="10" s="1"/>
  <c r="A2193" i="10" s="1"/>
  <c r="A2194" i="10" s="1"/>
  <c r="A2195" i="10" s="1"/>
  <c r="A2196" i="10" s="1"/>
  <c r="A2197" i="10" s="1"/>
  <c r="A2198" i="10" s="1"/>
  <c r="A2199" i="10" s="1"/>
  <c r="A2201" i="10"/>
  <c r="A2202" i="10" s="1"/>
  <c r="A2203" i="10" s="1"/>
  <c r="A2204" i="10" s="1"/>
  <c r="A2205" i="10" s="1"/>
  <c r="A2206" i="10" s="1"/>
  <c r="A2207" i="10" s="1"/>
  <c r="A2208" i="10" s="1"/>
  <c r="A2209" i="10" s="1"/>
  <c r="A2210" i="10" s="1"/>
  <c r="A2211" i="10" s="1"/>
  <c r="A2212" i="10" s="1"/>
  <c r="A2213" i="10" s="1"/>
  <c r="A2215" i="10"/>
  <c r="A2216" i="10" s="1"/>
  <c r="A2217" i="10" s="1"/>
  <c r="A2218" i="10" s="1"/>
  <c r="A2219" i="10" s="1"/>
  <c r="A2220" i="10" s="1"/>
  <c r="A2221" i="10" s="1"/>
  <c r="A2222" i="10" s="1"/>
  <c r="A2223" i="10" s="1"/>
  <c r="A2225" i="10"/>
  <c r="A2226" i="10" s="1"/>
  <c r="A2227" i="10" s="1"/>
  <c r="A2228" i="10" s="1"/>
  <c r="A2229" i="10" s="1"/>
  <c r="A2230" i="10" s="1"/>
  <c r="A2231" i="10" s="1"/>
  <c r="A2232" i="10" s="1"/>
  <c r="A2233" i="10" s="1"/>
  <c r="A2234" i="10" s="1"/>
  <c r="A2235" i="10" s="1"/>
  <c r="A2236" i="10" s="1"/>
  <c r="A2237" i="10" s="1"/>
  <c r="A2238" i="10" s="1"/>
  <c r="A2239" i="10" s="1"/>
  <c r="A2241" i="10"/>
  <c r="A2242" i="10" s="1"/>
  <c r="A2243" i="10" s="1"/>
  <c r="A2244" i="10" s="1"/>
  <c r="A2245" i="10" s="1"/>
  <c r="A2246" i="10" s="1"/>
  <c r="A2247" i="10" s="1"/>
  <c r="A2248" i="10" s="1"/>
  <c r="A2249" i="10" s="1"/>
  <c r="A2251" i="10"/>
  <c r="A2252" i="10" s="1"/>
  <c r="A2253" i="10" s="1"/>
  <c r="A2254" i="10" s="1"/>
  <c r="A2255" i="10" s="1"/>
  <c r="A2256" i="10" s="1"/>
  <c r="A2257" i="10" s="1"/>
  <c r="A2258" i="10" s="1"/>
  <c r="A2259" i="10" s="1"/>
  <c r="A2261" i="10"/>
  <c r="A2262" i="10" s="1"/>
  <c r="A2263" i="10" s="1"/>
  <c r="A2264" i="10" s="1"/>
  <c r="A2265" i="10" s="1"/>
  <c r="A2266" i="10" s="1"/>
  <c r="A2267" i="10" s="1"/>
  <c r="A2268" i="10" s="1"/>
  <c r="A2269" i="10" s="1"/>
  <c r="A2271" i="10"/>
  <c r="A2272" i="10" s="1"/>
  <c r="A2273" i="10" s="1"/>
  <c r="A2274" i="10" s="1"/>
  <c r="A2275" i="10" s="1"/>
  <c r="A2276" i="10" s="1"/>
  <c r="A2277" i="10" s="1"/>
  <c r="A2278" i="10" s="1"/>
  <c r="A2279" i="10" s="1"/>
  <c r="A2281" i="10"/>
  <c r="A2282" i="10" s="1"/>
  <c r="A2283" i="10" s="1"/>
  <c r="A2284" i="10" s="1"/>
  <c r="A2285" i="10" s="1"/>
  <c r="A2286" i="10" s="1"/>
  <c r="A2287" i="10" s="1"/>
  <c r="A2288" i="10" s="1"/>
  <c r="A2289" i="10" s="1"/>
  <c r="A2291" i="10"/>
  <c r="A2292" i="10" s="1"/>
  <c r="A2293" i="10" s="1"/>
  <c r="A2294" i="10" s="1"/>
  <c r="A2295" i="10" s="1"/>
  <c r="A2296" i="10" s="1"/>
  <c r="A2297" i="10" s="1"/>
  <c r="A2298" i="10" s="1"/>
  <c r="A2299" i="10" s="1"/>
  <c r="A2300" i="10" s="1"/>
  <c r="A2301" i="10" s="1"/>
  <c r="A2303" i="10"/>
  <c r="A2304" i="10" s="1"/>
  <c r="A2305" i="10" s="1"/>
  <c r="A2306" i="10" s="1"/>
  <c r="A2307" i="10" s="1"/>
  <c r="A2308" i="10" s="1"/>
  <c r="A2309" i="10" s="1"/>
  <c r="A2310" i="10" s="1"/>
  <c r="A2311" i="10" s="1"/>
  <c r="A2313" i="10"/>
  <c r="A2314" i="10" s="1"/>
  <c r="A2315" i="10" s="1"/>
  <c r="A2316" i="10" s="1"/>
  <c r="A2317" i="10" s="1"/>
  <c r="A2318" i="10" s="1"/>
  <c r="A2319" i="10" s="1"/>
  <c r="A2320" i="10" s="1"/>
  <c r="A2321" i="10" s="1"/>
  <c r="A2323" i="10"/>
  <c r="A2324" i="10" s="1"/>
  <c r="A2325" i="10" s="1"/>
  <c r="A2326" i="10" s="1"/>
  <c r="A2327" i="10" s="1"/>
  <c r="A2328" i="10" s="1"/>
  <c r="A2329" i="10" s="1"/>
  <c r="A2330" i="10" s="1"/>
  <c r="A2332" i="10"/>
  <c r="A2333" i="10" s="1"/>
  <c r="A2334" i="10" s="1"/>
  <c r="A2335" i="10" s="1"/>
  <c r="A2336" i="10" s="1"/>
  <c r="A2337" i="10" s="1"/>
  <c r="A2338" i="10" s="1"/>
  <c r="A2340" i="10"/>
  <c r="A2341" i="10" s="1"/>
  <c r="A2342" i="10" s="1"/>
  <c r="A2343" i="10" s="1"/>
  <c r="A2344" i="10" s="1"/>
  <c r="A2346" i="10"/>
  <c r="A2347" i="10" s="1"/>
  <c r="A2348" i="10" s="1"/>
  <c r="A2349" i="10" s="1"/>
  <c r="A2350" i="10" s="1"/>
  <c r="A2351" i="10" s="1"/>
  <c r="A2352" i="10" s="1"/>
  <c r="A2353" i="10" s="1"/>
  <c r="A2354" i="10" s="1"/>
  <c r="A2356" i="10"/>
  <c r="A2357" i="10" s="1"/>
  <c r="A2358" i="10" s="1"/>
  <c r="A2359" i="10" s="1"/>
  <c r="A2360" i="10" s="1"/>
  <c r="A2361" i="10" s="1"/>
  <c r="A2363" i="10"/>
  <c r="A2364" i="10" s="1"/>
  <c r="A2365" i="10" s="1"/>
  <c r="A2366" i="10" s="1"/>
  <c r="A2367" i="10" s="1"/>
  <c r="A2368" i="10" s="1"/>
  <c r="A2370" i="10"/>
  <c r="A2371" i="10" s="1"/>
  <c r="A2372" i="10" s="1"/>
  <c r="A2373" i="10" s="1"/>
  <c r="A2374" i="10" s="1"/>
  <c r="A2376" i="10"/>
  <c r="A2377" i="10" s="1"/>
  <c r="A2378" i="10" s="1"/>
  <c r="A2379" i="10" s="1"/>
  <c r="A2380" i="10" s="1"/>
  <c r="A2382" i="10"/>
  <c r="A2383" i="10" s="1"/>
  <c r="A2384" i="10" s="1"/>
  <c r="A2385" i="10" s="1"/>
  <c r="A2386" i="10" s="1"/>
  <c r="A2388" i="10"/>
  <c r="A2389" i="10" s="1"/>
  <c r="A2390" i="10" s="1"/>
  <c r="A2391" i="10" s="1"/>
  <c r="A2392" i="10" s="1"/>
  <c r="A2394" i="10"/>
  <c r="A2395" i="10" s="1"/>
  <c r="A2396" i="10" s="1"/>
  <c r="A2397" i="10" s="1"/>
  <c r="A2398" i="10" s="1"/>
  <c r="A2400" i="10"/>
  <c r="A2401" i="10" s="1"/>
  <c r="A2402" i="10" s="1"/>
  <c r="A2403" i="10" s="1"/>
  <c r="A2404" i="10" s="1"/>
  <c r="A2405" i="10" s="1"/>
  <c r="A2406" i="10" s="1"/>
  <c r="A2407" i="10" s="1"/>
  <c r="A2408" i="10" s="1"/>
  <c r="A2409" i="10" s="1"/>
  <c r="A2410" i="10" s="1"/>
  <c r="A2411" i="10" s="1"/>
  <c r="A2412" i="10" s="1"/>
  <c r="A2413" i="10" s="1"/>
  <c r="A2415" i="10"/>
  <c r="A2416" i="10" s="1"/>
  <c r="A2417" i="10" s="1"/>
  <c r="A2418" i="10" s="1"/>
  <c r="A2419" i="10" s="1"/>
  <c r="A2420" i="10" s="1"/>
  <c r="A2422" i="10"/>
  <c r="A2423" i="10" s="1"/>
  <c r="A2424" i="10" s="1"/>
  <c r="A2425" i="10" s="1"/>
  <c r="A2426" i="10" s="1"/>
  <c r="A2428" i="10"/>
  <c r="A2429" i="10" s="1"/>
  <c r="A2430" i="10" s="1"/>
  <c r="A2431" i="10" s="1"/>
  <c r="A2432" i="10" s="1"/>
  <c r="A2433" i="10" s="1"/>
  <c r="A2434" i="10" s="1"/>
  <c r="A2435" i="10" s="1"/>
  <c r="A2436" i="10" s="1"/>
  <c r="A2437" i="10" s="1"/>
  <c r="A2438" i="10" s="1"/>
  <c r="A2439" i="10" s="1"/>
  <c r="Q1312" i="10" l="1"/>
  <c r="P7" i="10"/>
  <c r="AF7" i="10"/>
  <c r="AL2046" i="10"/>
  <c r="H2045" i="10"/>
  <c r="H27" i="41"/>
  <c r="G24" i="33"/>
  <c r="G82" i="33"/>
  <c r="G86" i="33"/>
  <c r="G81" i="33"/>
  <c r="G3" i="33"/>
  <c r="M10" i="10"/>
  <c r="N10" i="10"/>
  <c r="M11" i="10"/>
  <c r="N11" i="10"/>
  <c r="M12" i="10"/>
  <c r="N12" i="10"/>
  <c r="M13" i="10"/>
  <c r="N13" i="10"/>
  <c r="M14" i="10"/>
  <c r="N14" i="10"/>
  <c r="M18" i="10"/>
  <c r="N18" i="10"/>
  <c r="M19" i="10"/>
  <c r="N19" i="10"/>
  <c r="M20" i="10"/>
  <c r="N20" i="10"/>
  <c r="M21" i="10"/>
  <c r="N21" i="10"/>
  <c r="M28" i="10"/>
  <c r="N28" i="10"/>
  <c r="M29" i="10"/>
  <c r="N29" i="10"/>
  <c r="M30" i="10"/>
  <c r="N30" i="10"/>
  <c r="M31" i="10"/>
  <c r="N31" i="10"/>
  <c r="M32" i="10"/>
  <c r="N32" i="10"/>
  <c r="M33" i="10"/>
  <c r="N33" i="10"/>
  <c r="M34" i="10"/>
  <c r="N34" i="10"/>
  <c r="M35" i="10"/>
  <c r="N35" i="10"/>
  <c r="M36" i="10"/>
  <c r="N36" i="10"/>
  <c r="M37" i="10"/>
  <c r="N37" i="10"/>
  <c r="M38" i="10"/>
  <c r="N38" i="10"/>
  <c r="M39" i="10"/>
  <c r="N39" i="10"/>
  <c r="M40" i="10"/>
  <c r="N40" i="10"/>
  <c r="M41" i="10"/>
  <c r="N41" i="10"/>
  <c r="M42" i="10"/>
  <c r="N42" i="10"/>
  <c r="M43" i="10"/>
  <c r="N43" i="10"/>
  <c r="M44" i="10"/>
  <c r="N44" i="10"/>
  <c r="M45" i="10"/>
  <c r="N45" i="10"/>
  <c r="M46" i="10"/>
  <c r="N46" i="10"/>
  <c r="M47" i="10"/>
  <c r="N47" i="10"/>
  <c r="M48" i="10"/>
  <c r="N48" i="10"/>
  <c r="M52" i="10"/>
  <c r="N52" i="10"/>
  <c r="M53" i="10"/>
  <c r="N53" i="10"/>
  <c r="M54" i="10"/>
  <c r="N54" i="10"/>
  <c r="M55" i="10"/>
  <c r="N55" i="10"/>
  <c r="M56" i="10"/>
  <c r="N56" i="10"/>
  <c r="M57" i="10"/>
  <c r="N57" i="10"/>
  <c r="M60" i="10"/>
  <c r="N60" i="10"/>
  <c r="M61" i="10"/>
  <c r="N61" i="10"/>
  <c r="M62" i="10"/>
  <c r="N62" i="10"/>
  <c r="M63" i="10"/>
  <c r="N63" i="10"/>
  <c r="M64" i="10"/>
  <c r="N64" i="10"/>
  <c r="M65" i="10"/>
  <c r="N65" i="10"/>
  <c r="M66" i="10"/>
  <c r="N66" i="10"/>
  <c r="M68" i="10"/>
  <c r="N68" i="10"/>
  <c r="M69" i="10"/>
  <c r="N69" i="10"/>
  <c r="M70" i="10"/>
  <c r="N70" i="10"/>
  <c r="M71" i="10"/>
  <c r="N71" i="10"/>
  <c r="M72" i="10"/>
  <c r="N72" i="10"/>
  <c r="M73" i="10"/>
  <c r="N73" i="10"/>
  <c r="M74" i="10"/>
  <c r="N74" i="10"/>
  <c r="M75" i="10"/>
  <c r="N75" i="10"/>
  <c r="M76" i="10"/>
  <c r="N76" i="10"/>
  <c r="M78" i="10"/>
  <c r="N78" i="10"/>
  <c r="M79" i="10"/>
  <c r="N79" i="10"/>
  <c r="M80" i="10"/>
  <c r="N80" i="10"/>
  <c r="M81" i="10"/>
  <c r="N81" i="10"/>
  <c r="M82" i="10"/>
  <c r="N82" i="10"/>
  <c r="M83" i="10"/>
  <c r="N83" i="10"/>
  <c r="M84" i="10"/>
  <c r="N84" i="10"/>
  <c r="M87" i="10"/>
  <c r="N87" i="10"/>
  <c r="M88" i="10"/>
  <c r="N88" i="10"/>
  <c r="M89" i="10"/>
  <c r="N89" i="10"/>
  <c r="M90" i="10"/>
  <c r="N90" i="10"/>
  <c r="M91" i="10"/>
  <c r="N91" i="10"/>
  <c r="M94" i="10"/>
  <c r="N94" i="10"/>
  <c r="M95" i="10"/>
  <c r="N95" i="10"/>
  <c r="M96" i="10"/>
  <c r="N96" i="10"/>
  <c r="M97" i="10"/>
  <c r="N97" i="10"/>
  <c r="M100" i="10"/>
  <c r="N100" i="10"/>
  <c r="M101" i="10"/>
  <c r="N101" i="10"/>
  <c r="M102" i="10"/>
  <c r="N102" i="10"/>
  <c r="M106" i="10"/>
  <c r="N106" i="10"/>
  <c r="M107" i="10"/>
  <c r="N107" i="10"/>
  <c r="M109" i="10"/>
  <c r="N109" i="10"/>
  <c r="M110" i="10"/>
  <c r="N110" i="10"/>
  <c r="M111" i="10"/>
  <c r="N111" i="10"/>
  <c r="M112" i="10"/>
  <c r="N112" i="10"/>
  <c r="M113" i="10"/>
  <c r="N113" i="10"/>
  <c r="M114" i="10"/>
  <c r="N114" i="10"/>
  <c r="M115" i="10"/>
  <c r="N115" i="10"/>
  <c r="M116" i="10"/>
  <c r="N116" i="10"/>
  <c r="M117" i="10"/>
  <c r="N117" i="10"/>
  <c r="M118" i="10"/>
  <c r="N118" i="10"/>
  <c r="M120" i="10"/>
  <c r="N120" i="10"/>
  <c r="M121" i="10"/>
  <c r="N121" i="10"/>
  <c r="M122" i="10"/>
  <c r="N122" i="10"/>
  <c r="M123" i="10"/>
  <c r="N123" i="10"/>
  <c r="M124" i="10"/>
  <c r="N124" i="10"/>
  <c r="M125" i="10"/>
  <c r="N125" i="10"/>
  <c r="M127" i="10"/>
  <c r="N127" i="10"/>
  <c r="M128" i="10"/>
  <c r="N128" i="10"/>
  <c r="M129" i="10"/>
  <c r="N129" i="10"/>
  <c r="M130" i="10"/>
  <c r="N130" i="10"/>
  <c r="M131" i="10"/>
  <c r="N131" i="10"/>
  <c r="M132" i="10"/>
  <c r="N132" i="10"/>
  <c r="M134" i="10"/>
  <c r="N134" i="10"/>
  <c r="M135" i="10"/>
  <c r="N135" i="10"/>
  <c r="M136" i="10"/>
  <c r="N136" i="10"/>
  <c r="M137" i="10"/>
  <c r="N137" i="10"/>
  <c r="M138" i="10"/>
  <c r="N138" i="10"/>
  <c r="M139" i="10"/>
  <c r="N139" i="10"/>
  <c r="M140" i="10"/>
  <c r="N140" i="10"/>
  <c r="M144" i="10"/>
  <c r="N144" i="10"/>
  <c r="M145" i="10"/>
  <c r="N145" i="10"/>
  <c r="M146" i="10"/>
  <c r="N146" i="10"/>
  <c r="M147" i="10"/>
  <c r="N147" i="10"/>
  <c r="M148" i="10"/>
  <c r="N148" i="10"/>
  <c r="M152" i="10"/>
  <c r="N152" i="10"/>
  <c r="M153" i="10"/>
  <c r="N153" i="10"/>
  <c r="M154" i="10"/>
  <c r="N154" i="10"/>
  <c r="M155" i="10"/>
  <c r="N155" i="10"/>
  <c r="M156" i="10"/>
  <c r="N156" i="10"/>
  <c r="M160" i="10"/>
  <c r="N160" i="10"/>
  <c r="M161" i="10"/>
  <c r="N161" i="10"/>
  <c r="M162" i="10"/>
  <c r="N162" i="10"/>
  <c r="M163" i="10"/>
  <c r="N163" i="10"/>
  <c r="M164" i="10"/>
  <c r="N164" i="10"/>
  <c r="M167" i="10"/>
  <c r="N167" i="10"/>
  <c r="M168" i="10"/>
  <c r="N168" i="10"/>
  <c r="M169" i="10"/>
  <c r="N169" i="10"/>
  <c r="M170" i="10"/>
  <c r="N170" i="10"/>
  <c r="M171" i="10"/>
  <c r="N171" i="10"/>
  <c r="M174" i="10"/>
  <c r="N174" i="10"/>
  <c r="M175" i="10"/>
  <c r="N175" i="10"/>
  <c r="M176" i="10"/>
  <c r="N176" i="10"/>
  <c r="M177" i="10"/>
  <c r="N177" i="10"/>
  <c r="M178" i="10"/>
  <c r="N178" i="10"/>
  <c r="M179" i="10"/>
  <c r="N179" i="10"/>
  <c r="M180" i="10"/>
  <c r="N180" i="10"/>
  <c r="M183" i="10"/>
  <c r="N183" i="10"/>
  <c r="M184" i="10"/>
  <c r="N184" i="10"/>
  <c r="M185" i="10"/>
  <c r="N185" i="10"/>
  <c r="M186" i="10"/>
  <c r="N186" i="10"/>
  <c r="M187" i="10"/>
  <c r="N187" i="10"/>
  <c r="M188" i="10"/>
  <c r="N188" i="10"/>
  <c r="M189" i="10"/>
  <c r="N189" i="10"/>
  <c r="M192" i="10"/>
  <c r="N192" i="10"/>
  <c r="M193" i="10"/>
  <c r="N193" i="10"/>
  <c r="M194" i="10"/>
  <c r="N194" i="10"/>
  <c r="M195" i="10"/>
  <c r="N195" i="10"/>
  <c r="M196" i="10"/>
  <c r="N196" i="10"/>
  <c r="M197" i="10"/>
  <c r="N197" i="10"/>
  <c r="M198" i="10"/>
  <c r="N198" i="10"/>
  <c r="M199" i="10"/>
  <c r="N199" i="10"/>
  <c r="M202" i="10"/>
  <c r="N202" i="10"/>
  <c r="M203" i="10"/>
  <c r="N203" i="10"/>
  <c r="M204" i="10"/>
  <c r="N204" i="10"/>
  <c r="M205" i="10"/>
  <c r="N205" i="10"/>
  <c r="M206" i="10"/>
  <c r="N206" i="10"/>
  <c r="M207" i="10"/>
  <c r="N207" i="10"/>
  <c r="M212" i="10"/>
  <c r="N212" i="10"/>
  <c r="M213" i="10"/>
  <c r="N213" i="10"/>
  <c r="M214" i="10"/>
  <c r="N214" i="10"/>
  <c r="M215" i="10"/>
  <c r="N215" i="10"/>
  <c r="M216" i="10"/>
  <c r="N216" i="10"/>
  <c r="M217" i="10"/>
  <c r="N217" i="10"/>
  <c r="M218" i="10"/>
  <c r="N218" i="10"/>
  <c r="M219" i="10"/>
  <c r="N219" i="10"/>
  <c r="M222" i="10"/>
  <c r="N222" i="10"/>
  <c r="M223" i="10"/>
  <c r="N223" i="10"/>
  <c r="M224" i="10"/>
  <c r="N224" i="10"/>
  <c r="M225" i="10"/>
  <c r="N225" i="10"/>
  <c r="M226" i="10"/>
  <c r="N226" i="10"/>
  <c r="M227" i="10"/>
  <c r="N227" i="10"/>
  <c r="M230" i="10"/>
  <c r="N230" i="10"/>
  <c r="M231" i="10"/>
  <c r="N231" i="10"/>
  <c r="M232" i="10"/>
  <c r="N232" i="10"/>
  <c r="M233" i="10"/>
  <c r="N233" i="10"/>
  <c r="M234" i="10"/>
  <c r="N234" i="10"/>
  <c r="M235" i="10"/>
  <c r="N235" i="10"/>
  <c r="M240" i="10"/>
  <c r="N240" i="10"/>
  <c r="M241" i="10"/>
  <c r="N241" i="10"/>
  <c r="M242" i="10"/>
  <c r="N242" i="10"/>
  <c r="M243" i="10"/>
  <c r="N243" i="10"/>
  <c r="M244" i="10"/>
  <c r="N244" i="10"/>
  <c r="M245" i="10"/>
  <c r="N245" i="10"/>
  <c r="M246" i="10"/>
  <c r="N246" i="10"/>
  <c r="M247" i="10"/>
  <c r="N247" i="10"/>
  <c r="M248" i="10"/>
  <c r="N248" i="10"/>
  <c r="M249" i="10"/>
  <c r="N249" i="10"/>
  <c r="M250" i="10"/>
  <c r="N250" i="10"/>
  <c r="M251" i="10"/>
  <c r="N251" i="10"/>
  <c r="M252" i="10"/>
  <c r="N252" i="10"/>
  <c r="M253" i="10"/>
  <c r="N253" i="10"/>
  <c r="M254" i="10"/>
  <c r="N254" i="10"/>
  <c r="M255" i="10"/>
  <c r="N255" i="10"/>
  <c r="M256" i="10"/>
  <c r="N256" i="10"/>
  <c r="M257" i="10"/>
  <c r="N257" i="10"/>
  <c r="M258" i="10"/>
  <c r="N258" i="10"/>
  <c r="M259" i="10"/>
  <c r="N259" i="10"/>
  <c r="M260" i="10"/>
  <c r="N260" i="10"/>
  <c r="M261" i="10"/>
  <c r="N261" i="10"/>
  <c r="M264" i="10"/>
  <c r="N264" i="10"/>
  <c r="M265" i="10"/>
  <c r="N265" i="10"/>
  <c r="M266" i="10"/>
  <c r="N266" i="10"/>
  <c r="M267" i="10"/>
  <c r="N267" i="10"/>
  <c r="M268" i="10"/>
  <c r="N268" i="10"/>
  <c r="M269" i="10"/>
  <c r="N269" i="10"/>
  <c r="M270" i="10"/>
  <c r="N270" i="10"/>
  <c r="M273" i="10"/>
  <c r="N273" i="10"/>
  <c r="M274" i="10"/>
  <c r="N274" i="10"/>
  <c r="M275" i="10"/>
  <c r="N275" i="10"/>
  <c r="M276" i="10"/>
  <c r="N276" i="10"/>
  <c r="M277" i="10"/>
  <c r="N277" i="10"/>
  <c r="M282" i="10"/>
  <c r="N282" i="10"/>
  <c r="M283" i="10"/>
  <c r="N283" i="10"/>
  <c r="M284" i="10"/>
  <c r="N284" i="10"/>
  <c r="M285" i="10"/>
  <c r="N285" i="10"/>
  <c r="M286" i="10"/>
  <c r="N286" i="10"/>
  <c r="M287" i="10"/>
  <c r="N287" i="10"/>
  <c r="M288" i="10"/>
  <c r="N288" i="10"/>
  <c r="M289" i="10"/>
  <c r="N289" i="10"/>
  <c r="M290" i="10"/>
  <c r="N290" i="10"/>
  <c r="M291" i="10"/>
  <c r="N291" i="10"/>
  <c r="M292" i="10"/>
  <c r="N292" i="10"/>
  <c r="M293" i="10"/>
  <c r="N293" i="10"/>
  <c r="M294" i="10"/>
  <c r="N294" i="10"/>
  <c r="M295" i="10"/>
  <c r="N295" i="10"/>
  <c r="M296" i="10"/>
  <c r="N296" i="10"/>
  <c r="M297" i="10"/>
  <c r="N297" i="10"/>
  <c r="M298" i="10"/>
  <c r="N298" i="10"/>
  <c r="M299" i="10"/>
  <c r="N299" i="10"/>
  <c r="M300" i="10"/>
  <c r="N300" i="10"/>
  <c r="M301" i="10"/>
  <c r="N301" i="10"/>
  <c r="M302" i="10"/>
  <c r="N302" i="10"/>
  <c r="M303" i="10"/>
  <c r="N303" i="10"/>
  <c r="M304" i="10"/>
  <c r="N304" i="10"/>
  <c r="M305" i="10"/>
  <c r="N305" i="10"/>
  <c r="M306" i="10"/>
  <c r="N306" i="10"/>
  <c r="M307" i="10"/>
  <c r="N307" i="10"/>
  <c r="M313" i="10"/>
  <c r="N313" i="10"/>
  <c r="M314" i="10"/>
  <c r="N314" i="10"/>
  <c r="M315" i="10"/>
  <c r="N315" i="10"/>
  <c r="M316" i="10"/>
  <c r="N316" i="10"/>
  <c r="M317" i="10"/>
  <c r="N317" i="10"/>
  <c r="M318" i="10"/>
  <c r="N318" i="10"/>
  <c r="M319" i="10"/>
  <c r="N319" i="10"/>
  <c r="M320" i="10"/>
  <c r="N320" i="10"/>
  <c r="M321" i="10"/>
  <c r="N321" i="10"/>
  <c r="M322" i="10"/>
  <c r="N322" i="10"/>
  <c r="M323" i="10"/>
  <c r="N323" i="10"/>
  <c r="M324" i="10"/>
  <c r="N324" i="10"/>
  <c r="M325" i="10"/>
  <c r="N325" i="10"/>
  <c r="M326" i="10"/>
  <c r="N326" i="10"/>
  <c r="M327" i="10"/>
  <c r="N327" i="10"/>
  <c r="M328" i="10"/>
  <c r="N328" i="10"/>
  <c r="M329" i="10"/>
  <c r="N329" i="10"/>
  <c r="M330" i="10"/>
  <c r="N330" i="10"/>
  <c r="M331" i="10"/>
  <c r="N331" i="10"/>
  <c r="M336" i="10"/>
  <c r="N336" i="10"/>
  <c r="M337" i="10"/>
  <c r="N337" i="10"/>
  <c r="M338" i="10"/>
  <c r="N338" i="10"/>
  <c r="M339" i="10"/>
  <c r="N339" i="10"/>
  <c r="M340" i="10"/>
  <c r="N340" i="10"/>
  <c r="M341" i="10"/>
  <c r="N341" i="10"/>
  <c r="M342" i="10"/>
  <c r="N342" i="10"/>
  <c r="M343" i="10"/>
  <c r="N343" i="10"/>
  <c r="M344" i="10"/>
  <c r="N344" i="10"/>
  <c r="M345" i="10"/>
  <c r="N345" i="10"/>
  <c r="M346" i="10"/>
  <c r="N346" i="10"/>
  <c r="M347" i="10"/>
  <c r="N347" i="10"/>
  <c r="M348" i="10"/>
  <c r="N348" i="10"/>
  <c r="M353" i="10"/>
  <c r="N353" i="10"/>
  <c r="M354" i="10"/>
  <c r="N354" i="10"/>
  <c r="M355" i="10"/>
  <c r="N355" i="10"/>
  <c r="M356" i="10"/>
  <c r="N356" i="10"/>
  <c r="M357" i="10"/>
  <c r="N357" i="10"/>
  <c r="M358" i="10"/>
  <c r="N358" i="10"/>
  <c r="M359" i="10"/>
  <c r="N359" i="10"/>
  <c r="M360" i="10"/>
  <c r="N360" i="10"/>
  <c r="M361" i="10"/>
  <c r="N361" i="10"/>
  <c r="M362" i="10"/>
  <c r="N362" i="10"/>
  <c r="M363" i="10"/>
  <c r="N363" i="10"/>
  <c r="M364" i="10"/>
  <c r="N364" i="10"/>
  <c r="M365" i="10"/>
  <c r="N365" i="10"/>
  <c r="M366" i="10"/>
  <c r="N366" i="10"/>
  <c r="M367" i="10"/>
  <c r="N367" i="10"/>
  <c r="M368" i="10"/>
  <c r="N368" i="10"/>
  <c r="M369" i="10"/>
  <c r="N369" i="10"/>
  <c r="M370" i="10"/>
  <c r="N370" i="10"/>
  <c r="M371" i="10"/>
  <c r="N371" i="10"/>
  <c r="M372" i="10"/>
  <c r="N372" i="10"/>
  <c r="M373" i="10"/>
  <c r="N373" i="10"/>
  <c r="M374" i="10"/>
  <c r="N374" i="10"/>
  <c r="M375" i="10"/>
  <c r="N375" i="10"/>
  <c r="M376" i="10"/>
  <c r="N376" i="10"/>
  <c r="M377" i="10"/>
  <c r="N377" i="10"/>
  <c r="M378" i="10"/>
  <c r="N378" i="10"/>
  <c r="M379" i="10"/>
  <c r="N379" i="10"/>
  <c r="M380" i="10"/>
  <c r="N380" i="10"/>
  <c r="M381" i="10"/>
  <c r="N381" i="10"/>
  <c r="M382" i="10"/>
  <c r="N382" i="10"/>
  <c r="M383" i="10"/>
  <c r="N383" i="10"/>
  <c r="M384" i="10"/>
  <c r="N384" i="10"/>
  <c r="M390" i="10"/>
  <c r="N390" i="10"/>
  <c r="M391" i="10"/>
  <c r="N391" i="10"/>
  <c r="M392" i="10"/>
  <c r="N392" i="10"/>
  <c r="M393" i="10"/>
  <c r="N393" i="10"/>
  <c r="M394" i="10"/>
  <c r="N394" i="10"/>
  <c r="M395" i="10"/>
  <c r="N395" i="10"/>
  <c r="M396" i="10"/>
  <c r="N396" i="10"/>
  <c r="M397" i="10"/>
  <c r="N397" i="10"/>
  <c r="M398" i="10"/>
  <c r="N398" i="10"/>
  <c r="M399" i="10"/>
  <c r="N399" i="10"/>
  <c r="M400" i="10"/>
  <c r="N400" i="10"/>
  <c r="M401" i="10"/>
  <c r="N401" i="10"/>
  <c r="M402" i="10"/>
  <c r="N402" i="10"/>
  <c r="M403" i="10"/>
  <c r="N403" i="10"/>
  <c r="M404" i="10"/>
  <c r="N404" i="10"/>
  <c r="M405" i="10"/>
  <c r="N405" i="10"/>
  <c r="M406" i="10"/>
  <c r="N406" i="10"/>
  <c r="M407" i="10"/>
  <c r="N407" i="10"/>
  <c r="M408" i="10"/>
  <c r="N408" i="10"/>
  <c r="M409" i="10"/>
  <c r="N409" i="10"/>
  <c r="M410" i="10"/>
  <c r="N410" i="10"/>
  <c r="M415" i="10"/>
  <c r="N415" i="10"/>
  <c r="M416" i="10"/>
  <c r="N416" i="10"/>
  <c r="M417" i="10"/>
  <c r="N417" i="10"/>
  <c r="M418" i="10"/>
  <c r="N418" i="10"/>
  <c r="M420" i="10"/>
  <c r="N420" i="10"/>
  <c r="M421" i="10"/>
  <c r="N421" i="10"/>
  <c r="M422" i="10"/>
  <c r="N422" i="10"/>
  <c r="M423" i="10"/>
  <c r="N423" i="10"/>
  <c r="M424" i="10"/>
  <c r="N424" i="10"/>
  <c r="M425" i="10"/>
  <c r="N425" i="10"/>
  <c r="M426" i="10"/>
  <c r="N426" i="10"/>
  <c r="M427" i="10"/>
  <c r="N427" i="10"/>
  <c r="M433" i="10"/>
  <c r="N433" i="10"/>
  <c r="M434" i="10"/>
  <c r="N434" i="10"/>
  <c r="M440" i="10"/>
  <c r="N440" i="10"/>
  <c r="M441" i="10"/>
  <c r="N441" i="10"/>
  <c r="M443" i="10"/>
  <c r="N443" i="10"/>
  <c r="M444" i="10"/>
  <c r="N444" i="10"/>
  <c r="M445" i="10"/>
  <c r="N445" i="10"/>
  <c r="M446" i="10"/>
  <c r="N446" i="10"/>
  <c r="M447" i="10"/>
  <c r="N447" i="10"/>
  <c r="M448" i="10"/>
  <c r="N448" i="10"/>
  <c r="M449" i="10"/>
  <c r="N449" i="10"/>
  <c r="M450" i="10"/>
  <c r="N450" i="10"/>
  <c r="M451" i="10"/>
  <c r="N451" i="10"/>
  <c r="M452" i="10"/>
  <c r="N452" i="10"/>
  <c r="M453" i="10"/>
  <c r="N453" i="10"/>
  <c r="M454" i="10"/>
  <c r="N454" i="10"/>
  <c r="M456" i="10"/>
  <c r="N456" i="10"/>
  <c r="M457" i="10"/>
  <c r="N457" i="10"/>
  <c r="M458" i="10"/>
  <c r="N458" i="10"/>
  <c r="M459" i="10"/>
  <c r="N459" i="10"/>
  <c r="M460" i="10"/>
  <c r="N460" i="10"/>
  <c r="M461" i="10"/>
  <c r="N461" i="10"/>
  <c r="M462" i="10"/>
  <c r="N462" i="10"/>
  <c r="M463" i="10"/>
  <c r="N463" i="10"/>
  <c r="M464" i="10"/>
  <c r="N464" i="10"/>
  <c r="M469" i="10"/>
  <c r="N469" i="10"/>
  <c r="M470" i="10"/>
  <c r="N470" i="10"/>
  <c r="M471" i="10"/>
  <c r="N471" i="10"/>
  <c r="M472" i="10"/>
  <c r="N472" i="10"/>
  <c r="M473" i="10"/>
  <c r="N473" i="10"/>
  <c r="M474" i="10"/>
  <c r="N474" i="10"/>
  <c r="M475" i="10"/>
  <c r="N475" i="10"/>
  <c r="M476" i="10"/>
  <c r="N476" i="10"/>
  <c r="M477" i="10"/>
  <c r="N477" i="10"/>
  <c r="M478" i="10"/>
  <c r="N478" i="10"/>
  <c r="M479" i="10"/>
  <c r="N479" i="10"/>
  <c r="M480" i="10"/>
  <c r="N480" i="10"/>
  <c r="M481" i="10"/>
  <c r="N481" i="10"/>
  <c r="M482" i="10"/>
  <c r="N482" i="10"/>
  <c r="M483" i="10"/>
  <c r="N483" i="10"/>
  <c r="M484" i="10"/>
  <c r="N484" i="10"/>
  <c r="M485" i="10"/>
  <c r="N485" i="10"/>
  <c r="M486" i="10"/>
  <c r="N486" i="10"/>
  <c r="M487" i="10"/>
  <c r="N487" i="10"/>
  <c r="M490" i="10"/>
  <c r="N490" i="10"/>
  <c r="M491" i="10"/>
  <c r="N491" i="10"/>
  <c r="M492" i="10"/>
  <c r="N492" i="10"/>
  <c r="M493" i="10"/>
  <c r="N493" i="10"/>
  <c r="M494" i="10"/>
  <c r="N494" i="10"/>
  <c r="M495" i="10"/>
  <c r="N495" i="10"/>
  <c r="M498" i="10"/>
  <c r="N498" i="10"/>
  <c r="M499" i="10"/>
  <c r="N499" i="10"/>
  <c r="M500" i="10"/>
  <c r="N500" i="10"/>
  <c r="M501" i="10"/>
  <c r="N501" i="10"/>
  <c r="M502" i="10"/>
  <c r="N502" i="10"/>
  <c r="M503" i="10"/>
  <c r="N503" i="10"/>
  <c r="M504" i="10"/>
  <c r="N504" i="10"/>
  <c r="M505" i="10"/>
  <c r="N505" i="10"/>
  <c r="M507" i="10"/>
  <c r="N507" i="10"/>
  <c r="M508" i="10"/>
  <c r="N508" i="10"/>
  <c r="M509" i="10"/>
  <c r="N509" i="10"/>
  <c r="M510" i="10"/>
  <c r="N510" i="10"/>
  <c r="M511" i="10"/>
  <c r="N511" i="10"/>
  <c r="M512" i="10"/>
  <c r="N512" i="10"/>
  <c r="M513" i="10"/>
  <c r="N513" i="10"/>
  <c r="M514" i="10"/>
  <c r="N514" i="10"/>
  <c r="M515" i="10"/>
  <c r="N515" i="10"/>
  <c r="M516" i="10"/>
  <c r="N516" i="10"/>
  <c r="M517" i="10"/>
  <c r="N517" i="10"/>
  <c r="M518" i="10"/>
  <c r="N518" i="10"/>
  <c r="M519" i="10"/>
  <c r="N519" i="10"/>
  <c r="M520" i="10"/>
  <c r="N520" i="10"/>
  <c r="M522" i="10"/>
  <c r="N522" i="10"/>
  <c r="M523" i="10"/>
  <c r="N523" i="10"/>
  <c r="M524" i="10"/>
  <c r="N524" i="10"/>
  <c r="M525" i="10"/>
  <c r="N525" i="10"/>
  <c r="M526" i="10"/>
  <c r="N526" i="10"/>
  <c r="M527" i="10"/>
  <c r="N527" i="10"/>
  <c r="M528" i="10"/>
  <c r="N528" i="10"/>
  <c r="M529" i="10"/>
  <c r="N529" i="10"/>
  <c r="M530" i="10"/>
  <c r="N530" i="10"/>
  <c r="M531" i="10"/>
  <c r="N531" i="10"/>
  <c r="M532" i="10"/>
  <c r="N532" i="10"/>
  <c r="M533" i="10"/>
  <c r="N533" i="10"/>
  <c r="M534" i="10"/>
  <c r="N534" i="10"/>
  <c r="M535" i="10"/>
  <c r="N535" i="10"/>
  <c r="M536" i="10"/>
  <c r="N536" i="10"/>
  <c r="M537" i="10"/>
  <c r="N537" i="10"/>
  <c r="M538" i="10"/>
  <c r="N538" i="10"/>
  <c r="M543" i="10"/>
  <c r="N543" i="10"/>
  <c r="M544" i="10"/>
  <c r="N544" i="10"/>
  <c r="M545" i="10"/>
  <c r="N545" i="10"/>
  <c r="M546" i="10"/>
  <c r="N546" i="10"/>
  <c r="M547" i="10"/>
  <c r="N547" i="10"/>
  <c r="M548" i="10"/>
  <c r="N548" i="10"/>
  <c r="M552" i="10"/>
  <c r="N552" i="10"/>
  <c r="M553" i="10"/>
  <c r="N553" i="10"/>
  <c r="M554" i="10"/>
  <c r="N554" i="10"/>
  <c r="M555" i="10"/>
  <c r="N555" i="10"/>
  <c r="M556" i="10"/>
  <c r="N556" i="10"/>
  <c r="M557" i="10"/>
  <c r="N557" i="10"/>
  <c r="M558" i="10"/>
  <c r="N558" i="10"/>
  <c r="M563" i="10"/>
  <c r="N563" i="10"/>
  <c r="M564" i="10"/>
  <c r="N564" i="10"/>
  <c r="M565" i="10"/>
  <c r="N565" i="10"/>
  <c r="M566" i="10"/>
  <c r="N566" i="10"/>
  <c r="M571" i="10"/>
  <c r="N571" i="10"/>
  <c r="M572" i="10"/>
  <c r="N572" i="10"/>
  <c r="M573" i="10"/>
  <c r="N573" i="10"/>
  <c r="M574" i="10"/>
  <c r="N574" i="10"/>
  <c r="M575" i="10"/>
  <c r="N575" i="10"/>
  <c r="M576" i="10"/>
  <c r="N576" i="10"/>
  <c r="M577" i="10"/>
  <c r="N577" i="10"/>
  <c r="M578" i="10"/>
  <c r="N578" i="10"/>
  <c r="M579" i="10"/>
  <c r="N579" i="10"/>
  <c r="M580" i="10"/>
  <c r="N580" i="10"/>
  <c r="M581" i="10"/>
  <c r="N581" i="10"/>
  <c r="M582" i="10"/>
  <c r="N582" i="10"/>
  <c r="M583" i="10"/>
  <c r="N583" i="10"/>
  <c r="M584" i="10"/>
  <c r="N584" i="10"/>
  <c r="M590" i="10"/>
  <c r="N590" i="10"/>
  <c r="M591" i="10"/>
  <c r="N591" i="10"/>
  <c r="M592" i="10"/>
  <c r="N592" i="10"/>
  <c r="M593" i="10"/>
  <c r="N593" i="10"/>
  <c r="M594" i="10"/>
  <c r="N594" i="10"/>
  <c r="M595" i="10"/>
  <c r="N595" i="10"/>
  <c r="M596" i="10"/>
  <c r="N596" i="10"/>
  <c r="M597" i="10"/>
  <c r="N597" i="10"/>
  <c r="M598" i="10"/>
  <c r="N598" i="10"/>
  <c r="M599" i="10"/>
  <c r="N599" i="10"/>
  <c r="M600" i="10"/>
  <c r="N600" i="10"/>
  <c r="M601" i="10"/>
  <c r="N601" i="10"/>
  <c r="M602" i="10"/>
  <c r="N602" i="10"/>
  <c r="M603" i="10"/>
  <c r="N603" i="10"/>
  <c r="M604" i="10"/>
  <c r="N604" i="10"/>
  <c r="M605" i="10"/>
  <c r="N605" i="10"/>
  <c r="M606" i="10"/>
  <c r="N606" i="10"/>
  <c r="M607" i="10"/>
  <c r="N607" i="10"/>
  <c r="M611" i="10"/>
  <c r="N611" i="10"/>
  <c r="M612" i="10"/>
  <c r="N612" i="10"/>
  <c r="M613" i="10"/>
  <c r="N613" i="10"/>
  <c r="M614" i="10"/>
  <c r="N614" i="10"/>
  <c r="M615" i="10"/>
  <c r="N615" i="10"/>
  <c r="M616" i="10"/>
  <c r="N616" i="10"/>
  <c r="M617" i="10"/>
  <c r="N617" i="10"/>
  <c r="M618" i="10"/>
  <c r="N618" i="10"/>
  <c r="M623" i="10"/>
  <c r="N623" i="10"/>
  <c r="M624" i="10"/>
  <c r="N624" i="10"/>
  <c r="M625" i="10"/>
  <c r="N625" i="10"/>
  <c r="M626" i="10"/>
  <c r="N626" i="10"/>
  <c r="M627" i="10"/>
  <c r="N627" i="10"/>
  <c r="M628" i="10"/>
  <c r="N628" i="10"/>
  <c r="M633" i="10"/>
  <c r="N633" i="10"/>
  <c r="M634" i="10"/>
  <c r="N634" i="10"/>
  <c r="M635" i="10"/>
  <c r="N635" i="10"/>
  <c r="M636" i="10"/>
  <c r="N636" i="10"/>
  <c r="M637" i="10"/>
  <c r="N637" i="10"/>
  <c r="M638" i="10"/>
  <c r="N638" i="10"/>
  <c r="M639" i="10"/>
  <c r="N639" i="10"/>
  <c r="M643" i="10"/>
  <c r="N643" i="10"/>
  <c r="M644" i="10"/>
  <c r="N644" i="10"/>
  <c r="M645" i="10"/>
  <c r="N645" i="10"/>
  <c r="M646" i="10"/>
  <c r="N646" i="10"/>
  <c r="M647" i="10"/>
  <c r="N647" i="10"/>
  <c r="M648" i="10"/>
  <c r="N648" i="10"/>
  <c r="M653" i="10"/>
  <c r="N653" i="10"/>
  <c r="M654" i="10"/>
  <c r="N654" i="10"/>
  <c r="M655" i="10"/>
  <c r="N655" i="10"/>
  <c r="M656" i="10"/>
  <c r="N656" i="10"/>
  <c r="M657" i="10"/>
  <c r="N657" i="10"/>
  <c r="M658" i="10"/>
  <c r="N658" i="10"/>
  <c r="M659" i="10"/>
  <c r="N659" i="10"/>
  <c r="M660" i="10"/>
  <c r="N660" i="10"/>
  <c r="M664" i="10"/>
  <c r="N664" i="10"/>
  <c r="M665" i="10"/>
  <c r="N665" i="10"/>
  <c r="M666" i="10"/>
  <c r="N666" i="10"/>
  <c r="M667" i="10"/>
  <c r="N667" i="10"/>
  <c r="M668" i="10"/>
  <c r="N668" i="10"/>
  <c r="M669" i="10"/>
  <c r="N669" i="10"/>
  <c r="M673" i="10"/>
  <c r="N673" i="10"/>
  <c r="M674" i="10"/>
  <c r="N674" i="10"/>
  <c r="M675" i="10"/>
  <c r="N675" i="10"/>
  <c r="M676" i="10"/>
  <c r="N676" i="10"/>
  <c r="M677" i="10"/>
  <c r="N677" i="10"/>
  <c r="M678" i="10"/>
  <c r="N678" i="10"/>
  <c r="M679" i="10"/>
  <c r="N679" i="10"/>
  <c r="M682" i="10"/>
  <c r="N682" i="10"/>
  <c r="M683" i="10"/>
  <c r="N683" i="10"/>
  <c r="M684" i="10"/>
  <c r="N684" i="10"/>
  <c r="M685" i="10"/>
  <c r="N685" i="10"/>
  <c r="M686" i="10"/>
  <c r="N686" i="10"/>
  <c r="M687" i="10"/>
  <c r="N687" i="10"/>
  <c r="M691" i="10"/>
  <c r="N691" i="10"/>
  <c r="M692" i="10"/>
  <c r="N692" i="10"/>
  <c r="M693" i="10"/>
  <c r="N693" i="10"/>
  <c r="M694" i="10"/>
  <c r="N694" i="10"/>
  <c r="M695" i="10"/>
  <c r="N695" i="10"/>
  <c r="M699" i="10"/>
  <c r="N699" i="10"/>
  <c r="M700" i="10"/>
  <c r="N700" i="10"/>
  <c r="M701" i="10"/>
  <c r="N701" i="10"/>
  <c r="M702" i="10"/>
  <c r="N702" i="10"/>
  <c r="M703" i="10"/>
  <c r="N703" i="10"/>
  <c r="M711" i="10"/>
  <c r="N711" i="10"/>
  <c r="M712" i="10"/>
  <c r="N712" i="10"/>
  <c r="M713" i="10"/>
  <c r="N713" i="10"/>
  <c r="M714" i="10"/>
  <c r="N714" i="10"/>
  <c r="M715" i="10"/>
  <c r="N715" i="10"/>
  <c r="M716" i="10"/>
  <c r="N716" i="10"/>
  <c r="M717" i="10"/>
  <c r="N717" i="10"/>
  <c r="M718" i="10"/>
  <c r="N718" i="10"/>
  <c r="M719" i="10"/>
  <c r="N719" i="10"/>
  <c r="M720" i="10"/>
  <c r="N720" i="10"/>
  <c r="M721" i="10"/>
  <c r="N721" i="10"/>
  <c r="M722" i="10"/>
  <c r="N722" i="10"/>
  <c r="M723" i="10"/>
  <c r="N723" i="10"/>
  <c r="M724" i="10"/>
  <c r="N724" i="10"/>
  <c r="M725" i="10"/>
  <c r="N725" i="10"/>
  <c r="M726" i="10"/>
  <c r="N726" i="10"/>
  <c r="M727" i="10"/>
  <c r="N727" i="10"/>
  <c r="M728" i="10"/>
  <c r="N728" i="10"/>
  <c r="M729" i="10"/>
  <c r="N729" i="10"/>
  <c r="M730" i="10"/>
  <c r="N730" i="10"/>
  <c r="M731" i="10"/>
  <c r="N731" i="10"/>
  <c r="M732" i="10"/>
  <c r="N732" i="10"/>
  <c r="M733" i="10"/>
  <c r="N733" i="10"/>
  <c r="M734" i="10"/>
  <c r="N734" i="10"/>
  <c r="M735" i="10"/>
  <c r="N735" i="10"/>
  <c r="M736" i="10"/>
  <c r="N736" i="10"/>
  <c r="M737" i="10"/>
  <c r="N737" i="10"/>
  <c r="M738" i="10"/>
  <c r="N738" i="10"/>
  <c r="M739" i="10"/>
  <c r="N739" i="10"/>
  <c r="M740" i="10"/>
  <c r="N740" i="10"/>
  <c r="M745" i="10"/>
  <c r="N745" i="10"/>
  <c r="M746" i="10"/>
  <c r="N746" i="10"/>
  <c r="M747" i="10"/>
  <c r="N747" i="10"/>
  <c r="M748" i="10"/>
  <c r="N748" i="10"/>
  <c r="M749" i="10"/>
  <c r="N749" i="10"/>
  <c r="M750" i="10"/>
  <c r="N750" i="10"/>
  <c r="M754" i="10"/>
  <c r="N754" i="10"/>
  <c r="M755" i="10"/>
  <c r="N755" i="10"/>
  <c r="M756" i="10"/>
  <c r="N756" i="10"/>
  <c r="M757" i="10"/>
  <c r="N757" i="10"/>
  <c r="M758" i="10"/>
  <c r="N758" i="10"/>
  <c r="M759" i="10"/>
  <c r="N759" i="10"/>
  <c r="M763" i="10"/>
  <c r="N763" i="10"/>
  <c r="M764" i="10"/>
  <c r="N764" i="10"/>
  <c r="M765" i="10"/>
  <c r="N765" i="10"/>
  <c r="M766" i="10"/>
  <c r="N766" i="10"/>
  <c r="M774" i="10"/>
  <c r="N774" i="10"/>
  <c r="M775" i="10"/>
  <c r="N775" i="10"/>
  <c r="M776" i="10"/>
  <c r="N776" i="10"/>
  <c r="M777" i="10"/>
  <c r="N777" i="10"/>
  <c r="M778" i="10"/>
  <c r="N778" i="10"/>
  <c r="M779" i="10"/>
  <c r="N779" i="10"/>
  <c r="M780" i="10"/>
  <c r="N780" i="10"/>
  <c r="M781" i="10"/>
  <c r="N781" i="10"/>
  <c r="M782" i="10"/>
  <c r="N782" i="10"/>
  <c r="M783" i="10"/>
  <c r="N783" i="10"/>
  <c r="M784" i="10"/>
  <c r="N784" i="10"/>
  <c r="M785" i="10"/>
  <c r="N785" i="10"/>
  <c r="M786" i="10"/>
  <c r="N786" i="10"/>
  <c r="M789" i="10"/>
  <c r="N789" i="10"/>
  <c r="M790" i="10"/>
  <c r="N790" i="10"/>
  <c r="M791" i="10"/>
  <c r="N791" i="10"/>
  <c r="M792" i="10"/>
  <c r="N792" i="10"/>
  <c r="M793" i="10"/>
  <c r="N793" i="10"/>
  <c r="M799" i="10"/>
  <c r="N799" i="10"/>
  <c r="M800" i="10"/>
  <c r="N800" i="10"/>
  <c r="M801" i="10"/>
  <c r="N801" i="10"/>
  <c r="M802" i="10"/>
  <c r="N802" i="10"/>
  <c r="M803" i="10"/>
  <c r="N803" i="10"/>
  <c r="M804" i="10"/>
  <c r="N804" i="10"/>
  <c r="M805" i="10"/>
  <c r="N805" i="10"/>
  <c r="M806" i="10"/>
  <c r="N806" i="10"/>
  <c r="M807" i="10"/>
  <c r="N807" i="10"/>
  <c r="M808" i="10"/>
  <c r="N808" i="10"/>
  <c r="M809" i="10"/>
  <c r="N809" i="10"/>
  <c r="M810" i="10"/>
  <c r="N810" i="10"/>
  <c r="M811" i="10"/>
  <c r="N811" i="10"/>
  <c r="M812" i="10"/>
  <c r="N812" i="10"/>
  <c r="M815" i="10"/>
  <c r="N815" i="10"/>
  <c r="M816" i="10"/>
  <c r="N816" i="10"/>
  <c r="M817" i="10"/>
  <c r="N817" i="10"/>
  <c r="M818" i="10"/>
  <c r="N818" i="10"/>
  <c r="M819" i="10"/>
  <c r="N819" i="10"/>
  <c r="M820" i="10"/>
  <c r="N820" i="10"/>
  <c r="M821" i="10"/>
  <c r="N821" i="10"/>
  <c r="M822" i="10"/>
  <c r="N822" i="10"/>
  <c r="M823" i="10"/>
  <c r="N823" i="10"/>
  <c r="M824" i="10"/>
  <c r="N824" i="10"/>
  <c r="M825" i="10"/>
  <c r="N825" i="10"/>
  <c r="M826" i="10"/>
  <c r="N826" i="10"/>
  <c r="M827" i="10"/>
  <c r="N827" i="10"/>
  <c r="M828" i="10"/>
  <c r="N828" i="10"/>
  <c r="M829" i="10"/>
  <c r="N829" i="10"/>
  <c r="M830" i="10"/>
  <c r="N830" i="10"/>
  <c r="M831" i="10"/>
  <c r="N831" i="10"/>
  <c r="M832" i="10"/>
  <c r="N832" i="10"/>
  <c r="M833" i="10"/>
  <c r="N833" i="10"/>
  <c r="M834" i="10"/>
  <c r="N834" i="10"/>
  <c r="M835" i="10"/>
  <c r="N835" i="10"/>
  <c r="M841" i="10"/>
  <c r="N841" i="10"/>
  <c r="M842" i="10"/>
  <c r="N842" i="10"/>
  <c r="M843" i="10"/>
  <c r="N843" i="10"/>
  <c r="M844" i="10"/>
  <c r="N844" i="10"/>
  <c r="M845" i="10"/>
  <c r="N845" i="10"/>
  <c r="M846" i="10"/>
  <c r="N846" i="10"/>
  <c r="M847" i="10"/>
  <c r="N847" i="10"/>
  <c r="M848" i="10"/>
  <c r="N848" i="10"/>
  <c r="M849" i="10"/>
  <c r="N849" i="10"/>
  <c r="M850" i="10"/>
  <c r="N850" i="10"/>
  <c r="M851" i="10"/>
  <c r="N851" i="10"/>
  <c r="M853" i="10"/>
  <c r="N853" i="10"/>
  <c r="M854" i="10"/>
  <c r="N854" i="10"/>
  <c r="M855" i="10"/>
  <c r="N855" i="10"/>
  <c r="M856" i="10"/>
  <c r="N856" i="10"/>
  <c r="M857" i="10"/>
  <c r="N857" i="10"/>
  <c r="M858" i="10"/>
  <c r="N858" i="10"/>
  <c r="M859" i="10"/>
  <c r="N859" i="10"/>
  <c r="M862" i="10"/>
  <c r="N862" i="10"/>
  <c r="M863" i="10"/>
  <c r="N863" i="10"/>
  <c r="M864" i="10"/>
  <c r="N864" i="10"/>
  <c r="M865" i="10"/>
  <c r="N865" i="10"/>
  <c r="M866" i="10"/>
  <c r="N866" i="10"/>
  <c r="M867" i="10"/>
  <c r="N867" i="10"/>
  <c r="M868" i="10"/>
  <c r="N868" i="10"/>
  <c r="M869" i="10"/>
  <c r="N869" i="10"/>
  <c r="M873" i="10"/>
  <c r="N873" i="10"/>
  <c r="M874" i="10"/>
  <c r="N874" i="10"/>
  <c r="M875" i="10"/>
  <c r="N875" i="10"/>
  <c r="M876" i="10"/>
  <c r="N876" i="10"/>
  <c r="M877" i="10"/>
  <c r="N877" i="10"/>
  <c r="M878" i="10"/>
  <c r="N878" i="10"/>
  <c r="M879" i="10"/>
  <c r="N879" i="10"/>
  <c r="M880" i="10"/>
  <c r="N880" i="10"/>
  <c r="M881" i="10"/>
  <c r="N881" i="10"/>
  <c r="M882" i="10"/>
  <c r="N882" i="10"/>
  <c r="M883" i="10"/>
  <c r="N883" i="10"/>
  <c r="M884" i="10"/>
  <c r="N884" i="10"/>
  <c r="M885" i="10"/>
  <c r="N885" i="10"/>
  <c r="M886" i="10"/>
  <c r="N886" i="10"/>
  <c r="M887" i="10"/>
  <c r="N887" i="10"/>
  <c r="M888" i="10"/>
  <c r="N888" i="10"/>
  <c r="M889" i="10"/>
  <c r="N889" i="10"/>
  <c r="M890" i="10"/>
  <c r="N890" i="10"/>
  <c r="M891" i="10"/>
  <c r="N891" i="10"/>
  <c r="M892" i="10"/>
  <c r="N892" i="10"/>
  <c r="M893" i="10"/>
  <c r="N893" i="10"/>
  <c r="M894" i="10"/>
  <c r="N894" i="10"/>
  <c r="M895" i="10"/>
  <c r="N895" i="10"/>
  <c r="M896" i="10"/>
  <c r="N896" i="10"/>
  <c r="M897" i="10"/>
  <c r="N897" i="10"/>
  <c r="M898" i="10"/>
  <c r="N898" i="10"/>
  <c r="M899" i="10"/>
  <c r="N899" i="10"/>
  <c r="M900" i="10"/>
  <c r="N900" i="10"/>
  <c r="M901" i="10"/>
  <c r="N901" i="10"/>
  <c r="M902" i="10"/>
  <c r="N902" i="10"/>
  <c r="M903" i="10"/>
  <c r="N903" i="10"/>
  <c r="M904" i="10"/>
  <c r="N904" i="10"/>
  <c r="M905" i="10"/>
  <c r="N905" i="10"/>
  <c r="M906" i="10"/>
  <c r="N906" i="10"/>
  <c r="M907" i="10"/>
  <c r="N907" i="10"/>
  <c r="M908" i="10"/>
  <c r="N908" i="10"/>
  <c r="M909" i="10"/>
  <c r="N909" i="10"/>
  <c r="M910" i="10"/>
  <c r="N910" i="10"/>
  <c r="M911" i="10"/>
  <c r="N911" i="10"/>
  <c r="M912" i="10"/>
  <c r="N912" i="10"/>
  <c r="M913" i="10"/>
  <c r="N913" i="10"/>
  <c r="M914" i="10"/>
  <c r="N914" i="10"/>
  <c r="M915" i="10"/>
  <c r="N915" i="10"/>
  <c r="M916" i="10"/>
  <c r="N916" i="10"/>
  <c r="M917" i="10"/>
  <c r="N917" i="10"/>
  <c r="M918" i="10"/>
  <c r="N918" i="10"/>
  <c r="M919" i="10"/>
  <c r="N919" i="10"/>
  <c r="M920" i="10"/>
  <c r="N920" i="10"/>
  <c r="M921" i="10"/>
  <c r="N921" i="10"/>
  <c r="M922" i="10"/>
  <c r="N922" i="10"/>
  <c r="M923" i="10"/>
  <c r="N923" i="10"/>
  <c r="M924" i="10"/>
  <c r="N924" i="10"/>
  <c r="M925" i="10"/>
  <c r="N925" i="10"/>
  <c r="M926" i="10"/>
  <c r="N926" i="10"/>
  <c r="M927" i="10"/>
  <c r="N927" i="10"/>
  <c r="M928" i="10"/>
  <c r="N928" i="10"/>
  <c r="M929" i="10"/>
  <c r="N929" i="10"/>
  <c r="M930" i="10"/>
  <c r="N930" i="10"/>
  <c r="M931" i="10"/>
  <c r="N931" i="10"/>
  <c r="M932" i="10"/>
  <c r="N932" i="10"/>
  <c r="M933" i="10"/>
  <c r="N933" i="10"/>
  <c r="M934" i="10"/>
  <c r="N934" i="10"/>
  <c r="M935" i="10"/>
  <c r="N935" i="10"/>
  <c r="M936" i="10"/>
  <c r="N936" i="10"/>
  <c r="M937" i="10"/>
  <c r="N937" i="10"/>
  <c r="M940" i="10"/>
  <c r="N940" i="10"/>
  <c r="M941" i="10"/>
  <c r="N941" i="10"/>
  <c r="M942" i="10"/>
  <c r="N942" i="10"/>
  <c r="M943" i="10"/>
  <c r="N943" i="10"/>
  <c r="M944" i="10"/>
  <c r="N944" i="10"/>
  <c r="M947" i="10"/>
  <c r="N947" i="10"/>
  <c r="M948" i="10"/>
  <c r="N948" i="10"/>
  <c r="M949" i="10"/>
  <c r="N949" i="10"/>
  <c r="M950" i="10"/>
  <c r="N950" i="10"/>
  <c r="M951" i="10"/>
  <c r="N951" i="10"/>
  <c r="M952" i="10"/>
  <c r="N952" i="10"/>
  <c r="M955" i="10"/>
  <c r="N955" i="10"/>
  <c r="M956" i="10"/>
  <c r="N956" i="10"/>
  <c r="M957" i="10"/>
  <c r="N957" i="10"/>
  <c r="M958" i="10"/>
  <c r="N958" i="10"/>
  <c r="M959" i="10"/>
  <c r="N959" i="10"/>
  <c r="M960" i="10"/>
  <c r="N960" i="10"/>
  <c r="M963" i="10"/>
  <c r="N963" i="10"/>
  <c r="M964" i="10"/>
  <c r="N964" i="10"/>
  <c r="M965" i="10"/>
  <c r="N965" i="10"/>
  <c r="M966" i="10"/>
  <c r="N966" i="10"/>
  <c r="M967" i="10"/>
  <c r="N967" i="10"/>
  <c r="M968" i="10"/>
  <c r="N968" i="10"/>
  <c r="M971" i="10"/>
  <c r="N971" i="10"/>
  <c r="M972" i="10"/>
  <c r="N972" i="10"/>
  <c r="M973" i="10"/>
  <c r="N973" i="10"/>
  <c r="M974" i="10"/>
  <c r="N974" i="10"/>
  <c r="M975" i="10"/>
  <c r="N975" i="10"/>
  <c r="M976" i="10"/>
  <c r="N976" i="10"/>
  <c r="M980" i="10"/>
  <c r="N980" i="10"/>
  <c r="M981" i="10"/>
  <c r="N981" i="10"/>
  <c r="M982" i="10"/>
  <c r="N982" i="10"/>
  <c r="M983" i="10"/>
  <c r="N983" i="10"/>
  <c r="M984" i="10"/>
  <c r="N984" i="10"/>
  <c r="M985" i="10"/>
  <c r="N985" i="10"/>
  <c r="M986" i="10"/>
  <c r="N986" i="10"/>
  <c r="M987" i="10"/>
  <c r="N987" i="10"/>
  <c r="M988" i="10"/>
  <c r="N988" i="10"/>
  <c r="M989" i="10"/>
  <c r="N989" i="10"/>
  <c r="M990" i="10"/>
  <c r="N990" i="10"/>
  <c r="M991" i="10"/>
  <c r="N991" i="10"/>
  <c r="M992" i="10"/>
  <c r="N992" i="10"/>
  <c r="M993" i="10"/>
  <c r="N993" i="10"/>
  <c r="M994" i="10"/>
  <c r="N994" i="10"/>
  <c r="M995" i="10"/>
  <c r="N995" i="10"/>
  <c r="M996" i="10"/>
  <c r="N996" i="10"/>
  <c r="M997" i="10"/>
  <c r="N997" i="10"/>
  <c r="M998" i="10"/>
  <c r="N998" i="10"/>
  <c r="M999" i="10"/>
  <c r="N999" i="10"/>
  <c r="M1000" i="10"/>
  <c r="N1000" i="10"/>
  <c r="M1001" i="10"/>
  <c r="N1001" i="10"/>
  <c r="M1002" i="10"/>
  <c r="N1002" i="10"/>
  <c r="M1003" i="10"/>
  <c r="N1003" i="10"/>
  <c r="M1004" i="10"/>
  <c r="N1004" i="10"/>
  <c r="M1005" i="10"/>
  <c r="N1005" i="10"/>
  <c r="M1006" i="10"/>
  <c r="N1006" i="10"/>
  <c r="M1007" i="10"/>
  <c r="N1007" i="10"/>
  <c r="M1008" i="10"/>
  <c r="N1008" i="10"/>
  <c r="M1012" i="10"/>
  <c r="N1012" i="10"/>
  <c r="M1013" i="10"/>
  <c r="N1013" i="10"/>
  <c r="M1014" i="10"/>
  <c r="N1014" i="10"/>
  <c r="M1015" i="10"/>
  <c r="N1015" i="10"/>
  <c r="M1016" i="10"/>
  <c r="N1016" i="10"/>
  <c r="M1017" i="10"/>
  <c r="N1017" i="10"/>
  <c r="M1018" i="10"/>
  <c r="N1018" i="10"/>
  <c r="M1019" i="10"/>
  <c r="N1019" i="10"/>
  <c r="M1020" i="10"/>
  <c r="N1020" i="10"/>
  <c r="M1021" i="10"/>
  <c r="N1021" i="10"/>
  <c r="M1022" i="10"/>
  <c r="N1022" i="10"/>
  <c r="M1023" i="10"/>
  <c r="N1023" i="10"/>
  <c r="M1024" i="10"/>
  <c r="N1024" i="10"/>
  <c r="M1025" i="10"/>
  <c r="N1025" i="10"/>
  <c r="M1029" i="10"/>
  <c r="N1029" i="10"/>
  <c r="M1030" i="10"/>
  <c r="N1030" i="10"/>
  <c r="M1031" i="10"/>
  <c r="N1031" i="10"/>
  <c r="M1032" i="10"/>
  <c r="N1032" i="10"/>
  <c r="M1033" i="10"/>
  <c r="N1033" i="10"/>
  <c r="M1034" i="10"/>
  <c r="N1034" i="10"/>
  <c r="M1035" i="10"/>
  <c r="N1035" i="10"/>
  <c r="M1036" i="10"/>
  <c r="N1036" i="10"/>
  <c r="M1037" i="10"/>
  <c r="N1037" i="10"/>
  <c r="M1038" i="10"/>
  <c r="N1038" i="10"/>
  <c r="M1039" i="10"/>
  <c r="N1039" i="10"/>
  <c r="M1040" i="10"/>
  <c r="N1040" i="10"/>
  <c r="M1044" i="10"/>
  <c r="N1044" i="10"/>
  <c r="M1045" i="10"/>
  <c r="N1045" i="10"/>
  <c r="M1046" i="10"/>
  <c r="N1046" i="10"/>
  <c r="M1047" i="10"/>
  <c r="N1047" i="10"/>
  <c r="M1048" i="10"/>
  <c r="N1048" i="10"/>
  <c r="M1049" i="10"/>
  <c r="N1049" i="10"/>
  <c r="M1050" i="10"/>
  <c r="N1050" i="10"/>
  <c r="M1051" i="10"/>
  <c r="N1051" i="10"/>
  <c r="M1052" i="10"/>
  <c r="N1052" i="10"/>
  <c r="M1053" i="10"/>
  <c r="N1053" i="10"/>
  <c r="M1054" i="10"/>
  <c r="N1054" i="10"/>
  <c r="M1055" i="10"/>
  <c r="N1055" i="10"/>
  <c r="M1056" i="10"/>
  <c r="N1056" i="10"/>
  <c r="M1057" i="10"/>
  <c r="N1057" i="10"/>
  <c r="M1060" i="10"/>
  <c r="N1060" i="10"/>
  <c r="M1061" i="10"/>
  <c r="N1061" i="10"/>
  <c r="M1062" i="10"/>
  <c r="N1062" i="10"/>
  <c r="M1063" i="10"/>
  <c r="N1063" i="10"/>
  <c r="M1064" i="10"/>
  <c r="N1064" i="10"/>
  <c r="M1065" i="10"/>
  <c r="N1065" i="10"/>
  <c r="M1066" i="10"/>
  <c r="N1066" i="10"/>
  <c r="M1067" i="10"/>
  <c r="N1067" i="10"/>
  <c r="M1070" i="10"/>
  <c r="N1070" i="10"/>
  <c r="M1071" i="10"/>
  <c r="N1071" i="10"/>
  <c r="M1072" i="10"/>
  <c r="N1072" i="10"/>
  <c r="M1073" i="10"/>
  <c r="N1073" i="10"/>
  <c r="M1074" i="10"/>
  <c r="N1074" i="10"/>
  <c r="M1075" i="10"/>
  <c r="N1075" i="10"/>
  <c r="M1076" i="10"/>
  <c r="N1076" i="10"/>
  <c r="M1081" i="10"/>
  <c r="N1081" i="10"/>
  <c r="M1082" i="10"/>
  <c r="N1082" i="10"/>
  <c r="M1083" i="10"/>
  <c r="N1083" i="10"/>
  <c r="M1084" i="10"/>
  <c r="N1084" i="10"/>
  <c r="M1085" i="10"/>
  <c r="N1085" i="10"/>
  <c r="M1086" i="10"/>
  <c r="N1086" i="10"/>
  <c r="M1087" i="10"/>
  <c r="N1087" i="10"/>
  <c r="M1088" i="10"/>
  <c r="N1088" i="10"/>
  <c r="M1089" i="10"/>
  <c r="N1089" i="10"/>
  <c r="M1090" i="10"/>
  <c r="N1090" i="10"/>
  <c r="M1091" i="10"/>
  <c r="N1091" i="10"/>
  <c r="M1092" i="10"/>
  <c r="N1092" i="10"/>
  <c r="M1093" i="10"/>
  <c r="N1093" i="10"/>
  <c r="M1094" i="10"/>
  <c r="N1094" i="10"/>
  <c r="M1095" i="10"/>
  <c r="N1095" i="10"/>
  <c r="M1096" i="10"/>
  <c r="N1096" i="10"/>
  <c r="M1097" i="10"/>
  <c r="N1097" i="10"/>
  <c r="M1098" i="10"/>
  <c r="N1098" i="10"/>
  <c r="M1099" i="10"/>
  <c r="N1099" i="10"/>
  <c r="M1100" i="10"/>
  <c r="N1100" i="10"/>
  <c r="M1104" i="10"/>
  <c r="N1104" i="10"/>
  <c r="M1105" i="10"/>
  <c r="N1105" i="10"/>
  <c r="M1106" i="10"/>
  <c r="N1106" i="10"/>
  <c r="M1107" i="10"/>
  <c r="N1107" i="10"/>
  <c r="M1108" i="10"/>
  <c r="N1108" i="10"/>
  <c r="M1109" i="10"/>
  <c r="N1109" i="10"/>
  <c r="M1110" i="10"/>
  <c r="N1110" i="10"/>
  <c r="M1111" i="10"/>
  <c r="N1111" i="10"/>
  <c r="M1115" i="10"/>
  <c r="N1115" i="10"/>
  <c r="M1116" i="10"/>
  <c r="N1116" i="10"/>
  <c r="M1117" i="10"/>
  <c r="N1117" i="10"/>
  <c r="M1118" i="10"/>
  <c r="N1118" i="10"/>
  <c r="M1119" i="10"/>
  <c r="N1119" i="10"/>
  <c r="M1120" i="10"/>
  <c r="N1120" i="10"/>
  <c r="M1121" i="10"/>
  <c r="N1121" i="10"/>
  <c r="M1122" i="10"/>
  <c r="N1122" i="10"/>
  <c r="M1123" i="10"/>
  <c r="N1123" i="10"/>
  <c r="M1124" i="10"/>
  <c r="N1124" i="10"/>
  <c r="M1125" i="10"/>
  <c r="N1125" i="10"/>
  <c r="M1126" i="10"/>
  <c r="N1126" i="10"/>
  <c r="M1127" i="10"/>
  <c r="N1127" i="10"/>
  <c r="M1128" i="10"/>
  <c r="N1128" i="10"/>
  <c r="M1129" i="10"/>
  <c r="N1129" i="10"/>
  <c r="M1130" i="10"/>
  <c r="N1130" i="10"/>
  <c r="M1131" i="10"/>
  <c r="N1131" i="10"/>
  <c r="M1132" i="10"/>
  <c r="N1132" i="10"/>
  <c r="M1133" i="10"/>
  <c r="N1133" i="10"/>
  <c r="M1134" i="10"/>
  <c r="N1134" i="10"/>
  <c r="M1135" i="10"/>
  <c r="N1135" i="10"/>
  <c r="M1136" i="10"/>
  <c r="N1136" i="10"/>
  <c r="M1139" i="10"/>
  <c r="N1139" i="10"/>
  <c r="M1140" i="10"/>
  <c r="N1140" i="10"/>
  <c r="M1141" i="10"/>
  <c r="N1141" i="10"/>
  <c r="M1142" i="10"/>
  <c r="N1142" i="10"/>
  <c r="M1143" i="10"/>
  <c r="N1143" i="10"/>
  <c r="M1144" i="10"/>
  <c r="N1144" i="10"/>
  <c r="M1145" i="10"/>
  <c r="N1145" i="10"/>
  <c r="M1148" i="10"/>
  <c r="N1148" i="10"/>
  <c r="M1149" i="10"/>
  <c r="N1149" i="10"/>
  <c r="M1150" i="10"/>
  <c r="N1150" i="10"/>
  <c r="M1151" i="10"/>
  <c r="N1151" i="10"/>
  <c r="M1152" i="10"/>
  <c r="N1152" i="10"/>
  <c r="M1153" i="10"/>
  <c r="N1153" i="10"/>
  <c r="M1156" i="10"/>
  <c r="N1156" i="10"/>
  <c r="M1157" i="10"/>
  <c r="N1157" i="10"/>
  <c r="M1158" i="10"/>
  <c r="N1158" i="10"/>
  <c r="M1159" i="10"/>
  <c r="N1159" i="10"/>
  <c r="M1160" i="10"/>
  <c r="N1160" i="10"/>
  <c r="M1163" i="10"/>
  <c r="N1163" i="10"/>
  <c r="M1164" i="10"/>
  <c r="N1164" i="10"/>
  <c r="M1165" i="10"/>
  <c r="N1165" i="10"/>
  <c r="M1166" i="10"/>
  <c r="N1166" i="10"/>
  <c r="M1167" i="10"/>
  <c r="N1167" i="10"/>
  <c r="M1170" i="10"/>
  <c r="N1170" i="10"/>
  <c r="M1171" i="10"/>
  <c r="N1171" i="10"/>
  <c r="M1172" i="10"/>
  <c r="N1172" i="10"/>
  <c r="M1173" i="10"/>
  <c r="N1173" i="10"/>
  <c r="M1174" i="10"/>
  <c r="N1174" i="10"/>
  <c r="M1175" i="10"/>
  <c r="N1175" i="10"/>
  <c r="M1178" i="10"/>
  <c r="N1178" i="10"/>
  <c r="M1179" i="10"/>
  <c r="N1179" i="10"/>
  <c r="M1180" i="10"/>
  <c r="N1180" i="10"/>
  <c r="M1181" i="10"/>
  <c r="N1181" i="10"/>
  <c r="M1182" i="10"/>
  <c r="N1182" i="10"/>
  <c r="M1183" i="10"/>
  <c r="N1183" i="10"/>
  <c r="M1184" i="10"/>
  <c r="N1184" i="10"/>
  <c r="M1185" i="10"/>
  <c r="N1185" i="10"/>
  <c r="M1188" i="10"/>
  <c r="N1188" i="10"/>
  <c r="M1189" i="10"/>
  <c r="N1189" i="10"/>
  <c r="M1190" i="10"/>
  <c r="N1190" i="10"/>
  <c r="M1191" i="10"/>
  <c r="N1191" i="10"/>
  <c r="M1192" i="10"/>
  <c r="N1192" i="10"/>
  <c r="M1193" i="10"/>
  <c r="N1193" i="10"/>
  <c r="M1194" i="10"/>
  <c r="N1194" i="10"/>
  <c r="M1195" i="10"/>
  <c r="N1195" i="10"/>
  <c r="M1198" i="10"/>
  <c r="N1198" i="10"/>
  <c r="M1199" i="10"/>
  <c r="N1199" i="10"/>
  <c r="M1200" i="10"/>
  <c r="N1200" i="10"/>
  <c r="M1201" i="10"/>
  <c r="N1201" i="10"/>
  <c r="M1202" i="10"/>
  <c r="N1202" i="10"/>
  <c r="M1203" i="10"/>
  <c r="N1203" i="10"/>
  <c r="M1204" i="10"/>
  <c r="N1204" i="10"/>
  <c r="M1205" i="10"/>
  <c r="N1205" i="10"/>
  <c r="M1208" i="10"/>
  <c r="N1208" i="10"/>
  <c r="M1209" i="10"/>
  <c r="N1209" i="10"/>
  <c r="M1210" i="10"/>
  <c r="N1210" i="10"/>
  <c r="M1211" i="10"/>
  <c r="N1211" i="10"/>
  <c r="M1212" i="10"/>
  <c r="N1212" i="10"/>
  <c r="M1215" i="10"/>
  <c r="N1215" i="10"/>
  <c r="M1216" i="10"/>
  <c r="N1216" i="10"/>
  <c r="M1217" i="10"/>
  <c r="N1217" i="10"/>
  <c r="M1218" i="10"/>
  <c r="N1218" i="10"/>
  <c r="M1219" i="10"/>
  <c r="N1219" i="10"/>
  <c r="M1222" i="10"/>
  <c r="N1222" i="10"/>
  <c r="M1223" i="10"/>
  <c r="N1223" i="10"/>
  <c r="M1224" i="10"/>
  <c r="N1224" i="10"/>
  <c r="M1225" i="10"/>
  <c r="N1225" i="10"/>
  <c r="M1226" i="10"/>
  <c r="N1226" i="10"/>
  <c r="M1227" i="10"/>
  <c r="N1227" i="10"/>
  <c r="M1230" i="10"/>
  <c r="N1230" i="10"/>
  <c r="M1231" i="10"/>
  <c r="N1231" i="10"/>
  <c r="M1232" i="10"/>
  <c r="N1232" i="10"/>
  <c r="M1233" i="10"/>
  <c r="N1233" i="10"/>
  <c r="M1234" i="10"/>
  <c r="N1234" i="10"/>
  <c r="M1235" i="10"/>
  <c r="N1235" i="10"/>
  <c r="M1236" i="10"/>
  <c r="N1236" i="10"/>
  <c r="M1237" i="10"/>
  <c r="N1237" i="10"/>
  <c r="M1238" i="10"/>
  <c r="N1238" i="10"/>
  <c r="M1241" i="10"/>
  <c r="N1241" i="10"/>
  <c r="M1242" i="10"/>
  <c r="N1242" i="10"/>
  <c r="M1243" i="10"/>
  <c r="N1243" i="10"/>
  <c r="M1244" i="10"/>
  <c r="N1244" i="10"/>
  <c r="M1245" i="10"/>
  <c r="N1245" i="10"/>
  <c r="M1246" i="10"/>
  <c r="N1246" i="10"/>
  <c r="M1247" i="10"/>
  <c r="N1247" i="10"/>
  <c r="M1248" i="10"/>
  <c r="N1248" i="10"/>
  <c r="M1249" i="10"/>
  <c r="N1249" i="10"/>
  <c r="M1250" i="10"/>
  <c r="N1250" i="10"/>
  <c r="M1251" i="10"/>
  <c r="N1251" i="10"/>
  <c r="M1252" i="10"/>
  <c r="N1252" i="10"/>
  <c r="M1253" i="10"/>
  <c r="N1253" i="10"/>
  <c r="M1254" i="10"/>
  <c r="N1254" i="10"/>
  <c r="M1255" i="10"/>
  <c r="N1255" i="10"/>
  <c r="M1258" i="10"/>
  <c r="N1258" i="10"/>
  <c r="M1259" i="10"/>
  <c r="N1259" i="10"/>
  <c r="M1260" i="10"/>
  <c r="N1260" i="10"/>
  <c r="M1261" i="10"/>
  <c r="N1261" i="10"/>
  <c r="M1262" i="10"/>
  <c r="N1262" i="10"/>
  <c r="M1263" i="10"/>
  <c r="N1263" i="10"/>
  <c r="M1264" i="10"/>
  <c r="N1264" i="10"/>
  <c r="M1265" i="10"/>
  <c r="N1265" i="10"/>
  <c r="M1268" i="10"/>
  <c r="N1268" i="10"/>
  <c r="M1269" i="10"/>
  <c r="N1269" i="10"/>
  <c r="M1270" i="10"/>
  <c r="N1270" i="10"/>
  <c r="M1271" i="10"/>
  <c r="N1271" i="10"/>
  <c r="M1272" i="10"/>
  <c r="N1272" i="10"/>
  <c r="M1273" i="10"/>
  <c r="N1273" i="10"/>
  <c r="M1275" i="10"/>
  <c r="N1275" i="10"/>
  <c r="M1276" i="10"/>
  <c r="N1276" i="10"/>
  <c r="M1277" i="10"/>
  <c r="N1277" i="10"/>
  <c r="M1278" i="10"/>
  <c r="N1278" i="10"/>
  <c r="M1279" i="10"/>
  <c r="N1279" i="10"/>
  <c r="M1280" i="10"/>
  <c r="N1280" i="10"/>
  <c r="M1281" i="10"/>
  <c r="N1281" i="10"/>
  <c r="M1282" i="10"/>
  <c r="N1282" i="10"/>
  <c r="M1283" i="10"/>
  <c r="N1283" i="10"/>
  <c r="M1284" i="10"/>
  <c r="N1284" i="10"/>
  <c r="M1285" i="10"/>
  <c r="N1285" i="10"/>
  <c r="M1286" i="10"/>
  <c r="N1286" i="10"/>
  <c r="M1287" i="10"/>
  <c r="N1287" i="10"/>
  <c r="M1288" i="10"/>
  <c r="N1288" i="10"/>
  <c r="M1289" i="10"/>
  <c r="N1289" i="10"/>
  <c r="M1290" i="10"/>
  <c r="N1290" i="10"/>
  <c r="M1291" i="10"/>
  <c r="N1291" i="10"/>
  <c r="M1292" i="10"/>
  <c r="N1292" i="10"/>
  <c r="M1293" i="10"/>
  <c r="N1293" i="10"/>
  <c r="M1294" i="10"/>
  <c r="N1294" i="10"/>
  <c r="M1295" i="10"/>
  <c r="N1295" i="10"/>
  <c r="M1297" i="10"/>
  <c r="N1297" i="10"/>
  <c r="M1298" i="10"/>
  <c r="N1298" i="10"/>
  <c r="M1299" i="10"/>
  <c r="N1299" i="10"/>
  <c r="M1300" i="10"/>
  <c r="N1300" i="10"/>
  <c r="M1301" i="10"/>
  <c r="N1301" i="10"/>
  <c r="M1302" i="10"/>
  <c r="N1302" i="10"/>
  <c r="M1304" i="10"/>
  <c r="N1304" i="10"/>
  <c r="M1305" i="10"/>
  <c r="N1305" i="10"/>
  <c r="M1306" i="10"/>
  <c r="N1306" i="10"/>
  <c r="M1307" i="10"/>
  <c r="N1307" i="10"/>
  <c r="M1308" i="10"/>
  <c r="N1308" i="10"/>
  <c r="M1309" i="10"/>
  <c r="N1309" i="10"/>
  <c r="M1310" i="10"/>
  <c r="N1310" i="10"/>
  <c r="M1311" i="10"/>
  <c r="N1311" i="10"/>
  <c r="M1315" i="10"/>
  <c r="N1315" i="10"/>
  <c r="M1316" i="10"/>
  <c r="N1316" i="10"/>
  <c r="M1317" i="10"/>
  <c r="N1317" i="10"/>
  <c r="M1318" i="10"/>
  <c r="N1318" i="10"/>
  <c r="M1319" i="10"/>
  <c r="N1319" i="10"/>
  <c r="M1320" i="10"/>
  <c r="N1320" i="10"/>
  <c r="M1321" i="10"/>
  <c r="N1321" i="10"/>
  <c r="M1322" i="10"/>
  <c r="N1322" i="10"/>
  <c r="M1323" i="10"/>
  <c r="N1323" i="10"/>
  <c r="M1324" i="10"/>
  <c r="N1324" i="10"/>
  <c r="M1325" i="10"/>
  <c r="N1325" i="10"/>
  <c r="M1326" i="10"/>
  <c r="N1326" i="10"/>
  <c r="M1327" i="10"/>
  <c r="N1327" i="10"/>
  <c r="M1328" i="10"/>
  <c r="N1328" i="10"/>
  <c r="M1329" i="10"/>
  <c r="N1329" i="10"/>
  <c r="M1330" i="10"/>
  <c r="N1330" i="10"/>
  <c r="M1331" i="10"/>
  <c r="N1331" i="10"/>
  <c r="M1332" i="10"/>
  <c r="N1332" i="10"/>
  <c r="M1333" i="10"/>
  <c r="N1333" i="10"/>
  <c r="M1334" i="10"/>
  <c r="N1334" i="10"/>
  <c r="M1337" i="10"/>
  <c r="N1337" i="10"/>
  <c r="M1338" i="10"/>
  <c r="N1338" i="10"/>
  <c r="M1339" i="10"/>
  <c r="N1339" i="10"/>
  <c r="M1340" i="10"/>
  <c r="N1340" i="10"/>
  <c r="M1341" i="10"/>
  <c r="N1341" i="10"/>
  <c r="M1342" i="10"/>
  <c r="N1342" i="10"/>
  <c r="M1343" i="10"/>
  <c r="N1343" i="10"/>
  <c r="M1347" i="10"/>
  <c r="N1347" i="10"/>
  <c r="M1348" i="10"/>
  <c r="N1348" i="10"/>
  <c r="M1349" i="10"/>
  <c r="N1349" i="10"/>
  <c r="M1350" i="10"/>
  <c r="N1350" i="10"/>
  <c r="M1351" i="10"/>
  <c r="N1351" i="10"/>
  <c r="M1352" i="10"/>
  <c r="N1352" i="10"/>
  <c r="M1353" i="10"/>
  <c r="N1353" i="10"/>
  <c r="M1357" i="10"/>
  <c r="N1357" i="10"/>
  <c r="M1358" i="10"/>
  <c r="N1358" i="10"/>
  <c r="M1359" i="10"/>
  <c r="N1359" i="10"/>
  <c r="M1360" i="10"/>
  <c r="N1360" i="10"/>
  <c r="M1361" i="10"/>
  <c r="N1361" i="10"/>
  <c r="M1366" i="10"/>
  <c r="N1366" i="10"/>
  <c r="M1367" i="10"/>
  <c r="N1367" i="10"/>
  <c r="M1368" i="10"/>
  <c r="N1368" i="10"/>
  <c r="M1369" i="10"/>
  <c r="N1369" i="10"/>
  <c r="M1370" i="10"/>
  <c r="N1370" i="10"/>
  <c r="M1375" i="10"/>
  <c r="N1375" i="10"/>
  <c r="M1376" i="10"/>
  <c r="N1376" i="10"/>
  <c r="M1377" i="10"/>
  <c r="N1377" i="10"/>
  <c r="M1378" i="10"/>
  <c r="N1378" i="10"/>
  <c r="M1383" i="10"/>
  <c r="N1383" i="10"/>
  <c r="M1384" i="10"/>
  <c r="N1384" i="10"/>
  <c r="M1385" i="10"/>
  <c r="N1385" i="10"/>
  <c r="M1386" i="10"/>
  <c r="N1386" i="10"/>
  <c r="M1387" i="10"/>
  <c r="N1387" i="10"/>
  <c r="M1388" i="10"/>
  <c r="N1388" i="10"/>
  <c r="M1389" i="10"/>
  <c r="N1389" i="10"/>
  <c r="M1390" i="10"/>
  <c r="N1390" i="10"/>
  <c r="M1391" i="10"/>
  <c r="N1391" i="10"/>
  <c r="M1392" i="10"/>
  <c r="N1392" i="10"/>
  <c r="M1393" i="10"/>
  <c r="N1393" i="10"/>
  <c r="M1394" i="10"/>
  <c r="N1394" i="10"/>
  <c r="M1395" i="10"/>
  <c r="N1395" i="10"/>
  <c r="M1396" i="10"/>
  <c r="N1396" i="10"/>
  <c r="M1397" i="10"/>
  <c r="N1397" i="10"/>
  <c r="M1398" i="10"/>
  <c r="N1398" i="10"/>
  <c r="M1399" i="10"/>
  <c r="N1399" i="10"/>
  <c r="M1400" i="10"/>
  <c r="N1400" i="10"/>
  <c r="M1401" i="10"/>
  <c r="N1401" i="10"/>
  <c r="M1402" i="10"/>
  <c r="N1402" i="10"/>
  <c r="M1403" i="10"/>
  <c r="N1403" i="10"/>
  <c r="M1404" i="10"/>
  <c r="N1404" i="10"/>
  <c r="M1405" i="10"/>
  <c r="N1405" i="10"/>
  <c r="M1406" i="10"/>
  <c r="N1406" i="10"/>
  <c r="M1407" i="10"/>
  <c r="N1407" i="10"/>
  <c r="M1408" i="10"/>
  <c r="N1408" i="10"/>
  <c r="M1409" i="10"/>
  <c r="N1409" i="10"/>
  <c r="M1410" i="10"/>
  <c r="N1410" i="10"/>
  <c r="M1411" i="10"/>
  <c r="N1411" i="10"/>
  <c r="M1412" i="10"/>
  <c r="N1412" i="10"/>
  <c r="M1413" i="10"/>
  <c r="N1413" i="10"/>
  <c r="M1414" i="10"/>
  <c r="N1414" i="10"/>
  <c r="M1418" i="10"/>
  <c r="N1418" i="10"/>
  <c r="M1419" i="10"/>
  <c r="N1419" i="10"/>
  <c r="M1420" i="10"/>
  <c r="N1420" i="10"/>
  <c r="M1421" i="10"/>
  <c r="N1421" i="10"/>
  <c r="M1422" i="10"/>
  <c r="N1422" i="10"/>
  <c r="M1423" i="10"/>
  <c r="N1423" i="10"/>
  <c r="M1424" i="10"/>
  <c r="N1424" i="10"/>
  <c r="M1425" i="10"/>
  <c r="N1425" i="10"/>
  <c r="M1426" i="10"/>
  <c r="N1426" i="10"/>
  <c r="M1427" i="10"/>
  <c r="N1427" i="10"/>
  <c r="M1435" i="10"/>
  <c r="N1435" i="10"/>
  <c r="M1436" i="10"/>
  <c r="N1436" i="10"/>
  <c r="M1437" i="10"/>
  <c r="N1437" i="10"/>
  <c r="M1438" i="10"/>
  <c r="N1438" i="10"/>
  <c r="M1439" i="10"/>
  <c r="N1439" i="10"/>
  <c r="M1440" i="10"/>
  <c r="N1440" i="10"/>
  <c r="M1441" i="10"/>
  <c r="N1441" i="10"/>
  <c r="M1442" i="10"/>
  <c r="N1442" i="10"/>
  <c r="M1443" i="10"/>
  <c r="N1443" i="10"/>
  <c r="M1444" i="10"/>
  <c r="N1444" i="10"/>
  <c r="M1445" i="10"/>
  <c r="N1445" i="10"/>
  <c r="M1446" i="10"/>
  <c r="N1446" i="10"/>
  <c r="M1447" i="10"/>
  <c r="N1447" i="10"/>
  <c r="M1448" i="10"/>
  <c r="N1448" i="10"/>
  <c r="M1449" i="10"/>
  <c r="N1449" i="10"/>
  <c r="M1450" i="10"/>
  <c r="N1450" i="10"/>
  <c r="M1451" i="10"/>
  <c r="N1451" i="10"/>
  <c r="M1453" i="10"/>
  <c r="N1453" i="10"/>
  <c r="M1454" i="10"/>
  <c r="N1454" i="10"/>
  <c r="M1455" i="10"/>
  <c r="N1455" i="10"/>
  <c r="M1456" i="10"/>
  <c r="N1456" i="10"/>
  <c r="M1457" i="10"/>
  <c r="N1457" i="10"/>
  <c r="M1458" i="10"/>
  <c r="N1458" i="10"/>
  <c r="M1460" i="10"/>
  <c r="N1460" i="10"/>
  <c r="M1461" i="10"/>
  <c r="N1461" i="10"/>
  <c r="M1462" i="10"/>
  <c r="N1462" i="10"/>
  <c r="M1463" i="10"/>
  <c r="N1463" i="10"/>
  <c r="M1464" i="10"/>
  <c r="N1464" i="10"/>
  <c r="M1465" i="10"/>
  <c r="N1465" i="10"/>
  <c r="M1466" i="10"/>
  <c r="N1466" i="10"/>
  <c r="M1467" i="10"/>
  <c r="N1467" i="10"/>
  <c r="M1468" i="10"/>
  <c r="N1468" i="10"/>
  <c r="M1470" i="10"/>
  <c r="N1470" i="10"/>
  <c r="M1471" i="10"/>
  <c r="N1471" i="10"/>
  <c r="M1472" i="10"/>
  <c r="N1472" i="10"/>
  <c r="M1473" i="10"/>
  <c r="N1473" i="10"/>
  <c r="M1474" i="10"/>
  <c r="N1474" i="10"/>
  <c r="M1475" i="10"/>
  <c r="N1475" i="10"/>
  <c r="M1476" i="10"/>
  <c r="N1476" i="10"/>
  <c r="M1477" i="10"/>
  <c r="N1477" i="10"/>
  <c r="M1478" i="10"/>
  <c r="N1478" i="10"/>
  <c r="M1479" i="10"/>
  <c r="N1479" i="10"/>
  <c r="M1480" i="10"/>
  <c r="N1480" i="10"/>
  <c r="M1481" i="10"/>
  <c r="N1481" i="10"/>
  <c r="M1482" i="10"/>
  <c r="N1482" i="10"/>
  <c r="M1484" i="10"/>
  <c r="N1484" i="10"/>
  <c r="M1485" i="10"/>
  <c r="N1485" i="10"/>
  <c r="M1486" i="10"/>
  <c r="N1486" i="10"/>
  <c r="M1487" i="10"/>
  <c r="N1487" i="10"/>
  <c r="M1488" i="10"/>
  <c r="N1488" i="10"/>
  <c r="M1489" i="10"/>
  <c r="N1489" i="10"/>
  <c r="M1490" i="10"/>
  <c r="N1490" i="10"/>
  <c r="M1491" i="10"/>
  <c r="N1491" i="10"/>
  <c r="M1492" i="10"/>
  <c r="N1492" i="10"/>
  <c r="M1493" i="10"/>
  <c r="N1493" i="10"/>
  <c r="M1494" i="10"/>
  <c r="N1494" i="10"/>
  <c r="M1495" i="10"/>
  <c r="N1495" i="10"/>
  <c r="M1496" i="10"/>
  <c r="N1496" i="10"/>
  <c r="M1497" i="10"/>
  <c r="N1497" i="10"/>
  <c r="M1498" i="10"/>
  <c r="N1498" i="10"/>
  <c r="M1499" i="10"/>
  <c r="N1499" i="10"/>
  <c r="M1500" i="10"/>
  <c r="N1500" i="10"/>
  <c r="M1503" i="10"/>
  <c r="N1503" i="10"/>
  <c r="M1504" i="10"/>
  <c r="N1504" i="10"/>
  <c r="M1505" i="10"/>
  <c r="N1505" i="10"/>
  <c r="M1506" i="10"/>
  <c r="N1506" i="10"/>
  <c r="M1509" i="10"/>
  <c r="N1509" i="10"/>
  <c r="M1510" i="10"/>
  <c r="N1510" i="10"/>
  <c r="M1511" i="10"/>
  <c r="N1511" i="10"/>
  <c r="M1512" i="10"/>
  <c r="N1512" i="10"/>
  <c r="M1513" i="10"/>
  <c r="N1513" i="10"/>
  <c r="M1516" i="10"/>
  <c r="N1516" i="10"/>
  <c r="M1517" i="10"/>
  <c r="N1517" i="10"/>
  <c r="M1518" i="10"/>
  <c r="N1518" i="10"/>
  <c r="M1519" i="10"/>
  <c r="N1519" i="10"/>
  <c r="M1523" i="10"/>
  <c r="N1523" i="10"/>
  <c r="M1524" i="10"/>
  <c r="N1524" i="10"/>
  <c r="M1525" i="10"/>
  <c r="N1525" i="10"/>
  <c r="M1526" i="10"/>
  <c r="N1526" i="10"/>
  <c r="M1527" i="10"/>
  <c r="N1527" i="10"/>
  <c r="M1530" i="10"/>
  <c r="N1530" i="10"/>
  <c r="M1531" i="10"/>
  <c r="N1531" i="10"/>
  <c r="M1532" i="10"/>
  <c r="N1532" i="10"/>
  <c r="M1533" i="10"/>
  <c r="N1533" i="10"/>
  <c r="M1534" i="10"/>
  <c r="N1534" i="10"/>
  <c r="M1535" i="10"/>
  <c r="N1535" i="10"/>
  <c r="M1536" i="10"/>
  <c r="N1536" i="10"/>
  <c r="M1539" i="10"/>
  <c r="N1539" i="10"/>
  <c r="M1540" i="10"/>
  <c r="N1540" i="10"/>
  <c r="M1541" i="10"/>
  <c r="N1541" i="10"/>
  <c r="M1542" i="10"/>
  <c r="N1542" i="10"/>
  <c r="M1545" i="10"/>
  <c r="N1545" i="10"/>
  <c r="M1546" i="10"/>
  <c r="N1546" i="10"/>
  <c r="M1547" i="10"/>
  <c r="N1547" i="10"/>
  <c r="M1548" i="10"/>
  <c r="N1548" i="10"/>
  <c r="M1551" i="10"/>
  <c r="N1551" i="10"/>
  <c r="M1552" i="10"/>
  <c r="N1552" i="10"/>
  <c r="M1553" i="10"/>
  <c r="N1553" i="10"/>
  <c r="M1554" i="10"/>
  <c r="N1554" i="10"/>
  <c r="M1555" i="10"/>
  <c r="N1555" i="10"/>
  <c r="M1559" i="10"/>
  <c r="N1559" i="10"/>
  <c r="M1560" i="10"/>
  <c r="N1560" i="10"/>
  <c r="M1561" i="10"/>
  <c r="N1561" i="10"/>
  <c r="M1562" i="10"/>
  <c r="N1562" i="10"/>
  <c r="M1563" i="10"/>
  <c r="N1563" i="10"/>
  <c r="M1564" i="10"/>
  <c r="N1564" i="10"/>
  <c r="M1565" i="10"/>
  <c r="N1565" i="10"/>
  <c r="M1566" i="10"/>
  <c r="N1566" i="10"/>
  <c r="M1567" i="10"/>
  <c r="N1567" i="10"/>
  <c r="M1568" i="10"/>
  <c r="N1568" i="10"/>
  <c r="M1572" i="10"/>
  <c r="N1572" i="10"/>
  <c r="M1573" i="10"/>
  <c r="N1573" i="10"/>
  <c r="M1574" i="10"/>
  <c r="N1574" i="10"/>
  <c r="M1575" i="10"/>
  <c r="N1575" i="10"/>
  <c r="M1579" i="10"/>
  <c r="N1579" i="10"/>
  <c r="M1580" i="10"/>
  <c r="N1580" i="10"/>
  <c r="M1581" i="10"/>
  <c r="N1581" i="10"/>
  <c r="M1582" i="10"/>
  <c r="N1582" i="10"/>
  <c r="M1586" i="10"/>
  <c r="N1586" i="10"/>
  <c r="M1587" i="10"/>
  <c r="N1587" i="10"/>
  <c r="M1588" i="10"/>
  <c r="N1588" i="10"/>
  <c r="M1589" i="10"/>
  <c r="N1589" i="10"/>
  <c r="M1592" i="10"/>
  <c r="N1592" i="10"/>
  <c r="M1593" i="10"/>
  <c r="N1593" i="10"/>
  <c r="M1594" i="10"/>
  <c r="N1594" i="10"/>
  <c r="M1595" i="10"/>
  <c r="N1595" i="10"/>
  <c r="M1596" i="10"/>
  <c r="N1596" i="10"/>
  <c r="M1600" i="10"/>
  <c r="N1600" i="10"/>
  <c r="M1601" i="10"/>
  <c r="N1601" i="10"/>
  <c r="M1602" i="10"/>
  <c r="N1602" i="10"/>
  <c r="M1603" i="10"/>
  <c r="N1603" i="10"/>
  <c r="M1604" i="10"/>
  <c r="N1604" i="10"/>
  <c r="M1605" i="10"/>
  <c r="N1605" i="10"/>
  <c r="M1606" i="10"/>
  <c r="N1606" i="10"/>
  <c r="M1607" i="10"/>
  <c r="N1607" i="10"/>
  <c r="M1612" i="10"/>
  <c r="N1612" i="10"/>
  <c r="M1613" i="10"/>
  <c r="N1613" i="10"/>
  <c r="M1614" i="10"/>
  <c r="N1614" i="10"/>
  <c r="M1615" i="10"/>
  <c r="N1615" i="10"/>
  <c r="M1616" i="10"/>
  <c r="N1616" i="10"/>
  <c r="M1617" i="10"/>
  <c r="N1617" i="10"/>
  <c r="M1618" i="10"/>
  <c r="N1618" i="10"/>
  <c r="M1619" i="10"/>
  <c r="N1619" i="10"/>
  <c r="M1620" i="10"/>
  <c r="N1620" i="10"/>
  <c r="M1621" i="10"/>
  <c r="N1621" i="10"/>
  <c r="M1624" i="10"/>
  <c r="N1624" i="10"/>
  <c r="M1625" i="10"/>
  <c r="N1625" i="10"/>
  <c r="M1626" i="10"/>
  <c r="N1626" i="10"/>
  <c r="M1627" i="10"/>
  <c r="N1627" i="10"/>
  <c r="M1628" i="10"/>
  <c r="N1628" i="10"/>
  <c r="M1629" i="10"/>
  <c r="N1629" i="10"/>
  <c r="M1630" i="10"/>
  <c r="N1630" i="10"/>
  <c r="M1633" i="10"/>
  <c r="N1633" i="10"/>
  <c r="M1634" i="10"/>
  <c r="N1634" i="10"/>
  <c r="M1635" i="10"/>
  <c r="N1635" i="10"/>
  <c r="M1636" i="10"/>
  <c r="N1636" i="10"/>
  <c r="M1637" i="10"/>
  <c r="N1637" i="10"/>
  <c r="M1638" i="10"/>
  <c r="N1638" i="10"/>
  <c r="M1639" i="10"/>
  <c r="N1639" i="10"/>
  <c r="M1640" i="10"/>
  <c r="N1640" i="10"/>
  <c r="M1643" i="10"/>
  <c r="N1643" i="10"/>
  <c r="M1644" i="10"/>
  <c r="N1644" i="10"/>
  <c r="M1645" i="10"/>
  <c r="N1645" i="10"/>
  <c r="M1646" i="10"/>
  <c r="N1646" i="10"/>
  <c r="M1647" i="10"/>
  <c r="N1647" i="10"/>
  <c r="M1648" i="10"/>
  <c r="N1648" i="10"/>
  <c r="M1651" i="10"/>
  <c r="N1651" i="10"/>
  <c r="M1652" i="10"/>
  <c r="N1652" i="10"/>
  <c r="M1653" i="10"/>
  <c r="N1653" i="10"/>
  <c r="M1654" i="10"/>
  <c r="N1654" i="10"/>
  <c r="M1655" i="10"/>
  <c r="N1655" i="10"/>
  <c r="M1656" i="10"/>
  <c r="N1656" i="10"/>
  <c r="M1657" i="10"/>
  <c r="N1657" i="10"/>
  <c r="M1659" i="10"/>
  <c r="N1659" i="10"/>
  <c r="M1660" i="10"/>
  <c r="N1660" i="10"/>
  <c r="M1661" i="10"/>
  <c r="N1661" i="10"/>
  <c r="M1662" i="10"/>
  <c r="N1662" i="10"/>
  <c r="M1663" i="10"/>
  <c r="N1663" i="10"/>
  <c r="M1664" i="10"/>
  <c r="N1664" i="10"/>
  <c r="M1665" i="10"/>
  <c r="N1665" i="10"/>
  <c r="M1668" i="10"/>
  <c r="N1668" i="10"/>
  <c r="M1669" i="10"/>
  <c r="N1669" i="10"/>
  <c r="M1670" i="10"/>
  <c r="N1670" i="10"/>
  <c r="M1671" i="10"/>
  <c r="N1671" i="10"/>
  <c r="M1672" i="10"/>
  <c r="N1672" i="10"/>
  <c r="M1673" i="10"/>
  <c r="N1673" i="10"/>
  <c r="M1674" i="10"/>
  <c r="N1674" i="10"/>
  <c r="M1678" i="10"/>
  <c r="N1678" i="10"/>
  <c r="M1679" i="10"/>
  <c r="N1679" i="10"/>
  <c r="M1680" i="10"/>
  <c r="N1680" i="10"/>
  <c r="M1681" i="10"/>
  <c r="N1681" i="10"/>
  <c r="M1682" i="10"/>
  <c r="N1682" i="10"/>
  <c r="M1683" i="10"/>
  <c r="N1683" i="10"/>
  <c r="M1684" i="10"/>
  <c r="N1684" i="10"/>
  <c r="M1687" i="10"/>
  <c r="N1687" i="10"/>
  <c r="M1688" i="10"/>
  <c r="N1688" i="10"/>
  <c r="M1689" i="10"/>
  <c r="N1689" i="10"/>
  <c r="M1690" i="10"/>
  <c r="N1690" i="10"/>
  <c r="M1691" i="10"/>
  <c r="N1691" i="10"/>
  <c r="M1692" i="10"/>
  <c r="N1692" i="10"/>
  <c r="M1695" i="10"/>
  <c r="N1695" i="10"/>
  <c r="M1696" i="10"/>
  <c r="N1696" i="10"/>
  <c r="M1697" i="10"/>
  <c r="N1697" i="10"/>
  <c r="M1698" i="10"/>
  <c r="N1698" i="10"/>
  <c r="M1699" i="10"/>
  <c r="N1699" i="10"/>
  <c r="M1700" i="10"/>
  <c r="N1700" i="10"/>
  <c r="M1701" i="10"/>
  <c r="N1701" i="10"/>
  <c r="M1702" i="10"/>
  <c r="N1702" i="10"/>
  <c r="M1703" i="10"/>
  <c r="N1703" i="10"/>
  <c r="M1704" i="10"/>
  <c r="N1704" i="10"/>
  <c r="M1705" i="10"/>
  <c r="N1705" i="10"/>
  <c r="M1708" i="10"/>
  <c r="N1708" i="10"/>
  <c r="M1709" i="10"/>
  <c r="N1709" i="10"/>
  <c r="M1710" i="10"/>
  <c r="N1710" i="10"/>
  <c r="M1713" i="10"/>
  <c r="N1713" i="10"/>
  <c r="M1714" i="10"/>
  <c r="N1714" i="10"/>
  <c r="M1715" i="10"/>
  <c r="N1715" i="10"/>
  <c r="M1716" i="10"/>
  <c r="N1716" i="10"/>
  <c r="M1717" i="10"/>
  <c r="N1717" i="10"/>
  <c r="M1718" i="10"/>
  <c r="N1718" i="10"/>
  <c r="M1721" i="10"/>
  <c r="N1721" i="10"/>
  <c r="M1722" i="10"/>
  <c r="N1722" i="10"/>
  <c r="M1723" i="10"/>
  <c r="N1723" i="10"/>
  <c r="M1724" i="10"/>
  <c r="N1724" i="10"/>
  <c r="M1725" i="10"/>
  <c r="N1725" i="10"/>
  <c r="M1729" i="10"/>
  <c r="N1729" i="10"/>
  <c r="M1730" i="10"/>
  <c r="N1730" i="10"/>
  <c r="M1731" i="10"/>
  <c r="N1731" i="10"/>
  <c r="M1732" i="10"/>
  <c r="N1732" i="10"/>
  <c r="M1733" i="10"/>
  <c r="N1733" i="10"/>
  <c r="M1737" i="10"/>
  <c r="N1737" i="10"/>
  <c r="M1738" i="10"/>
  <c r="N1738" i="10"/>
  <c r="M1739" i="10"/>
  <c r="N1739" i="10"/>
  <c r="M1740" i="10"/>
  <c r="N1740" i="10"/>
  <c r="M1741" i="10"/>
  <c r="N1741" i="10"/>
  <c r="M1742" i="10"/>
  <c r="N1742" i="10"/>
  <c r="M1743" i="10"/>
  <c r="N1743" i="10"/>
  <c r="M1744" i="10"/>
  <c r="N1744" i="10"/>
  <c r="M1745" i="10"/>
  <c r="N1745" i="10"/>
  <c r="M1746" i="10"/>
  <c r="N1746" i="10"/>
  <c r="M1747" i="10"/>
  <c r="N1747" i="10"/>
  <c r="M1748" i="10"/>
  <c r="N1748" i="10"/>
  <c r="M1749" i="10"/>
  <c r="N1749" i="10"/>
  <c r="M1750" i="10"/>
  <c r="N1750" i="10"/>
  <c r="M1751" i="10"/>
  <c r="N1751" i="10"/>
  <c r="M1752" i="10"/>
  <c r="N1752" i="10"/>
  <c r="M1753" i="10"/>
  <c r="N1753" i="10"/>
  <c r="M1754" i="10"/>
  <c r="N1754" i="10"/>
  <c r="M1755" i="10"/>
  <c r="N1755" i="10"/>
  <c r="M1756" i="10"/>
  <c r="N1756" i="10"/>
  <c r="M1759" i="10"/>
  <c r="N1759" i="10"/>
  <c r="M1760" i="10"/>
  <c r="N1760" i="10"/>
  <c r="M1761" i="10"/>
  <c r="N1761" i="10"/>
  <c r="M1762" i="10"/>
  <c r="N1762" i="10"/>
  <c r="M1763" i="10"/>
  <c r="N1763" i="10"/>
  <c r="M1764" i="10"/>
  <c r="N1764" i="10"/>
  <c r="M1765" i="10"/>
  <c r="N1765" i="10"/>
  <c r="M1766" i="10"/>
  <c r="N1766" i="10"/>
  <c r="M1767" i="10"/>
  <c r="N1767" i="10"/>
  <c r="M1768" i="10"/>
  <c r="N1768" i="10"/>
  <c r="M1769" i="10"/>
  <c r="N1769" i="10"/>
  <c r="M1770" i="10"/>
  <c r="N1770" i="10"/>
  <c r="M1773" i="10"/>
  <c r="N1773" i="10"/>
  <c r="M1774" i="10"/>
  <c r="N1774" i="10"/>
  <c r="M1775" i="10"/>
  <c r="N1775" i="10"/>
  <c r="M1776" i="10"/>
  <c r="N1776" i="10"/>
  <c r="M1777" i="10"/>
  <c r="N1777" i="10"/>
  <c r="M1780" i="10"/>
  <c r="N1780" i="10"/>
  <c r="M1781" i="10"/>
  <c r="N1781" i="10"/>
  <c r="M1782" i="10"/>
  <c r="N1782" i="10"/>
  <c r="M1783" i="10"/>
  <c r="N1783" i="10"/>
  <c r="M1784" i="10"/>
  <c r="N1784" i="10"/>
  <c r="M1785" i="10"/>
  <c r="N1785" i="10"/>
  <c r="M1786" i="10"/>
  <c r="N1786" i="10"/>
  <c r="M1787" i="10"/>
  <c r="N1787" i="10"/>
  <c r="M1788" i="10"/>
  <c r="N1788" i="10"/>
  <c r="M1789" i="10"/>
  <c r="N1789" i="10"/>
  <c r="M1792" i="10"/>
  <c r="N1792" i="10"/>
  <c r="M1793" i="10"/>
  <c r="N1793" i="10"/>
  <c r="M1794" i="10"/>
  <c r="N1794" i="10"/>
  <c r="M1795" i="10"/>
  <c r="N1795" i="10"/>
  <c r="M1796" i="10"/>
  <c r="N1796" i="10"/>
  <c r="M1798" i="10"/>
  <c r="N1798" i="10"/>
  <c r="M1799" i="10"/>
  <c r="N1799" i="10"/>
  <c r="M1800" i="10"/>
  <c r="N1800" i="10"/>
  <c r="M1801" i="10"/>
  <c r="N1801" i="10"/>
  <c r="M1802" i="10"/>
  <c r="N1802" i="10"/>
  <c r="M1803" i="10"/>
  <c r="N1803" i="10"/>
  <c r="M1804" i="10"/>
  <c r="N1804" i="10"/>
  <c r="M1807" i="10"/>
  <c r="N1807" i="10"/>
  <c r="M1808" i="10"/>
  <c r="N1808" i="10"/>
  <c r="M1809" i="10"/>
  <c r="N1809" i="10"/>
  <c r="M1810" i="10"/>
  <c r="N1810" i="10"/>
  <c r="M1811" i="10"/>
  <c r="N1811" i="10"/>
  <c r="M1812" i="10"/>
  <c r="N1812" i="10"/>
  <c r="M1813" i="10"/>
  <c r="N1813" i="10"/>
  <c r="M1814" i="10"/>
  <c r="N1814" i="10"/>
  <c r="M1815" i="10"/>
  <c r="N1815" i="10"/>
  <c r="M1816" i="10"/>
  <c r="N1816" i="10"/>
  <c r="M1817" i="10"/>
  <c r="N1817" i="10"/>
  <c r="M1818" i="10"/>
  <c r="N1818" i="10"/>
  <c r="M1819" i="10"/>
  <c r="N1819" i="10"/>
  <c r="M1820" i="10"/>
  <c r="N1820" i="10"/>
  <c r="M1821" i="10"/>
  <c r="N1821" i="10"/>
  <c r="M1822" i="10"/>
  <c r="N1822" i="10"/>
  <c r="M1823" i="10"/>
  <c r="N1823" i="10"/>
  <c r="M1826" i="10"/>
  <c r="N1826" i="10"/>
  <c r="M1827" i="10"/>
  <c r="N1827" i="10"/>
  <c r="M1828" i="10"/>
  <c r="N1828" i="10"/>
  <c r="M1829" i="10"/>
  <c r="N1829" i="10"/>
  <c r="M1830" i="10"/>
  <c r="N1830" i="10"/>
  <c r="M1833" i="10"/>
  <c r="N1833" i="10"/>
  <c r="M1834" i="10"/>
  <c r="N1834" i="10"/>
  <c r="M1835" i="10"/>
  <c r="N1835" i="10"/>
  <c r="M1836" i="10"/>
  <c r="N1836" i="10"/>
  <c r="M1837" i="10"/>
  <c r="N1837" i="10"/>
  <c r="M1838" i="10"/>
  <c r="N1838" i="10"/>
  <c r="M1841" i="10"/>
  <c r="N1841" i="10"/>
  <c r="M1842" i="10"/>
  <c r="N1842" i="10"/>
  <c r="M1843" i="10"/>
  <c r="N1843" i="10"/>
  <c r="M1844" i="10"/>
  <c r="N1844" i="10"/>
  <c r="M1845" i="10"/>
  <c r="N1845" i="10"/>
  <c r="M1846" i="10"/>
  <c r="N1846" i="10"/>
  <c r="M1847" i="10"/>
  <c r="N1847" i="10"/>
  <c r="M1851" i="10"/>
  <c r="N1851" i="10"/>
  <c r="M1852" i="10"/>
  <c r="N1852" i="10"/>
  <c r="M1853" i="10"/>
  <c r="N1853" i="10"/>
  <c r="M1854" i="10"/>
  <c r="N1854" i="10"/>
  <c r="M1858" i="10"/>
  <c r="N1858" i="10"/>
  <c r="M1859" i="10"/>
  <c r="N1859" i="10"/>
  <c r="M1860" i="10"/>
  <c r="N1860" i="10"/>
  <c r="M1861" i="10"/>
  <c r="N1861" i="10"/>
  <c r="M1862" i="10"/>
  <c r="N1862" i="10"/>
  <c r="M1863" i="10"/>
  <c r="N1863" i="10"/>
  <c r="M1864" i="10"/>
  <c r="N1864" i="10"/>
  <c r="M1865" i="10"/>
  <c r="N1865" i="10"/>
  <c r="M1870" i="10"/>
  <c r="N1870" i="10"/>
  <c r="M1871" i="10"/>
  <c r="N1871" i="10"/>
  <c r="M1872" i="10"/>
  <c r="N1872" i="10"/>
  <c r="M1873" i="10"/>
  <c r="N1873" i="10"/>
  <c r="M1876" i="10"/>
  <c r="N1876" i="10"/>
  <c r="M1877" i="10"/>
  <c r="N1877" i="10"/>
  <c r="M1878" i="10"/>
  <c r="N1878" i="10"/>
  <c r="M1879" i="10"/>
  <c r="N1879" i="10"/>
  <c r="M1883" i="10"/>
  <c r="N1883" i="10"/>
  <c r="M1884" i="10"/>
  <c r="N1884" i="10"/>
  <c r="M1885" i="10"/>
  <c r="N1885" i="10"/>
  <c r="M1886" i="10"/>
  <c r="N1886" i="10"/>
  <c r="M1887" i="10"/>
  <c r="N1887" i="10"/>
  <c r="M1888" i="10"/>
  <c r="N1888" i="10"/>
  <c r="M1889" i="10"/>
  <c r="N1889" i="10"/>
  <c r="M1890" i="10"/>
  <c r="N1890" i="10"/>
  <c r="M1892" i="10"/>
  <c r="N1892" i="10"/>
  <c r="M1893" i="10"/>
  <c r="N1893" i="10"/>
  <c r="M1894" i="10"/>
  <c r="N1894" i="10"/>
  <c r="M1895" i="10"/>
  <c r="N1895" i="10"/>
  <c r="M1896" i="10"/>
  <c r="N1896" i="10"/>
  <c r="M1897" i="10"/>
  <c r="N1897" i="10"/>
  <c r="M1898" i="10"/>
  <c r="N1898" i="10"/>
  <c r="M1900" i="10"/>
  <c r="N1900" i="10"/>
  <c r="M1901" i="10"/>
  <c r="N1901" i="10"/>
  <c r="M1902" i="10"/>
  <c r="N1902" i="10"/>
  <c r="M1903" i="10"/>
  <c r="N1903" i="10"/>
  <c r="M1904" i="10"/>
  <c r="N1904" i="10"/>
  <c r="M1905" i="10"/>
  <c r="N1905" i="10"/>
  <c r="M1906" i="10"/>
  <c r="N1906" i="10"/>
  <c r="M1910" i="10"/>
  <c r="N1910" i="10"/>
  <c r="M1911" i="10"/>
  <c r="N1911" i="10"/>
  <c r="M1912" i="10"/>
  <c r="N1912" i="10"/>
  <c r="M1913" i="10"/>
  <c r="N1913" i="10"/>
  <c r="M1914" i="10"/>
  <c r="N1914" i="10"/>
  <c r="M1918" i="10"/>
  <c r="N1918" i="10"/>
  <c r="M1919" i="10"/>
  <c r="N1919" i="10"/>
  <c r="M1920" i="10"/>
  <c r="N1920" i="10"/>
  <c r="M1921" i="10"/>
  <c r="N1921" i="10"/>
  <c r="M1922" i="10"/>
  <c r="N1922" i="10"/>
  <c r="M1923" i="10"/>
  <c r="N1923" i="10"/>
  <c r="M1924" i="10"/>
  <c r="N1924" i="10"/>
  <c r="M1925" i="10"/>
  <c r="N1925" i="10"/>
  <c r="M1926" i="10"/>
  <c r="N1926" i="10"/>
  <c r="M1927" i="10"/>
  <c r="N1927" i="10"/>
  <c r="M1928" i="10"/>
  <c r="N1928" i="10"/>
  <c r="M1929" i="10"/>
  <c r="N1929" i="10"/>
  <c r="M1930" i="10"/>
  <c r="N1930" i="10"/>
  <c r="M1931" i="10"/>
  <c r="N1931" i="10"/>
  <c r="M1932" i="10"/>
  <c r="N1932" i="10"/>
  <c r="M1933" i="10"/>
  <c r="N1933" i="10"/>
  <c r="M1934" i="10"/>
  <c r="N1934" i="10"/>
  <c r="M1935" i="10"/>
  <c r="N1935" i="10"/>
  <c r="M1936" i="10"/>
  <c r="N1936" i="10"/>
  <c r="M1937" i="10"/>
  <c r="N1937" i="10"/>
  <c r="M1938" i="10"/>
  <c r="N1938" i="10"/>
  <c r="M1939" i="10"/>
  <c r="N1939" i="10"/>
  <c r="M1940" i="10"/>
  <c r="N1940" i="10"/>
  <c r="M1941" i="10"/>
  <c r="N1941" i="10"/>
  <c r="M1943" i="10"/>
  <c r="N1943" i="10"/>
  <c r="M1944" i="10"/>
  <c r="N1944" i="10"/>
  <c r="M1945" i="10"/>
  <c r="N1945" i="10"/>
  <c r="M1946" i="10"/>
  <c r="N1946" i="10"/>
  <c r="M1947" i="10"/>
  <c r="N1947" i="10"/>
  <c r="M1948" i="10"/>
  <c r="N1948" i="10"/>
  <c r="M1949" i="10"/>
  <c r="N1949" i="10"/>
  <c r="M1950" i="10"/>
  <c r="N1950" i="10"/>
  <c r="M1951" i="10"/>
  <c r="N1951" i="10"/>
  <c r="M1952" i="10"/>
  <c r="N1952" i="10"/>
  <c r="M1953" i="10"/>
  <c r="N1953" i="10"/>
  <c r="M1954" i="10"/>
  <c r="N1954" i="10"/>
  <c r="M1955" i="10"/>
  <c r="N1955" i="10"/>
  <c r="M1956" i="10"/>
  <c r="N1956" i="10"/>
  <c r="M1957" i="10"/>
  <c r="N1957" i="10"/>
  <c r="M1958" i="10"/>
  <c r="N1958" i="10"/>
  <c r="M1961" i="10"/>
  <c r="N1961" i="10"/>
  <c r="M1962" i="10"/>
  <c r="N1962" i="10"/>
  <c r="M1963" i="10"/>
  <c r="N1963" i="10"/>
  <c r="M1964" i="10"/>
  <c r="N1964" i="10"/>
  <c r="M1965" i="10"/>
  <c r="N1965" i="10"/>
  <c r="M1966" i="10"/>
  <c r="N1966" i="10"/>
  <c r="M1970" i="10"/>
  <c r="N1970" i="10"/>
  <c r="M1971" i="10"/>
  <c r="N1971" i="10"/>
  <c r="M1972" i="10"/>
  <c r="N1972" i="10"/>
  <c r="M1976" i="10"/>
  <c r="N1976" i="10"/>
  <c r="M1977" i="10"/>
  <c r="N1977" i="10"/>
  <c r="M1978" i="10"/>
  <c r="N1978" i="10"/>
  <c r="M1979" i="10"/>
  <c r="N1979" i="10"/>
  <c r="M1982" i="10"/>
  <c r="N1982" i="10"/>
  <c r="M1983" i="10"/>
  <c r="N1983" i="10"/>
  <c r="M1984" i="10"/>
  <c r="N1984" i="10"/>
  <c r="M1985" i="10"/>
  <c r="N1985" i="10"/>
  <c r="M1986" i="10"/>
  <c r="N1986" i="10"/>
  <c r="M1987" i="10"/>
  <c r="N1987" i="10"/>
  <c r="M1988" i="10"/>
  <c r="N1988" i="10"/>
  <c r="M1989" i="10"/>
  <c r="N1989" i="10"/>
  <c r="M1993" i="10"/>
  <c r="N1993" i="10"/>
  <c r="M1994" i="10"/>
  <c r="N1994" i="10"/>
  <c r="M1995" i="10"/>
  <c r="N1995" i="10"/>
  <c r="M1996" i="10"/>
  <c r="N1996" i="10"/>
  <c r="M1997" i="10"/>
  <c r="N1997" i="10"/>
  <c r="M1998" i="10"/>
  <c r="N1998" i="10"/>
  <c r="M1999" i="10"/>
  <c r="N1999" i="10"/>
  <c r="M2000" i="10"/>
  <c r="N2000" i="10"/>
  <c r="M2001" i="10"/>
  <c r="N2001" i="10"/>
  <c r="M2002" i="10"/>
  <c r="N2002" i="10"/>
  <c r="M2003" i="10"/>
  <c r="N2003" i="10"/>
  <c r="M2004" i="10"/>
  <c r="N2004" i="10"/>
  <c r="M2005" i="10"/>
  <c r="N2005" i="10"/>
  <c r="M2006" i="10"/>
  <c r="N2006" i="10"/>
  <c r="M2007" i="10"/>
  <c r="N2007" i="10"/>
  <c r="M2008" i="10"/>
  <c r="N2008" i="10"/>
  <c r="M2009" i="10"/>
  <c r="N2009" i="10"/>
  <c r="M2010" i="10"/>
  <c r="N2010" i="10"/>
  <c r="M2011" i="10"/>
  <c r="N2011" i="10"/>
  <c r="M2014" i="10"/>
  <c r="N2014" i="10"/>
  <c r="M2015" i="10"/>
  <c r="N2015" i="10"/>
  <c r="M2016" i="10"/>
  <c r="N2016" i="10"/>
  <c r="M2017" i="10"/>
  <c r="N2017" i="10"/>
  <c r="M2018" i="10"/>
  <c r="N2018" i="10"/>
  <c r="M2019" i="10"/>
  <c r="N2019" i="10"/>
  <c r="M2021" i="10"/>
  <c r="N2021" i="10"/>
  <c r="M2022" i="10"/>
  <c r="N2022" i="10"/>
  <c r="M2023" i="10"/>
  <c r="N2023" i="10"/>
  <c r="M2024" i="10"/>
  <c r="N2024" i="10"/>
  <c r="M2025" i="10"/>
  <c r="N2025" i="10"/>
  <c r="M2026" i="10"/>
  <c r="N2026" i="10"/>
  <c r="M2027" i="10"/>
  <c r="N2027" i="10"/>
  <c r="M2029" i="10"/>
  <c r="N2029" i="10"/>
  <c r="M2030" i="10"/>
  <c r="N2030" i="10"/>
  <c r="M2031" i="10"/>
  <c r="N2031" i="10"/>
  <c r="M2032" i="10"/>
  <c r="N2032" i="10"/>
  <c r="M2033" i="10"/>
  <c r="N2033" i="10"/>
  <c r="M2034" i="10"/>
  <c r="N2034" i="10"/>
  <c r="M2035" i="10"/>
  <c r="N2035" i="10"/>
  <c r="M2037" i="10"/>
  <c r="N2037" i="10"/>
  <c r="M2038" i="10"/>
  <c r="N2038" i="10"/>
  <c r="M2039" i="10"/>
  <c r="N2039" i="10"/>
  <c r="M2040" i="10"/>
  <c r="N2040" i="10"/>
  <c r="M2041" i="10"/>
  <c r="N2041" i="10"/>
  <c r="M2042" i="10"/>
  <c r="N2042" i="10"/>
  <c r="M2043" i="10"/>
  <c r="N2043" i="10"/>
  <c r="M2048" i="10"/>
  <c r="N2048" i="10"/>
  <c r="M2049" i="10"/>
  <c r="N2049" i="10"/>
  <c r="M2050" i="10"/>
  <c r="N2050" i="10"/>
  <c r="M2051" i="10"/>
  <c r="N2051" i="10"/>
  <c r="M2052" i="10"/>
  <c r="N2052" i="10"/>
  <c r="M2053" i="10"/>
  <c r="N2053" i="10"/>
  <c r="M2057" i="10"/>
  <c r="N2057" i="10"/>
  <c r="M2058" i="10"/>
  <c r="N2058" i="10"/>
  <c r="M2059" i="10"/>
  <c r="N2059" i="10"/>
  <c r="M2060" i="10"/>
  <c r="N2060" i="10"/>
  <c r="M2061" i="10"/>
  <c r="N2061" i="10"/>
  <c r="M2062" i="10"/>
  <c r="N2062" i="10"/>
  <c r="M2063" i="10"/>
  <c r="N2063" i="10"/>
  <c r="M2067" i="10"/>
  <c r="N2067" i="10"/>
  <c r="M2068" i="10"/>
  <c r="N2068" i="10"/>
  <c r="M2069" i="10"/>
  <c r="N2069" i="10"/>
  <c r="M2070" i="10"/>
  <c r="N2070" i="10"/>
  <c r="M2071" i="10"/>
  <c r="N2071" i="10"/>
  <c r="M2072" i="10"/>
  <c r="N2072" i="10"/>
  <c r="M2073" i="10"/>
  <c r="N2073" i="10"/>
  <c r="M2074" i="10"/>
  <c r="N2074" i="10"/>
  <c r="M2082" i="10"/>
  <c r="N2082" i="10"/>
  <c r="M2083" i="10"/>
  <c r="N2083" i="10"/>
  <c r="M2084" i="10"/>
  <c r="N2084" i="10"/>
  <c r="M2085" i="10"/>
  <c r="N2085" i="10"/>
  <c r="M2086" i="10"/>
  <c r="N2086" i="10"/>
  <c r="M2087" i="10"/>
  <c r="N2087" i="10"/>
  <c r="M2088" i="10"/>
  <c r="N2088" i="10"/>
  <c r="M2089" i="10"/>
  <c r="N2089" i="10"/>
  <c r="M2090" i="10"/>
  <c r="N2090" i="10"/>
  <c r="M2091" i="10"/>
  <c r="N2091" i="10"/>
  <c r="M2092" i="10"/>
  <c r="N2092" i="10"/>
  <c r="M2093" i="10"/>
  <c r="N2093" i="10"/>
  <c r="M2094" i="10"/>
  <c r="N2094" i="10"/>
  <c r="M2095" i="10"/>
  <c r="N2095" i="10"/>
  <c r="M2096" i="10"/>
  <c r="N2096" i="10"/>
  <c r="M2097" i="10"/>
  <c r="N2097" i="10"/>
  <c r="M2098" i="10"/>
  <c r="N2098" i="10"/>
  <c r="M2099" i="10"/>
  <c r="N2099" i="10"/>
  <c r="M2100" i="10"/>
  <c r="N2100" i="10"/>
  <c r="M2101" i="10"/>
  <c r="N2101" i="10"/>
  <c r="M2102" i="10"/>
  <c r="N2102" i="10"/>
  <c r="M2103" i="10"/>
  <c r="N2103" i="10"/>
  <c r="M2104" i="10"/>
  <c r="N2104" i="10"/>
  <c r="M2105" i="10"/>
  <c r="N2105" i="10"/>
  <c r="M2106" i="10"/>
  <c r="N2106" i="10"/>
  <c r="M2107" i="10"/>
  <c r="N2107" i="10"/>
  <c r="M2108" i="10"/>
  <c r="N2108" i="10"/>
  <c r="M2109" i="10"/>
  <c r="N2109" i="10"/>
  <c r="M2110" i="10"/>
  <c r="N2110" i="10"/>
  <c r="M2111" i="10"/>
  <c r="N2111" i="10"/>
  <c r="M2112" i="10"/>
  <c r="N2112" i="10"/>
  <c r="M2113" i="10"/>
  <c r="N2113" i="10"/>
  <c r="M2114" i="10"/>
  <c r="N2114" i="10"/>
  <c r="M2115" i="10"/>
  <c r="N2115" i="10"/>
  <c r="M2116" i="10"/>
  <c r="N2116" i="10"/>
  <c r="M2117" i="10"/>
  <c r="N2117" i="10"/>
  <c r="M2118" i="10"/>
  <c r="N2118" i="10"/>
  <c r="M2119" i="10"/>
  <c r="N2119" i="10"/>
  <c r="M2120" i="10"/>
  <c r="N2120" i="10"/>
  <c r="M2121" i="10"/>
  <c r="N2121" i="10"/>
  <c r="M2122" i="10"/>
  <c r="N2122" i="10"/>
  <c r="M2123" i="10"/>
  <c r="N2123" i="10"/>
  <c r="M2124" i="10"/>
  <c r="N2124" i="10"/>
  <c r="M2125" i="10"/>
  <c r="N2125" i="10"/>
  <c r="M2126" i="10"/>
  <c r="N2126" i="10"/>
  <c r="M2127" i="10"/>
  <c r="N2127" i="10"/>
  <c r="M2128" i="10"/>
  <c r="N2128" i="10"/>
  <c r="M2129" i="10"/>
  <c r="N2129" i="10"/>
  <c r="M2131" i="10"/>
  <c r="N2131" i="10"/>
  <c r="M2132" i="10"/>
  <c r="N2132" i="10"/>
  <c r="M2133" i="10"/>
  <c r="N2133" i="10"/>
  <c r="M2134" i="10"/>
  <c r="N2134" i="10"/>
  <c r="M2135" i="10"/>
  <c r="N2135" i="10"/>
  <c r="M2136" i="10"/>
  <c r="N2136" i="10"/>
  <c r="M2138" i="10"/>
  <c r="N2138" i="10"/>
  <c r="M2139" i="10"/>
  <c r="N2139" i="10"/>
  <c r="M2140" i="10"/>
  <c r="N2140" i="10"/>
  <c r="M2141" i="10"/>
  <c r="N2141" i="10"/>
  <c r="M2142" i="10"/>
  <c r="N2142" i="10"/>
  <c r="M2143" i="10"/>
  <c r="N2143" i="10"/>
  <c r="M2144" i="10"/>
  <c r="N2144" i="10"/>
  <c r="M2148" i="10"/>
  <c r="N2148" i="10"/>
  <c r="M2149" i="10"/>
  <c r="N2149" i="10"/>
  <c r="M2150" i="10"/>
  <c r="N2150" i="10"/>
  <c r="M2151" i="10"/>
  <c r="N2151" i="10"/>
  <c r="M2152" i="10"/>
  <c r="N2152" i="10"/>
  <c r="M2153" i="10"/>
  <c r="N2153" i="10"/>
  <c r="M2154" i="10"/>
  <c r="N2154" i="10"/>
  <c r="M2155" i="10"/>
  <c r="N2155" i="10"/>
  <c r="M2156" i="10"/>
  <c r="N2156" i="10"/>
  <c r="M2157" i="10"/>
  <c r="N2157" i="10"/>
  <c r="M2158" i="10"/>
  <c r="N2158" i="10"/>
  <c r="M2162" i="10"/>
  <c r="N2162" i="10"/>
  <c r="M2163" i="10"/>
  <c r="N2163" i="10"/>
  <c r="M2164" i="10"/>
  <c r="N2164" i="10"/>
  <c r="M2165" i="10"/>
  <c r="N2165" i="10"/>
  <c r="M2166" i="10"/>
  <c r="N2166" i="10"/>
  <c r="M2167" i="10"/>
  <c r="N2167" i="10"/>
  <c r="M2168" i="10"/>
  <c r="N2168" i="10"/>
  <c r="M2169" i="10"/>
  <c r="N2169" i="10"/>
  <c r="M2170" i="10"/>
  <c r="N2170" i="10"/>
  <c r="M2171" i="10"/>
  <c r="N2171" i="10"/>
  <c r="M2172" i="10"/>
  <c r="N2172" i="10"/>
  <c r="M2173" i="10"/>
  <c r="N2173" i="10"/>
  <c r="M2174" i="10"/>
  <c r="N2174" i="10"/>
  <c r="M2175" i="10"/>
  <c r="N2175" i="10"/>
  <c r="M2179" i="10"/>
  <c r="N2179" i="10"/>
  <c r="M2180" i="10"/>
  <c r="N2180" i="10"/>
  <c r="M2181" i="10"/>
  <c r="N2181" i="10"/>
  <c r="M2182" i="10"/>
  <c r="N2182" i="10"/>
  <c r="M2183" i="10"/>
  <c r="N2183" i="10"/>
  <c r="M2184" i="10"/>
  <c r="N2184" i="10"/>
  <c r="M2185" i="10"/>
  <c r="N2185" i="10"/>
  <c r="M2186" i="10"/>
  <c r="N2186" i="10"/>
  <c r="M2187" i="10"/>
  <c r="N2187" i="10"/>
  <c r="M2188" i="10"/>
  <c r="N2188" i="10"/>
  <c r="M2189" i="10"/>
  <c r="N2189" i="10"/>
  <c r="M2190" i="10"/>
  <c r="N2190" i="10"/>
  <c r="M2191" i="10"/>
  <c r="N2191" i="10"/>
  <c r="M2192" i="10"/>
  <c r="N2192" i="10"/>
  <c r="M2193" i="10"/>
  <c r="N2193" i="10"/>
  <c r="M2194" i="10"/>
  <c r="N2194" i="10"/>
  <c r="M2195" i="10"/>
  <c r="N2195" i="10"/>
  <c r="M2196" i="10"/>
  <c r="N2196" i="10"/>
  <c r="M2197" i="10"/>
  <c r="N2197" i="10"/>
  <c r="M2198" i="10"/>
  <c r="N2198" i="10"/>
  <c r="M2199" i="10"/>
  <c r="N2199" i="10"/>
  <c r="M2203" i="10"/>
  <c r="N2203" i="10"/>
  <c r="M2204" i="10"/>
  <c r="N2204" i="10"/>
  <c r="M2205" i="10"/>
  <c r="N2205" i="10"/>
  <c r="M2206" i="10"/>
  <c r="N2206" i="10"/>
  <c r="M2207" i="10"/>
  <c r="N2207" i="10"/>
  <c r="M2208" i="10"/>
  <c r="N2208" i="10"/>
  <c r="M2209" i="10"/>
  <c r="N2209" i="10"/>
  <c r="M2210" i="10"/>
  <c r="N2210" i="10"/>
  <c r="M2211" i="10"/>
  <c r="N2211" i="10"/>
  <c r="M2212" i="10"/>
  <c r="N2212" i="10"/>
  <c r="M2213" i="10"/>
  <c r="N2213" i="10"/>
  <c r="M2215" i="10"/>
  <c r="N2215" i="10"/>
  <c r="M2216" i="10"/>
  <c r="N2216" i="10"/>
  <c r="M2217" i="10"/>
  <c r="N2217" i="10"/>
  <c r="M2218" i="10"/>
  <c r="N2218" i="10"/>
  <c r="M2219" i="10"/>
  <c r="N2219" i="10"/>
  <c r="M2220" i="10"/>
  <c r="N2220" i="10"/>
  <c r="M2221" i="10"/>
  <c r="N2221" i="10"/>
  <c r="M2222" i="10"/>
  <c r="N2222" i="10"/>
  <c r="M2223" i="10"/>
  <c r="N2223" i="10"/>
  <c r="M2227" i="10"/>
  <c r="N2227" i="10"/>
  <c r="M2228" i="10"/>
  <c r="N2228" i="10"/>
  <c r="M2229" i="10"/>
  <c r="N2229" i="10"/>
  <c r="M2230" i="10"/>
  <c r="N2230" i="10"/>
  <c r="M2231" i="10"/>
  <c r="N2231" i="10"/>
  <c r="M2232" i="10"/>
  <c r="N2232" i="10"/>
  <c r="M2233" i="10"/>
  <c r="N2233" i="10"/>
  <c r="M2234" i="10"/>
  <c r="N2234" i="10"/>
  <c r="M2235" i="10"/>
  <c r="N2235" i="10"/>
  <c r="M2236" i="10"/>
  <c r="N2236" i="10"/>
  <c r="M2237" i="10"/>
  <c r="N2237" i="10"/>
  <c r="M2238" i="10"/>
  <c r="N2238" i="10"/>
  <c r="M2239" i="10"/>
  <c r="N2239" i="10"/>
  <c r="M2242" i="10"/>
  <c r="N2242" i="10"/>
  <c r="M2243" i="10"/>
  <c r="N2243" i="10"/>
  <c r="M2244" i="10"/>
  <c r="N2244" i="10"/>
  <c r="M2245" i="10"/>
  <c r="N2245" i="10"/>
  <c r="M2246" i="10"/>
  <c r="N2246" i="10"/>
  <c r="M2247" i="10"/>
  <c r="N2247" i="10"/>
  <c r="M2248" i="10"/>
  <c r="N2248" i="10"/>
  <c r="M2249" i="10"/>
  <c r="N2249" i="10"/>
  <c r="M2252" i="10"/>
  <c r="N2252" i="10"/>
  <c r="M2253" i="10"/>
  <c r="N2253" i="10"/>
  <c r="M2254" i="10"/>
  <c r="N2254" i="10"/>
  <c r="M2255" i="10"/>
  <c r="N2255" i="10"/>
  <c r="M2256" i="10"/>
  <c r="N2256" i="10"/>
  <c r="M2257" i="10"/>
  <c r="N2257" i="10"/>
  <c r="M2258" i="10"/>
  <c r="N2258" i="10"/>
  <c r="M2259" i="10"/>
  <c r="N2259" i="10"/>
  <c r="M2262" i="10"/>
  <c r="N2262" i="10"/>
  <c r="M2263" i="10"/>
  <c r="N2263" i="10"/>
  <c r="M2264" i="10"/>
  <c r="N2264" i="10"/>
  <c r="M2265" i="10"/>
  <c r="N2265" i="10"/>
  <c r="M2266" i="10"/>
  <c r="N2266" i="10"/>
  <c r="M2267" i="10"/>
  <c r="N2267" i="10"/>
  <c r="M2268" i="10"/>
  <c r="N2268" i="10"/>
  <c r="M2269" i="10"/>
  <c r="N2269" i="10"/>
  <c r="M2272" i="10"/>
  <c r="N2272" i="10"/>
  <c r="M2273" i="10"/>
  <c r="N2273" i="10"/>
  <c r="M2274" i="10"/>
  <c r="N2274" i="10"/>
  <c r="M2275" i="10"/>
  <c r="N2275" i="10"/>
  <c r="M2276" i="10"/>
  <c r="N2276" i="10"/>
  <c r="M2277" i="10"/>
  <c r="N2277" i="10"/>
  <c r="M2278" i="10"/>
  <c r="N2278" i="10"/>
  <c r="M2279" i="10"/>
  <c r="N2279" i="10"/>
  <c r="M2283" i="10"/>
  <c r="N2283" i="10"/>
  <c r="M2284" i="10"/>
  <c r="N2284" i="10"/>
  <c r="M2285" i="10"/>
  <c r="N2285" i="10"/>
  <c r="M2286" i="10"/>
  <c r="N2286" i="10"/>
  <c r="M2287" i="10"/>
  <c r="N2287" i="10"/>
  <c r="M2288" i="10"/>
  <c r="N2288" i="10"/>
  <c r="M2289" i="10"/>
  <c r="N2289" i="10"/>
  <c r="M2292" i="10"/>
  <c r="N2292" i="10"/>
  <c r="M2293" i="10"/>
  <c r="N2293" i="10"/>
  <c r="M2294" i="10"/>
  <c r="N2294" i="10"/>
  <c r="M2295" i="10"/>
  <c r="N2295" i="10"/>
  <c r="M2296" i="10"/>
  <c r="N2296" i="10"/>
  <c r="M2297" i="10"/>
  <c r="N2297" i="10"/>
  <c r="M2298" i="10"/>
  <c r="N2298" i="10"/>
  <c r="M2299" i="10"/>
  <c r="N2299" i="10"/>
  <c r="M2300" i="10"/>
  <c r="N2300" i="10"/>
  <c r="M2301" i="10"/>
  <c r="N2301" i="10"/>
  <c r="M2304" i="10"/>
  <c r="N2304" i="10"/>
  <c r="M2305" i="10"/>
  <c r="N2305" i="10"/>
  <c r="M2306" i="10"/>
  <c r="N2306" i="10"/>
  <c r="M2307" i="10"/>
  <c r="N2307" i="10"/>
  <c r="M2308" i="10"/>
  <c r="N2308" i="10"/>
  <c r="M2309" i="10"/>
  <c r="N2309" i="10"/>
  <c r="M2310" i="10"/>
  <c r="N2310" i="10"/>
  <c r="M2311" i="10"/>
  <c r="N2311" i="10"/>
  <c r="M2314" i="10"/>
  <c r="N2314" i="10"/>
  <c r="M2315" i="10"/>
  <c r="N2315" i="10"/>
  <c r="M2316" i="10"/>
  <c r="N2316" i="10"/>
  <c r="M2317" i="10"/>
  <c r="N2317" i="10"/>
  <c r="M2318" i="10"/>
  <c r="N2318" i="10"/>
  <c r="M2319" i="10"/>
  <c r="N2319" i="10"/>
  <c r="M2320" i="10"/>
  <c r="N2320" i="10"/>
  <c r="M2321" i="10"/>
  <c r="N2321" i="10"/>
  <c r="M2324" i="10"/>
  <c r="N2324" i="10"/>
  <c r="M2325" i="10"/>
  <c r="N2325" i="10"/>
  <c r="M2326" i="10"/>
  <c r="N2326" i="10"/>
  <c r="M2327" i="10"/>
  <c r="N2327" i="10"/>
  <c r="M2328" i="10"/>
  <c r="N2328" i="10"/>
  <c r="M2329" i="10"/>
  <c r="N2329" i="10"/>
  <c r="M2330" i="10"/>
  <c r="N2330" i="10"/>
  <c r="M2333" i="10"/>
  <c r="N2333" i="10"/>
  <c r="M2334" i="10"/>
  <c r="N2334" i="10"/>
  <c r="M2335" i="10"/>
  <c r="N2335" i="10"/>
  <c r="M2336" i="10"/>
  <c r="N2336" i="10"/>
  <c r="M2337" i="10"/>
  <c r="N2337" i="10"/>
  <c r="M2338" i="10"/>
  <c r="N2338" i="10"/>
  <c r="M2341" i="10"/>
  <c r="N2341" i="10"/>
  <c r="M2342" i="10"/>
  <c r="N2342" i="10"/>
  <c r="M2343" i="10"/>
  <c r="N2343" i="10"/>
  <c r="M2344" i="10"/>
  <c r="N2344" i="10"/>
  <c r="M2349" i="10"/>
  <c r="N2349" i="10"/>
  <c r="M2350" i="10"/>
  <c r="N2350" i="10"/>
  <c r="M2351" i="10"/>
  <c r="N2351" i="10"/>
  <c r="M2352" i="10"/>
  <c r="N2352" i="10"/>
  <c r="M2353" i="10"/>
  <c r="N2353" i="10"/>
  <c r="M2354" i="10"/>
  <c r="N2354" i="10"/>
  <c r="M2357" i="10"/>
  <c r="N2357" i="10"/>
  <c r="M2358" i="10"/>
  <c r="N2358" i="10"/>
  <c r="M2359" i="10"/>
  <c r="N2359" i="10"/>
  <c r="M2360" i="10"/>
  <c r="N2360" i="10"/>
  <c r="M2361" i="10"/>
  <c r="N2361" i="10"/>
  <c r="M2365" i="10"/>
  <c r="N2365" i="10"/>
  <c r="M2366" i="10"/>
  <c r="N2366" i="10"/>
  <c r="M2367" i="10"/>
  <c r="N2367" i="10"/>
  <c r="M2368" i="10"/>
  <c r="N2368" i="10"/>
  <c r="M2371" i="10"/>
  <c r="N2371" i="10"/>
  <c r="M2372" i="10"/>
  <c r="N2372" i="10"/>
  <c r="M2373" i="10"/>
  <c r="N2373" i="10"/>
  <c r="M2374" i="10"/>
  <c r="N2374" i="10"/>
  <c r="M2377" i="10"/>
  <c r="N2377" i="10"/>
  <c r="M2378" i="10"/>
  <c r="N2378" i="10"/>
  <c r="M2379" i="10"/>
  <c r="N2379" i="10"/>
  <c r="M2380" i="10"/>
  <c r="N2380" i="10"/>
  <c r="M2383" i="10"/>
  <c r="N2383" i="10"/>
  <c r="M2384" i="10"/>
  <c r="N2384" i="10"/>
  <c r="M2385" i="10"/>
  <c r="N2385" i="10"/>
  <c r="M2386" i="10"/>
  <c r="N2386" i="10"/>
  <c r="M2389" i="10"/>
  <c r="N2389" i="10"/>
  <c r="M2390" i="10"/>
  <c r="N2390" i="10"/>
  <c r="M2391" i="10"/>
  <c r="N2391" i="10"/>
  <c r="M2392" i="10"/>
  <c r="N2392" i="10"/>
  <c r="M2395" i="10"/>
  <c r="N2395" i="10"/>
  <c r="M2396" i="10"/>
  <c r="N2396" i="10"/>
  <c r="M2397" i="10"/>
  <c r="N2397" i="10"/>
  <c r="M2398" i="10"/>
  <c r="N2398" i="10"/>
  <c r="M2401" i="10"/>
  <c r="N2401" i="10"/>
  <c r="M2402" i="10"/>
  <c r="N2402" i="10"/>
  <c r="M2403" i="10"/>
  <c r="N2403" i="10"/>
  <c r="M2404" i="10"/>
  <c r="N2404" i="10"/>
  <c r="M2405" i="10"/>
  <c r="N2405" i="10"/>
  <c r="M2406" i="10"/>
  <c r="N2406" i="10"/>
  <c r="M2407" i="10"/>
  <c r="N2407" i="10"/>
  <c r="M2408" i="10"/>
  <c r="N2408" i="10"/>
  <c r="M2409" i="10"/>
  <c r="N2409" i="10"/>
  <c r="M2410" i="10"/>
  <c r="N2410" i="10"/>
  <c r="M2411" i="10"/>
  <c r="N2411" i="10"/>
  <c r="M2412" i="10"/>
  <c r="N2412" i="10"/>
  <c r="M2413" i="10"/>
  <c r="N2413" i="10"/>
  <c r="M2416" i="10"/>
  <c r="N2416" i="10"/>
  <c r="M2417" i="10"/>
  <c r="N2417" i="10"/>
  <c r="M2418" i="10"/>
  <c r="N2418" i="10"/>
  <c r="M2419" i="10"/>
  <c r="N2419" i="10"/>
  <c r="M2420" i="10"/>
  <c r="N2420" i="10"/>
  <c r="N9" i="10"/>
  <c r="M9" i="10"/>
  <c r="K9" i="10"/>
  <c r="K10" i="10"/>
  <c r="L10" i="10"/>
  <c r="K11" i="10"/>
  <c r="L11" i="10"/>
  <c r="K12" i="10"/>
  <c r="L12" i="10"/>
  <c r="K13" i="10"/>
  <c r="L13" i="10"/>
  <c r="K14" i="10"/>
  <c r="L14" i="10"/>
  <c r="L16" i="10"/>
  <c r="N16" i="10" s="1"/>
  <c r="I16" i="10" s="1"/>
  <c r="I15" i="10" s="1"/>
  <c r="M17" i="10"/>
  <c r="L17" i="10"/>
  <c r="N17" i="10" s="1"/>
  <c r="K18" i="10"/>
  <c r="L18" i="10"/>
  <c r="K19" i="10"/>
  <c r="L19" i="10"/>
  <c r="K20" i="10"/>
  <c r="L20" i="10"/>
  <c r="K21" i="10"/>
  <c r="L21" i="10"/>
  <c r="L23" i="10"/>
  <c r="N23" i="10" s="1"/>
  <c r="I23" i="10" s="1"/>
  <c r="L24" i="10"/>
  <c r="K27" i="10"/>
  <c r="M27" i="10" s="1"/>
  <c r="L27" i="10"/>
  <c r="N27" i="10" s="1"/>
  <c r="K28" i="10"/>
  <c r="L28" i="10"/>
  <c r="K29" i="10"/>
  <c r="L29" i="10"/>
  <c r="K30" i="10"/>
  <c r="L30" i="10"/>
  <c r="K31" i="10"/>
  <c r="L31" i="10"/>
  <c r="K32" i="10"/>
  <c r="L32" i="10"/>
  <c r="K33" i="10"/>
  <c r="L33" i="10"/>
  <c r="K34" i="10"/>
  <c r="L34" i="10"/>
  <c r="K35" i="10"/>
  <c r="L35" i="10"/>
  <c r="K36" i="10"/>
  <c r="L36" i="10"/>
  <c r="K37" i="10"/>
  <c r="L37" i="10"/>
  <c r="K38" i="10"/>
  <c r="L38" i="10"/>
  <c r="K39" i="10"/>
  <c r="L39" i="10"/>
  <c r="K40" i="10"/>
  <c r="L40" i="10"/>
  <c r="K41" i="10"/>
  <c r="L41" i="10"/>
  <c r="K42" i="10"/>
  <c r="L42" i="10"/>
  <c r="K43" i="10"/>
  <c r="L43" i="10"/>
  <c r="K44" i="10"/>
  <c r="L44" i="10"/>
  <c r="K45" i="10"/>
  <c r="L45" i="10"/>
  <c r="K46" i="10"/>
  <c r="L46" i="10"/>
  <c r="K47" i="10"/>
  <c r="L47" i="10"/>
  <c r="K48" i="10"/>
  <c r="L48" i="10"/>
  <c r="L50" i="10"/>
  <c r="N50" i="10" s="1"/>
  <c r="I50" i="10" s="1"/>
  <c r="L51" i="10"/>
  <c r="N51" i="10" s="1"/>
  <c r="I51" i="10" s="1"/>
  <c r="K52" i="10"/>
  <c r="L52" i="10"/>
  <c r="K53" i="10"/>
  <c r="L53" i="10"/>
  <c r="K54" i="10"/>
  <c r="L54" i="10"/>
  <c r="K55" i="10"/>
  <c r="L55" i="10"/>
  <c r="K56" i="10"/>
  <c r="L56" i="10"/>
  <c r="K57" i="10"/>
  <c r="L57" i="10"/>
  <c r="L59" i="10"/>
  <c r="N59" i="10" s="1"/>
  <c r="I59" i="10" s="1"/>
  <c r="I58" i="10" s="1"/>
  <c r="K60" i="10"/>
  <c r="L60" i="10"/>
  <c r="K61" i="10"/>
  <c r="L61" i="10"/>
  <c r="K62" i="10"/>
  <c r="L62" i="10"/>
  <c r="K63" i="10"/>
  <c r="L63" i="10"/>
  <c r="K64" i="10"/>
  <c r="L64" i="10"/>
  <c r="K65" i="10"/>
  <c r="L65" i="10"/>
  <c r="K66" i="10"/>
  <c r="L66" i="10"/>
  <c r="K68" i="10"/>
  <c r="L68" i="10"/>
  <c r="K69" i="10"/>
  <c r="L69" i="10"/>
  <c r="K70" i="10"/>
  <c r="L70" i="10"/>
  <c r="K71" i="10"/>
  <c r="L71" i="10"/>
  <c r="K72" i="10"/>
  <c r="L72" i="10"/>
  <c r="K73" i="10"/>
  <c r="L73" i="10"/>
  <c r="K74" i="10"/>
  <c r="L74" i="10"/>
  <c r="K75" i="10"/>
  <c r="L75" i="10"/>
  <c r="K76" i="10"/>
  <c r="L76" i="10"/>
  <c r="K78" i="10"/>
  <c r="L78" i="10"/>
  <c r="K79" i="10"/>
  <c r="L79" i="10"/>
  <c r="K80" i="10"/>
  <c r="L80" i="10"/>
  <c r="K81" i="10"/>
  <c r="L81" i="10"/>
  <c r="K82" i="10"/>
  <c r="L82" i="10"/>
  <c r="K83" i="10"/>
  <c r="L83" i="10"/>
  <c r="K84" i="10"/>
  <c r="L84" i="10"/>
  <c r="L86" i="10"/>
  <c r="N86" i="10" s="1"/>
  <c r="I86" i="10" s="1"/>
  <c r="I85" i="10" s="1"/>
  <c r="K87" i="10"/>
  <c r="L87" i="10"/>
  <c r="K88" i="10"/>
  <c r="L88" i="10"/>
  <c r="K89" i="10"/>
  <c r="L89" i="10"/>
  <c r="K90" i="10"/>
  <c r="L90" i="10"/>
  <c r="K91" i="10"/>
  <c r="L91" i="10"/>
  <c r="L93" i="10"/>
  <c r="N93" i="10" s="1"/>
  <c r="I93" i="10" s="1"/>
  <c r="K94" i="10"/>
  <c r="L94" i="10"/>
  <c r="K95" i="10"/>
  <c r="L95" i="10"/>
  <c r="K96" i="10"/>
  <c r="L96" i="10"/>
  <c r="K97" i="10"/>
  <c r="L97" i="10"/>
  <c r="L99" i="10"/>
  <c r="N99" i="10" s="1"/>
  <c r="I99" i="10" s="1"/>
  <c r="K100" i="10"/>
  <c r="L100" i="10"/>
  <c r="K101" i="10"/>
  <c r="L101" i="10"/>
  <c r="K102" i="10"/>
  <c r="L102" i="10"/>
  <c r="L104" i="10"/>
  <c r="L105" i="10"/>
  <c r="N105" i="10" s="1"/>
  <c r="I105" i="10" s="1"/>
  <c r="K106" i="10"/>
  <c r="L106" i="10"/>
  <c r="K107" i="10"/>
  <c r="L107" i="10"/>
  <c r="K109" i="10"/>
  <c r="L109" i="10"/>
  <c r="K110" i="10"/>
  <c r="L110" i="10"/>
  <c r="K111" i="10"/>
  <c r="L111" i="10"/>
  <c r="K112" i="10"/>
  <c r="L112" i="10"/>
  <c r="K113" i="10"/>
  <c r="L113" i="10"/>
  <c r="K114" i="10"/>
  <c r="L114" i="10"/>
  <c r="K115" i="10"/>
  <c r="L115" i="10"/>
  <c r="K116" i="10"/>
  <c r="L116" i="10"/>
  <c r="K117" i="10"/>
  <c r="L117" i="10"/>
  <c r="K118" i="10"/>
  <c r="L118" i="10"/>
  <c r="K120" i="10"/>
  <c r="L120" i="10"/>
  <c r="K121" i="10"/>
  <c r="L121" i="10"/>
  <c r="K122" i="10"/>
  <c r="L122" i="10"/>
  <c r="K123" i="10"/>
  <c r="L123" i="10"/>
  <c r="K124" i="10"/>
  <c r="L124" i="10"/>
  <c r="K125" i="10"/>
  <c r="L125" i="10"/>
  <c r="K127" i="10"/>
  <c r="L127" i="10"/>
  <c r="K128" i="10"/>
  <c r="L128" i="10"/>
  <c r="K129" i="10"/>
  <c r="L129" i="10"/>
  <c r="K130" i="10"/>
  <c r="L130" i="10"/>
  <c r="K131" i="10"/>
  <c r="L131" i="10"/>
  <c r="K132" i="10"/>
  <c r="L132" i="10"/>
  <c r="K134" i="10"/>
  <c r="L134" i="10"/>
  <c r="K135" i="10"/>
  <c r="L135" i="10"/>
  <c r="K136" i="10"/>
  <c r="L136" i="10"/>
  <c r="K137" i="10"/>
  <c r="L137" i="10"/>
  <c r="K138" i="10"/>
  <c r="L138" i="10"/>
  <c r="K139" i="10"/>
  <c r="L139" i="10"/>
  <c r="K140" i="10"/>
  <c r="L140" i="10"/>
  <c r="L142" i="10"/>
  <c r="K144" i="10"/>
  <c r="L144" i="10"/>
  <c r="K145" i="10"/>
  <c r="L145" i="10"/>
  <c r="K146" i="10"/>
  <c r="L146" i="10"/>
  <c r="K147" i="10"/>
  <c r="L147" i="10"/>
  <c r="K148" i="10"/>
  <c r="L148" i="10"/>
  <c r="L150" i="10"/>
  <c r="N150" i="10" s="1"/>
  <c r="I150" i="10" s="1"/>
  <c r="K152" i="10"/>
  <c r="L152" i="10"/>
  <c r="K153" i="10"/>
  <c r="L153" i="10"/>
  <c r="K154" i="10"/>
  <c r="L154" i="10"/>
  <c r="K155" i="10"/>
  <c r="L155" i="10"/>
  <c r="K156" i="10"/>
  <c r="L156" i="10"/>
  <c r="L158" i="10"/>
  <c r="N158" i="10" s="1"/>
  <c r="I158" i="10" s="1"/>
  <c r="K160" i="10"/>
  <c r="L160" i="10"/>
  <c r="K161" i="10"/>
  <c r="L161" i="10"/>
  <c r="K162" i="10"/>
  <c r="L162" i="10"/>
  <c r="K163" i="10"/>
  <c r="L163" i="10"/>
  <c r="K164" i="10"/>
  <c r="L164" i="10"/>
  <c r="L166" i="10"/>
  <c r="N166" i="10" s="1"/>
  <c r="I166" i="10" s="1"/>
  <c r="I165" i="10" s="1"/>
  <c r="K167" i="10"/>
  <c r="L167" i="10"/>
  <c r="K168" i="10"/>
  <c r="L168" i="10"/>
  <c r="K169" i="10"/>
  <c r="L169" i="10"/>
  <c r="K170" i="10"/>
  <c r="L170" i="10"/>
  <c r="K171" i="10"/>
  <c r="L171" i="10"/>
  <c r="L173" i="10"/>
  <c r="N173" i="10" s="1"/>
  <c r="I173" i="10" s="1"/>
  <c r="I172" i="10" s="1"/>
  <c r="K174" i="10"/>
  <c r="L174" i="10"/>
  <c r="K175" i="10"/>
  <c r="L175" i="10"/>
  <c r="K176" i="10"/>
  <c r="L176" i="10"/>
  <c r="K177" i="10"/>
  <c r="L177" i="10"/>
  <c r="K178" i="10"/>
  <c r="L178" i="10"/>
  <c r="K179" i="10"/>
  <c r="L179" i="10"/>
  <c r="K180" i="10"/>
  <c r="L180" i="10"/>
  <c r="L182" i="10"/>
  <c r="N182" i="10" s="1"/>
  <c r="I182" i="10" s="1"/>
  <c r="I181" i="10" s="1"/>
  <c r="K183" i="10"/>
  <c r="L183" i="10"/>
  <c r="K184" i="10"/>
  <c r="L184" i="10"/>
  <c r="K185" i="10"/>
  <c r="L185" i="10"/>
  <c r="K186" i="10"/>
  <c r="L186" i="10"/>
  <c r="K187" i="10"/>
  <c r="L187" i="10"/>
  <c r="K188" i="10"/>
  <c r="L188" i="10"/>
  <c r="K189" i="10"/>
  <c r="L189" i="10"/>
  <c r="L191" i="10"/>
  <c r="K192" i="10"/>
  <c r="L192" i="10"/>
  <c r="K193" i="10"/>
  <c r="L193" i="10"/>
  <c r="K194" i="10"/>
  <c r="L194" i="10"/>
  <c r="K195" i="10"/>
  <c r="L195" i="10"/>
  <c r="K196" i="10"/>
  <c r="L196" i="10"/>
  <c r="K197" i="10"/>
  <c r="L197" i="10"/>
  <c r="K198" i="10"/>
  <c r="L198" i="10"/>
  <c r="K199" i="10"/>
  <c r="L199" i="10"/>
  <c r="K202" i="10"/>
  <c r="L202" i="10"/>
  <c r="K203" i="10"/>
  <c r="L203" i="10"/>
  <c r="K204" i="10"/>
  <c r="L204" i="10"/>
  <c r="K205" i="10"/>
  <c r="L205" i="10"/>
  <c r="K206" i="10"/>
  <c r="L206" i="10"/>
  <c r="K207" i="10"/>
  <c r="L207" i="10"/>
  <c r="L209" i="10"/>
  <c r="N209" i="10" s="1"/>
  <c r="I209" i="10" s="1"/>
  <c r="K212" i="10"/>
  <c r="L212" i="10"/>
  <c r="K213" i="10"/>
  <c r="L213" i="10"/>
  <c r="K214" i="10"/>
  <c r="L214" i="10"/>
  <c r="K215" i="10"/>
  <c r="L215" i="10"/>
  <c r="K216" i="10"/>
  <c r="L216" i="10"/>
  <c r="K217" i="10"/>
  <c r="L217" i="10"/>
  <c r="K218" i="10"/>
  <c r="L218" i="10"/>
  <c r="K219" i="10"/>
  <c r="L219" i="10"/>
  <c r="L221" i="10"/>
  <c r="N221" i="10" s="1"/>
  <c r="I221" i="10" s="1"/>
  <c r="I220" i="10" s="1"/>
  <c r="K222" i="10"/>
  <c r="L222" i="10"/>
  <c r="K223" i="10"/>
  <c r="L223" i="10"/>
  <c r="K224" i="10"/>
  <c r="L224" i="10"/>
  <c r="K225" i="10"/>
  <c r="L225" i="10"/>
  <c r="K226" i="10"/>
  <c r="L226" i="10"/>
  <c r="K227" i="10"/>
  <c r="L227" i="10"/>
  <c r="K230" i="10"/>
  <c r="L230" i="10"/>
  <c r="K231" i="10"/>
  <c r="L231" i="10"/>
  <c r="K232" i="10"/>
  <c r="L232" i="10"/>
  <c r="K233" i="10"/>
  <c r="L233" i="10"/>
  <c r="K234" i="10"/>
  <c r="L234" i="10"/>
  <c r="K235" i="10"/>
  <c r="L235" i="10"/>
  <c r="L237" i="10"/>
  <c r="L238" i="10"/>
  <c r="N238" i="10" s="1"/>
  <c r="I238" i="10" s="1"/>
  <c r="K240" i="10"/>
  <c r="L240" i="10"/>
  <c r="K241" i="10"/>
  <c r="L241" i="10"/>
  <c r="K242" i="10"/>
  <c r="L242" i="10"/>
  <c r="K243" i="10"/>
  <c r="L243" i="10"/>
  <c r="K244" i="10"/>
  <c r="L244" i="10"/>
  <c r="K245" i="10"/>
  <c r="L245" i="10"/>
  <c r="K246" i="10"/>
  <c r="L246" i="10"/>
  <c r="K247" i="10"/>
  <c r="L247" i="10"/>
  <c r="K248" i="10"/>
  <c r="L248" i="10"/>
  <c r="K249" i="10"/>
  <c r="L249" i="10"/>
  <c r="K250" i="10"/>
  <c r="L250" i="10"/>
  <c r="K251" i="10"/>
  <c r="L251" i="10"/>
  <c r="K252" i="10"/>
  <c r="L252" i="10"/>
  <c r="K253" i="10"/>
  <c r="L253" i="10"/>
  <c r="K254" i="10"/>
  <c r="L254" i="10"/>
  <c r="K255" i="10"/>
  <c r="L255" i="10"/>
  <c r="K256" i="10"/>
  <c r="L256" i="10"/>
  <c r="K257" i="10"/>
  <c r="L257" i="10"/>
  <c r="K258" i="10"/>
  <c r="L258" i="10"/>
  <c r="K259" i="10"/>
  <c r="L259" i="10"/>
  <c r="K260" i="10"/>
  <c r="L260" i="10"/>
  <c r="K261" i="10"/>
  <c r="L261" i="10"/>
  <c r="K264" i="10"/>
  <c r="L264" i="10"/>
  <c r="K265" i="10"/>
  <c r="L265" i="10"/>
  <c r="K266" i="10"/>
  <c r="L266" i="10"/>
  <c r="K267" i="10"/>
  <c r="L267" i="10"/>
  <c r="K268" i="10"/>
  <c r="L268" i="10"/>
  <c r="K269" i="10"/>
  <c r="L269" i="10"/>
  <c r="K270" i="10"/>
  <c r="L270" i="10"/>
  <c r="K273" i="10"/>
  <c r="L273" i="10"/>
  <c r="K274" i="10"/>
  <c r="L274" i="10"/>
  <c r="K275" i="10"/>
  <c r="L275" i="10"/>
  <c r="K276" i="10"/>
  <c r="L276" i="10"/>
  <c r="K277" i="10"/>
  <c r="L277" i="10"/>
  <c r="L279" i="10"/>
  <c r="N279" i="10" s="1"/>
  <c r="I279" i="10" s="1"/>
  <c r="L280" i="10"/>
  <c r="K281" i="10"/>
  <c r="M281" i="10" s="1"/>
  <c r="L281" i="10"/>
  <c r="N281" i="10" s="1"/>
  <c r="I281" i="10" s="1"/>
  <c r="K282" i="10"/>
  <c r="L282" i="10"/>
  <c r="K283" i="10"/>
  <c r="L283" i="10"/>
  <c r="K284" i="10"/>
  <c r="L284" i="10"/>
  <c r="K285" i="10"/>
  <c r="L285" i="10"/>
  <c r="K286" i="10"/>
  <c r="L286" i="10"/>
  <c r="K287" i="10"/>
  <c r="L287" i="10"/>
  <c r="K288" i="10"/>
  <c r="L288" i="10"/>
  <c r="K289" i="10"/>
  <c r="L289" i="10"/>
  <c r="K290" i="10"/>
  <c r="L290" i="10"/>
  <c r="K291" i="10"/>
  <c r="L291" i="10"/>
  <c r="K292" i="10"/>
  <c r="L292" i="10"/>
  <c r="K293" i="10"/>
  <c r="L293" i="10"/>
  <c r="K294" i="10"/>
  <c r="L294" i="10"/>
  <c r="K295" i="10"/>
  <c r="L295" i="10"/>
  <c r="K296" i="10"/>
  <c r="L296" i="10"/>
  <c r="K297" i="10"/>
  <c r="L297" i="10"/>
  <c r="K298" i="10"/>
  <c r="L298" i="10"/>
  <c r="K299" i="10"/>
  <c r="L299" i="10"/>
  <c r="K300" i="10"/>
  <c r="L300" i="10"/>
  <c r="K301" i="10"/>
  <c r="L301" i="10"/>
  <c r="K302" i="10"/>
  <c r="L302" i="10"/>
  <c r="K303" i="10"/>
  <c r="L303" i="10"/>
  <c r="K304" i="10"/>
  <c r="L304" i="10"/>
  <c r="K305" i="10"/>
  <c r="L305" i="10"/>
  <c r="K306" i="10"/>
  <c r="L306" i="10"/>
  <c r="K307" i="10"/>
  <c r="L307" i="10"/>
  <c r="L309" i="10"/>
  <c r="N309" i="10" s="1"/>
  <c r="I309" i="10" s="1"/>
  <c r="L310" i="10"/>
  <c r="L311" i="10"/>
  <c r="M312" i="10"/>
  <c r="L312" i="10"/>
  <c r="N312" i="10" s="1"/>
  <c r="I312" i="10" s="1"/>
  <c r="K313" i="10"/>
  <c r="L313" i="10"/>
  <c r="K314" i="10"/>
  <c r="L314" i="10"/>
  <c r="K315" i="10"/>
  <c r="L315" i="10"/>
  <c r="K316" i="10"/>
  <c r="L316" i="10"/>
  <c r="K317" i="10"/>
  <c r="L317" i="10"/>
  <c r="K318" i="10"/>
  <c r="L318" i="10"/>
  <c r="K319" i="10"/>
  <c r="L319" i="10"/>
  <c r="K320" i="10"/>
  <c r="L320" i="10"/>
  <c r="K321" i="10"/>
  <c r="L321" i="10"/>
  <c r="K322" i="10"/>
  <c r="L322" i="10"/>
  <c r="K323" i="10"/>
  <c r="L323" i="10"/>
  <c r="K324" i="10"/>
  <c r="L324" i="10"/>
  <c r="K325" i="10"/>
  <c r="L325" i="10"/>
  <c r="K326" i="10"/>
  <c r="L326" i="10"/>
  <c r="K327" i="10"/>
  <c r="L327" i="10"/>
  <c r="K328" i="10"/>
  <c r="L328" i="10"/>
  <c r="K329" i="10"/>
  <c r="L329" i="10"/>
  <c r="K330" i="10"/>
  <c r="L330" i="10"/>
  <c r="K331" i="10"/>
  <c r="L331" i="10"/>
  <c r="L335" i="10"/>
  <c r="N335" i="10" s="1"/>
  <c r="I335" i="10" s="1"/>
  <c r="K336" i="10"/>
  <c r="L336" i="10"/>
  <c r="K337" i="10"/>
  <c r="L337" i="10"/>
  <c r="K338" i="10"/>
  <c r="L338" i="10"/>
  <c r="K339" i="10"/>
  <c r="L339" i="10"/>
  <c r="K340" i="10"/>
  <c r="L340" i="10"/>
  <c r="K341" i="10"/>
  <c r="L341" i="10"/>
  <c r="K342" i="10"/>
  <c r="L342" i="10"/>
  <c r="K343" i="10"/>
  <c r="L343" i="10"/>
  <c r="K344" i="10"/>
  <c r="L344" i="10"/>
  <c r="K345" i="10"/>
  <c r="L345" i="10"/>
  <c r="K346" i="10"/>
  <c r="L346" i="10"/>
  <c r="K347" i="10"/>
  <c r="L347" i="10"/>
  <c r="K348" i="10"/>
  <c r="L348" i="10"/>
  <c r="L350" i="10"/>
  <c r="N350" i="10" s="1"/>
  <c r="I350" i="10" s="1"/>
  <c r="K353" i="10"/>
  <c r="L353" i="10"/>
  <c r="K354" i="10"/>
  <c r="L354" i="10"/>
  <c r="K355" i="10"/>
  <c r="L355" i="10"/>
  <c r="K356" i="10"/>
  <c r="L356" i="10"/>
  <c r="K357" i="10"/>
  <c r="L357" i="10"/>
  <c r="K358" i="10"/>
  <c r="L358" i="10"/>
  <c r="K359" i="10"/>
  <c r="L359" i="10"/>
  <c r="K360" i="10"/>
  <c r="L360" i="10"/>
  <c r="K361" i="10"/>
  <c r="L361" i="10"/>
  <c r="K362" i="10"/>
  <c r="L362" i="10"/>
  <c r="K363" i="10"/>
  <c r="L363" i="10"/>
  <c r="K364" i="10"/>
  <c r="L364" i="10"/>
  <c r="K365" i="10"/>
  <c r="L365" i="10"/>
  <c r="K366" i="10"/>
  <c r="L366" i="10"/>
  <c r="K367" i="10"/>
  <c r="L367" i="10"/>
  <c r="K368" i="10"/>
  <c r="L368" i="10"/>
  <c r="K369" i="10"/>
  <c r="L369" i="10"/>
  <c r="K370" i="10"/>
  <c r="L370" i="10"/>
  <c r="K371" i="10"/>
  <c r="L371" i="10"/>
  <c r="K372" i="10"/>
  <c r="L372" i="10"/>
  <c r="K373" i="10"/>
  <c r="L373" i="10"/>
  <c r="K374" i="10"/>
  <c r="L374" i="10"/>
  <c r="K375" i="10"/>
  <c r="L375" i="10"/>
  <c r="K376" i="10"/>
  <c r="L376" i="10"/>
  <c r="K377" i="10"/>
  <c r="L377" i="10"/>
  <c r="K378" i="10"/>
  <c r="L378" i="10"/>
  <c r="K379" i="10"/>
  <c r="L379" i="10"/>
  <c r="K380" i="10"/>
  <c r="L380" i="10"/>
  <c r="K381" i="10"/>
  <c r="L381" i="10"/>
  <c r="K382" i="10"/>
  <c r="L382" i="10"/>
  <c r="K383" i="10"/>
  <c r="L383" i="10"/>
  <c r="K384" i="10"/>
  <c r="L384" i="10"/>
  <c r="L386" i="10"/>
  <c r="N386" i="10" s="1"/>
  <c r="I386" i="10" s="1"/>
  <c r="L389" i="10"/>
  <c r="N389" i="10" s="1"/>
  <c r="I389" i="10" s="1"/>
  <c r="K390" i="10"/>
  <c r="L390" i="10"/>
  <c r="K391" i="10"/>
  <c r="L391" i="10"/>
  <c r="K392" i="10"/>
  <c r="L392" i="10"/>
  <c r="K393" i="10"/>
  <c r="L393" i="10"/>
  <c r="K394" i="10"/>
  <c r="L394" i="10"/>
  <c r="K395" i="10"/>
  <c r="L395" i="10"/>
  <c r="K396" i="10"/>
  <c r="L396" i="10"/>
  <c r="K397" i="10"/>
  <c r="L397" i="10"/>
  <c r="K398" i="10"/>
  <c r="L398" i="10"/>
  <c r="K399" i="10"/>
  <c r="L399" i="10"/>
  <c r="K400" i="10"/>
  <c r="L400" i="10"/>
  <c r="K401" i="10"/>
  <c r="L401" i="10"/>
  <c r="K402" i="10"/>
  <c r="L402" i="10"/>
  <c r="K403" i="10"/>
  <c r="L403" i="10"/>
  <c r="K404" i="10"/>
  <c r="L404" i="10"/>
  <c r="K405" i="10"/>
  <c r="L405" i="10"/>
  <c r="K406" i="10"/>
  <c r="L406" i="10"/>
  <c r="K407" i="10"/>
  <c r="L407" i="10"/>
  <c r="K408" i="10"/>
  <c r="L408" i="10"/>
  <c r="K409" i="10"/>
  <c r="L409" i="10"/>
  <c r="K410" i="10"/>
  <c r="L410" i="10"/>
  <c r="L414" i="10"/>
  <c r="N414" i="10" s="1"/>
  <c r="I414" i="10" s="1"/>
  <c r="K415" i="10"/>
  <c r="L415" i="10"/>
  <c r="K416" i="10"/>
  <c r="L416" i="10"/>
  <c r="K417" i="10"/>
  <c r="L417" i="10"/>
  <c r="K418" i="10"/>
  <c r="L418" i="10"/>
  <c r="K420" i="10"/>
  <c r="L420" i="10"/>
  <c r="K421" i="10"/>
  <c r="L421" i="10"/>
  <c r="K422" i="10"/>
  <c r="L422" i="10"/>
  <c r="K423" i="10"/>
  <c r="L423" i="10"/>
  <c r="K424" i="10"/>
  <c r="L424" i="10"/>
  <c r="K425" i="10"/>
  <c r="L425" i="10"/>
  <c r="K426" i="10"/>
  <c r="L426" i="10"/>
  <c r="K427" i="10"/>
  <c r="L427" i="10"/>
  <c r="L429" i="10"/>
  <c r="N429" i="10" s="1"/>
  <c r="I429" i="10" s="1"/>
  <c r="L430" i="10"/>
  <c r="L431" i="10"/>
  <c r="N431" i="10" s="1"/>
  <c r="I431" i="10" s="1"/>
  <c r="L432" i="10"/>
  <c r="N432" i="10" s="1"/>
  <c r="I432" i="10" s="1"/>
  <c r="K433" i="10"/>
  <c r="L433" i="10"/>
  <c r="K434" i="10"/>
  <c r="L434" i="10"/>
  <c r="L436" i="10"/>
  <c r="N436" i="10" s="1"/>
  <c r="I436" i="10" s="1"/>
  <c r="L437" i="10"/>
  <c r="L438" i="10"/>
  <c r="N438" i="10" s="1"/>
  <c r="I438" i="10" s="1"/>
  <c r="L439" i="10"/>
  <c r="N439" i="10" s="1"/>
  <c r="I439" i="10" s="1"/>
  <c r="K440" i="10"/>
  <c r="L440" i="10"/>
  <c r="K441" i="10"/>
  <c r="L441" i="10"/>
  <c r="K443" i="10"/>
  <c r="L443" i="10"/>
  <c r="K444" i="10"/>
  <c r="L444" i="10"/>
  <c r="K445" i="10"/>
  <c r="L445" i="10"/>
  <c r="K446" i="10"/>
  <c r="L446" i="10"/>
  <c r="K447" i="10"/>
  <c r="L447" i="10"/>
  <c r="K448" i="10"/>
  <c r="L448" i="10"/>
  <c r="K449" i="10"/>
  <c r="L449" i="10"/>
  <c r="K450" i="10"/>
  <c r="L450" i="10"/>
  <c r="K451" i="10"/>
  <c r="L451" i="10"/>
  <c r="K452" i="10"/>
  <c r="L452" i="10"/>
  <c r="K453" i="10"/>
  <c r="L453" i="10"/>
  <c r="K454" i="10"/>
  <c r="L454" i="10"/>
  <c r="K456" i="10"/>
  <c r="L456" i="10"/>
  <c r="K457" i="10"/>
  <c r="L457" i="10"/>
  <c r="K458" i="10"/>
  <c r="L458" i="10"/>
  <c r="K459" i="10"/>
  <c r="L459" i="10"/>
  <c r="K460" i="10"/>
  <c r="L460" i="10"/>
  <c r="K461" i="10"/>
  <c r="L461" i="10"/>
  <c r="K462" i="10"/>
  <c r="L462" i="10"/>
  <c r="K463" i="10"/>
  <c r="L463" i="10"/>
  <c r="K464" i="10"/>
  <c r="L464" i="10"/>
  <c r="L466" i="10"/>
  <c r="N466" i="10" s="1"/>
  <c r="I466" i="10" s="1"/>
  <c r="K469" i="10"/>
  <c r="L469" i="10"/>
  <c r="K470" i="10"/>
  <c r="L470" i="10"/>
  <c r="K471" i="10"/>
  <c r="L471" i="10"/>
  <c r="K472" i="10"/>
  <c r="L472" i="10"/>
  <c r="K473" i="10"/>
  <c r="L473" i="10"/>
  <c r="K474" i="10"/>
  <c r="L474" i="10"/>
  <c r="K475" i="10"/>
  <c r="L475" i="10"/>
  <c r="K476" i="10"/>
  <c r="L476" i="10"/>
  <c r="K477" i="10"/>
  <c r="L477" i="10"/>
  <c r="K478" i="10"/>
  <c r="L478" i="10"/>
  <c r="K479" i="10"/>
  <c r="L479" i="10"/>
  <c r="K480" i="10"/>
  <c r="L480" i="10"/>
  <c r="K481" i="10"/>
  <c r="L481" i="10"/>
  <c r="K482" i="10"/>
  <c r="L482" i="10"/>
  <c r="K483" i="10"/>
  <c r="L483" i="10"/>
  <c r="K484" i="10"/>
  <c r="L484" i="10"/>
  <c r="K485" i="10"/>
  <c r="L485" i="10"/>
  <c r="K486" i="10"/>
  <c r="L486" i="10"/>
  <c r="K487" i="10"/>
  <c r="L487" i="10"/>
  <c r="L489" i="10"/>
  <c r="N489" i="10" s="1"/>
  <c r="I489" i="10" s="1"/>
  <c r="I488" i="10" s="1"/>
  <c r="K490" i="10"/>
  <c r="L490" i="10"/>
  <c r="K491" i="10"/>
  <c r="L491" i="10"/>
  <c r="K492" i="10"/>
  <c r="L492" i="10"/>
  <c r="K493" i="10"/>
  <c r="L493" i="10"/>
  <c r="K494" i="10"/>
  <c r="L494" i="10"/>
  <c r="K495" i="10"/>
  <c r="L495" i="10"/>
  <c r="L497" i="10"/>
  <c r="N497" i="10" s="1"/>
  <c r="I497" i="10" s="1"/>
  <c r="I496" i="10" s="1"/>
  <c r="K498" i="10"/>
  <c r="L498" i="10"/>
  <c r="K499" i="10"/>
  <c r="L499" i="10"/>
  <c r="K500" i="10"/>
  <c r="L500" i="10"/>
  <c r="K501" i="10"/>
  <c r="L501" i="10"/>
  <c r="K502" i="10"/>
  <c r="L502" i="10"/>
  <c r="K503" i="10"/>
  <c r="L503" i="10"/>
  <c r="K504" i="10"/>
  <c r="L504" i="10"/>
  <c r="K505" i="10"/>
  <c r="L505" i="10"/>
  <c r="K507" i="10"/>
  <c r="L507" i="10"/>
  <c r="K508" i="10"/>
  <c r="L508" i="10"/>
  <c r="K509" i="10"/>
  <c r="L509" i="10"/>
  <c r="K510" i="10"/>
  <c r="L510" i="10"/>
  <c r="K511" i="10"/>
  <c r="L511" i="10"/>
  <c r="K512" i="10"/>
  <c r="L512" i="10"/>
  <c r="K513" i="10"/>
  <c r="L513" i="10"/>
  <c r="K514" i="10"/>
  <c r="L514" i="10"/>
  <c r="K515" i="10"/>
  <c r="L515" i="10"/>
  <c r="K516" i="10"/>
  <c r="L516" i="10"/>
  <c r="K517" i="10"/>
  <c r="L517" i="10"/>
  <c r="K518" i="10"/>
  <c r="L518" i="10"/>
  <c r="K519" i="10"/>
  <c r="L519" i="10"/>
  <c r="K520" i="10"/>
  <c r="L520" i="10"/>
  <c r="K522" i="10"/>
  <c r="L522" i="10"/>
  <c r="K523" i="10"/>
  <c r="L523" i="10"/>
  <c r="K524" i="10"/>
  <c r="L524" i="10"/>
  <c r="K525" i="10"/>
  <c r="L525" i="10"/>
  <c r="K526" i="10"/>
  <c r="L526" i="10"/>
  <c r="K527" i="10"/>
  <c r="L527" i="10"/>
  <c r="K528" i="10"/>
  <c r="L528" i="10"/>
  <c r="K529" i="10"/>
  <c r="L529" i="10"/>
  <c r="K530" i="10"/>
  <c r="L530" i="10"/>
  <c r="K531" i="10"/>
  <c r="L531" i="10"/>
  <c r="K532" i="10"/>
  <c r="L532" i="10"/>
  <c r="K533" i="10"/>
  <c r="L533" i="10"/>
  <c r="K534" i="10"/>
  <c r="L534" i="10"/>
  <c r="K535" i="10"/>
  <c r="L535" i="10"/>
  <c r="K536" i="10"/>
  <c r="L536" i="10"/>
  <c r="K537" i="10"/>
  <c r="L537" i="10"/>
  <c r="K538" i="10"/>
  <c r="L538" i="10"/>
  <c r="L540" i="10"/>
  <c r="N540" i="10" s="1"/>
  <c r="I540" i="10" s="1"/>
  <c r="L541" i="10"/>
  <c r="N541" i="10" s="1"/>
  <c r="I541" i="10" s="1"/>
  <c r="L542" i="10"/>
  <c r="N542" i="10" s="1"/>
  <c r="I542" i="10" s="1"/>
  <c r="K543" i="10"/>
  <c r="L543" i="10"/>
  <c r="K544" i="10"/>
  <c r="L544" i="10"/>
  <c r="K545" i="10"/>
  <c r="L545" i="10"/>
  <c r="K546" i="10"/>
  <c r="L546" i="10"/>
  <c r="K547" i="10"/>
  <c r="L547" i="10"/>
  <c r="K548" i="10"/>
  <c r="L548" i="10"/>
  <c r="L550" i="10"/>
  <c r="N550" i="10" s="1"/>
  <c r="I550" i="10" s="1"/>
  <c r="K552" i="10"/>
  <c r="L552" i="10"/>
  <c r="K553" i="10"/>
  <c r="L553" i="10"/>
  <c r="K554" i="10"/>
  <c r="L554" i="10"/>
  <c r="K555" i="10"/>
  <c r="L555" i="10"/>
  <c r="K556" i="10"/>
  <c r="L556" i="10"/>
  <c r="K557" i="10"/>
  <c r="L557" i="10"/>
  <c r="K558" i="10"/>
  <c r="L558" i="10"/>
  <c r="L560" i="10"/>
  <c r="N560" i="10" s="1"/>
  <c r="I560" i="10" s="1"/>
  <c r="K563" i="10"/>
  <c r="L563" i="10"/>
  <c r="K564" i="10"/>
  <c r="L564" i="10"/>
  <c r="K565" i="10"/>
  <c r="L565" i="10"/>
  <c r="K566" i="10"/>
  <c r="L566" i="10"/>
  <c r="L568" i="10"/>
  <c r="N568" i="10" s="1"/>
  <c r="I568" i="10" s="1"/>
  <c r="K571" i="10"/>
  <c r="L571" i="10"/>
  <c r="K572" i="10"/>
  <c r="L572" i="10"/>
  <c r="K573" i="10"/>
  <c r="L573" i="10"/>
  <c r="K574" i="10"/>
  <c r="L574" i="10"/>
  <c r="K575" i="10"/>
  <c r="L575" i="10"/>
  <c r="K576" i="10"/>
  <c r="L576" i="10"/>
  <c r="K577" i="10"/>
  <c r="L577" i="10"/>
  <c r="K578" i="10"/>
  <c r="L578" i="10"/>
  <c r="K579" i="10"/>
  <c r="L579" i="10"/>
  <c r="K580" i="10"/>
  <c r="L580" i="10"/>
  <c r="K581" i="10"/>
  <c r="L581" i="10"/>
  <c r="K582" i="10"/>
  <c r="L582" i="10"/>
  <c r="K583" i="10"/>
  <c r="L583" i="10"/>
  <c r="K584" i="10"/>
  <c r="L584" i="10"/>
  <c r="L586" i="10"/>
  <c r="N586" i="10" s="1"/>
  <c r="I586" i="10" s="1"/>
  <c r="L587" i="10"/>
  <c r="N587" i="10" s="1"/>
  <c r="I587" i="10" s="1"/>
  <c r="L588" i="10"/>
  <c r="N588" i="10" s="1"/>
  <c r="I588" i="10" s="1"/>
  <c r="L589" i="10"/>
  <c r="N589" i="10" s="1"/>
  <c r="I589" i="10" s="1"/>
  <c r="K590" i="10"/>
  <c r="L590" i="10"/>
  <c r="K591" i="10"/>
  <c r="L591" i="10"/>
  <c r="K592" i="10"/>
  <c r="L592" i="10"/>
  <c r="K593" i="10"/>
  <c r="L593" i="10"/>
  <c r="K594" i="10"/>
  <c r="L594" i="10"/>
  <c r="K595" i="10"/>
  <c r="L595" i="10"/>
  <c r="K596" i="10"/>
  <c r="L596" i="10"/>
  <c r="K597" i="10"/>
  <c r="L597" i="10"/>
  <c r="K598" i="10"/>
  <c r="L598" i="10"/>
  <c r="K599" i="10"/>
  <c r="L599" i="10"/>
  <c r="K600" i="10"/>
  <c r="L600" i="10"/>
  <c r="K601" i="10"/>
  <c r="L601" i="10"/>
  <c r="K602" i="10"/>
  <c r="L602" i="10"/>
  <c r="K603" i="10"/>
  <c r="L603" i="10"/>
  <c r="K604" i="10"/>
  <c r="L604" i="10"/>
  <c r="K605" i="10"/>
  <c r="L605" i="10"/>
  <c r="K606" i="10"/>
  <c r="L606" i="10"/>
  <c r="K607" i="10"/>
  <c r="L607" i="10"/>
  <c r="L609" i="10"/>
  <c r="N609" i="10" s="1"/>
  <c r="I609" i="10" s="1"/>
  <c r="K611" i="10"/>
  <c r="L611" i="10"/>
  <c r="K612" i="10"/>
  <c r="L612" i="10"/>
  <c r="K613" i="10"/>
  <c r="L613" i="10"/>
  <c r="K614" i="10"/>
  <c r="L614" i="10"/>
  <c r="K615" i="10"/>
  <c r="L615" i="10"/>
  <c r="K616" i="10"/>
  <c r="L616" i="10"/>
  <c r="K617" i="10"/>
  <c r="L617" i="10"/>
  <c r="K618" i="10"/>
  <c r="L618" i="10"/>
  <c r="L620" i="10"/>
  <c r="N620" i="10" s="1"/>
  <c r="I620" i="10" s="1"/>
  <c r="K623" i="10"/>
  <c r="L623" i="10"/>
  <c r="K624" i="10"/>
  <c r="L624" i="10"/>
  <c r="K625" i="10"/>
  <c r="L625" i="10"/>
  <c r="K626" i="10"/>
  <c r="L626" i="10"/>
  <c r="K627" i="10"/>
  <c r="L627" i="10"/>
  <c r="K628" i="10"/>
  <c r="L628" i="10"/>
  <c r="L630" i="10"/>
  <c r="N630" i="10" s="1"/>
  <c r="I630" i="10" s="1"/>
  <c r="K633" i="10"/>
  <c r="L633" i="10"/>
  <c r="K634" i="10"/>
  <c r="L634" i="10"/>
  <c r="K635" i="10"/>
  <c r="L635" i="10"/>
  <c r="K636" i="10"/>
  <c r="L636" i="10"/>
  <c r="K637" i="10"/>
  <c r="L637" i="10"/>
  <c r="K638" i="10"/>
  <c r="L638" i="10"/>
  <c r="K639" i="10"/>
  <c r="L639" i="10"/>
  <c r="L641" i="10"/>
  <c r="L642" i="10"/>
  <c r="N642" i="10" s="1"/>
  <c r="I642" i="10" s="1"/>
  <c r="K643" i="10"/>
  <c r="L643" i="10"/>
  <c r="K644" i="10"/>
  <c r="L644" i="10"/>
  <c r="K645" i="10"/>
  <c r="L645" i="10"/>
  <c r="K646" i="10"/>
  <c r="L646" i="10"/>
  <c r="K647" i="10"/>
  <c r="L647" i="10"/>
  <c r="K648" i="10"/>
  <c r="L648" i="10"/>
  <c r="L650" i="10"/>
  <c r="K653" i="10"/>
  <c r="L653" i="10"/>
  <c r="K654" i="10"/>
  <c r="L654" i="10"/>
  <c r="K655" i="10"/>
  <c r="L655" i="10"/>
  <c r="K656" i="10"/>
  <c r="L656" i="10"/>
  <c r="K657" i="10"/>
  <c r="L657" i="10"/>
  <c r="K658" i="10"/>
  <c r="L658" i="10"/>
  <c r="K659" i="10"/>
  <c r="L659" i="10"/>
  <c r="K660" i="10"/>
  <c r="L660" i="10"/>
  <c r="L663" i="10"/>
  <c r="N663" i="10" s="1"/>
  <c r="I663" i="10" s="1"/>
  <c r="K664" i="10"/>
  <c r="L664" i="10"/>
  <c r="K665" i="10"/>
  <c r="L665" i="10"/>
  <c r="K666" i="10"/>
  <c r="L666" i="10"/>
  <c r="K667" i="10"/>
  <c r="L667" i="10"/>
  <c r="K668" i="10"/>
  <c r="L668" i="10"/>
  <c r="K669" i="10"/>
  <c r="L669" i="10"/>
  <c r="L671" i="10"/>
  <c r="N671" i="10" s="1"/>
  <c r="I671" i="10" s="1"/>
  <c r="K673" i="10"/>
  <c r="L673" i="10"/>
  <c r="K674" i="10"/>
  <c r="L674" i="10"/>
  <c r="K675" i="10"/>
  <c r="L675" i="10"/>
  <c r="K676" i="10"/>
  <c r="L676" i="10"/>
  <c r="K677" i="10"/>
  <c r="L677" i="10"/>
  <c r="K678" i="10"/>
  <c r="L678" i="10"/>
  <c r="K679" i="10"/>
  <c r="L679" i="10"/>
  <c r="L681" i="10"/>
  <c r="K682" i="10"/>
  <c r="L682" i="10"/>
  <c r="K683" i="10"/>
  <c r="L683" i="10"/>
  <c r="K684" i="10"/>
  <c r="L684" i="10"/>
  <c r="K685" i="10"/>
  <c r="L685" i="10"/>
  <c r="K686" i="10"/>
  <c r="L686" i="10"/>
  <c r="K687" i="10"/>
  <c r="L687" i="10"/>
  <c r="L689" i="10"/>
  <c r="L690" i="10"/>
  <c r="N690" i="10" s="1"/>
  <c r="I690" i="10" s="1"/>
  <c r="K691" i="10"/>
  <c r="L691" i="10"/>
  <c r="K692" i="10"/>
  <c r="L692" i="10"/>
  <c r="K693" i="10"/>
  <c r="L693" i="10"/>
  <c r="K694" i="10"/>
  <c r="L694" i="10"/>
  <c r="K695" i="10"/>
  <c r="L695" i="10"/>
  <c r="L697" i="10"/>
  <c r="L698" i="10"/>
  <c r="N698" i="10" s="1"/>
  <c r="I698" i="10" s="1"/>
  <c r="K699" i="10"/>
  <c r="L699" i="10"/>
  <c r="K700" i="10"/>
  <c r="L700" i="10"/>
  <c r="K701" i="10"/>
  <c r="L701" i="10"/>
  <c r="K702" i="10"/>
  <c r="L702" i="10"/>
  <c r="K703" i="10"/>
  <c r="L703" i="10"/>
  <c r="L705" i="10"/>
  <c r="N705" i="10" s="1"/>
  <c r="I705" i="10" s="1"/>
  <c r="L706" i="10"/>
  <c r="L707" i="10"/>
  <c r="N707" i="10" s="1"/>
  <c r="I707" i="10" s="1"/>
  <c r="L708" i="10"/>
  <c r="N708" i="10" s="1"/>
  <c r="I708" i="10" s="1"/>
  <c r="L709" i="10"/>
  <c r="N709" i="10" s="1"/>
  <c r="I709" i="10" s="1"/>
  <c r="K710" i="10"/>
  <c r="M710" i="10" s="1"/>
  <c r="L710" i="10"/>
  <c r="N710" i="10" s="1"/>
  <c r="K711" i="10"/>
  <c r="L711" i="10"/>
  <c r="K712" i="10"/>
  <c r="L712" i="10"/>
  <c r="K713" i="10"/>
  <c r="L713" i="10"/>
  <c r="K714" i="10"/>
  <c r="L714" i="10"/>
  <c r="K715" i="10"/>
  <c r="L715" i="10"/>
  <c r="K716" i="10"/>
  <c r="L716" i="10"/>
  <c r="K717" i="10"/>
  <c r="L717" i="10"/>
  <c r="K718" i="10"/>
  <c r="L718" i="10"/>
  <c r="K719" i="10"/>
  <c r="L719" i="10"/>
  <c r="K720" i="10"/>
  <c r="L720" i="10"/>
  <c r="K721" i="10"/>
  <c r="L721" i="10"/>
  <c r="K722" i="10"/>
  <c r="L722" i="10"/>
  <c r="K723" i="10"/>
  <c r="L723" i="10"/>
  <c r="K724" i="10"/>
  <c r="L724" i="10"/>
  <c r="K725" i="10"/>
  <c r="L725" i="10"/>
  <c r="K726" i="10"/>
  <c r="L726" i="10"/>
  <c r="K727" i="10"/>
  <c r="L727" i="10"/>
  <c r="K728" i="10"/>
  <c r="L728" i="10"/>
  <c r="K729" i="10"/>
  <c r="L729" i="10"/>
  <c r="K730" i="10"/>
  <c r="L730" i="10"/>
  <c r="K731" i="10"/>
  <c r="L731" i="10"/>
  <c r="K732" i="10"/>
  <c r="L732" i="10"/>
  <c r="K733" i="10"/>
  <c r="L733" i="10"/>
  <c r="K734" i="10"/>
  <c r="L734" i="10"/>
  <c r="K735" i="10"/>
  <c r="L735" i="10"/>
  <c r="K736" i="10"/>
  <c r="L736" i="10"/>
  <c r="K737" i="10"/>
  <c r="L737" i="10"/>
  <c r="K738" i="10"/>
  <c r="L738" i="10"/>
  <c r="K739" i="10"/>
  <c r="L739" i="10"/>
  <c r="K740" i="10"/>
  <c r="L740" i="10"/>
  <c r="K745" i="10"/>
  <c r="L745" i="10"/>
  <c r="K746" i="10"/>
  <c r="L746" i="10"/>
  <c r="K747" i="10"/>
  <c r="L747" i="10"/>
  <c r="K748" i="10"/>
  <c r="L748" i="10"/>
  <c r="K749" i="10"/>
  <c r="L749" i="10"/>
  <c r="K750" i="10"/>
  <c r="L750" i="10"/>
  <c r="K754" i="10"/>
  <c r="L754" i="10"/>
  <c r="K755" i="10"/>
  <c r="L755" i="10"/>
  <c r="K756" i="10"/>
  <c r="L756" i="10"/>
  <c r="K757" i="10"/>
  <c r="L757" i="10"/>
  <c r="K758" i="10"/>
  <c r="L758" i="10"/>
  <c r="K759" i="10"/>
  <c r="L759" i="10"/>
  <c r="K763" i="10"/>
  <c r="L763" i="10"/>
  <c r="K764" i="10"/>
  <c r="L764" i="10"/>
  <c r="K765" i="10"/>
  <c r="L765" i="10"/>
  <c r="K766" i="10"/>
  <c r="L766" i="10"/>
  <c r="L768" i="10"/>
  <c r="L769" i="10"/>
  <c r="L770" i="10"/>
  <c r="N770" i="10" s="1"/>
  <c r="I770" i="10" s="1"/>
  <c r="L771" i="10"/>
  <c r="N771" i="10" s="1"/>
  <c r="I771" i="10" s="1"/>
  <c r="L772" i="10"/>
  <c r="N772" i="10" s="1"/>
  <c r="I772" i="10" s="1"/>
  <c r="K774" i="10"/>
  <c r="L774" i="10"/>
  <c r="K775" i="10"/>
  <c r="L775" i="10"/>
  <c r="K776" i="10"/>
  <c r="L776" i="10"/>
  <c r="K777" i="10"/>
  <c r="L777" i="10"/>
  <c r="K778" i="10"/>
  <c r="L778" i="10"/>
  <c r="K779" i="10"/>
  <c r="L779" i="10"/>
  <c r="K780" i="10"/>
  <c r="L780" i="10"/>
  <c r="K781" i="10"/>
  <c r="L781" i="10"/>
  <c r="K782" i="10"/>
  <c r="L782" i="10"/>
  <c r="K783" i="10"/>
  <c r="L783" i="10"/>
  <c r="K784" i="10"/>
  <c r="L784" i="10"/>
  <c r="K785" i="10"/>
  <c r="L785" i="10"/>
  <c r="K786" i="10"/>
  <c r="L786" i="10"/>
  <c r="K788" i="10"/>
  <c r="M788" i="10" s="1"/>
  <c r="L788" i="10"/>
  <c r="N788" i="10" s="1"/>
  <c r="I788" i="10" s="1"/>
  <c r="I787" i="10" s="1"/>
  <c r="K789" i="10"/>
  <c r="L789" i="10"/>
  <c r="K790" i="10"/>
  <c r="L790" i="10"/>
  <c r="K791" i="10"/>
  <c r="L791" i="10"/>
  <c r="K792" i="10"/>
  <c r="L792" i="10"/>
  <c r="K793" i="10"/>
  <c r="L793" i="10"/>
  <c r="L795" i="10"/>
  <c r="N795" i="10" s="1"/>
  <c r="I795" i="10" s="1"/>
  <c r="L796" i="10"/>
  <c r="N796" i="10" s="1"/>
  <c r="I796" i="10" s="1"/>
  <c r="L797" i="10"/>
  <c r="N797" i="10" s="1"/>
  <c r="I797" i="10" s="1"/>
  <c r="L798" i="10"/>
  <c r="K799" i="10"/>
  <c r="L799" i="10"/>
  <c r="K800" i="10"/>
  <c r="L800" i="10"/>
  <c r="K801" i="10"/>
  <c r="L801" i="10"/>
  <c r="K802" i="10"/>
  <c r="L802" i="10"/>
  <c r="K803" i="10"/>
  <c r="L803" i="10"/>
  <c r="K804" i="10"/>
  <c r="L804" i="10"/>
  <c r="K805" i="10"/>
  <c r="L805" i="10"/>
  <c r="K806" i="10"/>
  <c r="L806" i="10"/>
  <c r="K807" i="10"/>
  <c r="L807" i="10"/>
  <c r="K808" i="10"/>
  <c r="L808" i="10"/>
  <c r="K809" i="10"/>
  <c r="L809" i="10"/>
  <c r="K810" i="10"/>
  <c r="L810" i="10"/>
  <c r="K811" i="10"/>
  <c r="L811" i="10"/>
  <c r="K812" i="10"/>
  <c r="L812" i="10"/>
  <c r="L814" i="10"/>
  <c r="K815" i="10"/>
  <c r="L815" i="10"/>
  <c r="K816" i="10"/>
  <c r="L816" i="10"/>
  <c r="K817" i="10"/>
  <c r="L817" i="10"/>
  <c r="K818" i="10"/>
  <c r="L818" i="10"/>
  <c r="K819" i="10"/>
  <c r="L819" i="10"/>
  <c r="K820" i="10"/>
  <c r="L820" i="10"/>
  <c r="K821" i="10"/>
  <c r="L821" i="10"/>
  <c r="K822" i="10"/>
  <c r="L822" i="10"/>
  <c r="K823" i="10"/>
  <c r="L823" i="10"/>
  <c r="K824" i="10"/>
  <c r="L824" i="10"/>
  <c r="K825" i="10"/>
  <c r="L825" i="10"/>
  <c r="K826" i="10"/>
  <c r="L826" i="10"/>
  <c r="K827" i="10"/>
  <c r="L827" i="10"/>
  <c r="K828" i="10"/>
  <c r="L828" i="10"/>
  <c r="K829" i="10"/>
  <c r="L829" i="10"/>
  <c r="K830" i="10"/>
  <c r="L830" i="10"/>
  <c r="K831" i="10"/>
  <c r="L831" i="10"/>
  <c r="K832" i="10"/>
  <c r="L832" i="10"/>
  <c r="K833" i="10"/>
  <c r="L833" i="10"/>
  <c r="K834" i="10"/>
  <c r="L834" i="10"/>
  <c r="K835" i="10"/>
  <c r="L835" i="10"/>
  <c r="L837" i="10"/>
  <c r="L838" i="10"/>
  <c r="N838" i="10" s="1"/>
  <c r="I838" i="10" s="1"/>
  <c r="L839" i="10"/>
  <c r="N839" i="10" s="1"/>
  <c r="I839" i="10" s="1"/>
  <c r="K841" i="10"/>
  <c r="L841" i="10"/>
  <c r="K842" i="10"/>
  <c r="L842" i="10"/>
  <c r="K843" i="10"/>
  <c r="L843" i="10"/>
  <c r="K844" i="10"/>
  <c r="L844" i="10"/>
  <c r="K845" i="10"/>
  <c r="L845" i="10"/>
  <c r="K846" i="10"/>
  <c r="L846" i="10"/>
  <c r="K847" i="10"/>
  <c r="L847" i="10"/>
  <c r="K848" i="10"/>
  <c r="L848" i="10"/>
  <c r="K849" i="10"/>
  <c r="L849" i="10"/>
  <c r="K850" i="10"/>
  <c r="L850" i="10"/>
  <c r="K851" i="10"/>
  <c r="L851" i="10"/>
  <c r="K853" i="10"/>
  <c r="L853" i="10"/>
  <c r="K854" i="10"/>
  <c r="L854" i="10"/>
  <c r="K855" i="10"/>
  <c r="L855" i="10"/>
  <c r="K856" i="10"/>
  <c r="L856" i="10"/>
  <c r="K857" i="10"/>
  <c r="L857" i="10"/>
  <c r="K858" i="10"/>
  <c r="L858" i="10"/>
  <c r="K859" i="10"/>
  <c r="L859" i="10"/>
  <c r="K861" i="10"/>
  <c r="M861" i="10" s="1"/>
  <c r="L861" i="10"/>
  <c r="N861" i="10" s="1"/>
  <c r="I861" i="10" s="1"/>
  <c r="I860" i="10" s="1"/>
  <c r="K862" i="10"/>
  <c r="L862" i="10"/>
  <c r="K863" i="10"/>
  <c r="L863" i="10"/>
  <c r="K864" i="10"/>
  <c r="L864" i="10"/>
  <c r="K865" i="10"/>
  <c r="L865" i="10"/>
  <c r="K866" i="10"/>
  <c r="L866" i="10"/>
  <c r="K867" i="10"/>
  <c r="L867" i="10"/>
  <c r="K868" i="10"/>
  <c r="L868" i="10"/>
  <c r="K869" i="10"/>
  <c r="L869" i="10"/>
  <c r="L872" i="10"/>
  <c r="N872" i="10" s="1"/>
  <c r="I872" i="10" s="1"/>
  <c r="K873" i="10"/>
  <c r="L873" i="10"/>
  <c r="K874" i="10"/>
  <c r="L874" i="10"/>
  <c r="K875" i="10"/>
  <c r="L875" i="10"/>
  <c r="K876" i="10"/>
  <c r="L876" i="10"/>
  <c r="K877" i="10"/>
  <c r="L877" i="10"/>
  <c r="K878" i="10"/>
  <c r="L878" i="10"/>
  <c r="K879" i="10"/>
  <c r="L879" i="10"/>
  <c r="K880" i="10"/>
  <c r="L880" i="10"/>
  <c r="K881" i="10"/>
  <c r="L881" i="10"/>
  <c r="K882" i="10"/>
  <c r="L882" i="10"/>
  <c r="K883" i="10"/>
  <c r="L883" i="10"/>
  <c r="K884" i="10"/>
  <c r="L884" i="10"/>
  <c r="K885" i="10"/>
  <c r="L885" i="10"/>
  <c r="K886" i="10"/>
  <c r="L886" i="10"/>
  <c r="K887" i="10"/>
  <c r="L887" i="10"/>
  <c r="K888" i="10"/>
  <c r="L888" i="10"/>
  <c r="K889" i="10"/>
  <c r="L889" i="10"/>
  <c r="K890" i="10"/>
  <c r="L890" i="10"/>
  <c r="K891" i="10"/>
  <c r="L891" i="10"/>
  <c r="K892" i="10"/>
  <c r="L892" i="10"/>
  <c r="K893" i="10"/>
  <c r="L893" i="10"/>
  <c r="K894" i="10"/>
  <c r="L894" i="10"/>
  <c r="K895" i="10"/>
  <c r="L895" i="10"/>
  <c r="K896" i="10"/>
  <c r="L896" i="10"/>
  <c r="K897" i="10"/>
  <c r="L897" i="10"/>
  <c r="K898" i="10"/>
  <c r="L898" i="10"/>
  <c r="K899" i="10"/>
  <c r="L899" i="10"/>
  <c r="K900" i="10"/>
  <c r="L900" i="10"/>
  <c r="K901" i="10"/>
  <c r="L901" i="10"/>
  <c r="K902" i="10"/>
  <c r="L902" i="10"/>
  <c r="K903" i="10"/>
  <c r="L903" i="10"/>
  <c r="K904" i="10"/>
  <c r="L904" i="10"/>
  <c r="K905" i="10"/>
  <c r="L905" i="10"/>
  <c r="K906" i="10"/>
  <c r="L906" i="10"/>
  <c r="K907" i="10"/>
  <c r="L907" i="10"/>
  <c r="K908" i="10"/>
  <c r="L908" i="10"/>
  <c r="K909" i="10"/>
  <c r="L909" i="10"/>
  <c r="K910" i="10"/>
  <c r="L910" i="10"/>
  <c r="K911" i="10"/>
  <c r="L911" i="10"/>
  <c r="K912" i="10"/>
  <c r="L912" i="10"/>
  <c r="K913" i="10"/>
  <c r="L913" i="10"/>
  <c r="K914" i="10"/>
  <c r="L914" i="10"/>
  <c r="K915" i="10"/>
  <c r="L915" i="10"/>
  <c r="K916" i="10"/>
  <c r="L916" i="10"/>
  <c r="K917" i="10"/>
  <c r="L917" i="10"/>
  <c r="K918" i="10"/>
  <c r="L918" i="10"/>
  <c r="K919" i="10"/>
  <c r="L919" i="10"/>
  <c r="K920" i="10"/>
  <c r="L920" i="10"/>
  <c r="K921" i="10"/>
  <c r="L921" i="10"/>
  <c r="K922" i="10"/>
  <c r="L922" i="10"/>
  <c r="K923" i="10"/>
  <c r="L923" i="10"/>
  <c r="K924" i="10"/>
  <c r="L924" i="10"/>
  <c r="K925" i="10"/>
  <c r="L925" i="10"/>
  <c r="K926" i="10"/>
  <c r="L926" i="10"/>
  <c r="K927" i="10"/>
  <c r="L927" i="10"/>
  <c r="K928" i="10"/>
  <c r="L928" i="10"/>
  <c r="K929" i="10"/>
  <c r="L929" i="10"/>
  <c r="K930" i="10"/>
  <c r="L930" i="10"/>
  <c r="K931" i="10"/>
  <c r="L931" i="10"/>
  <c r="K932" i="10"/>
  <c r="L932" i="10"/>
  <c r="K933" i="10"/>
  <c r="L933" i="10"/>
  <c r="K934" i="10"/>
  <c r="L934" i="10"/>
  <c r="K935" i="10"/>
  <c r="L935" i="10"/>
  <c r="K936" i="10"/>
  <c r="L936" i="10"/>
  <c r="K937" i="10"/>
  <c r="L937" i="10"/>
  <c r="L939" i="10"/>
  <c r="N939" i="10" s="1"/>
  <c r="I939" i="10" s="1"/>
  <c r="I938" i="10" s="1"/>
  <c r="K940" i="10"/>
  <c r="L940" i="10"/>
  <c r="K941" i="10"/>
  <c r="L941" i="10"/>
  <c r="K942" i="10"/>
  <c r="L942" i="10"/>
  <c r="K943" i="10"/>
  <c r="L943" i="10"/>
  <c r="K944" i="10"/>
  <c r="L944" i="10"/>
  <c r="L946" i="10"/>
  <c r="N946" i="10" s="1"/>
  <c r="I946" i="10" s="1"/>
  <c r="I945" i="10" s="1"/>
  <c r="K947" i="10"/>
  <c r="L947" i="10"/>
  <c r="K948" i="10"/>
  <c r="L948" i="10"/>
  <c r="K949" i="10"/>
  <c r="L949" i="10"/>
  <c r="K950" i="10"/>
  <c r="L950" i="10"/>
  <c r="K951" i="10"/>
  <c r="L951" i="10"/>
  <c r="K952" i="10"/>
  <c r="L952" i="10"/>
  <c r="L954" i="10"/>
  <c r="N954" i="10" s="1"/>
  <c r="I954" i="10" s="1"/>
  <c r="I953" i="10" s="1"/>
  <c r="K955" i="10"/>
  <c r="L955" i="10"/>
  <c r="K956" i="10"/>
  <c r="L956" i="10"/>
  <c r="K957" i="10"/>
  <c r="L957" i="10"/>
  <c r="K958" i="10"/>
  <c r="L958" i="10"/>
  <c r="K959" i="10"/>
  <c r="L959" i="10"/>
  <c r="K960" i="10"/>
  <c r="L960" i="10"/>
  <c r="L962" i="10"/>
  <c r="N962" i="10" s="1"/>
  <c r="I962" i="10" s="1"/>
  <c r="I961" i="10" s="1"/>
  <c r="K963" i="10"/>
  <c r="L963" i="10"/>
  <c r="K964" i="10"/>
  <c r="L964" i="10"/>
  <c r="K965" i="10"/>
  <c r="L965" i="10"/>
  <c r="K966" i="10"/>
  <c r="L966" i="10"/>
  <c r="K967" i="10"/>
  <c r="L967" i="10"/>
  <c r="K968" i="10"/>
  <c r="L968" i="10"/>
  <c r="L970" i="10"/>
  <c r="K971" i="10"/>
  <c r="L971" i="10"/>
  <c r="K972" i="10"/>
  <c r="L972" i="10"/>
  <c r="K973" i="10"/>
  <c r="L973" i="10"/>
  <c r="K974" i="10"/>
  <c r="L974" i="10"/>
  <c r="K975" i="10"/>
  <c r="L975" i="10"/>
  <c r="K976" i="10"/>
  <c r="L976" i="10"/>
  <c r="L978" i="10"/>
  <c r="L979" i="10"/>
  <c r="N979" i="10" s="1"/>
  <c r="I979" i="10" s="1"/>
  <c r="K980" i="10"/>
  <c r="L980" i="10"/>
  <c r="K981" i="10"/>
  <c r="L981" i="10"/>
  <c r="K982" i="10"/>
  <c r="L982" i="10"/>
  <c r="K983" i="10"/>
  <c r="L983" i="10"/>
  <c r="K984" i="10"/>
  <c r="L984" i="10"/>
  <c r="K985" i="10"/>
  <c r="L985" i="10"/>
  <c r="K986" i="10"/>
  <c r="L986" i="10"/>
  <c r="K987" i="10"/>
  <c r="L987" i="10"/>
  <c r="K988" i="10"/>
  <c r="L988" i="10"/>
  <c r="K989" i="10"/>
  <c r="L989" i="10"/>
  <c r="K990" i="10"/>
  <c r="L990" i="10"/>
  <c r="K991" i="10"/>
  <c r="L991" i="10"/>
  <c r="K992" i="10"/>
  <c r="L992" i="10"/>
  <c r="K993" i="10"/>
  <c r="L993" i="10"/>
  <c r="K994" i="10"/>
  <c r="L994" i="10"/>
  <c r="K995" i="10"/>
  <c r="L995" i="10"/>
  <c r="K996" i="10"/>
  <c r="L996" i="10"/>
  <c r="K997" i="10"/>
  <c r="L997" i="10"/>
  <c r="K998" i="10"/>
  <c r="L998" i="10"/>
  <c r="K999" i="10"/>
  <c r="L999" i="10"/>
  <c r="K1000" i="10"/>
  <c r="L1000" i="10"/>
  <c r="K1001" i="10"/>
  <c r="L1001" i="10"/>
  <c r="K1002" i="10"/>
  <c r="L1002" i="10"/>
  <c r="K1003" i="10"/>
  <c r="L1003" i="10"/>
  <c r="K1004" i="10"/>
  <c r="L1004" i="10"/>
  <c r="K1005" i="10"/>
  <c r="L1005" i="10"/>
  <c r="K1006" i="10"/>
  <c r="L1006" i="10"/>
  <c r="K1007" i="10"/>
  <c r="L1007" i="10"/>
  <c r="K1008" i="10"/>
  <c r="L1008" i="10"/>
  <c r="L1011" i="10"/>
  <c r="N1011" i="10" s="1"/>
  <c r="I1011" i="10" s="1"/>
  <c r="K1012" i="10"/>
  <c r="L1012" i="10"/>
  <c r="K1013" i="10"/>
  <c r="L1013" i="10"/>
  <c r="K1014" i="10"/>
  <c r="L1014" i="10"/>
  <c r="K1015" i="10"/>
  <c r="L1015" i="10"/>
  <c r="K1016" i="10"/>
  <c r="L1016" i="10"/>
  <c r="K1017" i="10"/>
  <c r="L1017" i="10"/>
  <c r="K1018" i="10"/>
  <c r="L1018" i="10"/>
  <c r="K1019" i="10"/>
  <c r="L1019" i="10"/>
  <c r="K1020" i="10"/>
  <c r="L1020" i="10"/>
  <c r="K1021" i="10"/>
  <c r="L1021" i="10"/>
  <c r="K1022" i="10"/>
  <c r="L1022" i="10"/>
  <c r="K1023" i="10"/>
  <c r="L1023" i="10"/>
  <c r="K1024" i="10"/>
  <c r="L1024" i="10"/>
  <c r="K1025" i="10"/>
  <c r="L1025" i="10"/>
  <c r="L1028" i="10"/>
  <c r="N1028" i="10" s="1"/>
  <c r="I1028" i="10" s="1"/>
  <c r="K1029" i="10"/>
  <c r="L1029" i="10"/>
  <c r="K1030" i="10"/>
  <c r="L1030" i="10"/>
  <c r="K1031" i="10"/>
  <c r="L1031" i="10"/>
  <c r="K1032" i="10"/>
  <c r="L1032" i="10"/>
  <c r="K1033" i="10"/>
  <c r="L1033" i="10"/>
  <c r="K1034" i="10"/>
  <c r="L1034" i="10"/>
  <c r="K1035" i="10"/>
  <c r="L1035" i="10"/>
  <c r="K1036" i="10"/>
  <c r="L1036" i="10"/>
  <c r="K1037" i="10"/>
  <c r="L1037" i="10"/>
  <c r="K1038" i="10"/>
  <c r="L1038" i="10"/>
  <c r="K1039" i="10"/>
  <c r="L1039" i="10"/>
  <c r="K1040" i="10"/>
  <c r="L1040" i="10"/>
  <c r="K1044" i="10"/>
  <c r="L1044" i="10"/>
  <c r="K1045" i="10"/>
  <c r="L1045" i="10"/>
  <c r="K1046" i="10"/>
  <c r="L1046" i="10"/>
  <c r="K1047" i="10"/>
  <c r="L1047" i="10"/>
  <c r="K1048" i="10"/>
  <c r="L1048" i="10"/>
  <c r="K1049" i="10"/>
  <c r="L1049" i="10"/>
  <c r="K1050" i="10"/>
  <c r="L1050" i="10"/>
  <c r="K1051" i="10"/>
  <c r="L1051" i="10"/>
  <c r="K1052" i="10"/>
  <c r="L1052" i="10"/>
  <c r="K1053" i="10"/>
  <c r="L1053" i="10"/>
  <c r="K1054" i="10"/>
  <c r="L1054" i="10"/>
  <c r="K1055" i="10"/>
  <c r="L1055" i="10"/>
  <c r="K1056" i="10"/>
  <c r="L1056" i="10"/>
  <c r="K1057" i="10"/>
  <c r="L1057" i="10"/>
  <c r="K1060" i="10"/>
  <c r="L1060" i="10"/>
  <c r="K1061" i="10"/>
  <c r="L1061" i="10"/>
  <c r="K1062" i="10"/>
  <c r="L1062" i="10"/>
  <c r="K1063" i="10"/>
  <c r="L1063" i="10"/>
  <c r="K1064" i="10"/>
  <c r="L1064" i="10"/>
  <c r="K1065" i="10"/>
  <c r="L1065" i="10"/>
  <c r="K1066" i="10"/>
  <c r="L1066" i="10"/>
  <c r="K1067" i="10"/>
  <c r="L1067" i="10"/>
  <c r="K1070" i="10"/>
  <c r="L1070" i="10"/>
  <c r="K1071" i="10"/>
  <c r="L1071" i="10"/>
  <c r="K1072" i="10"/>
  <c r="L1072" i="10"/>
  <c r="K1073" i="10"/>
  <c r="L1073" i="10"/>
  <c r="K1074" i="10"/>
  <c r="L1074" i="10"/>
  <c r="K1075" i="10"/>
  <c r="L1075" i="10"/>
  <c r="K1076" i="10"/>
  <c r="L1076" i="10"/>
  <c r="L1078" i="10"/>
  <c r="N1078" i="10" s="1"/>
  <c r="I1078" i="10" s="1"/>
  <c r="L1079" i="10"/>
  <c r="N1079" i="10" s="1"/>
  <c r="I1079" i="10" s="1"/>
  <c r="L1080" i="10"/>
  <c r="N1080" i="10" s="1"/>
  <c r="I1080" i="10" s="1"/>
  <c r="K1081" i="10"/>
  <c r="L1081" i="10"/>
  <c r="K1082" i="10"/>
  <c r="L1082" i="10"/>
  <c r="K1083" i="10"/>
  <c r="L1083" i="10"/>
  <c r="K1084" i="10"/>
  <c r="L1084" i="10"/>
  <c r="K1085" i="10"/>
  <c r="L1085" i="10"/>
  <c r="K1086" i="10"/>
  <c r="L1086" i="10"/>
  <c r="K1087" i="10"/>
  <c r="L1087" i="10"/>
  <c r="K1088" i="10"/>
  <c r="L1088" i="10"/>
  <c r="K1089" i="10"/>
  <c r="L1089" i="10"/>
  <c r="K1090" i="10"/>
  <c r="L1090" i="10"/>
  <c r="K1091" i="10"/>
  <c r="L1091" i="10"/>
  <c r="K1092" i="10"/>
  <c r="L1092" i="10"/>
  <c r="K1093" i="10"/>
  <c r="L1093" i="10"/>
  <c r="K1094" i="10"/>
  <c r="L1094" i="10"/>
  <c r="K1095" i="10"/>
  <c r="L1095" i="10"/>
  <c r="K1096" i="10"/>
  <c r="L1096" i="10"/>
  <c r="K1097" i="10"/>
  <c r="L1097" i="10"/>
  <c r="K1098" i="10"/>
  <c r="L1098" i="10"/>
  <c r="K1099" i="10"/>
  <c r="L1099" i="10"/>
  <c r="K1100" i="10"/>
  <c r="L1100" i="10"/>
  <c r="L1102" i="10"/>
  <c r="K1104" i="10"/>
  <c r="L1104" i="10"/>
  <c r="K1105" i="10"/>
  <c r="L1105" i="10"/>
  <c r="K1106" i="10"/>
  <c r="L1106" i="10"/>
  <c r="K1107" i="10"/>
  <c r="L1107" i="10"/>
  <c r="K1108" i="10"/>
  <c r="L1108" i="10"/>
  <c r="K1109" i="10"/>
  <c r="L1109" i="10"/>
  <c r="K1110" i="10"/>
  <c r="L1110" i="10"/>
  <c r="K1111" i="10"/>
  <c r="L1111" i="10"/>
  <c r="L1113" i="10"/>
  <c r="L1114" i="10"/>
  <c r="N1114" i="10" s="1"/>
  <c r="I1114" i="10" s="1"/>
  <c r="K1115" i="10"/>
  <c r="L1115" i="10"/>
  <c r="K1116" i="10"/>
  <c r="L1116" i="10"/>
  <c r="K1117" i="10"/>
  <c r="L1117" i="10"/>
  <c r="K1118" i="10"/>
  <c r="L1118" i="10"/>
  <c r="K1119" i="10"/>
  <c r="L1119" i="10"/>
  <c r="K1120" i="10"/>
  <c r="L1120" i="10"/>
  <c r="K1121" i="10"/>
  <c r="L1121" i="10"/>
  <c r="K1122" i="10"/>
  <c r="L1122" i="10"/>
  <c r="K1123" i="10"/>
  <c r="L1123" i="10"/>
  <c r="K1124" i="10"/>
  <c r="L1124" i="10"/>
  <c r="K1125" i="10"/>
  <c r="L1125" i="10"/>
  <c r="K1126" i="10"/>
  <c r="L1126" i="10"/>
  <c r="K1127" i="10"/>
  <c r="L1127" i="10"/>
  <c r="K1128" i="10"/>
  <c r="L1128" i="10"/>
  <c r="K1129" i="10"/>
  <c r="L1129" i="10"/>
  <c r="K1130" i="10"/>
  <c r="L1130" i="10"/>
  <c r="K1131" i="10"/>
  <c r="L1131" i="10"/>
  <c r="K1132" i="10"/>
  <c r="L1132" i="10"/>
  <c r="K1133" i="10"/>
  <c r="L1133" i="10"/>
  <c r="K1134" i="10"/>
  <c r="L1134" i="10"/>
  <c r="K1135" i="10"/>
  <c r="L1135" i="10"/>
  <c r="K1136" i="10"/>
  <c r="L1136" i="10"/>
  <c r="K1139" i="10"/>
  <c r="L1139" i="10"/>
  <c r="K1140" i="10"/>
  <c r="L1140" i="10"/>
  <c r="K1141" i="10"/>
  <c r="L1141" i="10"/>
  <c r="K1142" i="10"/>
  <c r="L1142" i="10"/>
  <c r="K1143" i="10"/>
  <c r="L1143" i="10"/>
  <c r="K1144" i="10"/>
  <c r="L1144" i="10"/>
  <c r="K1145" i="10"/>
  <c r="L1145" i="10"/>
  <c r="L1147" i="10"/>
  <c r="K1148" i="10"/>
  <c r="L1148" i="10"/>
  <c r="K1149" i="10"/>
  <c r="L1149" i="10"/>
  <c r="K1150" i="10"/>
  <c r="L1150" i="10"/>
  <c r="K1151" i="10"/>
  <c r="L1151" i="10"/>
  <c r="K1152" i="10"/>
  <c r="L1152" i="10"/>
  <c r="K1153" i="10"/>
  <c r="L1153" i="10"/>
  <c r="K1156" i="10"/>
  <c r="L1156" i="10"/>
  <c r="K1157" i="10"/>
  <c r="L1157" i="10"/>
  <c r="K1158" i="10"/>
  <c r="L1158" i="10"/>
  <c r="K1159" i="10"/>
  <c r="L1159" i="10"/>
  <c r="K1160" i="10"/>
  <c r="L1160" i="10"/>
  <c r="K1163" i="10"/>
  <c r="L1163" i="10"/>
  <c r="K1164" i="10"/>
  <c r="L1164" i="10"/>
  <c r="K1165" i="10"/>
  <c r="L1165" i="10"/>
  <c r="K1166" i="10"/>
  <c r="L1166" i="10"/>
  <c r="K1167" i="10"/>
  <c r="L1167" i="10"/>
  <c r="L1169" i="10"/>
  <c r="N1169" i="10" s="1"/>
  <c r="I1169" i="10" s="1"/>
  <c r="I1168" i="10" s="1"/>
  <c r="K1170" i="10"/>
  <c r="L1170" i="10"/>
  <c r="K1171" i="10"/>
  <c r="L1171" i="10"/>
  <c r="K1172" i="10"/>
  <c r="L1172" i="10"/>
  <c r="K1173" i="10"/>
  <c r="L1173" i="10"/>
  <c r="K1174" i="10"/>
  <c r="L1174" i="10"/>
  <c r="K1175" i="10"/>
  <c r="L1175" i="10"/>
  <c r="K1178" i="10"/>
  <c r="L1178" i="10"/>
  <c r="K1179" i="10"/>
  <c r="L1179" i="10"/>
  <c r="K1180" i="10"/>
  <c r="L1180" i="10"/>
  <c r="K1181" i="10"/>
  <c r="L1181" i="10"/>
  <c r="K1182" i="10"/>
  <c r="L1182" i="10"/>
  <c r="K1183" i="10"/>
  <c r="L1183" i="10"/>
  <c r="K1184" i="10"/>
  <c r="L1184" i="10"/>
  <c r="K1185" i="10"/>
  <c r="L1185" i="10"/>
  <c r="L1187" i="10"/>
  <c r="N1187" i="10" s="1"/>
  <c r="I1187" i="10" s="1"/>
  <c r="I1186" i="10" s="1"/>
  <c r="K1188" i="10"/>
  <c r="L1188" i="10"/>
  <c r="K1189" i="10"/>
  <c r="L1189" i="10"/>
  <c r="K1190" i="10"/>
  <c r="L1190" i="10"/>
  <c r="K1191" i="10"/>
  <c r="L1191" i="10"/>
  <c r="K1192" i="10"/>
  <c r="L1192" i="10"/>
  <c r="K1193" i="10"/>
  <c r="L1193" i="10"/>
  <c r="K1194" i="10"/>
  <c r="L1194" i="10"/>
  <c r="K1195" i="10"/>
  <c r="L1195" i="10"/>
  <c r="K1198" i="10"/>
  <c r="L1198" i="10"/>
  <c r="K1199" i="10"/>
  <c r="L1199" i="10"/>
  <c r="K1200" i="10"/>
  <c r="L1200" i="10"/>
  <c r="K1201" i="10"/>
  <c r="L1201" i="10"/>
  <c r="K1202" i="10"/>
  <c r="L1202" i="10"/>
  <c r="K1203" i="10"/>
  <c r="L1203" i="10"/>
  <c r="K1204" i="10"/>
  <c r="L1204" i="10"/>
  <c r="K1205" i="10"/>
  <c r="L1205" i="10"/>
  <c r="L1207" i="10"/>
  <c r="N1207" i="10" s="1"/>
  <c r="I1207" i="10" s="1"/>
  <c r="I1206" i="10" s="1"/>
  <c r="K1208" i="10"/>
  <c r="L1208" i="10"/>
  <c r="K1209" i="10"/>
  <c r="L1209" i="10"/>
  <c r="K1210" i="10"/>
  <c r="L1210" i="10"/>
  <c r="K1211" i="10"/>
  <c r="L1211" i="10"/>
  <c r="K1212" i="10"/>
  <c r="L1212" i="10"/>
  <c r="L1214" i="10"/>
  <c r="K1215" i="10"/>
  <c r="L1215" i="10"/>
  <c r="K1216" i="10"/>
  <c r="L1216" i="10"/>
  <c r="K1217" i="10"/>
  <c r="L1217" i="10"/>
  <c r="K1218" i="10"/>
  <c r="L1218" i="10"/>
  <c r="K1219" i="10"/>
  <c r="L1219" i="10"/>
  <c r="K1222" i="10"/>
  <c r="L1222" i="10"/>
  <c r="K1223" i="10"/>
  <c r="L1223" i="10"/>
  <c r="K1224" i="10"/>
  <c r="L1224" i="10"/>
  <c r="K1225" i="10"/>
  <c r="L1225" i="10"/>
  <c r="K1226" i="10"/>
  <c r="L1226" i="10"/>
  <c r="K1227" i="10"/>
  <c r="L1227" i="10"/>
  <c r="K1230" i="10"/>
  <c r="L1230" i="10"/>
  <c r="K1231" i="10"/>
  <c r="L1231" i="10"/>
  <c r="K1232" i="10"/>
  <c r="L1232" i="10"/>
  <c r="K1233" i="10"/>
  <c r="L1233" i="10"/>
  <c r="K1234" i="10"/>
  <c r="L1234" i="10"/>
  <c r="K1235" i="10"/>
  <c r="L1235" i="10"/>
  <c r="K1236" i="10"/>
  <c r="L1236" i="10"/>
  <c r="K1237" i="10"/>
  <c r="L1237" i="10"/>
  <c r="K1238" i="10"/>
  <c r="L1238" i="10"/>
  <c r="L1240" i="10"/>
  <c r="K1241" i="10"/>
  <c r="L1241" i="10"/>
  <c r="K1242" i="10"/>
  <c r="L1242" i="10"/>
  <c r="K1243" i="10"/>
  <c r="L1243" i="10"/>
  <c r="K1244" i="10"/>
  <c r="L1244" i="10"/>
  <c r="K1245" i="10"/>
  <c r="L1245" i="10"/>
  <c r="K1246" i="10"/>
  <c r="L1246" i="10"/>
  <c r="K1247" i="10"/>
  <c r="L1247" i="10"/>
  <c r="K1248" i="10"/>
  <c r="L1248" i="10"/>
  <c r="K1249" i="10"/>
  <c r="L1249" i="10"/>
  <c r="K1250" i="10"/>
  <c r="L1250" i="10"/>
  <c r="K1251" i="10"/>
  <c r="L1251" i="10"/>
  <c r="K1252" i="10"/>
  <c r="L1252" i="10"/>
  <c r="K1253" i="10"/>
  <c r="L1253" i="10"/>
  <c r="K1254" i="10"/>
  <c r="L1254" i="10"/>
  <c r="K1255" i="10"/>
  <c r="L1255" i="10"/>
  <c r="L1257" i="10"/>
  <c r="K1258" i="10"/>
  <c r="L1258" i="10"/>
  <c r="K1259" i="10"/>
  <c r="L1259" i="10"/>
  <c r="K1260" i="10"/>
  <c r="L1260" i="10"/>
  <c r="K1261" i="10"/>
  <c r="L1261" i="10"/>
  <c r="K1262" i="10"/>
  <c r="L1262" i="10"/>
  <c r="K1263" i="10"/>
  <c r="L1263" i="10"/>
  <c r="K1264" i="10"/>
  <c r="L1264" i="10"/>
  <c r="K1265" i="10"/>
  <c r="L1265" i="10"/>
  <c r="L1267" i="10"/>
  <c r="N1267" i="10" s="1"/>
  <c r="I1267" i="10" s="1"/>
  <c r="I1266" i="10" s="1"/>
  <c r="K1268" i="10"/>
  <c r="L1268" i="10"/>
  <c r="K1269" i="10"/>
  <c r="L1269" i="10"/>
  <c r="K1270" i="10"/>
  <c r="L1270" i="10"/>
  <c r="K1271" i="10"/>
  <c r="L1271" i="10"/>
  <c r="K1272" i="10"/>
  <c r="L1272" i="10"/>
  <c r="K1273" i="10"/>
  <c r="L1273" i="10"/>
  <c r="K1275" i="10"/>
  <c r="L1275" i="10"/>
  <c r="K1276" i="10"/>
  <c r="L1276" i="10"/>
  <c r="K1277" i="10"/>
  <c r="L1277" i="10"/>
  <c r="K1278" i="10"/>
  <c r="L1278" i="10"/>
  <c r="K1279" i="10"/>
  <c r="L1279" i="10"/>
  <c r="K1280" i="10"/>
  <c r="L1280" i="10"/>
  <c r="K1281" i="10"/>
  <c r="L1281" i="10"/>
  <c r="K1282" i="10"/>
  <c r="L1282" i="10"/>
  <c r="K1283" i="10"/>
  <c r="L1283" i="10"/>
  <c r="K1284" i="10"/>
  <c r="L1284" i="10"/>
  <c r="K1285" i="10"/>
  <c r="L1285" i="10"/>
  <c r="K1286" i="10"/>
  <c r="L1286" i="10"/>
  <c r="K1287" i="10"/>
  <c r="L1287" i="10"/>
  <c r="K1288" i="10"/>
  <c r="L1288" i="10"/>
  <c r="K1289" i="10"/>
  <c r="L1289" i="10"/>
  <c r="K1290" i="10"/>
  <c r="L1290" i="10"/>
  <c r="K1291" i="10"/>
  <c r="L1291" i="10"/>
  <c r="K1292" i="10"/>
  <c r="L1292" i="10"/>
  <c r="K1293" i="10"/>
  <c r="L1293" i="10"/>
  <c r="K1294" i="10"/>
  <c r="L1294" i="10"/>
  <c r="K1295" i="10"/>
  <c r="L1295" i="10"/>
  <c r="K1297" i="10"/>
  <c r="L1297" i="10"/>
  <c r="K1298" i="10"/>
  <c r="L1298" i="10"/>
  <c r="K1299" i="10"/>
  <c r="L1299" i="10"/>
  <c r="K1300" i="10"/>
  <c r="L1300" i="10"/>
  <c r="K1301" i="10"/>
  <c r="L1301" i="10"/>
  <c r="K1302" i="10"/>
  <c r="L1302" i="10"/>
  <c r="K1304" i="10"/>
  <c r="L1304" i="10"/>
  <c r="K1305" i="10"/>
  <c r="L1305" i="10"/>
  <c r="K1306" i="10"/>
  <c r="L1306" i="10"/>
  <c r="K1307" i="10"/>
  <c r="L1307" i="10"/>
  <c r="K1308" i="10"/>
  <c r="L1308" i="10"/>
  <c r="K1309" i="10"/>
  <c r="L1309" i="10"/>
  <c r="K1310" i="10"/>
  <c r="L1310" i="10"/>
  <c r="K1311" i="10"/>
  <c r="L1311" i="10"/>
  <c r="L1313" i="10"/>
  <c r="N1313" i="10" s="1"/>
  <c r="I1313" i="10" s="1"/>
  <c r="K1315" i="10"/>
  <c r="L1315" i="10"/>
  <c r="K1316" i="10"/>
  <c r="L1316" i="10"/>
  <c r="K1317" i="10"/>
  <c r="L1317" i="10"/>
  <c r="K1318" i="10"/>
  <c r="L1318" i="10"/>
  <c r="K1319" i="10"/>
  <c r="L1319" i="10"/>
  <c r="K1320" i="10"/>
  <c r="L1320" i="10"/>
  <c r="K1321" i="10"/>
  <c r="L1321" i="10"/>
  <c r="K1322" i="10"/>
  <c r="L1322" i="10"/>
  <c r="K1323" i="10"/>
  <c r="L1323" i="10"/>
  <c r="K1324" i="10"/>
  <c r="L1324" i="10"/>
  <c r="K1325" i="10"/>
  <c r="L1325" i="10"/>
  <c r="K1326" i="10"/>
  <c r="L1326" i="10"/>
  <c r="K1327" i="10"/>
  <c r="L1327" i="10"/>
  <c r="K1328" i="10"/>
  <c r="L1328" i="10"/>
  <c r="K1329" i="10"/>
  <c r="L1329" i="10"/>
  <c r="K1330" i="10"/>
  <c r="L1330" i="10"/>
  <c r="K1331" i="10"/>
  <c r="L1331" i="10"/>
  <c r="K1332" i="10"/>
  <c r="L1332" i="10"/>
  <c r="K1333" i="10"/>
  <c r="L1333" i="10"/>
  <c r="K1334" i="10"/>
  <c r="L1334" i="10"/>
  <c r="K1336" i="10"/>
  <c r="M1336" i="10" s="1"/>
  <c r="L1336" i="10"/>
  <c r="N1336" i="10" s="1"/>
  <c r="I1336" i="10" s="1"/>
  <c r="I1335" i="10" s="1"/>
  <c r="K1337" i="10"/>
  <c r="L1337" i="10"/>
  <c r="K1338" i="10"/>
  <c r="L1338" i="10"/>
  <c r="K1339" i="10"/>
  <c r="L1339" i="10"/>
  <c r="K1340" i="10"/>
  <c r="L1340" i="10"/>
  <c r="K1341" i="10"/>
  <c r="L1341" i="10"/>
  <c r="K1342" i="10"/>
  <c r="L1342" i="10"/>
  <c r="K1343" i="10"/>
  <c r="L1343" i="10"/>
  <c r="L1345" i="10"/>
  <c r="L1346" i="10"/>
  <c r="N1346" i="10" s="1"/>
  <c r="I1346" i="10" s="1"/>
  <c r="K1347" i="10"/>
  <c r="L1347" i="10"/>
  <c r="K1348" i="10"/>
  <c r="L1348" i="10"/>
  <c r="K1349" i="10"/>
  <c r="L1349" i="10"/>
  <c r="K1350" i="10"/>
  <c r="L1350" i="10"/>
  <c r="K1351" i="10"/>
  <c r="L1351" i="10"/>
  <c r="K1352" i="10"/>
  <c r="L1352" i="10"/>
  <c r="K1353" i="10"/>
  <c r="L1353" i="10"/>
  <c r="L1356" i="10"/>
  <c r="N1356" i="10" s="1"/>
  <c r="I1356" i="10" s="1"/>
  <c r="K1357" i="10"/>
  <c r="L1357" i="10"/>
  <c r="K1358" i="10"/>
  <c r="L1358" i="10"/>
  <c r="K1359" i="10"/>
  <c r="L1359" i="10"/>
  <c r="K1360" i="10"/>
  <c r="L1360" i="10"/>
  <c r="K1361" i="10"/>
  <c r="L1361" i="10"/>
  <c r="L1363" i="10"/>
  <c r="L1364" i="10"/>
  <c r="N1364" i="10" s="1"/>
  <c r="I1364" i="10" s="1"/>
  <c r="L1365" i="10"/>
  <c r="K1366" i="10"/>
  <c r="L1366" i="10"/>
  <c r="K1367" i="10"/>
  <c r="L1367" i="10"/>
  <c r="K1368" i="10"/>
  <c r="L1368" i="10"/>
  <c r="K1369" i="10"/>
  <c r="L1369" i="10"/>
  <c r="K1370" i="10"/>
  <c r="L1370" i="10"/>
  <c r="L1372" i="10"/>
  <c r="L1373" i="10"/>
  <c r="N1373" i="10" s="1"/>
  <c r="I1373" i="10" s="1"/>
  <c r="L1374" i="10"/>
  <c r="K1375" i="10"/>
  <c r="L1375" i="10"/>
  <c r="K1376" i="10"/>
  <c r="L1376" i="10"/>
  <c r="K1377" i="10"/>
  <c r="L1377" i="10"/>
  <c r="K1378" i="10"/>
  <c r="L1378" i="10"/>
  <c r="L1380" i="10"/>
  <c r="N1380" i="10" s="1"/>
  <c r="I1380" i="10" s="1"/>
  <c r="L1381" i="10"/>
  <c r="N1381" i="10" s="1"/>
  <c r="I1381" i="10" s="1"/>
  <c r="K1383" i="10"/>
  <c r="L1383" i="10"/>
  <c r="K1384" i="10"/>
  <c r="L1384" i="10"/>
  <c r="K1385" i="10"/>
  <c r="L1385" i="10"/>
  <c r="K1386" i="10"/>
  <c r="L1386" i="10"/>
  <c r="K1387" i="10"/>
  <c r="L1387" i="10"/>
  <c r="K1388" i="10"/>
  <c r="L1388" i="10"/>
  <c r="K1389" i="10"/>
  <c r="L1389" i="10"/>
  <c r="K1390" i="10"/>
  <c r="L1390" i="10"/>
  <c r="K1391" i="10"/>
  <c r="L1391" i="10"/>
  <c r="K1392" i="10"/>
  <c r="L1392" i="10"/>
  <c r="K1393" i="10"/>
  <c r="L1393" i="10"/>
  <c r="K1394" i="10"/>
  <c r="L1394" i="10"/>
  <c r="K1395" i="10"/>
  <c r="L1395" i="10"/>
  <c r="K1396" i="10"/>
  <c r="L1396" i="10"/>
  <c r="K1397" i="10"/>
  <c r="L1397" i="10"/>
  <c r="K1398" i="10"/>
  <c r="L1398" i="10"/>
  <c r="K1399" i="10"/>
  <c r="L1399" i="10"/>
  <c r="K1400" i="10"/>
  <c r="L1400" i="10"/>
  <c r="K1401" i="10"/>
  <c r="L1401" i="10"/>
  <c r="K1402" i="10"/>
  <c r="L1402" i="10"/>
  <c r="K1403" i="10"/>
  <c r="L1403" i="10"/>
  <c r="K1404" i="10"/>
  <c r="L1404" i="10"/>
  <c r="K1405" i="10"/>
  <c r="L1405" i="10"/>
  <c r="K1406" i="10"/>
  <c r="L1406" i="10"/>
  <c r="K1407" i="10"/>
  <c r="L1407" i="10"/>
  <c r="K1408" i="10"/>
  <c r="L1408" i="10"/>
  <c r="K1409" i="10"/>
  <c r="L1409" i="10"/>
  <c r="K1410" i="10"/>
  <c r="L1410" i="10"/>
  <c r="K1411" i="10"/>
  <c r="L1411" i="10"/>
  <c r="K1412" i="10"/>
  <c r="L1412" i="10"/>
  <c r="K1413" i="10"/>
  <c r="L1413" i="10"/>
  <c r="K1414" i="10"/>
  <c r="L1414" i="10"/>
  <c r="L1416" i="10"/>
  <c r="K1418" i="10"/>
  <c r="L1418" i="10"/>
  <c r="K1419" i="10"/>
  <c r="L1419" i="10"/>
  <c r="K1420" i="10"/>
  <c r="L1420" i="10"/>
  <c r="K1421" i="10"/>
  <c r="L1421" i="10"/>
  <c r="K1422" i="10"/>
  <c r="L1422" i="10"/>
  <c r="K1423" i="10"/>
  <c r="L1423" i="10"/>
  <c r="K1424" i="10"/>
  <c r="L1424" i="10"/>
  <c r="K1425" i="10"/>
  <c r="L1425" i="10"/>
  <c r="K1426" i="10"/>
  <c r="L1426" i="10"/>
  <c r="K1427" i="10"/>
  <c r="L1427" i="10"/>
  <c r="L1432" i="10"/>
  <c r="N1432" i="10" s="1"/>
  <c r="I1432" i="10" s="1"/>
  <c r="L1433" i="10"/>
  <c r="N1433" i="10" s="1"/>
  <c r="I1433" i="10" s="1"/>
  <c r="L1434" i="10"/>
  <c r="N1434" i="10" s="1"/>
  <c r="I1434" i="10" s="1"/>
  <c r="K1435" i="10"/>
  <c r="L1435" i="10"/>
  <c r="K1436" i="10"/>
  <c r="L1436" i="10"/>
  <c r="K1437" i="10"/>
  <c r="L1437" i="10"/>
  <c r="K1438" i="10"/>
  <c r="L1438" i="10"/>
  <c r="K1439" i="10"/>
  <c r="L1439" i="10"/>
  <c r="K1440" i="10"/>
  <c r="L1440" i="10"/>
  <c r="K1441" i="10"/>
  <c r="L1441" i="10"/>
  <c r="K1442" i="10"/>
  <c r="L1442" i="10"/>
  <c r="K1443" i="10"/>
  <c r="L1443" i="10"/>
  <c r="K1444" i="10"/>
  <c r="L1444" i="10"/>
  <c r="K1445" i="10"/>
  <c r="L1445" i="10"/>
  <c r="K1446" i="10"/>
  <c r="L1446" i="10"/>
  <c r="K1447" i="10"/>
  <c r="L1447" i="10"/>
  <c r="K1448" i="10"/>
  <c r="L1448" i="10"/>
  <c r="K1449" i="10"/>
  <c r="L1449" i="10"/>
  <c r="K1450" i="10"/>
  <c r="L1450" i="10"/>
  <c r="K1451" i="10"/>
  <c r="L1451" i="10"/>
  <c r="K1453" i="10"/>
  <c r="L1453" i="10"/>
  <c r="K1454" i="10"/>
  <c r="L1454" i="10"/>
  <c r="K1455" i="10"/>
  <c r="L1455" i="10"/>
  <c r="K1456" i="10"/>
  <c r="L1456" i="10"/>
  <c r="K1457" i="10"/>
  <c r="L1457" i="10"/>
  <c r="K1458" i="10"/>
  <c r="L1458" i="10"/>
  <c r="K1460" i="10"/>
  <c r="L1460" i="10"/>
  <c r="K1461" i="10"/>
  <c r="L1461" i="10"/>
  <c r="K1462" i="10"/>
  <c r="L1462" i="10"/>
  <c r="K1463" i="10"/>
  <c r="L1463" i="10"/>
  <c r="K1464" i="10"/>
  <c r="L1464" i="10"/>
  <c r="K1465" i="10"/>
  <c r="L1465" i="10"/>
  <c r="K1466" i="10"/>
  <c r="L1466" i="10"/>
  <c r="K1467" i="10"/>
  <c r="L1467" i="10"/>
  <c r="K1468" i="10"/>
  <c r="L1468" i="10"/>
  <c r="K1470" i="10"/>
  <c r="L1470" i="10"/>
  <c r="K1471" i="10"/>
  <c r="L1471" i="10"/>
  <c r="K1472" i="10"/>
  <c r="L1472" i="10"/>
  <c r="K1473" i="10"/>
  <c r="L1473" i="10"/>
  <c r="K1474" i="10"/>
  <c r="L1474" i="10"/>
  <c r="K1475" i="10"/>
  <c r="L1475" i="10"/>
  <c r="K1476" i="10"/>
  <c r="L1476" i="10"/>
  <c r="K1477" i="10"/>
  <c r="L1477" i="10"/>
  <c r="K1478" i="10"/>
  <c r="L1478" i="10"/>
  <c r="K1479" i="10"/>
  <c r="L1479" i="10"/>
  <c r="K1480" i="10"/>
  <c r="L1480" i="10"/>
  <c r="K1481" i="10"/>
  <c r="L1481" i="10"/>
  <c r="K1482" i="10"/>
  <c r="L1482" i="10"/>
  <c r="K1484" i="10"/>
  <c r="L1484" i="10"/>
  <c r="K1485" i="10"/>
  <c r="L1485" i="10"/>
  <c r="K1486" i="10"/>
  <c r="L1486" i="10"/>
  <c r="K1487" i="10"/>
  <c r="L1487" i="10"/>
  <c r="K1488" i="10"/>
  <c r="L1488" i="10"/>
  <c r="K1489" i="10"/>
  <c r="L1489" i="10"/>
  <c r="K1490" i="10"/>
  <c r="L1490" i="10"/>
  <c r="K1491" i="10"/>
  <c r="L1491" i="10"/>
  <c r="K1492" i="10"/>
  <c r="L1492" i="10"/>
  <c r="K1493" i="10"/>
  <c r="L1493" i="10"/>
  <c r="K1494" i="10"/>
  <c r="L1494" i="10"/>
  <c r="K1495" i="10"/>
  <c r="L1495" i="10"/>
  <c r="K1496" i="10"/>
  <c r="L1496" i="10"/>
  <c r="K1497" i="10"/>
  <c r="L1497" i="10"/>
  <c r="K1498" i="10"/>
  <c r="L1498" i="10"/>
  <c r="K1499" i="10"/>
  <c r="L1499" i="10"/>
  <c r="K1500" i="10"/>
  <c r="L1500" i="10"/>
  <c r="K1503" i="10"/>
  <c r="L1503" i="10"/>
  <c r="K1504" i="10"/>
  <c r="L1504" i="10"/>
  <c r="K1505" i="10"/>
  <c r="L1505" i="10"/>
  <c r="K1506" i="10"/>
  <c r="L1506" i="10"/>
  <c r="K1509" i="10"/>
  <c r="L1509" i="10"/>
  <c r="K1510" i="10"/>
  <c r="L1510" i="10"/>
  <c r="K1511" i="10"/>
  <c r="L1511" i="10"/>
  <c r="K1512" i="10"/>
  <c r="L1512" i="10"/>
  <c r="K1513" i="10"/>
  <c r="L1513" i="10"/>
  <c r="L1515" i="10"/>
  <c r="N1515" i="10" s="1"/>
  <c r="I1515" i="10" s="1"/>
  <c r="K1516" i="10"/>
  <c r="L1516" i="10"/>
  <c r="K1517" i="10"/>
  <c r="L1517" i="10"/>
  <c r="K1518" i="10"/>
  <c r="L1518" i="10"/>
  <c r="K1519" i="10"/>
  <c r="L1519" i="10"/>
  <c r="L1521" i="10"/>
  <c r="L1522" i="10"/>
  <c r="K1523" i="10"/>
  <c r="L1523" i="10"/>
  <c r="K1524" i="10"/>
  <c r="L1524" i="10"/>
  <c r="K1525" i="10"/>
  <c r="L1525" i="10"/>
  <c r="K1526" i="10"/>
  <c r="L1526" i="10"/>
  <c r="K1527" i="10"/>
  <c r="L1527" i="10"/>
  <c r="L1529" i="10"/>
  <c r="N1529" i="10" s="1"/>
  <c r="I1529" i="10" s="1"/>
  <c r="I1528" i="10" s="1"/>
  <c r="K1530" i="10"/>
  <c r="L1530" i="10"/>
  <c r="K1531" i="10"/>
  <c r="L1531" i="10"/>
  <c r="K1532" i="10"/>
  <c r="L1532" i="10"/>
  <c r="K1533" i="10"/>
  <c r="L1533" i="10"/>
  <c r="K1534" i="10"/>
  <c r="L1534" i="10"/>
  <c r="K1535" i="10"/>
  <c r="L1535" i="10"/>
  <c r="K1536" i="10"/>
  <c r="L1536" i="10"/>
  <c r="K1539" i="10"/>
  <c r="L1539" i="10"/>
  <c r="K1540" i="10"/>
  <c r="L1540" i="10"/>
  <c r="K1541" i="10"/>
  <c r="L1541" i="10"/>
  <c r="K1542" i="10"/>
  <c r="L1542" i="10"/>
  <c r="K1545" i="10"/>
  <c r="L1545" i="10"/>
  <c r="K1546" i="10"/>
  <c r="L1546" i="10"/>
  <c r="K1547" i="10"/>
  <c r="L1547" i="10"/>
  <c r="K1548" i="10"/>
  <c r="L1548" i="10"/>
  <c r="K1551" i="10"/>
  <c r="L1551" i="10"/>
  <c r="K1552" i="10"/>
  <c r="L1552" i="10"/>
  <c r="K1553" i="10"/>
  <c r="L1553" i="10"/>
  <c r="K1554" i="10"/>
  <c r="L1554" i="10"/>
  <c r="K1555" i="10"/>
  <c r="L1555" i="10"/>
  <c r="L1557" i="10"/>
  <c r="K1559" i="10"/>
  <c r="L1559" i="10"/>
  <c r="K1560" i="10"/>
  <c r="L1560" i="10"/>
  <c r="K1561" i="10"/>
  <c r="L1561" i="10"/>
  <c r="K1562" i="10"/>
  <c r="L1562" i="10"/>
  <c r="K1563" i="10"/>
  <c r="L1563" i="10"/>
  <c r="K1564" i="10"/>
  <c r="L1564" i="10"/>
  <c r="K1565" i="10"/>
  <c r="L1565" i="10"/>
  <c r="K1566" i="10"/>
  <c r="L1566" i="10"/>
  <c r="K1567" i="10"/>
  <c r="L1567" i="10"/>
  <c r="K1568" i="10"/>
  <c r="L1568" i="10"/>
  <c r="K1572" i="10"/>
  <c r="L1572" i="10"/>
  <c r="K1573" i="10"/>
  <c r="L1573" i="10"/>
  <c r="K1574" i="10"/>
  <c r="L1574" i="10"/>
  <c r="K1575" i="10"/>
  <c r="L1575" i="10"/>
  <c r="L1577" i="10"/>
  <c r="L1578" i="10"/>
  <c r="N1578" i="10" s="1"/>
  <c r="I1578" i="10" s="1"/>
  <c r="K1579" i="10"/>
  <c r="L1579" i="10"/>
  <c r="K1580" i="10"/>
  <c r="L1580" i="10"/>
  <c r="K1581" i="10"/>
  <c r="L1581" i="10"/>
  <c r="K1582" i="10"/>
  <c r="L1582" i="10"/>
  <c r="K1586" i="10"/>
  <c r="L1586" i="10"/>
  <c r="K1587" i="10"/>
  <c r="L1587" i="10"/>
  <c r="K1588" i="10"/>
  <c r="L1588" i="10"/>
  <c r="K1589" i="10"/>
  <c r="L1589" i="10"/>
  <c r="K1592" i="10"/>
  <c r="L1592" i="10"/>
  <c r="K1593" i="10"/>
  <c r="L1593" i="10"/>
  <c r="K1594" i="10"/>
  <c r="L1594" i="10"/>
  <c r="K1595" i="10"/>
  <c r="L1595" i="10"/>
  <c r="K1596" i="10"/>
  <c r="L1596" i="10"/>
  <c r="L1598" i="10"/>
  <c r="N1598" i="10" s="1"/>
  <c r="I1598" i="10" s="1"/>
  <c r="L1599" i="10"/>
  <c r="N1599" i="10" s="1"/>
  <c r="I1599" i="10" s="1"/>
  <c r="K1600" i="10"/>
  <c r="L1600" i="10"/>
  <c r="K1601" i="10"/>
  <c r="L1601" i="10"/>
  <c r="K1602" i="10"/>
  <c r="L1602" i="10"/>
  <c r="K1603" i="10"/>
  <c r="L1603" i="10"/>
  <c r="K1604" i="10"/>
  <c r="L1604" i="10"/>
  <c r="K1605" i="10"/>
  <c r="L1605" i="10"/>
  <c r="K1606" i="10"/>
  <c r="L1606" i="10"/>
  <c r="K1607" i="10"/>
  <c r="L1607" i="10"/>
  <c r="L1609" i="10"/>
  <c r="L1610" i="10"/>
  <c r="N1610" i="10" s="1"/>
  <c r="I1610" i="10" s="1"/>
  <c r="K1612" i="10"/>
  <c r="L1612" i="10"/>
  <c r="K1613" i="10"/>
  <c r="L1613" i="10"/>
  <c r="K1614" i="10"/>
  <c r="L1614" i="10"/>
  <c r="K1615" i="10"/>
  <c r="L1615" i="10"/>
  <c r="K1616" i="10"/>
  <c r="L1616" i="10"/>
  <c r="K1617" i="10"/>
  <c r="L1617" i="10"/>
  <c r="K1618" i="10"/>
  <c r="L1618" i="10"/>
  <c r="K1619" i="10"/>
  <c r="L1619" i="10"/>
  <c r="K1620" i="10"/>
  <c r="L1620" i="10"/>
  <c r="K1621" i="10"/>
  <c r="L1621" i="10"/>
  <c r="L1623" i="10"/>
  <c r="K1624" i="10"/>
  <c r="L1624" i="10"/>
  <c r="K1625" i="10"/>
  <c r="L1625" i="10"/>
  <c r="K1626" i="10"/>
  <c r="L1626" i="10"/>
  <c r="K1627" i="10"/>
  <c r="L1627" i="10"/>
  <c r="K1628" i="10"/>
  <c r="L1628" i="10"/>
  <c r="K1629" i="10"/>
  <c r="L1629" i="10"/>
  <c r="K1630" i="10"/>
  <c r="L1630" i="10"/>
  <c r="L1632" i="10"/>
  <c r="K1633" i="10"/>
  <c r="L1633" i="10"/>
  <c r="K1634" i="10"/>
  <c r="L1634" i="10"/>
  <c r="K1635" i="10"/>
  <c r="L1635" i="10"/>
  <c r="K1636" i="10"/>
  <c r="L1636" i="10"/>
  <c r="K1637" i="10"/>
  <c r="L1637" i="10"/>
  <c r="K1638" i="10"/>
  <c r="L1638" i="10"/>
  <c r="K1639" i="10"/>
  <c r="L1639" i="10"/>
  <c r="K1640" i="10"/>
  <c r="L1640" i="10"/>
  <c r="L1642" i="10"/>
  <c r="N1642" i="10" s="1"/>
  <c r="I1642" i="10" s="1"/>
  <c r="I1641" i="10" s="1"/>
  <c r="K1643" i="10"/>
  <c r="L1643" i="10"/>
  <c r="K1644" i="10"/>
  <c r="L1644" i="10"/>
  <c r="K1645" i="10"/>
  <c r="L1645" i="10"/>
  <c r="K1646" i="10"/>
  <c r="L1646" i="10"/>
  <c r="K1647" i="10"/>
  <c r="L1647" i="10"/>
  <c r="K1648" i="10"/>
  <c r="L1648" i="10"/>
  <c r="L1650" i="10"/>
  <c r="K1651" i="10"/>
  <c r="L1651" i="10"/>
  <c r="K1652" i="10"/>
  <c r="L1652" i="10"/>
  <c r="K1653" i="10"/>
  <c r="L1653" i="10"/>
  <c r="K1654" i="10"/>
  <c r="L1654" i="10"/>
  <c r="K1655" i="10"/>
  <c r="L1655" i="10"/>
  <c r="K1656" i="10"/>
  <c r="L1656" i="10"/>
  <c r="K1657" i="10"/>
  <c r="L1657" i="10"/>
  <c r="K1659" i="10"/>
  <c r="L1659" i="10"/>
  <c r="K1660" i="10"/>
  <c r="L1660" i="10"/>
  <c r="K1661" i="10"/>
  <c r="L1661" i="10"/>
  <c r="K1662" i="10"/>
  <c r="L1662" i="10"/>
  <c r="K1663" i="10"/>
  <c r="L1663" i="10"/>
  <c r="K1664" i="10"/>
  <c r="L1664" i="10"/>
  <c r="K1665" i="10"/>
  <c r="L1665" i="10"/>
  <c r="K1668" i="10"/>
  <c r="L1668" i="10"/>
  <c r="K1669" i="10"/>
  <c r="L1669" i="10"/>
  <c r="K1670" i="10"/>
  <c r="L1670" i="10"/>
  <c r="K1671" i="10"/>
  <c r="L1671" i="10"/>
  <c r="K1672" i="10"/>
  <c r="L1672" i="10"/>
  <c r="K1673" i="10"/>
  <c r="L1673" i="10"/>
  <c r="K1674" i="10"/>
  <c r="L1674" i="10"/>
  <c r="L1677" i="10"/>
  <c r="K1678" i="10"/>
  <c r="L1678" i="10"/>
  <c r="K1679" i="10"/>
  <c r="L1679" i="10"/>
  <c r="K1680" i="10"/>
  <c r="L1680" i="10"/>
  <c r="K1681" i="10"/>
  <c r="L1681" i="10"/>
  <c r="K1682" i="10"/>
  <c r="L1682" i="10"/>
  <c r="K1683" i="10"/>
  <c r="L1683" i="10"/>
  <c r="K1684" i="10"/>
  <c r="L1684" i="10"/>
  <c r="L1686" i="10"/>
  <c r="N1686" i="10" s="1"/>
  <c r="I1686" i="10" s="1"/>
  <c r="I1685" i="10" s="1"/>
  <c r="K1687" i="10"/>
  <c r="L1687" i="10"/>
  <c r="K1688" i="10"/>
  <c r="L1688" i="10"/>
  <c r="K1689" i="10"/>
  <c r="L1689" i="10"/>
  <c r="K1690" i="10"/>
  <c r="L1690" i="10"/>
  <c r="K1691" i="10"/>
  <c r="L1691" i="10"/>
  <c r="K1692" i="10"/>
  <c r="L1692" i="10"/>
  <c r="L1694" i="10"/>
  <c r="N1694" i="10" s="1"/>
  <c r="I1694" i="10" s="1"/>
  <c r="I1693" i="10" s="1"/>
  <c r="K1695" i="10"/>
  <c r="L1695" i="10"/>
  <c r="K1696" i="10"/>
  <c r="L1696" i="10"/>
  <c r="K1697" i="10"/>
  <c r="L1697" i="10"/>
  <c r="K1698" i="10"/>
  <c r="L1698" i="10"/>
  <c r="K1699" i="10"/>
  <c r="L1699" i="10"/>
  <c r="K1700" i="10"/>
  <c r="L1700" i="10"/>
  <c r="K1701" i="10"/>
  <c r="L1701" i="10"/>
  <c r="K1702" i="10"/>
  <c r="L1702" i="10"/>
  <c r="K1703" i="10"/>
  <c r="L1703" i="10"/>
  <c r="K1704" i="10"/>
  <c r="L1704" i="10"/>
  <c r="K1705" i="10"/>
  <c r="L1705" i="10"/>
  <c r="K1708" i="10"/>
  <c r="L1708" i="10"/>
  <c r="K1709" i="10"/>
  <c r="L1709" i="10"/>
  <c r="K1710" i="10"/>
  <c r="L1710" i="10"/>
  <c r="K1713" i="10"/>
  <c r="L1713" i="10"/>
  <c r="K1714" i="10"/>
  <c r="L1714" i="10"/>
  <c r="K1715" i="10"/>
  <c r="L1715" i="10"/>
  <c r="K1716" i="10"/>
  <c r="L1716" i="10"/>
  <c r="K1717" i="10"/>
  <c r="L1717" i="10"/>
  <c r="K1718" i="10"/>
  <c r="L1718" i="10"/>
  <c r="K1721" i="10"/>
  <c r="L1721" i="10"/>
  <c r="K1722" i="10"/>
  <c r="L1722" i="10"/>
  <c r="K1723" i="10"/>
  <c r="L1723" i="10"/>
  <c r="K1724" i="10"/>
  <c r="L1724" i="10"/>
  <c r="K1725" i="10"/>
  <c r="L1725" i="10"/>
  <c r="L1727" i="10"/>
  <c r="L1728" i="10"/>
  <c r="N1728" i="10" s="1"/>
  <c r="I1728" i="10" s="1"/>
  <c r="K1729" i="10"/>
  <c r="L1729" i="10"/>
  <c r="K1730" i="10"/>
  <c r="L1730" i="10"/>
  <c r="K1731" i="10"/>
  <c r="L1731" i="10"/>
  <c r="K1732" i="10"/>
  <c r="L1732" i="10"/>
  <c r="K1733" i="10"/>
  <c r="L1733" i="10"/>
  <c r="L1736" i="10"/>
  <c r="N1736" i="10" s="1"/>
  <c r="I1736" i="10" s="1"/>
  <c r="K1737" i="10"/>
  <c r="L1737" i="10"/>
  <c r="K1738" i="10"/>
  <c r="L1738" i="10"/>
  <c r="K1739" i="10"/>
  <c r="L1739" i="10"/>
  <c r="K1740" i="10"/>
  <c r="L1740" i="10"/>
  <c r="K1741" i="10"/>
  <c r="L1741" i="10"/>
  <c r="K1742" i="10"/>
  <c r="L1742" i="10"/>
  <c r="K1743" i="10"/>
  <c r="L1743" i="10"/>
  <c r="K1744" i="10"/>
  <c r="L1744" i="10"/>
  <c r="K1745" i="10"/>
  <c r="L1745" i="10"/>
  <c r="K1746" i="10"/>
  <c r="L1746" i="10"/>
  <c r="K1747" i="10"/>
  <c r="L1747" i="10"/>
  <c r="K1748" i="10"/>
  <c r="L1748" i="10"/>
  <c r="K1749" i="10"/>
  <c r="L1749" i="10"/>
  <c r="K1750" i="10"/>
  <c r="L1750" i="10"/>
  <c r="K1751" i="10"/>
  <c r="L1751" i="10"/>
  <c r="K1752" i="10"/>
  <c r="L1752" i="10"/>
  <c r="K1753" i="10"/>
  <c r="L1753" i="10"/>
  <c r="K1754" i="10"/>
  <c r="L1754" i="10"/>
  <c r="K1755" i="10"/>
  <c r="L1755" i="10"/>
  <c r="K1756" i="10"/>
  <c r="L1756" i="10"/>
  <c r="L1758" i="10"/>
  <c r="N1758" i="10" s="1"/>
  <c r="I1758" i="10" s="1"/>
  <c r="I1757" i="10" s="1"/>
  <c r="K1759" i="10"/>
  <c r="L1759" i="10"/>
  <c r="K1760" i="10"/>
  <c r="L1760" i="10"/>
  <c r="K1761" i="10"/>
  <c r="L1761" i="10"/>
  <c r="K1762" i="10"/>
  <c r="L1762" i="10"/>
  <c r="K1763" i="10"/>
  <c r="L1763" i="10"/>
  <c r="K1764" i="10"/>
  <c r="L1764" i="10"/>
  <c r="K1765" i="10"/>
  <c r="L1765" i="10"/>
  <c r="K1766" i="10"/>
  <c r="L1766" i="10"/>
  <c r="K1767" i="10"/>
  <c r="L1767" i="10"/>
  <c r="K1768" i="10"/>
  <c r="L1768" i="10"/>
  <c r="K1769" i="10"/>
  <c r="L1769" i="10"/>
  <c r="K1770" i="10"/>
  <c r="L1770" i="10"/>
  <c r="L1772" i="10"/>
  <c r="K1773" i="10"/>
  <c r="L1773" i="10"/>
  <c r="K1774" i="10"/>
  <c r="L1774" i="10"/>
  <c r="K1775" i="10"/>
  <c r="L1775" i="10"/>
  <c r="K1776" i="10"/>
  <c r="L1776" i="10"/>
  <c r="K1777" i="10"/>
  <c r="L1777" i="10"/>
  <c r="L1779" i="10"/>
  <c r="K1780" i="10"/>
  <c r="L1780" i="10"/>
  <c r="K1781" i="10"/>
  <c r="L1781" i="10"/>
  <c r="K1782" i="10"/>
  <c r="L1782" i="10"/>
  <c r="K1783" i="10"/>
  <c r="L1783" i="10"/>
  <c r="K1784" i="10"/>
  <c r="L1784" i="10"/>
  <c r="K1785" i="10"/>
  <c r="L1785" i="10"/>
  <c r="K1786" i="10"/>
  <c r="L1786" i="10"/>
  <c r="K1787" i="10"/>
  <c r="L1787" i="10"/>
  <c r="K1788" i="10"/>
  <c r="L1788" i="10"/>
  <c r="K1789" i="10"/>
  <c r="L1789" i="10"/>
  <c r="L1791" i="10"/>
  <c r="K1792" i="10"/>
  <c r="L1792" i="10"/>
  <c r="K1793" i="10"/>
  <c r="L1793" i="10"/>
  <c r="K1794" i="10"/>
  <c r="L1794" i="10"/>
  <c r="K1795" i="10"/>
  <c r="L1795" i="10"/>
  <c r="K1796" i="10"/>
  <c r="L1796" i="10"/>
  <c r="K1798" i="10"/>
  <c r="L1798" i="10"/>
  <c r="K1799" i="10"/>
  <c r="L1799" i="10"/>
  <c r="K1800" i="10"/>
  <c r="L1800" i="10"/>
  <c r="K1801" i="10"/>
  <c r="L1801" i="10"/>
  <c r="K1802" i="10"/>
  <c r="L1802" i="10"/>
  <c r="K1803" i="10"/>
  <c r="L1803" i="10"/>
  <c r="K1804" i="10"/>
  <c r="L1804" i="10"/>
  <c r="L1806" i="10"/>
  <c r="N1806" i="10" s="1"/>
  <c r="I1806" i="10" s="1"/>
  <c r="I1805" i="10" s="1"/>
  <c r="K1807" i="10"/>
  <c r="L1807" i="10"/>
  <c r="K1808" i="10"/>
  <c r="L1808" i="10"/>
  <c r="K1809" i="10"/>
  <c r="L1809" i="10"/>
  <c r="K1810" i="10"/>
  <c r="L1810" i="10"/>
  <c r="K1811" i="10"/>
  <c r="L1811" i="10"/>
  <c r="K1812" i="10"/>
  <c r="L1812" i="10"/>
  <c r="K1813" i="10"/>
  <c r="L1813" i="10"/>
  <c r="K1814" i="10"/>
  <c r="L1814" i="10"/>
  <c r="K1815" i="10"/>
  <c r="L1815" i="10"/>
  <c r="K1816" i="10"/>
  <c r="L1816" i="10"/>
  <c r="K1817" i="10"/>
  <c r="L1817" i="10"/>
  <c r="K1818" i="10"/>
  <c r="L1818" i="10"/>
  <c r="K1819" i="10"/>
  <c r="L1819" i="10"/>
  <c r="K1820" i="10"/>
  <c r="L1820" i="10"/>
  <c r="K1821" i="10"/>
  <c r="L1821" i="10"/>
  <c r="K1822" i="10"/>
  <c r="L1822" i="10"/>
  <c r="K1823" i="10"/>
  <c r="L1823" i="10"/>
  <c r="L1825" i="10"/>
  <c r="K1826" i="10"/>
  <c r="L1826" i="10"/>
  <c r="K1827" i="10"/>
  <c r="L1827" i="10"/>
  <c r="K1828" i="10"/>
  <c r="L1828" i="10"/>
  <c r="K1829" i="10"/>
  <c r="L1829" i="10"/>
  <c r="K1830" i="10"/>
  <c r="L1830" i="10"/>
  <c r="L1832" i="10"/>
  <c r="N1832" i="10" s="1"/>
  <c r="I1832" i="10" s="1"/>
  <c r="I1831" i="10" s="1"/>
  <c r="K1833" i="10"/>
  <c r="L1833" i="10"/>
  <c r="K1834" i="10"/>
  <c r="L1834" i="10"/>
  <c r="K1835" i="10"/>
  <c r="L1835" i="10"/>
  <c r="K1836" i="10"/>
  <c r="L1836" i="10"/>
  <c r="K1837" i="10"/>
  <c r="L1837" i="10"/>
  <c r="K1838" i="10"/>
  <c r="L1838" i="10"/>
  <c r="L1840" i="10"/>
  <c r="N1840" i="10" s="1"/>
  <c r="I1840" i="10" s="1"/>
  <c r="I1839" i="10" s="1"/>
  <c r="K1841" i="10"/>
  <c r="L1841" i="10"/>
  <c r="K1842" i="10"/>
  <c r="L1842" i="10"/>
  <c r="K1843" i="10"/>
  <c r="L1843" i="10"/>
  <c r="K1844" i="10"/>
  <c r="L1844" i="10"/>
  <c r="K1845" i="10"/>
  <c r="L1845" i="10"/>
  <c r="K1846" i="10"/>
  <c r="L1846" i="10"/>
  <c r="K1847" i="10"/>
  <c r="L1847" i="10"/>
  <c r="L1849" i="10"/>
  <c r="L1850" i="10"/>
  <c r="N1850" i="10" s="1"/>
  <c r="I1850" i="10" s="1"/>
  <c r="K1851" i="10"/>
  <c r="L1851" i="10"/>
  <c r="K1852" i="10"/>
  <c r="L1852" i="10"/>
  <c r="K1853" i="10"/>
  <c r="L1853" i="10"/>
  <c r="K1854" i="10"/>
  <c r="L1854" i="10"/>
  <c r="L1856" i="10"/>
  <c r="K1858" i="10"/>
  <c r="L1858" i="10"/>
  <c r="K1859" i="10"/>
  <c r="L1859" i="10"/>
  <c r="K1860" i="10"/>
  <c r="L1860" i="10"/>
  <c r="K1861" i="10"/>
  <c r="L1861" i="10"/>
  <c r="K1862" i="10"/>
  <c r="L1862" i="10"/>
  <c r="K1863" i="10"/>
  <c r="L1863" i="10"/>
  <c r="K1864" i="10"/>
  <c r="L1864" i="10"/>
  <c r="K1865" i="10"/>
  <c r="L1865" i="10"/>
  <c r="L1867" i="10"/>
  <c r="N1867" i="10" s="1"/>
  <c r="I1867" i="10" s="1"/>
  <c r="L1868" i="10"/>
  <c r="N1868" i="10" s="1"/>
  <c r="I1868" i="10" s="1"/>
  <c r="L1869" i="10"/>
  <c r="N1869" i="10" s="1"/>
  <c r="I1869" i="10" s="1"/>
  <c r="K1870" i="10"/>
  <c r="L1870" i="10"/>
  <c r="K1871" i="10"/>
  <c r="L1871" i="10"/>
  <c r="K1872" i="10"/>
  <c r="L1872" i="10"/>
  <c r="K1873" i="10"/>
  <c r="L1873" i="10"/>
  <c r="L1875" i="10"/>
  <c r="N1875" i="10" s="1"/>
  <c r="I1875" i="10" s="1"/>
  <c r="K1876" i="10"/>
  <c r="L1876" i="10"/>
  <c r="K1877" i="10"/>
  <c r="L1877" i="10"/>
  <c r="K1878" i="10"/>
  <c r="L1878" i="10"/>
  <c r="K1879" i="10"/>
  <c r="L1879" i="10"/>
  <c r="L1881" i="10"/>
  <c r="N1881" i="10" s="1"/>
  <c r="I1881" i="10" s="1"/>
  <c r="L1882" i="10"/>
  <c r="N1882" i="10" s="1"/>
  <c r="I1882" i="10" s="1"/>
  <c r="K1883" i="10"/>
  <c r="L1883" i="10"/>
  <c r="K1884" i="10"/>
  <c r="L1884" i="10"/>
  <c r="K1885" i="10"/>
  <c r="L1885" i="10"/>
  <c r="K1886" i="10"/>
  <c r="L1886" i="10"/>
  <c r="K1887" i="10"/>
  <c r="L1887" i="10"/>
  <c r="K1888" i="10"/>
  <c r="L1888" i="10"/>
  <c r="K1889" i="10"/>
  <c r="L1889" i="10"/>
  <c r="K1890" i="10"/>
  <c r="L1890" i="10"/>
  <c r="K1892" i="10"/>
  <c r="L1892" i="10"/>
  <c r="K1893" i="10"/>
  <c r="L1893" i="10"/>
  <c r="K1894" i="10"/>
  <c r="L1894" i="10"/>
  <c r="K1895" i="10"/>
  <c r="L1895" i="10"/>
  <c r="K1896" i="10"/>
  <c r="L1896" i="10"/>
  <c r="K1897" i="10"/>
  <c r="L1897" i="10"/>
  <c r="K1898" i="10"/>
  <c r="L1898" i="10"/>
  <c r="K1900" i="10"/>
  <c r="L1900" i="10"/>
  <c r="K1901" i="10"/>
  <c r="L1901" i="10"/>
  <c r="K1902" i="10"/>
  <c r="L1902" i="10"/>
  <c r="K1903" i="10"/>
  <c r="L1903" i="10"/>
  <c r="K1904" i="10"/>
  <c r="L1904" i="10"/>
  <c r="K1905" i="10"/>
  <c r="L1905" i="10"/>
  <c r="K1906" i="10"/>
  <c r="L1906" i="10"/>
  <c r="L1909" i="10"/>
  <c r="K1910" i="10"/>
  <c r="L1910" i="10"/>
  <c r="K1911" i="10"/>
  <c r="L1911" i="10"/>
  <c r="K1912" i="10"/>
  <c r="L1912" i="10"/>
  <c r="K1913" i="10"/>
  <c r="L1913" i="10"/>
  <c r="K1914" i="10"/>
  <c r="L1914" i="10"/>
  <c r="L1917" i="10"/>
  <c r="N1917" i="10" s="1"/>
  <c r="I1917" i="10" s="1"/>
  <c r="K1918" i="10"/>
  <c r="L1918" i="10"/>
  <c r="K1919" i="10"/>
  <c r="L1919" i="10"/>
  <c r="K1920" i="10"/>
  <c r="L1920" i="10"/>
  <c r="K1921" i="10"/>
  <c r="L1921" i="10"/>
  <c r="K1922" i="10"/>
  <c r="L1922" i="10"/>
  <c r="K1923" i="10"/>
  <c r="L1923" i="10"/>
  <c r="K1924" i="10"/>
  <c r="L1924" i="10"/>
  <c r="K1925" i="10"/>
  <c r="L1925" i="10"/>
  <c r="K1926" i="10"/>
  <c r="L1926" i="10"/>
  <c r="K1927" i="10"/>
  <c r="L1927" i="10"/>
  <c r="K1928" i="10"/>
  <c r="L1928" i="10"/>
  <c r="K1929" i="10"/>
  <c r="L1929" i="10"/>
  <c r="K1930" i="10"/>
  <c r="L1930" i="10"/>
  <c r="K1931" i="10"/>
  <c r="L1931" i="10"/>
  <c r="K1932" i="10"/>
  <c r="L1932" i="10"/>
  <c r="K1933" i="10"/>
  <c r="L1933" i="10"/>
  <c r="K1934" i="10"/>
  <c r="L1934" i="10"/>
  <c r="K1935" i="10"/>
  <c r="L1935" i="10"/>
  <c r="K1936" i="10"/>
  <c r="L1936" i="10"/>
  <c r="K1937" i="10"/>
  <c r="L1937" i="10"/>
  <c r="K1938" i="10"/>
  <c r="L1938" i="10"/>
  <c r="K1939" i="10"/>
  <c r="L1939" i="10"/>
  <c r="K1940" i="10"/>
  <c r="L1940" i="10"/>
  <c r="K1941" i="10"/>
  <c r="L1941" i="10"/>
  <c r="K1943" i="10"/>
  <c r="L1943" i="10"/>
  <c r="K1944" i="10"/>
  <c r="L1944" i="10"/>
  <c r="K1945" i="10"/>
  <c r="L1945" i="10"/>
  <c r="K1946" i="10"/>
  <c r="L1946" i="10"/>
  <c r="K1947" i="10"/>
  <c r="L1947" i="10"/>
  <c r="K1948" i="10"/>
  <c r="L1948" i="10"/>
  <c r="K1949" i="10"/>
  <c r="L1949" i="10"/>
  <c r="K1950" i="10"/>
  <c r="L1950" i="10"/>
  <c r="K1951" i="10"/>
  <c r="L1951" i="10"/>
  <c r="K1952" i="10"/>
  <c r="L1952" i="10"/>
  <c r="K1953" i="10"/>
  <c r="L1953" i="10"/>
  <c r="K1954" i="10"/>
  <c r="L1954" i="10"/>
  <c r="K1955" i="10"/>
  <c r="L1955" i="10"/>
  <c r="K1956" i="10"/>
  <c r="L1956" i="10"/>
  <c r="K1957" i="10"/>
  <c r="L1957" i="10"/>
  <c r="K1958" i="10"/>
  <c r="L1958" i="10"/>
  <c r="L1960" i="10"/>
  <c r="N1960" i="10" s="1"/>
  <c r="I1960" i="10" s="1"/>
  <c r="I1959" i="10" s="1"/>
  <c r="K1961" i="10"/>
  <c r="L1961" i="10"/>
  <c r="K1962" i="10"/>
  <c r="L1962" i="10"/>
  <c r="K1963" i="10"/>
  <c r="L1963" i="10"/>
  <c r="K1964" i="10"/>
  <c r="L1964" i="10"/>
  <c r="K1965" i="10"/>
  <c r="L1965" i="10"/>
  <c r="K1966" i="10"/>
  <c r="L1966" i="10"/>
  <c r="L1969" i="10"/>
  <c r="N1969" i="10" s="1"/>
  <c r="I1969" i="10" s="1"/>
  <c r="K1970" i="10"/>
  <c r="L1970" i="10"/>
  <c r="K1971" i="10"/>
  <c r="L1971" i="10"/>
  <c r="K1972" i="10"/>
  <c r="L1972" i="10"/>
  <c r="L1975" i="10"/>
  <c r="N1975" i="10" s="1"/>
  <c r="I1975" i="10" s="1"/>
  <c r="K1976" i="10"/>
  <c r="L1976" i="10"/>
  <c r="K1977" i="10"/>
  <c r="L1977" i="10"/>
  <c r="K1978" i="10"/>
  <c r="L1978" i="10"/>
  <c r="K1979" i="10"/>
  <c r="L1979" i="10"/>
  <c r="L1981" i="10"/>
  <c r="N1981" i="10" s="1"/>
  <c r="I1981" i="10" s="1"/>
  <c r="I1980" i="10" s="1"/>
  <c r="K1982" i="10"/>
  <c r="L1982" i="10"/>
  <c r="K1983" i="10"/>
  <c r="L1983" i="10"/>
  <c r="K1984" i="10"/>
  <c r="L1984" i="10"/>
  <c r="K1985" i="10"/>
  <c r="L1985" i="10"/>
  <c r="K1986" i="10"/>
  <c r="L1986" i="10"/>
  <c r="K1987" i="10"/>
  <c r="L1987" i="10"/>
  <c r="K1988" i="10"/>
  <c r="L1988" i="10"/>
  <c r="K1989" i="10"/>
  <c r="L1989" i="10"/>
  <c r="L1992" i="10"/>
  <c r="K1993" i="10"/>
  <c r="L1993" i="10"/>
  <c r="K1994" i="10"/>
  <c r="L1994" i="10"/>
  <c r="K1995" i="10"/>
  <c r="L1995" i="10"/>
  <c r="K1996" i="10"/>
  <c r="L1996" i="10"/>
  <c r="K1997" i="10"/>
  <c r="L1997" i="10"/>
  <c r="K1998" i="10"/>
  <c r="L1998" i="10"/>
  <c r="K1999" i="10"/>
  <c r="L1999" i="10"/>
  <c r="K2000" i="10"/>
  <c r="L2000" i="10"/>
  <c r="K2001" i="10"/>
  <c r="L2001" i="10"/>
  <c r="K2002" i="10"/>
  <c r="L2002" i="10"/>
  <c r="K2003" i="10"/>
  <c r="L2003" i="10"/>
  <c r="K2004" i="10"/>
  <c r="L2004" i="10"/>
  <c r="K2005" i="10"/>
  <c r="L2005" i="10"/>
  <c r="K2006" i="10"/>
  <c r="L2006" i="10"/>
  <c r="K2007" i="10"/>
  <c r="L2007" i="10"/>
  <c r="K2008" i="10"/>
  <c r="L2008" i="10"/>
  <c r="K2009" i="10"/>
  <c r="L2009" i="10"/>
  <c r="K2010" i="10"/>
  <c r="L2010" i="10"/>
  <c r="K2011" i="10"/>
  <c r="L2011" i="10"/>
  <c r="K2014" i="10"/>
  <c r="L2014" i="10"/>
  <c r="K2015" i="10"/>
  <c r="L2015" i="10"/>
  <c r="K2016" i="10"/>
  <c r="L2016" i="10"/>
  <c r="K2017" i="10"/>
  <c r="L2017" i="10"/>
  <c r="K2018" i="10"/>
  <c r="L2018" i="10"/>
  <c r="K2019" i="10"/>
  <c r="L2019" i="10"/>
  <c r="K2021" i="10"/>
  <c r="L2021" i="10"/>
  <c r="K2022" i="10"/>
  <c r="L2022" i="10"/>
  <c r="K2023" i="10"/>
  <c r="L2023" i="10"/>
  <c r="K2024" i="10"/>
  <c r="L2024" i="10"/>
  <c r="K2025" i="10"/>
  <c r="L2025" i="10"/>
  <c r="K2026" i="10"/>
  <c r="L2026" i="10"/>
  <c r="K2027" i="10"/>
  <c r="L2027" i="10"/>
  <c r="K2029" i="10"/>
  <c r="L2029" i="10"/>
  <c r="K2030" i="10"/>
  <c r="L2030" i="10"/>
  <c r="K2031" i="10"/>
  <c r="L2031" i="10"/>
  <c r="K2032" i="10"/>
  <c r="L2032" i="10"/>
  <c r="K2033" i="10"/>
  <c r="L2033" i="10"/>
  <c r="K2034" i="10"/>
  <c r="L2034" i="10"/>
  <c r="K2035" i="10"/>
  <c r="L2035" i="10"/>
  <c r="K2037" i="10"/>
  <c r="L2037" i="10"/>
  <c r="K2038" i="10"/>
  <c r="L2038" i="10"/>
  <c r="K2039" i="10"/>
  <c r="L2039" i="10"/>
  <c r="K2040" i="10"/>
  <c r="L2040" i="10"/>
  <c r="K2041" i="10"/>
  <c r="L2041" i="10"/>
  <c r="K2042" i="10"/>
  <c r="L2042" i="10"/>
  <c r="K2043" i="10"/>
  <c r="L2043" i="10"/>
  <c r="L2046" i="10"/>
  <c r="N2046" i="10" s="1"/>
  <c r="I2046" i="10" s="1"/>
  <c r="L2047" i="10"/>
  <c r="N2047" i="10" s="1"/>
  <c r="I2047" i="10" s="1"/>
  <c r="K2048" i="10"/>
  <c r="L2048" i="10"/>
  <c r="K2049" i="10"/>
  <c r="L2049" i="10"/>
  <c r="K2050" i="10"/>
  <c r="L2050" i="10"/>
  <c r="K2051" i="10"/>
  <c r="L2051" i="10"/>
  <c r="K2052" i="10"/>
  <c r="L2052" i="10"/>
  <c r="K2053" i="10"/>
  <c r="L2053" i="10"/>
  <c r="L2055" i="10"/>
  <c r="L2056" i="10"/>
  <c r="N2056" i="10" s="1"/>
  <c r="I2056" i="10" s="1"/>
  <c r="K2057" i="10"/>
  <c r="L2057" i="10"/>
  <c r="K2058" i="10"/>
  <c r="L2058" i="10"/>
  <c r="K2059" i="10"/>
  <c r="L2059" i="10"/>
  <c r="K2060" i="10"/>
  <c r="L2060" i="10"/>
  <c r="K2061" i="10"/>
  <c r="L2061" i="10"/>
  <c r="K2062" i="10"/>
  <c r="L2062" i="10"/>
  <c r="K2063" i="10"/>
  <c r="L2063" i="10"/>
  <c r="L2065" i="10"/>
  <c r="N2065" i="10" s="1"/>
  <c r="I2065" i="10" s="1"/>
  <c r="L2066" i="10"/>
  <c r="N2066" i="10" s="1"/>
  <c r="I2066" i="10" s="1"/>
  <c r="K2067" i="10"/>
  <c r="L2067" i="10"/>
  <c r="K2068" i="10"/>
  <c r="L2068" i="10"/>
  <c r="K2069" i="10"/>
  <c r="L2069" i="10"/>
  <c r="K2070" i="10"/>
  <c r="L2070" i="10"/>
  <c r="K2071" i="10"/>
  <c r="L2071" i="10"/>
  <c r="K2072" i="10"/>
  <c r="L2072" i="10"/>
  <c r="K2073" i="10"/>
  <c r="L2073" i="10"/>
  <c r="K2074" i="10"/>
  <c r="L2074" i="10"/>
  <c r="L2080" i="10"/>
  <c r="N2080" i="10" s="1"/>
  <c r="I2080" i="10" s="1"/>
  <c r="K2082" i="10"/>
  <c r="L2082" i="10"/>
  <c r="K2083" i="10"/>
  <c r="L2083" i="10"/>
  <c r="K2084" i="10"/>
  <c r="L2084" i="10"/>
  <c r="K2085" i="10"/>
  <c r="L2085" i="10"/>
  <c r="K2086" i="10"/>
  <c r="L2086" i="10"/>
  <c r="K2087" i="10"/>
  <c r="L2087" i="10"/>
  <c r="K2088" i="10"/>
  <c r="L2088" i="10"/>
  <c r="K2089" i="10"/>
  <c r="L2089" i="10"/>
  <c r="K2090" i="10"/>
  <c r="L2090" i="10"/>
  <c r="K2091" i="10"/>
  <c r="L2091" i="10"/>
  <c r="K2092" i="10"/>
  <c r="L2092" i="10"/>
  <c r="K2093" i="10"/>
  <c r="L2093" i="10"/>
  <c r="K2094" i="10"/>
  <c r="L2094" i="10"/>
  <c r="K2095" i="10"/>
  <c r="L2095" i="10"/>
  <c r="K2096" i="10"/>
  <c r="L2096" i="10"/>
  <c r="K2097" i="10"/>
  <c r="L2097" i="10"/>
  <c r="K2098" i="10"/>
  <c r="L2098" i="10"/>
  <c r="K2099" i="10"/>
  <c r="L2099" i="10"/>
  <c r="K2100" i="10"/>
  <c r="L2100" i="10"/>
  <c r="K2101" i="10"/>
  <c r="L2101" i="10"/>
  <c r="K2102" i="10"/>
  <c r="L2102" i="10"/>
  <c r="K2103" i="10"/>
  <c r="L2103" i="10"/>
  <c r="K2104" i="10"/>
  <c r="L2104" i="10"/>
  <c r="K2105" i="10"/>
  <c r="L2105" i="10"/>
  <c r="K2106" i="10"/>
  <c r="L2106" i="10"/>
  <c r="K2107" i="10"/>
  <c r="L2107" i="10"/>
  <c r="K2108" i="10"/>
  <c r="L2108" i="10"/>
  <c r="K2109" i="10"/>
  <c r="L2109" i="10"/>
  <c r="K2110" i="10"/>
  <c r="L2110" i="10"/>
  <c r="K2111" i="10"/>
  <c r="L2111" i="10"/>
  <c r="K2112" i="10"/>
  <c r="L2112" i="10"/>
  <c r="K2113" i="10"/>
  <c r="L2113" i="10"/>
  <c r="K2114" i="10"/>
  <c r="L2114" i="10"/>
  <c r="K2115" i="10"/>
  <c r="L2115" i="10"/>
  <c r="K2116" i="10"/>
  <c r="L2116" i="10"/>
  <c r="K2117" i="10"/>
  <c r="L2117" i="10"/>
  <c r="K2118" i="10"/>
  <c r="L2118" i="10"/>
  <c r="K2119" i="10"/>
  <c r="L2119" i="10"/>
  <c r="K2120" i="10"/>
  <c r="L2120" i="10"/>
  <c r="K2121" i="10"/>
  <c r="L2121" i="10"/>
  <c r="K2122" i="10"/>
  <c r="L2122" i="10"/>
  <c r="K2123" i="10"/>
  <c r="L2123" i="10"/>
  <c r="K2124" i="10"/>
  <c r="L2124" i="10"/>
  <c r="K2125" i="10"/>
  <c r="L2125" i="10"/>
  <c r="K2126" i="10"/>
  <c r="L2126" i="10"/>
  <c r="K2127" i="10"/>
  <c r="L2127" i="10"/>
  <c r="K2128" i="10"/>
  <c r="L2128" i="10"/>
  <c r="K2129" i="10"/>
  <c r="L2129" i="10"/>
  <c r="K2131" i="10"/>
  <c r="L2131" i="10"/>
  <c r="K2132" i="10"/>
  <c r="L2132" i="10"/>
  <c r="K2133" i="10"/>
  <c r="L2133" i="10"/>
  <c r="K2134" i="10"/>
  <c r="L2134" i="10"/>
  <c r="K2135" i="10"/>
  <c r="L2135" i="10"/>
  <c r="K2136" i="10"/>
  <c r="L2136" i="10"/>
  <c r="K2138" i="10"/>
  <c r="L2138" i="10"/>
  <c r="K2139" i="10"/>
  <c r="L2139" i="10"/>
  <c r="K2140" i="10"/>
  <c r="L2140" i="10"/>
  <c r="K2141" i="10"/>
  <c r="L2141" i="10"/>
  <c r="K2142" i="10"/>
  <c r="L2142" i="10"/>
  <c r="K2143" i="10"/>
  <c r="L2143" i="10"/>
  <c r="K2144" i="10"/>
  <c r="L2144" i="10"/>
  <c r="L2147" i="10"/>
  <c r="N2147" i="10" s="1"/>
  <c r="I2147" i="10" s="1"/>
  <c r="K2148" i="10"/>
  <c r="L2148" i="10"/>
  <c r="K2149" i="10"/>
  <c r="L2149" i="10"/>
  <c r="K2150" i="10"/>
  <c r="L2150" i="10"/>
  <c r="K2151" i="10"/>
  <c r="L2151" i="10"/>
  <c r="K2152" i="10"/>
  <c r="L2152" i="10"/>
  <c r="K2153" i="10"/>
  <c r="L2153" i="10"/>
  <c r="K2154" i="10"/>
  <c r="L2154" i="10"/>
  <c r="K2155" i="10"/>
  <c r="L2155" i="10"/>
  <c r="K2156" i="10"/>
  <c r="L2156" i="10"/>
  <c r="K2157" i="10"/>
  <c r="L2157" i="10"/>
  <c r="K2158" i="10"/>
  <c r="L2158" i="10"/>
  <c r="L2161" i="10"/>
  <c r="N2161" i="10" s="1"/>
  <c r="I2161" i="10" s="1"/>
  <c r="K2162" i="10"/>
  <c r="L2162" i="10"/>
  <c r="K2163" i="10"/>
  <c r="L2163" i="10"/>
  <c r="K2164" i="10"/>
  <c r="L2164" i="10"/>
  <c r="K2165" i="10"/>
  <c r="L2165" i="10"/>
  <c r="K2166" i="10"/>
  <c r="L2166" i="10"/>
  <c r="K2167" i="10"/>
  <c r="L2167" i="10"/>
  <c r="K2168" i="10"/>
  <c r="L2168" i="10"/>
  <c r="K2169" i="10"/>
  <c r="L2169" i="10"/>
  <c r="K2170" i="10"/>
  <c r="L2170" i="10"/>
  <c r="K2171" i="10"/>
  <c r="L2171" i="10"/>
  <c r="K2172" i="10"/>
  <c r="L2172" i="10"/>
  <c r="K2173" i="10"/>
  <c r="L2173" i="10"/>
  <c r="K2174" i="10"/>
  <c r="L2174" i="10"/>
  <c r="K2175" i="10"/>
  <c r="L2175" i="10"/>
  <c r="L2178" i="10"/>
  <c r="N2178" i="10" s="1"/>
  <c r="I2178" i="10" s="1"/>
  <c r="K2179" i="10"/>
  <c r="L2179" i="10"/>
  <c r="K2180" i="10"/>
  <c r="L2180" i="10"/>
  <c r="K2181" i="10"/>
  <c r="L2181" i="10"/>
  <c r="K2182" i="10"/>
  <c r="L2182" i="10"/>
  <c r="K2183" i="10"/>
  <c r="L2183" i="10"/>
  <c r="K2184" i="10"/>
  <c r="L2184" i="10"/>
  <c r="K2185" i="10"/>
  <c r="L2185" i="10"/>
  <c r="K2186" i="10"/>
  <c r="L2186" i="10"/>
  <c r="K2187" i="10"/>
  <c r="L2187" i="10"/>
  <c r="K2188" i="10"/>
  <c r="L2188" i="10"/>
  <c r="K2189" i="10"/>
  <c r="L2189" i="10"/>
  <c r="K2190" i="10"/>
  <c r="L2190" i="10"/>
  <c r="K2191" i="10"/>
  <c r="L2191" i="10"/>
  <c r="K2192" i="10"/>
  <c r="L2192" i="10"/>
  <c r="K2193" i="10"/>
  <c r="L2193" i="10"/>
  <c r="K2194" i="10"/>
  <c r="L2194" i="10"/>
  <c r="K2195" i="10"/>
  <c r="L2195" i="10"/>
  <c r="K2196" i="10"/>
  <c r="L2196" i="10"/>
  <c r="K2197" i="10"/>
  <c r="L2197" i="10"/>
  <c r="K2198" i="10"/>
  <c r="L2198" i="10"/>
  <c r="K2199" i="10"/>
  <c r="L2199" i="10"/>
  <c r="L2202" i="10"/>
  <c r="N2202" i="10" s="1"/>
  <c r="I2202" i="10" s="1"/>
  <c r="K2203" i="10"/>
  <c r="L2203" i="10"/>
  <c r="K2204" i="10"/>
  <c r="L2204" i="10"/>
  <c r="K2205" i="10"/>
  <c r="L2205" i="10"/>
  <c r="K2206" i="10"/>
  <c r="L2206" i="10"/>
  <c r="K2207" i="10"/>
  <c r="L2207" i="10"/>
  <c r="K2208" i="10"/>
  <c r="L2208" i="10"/>
  <c r="K2209" i="10"/>
  <c r="L2209" i="10"/>
  <c r="K2210" i="10"/>
  <c r="L2210" i="10"/>
  <c r="K2211" i="10"/>
  <c r="L2211" i="10"/>
  <c r="K2212" i="10"/>
  <c r="L2212" i="10"/>
  <c r="K2213" i="10"/>
  <c r="L2213" i="10"/>
  <c r="K2215" i="10"/>
  <c r="L2215" i="10"/>
  <c r="K2216" i="10"/>
  <c r="L2216" i="10"/>
  <c r="K2217" i="10"/>
  <c r="L2217" i="10"/>
  <c r="K2218" i="10"/>
  <c r="L2218" i="10"/>
  <c r="K2219" i="10"/>
  <c r="L2219" i="10"/>
  <c r="K2220" i="10"/>
  <c r="L2220" i="10"/>
  <c r="K2221" i="10"/>
  <c r="L2221" i="10"/>
  <c r="K2222" i="10"/>
  <c r="L2222" i="10"/>
  <c r="K2223" i="10"/>
  <c r="L2223" i="10"/>
  <c r="L2225" i="10"/>
  <c r="L2226" i="10"/>
  <c r="N2226" i="10" s="1"/>
  <c r="I2226" i="10" s="1"/>
  <c r="K2227" i="10"/>
  <c r="L2227" i="10"/>
  <c r="K2228" i="10"/>
  <c r="L2228" i="10"/>
  <c r="K2229" i="10"/>
  <c r="L2229" i="10"/>
  <c r="K2230" i="10"/>
  <c r="L2230" i="10"/>
  <c r="K2231" i="10"/>
  <c r="L2231" i="10"/>
  <c r="K2232" i="10"/>
  <c r="L2232" i="10"/>
  <c r="K2233" i="10"/>
  <c r="L2233" i="10"/>
  <c r="K2234" i="10"/>
  <c r="L2234" i="10"/>
  <c r="K2235" i="10"/>
  <c r="L2235" i="10"/>
  <c r="K2236" i="10"/>
  <c r="L2236" i="10"/>
  <c r="K2237" i="10"/>
  <c r="L2237" i="10"/>
  <c r="K2238" i="10"/>
  <c r="L2238" i="10"/>
  <c r="K2239" i="10"/>
  <c r="L2239" i="10"/>
  <c r="K2242" i="10"/>
  <c r="L2242" i="10"/>
  <c r="K2243" i="10"/>
  <c r="L2243" i="10"/>
  <c r="K2244" i="10"/>
  <c r="L2244" i="10"/>
  <c r="K2245" i="10"/>
  <c r="L2245" i="10"/>
  <c r="K2246" i="10"/>
  <c r="L2246" i="10"/>
  <c r="K2247" i="10"/>
  <c r="L2247" i="10"/>
  <c r="K2248" i="10"/>
  <c r="L2248" i="10"/>
  <c r="K2249" i="10"/>
  <c r="L2249" i="10"/>
  <c r="K2252" i="10"/>
  <c r="L2252" i="10"/>
  <c r="K2253" i="10"/>
  <c r="L2253" i="10"/>
  <c r="K2254" i="10"/>
  <c r="L2254" i="10"/>
  <c r="K2255" i="10"/>
  <c r="L2255" i="10"/>
  <c r="K2256" i="10"/>
  <c r="L2256" i="10"/>
  <c r="K2257" i="10"/>
  <c r="L2257" i="10"/>
  <c r="K2258" i="10"/>
  <c r="L2258" i="10"/>
  <c r="K2259" i="10"/>
  <c r="L2259" i="10"/>
  <c r="K2262" i="10"/>
  <c r="L2262" i="10"/>
  <c r="K2263" i="10"/>
  <c r="L2263" i="10"/>
  <c r="K2264" i="10"/>
  <c r="L2264" i="10"/>
  <c r="K2265" i="10"/>
  <c r="L2265" i="10"/>
  <c r="K2266" i="10"/>
  <c r="L2266" i="10"/>
  <c r="K2267" i="10"/>
  <c r="L2267" i="10"/>
  <c r="K2268" i="10"/>
  <c r="L2268" i="10"/>
  <c r="K2269" i="10"/>
  <c r="L2269" i="10"/>
  <c r="K2272" i="10"/>
  <c r="L2272" i="10"/>
  <c r="K2273" i="10"/>
  <c r="L2273" i="10"/>
  <c r="K2274" i="10"/>
  <c r="L2274" i="10"/>
  <c r="K2275" i="10"/>
  <c r="L2275" i="10"/>
  <c r="K2276" i="10"/>
  <c r="L2276" i="10"/>
  <c r="K2277" i="10"/>
  <c r="L2277" i="10"/>
  <c r="K2278" i="10"/>
  <c r="L2278" i="10"/>
  <c r="K2279" i="10"/>
  <c r="L2279" i="10"/>
  <c r="L2282" i="10"/>
  <c r="N2282" i="10" s="1"/>
  <c r="I2282" i="10" s="1"/>
  <c r="K2283" i="10"/>
  <c r="L2283" i="10"/>
  <c r="K2284" i="10"/>
  <c r="L2284" i="10"/>
  <c r="K2285" i="10"/>
  <c r="L2285" i="10"/>
  <c r="K2286" i="10"/>
  <c r="L2286" i="10"/>
  <c r="K2287" i="10"/>
  <c r="L2287" i="10"/>
  <c r="K2288" i="10"/>
  <c r="L2288" i="10"/>
  <c r="K2289" i="10"/>
  <c r="L2289" i="10"/>
  <c r="L2291" i="10"/>
  <c r="N2291" i="10" s="1"/>
  <c r="I2291" i="10" s="1"/>
  <c r="I2290" i="10" s="1"/>
  <c r="K2292" i="10"/>
  <c r="L2292" i="10"/>
  <c r="K2293" i="10"/>
  <c r="L2293" i="10"/>
  <c r="K2294" i="10"/>
  <c r="L2294" i="10"/>
  <c r="K2295" i="10"/>
  <c r="L2295" i="10"/>
  <c r="K2296" i="10"/>
  <c r="L2296" i="10"/>
  <c r="K2297" i="10"/>
  <c r="L2297" i="10"/>
  <c r="K2298" i="10"/>
  <c r="L2298" i="10"/>
  <c r="K2299" i="10"/>
  <c r="L2299" i="10"/>
  <c r="K2300" i="10"/>
  <c r="L2300" i="10"/>
  <c r="K2301" i="10"/>
  <c r="L2301" i="10"/>
  <c r="K2304" i="10"/>
  <c r="L2304" i="10"/>
  <c r="K2305" i="10"/>
  <c r="L2305" i="10"/>
  <c r="K2306" i="10"/>
  <c r="L2306" i="10"/>
  <c r="K2307" i="10"/>
  <c r="L2307" i="10"/>
  <c r="K2308" i="10"/>
  <c r="L2308" i="10"/>
  <c r="K2309" i="10"/>
  <c r="L2309" i="10"/>
  <c r="K2310" i="10"/>
  <c r="L2310" i="10"/>
  <c r="K2311" i="10"/>
  <c r="L2311" i="10"/>
  <c r="K2314" i="10"/>
  <c r="L2314" i="10"/>
  <c r="K2315" i="10"/>
  <c r="L2315" i="10"/>
  <c r="K2316" i="10"/>
  <c r="L2316" i="10"/>
  <c r="K2317" i="10"/>
  <c r="L2317" i="10"/>
  <c r="K2318" i="10"/>
  <c r="L2318" i="10"/>
  <c r="K2319" i="10"/>
  <c r="L2319" i="10"/>
  <c r="K2320" i="10"/>
  <c r="L2320" i="10"/>
  <c r="K2321" i="10"/>
  <c r="L2321" i="10"/>
  <c r="K2324" i="10"/>
  <c r="L2324" i="10"/>
  <c r="K2325" i="10"/>
  <c r="L2325" i="10"/>
  <c r="K2326" i="10"/>
  <c r="L2326" i="10"/>
  <c r="K2327" i="10"/>
  <c r="L2327" i="10"/>
  <c r="K2328" i="10"/>
  <c r="L2328" i="10"/>
  <c r="K2329" i="10"/>
  <c r="L2329" i="10"/>
  <c r="K2330" i="10"/>
  <c r="L2330" i="10"/>
  <c r="K2333" i="10"/>
  <c r="L2333" i="10"/>
  <c r="K2334" i="10"/>
  <c r="L2334" i="10"/>
  <c r="K2335" i="10"/>
  <c r="L2335" i="10"/>
  <c r="K2336" i="10"/>
  <c r="L2336" i="10"/>
  <c r="K2337" i="10"/>
  <c r="L2337" i="10"/>
  <c r="K2338" i="10"/>
  <c r="L2338" i="10"/>
  <c r="K2341" i="10"/>
  <c r="L2341" i="10"/>
  <c r="K2342" i="10"/>
  <c r="L2342" i="10"/>
  <c r="K2343" i="10"/>
  <c r="L2343" i="10"/>
  <c r="K2344" i="10"/>
  <c r="L2344" i="10"/>
  <c r="L2346" i="10"/>
  <c r="L2347" i="10"/>
  <c r="N2347" i="10" s="1"/>
  <c r="I2347" i="10" s="1"/>
  <c r="K2349" i="10"/>
  <c r="L2349" i="10"/>
  <c r="K2350" i="10"/>
  <c r="L2350" i="10"/>
  <c r="K2351" i="10"/>
  <c r="L2351" i="10"/>
  <c r="K2352" i="10"/>
  <c r="L2352" i="10"/>
  <c r="K2353" i="10"/>
  <c r="L2353" i="10"/>
  <c r="K2354" i="10"/>
  <c r="L2354" i="10"/>
  <c r="K2357" i="10"/>
  <c r="L2357" i="10"/>
  <c r="K2358" i="10"/>
  <c r="L2358" i="10"/>
  <c r="K2359" i="10"/>
  <c r="L2359" i="10"/>
  <c r="K2360" i="10"/>
  <c r="L2360" i="10"/>
  <c r="K2361" i="10"/>
  <c r="L2361" i="10"/>
  <c r="L2364" i="10"/>
  <c r="N2364" i="10" s="1"/>
  <c r="I2364" i="10" s="1"/>
  <c r="K2365" i="10"/>
  <c r="L2365" i="10"/>
  <c r="K2366" i="10"/>
  <c r="L2366" i="10"/>
  <c r="K2367" i="10"/>
  <c r="L2367" i="10"/>
  <c r="K2368" i="10"/>
  <c r="L2368" i="10"/>
  <c r="L2370" i="10"/>
  <c r="N2370" i="10" s="1"/>
  <c r="I2370" i="10" s="1"/>
  <c r="K2371" i="10"/>
  <c r="L2371" i="10"/>
  <c r="K2372" i="10"/>
  <c r="L2372" i="10"/>
  <c r="K2373" i="10"/>
  <c r="L2373" i="10"/>
  <c r="K2374" i="10"/>
  <c r="L2374" i="10"/>
  <c r="K2377" i="10"/>
  <c r="L2377" i="10"/>
  <c r="K2378" i="10"/>
  <c r="L2378" i="10"/>
  <c r="K2379" i="10"/>
  <c r="L2379" i="10"/>
  <c r="K2380" i="10"/>
  <c r="L2380" i="10"/>
  <c r="L2382" i="10"/>
  <c r="N2382" i="10" s="1"/>
  <c r="I2382" i="10" s="1"/>
  <c r="K2383" i="10"/>
  <c r="L2383" i="10"/>
  <c r="K2384" i="10"/>
  <c r="L2384" i="10"/>
  <c r="K2385" i="10"/>
  <c r="L2385" i="10"/>
  <c r="K2386" i="10"/>
  <c r="L2386" i="10"/>
  <c r="L2388" i="10"/>
  <c r="N2388" i="10" s="1"/>
  <c r="I2388" i="10" s="1"/>
  <c r="K2389" i="10"/>
  <c r="L2389" i="10"/>
  <c r="K2390" i="10"/>
  <c r="L2390" i="10"/>
  <c r="K2391" i="10"/>
  <c r="L2391" i="10"/>
  <c r="K2392" i="10"/>
  <c r="L2392" i="10"/>
  <c r="L2394" i="10"/>
  <c r="N2394" i="10" s="1"/>
  <c r="I2394" i="10" s="1"/>
  <c r="K2395" i="10"/>
  <c r="L2395" i="10"/>
  <c r="K2396" i="10"/>
  <c r="L2396" i="10"/>
  <c r="K2397" i="10"/>
  <c r="L2397" i="10"/>
  <c r="K2398" i="10"/>
  <c r="L2398" i="10"/>
  <c r="L2400" i="10"/>
  <c r="N2400" i="10" s="1"/>
  <c r="I2400" i="10" s="1"/>
  <c r="I2399" i="10" s="1"/>
  <c r="K2401" i="10"/>
  <c r="L2401" i="10"/>
  <c r="K2402" i="10"/>
  <c r="L2402" i="10"/>
  <c r="K2403" i="10"/>
  <c r="L2403" i="10"/>
  <c r="K2404" i="10"/>
  <c r="L2404" i="10"/>
  <c r="K2405" i="10"/>
  <c r="L2405" i="10"/>
  <c r="K2406" i="10"/>
  <c r="L2406" i="10"/>
  <c r="K2407" i="10"/>
  <c r="L2407" i="10"/>
  <c r="K2408" i="10"/>
  <c r="L2408" i="10"/>
  <c r="K2409" i="10"/>
  <c r="L2409" i="10"/>
  <c r="K2410" i="10"/>
  <c r="L2410" i="10"/>
  <c r="K2411" i="10"/>
  <c r="L2411" i="10"/>
  <c r="K2412" i="10"/>
  <c r="L2412" i="10"/>
  <c r="K2413" i="10"/>
  <c r="L2413" i="10"/>
  <c r="K2416" i="10"/>
  <c r="L2416" i="10"/>
  <c r="K2417" i="10"/>
  <c r="L2417" i="10"/>
  <c r="K2418" i="10"/>
  <c r="L2418" i="10"/>
  <c r="K2419" i="10"/>
  <c r="L2419" i="10"/>
  <c r="K2420" i="10"/>
  <c r="L2420" i="10"/>
  <c r="L2422" i="10"/>
  <c r="L2423" i="10"/>
  <c r="N2423" i="10" s="1"/>
  <c r="I2423" i="10" s="1"/>
  <c r="K2424" i="10"/>
  <c r="L2424" i="10"/>
  <c r="K2425" i="10"/>
  <c r="L2425" i="10"/>
  <c r="K2426" i="10"/>
  <c r="L2426" i="10"/>
  <c r="L9" i="10"/>
  <c r="H4" i="41"/>
  <c r="H6" i="41"/>
  <c r="H7" i="41"/>
  <c r="H8" i="41"/>
  <c r="H11" i="41"/>
  <c r="H14" i="41"/>
  <c r="H15" i="41"/>
  <c r="H17" i="41"/>
  <c r="H18" i="41"/>
  <c r="H20" i="41"/>
  <c r="H21" i="41"/>
  <c r="G22" i="41"/>
  <c r="H22" i="41"/>
  <c r="H23" i="41"/>
  <c r="H28" i="41"/>
  <c r="H34" i="41"/>
  <c r="H36" i="41"/>
  <c r="H37" i="41"/>
  <c r="H38" i="41"/>
  <c r="H41" i="41"/>
  <c r="H43" i="41"/>
  <c r="H45" i="41"/>
  <c r="H47" i="41"/>
  <c r="H52" i="41"/>
  <c r="H55" i="41"/>
  <c r="H58" i="41"/>
  <c r="H61" i="41"/>
  <c r="H62" i="41"/>
  <c r="H63" i="41"/>
  <c r="H64" i="41"/>
  <c r="H66" i="41"/>
  <c r="H67" i="41"/>
  <c r="H68" i="41"/>
  <c r="H72" i="41"/>
  <c r="H73" i="41"/>
  <c r="H76" i="41"/>
  <c r="H78" i="41"/>
  <c r="H79" i="41"/>
  <c r="H82" i="41"/>
  <c r="H90" i="41"/>
  <c r="H92" i="41"/>
  <c r="H95" i="41"/>
  <c r="H96" i="41"/>
  <c r="H98" i="41"/>
  <c r="H100" i="41"/>
  <c r="H103" i="41"/>
  <c r="H104" i="41"/>
  <c r="H108" i="41"/>
  <c r="H112" i="41"/>
  <c r="H114" i="41"/>
  <c r="H115" i="41"/>
  <c r="H120" i="41"/>
  <c r="H123" i="41"/>
  <c r="H127" i="41"/>
  <c r="H128" i="41"/>
  <c r="H131" i="41"/>
  <c r="H132" i="41"/>
  <c r="H134" i="41"/>
  <c r="H136" i="41"/>
  <c r="H138" i="41"/>
  <c r="G140" i="41"/>
  <c r="H140" i="41"/>
  <c r="G141" i="41"/>
  <c r="H141" i="41"/>
  <c r="G142" i="41"/>
  <c r="H142" i="41"/>
  <c r="G143" i="41"/>
  <c r="H143" i="41"/>
  <c r="H3" i="41"/>
  <c r="F139" i="41"/>
  <c r="H139" i="41" s="1"/>
  <c r="F137" i="41"/>
  <c r="F129" i="41"/>
  <c r="F125" i="41"/>
  <c r="L1429" i="10" s="1"/>
  <c r="F116" i="41"/>
  <c r="H116" i="41" s="1"/>
  <c r="F113" i="41"/>
  <c r="H113" i="41" s="1"/>
  <c r="F111" i="41"/>
  <c r="F110" i="41"/>
  <c r="H110" i="41" s="1"/>
  <c r="F101" i="41"/>
  <c r="F99" i="41"/>
  <c r="F97" i="41"/>
  <c r="L871" i="10" s="1"/>
  <c r="F94" i="41"/>
  <c r="F91" i="41"/>
  <c r="F89" i="41"/>
  <c r="F87" i="41"/>
  <c r="H87" i="41" s="1"/>
  <c r="F86" i="41"/>
  <c r="H86" i="41" s="1"/>
  <c r="F83" i="41"/>
  <c r="F71" i="41"/>
  <c r="H71" i="41" s="1"/>
  <c r="F70" i="41"/>
  <c r="L2078" i="10" s="1"/>
  <c r="N2078" i="10" s="1"/>
  <c r="I2078" i="10" s="1"/>
  <c r="F69" i="41"/>
  <c r="H69" i="41" s="1"/>
  <c r="F65" i="41"/>
  <c r="H65" i="41" s="1"/>
  <c r="F59" i="41"/>
  <c r="F56" i="41"/>
  <c r="H56" i="41" s="1"/>
  <c r="F54" i="41"/>
  <c r="L2177" i="10" s="1"/>
  <c r="F46" i="41"/>
  <c r="F33" i="41"/>
  <c r="F31" i="41"/>
  <c r="H26" i="41"/>
  <c r="H24" i="41"/>
  <c r="L1382" i="10"/>
  <c r="L143" i="10"/>
  <c r="N143" i="10" s="1"/>
  <c r="I143" i="10" s="1"/>
  <c r="H109" i="41"/>
  <c r="L1069" i="10"/>
  <c r="N1069" i="10" s="1"/>
  <c r="I1069" i="10" s="1"/>
  <c r="I1068" i="10" s="1"/>
  <c r="H81" i="41"/>
  <c r="L1043" i="10"/>
  <c r="N1043" i="10" s="1"/>
  <c r="I1043" i="10" s="1"/>
  <c r="H51" i="41"/>
  <c r="H50" i="41"/>
  <c r="L1355" i="10"/>
  <c r="N1355" i="10" s="1"/>
  <c r="I1355" i="10" s="1"/>
  <c r="H44" i="41"/>
  <c r="H42" i="41"/>
  <c r="L1177" i="10"/>
  <c r="N1177" i="10" s="1"/>
  <c r="I1177" i="10" s="1"/>
  <c r="I1176" i="10" s="1"/>
  <c r="H25" i="41"/>
  <c r="G26" i="41"/>
  <c r="E76" i="41"/>
  <c r="E73" i="41"/>
  <c r="E72" i="41"/>
  <c r="K698" i="10" s="1"/>
  <c r="M698" i="10" s="1"/>
  <c r="E71" i="41"/>
  <c r="G71" i="41" s="1"/>
  <c r="E70" i="41"/>
  <c r="G70" i="41" s="1"/>
  <c r="E69" i="41"/>
  <c r="G69" i="41" s="1"/>
  <c r="E68" i="41"/>
  <c r="G68" i="41" s="1"/>
  <c r="E65" i="41"/>
  <c r="G65" i="41" s="1"/>
  <c r="E64" i="41"/>
  <c r="K1869" i="10" s="1"/>
  <c r="M1869" i="10" s="1"/>
  <c r="E63" i="41"/>
  <c r="G63" i="41" s="1"/>
  <c r="E62" i="41"/>
  <c r="E61" i="41"/>
  <c r="G61" i="41" s="1"/>
  <c r="E60" i="41"/>
  <c r="E59" i="41"/>
  <c r="E58" i="41"/>
  <c r="E56" i="41"/>
  <c r="G56" i="41" s="1"/>
  <c r="E55" i="41"/>
  <c r="G55" i="41" s="1"/>
  <c r="E54" i="41"/>
  <c r="K2271" i="10" s="1"/>
  <c r="M2271" i="10" s="1"/>
  <c r="K2065" i="10"/>
  <c r="M2065" i="10" s="1"/>
  <c r="E47" i="41"/>
  <c r="G47" i="41" s="1"/>
  <c r="E46" i="41"/>
  <c r="K2076" i="10" s="1"/>
  <c r="E37" i="41"/>
  <c r="G37" i="41" s="1"/>
  <c r="E34" i="41"/>
  <c r="G34" i="41" s="1"/>
  <c r="E33" i="41"/>
  <c r="E32" i="41"/>
  <c r="E31" i="41"/>
  <c r="G31" i="41" s="1"/>
  <c r="E30" i="41"/>
  <c r="E29" i="41"/>
  <c r="E28" i="41"/>
  <c r="G67" i="41"/>
  <c r="G66" i="41"/>
  <c r="G52" i="41"/>
  <c r="G51" i="41"/>
  <c r="G50" i="41"/>
  <c r="G45" i="41"/>
  <c r="G44" i="41"/>
  <c r="G42" i="41"/>
  <c r="K1114" i="10"/>
  <c r="M1114" i="10" s="1"/>
  <c r="K1197" i="10"/>
  <c r="G38" i="41"/>
  <c r="G36" i="41"/>
  <c r="G25" i="41"/>
  <c r="G24" i="41"/>
  <c r="G23" i="41"/>
  <c r="E139" i="41"/>
  <c r="E138" i="41"/>
  <c r="E137" i="41"/>
  <c r="E136" i="41"/>
  <c r="E134" i="41"/>
  <c r="E132" i="41"/>
  <c r="E130" i="41"/>
  <c r="E129" i="41"/>
  <c r="G129" i="41" s="1"/>
  <c r="E128" i="41"/>
  <c r="E127" i="41"/>
  <c r="E126" i="41"/>
  <c r="K1434" i="10" s="1"/>
  <c r="M1434" i="10" s="1"/>
  <c r="E125" i="41"/>
  <c r="E124" i="41"/>
  <c r="E116" i="41"/>
  <c r="G116" i="41" s="1"/>
  <c r="E113" i="41"/>
  <c r="G113" i="41" s="1"/>
  <c r="E112" i="41"/>
  <c r="G112" i="41" s="1"/>
  <c r="E111" i="41"/>
  <c r="E110" i="41"/>
  <c r="G110" i="41" s="1"/>
  <c r="E104" i="41"/>
  <c r="G104" i="41" s="1"/>
  <c r="E103" i="41"/>
  <c r="G103" i="41" s="1"/>
  <c r="E102" i="41"/>
  <c r="E101" i="41"/>
  <c r="E100" i="41"/>
  <c r="G100" i="41" s="1"/>
  <c r="E99" i="41"/>
  <c r="E98" i="41"/>
  <c r="E97" i="41"/>
  <c r="E96" i="41"/>
  <c r="E95" i="41"/>
  <c r="E94" i="41"/>
  <c r="K662" i="10" s="1"/>
  <c r="E93" i="41"/>
  <c r="E92" i="41"/>
  <c r="E91" i="41"/>
  <c r="E90" i="41"/>
  <c r="E89" i="41"/>
  <c r="E88" i="41"/>
  <c r="E87" i="41"/>
  <c r="K2348" i="10" s="1"/>
  <c r="M2348" i="10" s="1"/>
  <c r="E86" i="41"/>
  <c r="G86" i="41" s="1"/>
  <c r="E85" i="41"/>
  <c r="K2346" i="10" s="1"/>
  <c r="E84" i="41"/>
  <c r="E79" i="41"/>
  <c r="K1380" i="10"/>
  <c r="M1380" i="10" s="1"/>
  <c r="K2241" i="10"/>
  <c r="M2241" i="10" s="1"/>
  <c r="K105" i="10"/>
  <c r="M105" i="10" s="1"/>
  <c r="G115" i="41"/>
  <c r="G114" i="41"/>
  <c r="K1162" i="10"/>
  <c r="M1162" i="10" s="1"/>
  <c r="G82" i="41"/>
  <c r="G81" i="41"/>
  <c r="C18" i="41"/>
  <c r="E18" i="41" s="1"/>
  <c r="C19" i="41"/>
  <c r="E19" i="41" s="1"/>
  <c r="K310" i="10" s="1"/>
  <c r="H311" i="10"/>
  <c r="C12" i="41"/>
  <c r="E12" i="41" s="1"/>
  <c r="K280" i="10" s="1"/>
  <c r="H278" i="10"/>
  <c r="C21" i="41"/>
  <c r="E21" i="41" s="1"/>
  <c r="C20" i="41"/>
  <c r="E20" i="41" s="1"/>
  <c r="C17" i="41"/>
  <c r="E17" i="41" s="1"/>
  <c r="E13" i="41"/>
  <c r="C14" i="41"/>
  <c r="E14" i="41" s="1"/>
  <c r="E8" i="41"/>
  <c r="G8" i="41" s="1"/>
  <c r="E7" i="41"/>
  <c r="G7" i="41" s="1"/>
  <c r="E4" i="41"/>
  <c r="G4" i="41" s="1"/>
  <c r="H2076" i="10"/>
  <c r="H1374" i="10"/>
  <c r="H1365" i="10"/>
  <c r="H16" i="41" s="1"/>
  <c r="H769" i="10"/>
  <c r="H768" i="10"/>
  <c r="H2422" i="10"/>
  <c r="H2346" i="10"/>
  <c r="H970" i="10"/>
  <c r="H969" i="10" s="1"/>
  <c r="H1609" i="10"/>
  <c r="H1608" i="10" s="1"/>
  <c r="G25" i="33"/>
  <c r="H159" i="10"/>
  <c r="M2424" i="10"/>
  <c r="N2424" i="10"/>
  <c r="M2425" i="10"/>
  <c r="N2425" i="10"/>
  <c r="M2426" i="10"/>
  <c r="N2426" i="10"/>
  <c r="N1677" i="10" l="1"/>
  <c r="I1677" i="10" s="1"/>
  <c r="I1354" i="10"/>
  <c r="I1597" i="10"/>
  <c r="I1880" i="10"/>
  <c r="I1866" i="10"/>
  <c r="I1077" i="10"/>
  <c r="I2393" i="10"/>
  <c r="I2387" i="10" s="1"/>
  <c r="I2381" i="10" s="1"/>
  <c r="I49" i="10"/>
  <c r="I2064" i="10"/>
  <c r="I1874" i="10"/>
  <c r="I585" i="10"/>
  <c r="I539" i="10"/>
  <c r="E16" i="41"/>
  <c r="K2226" i="10" s="1"/>
  <c r="M2226" i="10" s="1"/>
  <c r="H157" i="10"/>
  <c r="H2345" i="10"/>
  <c r="H85" i="41"/>
  <c r="H767" i="10"/>
  <c r="H30" i="41"/>
  <c r="H2075" i="10"/>
  <c r="G46" i="41"/>
  <c r="H2421" i="10"/>
  <c r="H2044" i="10"/>
  <c r="G35" i="41"/>
  <c r="K1521" i="10"/>
  <c r="K1550" i="10"/>
  <c r="M1550" i="10" s="1"/>
  <c r="M1549" i="10" s="1"/>
  <c r="H308" i="10"/>
  <c r="G3" i="41"/>
  <c r="K489" i="10"/>
  <c r="M489" i="10" s="1"/>
  <c r="M488" i="10" s="1"/>
  <c r="N945" i="10"/>
  <c r="N496" i="10"/>
  <c r="N165" i="10"/>
  <c r="N1068" i="10"/>
  <c r="N1528" i="10"/>
  <c r="N1266" i="10"/>
  <c r="N787" i="10"/>
  <c r="N2399" i="10"/>
  <c r="N1874" i="10"/>
  <c r="M2130" i="10"/>
  <c r="N15" i="10"/>
  <c r="N92" i="10"/>
  <c r="M1161" i="10"/>
  <c r="N2393" i="10"/>
  <c r="M787" i="10"/>
  <c r="N1186" i="10"/>
  <c r="N488" i="10"/>
  <c r="N172" i="10"/>
  <c r="M2137" i="10"/>
  <c r="M2020" i="10"/>
  <c r="N1757" i="10"/>
  <c r="N2381" i="10"/>
  <c r="N1880" i="10"/>
  <c r="N860" i="10"/>
  <c r="N58" i="10"/>
  <c r="N1354" i="10"/>
  <c r="N1980" i="10"/>
  <c r="N1805" i="10"/>
  <c r="N1206" i="10"/>
  <c r="N85" i="10"/>
  <c r="N1839" i="10"/>
  <c r="N2387" i="10"/>
  <c r="N1831" i="10"/>
  <c r="N1176" i="10"/>
  <c r="N1335" i="10"/>
  <c r="N1168" i="10"/>
  <c r="N2369" i="10"/>
  <c r="N2290" i="10"/>
  <c r="N98" i="10"/>
  <c r="N1959" i="10"/>
  <c r="N1514" i="10"/>
  <c r="N220" i="10"/>
  <c r="N1693" i="10"/>
  <c r="N1641" i="10"/>
  <c r="N1597" i="10"/>
  <c r="N961" i="10"/>
  <c r="N181" i="10"/>
  <c r="N1685" i="10"/>
  <c r="N953" i="10"/>
  <c r="N938" i="10"/>
  <c r="M1274" i="10"/>
  <c r="M2270" i="10"/>
  <c r="M8" i="10"/>
  <c r="N1797" i="10"/>
  <c r="N108" i="10"/>
  <c r="N67" i="10"/>
  <c r="M2240" i="10"/>
  <c r="N8" i="10"/>
  <c r="M1797" i="10"/>
  <c r="M108" i="10"/>
  <c r="M67" i="10"/>
  <c r="N1077" i="10"/>
  <c r="M860" i="10"/>
  <c r="N769" i="10"/>
  <c r="I769" i="10" s="1"/>
  <c r="N2214" i="10"/>
  <c r="N1942" i="10"/>
  <c r="N1899" i="10"/>
  <c r="N1658" i="10"/>
  <c r="N1459" i="10"/>
  <c r="N1452" i="10"/>
  <c r="N852" i="10"/>
  <c r="N539" i="10"/>
  <c r="N49" i="10"/>
  <c r="M2214" i="10"/>
  <c r="M1942" i="10"/>
  <c r="M1899" i="10"/>
  <c r="M1658" i="10"/>
  <c r="M1459" i="10"/>
  <c r="M1452" i="10"/>
  <c r="M852" i="10"/>
  <c r="N1891" i="10"/>
  <c r="N1303" i="10"/>
  <c r="N1296" i="10"/>
  <c r="N521" i="10"/>
  <c r="N133" i="10"/>
  <c r="N126" i="10"/>
  <c r="N119" i="10"/>
  <c r="M1891" i="10"/>
  <c r="M1303" i="10"/>
  <c r="M1296" i="10"/>
  <c r="M521" i="10"/>
  <c r="M133" i="10"/>
  <c r="M126" i="10"/>
  <c r="M119" i="10"/>
  <c r="N2064" i="10"/>
  <c r="M1335" i="10"/>
  <c r="N2036" i="10"/>
  <c r="N1483" i="10"/>
  <c r="N77" i="10"/>
  <c r="N970" i="10"/>
  <c r="N585" i="10"/>
  <c r="M2036" i="10"/>
  <c r="M1483" i="10"/>
  <c r="M77" i="10"/>
  <c r="N2028" i="10"/>
  <c r="N1469" i="10"/>
  <c r="N506" i="10"/>
  <c r="N455" i="10"/>
  <c r="N442" i="10"/>
  <c r="N419" i="10"/>
  <c r="N1866" i="10"/>
  <c r="M2028" i="10"/>
  <c r="M1469" i="10"/>
  <c r="M506" i="10"/>
  <c r="M455" i="10"/>
  <c r="M442" i="10"/>
  <c r="M419" i="10"/>
  <c r="N311" i="10"/>
  <c r="I311" i="10" s="1"/>
  <c r="N2137" i="10"/>
  <c r="N2130" i="10"/>
  <c r="N2020" i="10"/>
  <c r="N1274" i="10"/>
  <c r="N1374" i="10"/>
  <c r="I1374" i="10" s="1"/>
  <c r="M2076" i="10"/>
  <c r="M280" i="10"/>
  <c r="M2346" i="10"/>
  <c r="N2422" i="10"/>
  <c r="N1365" i="10"/>
  <c r="I1365" i="10" s="1"/>
  <c r="N310" i="10"/>
  <c r="I310" i="10" s="1"/>
  <c r="N1609" i="10"/>
  <c r="I1609" i="10" s="1"/>
  <c r="N2346" i="10"/>
  <c r="I2346" i="10" s="1"/>
  <c r="N768" i="10"/>
  <c r="I768" i="10" s="1"/>
  <c r="M310" i="10"/>
  <c r="N280" i="10"/>
  <c r="G19" i="41"/>
  <c r="K2081" i="10"/>
  <c r="M2081" i="10" s="1"/>
  <c r="K2394" i="10"/>
  <c r="M2394" i="10" s="1"/>
  <c r="M2393" i="10" s="1"/>
  <c r="K2281" i="10"/>
  <c r="M2281" i="10" s="1"/>
  <c r="L2363" i="10"/>
  <c r="N2363" i="10" s="1"/>
  <c r="L2241" i="10"/>
  <c r="N2241" i="10" s="1"/>
  <c r="G85" i="41"/>
  <c r="K2225" i="10"/>
  <c r="K413" i="10"/>
  <c r="M413" i="10" s="1"/>
  <c r="K2370" i="10"/>
  <c r="M2370" i="10" s="1"/>
  <c r="M2369" i="10" s="1"/>
  <c r="K2078" i="10"/>
  <c r="M2078" i="10" s="1"/>
  <c r="K1825" i="10"/>
  <c r="L1221" i="10"/>
  <c r="N1221" i="10" s="1"/>
  <c r="L2376" i="10"/>
  <c r="N2376" i="10" s="1"/>
  <c r="L2076" i="10"/>
  <c r="N2076" i="10" s="1"/>
  <c r="I2076" i="10" s="1"/>
  <c r="K1571" i="10"/>
  <c r="M1571" i="10" s="1"/>
  <c r="G27" i="41"/>
  <c r="K2376" i="10"/>
  <c r="M2376" i="10" s="1"/>
  <c r="M2375" i="10" s="1"/>
  <c r="K2177" i="10"/>
  <c r="L1974" i="10"/>
  <c r="N1974" i="10" s="1"/>
  <c r="K1632" i="10"/>
  <c r="K2382" i="10"/>
  <c r="M2382" i="10" s="1"/>
  <c r="M2381" i="10" s="1"/>
  <c r="K1727" i="10"/>
  <c r="G41" i="41"/>
  <c r="K2291" i="10"/>
  <c r="M2291" i="10" s="1"/>
  <c r="M2290" i="10" s="1"/>
  <c r="K2201" i="10"/>
  <c r="K1355" i="10"/>
  <c r="M1355" i="10" s="1"/>
  <c r="K1850" i="10"/>
  <c r="M1850" i="10" s="1"/>
  <c r="K1585" i="10"/>
  <c r="M1585" i="10" s="1"/>
  <c r="K1623" i="10"/>
  <c r="H70" i="41"/>
  <c r="L2415" i="10"/>
  <c r="N2415" i="10" s="1"/>
  <c r="K2340" i="10"/>
  <c r="M2340" i="10" s="1"/>
  <c r="M2339" i="10" s="1"/>
  <c r="L2261" i="10"/>
  <c r="N2261" i="10" s="1"/>
  <c r="K2161" i="10"/>
  <c r="M2161" i="10" s="1"/>
  <c r="K1856" i="10"/>
  <c r="K1849" i="10"/>
  <c r="K1650" i="10"/>
  <c r="K1187" i="10"/>
  <c r="M1187" i="10" s="1"/>
  <c r="M1186" i="10" s="1"/>
  <c r="L2348" i="10"/>
  <c r="N2348" i="10" s="1"/>
  <c r="I2348" i="10" s="1"/>
  <c r="L2332" i="10"/>
  <c r="N2332" i="10" s="1"/>
  <c r="L2281" i="10"/>
  <c r="N2281" i="10" s="1"/>
  <c r="L2013" i="10"/>
  <c r="N2013" i="10" s="1"/>
  <c r="L1916" i="10"/>
  <c r="K1772" i="10"/>
  <c r="K1686" i="10"/>
  <c r="M1686" i="10" s="1"/>
  <c r="M1685" i="10" s="1"/>
  <c r="G6" i="41"/>
  <c r="K1373" i="10"/>
  <c r="M1373" i="10" s="1"/>
  <c r="K1010" i="10"/>
  <c r="G15" i="41"/>
  <c r="K221" i="10"/>
  <c r="M221" i="10" s="1"/>
  <c r="M220" i="10" s="1"/>
  <c r="K209" i="10"/>
  <c r="M209" i="10" s="1"/>
  <c r="G11" i="41"/>
  <c r="K279" i="10"/>
  <c r="M279" i="10" s="1"/>
  <c r="K939" i="10"/>
  <c r="M939" i="10" s="1"/>
  <c r="M938" i="10" s="1"/>
  <c r="K946" i="10"/>
  <c r="M946" i="10" s="1"/>
  <c r="M945" i="10" s="1"/>
  <c r="K954" i="10"/>
  <c r="M954" i="10" s="1"/>
  <c r="M953" i="10" s="1"/>
  <c r="K962" i="10"/>
  <c r="M962" i="10" s="1"/>
  <c r="M961" i="10" s="1"/>
  <c r="K1169" i="10"/>
  <c r="M1169" i="10" s="1"/>
  <c r="M1168" i="10" s="1"/>
  <c r="K970" i="10"/>
  <c r="M970" i="10" s="1"/>
  <c r="M969" i="10" s="1"/>
  <c r="K1011" i="10"/>
  <c r="M1011" i="10" s="1"/>
  <c r="G75" i="41"/>
  <c r="K762" i="10"/>
  <c r="M762" i="10" s="1"/>
  <c r="K744" i="10"/>
  <c r="M744" i="10" s="1"/>
  <c r="G54" i="41"/>
  <c r="K1229" i="10"/>
  <c r="M1229" i="10" s="1"/>
  <c r="M1228" i="10" s="1"/>
  <c r="L1042" i="10"/>
  <c r="N1042" i="10" s="1"/>
  <c r="L1027" i="10"/>
  <c r="L1059" i="10"/>
  <c r="N1059" i="10" s="1"/>
  <c r="H91" i="41"/>
  <c r="L25" i="10"/>
  <c r="N25" i="10" s="1"/>
  <c r="I25" i="10" s="1"/>
  <c r="G123" i="41"/>
  <c r="K705" i="10"/>
  <c r="M705" i="10" s="1"/>
  <c r="K23" i="10"/>
  <c r="M23" i="10" s="1"/>
  <c r="K2422" i="10"/>
  <c r="M2422" i="10" s="1"/>
  <c r="K2415" i="10"/>
  <c r="M2415" i="10" s="1"/>
  <c r="M2414" i="10" s="1"/>
  <c r="K2388" i="10"/>
  <c r="M2388" i="10" s="1"/>
  <c r="M2387" i="10" s="1"/>
  <c r="K2332" i="10"/>
  <c r="M2332" i="10" s="1"/>
  <c r="M2331" i="10" s="1"/>
  <c r="K2080" i="10"/>
  <c r="M2080" i="10" s="1"/>
  <c r="K2047" i="10"/>
  <c r="M2047" i="10" s="1"/>
  <c r="K2013" i="10"/>
  <c r="M2013" i="10" s="1"/>
  <c r="M2012" i="10" s="1"/>
  <c r="K1981" i="10"/>
  <c r="M1981" i="10" s="1"/>
  <c r="M1980" i="10" s="1"/>
  <c r="K1974" i="10"/>
  <c r="M1974" i="10" s="1"/>
  <c r="K1916" i="10"/>
  <c r="K1909" i="10"/>
  <c r="K1882" i="10"/>
  <c r="M1882" i="10" s="1"/>
  <c r="K1875" i="10"/>
  <c r="M1875" i="10" s="1"/>
  <c r="M1874" i="10" s="1"/>
  <c r="K1868" i="10"/>
  <c r="M1868" i="10" s="1"/>
  <c r="K1736" i="10"/>
  <c r="M1736" i="10" s="1"/>
  <c r="K1433" i="10"/>
  <c r="M1433" i="10" s="1"/>
  <c r="K1221" i="10"/>
  <c r="M1221" i="10" s="1"/>
  <c r="M1220" i="10" s="1"/>
  <c r="K1214" i="10"/>
  <c r="K1207" i="10"/>
  <c r="M1207" i="10" s="1"/>
  <c r="M1206" i="10" s="1"/>
  <c r="K753" i="10"/>
  <c r="M753" i="10" s="1"/>
  <c r="K1346" i="10"/>
  <c r="M1346" i="10" s="1"/>
  <c r="G106" i="41"/>
  <c r="K1069" i="10"/>
  <c r="M1069" i="10" s="1"/>
  <c r="M1068" i="10" s="1"/>
  <c r="K1314" i="10"/>
  <c r="G89" i="41"/>
  <c r="K840" i="10"/>
  <c r="M840" i="10" s="1"/>
  <c r="G101" i="41"/>
  <c r="K263" i="10"/>
  <c r="M263" i="10" s="1"/>
  <c r="M262" i="10" s="1"/>
  <c r="K239" i="10"/>
  <c r="M239" i="10" s="1"/>
  <c r="K272" i="10"/>
  <c r="M272" i="10" s="1"/>
  <c r="M271" i="10" s="1"/>
  <c r="G127" i="41"/>
  <c r="K838" i="10"/>
  <c r="M838" i="10" s="1"/>
  <c r="G28" i="41"/>
  <c r="K707" i="10"/>
  <c r="M707" i="10" s="1"/>
  <c r="H54" i="41"/>
  <c r="L1229" i="10"/>
  <c r="N1229" i="10" s="1"/>
  <c r="L351" i="10"/>
  <c r="N351" i="10" s="1"/>
  <c r="I351" i="10" s="1"/>
  <c r="L467" i="10"/>
  <c r="N467" i="10" s="1"/>
  <c r="I467" i="10" s="1"/>
  <c r="L551" i="10"/>
  <c r="N551" i="10" s="1"/>
  <c r="L662" i="10"/>
  <c r="L333" i="10"/>
  <c r="L610" i="10"/>
  <c r="N610" i="10" s="1"/>
  <c r="L631" i="10"/>
  <c r="N631" i="10" s="1"/>
  <c r="I631" i="10" s="1"/>
  <c r="L651" i="10"/>
  <c r="L561" i="10"/>
  <c r="N561" i="10" s="1"/>
  <c r="I561" i="10" s="1"/>
  <c r="L672" i="10"/>
  <c r="N672" i="10" s="1"/>
  <c r="L569" i="10"/>
  <c r="N569" i="10" s="1"/>
  <c r="I569" i="10" s="1"/>
  <c r="L387" i="10"/>
  <c r="L412" i="10"/>
  <c r="L621" i="10"/>
  <c r="N621" i="10" s="1"/>
  <c r="I621" i="10" s="1"/>
  <c r="L2271" i="10"/>
  <c r="N2271" i="10" s="1"/>
  <c r="L2251" i="10"/>
  <c r="N2251" i="10" s="1"/>
  <c r="L2079" i="10"/>
  <c r="N2079" i="10" s="1"/>
  <c r="I2079" i="10" s="1"/>
  <c r="L1908" i="10"/>
  <c r="N1908" i="10" s="1"/>
  <c r="I1908" i="10" s="1"/>
  <c r="L1735" i="10"/>
  <c r="L1707" i="10"/>
  <c r="N1707" i="10" s="1"/>
  <c r="L1667" i="10"/>
  <c r="N1667" i="10" s="1"/>
  <c r="L1538" i="10"/>
  <c r="N1538" i="10" s="1"/>
  <c r="K351" i="10"/>
  <c r="M351" i="10" s="1"/>
  <c r="L26" i="10"/>
  <c r="N26" i="10" s="1"/>
  <c r="I26" i="10" s="1"/>
  <c r="G17" i="41"/>
  <c r="K150" i="10"/>
  <c r="M150" i="10" s="1"/>
  <c r="K1027" i="10"/>
  <c r="K1059" i="10"/>
  <c r="M1059" i="10" s="1"/>
  <c r="M1058" i="10" s="1"/>
  <c r="G90" i="41"/>
  <c r="K839" i="10"/>
  <c r="M839" i="10" s="1"/>
  <c r="K237" i="10"/>
  <c r="G128" i="41"/>
  <c r="K431" i="10"/>
  <c r="M431" i="10" s="1"/>
  <c r="K438" i="10"/>
  <c r="M438" i="10" s="1"/>
  <c r="K542" i="10"/>
  <c r="M542" i="10" s="1"/>
  <c r="K589" i="10"/>
  <c r="M589" i="10" s="1"/>
  <c r="K697" i="10"/>
  <c r="K681" i="10"/>
  <c r="G43" i="41"/>
  <c r="K2251" i="10"/>
  <c r="M2251" i="10" s="1"/>
  <c r="M2250" i="10" s="1"/>
  <c r="K2079" i="10"/>
  <c r="M2079" i="10" s="1"/>
  <c r="K2066" i="10"/>
  <c r="M2066" i="10" s="1"/>
  <c r="M2064" i="10" s="1"/>
  <c r="K2046" i="10"/>
  <c r="M2046" i="10" s="1"/>
  <c r="K1908" i="10"/>
  <c r="M1908" i="10" s="1"/>
  <c r="K1881" i="10"/>
  <c r="M1881" i="10" s="1"/>
  <c r="K1867" i="10"/>
  <c r="M1867" i="10" s="1"/>
  <c r="K1840" i="10"/>
  <c r="M1840" i="10" s="1"/>
  <c r="M1839" i="10" s="1"/>
  <c r="K1735" i="10"/>
  <c r="K1728" i="10"/>
  <c r="M1728" i="10" s="1"/>
  <c r="K1707" i="10"/>
  <c r="M1707" i="10" s="1"/>
  <c r="M1706" i="10" s="1"/>
  <c r="K1694" i="10"/>
  <c r="M1694" i="10" s="1"/>
  <c r="M1693" i="10" s="1"/>
  <c r="K1667" i="10"/>
  <c r="M1667" i="10" s="1"/>
  <c r="M1666" i="10" s="1"/>
  <c r="K1538" i="10"/>
  <c r="M1538" i="10" s="1"/>
  <c r="M1537" i="10" s="1"/>
  <c r="K1432" i="10"/>
  <c r="M1432" i="10" s="1"/>
  <c r="K1382" i="10"/>
  <c r="K1313" i="10"/>
  <c r="M1313" i="10" s="1"/>
  <c r="K1267" i="10"/>
  <c r="M1267" i="10" s="1"/>
  <c r="M1266" i="10" s="1"/>
  <c r="H89" i="41"/>
  <c r="L840" i="10"/>
  <c r="N840" i="10" s="1"/>
  <c r="I840" i="10" s="1"/>
  <c r="G12" i="41"/>
  <c r="G20" i="41"/>
  <c r="K158" i="10"/>
  <c r="M158" i="10" s="1"/>
  <c r="G14" i="41"/>
  <c r="K630" i="10"/>
  <c r="M630" i="10" s="1"/>
  <c r="K650" i="10"/>
  <c r="K429" i="10"/>
  <c r="M429" i="10" s="1"/>
  <c r="K436" i="10"/>
  <c r="M436" i="10" s="1"/>
  <c r="K540" i="10"/>
  <c r="M540" i="10" s="1"/>
  <c r="K560" i="10"/>
  <c r="M560" i="10" s="1"/>
  <c r="K586" i="10"/>
  <c r="M586" i="10" s="1"/>
  <c r="K671" i="10"/>
  <c r="M671" i="10" s="1"/>
  <c r="K386" i="10"/>
  <c r="M386" i="10" s="1"/>
  <c r="K497" i="10"/>
  <c r="M497" i="10" s="1"/>
  <c r="M496" i="10" s="1"/>
  <c r="K620" i="10"/>
  <c r="M620" i="10" s="1"/>
  <c r="K350" i="10"/>
  <c r="M350" i="10" s="1"/>
  <c r="K466" i="10"/>
  <c r="M466" i="10" s="1"/>
  <c r="K550" i="10"/>
  <c r="M550" i="10" s="1"/>
  <c r="G108" i="41"/>
  <c r="K979" i="10"/>
  <c r="M979" i="10" s="1"/>
  <c r="G91" i="41"/>
  <c r="K25" i="10"/>
  <c r="M25" i="10" s="1"/>
  <c r="K352" i="10"/>
  <c r="M352" i="10" s="1"/>
  <c r="K468" i="10"/>
  <c r="M468" i="10" s="1"/>
  <c r="K334" i="10"/>
  <c r="M334" i="10" s="1"/>
  <c r="K632" i="10"/>
  <c r="M632" i="10" s="1"/>
  <c r="K562" i="10"/>
  <c r="M562" i="10" s="1"/>
  <c r="K570" i="10"/>
  <c r="M570" i="10" s="1"/>
  <c r="G30" i="41"/>
  <c r="K768" i="10"/>
  <c r="M768" i="10" s="1"/>
  <c r="G58" i="41"/>
  <c r="K1079" i="10"/>
  <c r="M1079" i="10" s="1"/>
  <c r="L210" i="10"/>
  <c r="N210" i="10" s="1"/>
  <c r="I210" i="10" s="1"/>
  <c r="L151" i="10"/>
  <c r="N151" i="10" s="1"/>
  <c r="L201" i="10"/>
  <c r="H59" i="41"/>
  <c r="L1103" i="10"/>
  <c r="G120" i="41"/>
  <c r="G87" i="41"/>
  <c r="G72" i="41"/>
  <c r="L2323" i="10"/>
  <c r="N2323" i="10" s="1"/>
  <c r="L2303" i="10"/>
  <c r="N2303" i="10" s="1"/>
  <c r="L2160" i="10"/>
  <c r="L2045" i="10"/>
  <c r="N2045" i="10" s="1"/>
  <c r="L1720" i="10"/>
  <c r="N1720" i="10" s="1"/>
  <c r="L1585" i="10"/>
  <c r="N1585" i="10" s="1"/>
  <c r="I1585" i="10" s="1"/>
  <c r="L1571" i="10"/>
  <c r="N1571" i="10" s="1"/>
  <c r="I1571" i="10" s="1"/>
  <c r="L1558" i="10"/>
  <c r="N1558" i="10" s="1"/>
  <c r="I1558" i="10" s="1"/>
  <c r="L1544" i="10"/>
  <c r="N1544" i="10" s="1"/>
  <c r="L1502" i="10"/>
  <c r="N1502" i="10" s="1"/>
  <c r="L1431" i="10"/>
  <c r="K1374" i="10"/>
  <c r="M1374" i="10" s="1"/>
  <c r="K622" i="10"/>
  <c r="M622" i="10" s="1"/>
  <c r="H40" i="41"/>
  <c r="L1138" i="10"/>
  <c r="N1138" i="10" s="1"/>
  <c r="L742" i="10"/>
  <c r="N742" i="10" s="1"/>
  <c r="I742" i="10" s="1"/>
  <c r="L1197" i="10"/>
  <c r="G18" i="41"/>
  <c r="K309" i="10"/>
  <c r="M309" i="10" s="1"/>
  <c r="G135" i="41"/>
  <c r="K211" i="10"/>
  <c r="M211" i="10" s="1"/>
  <c r="K159" i="10"/>
  <c r="M159" i="10" s="1"/>
  <c r="G92" i="41"/>
  <c r="K59" i="10"/>
  <c r="M59" i="10" s="1"/>
  <c r="M58" i="10" s="1"/>
  <c r="K51" i="10"/>
  <c r="M51" i="10" s="1"/>
  <c r="K798" i="10"/>
  <c r="K2400" i="10"/>
  <c r="M2400" i="10" s="1"/>
  <c r="M2399" i="10" s="1"/>
  <c r="K2364" i="10"/>
  <c r="M2364" i="10" s="1"/>
  <c r="K2323" i="10"/>
  <c r="M2323" i="10" s="1"/>
  <c r="M2322" i="10" s="1"/>
  <c r="K2303" i="10"/>
  <c r="M2303" i="10" s="1"/>
  <c r="M2302" i="10" s="1"/>
  <c r="K2160" i="10"/>
  <c r="K2147" i="10"/>
  <c r="M2147" i="10" s="1"/>
  <c r="K2045" i="10"/>
  <c r="M2045" i="10" s="1"/>
  <c r="K1992" i="10"/>
  <c r="K1806" i="10"/>
  <c r="M1806" i="10" s="1"/>
  <c r="M1805" i="10" s="1"/>
  <c r="K1779" i="10"/>
  <c r="K1720" i="10"/>
  <c r="M1720" i="10" s="1"/>
  <c r="M1719" i="10" s="1"/>
  <c r="K1578" i="10"/>
  <c r="M1578" i="10" s="1"/>
  <c r="K1558" i="10"/>
  <c r="M1558" i="10" s="1"/>
  <c r="K1544" i="10"/>
  <c r="M1544" i="10" s="1"/>
  <c r="M1543" i="10" s="1"/>
  <c r="K1502" i="10"/>
  <c r="M1502" i="10" s="1"/>
  <c r="M1501" i="10" s="1"/>
  <c r="K1431" i="10"/>
  <c r="K1345" i="10"/>
  <c r="K1240" i="10"/>
  <c r="L1155" i="10"/>
  <c r="N1155" i="10" s="1"/>
  <c r="K978" i="10"/>
  <c r="K837" i="10"/>
  <c r="K709" i="10"/>
  <c r="M709" i="10" s="1"/>
  <c r="H106" i="41"/>
  <c r="G59" i="41"/>
  <c r="K1103" i="10"/>
  <c r="G73" i="41"/>
  <c r="K771" i="10"/>
  <c r="M771" i="10" s="1"/>
  <c r="K430" i="10"/>
  <c r="K437" i="10"/>
  <c r="K541" i="10"/>
  <c r="M541" i="10" s="1"/>
  <c r="K587" i="10"/>
  <c r="M587" i="10" s="1"/>
  <c r="K641" i="10"/>
  <c r="G131" i="41"/>
  <c r="K770" i="10"/>
  <c r="M770" i="10" s="1"/>
  <c r="K1102" i="10"/>
  <c r="K1078" i="10"/>
  <c r="M1078" i="10" s="1"/>
  <c r="G76" i="41"/>
  <c r="K708" i="10"/>
  <c r="M708" i="10" s="1"/>
  <c r="L1314" i="10"/>
  <c r="L2356" i="10"/>
  <c r="N2356" i="10" s="1"/>
  <c r="L2146" i="10"/>
  <c r="L2077" i="10"/>
  <c r="N2077" i="10" s="1"/>
  <c r="I2077" i="10" s="1"/>
  <c r="L1991" i="10"/>
  <c r="L1712" i="10"/>
  <c r="N1712" i="10" s="1"/>
  <c r="L1611" i="10"/>
  <c r="N1611" i="10" s="1"/>
  <c r="I1611" i="10" s="1"/>
  <c r="L1591" i="10"/>
  <c r="N1591" i="10" s="1"/>
  <c r="L1584" i="10"/>
  <c r="N1584" i="10" s="1"/>
  <c r="I1584" i="10" s="1"/>
  <c r="I1583" i="10" s="1"/>
  <c r="L1570" i="10"/>
  <c r="N1570" i="10" s="1"/>
  <c r="I1570" i="10" s="1"/>
  <c r="L1550" i="10"/>
  <c r="N1550" i="10" s="1"/>
  <c r="L1508" i="10"/>
  <c r="N1508" i="10" s="1"/>
  <c r="L1430" i="10"/>
  <c r="L1417" i="10"/>
  <c r="N1417" i="10" s="1"/>
  <c r="I1417" i="10" s="1"/>
  <c r="K1177" i="10"/>
  <c r="M1177" i="10" s="1"/>
  <c r="M1176" i="10" s="1"/>
  <c r="L1162" i="10"/>
  <c r="N1162" i="10" s="1"/>
  <c r="H101" i="41"/>
  <c r="L263" i="10"/>
  <c r="N263" i="10" s="1"/>
  <c r="L239" i="10"/>
  <c r="N239" i="10" s="1"/>
  <c r="I239" i="10" s="1"/>
  <c r="L272" i="10"/>
  <c r="N272" i="10" s="1"/>
  <c r="H119" i="41"/>
  <c r="G21" i="41"/>
  <c r="K568" i="10"/>
  <c r="M568" i="10" s="1"/>
  <c r="G79" i="41"/>
  <c r="K238" i="10"/>
  <c r="M238" i="10" s="1"/>
  <c r="K333" i="10"/>
  <c r="K610" i="10"/>
  <c r="M610" i="10" s="1"/>
  <c r="K631" i="10"/>
  <c r="M631" i="10" s="1"/>
  <c r="K651" i="10"/>
  <c r="K561" i="10"/>
  <c r="M561" i="10" s="1"/>
  <c r="K672" i="10"/>
  <c r="M672" i="10" s="1"/>
  <c r="K569" i="10"/>
  <c r="M569" i="10" s="1"/>
  <c r="K387" i="10"/>
  <c r="K412" i="10"/>
  <c r="K621" i="10"/>
  <c r="M621" i="10" s="1"/>
  <c r="G132" i="41"/>
  <c r="K796" i="10"/>
  <c r="M796" i="10" s="1"/>
  <c r="K797" i="10"/>
  <c r="M797" i="10" s="1"/>
  <c r="H74" i="41"/>
  <c r="L743" i="10"/>
  <c r="N743" i="10" s="1"/>
  <c r="I743" i="10" s="1"/>
  <c r="K2363" i="10"/>
  <c r="M2363" i="10" s="1"/>
  <c r="K2356" i="10"/>
  <c r="M2356" i="10" s="1"/>
  <c r="M2355" i="10" s="1"/>
  <c r="K2282" i="10"/>
  <c r="M2282" i="10" s="1"/>
  <c r="K2178" i="10"/>
  <c r="M2178" i="10" s="1"/>
  <c r="K2146" i="10"/>
  <c r="K2077" i="10"/>
  <c r="M2077" i="10" s="1"/>
  <c r="K1991" i="10"/>
  <c r="K1791" i="10"/>
  <c r="K1758" i="10"/>
  <c r="M1758" i="10" s="1"/>
  <c r="M1757" i="10" s="1"/>
  <c r="K1712" i="10"/>
  <c r="M1712" i="10" s="1"/>
  <c r="M1711" i="10" s="1"/>
  <c r="K1611" i="10"/>
  <c r="M1611" i="10" s="1"/>
  <c r="K1598" i="10"/>
  <c r="M1598" i="10" s="1"/>
  <c r="K1591" i="10"/>
  <c r="M1591" i="10" s="1"/>
  <c r="M1590" i="10" s="1"/>
  <c r="K1584" i="10"/>
  <c r="M1584" i="10" s="1"/>
  <c r="K1577" i="10"/>
  <c r="K1570" i="10"/>
  <c r="M1570" i="10" s="1"/>
  <c r="K1557" i="10"/>
  <c r="K1529" i="10"/>
  <c r="M1529" i="10" s="1"/>
  <c r="M1528" i="10" s="1"/>
  <c r="K1522" i="10"/>
  <c r="K1515" i="10"/>
  <c r="M1515" i="10" s="1"/>
  <c r="M1514" i="10" s="1"/>
  <c r="K1508" i="10"/>
  <c r="M1508" i="10" s="1"/>
  <c r="M1507" i="10" s="1"/>
  <c r="K1430" i="10"/>
  <c r="K1417" i="10"/>
  <c r="M1417" i="10" s="1"/>
  <c r="K1372" i="10"/>
  <c r="K1365" i="10"/>
  <c r="M1365" i="10" s="1"/>
  <c r="K706" i="10"/>
  <c r="K24" i="10"/>
  <c r="K50" i="10"/>
  <c r="M50" i="10" s="1"/>
  <c r="G95" i="41"/>
  <c r="K389" i="10"/>
  <c r="M389" i="10" s="1"/>
  <c r="K414" i="10"/>
  <c r="M414" i="10" s="1"/>
  <c r="K663" i="10"/>
  <c r="M663" i="10" s="1"/>
  <c r="K335" i="10"/>
  <c r="M335" i="10" s="1"/>
  <c r="K432" i="10"/>
  <c r="M432" i="10" s="1"/>
  <c r="K439" i="10"/>
  <c r="M439" i="10" s="1"/>
  <c r="G134" i="41"/>
  <c r="K311" i="10"/>
  <c r="M311" i="10" s="1"/>
  <c r="G39" i="41"/>
  <c r="K761" i="10"/>
  <c r="M761" i="10" s="1"/>
  <c r="K752" i="10"/>
  <c r="M752" i="10" s="1"/>
  <c r="G62" i="41"/>
  <c r="K690" i="10"/>
  <c r="M690" i="10" s="1"/>
  <c r="H75" i="41"/>
  <c r="L753" i="10"/>
  <c r="N753" i="10" s="1"/>
  <c r="I753" i="10" s="1"/>
  <c r="L762" i="10"/>
  <c r="N762" i="10" s="1"/>
  <c r="I762" i="10" s="1"/>
  <c r="L744" i="10"/>
  <c r="N744" i="10" s="1"/>
  <c r="I744" i="10" s="1"/>
  <c r="H135" i="41"/>
  <c r="L211" i="10"/>
  <c r="N211" i="10" s="1"/>
  <c r="I211" i="10" s="1"/>
  <c r="L159" i="10"/>
  <c r="N159" i="10" s="1"/>
  <c r="L1857" i="10"/>
  <c r="N1857" i="10" s="1"/>
  <c r="I1857" i="10" s="1"/>
  <c r="K1080" i="10"/>
  <c r="M1080" i="10" s="1"/>
  <c r="K551" i="10"/>
  <c r="M551" i="10" s="1"/>
  <c r="K388" i="10"/>
  <c r="M388" i="10" s="1"/>
  <c r="L229" i="10"/>
  <c r="N229" i="10" s="1"/>
  <c r="K1147" i="10"/>
  <c r="K1043" i="10"/>
  <c r="M1043" i="10" s="1"/>
  <c r="K86" i="10"/>
  <c r="M86" i="10" s="1"/>
  <c r="M85" i="10" s="1"/>
  <c r="K93" i="10"/>
  <c r="M93" i="10" s="1"/>
  <c r="M92" i="10" s="1"/>
  <c r="K142" i="10"/>
  <c r="K191" i="10"/>
  <c r="K104" i="10"/>
  <c r="K166" i="10"/>
  <c r="M166" i="10" s="1"/>
  <c r="M165" i="10" s="1"/>
  <c r="K173" i="10"/>
  <c r="M173" i="10" s="1"/>
  <c r="M172" i="10" s="1"/>
  <c r="K99" i="10"/>
  <c r="M99" i="10" s="1"/>
  <c r="M98" i="10" s="1"/>
  <c r="K182" i="10"/>
  <c r="M182" i="10" s="1"/>
  <c r="M181" i="10" s="1"/>
  <c r="G96" i="41"/>
  <c r="K769" i="10"/>
  <c r="M769" i="10" s="1"/>
  <c r="G136" i="41"/>
  <c r="K16" i="10"/>
  <c r="M16" i="10" s="1"/>
  <c r="M15" i="10" s="1"/>
  <c r="G40" i="41"/>
  <c r="K742" i="10"/>
  <c r="M742" i="10" s="1"/>
  <c r="K1155" i="10"/>
  <c r="M1155" i="10" s="1"/>
  <c r="M1154" i="10" s="1"/>
  <c r="K2261" i="10"/>
  <c r="M2261" i="10" s="1"/>
  <c r="M2260" i="10" s="1"/>
  <c r="K2202" i="10"/>
  <c r="M2202" i="10" s="1"/>
  <c r="K2056" i="10"/>
  <c r="M2056" i="10" s="1"/>
  <c r="K1969" i="10"/>
  <c r="M1969" i="10" s="1"/>
  <c r="K1857" i="10"/>
  <c r="M1857" i="10" s="1"/>
  <c r="K1677" i="10"/>
  <c r="M1677" i="10" s="1"/>
  <c r="K1610" i="10"/>
  <c r="M1610" i="10" s="1"/>
  <c r="K1429" i="10"/>
  <c r="K1416" i="10"/>
  <c r="K1364" i="10"/>
  <c r="M1364" i="10" s="1"/>
  <c r="K1257" i="10"/>
  <c r="K1138" i="10"/>
  <c r="M1138" i="10" s="1"/>
  <c r="M1137" i="10" s="1"/>
  <c r="K1113" i="10"/>
  <c r="K1042" i="10"/>
  <c r="M1042" i="10" s="1"/>
  <c r="H80" i="41"/>
  <c r="K210" i="10"/>
  <c r="M210" i="10" s="1"/>
  <c r="K151" i="10"/>
  <c r="M151" i="10" s="1"/>
  <c r="K201" i="10"/>
  <c r="K229" i="10"/>
  <c r="M229" i="10" s="1"/>
  <c r="M228" i="10" s="1"/>
  <c r="K871" i="10"/>
  <c r="G137" i="41"/>
  <c r="K652" i="10"/>
  <c r="M652" i="10" s="1"/>
  <c r="L1010" i="10"/>
  <c r="G109" i="41"/>
  <c r="G64" i="41"/>
  <c r="L2340" i="10"/>
  <c r="N2340" i="10" s="1"/>
  <c r="L2313" i="10"/>
  <c r="N2313" i="10" s="1"/>
  <c r="L2201" i="10"/>
  <c r="L2081" i="10"/>
  <c r="N2081" i="10" s="1"/>
  <c r="I2081" i="10" s="1"/>
  <c r="L1968" i="10"/>
  <c r="L1676" i="10"/>
  <c r="N1676" i="10" s="1"/>
  <c r="K689" i="10"/>
  <c r="G139" i="41"/>
  <c r="K26" i="10"/>
  <c r="M26" i="10" s="1"/>
  <c r="G74" i="41"/>
  <c r="K743" i="10"/>
  <c r="M743" i="10" s="1"/>
  <c r="H137" i="41"/>
  <c r="L652" i="10"/>
  <c r="N652" i="10" s="1"/>
  <c r="I652" i="10" s="1"/>
  <c r="G119" i="41"/>
  <c r="K143" i="10"/>
  <c r="M143" i="10" s="1"/>
  <c r="G98" i="41"/>
  <c r="K795" i="10"/>
  <c r="M795" i="10" s="1"/>
  <c r="K814" i="10"/>
  <c r="K872" i="10"/>
  <c r="M872" i="10" s="1"/>
  <c r="K772" i="10"/>
  <c r="M772" i="10" s="1"/>
  <c r="G138" i="41"/>
  <c r="K588" i="10"/>
  <c r="M588" i="10" s="1"/>
  <c r="H39" i="41"/>
  <c r="L761" i="10"/>
  <c r="N761" i="10" s="1"/>
  <c r="I761" i="10" s="1"/>
  <c r="I760" i="10" s="1"/>
  <c r="L752" i="10"/>
  <c r="N752" i="10" s="1"/>
  <c r="I752" i="10" s="1"/>
  <c r="H31" i="41"/>
  <c r="L773" i="10"/>
  <c r="N773" i="10" s="1"/>
  <c r="I773" i="10" s="1"/>
  <c r="H129" i="41"/>
  <c r="L388" i="10"/>
  <c r="N388" i="10" s="1"/>
  <c r="I388" i="10" s="1"/>
  <c r="L413" i="10"/>
  <c r="N413" i="10" s="1"/>
  <c r="I413" i="10" s="1"/>
  <c r="L622" i="10"/>
  <c r="N622" i="10" s="1"/>
  <c r="I622" i="10" s="1"/>
  <c r="L352" i="10"/>
  <c r="N352" i="10" s="1"/>
  <c r="I352" i="10" s="1"/>
  <c r="L468" i="10"/>
  <c r="N468" i="10" s="1"/>
  <c r="I468" i="10" s="1"/>
  <c r="L334" i="10"/>
  <c r="N334" i="10" s="1"/>
  <c r="I334" i="10" s="1"/>
  <c r="L632" i="10"/>
  <c r="N632" i="10" s="1"/>
  <c r="I632" i="10" s="1"/>
  <c r="L562" i="10"/>
  <c r="N562" i="10" s="1"/>
  <c r="I562" i="10" s="1"/>
  <c r="L570" i="10"/>
  <c r="N570" i="10" s="1"/>
  <c r="I570" i="10" s="1"/>
  <c r="K2423" i="10"/>
  <c r="M2423" i="10" s="1"/>
  <c r="K2347" i="10"/>
  <c r="M2347" i="10" s="1"/>
  <c r="K2313" i="10"/>
  <c r="M2313" i="10" s="1"/>
  <c r="M2312" i="10" s="1"/>
  <c r="K2055" i="10"/>
  <c r="K1975" i="10"/>
  <c r="M1975" i="10" s="1"/>
  <c r="K1968" i="10"/>
  <c r="K1917" i="10"/>
  <c r="M1917" i="10" s="1"/>
  <c r="K1676" i="10"/>
  <c r="M1676" i="10" s="1"/>
  <c r="K1642" i="10"/>
  <c r="M1642" i="10" s="1"/>
  <c r="M1641" i="10" s="1"/>
  <c r="K1609" i="10"/>
  <c r="M1609" i="10" s="1"/>
  <c r="K1363" i="10"/>
  <c r="K1356" i="10"/>
  <c r="M1356" i="10" s="1"/>
  <c r="K1028" i="10"/>
  <c r="M1028" i="10" s="1"/>
  <c r="K773" i="10"/>
  <c r="M773" i="10" s="1"/>
  <c r="K642" i="10"/>
  <c r="M642" i="10" s="1"/>
  <c r="K609" i="10"/>
  <c r="M609" i="10" s="1"/>
  <c r="K467" i="10"/>
  <c r="M467" i="10" s="1"/>
  <c r="H19" i="41"/>
  <c r="H12" i="41"/>
  <c r="H1197" i="10"/>
  <c r="H1196" i="10" s="1"/>
  <c r="AG9" i="10"/>
  <c r="AG10" i="10"/>
  <c r="AG11" i="10"/>
  <c r="AG12" i="10"/>
  <c r="AG13" i="10"/>
  <c r="AG14" i="10"/>
  <c r="AG16" i="10"/>
  <c r="AG17" i="10"/>
  <c r="AG18" i="10"/>
  <c r="AG19" i="10"/>
  <c r="AG20" i="10"/>
  <c r="AG21" i="10"/>
  <c r="AG23" i="10"/>
  <c r="AG24" i="10"/>
  <c r="AG25" i="10"/>
  <c r="AG26" i="10"/>
  <c r="AG27" i="10"/>
  <c r="AG28" i="10"/>
  <c r="AG29" i="10"/>
  <c r="AG30" i="10"/>
  <c r="AG31" i="10"/>
  <c r="AG32" i="10"/>
  <c r="AG33" i="10"/>
  <c r="AG34" i="10"/>
  <c r="AG35" i="10"/>
  <c r="AG36" i="10"/>
  <c r="AG37" i="10"/>
  <c r="AG38" i="10"/>
  <c r="AG39" i="10"/>
  <c r="AG40" i="10"/>
  <c r="AG41" i="10"/>
  <c r="AG42" i="10"/>
  <c r="AG43" i="10"/>
  <c r="AG44" i="10"/>
  <c r="AG45" i="10"/>
  <c r="AG46" i="10"/>
  <c r="AG47" i="10"/>
  <c r="AG48" i="10"/>
  <c r="AG50" i="10"/>
  <c r="AG51" i="10"/>
  <c r="AG52" i="10"/>
  <c r="AG53" i="10"/>
  <c r="AG54" i="10"/>
  <c r="AG55" i="10"/>
  <c r="AG56" i="10"/>
  <c r="AG57" i="10"/>
  <c r="AG59" i="10"/>
  <c r="AG60" i="10"/>
  <c r="AG61" i="10"/>
  <c r="AG62" i="10"/>
  <c r="AG63" i="10"/>
  <c r="AG64" i="10"/>
  <c r="AG65" i="10"/>
  <c r="AG66" i="10"/>
  <c r="AG68" i="10"/>
  <c r="AG69" i="10"/>
  <c r="AG70" i="10"/>
  <c r="AG71" i="10"/>
  <c r="AG72" i="10"/>
  <c r="AG73" i="10"/>
  <c r="AG74" i="10"/>
  <c r="AG75" i="10"/>
  <c r="AG76" i="10"/>
  <c r="AG78" i="10"/>
  <c r="AG79" i="10"/>
  <c r="AG80" i="10"/>
  <c r="AG81" i="10"/>
  <c r="AG82" i="10"/>
  <c r="AG83" i="10"/>
  <c r="AG84" i="10"/>
  <c r="AG86" i="10"/>
  <c r="AG87" i="10"/>
  <c r="AG88" i="10"/>
  <c r="AG89" i="10"/>
  <c r="AG90" i="10"/>
  <c r="AG91" i="10"/>
  <c r="AG93" i="10"/>
  <c r="AG94" i="10"/>
  <c r="AG95" i="10"/>
  <c r="AG96" i="10"/>
  <c r="AG97" i="10"/>
  <c r="AG99" i="10"/>
  <c r="AG100" i="10"/>
  <c r="AG101" i="10"/>
  <c r="AG102" i="10"/>
  <c r="AG104" i="10"/>
  <c r="AG105" i="10"/>
  <c r="AG106" i="10"/>
  <c r="AG107" i="10"/>
  <c r="AG109" i="10"/>
  <c r="AG110" i="10"/>
  <c r="AG111" i="10"/>
  <c r="AG112" i="10"/>
  <c r="AG113" i="10"/>
  <c r="AG114" i="10"/>
  <c r="AG115" i="10"/>
  <c r="AG116" i="10"/>
  <c r="AG117" i="10"/>
  <c r="AG118" i="10"/>
  <c r="AG120" i="10"/>
  <c r="AG121" i="10"/>
  <c r="AG122" i="10"/>
  <c r="AG123" i="10"/>
  <c r="AG124" i="10"/>
  <c r="AG125" i="10"/>
  <c r="AG127" i="10"/>
  <c r="AG128" i="10"/>
  <c r="AG129" i="10"/>
  <c r="AG130" i="10"/>
  <c r="AG131" i="10"/>
  <c r="AG132" i="10"/>
  <c r="AG134" i="10"/>
  <c r="AG135" i="10"/>
  <c r="AG136" i="10"/>
  <c r="AG137" i="10"/>
  <c r="AG138" i="10"/>
  <c r="AG139" i="10"/>
  <c r="AG140" i="10"/>
  <c r="AG142" i="10"/>
  <c r="AG143" i="10"/>
  <c r="AG144" i="10"/>
  <c r="AG145" i="10"/>
  <c r="AG146" i="10"/>
  <c r="AG147" i="10"/>
  <c r="AG148" i="10"/>
  <c r="AG150" i="10"/>
  <c r="AG151" i="10"/>
  <c r="AG152" i="10"/>
  <c r="AG153" i="10"/>
  <c r="AG154" i="10"/>
  <c r="AG155" i="10"/>
  <c r="AG156" i="10"/>
  <c r="AG158" i="10"/>
  <c r="AG159" i="10"/>
  <c r="AG160" i="10"/>
  <c r="AG161" i="10"/>
  <c r="AG162" i="10"/>
  <c r="AG163" i="10"/>
  <c r="AG164" i="10"/>
  <c r="AG166" i="10"/>
  <c r="AG167" i="10"/>
  <c r="AG168" i="10"/>
  <c r="AG169" i="10"/>
  <c r="AG170" i="10"/>
  <c r="AG171" i="10"/>
  <c r="AG173" i="10"/>
  <c r="AG174" i="10"/>
  <c r="AG175" i="10"/>
  <c r="AG176" i="10"/>
  <c r="AG177" i="10"/>
  <c r="AG178" i="10"/>
  <c r="AG179" i="10"/>
  <c r="AG180" i="10"/>
  <c r="AG182" i="10"/>
  <c r="AG183" i="10"/>
  <c r="AG184" i="10"/>
  <c r="AG185" i="10"/>
  <c r="AG186" i="10"/>
  <c r="AG187" i="10"/>
  <c r="AG188" i="10"/>
  <c r="AG189" i="10"/>
  <c r="AG191" i="10"/>
  <c r="AG192" i="10"/>
  <c r="AG193" i="10"/>
  <c r="AG194" i="10"/>
  <c r="AG195" i="10"/>
  <c r="AG196" i="10"/>
  <c r="AG197" i="10"/>
  <c r="AG198" i="10"/>
  <c r="AG199" i="10"/>
  <c r="AG201" i="10"/>
  <c r="AG202" i="10"/>
  <c r="AG203" i="10"/>
  <c r="AG204" i="10"/>
  <c r="AG205" i="10"/>
  <c r="AG206" i="10"/>
  <c r="AG207" i="10"/>
  <c r="AG209" i="10"/>
  <c r="AG210" i="10"/>
  <c r="AG211" i="10"/>
  <c r="AG212" i="10"/>
  <c r="AG213" i="10"/>
  <c r="AG214" i="10"/>
  <c r="AG215" i="10"/>
  <c r="AG216" i="10"/>
  <c r="AG217" i="10"/>
  <c r="AG218" i="10"/>
  <c r="AG219" i="10"/>
  <c r="AG221" i="10"/>
  <c r="AG222" i="10"/>
  <c r="AG223" i="10"/>
  <c r="AG224" i="10"/>
  <c r="AG225" i="10"/>
  <c r="AG226" i="10"/>
  <c r="AG227" i="10"/>
  <c r="AG229" i="10"/>
  <c r="AG230" i="10"/>
  <c r="AG231" i="10"/>
  <c r="AG232" i="10"/>
  <c r="AG233" i="10"/>
  <c r="AG234" i="10"/>
  <c r="AG235" i="10"/>
  <c r="AG238" i="10"/>
  <c r="AG239" i="10"/>
  <c r="AG240" i="10"/>
  <c r="AG241" i="10"/>
  <c r="AG242" i="10"/>
  <c r="AG243" i="10"/>
  <c r="AG244" i="10"/>
  <c r="AG245" i="10"/>
  <c r="AG246" i="10"/>
  <c r="AG247" i="10"/>
  <c r="AG248" i="10"/>
  <c r="AG249" i="10"/>
  <c r="AG250" i="10"/>
  <c r="AG251" i="10"/>
  <c r="AG252" i="10"/>
  <c r="AG253" i="10"/>
  <c r="AG254" i="10"/>
  <c r="AG255" i="10"/>
  <c r="AG256" i="10"/>
  <c r="AG257" i="10"/>
  <c r="AG258" i="10"/>
  <c r="AG259" i="10"/>
  <c r="AG260" i="10"/>
  <c r="AG261" i="10"/>
  <c r="AG263" i="10"/>
  <c r="AG264" i="10"/>
  <c r="AG265" i="10"/>
  <c r="AG266" i="10"/>
  <c r="AG267" i="10"/>
  <c r="AG268" i="10"/>
  <c r="AG269" i="10"/>
  <c r="AG270" i="10"/>
  <c r="AG272" i="10"/>
  <c r="AG273" i="10"/>
  <c r="AG274" i="10"/>
  <c r="AG275" i="10"/>
  <c r="AG276" i="10"/>
  <c r="AG277" i="10"/>
  <c r="AG279" i="10"/>
  <c r="AG281" i="10"/>
  <c r="AG282" i="10"/>
  <c r="AG283" i="10"/>
  <c r="AG284" i="10"/>
  <c r="AG285" i="10"/>
  <c r="AG286" i="10"/>
  <c r="AG287" i="10"/>
  <c r="AG288" i="10"/>
  <c r="AG289" i="10"/>
  <c r="AG290" i="10"/>
  <c r="AG291" i="10"/>
  <c r="AG292" i="10"/>
  <c r="AG293" i="10"/>
  <c r="AG294" i="10"/>
  <c r="AG295" i="10"/>
  <c r="AG296" i="10"/>
  <c r="AG297" i="10"/>
  <c r="AG298" i="10"/>
  <c r="AG299" i="10"/>
  <c r="AG300" i="10"/>
  <c r="AG301" i="10"/>
  <c r="AG302" i="10"/>
  <c r="AG303" i="10"/>
  <c r="AG304" i="10"/>
  <c r="AG305" i="10"/>
  <c r="AG306" i="10"/>
  <c r="AG307" i="10"/>
  <c r="AG309" i="10"/>
  <c r="AG311" i="10"/>
  <c r="AG312" i="10"/>
  <c r="AG313" i="10"/>
  <c r="AG314" i="10"/>
  <c r="AG315" i="10"/>
  <c r="AG316" i="10"/>
  <c r="AG317" i="10"/>
  <c r="AG318" i="10"/>
  <c r="AG319" i="10"/>
  <c r="AG320" i="10"/>
  <c r="AG321" i="10"/>
  <c r="AG322" i="10"/>
  <c r="AG323" i="10"/>
  <c r="AG324" i="10"/>
  <c r="AG325" i="10"/>
  <c r="AG326" i="10"/>
  <c r="AG327" i="10"/>
  <c r="AG328" i="10"/>
  <c r="AG329" i="10"/>
  <c r="AG330" i="10"/>
  <c r="AG331" i="10"/>
  <c r="AG333" i="10"/>
  <c r="AG334" i="10"/>
  <c r="AG335" i="10"/>
  <c r="AG336" i="10"/>
  <c r="AG337" i="10"/>
  <c r="AG338" i="10"/>
  <c r="AG339" i="10"/>
  <c r="AG340" i="10"/>
  <c r="AG341" i="10"/>
  <c r="AG342" i="10"/>
  <c r="AG343" i="10"/>
  <c r="AG344" i="10"/>
  <c r="AG345" i="10"/>
  <c r="AG346" i="10"/>
  <c r="AG347" i="10"/>
  <c r="AG348" i="10"/>
  <c r="AG351" i="10"/>
  <c r="AG352" i="10"/>
  <c r="AG353" i="10"/>
  <c r="AG354" i="10"/>
  <c r="AG355" i="10"/>
  <c r="AG356" i="10"/>
  <c r="AG357" i="10"/>
  <c r="AG358" i="10"/>
  <c r="AG359" i="10"/>
  <c r="AG360" i="10"/>
  <c r="AG361" i="10"/>
  <c r="AG362" i="10"/>
  <c r="AG363" i="10"/>
  <c r="AG364" i="10"/>
  <c r="AG365" i="10"/>
  <c r="AG366" i="10"/>
  <c r="AG367" i="10"/>
  <c r="AG368" i="10"/>
  <c r="AG369" i="10"/>
  <c r="AG370" i="10"/>
  <c r="AG371" i="10"/>
  <c r="AG372" i="10"/>
  <c r="AG373" i="10"/>
  <c r="AG374" i="10"/>
  <c r="AG375" i="10"/>
  <c r="AG376" i="10"/>
  <c r="AG377" i="10"/>
  <c r="AG378" i="10"/>
  <c r="AG379" i="10"/>
  <c r="AG380" i="10"/>
  <c r="AG381" i="10"/>
  <c r="AG382" i="10"/>
  <c r="AG383" i="10"/>
  <c r="AG384" i="10"/>
  <c r="AG387" i="10"/>
  <c r="AG388" i="10"/>
  <c r="AG389" i="10"/>
  <c r="AG390" i="10"/>
  <c r="AG391" i="10"/>
  <c r="AG392" i="10"/>
  <c r="AG393" i="10"/>
  <c r="AG394" i="10"/>
  <c r="AG395" i="10"/>
  <c r="AG396" i="10"/>
  <c r="AG397" i="10"/>
  <c r="AG398" i="10"/>
  <c r="AG399" i="10"/>
  <c r="AG400" i="10"/>
  <c r="AG401" i="10"/>
  <c r="AG402" i="10"/>
  <c r="AG403" i="10"/>
  <c r="AG404" i="10"/>
  <c r="AG405" i="10"/>
  <c r="AG406" i="10"/>
  <c r="AG407" i="10"/>
  <c r="AG408" i="10"/>
  <c r="AG409" i="10"/>
  <c r="AG410" i="10"/>
  <c r="AG412" i="10"/>
  <c r="AG413" i="10"/>
  <c r="AG414" i="10"/>
  <c r="AG415" i="10"/>
  <c r="AG416" i="10"/>
  <c r="AG417" i="10"/>
  <c r="AG418" i="10"/>
  <c r="AG420" i="10"/>
  <c r="AG421" i="10"/>
  <c r="AG422" i="10"/>
  <c r="AG423" i="10"/>
  <c r="AG424" i="10"/>
  <c r="AG425" i="10"/>
  <c r="AG426" i="10"/>
  <c r="AG427" i="10"/>
  <c r="AG430" i="10"/>
  <c r="AH430" i="10" s="1"/>
  <c r="AH428" i="10" s="1"/>
  <c r="AG431" i="10"/>
  <c r="AG432" i="10"/>
  <c r="AG433" i="10"/>
  <c r="AG434" i="10"/>
  <c r="AG436" i="10"/>
  <c r="AG437" i="10"/>
  <c r="AG438" i="10"/>
  <c r="AG439" i="10"/>
  <c r="AG440" i="10"/>
  <c r="AG441" i="10"/>
  <c r="AG443" i="10"/>
  <c r="AG444" i="10"/>
  <c r="AG445" i="10"/>
  <c r="AG446" i="10"/>
  <c r="AG447" i="10"/>
  <c r="AG448" i="10"/>
  <c r="AG449" i="10"/>
  <c r="AG450" i="10"/>
  <c r="AG451" i="10"/>
  <c r="AG452" i="10"/>
  <c r="AG453" i="10"/>
  <c r="AG454" i="10"/>
  <c r="AG456" i="10"/>
  <c r="AG457" i="10"/>
  <c r="AG458" i="10"/>
  <c r="AG459" i="10"/>
  <c r="AG460" i="10"/>
  <c r="AG461" i="10"/>
  <c r="AG462" i="10"/>
  <c r="AG463" i="10"/>
  <c r="AG464" i="10"/>
  <c r="AG467" i="10"/>
  <c r="AG468" i="10"/>
  <c r="AG469" i="10"/>
  <c r="AG470" i="10"/>
  <c r="AG471" i="10"/>
  <c r="AG472" i="10"/>
  <c r="AG473" i="10"/>
  <c r="AG474" i="10"/>
  <c r="AG475" i="10"/>
  <c r="AG476" i="10"/>
  <c r="AG477" i="10"/>
  <c r="AG478" i="10"/>
  <c r="AG479" i="10"/>
  <c r="AG480" i="10"/>
  <c r="AG481" i="10"/>
  <c r="AG482" i="10"/>
  <c r="AG483" i="10"/>
  <c r="AG484" i="10"/>
  <c r="AG485" i="10"/>
  <c r="AG486" i="10"/>
  <c r="AG487" i="10"/>
  <c r="AG489" i="10"/>
  <c r="AG490" i="10"/>
  <c r="AG491" i="10"/>
  <c r="AG492" i="10"/>
  <c r="AG493" i="10"/>
  <c r="AG494" i="10"/>
  <c r="AG495" i="10"/>
  <c r="AG497" i="10"/>
  <c r="AG498" i="10"/>
  <c r="AG499" i="10"/>
  <c r="AG500" i="10"/>
  <c r="AG501" i="10"/>
  <c r="AG502" i="10"/>
  <c r="AG503" i="10"/>
  <c r="AG504" i="10"/>
  <c r="AG505" i="10"/>
  <c r="AG507" i="10"/>
  <c r="AG508" i="10"/>
  <c r="AG509" i="10"/>
  <c r="AG510" i="10"/>
  <c r="AG511" i="10"/>
  <c r="AG512" i="10"/>
  <c r="AG513" i="10"/>
  <c r="AG514" i="10"/>
  <c r="AG515" i="10"/>
  <c r="AG516" i="10"/>
  <c r="AG517" i="10"/>
  <c r="AG518" i="10"/>
  <c r="AG519" i="10"/>
  <c r="AG520" i="10"/>
  <c r="AG522" i="10"/>
  <c r="AG523" i="10"/>
  <c r="AG524" i="10"/>
  <c r="AG525" i="10"/>
  <c r="AG526" i="10"/>
  <c r="AG527" i="10"/>
  <c r="AG528" i="10"/>
  <c r="AG529" i="10"/>
  <c r="AG530" i="10"/>
  <c r="AG531" i="10"/>
  <c r="AG532" i="10"/>
  <c r="AG533" i="10"/>
  <c r="AG534" i="10"/>
  <c r="AG535" i="10"/>
  <c r="AG536" i="10"/>
  <c r="AG537" i="10"/>
  <c r="AG538" i="10"/>
  <c r="AG541" i="10"/>
  <c r="AG542" i="10"/>
  <c r="AG543" i="10"/>
  <c r="AG544" i="10"/>
  <c r="AG545" i="10"/>
  <c r="AG546" i="10"/>
  <c r="AG547" i="10"/>
  <c r="AG548" i="10"/>
  <c r="AG551" i="10"/>
  <c r="AG552" i="10"/>
  <c r="AG553" i="10"/>
  <c r="AG554" i="10"/>
  <c r="AG555" i="10"/>
  <c r="AG556" i="10"/>
  <c r="AG557" i="10"/>
  <c r="AG558" i="10"/>
  <c r="AG560" i="10"/>
  <c r="AG561" i="10"/>
  <c r="AG562" i="10"/>
  <c r="AG563" i="10"/>
  <c r="AG564" i="10"/>
  <c r="AG565" i="10"/>
  <c r="AG566" i="10"/>
  <c r="AG569" i="10"/>
  <c r="AG570" i="10"/>
  <c r="AG571" i="10"/>
  <c r="AG572" i="10"/>
  <c r="AG573" i="10"/>
  <c r="AG574" i="10"/>
  <c r="AG575" i="10"/>
  <c r="AG576" i="10"/>
  <c r="AG577" i="10"/>
  <c r="AG578" i="10"/>
  <c r="AG579" i="10"/>
  <c r="AG580" i="10"/>
  <c r="AG581" i="10"/>
  <c r="AG582" i="10"/>
  <c r="AG583" i="10"/>
  <c r="AG584" i="10"/>
  <c r="AG587" i="10"/>
  <c r="AG588" i="10"/>
  <c r="AG589" i="10"/>
  <c r="AG590" i="10"/>
  <c r="AG591" i="10"/>
  <c r="AG592" i="10"/>
  <c r="AG593" i="10"/>
  <c r="AG594" i="10"/>
  <c r="AG595" i="10"/>
  <c r="AG596" i="10"/>
  <c r="AG597" i="10"/>
  <c r="AG598" i="10"/>
  <c r="AG599" i="10"/>
  <c r="AG600" i="10"/>
  <c r="AG601" i="10"/>
  <c r="AG602" i="10"/>
  <c r="AG603" i="10"/>
  <c r="AG604" i="10"/>
  <c r="AG605" i="10"/>
  <c r="AG606" i="10"/>
  <c r="AG607" i="10"/>
  <c r="AG610" i="10"/>
  <c r="AG611" i="10"/>
  <c r="AG612" i="10"/>
  <c r="AG613" i="10"/>
  <c r="AG614" i="10"/>
  <c r="AG615" i="10"/>
  <c r="AG616" i="10"/>
  <c r="AG617" i="10"/>
  <c r="AG618" i="10"/>
  <c r="AG620" i="10"/>
  <c r="AG621" i="10"/>
  <c r="AG622" i="10"/>
  <c r="AG623" i="10"/>
  <c r="AG624" i="10"/>
  <c r="AG625" i="10"/>
  <c r="AG626" i="10"/>
  <c r="AG627" i="10"/>
  <c r="AG628" i="10"/>
  <c r="AG630" i="10"/>
  <c r="AG631" i="10"/>
  <c r="AG632" i="10"/>
  <c r="AG633" i="10"/>
  <c r="AG634" i="10"/>
  <c r="AG635" i="10"/>
  <c r="AG636" i="10"/>
  <c r="AG637" i="10"/>
  <c r="AG638" i="10"/>
  <c r="AG639" i="10"/>
  <c r="AG641" i="10"/>
  <c r="AG642" i="10"/>
  <c r="AG643" i="10"/>
  <c r="AG644" i="10"/>
  <c r="AG645" i="10"/>
  <c r="AG646" i="10"/>
  <c r="AG647" i="10"/>
  <c r="AG648" i="10"/>
  <c r="AG650" i="10"/>
  <c r="AG651" i="10"/>
  <c r="AG652" i="10"/>
  <c r="AG653" i="10"/>
  <c r="AG654" i="10"/>
  <c r="AG655" i="10"/>
  <c r="AG656" i="10"/>
  <c r="AG657" i="10"/>
  <c r="AG658" i="10"/>
  <c r="AG659" i="10"/>
  <c r="AG660" i="10"/>
  <c r="AG662" i="10"/>
  <c r="AG663" i="10"/>
  <c r="AG664" i="10"/>
  <c r="AG665" i="10"/>
  <c r="AG666" i="10"/>
  <c r="AG667" i="10"/>
  <c r="AG668" i="10"/>
  <c r="AG669" i="10"/>
  <c r="AG671" i="10"/>
  <c r="AG672" i="10"/>
  <c r="AG673" i="10"/>
  <c r="AG674" i="10"/>
  <c r="AG675" i="10"/>
  <c r="AG676" i="10"/>
  <c r="AG677" i="10"/>
  <c r="AG678" i="10"/>
  <c r="AG679" i="10"/>
  <c r="AG681" i="10"/>
  <c r="AG682" i="10"/>
  <c r="AG683" i="10"/>
  <c r="AG684" i="10"/>
  <c r="AG685" i="10"/>
  <c r="AG686" i="10"/>
  <c r="AG687" i="10"/>
  <c r="AG689" i="10"/>
  <c r="AG690" i="10"/>
  <c r="AG691" i="10"/>
  <c r="AG692" i="10"/>
  <c r="AG693" i="10"/>
  <c r="AG694" i="10"/>
  <c r="AG695" i="10"/>
  <c r="AG697" i="10"/>
  <c r="AG698" i="10"/>
  <c r="AG699" i="10"/>
  <c r="AG700" i="10"/>
  <c r="AG701" i="10"/>
  <c r="AG702" i="10"/>
  <c r="AG703" i="10"/>
  <c r="AG705" i="10"/>
  <c r="AG706" i="10"/>
  <c r="AG707" i="10"/>
  <c r="AG708" i="10"/>
  <c r="AG709" i="10"/>
  <c r="AG710" i="10"/>
  <c r="AG711" i="10"/>
  <c r="AG712" i="10"/>
  <c r="AG713" i="10"/>
  <c r="AG714" i="10"/>
  <c r="AG715" i="10"/>
  <c r="AG716" i="10"/>
  <c r="AG717" i="10"/>
  <c r="AG718" i="10"/>
  <c r="AG719" i="10"/>
  <c r="AG720" i="10"/>
  <c r="AG721" i="10"/>
  <c r="AG722" i="10"/>
  <c r="AG723" i="10"/>
  <c r="AG724" i="10"/>
  <c r="AG725" i="10"/>
  <c r="AG726" i="10"/>
  <c r="AG727" i="10"/>
  <c r="AG728" i="10"/>
  <c r="AG729" i="10"/>
  <c r="AG730" i="10"/>
  <c r="AG731" i="10"/>
  <c r="AG732" i="10"/>
  <c r="AG733" i="10"/>
  <c r="AG734" i="10"/>
  <c r="AG735" i="10"/>
  <c r="AG736" i="10"/>
  <c r="AG737" i="10"/>
  <c r="AG738" i="10"/>
  <c r="AG739" i="10"/>
  <c r="AG740" i="10"/>
  <c r="AG742" i="10"/>
  <c r="AG743" i="10"/>
  <c r="AG744" i="10"/>
  <c r="AG745" i="10"/>
  <c r="AG746" i="10"/>
  <c r="AG747" i="10"/>
  <c r="AG748" i="10"/>
  <c r="AG749" i="10"/>
  <c r="AG750" i="10"/>
  <c r="AG752" i="10"/>
  <c r="AG753" i="10"/>
  <c r="AG754" i="10"/>
  <c r="AG755" i="10"/>
  <c r="AG756" i="10"/>
  <c r="AG757" i="10"/>
  <c r="AG758" i="10"/>
  <c r="AG759" i="10"/>
  <c r="AG761" i="10"/>
  <c r="AG762" i="10"/>
  <c r="AG763" i="10"/>
  <c r="AG764" i="10"/>
  <c r="AG765" i="10"/>
  <c r="AG766" i="10"/>
  <c r="AG768" i="10"/>
  <c r="AG769" i="10"/>
  <c r="AG770" i="10"/>
  <c r="AG771" i="10"/>
  <c r="AG772" i="10"/>
  <c r="AG773" i="10"/>
  <c r="AG774" i="10"/>
  <c r="AG775" i="10"/>
  <c r="AG776" i="10"/>
  <c r="AG777" i="10"/>
  <c r="AG778" i="10"/>
  <c r="AG779" i="10"/>
  <c r="AG780" i="10"/>
  <c r="AG781" i="10"/>
  <c r="AG782" i="10"/>
  <c r="AG783" i="10"/>
  <c r="AG784" i="10"/>
  <c r="AG785" i="10"/>
  <c r="AG786" i="10"/>
  <c r="AG788" i="10"/>
  <c r="AG789" i="10"/>
  <c r="AG790" i="10"/>
  <c r="AG791" i="10"/>
  <c r="AG792" i="10"/>
  <c r="AG793" i="10"/>
  <c r="AG796" i="10"/>
  <c r="AG797" i="10"/>
  <c r="AG798" i="10"/>
  <c r="AG799" i="10"/>
  <c r="AG800" i="10"/>
  <c r="AG801" i="10"/>
  <c r="AG802" i="10"/>
  <c r="AG803" i="10"/>
  <c r="AG804" i="10"/>
  <c r="AG805" i="10"/>
  <c r="AG806" i="10"/>
  <c r="AG807" i="10"/>
  <c r="AG808" i="10"/>
  <c r="AG809" i="10"/>
  <c r="AG810" i="10"/>
  <c r="AG811" i="10"/>
  <c r="AG812" i="10"/>
  <c r="AG814" i="10"/>
  <c r="AG815" i="10"/>
  <c r="AG816" i="10"/>
  <c r="AG817" i="10"/>
  <c r="AG818" i="10"/>
  <c r="AG819" i="10"/>
  <c r="AG820" i="10"/>
  <c r="AG821" i="10"/>
  <c r="AG822" i="10"/>
  <c r="AG823" i="10"/>
  <c r="AG824" i="10"/>
  <c r="AG825" i="10"/>
  <c r="AG826" i="10"/>
  <c r="AG827" i="10"/>
  <c r="AG828" i="10"/>
  <c r="AG829" i="10"/>
  <c r="AG830" i="10"/>
  <c r="AG831" i="10"/>
  <c r="AG832" i="10"/>
  <c r="AG833" i="10"/>
  <c r="AG834" i="10"/>
  <c r="AG835" i="10"/>
  <c r="AG837" i="10"/>
  <c r="AG838" i="10"/>
  <c r="AG839" i="10"/>
  <c r="AG840" i="10"/>
  <c r="AG841" i="10"/>
  <c r="AG842" i="10"/>
  <c r="AG843" i="10"/>
  <c r="AG844" i="10"/>
  <c r="AG845" i="10"/>
  <c r="AG846" i="10"/>
  <c r="AG847" i="10"/>
  <c r="AG848" i="10"/>
  <c r="AG849" i="10"/>
  <c r="AG850" i="10"/>
  <c r="AG851" i="10"/>
  <c r="AG853" i="10"/>
  <c r="AG854" i="10"/>
  <c r="AG855" i="10"/>
  <c r="AG856" i="10"/>
  <c r="AG857" i="10"/>
  <c r="AG858" i="10"/>
  <c r="AG859" i="10"/>
  <c r="AG861" i="10"/>
  <c r="AG862" i="10"/>
  <c r="AG863" i="10"/>
  <c r="AG864" i="10"/>
  <c r="AG865" i="10"/>
  <c r="AG866" i="10"/>
  <c r="AG867" i="10"/>
  <c r="AG868" i="10"/>
  <c r="AG869" i="10"/>
  <c r="AG872" i="10"/>
  <c r="AG873" i="10"/>
  <c r="AG874" i="10"/>
  <c r="AG875" i="10"/>
  <c r="AG876" i="10"/>
  <c r="AG877" i="10"/>
  <c r="AG878" i="10"/>
  <c r="AG879" i="10"/>
  <c r="AG880" i="10"/>
  <c r="AG881" i="10"/>
  <c r="AG882" i="10"/>
  <c r="AG883" i="10"/>
  <c r="AG884" i="10"/>
  <c r="AG885" i="10"/>
  <c r="AG886" i="10"/>
  <c r="AG887" i="10"/>
  <c r="AG888" i="10"/>
  <c r="AG889" i="10"/>
  <c r="AG890" i="10"/>
  <c r="AG891" i="10"/>
  <c r="AG892" i="10"/>
  <c r="AG893" i="10"/>
  <c r="AG894" i="10"/>
  <c r="AG895" i="10"/>
  <c r="AG896" i="10"/>
  <c r="AG897" i="10"/>
  <c r="AG898" i="10"/>
  <c r="AG899" i="10"/>
  <c r="AG900" i="10"/>
  <c r="AG901" i="10"/>
  <c r="AG902" i="10"/>
  <c r="AG903" i="10"/>
  <c r="AG904" i="10"/>
  <c r="AG905" i="10"/>
  <c r="AG906" i="10"/>
  <c r="AG907" i="10"/>
  <c r="AG908" i="10"/>
  <c r="AG909" i="10"/>
  <c r="AG910" i="10"/>
  <c r="AG911" i="10"/>
  <c r="AG912" i="10"/>
  <c r="AG913" i="10"/>
  <c r="AG914" i="10"/>
  <c r="AG915" i="10"/>
  <c r="AG916" i="10"/>
  <c r="AG917" i="10"/>
  <c r="AG918" i="10"/>
  <c r="AG919" i="10"/>
  <c r="AG920" i="10"/>
  <c r="AG921" i="10"/>
  <c r="AG922" i="10"/>
  <c r="AG923" i="10"/>
  <c r="AG924" i="10"/>
  <c r="AG925" i="10"/>
  <c r="AG926" i="10"/>
  <c r="AG927" i="10"/>
  <c r="AG928" i="10"/>
  <c r="AG929" i="10"/>
  <c r="AG930" i="10"/>
  <c r="AG931" i="10"/>
  <c r="AG932" i="10"/>
  <c r="AG933" i="10"/>
  <c r="AG934" i="10"/>
  <c r="AG935" i="10"/>
  <c r="AG936" i="10"/>
  <c r="AG937" i="10"/>
  <c r="AG939" i="10"/>
  <c r="AG940" i="10"/>
  <c r="AG941" i="10"/>
  <c r="AG942" i="10"/>
  <c r="AG943" i="10"/>
  <c r="AG944" i="10"/>
  <c r="AG946" i="10"/>
  <c r="AG947" i="10"/>
  <c r="AG948" i="10"/>
  <c r="AG949" i="10"/>
  <c r="AG950" i="10"/>
  <c r="AG951" i="10"/>
  <c r="AG952" i="10"/>
  <c r="AG954" i="10"/>
  <c r="AG955" i="10"/>
  <c r="AG956" i="10"/>
  <c r="AG957" i="10"/>
  <c r="AG958" i="10"/>
  <c r="AG959" i="10"/>
  <c r="AG960" i="10"/>
  <c r="AG962" i="10"/>
  <c r="AG963" i="10"/>
  <c r="AG964" i="10"/>
  <c r="AG965" i="10"/>
  <c r="AG966" i="10"/>
  <c r="AG967" i="10"/>
  <c r="AG968" i="10"/>
  <c r="AG970" i="10"/>
  <c r="AG971" i="10"/>
  <c r="AG972" i="10"/>
  <c r="AG973" i="10"/>
  <c r="AG974" i="10"/>
  <c r="AG975" i="10"/>
  <c r="AG976" i="10"/>
  <c r="AG978" i="10"/>
  <c r="AG979" i="10"/>
  <c r="AG980" i="10"/>
  <c r="AG981" i="10"/>
  <c r="AG982" i="10"/>
  <c r="AG983" i="10"/>
  <c r="AG984" i="10"/>
  <c r="AG985" i="10"/>
  <c r="AG986" i="10"/>
  <c r="AG987" i="10"/>
  <c r="AG988" i="10"/>
  <c r="AG989" i="10"/>
  <c r="AG990" i="10"/>
  <c r="AG991" i="10"/>
  <c r="AG992" i="10"/>
  <c r="AG993" i="10"/>
  <c r="AG994" i="10"/>
  <c r="AG995" i="10"/>
  <c r="AG996" i="10"/>
  <c r="AG997" i="10"/>
  <c r="AG998" i="10"/>
  <c r="AG999" i="10"/>
  <c r="AG1000" i="10"/>
  <c r="AG1001" i="10"/>
  <c r="AG1002" i="10"/>
  <c r="AG1003" i="10"/>
  <c r="AG1004" i="10"/>
  <c r="AG1005" i="10"/>
  <c r="AG1006" i="10"/>
  <c r="AG1007" i="10"/>
  <c r="AG1008" i="10"/>
  <c r="AG1010" i="10"/>
  <c r="AG1011" i="10"/>
  <c r="AG1012" i="10"/>
  <c r="AG1013" i="10"/>
  <c r="AG1014" i="10"/>
  <c r="AG1015" i="10"/>
  <c r="AG1016" i="10"/>
  <c r="AG1017" i="10"/>
  <c r="AG1018" i="10"/>
  <c r="AG1019" i="10"/>
  <c r="AG1020" i="10"/>
  <c r="AG1021" i="10"/>
  <c r="AG1022" i="10"/>
  <c r="AG1023" i="10"/>
  <c r="AG1024" i="10"/>
  <c r="AG1025" i="10"/>
  <c r="AG1027" i="10"/>
  <c r="AG1028" i="10"/>
  <c r="AG1029" i="10"/>
  <c r="AG1030" i="10"/>
  <c r="AG1031" i="10"/>
  <c r="AG1032" i="10"/>
  <c r="AG1033" i="10"/>
  <c r="AG1034" i="10"/>
  <c r="AG1035" i="10"/>
  <c r="AG1036" i="10"/>
  <c r="AG1037" i="10"/>
  <c r="AG1038" i="10"/>
  <c r="AG1039" i="10"/>
  <c r="AG1040" i="10"/>
  <c r="AG1042" i="10"/>
  <c r="AG1043" i="10"/>
  <c r="AG1044" i="10"/>
  <c r="AG1045" i="10"/>
  <c r="AG1046" i="10"/>
  <c r="AG1047" i="10"/>
  <c r="AG1048" i="10"/>
  <c r="AG1049" i="10"/>
  <c r="AG1050" i="10"/>
  <c r="AG1051" i="10"/>
  <c r="AG1052" i="10"/>
  <c r="AG1053" i="10"/>
  <c r="AG1054" i="10"/>
  <c r="AG1055" i="10"/>
  <c r="AG1056" i="10"/>
  <c r="AG1057" i="10"/>
  <c r="AG1059" i="10"/>
  <c r="AG1060" i="10"/>
  <c r="AG1061" i="10"/>
  <c r="AG1062" i="10"/>
  <c r="AG1063" i="10"/>
  <c r="AG1064" i="10"/>
  <c r="AG1065" i="10"/>
  <c r="AG1066" i="10"/>
  <c r="AG1067" i="10"/>
  <c r="AG1069" i="10"/>
  <c r="AG1070" i="10"/>
  <c r="AG1071" i="10"/>
  <c r="AG1072" i="10"/>
  <c r="AG1073" i="10"/>
  <c r="AG1074" i="10"/>
  <c r="AG1075" i="10"/>
  <c r="AG1076" i="10"/>
  <c r="AG1078" i="10"/>
  <c r="AG1079" i="10"/>
  <c r="AG1080" i="10"/>
  <c r="AG1081" i="10"/>
  <c r="AG1082" i="10"/>
  <c r="AG1083" i="10"/>
  <c r="AG1084" i="10"/>
  <c r="AG1085" i="10"/>
  <c r="AG1086" i="10"/>
  <c r="AG1087" i="10"/>
  <c r="AG1088" i="10"/>
  <c r="AG1089" i="10"/>
  <c r="AG1090" i="10"/>
  <c r="AG1091" i="10"/>
  <c r="AG1092" i="10"/>
  <c r="AG1093" i="10"/>
  <c r="AG1094" i="10"/>
  <c r="AG1095" i="10"/>
  <c r="AG1096" i="10"/>
  <c r="AG1097" i="10"/>
  <c r="AG1098" i="10"/>
  <c r="AG1099" i="10"/>
  <c r="AG1100" i="10"/>
  <c r="AG1102" i="10"/>
  <c r="AG1103" i="10"/>
  <c r="AG1104" i="10"/>
  <c r="AG1105" i="10"/>
  <c r="AG1106" i="10"/>
  <c r="AG1107" i="10"/>
  <c r="AG1108" i="10"/>
  <c r="AG1109" i="10"/>
  <c r="AG1110" i="10"/>
  <c r="AG1111" i="10"/>
  <c r="AG1113" i="10"/>
  <c r="AG1114" i="10"/>
  <c r="AG1115" i="10"/>
  <c r="AG1116" i="10"/>
  <c r="AG1117" i="10"/>
  <c r="AG1118" i="10"/>
  <c r="AG1119" i="10"/>
  <c r="AG1120" i="10"/>
  <c r="AG1121" i="10"/>
  <c r="AG1122" i="10"/>
  <c r="AG1123" i="10"/>
  <c r="AG1124" i="10"/>
  <c r="AG1125" i="10"/>
  <c r="AG1126" i="10"/>
  <c r="AG1127" i="10"/>
  <c r="AG1128" i="10"/>
  <c r="AG1129" i="10"/>
  <c r="AG1130" i="10"/>
  <c r="AG1131" i="10"/>
  <c r="AG1132" i="10"/>
  <c r="AG1133" i="10"/>
  <c r="AG1134" i="10"/>
  <c r="AG1135" i="10"/>
  <c r="AG1136" i="10"/>
  <c r="AG1138" i="10"/>
  <c r="AG1139" i="10"/>
  <c r="AG1140" i="10"/>
  <c r="AG1141" i="10"/>
  <c r="AG1142" i="10"/>
  <c r="AG1143" i="10"/>
  <c r="AG1144" i="10"/>
  <c r="AG1145" i="10"/>
  <c r="AG1147" i="10"/>
  <c r="AG1148" i="10"/>
  <c r="AG1149" i="10"/>
  <c r="AG1150" i="10"/>
  <c r="AG1151" i="10"/>
  <c r="AG1152" i="10"/>
  <c r="AG1153" i="10"/>
  <c r="AG1155" i="10"/>
  <c r="AG1156" i="10"/>
  <c r="AG1157" i="10"/>
  <c r="AG1158" i="10"/>
  <c r="AG1159" i="10"/>
  <c r="AG1160" i="10"/>
  <c r="AG1162" i="10"/>
  <c r="AG1163" i="10"/>
  <c r="AG1164" i="10"/>
  <c r="AG1165" i="10"/>
  <c r="AG1166" i="10"/>
  <c r="AG1167" i="10"/>
  <c r="AG1169" i="10"/>
  <c r="AG1170" i="10"/>
  <c r="AG1171" i="10"/>
  <c r="AG1172" i="10"/>
  <c r="AG1173" i="10"/>
  <c r="AG1174" i="10"/>
  <c r="AG1175" i="10"/>
  <c r="AG1177" i="10"/>
  <c r="AG1178" i="10"/>
  <c r="AG1179" i="10"/>
  <c r="AG1180" i="10"/>
  <c r="AG1181" i="10"/>
  <c r="AG1182" i="10"/>
  <c r="AG1183" i="10"/>
  <c r="AG1184" i="10"/>
  <c r="AG1185" i="10"/>
  <c r="AG1187" i="10"/>
  <c r="AG1188" i="10"/>
  <c r="AG1189" i="10"/>
  <c r="AG1190" i="10"/>
  <c r="AG1191" i="10"/>
  <c r="AG1192" i="10"/>
  <c r="AG1193" i="10"/>
  <c r="AG1194" i="10"/>
  <c r="AG1195" i="10"/>
  <c r="AG1197" i="10"/>
  <c r="AG1198" i="10"/>
  <c r="AG1199" i="10"/>
  <c r="AG1200" i="10"/>
  <c r="AG1201" i="10"/>
  <c r="AG1202" i="10"/>
  <c r="AG1203" i="10"/>
  <c r="AG1204" i="10"/>
  <c r="AG1205" i="10"/>
  <c r="AG1207" i="10"/>
  <c r="AG1208" i="10"/>
  <c r="AG1209" i="10"/>
  <c r="AG1210" i="10"/>
  <c r="AG1211" i="10"/>
  <c r="AG1212" i="10"/>
  <c r="AG1214" i="10"/>
  <c r="AG1215" i="10"/>
  <c r="AG1216" i="10"/>
  <c r="AG1217" i="10"/>
  <c r="AG1218" i="10"/>
  <c r="AG1219" i="10"/>
  <c r="AG1221" i="10"/>
  <c r="AG1222" i="10"/>
  <c r="AG1223" i="10"/>
  <c r="AG1224" i="10"/>
  <c r="AG1225" i="10"/>
  <c r="AG1226" i="10"/>
  <c r="AG1227" i="10"/>
  <c r="AG1229" i="10"/>
  <c r="AG1230" i="10"/>
  <c r="AG1231" i="10"/>
  <c r="AG1232" i="10"/>
  <c r="AG1233" i="10"/>
  <c r="AG1234" i="10"/>
  <c r="AG1235" i="10"/>
  <c r="AG1236" i="10"/>
  <c r="AG1237" i="10"/>
  <c r="AG1238" i="10"/>
  <c r="AG1240" i="10"/>
  <c r="AG1241" i="10"/>
  <c r="AG1242" i="10"/>
  <c r="AG1243" i="10"/>
  <c r="AG1244" i="10"/>
  <c r="AG1245" i="10"/>
  <c r="AG1246" i="10"/>
  <c r="AG1247" i="10"/>
  <c r="AG1248" i="10"/>
  <c r="AG1249" i="10"/>
  <c r="AG1250" i="10"/>
  <c r="AG1251" i="10"/>
  <c r="AG1252" i="10"/>
  <c r="AG1253" i="10"/>
  <c r="AG1254" i="10"/>
  <c r="AG1255" i="10"/>
  <c r="AG1257" i="10"/>
  <c r="AG1258" i="10"/>
  <c r="AG1259" i="10"/>
  <c r="AG1260" i="10"/>
  <c r="AG1261" i="10"/>
  <c r="AG1262" i="10"/>
  <c r="AG1263" i="10"/>
  <c r="AG1264" i="10"/>
  <c r="AG1265" i="10"/>
  <c r="AG1267" i="10"/>
  <c r="AG1268" i="10"/>
  <c r="AG1269" i="10"/>
  <c r="AG1270" i="10"/>
  <c r="AG1271" i="10"/>
  <c r="AG1272" i="10"/>
  <c r="AG1273" i="10"/>
  <c r="AG1275" i="10"/>
  <c r="AG1276" i="10"/>
  <c r="AG1277" i="10"/>
  <c r="AG1278" i="10"/>
  <c r="AG1279" i="10"/>
  <c r="AG1280" i="10"/>
  <c r="AG1281" i="10"/>
  <c r="AG1282" i="10"/>
  <c r="AG1283" i="10"/>
  <c r="AG1284" i="10"/>
  <c r="AG1285" i="10"/>
  <c r="AG1286" i="10"/>
  <c r="AG1287" i="10"/>
  <c r="AG1288" i="10"/>
  <c r="AG1289" i="10"/>
  <c r="AG1290" i="10"/>
  <c r="AG1291" i="10"/>
  <c r="AG1292" i="10"/>
  <c r="AG1293" i="10"/>
  <c r="AG1294" i="10"/>
  <c r="AG1295" i="10"/>
  <c r="AG1297" i="10"/>
  <c r="AG1298" i="10"/>
  <c r="AG1299" i="10"/>
  <c r="AG1300" i="10"/>
  <c r="AG1301" i="10"/>
  <c r="AG1302" i="10"/>
  <c r="AG1304" i="10"/>
  <c r="AG1305" i="10"/>
  <c r="AG1306" i="10"/>
  <c r="AG1307" i="10"/>
  <c r="AG1308" i="10"/>
  <c r="AG1309" i="10"/>
  <c r="AG1310" i="10"/>
  <c r="AG1311" i="10"/>
  <c r="AG1313" i="10"/>
  <c r="AG1314" i="10"/>
  <c r="AG1315" i="10"/>
  <c r="AG1316" i="10"/>
  <c r="AG1317" i="10"/>
  <c r="AG1318" i="10"/>
  <c r="AG1319" i="10"/>
  <c r="AG1320" i="10"/>
  <c r="AG1321" i="10"/>
  <c r="AG1322" i="10"/>
  <c r="AG1323" i="10"/>
  <c r="AG1324" i="10"/>
  <c r="AG1325" i="10"/>
  <c r="AG1326" i="10"/>
  <c r="AG1327" i="10"/>
  <c r="AG1328" i="10"/>
  <c r="AG1329" i="10"/>
  <c r="AG1330" i="10"/>
  <c r="AG1331" i="10"/>
  <c r="AG1332" i="10"/>
  <c r="AG1333" i="10"/>
  <c r="AG1334" i="10"/>
  <c r="AG1336" i="10"/>
  <c r="AG1337" i="10"/>
  <c r="AG1338" i="10"/>
  <c r="AG1339" i="10"/>
  <c r="AG1340" i="10"/>
  <c r="AG1341" i="10"/>
  <c r="AG1342" i="10"/>
  <c r="AG1343" i="10"/>
  <c r="AG1346" i="10"/>
  <c r="AG1347" i="10"/>
  <c r="AG1348" i="10"/>
  <c r="AG1349" i="10"/>
  <c r="AG1350" i="10"/>
  <c r="AG1351" i="10"/>
  <c r="AG1352" i="10"/>
  <c r="AG1353" i="10"/>
  <c r="AG1356" i="10"/>
  <c r="AG1357" i="10"/>
  <c r="AG1358" i="10"/>
  <c r="AG1359" i="10"/>
  <c r="AG1360" i="10"/>
  <c r="AG1361" i="10"/>
  <c r="AG1364" i="10"/>
  <c r="AG1365" i="10"/>
  <c r="AG1366" i="10"/>
  <c r="AG1367" i="10"/>
  <c r="AG1368" i="10"/>
  <c r="AG1369" i="10"/>
  <c r="AG1370" i="10"/>
  <c r="AG1373" i="10"/>
  <c r="AG1374" i="10"/>
  <c r="AG1375" i="10"/>
  <c r="AG1376" i="10"/>
  <c r="AG1377" i="10"/>
  <c r="AG1378" i="10"/>
  <c r="AG1381" i="10"/>
  <c r="AG1382" i="10"/>
  <c r="AG1383" i="10"/>
  <c r="AG1384" i="10"/>
  <c r="AG1385" i="10"/>
  <c r="AG1386" i="10"/>
  <c r="AG1387" i="10"/>
  <c r="AG1388" i="10"/>
  <c r="AG1389" i="10"/>
  <c r="AG1390" i="10"/>
  <c r="AG1391" i="10"/>
  <c r="AG1392" i="10"/>
  <c r="AG1393" i="10"/>
  <c r="AG1394" i="10"/>
  <c r="AG1395" i="10"/>
  <c r="AG1396" i="10"/>
  <c r="AG1397" i="10"/>
  <c r="AG1398" i="10"/>
  <c r="AG1399" i="10"/>
  <c r="AG1400" i="10"/>
  <c r="AG1401" i="10"/>
  <c r="AG1402" i="10"/>
  <c r="AG1403" i="10"/>
  <c r="AG1404" i="10"/>
  <c r="AG1405" i="10"/>
  <c r="AG1406" i="10"/>
  <c r="AG1407" i="10"/>
  <c r="AG1408" i="10"/>
  <c r="AG1409" i="10"/>
  <c r="AG1410" i="10"/>
  <c r="AG1411" i="10"/>
  <c r="AG1412" i="10"/>
  <c r="AG1413" i="10"/>
  <c r="AG1414" i="10"/>
  <c r="AG1417" i="10"/>
  <c r="AG1418" i="10"/>
  <c r="AG1419" i="10"/>
  <c r="AG1420" i="10"/>
  <c r="AG1421" i="10"/>
  <c r="AG1422" i="10"/>
  <c r="AG1423" i="10"/>
  <c r="AG1424" i="10"/>
  <c r="AG1425" i="10"/>
  <c r="AG1426" i="10"/>
  <c r="AG1427" i="10"/>
  <c r="AG1429" i="10"/>
  <c r="AG1430" i="10"/>
  <c r="AG1431" i="10"/>
  <c r="AG1432" i="10"/>
  <c r="AG1433" i="10"/>
  <c r="AG1434" i="10"/>
  <c r="AG1435" i="10"/>
  <c r="AG1436" i="10"/>
  <c r="AG1437" i="10"/>
  <c r="AG1438" i="10"/>
  <c r="AG1439" i="10"/>
  <c r="AG1440" i="10"/>
  <c r="AG1441" i="10"/>
  <c r="AG1442" i="10"/>
  <c r="AG1443" i="10"/>
  <c r="AG1444" i="10"/>
  <c r="AG1445" i="10"/>
  <c r="AG1446" i="10"/>
  <c r="AG1447" i="10"/>
  <c r="AG1448" i="10"/>
  <c r="AG1449" i="10"/>
  <c r="AG1450" i="10"/>
  <c r="AG1451" i="10"/>
  <c r="AG1453" i="10"/>
  <c r="AG1454" i="10"/>
  <c r="AG1455" i="10"/>
  <c r="AG1456" i="10"/>
  <c r="AG1457" i="10"/>
  <c r="AG1458" i="10"/>
  <c r="AG1460" i="10"/>
  <c r="AG1461" i="10"/>
  <c r="AG1462" i="10"/>
  <c r="AG1463" i="10"/>
  <c r="AG1464" i="10"/>
  <c r="AG1465" i="10"/>
  <c r="AG1466" i="10"/>
  <c r="AG1467" i="10"/>
  <c r="AG1468" i="10"/>
  <c r="AG1470" i="10"/>
  <c r="AG1471" i="10"/>
  <c r="AG1472" i="10"/>
  <c r="AG1473" i="10"/>
  <c r="AG1474" i="10"/>
  <c r="AG1475" i="10"/>
  <c r="AG1476" i="10"/>
  <c r="AG1477" i="10"/>
  <c r="AG1478" i="10"/>
  <c r="AG1479" i="10"/>
  <c r="AG1480" i="10"/>
  <c r="AG1481" i="10"/>
  <c r="AG1482" i="10"/>
  <c r="AG1484" i="10"/>
  <c r="AG1485" i="10"/>
  <c r="AG1486" i="10"/>
  <c r="AG1487" i="10"/>
  <c r="AG1488" i="10"/>
  <c r="AG1489" i="10"/>
  <c r="AG1490" i="10"/>
  <c r="AG1491" i="10"/>
  <c r="AG1492" i="10"/>
  <c r="AG1493" i="10"/>
  <c r="AG1494" i="10"/>
  <c r="AG1495" i="10"/>
  <c r="AG1496" i="10"/>
  <c r="AG1497" i="10"/>
  <c r="AG1498" i="10"/>
  <c r="AG1499" i="10"/>
  <c r="AG1500" i="10"/>
  <c r="AG1502" i="10"/>
  <c r="AG1503" i="10"/>
  <c r="AG1504" i="10"/>
  <c r="AG1505" i="10"/>
  <c r="AG1506" i="10"/>
  <c r="AG1508" i="10"/>
  <c r="AG1509" i="10"/>
  <c r="AG1510" i="10"/>
  <c r="AG1511" i="10"/>
  <c r="AG1512" i="10"/>
  <c r="AG1513" i="10"/>
  <c r="AG1515" i="10"/>
  <c r="AG1516" i="10"/>
  <c r="AG1517" i="10"/>
  <c r="AG1518" i="10"/>
  <c r="AG1519" i="10"/>
  <c r="AG1521" i="10"/>
  <c r="AG1522" i="10"/>
  <c r="AG1523" i="10"/>
  <c r="AG1524" i="10"/>
  <c r="AG1525" i="10"/>
  <c r="AG1526" i="10"/>
  <c r="AG1527" i="10"/>
  <c r="AG1529" i="10"/>
  <c r="AG1530" i="10"/>
  <c r="AG1531" i="10"/>
  <c r="AG1532" i="10"/>
  <c r="AG1533" i="10"/>
  <c r="AG1534" i="10"/>
  <c r="AG1535" i="10"/>
  <c r="AG1536" i="10"/>
  <c r="AG1538" i="10"/>
  <c r="AG1539" i="10"/>
  <c r="AG1540" i="10"/>
  <c r="AG1541" i="10"/>
  <c r="AG1542" i="10"/>
  <c r="AG1544" i="10"/>
  <c r="AG1545" i="10"/>
  <c r="AG1546" i="10"/>
  <c r="AG1547" i="10"/>
  <c r="AG1548" i="10"/>
  <c r="AG1550" i="10"/>
  <c r="AG1551" i="10"/>
  <c r="AG1552" i="10"/>
  <c r="AG1553" i="10"/>
  <c r="AG1554" i="10"/>
  <c r="AG1555" i="10"/>
  <c r="AG1557" i="10"/>
  <c r="AG1558" i="10"/>
  <c r="AG1559" i="10"/>
  <c r="AG1560" i="10"/>
  <c r="AG1561" i="10"/>
  <c r="AG1562" i="10"/>
  <c r="AG1563" i="10"/>
  <c r="AG1564" i="10"/>
  <c r="AG1565" i="10"/>
  <c r="AG1566" i="10"/>
  <c r="AG1567" i="10"/>
  <c r="AG1568" i="10"/>
  <c r="AG1570" i="10"/>
  <c r="AG1571" i="10"/>
  <c r="AG1572" i="10"/>
  <c r="AG1573" i="10"/>
  <c r="AG1574" i="10"/>
  <c r="AG1575" i="10"/>
  <c r="AG1577" i="10"/>
  <c r="AG1578" i="10"/>
  <c r="AG1579" i="10"/>
  <c r="AG1580" i="10"/>
  <c r="AG1581" i="10"/>
  <c r="AG1582" i="10"/>
  <c r="AG1584" i="10"/>
  <c r="AG1585" i="10"/>
  <c r="AG1586" i="10"/>
  <c r="AG1587" i="10"/>
  <c r="AG1588" i="10"/>
  <c r="AG1589" i="10"/>
  <c r="AG1591" i="10"/>
  <c r="AG1592" i="10"/>
  <c r="AG1593" i="10"/>
  <c r="AG1594" i="10"/>
  <c r="AG1595" i="10"/>
  <c r="AG1596" i="10"/>
  <c r="AG1598" i="10"/>
  <c r="AG1599" i="10"/>
  <c r="AG1600" i="10"/>
  <c r="AG1601" i="10"/>
  <c r="AG1602" i="10"/>
  <c r="AG1603" i="10"/>
  <c r="AG1604" i="10"/>
  <c r="AG1605" i="10"/>
  <c r="AG1606" i="10"/>
  <c r="AG1607" i="10"/>
  <c r="AG1609" i="10"/>
  <c r="AG1610" i="10"/>
  <c r="AG1611" i="10"/>
  <c r="AG1612" i="10"/>
  <c r="AG1613" i="10"/>
  <c r="AG1614" i="10"/>
  <c r="AG1615" i="10"/>
  <c r="AG1616" i="10"/>
  <c r="AG1617" i="10"/>
  <c r="AG1618" i="10"/>
  <c r="AG1619" i="10"/>
  <c r="AG1620" i="10"/>
  <c r="AG1621" i="10"/>
  <c r="AG1623" i="10"/>
  <c r="AG1624" i="10"/>
  <c r="AG1625" i="10"/>
  <c r="AG1626" i="10"/>
  <c r="AG1627" i="10"/>
  <c r="AG1628" i="10"/>
  <c r="AG1629" i="10"/>
  <c r="AG1630" i="10"/>
  <c r="AG1632" i="10"/>
  <c r="AG1633" i="10"/>
  <c r="AG1634" i="10"/>
  <c r="AG1635" i="10"/>
  <c r="AG1636" i="10"/>
  <c r="AG1637" i="10"/>
  <c r="AG1638" i="10"/>
  <c r="AG1639" i="10"/>
  <c r="AG1640" i="10"/>
  <c r="AG1642" i="10"/>
  <c r="AG1643" i="10"/>
  <c r="AG1644" i="10"/>
  <c r="AG1645" i="10"/>
  <c r="AG1646" i="10"/>
  <c r="AG1647" i="10"/>
  <c r="AG1648" i="10"/>
  <c r="AG1650" i="10"/>
  <c r="AG1651" i="10"/>
  <c r="AG1652" i="10"/>
  <c r="AG1653" i="10"/>
  <c r="AG1654" i="10"/>
  <c r="AG1655" i="10"/>
  <c r="AG1656" i="10"/>
  <c r="AG1657" i="10"/>
  <c r="AG1659" i="10"/>
  <c r="AG1660" i="10"/>
  <c r="AG1661" i="10"/>
  <c r="AG1662" i="10"/>
  <c r="AG1663" i="10"/>
  <c r="AG1664" i="10"/>
  <c r="AG1665" i="10"/>
  <c r="AG1677" i="10"/>
  <c r="AG1678" i="10"/>
  <c r="AG1679" i="10"/>
  <c r="AG1680" i="10"/>
  <c r="AG1681" i="10"/>
  <c r="AG1682" i="10"/>
  <c r="AG1683" i="10"/>
  <c r="AG1694" i="10"/>
  <c r="AG1695" i="10"/>
  <c r="AG1696" i="10"/>
  <c r="AG1697" i="10"/>
  <c r="AG1698" i="10"/>
  <c r="AG1699" i="10"/>
  <c r="AG1700" i="10"/>
  <c r="AG1701" i="10"/>
  <c r="AG1702" i="10"/>
  <c r="AG1703" i="10"/>
  <c r="AG1704" i="10"/>
  <c r="AG1705" i="10"/>
  <c r="AG1712" i="10"/>
  <c r="AG1713" i="10"/>
  <c r="AG1714" i="10"/>
  <c r="AG1715" i="10"/>
  <c r="AG1716" i="10"/>
  <c r="AG1717" i="10"/>
  <c r="AG1718" i="10"/>
  <c r="AG1720" i="10"/>
  <c r="AG1721" i="10"/>
  <c r="AG1722" i="10"/>
  <c r="AG1723" i="10"/>
  <c r="AG1724" i="10"/>
  <c r="AG1725" i="10"/>
  <c r="AG1727" i="10"/>
  <c r="AG1728" i="10"/>
  <c r="AG1729" i="10"/>
  <c r="AG1730" i="10"/>
  <c r="AG1731" i="10"/>
  <c r="AG1732" i="10"/>
  <c r="AG1733" i="10"/>
  <c r="AG1735" i="10"/>
  <c r="AG1736" i="10"/>
  <c r="AG1737" i="10"/>
  <c r="AG1738" i="10"/>
  <c r="AG1739" i="10"/>
  <c r="AG1740" i="10"/>
  <c r="AG1741" i="10"/>
  <c r="AG1742" i="10"/>
  <c r="AG1743" i="10"/>
  <c r="AG1744" i="10"/>
  <c r="AG1745" i="10"/>
  <c r="AG1746" i="10"/>
  <c r="AG1747" i="10"/>
  <c r="AG1748" i="10"/>
  <c r="AG1749" i="10"/>
  <c r="AG1750" i="10"/>
  <c r="AG1751" i="10"/>
  <c r="AG1752" i="10"/>
  <c r="AG1753" i="10"/>
  <c r="AG1754" i="10"/>
  <c r="AG1755" i="10"/>
  <c r="AG1756" i="10"/>
  <c r="AG1758" i="10"/>
  <c r="AG1759" i="10"/>
  <c r="AG1760" i="10"/>
  <c r="AG1761" i="10"/>
  <c r="AG1762" i="10"/>
  <c r="AG1763" i="10"/>
  <c r="AG1764" i="10"/>
  <c r="AG1765" i="10"/>
  <c r="AG1766" i="10"/>
  <c r="AG1767" i="10"/>
  <c r="AG1768" i="10"/>
  <c r="AG1769" i="10"/>
  <c r="AG1770" i="10"/>
  <c r="AG1772" i="10"/>
  <c r="AG1773" i="10"/>
  <c r="AG1774" i="10"/>
  <c r="AG1775" i="10"/>
  <c r="AG1776" i="10"/>
  <c r="AG1777" i="10"/>
  <c r="AG1779" i="10"/>
  <c r="AG1780" i="10"/>
  <c r="AG1781" i="10"/>
  <c r="AG1782" i="10"/>
  <c r="AG1783" i="10"/>
  <c r="AG1784" i="10"/>
  <c r="AG1785" i="10"/>
  <c r="AG1786" i="10"/>
  <c r="AG1787" i="10"/>
  <c r="AG1788" i="10"/>
  <c r="AG1789" i="10"/>
  <c r="AG1791" i="10"/>
  <c r="AG1792" i="10"/>
  <c r="AG1793" i="10"/>
  <c r="AG1794" i="10"/>
  <c r="AG1795" i="10"/>
  <c r="AG1796" i="10"/>
  <c r="AG1798" i="10"/>
  <c r="AG1799" i="10"/>
  <c r="AG1800" i="10"/>
  <c r="AG1801" i="10"/>
  <c r="AG1802" i="10"/>
  <c r="AG1803" i="10"/>
  <c r="AG1804" i="10"/>
  <c r="AG1806" i="10"/>
  <c r="AG1808" i="10"/>
  <c r="AG1809" i="10"/>
  <c r="AG1810" i="10"/>
  <c r="AG1811" i="10"/>
  <c r="AG1812" i="10"/>
  <c r="AG1813" i="10"/>
  <c r="AG1814" i="10"/>
  <c r="AG1815" i="10"/>
  <c r="AG1816" i="10"/>
  <c r="AG1817" i="10"/>
  <c r="AG1818" i="10"/>
  <c r="AG1819" i="10"/>
  <c r="AG1820" i="10"/>
  <c r="AG1821" i="10"/>
  <c r="AG1822" i="10"/>
  <c r="AG1823" i="10"/>
  <c r="AG1825" i="10"/>
  <c r="AG1826" i="10"/>
  <c r="AG1827" i="10"/>
  <c r="AG1828" i="10"/>
  <c r="AG1829" i="10"/>
  <c r="AG1830" i="10"/>
  <c r="AG1832" i="10"/>
  <c r="AG1833" i="10"/>
  <c r="AG1834" i="10"/>
  <c r="AG1835" i="10"/>
  <c r="AG1836" i="10"/>
  <c r="AG1837" i="10"/>
  <c r="AG1838" i="10"/>
  <c r="AG1840" i="10"/>
  <c r="AG1841" i="10"/>
  <c r="AG1842" i="10"/>
  <c r="AG1843" i="10"/>
  <c r="AG1844" i="10"/>
  <c r="AG1845" i="10"/>
  <c r="AG1846" i="10"/>
  <c r="AG1847" i="10"/>
  <c r="AG1849" i="10"/>
  <c r="AG1850" i="10"/>
  <c r="AG1851" i="10"/>
  <c r="AG1852" i="10"/>
  <c r="AG1853" i="10"/>
  <c r="AG1854" i="10"/>
  <c r="AG1856" i="10"/>
  <c r="AG1857" i="10"/>
  <c r="AG1858" i="10"/>
  <c r="AG1859" i="10"/>
  <c r="AG1860" i="10"/>
  <c r="AG1861" i="10"/>
  <c r="AG1862" i="10"/>
  <c r="AG1863" i="10"/>
  <c r="AG1864" i="10"/>
  <c r="AG1865" i="10"/>
  <c r="AG1867" i="10"/>
  <c r="AG1868" i="10"/>
  <c r="AG1869" i="10"/>
  <c r="AG1870" i="10"/>
  <c r="AG1871" i="10"/>
  <c r="AG1872" i="10"/>
  <c r="AG1873" i="10"/>
  <c r="AG1875" i="10"/>
  <c r="AG1876" i="10"/>
  <c r="AG1877" i="10"/>
  <c r="AG1878" i="10"/>
  <c r="AG1879" i="10"/>
  <c r="AG1881" i="10"/>
  <c r="AG1882" i="10"/>
  <c r="AG1883" i="10"/>
  <c r="AG1884" i="10"/>
  <c r="AG1885" i="10"/>
  <c r="AG1886" i="10"/>
  <c r="AG1887" i="10"/>
  <c r="AG1888" i="10"/>
  <c r="AG1889" i="10"/>
  <c r="AG1890" i="10"/>
  <c r="AG1892" i="10"/>
  <c r="AG1893" i="10"/>
  <c r="AG1894" i="10"/>
  <c r="AG1895" i="10"/>
  <c r="AG1896" i="10"/>
  <c r="AG1897" i="10"/>
  <c r="AG1898" i="10"/>
  <c r="AG1900" i="10"/>
  <c r="AG1901" i="10"/>
  <c r="AG1902" i="10"/>
  <c r="AG1903" i="10"/>
  <c r="AG1904" i="10"/>
  <c r="AG1905" i="10"/>
  <c r="AG1906" i="10"/>
  <c r="AG1909" i="10"/>
  <c r="AG1910" i="10"/>
  <c r="AG1911" i="10"/>
  <c r="AG1912" i="10"/>
  <c r="AG1913" i="10"/>
  <c r="AG1914" i="10"/>
  <c r="AG1916" i="10"/>
  <c r="AG1918" i="10"/>
  <c r="AG1919" i="10"/>
  <c r="AG1920" i="10"/>
  <c r="AG1921" i="10"/>
  <c r="AG1922" i="10"/>
  <c r="AG1923" i="10"/>
  <c r="AG1924" i="10"/>
  <c r="AG1925" i="10"/>
  <c r="AG1926" i="10"/>
  <c r="AG1927" i="10"/>
  <c r="AG1928" i="10"/>
  <c r="AG1929" i="10"/>
  <c r="AG1930" i="10"/>
  <c r="AG1931" i="10"/>
  <c r="AG1932" i="10"/>
  <c r="AG1933" i="10"/>
  <c r="AG1934" i="10"/>
  <c r="AG1935" i="10"/>
  <c r="AG1936" i="10"/>
  <c r="AG1937" i="10"/>
  <c r="AG1938" i="10"/>
  <c r="AG1939" i="10"/>
  <c r="AG1940" i="10"/>
  <c r="AG1941" i="10"/>
  <c r="AG1943" i="10"/>
  <c r="AG1944" i="10"/>
  <c r="AG1945" i="10"/>
  <c r="AG1946" i="10"/>
  <c r="AG1947" i="10"/>
  <c r="AG1948" i="10"/>
  <c r="AG1949" i="10"/>
  <c r="AG1950" i="10"/>
  <c r="AG1951" i="10"/>
  <c r="AG1952" i="10"/>
  <c r="AG1953" i="10"/>
  <c r="AG1954" i="10"/>
  <c r="AG1955" i="10"/>
  <c r="AG1956" i="10"/>
  <c r="AG1957" i="10"/>
  <c r="AG1958" i="10"/>
  <c r="AG1960" i="10"/>
  <c r="AG1962" i="10"/>
  <c r="AG1963" i="10"/>
  <c r="AG1964" i="10"/>
  <c r="AG1965" i="10"/>
  <c r="AG1966" i="10"/>
  <c r="AG1968" i="10"/>
  <c r="AG1969" i="10"/>
  <c r="AG1970" i="10"/>
  <c r="AG1971" i="10"/>
  <c r="AG1972" i="10"/>
  <c r="AG1974" i="10"/>
  <c r="AG1975" i="10"/>
  <c r="AG1976" i="10"/>
  <c r="AG1977" i="10"/>
  <c r="AG1978" i="10"/>
  <c r="AG1979" i="10"/>
  <c r="AG1981" i="10"/>
  <c r="AG1982" i="10"/>
  <c r="AG1983" i="10"/>
  <c r="AG1984" i="10"/>
  <c r="AG1985" i="10"/>
  <c r="AG1986" i="10"/>
  <c r="AG1987" i="10"/>
  <c r="AG1988" i="10"/>
  <c r="AG1989" i="10"/>
  <c r="AG1991" i="10"/>
  <c r="AG1992" i="10"/>
  <c r="AG1993" i="10"/>
  <c r="AG1994" i="10"/>
  <c r="AG1995" i="10"/>
  <c r="AG1996" i="10"/>
  <c r="AG1997" i="10"/>
  <c r="AG1998" i="10"/>
  <c r="AG1999" i="10"/>
  <c r="AG2000" i="10"/>
  <c r="AG2001" i="10"/>
  <c r="AG2002" i="10"/>
  <c r="AG2003" i="10"/>
  <c r="AG2004" i="10"/>
  <c r="AG2005" i="10"/>
  <c r="AG2006" i="10"/>
  <c r="AG2007" i="10"/>
  <c r="AG2008" i="10"/>
  <c r="AG2009" i="10"/>
  <c r="AG2010" i="10"/>
  <c r="AG2011" i="10"/>
  <c r="AG2013" i="10"/>
  <c r="AG2014" i="10"/>
  <c r="AG2015" i="10"/>
  <c r="AG2016" i="10"/>
  <c r="AG2017" i="10"/>
  <c r="AG2018" i="10"/>
  <c r="AG2019" i="10"/>
  <c r="AG2021" i="10"/>
  <c r="AG2022" i="10"/>
  <c r="AG2023" i="10"/>
  <c r="AG2024" i="10"/>
  <c r="AG2025" i="10"/>
  <c r="AG2026" i="10"/>
  <c r="AG2027" i="10"/>
  <c r="AG2029" i="10"/>
  <c r="AG2030" i="10"/>
  <c r="AG2031" i="10"/>
  <c r="AG2032" i="10"/>
  <c r="AG2033" i="10"/>
  <c r="AG2034" i="10"/>
  <c r="AG2035" i="10"/>
  <c r="AG2037" i="10"/>
  <c r="AG2038" i="10"/>
  <c r="AG2039" i="10"/>
  <c r="AG2040" i="10"/>
  <c r="AG2041" i="10"/>
  <c r="AG2042" i="10"/>
  <c r="AG2043" i="10"/>
  <c r="AG2045" i="10"/>
  <c r="AG2047" i="10"/>
  <c r="AG2048" i="10"/>
  <c r="AG2049" i="10"/>
  <c r="AG2050" i="10"/>
  <c r="AG2051" i="10"/>
  <c r="AG2052" i="10"/>
  <c r="AG2053" i="10"/>
  <c r="AG2055" i="10"/>
  <c r="AG2056" i="10"/>
  <c r="AG2057" i="10"/>
  <c r="AG2058" i="10"/>
  <c r="AG2059" i="10"/>
  <c r="AG2060" i="10"/>
  <c r="AG2061" i="10"/>
  <c r="AG2062" i="10"/>
  <c r="AG2063" i="10"/>
  <c r="AG2065" i="10"/>
  <c r="AG2066" i="10"/>
  <c r="AG2067" i="10"/>
  <c r="AG2068" i="10"/>
  <c r="AG2069" i="10"/>
  <c r="AG2070" i="10"/>
  <c r="AG2071" i="10"/>
  <c r="AG2072" i="10"/>
  <c r="AG2073" i="10"/>
  <c r="AG2074" i="10"/>
  <c r="AG2076" i="10"/>
  <c r="AG2077" i="10"/>
  <c r="AG2078" i="10"/>
  <c r="AG2079" i="10"/>
  <c r="AG2080" i="10"/>
  <c r="AG2081" i="10"/>
  <c r="AG2082" i="10"/>
  <c r="AG2083" i="10"/>
  <c r="AG2084" i="10"/>
  <c r="AG2085" i="10"/>
  <c r="AG2086" i="10"/>
  <c r="AG2087" i="10"/>
  <c r="AG2088" i="10"/>
  <c r="AG2089" i="10"/>
  <c r="AG2090" i="10"/>
  <c r="AG2091" i="10"/>
  <c r="AG2092" i="10"/>
  <c r="AG2093" i="10"/>
  <c r="AG2094" i="10"/>
  <c r="AG2095" i="10"/>
  <c r="AG2096" i="10"/>
  <c r="AG2097" i="10"/>
  <c r="AG2098" i="10"/>
  <c r="AG2099" i="10"/>
  <c r="AG2100" i="10"/>
  <c r="AG2101" i="10"/>
  <c r="AG2102" i="10"/>
  <c r="AG2103" i="10"/>
  <c r="AG2104" i="10"/>
  <c r="AG2105" i="10"/>
  <c r="AG2106" i="10"/>
  <c r="AG2107" i="10"/>
  <c r="AG2108" i="10"/>
  <c r="AG2109" i="10"/>
  <c r="AG2110" i="10"/>
  <c r="AG2111" i="10"/>
  <c r="AG2112" i="10"/>
  <c r="AG2113" i="10"/>
  <c r="AG2114" i="10"/>
  <c r="AG2115" i="10"/>
  <c r="AG2116" i="10"/>
  <c r="AG2117" i="10"/>
  <c r="AG2118" i="10"/>
  <c r="AG2119" i="10"/>
  <c r="AG2120" i="10"/>
  <c r="AG2121" i="10"/>
  <c r="AG2122" i="10"/>
  <c r="AG2123" i="10"/>
  <c r="AG2124" i="10"/>
  <c r="AG2125" i="10"/>
  <c r="AG2126" i="10"/>
  <c r="AG2127" i="10"/>
  <c r="AG2128" i="10"/>
  <c r="AG2129" i="10"/>
  <c r="AG2131" i="10"/>
  <c r="AG2132" i="10"/>
  <c r="AG2133" i="10"/>
  <c r="AG2134" i="10"/>
  <c r="AG2135" i="10"/>
  <c r="AG2136" i="10"/>
  <c r="AG2138" i="10"/>
  <c r="AG2139" i="10"/>
  <c r="AG2140" i="10"/>
  <c r="AG2141" i="10"/>
  <c r="AG2142" i="10"/>
  <c r="AG2143" i="10"/>
  <c r="AG2144" i="10"/>
  <c r="AG2147" i="10"/>
  <c r="AG2148" i="10"/>
  <c r="AG2149" i="10"/>
  <c r="AG2150" i="10"/>
  <c r="AG2151" i="10"/>
  <c r="AG2152" i="10"/>
  <c r="AG2153" i="10"/>
  <c r="AG2154" i="10"/>
  <c r="AG2155" i="10"/>
  <c r="AG2156" i="10"/>
  <c r="AG2157" i="10"/>
  <c r="AG2158" i="10"/>
  <c r="AG2160" i="10"/>
  <c r="AG2161" i="10"/>
  <c r="AG2162" i="10"/>
  <c r="AG2163" i="10"/>
  <c r="AG2164" i="10"/>
  <c r="AG2165" i="10"/>
  <c r="AG2166" i="10"/>
  <c r="AG2167" i="10"/>
  <c r="AG2168" i="10"/>
  <c r="AG2169" i="10"/>
  <c r="AG2170" i="10"/>
  <c r="AG2171" i="10"/>
  <c r="AG2172" i="10"/>
  <c r="AG2173" i="10"/>
  <c r="AG2174" i="10"/>
  <c r="AG2175" i="10"/>
  <c r="AG2177" i="10"/>
  <c r="AG2178" i="10"/>
  <c r="AG2179" i="10"/>
  <c r="AG2180" i="10"/>
  <c r="AG2181" i="10"/>
  <c r="AG2182" i="10"/>
  <c r="AG2183" i="10"/>
  <c r="AG2184" i="10"/>
  <c r="AG2185" i="10"/>
  <c r="AG2186" i="10"/>
  <c r="AG2187" i="10"/>
  <c r="AG2188" i="10"/>
  <c r="AG2189" i="10"/>
  <c r="AG2190" i="10"/>
  <c r="AG2191" i="10"/>
  <c r="AG2192" i="10"/>
  <c r="AG2193" i="10"/>
  <c r="AG2194" i="10"/>
  <c r="AG2195" i="10"/>
  <c r="AG2196" i="10"/>
  <c r="AG2197" i="10"/>
  <c r="AG2198" i="10"/>
  <c r="AG2199" i="10"/>
  <c r="AG2201" i="10"/>
  <c r="AG2202" i="10"/>
  <c r="AG2203" i="10"/>
  <c r="AG2204" i="10"/>
  <c r="AG2205" i="10"/>
  <c r="AG2206" i="10"/>
  <c r="AG2207" i="10"/>
  <c r="AG2208" i="10"/>
  <c r="AG2209" i="10"/>
  <c r="AG2210" i="10"/>
  <c r="AG2211" i="10"/>
  <c r="AG2212" i="10"/>
  <c r="AG2213" i="10"/>
  <c r="AG2215" i="10"/>
  <c r="AG2216" i="10"/>
  <c r="AG2217" i="10"/>
  <c r="AG2218" i="10"/>
  <c r="AG2219" i="10"/>
  <c r="AG2220" i="10"/>
  <c r="AG2221" i="10"/>
  <c r="AG2222" i="10"/>
  <c r="AG2223" i="10"/>
  <c r="AG2225" i="10"/>
  <c r="AG2226" i="10"/>
  <c r="AG2227" i="10"/>
  <c r="AG2228" i="10"/>
  <c r="AG2229" i="10"/>
  <c r="AG2230" i="10"/>
  <c r="AG2231" i="10"/>
  <c r="AG2232" i="10"/>
  <c r="AG2233" i="10"/>
  <c r="AG2234" i="10"/>
  <c r="AG2235" i="10"/>
  <c r="AG2236" i="10"/>
  <c r="AG2237" i="10"/>
  <c r="AG2238" i="10"/>
  <c r="AG2239" i="10"/>
  <c r="AG2241" i="10"/>
  <c r="AG2242" i="10"/>
  <c r="AG2243" i="10"/>
  <c r="AG2244" i="10"/>
  <c r="AG2245" i="10"/>
  <c r="AG2246" i="10"/>
  <c r="AG2247" i="10"/>
  <c r="AG2248" i="10"/>
  <c r="AG2249" i="10"/>
  <c r="AG2251" i="10"/>
  <c r="AG2252" i="10"/>
  <c r="AG2253" i="10"/>
  <c r="AG2254" i="10"/>
  <c r="AG2255" i="10"/>
  <c r="AG2256" i="10"/>
  <c r="AG2257" i="10"/>
  <c r="AG2258" i="10"/>
  <c r="AG2259" i="10"/>
  <c r="AG2261" i="10"/>
  <c r="AG2262" i="10"/>
  <c r="AG2263" i="10"/>
  <c r="AG2264" i="10"/>
  <c r="AG2265" i="10"/>
  <c r="AG2266" i="10"/>
  <c r="AG2267" i="10"/>
  <c r="AG2268" i="10"/>
  <c r="AG2269" i="10"/>
  <c r="AG2271" i="10"/>
  <c r="AG2272" i="10"/>
  <c r="AG2273" i="10"/>
  <c r="AG2274" i="10"/>
  <c r="AG2275" i="10"/>
  <c r="AG2276" i="10"/>
  <c r="AG2277" i="10"/>
  <c r="AG2278" i="10"/>
  <c r="AG2279" i="10"/>
  <c r="AG2281" i="10"/>
  <c r="AG2282" i="10"/>
  <c r="AG2283" i="10"/>
  <c r="AG2284" i="10"/>
  <c r="AG2285" i="10"/>
  <c r="AG2286" i="10"/>
  <c r="AG2287" i="10"/>
  <c r="AG2288" i="10"/>
  <c r="AG2289" i="10"/>
  <c r="AG2291" i="10"/>
  <c r="AG2292" i="10"/>
  <c r="AG2293" i="10"/>
  <c r="AG2294" i="10"/>
  <c r="AG2295" i="10"/>
  <c r="AG2296" i="10"/>
  <c r="AG2297" i="10"/>
  <c r="AG2298" i="10"/>
  <c r="AG2299" i="10"/>
  <c r="AG2300" i="10"/>
  <c r="AG2301" i="10"/>
  <c r="AG2303" i="10"/>
  <c r="AG2304" i="10"/>
  <c r="AG2305" i="10"/>
  <c r="AG2306" i="10"/>
  <c r="AG2307" i="10"/>
  <c r="AG2308" i="10"/>
  <c r="AG2309" i="10"/>
  <c r="AG2310" i="10"/>
  <c r="AG2311" i="10"/>
  <c r="AG2313" i="10"/>
  <c r="AG2314" i="10"/>
  <c r="AG2315" i="10"/>
  <c r="AG2316" i="10"/>
  <c r="AG2317" i="10"/>
  <c r="AG2318" i="10"/>
  <c r="AG2319" i="10"/>
  <c r="AG2320" i="10"/>
  <c r="AG2321" i="10"/>
  <c r="AG2323" i="10"/>
  <c r="AG2324" i="10"/>
  <c r="AG2325" i="10"/>
  <c r="AG2326" i="10"/>
  <c r="AG2327" i="10"/>
  <c r="AG2328" i="10"/>
  <c r="AG2329" i="10"/>
  <c r="AG2330" i="10"/>
  <c r="AG2332" i="10"/>
  <c r="AG2333" i="10"/>
  <c r="AG2334" i="10"/>
  <c r="AG2335" i="10"/>
  <c r="AG2336" i="10"/>
  <c r="AG2337" i="10"/>
  <c r="AG2338" i="10"/>
  <c r="AG2346" i="10"/>
  <c r="AG2347" i="10"/>
  <c r="AG2348" i="10"/>
  <c r="AG2349" i="10"/>
  <c r="AG2350" i="10"/>
  <c r="AG2351" i="10"/>
  <c r="AG2352" i="10"/>
  <c r="AG2353" i="10"/>
  <c r="AG2354" i="10"/>
  <c r="AG2364" i="10"/>
  <c r="AG2365" i="10"/>
  <c r="AG2366" i="10"/>
  <c r="AG2367" i="10"/>
  <c r="AG2368" i="10"/>
  <c r="AG2370" i="10"/>
  <c r="AG2371" i="10"/>
  <c r="AG2372" i="10"/>
  <c r="AG2373" i="10"/>
  <c r="AG2374" i="10"/>
  <c r="AG2376" i="10"/>
  <c r="AG2377" i="10"/>
  <c r="AG2378" i="10"/>
  <c r="AG2379" i="10"/>
  <c r="AG2380" i="10"/>
  <c r="AG2382" i="10"/>
  <c r="AG2383" i="10"/>
  <c r="AG2384" i="10"/>
  <c r="AG2385" i="10"/>
  <c r="AG2386" i="10"/>
  <c r="AG2388" i="10"/>
  <c r="AG2389" i="10"/>
  <c r="AG2390" i="10"/>
  <c r="AG2391" i="10"/>
  <c r="AG2392" i="10"/>
  <c r="AG2394" i="10"/>
  <c r="AG2395" i="10"/>
  <c r="AG2396" i="10"/>
  <c r="AG2397" i="10"/>
  <c r="AG2398" i="10"/>
  <c r="AG2400" i="10"/>
  <c r="AG2401" i="10"/>
  <c r="AG2402" i="10"/>
  <c r="AG2403" i="10"/>
  <c r="AG2404" i="10"/>
  <c r="AG2405" i="10"/>
  <c r="AG2406" i="10"/>
  <c r="AG2407" i="10"/>
  <c r="AG2408" i="10"/>
  <c r="AG2409" i="10"/>
  <c r="AG2410" i="10"/>
  <c r="AG2411" i="10"/>
  <c r="AG2412" i="10"/>
  <c r="AG2413" i="10"/>
  <c r="AG2422" i="10"/>
  <c r="AG2423" i="10"/>
  <c r="AG2424" i="10"/>
  <c r="AG2425" i="10"/>
  <c r="AG2426" i="10"/>
  <c r="AG2428" i="10"/>
  <c r="D11" i="35"/>
  <c r="D12" i="35"/>
  <c r="D5" i="35"/>
  <c r="D6" i="35"/>
  <c r="D7" i="35"/>
  <c r="D8" i="35"/>
  <c r="D9" i="35"/>
  <c r="D10" i="35"/>
  <c r="D2" i="35"/>
  <c r="H413" i="33"/>
  <c r="G407" i="33"/>
  <c r="H407" i="33" s="1"/>
  <c r="G408" i="33"/>
  <c r="H408" i="33" s="1"/>
  <c r="G409" i="33"/>
  <c r="H409" i="33" s="1"/>
  <c r="G410" i="33"/>
  <c r="H410" i="33" s="1"/>
  <c r="G411" i="33"/>
  <c r="H411" i="33" s="1"/>
  <c r="G412" i="33"/>
  <c r="H412" i="33" s="1"/>
  <c r="N650" i="10"/>
  <c r="I650" i="10" s="1"/>
  <c r="X13" i="10"/>
  <c r="X14" i="10"/>
  <c r="X16" i="10"/>
  <c r="X17" i="10"/>
  <c r="X18" i="10"/>
  <c r="X19" i="10"/>
  <c r="X20" i="10"/>
  <c r="X21" i="10"/>
  <c r="X46" i="10"/>
  <c r="X47" i="10"/>
  <c r="X48" i="10"/>
  <c r="X50" i="10"/>
  <c r="X51" i="10"/>
  <c r="X52" i="10"/>
  <c r="X53" i="10"/>
  <c r="X54" i="10"/>
  <c r="X55" i="10"/>
  <c r="X56" i="10"/>
  <c r="X57" i="10"/>
  <c r="X59" i="10"/>
  <c r="X60" i="10"/>
  <c r="X61" i="10"/>
  <c r="X62" i="10"/>
  <c r="X63" i="10"/>
  <c r="X64" i="10"/>
  <c r="X65" i="10"/>
  <c r="X66" i="10"/>
  <c r="X74" i="10"/>
  <c r="X75" i="10"/>
  <c r="X76" i="10"/>
  <c r="X84" i="10"/>
  <c r="X86" i="10"/>
  <c r="X87" i="10"/>
  <c r="X88" i="10"/>
  <c r="X89" i="10"/>
  <c r="X90" i="10"/>
  <c r="X91" i="10"/>
  <c r="X93" i="10"/>
  <c r="X94" i="10"/>
  <c r="X95" i="10"/>
  <c r="X96" i="10"/>
  <c r="X97" i="10"/>
  <c r="X99" i="10"/>
  <c r="X100" i="10"/>
  <c r="X101" i="10"/>
  <c r="X102" i="10"/>
  <c r="X104" i="10"/>
  <c r="X105" i="10"/>
  <c r="X106" i="10"/>
  <c r="X107" i="10"/>
  <c r="X117" i="10"/>
  <c r="X118" i="10"/>
  <c r="X121" i="10"/>
  <c r="X122" i="10"/>
  <c r="X123" i="10"/>
  <c r="X124" i="10"/>
  <c r="X125" i="10"/>
  <c r="X128" i="10"/>
  <c r="X129" i="10"/>
  <c r="X130" i="10"/>
  <c r="X131" i="10"/>
  <c r="X132" i="10"/>
  <c r="X136" i="10"/>
  <c r="X137" i="10"/>
  <c r="X138" i="10"/>
  <c r="X139" i="10"/>
  <c r="X140" i="10"/>
  <c r="X143" i="10"/>
  <c r="X144" i="10"/>
  <c r="X145" i="10"/>
  <c r="X146" i="10"/>
  <c r="X147" i="10"/>
  <c r="X148" i="10"/>
  <c r="X151" i="10"/>
  <c r="X152" i="10"/>
  <c r="X153" i="10"/>
  <c r="X154" i="10"/>
  <c r="X155" i="10"/>
  <c r="X156" i="10"/>
  <c r="X158" i="10"/>
  <c r="X159" i="10"/>
  <c r="X160" i="10"/>
  <c r="X161" i="10"/>
  <c r="X162" i="10"/>
  <c r="X163" i="10"/>
  <c r="X164" i="10"/>
  <c r="X166" i="10"/>
  <c r="X167" i="10"/>
  <c r="X168" i="10"/>
  <c r="X169" i="10"/>
  <c r="X170" i="10"/>
  <c r="X171" i="10"/>
  <c r="X173" i="10"/>
  <c r="X174" i="10"/>
  <c r="X175" i="10"/>
  <c r="X176" i="10"/>
  <c r="X177" i="10"/>
  <c r="X178" i="10"/>
  <c r="X179" i="10"/>
  <c r="X180" i="10"/>
  <c r="X182" i="10"/>
  <c r="X183" i="10"/>
  <c r="X184" i="10"/>
  <c r="X185" i="10"/>
  <c r="X186" i="10"/>
  <c r="X187" i="10"/>
  <c r="X188" i="10"/>
  <c r="X189" i="10"/>
  <c r="X191" i="10"/>
  <c r="X192" i="10"/>
  <c r="X193" i="10"/>
  <c r="X194" i="10"/>
  <c r="X195" i="10"/>
  <c r="X196" i="10"/>
  <c r="X197" i="10"/>
  <c r="X198" i="10"/>
  <c r="X199" i="10"/>
  <c r="X201" i="10"/>
  <c r="X202" i="10"/>
  <c r="X203" i="10"/>
  <c r="X204" i="10"/>
  <c r="X205" i="10"/>
  <c r="X206" i="10"/>
  <c r="X207" i="10"/>
  <c r="X216" i="10"/>
  <c r="X217" i="10"/>
  <c r="X218" i="10"/>
  <c r="X219" i="10"/>
  <c r="X221" i="10"/>
  <c r="X222" i="10"/>
  <c r="X223" i="10"/>
  <c r="X224" i="10"/>
  <c r="X225" i="10"/>
  <c r="X226" i="10"/>
  <c r="X227" i="10"/>
  <c r="X229" i="10"/>
  <c r="X230" i="10"/>
  <c r="X231" i="10"/>
  <c r="X232" i="10"/>
  <c r="X233" i="10"/>
  <c r="X234" i="10"/>
  <c r="X235" i="10"/>
  <c r="X258" i="10"/>
  <c r="X259" i="10"/>
  <c r="X260" i="10"/>
  <c r="X261" i="10"/>
  <c r="X264" i="10"/>
  <c r="X265" i="10"/>
  <c r="X266" i="10"/>
  <c r="X267" i="10"/>
  <c r="X268" i="10"/>
  <c r="X269" i="10"/>
  <c r="X270" i="10"/>
  <c r="X273" i="10"/>
  <c r="X274" i="10"/>
  <c r="X275" i="10"/>
  <c r="X276" i="10"/>
  <c r="X277" i="10"/>
  <c r="X299" i="10"/>
  <c r="X300" i="10"/>
  <c r="X301" i="10"/>
  <c r="X302" i="10"/>
  <c r="X303" i="10"/>
  <c r="X304" i="10"/>
  <c r="X305" i="10"/>
  <c r="X306" i="10"/>
  <c r="X307" i="10"/>
  <c r="X323" i="10"/>
  <c r="X324" i="10"/>
  <c r="X325" i="10"/>
  <c r="X326" i="10"/>
  <c r="X327" i="10"/>
  <c r="X328" i="10"/>
  <c r="X329" i="10"/>
  <c r="X330" i="10"/>
  <c r="X331" i="10"/>
  <c r="X346" i="10"/>
  <c r="X347" i="10"/>
  <c r="X348" i="10"/>
  <c r="X380" i="10"/>
  <c r="X381" i="10"/>
  <c r="X382" i="10"/>
  <c r="X383" i="10"/>
  <c r="X384" i="10"/>
  <c r="X404" i="10"/>
  <c r="X405" i="10"/>
  <c r="X406" i="10"/>
  <c r="X407" i="10"/>
  <c r="X408" i="10"/>
  <c r="X409" i="10"/>
  <c r="X410" i="10"/>
  <c r="X412" i="10"/>
  <c r="X413" i="10"/>
  <c r="X414" i="10"/>
  <c r="X415" i="10"/>
  <c r="X416" i="10"/>
  <c r="X417" i="10"/>
  <c r="X418" i="10"/>
  <c r="X423" i="10"/>
  <c r="X424" i="10"/>
  <c r="X425" i="10"/>
  <c r="X426" i="10"/>
  <c r="X427" i="10"/>
  <c r="X429" i="10"/>
  <c r="X430" i="10"/>
  <c r="X431" i="10"/>
  <c r="X432" i="10"/>
  <c r="X433" i="10"/>
  <c r="X434" i="10"/>
  <c r="X436" i="10"/>
  <c r="X437" i="10"/>
  <c r="X438" i="10"/>
  <c r="X439" i="10"/>
  <c r="X440" i="10"/>
  <c r="X441" i="10"/>
  <c r="X448" i="10"/>
  <c r="X449" i="10"/>
  <c r="X450" i="10"/>
  <c r="X451" i="10"/>
  <c r="X452" i="10"/>
  <c r="X453" i="10"/>
  <c r="X454" i="10"/>
  <c r="X462" i="10"/>
  <c r="X463" i="10"/>
  <c r="X464" i="10"/>
  <c r="X486" i="10"/>
  <c r="X487" i="10"/>
  <c r="X489" i="10"/>
  <c r="X490" i="10"/>
  <c r="X491" i="10"/>
  <c r="X492" i="10"/>
  <c r="X493" i="10"/>
  <c r="X494" i="10"/>
  <c r="X495" i="10"/>
  <c r="X497" i="10"/>
  <c r="X498" i="10"/>
  <c r="X499" i="10"/>
  <c r="X500" i="10"/>
  <c r="X501" i="10"/>
  <c r="X502" i="10"/>
  <c r="X503" i="10"/>
  <c r="X504" i="10"/>
  <c r="X505" i="10"/>
  <c r="X519" i="10"/>
  <c r="X520" i="10"/>
  <c r="X535" i="10"/>
  <c r="X536" i="10"/>
  <c r="X537" i="10"/>
  <c r="X538" i="10"/>
  <c r="X540" i="10"/>
  <c r="X541" i="10"/>
  <c r="X542" i="10"/>
  <c r="X543" i="10"/>
  <c r="X544" i="10"/>
  <c r="X545" i="10"/>
  <c r="X546" i="10"/>
  <c r="X547" i="10"/>
  <c r="X548" i="10"/>
  <c r="X550" i="10"/>
  <c r="X551" i="10"/>
  <c r="X552" i="10"/>
  <c r="X553" i="10"/>
  <c r="X554" i="10"/>
  <c r="X555" i="10"/>
  <c r="X556" i="10"/>
  <c r="X557" i="10"/>
  <c r="X558" i="10"/>
  <c r="X560" i="10"/>
  <c r="X561" i="10"/>
  <c r="X562" i="10"/>
  <c r="X563" i="10"/>
  <c r="X564" i="10"/>
  <c r="X565" i="10"/>
  <c r="X566" i="10"/>
  <c r="X582" i="10"/>
  <c r="X583" i="10"/>
  <c r="X584" i="10"/>
  <c r="X605" i="10"/>
  <c r="X606" i="10"/>
  <c r="X607" i="10"/>
  <c r="X609" i="10"/>
  <c r="X610" i="10"/>
  <c r="X611" i="10"/>
  <c r="X612" i="10"/>
  <c r="X613" i="10"/>
  <c r="X614" i="10"/>
  <c r="X615" i="10"/>
  <c r="X616" i="10"/>
  <c r="X617" i="10"/>
  <c r="X618" i="10"/>
  <c r="X625" i="10"/>
  <c r="X626" i="10"/>
  <c r="X627" i="10"/>
  <c r="X628" i="10"/>
  <c r="X637" i="10"/>
  <c r="X638" i="10"/>
  <c r="X639" i="10"/>
  <c r="X644" i="10"/>
  <c r="X645" i="10"/>
  <c r="X646" i="10"/>
  <c r="X647" i="10"/>
  <c r="X648" i="10"/>
  <c r="X656" i="10"/>
  <c r="X657" i="10"/>
  <c r="X658" i="10"/>
  <c r="X659" i="10"/>
  <c r="X660" i="10"/>
  <c r="X666" i="10"/>
  <c r="X667" i="10"/>
  <c r="X668" i="10"/>
  <c r="X669" i="10"/>
  <c r="X678" i="10"/>
  <c r="X679" i="10"/>
  <c r="X685" i="10"/>
  <c r="X686" i="10"/>
  <c r="X687" i="10"/>
  <c r="X689" i="10"/>
  <c r="X690" i="10"/>
  <c r="X691" i="10"/>
  <c r="X692" i="10"/>
  <c r="X693" i="10"/>
  <c r="X694" i="10"/>
  <c r="X695" i="10"/>
  <c r="X697" i="10"/>
  <c r="X698" i="10"/>
  <c r="X699" i="10"/>
  <c r="X700" i="10"/>
  <c r="X701" i="10"/>
  <c r="X702" i="10"/>
  <c r="X703" i="10"/>
  <c r="X737" i="10"/>
  <c r="X738" i="10"/>
  <c r="X739" i="10"/>
  <c r="X740" i="10"/>
  <c r="X742" i="10"/>
  <c r="X743" i="10"/>
  <c r="X744" i="10"/>
  <c r="X745" i="10"/>
  <c r="X746" i="10"/>
  <c r="X747" i="10"/>
  <c r="X748" i="10"/>
  <c r="X749" i="10"/>
  <c r="X750" i="10"/>
  <c r="X752" i="10"/>
  <c r="X753" i="10"/>
  <c r="X754" i="10"/>
  <c r="X755" i="10"/>
  <c r="X756" i="10"/>
  <c r="X757" i="10"/>
  <c r="X758" i="10"/>
  <c r="X759" i="10"/>
  <c r="X761" i="10"/>
  <c r="X762" i="10"/>
  <c r="X763" i="10"/>
  <c r="X764" i="10"/>
  <c r="X765" i="10"/>
  <c r="X766" i="10"/>
  <c r="X782" i="10"/>
  <c r="X783" i="10"/>
  <c r="X784" i="10"/>
  <c r="X785" i="10"/>
  <c r="X786" i="10"/>
  <c r="X790" i="10"/>
  <c r="X791" i="10"/>
  <c r="X792" i="10"/>
  <c r="X793" i="10"/>
  <c r="X806" i="10"/>
  <c r="X807" i="10"/>
  <c r="X808" i="10"/>
  <c r="X809" i="10"/>
  <c r="X810" i="10"/>
  <c r="X811" i="10"/>
  <c r="X812" i="10"/>
  <c r="X830" i="10"/>
  <c r="X831" i="10"/>
  <c r="X832" i="10"/>
  <c r="X833" i="10"/>
  <c r="X834" i="10"/>
  <c r="X835" i="10"/>
  <c r="X837" i="10"/>
  <c r="X838" i="10"/>
  <c r="X839" i="10"/>
  <c r="X840" i="10"/>
  <c r="X841" i="10"/>
  <c r="X842" i="10"/>
  <c r="X843" i="10"/>
  <c r="X844" i="10"/>
  <c r="X845" i="10"/>
  <c r="X846" i="10"/>
  <c r="X847" i="10"/>
  <c r="X848" i="10"/>
  <c r="X849" i="10"/>
  <c r="X850" i="10"/>
  <c r="X851" i="10"/>
  <c r="X855" i="10"/>
  <c r="X856" i="10"/>
  <c r="X857" i="10"/>
  <c r="X858" i="10"/>
  <c r="X859" i="10"/>
  <c r="X865" i="10"/>
  <c r="X866" i="10"/>
  <c r="X867" i="10"/>
  <c r="X868" i="10"/>
  <c r="X869" i="10"/>
  <c r="X904" i="10"/>
  <c r="X905" i="10"/>
  <c r="X906" i="10"/>
  <c r="X907" i="10"/>
  <c r="X908" i="10"/>
  <c r="X909" i="10"/>
  <c r="X910" i="10"/>
  <c r="X911" i="10"/>
  <c r="X912" i="10"/>
  <c r="X913" i="10"/>
  <c r="X914" i="10"/>
  <c r="X915" i="10"/>
  <c r="X916" i="10"/>
  <c r="X917" i="10"/>
  <c r="X918" i="10"/>
  <c r="X919" i="10"/>
  <c r="X920" i="10"/>
  <c r="X921" i="10"/>
  <c r="X922" i="10"/>
  <c r="X923" i="10"/>
  <c r="X924" i="10"/>
  <c r="X925" i="10"/>
  <c r="X926" i="10"/>
  <c r="X927" i="10"/>
  <c r="X928" i="10"/>
  <c r="X929" i="10"/>
  <c r="X930" i="10"/>
  <c r="X931" i="10"/>
  <c r="X932" i="10"/>
  <c r="X933" i="10"/>
  <c r="X934" i="10"/>
  <c r="X935" i="10"/>
  <c r="X936" i="10"/>
  <c r="X937" i="10"/>
  <c r="X939" i="10"/>
  <c r="X940" i="10"/>
  <c r="X941" i="10"/>
  <c r="X942" i="10"/>
  <c r="X943" i="10"/>
  <c r="X944" i="10"/>
  <c r="X946" i="10"/>
  <c r="X947" i="10"/>
  <c r="X948" i="10"/>
  <c r="X949" i="10"/>
  <c r="X950" i="10"/>
  <c r="X951" i="10"/>
  <c r="X952" i="10"/>
  <c r="X954" i="10"/>
  <c r="X955" i="10"/>
  <c r="X956" i="10"/>
  <c r="X957" i="10"/>
  <c r="X958" i="10"/>
  <c r="X959" i="10"/>
  <c r="X960" i="10"/>
  <c r="X962" i="10"/>
  <c r="X963" i="10"/>
  <c r="X964" i="10"/>
  <c r="X965" i="10"/>
  <c r="X966" i="10"/>
  <c r="X967" i="10"/>
  <c r="X968" i="10"/>
  <c r="X970" i="10"/>
  <c r="X971" i="10"/>
  <c r="X972" i="10"/>
  <c r="X973" i="10"/>
  <c r="X974" i="10"/>
  <c r="X975" i="10"/>
  <c r="X976" i="10"/>
  <c r="X988" i="10"/>
  <c r="X989" i="10"/>
  <c r="X990" i="10"/>
  <c r="X991" i="10"/>
  <c r="X992" i="10"/>
  <c r="X993" i="10"/>
  <c r="X994" i="10"/>
  <c r="X995" i="10"/>
  <c r="X996" i="10"/>
  <c r="X997" i="10"/>
  <c r="X998" i="10"/>
  <c r="X999" i="10"/>
  <c r="X1000" i="10"/>
  <c r="X1001" i="10"/>
  <c r="X1002" i="10"/>
  <c r="X1003" i="10"/>
  <c r="X1004" i="10"/>
  <c r="X1005" i="10"/>
  <c r="X1006" i="10"/>
  <c r="X1007" i="10"/>
  <c r="X1008" i="10"/>
  <c r="X1013" i="10"/>
  <c r="X1014" i="10"/>
  <c r="X1015" i="10"/>
  <c r="X1016" i="10"/>
  <c r="X1017" i="10"/>
  <c r="X1018" i="10"/>
  <c r="X1019" i="10"/>
  <c r="X1020" i="10"/>
  <c r="X1021" i="10"/>
  <c r="X1022" i="10"/>
  <c r="X1023" i="10"/>
  <c r="X1024" i="10"/>
  <c r="X1025" i="10"/>
  <c r="X1030" i="10"/>
  <c r="X1031" i="10"/>
  <c r="X1032" i="10"/>
  <c r="X1033" i="10"/>
  <c r="X1034" i="10"/>
  <c r="X1035" i="10"/>
  <c r="X1036" i="10"/>
  <c r="X1037" i="10"/>
  <c r="X1038" i="10"/>
  <c r="X1039" i="10"/>
  <c r="X1040" i="10"/>
  <c r="X1044" i="10"/>
  <c r="X1045" i="10"/>
  <c r="X1046" i="10"/>
  <c r="X1047" i="10"/>
  <c r="X1048" i="10"/>
  <c r="X1049" i="10"/>
  <c r="X1050" i="10"/>
  <c r="X1051" i="10"/>
  <c r="X1052" i="10"/>
  <c r="X1053" i="10"/>
  <c r="X1054" i="10"/>
  <c r="X1055" i="10"/>
  <c r="X1056" i="10"/>
  <c r="X1057" i="10"/>
  <c r="X1060" i="10"/>
  <c r="X1061" i="10"/>
  <c r="X1062" i="10"/>
  <c r="X1063" i="10"/>
  <c r="X1064" i="10"/>
  <c r="X1065" i="10"/>
  <c r="X1066" i="10"/>
  <c r="X1067" i="10"/>
  <c r="X1069" i="10"/>
  <c r="X1070" i="10"/>
  <c r="X1071" i="10"/>
  <c r="X1072" i="10"/>
  <c r="X1073" i="10"/>
  <c r="X1074" i="10"/>
  <c r="X1075" i="10"/>
  <c r="X1076" i="10"/>
  <c r="X1099" i="10"/>
  <c r="X1100" i="10"/>
  <c r="X1110" i="10"/>
  <c r="X1111" i="10"/>
  <c r="X1122" i="10"/>
  <c r="X1123" i="10"/>
  <c r="X1124" i="10"/>
  <c r="X1125" i="10"/>
  <c r="X1126" i="10"/>
  <c r="X1127" i="10"/>
  <c r="X1128" i="10"/>
  <c r="X1129" i="10"/>
  <c r="X1130" i="10"/>
  <c r="X1131" i="10"/>
  <c r="X1132" i="10"/>
  <c r="X1133" i="10"/>
  <c r="X1134" i="10"/>
  <c r="X1135" i="10"/>
  <c r="X1136" i="10"/>
  <c r="X1138" i="10"/>
  <c r="X1139" i="10"/>
  <c r="X1140" i="10"/>
  <c r="X1141" i="10"/>
  <c r="X1142" i="10"/>
  <c r="X1143" i="10"/>
  <c r="X1144" i="10"/>
  <c r="X1145" i="10"/>
  <c r="X1147" i="10"/>
  <c r="X1148" i="10"/>
  <c r="X1149" i="10"/>
  <c r="X1150" i="10"/>
  <c r="X1151" i="10"/>
  <c r="X1152" i="10"/>
  <c r="X1153" i="10"/>
  <c r="X1155" i="10"/>
  <c r="X1156" i="10"/>
  <c r="X1157" i="10"/>
  <c r="X1158" i="10"/>
  <c r="X1159" i="10"/>
  <c r="X1160" i="10"/>
  <c r="X1162" i="10"/>
  <c r="X1163" i="10"/>
  <c r="X1164" i="10"/>
  <c r="X1165" i="10"/>
  <c r="X1166" i="10"/>
  <c r="X1167" i="10"/>
  <c r="X1169" i="10"/>
  <c r="X1170" i="10"/>
  <c r="X1171" i="10"/>
  <c r="X1172" i="10"/>
  <c r="X1173" i="10"/>
  <c r="X1174" i="10"/>
  <c r="X1175" i="10"/>
  <c r="X1177" i="10"/>
  <c r="X1178" i="10"/>
  <c r="X1179" i="10"/>
  <c r="X1180" i="10"/>
  <c r="X1181" i="10"/>
  <c r="X1182" i="10"/>
  <c r="X1183" i="10"/>
  <c r="X1184" i="10"/>
  <c r="X1185" i="10"/>
  <c r="X1187" i="10"/>
  <c r="X1188" i="10"/>
  <c r="X1189" i="10"/>
  <c r="X1190" i="10"/>
  <c r="X1191" i="10"/>
  <c r="X1192" i="10"/>
  <c r="X1193" i="10"/>
  <c r="X1194" i="10"/>
  <c r="X1195" i="10"/>
  <c r="X1197" i="10"/>
  <c r="X1198" i="10"/>
  <c r="X1199" i="10"/>
  <c r="X1200" i="10"/>
  <c r="X1201" i="10"/>
  <c r="X1202" i="10"/>
  <c r="X1203" i="10"/>
  <c r="X1204" i="10"/>
  <c r="X1205" i="10"/>
  <c r="X1207" i="10"/>
  <c r="X1208" i="10"/>
  <c r="X1209" i="10"/>
  <c r="X1210" i="10"/>
  <c r="X1211" i="10"/>
  <c r="X1212" i="10"/>
  <c r="X1214" i="10"/>
  <c r="X1215" i="10"/>
  <c r="X1216" i="10"/>
  <c r="X1217" i="10"/>
  <c r="X1218" i="10"/>
  <c r="X1219" i="10"/>
  <c r="X1221" i="10"/>
  <c r="X1222" i="10"/>
  <c r="X1223" i="10"/>
  <c r="X1224" i="10"/>
  <c r="X1225" i="10"/>
  <c r="X1226" i="10"/>
  <c r="X1227" i="10"/>
  <c r="X1229" i="10"/>
  <c r="X1230" i="10"/>
  <c r="X1231" i="10"/>
  <c r="X1232" i="10"/>
  <c r="X1233" i="10"/>
  <c r="X1234" i="10"/>
  <c r="X1235" i="10"/>
  <c r="X1236" i="10"/>
  <c r="X1237" i="10"/>
  <c r="X1238" i="10"/>
  <c r="X1240" i="10"/>
  <c r="X1241" i="10"/>
  <c r="X1242" i="10"/>
  <c r="X1243" i="10"/>
  <c r="X1244" i="10"/>
  <c r="X1245" i="10"/>
  <c r="X1246" i="10"/>
  <c r="X1247" i="10"/>
  <c r="X1248" i="10"/>
  <c r="X1249" i="10"/>
  <c r="X1250" i="10"/>
  <c r="X1251" i="10"/>
  <c r="X1252" i="10"/>
  <c r="X1253" i="10"/>
  <c r="X1254" i="10"/>
  <c r="X1255" i="10"/>
  <c r="X1257" i="10"/>
  <c r="X1258" i="10"/>
  <c r="X1259" i="10"/>
  <c r="X1260" i="10"/>
  <c r="X1261" i="10"/>
  <c r="X1262" i="10"/>
  <c r="X1263" i="10"/>
  <c r="X1264" i="10"/>
  <c r="X1265" i="10"/>
  <c r="X1267" i="10"/>
  <c r="X1268" i="10"/>
  <c r="X1269" i="10"/>
  <c r="X1270" i="10"/>
  <c r="X1271" i="10"/>
  <c r="X1272" i="10"/>
  <c r="X1273" i="10"/>
  <c r="X1294" i="10"/>
  <c r="X1295" i="10"/>
  <c r="X1300" i="10"/>
  <c r="X1301" i="10"/>
  <c r="X1302" i="10"/>
  <c r="X1308" i="10"/>
  <c r="X1309" i="10"/>
  <c r="X1310" i="10"/>
  <c r="X1311" i="10"/>
  <c r="X1332" i="10"/>
  <c r="X1333" i="10"/>
  <c r="X1334" i="10"/>
  <c r="X1342" i="10"/>
  <c r="X1343" i="10"/>
  <c r="X1346" i="10"/>
  <c r="X1347" i="10"/>
  <c r="X1348" i="10"/>
  <c r="X1349" i="10"/>
  <c r="X1350" i="10"/>
  <c r="X1351" i="10"/>
  <c r="X1352" i="10"/>
  <c r="X1353" i="10"/>
  <c r="X1355" i="10"/>
  <c r="X1356" i="10"/>
  <c r="X1357" i="10"/>
  <c r="X1358" i="10"/>
  <c r="X1359" i="10"/>
  <c r="X1360" i="10"/>
  <c r="X1361" i="10"/>
  <c r="X1363" i="10"/>
  <c r="X1364" i="10"/>
  <c r="X1365" i="10"/>
  <c r="X1366" i="10"/>
  <c r="X1367" i="10"/>
  <c r="X1368" i="10"/>
  <c r="X1369" i="10"/>
  <c r="X1370" i="10"/>
  <c r="X1372" i="10"/>
  <c r="X1373" i="10"/>
  <c r="X1374" i="10"/>
  <c r="X1375" i="10"/>
  <c r="X1376" i="10"/>
  <c r="X1377" i="10"/>
  <c r="X1378" i="10"/>
  <c r="X1412" i="10"/>
  <c r="X1413" i="10"/>
  <c r="X1414" i="10"/>
  <c r="X1425" i="10"/>
  <c r="X1426" i="10"/>
  <c r="X1427" i="10"/>
  <c r="X1449" i="10"/>
  <c r="X1450" i="10"/>
  <c r="X1451" i="10"/>
  <c r="X1456" i="10"/>
  <c r="X1457" i="10"/>
  <c r="X1458" i="10"/>
  <c r="X1466" i="10"/>
  <c r="X1467" i="10"/>
  <c r="X1468" i="10"/>
  <c r="X1480" i="10"/>
  <c r="X1481" i="10"/>
  <c r="X1482" i="10"/>
  <c r="X1499" i="10"/>
  <c r="X1500" i="10"/>
  <c r="X1502" i="10"/>
  <c r="X1503" i="10"/>
  <c r="X1504" i="10"/>
  <c r="X1505" i="10"/>
  <c r="X1506" i="10"/>
  <c r="X1508" i="10"/>
  <c r="X1509" i="10"/>
  <c r="X1510" i="10"/>
  <c r="X1511" i="10"/>
  <c r="X1512" i="10"/>
  <c r="X1513" i="10"/>
  <c r="X1515" i="10"/>
  <c r="X1516" i="10"/>
  <c r="X1517" i="10"/>
  <c r="X1518" i="10"/>
  <c r="X1519" i="10"/>
  <c r="X1521" i="10"/>
  <c r="X1522" i="10"/>
  <c r="X1523" i="10"/>
  <c r="X1524" i="10"/>
  <c r="X1525" i="10"/>
  <c r="X1526" i="10"/>
  <c r="X1527" i="10"/>
  <c r="X1529" i="10"/>
  <c r="X1530" i="10"/>
  <c r="X1531" i="10"/>
  <c r="X1532" i="10"/>
  <c r="X1533" i="10"/>
  <c r="X1534" i="10"/>
  <c r="X1535" i="10"/>
  <c r="X1536" i="10"/>
  <c r="X1538" i="10"/>
  <c r="X1539" i="10"/>
  <c r="X1540" i="10"/>
  <c r="X1541" i="10"/>
  <c r="X1542" i="10"/>
  <c r="X1544" i="10"/>
  <c r="X1545" i="10"/>
  <c r="X1546" i="10"/>
  <c r="X1547" i="10"/>
  <c r="X1548" i="10"/>
  <c r="X1550" i="10"/>
  <c r="X1551" i="10"/>
  <c r="X1552" i="10"/>
  <c r="X1553" i="10"/>
  <c r="X1554" i="10"/>
  <c r="X1555" i="10"/>
  <c r="X1557" i="10"/>
  <c r="X1558" i="10"/>
  <c r="X1559" i="10"/>
  <c r="X1560" i="10"/>
  <c r="X1561" i="10"/>
  <c r="X1562" i="10"/>
  <c r="X1563" i="10"/>
  <c r="X1564" i="10"/>
  <c r="X1565" i="10"/>
  <c r="X1566" i="10"/>
  <c r="X1567" i="10"/>
  <c r="X1568" i="10"/>
  <c r="X1570" i="10"/>
  <c r="X1571" i="10"/>
  <c r="X1572" i="10"/>
  <c r="X1573" i="10"/>
  <c r="X1574" i="10"/>
  <c r="X1575" i="10"/>
  <c r="X1577" i="10"/>
  <c r="X1578" i="10"/>
  <c r="X1579" i="10"/>
  <c r="X1580" i="10"/>
  <c r="X1581" i="10"/>
  <c r="X1582" i="10"/>
  <c r="X1584" i="10"/>
  <c r="X1585" i="10"/>
  <c r="X1586" i="10"/>
  <c r="X1587" i="10"/>
  <c r="X1588" i="10"/>
  <c r="X1589" i="10"/>
  <c r="X1591" i="10"/>
  <c r="X1592" i="10"/>
  <c r="X1593" i="10"/>
  <c r="X1594" i="10"/>
  <c r="X1595" i="10"/>
  <c r="X1596" i="10"/>
  <c r="X1604" i="10"/>
  <c r="X1605" i="10"/>
  <c r="X1606" i="10"/>
  <c r="X1607" i="10"/>
  <c r="X1611" i="10"/>
  <c r="X1612" i="10"/>
  <c r="X1613" i="10"/>
  <c r="X1614" i="10"/>
  <c r="X1615" i="10"/>
  <c r="X1616" i="10"/>
  <c r="X1617" i="10"/>
  <c r="X1618" i="10"/>
  <c r="X1619" i="10"/>
  <c r="X1620" i="10"/>
  <c r="X1621" i="10"/>
  <c r="X1623" i="10"/>
  <c r="X1624" i="10"/>
  <c r="X1625" i="10"/>
  <c r="X1626" i="10"/>
  <c r="X1627" i="10"/>
  <c r="X1628" i="10"/>
  <c r="X1629" i="10"/>
  <c r="X1630" i="10"/>
  <c r="X1632" i="10"/>
  <c r="X1633" i="10"/>
  <c r="X1634" i="10"/>
  <c r="X1635" i="10"/>
  <c r="X1636" i="10"/>
  <c r="X1637" i="10"/>
  <c r="X1638" i="10"/>
  <c r="X1639" i="10"/>
  <c r="X1640" i="10"/>
  <c r="X1646" i="10"/>
  <c r="X1647" i="10"/>
  <c r="X1648" i="10"/>
  <c r="X1650" i="10"/>
  <c r="X1651" i="10"/>
  <c r="X1652" i="10"/>
  <c r="X1653" i="10"/>
  <c r="X1654" i="10"/>
  <c r="X1655" i="10"/>
  <c r="X1656" i="10"/>
  <c r="X1657" i="10"/>
  <c r="X1661" i="10"/>
  <c r="X1662" i="10"/>
  <c r="X1663" i="10"/>
  <c r="X1664" i="10"/>
  <c r="X1665" i="10"/>
  <c r="X1676" i="10"/>
  <c r="X1677" i="10"/>
  <c r="X1678" i="10"/>
  <c r="X1679" i="10"/>
  <c r="X1680" i="10"/>
  <c r="X1681" i="10"/>
  <c r="X1682" i="10"/>
  <c r="X1683" i="10"/>
  <c r="X1703" i="10"/>
  <c r="X1704" i="10"/>
  <c r="X1705" i="10"/>
  <c r="X1712" i="10"/>
  <c r="X1713" i="10"/>
  <c r="X1714" i="10"/>
  <c r="X1715" i="10"/>
  <c r="X1716" i="10"/>
  <c r="X1717" i="10"/>
  <c r="X1718" i="10"/>
  <c r="X1720" i="10"/>
  <c r="X1721" i="10"/>
  <c r="X1722" i="10"/>
  <c r="X1723" i="10"/>
  <c r="X1724" i="10"/>
  <c r="X1725" i="10"/>
  <c r="X1728" i="10"/>
  <c r="X1729" i="10"/>
  <c r="X1730" i="10"/>
  <c r="X1731" i="10"/>
  <c r="X1732" i="10"/>
  <c r="X1733" i="10"/>
  <c r="X1739" i="10"/>
  <c r="X1740" i="10"/>
  <c r="X1741" i="10"/>
  <c r="X1742" i="10"/>
  <c r="X1743" i="10"/>
  <c r="X1744" i="10"/>
  <c r="X1745" i="10"/>
  <c r="X1746" i="10"/>
  <c r="X1747" i="10"/>
  <c r="X1748" i="10"/>
  <c r="X1749" i="10"/>
  <c r="X1750" i="10"/>
  <c r="X1751" i="10"/>
  <c r="X1752" i="10"/>
  <c r="X1753" i="10"/>
  <c r="X1754" i="10"/>
  <c r="X1755" i="10"/>
  <c r="X1756" i="10"/>
  <c r="X1758" i="10"/>
  <c r="X1759" i="10"/>
  <c r="X1760" i="10"/>
  <c r="X1761" i="10"/>
  <c r="X1762" i="10"/>
  <c r="X1763" i="10"/>
  <c r="X1764" i="10"/>
  <c r="X1765" i="10"/>
  <c r="X1766" i="10"/>
  <c r="X1767" i="10"/>
  <c r="X1768" i="10"/>
  <c r="X1769" i="10"/>
  <c r="X1770" i="10"/>
  <c r="X1773" i="10"/>
  <c r="X1774" i="10"/>
  <c r="X1775" i="10"/>
  <c r="X1776" i="10"/>
  <c r="X1777" i="10"/>
  <c r="X1780" i="10"/>
  <c r="X1781" i="10"/>
  <c r="X1782" i="10"/>
  <c r="X1783" i="10"/>
  <c r="X1784" i="10"/>
  <c r="X1785" i="10"/>
  <c r="X1786" i="10"/>
  <c r="X1787" i="10"/>
  <c r="X1788" i="10"/>
  <c r="X1789" i="10"/>
  <c r="X1791" i="10"/>
  <c r="X1792" i="10"/>
  <c r="X1793" i="10"/>
  <c r="X1794" i="10"/>
  <c r="X1795" i="10"/>
  <c r="X1796" i="10"/>
  <c r="X1802" i="10"/>
  <c r="X1803" i="10"/>
  <c r="X1804" i="10"/>
  <c r="X1819" i="10"/>
  <c r="X1820" i="10"/>
  <c r="X1821" i="10"/>
  <c r="X1822" i="10"/>
  <c r="X1823" i="10"/>
  <c r="X1825" i="10"/>
  <c r="X1826" i="10"/>
  <c r="X1827" i="10"/>
  <c r="X1828" i="10"/>
  <c r="X1829" i="10"/>
  <c r="X1830" i="10"/>
  <c r="X1833" i="10"/>
  <c r="X1834" i="10"/>
  <c r="X1835" i="10"/>
  <c r="X1836" i="10"/>
  <c r="X1837" i="10"/>
  <c r="X1838" i="10"/>
  <c r="X1845" i="10"/>
  <c r="X1846" i="10"/>
  <c r="X1847" i="10"/>
  <c r="X1850" i="10"/>
  <c r="X1851" i="10"/>
  <c r="X1852" i="10"/>
  <c r="X1853" i="10"/>
  <c r="X1854" i="10"/>
  <c r="X1856" i="10"/>
  <c r="X1857" i="10"/>
  <c r="X1858" i="10"/>
  <c r="X1859" i="10"/>
  <c r="X1860" i="10"/>
  <c r="X1861" i="10"/>
  <c r="X1862" i="10"/>
  <c r="X1863" i="10"/>
  <c r="X1864" i="10"/>
  <c r="X1865" i="10"/>
  <c r="X1867" i="10"/>
  <c r="X1868" i="10"/>
  <c r="X1869" i="10"/>
  <c r="X1870" i="10"/>
  <c r="X1871" i="10"/>
  <c r="X1872" i="10"/>
  <c r="X1873" i="10"/>
  <c r="X1875" i="10"/>
  <c r="X1876" i="10"/>
  <c r="X1877" i="10"/>
  <c r="X1878" i="10"/>
  <c r="X1879" i="10"/>
  <c r="X1881" i="10"/>
  <c r="X1882" i="10"/>
  <c r="X1883" i="10"/>
  <c r="X1884" i="10"/>
  <c r="X1885" i="10"/>
  <c r="X1886" i="10"/>
  <c r="X1887" i="10"/>
  <c r="X1888" i="10"/>
  <c r="X1889" i="10"/>
  <c r="X1890" i="10"/>
  <c r="X1896" i="10"/>
  <c r="X1897" i="10"/>
  <c r="X1898" i="10"/>
  <c r="X1904" i="10"/>
  <c r="X1905" i="10"/>
  <c r="X1906" i="10"/>
  <c r="X1908" i="10"/>
  <c r="X1909" i="10"/>
  <c r="X1910" i="10"/>
  <c r="X1911" i="10"/>
  <c r="X1912" i="10"/>
  <c r="X1913" i="10"/>
  <c r="X1914" i="10"/>
  <c r="X1937" i="10"/>
  <c r="X1938" i="10"/>
  <c r="X1939" i="10"/>
  <c r="X1940" i="10"/>
  <c r="X1941" i="10"/>
  <c r="X1955" i="10"/>
  <c r="X1956" i="10"/>
  <c r="X1957" i="10"/>
  <c r="X1958" i="10"/>
  <c r="X1964" i="10"/>
  <c r="X1965" i="10"/>
  <c r="X1966" i="10"/>
  <c r="X1968" i="10"/>
  <c r="X1969" i="10"/>
  <c r="X1970" i="10"/>
  <c r="X1971" i="10"/>
  <c r="X1972" i="10"/>
  <c r="X1974" i="10"/>
  <c r="X1975" i="10"/>
  <c r="X1976" i="10"/>
  <c r="X1977" i="10"/>
  <c r="X1978" i="10"/>
  <c r="X1979" i="10"/>
  <c r="X1981" i="10"/>
  <c r="X1982" i="10"/>
  <c r="X1983" i="10"/>
  <c r="X1984" i="10"/>
  <c r="X1985" i="10"/>
  <c r="X1986" i="10"/>
  <c r="X1987" i="10"/>
  <c r="X1988" i="10"/>
  <c r="X1989" i="10"/>
  <c r="X2008" i="10"/>
  <c r="X2009" i="10"/>
  <c r="X2010" i="10"/>
  <c r="X2011" i="10"/>
  <c r="X2013" i="10"/>
  <c r="X2014" i="10"/>
  <c r="X2015" i="10"/>
  <c r="X2016" i="10"/>
  <c r="X2017" i="10"/>
  <c r="X2018" i="10"/>
  <c r="X2019" i="10"/>
  <c r="X2025" i="10"/>
  <c r="X2026" i="10"/>
  <c r="X2027" i="10"/>
  <c r="X2032" i="10"/>
  <c r="X2033" i="10"/>
  <c r="X2034" i="10"/>
  <c r="X2035" i="10"/>
  <c r="X2041" i="10"/>
  <c r="X2042" i="10"/>
  <c r="X2043" i="10"/>
  <c r="X2051" i="10"/>
  <c r="X2052" i="10"/>
  <c r="X2053" i="10"/>
  <c r="X2055" i="10"/>
  <c r="X2056" i="10"/>
  <c r="X2057" i="10"/>
  <c r="X2058" i="10"/>
  <c r="X2059" i="10"/>
  <c r="X2060" i="10"/>
  <c r="X2061" i="10"/>
  <c r="X2062" i="10"/>
  <c r="X2063" i="10"/>
  <c r="X2065" i="10"/>
  <c r="X2066" i="10"/>
  <c r="X2067" i="10"/>
  <c r="X2068" i="10"/>
  <c r="X2069" i="10"/>
  <c r="X2070" i="10"/>
  <c r="X2071" i="10"/>
  <c r="X2072" i="10"/>
  <c r="X2073" i="10"/>
  <c r="X2074" i="10"/>
  <c r="X2101" i="10"/>
  <c r="X2102" i="10"/>
  <c r="X2103" i="10"/>
  <c r="X2104" i="10"/>
  <c r="X2105" i="10"/>
  <c r="X2106" i="10"/>
  <c r="X2107" i="10"/>
  <c r="X2108" i="10"/>
  <c r="X2109" i="10"/>
  <c r="X2110" i="10"/>
  <c r="X2111" i="10"/>
  <c r="X2112" i="10"/>
  <c r="X2113" i="10"/>
  <c r="X2114" i="10"/>
  <c r="X2115" i="10"/>
  <c r="X2116" i="10"/>
  <c r="X2117" i="10"/>
  <c r="X2118" i="10"/>
  <c r="X2119" i="10"/>
  <c r="X2120" i="10"/>
  <c r="X2121" i="10"/>
  <c r="X2122" i="10"/>
  <c r="X2123" i="10"/>
  <c r="X2124" i="10"/>
  <c r="X2125" i="10"/>
  <c r="X2126" i="10"/>
  <c r="X2127" i="10"/>
  <c r="X2128" i="10"/>
  <c r="X2129" i="10"/>
  <c r="X2133" i="10"/>
  <c r="X2134" i="10"/>
  <c r="X2135" i="10"/>
  <c r="X2136" i="10"/>
  <c r="X2139" i="10"/>
  <c r="X2140" i="10"/>
  <c r="X2141" i="10"/>
  <c r="X2142" i="10"/>
  <c r="X2143" i="10"/>
  <c r="X2144" i="10"/>
  <c r="X2152" i="10"/>
  <c r="X2153" i="10"/>
  <c r="X2154" i="10"/>
  <c r="X2155" i="10"/>
  <c r="X2156" i="10"/>
  <c r="X2157" i="10"/>
  <c r="X2158" i="10"/>
  <c r="X2171" i="10"/>
  <c r="X2172" i="10"/>
  <c r="X2173" i="10"/>
  <c r="X2174" i="10"/>
  <c r="X2175" i="10"/>
  <c r="X2189" i="10"/>
  <c r="X2190" i="10"/>
  <c r="X2191" i="10"/>
  <c r="X2192" i="10"/>
  <c r="X2193" i="10"/>
  <c r="X2194" i="10"/>
  <c r="X2195" i="10"/>
  <c r="X2196" i="10"/>
  <c r="X2197" i="10"/>
  <c r="X2198" i="10"/>
  <c r="X2199" i="10"/>
  <c r="X2205" i="10"/>
  <c r="X2206" i="10"/>
  <c r="X2207" i="10"/>
  <c r="X2208" i="10"/>
  <c r="X2209" i="10"/>
  <c r="X2210" i="10"/>
  <c r="X2211" i="10"/>
  <c r="X2212" i="10"/>
  <c r="X2213" i="10"/>
  <c r="X2220" i="10"/>
  <c r="X2221" i="10"/>
  <c r="X2222" i="10"/>
  <c r="X2223" i="10"/>
  <c r="X2227" i="10"/>
  <c r="X2228" i="10"/>
  <c r="X2229" i="10"/>
  <c r="X2230" i="10"/>
  <c r="X2231" i="10"/>
  <c r="X2232" i="10"/>
  <c r="X2233" i="10"/>
  <c r="X2234" i="10"/>
  <c r="X2235" i="10"/>
  <c r="X2236" i="10"/>
  <c r="X2237" i="10"/>
  <c r="X2238" i="10"/>
  <c r="X2239" i="10"/>
  <c r="X2241" i="10"/>
  <c r="X2242" i="10"/>
  <c r="X2243" i="10"/>
  <c r="X2244" i="10"/>
  <c r="X2245" i="10"/>
  <c r="X2246" i="10"/>
  <c r="X2247" i="10"/>
  <c r="X2248" i="10"/>
  <c r="X2249" i="10"/>
  <c r="X2251" i="10"/>
  <c r="X2252" i="10"/>
  <c r="X2253" i="10"/>
  <c r="X2254" i="10"/>
  <c r="X2255" i="10"/>
  <c r="X2256" i="10"/>
  <c r="X2257" i="10"/>
  <c r="X2258" i="10"/>
  <c r="X2259" i="10"/>
  <c r="X2261" i="10"/>
  <c r="X2262" i="10"/>
  <c r="X2263" i="10"/>
  <c r="X2264" i="10"/>
  <c r="X2265" i="10"/>
  <c r="X2266" i="10"/>
  <c r="X2267" i="10"/>
  <c r="X2268" i="10"/>
  <c r="X2269" i="10"/>
  <c r="X2271" i="10"/>
  <c r="X2272" i="10"/>
  <c r="X2273" i="10"/>
  <c r="X2274" i="10"/>
  <c r="X2275" i="10"/>
  <c r="X2276" i="10"/>
  <c r="X2277" i="10"/>
  <c r="X2278" i="10"/>
  <c r="X2279" i="10"/>
  <c r="X2282" i="10"/>
  <c r="X2283" i="10"/>
  <c r="X2284" i="10"/>
  <c r="X2285" i="10"/>
  <c r="X2286" i="10"/>
  <c r="X2287" i="10"/>
  <c r="X2288" i="10"/>
  <c r="X2289" i="10"/>
  <c r="X2297" i="10"/>
  <c r="X2298" i="10"/>
  <c r="X2299" i="10"/>
  <c r="X2300" i="10"/>
  <c r="X2301" i="10"/>
  <c r="X2303" i="10"/>
  <c r="X2304" i="10"/>
  <c r="X2305" i="10"/>
  <c r="X2306" i="10"/>
  <c r="X2307" i="10"/>
  <c r="X2308" i="10"/>
  <c r="X2309" i="10"/>
  <c r="X2310" i="10"/>
  <c r="X2311" i="10"/>
  <c r="X2313" i="10"/>
  <c r="X2314" i="10"/>
  <c r="X2315" i="10"/>
  <c r="X2316" i="10"/>
  <c r="X2317" i="10"/>
  <c r="X2318" i="10"/>
  <c r="X2319" i="10"/>
  <c r="X2320" i="10"/>
  <c r="X2321" i="10"/>
  <c r="X2323" i="10"/>
  <c r="X2324" i="10"/>
  <c r="X2325" i="10"/>
  <c r="X2326" i="10"/>
  <c r="X2327" i="10"/>
  <c r="X2328" i="10"/>
  <c r="X2329" i="10"/>
  <c r="X2330" i="10"/>
  <c r="X2332" i="10"/>
  <c r="X2333" i="10"/>
  <c r="X2334" i="10"/>
  <c r="X2335" i="10"/>
  <c r="X2336" i="10"/>
  <c r="X2337" i="10"/>
  <c r="X2338" i="10"/>
  <c r="X2346" i="10"/>
  <c r="X2347" i="10"/>
  <c r="X2348" i="10"/>
  <c r="X2349" i="10"/>
  <c r="X2350" i="10"/>
  <c r="X2351" i="10"/>
  <c r="X2352" i="10"/>
  <c r="X2353" i="10"/>
  <c r="X2354" i="10"/>
  <c r="X2363" i="10"/>
  <c r="X2364" i="10"/>
  <c r="X2365" i="10"/>
  <c r="X2366" i="10"/>
  <c r="X2367" i="10"/>
  <c r="X2368" i="10"/>
  <c r="X2372" i="10"/>
  <c r="X2373" i="10"/>
  <c r="X2374" i="10"/>
  <c r="X2376" i="10"/>
  <c r="X2377" i="10"/>
  <c r="X2378" i="10"/>
  <c r="X2379" i="10"/>
  <c r="X2380" i="10"/>
  <c r="X2382" i="10"/>
  <c r="X2383" i="10"/>
  <c r="X2384" i="10"/>
  <c r="X2385" i="10"/>
  <c r="X2386" i="10"/>
  <c r="X2388" i="10"/>
  <c r="X2389" i="10"/>
  <c r="X2390" i="10"/>
  <c r="X2391" i="10"/>
  <c r="X2392" i="10"/>
  <c r="X2394" i="10"/>
  <c r="X2395" i="10"/>
  <c r="X2396" i="10"/>
  <c r="X2397" i="10"/>
  <c r="X2398" i="10"/>
  <c r="W10" i="10"/>
  <c r="X10" i="10" s="1"/>
  <c r="W13" i="10"/>
  <c r="W14" i="10"/>
  <c r="W16" i="10"/>
  <c r="W17" i="10"/>
  <c r="W18" i="10"/>
  <c r="W19" i="10"/>
  <c r="W20" i="10"/>
  <c r="W21" i="10"/>
  <c r="W30" i="10"/>
  <c r="X30" i="10" s="1"/>
  <c r="W34" i="10"/>
  <c r="X34" i="10" s="1"/>
  <c r="W36" i="10"/>
  <c r="X36" i="10" s="1"/>
  <c r="W46" i="10"/>
  <c r="W47" i="10"/>
  <c r="W48" i="10"/>
  <c r="W50" i="10"/>
  <c r="W51" i="10"/>
  <c r="W52" i="10"/>
  <c r="W53" i="10"/>
  <c r="W54" i="10"/>
  <c r="W55" i="10"/>
  <c r="W56" i="10"/>
  <c r="W57" i="10"/>
  <c r="W59" i="10"/>
  <c r="W60" i="10"/>
  <c r="W61" i="10"/>
  <c r="W62" i="10"/>
  <c r="W63" i="10"/>
  <c r="W64" i="10"/>
  <c r="W65" i="10"/>
  <c r="W66" i="10"/>
  <c r="W72" i="10"/>
  <c r="X72" i="10" s="1"/>
  <c r="W74" i="10"/>
  <c r="W75" i="10"/>
  <c r="W76" i="10"/>
  <c r="W81" i="10"/>
  <c r="X81" i="10" s="1"/>
  <c r="W82" i="10"/>
  <c r="X82" i="10" s="1"/>
  <c r="W84" i="10"/>
  <c r="W86" i="10"/>
  <c r="W87" i="10"/>
  <c r="W88" i="10"/>
  <c r="W89" i="10"/>
  <c r="W90" i="10"/>
  <c r="W91" i="10"/>
  <c r="W93" i="10"/>
  <c r="W94" i="10"/>
  <c r="W95" i="10"/>
  <c r="W96" i="10"/>
  <c r="W97" i="10"/>
  <c r="W99" i="10"/>
  <c r="W100" i="10"/>
  <c r="W101" i="10"/>
  <c r="W102" i="10"/>
  <c r="W104" i="10"/>
  <c r="W105" i="10"/>
  <c r="W106" i="10"/>
  <c r="W107" i="10"/>
  <c r="W117" i="10"/>
  <c r="W118" i="10"/>
  <c r="W121" i="10"/>
  <c r="W122" i="10"/>
  <c r="W123" i="10"/>
  <c r="W124" i="10"/>
  <c r="W125" i="10"/>
  <c r="W128" i="10"/>
  <c r="W129" i="10"/>
  <c r="W130" i="10"/>
  <c r="W131" i="10"/>
  <c r="W132" i="10"/>
  <c r="W136" i="10"/>
  <c r="W137" i="10"/>
  <c r="W138" i="10"/>
  <c r="W139" i="10"/>
  <c r="W140" i="10"/>
  <c r="W143" i="10"/>
  <c r="W144" i="10"/>
  <c r="W145" i="10"/>
  <c r="W146" i="10"/>
  <c r="W147" i="10"/>
  <c r="W148" i="10"/>
  <c r="W151" i="10"/>
  <c r="W152" i="10"/>
  <c r="W153" i="10"/>
  <c r="W154" i="10"/>
  <c r="W155" i="10"/>
  <c r="W156" i="10"/>
  <c r="W158" i="10"/>
  <c r="W159" i="10"/>
  <c r="W160" i="10"/>
  <c r="W161" i="10"/>
  <c r="W162" i="10"/>
  <c r="W163" i="10"/>
  <c r="W164" i="10"/>
  <c r="W166" i="10"/>
  <c r="W167" i="10"/>
  <c r="W168" i="10"/>
  <c r="W169" i="10"/>
  <c r="W170" i="10"/>
  <c r="W171" i="10"/>
  <c r="W173" i="10"/>
  <c r="W174" i="10"/>
  <c r="W175" i="10"/>
  <c r="W176" i="10"/>
  <c r="W177" i="10"/>
  <c r="W178" i="10"/>
  <c r="W179" i="10"/>
  <c r="W180" i="10"/>
  <c r="W182" i="10"/>
  <c r="W183" i="10"/>
  <c r="W184" i="10"/>
  <c r="W185" i="10"/>
  <c r="W186" i="10"/>
  <c r="W187" i="10"/>
  <c r="W188" i="10"/>
  <c r="W189" i="10"/>
  <c r="W191" i="10"/>
  <c r="W192" i="10"/>
  <c r="W193" i="10"/>
  <c r="W194" i="10"/>
  <c r="W195" i="10"/>
  <c r="W196" i="10"/>
  <c r="W197" i="10"/>
  <c r="W198" i="10"/>
  <c r="W199" i="10"/>
  <c r="W201" i="10"/>
  <c r="W202" i="10"/>
  <c r="W203" i="10"/>
  <c r="W204" i="10"/>
  <c r="W205" i="10"/>
  <c r="W206" i="10"/>
  <c r="W207" i="10"/>
  <c r="W210" i="10"/>
  <c r="X210" i="10" s="1"/>
  <c r="W216" i="10"/>
  <c r="W217" i="10"/>
  <c r="W218" i="10"/>
  <c r="W219" i="10"/>
  <c r="W221" i="10"/>
  <c r="W222" i="10"/>
  <c r="W223" i="10"/>
  <c r="W224" i="10"/>
  <c r="W225" i="10"/>
  <c r="W226" i="10"/>
  <c r="W227" i="10"/>
  <c r="W229" i="10"/>
  <c r="W230" i="10"/>
  <c r="W231" i="10"/>
  <c r="W232" i="10"/>
  <c r="W233" i="10"/>
  <c r="W234" i="10"/>
  <c r="W235" i="10"/>
  <c r="W239" i="10"/>
  <c r="X239" i="10" s="1"/>
  <c r="W240" i="10"/>
  <c r="X240" i="10" s="1"/>
  <c r="W250" i="10"/>
  <c r="X250" i="10" s="1"/>
  <c r="W251" i="10"/>
  <c r="X251" i="10" s="1"/>
  <c r="W256" i="10"/>
  <c r="X256" i="10" s="1"/>
  <c r="W258" i="10"/>
  <c r="W259" i="10"/>
  <c r="W260" i="10"/>
  <c r="W261" i="10"/>
  <c r="W264" i="10"/>
  <c r="W265" i="10"/>
  <c r="W266" i="10"/>
  <c r="W267" i="10"/>
  <c r="W268" i="10"/>
  <c r="W269" i="10"/>
  <c r="W270" i="10"/>
  <c r="W273" i="10"/>
  <c r="W274" i="10"/>
  <c r="W275" i="10"/>
  <c r="W276" i="10"/>
  <c r="W277" i="10"/>
  <c r="W289" i="10"/>
  <c r="X289" i="10" s="1"/>
  <c r="W290" i="10"/>
  <c r="X290" i="10" s="1"/>
  <c r="W291" i="10"/>
  <c r="X291" i="10" s="1"/>
  <c r="W292" i="10"/>
  <c r="X292" i="10" s="1"/>
  <c r="W296" i="10"/>
  <c r="X296" i="10" s="1"/>
  <c r="W297" i="10"/>
  <c r="X297" i="10" s="1"/>
  <c r="W299" i="10"/>
  <c r="W300" i="10"/>
  <c r="W301" i="10"/>
  <c r="W302" i="10"/>
  <c r="W303" i="10"/>
  <c r="W304" i="10"/>
  <c r="W305" i="10"/>
  <c r="W306" i="10"/>
  <c r="W307" i="10"/>
  <c r="W319" i="10"/>
  <c r="X319" i="10" s="1"/>
  <c r="W320" i="10"/>
  <c r="X320" i="10" s="1"/>
  <c r="W323" i="10"/>
  <c r="W324" i="10"/>
  <c r="W325" i="10"/>
  <c r="W326" i="10"/>
  <c r="W327" i="10"/>
  <c r="W328" i="10"/>
  <c r="W329" i="10"/>
  <c r="W330" i="10"/>
  <c r="W331" i="10"/>
  <c r="W336" i="10"/>
  <c r="X336" i="10" s="1"/>
  <c r="W337" i="10"/>
  <c r="X337" i="10" s="1"/>
  <c r="W342" i="10"/>
  <c r="X342" i="10" s="1"/>
  <c r="W346" i="10"/>
  <c r="W347" i="10"/>
  <c r="W348" i="10"/>
  <c r="W353" i="10"/>
  <c r="X353" i="10" s="1"/>
  <c r="W354" i="10"/>
  <c r="X354" i="10" s="1"/>
  <c r="W367" i="10"/>
  <c r="X367" i="10" s="1"/>
  <c r="W369" i="10"/>
  <c r="X369" i="10" s="1"/>
  <c r="W372" i="10"/>
  <c r="X372" i="10" s="1"/>
  <c r="W378" i="10"/>
  <c r="X378" i="10" s="1"/>
  <c r="W380" i="10"/>
  <c r="W381" i="10"/>
  <c r="W382" i="10"/>
  <c r="W383" i="10"/>
  <c r="W384" i="10"/>
  <c r="W402" i="10"/>
  <c r="X402" i="10" s="1"/>
  <c r="W404" i="10"/>
  <c r="W405" i="10"/>
  <c r="W406" i="10"/>
  <c r="W407" i="10"/>
  <c r="W408" i="10"/>
  <c r="W409" i="10"/>
  <c r="W410" i="10"/>
  <c r="W412" i="10"/>
  <c r="W413" i="10"/>
  <c r="W414" i="10"/>
  <c r="W415" i="10"/>
  <c r="W416" i="10"/>
  <c r="W417" i="10"/>
  <c r="W418" i="10"/>
  <c r="W423" i="10"/>
  <c r="W424" i="10"/>
  <c r="W425" i="10"/>
  <c r="W426" i="10"/>
  <c r="W427" i="10"/>
  <c r="W429" i="10"/>
  <c r="W430" i="10"/>
  <c r="W431" i="10"/>
  <c r="W432" i="10"/>
  <c r="W433" i="10"/>
  <c r="W434" i="10"/>
  <c r="W436" i="10"/>
  <c r="W437" i="10"/>
  <c r="W438" i="10"/>
  <c r="W439" i="10"/>
  <c r="W440" i="10"/>
  <c r="W441" i="10"/>
  <c r="W445" i="10"/>
  <c r="X445" i="10" s="1"/>
  <c r="W447" i="10"/>
  <c r="X447" i="10" s="1"/>
  <c r="W448" i="10"/>
  <c r="W449" i="10"/>
  <c r="W450" i="10"/>
  <c r="W451" i="10"/>
  <c r="W452" i="10"/>
  <c r="W453" i="10"/>
  <c r="W454" i="10"/>
  <c r="W460" i="10"/>
  <c r="X460" i="10" s="1"/>
  <c r="W462" i="10"/>
  <c r="W463" i="10"/>
  <c r="W464" i="10"/>
  <c r="W470" i="10"/>
  <c r="X470" i="10" s="1"/>
  <c r="W474" i="10"/>
  <c r="X474" i="10" s="1"/>
  <c r="W477" i="10"/>
  <c r="X477" i="10" s="1"/>
  <c r="W481" i="10"/>
  <c r="X481" i="10" s="1"/>
  <c r="W484" i="10"/>
  <c r="X484" i="10" s="1"/>
  <c r="W486" i="10"/>
  <c r="W487" i="10"/>
  <c r="W489" i="10"/>
  <c r="W490" i="10"/>
  <c r="W491" i="10"/>
  <c r="W492" i="10"/>
  <c r="W493" i="10"/>
  <c r="W494" i="10"/>
  <c r="W495" i="10"/>
  <c r="W497" i="10"/>
  <c r="W498" i="10"/>
  <c r="W499" i="10"/>
  <c r="W500" i="10"/>
  <c r="W501" i="10"/>
  <c r="W502" i="10"/>
  <c r="W503" i="10"/>
  <c r="W504" i="10"/>
  <c r="W505" i="10"/>
  <c r="W511" i="10"/>
  <c r="X511" i="10" s="1"/>
  <c r="W513" i="10"/>
  <c r="X513" i="10" s="1"/>
  <c r="W519" i="10"/>
  <c r="W520" i="10"/>
  <c r="W526" i="10"/>
  <c r="X526" i="10" s="1"/>
  <c r="W528" i="10"/>
  <c r="X528" i="10" s="1"/>
  <c r="W535" i="10"/>
  <c r="W536" i="10"/>
  <c r="W537" i="10"/>
  <c r="W538" i="10"/>
  <c r="W540" i="10"/>
  <c r="W541" i="10"/>
  <c r="W542" i="10"/>
  <c r="W543" i="10"/>
  <c r="W544" i="10"/>
  <c r="W545" i="10"/>
  <c r="W546" i="10"/>
  <c r="W547" i="10"/>
  <c r="W548" i="10"/>
  <c r="W550" i="10"/>
  <c r="W551" i="10"/>
  <c r="W552" i="10"/>
  <c r="W553" i="10"/>
  <c r="W554" i="10"/>
  <c r="W555" i="10"/>
  <c r="W556" i="10"/>
  <c r="W557" i="10"/>
  <c r="W558" i="10"/>
  <c r="W560" i="10"/>
  <c r="W561" i="10"/>
  <c r="W562" i="10"/>
  <c r="W563" i="10"/>
  <c r="W564" i="10"/>
  <c r="W565" i="10"/>
  <c r="W566" i="10"/>
  <c r="W576" i="10"/>
  <c r="X576" i="10" s="1"/>
  <c r="W582" i="10"/>
  <c r="W583" i="10"/>
  <c r="W584" i="10"/>
  <c r="W594" i="10"/>
  <c r="X594" i="10" s="1"/>
  <c r="W599" i="10"/>
  <c r="X599" i="10" s="1"/>
  <c r="W600" i="10"/>
  <c r="X600" i="10" s="1"/>
  <c r="W605" i="10"/>
  <c r="W606" i="10"/>
  <c r="W607" i="10"/>
  <c r="W609" i="10"/>
  <c r="W610" i="10"/>
  <c r="W611" i="10"/>
  <c r="W612" i="10"/>
  <c r="W613" i="10"/>
  <c r="W614" i="10"/>
  <c r="W615" i="10"/>
  <c r="W616" i="10"/>
  <c r="W617" i="10"/>
  <c r="W618" i="10"/>
  <c r="W623" i="10"/>
  <c r="X623" i="10" s="1"/>
  <c r="W625" i="10"/>
  <c r="W626" i="10"/>
  <c r="W627" i="10"/>
  <c r="W628" i="10"/>
  <c r="W637" i="10"/>
  <c r="W638" i="10"/>
  <c r="W639" i="10"/>
  <c r="W644" i="10"/>
  <c r="W645" i="10"/>
  <c r="W646" i="10"/>
  <c r="W647" i="10"/>
  <c r="W648" i="10"/>
  <c r="W652" i="10"/>
  <c r="X652" i="10" s="1"/>
  <c r="W656" i="10"/>
  <c r="W657" i="10"/>
  <c r="W658" i="10"/>
  <c r="W659" i="10"/>
  <c r="W660" i="10"/>
  <c r="W666" i="10"/>
  <c r="W667" i="10"/>
  <c r="W668" i="10"/>
  <c r="W669" i="10"/>
  <c r="W674" i="10"/>
  <c r="X674" i="10" s="1"/>
  <c r="W678" i="10"/>
  <c r="W679" i="10"/>
  <c r="W685" i="10"/>
  <c r="W686" i="10"/>
  <c r="W687" i="10"/>
  <c r="W689" i="10"/>
  <c r="W690" i="10"/>
  <c r="W691" i="10"/>
  <c r="W692" i="10"/>
  <c r="W693" i="10"/>
  <c r="W694" i="10"/>
  <c r="W695" i="10"/>
  <c r="W697" i="10"/>
  <c r="W698" i="10"/>
  <c r="W699" i="10"/>
  <c r="W700" i="10"/>
  <c r="W701" i="10"/>
  <c r="W702" i="10"/>
  <c r="W703" i="10"/>
  <c r="X719" i="10"/>
  <c r="X720" i="10"/>
  <c r="X724" i="10"/>
  <c r="X725" i="10"/>
  <c r="X733" i="10"/>
  <c r="X734" i="10"/>
  <c r="W737" i="10"/>
  <c r="W738" i="10"/>
  <c r="W739" i="10"/>
  <c r="W740" i="10"/>
  <c r="W742" i="10"/>
  <c r="W743" i="10"/>
  <c r="W744" i="10"/>
  <c r="W745" i="10"/>
  <c r="W746" i="10"/>
  <c r="W747" i="10"/>
  <c r="W748" i="10"/>
  <c r="W749" i="10"/>
  <c r="W750" i="10"/>
  <c r="W752" i="10"/>
  <c r="W753" i="10"/>
  <c r="W754" i="10"/>
  <c r="W755" i="10"/>
  <c r="W756" i="10"/>
  <c r="W757" i="10"/>
  <c r="W758" i="10"/>
  <c r="W759" i="10"/>
  <c r="W761" i="10"/>
  <c r="W762" i="10"/>
  <c r="W763" i="10"/>
  <c r="W764" i="10"/>
  <c r="W765" i="10"/>
  <c r="W766" i="10"/>
  <c r="W773" i="10"/>
  <c r="X773" i="10" s="1"/>
  <c r="W778" i="10"/>
  <c r="X778" i="10" s="1"/>
  <c r="W782" i="10"/>
  <c r="W783" i="10"/>
  <c r="W784" i="10"/>
  <c r="W785" i="10"/>
  <c r="W786" i="10"/>
  <c r="W790" i="10"/>
  <c r="W791" i="10"/>
  <c r="W792" i="10"/>
  <c r="W793" i="10"/>
  <c r="W801" i="10"/>
  <c r="X801" i="10" s="1"/>
  <c r="W806" i="10"/>
  <c r="W807" i="10"/>
  <c r="W808" i="10"/>
  <c r="W809" i="10"/>
  <c r="W810" i="10"/>
  <c r="W811" i="10"/>
  <c r="W812" i="10"/>
  <c r="W818" i="10"/>
  <c r="X818" i="10" s="1"/>
  <c r="W820" i="10"/>
  <c r="X820" i="10" s="1"/>
  <c r="W821" i="10"/>
  <c r="X821" i="10" s="1"/>
  <c r="W825" i="10"/>
  <c r="X825" i="10" s="1"/>
  <c r="W830" i="10"/>
  <c r="W831" i="10"/>
  <c r="W832" i="10"/>
  <c r="W833" i="10"/>
  <c r="W834" i="10"/>
  <c r="W835" i="10"/>
  <c r="W837" i="10"/>
  <c r="W838" i="10"/>
  <c r="W839" i="10"/>
  <c r="W840" i="10"/>
  <c r="W841" i="10"/>
  <c r="W842" i="10"/>
  <c r="W843" i="10"/>
  <c r="W844" i="10"/>
  <c r="W845" i="10"/>
  <c r="W846" i="10"/>
  <c r="W847" i="10"/>
  <c r="W848" i="10"/>
  <c r="W849" i="10"/>
  <c r="W850" i="10"/>
  <c r="W851" i="10"/>
  <c r="W854" i="10"/>
  <c r="X854" i="10" s="1"/>
  <c r="W855" i="10"/>
  <c r="W856" i="10"/>
  <c r="W857" i="10"/>
  <c r="W858" i="10"/>
  <c r="W859" i="10"/>
  <c r="W865" i="10"/>
  <c r="W866" i="10"/>
  <c r="W867" i="10"/>
  <c r="W868" i="10"/>
  <c r="W869" i="10"/>
  <c r="W889" i="10"/>
  <c r="X889" i="10" s="1"/>
  <c r="W890" i="10"/>
  <c r="X890" i="10" s="1"/>
  <c r="W897" i="10"/>
  <c r="X897" i="10" s="1"/>
  <c r="W903" i="10"/>
  <c r="X903" i="10" s="1"/>
  <c r="W904" i="10"/>
  <c r="W905" i="10"/>
  <c r="W906" i="10"/>
  <c r="W907" i="10"/>
  <c r="W908" i="10"/>
  <c r="W909" i="10"/>
  <c r="W910" i="10"/>
  <c r="W911" i="10"/>
  <c r="W912" i="10"/>
  <c r="W913" i="10"/>
  <c r="W914" i="10"/>
  <c r="W915" i="10"/>
  <c r="W916" i="10"/>
  <c r="W917" i="10"/>
  <c r="W918" i="10"/>
  <c r="W919" i="10"/>
  <c r="W920" i="10"/>
  <c r="W921" i="10"/>
  <c r="W922" i="10"/>
  <c r="W923" i="10"/>
  <c r="W924" i="10"/>
  <c r="W925" i="10"/>
  <c r="W926" i="10"/>
  <c r="W927" i="10"/>
  <c r="W928" i="10"/>
  <c r="W929" i="10"/>
  <c r="W930" i="10"/>
  <c r="W931" i="10"/>
  <c r="W932" i="10"/>
  <c r="W933" i="10"/>
  <c r="W934" i="10"/>
  <c r="W935" i="10"/>
  <c r="W936" i="10"/>
  <c r="W937" i="10"/>
  <c r="W939" i="10"/>
  <c r="W940" i="10"/>
  <c r="W941" i="10"/>
  <c r="W942" i="10"/>
  <c r="W943" i="10"/>
  <c r="W944" i="10"/>
  <c r="W946" i="10"/>
  <c r="W947" i="10"/>
  <c r="W948" i="10"/>
  <c r="W949" i="10"/>
  <c r="W950" i="10"/>
  <c r="W951" i="10"/>
  <c r="W952" i="10"/>
  <c r="W954" i="10"/>
  <c r="W955" i="10"/>
  <c r="W956" i="10"/>
  <c r="W957" i="10"/>
  <c r="W958" i="10"/>
  <c r="W959" i="10"/>
  <c r="W960" i="10"/>
  <c r="W962" i="10"/>
  <c r="W963" i="10"/>
  <c r="W964" i="10"/>
  <c r="W965" i="10"/>
  <c r="W966" i="10"/>
  <c r="W967" i="10"/>
  <c r="W968" i="10"/>
  <c r="W970" i="10"/>
  <c r="W971" i="10"/>
  <c r="W972" i="10"/>
  <c r="W973" i="10"/>
  <c r="W974" i="10"/>
  <c r="W975" i="10"/>
  <c r="W976" i="10"/>
  <c r="W978" i="10"/>
  <c r="X978" i="10" s="1"/>
  <c r="W981" i="10"/>
  <c r="X981" i="10" s="1"/>
  <c r="W982" i="10"/>
  <c r="X982" i="10" s="1"/>
  <c r="W983" i="10"/>
  <c r="X983" i="10" s="1"/>
  <c r="W984" i="10"/>
  <c r="X984" i="10" s="1"/>
  <c r="W985" i="10"/>
  <c r="X985" i="10" s="1"/>
  <c r="W986" i="10"/>
  <c r="X986" i="10" s="1"/>
  <c r="W987" i="10"/>
  <c r="X987" i="10" s="1"/>
  <c r="W988" i="10"/>
  <c r="W989" i="10"/>
  <c r="W990" i="10"/>
  <c r="W991" i="10"/>
  <c r="W992" i="10"/>
  <c r="W993" i="10"/>
  <c r="W994" i="10"/>
  <c r="W995" i="10"/>
  <c r="W996" i="10"/>
  <c r="W997" i="10"/>
  <c r="W998" i="10"/>
  <c r="W999" i="10"/>
  <c r="W1000" i="10"/>
  <c r="W1001" i="10"/>
  <c r="W1002" i="10"/>
  <c r="W1003" i="10"/>
  <c r="W1004" i="10"/>
  <c r="W1005" i="10"/>
  <c r="W1006" i="10"/>
  <c r="W1007" i="10"/>
  <c r="W1008" i="10"/>
  <c r="W1011" i="10"/>
  <c r="X1011" i="10" s="1"/>
  <c r="W1013" i="10"/>
  <c r="W1014" i="10"/>
  <c r="W1015" i="10"/>
  <c r="W1016" i="10"/>
  <c r="W1017" i="10"/>
  <c r="W1018" i="10"/>
  <c r="W1019" i="10"/>
  <c r="W1020" i="10"/>
  <c r="W1021" i="10"/>
  <c r="W1022" i="10"/>
  <c r="W1023" i="10"/>
  <c r="W1024" i="10"/>
  <c r="W1025" i="10"/>
  <c r="W1028" i="10"/>
  <c r="X1028" i="10" s="1"/>
  <c r="W1030" i="10"/>
  <c r="W1031" i="10"/>
  <c r="W1032" i="10"/>
  <c r="W1033" i="10"/>
  <c r="W1034" i="10"/>
  <c r="W1035" i="10"/>
  <c r="W1036" i="10"/>
  <c r="W1037" i="10"/>
  <c r="W1038" i="10"/>
  <c r="W1039" i="10"/>
  <c r="W1040" i="10"/>
  <c r="W1044" i="10"/>
  <c r="W1045" i="10"/>
  <c r="W1046" i="10"/>
  <c r="W1047" i="10"/>
  <c r="W1048" i="10"/>
  <c r="W1049" i="10"/>
  <c r="W1050" i="10"/>
  <c r="W1051" i="10"/>
  <c r="W1052" i="10"/>
  <c r="W1053" i="10"/>
  <c r="W1054" i="10"/>
  <c r="W1055" i="10"/>
  <c r="W1056" i="10"/>
  <c r="W1057" i="10"/>
  <c r="W1059" i="10"/>
  <c r="X1059" i="10" s="1"/>
  <c r="W1060" i="10"/>
  <c r="W1061" i="10"/>
  <c r="W1062" i="10"/>
  <c r="W1063" i="10"/>
  <c r="W1064" i="10"/>
  <c r="W1065" i="10"/>
  <c r="W1066" i="10"/>
  <c r="W1067" i="10"/>
  <c r="W1069" i="10"/>
  <c r="W1070" i="10"/>
  <c r="W1071" i="10"/>
  <c r="W1072" i="10"/>
  <c r="W1073" i="10"/>
  <c r="W1074" i="10"/>
  <c r="W1075" i="10"/>
  <c r="W1076" i="10"/>
  <c r="X1078" i="10"/>
  <c r="X1081" i="10"/>
  <c r="X1098" i="10"/>
  <c r="W1099" i="10"/>
  <c r="W1100" i="10"/>
  <c r="X1103" i="10"/>
  <c r="W1110" i="10"/>
  <c r="W1111" i="10"/>
  <c r="W1113" i="10"/>
  <c r="X1113" i="10" s="1"/>
  <c r="W1116" i="10"/>
  <c r="X1116" i="10" s="1"/>
  <c r="W1117" i="10"/>
  <c r="X1117" i="10" s="1"/>
  <c r="W1119" i="10"/>
  <c r="X1119" i="10" s="1"/>
  <c r="W1121" i="10"/>
  <c r="X1121" i="10" s="1"/>
  <c r="W1122" i="10"/>
  <c r="W1123" i="10"/>
  <c r="W1124" i="10"/>
  <c r="W1125" i="10"/>
  <c r="W1126" i="10"/>
  <c r="W1127" i="10"/>
  <c r="W1128" i="10"/>
  <c r="W1129" i="10"/>
  <c r="W1130" i="10"/>
  <c r="W1131" i="10"/>
  <c r="W1132" i="10"/>
  <c r="W1133" i="10"/>
  <c r="W1134" i="10"/>
  <c r="W1135" i="10"/>
  <c r="W1136" i="10"/>
  <c r="W1138" i="10"/>
  <c r="W1139" i="10"/>
  <c r="W1140" i="10"/>
  <c r="W1141" i="10"/>
  <c r="W1142" i="10"/>
  <c r="W1143" i="10"/>
  <c r="W1144" i="10"/>
  <c r="W1145" i="10"/>
  <c r="W1147" i="10"/>
  <c r="W1148" i="10"/>
  <c r="W1149" i="10"/>
  <c r="W1150" i="10"/>
  <c r="W1151" i="10"/>
  <c r="W1152" i="10"/>
  <c r="W1153" i="10"/>
  <c r="W1155" i="10"/>
  <c r="W1156" i="10"/>
  <c r="W1157" i="10"/>
  <c r="W1158" i="10"/>
  <c r="W1159" i="10"/>
  <c r="W1160" i="10"/>
  <c r="W1162" i="10"/>
  <c r="W1163" i="10"/>
  <c r="W1164" i="10"/>
  <c r="W1165" i="10"/>
  <c r="W1166" i="10"/>
  <c r="W1167" i="10"/>
  <c r="W1169" i="10"/>
  <c r="W1170" i="10"/>
  <c r="W1171" i="10"/>
  <c r="W1172" i="10"/>
  <c r="W1173" i="10"/>
  <c r="W1174" i="10"/>
  <c r="W1175" i="10"/>
  <c r="W1177" i="10"/>
  <c r="W1178" i="10"/>
  <c r="W1179" i="10"/>
  <c r="W1180" i="10"/>
  <c r="W1181" i="10"/>
  <c r="W1182" i="10"/>
  <c r="W1183" i="10"/>
  <c r="W1184" i="10"/>
  <c r="W1185" i="10"/>
  <c r="W1187" i="10"/>
  <c r="W1188" i="10"/>
  <c r="W1189" i="10"/>
  <c r="W1190" i="10"/>
  <c r="W1191" i="10"/>
  <c r="W1192" i="10"/>
  <c r="W1193" i="10"/>
  <c r="W1194" i="10"/>
  <c r="W1195" i="10"/>
  <c r="W1197" i="10"/>
  <c r="W1198" i="10"/>
  <c r="W1199" i="10"/>
  <c r="W1200" i="10"/>
  <c r="W1201" i="10"/>
  <c r="W1202" i="10"/>
  <c r="W1203" i="10"/>
  <c r="W1204" i="10"/>
  <c r="W1205" i="10"/>
  <c r="W1207" i="10"/>
  <c r="W1208" i="10"/>
  <c r="W1209" i="10"/>
  <c r="W1210" i="10"/>
  <c r="W1211" i="10"/>
  <c r="W1212" i="10"/>
  <c r="W1214" i="10"/>
  <c r="W1215" i="10"/>
  <c r="W1216" i="10"/>
  <c r="W1217" i="10"/>
  <c r="W1218" i="10"/>
  <c r="W1219" i="10"/>
  <c r="W1221" i="10"/>
  <c r="W1222" i="10"/>
  <c r="W1223" i="10"/>
  <c r="W1224" i="10"/>
  <c r="W1225" i="10"/>
  <c r="W1226" i="10"/>
  <c r="W1227" i="10"/>
  <c r="W1229" i="10"/>
  <c r="W1230" i="10"/>
  <c r="W1231" i="10"/>
  <c r="W1232" i="10"/>
  <c r="W1233" i="10"/>
  <c r="W1234" i="10"/>
  <c r="W1235" i="10"/>
  <c r="W1236" i="10"/>
  <c r="W1237" i="10"/>
  <c r="W1238" i="10"/>
  <c r="W1240" i="10"/>
  <c r="W1241" i="10"/>
  <c r="W1242" i="10"/>
  <c r="W1243" i="10"/>
  <c r="W1244" i="10"/>
  <c r="W1245" i="10"/>
  <c r="W1246" i="10"/>
  <c r="W1247" i="10"/>
  <c r="W1248" i="10"/>
  <c r="W1249" i="10"/>
  <c r="W1250" i="10"/>
  <c r="W1251" i="10"/>
  <c r="W1252" i="10"/>
  <c r="W1253" i="10"/>
  <c r="W1254" i="10"/>
  <c r="W1255" i="10"/>
  <c r="W1257" i="10"/>
  <c r="W1258" i="10"/>
  <c r="W1259" i="10"/>
  <c r="W1260" i="10"/>
  <c r="W1261" i="10"/>
  <c r="W1262" i="10"/>
  <c r="W1263" i="10"/>
  <c r="W1264" i="10"/>
  <c r="W1265" i="10"/>
  <c r="W1267" i="10"/>
  <c r="W1268" i="10"/>
  <c r="W1269" i="10"/>
  <c r="W1270" i="10"/>
  <c r="W1271" i="10"/>
  <c r="W1272" i="10"/>
  <c r="W1273" i="10"/>
  <c r="W1281" i="10"/>
  <c r="X1281" i="10" s="1"/>
  <c r="W1283" i="10"/>
  <c r="X1283" i="10" s="1"/>
  <c r="W1289" i="10"/>
  <c r="X1289" i="10" s="1"/>
  <c r="W1291" i="10"/>
  <c r="X1291" i="10" s="1"/>
  <c r="W1294" i="10"/>
  <c r="W1295" i="10"/>
  <c r="W1298" i="10"/>
  <c r="X1298" i="10" s="1"/>
  <c r="W1300" i="10"/>
  <c r="W1301" i="10"/>
  <c r="W1302" i="10"/>
  <c r="W1305" i="10"/>
  <c r="X1305" i="10" s="1"/>
  <c r="W1307" i="10"/>
  <c r="X1307" i="10" s="1"/>
  <c r="W1308" i="10"/>
  <c r="W1309" i="10"/>
  <c r="W1310" i="10"/>
  <c r="W1311" i="10"/>
  <c r="X1314" i="10"/>
  <c r="X1316" i="10"/>
  <c r="X1318" i="10"/>
  <c r="X1328" i="10"/>
  <c r="X1329" i="10"/>
  <c r="X1330" i="10"/>
  <c r="X1331" i="10"/>
  <c r="W1332" i="10"/>
  <c r="W1333" i="10"/>
  <c r="W1334" i="10"/>
  <c r="W1346" i="10"/>
  <c r="W1347" i="10"/>
  <c r="W1348" i="10"/>
  <c r="W1349" i="10"/>
  <c r="W1350" i="10"/>
  <c r="W1351" i="10"/>
  <c r="W1352" i="10"/>
  <c r="W1353" i="10"/>
  <c r="W1355" i="10"/>
  <c r="W1356" i="10"/>
  <c r="W1357" i="10"/>
  <c r="W1358" i="10"/>
  <c r="W1359" i="10"/>
  <c r="W1360" i="10"/>
  <c r="W1361" i="10"/>
  <c r="W1363" i="10"/>
  <c r="W1364" i="10"/>
  <c r="W1365" i="10"/>
  <c r="W1366" i="10"/>
  <c r="W1367" i="10"/>
  <c r="W1368" i="10"/>
  <c r="W1369" i="10"/>
  <c r="W1370" i="10"/>
  <c r="W1372" i="10"/>
  <c r="W1373" i="10"/>
  <c r="W1374" i="10"/>
  <c r="W1375" i="10"/>
  <c r="W1376" i="10"/>
  <c r="W1377" i="10"/>
  <c r="W1378" i="10"/>
  <c r="W1382" i="10"/>
  <c r="X1382" i="10" s="1"/>
  <c r="W1384" i="10"/>
  <c r="X1384" i="10" s="1"/>
  <c r="W1387" i="10"/>
  <c r="X1387" i="10" s="1"/>
  <c r="W1396" i="10"/>
  <c r="X1396" i="10" s="1"/>
  <c r="W1398" i="10"/>
  <c r="X1398" i="10" s="1"/>
  <c r="W1400" i="10"/>
  <c r="X1400" i="10" s="1"/>
  <c r="W1405" i="10"/>
  <c r="X1405" i="10" s="1"/>
  <c r="W1406" i="10"/>
  <c r="X1406" i="10" s="1"/>
  <c r="W1409" i="10"/>
  <c r="X1409" i="10" s="1"/>
  <c r="W1411" i="10"/>
  <c r="X1411" i="10" s="1"/>
  <c r="W1412" i="10"/>
  <c r="W1413" i="10"/>
  <c r="W1414" i="10"/>
  <c r="W1420" i="10"/>
  <c r="X1420" i="10" s="1"/>
  <c r="W1421" i="10"/>
  <c r="X1421" i="10" s="1"/>
  <c r="W1422" i="10"/>
  <c r="X1422" i="10" s="1"/>
  <c r="W1423" i="10"/>
  <c r="X1423" i="10" s="1"/>
  <c r="W1424" i="10"/>
  <c r="X1424" i="10" s="1"/>
  <c r="W1425" i="10"/>
  <c r="W1426" i="10"/>
  <c r="W1427" i="10"/>
  <c r="W1437" i="10"/>
  <c r="X1437" i="10" s="1"/>
  <c r="W1439" i="10"/>
  <c r="X1439" i="10" s="1"/>
  <c r="W1440" i="10"/>
  <c r="X1440" i="10" s="1"/>
  <c r="W1442" i="10"/>
  <c r="X1442" i="10" s="1"/>
  <c r="W1443" i="10"/>
  <c r="X1443" i="10" s="1"/>
  <c r="W1444" i="10"/>
  <c r="X1444" i="10" s="1"/>
  <c r="W1446" i="10"/>
  <c r="X1446" i="10" s="1"/>
  <c r="W1447" i="10"/>
  <c r="X1447" i="10" s="1"/>
  <c r="W1448" i="10"/>
  <c r="X1448" i="10" s="1"/>
  <c r="W1449" i="10"/>
  <c r="W1450" i="10"/>
  <c r="W1451" i="10"/>
  <c r="W1453" i="10"/>
  <c r="X1453" i="10" s="1"/>
  <c r="W1455" i="10"/>
  <c r="X1455" i="10" s="1"/>
  <c r="W1456" i="10"/>
  <c r="W1457" i="10"/>
  <c r="W1458" i="10"/>
  <c r="W1466" i="10"/>
  <c r="W1467" i="10"/>
  <c r="W1468" i="10"/>
  <c r="W1470" i="10"/>
  <c r="X1470" i="10" s="1"/>
  <c r="W1474" i="10"/>
  <c r="X1474" i="10" s="1"/>
  <c r="W1477" i="10"/>
  <c r="X1477" i="10" s="1"/>
  <c r="W1479" i="10"/>
  <c r="X1479" i="10" s="1"/>
  <c r="W1480" i="10"/>
  <c r="W1481" i="10"/>
  <c r="W1482" i="10"/>
  <c r="W1494" i="10"/>
  <c r="X1494" i="10" s="1"/>
  <c r="W1496" i="10"/>
  <c r="X1496" i="10" s="1"/>
  <c r="W1497" i="10"/>
  <c r="X1497" i="10" s="1"/>
  <c r="W1498" i="10"/>
  <c r="X1498" i="10" s="1"/>
  <c r="W1499" i="10"/>
  <c r="W1500" i="10"/>
  <c r="W1502" i="10"/>
  <c r="W1503" i="10"/>
  <c r="W1504" i="10"/>
  <c r="W1505" i="10"/>
  <c r="W1506" i="10"/>
  <c r="W1508" i="10"/>
  <c r="W1509" i="10"/>
  <c r="W1510" i="10"/>
  <c r="W1511" i="10"/>
  <c r="W1512" i="10"/>
  <c r="W1513" i="10"/>
  <c r="W1515" i="10"/>
  <c r="W1516" i="10"/>
  <c r="W1517" i="10"/>
  <c r="W1518" i="10"/>
  <c r="W1519" i="10"/>
  <c r="W1521" i="10"/>
  <c r="W1522" i="10"/>
  <c r="W1523" i="10"/>
  <c r="W1524" i="10"/>
  <c r="W1525" i="10"/>
  <c r="W1526" i="10"/>
  <c r="W1527" i="10"/>
  <c r="W1529" i="10"/>
  <c r="W1530" i="10"/>
  <c r="W1531" i="10"/>
  <c r="W1532" i="10"/>
  <c r="W1533" i="10"/>
  <c r="W1534" i="10"/>
  <c r="W1535" i="10"/>
  <c r="W1536" i="10"/>
  <c r="W1538" i="10"/>
  <c r="W1539" i="10"/>
  <c r="W1540" i="10"/>
  <c r="W1541" i="10"/>
  <c r="W1542" i="10"/>
  <c r="W1544" i="10"/>
  <c r="W1545" i="10"/>
  <c r="W1546" i="10"/>
  <c r="W1547" i="10"/>
  <c r="W1548" i="10"/>
  <c r="W1550" i="10"/>
  <c r="W1551" i="10"/>
  <c r="W1552" i="10"/>
  <c r="W1553" i="10"/>
  <c r="W1554" i="10"/>
  <c r="W1555" i="10"/>
  <c r="W1557" i="10"/>
  <c r="W1558" i="10"/>
  <c r="W1559" i="10"/>
  <c r="W1560" i="10"/>
  <c r="W1561" i="10"/>
  <c r="W1562" i="10"/>
  <c r="W1563" i="10"/>
  <c r="W1564" i="10"/>
  <c r="W1565" i="10"/>
  <c r="W1566" i="10"/>
  <c r="W1567" i="10"/>
  <c r="W1568" i="10"/>
  <c r="W1570" i="10"/>
  <c r="W1571" i="10"/>
  <c r="W1572" i="10"/>
  <c r="W1573" i="10"/>
  <c r="W1574" i="10"/>
  <c r="W1575" i="10"/>
  <c r="W1577" i="10"/>
  <c r="W1578" i="10"/>
  <c r="W1579" i="10"/>
  <c r="W1580" i="10"/>
  <c r="W1581" i="10"/>
  <c r="W1582" i="10"/>
  <c r="W1584" i="10"/>
  <c r="W1585" i="10"/>
  <c r="W1586" i="10"/>
  <c r="W1587" i="10"/>
  <c r="W1588" i="10"/>
  <c r="W1589" i="10"/>
  <c r="W1591" i="10"/>
  <c r="W1592" i="10"/>
  <c r="W1593" i="10"/>
  <c r="W1594" i="10"/>
  <c r="W1595" i="10"/>
  <c r="W1596" i="10"/>
  <c r="W1604" i="10"/>
  <c r="W1605" i="10"/>
  <c r="W1606" i="10"/>
  <c r="W1607" i="10"/>
  <c r="W1611" i="10"/>
  <c r="W1612" i="10"/>
  <c r="W1613" i="10"/>
  <c r="W1614" i="10"/>
  <c r="W1615" i="10"/>
  <c r="W1616" i="10"/>
  <c r="W1617" i="10"/>
  <c r="W1618" i="10"/>
  <c r="W1619" i="10"/>
  <c r="W1620" i="10"/>
  <c r="W1621" i="10"/>
  <c r="W1623" i="10"/>
  <c r="W1624" i="10"/>
  <c r="W1625" i="10"/>
  <c r="W1626" i="10"/>
  <c r="W1627" i="10"/>
  <c r="W1628" i="10"/>
  <c r="W1629" i="10"/>
  <c r="W1630" i="10"/>
  <c r="W1632" i="10"/>
  <c r="W1633" i="10"/>
  <c r="W1634" i="10"/>
  <c r="W1635" i="10"/>
  <c r="W1636" i="10"/>
  <c r="W1637" i="10"/>
  <c r="W1638" i="10"/>
  <c r="W1639" i="10"/>
  <c r="W1640" i="10"/>
  <c r="W1646" i="10"/>
  <c r="W1647" i="10"/>
  <c r="W1648" i="10"/>
  <c r="W1650" i="10"/>
  <c r="W1651" i="10"/>
  <c r="W1652" i="10"/>
  <c r="W1653" i="10"/>
  <c r="W1654" i="10"/>
  <c r="W1655" i="10"/>
  <c r="W1656" i="10"/>
  <c r="W1657" i="10"/>
  <c r="W1659" i="10"/>
  <c r="X1659" i="10" s="1"/>
  <c r="W1660" i="10"/>
  <c r="X1660" i="10" s="1"/>
  <c r="W1661" i="10"/>
  <c r="W1662" i="10"/>
  <c r="W1663" i="10"/>
  <c r="W1664" i="10"/>
  <c r="W1665" i="10"/>
  <c r="W1676" i="10"/>
  <c r="W1677" i="10"/>
  <c r="W1678" i="10"/>
  <c r="W1679" i="10"/>
  <c r="W1680" i="10"/>
  <c r="W1681" i="10"/>
  <c r="W1682" i="10"/>
  <c r="W1683" i="10"/>
  <c r="W1699" i="10"/>
  <c r="X1699" i="10" s="1"/>
  <c r="W1700" i="10"/>
  <c r="X1700" i="10" s="1"/>
  <c r="W1701" i="10"/>
  <c r="X1701" i="10" s="1"/>
  <c r="W1702" i="10"/>
  <c r="X1702" i="10" s="1"/>
  <c r="W1703" i="10"/>
  <c r="W1704" i="10"/>
  <c r="W1705" i="10"/>
  <c r="W1712" i="10"/>
  <c r="W1713" i="10"/>
  <c r="W1714" i="10"/>
  <c r="W1715" i="10"/>
  <c r="W1716" i="10"/>
  <c r="W1717" i="10"/>
  <c r="W1718" i="10"/>
  <c r="W1720" i="10"/>
  <c r="W1721" i="10"/>
  <c r="W1722" i="10"/>
  <c r="W1723" i="10"/>
  <c r="W1724" i="10"/>
  <c r="W1725" i="10"/>
  <c r="W1728" i="10"/>
  <c r="W1729" i="10"/>
  <c r="W1730" i="10"/>
  <c r="W1731" i="10"/>
  <c r="W1732" i="10"/>
  <c r="W1733" i="10"/>
  <c r="W1739" i="10"/>
  <c r="W1740" i="10"/>
  <c r="W1741" i="10"/>
  <c r="W1742" i="10"/>
  <c r="W1743" i="10"/>
  <c r="W1744" i="10"/>
  <c r="W1745" i="10"/>
  <c r="W1746" i="10"/>
  <c r="W1747" i="10"/>
  <c r="W1748" i="10"/>
  <c r="W1749" i="10"/>
  <c r="W1750" i="10"/>
  <c r="W1751" i="10"/>
  <c r="W1752" i="10"/>
  <c r="W1753" i="10"/>
  <c r="W1754" i="10"/>
  <c r="W1755" i="10"/>
  <c r="W1756" i="10"/>
  <c r="W1758" i="10"/>
  <c r="W1759" i="10"/>
  <c r="W1760" i="10"/>
  <c r="W1761" i="10"/>
  <c r="W1762" i="10"/>
  <c r="W1763" i="10"/>
  <c r="W1764" i="10"/>
  <c r="W1765" i="10"/>
  <c r="W1766" i="10"/>
  <c r="W1767" i="10"/>
  <c r="W1768" i="10"/>
  <c r="W1769" i="10"/>
  <c r="W1770" i="10"/>
  <c r="W1773" i="10"/>
  <c r="W1774" i="10"/>
  <c r="W1775" i="10"/>
  <c r="W1776" i="10"/>
  <c r="W1777" i="10"/>
  <c r="W1780" i="10"/>
  <c r="W1781" i="10"/>
  <c r="W1782" i="10"/>
  <c r="W1783" i="10"/>
  <c r="W1784" i="10"/>
  <c r="W1785" i="10"/>
  <c r="W1786" i="10"/>
  <c r="W1787" i="10"/>
  <c r="W1788" i="10"/>
  <c r="W1789" i="10"/>
  <c r="W1791" i="10"/>
  <c r="W1792" i="10"/>
  <c r="W1793" i="10"/>
  <c r="W1794" i="10"/>
  <c r="W1795" i="10"/>
  <c r="W1796" i="10"/>
  <c r="W1801" i="10"/>
  <c r="X1801" i="10" s="1"/>
  <c r="W1802" i="10"/>
  <c r="W1803" i="10"/>
  <c r="W1804" i="10"/>
  <c r="W1819" i="10"/>
  <c r="W1820" i="10"/>
  <c r="W1821" i="10"/>
  <c r="W1822" i="10"/>
  <c r="W1823" i="10"/>
  <c r="W1825" i="10"/>
  <c r="W1826" i="10"/>
  <c r="W1827" i="10"/>
  <c r="W1828" i="10"/>
  <c r="W1829" i="10"/>
  <c r="W1830" i="10"/>
  <c r="W1833" i="10"/>
  <c r="W1834" i="10"/>
  <c r="W1835" i="10"/>
  <c r="W1836" i="10"/>
  <c r="W1837" i="10"/>
  <c r="W1838" i="10"/>
  <c r="W1843" i="10"/>
  <c r="X1843" i="10" s="1"/>
  <c r="W1844" i="10"/>
  <c r="X1844" i="10" s="1"/>
  <c r="W1845" i="10"/>
  <c r="W1846" i="10"/>
  <c r="W1847" i="10"/>
  <c r="W1849" i="10"/>
  <c r="X1849" i="10" s="1"/>
  <c r="W1850" i="10"/>
  <c r="W1851" i="10"/>
  <c r="W1852" i="10"/>
  <c r="W1853" i="10"/>
  <c r="W1854" i="10"/>
  <c r="W1856" i="10"/>
  <c r="W1857" i="10"/>
  <c r="W1858" i="10"/>
  <c r="W1859" i="10"/>
  <c r="W1860" i="10"/>
  <c r="W1861" i="10"/>
  <c r="W1862" i="10"/>
  <c r="W1863" i="10"/>
  <c r="W1864" i="10"/>
  <c r="W1865" i="10"/>
  <c r="W1867" i="10"/>
  <c r="W1868" i="10"/>
  <c r="W1869" i="10"/>
  <c r="W1870" i="10"/>
  <c r="W1871" i="10"/>
  <c r="W1872" i="10"/>
  <c r="W1873" i="10"/>
  <c r="W1875" i="10"/>
  <c r="W1876" i="10"/>
  <c r="W1877" i="10"/>
  <c r="W1878" i="10"/>
  <c r="W1879" i="10"/>
  <c r="W1881" i="10"/>
  <c r="W1882" i="10"/>
  <c r="W1883" i="10"/>
  <c r="W1884" i="10"/>
  <c r="W1885" i="10"/>
  <c r="W1886" i="10"/>
  <c r="W1887" i="10"/>
  <c r="W1888" i="10"/>
  <c r="W1889" i="10"/>
  <c r="W1890" i="10"/>
  <c r="W1894" i="10"/>
  <c r="X1894" i="10" s="1"/>
  <c r="W1896" i="10"/>
  <c r="W1897" i="10"/>
  <c r="W1898" i="10"/>
  <c r="W1902" i="10"/>
  <c r="X1902" i="10" s="1"/>
  <c r="W1904" i="10"/>
  <c r="W1905" i="10"/>
  <c r="W1906" i="10"/>
  <c r="W1908" i="10"/>
  <c r="W1909" i="10"/>
  <c r="W1910" i="10"/>
  <c r="W1911" i="10"/>
  <c r="W1912" i="10"/>
  <c r="W1913" i="10"/>
  <c r="W1914" i="10"/>
  <c r="W1920" i="10"/>
  <c r="X1920" i="10" s="1"/>
  <c r="W1926" i="10"/>
  <c r="X1926" i="10" s="1"/>
  <c r="W1927" i="10"/>
  <c r="X1927" i="10" s="1"/>
  <c r="W1928" i="10"/>
  <c r="X1928" i="10" s="1"/>
  <c r="W1929" i="10"/>
  <c r="X1929" i="10" s="1"/>
  <c r="W1932" i="10"/>
  <c r="X1932" i="10" s="1"/>
  <c r="W1934" i="10"/>
  <c r="X1934" i="10" s="1"/>
  <c r="W1935" i="10"/>
  <c r="X1935" i="10" s="1"/>
  <c r="W1937" i="10"/>
  <c r="W1938" i="10"/>
  <c r="W1939" i="10"/>
  <c r="W1940" i="10"/>
  <c r="W1941" i="10"/>
  <c r="W1945" i="10"/>
  <c r="X1945" i="10" s="1"/>
  <c r="W1949" i="10"/>
  <c r="X1949" i="10" s="1"/>
  <c r="W1950" i="10"/>
  <c r="X1950" i="10" s="1"/>
  <c r="W1951" i="10"/>
  <c r="X1951" i="10" s="1"/>
  <c r="W1952" i="10"/>
  <c r="X1952" i="10" s="1"/>
  <c r="W1953" i="10"/>
  <c r="X1953" i="10" s="1"/>
  <c r="W1954" i="10"/>
  <c r="X1954" i="10" s="1"/>
  <c r="W1955" i="10"/>
  <c r="W1956" i="10"/>
  <c r="W1957" i="10"/>
  <c r="W1958" i="10"/>
  <c r="W1964" i="10"/>
  <c r="W1965" i="10"/>
  <c r="W1966" i="10"/>
  <c r="W1968" i="10"/>
  <c r="W1969" i="10"/>
  <c r="W1970" i="10"/>
  <c r="W1971" i="10"/>
  <c r="W1972" i="10"/>
  <c r="W1974" i="10"/>
  <c r="W1975" i="10"/>
  <c r="W1976" i="10"/>
  <c r="W1977" i="10"/>
  <c r="W1978" i="10"/>
  <c r="W1979" i="10"/>
  <c r="W1981" i="10"/>
  <c r="W1982" i="10"/>
  <c r="W1983" i="10"/>
  <c r="W1984" i="10"/>
  <c r="W1985" i="10"/>
  <c r="W1986" i="10"/>
  <c r="W1987" i="10"/>
  <c r="W1988" i="10"/>
  <c r="W1989" i="10"/>
  <c r="W1998" i="10"/>
  <c r="X1998" i="10" s="1"/>
  <c r="W1999" i="10"/>
  <c r="X1999" i="10" s="1"/>
  <c r="W2000" i="10"/>
  <c r="X2000" i="10" s="1"/>
  <c r="W2007" i="10"/>
  <c r="X2007" i="10" s="1"/>
  <c r="W2008" i="10"/>
  <c r="W2009" i="10"/>
  <c r="W2010" i="10"/>
  <c r="W2011" i="10"/>
  <c r="W2013" i="10"/>
  <c r="W2014" i="10"/>
  <c r="W2015" i="10"/>
  <c r="W2016" i="10"/>
  <c r="W2017" i="10"/>
  <c r="W2018" i="10"/>
  <c r="W2019" i="10"/>
  <c r="W2024" i="10"/>
  <c r="X2024" i="10" s="1"/>
  <c r="W2025" i="10"/>
  <c r="W2026" i="10"/>
  <c r="W2027" i="10"/>
  <c r="W2032" i="10"/>
  <c r="W2033" i="10"/>
  <c r="W2034" i="10"/>
  <c r="W2035" i="10"/>
  <c r="W2040" i="10"/>
  <c r="X2040" i="10" s="1"/>
  <c r="W2041" i="10"/>
  <c r="W2042" i="10"/>
  <c r="W2043" i="10"/>
  <c r="W2050" i="10"/>
  <c r="X2050" i="10" s="1"/>
  <c r="W2051" i="10"/>
  <c r="W2052" i="10"/>
  <c r="W2053" i="10"/>
  <c r="W2055" i="10"/>
  <c r="W2056" i="10"/>
  <c r="W2057" i="10"/>
  <c r="W2058" i="10"/>
  <c r="W2059" i="10"/>
  <c r="W2060" i="10"/>
  <c r="W2061" i="10"/>
  <c r="W2062" i="10"/>
  <c r="W2063" i="10"/>
  <c r="W2065" i="10"/>
  <c r="W2066" i="10"/>
  <c r="W2067" i="10"/>
  <c r="W2068" i="10"/>
  <c r="W2069" i="10"/>
  <c r="W2070" i="10"/>
  <c r="W2071" i="10"/>
  <c r="W2072" i="10"/>
  <c r="W2073" i="10"/>
  <c r="W2074" i="10"/>
  <c r="W2081" i="10"/>
  <c r="X2081" i="10" s="1"/>
  <c r="W2086" i="10"/>
  <c r="X2086" i="10" s="1"/>
  <c r="W2088" i="10"/>
  <c r="X2088" i="10" s="1"/>
  <c r="W2096" i="10"/>
  <c r="X2096" i="10" s="1"/>
  <c r="W2098" i="10"/>
  <c r="X2098" i="10" s="1"/>
  <c r="W2100" i="10"/>
  <c r="X2100" i="10" s="1"/>
  <c r="W2101" i="10"/>
  <c r="W2102" i="10"/>
  <c r="W2103" i="10"/>
  <c r="W2104" i="10"/>
  <c r="W2105" i="10"/>
  <c r="W2106" i="10"/>
  <c r="W2107" i="10"/>
  <c r="W2108" i="10"/>
  <c r="W2109" i="10"/>
  <c r="W2110" i="10"/>
  <c r="W2111" i="10"/>
  <c r="W2112" i="10"/>
  <c r="W2113" i="10"/>
  <c r="W2114" i="10"/>
  <c r="W2115" i="10"/>
  <c r="W2116" i="10"/>
  <c r="W2117" i="10"/>
  <c r="W2118" i="10"/>
  <c r="W2119" i="10"/>
  <c r="W2120" i="10"/>
  <c r="W2121" i="10"/>
  <c r="W2122" i="10"/>
  <c r="W2123" i="10"/>
  <c r="W2124" i="10"/>
  <c r="W2125" i="10"/>
  <c r="W2126" i="10"/>
  <c r="W2127" i="10"/>
  <c r="W2128" i="10"/>
  <c r="W2129" i="10"/>
  <c r="W2133" i="10"/>
  <c r="W2134" i="10"/>
  <c r="W2135" i="10"/>
  <c r="W2136" i="10"/>
  <c r="W2139" i="10"/>
  <c r="W2140" i="10"/>
  <c r="W2141" i="10"/>
  <c r="W2142" i="10"/>
  <c r="W2143" i="10"/>
  <c r="W2144" i="10"/>
  <c r="W2152" i="10"/>
  <c r="W2153" i="10"/>
  <c r="W2154" i="10"/>
  <c r="W2155" i="10"/>
  <c r="W2156" i="10"/>
  <c r="W2157" i="10"/>
  <c r="W2158" i="10"/>
  <c r="W2167" i="10"/>
  <c r="X2167" i="10" s="1"/>
  <c r="W2168" i="10"/>
  <c r="X2168" i="10" s="1"/>
  <c r="W2169" i="10"/>
  <c r="X2169" i="10" s="1"/>
  <c r="W2170" i="10"/>
  <c r="X2170" i="10" s="1"/>
  <c r="W2171" i="10"/>
  <c r="W2172" i="10"/>
  <c r="W2173" i="10"/>
  <c r="W2174" i="10"/>
  <c r="W2175" i="10"/>
  <c r="W2183" i="10"/>
  <c r="X2183" i="10" s="1"/>
  <c r="W2189" i="10"/>
  <c r="W2190" i="10"/>
  <c r="W2191" i="10"/>
  <c r="W2192" i="10"/>
  <c r="W2193" i="10"/>
  <c r="W2194" i="10"/>
  <c r="W2195" i="10"/>
  <c r="W2196" i="10"/>
  <c r="W2197" i="10"/>
  <c r="W2198" i="10"/>
  <c r="W2199" i="10"/>
  <c r="W2204" i="10"/>
  <c r="X2204" i="10" s="1"/>
  <c r="W2205" i="10"/>
  <c r="W2206" i="10"/>
  <c r="W2207" i="10"/>
  <c r="W2208" i="10"/>
  <c r="W2209" i="10"/>
  <c r="W2210" i="10"/>
  <c r="W2211" i="10"/>
  <c r="W2212" i="10"/>
  <c r="W2213" i="10"/>
  <c r="W2219" i="10"/>
  <c r="X2219" i="10" s="1"/>
  <c r="W2220" i="10"/>
  <c r="W2221" i="10"/>
  <c r="W2222" i="10"/>
  <c r="W2223" i="10"/>
  <c r="W2226" i="10"/>
  <c r="X2226" i="10" s="1"/>
  <c r="W2227" i="10"/>
  <c r="W2228" i="10"/>
  <c r="W2229" i="10"/>
  <c r="W2230" i="10"/>
  <c r="W2231" i="10"/>
  <c r="W2232" i="10"/>
  <c r="W2233" i="10"/>
  <c r="W2234" i="10"/>
  <c r="W2235" i="10"/>
  <c r="W2236" i="10"/>
  <c r="W2237" i="10"/>
  <c r="W2238" i="10"/>
  <c r="W2239" i="10"/>
  <c r="W2241" i="10"/>
  <c r="W2242" i="10"/>
  <c r="W2243" i="10"/>
  <c r="W2244" i="10"/>
  <c r="W2245" i="10"/>
  <c r="W2246" i="10"/>
  <c r="W2247" i="10"/>
  <c r="W2248" i="10"/>
  <c r="W2249" i="10"/>
  <c r="W2251" i="10"/>
  <c r="W2252" i="10"/>
  <c r="W2253" i="10"/>
  <c r="W2254" i="10"/>
  <c r="W2255" i="10"/>
  <c r="W2256" i="10"/>
  <c r="W2257" i="10"/>
  <c r="W2258" i="10"/>
  <c r="W2259" i="10"/>
  <c r="W2261" i="10"/>
  <c r="W2262" i="10"/>
  <c r="W2263" i="10"/>
  <c r="W2264" i="10"/>
  <c r="W2265" i="10"/>
  <c r="W2266" i="10"/>
  <c r="W2267" i="10"/>
  <c r="W2268" i="10"/>
  <c r="W2269" i="10"/>
  <c r="W2271" i="10"/>
  <c r="W2272" i="10"/>
  <c r="W2273" i="10"/>
  <c r="W2274" i="10"/>
  <c r="W2275" i="10"/>
  <c r="W2276" i="10"/>
  <c r="W2277" i="10"/>
  <c r="W2278" i="10"/>
  <c r="W2279" i="10"/>
  <c r="W2281" i="10"/>
  <c r="X2281" i="10" s="1"/>
  <c r="W2282" i="10"/>
  <c r="W2283" i="10"/>
  <c r="W2284" i="10"/>
  <c r="W2285" i="10"/>
  <c r="W2286" i="10"/>
  <c r="W2287" i="10"/>
  <c r="W2288" i="10"/>
  <c r="W2289" i="10"/>
  <c r="W2294" i="10"/>
  <c r="X2294" i="10" s="1"/>
  <c r="W2295" i="10"/>
  <c r="X2295" i="10" s="1"/>
  <c r="W2297" i="10"/>
  <c r="W2298" i="10"/>
  <c r="W2299" i="10"/>
  <c r="W2300" i="10"/>
  <c r="W2301" i="10"/>
  <c r="W2303" i="10"/>
  <c r="W2304" i="10"/>
  <c r="W2305" i="10"/>
  <c r="W2306" i="10"/>
  <c r="W2307" i="10"/>
  <c r="W2308" i="10"/>
  <c r="W2309" i="10"/>
  <c r="W2310" i="10"/>
  <c r="W2311" i="10"/>
  <c r="W2313" i="10"/>
  <c r="W2314" i="10"/>
  <c r="W2315" i="10"/>
  <c r="W2316" i="10"/>
  <c r="W2317" i="10"/>
  <c r="W2318" i="10"/>
  <c r="W2319" i="10"/>
  <c r="W2320" i="10"/>
  <c r="W2321" i="10"/>
  <c r="W2323" i="10"/>
  <c r="W2324" i="10"/>
  <c r="W2325" i="10"/>
  <c r="W2326" i="10"/>
  <c r="W2327" i="10"/>
  <c r="W2328" i="10"/>
  <c r="W2329" i="10"/>
  <c r="W2330" i="10"/>
  <c r="W2332" i="10"/>
  <c r="W2333" i="10"/>
  <c r="W2334" i="10"/>
  <c r="W2335" i="10"/>
  <c r="W2336" i="10"/>
  <c r="W2337" i="10"/>
  <c r="W2338" i="10"/>
  <c r="W2346" i="10"/>
  <c r="W2347" i="10"/>
  <c r="W2348" i="10"/>
  <c r="W2349" i="10"/>
  <c r="W2350" i="10"/>
  <c r="W2351" i="10"/>
  <c r="W2352" i="10"/>
  <c r="W2353" i="10"/>
  <c r="W2354" i="10"/>
  <c r="W2363" i="10"/>
  <c r="W2364" i="10"/>
  <c r="W2365" i="10"/>
  <c r="W2366" i="10"/>
  <c r="W2367" i="10"/>
  <c r="W2368" i="10"/>
  <c r="W2372" i="10"/>
  <c r="W2373" i="10"/>
  <c r="W2374" i="10"/>
  <c r="W2376" i="10"/>
  <c r="W2377" i="10"/>
  <c r="W2378" i="10"/>
  <c r="W2379" i="10"/>
  <c r="W2380" i="10"/>
  <c r="W2382" i="10"/>
  <c r="W2383" i="10"/>
  <c r="W2384" i="10"/>
  <c r="W2385" i="10"/>
  <c r="W2386" i="10"/>
  <c r="W2388" i="10"/>
  <c r="W2389" i="10"/>
  <c r="W2390" i="10"/>
  <c r="W2391" i="10"/>
  <c r="W2392" i="10"/>
  <c r="W2394" i="10"/>
  <c r="W2395" i="10"/>
  <c r="W2396" i="10"/>
  <c r="W2397" i="10"/>
  <c r="W2398" i="10"/>
  <c r="W2403" i="10"/>
  <c r="X2403" i="10" s="1"/>
  <c r="W2405" i="10"/>
  <c r="X2405" i="10" s="1"/>
  <c r="W2409" i="10"/>
  <c r="X2409" i="10" s="1"/>
  <c r="H4" i="33"/>
  <c r="H8" i="33"/>
  <c r="H9" i="33"/>
  <c r="H10" i="33"/>
  <c r="H11" i="33"/>
  <c r="H12" i="33"/>
  <c r="H13" i="33"/>
  <c r="H14" i="33"/>
  <c r="H15" i="33"/>
  <c r="H16" i="33"/>
  <c r="H17" i="33"/>
  <c r="H18" i="33"/>
  <c r="H19" i="33"/>
  <c r="H20" i="33"/>
  <c r="H21" i="33"/>
  <c r="H22" i="33"/>
  <c r="H23" i="33"/>
  <c r="H26" i="33"/>
  <c r="H27" i="33"/>
  <c r="H28" i="33"/>
  <c r="H30" i="33"/>
  <c r="H31" i="33"/>
  <c r="H32" i="33"/>
  <c r="H33" i="33"/>
  <c r="H34" i="33"/>
  <c r="H35" i="33"/>
  <c r="H36" i="33"/>
  <c r="H37" i="33"/>
  <c r="H38" i="33"/>
  <c r="H39" i="33"/>
  <c r="H40" i="33"/>
  <c r="H41" i="33"/>
  <c r="H42" i="33"/>
  <c r="H43" i="33"/>
  <c r="H44" i="33"/>
  <c r="H50" i="33"/>
  <c r="H51" i="33"/>
  <c r="H52" i="33"/>
  <c r="H53" i="33"/>
  <c r="H54" i="33"/>
  <c r="H55" i="33"/>
  <c r="H56" i="33"/>
  <c r="H57" i="33"/>
  <c r="H71" i="33"/>
  <c r="H72" i="33"/>
  <c r="H73" i="33"/>
  <c r="H74" i="33"/>
  <c r="H75" i="33"/>
  <c r="H76" i="33"/>
  <c r="H77" i="33"/>
  <c r="H78" i="33"/>
  <c r="H79" i="33"/>
  <c r="H80" i="33"/>
  <c r="H90" i="33"/>
  <c r="H95" i="33"/>
  <c r="H111" i="33"/>
  <c r="H112" i="33"/>
  <c r="H121" i="33"/>
  <c r="H163" i="33"/>
  <c r="H164" i="33"/>
  <c r="H166" i="33"/>
  <c r="H167" i="33"/>
  <c r="H168" i="33"/>
  <c r="H169" i="33"/>
  <c r="H170" i="33"/>
  <c r="H171" i="33"/>
  <c r="H172" i="33"/>
  <c r="H173" i="33"/>
  <c r="H174" i="33"/>
  <c r="H175" i="33"/>
  <c r="H176" i="33"/>
  <c r="H177" i="33"/>
  <c r="H178" i="33"/>
  <c r="H250" i="33"/>
  <c r="H264" i="33"/>
  <c r="H266" i="33"/>
  <c r="H267" i="33"/>
  <c r="H268" i="33"/>
  <c r="H272" i="33"/>
  <c r="H273" i="33"/>
  <c r="H274" i="33"/>
  <c r="H275" i="33"/>
  <c r="H279" i="33"/>
  <c r="H289" i="33"/>
  <c r="H290" i="33"/>
  <c r="H291" i="33"/>
  <c r="H292" i="33"/>
  <c r="H293" i="33"/>
  <c r="H294" i="33"/>
  <c r="H298" i="33"/>
  <c r="H299" i="33"/>
  <c r="H300" i="33"/>
  <c r="H301" i="33"/>
  <c r="H308" i="33"/>
  <c r="H309" i="33"/>
  <c r="H310" i="33"/>
  <c r="H317" i="33"/>
  <c r="H363" i="33"/>
  <c r="H364" i="33"/>
  <c r="H365" i="33"/>
  <c r="H366" i="33"/>
  <c r="H367" i="33"/>
  <c r="H368" i="33"/>
  <c r="H2" i="33"/>
  <c r="G287" i="33"/>
  <c r="H287" i="33" s="1"/>
  <c r="G83" i="33"/>
  <c r="H83" i="33" s="1"/>
  <c r="W39" i="10"/>
  <c r="X39" i="10" s="1"/>
  <c r="X1085" i="10"/>
  <c r="G288" i="33"/>
  <c r="W1817" i="10" s="1"/>
  <c r="X1817" i="10" s="1"/>
  <c r="G89" i="33"/>
  <c r="W421" i="10" s="1"/>
  <c r="X421" i="10" s="1"/>
  <c r="G88" i="33"/>
  <c r="W569" i="10" s="1"/>
  <c r="X569" i="10" s="1"/>
  <c r="G87" i="33"/>
  <c r="W38" i="10" s="1"/>
  <c r="X38" i="10" s="1"/>
  <c r="H86" i="33"/>
  <c r="G85" i="33"/>
  <c r="W386" i="10" s="1"/>
  <c r="X386" i="10" s="1"/>
  <c r="G84" i="33"/>
  <c r="W1485" i="10" s="1"/>
  <c r="X1485" i="10" s="1"/>
  <c r="G351" i="33"/>
  <c r="W1996" i="10" s="1"/>
  <c r="X1996" i="10" s="1"/>
  <c r="G350" i="33"/>
  <c r="H350" i="33" s="1"/>
  <c r="G349" i="33"/>
  <c r="H349" i="33" s="1"/>
  <c r="G347" i="33"/>
  <c r="H347" i="33" s="1"/>
  <c r="G346" i="33"/>
  <c r="H346" i="33" s="1"/>
  <c r="G345" i="33"/>
  <c r="H345" i="33" s="1"/>
  <c r="G344" i="33"/>
  <c r="H344" i="33" s="1"/>
  <c r="G340" i="33"/>
  <c r="W1288" i="10" s="1"/>
  <c r="X1288" i="10" s="1"/>
  <c r="G339" i="33"/>
  <c r="H339" i="33" s="1"/>
  <c r="G338" i="33"/>
  <c r="H338" i="33" s="1"/>
  <c r="G337" i="33"/>
  <c r="W828" i="10" s="1"/>
  <c r="X828" i="10" s="1"/>
  <c r="G336" i="33"/>
  <c r="H336" i="33" s="1"/>
  <c r="G333" i="33"/>
  <c r="W1286" i="10" s="1"/>
  <c r="X1286" i="10" s="1"/>
  <c r="G332" i="33"/>
  <c r="W343" i="10" s="1"/>
  <c r="X343" i="10" s="1"/>
  <c r="G328" i="33"/>
  <c r="W485" i="10" s="1"/>
  <c r="X485" i="10" s="1"/>
  <c r="G325" i="33"/>
  <c r="W515" i="10" s="1"/>
  <c r="X515" i="10" s="1"/>
  <c r="G324" i="33"/>
  <c r="W602" i="10" s="1"/>
  <c r="X602" i="10" s="1"/>
  <c r="G323" i="33"/>
  <c r="W476" i="10" s="1"/>
  <c r="X476" i="10" s="1"/>
  <c r="G322" i="33"/>
  <c r="W377" i="10" s="1"/>
  <c r="X377" i="10" s="1"/>
  <c r="G321" i="33"/>
  <c r="W579" i="10" s="1"/>
  <c r="X579" i="10" s="1"/>
  <c r="G319" i="33"/>
  <c r="W531" i="10" s="1"/>
  <c r="X531" i="10" s="1"/>
  <c r="G316" i="33"/>
  <c r="W1476" i="10" s="1"/>
  <c r="X1476" i="10" s="1"/>
  <c r="G315" i="33"/>
  <c r="W115" i="10" s="1"/>
  <c r="X115" i="10" s="1"/>
  <c r="G313" i="33"/>
  <c r="H313" i="33" s="1"/>
  <c r="G312" i="33"/>
  <c r="W113" i="10" s="1"/>
  <c r="X113" i="10" s="1"/>
  <c r="G311" i="33"/>
  <c r="H311" i="33" s="1"/>
  <c r="G307" i="33"/>
  <c r="H307" i="33" s="1"/>
  <c r="G306" i="33"/>
  <c r="W518" i="10" s="1"/>
  <c r="X518" i="10" s="1"/>
  <c r="G305" i="33"/>
  <c r="W12" i="10" s="1"/>
  <c r="X12" i="10" s="1"/>
  <c r="G304" i="33"/>
  <c r="W1292" i="10" s="1"/>
  <c r="X1292" i="10" s="1"/>
  <c r="G303" i="33"/>
  <c r="W379" i="10" s="1"/>
  <c r="X379" i="10" s="1"/>
  <c r="G302" i="33"/>
  <c r="W253" i="10" s="1"/>
  <c r="X253" i="10" s="1"/>
  <c r="G297" i="33"/>
  <c r="W252" i="10" s="1"/>
  <c r="X252" i="10" s="1"/>
  <c r="G270" i="33"/>
  <c r="W1816" i="10" s="1"/>
  <c r="X1816" i="10" s="1"/>
  <c r="G269" i="33"/>
  <c r="W1815" i="10" s="1"/>
  <c r="X1815" i="10" s="1"/>
  <c r="G263" i="33"/>
  <c r="W2408" i="10" s="1"/>
  <c r="X2408" i="10" s="1"/>
  <c r="G262" i="33"/>
  <c r="W112" i="10" s="1"/>
  <c r="X112" i="10" s="1"/>
  <c r="G261" i="33"/>
  <c r="W1043" i="10" s="1"/>
  <c r="X1043" i="10" s="1"/>
  <c r="G260" i="33"/>
  <c r="W480" i="10" s="1"/>
  <c r="X480" i="10" s="1"/>
  <c r="G259" i="33"/>
  <c r="W2097" i="10" s="1"/>
  <c r="X2097" i="10" s="1"/>
  <c r="G190" i="33"/>
  <c r="W1478" i="10" s="1"/>
  <c r="X1478" i="10" s="1"/>
  <c r="G189" i="33"/>
  <c r="W287" i="10" s="1"/>
  <c r="X287" i="10" s="1"/>
  <c r="G188" i="33"/>
  <c r="W483" i="10" s="1"/>
  <c r="X483" i="10" s="1"/>
  <c r="G187" i="33"/>
  <c r="H187" i="33" s="1"/>
  <c r="G186" i="33"/>
  <c r="H186" i="33" s="1"/>
  <c r="G185" i="33"/>
  <c r="W888" i="10" s="1"/>
  <c r="X888" i="10" s="1"/>
  <c r="G184" i="33"/>
  <c r="W399" i="10" s="1"/>
  <c r="X399" i="10" s="1"/>
  <c r="G183" i="33"/>
  <c r="H183" i="33" s="1"/>
  <c r="G182" i="33"/>
  <c r="W2002" i="10" s="1"/>
  <c r="X2002" i="10" s="1"/>
  <c r="G181" i="33"/>
  <c r="H181" i="33" s="1"/>
  <c r="G125" i="33"/>
  <c r="H125" i="33" s="1"/>
  <c r="G70" i="33"/>
  <c r="W653" i="10" s="1"/>
  <c r="X653" i="10" s="1"/>
  <c r="G69" i="33"/>
  <c r="H69" i="33" s="1"/>
  <c r="G68" i="33"/>
  <c r="H68" i="33" s="1"/>
  <c r="G67" i="33"/>
  <c r="X732" i="10" s="1"/>
  <c r="G66" i="33"/>
  <c r="W1293" i="10" s="1"/>
  <c r="X1293" i="10" s="1"/>
  <c r="G65" i="33"/>
  <c r="W1397" i="10" s="1"/>
  <c r="X1397" i="10" s="1"/>
  <c r="G64" i="33"/>
  <c r="H64" i="33" s="1"/>
  <c r="G63" i="33"/>
  <c r="W577" i="10" s="1"/>
  <c r="X577" i="10" s="1"/>
  <c r="G62" i="33"/>
  <c r="H62" i="33" s="1"/>
  <c r="G61" i="33"/>
  <c r="H61" i="33" s="1"/>
  <c r="G60" i="33"/>
  <c r="W116" i="10" s="1"/>
  <c r="X116" i="10" s="1"/>
  <c r="G59" i="33"/>
  <c r="W601" i="10" s="1"/>
  <c r="X601" i="10" s="1"/>
  <c r="G58" i="33"/>
  <c r="W475" i="10" s="1"/>
  <c r="X475" i="10" s="1"/>
  <c r="G29" i="33"/>
  <c r="H29" i="33" s="1"/>
  <c r="X1092" i="10"/>
  <c r="W249" i="10"/>
  <c r="X249" i="10" s="1"/>
  <c r="W1818" i="10"/>
  <c r="X1818" i="10" s="1"/>
  <c r="G46" i="33"/>
  <c r="H46" i="33" s="1"/>
  <c r="G415" i="33"/>
  <c r="W771" i="10" s="1"/>
  <c r="X771" i="10" s="1"/>
  <c r="G414" i="33"/>
  <c r="H414" i="33" s="1"/>
  <c r="G406" i="33"/>
  <c r="H406" i="33" s="1"/>
  <c r="G405" i="33"/>
  <c r="W817" i="10" s="1"/>
  <c r="X817" i="10" s="1"/>
  <c r="G404" i="33"/>
  <c r="W351" i="10" s="1"/>
  <c r="X351" i="10" s="1"/>
  <c r="G403" i="33"/>
  <c r="W874" i="10" s="1"/>
  <c r="X874" i="10" s="1"/>
  <c r="G402" i="33"/>
  <c r="W391" i="10" s="1"/>
  <c r="X391" i="10" s="1"/>
  <c r="G401" i="33"/>
  <c r="H401" i="33" s="1"/>
  <c r="G400" i="33"/>
  <c r="W243" i="10" s="1"/>
  <c r="X243" i="10" s="1"/>
  <c r="G399" i="33"/>
  <c r="W1431" i="10" s="1"/>
  <c r="X1431" i="10" s="1"/>
  <c r="G398" i="33"/>
  <c r="W1402" i="10" s="1"/>
  <c r="X1402" i="10" s="1"/>
  <c r="G397" i="33"/>
  <c r="H397" i="33" s="1"/>
  <c r="G396" i="33"/>
  <c r="W1390" i="10" s="1"/>
  <c r="X1390" i="10" s="1"/>
  <c r="G395" i="33"/>
  <c r="H395" i="33" s="1"/>
  <c r="G394" i="33"/>
  <c r="H394" i="33" s="1"/>
  <c r="G393" i="33"/>
  <c r="W2293" i="10" s="1"/>
  <c r="X2293" i="10" s="1"/>
  <c r="G392" i="33"/>
  <c r="W1810" i="10" s="1"/>
  <c r="X1810" i="10" s="1"/>
  <c r="G391" i="33"/>
  <c r="W2085" i="10" s="1"/>
  <c r="X2085" i="10" s="1"/>
  <c r="G390" i="33"/>
  <c r="W2185" i="10" s="1"/>
  <c r="X2185" i="10" s="1"/>
  <c r="G389" i="33"/>
  <c r="W2046" i="10" s="1"/>
  <c r="X2046" i="10" s="1"/>
  <c r="G388" i="33"/>
  <c r="H388" i="33" s="1"/>
  <c r="G387" i="33"/>
  <c r="W238" i="10" s="1"/>
  <c r="X238" i="10" s="1"/>
  <c r="G386" i="33"/>
  <c r="W2132" i="10" s="1"/>
  <c r="X2132" i="10" s="1"/>
  <c r="G385" i="33"/>
  <c r="W1961" i="10" s="1"/>
  <c r="X1961" i="10" s="1"/>
  <c r="G384" i="33"/>
  <c r="W2216" i="10" s="1"/>
  <c r="X2216" i="10" s="1"/>
  <c r="G383" i="33"/>
  <c r="H383" i="33" s="1"/>
  <c r="G382" i="33"/>
  <c r="H382" i="33" s="1"/>
  <c r="G381" i="33"/>
  <c r="W1600" i="10" s="1"/>
  <c r="X1600" i="10" s="1"/>
  <c r="G380" i="33"/>
  <c r="W1901" i="10" s="1"/>
  <c r="X1901" i="10" s="1"/>
  <c r="G379" i="33"/>
  <c r="W1893" i="10" s="1"/>
  <c r="X1893" i="10" s="1"/>
  <c r="G378" i="33"/>
  <c r="H378" i="33" s="1"/>
  <c r="G377" i="33"/>
  <c r="W1918" i="10" s="1"/>
  <c r="X1918" i="10" s="1"/>
  <c r="G376" i="33"/>
  <c r="W1925" i="10" s="1"/>
  <c r="X1925" i="10" s="1"/>
  <c r="G375" i="33"/>
  <c r="W1695" i="10" s="1"/>
  <c r="X1695" i="10" s="1"/>
  <c r="G374" i="33"/>
  <c r="W1841" i="10" s="1"/>
  <c r="X1841" i="10" s="1"/>
  <c r="G373" i="33"/>
  <c r="H373" i="33" s="1"/>
  <c r="G372" i="33"/>
  <c r="W2162" i="10" s="1"/>
  <c r="X2162" i="10" s="1"/>
  <c r="G371" i="33"/>
  <c r="H371" i="33" s="1"/>
  <c r="G370" i="33"/>
  <c r="H370" i="33" s="1"/>
  <c r="G369" i="33"/>
  <c r="W588" i="10" s="1"/>
  <c r="X588" i="10" s="1"/>
  <c r="G362" i="33"/>
  <c r="X711" i="10" s="1"/>
  <c r="G361" i="33"/>
  <c r="W510" i="10" s="1"/>
  <c r="X510" i="10" s="1"/>
  <c r="G360" i="33"/>
  <c r="W875" i="10" s="1"/>
  <c r="X875" i="10" s="1"/>
  <c r="G359" i="33"/>
  <c r="X718" i="10" s="1"/>
  <c r="G358" i="33"/>
  <c r="W592" i="10" s="1"/>
  <c r="X592" i="10" s="1"/>
  <c r="G357" i="33"/>
  <c r="W315" i="10" s="1"/>
  <c r="X315" i="10" s="1"/>
  <c r="G356" i="33"/>
  <c r="X715" i="10" s="1"/>
  <c r="G355" i="33"/>
  <c r="W392" i="10" s="1"/>
  <c r="X392" i="10" s="1"/>
  <c r="G354" i="33"/>
  <c r="W41" i="10" s="1"/>
  <c r="X41" i="10" s="1"/>
  <c r="G353" i="33"/>
  <c r="W339" i="10" s="1"/>
  <c r="X339" i="10" s="1"/>
  <c r="G352" i="33"/>
  <c r="W1395" i="10" s="1"/>
  <c r="X1395" i="10" s="1"/>
  <c r="G348" i="33"/>
  <c r="W1393" i="10" s="1"/>
  <c r="X1393" i="10" s="1"/>
  <c r="G343" i="33"/>
  <c r="W819" i="10" s="1"/>
  <c r="X819" i="10" s="1"/>
  <c r="G342" i="33"/>
  <c r="W684" i="10" s="1"/>
  <c r="X684" i="10" s="1"/>
  <c r="G341" i="33"/>
  <c r="G335" i="33"/>
  <c r="W895" i="10" s="1"/>
  <c r="X895" i="10" s="1"/>
  <c r="G334" i="33"/>
  <c r="W665" i="10" s="1"/>
  <c r="X665" i="10" s="1"/>
  <c r="G331" i="33"/>
  <c r="H331" i="33" s="1"/>
  <c r="G330" i="33"/>
  <c r="W479" i="10" s="1"/>
  <c r="X479" i="10" s="1"/>
  <c r="G329" i="33"/>
  <c r="W375" i="10" s="1"/>
  <c r="X375" i="10" s="1"/>
  <c r="G327" i="33"/>
  <c r="W215" i="10" s="1"/>
  <c r="X215" i="10" s="1"/>
  <c r="G326" i="33"/>
  <c r="G320" i="33"/>
  <c r="W376" i="10" s="1"/>
  <c r="X376" i="10" s="1"/>
  <c r="G318" i="33"/>
  <c r="W374" i="10" s="1"/>
  <c r="X374" i="10" s="1"/>
  <c r="G314" i="33"/>
  <c r="W604" i="10" s="1"/>
  <c r="X604" i="10" s="1"/>
  <c r="G296" i="33"/>
  <c r="W42" i="10" s="1"/>
  <c r="X42" i="10" s="1"/>
  <c r="G295" i="33"/>
  <c r="W881" i="10" s="1"/>
  <c r="X881" i="10" s="1"/>
  <c r="G286" i="33"/>
  <c r="W214" i="10" s="1"/>
  <c r="X214" i="10" s="1"/>
  <c r="G285" i="33"/>
  <c r="X705" i="10" s="1"/>
  <c r="G284" i="33"/>
  <c r="G283" i="33"/>
  <c r="W309" i="10" s="1"/>
  <c r="X309" i="10" s="1"/>
  <c r="G282" i="33"/>
  <c r="W395" i="10" s="1"/>
  <c r="X395" i="10" s="1"/>
  <c r="G281" i="33"/>
  <c r="W248" i="10" s="1"/>
  <c r="X248" i="10" s="1"/>
  <c r="G280" i="33"/>
  <c r="W1383" i="10" s="1"/>
  <c r="X1383" i="10" s="1"/>
  <c r="G278" i="33"/>
  <c r="W1738" i="10" s="1"/>
  <c r="X1738" i="10" s="1"/>
  <c r="G277" i="33"/>
  <c r="H277" i="33" s="1"/>
  <c r="G276" i="33"/>
  <c r="W2146" i="10" s="1"/>
  <c r="X2146" i="10" s="1"/>
  <c r="G271" i="33"/>
  <c r="W109" i="10" s="1"/>
  <c r="X109" i="10" s="1"/>
  <c r="G265" i="33"/>
  <c r="W1602" i="10" s="1"/>
  <c r="X1602" i="10" s="1"/>
  <c r="G258" i="33"/>
  <c r="W24" i="10" s="1"/>
  <c r="X24" i="10" s="1"/>
  <c r="G257" i="33"/>
  <c r="W388" i="10" s="1"/>
  <c r="X388" i="10" s="1"/>
  <c r="G256" i="33"/>
  <c r="W979" i="10" s="1"/>
  <c r="X979" i="10" s="1"/>
  <c r="G255" i="33"/>
  <c r="X707" i="10" s="1"/>
  <c r="G254" i="33"/>
  <c r="X1107" i="10" s="1"/>
  <c r="G253" i="33"/>
  <c r="W1277" i="10" s="1"/>
  <c r="X1277" i="10" s="1"/>
  <c r="G252" i="33"/>
  <c r="X1087" i="10" s="1"/>
  <c r="G251" i="33"/>
  <c r="H251" i="33" s="1"/>
  <c r="G249" i="33"/>
  <c r="X1315" i="10" s="1"/>
  <c r="G248" i="33"/>
  <c r="X1321" i="10" s="1"/>
  <c r="G247" i="33"/>
  <c r="H247" i="33" s="1"/>
  <c r="G246" i="33"/>
  <c r="W1484" i="10" s="1"/>
  <c r="X1484" i="10" s="1"/>
  <c r="G245" i="33"/>
  <c r="W1381" i="10" s="1"/>
  <c r="X1381" i="10" s="1"/>
  <c r="G244" i="33"/>
  <c r="X1337" i="10" s="1"/>
  <c r="G243" i="33"/>
  <c r="W1488" i="10" s="1"/>
  <c r="X1488" i="10" s="1"/>
  <c r="G242" i="33"/>
  <c r="X1090" i="10" s="1"/>
  <c r="G241" i="33"/>
  <c r="H241" i="33" s="1"/>
  <c r="G240" i="33"/>
  <c r="W1936" i="10" s="1"/>
  <c r="X1936" i="10" s="1"/>
  <c r="G239" i="33"/>
  <c r="W2082" i="10" s="1"/>
  <c r="X2082" i="10" s="1"/>
  <c r="G238" i="33"/>
  <c r="H238" i="33" s="1"/>
  <c r="G237" i="33"/>
  <c r="W2031" i="10" s="1"/>
  <c r="X2031" i="10" s="1"/>
  <c r="G236" i="33"/>
  <c r="W2400" i="10" s="1"/>
  <c r="X2400" i="10" s="1"/>
  <c r="G235" i="33"/>
  <c r="W1924" i="10" s="1"/>
  <c r="X1924" i="10" s="1"/>
  <c r="G234" i="33"/>
  <c r="W1696" i="10" s="1"/>
  <c r="X1696" i="10" s="1"/>
  <c r="G233" i="33"/>
  <c r="W1842" i="10" s="1"/>
  <c r="X1842" i="10" s="1"/>
  <c r="G232" i="33"/>
  <c r="W1278" i="10" s="1"/>
  <c r="X1278" i="10" s="1"/>
  <c r="G231" i="33"/>
  <c r="W247" i="10" s="1"/>
  <c r="X247" i="10" s="1"/>
  <c r="G230" i="33"/>
  <c r="W980" i="10" s="1"/>
  <c r="X980" i="10" s="1"/>
  <c r="G229" i="33"/>
  <c r="H229" i="33" s="1"/>
  <c r="G228" i="33"/>
  <c r="W393" i="10" s="1"/>
  <c r="X393" i="10" s="1"/>
  <c r="G227" i="33"/>
  <c r="H227" i="33" s="1"/>
  <c r="G226" i="33"/>
  <c r="H226" i="33" s="1"/>
  <c r="G225" i="33"/>
  <c r="W2165" i="10" s="1"/>
  <c r="X2165" i="10" s="1"/>
  <c r="G224" i="33"/>
  <c r="W882" i="10" s="1"/>
  <c r="X882" i="10" s="1"/>
  <c r="G223" i="33"/>
  <c r="W591" i="10" s="1"/>
  <c r="X591" i="10" s="1"/>
  <c r="G222" i="33"/>
  <c r="W1304" i="10" s="1"/>
  <c r="X1304" i="10" s="1"/>
  <c r="G221" i="33"/>
  <c r="H221" i="33" s="1"/>
  <c r="G220" i="33"/>
  <c r="W390" i="10" s="1"/>
  <c r="X390" i="10" s="1"/>
  <c r="G219" i="33"/>
  <c r="W1903" i="10" s="1"/>
  <c r="X1903" i="10" s="1"/>
  <c r="G218" i="33"/>
  <c r="W237" i="10" s="1"/>
  <c r="X237" i="10" s="1"/>
  <c r="G217" i="33"/>
  <c r="W350" i="10" s="1"/>
  <c r="X350" i="10" s="1"/>
  <c r="G216" i="33"/>
  <c r="X717" i="10" s="1"/>
  <c r="G215" i="33"/>
  <c r="H215" i="33" s="1"/>
  <c r="G214" i="33"/>
  <c r="H214" i="33" s="1"/>
  <c r="G213" i="33"/>
  <c r="W1418" i="10" s="1"/>
  <c r="X1418" i="10" s="1"/>
  <c r="G212" i="33"/>
  <c r="X716" i="10" s="1"/>
  <c r="G211" i="33"/>
  <c r="W1276" i="10" s="1"/>
  <c r="X1276" i="10" s="1"/>
  <c r="G210" i="33"/>
  <c r="W523" i="10" s="1"/>
  <c r="X523" i="10" s="1"/>
  <c r="G209" i="33"/>
  <c r="H209" i="33" s="1"/>
  <c r="G208" i="33"/>
  <c r="G207" i="33"/>
  <c r="X1091" i="10" s="1"/>
  <c r="G206" i="33"/>
  <c r="W1892" i="10" s="1"/>
  <c r="X1892" i="10" s="1"/>
  <c r="G205" i="33"/>
  <c r="H205" i="33" s="1"/>
  <c r="G204" i="33"/>
  <c r="W312" i="10" s="1"/>
  <c r="X312" i="10" s="1"/>
  <c r="G203" i="33"/>
  <c r="W387" i="10" s="1"/>
  <c r="X387" i="10" s="1"/>
  <c r="G202" i="33"/>
  <c r="H202" i="33" s="1"/>
  <c r="G201" i="33"/>
  <c r="W1943" i="10" s="1"/>
  <c r="X1943" i="10" s="1"/>
  <c r="G200" i="33"/>
  <c r="W1464" i="10" s="1"/>
  <c r="X1464" i="10" s="1"/>
  <c r="G199" i="33"/>
  <c r="W2182" i="10" s="1"/>
  <c r="X2182" i="10" s="1"/>
  <c r="G198" i="33"/>
  <c r="W2164" i="10" s="1"/>
  <c r="X2164" i="10" s="1"/>
  <c r="G197" i="33"/>
  <c r="W1599" i="10" s="1"/>
  <c r="X1599" i="10" s="1"/>
  <c r="G196" i="33"/>
  <c r="W1694" i="10" s="1"/>
  <c r="X1694" i="10" s="1"/>
  <c r="G195" i="33"/>
  <c r="W28" i="10" s="1"/>
  <c r="X28" i="10" s="1"/>
  <c r="G194" i="33"/>
  <c r="X721" i="10" s="1"/>
  <c r="G193" i="33"/>
  <c r="W898" i="10" s="1"/>
  <c r="X898" i="10" s="1"/>
  <c r="G192" i="33"/>
  <c r="W127" i="10" s="1"/>
  <c r="X127" i="10" s="1"/>
  <c r="G191" i="33"/>
  <c r="X1327" i="10" s="1"/>
  <c r="G180" i="33"/>
  <c r="H180" i="33" s="1"/>
  <c r="G179" i="33"/>
  <c r="H179" i="33" s="1"/>
  <c r="G165" i="33"/>
  <c r="X1095" i="10" s="1"/>
  <c r="G162" i="33"/>
  <c r="W2203" i="10" s="1"/>
  <c r="X2203" i="10" s="1"/>
  <c r="G161" i="33"/>
  <c r="G160" i="33"/>
  <c r="W1832" i="10" s="1"/>
  <c r="X1832" i="10" s="1"/>
  <c r="G159" i="33"/>
  <c r="W1806" i="10" s="1"/>
  <c r="X1806" i="10" s="1"/>
  <c r="G158" i="33"/>
  <c r="W2291" i="10" s="1"/>
  <c r="X2291" i="10" s="1"/>
  <c r="G157" i="33"/>
  <c r="H157" i="33" s="1"/>
  <c r="G156" i="33"/>
  <c r="H156" i="33" s="1"/>
  <c r="G155" i="33"/>
  <c r="H155" i="33" s="1"/>
  <c r="G154" i="33"/>
  <c r="W33" i="10" s="1"/>
  <c r="X33" i="10" s="1"/>
  <c r="G153" i="33"/>
  <c r="W318" i="10" s="1"/>
  <c r="X318" i="10" s="1"/>
  <c r="G152" i="33"/>
  <c r="W396" i="10" s="1"/>
  <c r="X396" i="10" s="1"/>
  <c r="G151" i="33"/>
  <c r="W799" i="10" s="1"/>
  <c r="X799" i="10" s="1"/>
  <c r="G150" i="33"/>
  <c r="H150" i="33" s="1"/>
  <c r="G149" i="33"/>
  <c r="H149" i="33" s="1"/>
  <c r="G148" i="33"/>
  <c r="W635" i="10" s="1"/>
  <c r="X635" i="10" s="1"/>
  <c r="G147" i="33"/>
  <c r="W788" i="10" s="1"/>
  <c r="G146" i="33"/>
  <c r="W285" i="10" s="1"/>
  <c r="X285" i="10" s="1"/>
  <c r="G145" i="33"/>
  <c r="G144" i="33"/>
  <c r="W823" i="10" s="1"/>
  <c r="X823" i="10" s="1"/>
  <c r="G143" i="33"/>
  <c r="H143" i="33" s="1"/>
  <c r="G142" i="33"/>
  <c r="W800" i="10" s="1"/>
  <c r="X800" i="10" s="1"/>
  <c r="G141" i="33"/>
  <c r="W37" i="10" s="1"/>
  <c r="X37" i="10" s="1"/>
  <c r="G140" i="33"/>
  <c r="W213" i="10" s="1"/>
  <c r="X213" i="10" s="1"/>
  <c r="G139" i="33"/>
  <c r="W212" i="10" s="1"/>
  <c r="X212" i="10" s="1"/>
  <c r="G138" i="33"/>
  <c r="W575" i="10" s="1"/>
  <c r="X575" i="10" s="1"/>
  <c r="G137" i="33"/>
  <c r="W401" i="10" s="1"/>
  <c r="X401" i="10" s="1"/>
  <c r="G136" i="33"/>
  <c r="W516" i="10" s="1"/>
  <c r="X516" i="10" s="1"/>
  <c r="G135" i="33"/>
  <c r="W532" i="10" s="1"/>
  <c r="X532" i="10" s="1"/>
  <c r="G134" i="33"/>
  <c r="W478" i="10" s="1"/>
  <c r="X478" i="10" s="1"/>
  <c r="G133" i="33"/>
  <c r="H133" i="33" s="1"/>
  <c r="G132" i="33"/>
  <c r="H132" i="33" s="1"/>
  <c r="G131" i="33"/>
  <c r="H131" i="33" s="1"/>
  <c r="G130" i="33"/>
  <c r="W1807" i="10" s="1"/>
  <c r="X1807" i="10" s="1"/>
  <c r="G129" i="33"/>
  <c r="W1737" i="10" s="1"/>
  <c r="X1737" i="10" s="1"/>
  <c r="G128" i="33"/>
  <c r="W676" i="10" s="1"/>
  <c r="X676" i="10" s="1"/>
  <c r="G127" i="33"/>
  <c r="W1598" i="10" s="1"/>
  <c r="X1598" i="10" s="1"/>
  <c r="G126" i="33"/>
  <c r="W1779" i="10" s="1"/>
  <c r="X1779" i="10" s="1"/>
  <c r="G124" i="33"/>
  <c r="H124" i="33" s="1"/>
  <c r="G123" i="33"/>
  <c r="W2371" i="10" s="1"/>
  <c r="X2371" i="10" s="1"/>
  <c r="G122" i="33"/>
  <c r="W2093" i="10" s="1"/>
  <c r="X2093" i="10" s="1"/>
  <c r="G120" i="33"/>
  <c r="W263" i="10" s="1"/>
  <c r="X263" i="10" s="1"/>
  <c r="G119" i="33"/>
  <c r="H119" i="33" s="1"/>
  <c r="G118" i="33"/>
  <c r="H118" i="33" s="1"/>
  <c r="G117" i="33"/>
  <c r="W1609" i="10" s="1"/>
  <c r="X1609" i="10" s="1"/>
  <c r="G116" i="33"/>
  <c r="W1991" i="10" s="1"/>
  <c r="X1991" i="10" s="1"/>
  <c r="G115" i="33"/>
  <c r="W2186" i="10" s="1"/>
  <c r="X2186" i="10" s="1"/>
  <c r="G114" i="33"/>
  <c r="W1923" i="10" s="1"/>
  <c r="X1923" i="10" s="1"/>
  <c r="G113" i="33"/>
  <c r="H113" i="33" s="1"/>
  <c r="G110" i="33"/>
  <c r="H110" i="33" s="1"/>
  <c r="G109" i="33"/>
  <c r="H109" i="33" s="1"/>
  <c r="G108" i="33"/>
  <c r="W111" i="10" s="1"/>
  <c r="X111" i="10" s="1"/>
  <c r="G107" i="33"/>
  <c r="W887" i="10" s="1"/>
  <c r="X887" i="10" s="1"/>
  <c r="G106" i="33"/>
  <c r="G105" i="33"/>
  <c r="W580" i="10" s="1"/>
  <c r="X580" i="10" s="1"/>
  <c r="G104" i="33"/>
  <c r="H104" i="33" s="1"/>
  <c r="G103" i="33"/>
  <c r="W357" i="10" s="1"/>
  <c r="X357" i="10" s="1"/>
  <c r="G102" i="33"/>
  <c r="W114" i="10" s="1"/>
  <c r="X114" i="10" s="1"/>
  <c r="G101" i="33"/>
  <c r="H101" i="33" s="1"/>
  <c r="G100" i="33"/>
  <c r="W886" i="10" s="1"/>
  <c r="X886" i="10" s="1"/>
  <c r="G99" i="33"/>
  <c r="W643" i="10" s="1"/>
  <c r="X643" i="10" s="1"/>
  <c r="G98" i="33"/>
  <c r="G97" i="33"/>
  <c r="H97" i="33" s="1"/>
  <c r="G96" i="33"/>
  <c r="W2094" i="10" s="1"/>
  <c r="X2094" i="10" s="1"/>
  <c r="G94" i="33"/>
  <c r="W321" i="10" s="1"/>
  <c r="X321" i="10" s="1"/>
  <c r="G93" i="33"/>
  <c r="W71" i="10" s="1"/>
  <c r="X71" i="10" s="1"/>
  <c r="G92" i="33"/>
  <c r="W458" i="10" s="1"/>
  <c r="X458" i="10" s="1"/>
  <c r="G91" i="33"/>
  <c r="W777" i="10" s="1"/>
  <c r="X777" i="10" s="1"/>
  <c r="G49" i="33"/>
  <c r="W1948" i="10" s="1"/>
  <c r="X1948" i="10" s="1"/>
  <c r="G48" i="33"/>
  <c r="X1313" i="10" s="1"/>
  <c r="G47" i="33"/>
  <c r="H47" i="33" s="1"/>
  <c r="G45" i="33"/>
  <c r="W2003" i="10" s="1"/>
  <c r="X2003" i="10" s="1"/>
  <c r="G7" i="33"/>
  <c r="W822" i="10" s="1"/>
  <c r="X822" i="10" s="1"/>
  <c r="G6" i="33"/>
  <c r="W293" i="10" s="1"/>
  <c r="X293" i="10" s="1"/>
  <c r="G5" i="33"/>
  <c r="H5" i="33" s="1"/>
  <c r="U671" i="10"/>
  <c r="U650" i="10"/>
  <c r="U649" i="10" s="1"/>
  <c r="U630" i="10"/>
  <c r="U629" i="10" s="1"/>
  <c r="U620" i="10"/>
  <c r="U619" i="10" s="1"/>
  <c r="Q109" i="10"/>
  <c r="H1856" i="10"/>
  <c r="H1623" i="10"/>
  <c r="H1622" i="10" s="1"/>
  <c r="H1521" i="10"/>
  <c r="H1522" i="10"/>
  <c r="N1522" i="10" s="1"/>
  <c r="I1522" i="10" s="1"/>
  <c r="H1372" i="10"/>
  <c r="H1371" i="10" s="1"/>
  <c r="H1363" i="10"/>
  <c r="H1362" i="10" s="1"/>
  <c r="H1257" i="10"/>
  <c r="H1256" i="10" s="1"/>
  <c r="H837" i="10"/>
  <c r="H88" i="41" s="1"/>
  <c r="H681" i="10"/>
  <c r="H437" i="10"/>
  <c r="H430" i="10"/>
  <c r="H191" i="10"/>
  <c r="H142" i="10"/>
  <c r="H1992" i="10"/>
  <c r="H1968" i="10"/>
  <c r="H1967" i="10" s="1"/>
  <c r="K1381" i="10" l="1"/>
  <c r="M1381" i="10" s="1"/>
  <c r="K1599" i="10"/>
  <c r="M1599" i="10" s="1"/>
  <c r="M1597" i="10" s="1"/>
  <c r="K1832" i="10"/>
  <c r="M1832" i="10" s="1"/>
  <c r="M1831" i="10" s="1"/>
  <c r="G16" i="41"/>
  <c r="K1960" i="10"/>
  <c r="M1960" i="10" s="1"/>
  <c r="M1959" i="10" s="1"/>
  <c r="I308" i="10"/>
  <c r="I465" i="10"/>
  <c r="I619" i="10"/>
  <c r="I559" i="10"/>
  <c r="I349" i="10"/>
  <c r="I751" i="10"/>
  <c r="I1569" i="10"/>
  <c r="I208" i="10"/>
  <c r="I567" i="10"/>
  <c r="I629" i="10"/>
  <c r="I2345" i="10"/>
  <c r="I1608" i="10"/>
  <c r="I741" i="10"/>
  <c r="I2075" i="10"/>
  <c r="I767" i="10"/>
  <c r="N1675" i="10"/>
  <c r="I1676" i="10"/>
  <c r="I1675" i="10" s="1"/>
  <c r="N2312" i="10"/>
  <c r="I2313" i="10"/>
  <c r="I2312" i="10" s="1"/>
  <c r="N1549" i="10"/>
  <c r="I1550" i="10"/>
  <c r="I1549" i="10" s="1"/>
  <c r="N1501" i="10"/>
  <c r="I1502" i="10"/>
  <c r="N2302" i="10"/>
  <c r="I2303" i="10"/>
  <c r="I2302" i="10" s="1"/>
  <c r="N149" i="10"/>
  <c r="I151" i="10"/>
  <c r="I149" i="10" s="1"/>
  <c r="N1666" i="10"/>
  <c r="AI1666" i="10" s="1"/>
  <c r="I1667" i="10"/>
  <c r="I1666" i="10" s="1"/>
  <c r="N1058" i="10"/>
  <c r="I1059" i="10"/>
  <c r="I1058" i="10" s="1"/>
  <c r="N2331" i="10"/>
  <c r="I2332" i="10"/>
  <c r="I2331" i="10" s="1"/>
  <c r="N1220" i="10"/>
  <c r="I1221" i="10"/>
  <c r="I1220" i="10" s="1"/>
  <c r="N2362" i="10"/>
  <c r="I2363" i="10"/>
  <c r="I2362" i="10" s="1"/>
  <c r="N2421" i="10"/>
  <c r="I2422" i="10"/>
  <c r="I2421" i="10" s="1"/>
  <c r="N2339" i="10"/>
  <c r="AI2339" i="10" s="1"/>
  <c r="I2340" i="10"/>
  <c r="N228" i="10"/>
  <c r="I229" i="10"/>
  <c r="I228" i="10" s="1"/>
  <c r="N262" i="10"/>
  <c r="I263" i="10"/>
  <c r="I262" i="10" s="1"/>
  <c r="N1711" i="10"/>
  <c r="I1712" i="10"/>
  <c r="I1711" i="10" s="1"/>
  <c r="N2355" i="10"/>
  <c r="I2356" i="10"/>
  <c r="I2355" i="10" s="1"/>
  <c r="N1543" i="10"/>
  <c r="I1544" i="10"/>
  <c r="N1719" i="10"/>
  <c r="I1720" i="10"/>
  <c r="I1719" i="10" s="1"/>
  <c r="N2322" i="10"/>
  <c r="I2323" i="10"/>
  <c r="I2322" i="10" s="1"/>
  <c r="N1706" i="10"/>
  <c r="I1707" i="10"/>
  <c r="N2250" i="10"/>
  <c r="I2251" i="10"/>
  <c r="I2250" i="10" s="1"/>
  <c r="N1228" i="10"/>
  <c r="I1229" i="10"/>
  <c r="I1228" i="10" s="1"/>
  <c r="N2414" i="10"/>
  <c r="AI2414" i="10" s="1"/>
  <c r="I2415" i="10"/>
  <c r="I2414" i="10" s="1"/>
  <c r="N1973" i="10"/>
  <c r="I1974" i="10"/>
  <c r="I1973" i="10" s="1"/>
  <c r="N278" i="10"/>
  <c r="I280" i="10"/>
  <c r="I278" i="10" s="1"/>
  <c r="N157" i="10"/>
  <c r="I159" i="10"/>
  <c r="I157" i="10" s="1"/>
  <c r="N1154" i="10"/>
  <c r="I1155" i="10"/>
  <c r="I1154" i="10" s="1"/>
  <c r="N2044" i="10"/>
  <c r="I2045" i="10"/>
  <c r="I2044" i="10" s="1"/>
  <c r="N2270" i="10"/>
  <c r="I2271" i="10"/>
  <c r="I2270" i="10" s="1"/>
  <c r="N549" i="10"/>
  <c r="I551" i="10"/>
  <c r="I549" i="10" s="1"/>
  <c r="N1041" i="10"/>
  <c r="I1042" i="10"/>
  <c r="I1041" i="10" s="1"/>
  <c r="N2012" i="10"/>
  <c r="I2013" i="10"/>
  <c r="I2012" i="10" s="1"/>
  <c r="N271" i="10"/>
  <c r="I272" i="10"/>
  <c r="I271" i="10" s="1"/>
  <c r="N1161" i="10"/>
  <c r="I1162" i="10"/>
  <c r="I1161" i="10" s="1"/>
  <c r="N1507" i="10"/>
  <c r="I1508" i="10"/>
  <c r="I1507" i="10" s="1"/>
  <c r="N1590" i="10"/>
  <c r="I1591" i="10"/>
  <c r="I1590" i="10" s="1"/>
  <c r="N1137" i="10"/>
  <c r="I1138" i="10"/>
  <c r="I1137" i="10" s="1"/>
  <c r="N1537" i="10"/>
  <c r="I1538" i="10"/>
  <c r="N670" i="10"/>
  <c r="I672" i="10"/>
  <c r="I670" i="10" s="1"/>
  <c r="N608" i="10"/>
  <c r="I610" i="10"/>
  <c r="I608" i="10" s="1"/>
  <c r="N2280" i="10"/>
  <c r="I2281" i="10"/>
  <c r="I2280" i="10" s="1"/>
  <c r="N2260" i="10"/>
  <c r="I2261" i="10"/>
  <c r="I2260" i="10" s="1"/>
  <c r="N2375" i="10"/>
  <c r="I2376" i="10"/>
  <c r="I2375" i="10" s="1"/>
  <c r="I2369" i="10" s="1"/>
  <c r="N2240" i="10"/>
  <c r="I2241" i="10"/>
  <c r="I2240" i="10" s="1"/>
  <c r="N969" i="10"/>
  <c r="I970" i="10"/>
  <c r="I969" i="10" s="1"/>
  <c r="D13" i="35"/>
  <c r="W209" i="10"/>
  <c r="X209" i="10" s="1"/>
  <c r="W654" i="10"/>
  <c r="X654" i="10" s="1"/>
  <c r="W655" i="10"/>
  <c r="X655" i="10" s="1"/>
  <c r="M1521" i="10"/>
  <c r="H46" i="41"/>
  <c r="G88" i="41"/>
  <c r="N1992" i="10"/>
  <c r="I1992" i="10" s="1"/>
  <c r="H35" i="41"/>
  <c r="H77" i="41"/>
  <c r="G77" i="41"/>
  <c r="M2362" i="10"/>
  <c r="N751" i="10"/>
  <c r="M1569" i="10"/>
  <c r="X1848" i="10"/>
  <c r="N1363" i="10"/>
  <c r="M1522" i="10"/>
  <c r="M1520" i="10" s="1"/>
  <c r="N559" i="10"/>
  <c r="H161" i="33"/>
  <c r="W1338" i="10"/>
  <c r="X1338" i="10" s="1"/>
  <c r="W1341" i="10"/>
  <c r="X1341" i="10" s="1"/>
  <c r="X1658" i="10"/>
  <c r="W1336" i="10"/>
  <c r="X1336" i="10" s="1"/>
  <c r="W1339" i="10"/>
  <c r="X1339" i="10" s="1"/>
  <c r="W1340" i="10"/>
  <c r="X1340" i="10" s="1"/>
  <c r="N629" i="10"/>
  <c r="AI1685" i="10"/>
  <c r="M278" i="10"/>
  <c r="AI1706" i="10"/>
  <c r="M1675" i="10"/>
  <c r="AI1675" i="10" s="1"/>
  <c r="M608" i="10"/>
  <c r="M1880" i="10"/>
  <c r="AI2355" i="10"/>
  <c r="M751" i="10"/>
  <c r="N308" i="10"/>
  <c r="M1866" i="10"/>
  <c r="X1583" i="10"/>
  <c r="X1569" i="10"/>
  <c r="X1514" i="10"/>
  <c r="X2012" i="10"/>
  <c r="X1967" i="10"/>
  <c r="X1711" i="10"/>
  <c r="X938" i="10"/>
  <c r="X220" i="10"/>
  <c r="X126" i="10"/>
  <c r="N760" i="10"/>
  <c r="X262" i="10"/>
  <c r="X2240" i="10"/>
  <c r="X1824" i="10"/>
  <c r="X1719" i="10"/>
  <c r="X1590" i="10"/>
  <c r="X1576" i="10"/>
  <c r="X1549" i="10"/>
  <c r="X1507" i="10"/>
  <c r="X559" i="10"/>
  <c r="X228" i="10"/>
  <c r="X1058" i="10"/>
  <c r="M2044" i="10"/>
  <c r="X1831" i="10"/>
  <c r="M1608" i="10"/>
  <c r="M349" i="10"/>
  <c r="M1354" i="10"/>
  <c r="N2075" i="10"/>
  <c r="M49" i="10"/>
  <c r="N1569" i="10"/>
  <c r="M760" i="10"/>
  <c r="M149" i="10"/>
  <c r="N619" i="10"/>
  <c r="N465" i="10"/>
  <c r="M1583" i="10"/>
  <c r="N349" i="10"/>
  <c r="N208" i="10"/>
  <c r="M539" i="10"/>
  <c r="N567" i="10"/>
  <c r="X1520" i="10"/>
  <c r="X1256" i="10"/>
  <c r="X1176" i="10"/>
  <c r="X945" i="10"/>
  <c r="X165" i="10"/>
  <c r="X15" i="10"/>
  <c r="M1041" i="10"/>
  <c r="M567" i="10"/>
  <c r="M619" i="10"/>
  <c r="M157" i="10"/>
  <c r="M1973" i="10"/>
  <c r="M2280" i="10"/>
  <c r="N1372" i="10"/>
  <c r="N1257" i="10"/>
  <c r="N837" i="10"/>
  <c r="H836" i="10"/>
  <c r="X2345" i="10"/>
  <c r="X2312" i="10"/>
  <c r="X2064" i="10"/>
  <c r="X1973" i="10"/>
  <c r="X1907" i="10"/>
  <c r="X1790" i="10"/>
  <c r="X1161" i="10"/>
  <c r="X1068" i="10"/>
  <c r="X696" i="10"/>
  <c r="X92" i="10"/>
  <c r="AI92" i="10" s="1"/>
  <c r="N2177" i="10"/>
  <c r="H2176" i="10"/>
  <c r="M2345" i="10"/>
  <c r="N1521" i="10"/>
  <c r="X2381" i="10"/>
  <c r="X2250" i="10"/>
  <c r="X1622" i="10"/>
  <c r="X1228" i="10"/>
  <c r="X1146" i="10"/>
  <c r="X741" i="10"/>
  <c r="X190" i="10"/>
  <c r="N1583" i="10"/>
  <c r="M1077" i="10"/>
  <c r="M1197" i="10"/>
  <c r="M1196" i="10" s="1"/>
  <c r="N681" i="10"/>
  <c r="H680" i="10"/>
  <c r="X1778" i="10"/>
  <c r="X1855" i="10"/>
  <c r="X1362" i="10"/>
  <c r="X1266" i="10"/>
  <c r="AI1266" i="10" s="1"/>
  <c r="X1213" i="10"/>
  <c r="X1186" i="10"/>
  <c r="X969" i="10"/>
  <c r="X488" i="10"/>
  <c r="AI488" i="10" s="1"/>
  <c r="X428" i="10"/>
  <c r="X411" i="10"/>
  <c r="X49" i="10"/>
  <c r="H649" i="10"/>
  <c r="M1968" i="10"/>
  <c r="M1967" i="10" s="1"/>
  <c r="M1257" i="10"/>
  <c r="M1256" i="10" s="1"/>
  <c r="M741" i="10"/>
  <c r="M308" i="10"/>
  <c r="M670" i="10"/>
  <c r="M2075" i="10"/>
  <c r="N1623" i="10"/>
  <c r="X2393" i="10"/>
  <c r="X2362" i="10"/>
  <c r="X2322" i="10"/>
  <c r="X1543" i="10"/>
  <c r="X1501" i="10"/>
  <c r="X1239" i="10"/>
  <c r="X103" i="10"/>
  <c r="M585" i="10"/>
  <c r="X2260" i="10"/>
  <c r="X1880" i="10"/>
  <c r="X1866" i="10"/>
  <c r="X1757" i="10"/>
  <c r="X1675" i="10"/>
  <c r="X1556" i="10"/>
  <c r="X1528" i="10"/>
  <c r="X953" i="10"/>
  <c r="X836" i="10"/>
  <c r="X751" i="10"/>
  <c r="X539" i="10"/>
  <c r="X200" i="10"/>
  <c r="N1968" i="10"/>
  <c r="M651" i="10"/>
  <c r="N1197" i="10"/>
  <c r="M559" i="10"/>
  <c r="X1649" i="10"/>
  <c r="X1631" i="10"/>
  <c r="X1196" i="10"/>
  <c r="X172" i="10"/>
  <c r="M1372" i="10"/>
  <c r="M1371" i="10" s="1"/>
  <c r="N741" i="10"/>
  <c r="N437" i="10"/>
  <c r="H435" i="10"/>
  <c r="X2375" i="10"/>
  <c r="X1980" i="10"/>
  <c r="AI1980" i="10" s="1"/>
  <c r="X1371" i="10"/>
  <c r="X1168" i="10"/>
  <c r="X1154" i="10"/>
  <c r="X157" i="10"/>
  <c r="X85" i="10"/>
  <c r="X58" i="10"/>
  <c r="AI58" i="10" s="1"/>
  <c r="N767" i="10"/>
  <c r="H1520" i="10"/>
  <c r="N142" i="10"/>
  <c r="H141" i="10"/>
  <c r="N1856" i="10"/>
  <c r="H1855" i="10"/>
  <c r="X2331" i="10"/>
  <c r="X2270" i="10"/>
  <c r="X688" i="10"/>
  <c r="X549" i="10"/>
  <c r="X496" i="10"/>
  <c r="AI496" i="10" s="1"/>
  <c r="X98" i="10"/>
  <c r="AI98" i="10" s="1"/>
  <c r="M2421" i="10"/>
  <c r="M1623" i="10"/>
  <c r="M1622" i="10" s="1"/>
  <c r="N2345" i="10"/>
  <c r="N191" i="10"/>
  <c r="H190" i="10"/>
  <c r="X977" i="10"/>
  <c r="X2387" i="10"/>
  <c r="X1537" i="10"/>
  <c r="X1220" i="10"/>
  <c r="X1206" i="10"/>
  <c r="X760" i="10"/>
  <c r="X435" i="10"/>
  <c r="M767" i="10"/>
  <c r="M549" i="10"/>
  <c r="M650" i="10"/>
  <c r="N651" i="10"/>
  <c r="M208" i="10"/>
  <c r="N1608" i="10"/>
  <c r="X2280" i="10"/>
  <c r="N430" i="10"/>
  <c r="H428" i="10"/>
  <c r="X2302" i="10"/>
  <c r="X2054" i="10"/>
  <c r="X1874" i="10"/>
  <c r="AI1874" i="10" s="1"/>
  <c r="X1354" i="10"/>
  <c r="X1137" i="10"/>
  <c r="X961" i="10"/>
  <c r="X608" i="10"/>
  <c r="X181" i="10"/>
  <c r="M1363" i="10"/>
  <c r="M1362" i="10" s="1"/>
  <c r="M465" i="10"/>
  <c r="M629" i="10"/>
  <c r="M837" i="10"/>
  <c r="M836" i="10" s="1"/>
  <c r="M2177" i="10"/>
  <c r="M2176" i="10" s="1"/>
  <c r="M437" i="10"/>
  <c r="M435" i="10" s="1"/>
  <c r="M430" i="10"/>
  <c r="M428" i="10" s="1"/>
  <c r="M1992" i="10"/>
  <c r="M681" i="10"/>
  <c r="M680" i="10" s="1"/>
  <c r="M191" i="10"/>
  <c r="M190" i="10" s="1"/>
  <c r="M1856" i="10"/>
  <c r="M1855" i="10" s="1"/>
  <c r="M142" i="10"/>
  <c r="M141" i="10" s="1"/>
  <c r="W862" i="10"/>
  <c r="X862" i="10" s="1"/>
  <c r="W789" i="10"/>
  <c r="X789" i="10" s="1"/>
  <c r="W863" i="10"/>
  <c r="X863" i="10" s="1"/>
  <c r="W864" i="10"/>
  <c r="X864" i="10" s="1"/>
  <c r="X788" i="10"/>
  <c r="W861" i="10"/>
  <c r="X861" i="10" s="1"/>
  <c r="W1441" i="10"/>
  <c r="X1441" i="10" s="1"/>
  <c r="H1991" i="10"/>
  <c r="H315" i="33"/>
  <c r="H85" i="33"/>
  <c r="H225" i="33"/>
  <c r="H324" i="33"/>
  <c r="H384" i="33"/>
  <c r="H335" i="33"/>
  <c r="H159" i="33"/>
  <c r="W2401" i="10"/>
  <c r="X2401" i="10" s="1"/>
  <c r="W1947" i="10"/>
  <c r="X1947" i="10" s="1"/>
  <c r="H369" i="33"/>
  <c r="H333" i="33"/>
  <c r="H237" i="33"/>
  <c r="H134" i="33"/>
  <c r="W1963" i="10"/>
  <c r="X1963" i="10" s="1"/>
  <c r="H325" i="33"/>
  <c r="H228" i="33"/>
  <c r="H130" i="33"/>
  <c r="H25" i="33"/>
  <c r="H323" i="33"/>
  <c r="H196" i="33"/>
  <c r="H195" i="33"/>
  <c r="X730" i="10"/>
  <c r="H189" i="33"/>
  <c r="H106" i="33"/>
  <c r="H312" i="33"/>
  <c r="H265" i="33"/>
  <c r="H182" i="33"/>
  <c r="H105" i="33"/>
  <c r="H45" i="33"/>
  <c r="H351" i="33"/>
  <c r="W2184" i="10"/>
  <c r="X2184" i="10" s="1"/>
  <c r="W2092" i="10"/>
  <c r="X2092" i="10" s="1"/>
  <c r="H348" i="33"/>
  <c r="H262" i="33"/>
  <c r="W2407" i="10"/>
  <c r="X2407" i="10" s="1"/>
  <c r="H400" i="33"/>
  <c r="H285" i="33"/>
  <c r="H255" i="33"/>
  <c r="H63" i="33"/>
  <c r="H386" i="33"/>
  <c r="H337" i="33"/>
  <c r="H304" i="33"/>
  <c r="H252" i="33"/>
  <c r="H160" i="33"/>
  <c r="H82" i="33"/>
  <c r="W1430" i="10"/>
  <c r="X1430" i="10" s="1"/>
  <c r="H381" i="33"/>
  <c r="H360" i="33"/>
  <c r="H334" i="33"/>
  <c r="H220" i="33"/>
  <c r="H194" i="33"/>
  <c r="H158" i="33"/>
  <c r="H129" i="33"/>
  <c r="H96" i="33"/>
  <c r="H58" i="33"/>
  <c r="H3" i="33"/>
  <c r="W1895" i="10"/>
  <c r="X1895" i="10" s="1"/>
  <c r="X1891" i="10" s="1"/>
  <c r="W1736" i="10"/>
  <c r="X1736" i="10" s="1"/>
  <c r="W1380" i="10"/>
  <c r="X1380" i="10" s="1"/>
  <c r="W1012" i="10"/>
  <c r="X1012" i="10" s="1"/>
  <c r="H60" i="33"/>
  <c r="H415" i="33"/>
  <c r="H376" i="33"/>
  <c r="H359" i="33"/>
  <c r="H249" i="33"/>
  <c r="H219" i="33"/>
  <c r="H192" i="33"/>
  <c r="H154" i="33"/>
  <c r="H123" i="33"/>
  <c r="W2410" i="10"/>
  <c r="X2410" i="10" s="1"/>
  <c r="W2083" i="10"/>
  <c r="X2083" i="10" s="1"/>
  <c r="X1089" i="10"/>
  <c r="H405" i="33"/>
  <c r="H375" i="33"/>
  <c r="H358" i="33"/>
  <c r="H327" i="33"/>
  <c r="H244" i="33"/>
  <c r="H218" i="33"/>
  <c r="H190" i="33"/>
  <c r="H153" i="33"/>
  <c r="H122" i="33"/>
  <c r="H94" i="33"/>
  <c r="W2147" i="10"/>
  <c r="X2147" i="10" s="1"/>
  <c r="H374" i="33"/>
  <c r="H357" i="33"/>
  <c r="H326" i="33"/>
  <c r="H243" i="33"/>
  <c r="H216" i="33"/>
  <c r="H148" i="33"/>
  <c r="H93" i="33"/>
  <c r="W2080" i="10"/>
  <c r="X2080" i="10" s="1"/>
  <c r="W2001" i="10"/>
  <c r="X2001" i="10" s="1"/>
  <c r="W1814" i="10"/>
  <c r="X1814" i="10" s="1"/>
  <c r="W1287" i="10"/>
  <c r="X1287" i="10" s="1"/>
  <c r="H399" i="33"/>
  <c r="H372" i="33"/>
  <c r="H303" i="33"/>
  <c r="H288" i="33"/>
  <c r="H242" i="33"/>
  <c r="H213" i="33"/>
  <c r="H188" i="33"/>
  <c r="H147" i="33"/>
  <c r="H120" i="33"/>
  <c r="W2406" i="10"/>
  <c r="X2406" i="10" s="1"/>
  <c r="W1404" i="10"/>
  <c r="X1404" i="10" s="1"/>
  <c r="W1115" i="10"/>
  <c r="X1115" i="10" s="1"/>
  <c r="H398" i="33"/>
  <c r="H302" i="33"/>
  <c r="H286" i="33"/>
  <c r="H240" i="33"/>
  <c r="H208" i="33"/>
  <c r="H146" i="33"/>
  <c r="H117" i="33"/>
  <c r="H89" i="33"/>
  <c r="W1645" i="10"/>
  <c r="X1645" i="10" s="1"/>
  <c r="X1326" i="10"/>
  <c r="W796" i="10"/>
  <c r="X796" i="10" s="1"/>
  <c r="W770" i="10"/>
  <c r="X770" i="10" s="1"/>
  <c r="X706" i="10"/>
  <c r="H396" i="33"/>
  <c r="H207" i="33"/>
  <c r="H142" i="33"/>
  <c r="H116" i="33"/>
  <c r="H24" i="33"/>
  <c r="W2404" i="10"/>
  <c r="X2404" i="10" s="1"/>
  <c r="W2161" i="10"/>
  <c r="X2161" i="10" s="1"/>
  <c r="W1495" i="10"/>
  <c r="X1495" i="10" s="1"/>
  <c r="W1275" i="10"/>
  <c r="X1275" i="10" s="1"/>
  <c r="H393" i="33"/>
  <c r="H322" i="33"/>
  <c r="H284" i="33"/>
  <c r="H232" i="33"/>
  <c r="H206" i="33"/>
  <c r="H165" i="33"/>
  <c r="H141" i="33"/>
  <c r="H70" i="33"/>
  <c r="W1960" i="10"/>
  <c r="X1960" i="10" s="1"/>
  <c r="W885" i="10"/>
  <c r="X885" i="10" s="1"/>
  <c r="H321" i="33"/>
  <c r="H261" i="33"/>
  <c r="H231" i="33"/>
  <c r="H204" i="33"/>
  <c r="H136" i="33"/>
  <c r="H81" i="33"/>
  <c r="W2181" i="10"/>
  <c r="X2181" i="10" s="1"/>
  <c r="W1922" i="10"/>
  <c r="X1922" i="10" s="1"/>
  <c r="W1417" i="10"/>
  <c r="X1417" i="10" s="1"/>
  <c r="W1392" i="10"/>
  <c r="X1392" i="10" s="1"/>
  <c r="W873" i="10"/>
  <c r="X873" i="10" s="1"/>
  <c r="W587" i="10"/>
  <c r="X587" i="10" s="1"/>
  <c r="H387" i="33"/>
  <c r="H276" i="33"/>
  <c r="H256" i="33"/>
  <c r="H230" i="33"/>
  <c r="H201" i="33"/>
  <c r="H135" i="33"/>
  <c r="H108" i="33"/>
  <c r="H48" i="33"/>
  <c r="X1102" i="10"/>
  <c r="W574" i="10"/>
  <c r="X574" i="10" s="1"/>
  <c r="W534" i="10"/>
  <c r="X534" i="10" s="1"/>
  <c r="W522" i="10"/>
  <c r="X522" i="10" s="1"/>
  <c r="W509" i="10"/>
  <c r="X509" i="10" s="1"/>
  <c r="W482" i="10"/>
  <c r="X482" i="10" s="1"/>
  <c r="W457" i="10"/>
  <c r="X457" i="10" s="1"/>
  <c r="W444" i="10"/>
  <c r="X444" i="10" s="1"/>
  <c r="W422" i="10"/>
  <c r="X422" i="10" s="1"/>
  <c r="W398" i="10"/>
  <c r="X398" i="10" s="1"/>
  <c r="W373" i="10"/>
  <c r="X373" i="10" s="1"/>
  <c r="W361" i="10"/>
  <c r="X361" i="10" s="1"/>
  <c r="W311" i="10"/>
  <c r="X311" i="10" s="1"/>
  <c r="W298" i="10"/>
  <c r="X298" i="10" s="1"/>
  <c r="W286" i="10"/>
  <c r="X286" i="10" s="1"/>
  <c r="W35" i="10"/>
  <c r="X35" i="10" s="1"/>
  <c r="W23" i="10"/>
  <c r="X23" i="10" s="1"/>
  <c r="H404" i="33"/>
  <c r="H392" i="33"/>
  <c r="H380" i="33"/>
  <c r="H356" i="33"/>
  <c r="H332" i="33"/>
  <c r="H320" i="33"/>
  <c r="H296" i="33"/>
  <c r="H260" i="33"/>
  <c r="H248" i="33"/>
  <c r="H236" i="33"/>
  <c r="H224" i="33"/>
  <c r="H212" i="33"/>
  <c r="H200" i="33"/>
  <c r="H152" i="33"/>
  <c r="H140" i="33"/>
  <c r="H128" i="33"/>
  <c r="H92" i="33"/>
  <c r="W2218" i="10"/>
  <c r="X2218" i="10" s="1"/>
  <c r="W2180" i="10"/>
  <c r="X2180" i="10" s="1"/>
  <c r="W2091" i="10"/>
  <c r="X2091" i="10" s="1"/>
  <c r="W2079" i="10"/>
  <c r="X2079" i="10" s="1"/>
  <c r="W2039" i="10"/>
  <c r="X2039" i="10" s="1"/>
  <c r="W1946" i="10"/>
  <c r="X1946" i="10" s="1"/>
  <c r="W1933" i="10"/>
  <c r="X1933" i="10" s="1"/>
  <c r="W1921" i="10"/>
  <c r="X1921" i="10" s="1"/>
  <c r="W1840" i="10"/>
  <c r="X1840" i="10" s="1"/>
  <c r="X1839" i="10" s="1"/>
  <c r="W1813" i="10"/>
  <c r="X1813" i="10" s="1"/>
  <c r="W1800" i="10"/>
  <c r="X1800" i="10" s="1"/>
  <c r="W1735" i="10"/>
  <c r="X1735" i="10" s="1"/>
  <c r="W1644" i="10"/>
  <c r="X1644" i="10" s="1"/>
  <c r="W1429" i="10"/>
  <c r="X1429" i="10" s="1"/>
  <c r="W1416" i="10"/>
  <c r="X1416" i="10" s="1"/>
  <c r="W1403" i="10"/>
  <c r="X1403" i="10" s="1"/>
  <c r="W1391" i="10"/>
  <c r="X1391" i="10" s="1"/>
  <c r="W1299" i="10"/>
  <c r="X1299" i="10" s="1"/>
  <c r="W1114" i="10"/>
  <c r="X1114" i="10" s="1"/>
  <c r="X1088" i="10"/>
  <c r="W896" i="10"/>
  <c r="X896" i="10" s="1"/>
  <c r="W884" i="10"/>
  <c r="X884" i="10" s="1"/>
  <c r="W872" i="10"/>
  <c r="X872" i="10" s="1"/>
  <c r="W795" i="10"/>
  <c r="X795" i="10" s="1"/>
  <c r="W781" i="10"/>
  <c r="X781" i="10" s="1"/>
  <c r="W769" i="10"/>
  <c r="X769" i="10" s="1"/>
  <c r="X729" i="10"/>
  <c r="W677" i="10"/>
  <c r="X677" i="10" s="1"/>
  <c r="W664" i="10"/>
  <c r="X664" i="10" s="1"/>
  <c r="W651" i="10"/>
  <c r="X651" i="10" s="1"/>
  <c r="W624" i="10"/>
  <c r="X624" i="10" s="1"/>
  <c r="W598" i="10"/>
  <c r="X598" i="10" s="1"/>
  <c r="W586" i="10"/>
  <c r="X586" i="10" s="1"/>
  <c r="W573" i="10"/>
  <c r="X573" i="10" s="1"/>
  <c r="W533" i="10"/>
  <c r="X533" i="10" s="1"/>
  <c r="W508" i="10"/>
  <c r="X508" i="10" s="1"/>
  <c r="W469" i="10"/>
  <c r="X469" i="10" s="1"/>
  <c r="W456" i="10"/>
  <c r="X456" i="10" s="1"/>
  <c r="W443" i="10"/>
  <c r="X443" i="10" s="1"/>
  <c r="W397" i="10"/>
  <c r="X397" i="10" s="1"/>
  <c r="W360" i="10"/>
  <c r="X360" i="10" s="1"/>
  <c r="W335" i="10"/>
  <c r="X335" i="10" s="1"/>
  <c r="W322" i="10"/>
  <c r="X322" i="10" s="1"/>
  <c r="W310" i="10"/>
  <c r="X310" i="10" s="1"/>
  <c r="W272" i="10"/>
  <c r="X272" i="10" s="1"/>
  <c r="X271" i="10" s="1"/>
  <c r="W246" i="10"/>
  <c r="X246" i="10" s="1"/>
  <c r="W73" i="10"/>
  <c r="X73" i="10" s="1"/>
  <c r="H403" i="33"/>
  <c r="H391" i="33"/>
  <c r="H379" i="33"/>
  <c r="H355" i="33"/>
  <c r="H343" i="33"/>
  <c r="H319" i="33"/>
  <c r="H295" i="33"/>
  <c r="H283" i="33"/>
  <c r="H271" i="33"/>
  <c r="H259" i="33"/>
  <c r="H235" i="33"/>
  <c r="H223" i="33"/>
  <c r="H211" i="33"/>
  <c r="H199" i="33"/>
  <c r="H151" i="33"/>
  <c r="H139" i="33"/>
  <c r="H127" i="33"/>
  <c r="H115" i="33"/>
  <c r="H103" i="33"/>
  <c r="H91" i="33"/>
  <c r="H67" i="33"/>
  <c r="H7" i="33"/>
  <c r="W2296" i="10"/>
  <c r="X2296" i="10" s="1"/>
  <c r="W2217" i="10"/>
  <c r="X2217" i="10" s="1"/>
  <c r="W2179" i="10"/>
  <c r="X2179" i="10" s="1"/>
  <c r="W2166" i="10"/>
  <c r="X2166" i="10" s="1"/>
  <c r="W2090" i="10"/>
  <c r="X2090" i="10" s="1"/>
  <c r="W2078" i="10"/>
  <c r="X2078" i="10" s="1"/>
  <c r="W2038" i="10"/>
  <c r="X2038" i="10" s="1"/>
  <c r="W1812" i="10"/>
  <c r="X1812" i="10" s="1"/>
  <c r="W1799" i="10"/>
  <c r="X1799" i="10" s="1"/>
  <c r="W1772" i="10"/>
  <c r="X1772" i="10" s="1"/>
  <c r="X1771" i="10" s="1"/>
  <c r="W1643" i="10"/>
  <c r="X1643" i="10" s="1"/>
  <c r="W1603" i="10"/>
  <c r="X1603" i="10" s="1"/>
  <c r="W1493" i="10"/>
  <c r="X1493" i="10" s="1"/>
  <c r="W1454" i="10"/>
  <c r="X1454" i="10" s="1"/>
  <c r="X1452" i="10" s="1"/>
  <c r="X1324" i="10"/>
  <c r="W1285" i="10"/>
  <c r="X1285" i="10" s="1"/>
  <c r="W1010" i="10"/>
  <c r="X1010" i="10" s="1"/>
  <c r="W883" i="10"/>
  <c r="X883" i="10" s="1"/>
  <c r="W871" i="10"/>
  <c r="X871" i="10" s="1"/>
  <c r="W780" i="10"/>
  <c r="X780" i="10" s="1"/>
  <c r="W768" i="10"/>
  <c r="X768" i="10" s="1"/>
  <c r="X728" i="10"/>
  <c r="W663" i="10"/>
  <c r="X663" i="10" s="1"/>
  <c r="W650" i="10"/>
  <c r="X650" i="10" s="1"/>
  <c r="W636" i="10"/>
  <c r="X636" i="10" s="1"/>
  <c r="W597" i="10"/>
  <c r="X597" i="10" s="1"/>
  <c r="W572" i="10"/>
  <c r="X572" i="10" s="1"/>
  <c r="W507" i="10"/>
  <c r="X507" i="10" s="1"/>
  <c r="W468" i="10"/>
  <c r="X468" i="10" s="1"/>
  <c r="W420" i="10"/>
  <c r="X420" i="10" s="1"/>
  <c r="W371" i="10"/>
  <c r="X371" i="10" s="1"/>
  <c r="W359" i="10"/>
  <c r="X359" i="10" s="1"/>
  <c r="W334" i="10"/>
  <c r="X334" i="10" s="1"/>
  <c r="W284" i="10"/>
  <c r="X284" i="10" s="1"/>
  <c r="W257" i="10"/>
  <c r="X257" i="10" s="1"/>
  <c r="W245" i="10"/>
  <c r="X245" i="10" s="1"/>
  <c r="W110" i="10"/>
  <c r="X110" i="10" s="1"/>
  <c r="X108" i="10" s="1"/>
  <c r="W45" i="10"/>
  <c r="X45" i="10" s="1"/>
  <c r="H297" i="33"/>
  <c r="H402" i="33"/>
  <c r="H390" i="33"/>
  <c r="H354" i="33"/>
  <c r="H342" i="33"/>
  <c r="H330" i="33"/>
  <c r="H318" i="33"/>
  <c r="H306" i="33"/>
  <c r="H282" i="33"/>
  <c r="H270" i="33"/>
  <c r="H258" i="33"/>
  <c r="H246" i="33"/>
  <c r="H234" i="33"/>
  <c r="H222" i="33"/>
  <c r="H210" i="33"/>
  <c r="H198" i="33"/>
  <c r="H162" i="33"/>
  <c r="H138" i="33"/>
  <c r="H126" i="33"/>
  <c r="H114" i="33"/>
  <c r="H102" i="33"/>
  <c r="H66" i="33"/>
  <c r="H6" i="33"/>
  <c r="W2178" i="10"/>
  <c r="X2178" i="10" s="1"/>
  <c r="W2089" i="10"/>
  <c r="X2089" i="10" s="1"/>
  <c r="W2077" i="10"/>
  <c r="X2077" i="10" s="1"/>
  <c r="W2037" i="10"/>
  <c r="X2037" i="10" s="1"/>
  <c r="W2023" i="10"/>
  <c r="X2023" i="10" s="1"/>
  <c r="W1997" i="10"/>
  <c r="X1997" i="10" s="1"/>
  <c r="W1944" i="10"/>
  <c r="X1944" i="10" s="1"/>
  <c r="W1931" i="10"/>
  <c r="X1931" i="10" s="1"/>
  <c r="W1919" i="10"/>
  <c r="X1919" i="10" s="1"/>
  <c r="W1811" i="10"/>
  <c r="X1811" i="10" s="1"/>
  <c r="W1798" i="10"/>
  <c r="X1798" i="10" s="1"/>
  <c r="W1642" i="10"/>
  <c r="X1642" i="10" s="1"/>
  <c r="W1492" i="10"/>
  <c r="X1492" i="10" s="1"/>
  <c r="W1401" i="10"/>
  <c r="X1401" i="10" s="1"/>
  <c r="W1389" i="10"/>
  <c r="X1389" i="10" s="1"/>
  <c r="W1297" i="10"/>
  <c r="X1297" i="10" s="1"/>
  <c r="W1284" i="10"/>
  <c r="X1284" i="10" s="1"/>
  <c r="X1086" i="10"/>
  <c r="W894" i="10"/>
  <c r="X894" i="10" s="1"/>
  <c r="W805" i="10"/>
  <c r="X805" i="10" s="1"/>
  <c r="W779" i="10"/>
  <c r="X779" i="10" s="1"/>
  <c r="X727" i="10"/>
  <c r="W675" i="10"/>
  <c r="X675" i="10" s="1"/>
  <c r="W662" i="10"/>
  <c r="X662" i="10" s="1"/>
  <c r="W622" i="10"/>
  <c r="X622" i="10" s="1"/>
  <c r="W596" i="10"/>
  <c r="X596" i="10" s="1"/>
  <c r="W571" i="10"/>
  <c r="X571" i="10" s="1"/>
  <c r="W467" i="10"/>
  <c r="X467" i="10" s="1"/>
  <c r="W370" i="10"/>
  <c r="X370" i="10" s="1"/>
  <c r="W358" i="10"/>
  <c r="X358" i="10" s="1"/>
  <c r="W345" i="10"/>
  <c r="X345" i="10" s="1"/>
  <c r="W333" i="10"/>
  <c r="X333" i="10" s="1"/>
  <c r="W295" i="10"/>
  <c r="X295" i="10" s="1"/>
  <c r="W283" i="10"/>
  <c r="X283" i="10" s="1"/>
  <c r="W244" i="10"/>
  <c r="X244" i="10" s="1"/>
  <c r="W150" i="10"/>
  <c r="X150" i="10" s="1"/>
  <c r="X149" i="10" s="1"/>
  <c r="W44" i="10"/>
  <c r="X44" i="10" s="1"/>
  <c r="W32" i="10"/>
  <c r="X32" i="10" s="1"/>
  <c r="H389" i="33"/>
  <c r="H377" i="33"/>
  <c r="H353" i="33"/>
  <c r="H341" i="33"/>
  <c r="H329" i="33"/>
  <c r="H305" i="33"/>
  <c r="H281" i="33"/>
  <c r="H269" i="33"/>
  <c r="H257" i="33"/>
  <c r="H245" i="33"/>
  <c r="H233" i="33"/>
  <c r="H197" i="33"/>
  <c r="H185" i="33"/>
  <c r="H137" i="33"/>
  <c r="H65" i="33"/>
  <c r="W2215" i="10"/>
  <c r="X2215" i="10" s="1"/>
  <c r="W2202" i="10"/>
  <c r="X2202" i="10" s="1"/>
  <c r="W2177" i="10"/>
  <c r="X2177" i="10" s="1"/>
  <c r="W2151" i="10"/>
  <c r="X2151" i="10" s="1"/>
  <c r="W2138" i="10"/>
  <c r="X2138" i="10" s="1"/>
  <c r="X2137" i="10" s="1"/>
  <c r="W2076" i="10"/>
  <c r="X2076" i="10" s="1"/>
  <c r="W2049" i="10"/>
  <c r="X2049" i="10" s="1"/>
  <c r="W2022" i="10"/>
  <c r="X2022" i="10" s="1"/>
  <c r="W1930" i="10"/>
  <c r="X1930" i="10" s="1"/>
  <c r="W1601" i="10"/>
  <c r="X1601" i="10" s="1"/>
  <c r="W1491" i="10"/>
  <c r="X1491" i="10" s="1"/>
  <c r="W1465" i="10"/>
  <c r="X1465" i="10" s="1"/>
  <c r="W1438" i="10"/>
  <c r="X1438" i="10" s="1"/>
  <c r="W1388" i="10"/>
  <c r="X1388" i="10" s="1"/>
  <c r="X1097" i="10"/>
  <c r="W893" i="10"/>
  <c r="X893" i="10" s="1"/>
  <c r="W829" i="10"/>
  <c r="X829" i="10" s="1"/>
  <c r="W804" i="10"/>
  <c r="X804" i="10" s="1"/>
  <c r="X726" i="10"/>
  <c r="X714" i="10"/>
  <c r="W634" i="10"/>
  <c r="X634" i="10" s="1"/>
  <c r="W621" i="10"/>
  <c r="X621" i="10" s="1"/>
  <c r="W595" i="10"/>
  <c r="X595" i="10" s="1"/>
  <c r="W570" i="10"/>
  <c r="X570" i="10" s="1"/>
  <c r="W530" i="10"/>
  <c r="X530" i="10" s="1"/>
  <c r="W517" i="10"/>
  <c r="X517" i="10" s="1"/>
  <c r="W466" i="10"/>
  <c r="X466" i="10" s="1"/>
  <c r="W394" i="10"/>
  <c r="X394" i="10" s="1"/>
  <c r="W344" i="10"/>
  <c r="X344" i="10" s="1"/>
  <c r="W294" i="10"/>
  <c r="X294" i="10" s="1"/>
  <c r="W282" i="10"/>
  <c r="X282" i="10" s="1"/>
  <c r="W255" i="10"/>
  <c r="X255" i="10" s="1"/>
  <c r="W135" i="10"/>
  <c r="X135" i="10" s="1"/>
  <c r="W83" i="10"/>
  <c r="X83" i="10" s="1"/>
  <c r="W70" i="10"/>
  <c r="X70" i="10" s="1"/>
  <c r="W43" i="10"/>
  <c r="X43" i="10" s="1"/>
  <c r="W31" i="10"/>
  <c r="X31" i="10" s="1"/>
  <c r="H352" i="33"/>
  <c r="H340" i="33"/>
  <c r="H328" i="33"/>
  <c r="H316" i="33"/>
  <c r="H280" i="33"/>
  <c r="H184" i="33"/>
  <c r="H100" i="33"/>
  <c r="H88" i="33"/>
  <c r="W2402" i="10"/>
  <c r="X2402" i="10" s="1"/>
  <c r="W2201" i="10"/>
  <c r="X2201" i="10" s="1"/>
  <c r="W2188" i="10"/>
  <c r="X2188" i="10" s="1"/>
  <c r="W2163" i="10"/>
  <c r="X2163" i="10" s="1"/>
  <c r="W2150" i="10"/>
  <c r="X2150" i="10" s="1"/>
  <c r="W2099" i="10"/>
  <c r="X2099" i="10" s="1"/>
  <c r="W2087" i="10"/>
  <c r="X2087" i="10" s="1"/>
  <c r="W2048" i="10"/>
  <c r="X2048" i="10" s="1"/>
  <c r="W2021" i="10"/>
  <c r="X2021" i="10" s="1"/>
  <c r="W1995" i="10"/>
  <c r="X1995" i="10" s="1"/>
  <c r="W1917" i="10"/>
  <c r="X1917" i="10" s="1"/>
  <c r="W1809" i="10"/>
  <c r="X1809" i="10" s="1"/>
  <c r="W1698" i="10"/>
  <c r="X1698" i="10" s="1"/>
  <c r="W1490" i="10"/>
  <c r="X1490" i="10" s="1"/>
  <c r="W1399" i="10"/>
  <c r="X1399" i="10" s="1"/>
  <c r="W1282" i="10"/>
  <c r="X1282" i="10" s="1"/>
  <c r="X1109" i="10"/>
  <c r="X1096" i="10"/>
  <c r="X1084" i="10"/>
  <c r="W892" i="10"/>
  <c r="X892" i="10" s="1"/>
  <c r="W880" i="10"/>
  <c r="X880" i="10" s="1"/>
  <c r="W816" i="10"/>
  <c r="X816" i="10" s="1"/>
  <c r="W803" i="10"/>
  <c r="X803" i="10" s="1"/>
  <c r="X713" i="10"/>
  <c r="W673" i="10"/>
  <c r="X673" i="10" s="1"/>
  <c r="W633" i="10"/>
  <c r="X633" i="10" s="1"/>
  <c r="W620" i="10"/>
  <c r="X620" i="10" s="1"/>
  <c r="W581" i="10"/>
  <c r="X581" i="10" s="1"/>
  <c r="W529" i="10"/>
  <c r="X529" i="10" s="1"/>
  <c r="W368" i="10"/>
  <c r="X368" i="10" s="1"/>
  <c r="W356" i="10"/>
  <c r="X356" i="10" s="1"/>
  <c r="W281" i="10"/>
  <c r="X281" i="10" s="1"/>
  <c r="W254" i="10"/>
  <c r="X254" i="10" s="1"/>
  <c r="W242" i="10"/>
  <c r="X242" i="10" s="1"/>
  <c r="W134" i="10"/>
  <c r="X134" i="10" s="1"/>
  <c r="W120" i="10"/>
  <c r="X120" i="10" s="1"/>
  <c r="X119" i="10" s="1"/>
  <c r="W69" i="10"/>
  <c r="X69" i="10" s="1"/>
  <c r="H99" i="33"/>
  <c r="H87" i="33"/>
  <c r="W2292" i="10"/>
  <c r="X2292" i="10" s="1"/>
  <c r="W2187" i="10"/>
  <c r="X2187" i="10" s="1"/>
  <c r="W2149" i="10"/>
  <c r="X2149" i="10" s="1"/>
  <c r="W2047" i="10"/>
  <c r="X2047" i="10" s="1"/>
  <c r="W2006" i="10"/>
  <c r="X2006" i="10" s="1"/>
  <c r="W1994" i="10"/>
  <c r="X1994" i="10" s="1"/>
  <c r="W1916" i="10"/>
  <c r="X1916" i="10" s="1"/>
  <c r="W1808" i="10"/>
  <c r="X1808" i="10" s="1"/>
  <c r="W1697" i="10"/>
  <c r="X1697" i="10" s="1"/>
  <c r="W1489" i="10"/>
  <c r="X1489" i="10" s="1"/>
  <c r="W1463" i="10"/>
  <c r="X1463" i="10" s="1"/>
  <c r="W1436" i="10"/>
  <c r="X1436" i="10" s="1"/>
  <c r="W1410" i="10"/>
  <c r="X1410" i="10" s="1"/>
  <c r="W1386" i="10"/>
  <c r="X1386" i="10" s="1"/>
  <c r="X1108" i="10"/>
  <c r="X1083" i="10"/>
  <c r="W891" i="10"/>
  <c r="X891" i="10" s="1"/>
  <c r="W879" i="10"/>
  <c r="X879" i="10" s="1"/>
  <c r="W853" i="10"/>
  <c r="X853" i="10" s="1"/>
  <c r="X852" i="10" s="1"/>
  <c r="W827" i="10"/>
  <c r="X827" i="10" s="1"/>
  <c r="W815" i="10"/>
  <c r="X815" i="10" s="1"/>
  <c r="W802" i="10"/>
  <c r="X802" i="10" s="1"/>
  <c r="W776" i="10"/>
  <c r="X776" i="10" s="1"/>
  <c r="X736" i="10"/>
  <c r="X712" i="10"/>
  <c r="W672" i="10"/>
  <c r="W632" i="10"/>
  <c r="X632" i="10" s="1"/>
  <c r="W593" i="10"/>
  <c r="X593" i="10" s="1"/>
  <c r="W568" i="10"/>
  <c r="X568" i="10" s="1"/>
  <c r="W355" i="10"/>
  <c r="X355" i="10" s="1"/>
  <c r="W317" i="10"/>
  <c r="X317" i="10" s="1"/>
  <c r="W280" i="10"/>
  <c r="X280" i="10" s="1"/>
  <c r="W241" i="10"/>
  <c r="X241" i="10" s="1"/>
  <c r="W68" i="10"/>
  <c r="X68" i="10" s="1"/>
  <c r="W29" i="10"/>
  <c r="X29" i="10" s="1"/>
  <c r="H362" i="33"/>
  <c r="H314" i="33"/>
  <c r="H278" i="33"/>
  <c r="H254" i="33"/>
  <c r="H98" i="33"/>
  <c r="W2225" i="10"/>
  <c r="X2225" i="10" s="1"/>
  <c r="X2224" i="10" s="1"/>
  <c r="W2148" i="10"/>
  <c r="X2148" i="10" s="1"/>
  <c r="W2005" i="10"/>
  <c r="X2005" i="10" s="1"/>
  <c r="W1993" i="10"/>
  <c r="X1993" i="10" s="1"/>
  <c r="W1475" i="10"/>
  <c r="X1475" i="10" s="1"/>
  <c r="W1462" i="10"/>
  <c r="X1462" i="10" s="1"/>
  <c r="W1435" i="10"/>
  <c r="X1435" i="10" s="1"/>
  <c r="W1385" i="10"/>
  <c r="X1385" i="10" s="1"/>
  <c r="W1345" i="10"/>
  <c r="X1345" i="10" s="1"/>
  <c r="X1344" i="10" s="1"/>
  <c r="X1319" i="10"/>
  <c r="W1306" i="10"/>
  <c r="X1306" i="10" s="1"/>
  <c r="X1303" i="10" s="1"/>
  <c r="W1280" i="10"/>
  <c r="X1280" i="10" s="1"/>
  <c r="W1120" i="10"/>
  <c r="X1120" i="10" s="1"/>
  <c r="X1094" i="10"/>
  <c r="X1082" i="10"/>
  <c r="W902" i="10"/>
  <c r="X902" i="10" s="1"/>
  <c r="W878" i="10"/>
  <c r="X878" i="10" s="1"/>
  <c r="W826" i="10"/>
  <c r="X826" i="10" s="1"/>
  <c r="W814" i="10"/>
  <c r="X814" i="10" s="1"/>
  <c r="W775" i="10"/>
  <c r="X775" i="10" s="1"/>
  <c r="X735" i="10"/>
  <c r="X723" i="10"/>
  <c r="W671" i="10"/>
  <c r="X671" i="10" s="1"/>
  <c r="W631" i="10"/>
  <c r="X631" i="10" s="1"/>
  <c r="W527" i="10"/>
  <c r="X527" i="10" s="1"/>
  <c r="W514" i="10"/>
  <c r="X514" i="10" s="1"/>
  <c r="W403" i="10"/>
  <c r="X403" i="10" s="1"/>
  <c r="W366" i="10"/>
  <c r="X366" i="10" s="1"/>
  <c r="W341" i="10"/>
  <c r="X341" i="10" s="1"/>
  <c r="W316" i="10"/>
  <c r="X316" i="10" s="1"/>
  <c r="W279" i="10"/>
  <c r="X279" i="10" s="1"/>
  <c r="W80" i="10"/>
  <c r="X80" i="10" s="1"/>
  <c r="W40" i="10"/>
  <c r="X40" i="10" s="1"/>
  <c r="H385" i="33"/>
  <c r="H361" i="33"/>
  <c r="H253" i="33"/>
  <c r="H217" i="33"/>
  <c r="H193" i="33"/>
  <c r="H145" i="33"/>
  <c r="H49" i="33"/>
  <c r="W9" i="10"/>
  <c r="X9" i="10" s="1"/>
  <c r="W2370" i="10"/>
  <c r="X2370" i="10" s="1"/>
  <c r="X2369" i="10" s="1"/>
  <c r="W2160" i="10"/>
  <c r="X2160" i="10" s="1"/>
  <c r="W2084" i="10"/>
  <c r="X2084" i="10" s="1"/>
  <c r="W2045" i="10"/>
  <c r="X2045" i="10" s="1"/>
  <c r="W2004" i="10"/>
  <c r="X2004" i="10" s="1"/>
  <c r="W1992" i="10"/>
  <c r="X1992" i="10" s="1"/>
  <c r="W1900" i="10"/>
  <c r="X1900" i="10" s="1"/>
  <c r="X1899" i="10" s="1"/>
  <c r="W1727" i="10"/>
  <c r="X1727" i="10" s="1"/>
  <c r="X1726" i="10" s="1"/>
  <c r="W1610" i="10"/>
  <c r="X1610" i="10" s="1"/>
  <c r="X1608" i="10" s="1"/>
  <c r="W1487" i="10"/>
  <c r="X1487" i="10" s="1"/>
  <c r="W1461" i="10"/>
  <c r="X1461" i="10" s="1"/>
  <c r="W1434" i="10"/>
  <c r="X1434" i="10" s="1"/>
  <c r="W1408" i="10"/>
  <c r="X1408" i="10" s="1"/>
  <c r="W1279" i="10"/>
  <c r="X1279" i="10" s="1"/>
  <c r="X1106" i="10"/>
  <c r="X1093" i="10"/>
  <c r="W1042" i="10"/>
  <c r="X1042" i="10" s="1"/>
  <c r="X1041" i="10" s="1"/>
  <c r="W1029" i="10"/>
  <c r="X1029" i="10" s="1"/>
  <c r="W901" i="10"/>
  <c r="X901" i="10" s="1"/>
  <c r="W877" i="10"/>
  <c r="X877" i="10" s="1"/>
  <c r="W774" i="10"/>
  <c r="X774" i="10" s="1"/>
  <c r="X722" i="10"/>
  <c r="X710" i="10"/>
  <c r="W683" i="10"/>
  <c r="X683" i="10" s="1"/>
  <c r="W630" i="10"/>
  <c r="X630" i="10" s="1"/>
  <c r="W603" i="10"/>
  <c r="X603" i="10" s="1"/>
  <c r="W578" i="10"/>
  <c r="X578" i="10" s="1"/>
  <c r="W461" i="10"/>
  <c r="X461" i="10" s="1"/>
  <c r="W365" i="10"/>
  <c r="X365" i="10" s="1"/>
  <c r="W340" i="10"/>
  <c r="X340" i="10" s="1"/>
  <c r="W79" i="10"/>
  <c r="X79" i="10" s="1"/>
  <c r="W27" i="10"/>
  <c r="X27" i="10" s="1"/>
  <c r="H144" i="33"/>
  <c r="H84" i="33"/>
  <c r="W2095" i="10"/>
  <c r="X2095" i="10" s="1"/>
  <c r="W2030" i="10"/>
  <c r="X2030" i="10" s="1"/>
  <c r="W1486" i="10"/>
  <c r="X1486" i="10" s="1"/>
  <c r="W1473" i="10"/>
  <c r="X1473" i="10" s="1"/>
  <c r="W1460" i="10"/>
  <c r="X1460" i="10" s="1"/>
  <c r="W1433" i="10"/>
  <c r="X1433" i="10" s="1"/>
  <c r="W1407" i="10"/>
  <c r="X1407" i="10" s="1"/>
  <c r="X1317" i="10"/>
  <c r="W1290" i="10"/>
  <c r="X1290" i="10" s="1"/>
  <c r="W1118" i="10"/>
  <c r="X1118" i="10" s="1"/>
  <c r="X1105" i="10"/>
  <c r="X1080" i="10"/>
  <c r="W900" i="10"/>
  <c r="X900" i="10" s="1"/>
  <c r="W876" i="10"/>
  <c r="X876" i="10" s="1"/>
  <c r="W824" i="10"/>
  <c r="X824" i="10" s="1"/>
  <c r="X709" i="10"/>
  <c r="W682" i="10"/>
  <c r="X682" i="10" s="1"/>
  <c r="W642" i="10"/>
  <c r="X642" i="10" s="1"/>
  <c r="W590" i="10"/>
  <c r="X590" i="10" s="1"/>
  <c r="W525" i="10"/>
  <c r="X525" i="10" s="1"/>
  <c r="W512" i="10"/>
  <c r="X512" i="10" s="1"/>
  <c r="W473" i="10"/>
  <c r="X473" i="10" s="1"/>
  <c r="W389" i="10"/>
  <c r="X389" i="10" s="1"/>
  <c r="W364" i="10"/>
  <c r="X364" i="10" s="1"/>
  <c r="W352" i="10"/>
  <c r="X352" i="10" s="1"/>
  <c r="W314" i="10"/>
  <c r="X314" i="10" s="1"/>
  <c r="W211" i="10"/>
  <c r="X211" i="10" s="1"/>
  <c r="X208" i="10" s="1"/>
  <c r="W78" i="10"/>
  <c r="X78" i="10" s="1"/>
  <c r="W26" i="10"/>
  <c r="X26" i="10" s="1"/>
  <c r="H263" i="33"/>
  <c r="H239" i="33"/>
  <c r="H203" i="33"/>
  <c r="H191" i="33"/>
  <c r="H107" i="33"/>
  <c r="H59" i="33"/>
  <c r="W2131" i="10"/>
  <c r="X2131" i="10" s="1"/>
  <c r="X2130" i="10" s="1"/>
  <c r="W2029" i="10"/>
  <c r="X2029" i="10" s="1"/>
  <c r="W1962" i="10"/>
  <c r="X1962" i="10" s="1"/>
  <c r="W1472" i="10"/>
  <c r="X1472" i="10" s="1"/>
  <c r="W1445" i="10"/>
  <c r="X1445" i="10" s="1"/>
  <c r="W1432" i="10"/>
  <c r="X1432" i="10" s="1"/>
  <c r="W1419" i="10"/>
  <c r="X1419" i="10" s="1"/>
  <c r="W1394" i="10"/>
  <c r="X1394" i="10" s="1"/>
  <c r="X1104" i="10"/>
  <c r="X1079" i="10"/>
  <c r="W1027" i="10"/>
  <c r="X1027" i="10" s="1"/>
  <c r="W899" i="10"/>
  <c r="X899" i="10" s="1"/>
  <c r="W798" i="10"/>
  <c r="X798" i="10" s="1"/>
  <c r="W772" i="10"/>
  <c r="X772" i="10" s="1"/>
  <c r="X708" i="10"/>
  <c r="W681" i="10"/>
  <c r="X681" i="10" s="1"/>
  <c r="W641" i="10"/>
  <c r="X641" i="10" s="1"/>
  <c r="W589" i="10"/>
  <c r="X589" i="10" s="1"/>
  <c r="W524" i="10"/>
  <c r="X524" i="10" s="1"/>
  <c r="W472" i="10"/>
  <c r="X472" i="10" s="1"/>
  <c r="W459" i="10"/>
  <c r="X459" i="10" s="1"/>
  <c r="W446" i="10"/>
  <c r="X446" i="10" s="1"/>
  <c r="W400" i="10"/>
  <c r="X400" i="10" s="1"/>
  <c r="W363" i="10"/>
  <c r="X363" i="10" s="1"/>
  <c r="W338" i="10"/>
  <c r="X338" i="10" s="1"/>
  <c r="W313" i="10"/>
  <c r="X313" i="10" s="1"/>
  <c r="W288" i="10"/>
  <c r="X288" i="10" s="1"/>
  <c r="W142" i="10"/>
  <c r="X142" i="10" s="1"/>
  <c r="X141" i="10" s="1"/>
  <c r="W25" i="10"/>
  <c r="X25" i="10" s="1"/>
  <c r="W11" i="10"/>
  <c r="X11" i="10" s="1"/>
  <c r="W1471" i="10"/>
  <c r="X1471" i="10" s="1"/>
  <c r="W797" i="10"/>
  <c r="X797" i="10" s="1"/>
  <c r="X731" i="10"/>
  <c r="W471" i="10"/>
  <c r="X471" i="10" s="1"/>
  <c r="W362" i="10"/>
  <c r="X362" i="10" s="1"/>
  <c r="I1543" i="10" l="1"/>
  <c r="I1706" i="10"/>
  <c r="I1537" i="10"/>
  <c r="I1501" i="10"/>
  <c r="I2339" i="10"/>
  <c r="N2176" i="10"/>
  <c r="I2177" i="10"/>
  <c r="I2176" i="10" s="1"/>
  <c r="N836" i="10"/>
  <c r="I837" i="10"/>
  <c r="I836" i="10" s="1"/>
  <c r="N1362" i="10"/>
  <c r="I1363" i="10"/>
  <c r="I1362" i="10" s="1"/>
  <c r="N1855" i="10"/>
  <c r="I1856" i="10"/>
  <c r="I1855" i="10" s="1"/>
  <c r="N1967" i="10"/>
  <c r="AI1967" i="10" s="1"/>
  <c r="I1968" i="10"/>
  <c r="I1967" i="10" s="1"/>
  <c r="N1520" i="10"/>
  <c r="I1521" i="10"/>
  <c r="I1520" i="10" s="1"/>
  <c r="I1514" i="10" s="1"/>
  <c r="N1256" i="10"/>
  <c r="AI1256" i="10" s="1"/>
  <c r="I1257" i="10"/>
  <c r="I1256" i="10" s="1"/>
  <c r="N428" i="10"/>
  <c r="I430" i="10"/>
  <c r="I428" i="10" s="1"/>
  <c r="N649" i="10"/>
  <c r="I651" i="10"/>
  <c r="I649" i="10" s="1"/>
  <c r="N190" i="10"/>
  <c r="I191" i="10"/>
  <c r="I190" i="10" s="1"/>
  <c r="N1622" i="10"/>
  <c r="I1623" i="10"/>
  <c r="I1622" i="10" s="1"/>
  <c r="N680" i="10"/>
  <c r="I681" i="10"/>
  <c r="I680" i="10" s="1"/>
  <c r="N1371" i="10"/>
  <c r="I1372" i="10"/>
  <c r="I1371" i="10" s="1"/>
  <c r="N141" i="10"/>
  <c r="I142" i="10"/>
  <c r="I141" i="10" s="1"/>
  <c r="N435" i="10"/>
  <c r="AI435" i="10" s="1"/>
  <c r="I437" i="10"/>
  <c r="I435" i="10" s="1"/>
  <c r="N1196" i="10"/>
  <c r="I1197" i="10"/>
  <c r="I1196" i="10" s="1"/>
  <c r="H84" i="41"/>
  <c r="G84" i="41"/>
  <c r="X1335" i="10"/>
  <c r="X2159" i="10"/>
  <c r="X1942" i="10"/>
  <c r="X680" i="10"/>
  <c r="X661" i="10"/>
  <c r="X1734" i="10"/>
  <c r="X2290" i="10"/>
  <c r="X67" i="10"/>
  <c r="X1483" i="10"/>
  <c r="X133" i="10"/>
  <c r="X1990" i="10"/>
  <c r="X2044" i="10"/>
  <c r="X1469" i="10"/>
  <c r="X77" i="10"/>
  <c r="X619" i="10"/>
  <c r="X236" i="10"/>
  <c r="X1597" i="10"/>
  <c r="AI1973" i="10"/>
  <c r="X385" i="10"/>
  <c r="AI1880" i="10"/>
  <c r="AI428" i="10"/>
  <c r="X1805" i="10"/>
  <c r="X1026" i="10"/>
  <c r="X567" i="10"/>
  <c r="X2020" i="10"/>
  <c r="X1641" i="10"/>
  <c r="X1077" i="10"/>
  <c r="X704" i="10"/>
  <c r="X2145" i="10"/>
  <c r="X308" i="10"/>
  <c r="X1112" i="10"/>
  <c r="X767" i="10"/>
  <c r="X1274" i="10"/>
  <c r="X278" i="10"/>
  <c r="X2028" i="10"/>
  <c r="X349" i="10"/>
  <c r="X1693" i="10"/>
  <c r="X1459" i="10"/>
  <c r="X2214" i="10"/>
  <c r="X521" i="10"/>
  <c r="X813" i="10"/>
  <c r="X870" i="10"/>
  <c r="X640" i="10"/>
  <c r="X629" i="10"/>
  <c r="X2200" i="10"/>
  <c r="X1296" i="10"/>
  <c r="X419" i="10"/>
  <c r="X442" i="10"/>
  <c r="X1959" i="10"/>
  <c r="X22" i="10"/>
  <c r="X8" i="10"/>
  <c r="X2036" i="10"/>
  <c r="X1009" i="10"/>
  <c r="X455" i="10"/>
  <c r="X1415" i="10"/>
  <c r="X1101" i="10"/>
  <c r="X506" i="10"/>
  <c r="X1428" i="10"/>
  <c r="M649" i="10"/>
  <c r="X794" i="10"/>
  <c r="X1915" i="10"/>
  <c r="X2075" i="10"/>
  <c r="N1991" i="10"/>
  <c r="H1990" i="10"/>
  <c r="X1797" i="10"/>
  <c r="X649" i="10"/>
  <c r="X585" i="10"/>
  <c r="X1379" i="10"/>
  <c r="X860" i="10"/>
  <c r="X465" i="10"/>
  <c r="X2176" i="10"/>
  <c r="X332" i="10"/>
  <c r="X787" i="10"/>
  <c r="M1991" i="10"/>
  <c r="M1990" i="10" s="1"/>
  <c r="H416" i="33"/>
  <c r="H798" i="10"/>
  <c r="U672" i="10"/>
  <c r="U670" i="10" s="1"/>
  <c r="N1990" i="10" l="1"/>
  <c r="I1991" i="10"/>
  <c r="I1990" i="10" s="1"/>
  <c r="H794" i="10"/>
  <c r="N798" i="10"/>
  <c r="M798" i="10"/>
  <c r="M794" i="10" s="1"/>
  <c r="X672" i="10"/>
  <c r="X670" i="10" s="1"/>
  <c r="N794" i="10" l="1"/>
  <c r="I798" i="10"/>
  <c r="I794" i="10" s="1"/>
  <c r="H130" i="41"/>
  <c r="G130" i="41"/>
  <c r="AH10" i="10"/>
  <c r="AH11" i="10"/>
  <c r="AH12" i="10"/>
  <c r="AH20" i="10"/>
  <c r="AH21" i="10"/>
  <c r="AH24" i="10"/>
  <c r="AH25" i="10"/>
  <c r="AH26" i="10"/>
  <c r="AH27" i="10"/>
  <c r="AH28" i="10"/>
  <c r="AH29" i="10"/>
  <c r="AH30" i="10"/>
  <c r="AH31" i="10"/>
  <c r="AH32" i="10"/>
  <c r="AH33" i="10"/>
  <c r="AH34" i="10"/>
  <c r="AH35" i="10"/>
  <c r="AH36" i="10"/>
  <c r="AH37" i="10"/>
  <c r="AH38" i="10"/>
  <c r="AH39" i="10"/>
  <c r="AH40" i="10"/>
  <c r="AH41" i="10"/>
  <c r="AH42" i="10"/>
  <c r="AH43" i="10"/>
  <c r="AH44" i="10"/>
  <c r="AH45" i="10"/>
  <c r="AH46" i="10"/>
  <c r="AH54" i="10"/>
  <c r="AH55" i="10"/>
  <c r="AH68" i="10"/>
  <c r="AH69" i="10"/>
  <c r="AH70" i="10"/>
  <c r="AH71" i="10"/>
  <c r="AH72" i="10"/>
  <c r="AH73" i="10"/>
  <c r="AH74" i="10"/>
  <c r="AH75" i="10"/>
  <c r="AH76" i="10"/>
  <c r="AH78" i="10"/>
  <c r="AH79" i="10"/>
  <c r="AH80" i="10"/>
  <c r="AH81" i="10"/>
  <c r="AH82" i="10"/>
  <c r="AH83" i="10"/>
  <c r="AH84" i="10"/>
  <c r="AH86" i="10"/>
  <c r="AH85" i="10" s="1"/>
  <c r="AI85" i="10" s="1"/>
  <c r="AH109" i="10"/>
  <c r="AH110" i="10"/>
  <c r="AH111" i="10"/>
  <c r="AH112" i="10"/>
  <c r="AH113" i="10"/>
  <c r="AH114" i="10"/>
  <c r="AH115" i="10"/>
  <c r="AH116" i="10"/>
  <c r="AH117" i="10"/>
  <c r="AH118" i="10"/>
  <c r="AH120" i="10"/>
  <c r="AH121" i="10"/>
  <c r="AH122" i="10"/>
  <c r="AH123" i="10"/>
  <c r="AH124" i="10"/>
  <c r="AH125" i="10"/>
  <c r="AH127" i="10"/>
  <c r="AH128" i="10"/>
  <c r="AH129" i="10"/>
  <c r="AH130" i="10"/>
  <c r="AH131" i="10"/>
  <c r="AH132" i="10"/>
  <c r="AH134" i="10"/>
  <c r="AH135" i="10"/>
  <c r="AH136" i="10"/>
  <c r="AH137" i="10"/>
  <c r="AH138" i="10"/>
  <c r="AH139" i="10"/>
  <c r="AH140" i="10"/>
  <c r="AH143" i="10"/>
  <c r="AH144" i="10"/>
  <c r="AH145" i="10"/>
  <c r="AH146" i="10"/>
  <c r="AH147" i="10"/>
  <c r="AH148" i="10"/>
  <c r="AH150" i="10"/>
  <c r="AH151" i="10"/>
  <c r="AH152" i="10"/>
  <c r="AH153" i="10"/>
  <c r="AH154" i="10"/>
  <c r="AH155" i="10"/>
  <c r="AH156" i="10"/>
  <c r="AH159" i="10"/>
  <c r="AH160" i="10"/>
  <c r="AH161" i="10"/>
  <c r="AH162" i="10"/>
  <c r="AH163" i="10"/>
  <c r="AH164" i="10"/>
  <c r="AH167" i="10"/>
  <c r="AH168" i="10"/>
  <c r="AH169" i="10"/>
  <c r="AH170" i="10"/>
  <c r="AH171" i="10"/>
  <c r="AH174" i="10"/>
  <c r="AH175" i="10"/>
  <c r="AH176" i="10"/>
  <c r="AH177" i="10"/>
  <c r="AH178" i="10"/>
  <c r="AH179" i="10"/>
  <c r="AH180" i="10"/>
  <c r="AH182" i="10"/>
  <c r="AH183" i="10"/>
  <c r="AH184" i="10"/>
  <c r="AH185" i="10"/>
  <c r="AH186" i="10"/>
  <c r="AH187" i="10"/>
  <c r="AH188" i="10"/>
  <c r="AH189" i="10"/>
  <c r="AH192" i="10"/>
  <c r="AH193" i="10"/>
  <c r="AH194" i="10"/>
  <c r="AH195" i="10"/>
  <c r="AH196" i="10"/>
  <c r="AH197" i="10"/>
  <c r="AH198" i="10"/>
  <c r="AH199" i="10"/>
  <c r="AH202" i="10"/>
  <c r="AH203" i="10"/>
  <c r="AH204" i="10"/>
  <c r="AH205" i="10"/>
  <c r="AH206" i="10"/>
  <c r="AH207" i="10"/>
  <c r="AH210" i="10"/>
  <c r="AH211" i="10"/>
  <c r="AH212" i="10"/>
  <c r="AH213" i="10"/>
  <c r="AH214" i="10"/>
  <c r="AH215" i="10"/>
  <c r="AH216" i="10"/>
  <c r="AH217" i="10"/>
  <c r="AH218" i="10"/>
  <c r="AH219" i="10"/>
  <c r="AH221" i="10"/>
  <c r="AH222" i="10"/>
  <c r="AH223" i="10"/>
  <c r="AH224" i="10"/>
  <c r="AH225" i="10"/>
  <c r="AH226" i="10"/>
  <c r="AH227" i="10"/>
  <c r="AH229" i="10"/>
  <c r="AH230" i="10"/>
  <c r="AH231" i="10"/>
  <c r="AH232" i="10"/>
  <c r="AH233" i="10"/>
  <c r="AH234" i="10"/>
  <c r="AH235" i="10"/>
  <c r="AH238" i="10"/>
  <c r="AH239" i="10"/>
  <c r="AH240" i="10"/>
  <c r="AH241" i="10"/>
  <c r="AH242" i="10"/>
  <c r="AH243" i="10"/>
  <c r="AH244" i="10"/>
  <c r="AH245" i="10"/>
  <c r="AH246" i="10"/>
  <c r="AH247" i="10"/>
  <c r="AH248" i="10"/>
  <c r="AH249" i="10"/>
  <c r="AH250" i="10"/>
  <c r="AH251" i="10"/>
  <c r="AH252" i="10"/>
  <c r="AH253" i="10"/>
  <c r="AH254" i="10"/>
  <c r="AH255" i="10"/>
  <c r="AH256" i="10"/>
  <c r="AH257" i="10"/>
  <c r="AH258" i="10"/>
  <c r="AH259" i="10"/>
  <c r="AH260" i="10"/>
  <c r="AH261" i="10"/>
  <c r="AH264" i="10"/>
  <c r="AH265" i="10"/>
  <c r="AH266" i="10"/>
  <c r="AH267" i="10"/>
  <c r="AH268" i="10"/>
  <c r="AH269" i="10"/>
  <c r="AH270" i="10"/>
  <c r="AH273" i="10"/>
  <c r="AH274" i="10"/>
  <c r="AH275" i="10"/>
  <c r="AH276" i="10"/>
  <c r="AH277" i="10"/>
  <c r="AH279" i="10"/>
  <c r="AH281" i="10"/>
  <c r="AH282" i="10"/>
  <c r="AH283" i="10"/>
  <c r="AH284" i="10"/>
  <c r="AH285" i="10"/>
  <c r="AH286" i="10"/>
  <c r="AH287" i="10"/>
  <c r="AH288" i="10"/>
  <c r="AH289" i="10"/>
  <c r="AH290" i="10"/>
  <c r="AH291" i="10"/>
  <c r="AH292" i="10"/>
  <c r="AH293" i="10"/>
  <c r="AH294" i="10"/>
  <c r="AH295" i="10"/>
  <c r="AH296" i="10"/>
  <c r="AH297" i="10"/>
  <c r="AH298" i="10"/>
  <c r="AH299" i="10"/>
  <c r="AH300" i="10"/>
  <c r="AH301" i="10"/>
  <c r="AH302" i="10"/>
  <c r="AH303" i="10"/>
  <c r="AH304" i="10"/>
  <c r="AH305" i="10"/>
  <c r="AH306" i="10"/>
  <c r="AH307" i="10"/>
  <c r="AH309" i="10"/>
  <c r="AH311" i="10"/>
  <c r="AH312" i="10"/>
  <c r="AH313" i="10"/>
  <c r="AH314" i="10"/>
  <c r="AH315" i="10"/>
  <c r="AH316" i="10"/>
  <c r="AH317" i="10"/>
  <c r="AH318" i="10"/>
  <c r="AH319" i="10"/>
  <c r="AH320" i="10"/>
  <c r="AH321" i="10"/>
  <c r="AH322" i="10"/>
  <c r="AH323" i="10"/>
  <c r="AH324" i="10"/>
  <c r="AH325" i="10"/>
  <c r="AH326" i="10"/>
  <c r="AH327" i="10"/>
  <c r="AH328" i="10"/>
  <c r="AH329" i="10"/>
  <c r="AH330" i="10"/>
  <c r="AH331" i="10"/>
  <c r="AH334" i="10"/>
  <c r="AH335" i="10"/>
  <c r="AH336" i="10"/>
  <c r="AH337" i="10"/>
  <c r="AH338" i="10"/>
  <c r="AH339" i="10"/>
  <c r="AH340" i="10"/>
  <c r="AH341" i="10"/>
  <c r="AH342" i="10"/>
  <c r="AH343" i="10"/>
  <c r="AH344" i="10"/>
  <c r="AH345" i="10"/>
  <c r="AH346" i="10"/>
  <c r="AH347" i="10"/>
  <c r="AH348" i="10"/>
  <c r="AH351" i="10"/>
  <c r="AH352" i="10"/>
  <c r="AH353" i="10"/>
  <c r="AH354" i="10"/>
  <c r="AH355" i="10"/>
  <c r="AH356" i="10"/>
  <c r="AH357" i="10"/>
  <c r="AH358" i="10"/>
  <c r="AH359" i="10"/>
  <c r="AH360" i="10"/>
  <c r="AH361" i="10"/>
  <c r="AH362" i="10"/>
  <c r="AH363" i="10"/>
  <c r="AH364" i="10"/>
  <c r="AH365" i="10"/>
  <c r="AH366" i="10"/>
  <c r="AH367" i="10"/>
  <c r="AH368" i="10"/>
  <c r="AH369" i="10"/>
  <c r="AH370" i="10"/>
  <c r="AH371" i="10"/>
  <c r="AH372" i="10"/>
  <c r="AH373" i="10"/>
  <c r="AH374" i="10"/>
  <c r="AH375" i="10"/>
  <c r="AH376" i="10"/>
  <c r="AH377" i="10"/>
  <c r="AH378" i="10"/>
  <c r="AH379" i="10"/>
  <c r="AH380" i="10"/>
  <c r="AH381" i="10"/>
  <c r="AH382" i="10"/>
  <c r="AH383" i="10"/>
  <c r="AH384" i="10"/>
  <c r="AH387" i="10"/>
  <c r="AH388" i="10"/>
  <c r="AH389" i="10"/>
  <c r="AH390" i="10"/>
  <c r="AH391" i="10"/>
  <c r="AH392" i="10"/>
  <c r="AH393" i="10"/>
  <c r="AH394" i="10"/>
  <c r="AH395" i="10"/>
  <c r="AH396" i="10"/>
  <c r="AH397" i="10"/>
  <c r="AH398" i="10"/>
  <c r="AH399" i="10"/>
  <c r="AH400" i="10"/>
  <c r="AH401" i="10"/>
  <c r="AH402" i="10"/>
  <c r="AH403" i="10"/>
  <c r="AH404" i="10"/>
  <c r="AH405" i="10"/>
  <c r="AH406" i="10"/>
  <c r="AH407" i="10"/>
  <c r="AH420" i="10"/>
  <c r="AH421" i="10"/>
  <c r="AH422" i="10"/>
  <c r="AH423" i="10"/>
  <c r="AH424" i="10"/>
  <c r="AH425" i="10"/>
  <c r="AH426" i="10"/>
  <c r="AH427" i="10"/>
  <c r="AH443" i="10"/>
  <c r="AH444" i="10"/>
  <c r="AH445" i="10"/>
  <c r="AH446" i="10"/>
  <c r="AH447" i="10"/>
  <c r="AH448" i="10"/>
  <c r="AH449" i="10"/>
  <c r="AH450" i="10"/>
  <c r="AH451" i="10"/>
  <c r="AH452" i="10"/>
  <c r="AH453" i="10"/>
  <c r="AH454" i="10"/>
  <c r="AH456" i="10"/>
  <c r="AH457" i="10"/>
  <c r="AH458" i="10"/>
  <c r="AH459" i="10"/>
  <c r="AH460" i="10"/>
  <c r="AH461" i="10"/>
  <c r="AH462" i="10"/>
  <c r="AH463" i="10"/>
  <c r="AH464" i="10"/>
  <c r="AH467" i="10"/>
  <c r="AH468" i="10"/>
  <c r="AH469" i="10"/>
  <c r="AH470" i="10"/>
  <c r="AH471" i="10"/>
  <c r="AH472" i="10"/>
  <c r="AH473" i="10"/>
  <c r="AH474" i="10"/>
  <c r="AH475" i="10"/>
  <c r="AH476" i="10"/>
  <c r="AH477" i="10"/>
  <c r="AH478" i="10"/>
  <c r="AH479" i="10"/>
  <c r="AH480" i="10"/>
  <c r="AH481" i="10"/>
  <c r="AH482" i="10"/>
  <c r="AH483" i="10"/>
  <c r="AH484" i="10"/>
  <c r="AH485" i="10"/>
  <c r="AH486" i="10"/>
  <c r="AH487" i="10"/>
  <c r="AH507" i="10"/>
  <c r="AH508" i="10"/>
  <c r="AH509" i="10"/>
  <c r="AH510" i="10"/>
  <c r="AH511" i="10"/>
  <c r="AH512" i="10"/>
  <c r="AH513" i="10"/>
  <c r="AH514" i="10"/>
  <c r="AH515" i="10"/>
  <c r="AH516" i="10"/>
  <c r="AH517" i="10"/>
  <c r="AH518" i="10"/>
  <c r="AH519" i="10"/>
  <c r="AH520" i="10"/>
  <c r="AH522" i="10"/>
  <c r="AH523" i="10"/>
  <c r="AH524" i="10"/>
  <c r="AH525" i="10"/>
  <c r="AH526" i="10"/>
  <c r="AH527" i="10"/>
  <c r="AH528" i="10"/>
  <c r="AH529" i="10"/>
  <c r="AH530" i="10"/>
  <c r="AH531" i="10"/>
  <c r="AH532" i="10"/>
  <c r="AH533" i="10"/>
  <c r="AH534" i="10"/>
  <c r="AH535" i="10"/>
  <c r="AH536" i="10"/>
  <c r="AH537" i="10"/>
  <c r="AH538" i="10"/>
  <c r="AH541" i="10"/>
  <c r="AH542" i="10"/>
  <c r="AH543" i="10"/>
  <c r="AH544" i="10"/>
  <c r="AH545" i="10"/>
  <c r="AH546" i="10"/>
  <c r="AH547" i="10"/>
  <c r="AH548" i="10"/>
  <c r="AH551" i="10"/>
  <c r="AH552" i="10"/>
  <c r="AH553" i="10"/>
  <c r="AH554" i="10"/>
  <c r="AH555" i="10"/>
  <c r="AH556" i="10"/>
  <c r="AH557" i="10"/>
  <c r="AH558" i="10"/>
  <c r="AH561" i="10"/>
  <c r="AH562" i="10"/>
  <c r="AH563" i="10"/>
  <c r="AH564" i="10"/>
  <c r="AH565" i="10"/>
  <c r="AH566" i="10"/>
  <c r="AH569" i="10"/>
  <c r="AH570" i="10"/>
  <c r="AH571" i="10"/>
  <c r="AH572" i="10"/>
  <c r="AH573" i="10"/>
  <c r="AH574" i="10"/>
  <c r="AH575" i="10"/>
  <c r="AH576" i="10"/>
  <c r="AH577" i="10"/>
  <c r="AH578" i="10"/>
  <c r="AH579" i="10"/>
  <c r="AH580" i="10"/>
  <c r="AH581" i="10"/>
  <c r="AH582" i="10"/>
  <c r="AH583" i="10"/>
  <c r="AH584" i="10"/>
  <c r="AH587" i="10"/>
  <c r="AH588" i="10"/>
  <c r="AH589" i="10"/>
  <c r="AH590" i="10"/>
  <c r="AH591" i="10"/>
  <c r="AH592" i="10"/>
  <c r="AH593" i="10"/>
  <c r="AH594" i="10"/>
  <c r="AH595" i="10"/>
  <c r="AH596" i="10"/>
  <c r="AH597" i="10"/>
  <c r="AH598" i="10"/>
  <c r="AH599" i="10"/>
  <c r="AH600" i="10"/>
  <c r="AH601" i="10"/>
  <c r="AH602" i="10"/>
  <c r="AH603" i="10"/>
  <c r="AH604" i="10"/>
  <c r="AH605" i="10"/>
  <c r="AH606" i="10"/>
  <c r="AH607" i="10"/>
  <c r="AH610" i="10"/>
  <c r="AH611" i="10"/>
  <c r="AH612" i="10"/>
  <c r="AH613" i="10"/>
  <c r="AH614" i="10"/>
  <c r="AH615" i="10"/>
  <c r="AH616" i="10"/>
  <c r="AH617" i="10"/>
  <c r="AH618" i="10"/>
  <c r="AH621" i="10"/>
  <c r="AH622" i="10"/>
  <c r="AH623" i="10"/>
  <c r="AH624" i="10"/>
  <c r="AH625" i="10"/>
  <c r="AH626" i="10"/>
  <c r="AH627" i="10"/>
  <c r="AH628" i="10"/>
  <c r="AH631" i="10"/>
  <c r="AH632" i="10"/>
  <c r="AH633" i="10"/>
  <c r="AH634" i="10"/>
  <c r="AH635" i="10"/>
  <c r="AH636" i="10"/>
  <c r="AH637" i="10"/>
  <c r="AH638" i="10"/>
  <c r="AH639" i="10"/>
  <c r="AH642" i="10"/>
  <c r="AH643" i="10"/>
  <c r="AH644" i="10"/>
  <c r="AH645" i="10"/>
  <c r="AH646" i="10"/>
  <c r="AH647" i="10"/>
  <c r="AH648" i="10"/>
  <c r="AH651" i="10"/>
  <c r="AH652" i="10"/>
  <c r="AH653" i="10"/>
  <c r="AH654" i="10"/>
  <c r="AH655" i="10"/>
  <c r="AH656" i="10"/>
  <c r="AH657" i="10"/>
  <c r="AH658" i="10"/>
  <c r="AH659" i="10"/>
  <c r="AH660" i="10"/>
  <c r="AH663" i="10"/>
  <c r="AH664" i="10"/>
  <c r="AH665" i="10"/>
  <c r="AH666" i="10"/>
  <c r="AH667" i="10"/>
  <c r="AH668" i="10"/>
  <c r="AH669" i="10"/>
  <c r="AH672" i="10"/>
  <c r="AH673" i="10"/>
  <c r="AH674" i="10"/>
  <c r="AH675" i="10"/>
  <c r="AH676" i="10"/>
  <c r="AH677" i="10"/>
  <c r="AH678" i="10"/>
  <c r="AH679" i="10"/>
  <c r="AH682" i="10"/>
  <c r="AH683" i="10"/>
  <c r="AH684" i="10"/>
  <c r="AH685" i="10"/>
  <c r="AH686" i="10"/>
  <c r="AH687" i="10"/>
  <c r="AH690" i="10"/>
  <c r="AH691" i="10"/>
  <c r="AH692" i="10"/>
  <c r="AH693" i="10"/>
  <c r="AH694" i="10"/>
  <c r="AH695" i="10"/>
  <c r="AH697" i="10"/>
  <c r="AH698" i="10"/>
  <c r="AH699" i="10"/>
  <c r="AH700" i="10"/>
  <c r="AH701" i="10"/>
  <c r="AH702" i="10"/>
  <c r="AH703" i="10"/>
  <c r="AH705" i="10"/>
  <c r="AH707" i="10"/>
  <c r="AH708" i="10"/>
  <c r="AH709" i="10"/>
  <c r="AH710" i="10"/>
  <c r="AH711" i="10"/>
  <c r="AH712" i="10"/>
  <c r="AH713" i="10"/>
  <c r="AH714" i="10"/>
  <c r="AH715" i="10"/>
  <c r="AH716" i="10"/>
  <c r="AH717" i="10"/>
  <c r="AH718" i="10"/>
  <c r="AH719" i="10"/>
  <c r="AH720" i="10"/>
  <c r="AH721" i="10"/>
  <c r="AH722" i="10"/>
  <c r="AH723" i="10"/>
  <c r="AH724" i="10"/>
  <c r="AH725" i="10"/>
  <c r="AH726" i="10"/>
  <c r="AH727" i="10"/>
  <c r="AH728" i="10"/>
  <c r="AH729" i="10"/>
  <c r="AH730" i="10"/>
  <c r="AH731" i="10"/>
  <c r="AH732" i="10"/>
  <c r="AH733" i="10"/>
  <c r="AH734" i="10"/>
  <c r="AH735" i="10"/>
  <c r="AH736" i="10"/>
  <c r="AH737" i="10"/>
  <c r="AH738" i="10"/>
  <c r="AH739" i="10"/>
  <c r="AH740" i="10"/>
  <c r="AH743" i="10"/>
  <c r="AH744" i="10"/>
  <c r="AH745" i="10"/>
  <c r="AH746" i="10"/>
  <c r="AH747" i="10"/>
  <c r="AH748" i="10"/>
  <c r="AH749" i="10"/>
  <c r="AH750" i="10"/>
  <c r="AH753" i="10"/>
  <c r="AH754" i="10"/>
  <c r="AH755" i="10"/>
  <c r="AH756" i="10"/>
  <c r="AH757" i="10"/>
  <c r="AH758" i="10"/>
  <c r="AH759" i="10"/>
  <c r="AH762" i="10"/>
  <c r="AH763" i="10"/>
  <c r="AH764" i="10"/>
  <c r="AH765" i="10"/>
  <c r="AH766" i="10"/>
  <c r="AH769" i="10"/>
  <c r="AH770" i="10"/>
  <c r="AH771" i="10"/>
  <c r="AH772" i="10"/>
  <c r="AH773" i="10"/>
  <c r="AH774" i="10"/>
  <c r="AH775" i="10"/>
  <c r="AH776" i="10"/>
  <c r="AH777" i="10"/>
  <c r="AH778" i="10"/>
  <c r="AH779" i="10"/>
  <c r="AH780" i="10"/>
  <c r="AH781" i="10"/>
  <c r="AH782" i="10"/>
  <c r="AH783" i="10"/>
  <c r="AH784" i="10"/>
  <c r="AH785" i="10"/>
  <c r="AH786" i="10"/>
  <c r="AH788" i="10"/>
  <c r="AH789" i="10"/>
  <c r="AH790" i="10"/>
  <c r="AH791" i="10"/>
  <c r="AH792" i="10"/>
  <c r="AH793" i="10"/>
  <c r="AH796" i="10"/>
  <c r="AH797" i="10"/>
  <c r="AH798" i="10"/>
  <c r="AH799" i="10"/>
  <c r="AH800" i="10"/>
  <c r="AH801" i="10"/>
  <c r="AH802" i="10"/>
  <c r="AH803" i="10"/>
  <c r="AH804" i="10"/>
  <c r="AH805" i="10"/>
  <c r="AH806" i="10"/>
  <c r="AH807" i="10"/>
  <c r="AH808" i="10"/>
  <c r="AH809" i="10"/>
  <c r="AH810" i="10"/>
  <c r="AH811" i="10"/>
  <c r="AH812" i="10"/>
  <c r="AH815" i="10"/>
  <c r="AH816" i="10"/>
  <c r="AH817" i="10"/>
  <c r="AH818" i="10"/>
  <c r="AH819" i="10"/>
  <c r="AH820" i="10"/>
  <c r="AH821" i="10"/>
  <c r="AH822" i="10"/>
  <c r="AH823" i="10"/>
  <c r="AH824" i="10"/>
  <c r="AH825" i="10"/>
  <c r="AH826" i="10"/>
  <c r="AH827" i="10"/>
  <c r="AH828" i="10"/>
  <c r="AH829" i="10"/>
  <c r="AH830" i="10"/>
  <c r="AH831" i="10"/>
  <c r="AH832" i="10"/>
  <c r="AH833" i="10"/>
  <c r="AH834" i="10"/>
  <c r="AH835" i="10"/>
  <c r="AH838" i="10"/>
  <c r="AH839" i="10"/>
  <c r="AH840" i="10"/>
  <c r="AH841" i="10"/>
  <c r="AH842" i="10"/>
  <c r="AH843" i="10"/>
  <c r="AH844" i="10"/>
  <c r="AH845" i="10"/>
  <c r="AH846" i="10"/>
  <c r="AH847" i="10"/>
  <c r="AH848" i="10"/>
  <c r="AH849" i="10"/>
  <c r="AH850" i="10"/>
  <c r="AH851" i="10"/>
  <c r="AH853" i="10"/>
  <c r="AH854" i="10"/>
  <c r="AH855" i="10"/>
  <c r="AH856" i="10"/>
  <c r="AH857" i="10"/>
  <c r="AH858" i="10"/>
  <c r="AH859" i="10"/>
  <c r="AH861" i="10"/>
  <c r="AH862" i="10"/>
  <c r="AH863" i="10"/>
  <c r="AH864" i="10"/>
  <c r="AH865" i="10"/>
  <c r="AH866" i="10"/>
  <c r="AH867" i="10"/>
  <c r="AH868" i="10"/>
  <c r="AH869" i="10"/>
  <c r="AH872" i="10"/>
  <c r="AH873" i="10"/>
  <c r="AH874" i="10"/>
  <c r="AH875" i="10"/>
  <c r="AH876" i="10"/>
  <c r="AH877" i="10"/>
  <c r="AH878" i="10"/>
  <c r="AH879" i="10"/>
  <c r="AH880" i="10"/>
  <c r="AH881" i="10"/>
  <c r="AH882" i="10"/>
  <c r="AH883" i="10"/>
  <c r="AH884" i="10"/>
  <c r="AH885" i="10"/>
  <c r="AH886" i="10"/>
  <c r="AH887" i="10"/>
  <c r="AH888" i="10"/>
  <c r="AH889" i="10"/>
  <c r="AH890" i="10"/>
  <c r="AH891" i="10"/>
  <c r="AH892" i="10"/>
  <c r="AH893" i="10"/>
  <c r="AH894" i="10"/>
  <c r="AH895" i="10"/>
  <c r="AH896" i="10"/>
  <c r="AH897" i="10"/>
  <c r="AH898" i="10"/>
  <c r="AH899" i="10"/>
  <c r="AH900" i="10"/>
  <c r="AH901" i="10"/>
  <c r="AH902" i="10"/>
  <c r="AH903" i="10"/>
  <c r="AH904" i="10"/>
  <c r="AH905" i="10"/>
  <c r="AH906" i="10"/>
  <c r="AH907" i="10"/>
  <c r="AH908" i="10"/>
  <c r="AH909" i="10"/>
  <c r="AH910" i="10"/>
  <c r="AH911" i="10"/>
  <c r="AH912" i="10"/>
  <c r="AH913" i="10"/>
  <c r="AH914" i="10"/>
  <c r="AH915" i="10"/>
  <c r="AH916" i="10"/>
  <c r="AH917" i="10"/>
  <c r="AH918" i="10"/>
  <c r="AH919" i="10"/>
  <c r="AH920" i="10"/>
  <c r="AH921" i="10"/>
  <c r="AH922" i="10"/>
  <c r="AH923" i="10"/>
  <c r="AH924" i="10"/>
  <c r="AH925" i="10"/>
  <c r="AH926" i="10"/>
  <c r="AH927" i="10"/>
  <c r="AH928" i="10"/>
  <c r="AH929" i="10"/>
  <c r="AH930" i="10"/>
  <c r="AH931" i="10"/>
  <c r="AH932" i="10"/>
  <c r="AH933" i="10"/>
  <c r="AH934" i="10"/>
  <c r="AH935" i="10"/>
  <c r="AH936" i="10"/>
  <c r="AH937" i="10"/>
  <c r="AH940" i="10"/>
  <c r="AH941" i="10"/>
  <c r="AH942" i="10"/>
  <c r="AH943" i="10"/>
  <c r="AH944" i="10"/>
  <c r="AH946" i="10"/>
  <c r="AH947" i="10"/>
  <c r="AH948" i="10"/>
  <c r="AH949" i="10"/>
  <c r="AH950" i="10"/>
  <c r="AH951" i="10"/>
  <c r="AH952" i="10"/>
  <c r="AH954" i="10"/>
  <c r="AH955" i="10"/>
  <c r="AH956" i="10"/>
  <c r="AH957" i="10"/>
  <c r="AH958" i="10"/>
  <c r="AH959" i="10"/>
  <c r="AH960" i="10"/>
  <c r="AH962" i="10"/>
  <c r="AH963" i="10"/>
  <c r="AH964" i="10"/>
  <c r="AH965" i="10"/>
  <c r="AH966" i="10"/>
  <c r="AH967" i="10"/>
  <c r="AH968" i="10"/>
  <c r="AH970" i="10"/>
  <c r="AH971" i="10"/>
  <c r="AH972" i="10"/>
  <c r="AH973" i="10"/>
  <c r="AH974" i="10"/>
  <c r="AH975" i="10"/>
  <c r="AH976" i="10"/>
  <c r="AH978" i="10"/>
  <c r="AH979" i="10"/>
  <c r="AH980" i="10"/>
  <c r="AH981" i="10"/>
  <c r="AH982" i="10"/>
  <c r="AH983" i="10"/>
  <c r="AH984" i="10"/>
  <c r="AH985" i="10"/>
  <c r="AH986" i="10"/>
  <c r="AH987" i="10"/>
  <c r="AH988" i="10"/>
  <c r="AH989" i="10"/>
  <c r="AH990" i="10"/>
  <c r="AH991" i="10"/>
  <c r="AH992" i="10"/>
  <c r="AH993" i="10"/>
  <c r="AH994" i="10"/>
  <c r="AH995" i="10"/>
  <c r="AH996" i="10"/>
  <c r="AH997" i="10"/>
  <c r="AH998" i="10"/>
  <c r="AH999" i="10"/>
  <c r="AH1000" i="10"/>
  <c r="AH1001" i="10"/>
  <c r="AH1002" i="10"/>
  <c r="AH1003" i="10"/>
  <c r="AH1004" i="10"/>
  <c r="AH1005" i="10"/>
  <c r="AH1006" i="10"/>
  <c r="AH1007" i="10"/>
  <c r="AH1008" i="10"/>
  <c r="AH1010" i="10"/>
  <c r="AH1011" i="10"/>
  <c r="AH1012" i="10"/>
  <c r="AH1013" i="10"/>
  <c r="AH1014" i="10"/>
  <c r="AH1015" i="10"/>
  <c r="AH1016" i="10"/>
  <c r="AH1017" i="10"/>
  <c r="AH1018" i="10"/>
  <c r="AH1019" i="10"/>
  <c r="AH1020" i="10"/>
  <c r="AH1021" i="10"/>
  <c r="AH1022" i="10"/>
  <c r="AH1023" i="10"/>
  <c r="AH1024" i="10"/>
  <c r="AH1025" i="10"/>
  <c r="AH1028" i="10"/>
  <c r="AH1029" i="10"/>
  <c r="AH1030" i="10"/>
  <c r="AH1031" i="10"/>
  <c r="AH1032" i="10"/>
  <c r="AH1033" i="10"/>
  <c r="AH1034" i="10"/>
  <c r="AH1035" i="10"/>
  <c r="AH1036" i="10"/>
  <c r="AH1037" i="10"/>
  <c r="AH1038" i="10"/>
  <c r="AH1039" i="10"/>
  <c r="AH1040" i="10"/>
  <c r="AH1042" i="10"/>
  <c r="AH1043" i="10"/>
  <c r="AH1044" i="10"/>
  <c r="AH1045" i="10"/>
  <c r="AH1046" i="10"/>
  <c r="AH1047" i="10"/>
  <c r="AH1048" i="10"/>
  <c r="AH1049" i="10"/>
  <c r="AH1050" i="10"/>
  <c r="AH1051" i="10"/>
  <c r="AH1052" i="10"/>
  <c r="AH1053" i="10"/>
  <c r="AH1054" i="10"/>
  <c r="AH1055" i="10"/>
  <c r="AH1056" i="10"/>
  <c r="AH1057" i="10"/>
  <c r="AH1059" i="10"/>
  <c r="AH1060" i="10"/>
  <c r="AH1061" i="10"/>
  <c r="AH1062" i="10"/>
  <c r="AH1063" i="10"/>
  <c r="AH1064" i="10"/>
  <c r="AH1065" i="10"/>
  <c r="AH1066" i="10"/>
  <c r="AH1067" i="10"/>
  <c r="AH1069" i="10"/>
  <c r="AH1070" i="10"/>
  <c r="AH1071" i="10"/>
  <c r="AH1072" i="10"/>
  <c r="AH1073" i="10"/>
  <c r="AH1074" i="10"/>
  <c r="AH1075" i="10"/>
  <c r="AH1076" i="10"/>
  <c r="AH1079" i="10"/>
  <c r="AH1080" i="10"/>
  <c r="AH1081" i="10"/>
  <c r="AH1082" i="10"/>
  <c r="AH1083" i="10"/>
  <c r="AH1084" i="10"/>
  <c r="AH1085" i="10"/>
  <c r="AH1086" i="10"/>
  <c r="AH1087" i="10"/>
  <c r="AH1088" i="10"/>
  <c r="AH1089" i="10"/>
  <c r="AH1090" i="10"/>
  <c r="AH1091" i="10"/>
  <c r="AH1092" i="10"/>
  <c r="AH1093" i="10"/>
  <c r="AH1094" i="10"/>
  <c r="AH1095" i="10"/>
  <c r="AH1096" i="10"/>
  <c r="AH1097" i="10"/>
  <c r="AH1098" i="10"/>
  <c r="AH1099" i="10"/>
  <c r="AH1100" i="10"/>
  <c r="AH1103" i="10"/>
  <c r="AH1104" i="10"/>
  <c r="AH1105" i="10"/>
  <c r="AH1106" i="10"/>
  <c r="AH1107" i="10"/>
  <c r="AH1108" i="10"/>
  <c r="AH1109" i="10"/>
  <c r="AH1110" i="10"/>
  <c r="AH1111" i="10"/>
  <c r="AH1114" i="10"/>
  <c r="AH1115" i="10"/>
  <c r="AH1116" i="10"/>
  <c r="AH1117" i="10"/>
  <c r="AH1118" i="10"/>
  <c r="AH1119" i="10"/>
  <c r="AH1120" i="10"/>
  <c r="AH1121" i="10"/>
  <c r="AH1122" i="10"/>
  <c r="AH1123" i="10"/>
  <c r="AH1124" i="10"/>
  <c r="AH1125" i="10"/>
  <c r="AH1126" i="10"/>
  <c r="AH1127" i="10"/>
  <c r="AH1128" i="10"/>
  <c r="AH1129" i="10"/>
  <c r="AH1130" i="10"/>
  <c r="AH1131" i="10"/>
  <c r="AH1132" i="10"/>
  <c r="AH1133" i="10"/>
  <c r="AH1134" i="10"/>
  <c r="AH1135" i="10"/>
  <c r="AH1136" i="10"/>
  <c r="AH1139" i="10"/>
  <c r="AH1140" i="10"/>
  <c r="AH1141" i="10"/>
  <c r="AH1142" i="10"/>
  <c r="AH1143" i="10"/>
  <c r="AH1144" i="10"/>
  <c r="AH1145" i="10"/>
  <c r="AH1148" i="10"/>
  <c r="AH1149" i="10"/>
  <c r="AH1150" i="10"/>
  <c r="AH1151" i="10"/>
  <c r="AH1152" i="10"/>
  <c r="AH1153" i="10"/>
  <c r="AH1156" i="10"/>
  <c r="AH1157" i="10"/>
  <c r="AH1158" i="10"/>
  <c r="AH1159" i="10"/>
  <c r="AH1160" i="10"/>
  <c r="AH1163" i="10"/>
  <c r="AH1164" i="10"/>
  <c r="AH1165" i="10"/>
  <c r="AH1166" i="10"/>
  <c r="AH1167" i="10"/>
  <c r="AH1170" i="10"/>
  <c r="AH1171" i="10"/>
  <c r="AH1172" i="10"/>
  <c r="AH1173" i="10"/>
  <c r="AH1174" i="10"/>
  <c r="AH1175" i="10"/>
  <c r="AH1178" i="10"/>
  <c r="AH1179" i="10"/>
  <c r="AH1180" i="10"/>
  <c r="AH1181" i="10"/>
  <c r="AH1182" i="10"/>
  <c r="AH1183" i="10"/>
  <c r="AH1184" i="10"/>
  <c r="AH1185" i="10"/>
  <c r="AH1188" i="10"/>
  <c r="AH1189" i="10"/>
  <c r="AH1190" i="10"/>
  <c r="AH1191" i="10"/>
  <c r="AH1192" i="10"/>
  <c r="AH1193" i="10"/>
  <c r="AH1194" i="10"/>
  <c r="AH1195" i="10"/>
  <c r="AH1198" i="10"/>
  <c r="AH1199" i="10"/>
  <c r="AH1200" i="10"/>
  <c r="AH1201" i="10"/>
  <c r="AH1202" i="10"/>
  <c r="AH1203" i="10"/>
  <c r="AH1204" i="10"/>
  <c r="AH1205" i="10"/>
  <c r="AH1208" i="10"/>
  <c r="AH1209" i="10"/>
  <c r="AH1210" i="10"/>
  <c r="AH1211" i="10"/>
  <c r="AH1212" i="10"/>
  <c r="AH1215" i="10"/>
  <c r="AH1216" i="10"/>
  <c r="AH1217" i="10"/>
  <c r="AH1218" i="10"/>
  <c r="AH1219" i="10"/>
  <c r="AH1222" i="10"/>
  <c r="AH1223" i="10"/>
  <c r="AH1224" i="10"/>
  <c r="AH1225" i="10"/>
  <c r="AH1226" i="10"/>
  <c r="AH1227" i="10"/>
  <c r="AH1230" i="10"/>
  <c r="AH1231" i="10"/>
  <c r="AH1232" i="10"/>
  <c r="AH1233" i="10"/>
  <c r="AH1234" i="10"/>
  <c r="AH1235" i="10"/>
  <c r="AH1236" i="10"/>
  <c r="AH1237" i="10"/>
  <c r="AH1238" i="10"/>
  <c r="AH1241" i="10"/>
  <c r="AH1242" i="10"/>
  <c r="AH1243" i="10"/>
  <c r="AH1244" i="10"/>
  <c r="AH1245" i="10"/>
  <c r="AH1246" i="10"/>
  <c r="AH1247" i="10"/>
  <c r="AH1248" i="10"/>
  <c r="AH1249" i="10"/>
  <c r="AH1250" i="10"/>
  <c r="AH1251" i="10"/>
  <c r="AH1275" i="10"/>
  <c r="AH1276" i="10"/>
  <c r="AH1277" i="10"/>
  <c r="AH1278" i="10"/>
  <c r="AH1279" i="10"/>
  <c r="AH1280" i="10"/>
  <c r="AH1281" i="10"/>
  <c r="AH1282" i="10"/>
  <c r="AH1283" i="10"/>
  <c r="AH1284" i="10"/>
  <c r="AH1285" i="10"/>
  <c r="AH1286" i="10"/>
  <c r="AH1287" i="10"/>
  <c r="AH1288" i="10"/>
  <c r="AH1289" i="10"/>
  <c r="AH1290" i="10"/>
  <c r="AH1291" i="10"/>
  <c r="AH1292" i="10"/>
  <c r="AH1293" i="10"/>
  <c r="AH1294" i="10"/>
  <c r="AH1295" i="10"/>
  <c r="AH1297" i="10"/>
  <c r="AH1298" i="10"/>
  <c r="AH1299" i="10"/>
  <c r="AH1300" i="10"/>
  <c r="AH1301" i="10"/>
  <c r="AH1302" i="10"/>
  <c r="AH1304" i="10"/>
  <c r="AH1305" i="10"/>
  <c r="AH1306" i="10"/>
  <c r="AH1307" i="10"/>
  <c r="AH1308" i="10"/>
  <c r="AH1309" i="10"/>
  <c r="AH1310" i="10"/>
  <c r="AH1311" i="10"/>
  <c r="AH1313" i="10"/>
  <c r="AH1314" i="10"/>
  <c r="AH1315" i="10"/>
  <c r="AH1316" i="10"/>
  <c r="AH1317" i="10"/>
  <c r="AH1318" i="10"/>
  <c r="AH1319" i="10"/>
  <c r="AH1320" i="10"/>
  <c r="AH1321" i="10"/>
  <c r="AH1322" i="10"/>
  <c r="AH1323" i="10"/>
  <c r="AH1324" i="10"/>
  <c r="AH1325" i="10"/>
  <c r="AH1326" i="10"/>
  <c r="AH1327" i="10"/>
  <c r="AH1328" i="10"/>
  <c r="AH1329" i="10"/>
  <c r="AH1330" i="10"/>
  <c r="AH1331" i="10"/>
  <c r="AH1332" i="10"/>
  <c r="AH1333" i="10"/>
  <c r="AH1334" i="10"/>
  <c r="AH1336" i="10"/>
  <c r="AH1337" i="10"/>
  <c r="AH1338" i="10"/>
  <c r="AH1339" i="10"/>
  <c r="AH1340" i="10"/>
  <c r="AH1341" i="10"/>
  <c r="AH1342" i="10"/>
  <c r="AH1343" i="10"/>
  <c r="AH1346" i="10"/>
  <c r="AH1347" i="10"/>
  <c r="AH1348" i="10"/>
  <c r="AH1349" i="10"/>
  <c r="AH1350" i="10"/>
  <c r="AH1351" i="10"/>
  <c r="AH1352" i="10"/>
  <c r="AH1353" i="10"/>
  <c r="AH1356" i="10"/>
  <c r="AH1357" i="10"/>
  <c r="AH1358" i="10"/>
  <c r="AH1359" i="10"/>
  <c r="AH1360" i="10"/>
  <c r="AH1361" i="10"/>
  <c r="AH1364" i="10"/>
  <c r="AH1365" i="10"/>
  <c r="AH1366" i="10"/>
  <c r="AH1367" i="10"/>
  <c r="AH1368" i="10"/>
  <c r="AH1369" i="10"/>
  <c r="AH1370" i="10"/>
  <c r="AH1373" i="10"/>
  <c r="AH1374" i="10"/>
  <c r="AH1375" i="10"/>
  <c r="AH1376" i="10"/>
  <c r="AH1377" i="10"/>
  <c r="AH1378" i="10"/>
  <c r="AH1381" i="10"/>
  <c r="AH1382" i="10"/>
  <c r="AH1383" i="10"/>
  <c r="AH1384" i="10"/>
  <c r="AH1385" i="10"/>
  <c r="AH1386" i="10"/>
  <c r="AH1387" i="10"/>
  <c r="AH1388" i="10"/>
  <c r="AH1389" i="10"/>
  <c r="AH1390" i="10"/>
  <c r="AH1391" i="10"/>
  <c r="AH1392" i="10"/>
  <c r="AH1393" i="10"/>
  <c r="AH1394" i="10"/>
  <c r="AH1395" i="10"/>
  <c r="AH1396" i="10"/>
  <c r="AH1397" i="10"/>
  <c r="AH1398" i="10"/>
  <c r="AH1399" i="10"/>
  <c r="AH1400" i="10"/>
  <c r="AH1401" i="10"/>
  <c r="AH1402" i="10"/>
  <c r="AH1403" i="10"/>
  <c r="AH1404" i="10"/>
  <c r="AH1405" i="10"/>
  <c r="AH1406" i="10"/>
  <c r="AH1407" i="10"/>
  <c r="AH1408" i="10"/>
  <c r="AH1409" i="10"/>
  <c r="AH1410" i="10"/>
  <c r="AH1411" i="10"/>
  <c r="AH1412" i="10"/>
  <c r="AH1413" i="10"/>
  <c r="AH1414" i="10"/>
  <c r="AH1417" i="10"/>
  <c r="AH1418" i="10"/>
  <c r="AH1419" i="10"/>
  <c r="AH1420" i="10"/>
  <c r="AH1421" i="10"/>
  <c r="AH1422" i="10"/>
  <c r="AH1423" i="10"/>
  <c r="AH1424" i="10"/>
  <c r="AH1425" i="10"/>
  <c r="AH1426" i="10"/>
  <c r="AH1427" i="10"/>
  <c r="AH1430" i="10"/>
  <c r="AH1431" i="10"/>
  <c r="AH1432" i="10"/>
  <c r="AH1433" i="10"/>
  <c r="AH1434" i="10"/>
  <c r="AH1435" i="10"/>
  <c r="AH1436" i="10"/>
  <c r="AH1437" i="10"/>
  <c r="AH1438" i="10"/>
  <c r="AH1439" i="10"/>
  <c r="AH1440" i="10"/>
  <c r="AH1441" i="10"/>
  <c r="AH1442" i="10"/>
  <c r="AH1443" i="10"/>
  <c r="AH1444" i="10"/>
  <c r="AH1445" i="10"/>
  <c r="AH1446" i="10"/>
  <c r="AH1447" i="10"/>
  <c r="AH1448" i="10"/>
  <c r="AH1449" i="10"/>
  <c r="AH1450" i="10"/>
  <c r="AH1451" i="10"/>
  <c r="AH1453" i="10"/>
  <c r="AH1454" i="10"/>
  <c r="AH1455" i="10"/>
  <c r="AH1456" i="10"/>
  <c r="AH1457" i="10"/>
  <c r="AH1458" i="10"/>
  <c r="AH1460" i="10"/>
  <c r="AH1461" i="10"/>
  <c r="AH1462" i="10"/>
  <c r="AH1463" i="10"/>
  <c r="AH1464" i="10"/>
  <c r="AH1465" i="10"/>
  <c r="AH1466" i="10"/>
  <c r="AH1467" i="10"/>
  <c r="AH1468" i="10"/>
  <c r="AH1470" i="10"/>
  <c r="AH1471" i="10"/>
  <c r="AH1472" i="10"/>
  <c r="AH1473" i="10"/>
  <c r="AH1474" i="10"/>
  <c r="AH1475" i="10"/>
  <c r="AH1476" i="10"/>
  <c r="AH1477" i="10"/>
  <c r="AH1478" i="10"/>
  <c r="AH1479" i="10"/>
  <c r="AH1480" i="10"/>
  <c r="AH1481" i="10"/>
  <c r="AH1482" i="10"/>
  <c r="AH1484" i="10"/>
  <c r="AH1485" i="10"/>
  <c r="AH1486" i="10"/>
  <c r="AH1487" i="10"/>
  <c r="AH1488" i="10"/>
  <c r="AH1489" i="10"/>
  <c r="AH1490" i="10"/>
  <c r="AH1491" i="10"/>
  <c r="AH1492" i="10"/>
  <c r="AH1493" i="10"/>
  <c r="AH1494" i="10"/>
  <c r="AH1495" i="10"/>
  <c r="AH1496" i="10"/>
  <c r="AH1497" i="10"/>
  <c r="AH1498" i="10"/>
  <c r="AH1499" i="10"/>
  <c r="AH1500" i="10"/>
  <c r="AH1503" i="10"/>
  <c r="AH1504" i="10"/>
  <c r="AH1505" i="10"/>
  <c r="AH1506" i="10"/>
  <c r="AH1509" i="10"/>
  <c r="AH1510" i="10"/>
  <c r="AH1511" i="10"/>
  <c r="AH1512" i="10"/>
  <c r="AH1513" i="10"/>
  <c r="AH1516" i="10"/>
  <c r="AH1517" i="10"/>
  <c r="AH1518" i="10"/>
  <c r="AH1519" i="10"/>
  <c r="AH1522" i="10"/>
  <c r="AH1523" i="10"/>
  <c r="AH1524" i="10"/>
  <c r="AH1525" i="10"/>
  <c r="AH1526" i="10"/>
  <c r="AH1527" i="10"/>
  <c r="AH1529" i="10"/>
  <c r="AH1530" i="10"/>
  <c r="AH1531" i="10"/>
  <c r="AH1532" i="10"/>
  <c r="AH1533" i="10"/>
  <c r="AH1534" i="10"/>
  <c r="AH1535" i="10"/>
  <c r="AH1536" i="10"/>
  <c r="AH1539" i="10"/>
  <c r="AH1540" i="10"/>
  <c r="AH1541" i="10"/>
  <c r="AH1542" i="10"/>
  <c r="AH1545" i="10"/>
  <c r="AH1546" i="10"/>
  <c r="AH1547" i="10"/>
  <c r="AH1548" i="10"/>
  <c r="AH1551" i="10"/>
  <c r="AH1552" i="10"/>
  <c r="AH1553" i="10"/>
  <c r="AH1554" i="10"/>
  <c r="AH1555" i="10"/>
  <c r="AH1558" i="10"/>
  <c r="AH1559" i="10"/>
  <c r="AH1560" i="10"/>
  <c r="AH1561" i="10"/>
  <c r="AH1562" i="10"/>
  <c r="AH1563" i="10"/>
  <c r="AH1564" i="10"/>
  <c r="AH1565" i="10"/>
  <c r="AH1566" i="10"/>
  <c r="AH1567" i="10"/>
  <c r="AH1568" i="10"/>
  <c r="AH1571" i="10"/>
  <c r="AH1572" i="10"/>
  <c r="AH1573" i="10"/>
  <c r="AH1574" i="10"/>
  <c r="AH1575" i="10"/>
  <c r="AH1578" i="10"/>
  <c r="AH1579" i="10"/>
  <c r="AH1580" i="10"/>
  <c r="AH1581" i="10"/>
  <c r="AH1582" i="10"/>
  <c r="AH1585" i="10"/>
  <c r="AH1586" i="10"/>
  <c r="AH1587" i="10"/>
  <c r="AH1588" i="10"/>
  <c r="AH1589" i="10"/>
  <c r="AH1592" i="10"/>
  <c r="AH1593" i="10"/>
  <c r="AH1594" i="10"/>
  <c r="AH1595" i="10"/>
  <c r="AH1596" i="10"/>
  <c r="AH1598" i="10"/>
  <c r="AH1600" i="10"/>
  <c r="AH1601" i="10"/>
  <c r="AH1602" i="10"/>
  <c r="AH1603" i="10"/>
  <c r="AH1604" i="10"/>
  <c r="AH1605" i="10"/>
  <c r="AH1606" i="10"/>
  <c r="AH1607" i="10"/>
  <c r="AH1610" i="10"/>
  <c r="AH1611" i="10"/>
  <c r="AH1612" i="10"/>
  <c r="AH1613" i="10"/>
  <c r="AH1614" i="10"/>
  <c r="AH1615" i="10"/>
  <c r="AH1616" i="10"/>
  <c r="AH1617" i="10"/>
  <c r="AH1618" i="10"/>
  <c r="AH1619" i="10"/>
  <c r="AH1620" i="10"/>
  <c r="AH1621" i="10"/>
  <c r="AH1623" i="10"/>
  <c r="AH1624" i="10"/>
  <c r="AH1625" i="10"/>
  <c r="AH1626" i="10"/>
  <c r="AH1627" i="10"/>
  <c r="AH1628" i="10"/>
  <c r="AH1629" i="10"/>
  <c r="AH1630" i="10"/>
  <c r="AH1633" i="10"/>
  <c r="AH1634" i="10"/>
  <c r="AH1635" i="10"/>
  <c r="AH1636" i="10"/>
  <c r="AH1637" i="10"/>
  <c r="AH1638" i="10"/>
  <c r="AH1639" i="10"/>
  <c r="AH1640" i="10"/>
  <c r="AH1642" i="10"/>
  <c r="AH1643" i="10"/>
  <c r="AH1644" i="10"/>
  <c r="AH1645" i="10"/>
  <c r="AH1646" i="10"/>
  <c r="AH1647" i="10"/>
  <c r="AH1648" i="10"/>
  <c r="AH1651" i="10"/>
  <c r="AH1652" i="10"/>
  <c r="AH1653" i="10"/>
  <c r="AH1654" i="10"/>
  <c r="AH1655" i="10"/>
  <c r="AH1656" i="10"/>
  <c r="AH1657" i="10"/>
  <c r="AH1659" i="10"/>
  <c r="AH1660" i="10"/>
  <c r="AH1661" i="10"/>
  <c r="AH1662" i="10"/>
  <c r="AH1663" i="10"/>
  <c r="AH1664" i="10"/>
  <c r="AH1665" i="10"/>
  <c r="AH1677" i="10"/>
  <c r="AH1678" i="10"/>
  <c r="AH1679" i="10"/>
  <c r="AH1680" i="10"/>
  <c r="AH1681" i="10"/>
  <c r="AH1682" i="10"/>
  <c r="AH1683" i="10"/>
  <c r="AH1695" i="10"/>
  <c r="AH1696" i="10"/>
  <c r="AH1697" i="10"/>
  <c r="AH1698" i="10"/>
  <c r="AH1699" i="10"/>
  <c r="AH1700" i="10"/>
  <c r="AH1701" i="10"/>
  <c r="AH1702" i="10"/>
  <c r="AH1703" i="10"/>
  <c r="AH1704" i="10"/>
  <c r="AH1705" i="10"/>
  <c r="AH1713" i="10"/>
  <c r="AH1714" i="10"/>
  <c r="AH1715" i="10"/>
  <c r="AH1716" i="10"/>
  <c r="AH1717" i="10"/>
  <c r="AH1718" i="10"/>
  <c r="AH1720" i="10"/>
  <c r="AH1721" i="10"/>
  <c r="AH1722" i="10"/>
  <c r="AH1723" i="10"/>
  <c r="AH1724" i="10"/>
  <c r="AH1725" i="10"/>
  <c r="AH1728" i="10"/>
  <c r="AH1729" i="10"/>
  <c r="AH1730" i="10"/>
  <c r="AH1731" i="10"/>
  <c r="AH1732" i="10"/>
  <c r="AH1733" i="10"/>
  <c r="AH1736" i="10"/>
  <c r="AH1737" i="10"/>
  <c r="AH1738" i="10"/>
  <c r="AH1739" i="10"/>
  <c r="AH1740" i="10"/>
  <c r="AH1741" i="10"/>
  <c r="AH1742" i="10"/>
  <c r="AH1743" i="10"/>
  <c r="AH1744" i="10"/>
  <c r="AH1745" i="10"/>
  <c r="AH1746" i="10"/>
  <c r="AH1747" i="10"/>
  <c r="AH1748" i="10"/>
  <c r="AH1749" i="10"/>
  <c r="AH1750" i="10"/>
  <c r="AH1751" i="10"/>
  <c r="AH1752" i="10"/>
  <c r="AH1753" i="10"/>
  <c r="AH1754" i="10"/>
  <c r="AH1755" i="10"/>
  <c r="AH1756" i="10"/>
  <c r="AH1759" i="10"/>
  <c r="AH1760" i="10"/>
  <c r="AH1761" i="10"/>
  <c r="AH1762" i="10"/>
  <c r="AH1763" i="10"/>
  <c r="AH1764" i="10"/>
  <c r="AH1765" i="10"/>
  <c r="AH1766" i="10"/>
  <c r="AH1767" i="10"/>
  <c r="AH1768" i="10"/>
  <c r="AH1769" i="10"/>
  <c r="AH1770" i="10"/>
  <c r="AH1773" i="10"/>
  <c r="AH1774" i="10"/>
  <c r="AH1775" i="10"/>
  <c r="AH1776" i="10"/>
  <c r="AH1777" i="10"/>
  <c r="AH1780" i="10"/>
  <c r="AH1781" i="10"/>
  <c r="AH1782" i="10"/>
  <c r="AH1783" i="10"/>
  <c r="AH1784" i="10"/>
  <c r="AH1785" i="10"/>
  <c r="AH1786" i="10"/>
  <c r="AH1787" i="10"/>
  <c r="AH1788" i="10"/>
  <c r="AH1789" i="10"/>
  <c r="AH1792" i="10"/>
  <c r="AH1793" i="10"/>
  <c r="AH1794" i="10"/>
  <c r="AH1795" i="10"/>
  <c r="AH1796" i="10"/>
  <c r="AH1798" i="10"/>
  <c r="AH1799" i="10"/>
  <c r="AH1800" i="10"/>
  <c r="AH1801" i="10"/>
  <c r="AH1802" i="10"/>
  <c r="AH1803" i="10"/>
  <c r="AH1804" i="10"/>
  <c r="AH1806" i="10"/>
  <c r="AH1808" i="10"/>
  <c r="AH1809" i="10"/>
  <c r="AH1810" i="10"/>
  <c r="AH1811" i="10"/>
  <c r="AH1812" i="10"/>
  <c r="AH1813" i="10"/>
  <c r="AH1814" i="10"/>
  <c r="AH1815" i="10"/>
  <c r="AH1816" i="10"/>
  <c r="AH1817" i="10"/>
  <c r="AH1818" i="10"/>
  <c r="AH1819" i="10"/>
  <c r="AH1820" i="10"/>
  <c r="AH1821" i="10"/>
  <c r="AH1822" i="10"/>
  <c r="AH1823" i="10"/>
  <c r="AH1826" i="10"/>
  <c r="AH1827" i="10"/>
  <c r="AH1828" i="10"/>
  <c r="AH1829" i="10"/>
  <c r="AH1830" i="10"/>
  <c r="AH1833" i="10"/>
  <c r="AH1834" i="10"/>
  <c r="AH1835" i="10"/>
  <c r="AH1836" i="10"/>
  <c r="AH1837" i="10"/>
  <c r="AH1838" i="10"/>
  <c r="AH1840" i="10"/>
  <c r="AH1842" i="10"/>
  <c r="AH1843" i="10"/>
  <c r="AH1844" i="10"/>
  <c r="AH1845" i="10"/>
  <c r="AH1846" i="10"/>
  <c r="AH1847" i="10"/>
  <c r="AH1850" i="10"/>
  <c r="AH1851" i="10"/>
  <c r="AH1852" i="10"/>
  <c r="AH1853" i="10"/>
  <c r="AH1854" i="10"/>
  <c r="AH1857" i="10"/>
  <c r="AH1858" i="10"/>
  <c r="AH1859" i="10"/>
  <c r="AH1860" i="10"/>
  <c r="AH1861" i="10"/>
  <c r="AH1862" i="10"/>
  <c r="AH1863" i="10"/>
  <c r="AH1864" i="10"/>
  <c r="AH1865" i="10"/>
  <c r="AH1868" i="10"/>
  <c r="AH1869" i="10"/>
  <c r="AH1870" i="10"/>
  <c r="AH1871" i="10"/>
  <c r="AH1872" i="10"/>
  <c r="AH1873" i="10"/>
  <c r="AH1892" i="10"/>
  <c r="AH1893" i="10"/>
  <c r="AH1894" i="10"/>
  <c r="AH1895" i="10"/>
  <c r="AH1896" i="10"/>
  <c r="AH1897" i="10"/>
  <c r="AH1898" i="10"/>
  <c r="AH1900" i="10"/>
  <c r="AH1901" i="10"/>
  <c r="AH1902" i="10"/>
  <c r="AH1903" i="10"/>
  <c r="AH1904" i="10"/>
  <c r="AH1905" i="10"/>
  <c r="AH1906" i="10"/>
  <c r="AH1909" i="10"/>
  <c r="AH1910" i="10"/>
  <c r="AH1911" i="10"/>
  <c r="AH1912" i="10"/>
  <c r="AH1913" i="10"/>
  <c r="AH1914" i="10"/>
  <c r="AH1916" i="10"/>
  <c r="AH1918" i="10"/>
  <c r="AH1919" i="10"/>
  <c r="AH1920" i="10"/>
  <c r="AH1921" i="10"/>
  <c r="AH1922" i="10"/>
  <c r="AH1923" i="10"/>
  <c r="AH1924" i="10"/>
  <c r="AH1925" i="10"/>
  <c r="AH1926" i="10"/>
  <c r="AH1927" i="10"/>
  <c r="AH1928" i="10"/>
  <c r="AH1929" i="10"/>
  <c r="AH1930" i="10"/>
  <c r="AH1931" i="10"/>
  <c r="AH1932" i="10"/>
  <c r="AH1933" i="10"/>
  <c r="AH1934" i="10"/>
  <c r="AH1935" i="10"/>
  <c r="AH1936" i="10"/>
  <c r="AH1937" i="10"/>
  <c r="AH1938" i="10"/>
  <c r="AH1939" i="10"/>
  <c r="AH1940" i="10"/>
  <c r="AH1941" i="10"/>
  <c r="AH1943" i="10"/>
  <c r="AH1944" i="10"/>
  <c r="AH1945" i="10"/>
  <c r="AH1946" i="10"/>
  <c r="AH1947" i="10"/>
  <c r="AH1948" i="10"/>
  <c r="AH1949" i="10"/>
  <c r="AH1950" i="10"/>
  <c r="AH1951" i="10"/>
  <c r="AH1952" i="10"/>
  <c r="AH1953" i="10"/>
  <c r="AH1954" i="10"/>
  <c r="AH1955" i="10"/>
  <c r="AH1956" i="10"/>
  <c r="AH1957" i="10"/>
  <c r="AH1958" i="10"/>
  <c r="AH1960" i="10"/>
  <c r="AH1962" i="10"/>
  <c r="AH1963" i="10"/>
  <c r="AH1964" i="10"/>
  <c r="AH1965" i="10"/>
  <c r="AH1966" i="10"/>
  <c r="AH1992" i="10"/>
  <c r="AH1993" i="10"/>
  <c r="AH1994" i="10"/>
  <c r="AH1995" i="10"/>
  <c r="AH1996" i="10"/>
  <c r="AH1997" i="10"/>
  <c r="AH1998" i="10"/>
  <c r="AH1999" i="10"/>
  <c r="AH2000" i="10"/>
  <c r="AH2001" i="10"/>
  <c r="AH2002" i="10"/>
  <c r="AH2003" i="10"/>
  <c r="AH2004" i="10"/>
  <c r="AH2005" i="10"/>
  <c r="AH2006" i="10"/>
  <c r="AH2007" i="10"/>
  <c r="AH2008" i="10"/>
  <c r="AH2009" i="10"/>
  <c r="AH2010" i="10"/>
  <c r="AH2011" i="10"/>
  <c r="AH2013" i="10"/>
  <c r="AH2014" i="10"/>
  <c r="AH2015" i="10"/>
  <c r="AH2016" i="10"/>
  <c r="AH2017" i="10"/>
  <c r="AH2018" i="10"/>
  <c r="AH2019" i="10"/>
  <c r="AH2021" i="10"/>
  <c r="AH2022" i="10"/>
  <c r="AH2023" i="10"/>
  <c r="AH2024" i="10"/>
  <c r="AH2025" i="10"/>
  <c r="AH2026" i="10"/>
  <c r="AH2027" i="10"/>
  <c r="AH2029" i="10"/>
  <c r="AH2030" i="10"/>
  <c r="AH2031" i="10"/>
  <c r="AH2032" i="10"/>
  <c r="AH2033" i="10"/>
  <c r="AH2034" i="10"/>
  <c r="AH2035" i="10"/>
  <c r="AH2037" i="10"/>
  <c r="AH2038" i="10"/>
  <c r="AH2039" i="10"/>
  <c r="AH2040" i="10"/>
  <c r="AH2041" i="10"/>
  <c r="AH2042" i="10"/>
  <c r="AH2043" i="10"/>
  <c r="AH2045" i="10"/>
  <c r="AH2047" i="10"/>
  <c r="AH2048" i="10"/>
  <c r="AH2049" i="10"/>
  <c r="AH2050" i="10"/>
  <c r="AH2051" i="10"/>
  <c r="AH2052" i="10"/>
  <c r="AH2053" i="10"/>
  <c r="AH2056" i="10"/>
  <c r="AH2057" i="10"/>
  <c r="AH2058" i="10"/>
  <c r="AH2059" i="10"/>
  <c r="AH2060" i="10"/>
  <c r="AH2061" i="10"/>
  <c r="AH2062" i="10"/>
  <c r="AH2063" i="10"/>
  <c r="AH2066" i="10"/>
  <c r="AH2067" i="10"/>
  <c r="AH2068" i="10"/>
  <c r="AH2069" i="10"/>
  <c r="AH2070" i="10"/>
  <c r="AH2071" i="10"/>
  <c r="AH2072" i="10"/>
  <c r="AH2073" i="10"/>
  <c r="AH2074" i="10"/>
  <c r="AH2076" i="10"/>
  <c r="AH2078" i="10"/>
  <c r="AH2079" i="10"/>
  <c r="AH2080" i="10"/>
  <c r="AH2081" i="10"/>
  <c r="AH2082" i="10"/>
  <c r="AH2083" i="10"/>
  <c r="AH2084" i="10"/>
  <c r="AH2085" i="10"/>
  <c r="AH2086" i="10"/>
  <c r="AH2087" i="10"/>
  <c r="AH2088" i="10"/>
  <c r="AH2089" i="10"/>
  <c r="AH2090" i="10"/>
  <c r="AH2091" i="10"/>
  <c r="AH2092" i="10"/>
  <c r="AH2093" i="10"/>
  <c r="AH2094" i="10"/>
  <c r="AH2095" i="10"/>
  <c r="AH2096" i="10"/>
  <c r="AH2097" i="10"/>
  <c r="AH2098" i="10"/>
  <c r="AH2099" i="10"/>
  <c r="AH2100" i="10"/>
  <c r="AH2101" i="10"/>
  <c r="AH2102" i="10"/>
  <c r="AH2103" i="10"/>
  <c r="AH2104" i="10"/>
  <c r="AH2105" i="10"/>
  <c r="AH2106" i="10"/>
  <c r="AH2107" i="10"/>
  <c r="AH2108" i="10"/>
  <c r="AH2109" i="10"/>
  <c r="AH2110" i="10"/>
  <c r="AH2111" i="10"/>
  <c r="AH2112" i="10"/>
  <c r="AH2113" i="10"/>
  <c r="AH2114" i="10"/>
  <c r="AH2115" i="10"/>
  <c r="AH2116" i="10"/>
  <c r="AH2117" i="10"/>
  <c r="AH2118" i="10"/>
  <c r="AH2119" i="10"/>
  <c r="AH2120" i="10"/>
  <c r="AH2121" i="10"/>
  <c r="AH2122" i="10"/>
  <c r="AH2123" i="10"/>
  <c r="AH2124" i="10"/>
  <c r="AH2125" i="10"/>
  <c r="AH2126" i="10"/>
  <c r="AH2127" i="10"/>
  <c r="AH2128" i="10"/>
  <c r="AH2129" i="10"/>
  <c r="AH2131" i="10"/>
  <c r="AH2132" i="10"/>
  <c r="AH2133" i="10"/>
  <c r="AH2134" i="10"/>
  <c r="AH2135" i="10"/>
  <c r="AH2136" i="10"/>
  <c r="AH2138" i="10"/>
  <c r="AH2139" i="10"/>
  <c r="AH2140" i="10"/>
  <c r="AH2141" i="10"/>
  <c r="AH2142" i="10"/>
  <c r="AH2143" i="10"/>
  <c r="AH2144" i="10"/>
  <c r="AH2147" i="10"/>
  <c r="AH2148" i="10"/>
  <c r="AH2149" i="10"/>
  <c r="AH2150" i="10"/>
  <c r="AH2151" i="10"/>
  <c r="AH2152" i="10"/>
  <c r="AH2153" i="10"/>
  <c r="AH2154" i="10"/>
  <c r="AH2155" i="10"/>
  <c r="AH2156" i="10"/>
  <c r="AH2157" i="10"/>
  <c r="AH2158" i="10"/>
  <c r="AH2161" i="10"/>
  <c r="AH2162" i="10"/>
  <c r="AH2163" i="10"/>
  <c r="AH2164" i="10"/>
  <c r="AH2165" i="10"/>
  <c r="AH2166" i="10"/>
  <c r="AH2167" i="10"/>
  <c r="AH2168" i="10"/>
  <c r="AH2169" i="10"/>
  <c r="AH2170" i="10"/>
  <c r="AH2171" i="10"/>
  <c r="AH2172" i="10"/>
  <c r="AH2173" i="10"/>
  <c r="AH2174" i="10"/>
  <c r="AH2175" i="10"/>
  <c r="AH2178" i="10"/>
  <c r="AH2179" i="10"/>
  <c r="AH2180" i="10"/>
  <c r="AH2181" i="10"/>
  <c r="AH2182" i="10"/>
  <c r="AH2183" i="10"/>
  <c r="AH2184" i="10"/>
  <c r="AH2185" i="10"/>
  <c r="AH2186" i="10"/>
  <c r="AH2187" i="10"/>
  <c r="AH2188" i="10"/>
  <c r="AH2189" i="10"/>
  <c r="AH2190" i="10"/>
  <c r="AH2191" i="10"/>
  <c r="AH2192" i="10"/>
  <c r="AH2193" i="10"/>
  <c r="AH2194" i="10"/>
  <c r="AH2195" i="10"/>
  <c r="AH2196" i="10"/>
  <c r="AH2197" i="10"/>
  <c r="AH2198" i="10"/>
  <c r="AH2199" i="10"/>
  <c r="AH2202" i="10"/>
  <c r="AH2203" i="10"/>
  <c r="AH2204" i="10"/>
  <c r="AH2205" i="10"/>
  <c r="AH2206" i="10"/>
  <c r="AH2207" i="10"/>
  <c r="AH2208" i="10"/>
  <c r="AH2209" i="10"/>
  <c r="AH2210" i="10"/>
  <c r="AH2211" i="10"/>
  <c r="AH2212" i="10"/>
  <c r="AH2213" i="10"/>
  <c r="AH2215" i="10"/>
  <c r="AH2216" i="10"/>
  <c r="AH2217" i="10"/>
  <c r="AH2218" i="10"/>
  <c r="AH2219" i="10"/>
  <c r="AH2220" i="10"/>
  <c r="AH2221" i="10"/>
  <c r="AH2222" i="10"/>
  <c r="AH2223" i="10"/>
  <c r="AH2226" i="10"/>
  <c r="AH2227" i="10"/>
  <c r="AH2228" i="10"/>
  <c r="AH2229" i="10"/>
  <c r="AH2230" i="10"/>
  <c r="AH2231" i="10"/>
  <c r="AH2232" i="10"/>
  <c r="AH2233" i="10"/>
  <c r="AH2234" i="10"/>
  <c r="AH2235" i="10"/>
  <c r="AH2236" i="10"/>
  <c r="AH2237" i="10"/>
  <c r="AH2238" i="10"/>
  <c r="AH2239" i="10"/>
  <c r="AH2242" i="10"/>
  <c r="AH2243" i="10"/>
  <c r="AH2244" i="10"/>
  <c r="AH2245" i="10"/>
  <c r="AH2246" i="10"/>
  <c r="AH2247" i="10"/>
  <c r="AH2248" i="10"/>
  <c r="AH2249" i="10"/>
  <c r="AH2251" i="10"/>
  <c r="AH2252" i="10"/>
  <c r="AH2253" i="10"/>
  <c r="AH2254" i="10"/>
  <c r="AH2255" i="10"/>
  <c r="AH2256" i="10"/>
  <c r="AH2257" i="10"/>
  <c r="AH2258" i="10"/>
  <c r="AH2259" i="10"/>
  <c r="AH2262" i="10"/>
  <c r="AH2263" i="10"/>
  <c r="AH2264" i="10"/>
  <c r="AH2265" i="10"/>
  <c r="AH2266" i="10"/>
  <c r="AH2267" i="10"/>
  <c r="AH2268" i="10"/>
  <c r="AH2269" i="10"/>
  <c r="AH2272" i="10"/>
  <c r="AH2273" i="10"/>
  <c r="AH2274" i="10"/>
  <c r="AH2275" i="10"/>
  <c r="AH2276" i="10"/>
  <c r="AH2277" i="10"/>
  <c r="AH2278" i="10"/>
  <c r="AH2279" i="10"/>
  <c r="AH2282" i="10"/>
  <c r="AH2283" i="10"/>
  <c r="AH2284" i="10"/>
  <c r="AH2285" i="10"/>
  <c r="AH2286" i="10"/>
  <c r="AH2287" i="10"/>
  <c r="AH2288" i="10"/>
  <c r="AH2289" i="10"/>
  <c r="AH2291" i="10"/>
  <c r="AH2293" i="10"/>
  <c r="AH2294" i="10"/>
  <c r="AH2295" i="10"/>
  <c r="AH2296" i="10"/>
  <c r="AH2297" i="10"/>
  <c r="AH2298" i="10"/>
  <c r="AH2299" i="10"/>
  <c r="AH2300" i="10"/>
  <c r="AH2301" i="10"/>
  <c r="AH2304" i="10"/>
  <c r="AH2305" i="10"/>
  <c r="AH2306" i="10"/>
  <c r="AH2307" i="10"/>
  <c r="AH2308" i="10"/>
  <c r="AH2309" i="10"/>
  <c r="AH2310" i="10"/>
  <c r="AH2311" i="10"/>
  <c r="AH2313" i="10"/>
  <c r="AH2314" i="10"/>
  <c r="AH2315" i="10"/>
  <c r="AH2316" i="10"/>
  <c r="AH2317" i="10"/>
  <c r="AH2318" i="10"/>
  <c r="AH2319" i="10"/>
  <c r="AH2320" i="10"/>
  <c r="AH2321" i="10"/>
  <c r="AH2324" i="10"/>
  <c r="AH2325" i="10"/>
  <c r="AH2326" i="10"/>
  <c r="AH2327" i="10"/>
  <c r="AH2328" i="10"/>
  <c r="AH2329" i="10"/>
  <c r="AH2330" i="10"/>
  <c r="AH2332" i="10"/>
  <c r="AH2333" i="10"/>
  <c r="AH2334" i="10"/>
  <c r="AH2335" i="10"/>
  <c r="AH2336" i="10"/>
  <c r="AH2337" i="10"/>
  <c r="AH2338" i="10"/>
  <c r="AH2347" i="10"/>
  <c r="AH2348" i="10"/>
  <c r="AH2349" i="10"/>
  <c r="AH2350" i="10"/>
  <c r="AH2351" i="10"/>
  <c r="AH2352" i="10"/>
  <c r="AH2353" i="10"/>
  <c r="AH2354" i="10"/>
  <c r="AH2364" i="10"/>
  <c r="AH2365" i="10"/>
  <c r="AH2366" i="10"/>
  <c r="AH2367" i="10"/>
  <c r="AH2368" i="10"/>
  <c r="AH2371" i="10"/>
  <c r="AH2372" i="10"/>
  <c r="AH2373" i="10"/>
  <c r="AH2374" i="10"/>
  <c r="AH2377" i="10"/>
  <c r="AH2378" i="10"/>
  <c r="AH2379" i="10"/>
  <c r="AH2380" i="10"/>
  <c r="AH2382" i="10"/>
  <c r="AH2383" i="10"/>
  <c r="AH2384" i="10"/>
  <c r="AH2385" i="10"/>
  <c r="AH2386" i="10"/>
  <c r="AH2388" i="10"/>
  <c r="AH2389" i="10"/>
  <c r="AH2390" i="10"/>
  <c r="AH2391" i="10"/>
  <c r="AH2392" i="10"/>
  <c r="AH2394" i="10"/>
  <c r="AH2395" i="10"/>
  <c r="AH2396" i="10"/>
  <c r="AH2397" i="10"/>
  <c r="AH2398" i="10"/>
  <c r="AH2400" i="10"/>
  <c r="AH2402" i="10"/>
  <c r="AH2403" i="10"/>
  <c r="AH2404" i="10"/>
  <c r="AH2405" i="10"/>
  <c r="AH2406" i="10"/>
  <c r="AH2407" i="10"/>
  <c r="AH2408" i="10"/>
  <c r="AH2409" i="10"/>
  <c r="AH2410" i="10"/>
  <c r="AH2411" i="10"/>
  <c r="AH2412" i="10"/>
  <c r="AH2413" i="10"/>
  <c r="AH2422" i="10"/>
  <c r="AH2423" i="10"/>
  <c r="AH2424" i="10"/>
  <c r="AH2425" i="10"/>
  <c r="AH2426" i="10"/>
  <c r="AH2428" i="10"/>
  <c r="AG2429" i="10"/>
  <c r="AH2429" i="10"/>
  <c r="AG2430" i="10"/>
  <c r="AH2430" i="10"/>
  <c r="AG2431" i="10"/>
  <c r="AH2431" i="10"/>
  <c r="AG2432" i="10"/>
  <c r="AH2432" i="10"/>
  <c r="AG2433" i="10"/>
  <c r="AH2433" i="10"/>
  <c r="AH9" i="10"/>
  <c r="AH49" i="10" l="1"/>
  <c r="AH2393" i="10"/>
  <c r="AH2290" i="10"/>
  <c r="AH2260" i="10"/>
  <c r="AH2137" i="10"/>
  <c r="AH2044" i="10"/>
  <c r="AH1990" i="10"/>
  <c r="AH1915" i="10"/>
  <c r="AH1641" i="10"/>
  <c r="AH1501" i="10"/>
  <c r="AH1206" i="10"/>
  <c r="AH760" i="10"/>
  <c r="AH271" i="10"/>
  <c r="AH141" i="10"/>
  <c r="AH2421" i="10"/>
  <c r="AH2369" i="10"/>
  <c r="AH2130" i="10"/>
  <c r="AH1907" i="10"/>
  <c r="AH1771" i="10"/>
  <c r="AH1590" i="10"/>
  <c r="AH1469" i="10"/>
  <c r="AH1415" i="10"/>
  <c r="AH1168" i="10"/>
  <c r="AH149" i="10"/>
  <c r="AH787" i="10"/>
  <c r="AH200" i="10"/>
  <c r="AH126" i="10"/>
  <c r="AH77" i="10"/>
  <c r="AH15" i="10"/>
  <c r="AH2312" i="10"/>
  <c r="AH2224" i="10"/>
  <c r="AH2036" i="10"/>
  <c r="AH1959" i="10"/>
  <c r="AH1428" i="10"/>
  <c r="AH1344" i="10"/>
  <c r="AH1213" i="10"/>
  <c r="AH1068" i="10"/>
  <c r="AH794" i="10"/>
  <c r="AH767" i="10"/>
  <c r="AH751" i="10"/>
  <c r="AH608" i="10"/>
  <c r="AH539" i="10"/>
  <c r="AH278" i="10"/>
  <c r="AH262" i="10"/>
  <c r="AH236" i="10"/>
  <c r="AH208" i="10"/>
  <c r="AH133" i="10"/>
  <c r="AH119" i="10"/>
  <c r="AH1891" i="10"/>
  <c r="AH1693" i="10"/>
  <c r="AH1631" i="10"/>
  <c r="AH1556" i="10"/>
  <c r="AH1507" i="10"/>
  <c r="AH1228" i="10"/>
  <c r="AH1196" i="10"/>
  <c r="AH1041" i="10"/>
  <c r="AH977" i="10"/>
  <c r="AH860" i="10"/>
  <c r="AH455" i="10"/>
  <c r="AH442" i="10"/>
  <c r="AH2345" i="10"/>
  <c r="AH2280" i="10"/>
  <c r="AH2064" i="10"/>
  <c r="AH2322" i="10"/>
  <c r="AH2250" i="10"/>
  <c r="AH2020" i="10"/>
  <c r="AH1726" i="10"/>
  <c r="AH1711" i="10"/>
  <c r="AH1569" i="10"/>
  <c r="AH1537" i="10"/>
  <c r="AH1452" i="10"/>
  <c r="AH1303" i="10"/>
  <c r="AH1026" i="10"/>
  <c r="AH696" i="10"/>
  <c r="AH680" i="10"/>
  <c r="AH567" i="10"/>
  <c r="AH220" i="10"/>
  <c r="AH190" i="10"/>
  <c r="AH2399" i="10"/>
  <c r="AH2381" i="10"/>
  <c r="AH1824" i="10"/>
  <c r="AH1797" i="10"/>
  <c r="AH1658" i="10"/>
  <c r="AH1371" i="10"/>
  <c r="AH1146" i="10"/>
  <c r="AH961" i="10"/>
  <c r="AH649" i="10"/>
  <c r="AH619" i="10"/>
  <c r="AH67" i="10"/>
  <c r="AH1757" i="10"/>
  <c r="AH2362" i="10"/>
  <c r="AH2075" i="10"/>
  <c r="AH1942" i="10"/>
  <c r="AH1855" i="10"/>
  <c r="AH1839" i="10"/>
  <c r="AH1583" i="10"/>
  <c r="AH1520" i="10"/>
  <c r="AH1354" i="10"/>
  <c r="AH1239" i="10"/>
  <c r="AH1161" i="10"/>
  <c r="AH1077" i="10"/>
  <c r="AH870" i="10"/>
  <c r="AH549" i="10"/>
  <c r="AH465" i="10"/>
  <c r="AH157" i="10"/>
  <c r="AH22" i="10"/>
  <c r="AH1274" i="10"/>
  <c r="AH1176" i="10"/>
  <c r="AH945" i="10"/>
  <c r="AH661" i="10"/>
  <c r="AH521" i="10"/>
  <c r="AH349" i="10"/>
  <c r="AH172" i="10"/>
  <c r="AH1778" i="10"/>
  <c r="AH1101" i="10"/>
  <c r="AH1009" i="10"/>
  <c r="AH385" i="10"/>
  <c r="AH1549" i="10"/>
  <c r="AH8" i="10"/>
  <c r="AH2375" i="10"/>
  <c r="AH2331" i="10"/>
  <c r="AH2302" i="10"/>
  <c r="AH2176" i="10"/>
  <c r="AH2028" i="10"/>
  <c r="AH1866" i="10"/>
  <c r="AH1220" i="10"/>
  <c r="AH813" i="10"/>
  <c r="AH704" i="10"/>
  <c r="AH629" i="10"/>
  <c r="AH506" i="10"/>
  <c r="AH308" i="10"/>
  <c r="AH228" i="10"/>
  <c r="AH1899" i="10"/>
  <c r="AH1805" i="10"/>
  <c r="AH1790" i="10"/>
  <c r="AH1734" i="10"/>
  <c r="AH1719" i="10"/>
  <c r="AH1675" i="10"/>
  <c r="AH1514" i="10"/>
  <c r="AH1459" i="10"/>
  <c r="AH1335" i="10"/>
  <c r="AH1296" i="10"/>
  <c r="AH969" i="10"/>
  <c r="AH852" i="10"/>
  <c r="AH741" i="10"/>
  <c r="AH688" i="10"/>
  <c r="AH559" i="10"/>
  <c r="AH332" i="10"/>
  <c r="AH1597" i="10"/>
  <c r="AH2270" i="10"/>
  <c r="AH2214" i="10"/>
  <c r="AH2012" i="10"/>
  <c r="AH1848" i="10"/>
  <c r="AH1622" i="10"/>
  <c r="AH1608" i="10"/>
  <c r="AH1576" i="10"/>
  <c r="AH1379" i="10"/>
  <c r="AH1186" i="10"/>
  <c r="AH1154" i="10"/>
  <c r="AH1112" i="10"/>
  <c r="AH1058" i="10"/>
  <c r="AH585" i="10"/>
  <c r="AH419" i="10"/>
  <c r="AH1312" i="10"/>
  <c r="AH2200" i="10"/>
  <c r="AH2054" i="10"/>
  <c r="AH2387" i="10"/>
  <c r="AH2240" i="10"/>
  <c r="AH2159" i="10"/>
  <c r="AH2145" i="10"/>
  <c r="AH1831" i="10"/>
  <c r="AH1649" i="10"/>
  <c r="AH1543" i="10"/>
  <c r="AH1528" i="10"/>
  <c r="AH1483" i="10"/>
  <c r="AH1362" i="10"/>
  <c r="AH1137" i="10"/>
  <c r="AH953" i="10"/>
  <c r="AH938" i="10"/>
  <c r="AH836" i="10"/>
  <c r="AH670" i="10"/>
  <c r="AH640" i="10"/>
  <c r="AH181" i="10"/>
  <c r="AH165" i="10"/>
  <c r="AH108" i="10"/>
  <c r="B246" i="15"/>
  <c r="E24" i="15"/>
  <c r="D24" i="15"/>
  <c r="AH7" i="10" l="1"/>
  <c r="R10" i="10"/>
  <c r="R11" i="10"/>
  <c r="R12" i="10"/>
  <c r="R20" i="10"/>
  <c r="R21" i="10"/>
  <c r="R46" i="10"/>
  <c r="R54" i="10"/>
  <c r="R55" i="10"/>
  <c r="R68" i="10"/>
  <c r="R69" i="10"/>
  <c r="R70" i="10"/>
  <c r="R71" i="10"/>
  <c r="R72" i="10"/>
  <c r="R73" i="10"/>
  <c r="R74" i="10"/>
  <c r="R75" i="10"/>
  <c r="R76" i="10"/>
  <c r="R78" i="10"/>
  <c r="R79" i="10"/>
  <c r="R80" i="10"/>
  <c r="R81" i="10"/>
  <c r="R82" i="10"/>
  <c r="R83" i="10"/>
  <c r="R84" i="10"/>
  <c r="R114" i="10"/>
  <c r="R115" i="10"/>
  <c r="R116" i="10"/>
  <c r="R117" i="10"/>
  <c r="R118" i="10"/>
  <c r="R120" i="10"/>
  <c r="R121" i="10"/>
  <c r="R122" i="10"/>
  <c r="R123" i="10"/>
  <c r="R124" i="10"/>
  <c r="R125" i="10"/>
  <c r="R127" i="10"/>
  <c r="R128" i="10"/>
  <c r="R129" i="10"/>
  <c r="R130" i="10"/>
  <c r="R131" i="10"/>
  <c r="R132" i="10"/>
  <c r="R134" i="10"/>
  <c r="R135" i="10"/>
  <c r="R136" i="10"/>
  <c r="R137" i="10"/>
  <c r="R138" i="10"/>
  <c r="R139" i="10"/>
  <c r="R140" i="10"/>
  <c r="R142" i="10"/>
  <c r="R143" i="10"/>
  <c r="R144" i="10"/>
  <c r="R145" i="10"/>
  <c r="R146" i="10"/>
  <c r="R147" i="10"/>
  <c r="R148" i="10"/>
  <c r="R150" i="10"/>
  <c r="R151" i="10"/>
  <c r="R152" i="10"/>
  <c r="R153" i="10"/>
  <c r="R154" i="10"/>
  <c r="R155" i="10"/>
  <c r="R156" i="10"/>
  <c r="R158" i="10"/>
  <c r="R159" i="10"/>
  <c r="R160" i="10"/>
  <c r="R161" i="10"/>
  <c r="R162" i="10"/>
  <c r="R163" i="10"/>
  <c r="R164" i="10"/>
  <c r="R166" i="10"/>
  <c r="R167" i="10"/>
  <c r="R168" i="10"/>
  <c r="R169" i="10"/>
  <c r="R170" i="10"/>
  <c r="R171" i="10"/>
  <c r="R173" i="10"/>
  <c r="R174" i="10"/>
  <c r="R175" i="10"/>
  <c r="R176" i="10"/>
  <c r="R177" i="10"/>
  <c r="R178" i="10"/>
  <c r="R179" i="10"/>
  <c r="R180" i="10"/>
  <c r="R182" i="10"/>
  <c r="R183" i="10"/>
  <c r="R184" i="10"/>
  <c r="R185" i="10"/>
  <c r="R186" i="10"/>
  <c r="R187" i="10"/>
  <c r="R188" i="10"/>
  <c r="R189" i="10"/>
  <c r="R191" i="10"/>
  <c r="R192" i="10"/>
  <c r="R193" i="10"/>
  <c r="R194" i="10"/>
  <c r="R195" i="10"/>
  <c r="R196" i="10"/>
  <c r="R197" i="10"/>
  <c r="R198" i="10"/>
  <c r="R199" i="10"/>
  <c r="R201" i="10"/>
  <c r="R202" i="10"/>
  <c r="R203" i="10"/>
  <c r="R204" i="10"/>
  <c r="R205" i="10"/>
  <c r="R206" i="10"/>
  <c r="R207" i="10"/>
  <c r="R217" i="10"/>
  <c r="R218" i="10"/>
  <c r="R219" i="10"/>
  <c r="R221" i="10"/>
  <c r="R222" i="10"/>
  <c r="R223" i="10"/>
  <c r="R224" i="10"/>
  <c r="R225" i="10"/>
  <c r="R226" i="10"/>
  <c r="R227" i="10"/>
  <c r="R231" i="10"/>
  <c r="R232" i="10"/>
  <c r="R233" i="10"/>
  <c r="R234" i="10"/>
  <c r="R235" i="10"/>
  <c r="R247" i="10"/>
  <c r="R248" i="10"/>
  <c r="R249" i="10"/>
  <c r="R250" i="10"/>
  <c r="R251" i="10"/>
  <c r="R252" i="10"/>
  <c r="R253" i="10"/>
  <c r="R254" i="10"/>
  <c r="R255" i="10"/>
  <c r="R256" i="10"/>
  <c r="R257" i="10"/>
  <c r="R258" i="10"/>
  <c r="R259" i="10"/>
  <c r="R260" i="10"/>
  <c r="R261" i="10"/>
  <c r="R263" i="10"/>
  <c r="R264" i="10"/>
  <c r="R265" i="10"/>
  <c r="R266" i="10"/>
  <c r="R267" i="10"/>
  <c r="R268" i="10"/>
  <c r="R269" i="10"/>
  <c r="R270" i="10"/>
  <c r="R273" i="10"/>
  <c r="R274" i="10"/>
  <c r="R275" i="10"/>
  <c r="R276" i="10"/>
  <c r="R277" i="10"/>
  <c r="R292" i="10"/>
  <c r="R293" i="10"/>
  <c r="R294" i="10"/>
  <c r="R295" i="10"/>
  <c r="R296" i="10"/>
  <c r="R297" i="10"/>
  <c r="R298" i="10"/>
  <c r="R299" i="10"/>
  <c r="R300" i="10"/>
  <c r="R301" i="10"/>
  <c r="R302" i="10"/>
  <c r="R303" i="10"/>
  <c r="R304" i="10"/>
  <c r="R305" i="10"/>
  <c r="R306" i="10"/>
  <c r="R307" i="10"/>
  <c r="R315" i="10"/>
  <c r="R316" i="10"/>
  <c r="R317" i="10"/>
  <c r="R318" i="10"/>
  <c r="R319" i="10"/>
  <c r="R320" i="10"/>
  <c r="R321" i="10"/>
  <c r="R322" i="10"/>
  <c r="R323" i="10"/>
  <c r="R324" i="10"/>
  <c r="R325" i="10"/>
  <c r="R326" i="10"/>
  <c r="R327" i="10"/>
  <c r="R328" i="10"/>
  <c r="R329" i="10"/>
  <c r="R330" i="10"/>
  <c r="R331" i="10"/>
  <c r="R333" i="10"/>
  <c r="R334" i="10"/>
  <c r="R335" i="10"/>
  <c r="R336" i="10"/>
  <c r="R337" i="10"/>
  <c r="R338" i="10"/>
  <c r="R339" i="10"/>
  <c r="R340" i="10"/>
  <c r="R341" i="10"/>
  <c r="R342" i="10"/>
  <c r="R343" i="10"/>
  <c r="R344" i="10"/>
  <c r="R345" i="10"/>
  <c r="R346" i="10"/>
  <c r="R347" i="10"/>
  <c r="R348" i="10"/>
  <c r="R368" i="10"/>
  <c r="R369" i="10"/>
  <c r="R370" i="10"/>
  <c r="R371" i="10"/>
  <c r="R372" i="10"/>
  <c r="R373" i="10"/>
  <c r="R374" i="10"/>
  <c r="R375" i="10"/>
  <c r="R376" i="10"/>
  <c r="R377" i="10"/>
  <c r="R378" i="10"/>
  <c r="R379" i="10"/>
  <c r="R380" i="10"/>
  <c r="R381" i="10"/>
  <c r="R382" i="10"/>
  <c r="R383" i="10"/>
  <c r="R384" i="10"/>
  <c r="R395" i="10"/>
  <c r="R396" i="10"/>
  <c r="R397" i="10"/>
  <c r="R398" i="10"/>
  <c r="R399" i="10"/>
  <c r="R400" i="10"/>
  <c r="R401" i="10"/>
  <c r="R402" i="10"/>
  <c r="R403" i="10"/>
  <c r="R404" i="10"/>
  <c r="R405" i="10"/>
  <c r="R406" i="10"/>
  <c r="R407" i="10"/>
  <c r="R425" i="10"/>
  <c r="R426" i="10"/>
  <c r="R427" i="10"/>
  <c r="R453" i="10"/>
  <c r="R454" i="10"/>
  <c r="R456" i="10"/>
  <c r="R457" i="10"/>
  <c r="R458" i="10"/>
  <c r="R459" i="10"/>
  <c r="R460" i="10"/>
  <c r="R461" i="10"/>
  <c r="R462" i="10"/>
  <c r="R463" i="10"/>
  <c r="R464" i="10"/>
  <c r="R477" i="10"/>
  <c r="R478" i="10"/>
  <c r="R479" i="10"/>
  <c r="R480" i="10"/>
  <c r="R481" i="10"/>
  <c r="R482" i="10"/>
  <c r="R483" i="10"/>
  <c r="R484" i="10"/>
  <c r="R485" i="10"/>
  <c r="R486" i="10"/>
  <c r="R487" i="10"/>
  <c r="R507" i="10"/>
  <c r="R508" i="10"/>
  <c r="R509" i="10"/>
  <c r="R510" i="10"/>
  <c r="R511" i="10"/>
  <c r="R512" i="10"/>
  <c r="R513" i="10"/>
  <c r="R514" i="10"/>
  <c r="R515" i="10"/>
  <c r="R516" i="10"/>
  <c r="R517" i="10"/>
  <c r="R518" i="10"/>
  <c r="R519" i="10"/>
  <c r="R520" i="10"/>
  <c r="R522" i="10"/>
  <c r="R523" i="10"/>
  <c r="R524" i="10"/>
  <c r="R525" i="10"/>
  <c r="R526" i="10"/>
  <c r="R527" i="10"/>
  <c r="R528" i="10"/>
  <c r="R529" i="10"/>
  <c r="R530" i="10"/>
  <c r="R531" i="10"/>
  <c r="R532" i="10"/>
  <c r="R533" i="10"/>
  <c r="R534" i="10"/>
  <c r="R535" i="10"/>
  <c r="R536" i="10"/>
  <c r="R537" i="10"/>
  <c r="R538" i="10"/>
  <c r="R540" i="10"/>
  <c r="R541" i="10"/>
  <c r="R542" i="10"/>
  <c r="R543" i="10"/>
  <c r="R544" i="10"/>
  <c r="R545" i="10"/>
  <c r="R546" i="10"/>
  <c r="R547" i="10"/>
  <c r="R548" i="10"/>
  <c r="R550" i="10"/>
  <c r="R551" i="10"/>
  <c r="R552" i="10"/>
  <c r="R553" i="10"/>
  <c r="R554" i="10"/>
  <c r="R555" i="10"/>
  <c r="R556" i="10"/>
  <c r="R557" i="10"/>
  <c r="R558" i="10"/>
  <c r="R565" i="10"/>
  <c r="R566" i="10"/>
  <c r="R570" i="10"/>
  <c r="R571" i="10"/>
  <c r="R572" i="10"/>
  <c r="R573" i="10"/>
  <c r="R574" i="10"/>
  <c r="R575" i="10"/>
  <c r="R576" i="10"/>
  <c r="R577" i="10"/>
  <c r="R578" i="10"/>
  <c r="R579" i="10"/>
  <c r="R580" i="10"/>
  <c r="R581" i="10"/>
  <c r="R582" i="10"/>
  <c r="R583" i="10"/>
  <c r="R584" i="10"/>
  <c r="R593" i="10"/>
  <c r="R594" i="10"/>
  <c r="R595" i="10"/>
  <c r="R596" i="10"/>
  <c r="R597" i="10"/>
  <c r="R598" i="10"/>
  <c r="R599" i="10"/>
  <c r="R600" i="10"/>
  <c r="R601" i="10"/>
  <c r="R602" i="10"/>
  <c r="R603" i="10"/>
  <c r="R604" i="10"/>
  <c r="R605" i="10"/>
  <c r="R606" i="10"/>
  <c r="R607" i="10"/>
  <c r="R612" i="10"/>
  <c r="R613" i="10"/>
  <c r="R614" i="10"/>
  <c r="R615" i="10"/>
  <c r="R616" i="10"/>
  <c r="R617" i="10"/>
  <c r="R618" i="10"/>
  <c r="R620" i="10"/>
  <c r="R621" i="10"/>
  <c r="R622" i="10"/>
  <c r="R623" i="10"/>
  <c r="R624" i="10"/>
  <c r="R625" i="10"/>
  <c r="R626" i="10"/>
  <c r="R627" i="10"/>
  <c r="R628" i="10"/>
  <c r="R630" i="10"/>
  <c r="R631" i="10"/>
  <c r="R632" i="10"/>
  <c r="R633" i="10"/>
  <c r="R634" i="10"/>
  <c r="R635" i="10"/>
  <c r="R636" i="10"/>
  <c r="R637" i="10"/>
  <c r="R638" i="10"/>
  <c r="R639" i="10"/>
  <c r="R643" i="10"/>
  <c r="R644" i="10"/>
  <c r="R645" i="10"/>
  <c r="R646" i="10"/>
  <c r="R647" i="10"/>
  <c r="R648" i="10"/>
  <c r="R650" i="10"/>
  <c r="R651" i="10"/>
  <c r="R652" i="10"/>
  <c r="R653" i="10"/>
  <c r="R654" i="10"/>
  <c r="R655" i="10"/>
  <c r="R656" i="10"/>
  <c r="R657" i="10"/>
  <c r="R658" i="10"/>
  <c r="R659" i="10"/>
  <c r="R660" i="10"/>
  <c r="R662" i="10"/>
  <c r="R663" i="10"/>
  <c r="R664" i="10"/>
  <c r="R665" i="10"/>
  <c r="R666" i="10"/>
  <c r="R667" i="10"/>
  <c r="R668" i="10"/>
  <c r="R669" i="10"/>
  <c r="R671" i="10"/>
  <c r="R672" i="10"/>
  <c r="R673" i="10"/>
  <c r="R674" i="10"/>
  <c r="R675" i="10"/>
  <c r="R676" i="10"/>
  <c r="R677" i="10"/>
  <c r="R678" i="10"/>
  <c r="R679" i="10"/>
  <c r="R681" i="10"/>
  <c r="R682" i="10"/>
  <c r="R683" i="10"/>
  <c r="R684" i="10"/>
  <c r="R685" i="10"/>
  <c r="R686" i="10"/>
  <c r="R687" i="10"/>
  <c r="R689" i="10"/>
  <c r="R690" i="10"/>
  <c r="R691" i="10"/>
  <c r="R692" i="10"/>
  <c r="R693" i="10"/>
  <c r="R694" i="10"/>
  <c r="R695" i="10"/>
  <c r="R698" i="10"/>
  <c r="R699" i="10"/>
  <c r="R700" i="10"/>
  <c r="R701" i="10"/>
  <c r="R702" i="10"/>
  <c r="R703" i="10"/>
  <c r="R710" i="10"/>
  <c r="R711" i="10"/>
  <c r="R712" i="10"/>
  <c r="R713" i="10"/>
  <c r="R714" i="10"/>
  <c r="R715" i="10"/>
  <c r="R716" i="10"/>
  <c r="R717" i="10"/>
  <c r="R718" i="10"/>
  <c r="R719" i="10"/>
  <c r="R720" i="10"/>
  <c r="R721" i="10"/>
  <c r="R722" i="10"/>
  <c r="R723" i="10"/>
  <c r="R724" i="10"/>
  <c r="R725" i="10"/>
  <c r="R726" i="10"/>
  <c r="R727" i="10"/>
  <c r="R728" i="10"/>
  <c r="R729" i="10"/>
  <c r="R730" i="10"/>
  <c r="R731" i="10"/>
  <c r="R732" i="10"/>
  <c r="R733" i="10"/>
  <c r="R734" i="10"/>
  <c r="R735" i="10"/>
  <c r="R736" i="10"/>
  <c r="R737" i="10"/>
  <c r="R738" i="10"/>
  <c r="R739" i="10"/>
  <c r="R740" i="10"/>
  <c r="R742" i="10"/>
  <c r="R743" i="10"/>
  <c r="R744" i="10"/>
  <c r="R745" i="10"/>
  <c r="R746" i="10"/>
  <c r="R747" i="10"/>
  <c r="R748" i="10"/>
  <c r="R749" i="10"/>
  <c r="R750" i="10"/>
  <c r="R752" i="10"/>
  <c r="R753" i="10"/>
  <c r="R754" i="10"/>
  <c r="R755" i="10"/>
  <c r="R756" i="10"/>
  <c r="R757" i="10"/>
  <c r="R758" i="10"/>
  <c r="R759" i="10"/>
  <c r="R761" i="10"/>
  <c r="R762" i="10"/>
  <c r="R763" i="10"/>
  <c r="R764" i="10"/>
  <c r="R765" i="10"/>
  <c r="R766" i="10"/>
  <c r="R784" i="10"/>
  <c r="R785" i="10"/>
  <c r="R786" i="10"/>
  <c r="R788" i="10"/>
  <c r="R789" i="10"/>
  <c r="R790" i="10"/>
  <c r="R791" i="10"/>
  <c r="R792" i="10"/>
  <c r="R793" i="10"/>
  <c r="R808" i="10"/>
  <c r="R809" i="10"/>
  <c r="R810" i="10"/>
  <c r="R811" i="10"/>
  <c r="R812" i="10"/>
  <c r="R814" i="10"/>
  <c r="R815" i="10"/>
  <c r="R816" i="10"/>
  <c r="R817" i="10"/>
  <c r="R818" i="10"/>
  <c r="R819" i="10"/>
  <c r="R820" i="10"/>
  <c r="R821" i="10"/>
  <c r="R822" i="10"/>
  <c r="R823" i="10"/>
  <c r="R824" i="10"/>
  <c r="R825" i="10"/>
  <c r="R826" i="10"/>
  <c r="R827" i="10"/>
  <c r="R828" i="10"/>
  <c r="R829" i="10"/>
  <c r="R830" i="10"/>
  <c r="R831" i="10"/>
  <c r="R832" i="10"/>
  <c r="R833" i="10"/>
  <c r="R834" i="10"/>
  <c r="R835" i="10"/>
  <c r="R847" i="10"/>
  <c r="R848" i="10"/>
  <c r="R849" i="10"/>
  <c r="R850" i="10"/>
  <c r="R851" i="10"/>
  <c r="R853" i="10"/>
  <c r="R854" i="10"/>
  <c r="R855" i="10"/>
  <c r="R856" i="10"/>
  <c r="R857" i="10"/>
  <c r="R858" i="10"/>
  <c r="R859" i="10"/>
  <c r="R861" i="10"/>
  <c r="R862" i="10"/>
  <c r="R863" i="10"/>
  <c r="R864" i="10"/>
  <c r="R865" i="10"/>
  <c r="R866" i="10"/>
  <c r="R867" i="10"/>
  <c r="R868" i="10"/>
  <c r="R869" i="10"/>
  <c r="R934" i="10"/>
  <c r="R935" i="10"/>
  <c r="R936" i="10"/>
  <c r="R937" i="10"/>
  <c r="R939" i="10"/>
  <c r="R940" i="10"/>
  <c r="R941" i="10"/>
  <c r="R942" i="10"/>
  <c r="R943" i="10"/>
  <c r="R944" i="10"/>
  <c r="R946" i="10"/>
  <c r="R947" i="10"/>
  <c r="R948" i="10"/>
  <c r="R949" i="10"/>
  <c r="R950" i="10"/>
  <c r="R951" i="10"/>
  <c r="R952" i="10"/>
  <c r="R954" i="10"/>
  <c r="R955" i="10"/>
  <c r="R956" i="10"/>
  <c r="R957" i="10"/>
  <c r="R958" i="10"/>
  <c r="R959" i="10"/>
  <c r="R960" i="10"/>
  <c r="R962" i="10"/>
  <c r="R963" i="10"/>
  <c r="R964" i="10"/>
  <c r="R965" i="10"/>
  <c r="R966" i="10"/>
  <c r="R967" i="10"/>
  <c r="R968" i="10"/>
  <c r="R970" i="10"/>
  <c r="R971" i="10"/>
  <c r="R972" i="10"/>
  <c r="R973" i="10"/>
  <c r="R974" i="10"/>
  <c r="R975" i="10"/>
  <c r="R976" i="10"/>
  <c r="R1000" i="10"/>
  <c r="R1001" i="10"/>
  <c r="R1002" i="10"/>
  <c r="R1003" i="10"/>
  <c r="R1004" i="10"/>
  <c r="R1005" i="10"/>
  <c r="R1006" i="10"/>
  <c r="R1007" i="10"/>
  <c r="R1008" i="10"/>
  <c r="R1021" i="10"/>
  <c r="R1022" i="10"/>
  <c r="R1023" i="10"/>
  <c r="R1024" i="10"/>
  <c r="R1025" i="10"/>
  <c r="R1027" i="10"/>
  <c r="R1028" i="10"/>
  <c r="R1029" i="10"/>
  <c r="R1030" i="10"/>
  <c r="R1031" i="10"/>
  <c r="R1032" i="10"/>
  <c r="R1033" i="10"/>
  <c r="R1034" i="10"/>
  <c r="R1035" i="10"/>
  <c r="R1036" i="10"/>
  <c r="R1037" i="10"/>
  <c r="R1038" i="10"/>
  <c r="R1039" i="10"/>
  <c r="R1040" i="10"/>
  <c r="R1055" i="10"/>
  <c r="R1056" i="10"/>
  <c r="R1057" i="10"/>
  <c r="R1059" i="10"/>
  <c r="R1060" i="10"/>
  <c r="R1061" i="10"/>
  <c r="R1062" i="10"/>
  <c r="R1063" i="10"/>
  <c r="R1064" i="10"/>
  <c r="R1065" i="10"/>
  <c r="R1066" i="10"/>
  <c r="R1067" i="10"/>
  <c r="R1069" i="10"/>
  <c r="R1070" i="10"/>
  <c r="R1071" i="10"/>
  <c r="R1072" i="10"/>
  <c r="R1073" i="10"/>
  <c r="R1074" i="10"/>
  <c r="R1075" i="10"/>
  <c r="R1076" i="10"/>
  <c r="R1095" i="10"/>
  <c r="R1096" i="10"/>
  <c r="R1097" i="10"/>
  <c r="R1098" i="10"/>
  <c r="R1099" i="10"/>
  <c r="R1100" i="10"/>
  <c r="R1102" i="10"/>
  <c r="R1103" i="10"/>
  <c r="R1104" i="10"/>
  <c r="R1105" i="10"/>
  <c r="R1106" i="10"/>
  <c r="R1107" i="10"/>
  <c r="R1108" i="10"/>
  <c r="R1109" i="10"/>
  <c r="R1110" i="10"/>
  <c r="R1111" i="10"/>
  <c r="R1135" i="10"/>
  <c r="R1136" i="10"/>
  <c r="R1138" i="10"/>
  <c r="R1139" i="10"/>
  <c r="R1140" i="10"/>
  <c r="R1141" i="10"/>
  <c r="R1142" i="10"/>
  <c r="R1143" i="10"/>
  <c r="R1144" i="10"/>
  <c r="R1145" i="10"/>
  <c r="R1150" i="10"/>
  <c r="R1151" i="10"/>
  <c r="R1152" i="10"/>
  <c r="R1153" i="10"/>
  <c r="R1155" i="10"/>
  <c r="R1156" i="10"/>
  <c r="R1157" i="10"/>
  <c r="R1158" i="10"/>
  <c r="R1159" i="10"/>
  <c r="R1160" i="10"/>
  <c r="R1162" i="10"/>
  <c r="R1163" i="10"/>
  <c r="R1164" i="10"/>
  <c r="R1165" i="10"/>
  <c r="R1166" i="10"/>
  <c r="R1167" i="10"/>
  <c r="R1170" i="10"/>
  <c r="R1171" i="10"/>
  <c r="R1172" i="10"/>
  <c r="R1173" i="10"/>
  <c r="R1174" i="10"/>
  <c r="R1175" i="10"/>
  <c r="R1177" i="10"/>
  <c r="R1178" i="10"/>
  <c r="R1179" i="10"/>
  <c r="R1180" i="10"/>
  <c r="R1181" i="10"/>
  <c r="R1182" i="10"/>
  <c r="R1183" i="10"/>
  <c r="R1184" i="10"/>
  <c r="R1185" i="10"/>
  <c r="R1187" i="10"/>
  <c r="R1188" i="10"/>
  <c r="R1189" i="10"/>
  <c r="R1190" i="10"/>
  <c r="R1191" i="10"/>
  <c r="R1192" i="10"/>
  <c r="R1193" i="10"/>
  <c r="R1194" i="10"/>
  <c r="R1195" i="10"/>
  <c r="R1197" i="10"/>
  <c r="R1198" i="10"/>
  <c r="R1199" i="10"/>
  <c r="R1200" i="10"/>
  <c r="R1201" i="10"/>
  <c r="R1202" i="10"/>
  <c r="R1203" i="10"/>
  <c r="R1204" i="10"/>
  <c r="R1205" i="10"/>
  <c r="R1207" i="10"/>
  <c r="R1208" i="10"/>
  <c r="R1209" i="10"/>
  <c r="R1210" i="10"/>
  <c r="R1211" i="10"/>
  <c r="R1212" i="10"/>
  <c r="R1214" i="10"/>
  <c r="R1215" i="10"/>
  <c r="R1216" i="10"/>
  <c r="R1217" i="10"/>
  <c r="R1218" i="10"/>
  <c r="R1219" i="10"/>
  <c r="R1221" i="10"/>
  <c r="R1222" i="10"/>
  <c r="R1223" i="10"/>
  <c r="R1224" i="10"/>
  <c r="R1225" i="10"/>
  <c r="R1226" i="10"/>
  <c r="R1227" i="10"/>
  <c r="R1237" i="10"/>
  <c r="R1238" i="10"/>
  <c r="R1250" i="10"/>
  <c r="R1251" i="10"/>
  <c r="R1287" i="10"/>
  <c r="R1288" i="10"/>
  <c r="R1289" i="10"/>
  <c r="R1290" i="10"/>
  <c r="R1291" i="10"/>
  <c r="R1292" i="10"/>
  <c r="R1293" i="10"/>
  <c r="R1294" i="10"/>
  <c r="R1295" i="10"/>
  <c r="R1297" i="10"/>
  <c r="R1298" i="10"/>
  <c r="R1299" i="10"/>
  <c r="R1300" i="10"/>
  <c r="R1301" i="10"/>
  <c r="R1302" i="10"/>
  <c r="R1304" i="10"/>
  <c r="R1305" i="10"/>
  <c r="R1306" i="10"/>
  <c r="R1307" i="10"/>
  <c r="R1308" i="10"/>
  <c r="R1309" i="10"/>
  <c r="R1310" i="10"/>
  <c r="R1311" i="10"/>
  <c r="R1323" i="10"/>
  <c r="R1324" i="10"/>
  <c r="R1325" i="10"/>
  <c r="R1326" i="10"/>
  <c r="R1327" i="10"/>
  <c r="R1328" i="10"/>
  <c r="R1329" i="10"/>
  <c r="R1330" i="10"/>
  <c r="R1331" i="10"/>
  <c r="R1332" i="10"/>
  <c r="R1333" i="10"/>
  <c r="R1334" i="10"/>
  <c r="R1340" i="10"/>
  <c r="R1341" i="10"/>
  <c r="R1342" i="10"/>
  <c r="R1343" i="10"/>
  <c r="R1346" i="10"/>
  <c r="R1347" i="10"/>
  <c r="R1348" i="10"/>
  <c r="R1349" i="10"/>
  <c r="R1350" i="10"/>
  <c r="R1351" i="10"/>
  <c r="R1352" i="10"/>
  <c r="R1353" i="10"/>
  <c r="R1357" i="10"/>
  <c r="R1358" i="10"/>
  <c r="R1359" i="10"/>
  <c r="R1360" i="10"/>
  <c r="R1361" i="10"/>
  <c r="R1366" i="10"/>
  <c r="R1367" i="10"/>
  <c r="R1368" i="10"/>
  <c r="R1369" i="10"/>
  <c r="R1370" i="10"/>
  <c r="R1376" i="10"/>
  <c r="R1377" i="10"/>
  <c r="R1378" i="10"/>
  <c r="R1392" i="10"/>
  <c r="R1393" i="10"/>
  <c r="R1394" i="10"/>
  <c r="R1395" i="10"/>
  <c r="R1396" i="10"/>
  <c r="R1397" i="10"/>
  <c r="R1398" i="10"/>
  <c r="R1399" i="10"/>
  <c r="R1400" i="10"/>
  <c r="R1401" i="10"/>
  <c r="R1402" i="10"/>
  <c r="R1403" i="10"/>
  <c r="R1404" i="10"/>
  <c r="R1405" i="10"/>
  <c r="R1406" i="10"/>
  <c r="R1407" i="10"/>
  <c r="R1408" i="10"/>
  <c r="R1409" i="10"/>
  <c r="R1410" i="10"/>
  <c r="R1411" i="10"/>
  <c r="R1412" i="10"/>
  <c r="R1413" i="10"/>
  <c r="R1414" i="10"/>
  <c r="R1417" i="10"/>
  <c r="R1418" i="10"/>
  <c r="R1419" i="10"/>
  <c r="R1420" i="10"/>
  <c r="R1421" i="10"/>
  <c r="R1422" i="10"/>
  <c r="R1423" i="10"/>
  <c r="R1424" i="10"/>
  <c r="R1425" i="10"/>
  <c r="R1426" i="10"/>
  <c r="R1427" i="10"/>
  <c r="R1438" i="10"/>
  <c r="R1439" i="10"/>
  <c r="R1440" i="10"/>
  <c r="R1441" i="10"/>
  <c r="R1442" i="10"/>
  <c r="R1443" i="10"/>
  <c r="R1444" i="10"/>
  <c r="R1445" i="10"/>
  <c r="R1446" i="10"/>
  <c r="R1447" i="10"/>
  <c r="R1448" i="10"/>
  <c r="R1449" i="10"/>
  <c r="R1450" i="10"/>
  <c r="R1451" i="10"/>
  <c r="R1453" i="10"/>
  <c r="R1454" i="10"/>
  <c r="R1455" i="10"/>
  <c r="R1456" i="10"/>
  <c r="R1457" i="10"/>
  <c r="R1458" i="10"/>
  <c r="R1460" i="10"/>
  <c r="R1461" i="10"/>
  <c r="R1462" i="10"/>
  <c r="R1463" i="10"/>
  <c r="R1464" i="10"/>
  <c r="R1465" i="10"/>
  <c r="R1466" i="10"/>
  <c r="R1467" i="10"/>
  <c r="R1468" i="10"/>
  <c r="R1470" i="10"/>
  <c r="R1471" i="10"/>
  <c r="R1472" i="10"/>
  <c r="R1473" i="10"/>
  <c r="R1474" i="10"/>
  <c r="R1475" i="10"/>
  <c r="R1476" i="10"/>
  <c r="R1477" i="10"/>
  <c r="R1478" i="10"/>
  <c r="R1479" i="10"/>
  <c r="R1480" i="10"/>
  <c r="R1481" i="10"/>
  <c r="R1482" i="10"/>
  <c r="R1494" i="10"/>
  <c r="R1495" i="10"/>
  <c r="R1496" i="10"/>
  <c r="R1497" i="10"/>
  <c r="R1498" i="10"/>
  <c r="R1499" i="10"/>
  <c r="R1500" i="10"/>
  <c r="R1502" i="10"/>
  <c r="R1503" i="10"/>
  <c r="R1504" i="10"/>
  <c r="R1505" i="10"/>
  <c r="R1506" i="10"/>
  <c r="R1508" i="10"/>
  <c r="R1509" i="10"/>
  <c r="R1510" i="10"/>
  <c r="R1511" i="10"/>
  <c r="R1512" i="10"/>
  <c r="R1513" i="10"/>
  <c r="R1515" i="10"/>
  <c r="R1516" i="10"/>
  <c r="R1517" i="10"/>
  <c r="R1518" i="10"/>
  <c r="R1519" i="10"/>
  <c r="R1521" i="10"/>
  <c r="R1522" i="10"/>
  <c r="R1523" i="10"/>
  <c r="R1524" i="10"/>
  <c r="R1525" i="10"/>
  <c r="R1526" i="10"/>
  <c r="R1527" i="10"/>
  <c r="R1529" i="10"/>
  <c r="R1530" i="10"/>
  <c r="R1531" i="10"/>
  <c r="R1532" i="10"/>
  <c r="R1533" i="10"/>
  <c r="R1534" i="10"/>
  <c r="R1535" i="10"/>
  <c r="R1536" i="10"/>
  <c r="R1538" i="10"/>
  <c r="R1539" i="10"/>
  <c r="R1540" i="10"/>
  <c r="R1541" i="10"/>
  <c r="R1542" i="10"/>
  <c r="R1544" i="10"/>
  <c r="R1545" i="10"/>
  <c r="R1546" i="10"/>
  <c r="R1547" i="10"/>
  <c r="R1548" i="10"/>
  <c r="R1550" i="10"/>
  <c r="R1551" i="10"/>
  <c r="R1552" i="10"/>
  <c r="R1553" i="10"/>
  <c r="R1554" i="10"/>
  <c r="R1555" i="10"/>
  <c r="R1557" i="10"/>
  <c r="R1558" i="10"/>
  <c r="R1559" i="10"/>
  <c r="R1560" i="10"/>
  <c r="R1561" i="10"/>
  <c r="R1562" i="10"/>
  <c r="R1563" i="10"/>
  <c r="R1564" i="10"/>
  <c r="R1565" i="10"/>
  <c r="R1566" i="10"/>
  <c r="R1567" i="10"/>
  <c r="R1568" i="10"/>
  <c r="R1570" i="10"/>
  <c r="R1571" i="10"/>
  <c r="R1572" i="10"/>
  <c r="R1573" i="10"/>
  <c r="R1574" i="10"/>
  <c r="R1575" i="10"/>
  <c r="R1577" i="10"/>
  <c r="R1578" i="10"/>
  <c r="R1579" i="10"/>
  <c r="R1580" i="10"/>
  <c r="R1581" i="10"/>
  <c r="R1582" i="10"/>
  <c r="R1586" i="10"/>
  <c r="R1587" i="10"/>
  <c r="R1588" i="10"/>
  <c r="R1589" i="10"/>
  <c r="R1592" i="10"/>
  <c r="R1593" i="10"/>
  <c r="R1594" i="10"/>
  <c r="R1595" i="10"/>
  <c r="R1596" i="10"/>
  <c r="R1598" i="10"/>
  <c r="R1599" i="10"/>
  <c r="R1600" i="10"/>
  <c r="R1601" i="10"/>
  <c r="R1602" i="10"/>
  <c r="R1603" i="10"/>
  <c r="R1604" i="10"/>
  <c r="R1605" i="10"/>
  <c r="R1606" i="10"/>
  <c r="R1607" i="10"/>
  <c r="R1617" i="10"/>
  <c r="R1618" i="10"/>
  <c r="R1619" i="10"/>
  <c r="R1620" i="10"/>
  <c r="R1621" i="10"/>
  <c r="R1623" i="10"/>
  <c r="R1624" i="10"/>
  <c r="R1625" i="10"/>
  <c r="R1626" i="10"/>
  <c r="R1627" i="10"/>
  <c r="R1628" i="10"/>
  <c r="R1629" i="10"/>
  <c r="R1630" i="10"/>
  <c r="R1633" i="10"/>
  <c r="R1634" i="10"/>
  <c r="R1635" i="10"/>
  <c r="R1636" i="10"/>
  <c r="R1637" i="10"/>
  <c r="R1638" i="10"/>
  <c r="R1639" i="10"/>
  <c r="R1640" i="10"/>
  <c r="R1642" i="10"/>
  <c r="R1643" i="10"/>
  <c r="R1644" i="10"/>
  <c r="R1645" i="10"/>
  <c r="R1646" i="10"/>
  <c r="R1647" i="10"/>
  <c r="R1648" i="10"/>
  <c r="R1650" i="10"/>
  <c r="R1651" i="10"/>
  <c r="R1652" i="10"/>
  <c r="R1653" i="10"/>
  <c r="R1654" i="10"/>
  <c r="R1655" i="10"/>
  <c r="R1656" i="10"/>
  <c r="R1657" i="10"/>
  <c r="R1659" i="10"/>
  <c r="R1660" i="10"/>
  <c r="R1661" i="10"/>
  <c r="R1662" i="10"/>
  <c r="R1663" i="10"/>
  <c r="R1664" i="10"/>
  <c r="R1665" i="10"/>
  <c r="R1676" i="10"/>
  <c r="R1677" i="10"/>
  <c r="R1678" i="10"/>
  <c r="R1679" i="10"/>
  <c r="R1680" i="10"/>
  <c r="R1681" i="10"/>
  <c r="R1682" i="10"/>
  <c r="R1683" i="10"/>
  <c r="R1696" i="10"/>
  <c r="R1697" i="10"/>
  <c r="R1698" i="10"/>
  <c r="R1699" i="10"/>
  <c r="R1700" i="10"/>
  <c r="R1701" i="10"/>
  <c r="R1702" i="10"/>
  <c r="R1703" i="10"/>
  <c r="R1704" i="10"/>
  <c r="R1705" i="10"/>
  <c r="R1716" i="10"/>
  <c r="R1717" i="10"/>
  <c r="R1718" i="10"/>
  <c r="R1720" i="10"/>
  <c r="R1721" i="10"/>
  <c r="R1722" i="10"/>
  <c r="R1723" i="10"/>
  <c r="R1724" i="10"/>
  <c r="R1725" i="10"/>
  <c r="R1728" i="10"/>
  <c r="R1729" i="10"/>
  <c r="R1730" i="10"/>
  <c r="R1731" i="10"/>
  <c r="R1732" i="10"/>
  <c r="R1733" i="10"/>
  <c r="R1754" i="10"/>
  <c r="R1755" i="10"/>
  <c r="R1756" i="10"/>
  <c r="R1767" i="10"/>
  <c r="R1768" i="10"/>
  <c r="R1769" i="10"/>
  <c r="R1770" i="10"/>
  <c r="R1772" i="10"/>
  <c r="R1773" i="10"/>
  <c r="R1774" i="10"/>
  <c r="R1775" i="10"/>
  <c r="R1776" i="10"/>
  <c r="R1777" i="10"/>
  <c r="R1787" i="10"/>
  <c r="R1788" i="10"/>
  <c r="R1789" i="10"/>
  <c r="R1792" i="10"/>
  <c r="R1793" i="10"/>
  <c r="R1794" i="10"/>
  <c r="R1795" i="10"/>
  <c r="R1796" i="10"/>
  <c r="R1798" i="10"/>
  <c r="R1799" i="10"/>
  <c r="R1800" i="10"/>
  <c r="R1801" i="10"/>
  <c r="R1802" i="10"/>
  <c r="R1803" i="10"/>
  <c r="R1804" i="10"/>
  <c r="R1812" i="10"/>
  <c r="R1813" i="10"/>
  <c r="R1814" i="10"/>
  <c r="R1815" i="10"/>
  <c r="R1816" i="10"/>
  <c r="R1817" i="10"/>
  <c r="R1818" i="10"/>
  <c r="R1819" i="10"/>
  <c r="R1820" i="10"/>
  <c r="R1821" i="10"/>
  <c r="R1822" i="10"/>
  <c r="R1823" i="10"/>
  <c r="R1826" i="10"/>
  <c r="R1827" i="10"/>
  <c r="R1828" i="10"/>
  <c r="R1829" i="10"/>
  <c r="R1830" i="10"/>
  <c r="R1836" i="10"/>
  <c r="R1837" i="10"/>
  <c r="R1838" i="10"/>
  <c r="R1840" i="10"/>
  <c r="R1841" i="10"/>
  <c r="R1842" i="10"/>
  <c r="R1843" i="10"/>
  <c r="R1844" i="10"/>
  <c r="R1845" i="10"/>
  <c r="R1846" i="10"/>
  <c r="R1847" i="10"/>
  <c r="R1849" i="10"/>
  <c r="R1850" i="10"/>
  <c r="R1851" i="10"/>
  <c r="R1852" i="10"/>
  <c r="R1853" i="10"/>
  <c r="R1854" i="10"/>
  <c r="R1861" i="10"/>
  <c r="R1862" i="10"/>
  <c r="R1863" i="10"/>
  <c r="R1864" i="10"/>
  <c r="R1865" i="10"/>
  <c r="R1869" i="10"/>
  <c r="R1870" i="10"/>
  <c r="R1871" i="10"/>
  <c r="R1872" i="10"/>
  <c r="R1873" i="10"/>
  <c r="R1892" i="10"/>
  <c r="R1893" i="10"/>
  <c r="R1894" i="10"/>
  <c r="R1895" i="10"/>
  <c r="R1896" i="10"/>
  <c r="R1897" i="10"/>
  <c r="R1898" i="10"/>
  <c r="R1900" i="10"/>
  <c r="R1901" i="10"/>
  <c r="R1902" i="10"/>
  <c r="R1903" i="10"/>
  <c r="R1904" i="10"/>
  <c r="R1905" i="10"/>
  <c r="R1906" i="10"/>
  <c r="R1909" i="10"/>
  <c r="R1910" i="10"/>
  <c r="R1911" i="10"/>
  <c r="R1912" i="10"/>
  <c r="R1913" i="10"/>
  <c r="R1914" i="10"/>
  <c r="R1938" i="10"/>
  <c r="R1939" i="10"/>
  <c r="R1940" i="10"/>
  <c r="R1941" i="10"/>
  <c r="R1943" i="10"/>
  <c r="R1944" i="10"/>
  <c r="R1945" i="10"/>
  <c r="R1946" i="10"/>
  <c r="R1947" i="10"/>
  <c r="R1948" i="10"/>
  <c r="R1949" i="10"/>
  <c r="R1950" i="10"/>
  <c r="R1951" i="10"/>
  <c r="R1952" i="10"/>
  <c r="R1953" i="10"/>
  <c r="R1954" i="10"/>
  <c r="R1955" i="10"/>
  <c r="R1956" i="10"/>
  <c r="R1957" i="10"/>
  <c r="R1958" i="10"/>
  <c r="R1960" i="10"/>
  <c r="R1961" i="10"/>
  <c r="R1962" i="10"/>
  <c r="R1963" i="10"/>
  <c r="R1964" i="10"/>
  <c r="R1965" i="10"/>
  <c r="R1966" i="10"/>
  <c r="R1996" i="10"/>
  <c r="R1997" i="10"/>
  <c r="R1998" i="10"/>
  <c r="R1999" i="10"/>
  <c r="R2000" i="10"/>
  <c r="R2001" i="10"/>
  <c r="R2002" i="10"/>
  <c r="R2003" i="10"/>
  <c r="R2004" i="10"/>
  <c r="R2005" i="10"/>
  <c r="R2006" i="10"/>
  <c r="R2007" i="10"/>
  <c r="R2008" i="10"/>
  <c r="R2009" i="10"/>
  <c r="R2010" i="10"/>
  <c r="R2011" i="10"/>
  <c r="R2013" i="10"/>
  <c r="R2014" i="10"/>
  <c r="R2015" i="10"/>
  <c r="R2016" i="10"/>
  <c r="R2017" i="10"/>
  <c r="R2018" i="10"/>
  <c r="R2019" i="10"/>
  <c r="R2021" i="10"/>
  <c r="R2022" i="10"/>
  <c r="R2023" i="10"/>
  <c r="R2024" i="10"/>
  <c r="R2025" i="10"/>
  <c r="R2026" i="10"/>
  <c r="R2027" i="10"/>
  <c r="R2029" i="10"/>
  <c r="R2030" i="10"/>
  <c r="R2031" i="10"/>
  <c r="R2032" i="10"/>
  <c r="R2033" i="10"/>
  <c r="R2034" i="10"/>
  <c r="R2035" i="10"/>
  <c r="R2037" i="10"/>
  <c r="R2038" i="10"/>
  <c r="R2039" i="10"/>
  <c r="R2040" i="10"/>
  <c r="R2041" i="10"/>
  <c r="R2042" i="10"/>
  <c r="R2043" i="10"/>
  <c r="R2047" i="10"/>
  <c r="R2048" i="10"/>
  <c r="R2049" i="10"/>
  <c r="R2050" i="10"/>
  <c r="R2051" i="10"/>
  <c r="R2052" i="10"/>
  <c r="R2053" i="10"/>
  <c r="R2056" i="10"/>
  <c r="R2057" i="10"/>
  <c r="R2058" i="10"/>
  <c r="R2059" i="10"/>
  <c r="R2060" i="10"/>
  <c r="R2061" i="10"/>
  <c r="R2062" i="10"/>
  <c r="R2063" i="10"/>
  <c r="R2066" i="10"/>
  <c r="R2067" i="10"/>
  <c r="R2068" i="10"/>
  <c r="R2069" i="10"/>
  <c r="R2070" i="10"/>
  <c r="R2071" i="10"/>
  <c r="R2072" i="10"/>
  <c r="R2073" i="10"/>
  <c r="R2074" i="10"/>
  <c r="R2126" i="10"/>
  <c r="R2127" i="10"/>
  <c r="R2128" i="10"/>
  <c r="R2129" i="10"/>
  <c r="R2131" i="10"/>
  <c r="R2132" i="10"/>
  <c r="R2133" i="10"/>
  <c r="R2134" i="10"/>
  <c r="R2135" i="10"/>
  <c r="R2136" i="10"/>
  <c r="R2138" i="10"/>
  <c r="R2139" i="10"/>
  <c r="R2140" i="10"/>
  <c r="R2141" i="10"/>
  <c r="R2142" i="10"/>
  <c r="R2143" i="10"/>
  <c r="R2144" i="10"/>
  <c r="R2146" i="10"/>
  <c r="R2147" i="10"/>
  <c r="R2148" i="10"/>
  <c r="R2149" i="10"/>
  <c r="R2150" i="10"/>
  <c r="R2151" i="10"/>
  <c r="R2152" i="10"/>
  <c r="R2153" i="10"/>
  <c r="R2154" i="10"/>
  <c r="R2155" i="10"/>
  <c r="R2156" i="10"/>
  <c r="R2157" i="10"/>
  <c r="R2158" i="10"/>
  <c r="R2172" i="10"/>
  <c r="R2173" i="10"/>
  <c r="R2174" i="10"/>
  <c r="R2175" i="10"/>
  <c r="R2195" i="10"/>
  <c r="R2196" i="10"/>
  <c r="R2197" i="10"/>
  <c r="R2198" i="10"/>
  <c r="R2199" i="10"/>
  <c r="R2209" i="10"/>
  <c r="R2210" i="10"/>
  <c r="R2211" i="10"/>
  <c r="R2212" i="10"/>
  <c r="R2213" i="10"/>
  <c r="R2215" i="10"/>
  <c r="R2216" i="10"/>
  <c r="R2217" i="10"/>
  <c r="R2218" i="10"/>
  <c r="R2219" i="10"/>
  <c r="R2220" i="10"/>
  <c r="R2221" i="10"/>
  <c r="R2222" i="10"/>
  <c r="R2223" i="10"/>
  <c r="R2237" i="10"/>
  <c r="R2238" i="10"/>
  <c r="R2239" i="10"/>
  <c r="R2241" i="10"/>
  <c r="R2242" i="10"/>
  <c r="R2243" i="10"/>
  <c r="R2244" i="10"/>
  <c r="R2245" i="10"/>
  <c r="R2246" i="10"/>
  <c r="R2247" i="10"/>
  <c r="R2248" i="10"/>
  <c r="R2249" i="10"/>
  <c r="R2251" i="10"/>
  <c r="R2252" i="10"/>
  <c r="R2253" i="10"/>
  <c r="R2254" i="10"/>
  <c r="R2255" i="10"/>
  <c r="R2256" i="10"/>
  <c r="R2257" i="10"/>
  <c r="R2258" i="10"/>
  <c r="R2259" i="10"/>
  <c r="R2261" i="10"/>
  <c r="R2262" i="10"/>
  <c r="R2263" i="10"/>
  <c r="R2264" i="10"/>
  <c r="R2265" i="10"/>
  <c r="R2266" i="10"/>
  <c r="R2267" i="10"/>
  <c r="R2268" i="10"/>
  <c r="R2269" i="10"/>
  <c r="R2273" i="10"/>
  <c r="R2274" i="10"/>
  <c r="R2275" i="10"/>
  <c r="R2276" i="10"/>
  <c r="R2277" i="10"/>
  <c r="R2278" i="10"/>
  <c r="R2279" i="10"/>
  <c r="R2282" i="10"/>
  <c r="R2283" i="10"/>
  <c r="R2284" i="10"/>
  <c r="R2285" i="10"/>
  <c r="R2286" i="10"/>
  <c r="R2287" i="10"/>
  <c r="R2288" i="10"/>
  <c r="R2289" i="10"/>
  <c r="R2291" i="10"/>
  <c r="R2292" i="10"/>
  <c r="R2293" i="10"/>
  <c r="R2294" i="10"/>
  <c r="R2295" i="10"/>
  <c r="R2296" i="10"/>
  <c r="R2297" i="10"/>
  <c r="R2298" i="10"/>
  <c r="R2299" i="10"/>
  <c r="R2300" i="10"/>
  <c r="R2301" i="10"/>
  <c r="R2304" i="10"/>
  <c r="R2305" i="10"/>
  <c r="R2306" i="10"/>
  <c r="R2307" i="10"/>
  <c r="R2308" i="10"/>
  <c r="R2309" i="10"/>
  <c r="R2310" i="10"/>
  <c r="R2311" i="10"/>
  <c r="R2313" i="10"/>
  <c r="R2314" i="10"/>
  <c r="R2315" i="10"/>
  <c r="R2316" i="10"/>
  <c r="R2317" i="10"/>
  <c r="R2318" i="10"/>
  <c r="R2319" i="10"/>
  <c r="R2320" i="10"/>
  <c r="R2321" i="10"/>
  <c r="R2323" i="10"/>
  <c r="R2324" i="10"/>
  <c r="R2325" i="10"/>
  <c r="R2326" i="10"/>
  <c r="R2327" i="10"/>
  <c r="R2328" i="10"/>
  <c r="R2329" i="10"/>
  <c r="R2330" i="10"/>
  <c r="R2332" i="10"/>
  <c r="R2333" i="10"/>
  <c r="R2334" i="10"/>
  <c r="R2335" i="10"/>
  <c r="R2336" i="10"/>
  <c r="R2337" i="10"/>
  <c r="R2338" i="10"/>
  <c r="R2346" i="10"/>
  <c r="R2347" i="10"/>
  <c r="R2348" i="10"/>
  <c r="R2349" i="10"/>
  <c r="R2350" i="10"/>
  <c r="R2351" i="10"/>
  <c r="R2352" i="10"/>
  <c r="R2353" i="10"/>
  <c r="R2354" i="10"/>
  <c r="R2363" i="10"/>
  <c r="R2364" i="10"/>
  <c r="R2365" i="10"/>
  <c r="R2366" i="10"/>
  <c r="R2367" i="10"/>
  <c r="R2368" i="10"/>
  <c r="R2370" i="10"/>
  <c r="R2371" i="10"/>
  <c r="R2372" i="10"/>
  <c r="R2373" i="10"/>
  <c r="R2374" i="10"/>
  <c r="R2376" i="10"/>
  <c r="R2377" i="10"/>
  <c r="R2378" i="10"/>
  <c r="R2379" i="10"/>
  <c r="R2380" i="10"/>
  <c r="R2382" i="10"/>
  <c r="R2383" i="10"/>
  <c r="R2384" i="10"/>
  <c r="R2385" i="10"/>
  <c r="R2386" i="10"/>
  <c r="R2388" i="10"/>
  <c r="R2389" i="10"/>
  <c r="R2390" i="10"/>
  <c r="R2391" i="10"/>
  <c r="R2392" i="10"/>
  <c r="R2394" i="10"/>
  <c r="R2395" i="10"/>
  <c r="R2396" i="10"/>
  <c r="R2397" i="10"/>
  <c r="R2398" i="10"/>
  <c r="R2400" i="10"/>
  <c r="R2401" i="10"/>
  <c r="R2402" i="10"/>
  <c r="R2403" i="10"/>
  <c r="R2404" i="10"/>
  <c r="R2405" i="10"/>
  <c r="R2406" i="10"/>
  <c r="R2407" i="10"/>
  <c r="R2408" i="10"/>
  <c r="R2409" i="10"/>
  <c r="R2410" i="10"/>
  <c r="R2411" i="10"/>
  <c r="R2412" i="10"/>
  <c r="R2413" i="10"/>
  <c r="R2422" i="10"/>
  <c r="R2423" i="10"/>
  <c r="R2424" i="10"/>
  <c r="R2425" i="10"/>
  <c r="R2426" i="10"/>
  <c r="R2428" i="10"/>
  <c r="R2429" i="10"/>
  <c r="R2430" i="10"/>
  <c r="R2431" i="10"/>
  <c r="R2432" i="10"/>
  <c r="R2433" i="10"/>
  <c r="R9" i="10"/>
  <c r="Q10" i="10"/>
  <c r="Q11" i="10"/>
  <c r="Q12" i="10"/>
  <c r="Q20" i="10"/>
  <c r="Q21" i="10"/>
  <c r="Q23" i="10"/>
  <c r="R23" i="10" s="1"/>
  <c r="Q24" i="10"/>
  <c r="R24" i="10" s="1"/>
  <c r="Q25" i="10"/>
  <c r="R25" i="10" s="1"/>
  <c r="Q26" i="10"/>
  <c r="R26" i="10" s="1"/>
  <c r="Q27" i="10"/>
  <c r="R27" i="10" s="1"/>
  <c r="Q28" i="10"/>
  <c r="R28" i="10" s="1"/>
  <c r="Q29" i="10"/>
  <c r="R29" i="10" s="1"/>
  <c r="Q30" i="10"/>
  <c r="R30" i="10" s="1"/>
  <c r="Q31" i="10"/>
  <c r="R31" i="10" s="1"/>
  <c r="Q32" i="10"/>
  <c r="R32" i="10" s="1"/>
  <c r="Q33" i="10"/>
  <c r="R33" i="10" s="1"/>
  <c r="Q34" i="10"/>
  <c r="R34" i="10" s="1"/>
  <c r="Q35" i="10"/>
  <c r="R35" i="10" s="1"/>
  <c r="Q36" i="10"/>
  <c r="R36" i="10" s="1"/>
  <c r="Q37" i="10"/>
  <c r="R37" i="10" s="1"/>
  <c r="Q38" i="10"/>
  <c r="R38" i="10" s="1"/>
  <c r="Q39" i="10"/>
  <c r="R39" i="10" s="1"/>
  <c r="Q40" i="10"/>
  <c r="R40" i="10" s="1"/>
  <c r="Q41" i="10"/>
  <c r="R41" i="10" s="1"/>
  <c r="Q42" i="10"/>
  <c r="R42" i="10" s="1"/>
  <c r="Q43" i="10"/>
  <c r="R43" i="10" s="1"/>
  <c r="Q44" i="10"/>
  <c r="R44" i="10" s="1"/>
  <c r="Q45" i="10"/>
  <c r="R45" i="10" s="1"/>
  <c r="Q46" i="10"/>
  <c r="Q54" i="10"/>
  <c r="Q55" i="10"/>
  <c r="Q68" i="10"/>
  <c r="Q69" i="10"/>
  <c r="Q70" i="10"/>
  <c r="Q71" i="10"/>
  <c r="Q72" i="10"/>
  <c r="Q73" i="10"/>
  <c r="Q74" i="10"/>
  <c r="Q75" i="10"/>
  <c r="Q76" i="10"/>
  <c r="Q78" i="10"/>
  <c r="Q79" i="10"/>
  <c r="Q80" i="10"/>
  <c r="Q81" i="10"/>
  <c r="Q82" i="10"/>
  <c r="Q83" i="10"/>
  <c r="Q84" i="10"/>
  <c r="R109" i="10"/>
  <c r="Q110" i="10"/>
  <c r="R110" i="10" s="1"/>
  <c r="Q111" i="10"/>
  <c r="R111" i="10" s="1"/>
  <c r="Q112" i="10"/>
  <c r="R112" i="10" s="1"/>
  <c r="Q113" i="10"/>
  <c r="R113" i="10" s="1"/>
  <c r="Q114" i="10"/>
  <c r="Q115" i="10"/>
  <c r="Q116" i="10"/>
  <c r="Q117" i="10"/>
  <c r="Q118" i="10"/>
  <c r="Q120" i="10"/>
  <c r="Q121" i="10"/>
  <c r="Q122" i="10"/>
  <c r="Q123" i="10"/>
  <c r="Q124" i="10"/>
  <c r="Q125" i="10"/>
  <c r="Q127" i="10"/>
  <c r="Q128" i="10"/>
  <c r="Q129" i="10"/>
  <c r="Q130" i="10"/>
  <c r="Q131" i="10"/>
  <c r="Q132" i="10"/>
  <c r="Q134" i="10"/>
  <c r="Q135" i="10"/>
  <c r="Q136" i="10"/>
  <c r="Q137" i="10"/>
  <c r="Q138" i="10"/>
  <c r="Q139" i="10"/>
  <c r="Q140" i="10"/>
  <c r="Q142" i="10"/>
  <c r="Q143" i="10"/>
  <c r="Q144" i="10"/>
  <c r="Q145" i="10"/>
  <c r="Q146" i="10"/>
  <c r="Q147" i="10"/>
  <c r="Q148" i="10"/>
  <c r="Q150" i="10"/>
  <c r="Q151" i="10"/>
  <c r="Q152" i="10"/>
  <c r="Q153" i="10"/>
  <c r="Q154" i="10"/>
  <c r="Q155" i="10"/>
  <c r="Q156" i="10"/>
  <c r="Q158" i="10"/>
  <c r="Q159" i="10"/>
  <c r="Q160" i="10"/>
  <c r="Q161" i="10"/>
  <c r="Q162" i="10"/>
  <c r="Q163" i="10"/>
  <c r="Q164" i="10"/>
  <c r="Q166" i="10"/>
  <c r="Q167" i="10"/>
  <c r="Q168" i="10"/>
  <c r="Q169" i="10"/>
  <c r="Q170" i="10"/>
  <c r="Q171" i="10"/>
  <c r="Q173" i="10"/>
  <c r="Q174" i="10"/>
  <c r="Q175" i="10"/>
  <c r="Q176" i="10"/>
  <c r="Q177" i="10"/>
  <c r="Q178" i="10"/>
  <c r="Q179" i="10"/>
  <c r="Q180" i="10"/>
  <c r="Q182" i="10"/>
  <c r="Q183" i="10"/>
  <c r="Q184" i="10"/>
  <c r="Q185" i="10"/>
  <c r="Q186" i="10"/>
  <c r="Q187" i="10"/>
  <c r="Q188" i="10"/>
  <c r="Q189" i="10"/>
  <c r="Q191" i="10"/>
  <c r="Q192" i="10"/>
  <c r="Q193" i="10"/>
  <c r="Q194" i="10"/>
  <c r="Q195" i="10"/>
  <c r="Q196" i="10"/>
  <c r="Q197" i="10"/>
  <c r="Q198" i="10"/>
  <c r="Q199" i="10"/>
  <c r="Q201" i="10"/>
  <c r="Q202" i="10"/>
  <c r="Q203" i="10"/>
  <c r="Q204" i="10"/>
  <c r="Q205" i="10"/>
  <c r="Q206" i="10"/>
  <c r="Q207" i="10"/>
  <c r="Q209" i="10"/>
  <c r="R209" i="10" s="1"/>
  <c r="Q210" i="10"/>
  <c r="R210" i="10" s="1"/>
  <c r="Q211" i="10"/>
  <c r="R211" i="10" s="1"/>
  <c r="Q212" i="10"/>
  <c r="R212" i="10" s="1"/>
  <c r="Q213" i="10"/>
  <c r="R213" i="10" s="1"/>
  <c r="Q214" i="10"/>
  <c r="R214" i="10" s="1"/>
  <c r="Q215" i="10"/>
  <c r="R215" i="10" s="1"/>
  <c r="Q216" i="10"/>
  <c r="R216" i="10" s="1"/>
  <c r="Q217" i="10"/>
  <c r="Q218" i="10"/>
  <c r="Q219" i="10"/>
  <c r="Q221" i="10"/>
  <c r="Q222" i="10"/>
  <c r="Q223" i="10"/>
  <c r="Q224" i="10"/>
  <c r="Q225" i="10"/>
  <c r="Q226" i="10"/>
  <c r="Q227" i="10"/>
  <c r="Q229" i="10"/>
  <c r="R229" i="10" s="1"/>
  <c r="Q230" i="10"/>
  <c r="R230" i="10" s="1"/>
  <c r="Q231" i="10"/>
  <c r="Q232" i="10"/>
  <c r="Q233" i="10"/>
  <c r="Q234" i="10"/>
  <c r="Q235" i="10"/>
  <c r="Q237" i="10"/>
  <c r="R237" i="10" s="1"/>
  <c r="Q238" i="10"/>
  <c r="R238" i="10" s="1"/>
  <c r="Q239" i="10"/>
  <c r="R239" i="10" s="1"/>
  <c r="Q240" i="10"/>
  <c r="R240" i="10" s="1"/>
  <c r="Q241" i="10"/>
  <c r="R241" i="10" s="1"/>
  <c r="Q242" i="10"/>
  <c r="R242" i="10" s="1"/>
  <c r="Q243" i="10"/>
  <c r="R243" i="10" s="1"/>
  <c r="Q244" i="10"/>
  <c r="R244" i="10" s="1"/>
  <c r="Q245" i="10"/>
  <c r="R245" i="10" s="1"/>
  <c r="Q246" i="10"/>
  <c r="R246" i="10" s="1"/>
  <c r="Q247" i="10"/>
  <c r="Q248" i="10"/>
  <c r="Q249" i="10"/>
  <c r="Q250" i="10"/>
  <c r="Q251" i="10"/>
  <c r="Q252" i="10"/>
  <c r="Q253" i="10"/>
  <c r="Q254" i="10"/>
  <c r="Q255" i="10"/>
  <c r="Q256" i="10"/>
  <c r="Q257" i="10"/>
  <c r="Q258" i="10"/>
  <c r="Q259" i="10"/>
  <c r="Q260" i="10"/>
  <c r="Q261" i="10"/>
  <c r="Q263" i="10"/>
  <c r="Q264" i="10"/>
  <c r="Q265" i="10"/>
  <c r="Q266" i="10"/>
  <c r="Q267" i="10"/>
  <c r="Q268" i="10"/>
  <c r="Q269" i="10"/>
  <c r="Q270" i="10"/>
  <c r="Q272" i="10"/>
  <c r="R272" i="10" s="1"/>
  <c r="R271" i="10" s="1"/>
  <c r="AI271" i="10" s="1"/>
  <c r="Q273" i="10"/>
  <c r="Q274" i="10"/>
  <c r="Q275" i="10"/>
  <c r="Q276" i="10"/>
  <c r="Q277" i="10"/>
  <c r="Q279" i="10"/>
  <c r="R279" i="10" s="1"/>
  <c r="Q280" i="10"/>
  <c r="R280" i="10" s="1"/>
  <c r="Q281" i="10"/>
  <c r="R281" i="10" s="1"/>
  <c r="Q282" i="10"/>
  <c r="R282" i="10" s="1"/>
  <c r="Q283" i="10"/>
  <c r="R283" i="10" s="1"/>
  <c r="Q284" i="10"/>
  <c r="R284" i="10" s="1"/>
  <c r="Q285" i="10"/>
  <c r="R285" i="10" s="1"/>
  <c r="Q286" i="10"/>
  <c r="R286" i="10" s="1"/>
  <c r="Q287" i="10"/>
  <c r="R287" i="10" s="1"/>
  <c r="Q288" i="10"/>
  <c r="R288" i="10" s="1"/>
  <c r="Q289" i="10"/>
  <c r="R289" i="10" s="1"/>
  <c r="Q290" i="10"/>
  <c r="R290" i="10" s="1"/>
  <c r="Q291" i="10"/>
  <c r="R291" i="10" s="1"/>
  <c r="Q292" i="10"/>
  <c r="Q293" i="10"/>
  <c r="Q294" i="10"/>
  <c r="Q295" i="10"/>
  <c r="Q296" i="10"/>
  <c r="Q297" i="10"/>
  <c r="Q298" i="10"/>
  <c r="Q299" i="10"/>
  <c r="Q300" i="10"/>
  <c r="Q301" i="10"/>
  <c r="Q302" i="10"/>
  <c r="Q303" i="10"/>
  <c r="Q304" i="10"/>
  <c r="Q305" i="10"/>
  <c r="Q306" i="10"/>
  <c r="Q307" i="10"/>
  <c r="Q309" i="10"/>
  <c r="R309" i="10" s="1"/>
  <c r="Q310" i="10"/>
  <c r="R310" i="10" s="1"/>
  <c r="Q311" i="10"/>
  <c r="R311" i="10" s="1"/>
  <c r="Q312" i="10"/>
  <c r="R312" i="10" s="1"/>
  <c r="Q313" i="10"/>
  <c r="R313" i="10" s="1"/>
  <c r="Q314" i="10"/>
  <c r="R314" i="10" s="1"/>
  <c r="Q315" i="10"/>
  <c r="Q316" i="10"/>
  <c r="Q317" i="10"/>
  <c r="Q318" i="10"/>
  <c r="Q319" i="10"/>
  <c r="Q320" i="10"/>
  <c r="Q321" i="10"/>
  <c r="Q322" i="10"/>
  <c r="Q323" i="10"/>
  <c r="Q324" i="10"/>
  <c r="Q325" i="10"/>
  <c r="Q326" i="10"/>
  <c r="Q327" i="10"/>
  <c r="Q328" i="10"/>
  <c r="Q329" i="10"/>
  <c r="Q330" i="10"/>
  <c r="Q331" i="10"/>
  <c r="Q333" i="10"/>
  <c r="Q334" i="10"/>
  <c r="Q335" i="10"/>
  <c r="Q336" i="10"/>
  <c r="Q337" i="10"/>
  <c r="Q338" i="10"/>
  <c r="Q339" i="10"/>
  <c r="Q340" i="10"/>
  <c r="Q341" i="10"/>
  <c r="Q342" i="10"/>
  <c r="Q343" i="10"/>
  <c r="Q344" i="10"/>
  <c r="Q345" i="10"/>
  <c r="Q346" i="10"/>
  <c r="Q347" i="10"/>
  <c r="Q348" i="10"/>
  <c r="Q350" i="10"/>
  <c r="R350" i="10" s="1"/>
  <c r="Q351" i="10"/>
  <c r="R351" i="10" s="1"/>
  <c r="Q352" i="10"/>
  <c r="R352" i="10" s="1"/>
  <c r="Q353" i="10"/>
  <c r="R353" i="10" s="1"/>
  <c r="Q354" i="10"/>
  <c r="R354" i="10" s="1"/>
  <c r="Q355" i="10"/>
  <c r="R355" i="10" s="1"/>
  <c r="Q356" i="10"/>
  <c r="R356" i="10" s="1"/>
  <c r="Q357" i="10"/>
  <c r="R357" i="10" s="1"/>
  <c r="Q358" i="10"/>
  <c r="R358" i="10" s="1"/>
  <c r="Q359" i="10"/>
  <c r="R359" i="10" s="1"/>
  <c r="Q360" i="10"/>
  <c r="R360" i="10" s="1"/>
  <c r="Q361" i="10"/>
  <c r="R361" i="10" s="1"/>
  <c r="Q362" i="10"/>
  <c r="R362" i="10" s="1"/>
  <c r="Q363" i="10"/>
  <c r="R363" i="10" s="1"/>
  <c r="Q364" i="10"/>
  <c r="R364" i="10" s="1"/>
  <c r="Q365" i="10"/>
  <c r="R365" i="10" s="1"/>
  <c r="Q366" i="10"/>
  <c r="R366" i="10" s="1"/>
  <c r="Q367" i="10"/>
  <c r="R367" i="10" s="1"/>
  <c r="Q368" i="10"/>
  <c r="Q369" i="10"/>
  <c r="Q370" i="10"/>
  <c r="Q371" i="10"/>
  <c r="Q372" i="10"/>
  <c r="Q373" i="10"/>
  <c r="Q374" i="10"/>
  <c r="Q375" i="10"/>
  <c r="Q376" i="10"/>
  <c r="Q377" i="10"/>
  <c r="Q378" i="10"/>
  <c r="Q379" i="10"/>
  <c r="Q380" i="10"/>
  <c r="Q381" i="10"/>
  <c r="Q382" i="10"/>
  <c r="Q383" i="10"/>
  <c r="Q384" i="10"/>
  <c r="Q386" i="10"/>
  <c r="R386" i="10" s="1"/>
  <c r="Q387" i="10"/>
  <c r="R387" i="10" s="1"/>
  <c r="Q388" i="10"/>
  <c r="R388" i="10" s="1"/>
  <c r="Q389" i="10"/>
  <c r="R389" i="10" s="1"/>
  <c r="Q390" i="10"/>
  <c r="R390" i="10" s="1"/>
  <c r="Q391" i="10"/>
  <c r="R391" i="10" s="1"/>
  <c r="Q392" i="10"/>
  <c r="R392" i="10" s="1"/>
  <c r="Q393" i="10"/>
  <c r="R393" i="10" s="1"/>
  <c r="Q394" i="10"/>
  <c r="R394" i="10" s="1"/>
  <c r="Q395" i="10"/>
  <c r="Q396" i="10"/>
  <c r="Q397" i="10"/>
  <c r="Q398" i="10"/>
  <c r="Q399" i="10"/>
  <c r="Q400" i="10"/>
  <c r="Q401" i="10"/>
  <c r="Q402" i="10"/>
  <c r="Q403" i="10"/>
  <c r="Q404" i="10"/>
  <c r="Q405" i="10"/>
  <c r="Q406" i="10"/>
  <c r="Q407" i="10"/>
  <c r="Q420" i="10"/>
  <c r="R420" i="10" s="1"/>
  <c r="Q421" i="10"/>
  <c r="R421" i="10" s="1"/>
  <c r="Q422" i="10"/>
  <c r="R422" i="10" s="1"/>
  <c r="Q423" i="10"/>
  <c r="R423" i="10" s="1"/>
  <c r="Q424" i="10"/>
  <c r="R424" i="10" s="1"/>
  <c r="Q425" i="10"/>
  <c r="Q426" i="10"/>
  <c r="Q427" i="10"/>
  <c r="Q443" i="10"/>
  <c r="R443" i="10" s="1"/>
  <c r="Q444" i="10"/>
  <c r="R444" i="10" s="1"/>
  <c r="Q445" i="10"/>
  <c r="R445" i="10" s="1"/>
  <c r="Q446" i="10"/>
  <c r="R446" i="10" s="1"/>
  <c r="Q447" i="10"/>
  <c r="R447" i="10" s="1"/>
  <c r="Q448" i="10"/>
  <c r="R448" i="10" s="1"/>
  <c r="Q449" i="10"/>
  <c r="R449" i="10" s="1"/>
  <c r="Q450" i="10"/>
  <c r="R450" i="10" s="1"/>
  <c r="Q451" i="10"/>
  <c r="R451" i="10" s="1"/>
  <c r="Q452" i="10"/>
  <c r="R452" i="10" s="1"/>
  <c r="Q453" i="10"/>
  <c r="Q454" i="10"/>
  <c r="Q456" i="10"/>
  <c r="Q457" i="10"/>
  <c r="Q458" i="10"/>
  <c r="Q459" i="10"/>
  <c r="Q460" i="10"/>
  <c r="Q461" i="10"/>
  <c r="Q462" i="10"/>
  <c r="Q463" i="10"/>
  <c r="Q464" i="10"/>
  <c r="Q466" i="10"/>
  <c r="R466" i="10" s="1"/>
  <c r="Q467" i="10"/>
  <c r="R467" i="10" s="1"/>
  <c r="Q468" i="10"/>
  <c r="R468" i="10" s="1"/>
  <c r="Q469" i="10"/>
  <c r="R469" i="10" s="1"/>
  <c r="Q470" i="10"/>
  <c r="R470" i="10" s="1"/>
  <c r="Q471" i="10"/>
  <c r="R471" i="10" s="1"/>
  <c r="Q472" i="10"/>
  <c r="R472" i="10" s="1"/>
  <c r="Q473" i="10"/>
  <c r="R473" i="10" s="1"/>
  <c r="Q474" i="10"/>
  <c r="R474" i="10" s="1"/>
  <c r="Q475" i="10"/>
  <c r="R475" i="10" s="1"/>
  <c r="Q476" i="10"/>
  <c r="R476" i="10" s="1"/>
  <c r="Q477" i="10"/>
  <c r="Q478" i="10"/>
  <c r="Q479" i="10"/>
  <c r="Q480" i="10"/>
  <c r="Q481" i="10"/>
  <c r="Q482" i="10"/>
  <c r="Q483" i="10"/>
  <c r="Q484" i="10"/>
  <c r="Q485" i="10"/>
  <c r="Q486" i="10"/>
  <c r="Q487" i="10"/>
  <c r="Q507" i="10"/>
  <c r="Q508" i="10"/>
  <c r="Q509" i="10"/>
  <c r="Q510" i="10"/>
  <c r="Q511" i="10"/>
  <c r="Q512" i="10"/>
  <c r="Q513" i="10"/>
  <c r="Q514" i="10"/>
  <c r="Q515" i="10"/>
  <c r="Q516" i="10"/>
  <c r="Q517" i="10"/>
  <c r="Q518" i="10"/>
  <c r="Q519" i="10"/>
  <c r="Q520" i="10"/>
  <c r="Q522" i="10"/>
  <c r="Q523" i="10"/>
  <c r="Q524" i="10"/>
  <c r="Q525" i="10"/>
  <c r="Q526" i="10"/>
  <c r="Q527" i="10"/>
  <c r="Q528" i="10"/>
  <c r="Q529" i="10"/>
  <c r="Q530" i="10"/>
  <c r="Q531" i="10"/>
  <c r="Q532" i="10"/>
  <c r="Q533" i="10"/>
  <c r="Q534" i="10"/>
  <c r="Q535" i="10"/>
  <c r="Q536" i="10"/>
  <c r="Q537" i="10"/>
  <c r="Q538" i="10"/>
  <c r="Q540" i="10"/>
  <c r="Q541" i="10"/>
  <c r="Q542" i="10"/>
  <c r="Q543" i="10"/>
  <c r="Q544" i="10"/>
  <c r="Q545" i="10"/>
  <c r="Q546" i="10"/>
  <c r="Q547" i="10"/>
  <c r="Q548" i="10"/>
  <c r="Q550" i="10"/>
  <c r="Q551" i="10"/>
  <c r="Q552" i="10"/>
  <c r="Q553" i="10"/>
  <c r="Q554" i="10"/>
  <c r="Q555" i="10"/>
  <c r="Q556" i="10"/>
  <c r="Q557" i="10"/>
  <c r="Q558" i="10"/>
  <c r="Q560" i="10"/>
  <c r="R560" i="10" s="1"/>
  <c r="Q561" i="10"/>
  <c r="R561" i="10" s="1"/>
  <c r="Q562" i="10"/>
  <c r="R562" i="10" s="1"/>
  <c r="Q563" i="10"/>
  <c r="R563" i="10" s="1"/>
  <c r="Q564" i="10"/>
  <c r="R564" i="10" s="1"/>
  <c r="Q565" i="10"/>
  <c r="Q566" i="10"/>
  <c r="Q568" i="10"/>
  <c r="R568" i="10" s="1"/>
  <c r="Q569" i="10"/>
  <c r="R569" i="10" s="1"/>
  <c r="Q570" i="10"/>
  <c r="Q571" i="10"/>
  <c r="Q572" i="10"/>
  <c r="Q573" i="10"/>
  <c r="Q574" i="10"/>
  <c r="Q575" i="10"/>
  <c r="Q576" i="10"/>
  <c r="Q577" i="10"/>
  <c r="Q578" i="10"/>
  <c r="Q579" i="10"/>
  <c r="Q580" i="10"/>
  <c r="Q581" i="10"/>
  <c r="Q582" i="10"/>
  <c r="Q583" i="10"/>
  <c r="Q584" i="10"/>
  <c r="Q586" i="10"/>
  <c r="R586" i="10" s="1"/>
  <c r="Q587" i="10"/>
  <c r="R587" i="10" s="1"/>
  <c r="Q588" i="10"/>
  <c r="R588" i="10" s="1"/>
  <c r="Q589" i="10"/>
  <c r="R589" i="10" s="1"/>
  <c r="Q590" i="10"/>
  <c r="R590" i="10" s="1"/>
  <c r="Q591" i="10"/>
  <c r="R591" i="10" s="1"/>
  <c r="Q592" i="10"/>
  <c r="R592" i="10" s="1"/>
  <c r="Q593" i="10"/>
  <c r="Q594" i="10"/>
  <c r="Q595" i="10"/>
  <c r="Q596" i="10"/>
  <c r="Q597" i="10"/>
  <c r="Q598" i="10"/>
  <c r="Q599" i="10"/>
  <c r="Q600" i="10"/>
  <c r="Q601" i="10"/>
  <c r="Q602" i="10"/>
  <c r="Q603" i="10"/>
  <c r="Q604" i="10"/>
  <c r="Q605" i="10"/>
  <c r="Q606" i="10"/>
  <c r="Q607" i="10"/>
  <c r="Q609" i="10"/>
  <c r="R609" i="10" s="1"/>
  <c r="Q610" i="10"/>
  <c r="R610" i="10" s="1"/>
  <c r="Q611" i="10"/>
  <c r="R611" i="10" s="1"/>
  <c r="Q612" i="10"/>
  <c r="Q613" i="10"/>
  <c r="Q614" i="10"/>
  <c r="Q615" i="10"/>
  <c r="Q616" i="10"/>
  <c r="Q617" i="10"/>
  <c r="Q618" i="10"/>
  <c r="Q620" i="10"/>
  <c r="Q621" i="10"/>
  <c r="Q622" i="10"/>
  <c r="Q623" i="10"/>
  <c r="Q624" i="10"/>
  <c r="Q625" i="10"/>
  <c r="Q626" i="10"/>
  <c r="Q627" i="10"/>
  <c r="Q628" i="10"/>
  <c r="Q630" i="10"/>
  <c r="Q631" i="10"/>
  <c r="Q632" i="10"/>
  <c r="Q633" i="10"/>
  <c r="Q634" i="10"/>
  <c r="Q635" i="10"/>
  <c r="Q636" i="10"/>
  <c r="Q637" i="10"/>
  <c r="Q638" i="10"/>
  <c r="Q639" i="10"/>
  <c r="Q641" i="10"/>
  <c r="R641" i="10" s="1"/>
  <c r="Q642" i="10"/>
  <c r="R642" i="10" s="1"/>
  <c r="Q643" i="10"/>
  <c r="Q644" i="10"/>
  <c r="Q645" i="10"/>
  <c r="Q646" i="10"/>
  <c r="Q647" i="10"/>
  <c r="Q648" i="10"/>
  <c r="Q650" i="10"/>
  <c r="Q651" i="10"/>
  <c r="Q652" i="10"/>
  <c r="Q653" i="10"/>
  <c r="Q654" i="10"/>
  <c r="Q655" i="10"/>
  <c r="Q656" i="10"/>
  <c r="Q657" i="10"/>
  <c r="Q658" i="10"/>
  <c r="Q659" i="10"/>
  <c r="Q660" i="10"/>
  <c r="Q662" i="10"/>
  <c r="Q663" i="10"/>
  <c r="Q664" i="10"/>
  <c r="Q665" i="10"/>
  <c r="Q666" i="10"/>
  <c r="Q667" i="10"/>
  <c r="Q668" i="10"/>
  <c r="Q669" i="10"/>
  <c r="Q671" i="10"/>
  <c r="Q672" i="10"/>
  <c r="Q673" i="10"/>
  <c r="Q674" i="10"/>
  <c r="Q675" i="10"/>
  <c r="Q676" i="10"/>
  <c r="Q677" i="10"/>
  <c r="Q678" i="10"/>
  <c r="Q679" i="10"/>
  <c r="Q681" i="10"/>
  <c r="Q682" i="10"/>
  <c r="Q683" i="10"/>
  <c r="Q684" i="10"/>
  <c r="Q685" i="10"/>
  <c r="Q686" i="10"/>
  <c r="Q687" i="10"/>
  <c r="Q689" i="10"/>
  <c r="Q690" i="10"/>
  <c r="Q691" i="10"/>
  <c r="Q692" i="10"/>
  <c r="Q693" i="10"/>
  <c r="Q694" i="10"/>
  <c r="Q695" i="10"/>
  <c r="Q697" i="10"/>
  <c r="R697" i="10" s="1"/>
  <c r="R696" i="10" s="1"/>
  <c r="Q698" i="10"/>
  <c r="Q699" i="10"/>
  <c r="Q700" i="10"/>
  <c r="Q701" i="10"/>
  <c r="Q702" i="10"/>
  <c r="Q703" i="10"/>
  <c r="Q706" i="10"/>
  <c r="R706" i="10" s="1"/>
  <c r="Q707" i="10"/>
  <c r="R707" i="10" s="1"/>
  <c r="Q708" i="10"/>
  <c r="R708" i="10" s="1"/>
  <c r="Q709" i="10"/>
  <c r="R709" i="10" s="1"/>
  <c r="Q710" i="10"/>
  <c r="Q711" i="10"/>
  <c r="Q712" i="10"/>
  <c r="Q713" i="10"/>
  <c r="Q714" i="10"/>
  <c r="Q715" i="10"/>
  <c r="Q716" i="10"/>
  <c r="Q717" i="10"/>
  <c r="Q718" i="10"/>
  <c r="Q719" i="10"/>
  <c r="Q720" i="10"/>
  <c r="Q721" i="10"/>
  <c r="Q722" i="10"/>
  <c r="Q723" i="10"/>
  <c r="Q724" i="10"/>
  <c r="Q725" i="10"/>
  <c r="Q726" i="10"/>
  <c r="Q727" i="10"/>
  <c r="Q728" i="10"/>
  <c r="Q729" i="10"/>
  <c r="Q730" i="10"/>
  <c r="Q731" i="10"/>
  <c r="Q732" i="10"/>
  <c r="Q733" i="10"/>
  <c r="Q734" i="10"/>
  <c r="Q735" i="10"/>
  <c r="Q736" i="10"/>
  <c r="Q737" i="10"/>
  <c r="Q738" i="10"/>
  <c r="Q739" i="10"/>
  <c r="Q740" i="10"/>
  <c r="Q742" i="10"/>
  <c r="Q743" i="10"/>
  <c r="Q744" i="10"/>
  <c r="Q745" i="10"/>
  <c r="Q746" i="10"/>
  <c r="Q747" i="10"/>
  <c r="Q748" i="10"/>
  <c r="Q749" i="10"/>
  <c r="Q750" i="10"/>
  <c r="Q752" i="10"/>
  <c r="Q753" i="10"/>
  <c r="Q754" i="10"/>
  <c r="Q755" i="10"/>
  <c r="Q756" i="10"/>
  <c r="Q757" i="10"/>
  <c r="Q758" i="10"/>
  <c r="Q759" i="10"/>
  <c r="Q761" i="10"/>
  <c r="Q762" i="10"/>
  <c r="Q763" i="10"/>
  <c r="Q764" i="10"/>
  <c r="Q765" i="10"/>
  <c r="Q766" i="10"/>
  <c r="Q768" i="10"/>
  <c r="R768" i="10" s="1"/>
  <c r="Q769" i="10"/>
  <c r="R769" i="10" s="1"/>
  <c r="Q770" i="10"/>
  <c r="R770" i="10" s="1"/>
  <c r="Q771" i="10"/>
  <c r="R771" i="10" s="1"/>
  <c r="Q772" i="10"/>
  <c r="R772" i="10" s="1"/>
  <c r="Q773" i="10"/>
  <c r="R773" i="10" s="1"/>
  <c r="Q774" i="10"/>
  <c r="R774" i="10" s="1"/>
  <c r="Q775" i="10"/>
  <c r="R775" i="10" s="1"/>
  <c r="Q776" i="10"/>
  <c r="R776" i="10" s="1"/>
  <c r="Q777" i="10"/>
  <c r="R777" i="10" s="1"/>
  <c r="Q778" i="10"/>
  <c r="R778" i="10" s="1"/>
  <c r="Q779" i="10"/>
  <c r="R779" i="10" s="1"/>
  <c r="Q780" i="10"/>
  <c r="R780" i="10" s="1"/>
  <c r="Q781" i="10"/>
  <c r="R781" i="10" s="1"/>
  <c r="Q782" i="10"/>
  <c r="R782" i="10" s="1"/>
  <c r="Q783" i="10"/>
  <c r="R783" i="10" s="1"/>
  <c r="Q784" i="10"/>
  <c r="Q785" i="10"/>
  <c r="Q786" i="10"/>
  <c r="Q788" i="10"/>
  <c r="Q789" i="10"/>
  <c r="Q790" i="10"/>
  <c r="Q791" i="10"/>
  <c r="Q792" i="10"/>
  <c r="Q793" i="10"/>
  <c r="Q795" i="10"/>
  <c r="R795" i="10" s="1"/>
  <c r="Q796" i="10"/>
  <c r="R796" i="10" s="1"/>
  <c r="Q797" i="10"/>
  <c r="R797" i="10" s="1"/>
  <c r="Q798" i="10"/>
  <c r="R798" i="10" s="1"/>
  <c r="Q799" i="10"/>
  <c r="R799" i="10" s="1"/>
  <c r="Q800" i="10"/>
  <c r="R800" i="10" s="1"/>
  <c r="Q801" i="10"/>
  <c r="R801" i="10" s="1"/>
  <c r="Q802" i="10"/>
  <c r="R802" i="10" s="1"/>
  <c r="Q803" i="10"/>
  <c r="R803" i="10" s="1"/>
  <c r="Q804" i="10"/>
  <c r="R804" i="10" s="1"/>
  <c r="Q805" i="10"/>
  <c r="R805" i="10" s="1"/>
  <c r="Q806" i="10"/>
  <c r="R806" i="10" s="1"/>
  <c r="Q807" i="10"/>
  <c r="R807" i="10" s="1"/>
  <c r="Q808" i="10"/>
  <c r="Q809" i="10"/>
  <c r="Q810" i="10"/>
  <c r="Q811" i="10"/>
  <c r="Q812" i="10"/>
  <c r="Q814" i="10"/>
  <c r="Q815" i="10"/>
  <c r="Q816" i="10"/>
  <c r="Q817" i="10"/>
  <c r="Q818" i="10"/>
  <c r="Q819" i="10"/>
  <c r="Q820" i="10"/>
  <c r="Q821" i="10"/>
  <c r="Q822" i="10"/>
  <c r="Q823" i="10"/>
  <c r="Q824" i="10"/>
  <c r="Q825" i="10"/>
  <c r="Q826" i="10"/>
  <c r="Q827" i="10"/>
  <c r="Q828" i="10"/>
  <c r="Q829" i="10"/>
  <c r="Q830" i="10"/>
  <c r="Q831" i="10"/>
  <c r="Q832" i="10"/>
  <c r="Q833" i="10"/>
  <c r="Q834" i="10"/>
  <c r="Q835" i="10"/>
  <c r="Q837" i="10"/>
  <c r="R837" i="10" s="1"/>
  <c r="Q838" i="10"/>
  <c r="R838" i="10" s="1"/>
  <c r="Q839" i="10"/>
  <c r="R839" i="10" s="1"/>
  <c r="Q840" i="10"/>
  <c r="R840" i="10" s="1"/>
  <c r="Q841" i="10"/>
  <c r="R841" i="10" s="1"/>
  <c r="Q842" i="10"/>
  <c r="R842" i="10" s="1"/>
  <c r="Q843" i="10"/>
  <c r="R843" i="10" s="1"/>
  <c r="Q844" i="10"/>
  <c r="R844" i="10" s="1"/>
  <c r="Q845" i="10"/>
  <c r="R845" i="10" s="1"/>
  <c r="Q846" i="10"/>
  <c r="R846" i="10" s="1"/>
  <c r="Q847" i="10"/>
  <c r="Q848" i="10"/>
  <c r="Q849" i="10"/>
  <c r="Q850" i="10"/>
  <c r="Q851" i="10"/>
  <c r="Q853" i="10"/>
  <c r="Q854" i="10"/>
  <c r="Q855" i="10"/>
  <c r="Q856" i="10"/>
  <c r="Q857" i="10"/>
  <c r="Q858" i="10"/>
  <c r="Q859" i="10"/>
  <c r="Q861" i="10"/>
  <c r="Q862" i="10"/>
  <c r="Q863" i="10"/>
  <c r="Q864" i="10"/>
  <c r="Q865" i="10"/>
  <c r="Q866" i="10"/>
  <c r="Q867" i="10"/>
  <c r="Q868" i="10"/>
  <c r="Q869" i="10"/>
  <c r="Q871" i="10"/>
  <c r="R871" i="10" s="1"/>
  <c r="Q872" i="10"/>
  <c r="R872" i="10" s="1"/>
  <c r="Q873" i="10"/>
  <c r="R873" i="10" s="1"/>
  <c r="Q874" i="10"/>
  <c r="R874" i="10" s="1"/>
  <c r="Q875" i="10"/>
  <c r="R875" i="10" s="1"/>
  <c r="Q876" i="10"/>
  <c r="R876" i="10" s="1"/>
  <c r="Q877" i="10"/>
  <c r="R877" i="10" s="1"/>
  <c r="Q878" i="10"/>
  <c r="R878" i="10" s="1"/>
  <c r="Q879" i="10"/>
  <c r="R879" i="10" s="1"/>
  <c r="Q880" i="10"/>
  <c r="R880" i="10" s="1"/>
  <c r="Q881" i="10"/>
  <c r="R881" i="10" s="1"/>
  <c r="Q882" i="10"/>
  <c r="R882" i="10" s="1"/>
  <c r="Q883" i="10"/>
  <c r="R883" i="10" s="1"/>
  <c r="Q884" i="10"/>
  <c r="R884" i="10" s="1"/>
  <c r="Q885" i="10"/>
  <c r="R885" i="10" s="1"/>
  <c r="Q886" i="10"/>
  <c r="R886" i="10" s="1"/>
  <c r="Q887" i="10"/>
  <c r="R887" i="10" s="1"/>
  <c r="Q888" i="10"/>
  <c r="R888" i="10" s="1"/>
  <c r="Q889" i="10"/>
  <c r="R889" i="10" s="1"/>
  <c r="Q890" i="10"/>
  <c r="R890" i="10" s="1"/>
  <c r="Q891" i="10"/>
  <c r="R891" i="10" s="1"/>
  <c r="Q892" i="10"/>
  <c r="R892" i="10" s="1"/>
  <c r="Q893" i="10"/>
  <c r="R893" i="10" s="1"/>
  <c r="Q894" i="10"/>
  <c r="R894" i="10" s="1"/>
  <c r="Q895" i="10"/>
  <c r="R895" i="10" s="1"/>
  <c r="Q896" i="10"/>
  <c r="R896" i="10" s="1"/>
  <c r="Q897" i="10"/>
  <c r="R897" i="10" s="1"/>
  <c r="Q898" i="10"/>
  <c r="R898" i="10" s="1"/>
  <c r="Q899" i="10"/>
  <c r="R899" i="10" s="1"/>
  <c r="Q900" i="10"/>
  <c r="R900" i="10" s="1"/>
  <c r="Q901" i="10"/>
  <c r="R901" i="10" s="1"/>
  <c r="Q902" i="10"/>
  <c r="R902" i="10" s="1"/>
  <c r="Q903" i="10"/>
  <c r="R903" i="10" s="1"/>
  <c r="Q904" i="10"/>
  <c r="R904" i="10" s="1"/>
  <c r="Q905" i="10"/>
  <c r="R905" i="10" s="1"/>
  <c r="Q906" i="10"/>
  <c r="R906" i="10" s="1"/>
  <c r="Q907" i="10"/>
  <c r="R907" i="10" s="1"/>
  <c r="Q908" i="10"/>
  <c r="R908" i="10" s="1"/>
  <c r="Q909" i="10"/>
  <c r="R909" i="10" s="1"/>
  <c r="Q910" i="10"/>
  <c r="R910" i="10" s="1"/>
  <c r="Q911" i="10"/>
  <c r="R911" i="10" s="1"/>
  <c r="Q912" i="10"/>
  <c r="R912" i="10" s="1"/>
  <c r="Q913" i="10"/>
  <c r="R913" i="10" s="1"/>
  <c r="Q914" i="10"/>
  <c r="R914" i="10" s="1"/>
  <c r="Q915" i="10"/>
  <c r="R915" i="10" s="1"/>
  <c r="Q916" i="10"/>
  <c r="R916" i="10" s="1"/>
  <c r="Q917" i="10"/>
  <c r="R917" i="10" s="1"/>
  <c r="Q918" i="10"/>
  <c r="R918" i="10" s="1"/>
  <c r="Q919" i="10"/>
  <c r="R919" i="10" s="1"/>
  <c r="Q920" i="10"/>
  <c r="R920" i="10" s="1"/>
  <c r="Q921" i="10"/>
  <c r="R921" i="10" s="1"/>
  <c r="Q922" i="10"/>
  <c r="R922" i="10" s="1"/>
  <c r="Q923" i="10"/>
  <c r="R923" i="10" s="1"/>
  <c r="Q924" i="10"/>
  <c r="R924" i="10" s="1"/>
  <c r="Q925" i="10"/>
  <c r="R925" i="10" s="1"/>
  <c r="Q926" i="10"/>
  <c r="R926" i="10" s="1"/>
  <c r="Q927" i="10"/>
  <c r="R927" i="10" s="1"/>
  <c r="Q928" i="10"/>
  <c r="R928" i="10" s="1"/>
  <c r="Q929" i="10"/>
  <c r="R929" i="10" s="1"/>
  <c r="Q930" i="10"/>
  <c r="R930" i="10" s="1"/>
  <c r="Q931" i="10"/>
  <c r="R931" i="10" s="1"/>
  <c r="Q932" i="10"/>
  <c r="R932" i="10" s="1"/>
  <c r="Q933" i="10"/>
  <c r="R933" i="10" s="1"/>
  <c r="Q934" i="10"/>
  <c r="Q935" i="10"/>
  <c r="Q936" i="10"/>
  <c r="Q937" i="10"/>
  <c r="Q939" i="10"/>
  <c r="Q940" i="10"/>
  <c r="Q941" i="10"/>
  <c r="Q942" i="10"/>
  <c r="Q943" i="10"/>
  <c r="Q944" i="10"/>
  <c r="Q946" i="10"/>
  <c r="Q947" i="10"/>
  <c r="Q948" i="10"/>
  <c r="Q949" i="10"/>
  <c r="Q950" i="10"/>
  <c r="Q951" i="10"/>
  <c r="Q952" i="10"/>
  <c r="Q954" i="10"/>
  <c r="Q955" i="10"/>
  <c r="Q956" i="10"/>
  <c r="Q957" i="10"/>
  <c r="Q958" i="10"/>
  <c r="Q959" i="10"/>
  <c r="Q960" i="10"/>
  <c r="Q962" i="10"/>
  <c r="Q963" i="10"/>
  <c r="Q964" i="10"/>
  <c r="Q965" i="10"/>
  <c r="Q966" i="10"/>
  <c r="Q967" i="10"/>
  <c r="Q968" i="10"/>
  <c r="Q970" i="10"/>
  <c r="Q971" i="10"/>
  <c r="Q972" i="10"/>
  <c r="Q973" i="10"/>
  <c r="Q974" i="10"/>
  <c r="Q975" i="10"/>
  <c r="Q976" i="10"/>
  <c r="Q978" i="10"/>
  <c r="R978" i="10" s="1"/>
  <c r="Q979" i="10"/>
  <c r="R979" i="10" s="1"/>
  <c r="Q980" i="10"/>
  <c r="R980" i="10" s="1"/>
  <c r="Q981" i="10"/>
  <c r="R981" i="10" s="1"/>
  <c r="Q982" i="10"/>
  <c r="R982" i="10" s="1"/>
  <c r="Q983" i="10"/>
  <c r="R983" i="10" s="1"/>
  <c r="Q984" i="10"/>
  <c r="R984" i="10" s="1"/>
  <c r="Q985" i="10"/>
  <c r="R985" i="10" s="1"/>
  <c r="Q986" i="10"/>
  <c r="R986" i="10" s="1"/>
  <c r="Q987" i="10"/>
  <c r="R987" i="10" s="1"/>
  <c r="Q988" i="10"/>
  <c r="R988" i="10" s="1"/>
  <c r="Q989" i="10"/>
  <c r="R989" i="10" s="1"/>
  <c r="Q990" i="10"/>
  <c r="R990" i="10" s="1"/>
  <c r="Q991" i="10"/>
  <c r="R991" i="10" s="1"/>
  <c r="Q992" i="10"/>
  <c r="R992" i="10" s="1"/>
  <c r="Q993" i="10"/>
  <c r="R993" i="10" s="1"/>
  <c r="Q994" i="10"/>
  <c r="R994" i="10" s="1"/>
  <c r="Q995" i="10"/>
  <c r="R995" i="10" s="1"/>
  <c r="Q996" i="10"/>
  <c r="R996" i="10" s="1"/>
  <c r="Q997" i="10"/>
  <c r="R997" i="10" s="1"/>
  <c r="Q998" i="10"/>
  <c r="R998" i="10" s="1"/>
  <c r="Q999" i="10"/>
  <c r="R999" i="10" s="1"/>
  <c r="Q1000" i="10"/>
  <c r="Q1001" i="10"/>
  <c r="Q1002" i="10"/>
  <c r="Q1003" i="10"/>
  <c r="Q1004" i="10"/>
  <c r="Q1005" i="10"/>
  <c r="Q1006" i="10"/>
  <c r="Q1007" i="10"/>
  <c r="Q1008" i="10"/>
  <c r="Q1010" i="10"/>
  <c r="R1010" i="10" s="1"/>
  <c r="Q1011" i="10"/>
  <c r="R1011" i="10" s="1"/>
  <c r="Q1012" i="10"/>
  <c r="R1012" i="10" s="1"/>
  <c r="Q1013" i="10"/>
  <c r="R1013" i="10" s="1"/>
  <c r="Q1014" i="10"/>
  <c r="R1014" i="10" s="1"/>
  <c r="Q1015" i="10"/>
  <c r="R1015" i="10" s="1"/>
  <c r="Q1016" i="10"/>
  <c r="R1016" i="10" s="1"/>
  <c r="Q1017" i="10"/>
  <c r="R1017" i="10" s="1"/>
  <c r="Q1018" i="10"/>
  <c r="R1018" i="10" s="1"/>
  <c r="Q1019" i="10"/>
  <c r="R1019" i="10" s="1"/>
  <c r="Q1020" i="10"/>
  <c r="R1020" i="10" s="1"/>
  <c r="Q1021" i="10"/>
  <c r="Q1022" i="10"/>
  <c r="Q1023" i="10"/>
  <c r="Q1024" i="10"/>
  <c r="Q1025" i="10"/>
  <c r="Q1027" i="10"/>
  <c r="Q1028" i="10"/>
  <c r="Q1029" i="10"/>
  <c r="Q1030" i="10"/>
  <c r="Q1031" i="10"/>
  <c r="Q1032" i="10"/>
  <c r="Q1033" i="10"/>
  <c r="Q1034" i="10"/>
  <c r="Q1035" i="10"/>
  <c r="Q1036" i="10"/>
  <c r="Q1037" i="10"/>
  <c r="Q1038" i="10"/>
  <c r="Q1039" i="10"/>
  <c r="Q1040" i="10"/>
  <c r="Q1042" i="10"/>
  <c r="R1042" i="10" s="1"/>
  <c r="Q1043" i="10"/>
  <c r="R1043" i="10" s="1"/>
  <c r="Q1044" i="10"/>
  <c r="R1044" i="10" s="1"/>
  <c r="Q1045" i="10"/>
  <c r="R1045" i="10" s="1"/>
  <c r="Q1046" i="10"/>
  <c r="R1046" i="10" s="1"/>
  <c r="Q1047" i="10"/>
  <c r="R1047" i="10" s="1"/>
  <c r="Q1048" i="10"/>
  <c r="R1048" i="10" s="1"/>
  <c r="Q1049" i="10"/>
  <c r="R1049" i="10" s="1"/>
  <c r="Q1050" i="10"/>
  <c r="R1050" i="10" s="1"/>
  <c r="Q1051" i="10"/>
  <c r="R1051" i="10" s="1"/>
  <c r="Q1052" i="10"/>
  <c r="R1052" i="10" s="1"/>
  <c r="Q1053" i="10"/>
  <c r="R1053" i="10" s="1"/>
  <c r="Q1054" i="10"/>
  <c r="R1054" i="10" s="1"/>
  <c r="Q1055" i="10"/>
  <c r="Q1056" i="10"/>
  <c r="Q1057" i="10"/>
  <c r="Q1059" i="10"/>
  <c r="Q1060" i="10"/>
  <c r="Q1061" i="10"/>
  <c r="Q1062" i="10"/>
  <c r="Q1063" i="10"/>
  <c r="Q1064" i="10"/>
  <c r="Q1065" i="10"/>
  <c r="Q1066" i="10"/>
  <c r="Q1067" i="10"/>
  <c r="Q1069" i="10"/>
  <c r="Q1070" i="10"/>
  <c r="Q1071" i="10"/>
  <c r="Q1072" i="10"/>
  <c r="Q1073" i="10"/>
  <c r="Q1074" i="10"/>
  <c r="Q1075" i="10"/>
  <c r="Q1076" i="10"/>
  <c r="R1079" i="10"/>
  <c r="R1080" i="10"/>
  <c r="R1081" i="10"/>
  <c r="R1082" i="10"/>
  <c r="R1083" i="10"/>
  <c r="R1084" i="10"/>
  <c r="R1085" i="10"/>
  <c r="R1086" i="10"/>
  <c r="R1087" i="10"/>
  <c r="R1088" i="10"/>
  <c r="R1089" i="10"/>
  <c r="R1090" i="10"/>
  <c r="R1091" i="10"/>
  <c r="R1092" i="10"/>
  <c r="R1093" i="10"/>
  <c r="R1094" i="10"/>
  <c r="Q1102" i="10"/>
  <c r="Q1103" i="10"/>
  <c r="Q1104" i="10"/>
  <c r="Q1105" i="10"/>
  <c r="Q1106" i="10"/>
  <c r="Q1107" i="10"/>
  <c r="Q1108" i="10"/>
  <c r="Q1109" i="10"/>
  <c r="Q1110" i="10"/>
  <c r="Q1111" i="10"/>
  <c r="Q1113" i="10"/>
  <c r="R1113" i="10" s="1"/>
  <c r="Q1114" i="10"/>
  <c r="R1114" i="10" s="1"/>
  <c r="Q1115" i="10"/>
  <c r="R1115" i="10" s="1"/>
  <c r="Q1116" i="10"/>
  <c r="R1116" i="10" s="1"/>
  <c r="Q1117" i="10"/>
  <c r="R1117" i="10" s="1"/>
  <c r="Q1118" i="10"/>
  <c r="R1118" i="10" s="1"/>
  <c r="Q1119" i="10"/>
  <c r="R1119" i="10" s="1"/>
  <c r="Q1120" i="10"/>
  <c r="R1120" i="10" s="1"/>
  <c r="Q1121" i="10"/>
  <c r="R1121" i="10" s="1"/>
  <c r="Q1122" i="10"/>
  <c r="R1122" i="10" s="1"/>
  <c r="Q1123" i="10"/>
  <c r="R1123" i="10" s="1"/>
  <c r="Q1124" i="10"/>
  <c r="R1124" i="10" s="1"/>
  <c r="Q1125" i="10"/>
  <c r="R1125" i="10" s="1"/>
  <c r="Q1126" i="10"/>
  <c r="R1126" i="10" s="1"/>
  <c r="Q1127" i="10"/>
  <c r="R1127" i="10" s="1"/>
  <c r="Q1128" i="10"/>
  <c r="R1128" i="10" s="1"/>
  <c r="Q1129" i="10"/>
  <c r="R1129" i="10" s="1"/>
  <c r="Q1130" i="10"/>
  <c r="R1130" i="10" s="1"/>
  <c r="Q1131" i="10"/>
  <c r="R1131" i="10" s="1"/>
  <c r="Q1132" i="10"/>
  <c r="R1132" i="10" s="1"/>
  <c r="Q1133" i="10"/>
  <c r="R1133" i="10" s="1"/>
  <c r="Q1134" i="10"/>
  <c r="R1134" i="10" s="1"/>
  <c r="Q1135" i="10"/>
  <c r="Q1136" i="10"/>
  <c r="Q1138" i="10"/>
  <c r="Q1139" i="10"/>
  <c r="Q1140" i="10"/>
  <c r="Q1141" i="10"/>
  <c r="Q1142" i="10"/>
  <c r="Q1143" i="10"/>
  <c r="Q1144" i="10"/>
  <c r="Q1145" i="10"/>
  <c r="Q1147" i="10"/>
  <c r="R1147" i="10" s="1"/>
  <c r="Q1148" i="10"/>
  <c r="R1148" i="10" s="1"/>
  <c r="Q1149" i="10"/>
  <c r="R1149" i="10" s="1"/>
  <c r="Q1150" i="10"/>
  <c r="Q1151" i="10"/>
  <c r="Q1152" i="10"/>
  <c r="Q1153" i="10"/>
  <c r="Q1155" i="10"/>
  <c r="Q1156" i="10"/>
  <c r="Q1157" i="10"/>
  <c r="Q1158" i="10"/>
  <c r="Q1159" i="10"/>
  <c r="Q1160" i="10"/>
  <c r="Q1162" i="10"/>
  <c r="Q1163" i="10"/>
  <c r="Q1164" i="10"/>
  <c r="Q1165" i="10"/>
  <c r="Q1166" i="10"/>
  <c r="Q1167" i="10"/>
  <c r="Q1169" i="10"/>
  <c r="R1169" i="10" s="1"/>
  <c r="Q1170" i="10"/>
  <c r="Q1171" i="10"/>
  <c r="Q1172" i="10"/>
  <c r="Q1173" i="10"/>
  <c r="Q1174" i="10"/>
  <c r="Q1175" i="10"/>
  <c r="Q1177" i="10"/>
  <c r="Q1178" i="10"/>
  <c r="Q1179" i="10"/>
  <c r="Q1180" i="10"/>
  <c r="Q1181" i="10"/>
  <c r="Q1182" i="10"/>
  <c r="Q1183" i="10"/>
  <c r="Q1184" i="10"/>
  <c r="Q1185" i="10"/>
  <c r="Q1187" i="10"/>
  <c r="Q1188" i="10"/>
  <c r="Q1189" i="10"/>
  <c r="Q1190" i="10"/>
  <c r="Q1191" i="10"/>
  <c r="Q1192" i="10"/>
  <c r="Q1193" i="10"/>
  <c r="Q1194" i="10"/>
  <c r="Q1195" i="10"/>
  <c r="Q1197" i="10"/>
  <c r="Q1198" i="10"/>
  <c r="Q1199" i="10"/>
  <c r="Q1200" i="10"/>
  <c r="Q1201" i="10"/>
  <c r="Q1202" i="10"/>
  <c r="Q1203" i="10"/>
  <c r="Q1204" i="10"/>
  <c r="Q1205" i="10"/>
  <c r="Q1207" i="10"/>
  <c r="Q1208" i="10"/>
  <c r="Q1209" i="10"/>
  <c r="Q1210" i="10"/>
  <c r="Q1211" i="10"/>
  <c r="Q1212" i="10"/>
  <c r="Q1214" i="10"/>
  <c r="Q1215" i="10"/>
  <c r="Q1216" i="10"/>
  <c r="Q1217" i="10"/>
  <c r="Q1218" i="10"/>
  <c r="Q1219" i="10"/>
  <c r="Q1221" i="10"/>
  <c r="Q1222" i="10"/>
  <c r="Q1223" i="10"/>
  <c r="Q1224" i="10"/>
  <c r="Q1225" i="10"/>
  <c r="Q1226" i="10"/>
  <c r="Q1227" i="10"/>
  <c r="Q1229" i="10"/>
  <c r="R1229" i="10" s="1"/>
  <c r="Q1230" i="10"/>
  <c r="R1230" i="10" s="1"/>
  <c r="Q1231" i="10"/>
  <c r="R1231" i="10" s="1"/>
  <c r="Q1232" i="10"/>
  <c r="R1232" i="10" s="1"/>
  <c r="Q1233" i="10"/>
  <c r="R1233" i="10" s="1"/>
  <c r="Q1234" i="10"/>
  <c r="R1234" i="10" s="1"/>
  <c r="Q1235" i="10"/>
  <c r="R1235" i="10" s="1"/>
  <c r="Q1236" i="10"/>
  <c r="R1236" i="10" s="1"/>
  <c r="Q1237" i="10"/>
  <c r="Q1238" i="10"/>
  <c r="Q1240" i="10"/>
  <c r="R1240" i="10" s="1"/>
  <c r="Q1241" i="10"/>
  <c r="R1241" i="10" s="1"/>
  <c r="Q1242" i="10"/>
  <c r="R1242" i="10" s="1"/>
  <c r="Q1243" i="10"/>
  <c r="R1243" i="10" s="1"/>
  <c r="Q1244" i="10"/>
  <c r="R1244" i="10" s="1"/>
  <c r="Q1245" i="10"/>
  <c r="R1245" i="10" s="1"/>
  <c r="Q1246" i="10"/>
  <c r="R1246" i="10" s="1"/>
  <c r="Q1247" i="10"/>
  <c r="R1247" i="10" s="1"/>
  <c r="Q1248" i="10"/>
  <c r="R1248" i="10" s="1"/>
  <c r="Q1249" i="10"/>
  <c r="R1249" i="10" s="1"/>
  <c r="Q1250" i="10"/>
  <c r="Q1251" i="10"/>
  <c r="Q1275" i="10"/>
  <c r="R1275" i="10" s="1"/>
  <c r="Q1276" i="10"/>
  <c r="R1276" i="10" s="1"/>
  <c r="Q1277" i="10"/>
  <c r="R1277" i="10" s="1"/>
  <c r="Q1278" i="10"/>
  <c r="R1278" i="10" s="1"/>
  <c r="Q1279" i="10"/>
  <c r="R1279" i="10" s="1"/>
  <c r="Q1280" i="10"/>
  <c r="R1280" i="10" s="1"/>
  <c r="Q1281" i="10"/>
  <c r="R1281" i="10" s="1"/>
  <c r="Q1282" i="10"/>
  <c r="R1282" i="10" s="1"/>
  <c r="Q1283" i="10"/>
  <c r="R1283" i="10" s="1"/>
  <c r="Q1284" i="10"/>
  <c r="R1284" i="10" s="1"/>
  <c r="Q1285" i="10"/>
  <c r="R1285" i="10" s="1"/>
  <c r="Q1286" i="10"/>
  <c r="R1286" i="10" s="1"/>
  <c r="Q1287" i="10"/>
  <c r="Q1288" i="10"/>
  <c r="Q1289" i="10"/>
  <c r="Q1290" i="10"/>
  <c r="Q1291" i="10"/>
  <c r="Q1292" i="10"/>
  <c r="Q1293" i="10"/>
  <c r="Q1294" i="10"/>
  <c r="Q1295" i="10"/>
  <c r="Q1297" i="10"/>
  <c r="Q1298" i="10"/>
  <c r="Q1299" i="10"/>
  <c r="Q1300" i="10"/>
  <c r="Q1301" i="10"/>
  <c r="Q1302" i="10"/>
  <c r="Q1304" i="10"/>
  <c r="Q1305" i="10"/>
  <c r="Q1306" i="10"/>
  <c r="Q1307" i="10"/>
  <c r="Q1308" i="10"/>
  <c r="Q1309" i="10"/>
  <c r="Q1310" i="10"/>
  <c r="Q1311" i="10"/>
  <c r="R1313" i="10"/>
  <c r="R1314" i="10"/>
  <c r="R1315" i="10"/>
  <c r="R1316" i="10"/>
  <c r="R1317" i="10"/>
  <c r="R1318" i="10"/>
  <c r="R1319" i="10"/>
  <c r="R1320" i="10"/>
  <c r="R1321" i="10"/>
  <c r="R1322" i="10"/>
  <c r="Q1336" i="10"/>
  <c r="R1336" i="10" s="1"/>
  <c r="Q1337" i="10"/>
  <c r="R1337" i="10" s="1"/>
  <c r="Q1338" i="10"/>
  <c r="R1338" i="10" s="1"/>
  <c r="Q1339" i="10"/>
  <c r="R1339" i="10" s="1"/>
  <c r="Q1340" i="10"/>
  <c r="Q1341" i="10"/>
  <c r="Q1342" i="10"/>
  <c r="Q1343" i="10"/>
  <c r="Q1345" i="10"/>
  <c r="R1345" i="10" s="1"/>
  <c r="Q1346" i="10"/>
  <c r="Q1347" i="10"/>
  <c r="Q1348" i="10"/>
  <c r="Q1349" i="10"/>
  <c r="Q1350" i="10"/>
  <c r="Q1351" i="10"/>
  <c r="Q1352" i="10"/>
  <c r="Q1353" i="10"/>
  <c r="Q1355" i="10"/>
  <c r="R1355" i="10" s="1"/>
  <c r="Q1356" i="10"/>
  <c r="R1356" i="10" s="1"/>
  <c r="Q1357" i="10"/>
  <c r="Q1358" i="10"/>
  <c r="Q1359" i="10"/>
  <c r="Q1360" i="10"/>
  <c r="Q1361" i="10"/>
  <c r="Q1363" i="10"/>
  <c r="R1363" i="10" s="1"/>
  <c r="Q1364" i="10"/>
  <c r="R1364" i="10" s="1"/>
  <c r="Q1365" i="10"/>
  <c r="R1365" i="10" s="1"/>
  <c r="Q1366" i="10"/>
  <c r="Q1367" i="10"/>
  <c r="Q1368" i="10"/>
  <c r="Q1369" i="10"/>
  <c r="Q1370" i="10"/>
  <c r="Q1372" i="10"/>
  <c r="R1372" i="10" s="1"/>
  <c r="Q1373" i="10"/>
  <c r="R1373" i="10" s="1"/>
  <c r="Q1374" i="10"/>
  <c r="R1374" i="10" s="1"/>
  <c r="Q1375" i="10"/>
  <c r="R1375" i="10" s="1"/>
  <c r="Q1376" i="10"/>
  <c r="Q1377" i="10"/>
  <c r="Q1378" i="10"/>
  <c r="Q1380" i="10"/>
  <c r="R1380" i="10" s="1"/>
  <c r="Q1381" i="10"/>
  <c r="R1381" i="10" s="1"/>
  <c r="Q1382" i="10"/>
  <c r="R1382" i="10" s="1"/>
  <c r="Q1383" i="10"/>
  <c r="R1383" i="10" s="1"/>
  <c r="Q1384" i="10"/>
  <c r="R1384" i="10" s="1"/>
  <c r="Q1385" i="10"/>
  <c r="R1385" i="10" s="1"/>
  <c r="Q1386" i="10"/>
  <c r="R1386" i="10" s="1"/>
  <c r="Q1387" i="10"/>
  <c r="R1387" i="10" s="1"/>
  <c r="Q1388" i="10"/>
  <c r="R1388" i="10" s="1"/>
  <c r="Q1389" i="10"/>
  <c r="R1389" i="10" s="1"/>
  <c r="Q1390" i="10"/>
  <c r="R1390" i="10" s="1"/>
  <c r="Q1391" i="10"/>
  <c r="R1391" i="10" s="1"/>
  <c r="Q1392" i="10"/>
  <c r="Q1393" i="10"/>
  <c r="Q1394" i="10"/>
  <c r="Q1395" i="10"/>
  <c r="Q1396" i="10"/>
  <c r="Q1397" i="10"/>
  <c r="Q1398" i="10"/>
  <c r="Q1399" i="10"/>
  <c r="Q1400" i="10"/>
  <c r="Q1401" i="10"/>
  <c r="Q1402" i="10"/>
  <c r="Q1403" i="10"/>
  <c r="Q1404" i="10"/>
  <c r="Q1405" i="10"/>
  <c r="Q1406" i="10"/>
  <c r="Q1407" i="10"/>
  <c r="Q1408" i="10"/>
  <c r="Q1409" i="10"/>
  <c r="Q1410" i="10"/>
  <c r="Q1411" i="10"/>
  <c r="Q1412" i="10"/>
  <c r="Q1413" i="10"/>
  <c r="Q1414" i="10"/>
  <c r="Q1416" i="10"/>
  <c r="R1416" i="10" s="1"/>
  <c r="Q1417" i="10"/>
  <c r="Q1418" i="10"/>
  <c r="Q1419" i="10"/>
  <c r="Q1420" i="10"/>
  <c r="Q1421" i="10"/>
  <c r="Q1422" i="10"/>
  <c r="Q1423" i="10"/>
  <c r="Q1424" i="10"/>
  <c r="Q1425" i="10"/>
  <c r="Q1426" i="10"/>
  <c r="Q1427" i="10"/>
  <c r="Q1429" i="10"/>
  <c r="R1429" i="10" s="1"/>
  <c r="Q1430" i="10"/>
  <c r="R1430" i="10" s="1"/>
  <c r="Q1431" i="10"/>
  <c r="R1431" i="10" s="1"/>
  <c r="Q1432" i="10"/>
  <c r="R1432" i="10" s="1"/>
  <c r="Q1433" i="10"/>
  <c r="R1433" i="10" s="1"/>
  <c r="Q1434" i="10"/>
  <c r="R1434" i="10" s="1"/>
  <c r="Q1435" i="10"/>
  <c r="R1435" i="10" s="1"/>
  <c r="Q1436" i="10"/>
  <c r="R1436" i="10" s="1"/>
  <c r="Q1437" i="10"/>
  <c r="R1437" i="10" s="1"/>
  <c r="Q1438" i="10"/>
  <c r="Q1439" i="10"/>
  <c r="Q1440" i="10"/>
  <c r="Q1441" i="10"/>
  <c r="Q1442" i="10"/>
  <c r="Q1443" i="10"/>
  <c r="Q1444" i="10"/>
  <c r="Q1445" i="10"/>
  <c r="Q1446" i="10"/>
  <c r="Q1447" i="10"/>
  <c r="Q1448" i="10"/>
  <c r="Q1449" i="10"/>
  <c r="Q1450" i="10"/>
  <c r="Q1451" i="10"/>
  <c r="Q1453" i="10"/>
  <c r="Q1454" i="10"/>
  <c r="Q1455" i="10"/>
  <c r="Q1456" i="10"/>
  <c r="Q1457" i="10"/>
  <c r="Q1458" i="10"/>
  <c r="Q1460" i="10"/>
  <c r="Q1461" i="10"/>
  <c r="Q1462" i="10"/>
  <c r="Q1463" i="10"/>
  <c r="Q1464" i="10"/>
  <c r="Q1465" i="10"/>
  <c r="Q1466" i="10"/>
  <c r="Q1467" i="10"/>
  <c r="Q1468" i="10"/>
  <c r="Q1470" i="10"/>
  <c r="Q1471" i="10"/>
  <c r="Q1472" i="10"/>
  <c r="Q1473" i="10"/>
  <c r="Q1474" i="10"/>
  <c r="Q1475" i="10"/>
  <c r="Q1476" i="10"/>
  <c r="Q1477" i="10"/>
  <c r="Q1478" i="10"/>
  <c r="Q1479" i="10"/>
  <c r="Q1480" i="10"/>
  <c r="Q1481" i="10"/>
  <c r="Q1482" i="10"/>
  <c r="Q1484" i="10"/>
  <c r="R1484" i="10" s="1"/>
  <c r="Q1485" i="10"/>
  <c r="R1485" i="10" s="1"/>
  <c r="Q1486" i="10"/>
  <c r="R1486" i="10" s="1"/>
  <c r="Q1487" i="10"/>
  <c r="R1487" i="10" s="1"/>
  <c r="Q1488" i="10"/>
  <c r="R1488" i="10" s="1"/>
  <c r="Q1489" i="10"/>
  <c r="R1489" i="10" s="1"/>
  <c r="Q1490" i="10"/>
  <c r="R1490" i="10" s="1"/>
  <c r="Q1491" i="10"/>
  <c r="R1491" i="10" s="1"/>
  <c r="Q1492" i="10"/>
  <c r="R1492" i="10" s="1"/>
  <c r="Q1493" i="10"/>
  <c r="R1493" i="10" s="1"/>
  <c r="Q1494" i="10"/>
  <c r="Q1495" i="10"/>
  <c r="Q1496" i="10"/>
  <c r="Q1497" i="10"/>
  <c r="Q1498" i="10"/>
  <c r="Q1499" i="10"/>
  <c r="Q1500" i="10"/>
  <c r="Q1502" i="10"/>
  <c r="Q1503" i="10"/>
  <c r="Q1504" i="10"/>
  <c r="Q1505" i="10"/>
  <c r="Q1506" i="10"/>
  <c r="Q1508" i="10"/>
  <c r="Q1509" i="10"/>
  <c r="Q1510" i="10"/>
  <c r="Q1511" i="10"/>
  <c r="Q1512" i="10"/>
  <c r="Q1513" i="10"/>
  <c r="Q1515" i="10"/>
  <c r="Q1516" i="10"/>
  <c r="Q1517" i="10"/>
  <c r="Q1518" i="10"/>
  <c r="Q1519" i="10"/>
  <c r="Q1521" i="10"/>
  <c r="Q1522" i="10"/>
  <c r="Q1523" i="10"/>
  <c r="Q1524" i="10"/>
  <c r="Q1525" i="10"/>
  <c r="Q1526" i="10"/>
  <c r="Q1527" i="10"/>
  <c r="Q1529" i="10"/>
  <c r="Q1530" i="10"/>
  <c r="Q1531" i="10"/>
  <c r="Q1532" i="10"/>
  <c r="Q1533" i="10"/>
  <c r="Q1534" i="10"/>
  <c r="Q1535" i="10"/>
  <c r="Q1536" i="10"/>
  <c r="Q1538" i="10"/>
  <c r="Q1539" i="10"/>
  <c r="Q1540" i="10"/>
  <c r="Q1541" i="10"/>
  <c r="Q1542" i="10"/>
  <c r="Q1544" i="10"/>
  <c r="Q1545" i="10"/>
  <c r="Q1546" i="10"/>
  <c r="Q1547" i="10"/>
  <c r="Q1548" i="10"/>
  <c r="Q1550" i="10"/>
  <c r="Q1551" i="10"/>
  <c r="Q1552" i="10"/>
  <c r="Q1553" i="10"/>
  <c r="Q1554" i="10"/>
  <c r="Q1555" i="10"/>
  <c r="Q1557" i="10"/>
  <c r="Q1558" i="10"/>
  <c r="Q1559" i="10"/>
  <c r="Q1560" i="10"/>
  <c r="Q1561" i="10"/>
  <c r="Q1562" i="10"/>
  <c r="Q1563" i="10"/>
  <c r="Q1564" i="10"/>
  <c r="Q1565" i="10"/>
  <c r="Q1566" i="10"/>
  <c r="Q1567" i="10"/>
  <c r="Q1568" i="10"/>
  <c r="Q1570" i="10"/>
  <c r="Q1571" i="10"/>
  <c r="Q1572" i="10"/>
  <c r="Q1573" i="10"/>
  <c r="Q1574" i="10"/>
  <c r="Q1575" i="10"/>
  <c r="Q1577" i="10"/>
  <c r="Q1578" i="10"/>
  <c r="Q1579" i="10"/>
  <c r="Q1580" i="10"/>
  <c r="Q1581" i="10"/>
  <c r="Q1582" i="10"/>
  <c r="Q1584" i="10"/>
  <c r="R1584" i="10" s="1"/>
  <c r="Q1585" i="10"/>
  <c r="R1585" i="10" s="1"/>
  <c r="Q1586" i="10"/>
  <c r="Q1587" i="10"/>
  <c r="Q1588" i="10"/>
  <c r="Q1589" i="10"/>
  <c r="Q1591" i="10"/>
  <c r="R1591" i="10" s="1"/>
  <c r="R1590" i="10" s="1"/>
  <c r="AI1590" i="10" s="1"/>
  <c r="Q1592" i="10"/>
  <c r="Q1593" i="10"/>
  <c r="Q1594" i="10"/>
  <c r="Q1595" i="10"/>
  <c r="Q1596" i="10"/>
  <c r="Q1598" i="10"/>
  <c r="Q1599" i="10"/>
  <c r="Q1600" i="10"/>
  <c r="Q1601" i="10"/>
  <c r="Q1602" i="10"/>
  <c r="Q1603" i="10"/>
  <c r="Q1604" i="10"/>
  <c r="Q1605" i="10"/>
  <c r="Q1606" i="10"/>
  <c r="Q1607" i="10"/>
  <c r="Q1609" i="10"/>
  <c r="R1609" i="10" s="1"/>
  <c r="Q1610" i="10"/>
  <c r="R1610" i="10" s="1"/>
  <c r="Q1611" i="10"/>
  <c r="R1611" i="10" s="1"/>
  <c r="Q1612" i="10"/>
  <c r="R1612" i="10" s="1"/>
  <c r="Q1613" i="10"/>
  <c r="R1613" i="10" s="1"/>
  <c r="Q1614" i="10"/>
  <c r="R1614" i="10" s="1"/>
  <c r="Q1615" i="10"/>
  <c r="R1615" i="10" s="1"/>
  <c r="Q1616" i="10"/>
  <c r="R1616" i="10" s="1"/>
  <c r="Q1617" i="10"/>
  <c r="Q1618" i="10"/>
  <c r="Q1619" i="10"/>
  <c r="Q1620" i="10"/>
  <c r="Q1621" i="10"/>
  <c r="Q1623" i="10"/>
  <c r="Q1624" i="10"/>
  <c r="Q1625" i="10"/>
  <c r="Q1626" i="10"/>
  <c r="Q1627" i="10"/>
  <c r="Q1628" i="10"/>
  <c r="Q1629" i="10"/>
  <c r="Q1630" i="10"/>
  <c r="Q1632" i="10"/>
  <c r="R1632" i="10" s="1"/>
  <c r="Q1633" i="10"/>
  <c r="Q1634" i="10"/>
  <c r="Q1635" i="10"/>
  <c r="Q1636" i="10"/>
  <c r="Q1637" i="10"/>
  <c r="Q1638" i="10"/>
  <c r="Q1639" i="10"/>
  <c r="Q1640" i="10"/>
  <c r="Q1642" i="10"/>
  <c r="Q1643" i="10"/>
  <c r="Q1644" i="10"/>
  <c r="Q1645" i="10"/>
  <c r="Q1646" i="10"/>
  <c r="Q1647" i="10"/>
  <c r="Q1648" i="10"/>
  <c r="Q1650" i="10"/>
  <c r="Q1651" i="10"/>
  <c r="Q1652" i="10"/>
  <c r="Q1653" i="10"/>
  <c r="Q1654" i="10"/>
  <c r="Q1655" i="10"/>
  <c r="Q1656" i="10"/>
  <c r="Q1657" i="10"/>
  <c r="Q1659" i="10"/>
  <c r="Q1660" i="10"/>
  <c r="Q1661" i="10"/>
  <c r="Q1662" i="10"/>
  <c r="Q1663" i="10"/>
  <c r="Q1664" i="10"/>
  <c r="Q1665" i="10"/>
  <c r="Q1676" i="10"/>
  <c r="Q1677" i="10"/>
  <c r="Q1678" i="10"/>
  <c r="Q1679" i="10"/>
  <c r="Q1680" i="10"/>
  <c r="Q1681" i="10"/>
  <c r="Q1682" i="10"/>
  <c r="Q1683" i="10"/>
  <c r="Q1694" i="10"/>
  <c r="R1694" i="10" s="1"/>
  <c r="Q1695" i="10"/>
  <c r="R1695" i="10" s="1"/>
  <c r="Q1696" i="10"/>
  <c r="Q1697" i="10"/>
  <c r="Q1698" i="10"/>
  <c r="Q1699" i="10"/>
  <c r="Q1700" i="10"/>
  <c r="Q1701" i="10"/>
  <c r="Q1702" i="10"/>
  <c r="Q1703" i="10"/>
  <c r="Q1704" i="10"/>
  <c r="Q1705" i="10"/>
  <c r="Q1712" i="10"/>
  <c r="R1712" i="10" s="1"/>
  <c r="Q1713" i="10"/>
  <c r="R1713" i="10" s="1"/>
  <c r="Q1714" i="10"/>
  <c r="R1714" i="10" s="1"/>
  <c r="Q1715" i="10"/>
  <c r="R1715" i="10" s="1"/>
  <c r="Q1716" i="10"/>
  <c r="Q1717" i="10"/>
  <c r="Q1718" i="10"/>
  <c r="Q1720" i="10"/>
  <c r="Q1721" i="10"/>
  <c r="Q1722" i="10"/>
  <c r="Q1723" i="10"/>
  <c r="Q1724" i="10"/>
  <c r="Q1725" i="10"/>
  <c r="Q1727" i="10"/>
  <c r="R1727" i="10" s="1"/>
  <c r="Q1728" i="10"/>
  <c r="Q1729" i="10"/>
  <c r="Q1730" i="10"/>
  <c r="Q1731" i="10"/>
  <c r="Q1732" i="10"/>
  <c r="Q1733" i="10"/>
  <c r="Q1735" i="10"/>
  <c r="R1735" i="10" s="1"/>
  <c r="Q1736" i="10"/>
  <c r="R1736" i="10" s="1"/>
  <c r="Q1737" i="10"/>
  <c r="R1737" i="10" s="1"/>
  <c r="Q1738" i="10"/>
  <c r="R1738" i="10" s="1"/>
  <c r="Q1739" i="10"/>
  <c r="R1739" i="10" s="1"/>
  <c r="Q1740" i="10"/>
  <c r="R1740" i="10" s="1"/>
  <c r="Q1741" i="10"/>
  <c r="R1741" i="10" s="1"/>
  <c r="Q1742" i="10"/>
  <c r="R1742" i="10" s="1"/>
  <c r="Q1743" i="10"/>
  <c r="R1743" i="10" s="1"/>
  <c r="Q1744" i="10"/>
  <c r="R1744" i="10" s="1"/>
  <c r="Q1745" i="10"/>
  <c r="R1745" i="10" s="1"/>
  <c r="Q1746" i="10"/>
  <c r="R1746" i="10" s="1"/>
  <c r="Q1747" i="10"/>
  <c r="R1747" i="10" s="1"/>
  <c r="Q1748" i="10"/>
  <c r="R1748" i="10" s="1"/>
  <c r="Q1749" i="10"/>
  <c r="R1749" i="10" s="1"/>
  <c r="Q1750" i="10"/>
  <c r="R1750" i="10" s="1"/>
  <c r="Q1751" i="10"/>
  <c r="R1751" i="10" s="1"/>
  <c r="Q1752" i="10"/>
  <c r="R1752" i="10" s="1"/>
  <c r="Q1753" i="10"/>
  <c r="R1753" i="10" s="1"/>
  <c r="Q1754" i="10"/>
  <c r="Q1755" i="10"/>
  <c r="Q1756" i="10"/>
  <c r="Q1758" i="10"/>
  <c r="R1758" i="10" s="1"/>
  <c r="Q1759" i="10"/>
  <c r="R1759" i="10" s="1"/>
  <c r="Q1760" i="10"/>
  <c r="R1760" i="10" s="1"/>
  <c r="Q1761" i="10"/>
  <c r="R1761" i="10" s="1"/>
  <c r="Q1762" i="10"/>
  <c r="R1762" i="10" s="1"/>
  <c r="Q1763" i="10"/>
  <c r="R1763" i="10" s="1"/>
  <c r="Q1764" i="10"/>
  <c r="R1764" i="10" s="1"/>
  <c r="Q1765" i="10"/>
  <c r="R1765" i="10" s="1"/>
  <c r="Q1766" i="10"/>
  <c r="R1766" i="10" s="1"/>
  <c r="Q1767" i="10"/>
  <c r="Q1768" i="10"/>
  <c r="Q1769" i="10"/>
  <c r="Q1770" i="10"/>
  <c r="Q1772" i="10"/>
  <c r="Q1773" i="10"/>
  <c r="Q1774" i="10"/>
  <c r="Q1775" i="10"/>
  <c r="Q1776" i="10"/>
  <c r="Q1777" i="10"/>
  <c r="Q1779" i="10"/>
  <c r="R1779" i="10" s="1"/>
  <c r="Q1780" i="10"/>
  <c r="R1780" i="10" s="1"/>
  <c r="Q1781" i="10"/>
  <c r="R1781" i="10" s="1"/>
  <c r="Q1782" i="10"/>
  <c r="R1782" i="10" s="1"/>
  <c r="Q1783" i="10"/>
  <c r="R1783" i="10" s="1"/>
  <c r="Q1784" i="10"/>
  <c r="R1784" i="10" s="1"/>
  <c r="Q1785" i="10"/>
  <c r="R1785" i="10" s="1"/>
  <c r="Q1786" i="10"/>
  <c r="R1786" i="10" s="1"/>
  <c r="Q1787" i="10"/>
  <c r="Q1788" i="10"/>
  <c r="Q1789" i="10"/>
  <c r="Q1791" i="10"/>
  <c r="R1791" i="10" s="1"/>
  <c r="Q1792" i="10"/>
  <c r="Q1793" i="10"/>
  <c r="Q1794" i="10"/>
  <c r="Q1795" i="10"/>
  <c r="Q1796" i="10"/>
  <c r="Q1798" i="10"/>
  <c r="Q1799" i="10"/>
  <c r="Q1800" i="10"/>
  <c r="Q1801" i="10"/>
  <c r="Q1802" i="10"/>
  <c r="Q1803" i="10"/>
  <c r="Q1804" i="10"/>
  <c r="Q1806" i="10"/>
  <c r="R1806" i="10" s="1"/>
  <c r="Q1807" i="10"/>
  <c r="R1807" i="10" s="1"/>
  <c r="Q1808" i="10"/>
  <c r="R1808" i="10" s="1"/>
  <c r="Q1809" i="10"/>
  <c r="R1809" i="10" s="1"/>
  <c r="Q1810" i="10"/>
  <c r="R1810" i="10" s="1"/>
  <c r="Q1811" i="10"/>
  <c r="R1811" i="10" s="1"/>
  <c r="Q1812" i="10"/>
  <c r="Q1813" i="10"/>
  <c r="Q1814" i="10"/>
  <c r="Q1815" i="10"/>
  <c r="Q1816" i="10"/>
  <c r="Q1817" i="10"/>
  <c r="Q1818" i="10"/>
  <c r="Q1819" i="10"/>
  <c r="Q1820" i="10"/>
  <c r="Q1821" i="10"/>
  <c r="Q1822" i="10"/>
  <c r="Q1823" i="10"/>
  <c r="Q1825" i="10"/>
  <c r="R1825" i="10" s="1"/>
  <c r="R1824" i="10" s="1"/>
  <c r="Q1826" i="10"/>
  <c r="Q1827" i="10"/>
  <c r="Q1828" i="10"/>
  <c r="Q1829" i="10"/>
  <c r="Q1830" i="10"/>
  <c r="Q1832" i="10"/>
  <c r="R1832" i="10" s="1"/>
  <c r="Q1833" i="10"/>
  <c r="R1833" i="10" s="1"/>
  <c r="Q1834" i="10"/>
  <c r="R1834" i="10" s="1"/>
  <c r="Q1835" i="10"/>
  <c r="R1835" i="10" s="1"/>
  <c r="Q1836" i="10"/>
  <c r="Q1837" i="10"/>
  <c r="Q1838" i="10"/>
  <c r="Q1840" i="10"/>
  <c r="Q1841" i="10"/>
  <c r="Q1842" i="10"/>
  <c r="Q1843" i="10"/>
  <c r="Q1844" i="10"/>
  <c r="Q1845" i="10"/>
  <c r="Q1846" i="10"/>
  <c r="Q1847" i="10"/>
  <c r="Q1849" i="10"/>
  <c r="Q1850" i="10"/>
  <c r="Q1851" i="10"/>
  <c r="Q1852" i="10"/>
  <c r="Q1853" i="10"/>
  <c r="Q1854" i="10"/>
  <c r="Q1856" i="10"/>
  <c r="R1856" i="10" s="1"/>
  <c r="Q1857" i="10"/>
  <c r="R1857" i="10" s="1"/>
  <c r="Q1858" i="10"/>
  <c r="R1858" i="10" s="1"/>
  <c r="Q1859" i="10"/>
  <c r="R1859" i="10" s="1"/>
  <c r="Q1860" i="10"/>
  <c r="R1860" i="10" s="1"/>
  <c r="Q1861" i="10"/>
  <c r="Q1862" i="10"/>
  <c r="Q1863" i="10"/>
  <c r="Q1864" i="10"/>
  <c r="Q1865" i="10"/>
  <c r="Q1867" i="10"/>
  <c r="R1867" i="10" s="1"/>
  <c r="Q1868" i="10"/>
  <c r="R1868" i="10" s="1"/>
  <c r="Q1869" i="10"/>
  <c r="Q1870" i="10"/>
  <c r="Q1871" i="10"/>
  <c r="Q1872" i="10"/>
  <c r="Q1873" i="10"/>
  <c r="Q1892" i="10"/>
  <c r="Q1893" i="10"/>
  <c r="Q1894" i="10"/>
  <c r="Q1895" i="10"/>
  <c r="Q1896" i="10"/>
  <c r="Q1897" i="10"/>
  <c r="Q1898" i="10"/>
  <c r="Q1900" i="10"/>
  <c r="Q1901" i="10"/>
  <c r="Q1902" i="10"/>
  <c r="Q1903" i="10"/>
  <c r="Q1904" i="10"/>
  <c r="Q1905" i="10"/>
  <c r="Q1906" i="10"/>
  <c r="Q1908" i="10"/>
  <c r="R1908" i="10" s="1"/>
  <c r="R1907" i="10" s="1"/>
  <c r="Q1909" i="10"/>
  <c r="Q1910" i="10"/>
  <c r="Q1911" i="10"/>
  <c r="Q1912" i="10"/>
  <c r="Q1913" i="10"/>
  <c r="Q1914" i="10"/>
  <c r="Q1916" i="10"/>
  <c r="R1916" i="10" s="1"/>
  <c r="Q1917" i="10"/>
  <c r="R1917" i="10" s="1"/>
  <c r="Q1918" i="10"/>
  <c r="R1918" i="10" s="1"/>
  <c r="Q1919" i="10"/>
  <c r="R1919" i="10" s="1"/>
  <c r="Q1920" i="10"/>
  <c r="R1920" i="10" s="1"/>
  <c r="Q1921" i="10"/>
  <c r="R1921" i="10" s="1"/>
  <c r="Q1922" i="10"/>
  <c r="R1922" i="10" s="1"/>
  <c r="Q1923" i="10"/>
  <c r="R1923" i="10" s="1"/>
  <c r="Q1924" i="10"/>
  <c r="R1924" i="10" s="1"/>
  <c r="Q1925" i="10"/>
  <c r="R1925" i="10" s="1"/>
  <c r="Q1926" i="10"/>
  <c r="R1926" i="10" s="1"/>
  <c r="Q1927" i="10"/>
  <c r="R1927" i="10" s="1"/>
  <c r="Q1928" i="10"/>
  <c r="R1928" i="10" s="1"/>
  <c r="Q1929" i="10"/>
  <c r="R1929" i="10" s="1"/>
  <c r="Q1930" i="10"/>
  <c r="R1930" i="10" s="1"/>
  <c r="Q1931" i="10"/>
  <c r="R1931" i="10" s="1"/>
  <c r="Q1932" i="10"/>
  <c r="R1932" i="10" s="1"/>
  <c r="Q1933" i="10"/>
  <c r="R1933" i="10" s="1"/>
  <c r="Q1934" i="10"/>
  <c r="R1934" i="10" s="1"/>
  <c r="Q1935" i="10"/>
  <c r="R1935" i="10" s="1"/>
  <c r="Q1936" i="10"/>
  <c r="R1936" i="10" s="1"/>
  <c r="Q1938" i="10"/>
  <c r="Q1939" i="10"/>
  <c r="Q1940" i="10"/>
  <c r="Q1941" i="10"/>
  <c r="Q1943" i="10"/>
  <c r="Q1944" i="10"/>
  <c r="Q1945" i="10"/>
  <c r="Q1946" i="10"/>
  <c r="Q1947" i="10"/>
  <c r="Q1948" i="10"/>
  <c r="Q1949" i="10"/>
  <c r="Q1950" i="10"/>
  <c r="Q1951" i="10"/>
  <c r="Q1952" i="10"/>
  <c r="Q1953" i="10"/>
  <c r="Q1954" i="10"/>
  <c r="Q1955" i="10"/>
  <c r="Q1956" i="10"/>
  <c r="Q1957" i="10"/>
  <c r="Q1958" i="10"/>
  <c r="Q1960" i="10"/>
  <c r="Q1961" i="10"/>
  <c r="Q1962" i="10"/>
  <c r="Q1963" i="10"/>
  <c r="Q1964" i="10"/>
  <c r="Q1965" i="10"/>
  <c r="Q1966" i="10"/>
  <c r="Q1991" i="10"/>
  <c r="R1991" i="10" s="1"/>
  <c r="Q1992" i="10"/>
  <c r="R1992" i="10" s="1"/>
  <c r="Q1993" i="10"/>
  <c r="R1993" i="10" s="1"/>
  <c r="Q1994" i="10"/>
  <c r="R1994" i="10" s="1"/>
  <c r="Q1995" i="10"/>
  <c r="R1995" i="10" s="1"/>
  <c r="Q1996" i="10"/>
  <c r="Q1997" i="10"/>
  <c r="Q1998" i="10"/>
  <c r="Q1999" i="10"/>
  <c r="Q2000" i="10"/>
  <c r="Q2001" i="10"/>
  <c r="Q2002" i="10"/>
  <c r="Q2003" i="10"/>
  <c r="Q2004" i="10"/>
  <c r="Q2005" i="10"/>
  <c r="Q2006" i="10"/>
  <c r="Q2007" i="10"/>
  <c r="Q2008" i="10"/>
  <c r="Q2009" i="10"/>
  <c r="Q2010" i="10"/>
  <c r="Q2011" i="10"/>
  <c r="Q2013" i="10"/>
  <c r="Q2014" i="10"/>
  <c r="Q2015" i="10"/>
  <c r="Q2016" i="10"/>
  <c r="Q2017" i="10"/>
  <c r="Q2018" i="10"/>
  <c r="Q2019" i="10"/>
  <c r="Q2021" i="10"/>
  <c r="Q2022" i="10"/>
  <c r="Q2023" i="10"/>
  <c r="Q2024" i="10"/>
  <c r="Q2025" i="10"/>
  <c r="Q2026" i="10"/>
  <c r="Q2027" i="10"/>
  <c r="Q2029" i="10"/>
  <c r="Q2030" i="10"/>
  <c r="Q2031" i="10"/>
  <c r="Q2032" i="10"/>
  <c r="Q2033" i="10"/>
  <c r="Q2034" i="10"/>
  <c r="Q2035" i="10"/>
  <c r="Q2037" i="10"/>
  <c r="Q2038" i="10"/>
  <c r="Q2039" i="10"/>
  <c r="Q2040" i="10"/>
  <c r="Q2041" i="10"/>
  <c r="Q2042" i="10"/>
  <c r="Q2043" i="10"/>
  <c r="Q2045" i="10"/>
  <c r="R2045" i="10" s="1"/>
  <c r="Q2046" i="10"/>
  <c r="R2046" i="10" s="1"/>
  <c r="Q2047" i="10"/>
  <c r="Q2048" i="10"/>
  <c r="Q2049" i="10"/>
  <c r="Q2050" i="10"/>
  <c r="Q2051" i="10"/>
  <c r="Q2052" i="10"/>
  <c r="Q2053" i="10"/>
  <c r="Q2055" i="10"/>
  <c r="R2055" i="10" s="1"/>
  <c r="Q2056" i="10"/>
  <c r="Q2057" i="10"/>
  <c r="Q2058" i="10"/>
  <c r="Q2059" i="10"/>
  <c r="Q2060" i="10"/>
  <c r="Q2061" i="10"/>
  <c r="Q2062" i="10"/>
  <c r="Q2063" i="10"/>
  <c r="Q2065" i="10"/>
  <c r="R2065" i="10" s="1"/>
  <c r="Q2066" i="10"/>
  <c r="Q2067" i="10"/>
  <c r="Q2068" i="10"/>
  <c r="Q2069" i="10"/>
  <c r="Q2070" i="10"/>
  <c r="Q2071" i="10"/>
  <c r="Q2072" i="10"/>
  <c r="Q2073" i="10"/>
  <c r="Q2074" i="10"/>
  <c r="Q2076" i="10"/>
  <c r="R2076" i="10" s="1"/>
  <c r="Q2077" i="10"/>
  <c r="R2077" i="10" s="1"/>
  <c r="Q2078" i="10"/>
  <c r="R2078" i="10" s="1"/>
  <c r="Q2079" i="10"/>
  <c r="R2079" i="10" s="1"/>
  <c r="Q2080" i="10"/>
  <c r="R2080" i="10" s="1"/>
  <c r="Q2081" i="10"/>
  <c r="R2081" i="10" s="1"/>
  <c r="Q2082" i="10"/>
  <c r="R2082" i="10" s="1"/>
  <c r="Q2083" i="10"/>
  <c r="R2083" i="10" s="1"/>
  <c r="Q2084" i="10"/>
  <c r="R2084" i="10" s="1"/>
  <c r="Q2085" i="10"/>
  <c r="R2085" i="10" s="1"/>
  <c r="Q2086" i="10"/>
  <c r="R2086" i="10" s="1"/>
  <c r="Q2087" i="10"/>
  <c r="R2087" i="10" s="1"/>
  <c r="Q2088" i="10"/>
  <c r="R2088" i="10" s="1"/>
  <c r="Q2089" i="10"/>
  <c r="R2089" i="10" s="1"/>
  <c r="Q2090" i="10"/>
  <c r="R2090" i="10" s="1"/>
  <c r="Q2091" i="10"/>
  <c r="R2091" i="10" s="1"/>
  <c r="Q2092" i="10"/>
  <c r="R2092" i="10" s="1"/>
  <c r="Q2093" i="10"/>
  <c r="R2093" i="10" s="1"/>
  <c r="Q2094" i="10"/>
  <c r="R2094" i="10" s="1"/>
  <c r="Q2095" i="10"/>
  <c r="R2095" i="10" s="1"/>
  <c r="Q2096" i="10"/>
  <c r="R2096" i="10" s="1"/>
  <c r="Q2097" i="10"/>
  <c r="R2097" i="10" s="1"/>
  <c r="Q2098" i="10"/>
  <c r="R2098" i="10" s="1"/>
  <c r="Q2099" i="10"/>
  <c r="R2099" i="10" s="1"/>
  <c r="Q2100" i="10"/>
  <c r="R2100" i="10" s="1"/>
  <c r="Q2101" i="10"/>
  <c r="R2101" i="10" s="1"/>
  <c r="Q2102" i="10"/>
  <c r="R2102" i="10" s="1"/>
  <c r="Q2103" i="10"/>
  <c r="R2103" i="10" s="1"/>
  <c r="Q2104" i="10"/>
  <c r="R2104" i="10" s="1"/>
  <c r="Q2105" i="10"/>
  <c r="R2105" i="10" s="1"/>
  <c r="Q2106" i="10"/>
  <c r="R2106" i="10" s="1"/>
  <c r="Q2107" i="10"/>
  <c r="R2107" i="10" s="1"/>
  <c r="Q2108" i="10"/>
  <c r="R2108" i="10" s="1"/>
  <c r="Q2109" i="10"/>
  <c r="R2109" i="10" s="1"/>
  <c r="Q2110" i="10"/>
  <c r="R2110" i="10" s="1"/>
  <c r="Q2111" i="10"/>
  <c r="R2111" i="10" s="1"/>
  <c r="Q2112" i="10"/>
  <c r="R2112" i="10" s="1"/>
  <c r="Q2113" i="10"/>
  <c r="R2113" i="10" s="1"/>
  <c r="Q2114" i="10"/>
  <c r="R2114" i="10" s="1"/>
  <c r="Q2115" i="10"/>
  <c r="R2115" i="10" s="1"/>
  <c r="Q2116" i="10"/>
  <c r="R2116" i="10" s="1"/>
  <c r="Q2117" i="10"/>
  <c r="R2117" i="10" s="1"/>
  <c r="Q2118" i="10"/>
  <c r="R2118" i="10" s="1"/>
  <c r="Q2119" i="10"/>
  <c r="R2119" i="10" s="1"/>
  <c r="Q2120" i="10"/>
  <c r="R2120" i="10" s="1"/>
  <c r="Q2121" i="10"/>
  <c r="R2121" i="10" s="1"/>
  <c r="Q2122" i="10"/>
  <c r="R2122" i="10" s="1"/>
  <c r="Q2123" i="10"/>
  <c r="R2123" i="10" s="1"/>
  <c r="Q2124" i="10"/>
  <c r="R2124" i="10" s="1"/>
  <c r="Q2125" i="10"/>
  <c r="R2125" i="10" s="1"/>
  <c r="Q2126" i="10"/>
  <c r="Q2127" i="10"/>
  <c r="Q2128" i="10"/>
  <c r="Q2129" i="10"/>
  <c r="Q2131" i="10"/>
  <c r="Q2132" i="10"/>
  <c r="Q2133" i="10"/>
  <c r="Q2134" i="10"/>
  <c r="Q2135" i="10"/>
  <c r="Q2136" i="10"/>
  <c r="Q2138" i="10"/>
  <c r="Q2139" i="10"/>
  <c r="Q2140" i="10"/>
  <c r="Q2141" i="10"/>
  <c r="Q2142" i="10"/>
  <c r="Q2143" i="10"/>
  <c r="Q2144" i="10"/>
  <c r="Q2146" i="10"/>
  <c r="Q2147" i="10"/>
  <c r="Q2148" i="10"/>
  <c r="Q2149" i="10"/>
  <c r="Q2150" i="10"/>
  <c r="Q2151" i="10"/>
  <c r="Q2152" i="10"/>
  <c r="Q2153" i="10"/>
  <c r="Q2154" i="10"/>
  <c r="Q2155" i="10"/>
  <c r="Q2156" i="10"/>
  <c r="Q2157" i="10"/>
  <c r="Q2158" i="10"/>
  <c r="Q2160" i="10"/>
  <c r="R2160" i="10" s="1"/>
  <c r="Q2161" i="10"/>
  <c r="R2161" i="10" s="1"/>
  <c r="Q2162" i="10"/>
  <c r="R2162" i="10" s="1"/>
  <c r="Q2163" i="10"/>
  <c r="R2163" i="10" s="1"/>
  <c r="Q2164" i="10"/>
  <c r="R2164" i="10" s="1"/>
  <c r="Q2165" i="10"/>
  <c r="R2165" i="10" s="1"/>
  <c r="Q2166" i="10"/>
  <c r="R2166" i="10" s="1"/>
  <c r="Q2167" i="10"/>
  <c r="R2167" i="10" s="1"/>
  <c r="Q2168" i="10"/>
  <c r="R2168" i="10" s="1"/>
  <c r="Q2169" i="10"/>
  <c r="R2169" i="10" s="1"/>
  <c r="Q2170" i="10"/>
  <c r="R2170" i="10" s="1"/>
  <c r="Q2171" i="10"/>
  <c r="R2171" i="10" s="1"/>
  <c r="Q2172" i="10"/>
  <c r="Q2173" i="10"/>
  <c r="Q2174" i="10"/>
  <c r="Q2175" i="10"/>
  <c r="Q2177" i="10"/>
  <c r="R2177" i="10" s="1"/>
  <c r="Q2178" i="10"/>
  <c r="R2178" i="10" s="1"/>
  <c r="Q2179" i="10"/>
  <c r="R2179" i="10" s="1"/>
  <c r="Q2180" i="10"/>
  <c r="R2180" i="10" s="1"/>
  <c r="Q2181" i="10"/>
  <c r="R2181" i="10" s="1"/>
  <c r="Q2182" i="10"/>
  <c r="R2182" i="10" s="1"/>
  <c r="Q2183" i="10"/>
  <c r="R2183" i="10" s="1"/>
  <c r="Q2184" i="10"/>
  <c r="R2184" i="10" s="1"/>
  <c r="Q2185" i="10"/>
  <c r="R2185" i="10" s="1"/>
  <c r="Q2186" i="10"/>
  <c r="R2186" i="10" s="1"/>
  <c r="Q2187" i="10"/>
  <c r="R2187" i="10" s="1"/>
  <c r="Q2188" i="10"/>
  <c r="R2188" i="10" s="1"/>
  <c r="Q2189" i="10"/>
  <c r="R2189" i="10" s="1"/>
  <c r="Q2190" i="10"/>
  <c r="R2190" i="10" s="1"/>
  <c r="Q2191" i="10"/>
  <c r="R2191" i="10" s="1"/>
  <c r="Q2192" i="10"/>
  <c r="R2192" i="10" s="1"/>
  <c r="Q2193" i="10"/>
  <c r="R2193" i="10" s="1"/>
  <c r="Q2195" i="10"/>
  <c r="Q2196" i="10"/>
  <c r="Q2197" i="10"/>
  <c r="Q2198" i="10"/>
  <c r="Q2199" i="10"/>
  <c r="Q2201" i="10"/>
  <c r="R2201" i="10" s="1"/>
  <c r="Q2202" i="10"/>
  <c r="R2202" i="10" s="1"/>
  <c r="Q2203" i="10"/>
  <c r="R2203" i="10" s="1"/>
  <c r="Q2204" i="10"/>
  <c r="R2204" i="10" s="1"/>
  <c r="Q2205" i="10"/>
  <c r="R2205" i="10" s="1"/>
  <c r="Q2206" i="10"/>
  <c r="R2206" i="10" s="1"/>
  <c r="Q2207" i="10"/>
  <c r="R2207" i="10" s="1"/>
  <c r="Q2208" i="10"/>
  <c r="R2208" i="10" s="1"/>
  <c r="Q2209" i="10"/>
  <c r="Q2210" i="10"/>
  <c r="Q2211" i="10"/>
  <c r="Q2212" i="10"/>
  <c r="Q2213" i="10"/>
  <c r="Q2215" i="10"/>
  <c r="Q2216" i="10"/>
  <c r="Q2217" i="10"/>
  <c r="Q2218" i="10"/>
  <c r="Q2219" i="10"/>
  <c r="Q2220" i="10"/>
  <c r="Q2221" i="10"/>
  <c r="Q2222" i="10"/>
  <c r="Q2223" i="10"/>
  <c r="Q2225" i="10"/>
  <c r="R2225" i="10" s="1"/>
  <c r="Q2226" i="10"/>
  <c r="R2226" i="10" s="1"/>
  <c r="Q2227" i="10"/>
  <c r="R2227" i="10" s="1"/>
  <c r="Q2228" i="10"/>
  <c r="R2228" i="10" s="1"/>
  <c r="Q2229" i="10"/>
  <c r="R2229" i="10" s="1"/>
  <c r="Q2230" i="10"/>
  <c r="R2230" i="10" s="1"/>
  <c r="Q2231" i="10"/>
  <c r="R2231" i="10" s="1"/>
  <c r="Q2232" i="10"/>
  <c r="R2232" i="10" s="1"/>
  <c r="Q2233" i="10"/>
  <c r="R2233" i="10" s="1"/>
  <c r="Q2234" i="10"/>
  <c r="R2234" i="10" s="1"/>
  <c r="Q2235" i="10"/>
  <c r="R2235" i="10" s="1"/>
  <c r="Q2236" i="10"/>
  <c r="R2236" i="10" s="1"/>
  <c r="Q2237" i="10"/>
  <c r="Q2238" i="10"/>
  <c r="Q2239" i="10"/>
  <c r="Q2241" i="10"/>
  <c r="Q2242" i="10"/>
  <c r="Q2243" i="10"/>
  <c r="Q2244" i="10"/>
  <c r="Q2245" i="10"/>
  <c r="Q2246" i="10"/>
  <c r="Q2247" i="10"/>
  <c r="Q2248" i="10"/>
  <c r="Q2249" i="10"/>
  <c r="Q2251" i="10"/>
  <c r="Q2252" i="10"/>
  <c r="Q2253" i="10"/>
  <c r="Q2254" i="10"/>
  <c r="Q2255" i="10"/>
  <c r="Q2256" i="10"/>
  <c r="Q2257" i="10"/>
  <c r="Q2258" i="10"/>
  <c r="Q2259" i="10"/>
  <c r="Q2261" i="10"/>
  <c r="Q2262" i="10"/>
  <c r="Q2263" i="10"/>
  <c r="Q2264" i="10"/>
  <c r="Q2265" i="10"/>
  <c r="Q2266" i="10"/>
  <c r="Q2267" i="10"/>
  <c r="Q2268" i="10"/>
  <c r="Q2269" i="10"/>
  <c r="Q2271" i="10"/>
  <c r="R2271" i="10" s="1"/>
  <c r="Q2272" i="10"/>
  <c r="R2272" i="10" s="1"/>
  <c r="Q2273" i="10"/>
  <c r="Q2274" i="10"/>
  <c r="Q2275" i="10"/>
  <c r="Q2276" i="10"/>
  <c r="Q2277" i="10"/>
  <c r="Q2278" i="10"/>
  <c r="Q2279" i="10"/>
  <c r="Q2281" i="10"/>
  <c r="R2281" i="10" s="1"/>
  <c r="Q2282" i="10"/>
  <c r="Q2283" i="10"/>
  <c r="Q2284" i="10"/>
  <c r="Q2285" i="10"/>
  <c r="Q2286" i="10"/>
  <c r="Q2287" i="10"/>
  <c r="Q2288" i="10"/>
  <c r="Q2289" i="10"/>
  <c r="Q2291" i="10"/>
  <c r="Q2292" i="10"/>
  <c r="Q2293" i="10"/>
  <c r="Q2294" i="10"/>
  <c r="Q2295" i="10"/>
  <c r="Q2296" i="10"/>
  <c r="Q2297" i="10"/>
  <c r="Q2298" i="10"/>
  <c r="Q2299" i="10"/>
  <c r="Q2300" i="10"/>
  <c r="Q2301" i="10"/>
  <c r="Q2303" i="10"/>
  <c r="R2303" i="10" s="1"/>
  <c r="Q2304" i="10"/>
  <c r="Q2305" i="10"/>
  <c r="Q2306" i="10"/>
  <c r="Q2307" i="10"/>
  <c r="Q2308" i="10"/>
  <c r="Q2309" i="10"/>
  <c r="Q2310" i="10"/>
  <c r="Q2311" i="10"/>
  <c r="Q2313" i="10"/>
  <c r="Q2314" i="10"/>
  <c r="Q2315" i="10"/>
  <c r="Q2316" i="10"/>
  <c r="Q2317" i="10"/>
  <c r="Q2318" i="10"/>
  <c r="Q2319" i="10"/>
  <c r="Q2320" i="10"/>
  <c r="Q2321" i="10"/>
  <c r="Q2323" i="10"/>
  <c r="Q2324" i="10"/>
  <c r="Q2325" i="10"/>
  <c r="Q2326" i="10"/>
  <c r="Q2327" i="10"/>
  <c r="Q2328" i="10"/>
  <c r="Q2329" i="10"/>
  <c r="Q2330" i="10"/>
  <c r="Q2332" i="10"/>
  <c r="Q2333" i="10"/>
  <c r="Q2334" i="10"/>
  <c r="Q2335" i="10"/>
  <c r="Q2336" i="10"/>
  <c r="Q2337" i="10"/>
  <c r="Q2338" i="10"/>
  <c r="Q2346" i="10"/>
  <c r="Q2347" i="10"/>
  <c r="Q2348" i="10"/>
  <c r="Q2349" i="10"/>
  <c r="Q2350" i="10"/>
  <c r="Q2351" i="10"/>
  <c r="Q2352" i="10"/>
  <c r="Q2353" i="10"/>
  <c r="Q2354" i="10"/>
  <c r="Q2363" i="10"/>
  <c r="Q2364" i="10"/>
  <c r="Q2365" i="10"/>
  <c r="Q2366" i="10"/>
  <c r="Q2367" i="10"/>
  <c r="Q2368" i="10"/>
  <c r="Q2370" i="10"/>
  <c r="Q2371" i="10"/>
  <c r="Q2372" i="10"/>
  <c r="Q2373" i="10"/>
  <c r="Q2374" i="10"/>
  <c r="Q2376" i="10"/>
  <c r="Q2377" i="10"/>
  <c r="Q2378" i="10"/>
  <c r="Q2379" i="10"/>
  <c r="Q2380" i="10"/>
  <c r="Q2382" i="10"/>
  <c r="Q2383" i="10"/>
  <c r="Q2384" i="10"/>
  <c r="Q2385" i="10"/>
  <c r="Q2386" i="10"/>
  <c r="Q2388" i="10"/>
  <c r="Q2389" i="10"/>
  <c r="Q2390" i="10"/>
  <c r="Q2391" i="10"/>
  <c r="Q2392" i="10"/>
  <c r="Q2394" i="10"/>
  <c r="Q2395" i="10"/>
  <c r="Q2396" i="10"/>
  <c r="Q2397" i="10"/>
  <c r="Q2398" i="10"/>
  <c r="Q2400" i="10"/>
  <c r="Q2401" i="10"/>
  <c r="Q2402" i="10"/>
  <c r="Q2403" i="10"/>
  <c r="Q2404" i="10"/>
  <c r="Q2405" i="10"/>
  <c r="Q2406" i="10"/>
  <c r="Q2407" i="10"/>
  <c r="Q2408" i="10"/>
  <c r="Q2409" i="10"/>
  <c r="Q2410" i="10"/>
  <c r="Q2411" i="10"/>
  <c r="Q2412" i="10"/>
  <c r="Q2413" i="10"/>
  <c r="Q2422" i="10"/>
  <c r="Q2423" i="10"/>
  <c r="Q2424" i="10"/>
  <c r="Q2425" i="10"/>
  <c r="Q2426" i="10"/>
  <c r="Q2428" i="10"/>
  <c r="Q2429" i="10"/>
  <c r="Q2430" i="10"/>
  <c r="Q2431" i="10"/>
  <c r="Q2432" i="10"/>
  <c r="Q2433" i="10"/>
  <c r="Q9" i="10"/>
  <c r="X2411" i="10"/>
  <c r="X2412" i="10"/>
  <c r="X2413" i="10"/>
  <c r="X2422" i="10"/>
  <c r="X2423" i="10"/>
  <c r="X2424" i="10"/>
  <c r="X2425" i="10"/>
  <c r="X2426" i="10"/>
  <c r="X2428" i="10"/>
  <c r="X2429" i="10"/>
  <c r="X2430" i="10"/>
  <c r="X2431" i="10"/>
  <c r="X2432" i="10"/>
  <c r="X2433" i="10"/>
  <c r="W2411" i="10"/>
  <c r="W2412" i="10"/>
  <c r="W2413" i="10"/>
  <c r="W2422" i="10"/>
  <c r="W2423" i="10"/>
  <c r="W2424" i="10"/>
  <c r="W2425" i="10"/>
  <c r="W2426" i="10"/>
  <c r="W2428" i="10"/>
  <c r="W2429" i="10"/>
  <c r="W2430" i="10"/>
  <c r="W2431" i="10"/>
  <c r="W2432" i="10"/>
  <c r="W2433" i="10"/>
  <c r="R2064" i="10" l="1"/>
  <c r="AI2064" i="10" s="1"/>
  <c r="R2280" i="10"/>
  <c r="AI2280" i="10" s="1"/>
  <c r="R1805" i="10"/>
  <c r="AI1805" i="10" s="1"/>
  <c r="R1790" i="10"/>
  <c r="R1077" i="10"/>
  <c r="AI1077" i="10" s="1"/>
  <c r="R1312" i="10"/>
  <c r="X2399" i="10"/>
  <c r="R1778" i="10"/>
  <c r="R1726" i="10"/>
  <c r="R1344" i="10"/>
  <c r="R2302" i="10"/>
  <c r="AI2302" i="10" s="1"/>
  <c r="R2054" i="10"/>
  <c r="R1831" i="10"/>
  <c r="AI1831" i="10" s="1"/>
  <c r="R2375" i="10"/>
  <c r="AI2375" i="10" s="1"/>
  <c r="R2250" i="10"/>
  <c r="AI2250" i="10" s="1"/>
  <c r="R2036" i="10"/>
  <c r="AI2036" i="10" s="1"/>
  <c r="R1891" i="10"/>
  <c r="AI1891" i="10" s="1"/>
  <c r="R1839" i="10"/>
  <c r="AI1839" i="10" s="1"/>
  <c r="R1719" i="10"/>
  <c r="AI1719" i="10" s="1"/>
  <c r="R751" i="10"/>
  <c r="AI751" i="10" s="1"/>
  <c r="R181" i="10"/>
  <c r="AI181" i="10" s="1"/>
  <c r="R126" i="10"/>
  <c r="AI126" i="10" s="1"/>
  <c r="R1631" i="10"/>
  <c r="R1415" i="10"/>
  <c r="R1168" i="10"/>
  <c r="AI1168" i="10" s="1"/>
  <c r="R2200" i="10"/>
  <c r="R2159" i="10"/>
  <c r="R2044" i="10"/>
  <c r="AI2044" i="10" s="1"/>
  <c r="R608" i="10"/>
  <c r="AI608" i="10" s="1"/>
  <c r="R385" i="10"/>
  <c r="R1866" i="10"/>
  <c r="AI1866" i="10" s="1"/>
  <c r="R228" i="10"/>
  <c r="AI228" i="10" s="1"/>
  <c r="R640" i="10"/>
  <c r="R2381" i="10"/>
  <c r="AI2381" i="10" s="1"/>
  <c r="R2137" i="10"/>
  <c r="AI2137" i="10" s="1"/>
  <c r="R2028" i="10"/>
  <c r="AI2028" i="10" s="1"/>
  <c r="R1641" i="10"/>
  <c r="AI1641" i="10" s="1"/>
  <c r="R787" i="10"/>
  <c r="AI787" i="10" s="1"/>
  <c r="R200" i="10"/>
  <c r="X2421" i="10"/>
  <c r="R1959" i="10"/>
  <c r="AI1959" i="10" s="1"/>
  <c r="R1220" i="10"/>
  <c r="AI1220" i="10" s="1"/>
  <c r="R1206" i="10"/>
  <c r="AI1206" i="10" s="1"/>
  <c r="R953" i="10"/>
  <c r="AI953" i="10" s="1"/>
  <c r="R629" i="10"/>
  <c r="AI629" i="10" s="1"/>
  <c r="R172" i="10"/>
  <c r="AI172" i="10" s="1"/>
  <c r="R15" i="10"/>
  <c r="AI15" i="10" s="1"/>
  <c r="R157" i="10"/>
  <c r="AI157" i="10" s="1"/>
  <c r="R1371" i="10"/>
  <c r="AI1371" i="10" s="1"/>
  <c r="R2145" i="10"/>
  <c r="R1942" i="10"/>
  <c r="AI1942" i="10" s="1"/>
  <c r="R1649" i="10"/>
  <c r="R1296" i="10"/>
  <c r="AI1296" i="10" s="1"/>
  <c r="R680" i="10"/>
  <c r="AI680" i="10" s="1"/>
  <c r="R2224" i="10"/>
  <c r="R1990" i="10"/>
  <c r="AI1990" i="10" s="1"/>
  <c r="R1711" i="10"/>
  <c r="AI1711" i="10" s="1"/>
  <c r="R1693" i="10"/>
  <c r="AI1693" i="10" s="1"/>
  <c r="R1608" i="10"/>
  <c r="AI1608" i="10" s="1"/>
  <c r="R2130" i="10"/>
  <c r="AI2130" i="10" s="1"/>
  <c r="R961" i="10"/>
  <c r="AI961" i="10" s="1"/>
  <c r="R419" i="10"/>
  <c r="AI419" i="10" s="1"/>
  <c r="R308" i="10"/>
  <c r="AI308" i="10" s="1"/>
  <c r="R2421" i="10"/>
  <c r="R2387" i="10"/>
  <c r="AI2387" i="10" s="1"/>
  <c r="R2020" i="10"/>
  <c r="AI2020" i="10" s="1"/>
  <c r="R1597" i="10"/>
  <c r="AI1597" i="10" s="1"/>
  <c r="R1213" i="10"/>
  <c r="R1186" i="10"/>
  <c r="AI1186" i="10" s="1"/>
  <c r="R539" i="10"/>
  <c r="AI539" i="10" s="1"/>
  <c r="R165" i="10"/>
  <c r="AI165" i="10" s="1"/>
  <c r="R1855" i="10"/>
  <c r="AI1855" i="10" s="1"/>
  <c r="R1483" i="10"/>
  <c r="AI1483" i="10" s="1"/>
  <c r="R1354" i="10"/>
  <c r="AI1354" i="10" s="1"/>
  <c r="R1228" i="10"/>
  <c r="AI1228" i="10" s="1"/>
  <c r="R1146" i="10"/>
  <c r="R567" i="10"/>
  <c r="AI567" i="10" s="1"/>
  <c r="R108" i="10"/>
  <c r="AI108" i="10" s="1"/>
  <c r="R8" i="10"/>
  <c r="AI8" i="10" s="1"/>
  <c r="R2331" i="10"/>
  <c r="AI2331" i="10" s="1"/>
  <c r="R2290" i="10"/>
  <c r="AI2290" i="10" s="1"/>
  <c r="R2260" i="10"/>
  <c r="AI2260" i="10" s="1"/>
  <c r="R1797" i="10"/>
  <c r="AI1797" i="10" s="1"/>
  <c r="R1537" i="10"/>
  <c r="AI1537" i="10" s="1"/>
  <c r="R1459" i="10"/>
  <c r="AI1459" i="10" s="1"/>
  <c r="R945" i="10"/>
  <c r="AI945" i="10" s="1"/>
  <c r="R67" i="10"/>
  <c r="AI67" i="10" s="1"/>
  <c r="R2399" i="10"/>
  <c r="R1848" i="10"/>
  <c r="R1658" i="10"/>
  <c r="AI1658" i="10" s="1"/>
  <c r="R1058" i="10"/>
  <c r="AI1058" i="10" s="1"/>
  <c r="R760" i="10"/>
  <c r="AI760" i="10" s="1"/>
  <c r="R649" i="10"/>
  <c r="AI649" i="10" s="1"/>
  <c r="R190" i="10"/>
  <c r="AI190" i="10" s="1"/>
  <c r="R149" i="10"/>
  <c r="AI149" i="10" s="1"/>
  <c r="R1734" i="10"/>
  <c r="R1379" i="10"/>
  <c r="R1274" i="10"/>
  <c r="AI1274" i="10" s="1"/>
  <c r="R1239" i="10"/>
  <c r="R1041" i="10"/>
  <c r="AI1041" i="10" s="1"/>
  <c r="R2369" i="10"/>
  <c r="AI2369" i="10" s="1"/>
  <c r="R1899" i="10"/>
  <c r="AI1899" i="10" s="1"/>
  <c r="R1771" i="10"/>
  <c r="R1576" i="10"/>
  <c r="R1549" i="10"/>
  <c r="AI1549" i="10" s="1"/>
  <c r="R1507" i="10"/>
  <c r="AI1507" i="10" s="1"/>
  <c r="R1196" i="10"/>
  <c r="AI1196" i="10" s="1"/>
  <c r="R1154" i="10"/>
  <c r="AI1154" i="10" s="1"/>
  <c r="R1137" i="10"/>
  <c r="AI1137" i="10" s="1"/>
  <c r="R1101" i="10"/>
  <c r="R852" i="10"/>
  <c r="AI852" i="10" s="1"/>
  <c r="R688" i="10"/>
  <c r="R661" i="10"/>
  <c r="R619" i="10"/>
  <c r="AI619" i="10" s="1"/>
  <c r="R549" i="10"/>
  <c r="AI549" i="10" s="1"/>
  <c r="R455" i="10"/>
  <c r="AI455" i="10" s="1"/>
  <c r="R49" i="10"/>
  <c r="AI49" i="10" s="1"/>
  <c r="R2270" i="10"/>
  <c r="AI2270" i="10" s="1"/>
  <c r="R1428" i="10"/>
  <c r="R977" i="10"/>
  <c r="R836" i="10"/>
  <c r="AI836" i="10" s="1"/>
  <c r="R442" i="10"/>
  <c r="AI442" i="10" s="1"/>
  <c r="R1520" i="10"/>
  <c r="AI1520" i="10" s="1"/>
  <c r="R1469" i="10"/>
  <c r="AI1469" i="10" s="1"/>
  <c r="R1303" i="10"/>
  <c r="AI1303" i="10" s="1"/>
  <c r="R969" i="10"/>
  <c r="AI969" i="10" s="1"/>
  <c r="R262" i="10"/>
  <c r="AI262" i="10" s="1"/>
  <c r="R133" i="10"/>
  <c r="AI133" i="10" s="1"/>
  <c r="R119" i="10"/>
  <c r="AI119" i="10" s="1"/>
  <c r="R77" i="10"/>
  <c r="AI77" i="10" s="1"/>
  <c r="R1757" i="10"/>
  <c r="AI1757" i="10" s="1"/>
  <c r="R278" i="10"/>
  <c r="AI278" i="10" s="1"/>
  <c r="R1068" i="10"/>
  <c r="AI1068" i="10" s="1"/>
  <c r="R521" i="10"/>
  <c r="AI521" i="10" s="1"/>
  <c r="R2075" i="10"/>
  <c r="AI2075" i="10" s="1"/>
  <c r="R1362" i="10"/>
  <c r="AI1362" i="10" s="1"/>
  <c r="R1335" i="10"/>
  <c r="AI1335" i="10" s="1"/>
  <c r="R2345" i="10"/>
  <c r="AI2345" i="10" s="1"/>
  <c r="R2312" i="10"/>
  <c r="AI2312" i="10" s="1"/>
  <c r="R813" i="10"/>
  <c r="R332" i="10"/>
  <c r="R465" i="10"/>
  <c r="AI465" i="10" s="1"/>
  <c r="R22" i="10"/>
  <c r="R2393" i="10"/>
  <c r="AI2393" i="10" s="1"/>
  <c r="R2240" i="10"/>
  <c r="AI2240" i="10" s="1"/>
  <c r="R2214" i="10"/>
  <c r="AI2214" i="10" s="1"/>
  <c r="R2012" i="10"/>
  <c r="AI2012" i="10" s="1"/>
  <c r="R1675" i="10"/>
  <c r="R1452" i="10"/>
  <c r="AI1452" i="10" s="1"/>
  <c r="R1026" i="10"/>
  <c r="R938" i="10"/>
  <c r="AI938" i="10" s="1"/>
  <c r="R741" i="10"/>
  <c r="AI741" i="10" s="1"/>
  <c r="R670" i="10"/>
  <c r="AI670" i="10" s="1"/>
  <c r="R506" i="10"/>
  <c r="AI506" i="10" s="1"/>
  <c r="R220" i="10"/>
  <c r="AI220" i="10" s="1"/>
  <c r="R794" i="10"/>
  <c r="AI794" i="10" s="1"/>
  <c r="R704" i="10"/>
  <c r="R585" i="10"/>
  <c r="AI585" i="10" s="1"/>
  <c r="R559" i="10"/>
  <c r="AI559" i="10" s="1"/>
  <c r="R236" i="10"/>
  <c r="R1543" i="10"/>
  <c r="AI1543" i="10" s="1"/>
  <c r="R1501" i="10"/>
  <c r="AI1501" i="10" s="1"/>
  <c r="R860" i="10"/>
  <c r="AI860" i="10" s="1"/>
  <c r="R1583" i="10"/>
  <c r="AI1583" i="10" s="1"/>
  <c r="R1112" i="10"/>
  <c r="R1009" i="10"/>
  <c r="R870" i="10"/>
  <c r="R767" i="10"/>
  <c r="AI767" i="10" s="1"/>
  <c r="R349" i="10"/>
  <c r="AI349" i="10" s="1"/>
  <c r="R208" i="10"/>
  <c r="AI208" i="10" s="1"/>
  <c r="R2362" i="10"/>
  <c r="AI2362" i="10" s="1"/>
  <c r="R2322" i="10"/>
  <c r="AI2322" i="10" s="1"/>
  <c r="R1622" i="10"/>
  <c r="AI1622" i="10" s="1"/>
  <c r="R1569" i="10"/>
  <c r="AI1569" i="10" s="1"/>
  <c r="R1556" i="10"/>
  <c r="R1528" i="10"/>
  <c r="AI1528" i="10" s="1"/>
  <c r="R1514" i="10"/>
  <c r="AI1514" i="10" s="1"/>
  <c r="R1176" i="10"/>
  <c r="AI1176" i="10" s="1"/>
  <c r="R1161" i="10"/>
  <c r="AI1161" i="10" s="1"/>
  <c r="R141" i="10"/>
  <c r="AI141" i="10" s="1"/>
  <c r="D216" i="15"/>
  <c r="AI2421" i="10" l="1"/>
  <c r="AI2399" i="10"/>
  <c r="Q1937" i="10"/>
  <c r="R1937" i="10" s="1"/>
  <c r="R1915" i="10" s="1"/>
  <c r="D3" i="15"/>
  <c r="D4" i="15"/>
  <c r="D5" i="15"/>
  <c r="D6" i="15"/>
  <c r="D7" i="15"/>
  <c r="D8" i="15"/>
  <c r="D9" i="15"/>
  <c r="D10" i="15"/>
  <c r="D11" i="15"/>
  <c r="D12" i="15"/>
  <c r="D13" i="15"/>
  <c r="D14" i="15"/>
  <c r="D15" i="15"/>
  <c r="D16" i="15"/>
  <c r="D17" i="15"/>
  <c r="D18" i="15"/>
  <c r="D19" i="15"/>
  <c r="D20" i="15"/>
  <c r="D21" i="15"/>
  <c r="D22" i="15"/>
  <c r="D23"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02" i="15"/>
  <c r="D103" i="15"/>
  <c r="D104" i="15"/>
  <c r="D105" i="15"/>
  <c r="D106" i="15"/>
  <c r="D107" i="15"/>
  <c r="D108" i="15"/>
  <c r="D109" i="15"/>
  <c r="D110" i="15"/>
  <c r="D111" i="15"/>
  <c r="D112" i="15"/>
  <c r="D113" i="15"/>
  <c r="D114" i="15"/>
  <c r="D115" i="15"/>
  <c r="D116" i="15"/>
  <c r="D117" i="15"/>
  <c r="D118" i="15"/>
  <c r="D119" i="15"/>
  <c r="D120" i="15"/>
  <c r="D121" i="15"/>
  <c r="D122" i="15"/>
  <c r="D123" i="15"/>
  <c r="D124" i="15"/>
  <c r="D125" i="15"/>
  <c r="D126" i="15"/>
  <c r="D127" i="15"/>
  <c r="D128" i="15"/>
  <c r="D129" i="15"/>
  <c r="D130" i="15"/>
  <c r="D131" i="15"/>
  <c r="D132" i="15"/>
  <c r="D133" i="15"/>
  <c r="D134" i="15"/>
  <c r="D135" i="15"/>
  <c r="D136" i="15"/>
  <c r="D137" i="15"/>
  <c r="D138" i="15"/>
  <c r="D139" i="15"/>
  <c r="D140" i="15"/>
  <c r="D141" i="15"/>
  <c r="D142" i="15"/>
  <c r="D143" i="15"/>
  <c r="D144" i="15"/>
  <c r="D145" i="15"/>
  <c r="D146" i="15"/>
  <c r="D147" i="15"/>
  <c r="D148" i="15"/>
  <c r="D149" i="15"/>
  <c r="D150" i="15"/>
  <c r="D151" i="15"/>
  <c r="D152" i="15"/>
  <c r="D153" i="15"/>
  <c r="D154" i="15"/>
  <c r="D155" i="15"/>
  <c r="D156" i="15"/>
  <c r="D157" i="15"/>
  <c r="D159" i="15"/>
  <c r="D160" i="15"/>
  <c r="D161" i="15"/>
  <c r="D162" i="15"/>
  <c r="D163" i="15"/>
  <c r="D164" i="15"/>
  <c r="D165" i="15"/>
  <c r="D166" i="15"/>
  <c r="D167" i="15"/>
  <c r="D168" i="15"/>
  <c r="D169" i="15"/>
  <c r="D170" i="15"/>
  <c r="D171" i="15"/>
  <c r="D172" i="15"/>
  <c r="D173" i="15"/>
  <c r="D174" i="15"/>
  <c r="D175" i="15"/>
  <c r="D176" i="15"/>
  <c r="D177" i="15"/>
  <c r="D178" i="15"/>
  <c r="D179" i="15"/>
  <c r="D180" i="15"/>
  <c r="D181" i="15"/>
  <c r="D182" i="15"/>
  <c r="D183" i="15"/>
  <c r="D184" i="15"/>
  <c r="D185" i="15"/>
  <c r="D186" i="15"/>
  <c r="D187" i="15"/>
  <c r="D188" i="15"/>
  <c r="D189" i="15"/>
  <c r="D190" i="15"/>
  <c r="D191" i="15"/>
  <c r="D192" i="15"/>
  <c r="D193" i="15"/>
  <c r="D194" i="15"/>
  <c r="D195" i="15"/>
  <c r="D196" i="15"/>
  <c r="D197" i="15"/>
  <c r="D198" i="15"/>
  <c r="D199" i="15"/>
  <c r="D200" i="15"/>
  <c r="D201" i="15"/>
  <c r="D202" i="15"/>
  <c r="D203" i="15"/>
  <c r="D204" i="15"/>
  <c r="D205" i="15"/>
  <c r="D206" i="15"/>
  <c r="D207" i="15"/>
  <c r="D208" i="15"/>
  <c r="D209" i="15"/>
  <c r="D210" i="15"/>
  <c r="D211" i="15"/>
  <c r="D212" i="15"/>
  <c r="D213" i="15"/>
  <c r="D214" i="15"/>
  <c r="D215" i="15"/>
  <c r="D217" i="15"/>
  <c r="D218" i="15"/>
  <c r="D219" i="15"/>
  <c r="D220" i="15"/>
  <c r="D221" i="15"/>
  <c r="D222" i="15"/>
  <c r="D223" i="15"/>
  <c r="D224" i="15"/>
  <c r="D225" i="15"/>
  <c r="D226" i="15"/>
  <c r="D227" i="15"/>
  <c r="D228" i="15"/>
  <c r="D229" i="15"/>
  <c r="D230" i="15"/>
  <c r="D231" i="15"/>
  <c r="D232" i="15"/>
  <c r="D233" i="15"/>
  <c r="D234" i="15"/>
  <c r="D235" i="15"/>
  <c r="D236" i="15"/>
  <c r="D237" i="15"/>
  <c r="D238" i="15"/>
  <c r="D239" i="15"/>
  <c r="D240" i="15"/>
  <c r="D241" i="15"/>
  <c r="D242" i="15"/>
  <c r="D243" i="15"/>
  <c r="D244" i="15"/>
  <c r="D245" i="15"/>
  <c r="D2" i="15" l="1"/>
  <c r="Q2194" i="10" l="1"/>
  <c r="R2194" i="10" s="1"/>
  <c r="R2176" i="10" s="1"/>
  <c r="D158" i="15"/>
  <c r="D246" i="15" s="1"/>
  <c r="R7" i="10" l="1"/>
  <c r="D247" i="15" s="1"/>
  <c r="AI2176" i="10"/>
  <c r="H2225" i="10"/>
  <c r="H2224" i="10" s="1"/>
  <c r="H2201" i="10"/>
  <c r="H2055" i="10"/>
  <c r="H2054" i="10" s="1"/>
  <c r="H1779" i="10"/>
  <c r="H1772" i="10"/>
  <c r="H2200" i="10" l="1"/>
  <c r="H1771" i="10"/>
  <c r="N1772" i="10"/>
  <c r="M1772" i="10"/>
  <c r="M1771" i="10" s="1"/>
  <c r="H1778" i="10"/>
  <c r="N1779" i="10"/>
  <c r="M1779" i="10"/>
  <c r="M1778" i="10" s="1"/>
  <c r="N2055" i="10"/>
  <c r="M2055" i="10"/>
  <c r="M2054" i="10" s="1"/>
  <c r="M2201" i="10"/>
  <c r="M2200" i="10" s="1"/>
  <c r="N2201" i="10"/>
  <c r="N2225" i="10"/>
  <c r="M2225" i="10"/>
  <c r="M2224" i="10" s="1"/>
  <c r="H1240" i="10"/>
  <c r="H1213" i="10"/>
  <c r="N2224" i="10" l="1"/>
  <c r="AI2224" i="10" s="1"/>
  <c r="I2225" i="10"/>
  <c r="I2224" i="10" s="1"/>
  <c r="N2054" i="10"/>
  <c r="AI2054" i="10" s="1"/>
  <c r="I2055" i="10"/>
  <c r="I2054" i="10" s="1"/>
  <c r="N2200" i="10"/>
  <c r="AI2200" i="10" s="1"/>
  <c r="I2201" i="10"/>
  <c r="I2200" i="10" s="1"/>
  <c r="N1771" i="10"/>
  <c r="AI1771" i="10" s="1"/>
  <c r="I1772" i="10"/>
  <c r="I1771" i="10" s="1"/>
  <c r="N1778" i="10"/>
  <c r="AI1778" i="10" s="1"/>
  <c r="I1779" i="10"/>
  <c r="I1778" i="10" s="1"/>
  <c r="G111" i="41"/>
  <c r="H111" i="41"/>
  <c r="H1239" i="10"/>
  <c r="N1214" i="10"/>
  <c r="M1214" i="10"/>
  <c r="M1213" i="10" s="1"/>
  <c r="N1240" i="10"/>
  <c r="M1240" i="10"/>
  <c r="M1239" i="10" s="1"/>
  <c r="H1027" i="10"/>
  <c r="H814" i="10"/>
  <c r="H641" i="10"/>
  <c r="N1239" i="10" l="1"/>
  <c r="AI1239" i="10" s="1"/>
  <c r="I1240" i="10"/>
  <c r="I1239" i="10" s="1"/>
  <c r="N1213" i="10"/>
  <c r="AI1213" i="10" s="1"/>
  <c r="I1214" i="10"/>
  <c r="I1213" i="10" s="1"/>
  <c r="H640" i="10"/>
  <c r="H1026" i="10"/>
  <c r="H813" i="10"/>
  <c r="N814" i="10"/>
  <c r="M814" i="10"/>
  <c r="M813" i="10" s="1"/>
  <c r="N641" i="10"/>
  <c r="M641" i="10"/>
  <c r="M640" i="10" s="1"/>
  <c r="N1027" i="10"/>
  <c r="M1027" i="10"/>
  <c r="M1026" i="10" s="1"/>
  <c r="H1825" i="10"/>
  <c r="H1791" i="10"/>
  <c r="H1650" i="10"/>
  <c r="H1649" i="10" s="1"/>
  <c r="H1632" i="10"/>
  <c r="H1631" i="10" s="1"/>
  <c r="H1577" i="10"/>
  <c r="N640" i="10" l="1"/>
  <c r="AI640" i="10" s="1"/>
  <c r="I641" i="10"/>
  <c r="I640" i="10" s="1"/>
  <c r="N1026" i="10"/>
  <c r="AI1026" i="10" s="1"/>
  <c r="I1027" i="10"/>
  <c r="I1026" i="10" s="1"/>
  <c r="N813" i="10"/>
  <c r="AI813" i="10" s="1"/>
  <c r="I814" i="10"/>
  <c r="I813" i="10" s="1"/>
  <c r="H1576" i="10"/>
  <c r="H1824" i="10"/>
  <c r="H93" i="41"/>
  <c r="G93" i="41"/>
  <c r="H107" i="41"/>
  <c r="G107" i="41"/>
  <c r="H1790" i="10"/>
  <c r="N1577" i="10"/>
  <c r="M1577" i="10"/>
  <c r="M1576" i="10" s="1"/>
  <c r="N1632" i="10"/>
  <c r="M1632" i="10"/>
  <c r="M1631" i="10" s="1"/>
  <c r="N1650" i="10"/>
  <c r="M1650" i="10"/>
  <c r="M1649" i="10" s="1"/>
  <c r="N1791" i="10"/>
  <c r="M1791" i="10"/>
  <c r="M1790" i="10" s="1"/>
  <c r="N1825" i="10"/>
  <c r="M1825" i="10"/>
  <c r="M1824" i="10" s="1"/>
  <c r="H697" i="10"/>
  <c r="H696" i="10" s="1"/>
  <c r="H689" i="10"/>
  <c r="N1824" i="10" l="1"/>
  <c r="AI1824" i="10" s="1"/>
  <c r="I1825" i="10"/>
  <c r="I1824" i="10" s="1"/>
  <c r="N1649" i="10"/>
  <c r="AI1649" i="10" s="1"/>
  <c r="I1650" i="10"/>
  <c r="I1649" i="10" s="1"/>
  <c r="N1576" i="10"/>
  <c r="AI1576" i="10" s="1"/>
  <c r="I1577" i="10"/>
  <c r="I1576" i="10" s="1"/>
  <c r="N1790" i="10"/>
  <c r="AI1790" i="10" s="1"/>
  <c r="I1791" i="10"/>
  <c r="I1790" i="10" s="1"/>
  <c r="N1631" i="10"/>
  <c r="AI1631" i="10" s="1"/>
  <c r="I1632" i="10"/>
  <c r="I1631" i="10" s="1"/>
  <c r="H124" i="41"/>
  <c r="G124" i="41"/>
  <c r="H32" i="41"/>
  <c r="G32" i="41"/>
  <c r="H688" i="10"/>
  <c r="N689" i="10"/>
  <c r="M689" i="10"/>
  <c r="M688" i="10" s="1"/>
  <c r="N697" i="10"/>
  <c r="M697" i="10"/>
  <c r="M696" i="10" s="1"/>
  <c r="H201" i="10"/>
  <c r="H2160" i="10"/>
  <c r="H1916" i="10"/>
  <c r="H1849" i="10"/>
  <c r="H1735" i="10"/>
  <c r="H1727" i="10"/>
  <c r="H1726" i="10" s="1"/>
  <c r="N688" i="10" l="1"/>
  <c r="AI688" i="10" s="1"/>
  <c r="I689" i="10"/>
  <c r="I688" i="10" s="1"/>
  <c r="N696" i="10"/>
  <c r="AI696" i="10" s="1"/>
  <c r="I697" i="10"/>
  <c r="I696" i="10" s="1"/>
  <c r="H29" i="41"/>
  <c r="G29" i="41"/>
  <c r="H1734" i="10"/>
  <c r="H1915" i="10"/>
  <c r="H200" i="10"/>
  <c r="H1848" i="10"/>
  <c r="H2159" i="10"/>
  <c r="N1727" i="10"/>
  <c r="M1727" i="10"/>
  <c r="M1726" i="10" s="1"/>
  <c r="N1735" i="10"/>
  <c r="M1735" i="10"/>
  <c r="M1734" i="10" s="1"/>
  <c r="N1849" i="10"/>
  <c r="M1849" i="10"/>
  <c r="M1848" i="10" s="1"/>
  <c r="N1916" i="10"/>
  <c r="M1916" i="10"/>
  <c r="M1915" i="10" s="1"/>
  <c r="N2146" i="10"/>
  <c r="M2146" i="10"/>
  <c r="M2145" i="10" s="1"/>
  <c r="M2160" i="10"/>
  <c r="M2159" i="10" s="1"/>
  <c r="N2160" i="10"/>
  <c r="N201" i="10"/>
  <c r="M201" i="10"/>
  <c r="M200" i="10" s="1"/>
  <c r="H1557" i="10"/>
  <c r="H1556" i="10" s="1"/>
  <c r="H1431" i="10"/>
  <c r="H1430" i="10"/>
  <c r="H1429" i="10"/>
  <c r="H1382" i="10"/>
  <c r="N1915" i="10" l="1"/>
  <c r="AI1915" i="10" s="1"/>
  <c r="I1916" i="10"/>
  <c r="I1915" i="10" s="1"/>
  <c r="N1734" i="10"/>
  <c r="AI1734" i="10" s="1"/>
  <c r="I1735" i="10"/>
  <c r="I1734" i="10" s="1"/>
  <c r="N2159" i="10"/>
  <c r="AI2159" i="10" s="1"/>
  <c r="I2160" i="10"/>
  <c r="I2159" i="10" s="1"/>
  <c r="N200" i="10"/>
  <c r="I201" i="10"/>
  <c r="I200" i="10" s="1"/>
  <c r="N2145" i="10"/>
  <c r="AI2145" i="10" s="1"/>
  <c r="I2146" i="10"/>
  <c r="I2145" i="10" s="1"/>
  <c r="N1848" i="10"/>
  <c r="AI1848" i="10" s="1"/>
  <c r="I1849" i="10"/>
  <c r="I1848" i="10" s="1"/>
  <c r="N1726" i="10"/>
  <c r="AI1726" i="10" s="1"/>
  <c r="I1727" i="10"/>
  <c r="I1726" i="10" s="1"/>
  <c r="H1428" i="10"/>
  <c r="H1379" i="10"/>
  <c r="H121" i="41"/>
  <c r="G121" i="41"/>
  <c r="G83" i="41"/>
  <c r="H83" i="41"/>
  <c r="G49" i="41"/>
  <c r="H49" i="41"/>
  <c r="H99" i="41"/>
  <c r="G99" i="41"/>
  <c r="H118" i="41"/>
  <c r="G118" i="41"/>
  <c r="G33" i="41"/>
  <c r="H33" i="41"/>
  <c r="AI200" i="10"/>
  <c r="N1382" i="10"/>
  <c r="M1382" i="10"/>
  <c r="M1379" i="10" s="1"/>
  <c r="N1431" i="10"/>
  <c r="I1431" i="10" s="1"/>
  <c r="M1431" i="10"/>
  <c r="N1429" i="10"/>
  <c r="I1429" i="10" s="1"/>
  <c r="M1429" i="10"/>
  <c r="M1430" i="10"/>
  <c r="N1430" i="10"/>
  <c r="I1430" i="10" s="1"/>
  <c r="N1557" i="10"/>
  <c r="M1557" i="10"/>
  <c r="M1556" i="10" s="1"/>
  <c r="H1345" i="10"/>
  <c r="H1312" i="10"/>
  <c r="H1113" i="10"/>
  <c r="H104" i="10"/>
  <c r="I1428" i="10" l="1"/>
  <c r="N1556" i="10"/>
  <c r="AI1556" i="10" s="1"/>
  <c r="I1557" i="10"/>
  <c r="I1556" i="10" s="1"/>
  <c r="N1379" i="10"/>
  <c r="AI1379" i="10" s="1"/>
  <c r="I1382" i="10"/>
  <c r="I1379" i="10" s="1"/>
  <c r="G122" i="41"/>
  <c r="H122" i="41"/>
  <c r="H103" i="10"/>
  <c r="H1112" i="10"/>
  <c r="H1344" i="10"/>
  <c r="M1428" i="10"/>
  <c r="N1428" i="10"/>
  <c r="N1345" i="10"/>
  <c r="M1345" i="10"/>
  <c r="M1344" i="10" s="1"/>
  <c r="M1314" i="10"/>
  <c r="M1312" i="10" s="1"/>
  <c r="N1314" i="10"/>
  <c r="N104" i="10"/>
  <c r="M104" i="10"/>
  <c r="M103" i="10" s="1"/>
  <c r="N1113" i="10"/>
  <c r="M1113" i="10"/>
  <c r="M1112" i="10" s="1"/>
  <c r="H1010" i="10"/>
  <c r="H978" i="10"/>
  <c r="H871" i="10"/>
  <c r="H662" i="10"/>
  <c r="H661" i="10" s="1"/>
  <c r="H412" i="10"/>
  <c r="H411" i="10" s="1"/>
  <c r="H387" i="10"/>
  <c r="H385" i="10" s="1"/>
  <c r="H333" i="10"/>
  <c r="H237" i="10"/>
  <c r="N1112" i="10" l="1"/>
  <c r="AI1112" i="10" s="1"/>
  <c r="I1113" i="10"/>
  <c r="I1112" i="10" s="1"/>
  <c r="N103" i="10"/>
  <c r="AI103" i="10" s="1"/>
  <c r="I104" i="10"/>
  <c r="I103" i="10" s="1"/>
  <c r="I98" i="10" s="1"/>
  <c r="I92" i="10" s="1"/>
  <c r="N1344" i="10"/>
  <c r="AI1344" i="10" s="1"/>
  <c r="I1345" i="10"/>
  <c r="I1344" i="10" s="1"/>
  <c r="N1312" i="10"/>
  <c r="I1314" i="10"/>
  <c r="I1312" i="10" s="1"/>
  <c r="H48" i="41"/>
  <c r="G48" i="41"/>
  <c r="H117" i="41"/>
  <c r="G117" i="41"/>
  <c r="H236" i="10"/>
  <c r="H977" i="10"/>
  <c r="H57" i="41"/>
  <c r="G57" i="41"/>
  <c r="H332" i="10"/>
  <c r="H870" i="10"/>
  <c r="H1009" i="10"/>
  <c r="AI1428" i="10"/>
  <c r="M662" i="10"/>
  <c r="M661" i="10" s="1"/>
  <c r="N662" i="10"/>
  <c r="M333" i="10"/>
  <c r="M332" i="10" s="1"/>
  <c r="N333" i="10"/>
  <c r="N978" i="10"/>
  <c r="M978" i="10"/>
  <c r="M977" i="10" s="1"/>
  <c r="N871" i="10"/>
  <c r="M871" i="10"/>
  <c r="M870" i="10" s="1"/>
  <c r="M1010" i="10"/>
  <c r="M1009" i="10" s="1"/>
  <c r="N1010" i="10"/>
  <c r="N237" i="10"/>
  <c r="M237" i="10"/>
  <c r="M236" i="10" s="1"/>
  <c r="M387" i="10"/>
  <c r="M385" i="10" s="1"/>
  <c r="N387" i="10"/>
  <c r="N412" i="10"/>
  <c r="M412" i="10"/>
  <c r="M411" i="10" s="1"/>
  <c r="H706" i="10"/>
  <c r="H704" i="10" s="1"/>
  <c r="N977" i="10" l="1"/>
  <c r="I978" i="10"/>
  <c r="I977" i="10" s="1"/>
  <c r="N332" i="10"/>
  <c r="AI332" i="10" s="1"/>
  <c r="I333" i="10"/>
  <c r="I332" i="10" s="1"/>
  <c r="N411" i="10"/>
  <c r="AI411" i="10" s="1"/>
  <c r="I412" i="10"/>
  <c r="I411" i="10" s="1"/>
  <c r="N236" i="10"/>
  <c r="AI236" i="10" s="1"/>
  <c r="I237" i="10"/>
  <c r="I236" i="10" s="1"/>
  <c r="N870" i="10"/>
  <c r="AI870" i="10" s="1"/>
  <c r="I871" i="10"/>
  <c r="I870" i="10" s="1"/>
  <c r="N385" i="10"/>
  <c r="AI385" i="10" s="1"/>
  <c r="I387" i="10"/>
  <c r="I385" i="10" s="1"/>
  <c r="N1009" i="10"/>
  <c r="AI1009" i="10" s="1"/>
  <c r="I1010" i="10"/>
  <c r="I1009" i="10" s="1"/>
  <c r="N661" i="10"/>
  <c r="AI661" i="10" s="1"/>
  <c r="I662" i="10"/>
  <c r="I661" i="10" s="1"/>
  <c r="G125" i="41"/>
  <c r="H125" i="41"/>
  <c r="H94" i="41"/>
  <c r="G94" i="41"/>
  <c r="H102" i="41"/>
  <c r="G102" i="41"/>
  <c r="H97" i="41"/>
  <c r="G97" i="41"/>
  <c r="H105" i="41"/>
  <c r="G105" i="41"/>
  <c r="AI977" i="10"/>
  <c r="N706" i="10"/>
  <c r="M706" i="10"/>
  <c r="M704" i="10" s="1"/>
  <c r="H24" i="10"/>
  <c r="A2034" i="11"/>
  <c r="A2035" i="11" s="1"/>
  <c r="A2036" i="11" s="1"/>
  <c r="A2037" i="11" s="1"/>
  <c r="A2038" i="11" s="1"/>
  <c r="A2020" i="11"/>
  <c r="A2021" i="11" s="1"/>
  <c r="A2022" i="11" s="1"/>
  <c r="A2023" i="11" s="1"/>
  <c r="A2024" i="11" s="1"/>
  <c r="A2025" i="11" s="1"/>
  <c r="A2026" i="11" s="1"/>
  <c r="A2027" i="11" s="1"/>
  <c r="A2028" i="11" s="1"/>
  <c r="A2029" i="11" s="1"/>
  <c r="A2030" i="11" s="1"/>
  <c r="A2033" i="11" s="1"/>
  <c r="A2015" i="11"/>
  <c r="A2016" i="11" s="1"/>
  <c r="A2017" i="11" s="1"/>
  <c r="A2018" i="11" s="1"/>
  <c r="A2019" i="11" s="1"/>
  <c r="A2010" i="11"/>
  <c r="A2011" i="11" s="1"/>
  <c r="A2012" i="11" s="1"/>
  <c r="A2013" i="11" s="1"/>
  <c r="A2014" i="11" s="1"/>
  <c r="A2005" i="11"/>
  <c r="A2006" i="11" s="1"/>
  <c r="A2007" i="11" s="1"/>
  <c r="A2008" i="11" s="1"/>
  <c r="A2009" i="11" s="1"/>
  <c r="A2000" i="11"/>
  <c r="A2001" i="11" s="1"/>
  <c r="A2002" i="11" s="1"/>
  <c r="A2003" i="11" s="1"/>
  <c r="A2004" i="11" s="1"/>
  <c r="A1995" i="11"/>
  <c r="A1996" i="11" s="1"/>
  <c r="A1997" i="11" s="1"/>
  <c r="A1998" i="11" s="1"/>
  <c r="A1999" i="11" s="1"/>
  <c r="A1989" i="11"/>
  <c r="A1990" i="11" s="1"/>
  <c r="A1991" i="11" s="1"/>
  <c r="A1992" i="11" s="1"/>
  <c r="A1993" i="11" s="1"/>
  <c r="A1994" i="11" s="1"/>
  <c r="A1980" i="11"/>
  <c r="A1981" i="11" s="1"/>
  <c r="A1982" i="11" s="1"/>
  <c r="A1983" i="11" s="1"/>
  <c r="A1984" i="11" s="1"/>
  <c r="A1985" i="11" s="1"/>
  <c r="A1986" i="11" s="1"/>
  <c r="A1987" i="11" s="1"/>
  <c r="A1988" i="11" s="1"/>
  <c r="A1973" i="11"/>
  <c r="A1974" i="11" s="1"/>
  <c r="A1975" i="11" s="1"/>
  <c r="A1976" i="11" s="1"/>
  <c r="A1977" i="11" s="1"/>
  <c r="A1978" i="11" s="1"/>
  <c r="A1979" i="11" s="1"/>
  <c r="A1965" i="11"/>
  <c r="A1966" i="11" s="1"/>
  <c r="A1967" i="11" s="1"/>
  <c r="A1968" i="11" s="1"/>
  <c r="A1969" i="11" s="1"/>
  <c r="A1970" i="11" s="1"/>
  <c r="A1971" i="11" s="1"/>
  <c r="A1972" i="11" s="1"/>
  <c r="A1956" i="11"/>
  <c r="A1957" i="11" s="1"/>
  <c r="A1958" i="11" s="1"/>
  <c r="A1959" i="11" s="1"/>
  <c r="A1960" i="11" s="1"/>
  <c r="A1961" i="11" s="1"/>
  <c r="A1962" i="11" s="1"/>
  <c r="A1963" i="11" s="1"/>
  <c r="A1964" i="11" s="1"/>
  <c r="A1947" i="11"/>
  <c r="A1948" i="11" s="1"/>
  <c r="A1949" i="11" s="1"/>
  <c r="A1950" i="11" s="1"/>
  <c r="A1951" i="11" s="1"/>
  <c r="A1952" i="11" s="1"/>
  <c r="A1953" i="11" s="1"/>
  <c r="A1954" i="11" s="1"/>
  <c r="A1955" i="11" s="1"/>
  <c r="A1936" i="11"/>
  <c r="A1937" i="11" s="1"/>
  <c r="A1938" i="11" s="1"/>
  <c r="A1939" i="11" s="1"/>
  <c r="A1940" i="11" s="1"/>
  <c r="A1941" i="11" s="1"/>
  <c r="A1942" i="11" s="1"/>
  <c r="A1943" i="11" s="1"/>
  <c r="A1944" i="11" s="1"/>
  <c r="A1945" i="11" s="1"/>
  <c r="A1946" i="11" s="1"/>
  <c r="A1927" i="11"/>
  <c r="A1928" i="11" s="1"/>
  <c r="A1929" i="11" s="1"/>
  <c r="A1930" i="11" s="1"/>
  <c r="A1931" i="11" s="1"/>
  <c r="A1932" i="11" s="1"/>
  <c r="A1933" i="11" s="1"/>
  <c r="A1934" i="11" s="1"/>
  <c r="A1935" i="11" s="1"/>
  <c r="A1918" i="11"/>
  <c r="A1919" i="11" s="1"/>
  <c r="A1920" i="11" s="1"/>
  <c r="A1921" i="11" s="1"/>
  <c r="A1922" i="11" s="1"/>
  <c r="A1923" i="11" s="1"/>
  <c r="A1924" i="11" s="1"/>
  <c r="A1925" i="11" s="1"/>
  <c r="A1926" i="11" s="1"/>
  <c r="A1909" i="11"/>
  <c r="A1910" i="11" s="1"/>
  <c r="A1911" i="11" s="1"/>
  <c r="A1912" i="11" s="1"/>
  <c r="A1913" i="11" s="1"/>
  <c r="A1914" i="11" s="1"/>
  <c r="A1915" i="11" s="1"/>
  <c r="A1916" i="11" s="1"/>
  <c r="A1917" i="11" s="1"/>
  <c r="A1900" i="11"/>
  <c r="A1901" i="11" s="1"/>
  <c r="A1902" i="11" s="1"/>
  <c r="A1903" i="11" s="1"/>
  <c r="A1904" i="11" s="1"/>
  <c r="A1905" i="11" s="1"/>
  <c r="A1906" i="11" s="1"/>
  <c r="A1907" i="11" s="1"/>
  <c r="A1908" i="11" s="1"/>
  <c r="A1891" i="11"/>
  <c r="A1892" i="11" s="1"/>
  <c r="A1893" i="11" s="1"/>
  <c r="A1894" i="11" s="1"/>
  <c r="A1895" i="11" s="1"/>
  <c r="A1896" i="11" s="1"/>
  <c r="A1897" i="11" s="1"/>
  <c r="A1898" i="11" s="1"/>
  <c r="A1899" i="11" s="1"/>
  <c r="A1876" i="11"/>
  <c r="A1877" i="11" s="1"/>
  <c r="A1878" i="11" s="1"/>
  <c r="A1879" i="11" s="1"/>
  <c r="A1880" i="11" s="1"/>
  <c r="A1881" i="11" s="1"/>
  <c r="A1882" i="11" s="1"/>
  <c r="A1883" i="11" s="1"/>
  <c r="A1884" i="11" s="1"/>
  <c r="A1885" i="11" s="1"/>
  <c r="A1886" i="11" s="1"/>
  <c r="A1887" i="11" s="1"/>
  <c r="A1888" i="11" s="1"/>
  <c r="A1889" i="11" s="1"/>
  <c r="A1890" i="11" s="1"/>
  <c r="A1869" i="11"/>
  <c r="A1870" i="11" s="1"/>
  <c r="A1871" i="11" s="1"/>
  <c r="A1872" i="11" s="1"/>
  <c r="A1873" i="11" s="1"/>
  <c r="A1874" i="11" s="1"/>
  <c r="A1875" i="11" s="1"/>
  <c r="A1867" i="11"/>
  <c r="A1868" i="11" s="1"/>
  <c r="A1863" i="11"/>
  <c r="A1864" i="11" s="1"/>
  <c r="A1865" i="11" s="1"/>
  <c r="A1866" i="11" s="1"/>
  <c r="A1854" i="11"/>
  <c r="A1855" i="11" s="1"/>
  <c r="A1856" i="11" s="1"/>
  <c r="A1857" i="11" s="1"/>
  <c r="A1858" i="11" s="1"/>
  <c r="A1859" i="11" s="1"/>
  <c r="A1860" i="11" s="1"/>
  <c r="A1861" i="11" s="1"/>
  <c r="A1862" i="11" s="1"/>
  <c r="A1832" i="11"/>
  <c r="A1833" i="11" s="1"/>
  <c r="A1834" i="11" s="1"/>
  <c r="A1835" i="11" s="1"/>
  <c r="A1836" i="11" s="1"/>
  <c r="A1837" i="11" s="1"/>
  <c r="A1838" i="11" s="1"/>
  <c r="A1839" i="11" s="1"/>
  <c r="A1840" i="11" s="1"/>
  <c r="A1841" i="11" s="1"/>
  <c r="A1842" i="11" s="1"/>
  <c r="A1843" i="11" s="1"/>
  <c r="A1844" i="11" s="1"/>
  <c r="A1845" i="11" s="1"/>
  <c r="A1846" i="11" s="1"/>
  <c r="A1847" i="11" s="1"/>
  <c r="A1848" i="11" s="1"/>
  <c r="A1849" i="11" s="1"/>
  <c r="A1850" i="11" s="1"/>
  <c r="A1851" i="11" s="1"/>
  <c r="A1852" i="11" s="1"/>
  <c r="A1853" i="11" s="1"/>
  <c r="A1831" i="11"/>
  <c r="H1815" i="11"/>
  <c r="A1815" i="11"/>
  <c r="A1816" i="11" s="1"/>
  <c r="A1817" i="11" s="1"/>
  <c r="A1818" i="11" s="1"/>
  <c r="A1819" i="11" s="1"/>
  <c r="A1820" i="11" s="1"/>
  <c r="A1821" i="11" s="1"/>
  <c r="A1822" i="11" s="1"/>
  <c r="A1823" i="11" s="1"/>
  <c r="A1824" i="11" s="1"/>
  <c r="A1825" i="11" s="1"/>
  <c r="A1826" i="11" s="1"/>
  <c r="A1827" i="11" s="1"/>
  <c r="A1828" i="11" s="1"/>
  <c r="A1829" i="11" s="1"/>
  <c r="A1830" i="11" s="1"/>
  <c r="A1802" i="11"/>
  <c r="A1803" i="11" s="1"/>
  <c r="A1804" i="11" s="1"/>
  <c r="A1805" i="11" s="1"/>
  <c r="A1806" i="11" s="1"/>
  <c r="A1807" i="11" s="1"/>
  <c r="A1808" i="11" s="1"/>
  <c r="A1809" i="11" s="1"/>
  <c r="A1810" i="11" s="1"/>
  <c r="A1811" i="11" s="1"/>
  <c r="A1812" i="11" s="1"/>
  <c r="A1813" i="11" s="1"/>
  <c r="A1814" i="11" s="1"/>
  <c r="A1795" i="11"/>
  <c r="A1796" i="11" s="1"/>
  <c r="A1797" i="11" s="1"/>
  <c r="A1798" i="11" s="1"/>
  <c r="A1799" i="11" s="1"/>
  <c r="A1800" i="11" s="1"/>
  <c r="A1801" i="11" s="1"/>
  <c r="A1789" i="11"/>
  <c r="A1790" i="11" s="1"/>
  <c r="A1791" i="11" s="1"/>
  <c r="A1793" i="11" s="1"/>
  <c r="A1794" i="11" s="1"/>
  <c r="A1735" i="11"/>
  <c r="A1736" i="11" s="1"/>
  <c r="A1737" i="11" s="1"/>
  <c r="A1738" i="11" s="1"/>
  <c r="A1739" i="11" s="1"/>
  <c r="A1740" i="11" s="1"/>
  <c r="A1741" i="11" s="1"/>
  <c r="A1742" i="11" s="1"/>
  <c r="A1743" i="11" s="1"/>
  <c r="A1744" i="11" s="1"/>
  <c r="A1745" i="11" s="1"/>
  <c r="A1746" i="11" s="1"/>
  <c r="A1747" i="11" s="1"/>
  <c r="A1748" i="11" s="1"/>
  <c r="A1749" i="11" s="1"/>
  <c r="A1750" i="11" s="1"/>
  <c r="A1751" i="11" s="1"/>
  <c r="A1752" i="11" s="1"/>
  <c r="A1753" i="11" s="1"/>
  <c r="A1754" i="11" s="1"/>
  <c r="A1755" i="11" s="1"/>
  <c r="A1756" i="11" s="1"/>
  <c r="A1757" i="11" s="1"/>
  <c r="A1758" i="11" s="1"/>
  <c r="A1759" i="11" s="1"/>
  <c r="A1760" i="11" s="1"/>
  <c r="A1761" i="11" s="1"/>
  <c r="A1762" i="11" s="1"/>
  <c r="A1763" i="11" s="1"/>
  <c r="A1764" i="11" s="1"/>
  <c r="A1765" i="11" s="1"/>
  <c r="A1766" i="11" s="1"/>
  <c r="A1767" i="11" s="1"/>
  <c r="A1768" i="11" s="1"/>
  <c r="A1769" i="11" s="1"/>
  <c r="A1770" i="11" s="1"/>
  <c r="A1771" i="11" s="1"/>
  <c r="A1772" i="11" s="1"/>
  <c r="A1773" i="11" s="1"/>
  <c r="A1774" i="11" s="1"/>
  <c r="A1775" i="11" s="1"/>
  <c r="A1776" i="11" s="1"/>
  <c r="A1777" i="11" s="1"/>
  <c r="A1778" i="11" s="1"/>
  <c r="A1779" i="11" s="1"/>
  <c r="A1780" i="11" s="1"/>
  <c r="A1781" i="11" s="1"/>
  <c r="A1782" i="11" s="1"/>
  <c r="A1783" i="11" s="1"/>
  <c r="A1784" i="11" s="1"/>
  <c r="A1785" i="11" s="1"/>
  <c r="A1786" i="11" s="1"/>
  <c r="A1787" i="11" s="1"/>
  <c r="A1788" i="11" s="1"/>
  <c r="A1725" i="11"/>
  <c r="A1726" i="11" s="1"/>
  <c r="A1727" i="11" s="1"/>
  <c r="A1728" i="11" s="1"/>
  <c r="A1729" i="11" s="1"/>
  <c r="A1730" i="11" s="1"/>
  <c r="A1731" i="11" s="1"/>
  <c r="A1732" i="11" s="1"/>
  <c r="A1733" i="11" s="1"/>
  <c r="A1734" i="11" s="1"/>
  <c r="A1716" i="11"/>
  <c r="A1717" i="11" s="1"/>
  <c r="A1718" i="11" s="1"/>
  <c r="A1719" i="11" s="1"/>
  <c r="A1720" i="11" s="1"/>
  <c r="A1723" i="11" s="1"/>
  <c r="A1724" i="11" s="1"/>
  <c r="H1707" i="11"/>
  <c r="A1707" i="11"/>
  <c r="A1708" i="11" s="1"/>
  <c r="A1709" i="11" s="1"/>
  <c r="A1710" i="11" s="1"/>
  <c r="A1711" i="11" s="1"/>
  <c r="A1712" i="11" s="1"/>
  <c r="A1713" i="11" s="1"/>
  <c r="A1714" i="11" s="1"/>
  <c r="A1715" i="11" s="1"/>
  <c r="A1700" i="11"/>
  <c r="A1701" i="11" s="1"/>
  <c r="A1702" i="11" s="1"/>
  <c r="A1703" i="11" s="1"/>
  <c r="A1705" i="11" s="1"/>
  <c r="A1706" i="11" s="1"/>
  <c r="A1693" i="11"/>
  <c r="A1694" i="11" s="1"/>
  <c r="A1695" i="11" s="1"/>
  <c r="A1696" i="11" s="1"/>
  <c r="A1697" i="11" s="1"/>
  <c r="A1698" i="11" s="1"/>
  <c r="A1699" i="11" s="1"/>
  <c r="A1686" i="11"/>
  <c r="A1687" i="11" s="1"/>
  <c r="A1688" i="11" s="1"/>
  <c r="A1689" i="11" s="1"/>
  <c r="A1690" i="11" s="1"/>
  <c r="A1691" i="11" s="1"/>
  <c r="A1692" i="11" s="1"/>
  <c r="A1679" i="11"/>
  <c r="A1680" i="11" s="1"/>
  <c r="A1681" i="11" s="1"/>
  <c r="A1682" i="11" s="1"/>
  <c r="A1683" i="11" s="1"/>
  <c r="A1684" i="11" s="1"/>
  <c r="A1685" i="11" s="1"/>
  <c r="A1658" i="11"/>
  <c r="A1659" i="11" s="1"/>
  <c r="A1660" i="11" s="1"/>
  <c r="A1661" i="11" s="1"/>
  <c r="A1662" i="11" s="1"/>
  <c r="A1663" i="11" s="1"/>
  <c r="A1664" i="11" s="1"/>
  <c r="A1665" i="11" s="1"/>
  <c r="A1666" i="11" s="1"/>
  <c r="A1667" i="11" s="1"/>
  <c r="A1668" i="11" s="1"/>
  <c r="A1669" i="11" s="1"/>
  <c r="A1670" i="11" s="1"/>
  <c r="A1671" i="11" s="1"/>
  <c r="A1672" i="11" s="1"/>
  <c r="A1673" i="11" s="1"/>
  <c r="A1674" i="11" s="1"/>
  <c r="A1675" i="11" s="1"/>
  <c r="A1676" i="11" s="1"/>
  <c r="A1677" i="11" s="1"/>
  <c r="A1678" i="11" s="1"/>
  <c r="A1652" i="11"/>
  <c r="A1653" i="11" s="1"/>
  <c r="A1654" i="11" s="1"/>
  <c r="A1655" i="11" s="1"/>
  <c r="A1656" i="11" s="1"/>
  <c r="A1657" i="11" s="1"/>
  <c r="A1651" i="11"/>
  <c r="A1635" i="11"/>
  <c r="A1636" i="11" s="1"/>
  <c r="A1637" i="11" s="1"/>
  <c r="A1638" i="11" s="1"/>
  <c r="A1639" i="11" s="1"/>
  <c r="A1640" i="11" s="1"/>
  <c r="A1641" i="11" s="1"/>
  <c r="A1642" i="11" s="1"/>
  <c r="A1643" i="11" s="1"/>
  <c r="A1644" i="11" s="1"/>
  <c r="A1645" i="11" s="1"/>
  <c r="A1646" i="11" s="1"/>
  <c r="A1647" i="11" s="1"/>
  <c r="A1648" i="11" s="1"/>
  <c r="A1649" i="11" s="1"/>
  <c r="A1650" i="11" s="1"/>
  <c r="A1609" i="11"/>
  <c r="A1610" i="11" s="1"/>
  <c r="A1611" i="11" s="1"/>
  <c r="A1612" i="11" s="1"/>
  <c r="A1613" i="11" s="1"/>
  <c r="A1614" i="11" s="1"/>
  <c r="A1615" i="11" s="1"/>
  <c r="A1616" i="11" s="1"/>
  <c r="A1617" i="11" s="1"/>
  <c r="A1618" i="11" s="1"/>
  <c r="A1619" i="11" s="1"/>
  <c r="A1620" i="11" s="1"/>
  <c r="A1621" i="11" s="1"/>
  <c r="A1622" i="11" s="1"/>
  <c r="A1623" i="11" s="1"/>
  <c r="A1624" i="11" s="1"/>
  <c r="A1625" i="11" s="1"/>
  <c r="A1626" i="11" s="1"/>
  <c r="A1627" i="11" s="1"/>
  <c r="A1628" i="11" s="1"/>
  <c r="A1629" i="11" s="1"/>
  <c r="A1630" i="11" s="1"/>
  <c r="A1631" i="11" s="1"/>
  <c r="A1632" i="11" s="1"/>
  <c r="A1633" i="11" s="1"/>
  <c r="A1634" i="11" s="1"/>
  <c r="H1604" i="11"/>
  <c r="A1602" i="11"/>
  <c r="A1603" i="11" s="1"/>
  <c r="A1604" i="11" s="1"/>
  <c r="A1605" i="11" s="1"/>
  <c r="A1606" i="11" s="1"/>
  <c r="A1607" i="11" s="1"/>
  <c r="A1608" i="11" s="1"/>
  <c r="A1595" i="11"/>
  <c r="A1596" i="11" s="1"/>
  <c r="A1597" i="11" s="1"/>
  <c r="A1598" i="11" s="1"/>
  <c r="A1599" i="11" s="1"/>
  <c r="A1600" i="11" s="1"/>
  <c r="A1601" i="11" s="1"/>
  <c r="A1588" i="11"/>
  <c r="A1589" i="11" s="1"/>
  <c r="A1590" i="11" s="1"/>
  <c r="A1591" i="11" s="1"/>
  <c r="A1592" i="11" s="1"/>
  <c r="A1593" i="11" s="1"/>
  <c r="A1594" i="11" s="1"/>
  <c r="A1582" i="11"/>
  <c r="A1583" i="11" s="1"/>
  <c r="A1584" i="11" s="1"/>
  <c r="A1585" i="11" s="1"/>
  <c r="A1586" i="11" s="1"/>
  <c r="A1587" i="11" s="1"/>
  <c r="A1572" i="11"/>
  <c r="A1573" i="11" s="1"/>
  <c r="A1574" i="11" s="1"/>
  <c r="A1575" i="11" s="1"/>
  <c r="A1576" i="11" s="1"/>
  <c r="A1577" i="11" s="1"/>
  <c r="A1578" i="11" s="1"/>
  <c r="A1579" i="11" s="1"/>
  <c r="A1580" i="11" s="1"/>
  <c r="A1581" i="11" s="1"/>
  <c r="A1566" i="11"/>
  <c r="A1567" i="11" s="1"/>
  <c r="A1568" i="11" s="1"/>
  <c r="A1569" i="11" s="1"/>
  <c r="A1570" i="11" s="1"/>
  <c r="A1571" i="11" s="1"/>
  <c r="A1558" i="11"/>
  <c r="A1559" i="11" s="1"/>
  <c r="A1560" i="11" s="1"/>
  <c r="A1561" i="11" s="1"/>
  <c r="A1562" i="11" s="1"/>
  <c r="A1563" i="11" s="1"/>
  <c r="A1564" i="11" s="1"/>
  <c r="A1565" i="11" s="1"/>
  <c r="A1551" i="11"/>
  <c r="A1552" i="11" s="1"/>
  <c r="A1553" i="11" s="1"/>
  <c r="A1554" i="11" s="1"/>
  <c r="A1555" i="11" s="1"/>
  <c r="A1556" i="11" s="1"/>
  <c r="A1557" i="11" s="1"/>
  <c r="A1545" i="11"/>
  <c r="A1546" i="11" s="1"/>
  <c r="A1547" i="11" s="1"/>
  <c r="A1548" i="11" s="1"/>
  <c r="A1549" i="11" s="1"/>
  <c r="A1550" i="11" s="1"/>
  <c r="A1527" i="11"/>
  <c r="A1528" i="11" s="1"/>
  <c r="A1529" i="11" s="1"/>
  <c r="A1530" i="11" s="1"/>
  <c r="A1531" i="11" s="1"/>
  <c r="A1532" i="11" s="1"/>
  <c r="A1533" i="11" s="1"/>
  <c r="A1534" i="11" s="1"/>
  <c r="A1535" i="11" s="1"/>
  <c r="A1536" i="11" s="1"/>
  <c r="A1537" i="11" s="1"/>
  <c r="A1538" i="11" s="1"/>
  <c r="A1539" i="11" s="1"/>
  <c r="A1540" i="11" s="1"/>
  <c r="A1541" i="11" s="1"/>
  <c r="A1542" i="11" s="1"/>
  <c r="A1543" i="11" s="1"/>
  <c r="A1544" i="11" s="1"/>
  <c r="A1520" i="11"/>
  <c r="A1521" i="11" s="1"/>
  <c r="A1522" i="11" s="1"/>
  <c r="A1523" i="11" s="1"/>
  <c r="A1524" i="11" s="1"/>
  <c r="A1525" i="11" s="1"/>
  <c r="A1526" i="11" s="1"/>
  <c r="A1517" i="11"/>
  <c r="A1518" i="11" s="1"/>
  <c r="A1519" i="11" s="1"/>
  <c r="A1515" i="11"/>
  <c r="A1516" i="11" s="1"/>
  <c r="A1514" i="11"/>
  <c r="A1503" i="11"/>
  <c r="A1504" i="11" s="1"/>
  <c r="A1505" i="11" s="1"/>
  <c r="A1506" i="11" s="1"/>
  <c r="A1507" i="11" s="1"/>
  <c r="A1508" i="11" s="1"/>
  <c r="A1509" i="11" s="1"/>
  <c r="A1510" i="11" s="1"/>
  <c r="A1511" i="11" s="1"/>
  <c r="A1512" i="11" s="1"/>
  <c r="A1513" i="11" s="1"/>
  <c r="A1499" i="11"/>
  <c r="A1500" i="11" s="1"/>
  <c r="A1501" i="11" s="1"/>
  <c r="A1502" i="11" s="1"/>
  <c r="A1497" i="11"/>
  <c r="A1498" i="11" s="1"/>
  <c r="A1484" i="11"/>
  <c r="A1485" i="11" s="1"/>
  <c r="A1486" i="11" s="1"/>
  <c r="A1487" i="11" s="1"/>
  <c r="A1488" i="11" s="1"/>
  <c r="A1489" i="11" s="1"/>
  <c r="A1490" i="11" s="1"/>
  <c r="A1491" i="11" s="1"/>
  <c r="A1492" i="11" s="1"/>
  <c r="A1493" i="11" s="1"/>
  <c r="A1494" i="11" s="1"/>
  <c r="A1495" i="11" s="1"/>
  <c r="A1496" i="11" s="1"/>
  <c r="A1462" i="11"/>
  <c r="A1463" i="11" s="1"/>
  <c r="A1464" i="11" s="1"/>
  <c r="A1465" i="11" s="1"/>
  <c r="A1466" i="11" s="1"/>
  <c r="A1467" i="11" s="1"/>
  <c r="A1468" i="11" s="1"/>
  <c r="A1469" i="11" s="1"/>
  <c r="A1470" i="11" s="1"/>
  <c r="A1471" i="11" s="1"/>
  <c r="A1472" i="11" s="1"/>
  <c r="A1473" i="11" s="1"/>
  <c r="A1474" i="11" s="1"/>
  <c r="A1475" i="11" s="1"/>
  <c r="A1476" i="11" s="1"/>
  <c r="A1477" i="11" s="1"/>
  <c r="A1478" i="11" s="1"/>
  <c r="A1479" i="11" s="1"/>
  <c r="A1480" i="11" s="1"/>
  <c r="A1481" i="11" s="1"/>
  <c r="A1482" i="11" s="1"/>
  <c r="A1483" i="11" s="1"/>
  <c r="A1455" i="11"/>
  <c r="A1456" i="11" s="1"/>
  <c r="A1457" i="11" s="1"/>
  <c r="A1458" i="11" s="1"/>
  <c r="A1460" i="11" s="1"/>
  <c r="A1461" i="11" s="1"/>
  <c r="A1449" i="11"/>
  <c r="A1450" i="11" s="1"/>
  <c r="A1451" i="11" s="1"/>
  <c r="A1452" i="11" s="1"/>
  <c r="A1453" i="11" s="1"/>
  <c r="A1454" i="11" s="1"/>
  <c r="A1442" i="11"/>
  <c r="A1443" i="11" s="1"/>
  <c r="A1444" i="11" s="1"/>
  <c r="A1445" i="11" s="1"/>
  <c r="A1446" i="11" s="1"/>
  <c r="A1447" i="11" s="1"/>
  <c r="A1448" i="11" s="1"/>
  <c r="A1430" i="11"/>
  <c r="A1431" i="11" s="1"/>
  <c r="A1432" i="11" s="1"/>
  <c r="A1433" i="11" s="1"/>
  <c r="A1434" i="11" s="1"/>
  <c r="A1435" i="11" s="1"/>
  <c r="A1436" i="11" s="1"/>
  <c r="A1437" i="11" s="1"/>
  <c r="A1438" i="11" s="1"/>
  <c r="A1439" i="11" s="1"/>
  <c r="A1440" i="11" s="1"/>
  <c r="A1441" i="11" s="1"/>
  <c r="A1422" i="11"/>
  <c r="A1423" i="11" s="1"/>
  <c r="A1424" i="11" s="1"/>
  <c r="A1425" i="11" s="1"/>
  <c r="A1426" i="11" s="1"/>
  <c r="A1427" i="11" s="1"/>
  <c r="A1428" i="11" s="1"/>
  <c r="A1429" i="11" s="1"/>
  <c r="A1415" i="11"/>
  <c r="A1416" i="11" s="1"/>
  <c r="A1417" i="11" s="1"/>
  <c r="A1418" i="11" s="1"/>
  <c r="A1419" i="11" s="1"/>
  <c r="A1420" i="11" s="1"/>
  <c r="A1421" i="11" s="1"/>
  <c r="A1408" i="11"/>
  <c r="A1409" i="11" s="1"/>
  <c r="A1410" i="11" s="1"/>
  <c r="A1411" i="11" s="1"/>
  <c r="A1412" i="11" s="1"/>
  <c r="A1413" i="11" s="1"/>
  <c r="A1414" i="11" s="1"/>
  <c r="A1407" i="11"/>
  <c r="A1400" i="11"/>
  <c r="A1401" i="11" s="1"/>
  <c r="A1402" i="11" s="1"/>
  <c r="A1403" i="11" s="1"/>
  <c r="A1404" i="11" s="1"/>
  <c r="A1405" i="11" s="1"/>
  <c r="A1406" i="11" s="1"/>
  <c r="A1391" i="11"/>
  <c r="A1392" i="11" s="1"/>
  <c r="A1393" i="11" s="1"/>
  <c r="A1394" i="11" s="1"/>
  <c r="A1395" i="11" s="1"/>
  <c r="A1396" i="11" s="1"/>
  <c r="A1397" i="11" s="1"/>
  <c r="A1398" i="11" s="1"/>
  <c r="A1399" i="11" s="1"/>
  <c r="A1383" i="11"/>
  <c r="A1384" i="11" s="1"/>
  <c r="A1385" i="11" s="1"/>
  <c r="A1386" i="11" s="1"/>
  <c r="A1387" i="11" s="1"/>
  <c r="A1388" i="11" s="1"/>
  <c r="A1389" i="11" s="1"/>
  <c r="A1390" i="11" s="1"/>
  <c r="A1370" i="11"/>
  <c r="A1371" i="11" s="1"/>
  <c r="A1372" i="11" s="1"/>
  <c r="A1373" i="11" s="1"/>
  <c r="A1374" i="11" s="1"/>
  <c r="A1375" i="11" s="1"/>
  <c r="A1376" i="11" s="1"/>
  <c r="A1377" i="11" s="1"/>
  <c r="A1378" i="11" s="1"/>
  <c r="A1379" i="11" s="1"/>
  <c r="A1380" i="11" s="1"/>
  <c r="A1381" i="11" s="1"/>
  <c r="A1382" i="11" s="1"/>
  <c r="A1360" i="11"/>
  <c r="A1361" i="11" s="1"/>
  <c r="A1362" i="11" s="1"/>
  <c r="A1363" i="11" s="1"/>
  <c r="A1364" i="11" s="1"/>
  <c r="A1365" i="11" s="1"/>
  <c r="A1366" i="11" s="1"/>
  <c r="A1367" i="11" s="1"/>
  <c r="A1368" i="11" s="1"/>
  <c r="A1369" i="11" s="1"/>
  <c r="A1354" i="11"/>
  <c r="A1355" i="11" s="1"/>
  <c r="A1356" i="11" s="1"/>
  <c r="A1357" i="11" s="1"/>
  <c r="A1358" i="11" s="1"/>
  <c r="A1359" i="11" s="1"/>
  <c r="A1350" i="11"/>
  <c r="A1351" i="11" s="1"/>
  <c r="A1352" i="11" s="1"/>
  <c r="A1353" i="11" s="1"/>
  <c r="A1348" i="11"/>
  <c r="A1349" i="11" s="1"/>
  <c r="A1342" i="11"/>
  <c r="A1343" i="11" s="1"/>
  <c r="A1344" i="11" s="1"/>
  <c r="A1345" i="11" s="1"/>
  <c r="A1346" i="11" s="1"/>
  <c r="A1347" i="11" s="1"/>
  <c r="A1336" i="11"/>
  <c r="A1337" i="11" s="1"/>
  <c r="A1338" i="11" s="1"/>
  <c r="A1339" i="11" s="1"/>
  <c r="A1340" i="11" s="1"/>
  <c r="A1341" i="11" s="1"/>
  <c r="W1335" i="11"/>
  <c r="V1335" i="11"/>
  <c r="Q1335" i="11"/>
  <c r="P1335" i="11"/>
  <c r="M1335" i="11"/>
  <c r="L1335" i="11"/>
  <c r="K1335" i="11"/>
  <c r="J1335" i="11"/>
  <c r="W1334" i="11"/>
  <c r="V1334" i="11"/>
  <c r="Q1334" i="11"/>
  <c r="P1334" i="11"/>
  <c r="M1334" i="11"/>
  <c r="L1334" i="11"/>
  <c r="K1334" i="11"/>
  <c r="J1334" i="11"/>
  <c r="W1333" i="11"/>
  <c r="V1333" i="11"/>
  <c r="Q1333" i="11"/>
  <c r="P1333" i="11"/>
  <c r="M1333" i="11"/>
  <c r="L1333" i="11"/>
  <c r="K1333" i="11"/>
  <c r="J1333" i="11"/>
  <c r="W1332" i="11"/>
  <c r="V1332" i="11"/>
  <c r="Q1332" i="11"/>
  <c r="P1332" i="11"/>
  <c r="M1332" i="11"/>
  <c r="L1332" i="11"/>
  <c r="K1332" i="11"/>
  <c r="J1332" i="11"/>
  <c r="W1331" i="11"/>
  <c r="V1331" i="11"/>
  <c r="Q1331" i="11"/>
  <c r="P1331" i="11"/>
  <c r="M1331" i="11"/>
  <c r="L1331" i="11"/>
  <c r="K1331" i="11"/>
  <c r="J1331" i="11"/>
  <c r="W1330" i="11"/>
  <c r="V1330" i="11"/>
  <c r="Q1330" i="11"/>
  <c r="P1330" i="11"/>
  <c r="M1330" i="11"/>
  <c r="L1330" i="11"/>
  <c r="K1330" i="11"/>
  <c r="J1330" i="11"/>
  <c r="W1329" i="11"/>
  <c r="V1329" i="11"/>
  <c r="Q1329" i="11"/>
  <c r="P1329" i="11"/>
  <c r="M1329" i="11"/>
  <c r="L1329" i="11"/>
  <c r="K1329" i="11"/>
  <c r="J1329" i="11"/>
  <c r="W1328" i="11"/>
  <c r="V1328" i="11"/>
  <c r="Q1328" i="11"/>
  <c r="P1328" i="11"/>
  <c r="M1328" i="11"/>
  <c r="L1328" i="11"/>
  <c r="K1328" i="11"/>
  <c r="J1328" i="11"/>
  <c r="W1327" i="11"/>
  <c r="V1327" i="11"/>
  <c r="Q1327" i="11"/>
  <c r="P1327" i="11"/>
  <c r="M1327" i="11"/>
  <c r="L1327" i="11"/>
  <c r="K1327" i="11"/>
  <c r="J1327" i="11"/>
  <c r="W1326" i="11"/>
  <c r="V1326" i="11"/>
  <c r="Q1326" i="11"/>
  <c r="P1326" i="11"/>
  <c r="M1326" i="11"/>
  <c r="L1326" i="11"/>
  <c r="K1326" i="11"/>
  <c r="J1326" i="11"/>
  <c r="W1325" i="11"/>
  <c r="V1325" i="11"/>
  <c r="Q1325" i="11"/>
  <c r="P1325" i="11"/>
  <c r="W1324" i="11"/>
  <c r="V1324" i="11"/>
  <c r="Q1324" i="11"/>
  <c r="P1324" i="11"/>
  <c r="H1324" i="11"/>
  <c r="A1324" i="11"/>
  <c r="A1325" i="11" s="1"/>
  <c r="A1326" i="11" s="1"/>
  <c r="A1327" i="11" s="1"/>
  <c r="A1328" i="11" s="1"/>
  <c r="A1329" i="11" s="1"/>
  <c r="A1330" i="11" s="1"/>
  <c r="A1331" i="11" s="1"/>
  <c r="A1332" i="11" s="1"/>
  <c r="A1333" i="11" s="1"/>
  <c r="A1334" i="11" s="1"/>
  <c r="A1335" i="11" s="1"/>
  <c r="W1323" i="11"/>
  <c r="V1323" i="11"/>
  <c r="Q1323" i="11"/>
  <c r="P1323" i="11"/>
  <c r="M1323" i="11"/>
  <c r="L1323" i="11"/>
  <c r="K1323" i="11"/>
  <c r="J1323" i="11"/>
  <c r="W1322" i="11"/>
  <c r="V1322" i="11"/>
  <c r="Q1322" i="11"/>
  <c r="P1322" i="11"/>
  <c r="M1322" i="11"/>
  <c r="L1322" i="11"/>
  <c r="K1322" i="11"/>
  <c r="J1322" i="11"/>
  <c r="W1321" i="11"/>
  <c r="V1321" i="11"/>
  <c r="Q1321" i="11"/>
  <c r="P1321" i="11"/>
  <c r="M1321" i="11"/>
  <c r="L1321" i="11"/>
  <c r="K1321" i="11"/>
  <c r="J1321" i="11"/>
  <c r="W1320" i="11"/>
  <c r="V1320" i="11"/>
  <c r="Q1320" i="11"/>
  <c r="P1320" i="11"/>
  <c r="M1320" i="11"/>
  <c r="L1320" i="11"/>
  <c r="K1320" i="11"/>
  <c r="J1320" i="11"/>
  <c r="W1319" i="11"/>
  <c r="V1319" i="11"/>
  <c r="Q1319" i="11"/>
  <c r="P1319" i="11"/>
  <c r="M1319" i="11"/>
  <c r="L1319" i="11"/>
  <c r="K1319" i="11"/>
  <c r="J1319" i="11"/>
  <c r="W1318" i="11"/>
  <c r="V1318" i="11"/>
  <c r="Q1318" i="11"/>
  <c r="P1318" i="11"/>
  <c r="A1318" i="11"/>
  <c r="A1319" i="11" s="1"/>
  <c r="A1320" i="11" s="1"/>
  <c r="A1321" i="11" s="1"/>
  <c r="A1322" i="11" s="1"/>
  <c r="A1323" i="11" s="1"/>
  <c r="W1317" i="11"/>
  <c r="V1317" i="11"/>
  <c r="Q1317" i="11"/>
  <c r="P1317" i="11"/>
  <c r="M1317" i="11"/>
  <c r="L1317" i="11"/>
  <c r="K1317" i="11"/>
  <c r="J1317" i="11"/>
  <c r="W1316" i="11"/>
  <c r="V1316" i="11"/>
  <c r="Q1316" i="11"/>
  <c r="P1316" i="11"/>
  <c r="M1316" i="11"/>
  <c r="L1316" i="11"/>
  <c r="K1316" i="11"/>
  <c r="J1316" i="11"/>
  <c r="W1315" i="11"/>
  <c r="V1315" i="11"/>
  <c r="Q1315" i="11"/>
  <c r="P1315" i="11"/>
  <c r="M1315" i="11"/>
  <c r="L1315" i="11"/>
  <c r="K1315" i="11"/>
  <c r="J1315" i="11"/>
  <c r="A1315" i="11"/>
  <c r="A1316" i="11" s="1"/>
  <c r="A1317" i="11" s="1"/>
  <c r="W1314" i="11"/>
  <c r="V1314" i="11"/>
  <c r="Q1314" i="11"/>
  <c r="P1314" i="11"/>
  <c r="A1314" i="11"/>
  <c r="W1313" i="11"/>
  <c r="V1313" i="11"/>
  <c r="Q1313" i="11"/>
  <c r="P1313" i="11"/>
  <c r="M1313" i="11"/>
  <c r="L1313" i="11"/>
  <c r="K1313" i="11"/>
  <c r="J1313" i="11"/>
  <c r="W1312" i="11"/>
  <c r="V1312" i="11"/>
  <c r="Q1312" i="11"/>
  <c r="P1312" i="11"/>
  <c r="M1312" i="11"/>
  <c r="L1312" i="11"/>
  <c r="K1312" i="11"/>
  <c r="J1312" i="11"/>
  <c r="W1311" i="11"/>
  <c r="V1311" i="11"/>
  <c r="Q1311" i="11"/>
  <c r="P1311" i="11"/>
  <c r="M1311" i="11"/>
  <c r="L1311" i="11"/>
  <c r="K1311" i="11"/>
  <c r="J1311" i="11"/>
  <c r="W1310" i="11"/>
  <c r="V1310" i="11"/>
  <c r="Q1310" i="11"/>
  <c r="P1310" i="11"/>
  <c r="M1310" i="11"/>
  <c r="L1310" i="11"/>
  <c r="K1310" i="11"/>
  <c r="J1310" i="11"/>
  <c r="W1309" i="11"/>
  <c r="V1309" i="11"/>
  <c r="Q1309" i="11"/>
  <c r="P1309" i="11"/>
  <c r="A1309" i="11"/>
  <c r="A1310" i="11" s="1"/>
  <c r="A1311" i="11" s="1"/>
  <c r="A1312" i="11" s="1"/>
  <c r="A1313" i="11" s="1"/>
  <c r="W1308" i="11"/>
  <c r="V1308" i="11"/>
  <c r="Q1308" i="11"/>
  <c r="P1308" i="11"/>
  <c r="M1308" i="11"/>
  <c r="L1308" i="11"/>
  <c r="K1308" i="11"/>
  <c r="J1308" i="11"/>
  <c r="W1307" i="11"/>
  <c r="V1307" i="11"/>
  <c r="Q1307" i="11"/>
  <c r="P1307" i="11"/>
  <c r="M1307" i="11"/>
  <c r="L1307" i="11"/>
  <c r="K1307" i="11"/>
  <c r="J1307" i="11"/>
  <c r="W1306" i="11"/>
  <c r="V1306" i="11"/>
  <c r="Q1306" i="11"/>
  <c r="P1306" i="11"/>
  <c r="M1306" i="11"/>
  <c r="L1306" i="11"/>
  <c r="K1306" i="11"/>
  <c r="J1306" i="11"/>
  <c r="W1305" i="11"/>
  <c r="V1305" i="11"/>
  <c r="Q1305" i="11"/>
  <c r="P1305" i="11"/>
  <c r="M1305" i="11"/>
  <c r="L1305" i="11"/>
  <c r="K1305" i="11"/>
  <c r="J1305" i="11"/>
  <c r="W1304" i="11"/>
  <c r="V1304" i="11"/>
  <c r="Q1304" i="11"/>
  <c r="P1304" i="11"/>
  <c r="M1304" i="11"/>
  <c r="L1304" i="11"/>
  <c r="K1304" i="11"/>
  <c r="J1304" i="11"/>
  <c r="W1303" i="11"/>
  <c r="V1303" i="11"/>
  <c r="Q1303" i="11"/>
  <c r="P1303" i="11"/>
  <c r="M1303" i="11"/>
  <c r="L1303" i="11"/>
  <c r="K1303" i="11"/>
  <c r="J1303" i="11"/>
  <c r="W1302" i="11"/>
  <c r="V1302" i="11"/>
  <c r="Q1302" i="11"/>
  <c r="P1302" i="11"/>
  <c r="M1302" i="11"/>
  <c r="L1302" i="11"/>
  <c r="K1302" i="11"/>
  <c r="J1302" i="11"/>
  <c r="W1301" i="11"/>
  <c r="V1301" i="11"/>
  <c r="Q1301" i="11"/>
  <c r="P1301" i="11"/>
  <c r="A1301" i="11"/>
  <c r="A1302" i="11" s="1"/>
  <c r="A1303" i="11" s="1"/>
  <c r="A1304" i="11" s="1"/>
  <c r="A1305" i="11" s="1"/>
  <c r="A1306" i="11" s="1"/>
  <c r="A1307" i="11" s="1"/>
  <c r="A1308" i="11" s="1"/>
  <c r="W1300" i="11"/>
  <c r="V1300" i="11"/>
  <c r="Q1300" i="11"/>
  <c r="P1300" i="11"/>
  <c r="M1300" i="11"/>
  <c r="L1300" i="11"/>
  <c r="K1300" i="11"/>
  <c r="J1300" i="11"/>
  <c r="W1299" i="11"/>
  <c r="V1299" i="11"/>
  <c r="Q1299" i="11"/>
  <c r="P1299" i="11"/>
  <c r="M1299" i="11"/>
  <c r="L1299" i="11"/>
  <c r="K1299" i="11"/>
  <c r="J1299" i="11"/>
  <c r="W1298" i="11"/>
  <c r="V1298" i="11"/>
  <c r="Q1298" i="11"/>
  <c r="P1298" i="11"/>
  <c r="M1298" i="11"/>
  <c r="L1298" i="11"/>
  <c r="K1298" i="11"/>
  <c r="J1298" i="11"/>
  <c r="W1297" i="11"/>
  <c r="V1297" i="11"/>
  <c r="Q1297" i="11"/>
  <c r="P1297" i="11"/>
  <c r="M1297" i="11"/>
  <c r="L1297" i="11"/>
  <c r="K1297" i="11"/>
  <c r="J1297" i="11"/>
  <c r="W1296" i="11"/>
  <c r="V1296" i="11"/>
  <c r="Q1296" i="11"/>
  <c r="P1296" i="11"/>
  <c r="W1295" i="11"/>
  <c r="V1295" i="11"/>
  <c r="Q1295" i="11"/>
  <c r="P1295" i="11"/>
  <c r="A1295" i="11"/>
  <c r="A1296" i="11" s="1"/>
  <c r="A1297" i="11" s="1"/>
  <c r="A1298" i="11" s="1"/>
  <c r="A1299" i="11" s="1"/>
  <c r="A1300" i="11" s="1"/>
  <c r="W1294" i="11"/>
  <c r="V1294" i="11"/>
  <c r="Q1294" i="11"/>
  <c r="P1294" i="11"/>
  <c r="M1294" i="11"/>
  <c r="L1294" i="11"/>
  <c r="K1294" i="11"/>
  <c r="J1294" i="11"/>
  <c r="W1293" i="11"/>
  <c r="V1293" i="11"/>
  <c r="Q1293" i="11"/>
  <c r="P1293" i="11"/>
  <c r="M1293" i="11"/>
  <c r="L1293" i="11"/>
  <c r="K1293" i="11"/>
  <c r="J1293" i="11"/>
  <c r="W1292" i="11"/>
  <c r="V1292" i="11"/>
  <c r="Q1292" i="11"/>
  <c r="P1292" i="11"/>
  <c r="M1292" i="11"/>
  <c r="L1292" i="11"/>
  <c r="K1292" i="11"/>
  <c r="J1292" i="11"/>
  <c r="W1291" i="11"/>
  <c r="V1291" i="11"/>
  <c r="Q1291" i="11"/>
  <c r="P1291" i="11"/>
  <c r="M1291" i="11"/>
  <c r="L1291" i="11"/>
  <c r="K1291" i="11"/>
  <c r="J1291" i="11"/>
  <c r="W1290" i="11"/>
  <c r="V1290" i="11"/>
  <c r="Q1290" i="11"/>
  <c r="P1290" i="11"/>
  <c r="A1290" i="11"/>
  <c r="A1291" i="11" s="1"/>
  <c r="A1292" i="11" s="1"/>
  <c r="A1293" i="11" s="1"/>
  <c r="A1294" i="11" s="1"/>
  <c r="W1289" i="11"/>
  <c r="V1289" i="11"/>
  <c r="Q1289" i="11"/>
  <c r="P1289" i="11"/>
  <c r="M1289" i="11"/>
  <c r="L1289" i="11"/>
  <c r="K1289" i="11"/>
  <c r="J1289" i="11"/>
  <c r="W1288" i="11"/>
  <c r="V1288" i="11"/>
  <c r="Q1288" i="11"/>
  <c r="P1288" i="11"/>
  <c r="M1288" i="11"/>
  <c r="L1288" i="11"/>
  <c r="K1288" i="11"/>
  <c r="J1288" i="11"/>
  <c r="W1287" i="11"/>
  <c r="V1287" i="11"/>
  <c r="Q1287" i="11"/>
  <c r="P1287" i="11"/>
  <c r="M1287" i="11"/>
  <c r="L1287" i="11"/>
  <c r="K1287" i="11"/>
  <c r="J1287" i="11"/>
  <c r="W1286" i="11"/>
  <c r="V1286" i="11"/>
  <c r="Q1286" i="11"/>
  <c r="P1286" i="11"/>
  <c r="M1286" i="11"/>
  <c r="L1286" i="11"/>
  <c r="K1286" i="11"/>
  <c r="J1286" i="11"/>
  <c r="W1285" i="11"/>
  <c r="V1285" i="11"/>
  <c r="Q1285" i="11"/>
  <c r="P1285" i="11"/>
  <c r="M1285" i="11"/>
  <c r="L1285" i="11"/>
  <c r="K1285" i="11"/>
  <c r="J1285" i="11"/>
  <c r="W1284" i="11"/>
  <c r="V1284" i="11"/>
  <c r="Q1284" i="11"/>
  <c r="P1284" i="11"/>
  <c r="A1284" i="11"/>
  <c r="A1285" i="11" s="1"/>
  <c r="A1286" i="11" s="1"/>
  <c r="A1287" i="11" s="1"/>
  <c r="A1288" i="11" s="1"/>
  <c r="A1289" i="11" s="1"/>
  <c r="W1283" i="11"/>
  <c r="V1283" i="11"/>
  <c r="Q1283" i="11"/>
  <c r="P1283" i="11"/>
  <c r="M1283" i="11"/>
  <c r="L1283" i="11"/>
  <c r="K1283" i="11"/>
  <c r="J1283" i="11"/>
  <c r="W1282" i="11"/>
  <c r="V1282" i="11"/>
  <c r="Q1282" i="11"/>
  <c r="P1282" i="11"/>
  <c r="M1282" i="11"/>
  <c r="L1282" i="11"/>
  <c r="K1282" i="11"/>
  <c r="J1282" i="11"/>
  <c r="W1281" i="11"/>
  <c r="V1281" i="11"/>
  <c r="Q1281" i="11"/>
  <c r="P1281" i="11"/>
  <c r="M1281" i="11"/>
  <c r="L1281" i="11"/>
  <c r="K1281" i="11"/>
  <c r="J1281" i="11"/>
  <c r="W1280" i="11"/>
  <c r="V1280" i="11"/>
  <c r="Q1280" i="11"/>
  <c r="P1280" i="11"/>
  <c r="M1280" i="11"/>
  <c r="L1280" i="11"/>
  <c r="K1280" i="11"/>
  <c r="J1280" i="11"/>
  <c r="W1279" i="11"/>
  <c r="V1279" i="11"/>
  <c r="Q1279" i="11"/>
  <c r="P1279" i="11"/>
  <c r="A1279" i="11"/>
  <c r="A1280" i="11" s="1"/>
  <c r="A1281" i="11" s="1"/>
  <c r="A1282" i="11" s="1"/>
  <c r="A1283" i="11" s="1"/>
  <c r="W1278" i="11"/>
  <c r="V1278" i="11"/>
  <c r="Q1278" i="11"/>
  <c r="P1278" i="11"/>
  <c r="M1278" i="11"/>
  <c r="L1278" i="11"/>
  <c r="K1278" i="11"/>
  <c r="J1278" i="11"/>
  <c r="W1277" i="11"/>
  <c r="V1277" i="11"/>
  <c r="Q1277" i="11"/>
  <c r="P1277" i="11"/>
  <c r="M1277" i="11"/>
  <c r="L1277" i="11"/>
  <c r="K1277" i="11"/>
  <c r="J1277" i="11"/>
  <c r="Q1276" i="11"/>
  <c r="P1276" i="11"/>
  <c r="M1276" i="11"/>
  <c r="L1276" i="11"/>
  <c r="K1276" i="11"/>
  <c r="J1276" i="11"/>
  <c r="Q1275" i="11"/>
  <c r="P1275" i="11"/>
  <c r="M1275" i="11"/>
  <c r="L1275" i="11"/>
  <c r="K1275" i="11"/>
  <c r="J1275" i="11"/>
  <c r="Q1274" i="11"/>
  <c r="P1274" i="11"/>
  <c r="M1274" i="11"/>
  <c r="L1274" i="11"/>
  <c r="K1274" i="11"/>
  <c r="J1274" i="11"/>
  <c r="Q1273" i="11"/>
  <c r="P1273" i="11"/>
  <c r="M1273" i="11"/>
  <c r="L1273" i="11"/>
  <c r="K1273" i="11"/>
  <c r="J1273" i="11"/>
  <c r="Q1272" i="11"/>
  <c r="P1272" i="11"/>
  <c r="M1272" i="11"/>
  <c r="L1272" i="11"/>
  <c r="K1272" i="11"/>
  <c r="J1272" i="11"/>
  <c r="M1271" i="11"/>
  <c r="L1271" i="11"/>
  <c r="K1271" i="11"/>
  <c r="J1271" i="11"/>
  <c r="M1270" i="11"/>
  <c r="L1270" i="11"/>
  <c r="K1270" i="11"/>
  <c r="J1270" i="11"/>
  <c r="M1269" i="11"/>
  <c r="L1269" i="11"/>
  <c r="K1269" i="11"/>
  <c r="J1269" i="11"/>
  <c r="M1268" i="11"/>
  <c r="L1268" i="11"/>
  <c r="K1268" i="11"/>
  <c r="J1268" i="11"/>
  <c r="M1267" i="11"/>
  <c r="L1267" i="11"/>
  <c r="K1267" i="11"/>
  <c r="J1267" i="11"/>
  <c r="M1266" i="11"/>
  <c r="L1266" i="11"/>
  <c r="K1266" i="11"/>
  <c r="J1266" i="11"/>
  <c r="M1265" i="11"/>
  <c r="L1265" i="11"/>
  <c r="K1265" i="11"/>
  <c r="J1265" i="11"/>
  <c r="M1264" i="11"/>
  <c r="L1264" i="11"/>
  <c r="K1264" i="11"/>
  <c r="J1264" i="11"/>
  <c r="M1263" i="11"/>
  <c r="L1263" i="11"/>
  <c r="K1263" i="11"/>
  <c r="J1263" i="11"/>
  <c r="A1263" i="11"/>
  <c r="A1264" i="11" s="1"/>
  <c r="A1265" i="11" s="1"/>
  <c r="A1266" i="11" s="1"/>
  <c r="A1267" i="11" s="1"/>
  <c r="A1268" i="11" s="1"/>
  <c r="A1269" i="11" s="1"/>
  <c r="A1270" i="11" s="1"/>
  <c r="A1271" i="11" s="1"/>
  <c r="A1272" i="11" s="1"/>
  <c r="A1273" i="11" s="1"/>
  <c r="A1274" i="11" s="1"/>
  <c r="A1275" i="11" s="1"/>
  <c r="A1276" i="11" s="1"/>
  <c r="A1277" i="11" s="1"/>
  <c r="A1278" i="11" s="1"/>
  <c r="A1262" i="11"/>
  <c r="W1261" i="11"/>
  <c r="V1261" i="11"/>
  <c r="Q1261" i="11"/>
  <c r="P1261" i="11"/>
  <c r="M1261" i="11"/>
  <c r="L1261" i="11"/>
  <c r="K1261" i="11"/>
  <c r="J1261" i="11"/>
  <c r="W1260" i="11"/>
  <c r="V1260" i="11"/>
  <c r="Q1260" i="11"/>
  <c r="P1260" i="11"/>
  <c r="M1260" i="11"/>
  <c r="L1260" i="11"/>
  <c r="K1260" i="11"/>
  <c r="J1260" i="11"/>
  <c r="Q1257" i="11"/>
  <c r="P1257" i="11"/>
  <c r="M1257" i="11"/>
  <c r="L1257" i="11"/>
  <c r="K1257" i="11"/>
  <c r="J1257" i="11"/>
  <c r="Q1256" i="11"/>
  <c r="P1256" i="11"/>
  <c r="M1256" i="11"/>
  <c r="L1256" i="11"/>
  <c r="K1256" i="11"/>
  <c r="J1256" i="11"/>
  <c r="Q1255" i="11"/>
  <c r="P1255" i="11"/>
  <c r="M1255" i="11"/>
  <c r="L1255" i="11"/>
  <c r="K1255" i="11"/>
  <c r="J1255" i="11"/>
  <c r="Q1254" i="11"/>
  <c r="P1254" i="11"/>
  <c r="M1254" i="11"/>
  <c r="L1254" i="11"/>
  <c r="K1254" i="11"/>
  <c r="J1254" i="11"/>
  <c r="Q1253" i="11"/>
  <c r="P1253" i="11"/>
  <c r="M1253" i="11"/>
  <c r="L1253" i="11"/>
  <c r="K1253" i="11"/>
  <c r="J1253" i="11"/>
  <c r="Q1252" i="11"/>
  <c r="P1252" i="11"/>
  <c r="M1252" i="11"/>
  <c r="L1252" i="11"/>
  <c r="K1252" i="11"/>
  <c r="J1252" i="11"/>
  <c r="Q1251" i="11"/>
  <c r="P1251" i="11"/>
  <c r="M1251" i="11"/>
  <c r="L1251" i="11"/>
  <c r="K1251" i="11"/>
  <c r="J1251" i="11"/>
  <c r="Q1250" i="11"/>
  <c r="P1250" i="11"/>
  <c r="Q1249" i="11"/>
  <c r="P1249" i="11"/>
  <c r="A1249" i="11"/>
  <c r="A1250" i="11" s="1"/>
  <c r="A1251" i="11" s="1"/>
  <c r="A1252" i="11" s="1"/>
  <c r="A1253" i="11" s="1"/>
  <c r="A1254" i="11" s="1"/>
  <c r="A1255" i="11" s="1"/>
  <c r="A1256" i="11" s="1"/>
  <c r="A1257" i="11" s="1"/>
  <c r="A1260" i="11" s="1"/>
  <c r="A1261" i="11" s="1"/>
  <c r="W1248" i="11"/>
  <c r="V1248" i="11"/>
  <c r="Q1248" i="11"/>
  <c r="P1248" i="11"/>
  <c r="M1248" i="11"/>
  <c r="L1248" i="11"/>
  <c r="K1248" i="11"/>
  <c r="J1248" i="11"/>
  <c r="Q1245" i="11"/>
  <c r="P1245" i="11"/>
  <c r="M1245" i="11"/>
  <c r="L1245" i="11"/>
  <c r="K1245" i="11"/>
  <c r="J1245" i="11"/>
  <c r="Q1244" i="11"/>
  <c r="P1244" i="11"/>
  <c r="M1244" i="11"/>
  <c r="L1244" i="11"/>
  <c r="K1244" i="11"/>
  <c r="J1244" i="11"/>
  <c r="Q1243" i="11"/>
  <c r="P1243" i="11"/>
  <c r="M1243" i="11"/>
  <c r="L1243" i="11"/>
  <c r="K1243" i="11"/>
  <c r="J1243" i="11"/>
  <c r="Q1242" i="11"/>
  <c r="P1242" i="11"/>
  <c r="M1242" i="11"/>
  <c r="L1242" i="11"/>
  <c r="K1242" i="11"/>
  <c r="J1242" i="11"/>
  <c r="Q1241" i="11"/>
  <c r="P1241" i="11"/>
  <c r="Q1240" i="11"/>
  <c r="P1240" i="11"/>
  <c r="A1240" i="11"/>
  <c r="A1241" i="11" s="1"/>
  <c r="A1242" i="11" s="1"/>
  <c r="A1243" i="11" s="1"/>
  <c r="A1244" i="11" s="1"/>
  <c r="A1245" i="11" s="1"/>
  <c r="A1248" i="11" s="1"/>
  <c r="W1239" i="11"/>
  <c r="V1239" i="11"/>
  <c r="Q1239" i="11"/>
  <c r="P1239" i="11"/>
  <c r="M1239" i="11"/>
  <c r="L1239" i="11"/>
  <c r="K1239" i="11"/>
  <c r="J1239" i="11"/>
  <c r="W1238" i="11"/>
  <c r="V1238" i="11"/>
  <c r="Q1238" i="11"/>
  <c r="P1238" i="11"/>
  <c r="M1238" i="11"/>
  <c r="L1238" i="11"/>
  <c r="K1238" i="11"/>
  <c r="J1238" i="11"/>
  <c r="Q1236" i="11"/>
  <c r="P1236" i="11"/>
  <c r="M1236" i="11"/>
  <c r="L1236" i="11"/>
  <c r="K1236" i="11"/>
  <c r="J1236" i="11"/>
  <c r="A1236" i="11"/>
  <c r="A1238" i="11" s="1"/>
  <c r="A1239" i="11" s="1"/>
  <c r="Q1235" i="11"/>
  <c r="P1235" i="11"/>
  <c r="M1235" i="11"/>
  <c r="L1235" i="11"/>
  <c r="K1235" i="11"/>
  <c r="J1235" i="11"/>
  <c r="Q1234" i="11"/>
  <c r="P1234" i="11"/>
  <c r="M1234" i="11"/>
  <c r="L1234" i="11"/>
  <c r="K1234" i="11"/>
  <c r="J1234" i="11"/>
  <c r="A1234" i="11"/>
  <c r="A1235" i="11" s="1"/>
  <c r="W1233" i="11"/>
  <c r="V1233" i="11"/>
  <c r="Q1233" i="11"/>
  <c r="P1233" i="11"/>
  <c r="M1233" i="11"/>
  <c r="L1233" i="11"/>
  <c r="K1233" i="11"/>
  <c r="J1233" i="11"/>
  <c r="Q1230" i="11"/>
  <c r="P1230" i="11"/>
  <c r="M1230" i="11"/>
  <c r="L1230" i="11"/>
  <c r="K1230" i="11"/>
  <c r="J1230" i="11"/>
  <c r="Q1229" i="11"/>
  <c r="P1229" i="11"/>
  <c r="M1229" i="11"/>
  <c r="L1229" i="11"/>
  <c r="K1229" i="11"/>
  <c r="J1229" i="11"/>
  <c r="Q1227" i="11"/>
  <c r="P1227" i="11"/>
  <c r="M1227" i="11"/>
  <c r="L1227" i="11"/>
  <c r="K1227" i="11"/>
  <c r="J1227" i="11"/>
  <c r="T1225" i="11"/>
  <c r="Q1225" i="11"/>
  <c r="P1225" i="11"/>
  <c r="M1225" i="11"/>
  <c r="L1225" i="11"/>
  <c r="K1225" i="11"/>
  <c r="J1225" i="11"/>
  <c r="T1224" i="11"/>
  <c r="Q1224" i="11"/>
  <c r="P1224" i="11"/>
  <c r="M1224" i="11"/>
  <c r="L1224" i="11"/>
  <c r="K1224" i="11"/>
  <c r="J1224" i="11"/>
  <c r="T1223" i="11"/>
  <c r="Q1223" i="11"/>
  <c r="P1223" i="11"/>
  <c r="M1223" i="11"/>
  <c r="L1223" i="11"/>
  <c r="K1223" i="11"/>
  <c r="J1223" i="11"/>
  <c r="T1222" i="11"/>
  <c r="Q1222" i="11"/>
  <c r="P1222" i="11"/>
  <c r="M1222" i="11"/>
  <c r="L1222" i="11"/>
  <c r="K1222" i="11"/>
  <c r="J1222" i="11"/>
  <c r="T1221" i="11"/>
  <c r="Q1221" i="11"/>
  <c r="P1221" i="11"/>
  <c r="M1221" i="11"/>
  <c r="L1221" i="11"/>
  <c r="K1221" i="11"/>
  <c r="J1221" i="11"/>
  <c r="Q1220" i="11"/>
  <c r="P1220" i="11"/>
  <c r="M1220" i="11"/>
  <c r="L1220" i="11"/>
  <c r="K1220" i="11"/>
  <c r="J1220" i="11"/>
  <c r="M1219" i="11"/>
  <c r="L1219" i="11"/>
  <c r="K1219" i="11"/>
  <c r="J1219" i="11"/>
  <c r="M1218" i="11"/>
  <c r="L1218" i="11"/>
  <c r="K1218" i="11"/>
  <c r="J1218" i="11"/>
  <c r="K1217" i="11"/>
  <c r="M1217" i="11" s="1"/>
  <c r="J1217" i="11"/>
  <c r="L1217" i="11" s="1"/>
  <c r="H1216" i="11"/>
  <c r="H1215" i="11"/>
  <c r="H1214" i="11"/>
  <c r="A1211" i="11"/>
  <c r="A1212" i="11" s="1"/>
  <c r="A1213" i="11" s="1"/>
  <c r="A1214" i="11" s="1"/>
  <c r="A1215" i="11" s="1"/>
  <c r="A1216" i="11" s="1"/>
  <c r="A1217" i="11" s="1"/>
  <c r="A1218" i="11" s="1"/>
  <c r="A1219" i="11" s="1"/>
  <c r="A1220" i="11" s="1"/>
  <c r="A1221" i="11" s="1"/>
  <c r="A1222" i="11" s="1"/>
  <c r="A1223" i="11" s="1"/>
  <c r="A1224" i="11" s="1"/>
  <c r="A1225" i="11" s="1"/>
  <c r="A1227" i="11" s="1"/>
  <c r="A1229" i="11" s="1"/>
  <c r="A1230" i="11" s="1"/>
  <c r="A1233" i="11" s="1"/>
  <c r="W1210" i="11"/>
  <c r="V1210" i="11"/>
  <c r="Q1210" i="11"/>
  <c r="P1210" i="11"/>
  <c r="M1210" i="11"/>
  <c r="L1210" i="11"/>
  <c r="K1210" i="11"/>
  <c r="J1210" i="11"/>
  <c r="V1207" i="11"/>
  <c r="T1207" i="11"/>
  <c r="Q1207" i="11"/>
  <c r="P1207" i="11"/>
  <c r="M1207" i="11"/>
  <c r="L1207" i="11"/>
  <c r="K1207" i="11"/>
  <c r="J1207" i="11"/>
  <c r="T1206" i="11"/>
  <c r="Q1206" i="11"/>
  <c r="P1206" i="11"/>
  <c r="M1206" i="11"/>
  <c r="L1206" i="11"/>
  <c r="K1206" i="11"/>
  <c r="J1206" i="11"/>
  <c r="T1205" i="11"/>
  <c r="Q1205" i="11"/>
  <c r="P1205" i="11"/>
  <c r="M1205" i="11"/>
  <c r="L1205" i="11"/>
  <c r="K1205" i="11"/>
  <c r="J1205" i="11"/>
  <c r="T1204" i="11"/>
  <c r="T1203" i="11"/>
  <c r="Q1202" i="11"/>
  <c r="P1202" i="11"/>
  <c r="M1202" i="11"/>
  <c r="L1202" i="11"/>
  <c r="K1202" i="11"/>
  <c r="J1202" i="11"/>
  <c r="Q1201" i="11"/>
  <c r="P1201" i="11"/>
  <c r="M1201" i="11"/>
  <c r="L1201" i="11"/>
  <c r="Q1200" i="11"/>
  <c r="P1200" i="11"/>
  <c r="H1199" i="11"/>
  <c r="A1199" i="11"/>
  <c r="A1200" i="11" s="1"/>
  <c r="A1201" i="11" s="1"/>
  <c r="A1202" i="11" s="1"/>
  <c r="A1205" i="11" s="1"/>
  <c r="A1206" i="11" s="1"/>
  <c r="A1207" i="11" s="1"/>
  <c r="A1210" i="11" s="1"/>
  <c r="W1198" i="11"/>
  <c r="V1198" i="11"/>
  <c r="Q1198" i="11"/>
  <c r="P1198" i="11"/>
  <c r="M1198" i="11"/>
  <c r="L1198" i="11"/>
  <c r="K1198" i="11"/>
  <c r="J1198" i="11"/>
  <c r="W1196" i="11"/>
  <c r="V1196" i="11"/>
  <c r="Q1196" i="11"/>
  <c r="P1196" i="11"/>
  <c r="M1196" i="11"/>
  <c r="L1196" i="11"/>
  <c r="K1196" i="11"/>
  <c r="J1196" i="11"/>
  <c r="Q1195" i="11"/>
  <c r="P1195" i="11"/>
  <c r="M1195" i="11"/>
  <c r="L1195" i="11"/>
  <c r="K1195" i="11"/>
  <c r="J1195" i="11"/>
  <c r="Q1194" i="11"/>
  <c r="P1194" i="11"/>
  <c r="M1194" i="11"/>
  <c r="L1194" i="11"/>
  <c r="K1194" i="11"/>
  <c r="J1194" i="11"/>
  <c r="Q1193" i="11"/>
  <c r="P1193" i="11"/>
  <c r="M1193" i="11"/>
  <c r="L1193" i="11"/>
  <c r="K1193" i="11"/>
  <c r="J1193" i="11"/>
  <c r="Q1192" i="11"/>
  <c r="P1192" i="11"/>
  <c r="M1192" i="11"/>
  <c r="L1192" i="11"/>
  <c r="K1192" i="11"/>
  <c r="J1192" i="11"/>
  <c r="Q1191" i="11"/>
  <c r="P1191" i="11"/>
  <c r="M1191" i="11"/>
  <c r="L1191" i="11"/>
  <c r="K1191" i="11"/>
  <c r="J1191" i="11"/>
  <c r="Q1190" i="11"/>
  <c r="P1190" i="11"/>
  <c r="M1190" i="11"/>
  <c r="L1190" i="11"/>
  <c r="K1190" i="11"/>
  <c r="J1190" i="11"/>
  <c r="Q1189" i="11"/>
  <c r="P1189" i="11"/>
  <c r="M1189" i="11"/>
  <c r="L1189" i="11"/>
  <c r="K1189" i="11"/>
  <c r="J1189" i="11"/>
  <c r="Q1188" i="11"/>
  <c r="P1188" i="11"/>
  <c r="M1188" i="11"/>
  <c r="L1188" i="11"/>
  <c r="K1188" i="11"/>
  <c r="J1188" i="11"/>
  <c r="Q1187" i="11"/>
  <c r="P1187" i="11"/>
  <c r="M1187" i="11"/>
  <c r="L1187" i="11"/>
  <c r="K1187" i="11"/>
  <c r="J1187" i="11"/>
  <c r="Q1186" i="11"/>
  <c r="P1186" i="11"/>
  <c r="M1186" i="11"/>
  <c r="L1186" i="11"/>
  <c r="K1186" i="11"/>
  <c r="J1186" i="11"/>
  <c r="Q1185" i="11"/>
  <c r="P1185" i="11"/>
  <c r="M1185" i="11"/>
  <c r="L1185" i="11"/>
  <c r="K1185" i="11"/>
  <c r="J1185" i="11"/>
  <c r="Q1184" i="11"/>
  <c r="P1184" i="11"/>
  <c r="M1184" i="11"/>
  <c r="L1184" i="11"/>
  <c r="K1184" i="11"/>
  <c r="J1184" i="11"/>
  <c r="Q1183" i="11"/>
  <c r="P1183" i="11"/>
  <c r="M1183" i="11"/>
  <c r="L1183" i="11"/>
  <c r="K1183" i="11"/>
  <c r="J1183" i="11"/>
  <c r="Q1182" i="11"/>
  <c r="P1182" i="11"/>
  <c r="M1182" i="11"/>
  <c r="L1182" i="11"/>
  <c r="K1182" i="11"/>
  <c r="J1182" i="11"/>
  <c r="Q1181" i="11"/>
  <c r="P1181" i="11"/>
  <c r="M1181" i="11"/>
  <c r="L1181" i="11"/>
  <c r="K1181" i="11"/>
  <c r="J1181" i="11"/>
  <c r="Q1180" i="11"/>
  <c r="P1180" i="11"/>
  <c r="M1180" i="11"/>
  <c r="L1180" i="11"/>
  <c r="K1180" i="11"/>
  <c r="J1180" i="11"/>
  <c r="Q1179" i="11"/>
  <c r="P1179" i="11"/>
  <c r="M1179" i="11"/>
  <c r="L1179" i="11"/>
  <c r="K1179" i="11"/>
  <c r="J1179" i="11"/>
  <c r="Q1178" i="11"/>
  <c r="P1178" i="11"/>
  <c r="M1178" i="11"/>
  <c r="L1178" i="11"/>
  <c r="K1178" i="11"/>
  <c r="J1178" i="11"/>
  <c r="Q1177" i="11"/>
  <c r="P1177" i="11"/>
  <c r="M1177" i="11"/>
  <c r="L1177" i="11"/>
  <c r="K1177" i="11"/>
  <c r="J1177" i="11"/>
  <c r="Q1176" i="11"/>
  <c r="P1176" i="11"/>
  <c r="M1176" i="11"/>
  <c r="L1176" i="11"/>
  <c r="K1176" i="11"/>
  <c r="J1176" i="11"/>
  <c r="M1175" i="11"/>
  <c r="L1175" i="11"/>
  <c r="K1175" i="11"/>
  <c r="J1175" i="11"/>
  <c r="M1174" i="11"/>
  <c r="L1174" i="11"/>
  <c r="K1174" i="11"/>
  <c r="J1174" i="11"/>
  <c r="M1173" i="11"/>
  <c r="L1173" i="11"/>
  <c r="K1173" i="11"/>
  <c r="J1173" i="11"/>
  <c r="M1172" i="11"/>
  <c r="L1172" i="11"/>
  <c r="K1172" i="11"/>
  <c r="J1172" i="11"/>
  <c r="M1171" i="11"/>
  <c r="L1171" i="11"/>
  <c r="K1171" i="11"/>
  <c r="J1171" i="11"/>
  <c r="M1170" i="11"/>
  <c r="L1170" i="11"/>
  <c r="K1170" i="11"/>
  <c r="J1170" i="11"/>
  <c r="K1169" i="11"/>
  <c r="M1169" i="11" s="1"/>
  <c r="J1169" i="11"/>
  <c r="L1169" i="11" s="1"/>
  <c r="H1168" i="11"/>
  <c r="Q1165" i="11"/>
  <c r="H1164" i="11"/>
  <c r="A1164" i="11"/>
  <c r="A1165" i="11" s="1"/>
  <c r="A1166" i="11" s="1"/>
  <c r="A1167" i="11" s="1"/>
  <c r="A1168" i="11" s="1"/>
  <c r="A1169" i="11" s="1"/>
  <c r="A1170" i="11" s="1"/>
  <c r="A1171" i="11" s="1"/>
  <c r="A1172" i="11" s="1"/>
  <c r="A1173" i="11" s="1"/>
  <c r="A1174" i="11" s="1"/>
  <c r="A1175" i="11" s="1"/>
  <c r="A1176" i="11" s="1"/>
  <c r="A1177" i="11" s="1"/>
  <c r="A1178" i="11" s="1"/>
  <c r="A1179" i="11" s="1"/>
  <c r="A1180" i="11" s="1"/>
  <c r="A1181" i="11" s="1"/>
  <c r="A1182" i="11" s="1"/>
  <c r="A1183" i="11" s="1"/>
  <c r="A1184" i="11" s="1"/>
  <c r="A1185" i="11" s="1"/>
  <c r="A1186" i="11" s="1"/>
  <c r="A1187" i="11" s="1"/>
  <c r="A1188" i="11" s="1"/>
  <c r="A1189" i="11" s="1"/>
  <c r="A1190" i="11" s="1"/>
  <c r="A1191" i="11" s="1"/>
  <c r="A1192" i="11" s="1"/>
  <c r="A1193" i="11" s="1"/>
  <c r="A1194" i="11" s="1"/>
  <c r="A1195" i="11" s="1"/>
  <c r="A1196" i="11" s="1"/>
  <c r="A1198" i="11" s="1"/>
  <c r="W1163" i="11"/>
  <c r="V1163" i="11"/>
  <c r="Q1163" i="11"/>
  <c r="P1163" i="11"/>
  <c r="M1163" i="11"/>
  <c r="L1163" i="11"/>
  <c r="K1163" i="11"/>
  <c r="J1163" i="11"/>
  <c r="W1162" i="11"/>
  <c r="V1162" i="11"/>
  <c r="Q1162" i="11"/>
  <c r="P1162" i="11"/>
  <c r="M1162" i="11"/>
  <c r="L1162" i="11"/>
  <c r="K1162" i="11"/>
  <c r="J1162" i="11"/>
  <c r="W1161" i="11"/>
  <c r="V1161" i="11"/>
  <c r="M1161" i="11"/>
  <c r="L1161" i="11"/>
  <c r="K1161" i="11"/>
  <c r="J1161" i="11"/>
  <c r="W1160" i="11"/>
  <c r="V1160" i="11"/>
  <c r="M1160" i="11"/>
  <c r="L1160" i="11"/>
  <c r="K1160" i="11"/>
  <c r="J1160" i="11"/>
  <c r="W1159" i="11"/>
  <c r="V1159" i="11"/>
  <c r="M1159" i="11"/>
  <c r="L1159" i="11"/>
  <c r="K1159" i="11"/>
  <c r="J1159" i="11"/>
  <c r="W1158" i="11"/>
  <c r="V1158" i="11"/>
  <c r="A1158" i="11"/>
  <c r="A1159" i="11" s="1"/>
  <c r="A1160" i="11" s="1"/>
  <c r="A1161" i="11" s="1"/>
  <c r="A1162" i="11" s="1"/>
  <c r="A1163" i="11" s="1"/>
  <c r="W1157" i="11"/>
  <c r="V1157" i="11"/>
  <c r="A1157" i="11"/>
  <c r="W1156" i="11"/>
  <c r="V1156" i="11"/>
  <c r="Q1156" i="11"/>
  <c r="P1156" i="11"/>
  <c r="M1156" i="11"/>
  <c r="L1156" i="11"/>
  <c r="K1156" i="11"/>
  <c r="J1156" i="11"/>
  <c r="W1155" i="11"/>
  <c r="V1155" i="11"/>
  <c r="Q1155" i="11"/>
  <c r="P1155" i="11"/>
  <c r="M1155" i="11"/>
  <c r="L1155" i="11"/>
  <c r="K1155" i="11"/>
  <c r="J1155" i="11"/>
  <c r="W1154" i="11"/>
  <c r="V1154" i="11"/>
  <c r="Q1154" i="11"/>
  <c r="P1154" i="11"/>
  <c r="M1154" i="11"/>
  <c r="L1154" i="11"/>
  <c r="K1154" i="11"/>
  <c r="J1154" i="11"/>
  <c r="W1153" i="11"/>
  <c r="V1153" i="11"/>
  <c r="M1153" i="11"/>
  <c r="L1153" i="11"/>
  <c r="K1153" i="11"/>
  <c r="J1153" i="11"/>
  <c r="W1152" i="11"/>
  <c r="V1152" i="11"/>
  <c r="M1152" i="11"/>
  <c r="L1152" i="11"/>
  <c r="W1151" i="11"/>
  <c r="V1151" i="11"/>
  <c r="H1151" i="11"/>
  <c r="W1150" i="11"/>
  <c r="V1150" i="11"/>
  <c r="W1149" i="11"/>
  <c r="V1149" i="11"/>
  <c r="A1149" i="11"/>
  <c r="A1150" i="11" s="1"/>
  <c r="A1151" i="11" s="1"/>
  <c r="A1152" i="11" s="1"/>
  <c r="A1153" i="11" s="1"/>
  <c r="A1154" i="11" s="1"/>
  <c r="A1155" i="11" s="1"/>
  <c r="A1156" i="11" s="1"/>
  <c r="W1148" i="11"/>
  <c r="V1148" i="11"/>
  <c r="Q1148" i="11"/>
  <c r="P1148" i="11"/>
  <c r="M1148" i="11"/>
  <c r="L1148" i="11"/>
  <c r="K1148" i="11"/>
  <c r="J1148" i="11"/>
  <c r="W1147" i="11"/>
  <c r="V1147" i="11"/>
  <c r="Q1147" i="11"/>
  <c r="P1147" i="11"/>
  <c r="M1147" i="11"/>
  <c r="L1147" i="11"/>
  <c r="K1147" i="11"/>
  <c r="J1147" i="11"/>
  <c r="W1146" i="11"/>
  <c r="V1146" i="11"/>
  <c r="Q1146" i="11"/>
  <c r="P1146" i="11"/>
  <c r="M1146" i="11"/>
  <c r="L1146" i="11"/>
  <c r="W1145" i="11"/>
  <c r="V1145" i="11"/>
  <c r="Q1145" i="11"/>
  <c r="P1145" i="11"/>
  <c r="W1144" i="11"/>
  <c r="V1144" i="11"/>
  <c r="H1143" i="11"/>
  <c r="A1143" i="11"/>
  <c r="A1144" i="11" s="1"/>
  <c r="A1145" i="11" s="1"/>
  <c r="A1146" i="11" s="1"/>
  <c r="A1147" i="11" s="1"/>
  <c r="A1148" i="11" s="1"/>
  <c r="W1142" i="11"/>
  <c r="V1142" i="11"/>
  <c r="Q1142" i="11"/>
  <c r="P1142" i="11"/>
  <c r="M1142" i="11"/>
  <c r="L1142" i="11"/>
  <c r="K1142" i="11"/>
  <c r="J1142" i="11"/>
  <c r="W1141" i="11"/>
  <c r="V1141" i="11"/>
  <c r="Q1141" i="11"/>
  <c r="P1141" i="11"/>
  <c r="M1141" i="11"/>
  <c r="L1141" i="11"/>
  <c r="K1141" i="11"/>
  <c r="J1141" i="11"/>
  <c r="W1140" i="11"/>
  <c r="V1140" i="11"/>
  <c r="Q1140" i="11"/>
  <c r="P1140" i="11"/>
  <c r="M1140" i="11"/>
  <c r="L1140" i="11"/>
  <c r="K1140" i="11"/>
  <c r="J1140" i="11"/>
  <c r="W1139" i="11"/>
  <c r="V1139" i="11"/>
  <c r="Q1139" i="11"/>
  <c r="P1139" i="11"/>
  <c r="M1139" i="11"/>
  <c r="L1139" i="11"/>
  <c r="K1139" i="11"/>
  <c r="J1139" i="11"/>
  <c r="W1138" i="11"/>
  <c r="V1138" i="11"/>
  <c r="Q1138" i="11"/>
  <c r="P1138" i="11"/>
  <c r="M1138" i="11"/>
  <c r="L1138" i="11"/>
  <c r="K1138" i="11"/>
  <c r="J1138" i="11"/>
  <c r="W1137" i="11"/>
  <c r="V1137" i="11"/>
  <c r="Q1137" i="11"/>
  <c r="P1137" i="11"/>
  <c r="M1137" i="11"/>
  <c r="L1137" i="11"/>
  <c r="K1137" i="11"/>
  <c r="J1137" i="11"/>
  <c r="W1136" i="11"/>
  <c r="V1136" i="11"/>
  <c r="Q1136" i="11"/>
  <c r="P1136" i="11"/>
  <c r="M1136" i="11"/>
  <c r="L1136" i="11"/>
  <c r="K1136" i="11"/>
  <c r="J1136" i="11"/>
  <c r="A1136" i="11"/>
  <c r="A1137" i="11" s="1"/>
  <c r="A1138" i="11" s="1"/>
  <c r="A1139" i="11" s="1"/>
  <c r="A1140" i="11" s="1"/>
  <c r="A1141" i="11" s="1"/>
  <c r="A1142" i="11" s="1"/>
  <c r="W1135" i="11"/>
  <c r="V1135" i="11"/>
  <c r="A1134" i="11"/>
  <c r="A1135" i="11" s="1"/>
  <c r="M1133" i="11"/>
  <c r="L1133" i="11"/>
  <c r="K1133" i="11"/>
  <c r="J1133" i="11"/>
  <c r="W1132" i="11"/>
  <c r="Q1132" i="11"/>
  <c r="M1132" i="11"/>
  <c r="L1132" i="11"/>
  <c r="W1131" i="11"/>
  <c r="Q1131" i="11"/>
  <c r="M1131" i="11"/>
  <c r="L1131" i="11"/>
  <c r="W1130" i="11"/>
  <c r="Q1130" i="11"/>
  <c r="M1130" i="11"/>
  <c r="L1130" i="11"/>
  <c r="W1129" i="11"/>
  <c r="Q1129" i="11"/>
  <c r="M1129" i="11"/>
  <c r="L1129" i="11"/>
  <c r="W1128" i="11"/>
  <c r="Q1128" i="11"/>
  <c r="M1128" i="11"/>
  <c r="L1128" i="11"/>
  <c r="W1127" i="11"/>
  <c r="Q1127" i="11"/>
  <c r="M1127" i="11"/>
  <c r="L1127" i="11"/>
  <c r="W1126" i="11"/>
  <c r="Q1126" i="11"/>
  <c r="M1126" i="11"/>
  <c r="L1126" i="11"/>
  <c r="A1126" i="11"/>
  <c r="A1127" i="11" s="1"/>
  <c r="A1128" i="11" s="1"/>
  <c r="A1129" i="11" s="1"/>
  <c r="A1130" i="11" s="1"/>
  <c r="A1131" i="11" s="1"/>
  <c r="A1132" i="11" s="1"/>
  <c r="A1133" i="11" s="1"/>
  <c r="W1125" i="11"/>
  <c r="Q1125" i="11"/>
  <c r="M1125" i="11"/>
  <c r="L1125" i="11"/>
  <c r="W1124" i="11"/>
  <c r="Q1124" i="11"/>
  <c r="M1124" i="11"/>
  <c r="L1124" i="11"/>
  <c r="W1122" i="11"/>
  <c r="Q1122" i="11"/>
  <c r="M1122" i="11"/>
  <c r="L1122" i="11"/>
  <c r="W1121" i="11"/>
  <c r="Q1121" i="11"/>
  <c r="M1121" i="11"/>
  <c r="L1121" i="11"/>
  <c r="W1120" i="11"/>
  <c r="Q1120" i="11"/>
  <c r="M1120" i="11"/>
  <c r="L1120" i="11"/>
  <c r="W1119" i="11"/>
  <c r="Q1119" i="11"/>
  <c r="M1119" i="11"/>
  <c r="L1119" i="11"/>
  <c r="W1118" i="11"/>
  <c r="Q1118" i="11"/>
  <c r="M1118" i="11"/>
  <c r="L1118" i="11"/>
  <c r="W1117" i="11"/>
  <c r="Q1117" i="11"/>
  <c r="M1117" i="11"/>
  <c r="L1117" i="11"/>
  <c r="T1116" i="11"/>
  <c r="W1116" i="11" s="1"/>
  <c r="Q1116" i="11"/>
  <c r="M1116" i="11"/>
  <c r="L1116" i="11"/>
  <c r="W1115" i="11"/>
  <c r="Q1115" i="11"/>
  <c r="M1115" i="11"/>
  <c r="L1115" i="11"/>
  <c r="T1114" i="11"/>
  <c r="W1114" i="11" s="1"/>
  <c r="Q1114" i="11"/>
  <c r="M1114" i="11"/>
  <c r="L1114" i="11"/>
  <c r="T1113" i="11"/>
  <c r="W1113" i="11" s="1"/>
  <c r="Q1113" i="11"/>
  <c r="M1113" i="11"/>
  <c r="L1113" i="11"/>
  <c r="W1112" i="11"/>
  <c r="Q1112" i="11"/>
  <c r="M1112" i="11"/>
  <c r="L1112" i="11"/>
  <c r="T1111" i="11"/>
  <c r="W1111" i="11" s="1"/>
  <c r="Q1111" i="11"/>
  <c r="M1111" i="11"/>
  <c r="L1111" i="11"/>
  <c r="W1110" i="11"/>
  <c r="Q1110" i="11"/>
  <c r="M1110" i="11"/>
  <c r="L1110" i="11"/>
  <c r="W1109" i="11"/>
  <c r="Q1109" i="11"/>
  <c r="M1109" i="11"/>
  <c r="L1109" i="11"/>
  <c r="W1108" i="11"/>
  <c r="Q1108" i="11"/>
  <c r="M1108" i="11"/>
  <c r="L1108" i="11"/>
  <c r="W1107" i="11"/>
  <c r="Q1107" i="11"/>
  <c r="H1107" i="11"/>
  <c r="L1107" i="11" s="1"/>
  <c r="W1106" i="11"/>
  <c r="Q1106" i="11"/>
  <c r="H1106" i="11"/>
  <c r="L1106" i="11" s="1"/>
  <c r="W1105" i="11"/>
  <c r="Q1105" i="11"/>
  <c r="W1104" i="11"/>
  <c r="Q1104" i="11"/>
  <c r="H1104" i="11"/>
  <c r="L1104" i="11" s="1"/>
  <c r="A1104" i="11"/>
  <c r="A1105" i="11" s="1"/>
  <c r="A1106" i="11" s="1"/>
  <c r="A1107" i="11" s="1"/>
  <c r="A1108" i="11" s="1"/>
  <c r="A1109" i="11" s="1"/>
  <c r="A1110" i="11" s="1"/>
  <c r="A1111" i="11" s="1"/>
  <c r="A1112" i="11" s="1"/>
  <c r="A1113" i="11" s="1"/>
  <c r="A1114" i="11" s="1"/>
  <c r="A1115" i="11" s="1"/>
  <c r="A1116" i="11" s="1"/>
  <c r="A1117" i="11" s="1"/>
  <c r="A1118" i="11" s="1"/>
  <c r="A1119" i="11" s="1"/>
  <c r="A1120" i="11" s="1"/>
  <c r="A1121" i="11" s="1"/>
  <c r="A1122" i="11" s="1"/>
  <c r="A1124" i="11" s="1"/>
  <c r="A1125" i="11" s="1"/>
  <c r="W1103" i="11"/>
  <c r="Q1103" i="11"/>
  <c r="M1103" i="11"/>
  <c r="L1103" i="11"/>
  <c r="W1100" i="11"/>
  <c r="Q1100" i="11"/>
  <c r="M1100" i="11"/>
  <c r="L1100" i="11"/>
  <c r="W1099" i="11"/>
  <c r="Q1099" i="11"/>
  <c r="M1099" i="11"/>
  <c r="L1099" i="11"/>
  <c r="W1098" i="11"/>
  <c r="Q1098" i="11"/>
  <c r="M1098" i="11"/>
  <c r="L1098" i="11"/>
  <c r="W1097" i="11"/>
  <c r="Q1097" i="11"/>
  <c r="M1097" i="11"/>
  <c r="L1097" i="11"/>
  <c r="W1096" i="11"/>
  <c r="Q1096" i="11"/>
  <c r="M1096" i="11"/>
  <c r="L1096" i="11"/>
  <c r="A1096" i="11"/>
  <c r="A1097" i="11" s="1"/>
  <c r="A1098" i="11" s="1"/>
  <c r="A1099" i="11" s="1"/>
  <c r="A1100" i="11" s="1"/>
  <c r="W1095" i="11"/>
  <c r="Q1095" i="11"/>
  <c r="M1095" i="11"/>
  <c r="L1095" i="11"/>
  <c r="W1094" i="11"/>
  <c r="Q1094" i="11"/>
  <c r="M1094" i="11"/>
  <c r="L1094" i="11"/>
  <c r="W1093" i="11"/>
  <c r="Q1093" i="11"/>
  <c r="M1093" i="11"/>
  <c r="L1093" i="11"/>
  <c r="W1092" i="11"/>
  <c r="Q1092" i="11"/>
  <c r="M1092" i="11"/>
  <c r="L1092" i="11"/>
  <c r="W1091" i="11"/>
  <c r="Q1091" i="11"/>
  <c r="M1091" i="11"/>
  <c r="L1091" i="11"/>
  <c r="W1090" i="11"/>
  <c r="Q1090" i="11"/>
  <c r="M1090" i="11"/>
  <c r="L1090" i="11"/>
  <c r="A1090" i="11"/>
  <c r="A1091" i="11" s="1"/>
  <c r="A1092" i="11" s="1"/>
  <c r="A1093" i="11" s="1"/>
  <c r="A1094" i="11" s="1"/>
  <c r="A1095" i="11" s="1"/>
  <c r="W1089" i="11"/>
  <c r="Q1089" i="11"/>
  <c r="M1089" i="11"/>
  <c r="L1089" i="11"/>
  <c r="W1088" i="11"/>
  <c r="Q1088" i="11"/>
  <c r="M1088" i="11"/>
  <c r="L1088" i="11"/>
  <c r="W1087" i="11"/>
  <c r="Q1087" i="11"/>
  <c r="M1087" i="11"/>
  <c r="L1087" i="11"/>
  <c r="W1086" i="11"/>
  <c r="Q1086" i="11"/>
  <c r="M1086" i="11"/>
  <c r="L1086" i="11"/>
  <c r="W1085" i="11"/>
  <c r="Q1085" i="11"/>
  <c r="M1085" i="11"/>
  <c r="L1085" i="11"/>
  <c r="W1084" i="11"/>
  <c r="Q1084" i="11"/>
  <c r="M1084" i="11"/>
  <c r="L1084" i="11"/>
  <c r="W1083" i="11"/>
  <c r="Q1083" i="11"/>
  <c r="M1083" i="11"/>
  <c r="L1083" i="11"/>
  <c r="W1082" i="11"/>
  <c r="Q1082" i="11"/>
  <c r="M1082" i="11"/>
  <c r="L1082" i="11"/>
  <c r="W1081" i="11"/>
  <c r="Q1081" i="11"/>
  <c r="M1081" i="11"/>
  <c r="L1081" i="11"/>
  <c r="W1080" i="11"/>
  <c r="Q1080" i="11"/>
  <c r="M1080" i="11"/>
  <c r="L1080" i="11"/>
  <c r="W1079" i="11"/>
  <c r="Q1079" i="11"/>
  <c r="M1079" i="11"/>
  <c r="L1079" i="11"/>
  <c r="W1078" i="11"/>
  <c r="Q1078" i="11"/>
  <c r="M1078" i="11"/>
  <c r="L1078" i="11"/>
  <c r="W1077" i="11"/>
  <c r="Q1077" i="11"/>
  <c r="M1077" i="11"/>
  <c r="L1077" i="11"/>
  <c r="W1076" i="11"/>
  <c r="Q1076" i="11"/>
  <c r="M1076" i="11"/>
  <c r="L1076" i="11"/>
  <c r="W1075" i="11"/>
  <c r="Q1075" i="11"/>
  <c r="M1075" i="11"/>
  <c r="L1075" i="11"/>
  <c r="W1074" i="11"/>
  <c r="Q1074" i="11"/>
  <c r="M1074" i="11"/>
  <c r="L1074" i="11"/>
  <c r="W1073" i="11"/>
  <c r="Q1073" i="11"/>
  <c r="M1073" i="11"/>
  <c r="L1073" i="11"/>
  <c r="W1072" i="11"/>
  <c r="Q1072" i="11"/>
  <c r="M1072" i="11"/>
  <c r="L1072" i="11"/>
  <c r="W1071" i="11"/>
  <c r="Q1071" i="11"/>
  <c r="M1071" i="11"/>
  <c r="L1071" i="11"/>
  <c r="W1070" i="11"/>
  <c r="Q1070" i="11"/>
  <c r="M1070" i="11"/>
  <c r="L1070" i="11"/>
  <c r="W1069" i="11"/>
  <c r="Q1069" i="11"/>
  <c r="H1069" i="11"/>
  <c r="M1069" i="11" s="1"/>
  <c r="A1069" i="11"/>
  <c r="A1070" i="11" s="1"/>
  <c r="A1071" i="11" s="1"/>
  <c r="A1072" i="11" s="1"/>
  <c r="A1073" i="11" s="1"/>
  <c r="A1074" i="11" s="1"/>
  <c r="A1075" i="11" s="1"/>
  <c r="A1076" i="11" s="1"/>
  <c r="A1077" i="11" s="1"/>
  <c r="A1078" i="11" s="1"/>
  <c r="A1079" i="11" s="1"/>
  <c r="A1080" i="11" s="1"/>
  <c r="A1081" i="11" s="1"/>
  <c r="A1082" i="11" s="1"/>
  <c r="A1083" i="11" s="1"/>
  <c r="A1084" i="11" s="1"/>
  <c r="A1085" i="11" s="1"/>
  <c r="A1086" i="11" s="1"/>
  <c r="A1087" i="11" s="1"/>
  <c r="A1088" i="11" s="1"/>
  <c r="A1089" i="11" s="1"/>
  <c r="W1068" i="11"/>
  <c r="Q1068" i="11"/>
  <c r="M1068" i="11"/>
  <c r="L1068" i="11"/>
  <c r="W1067" i="11"/>
  <c r="Q1067" i="11"/>
  <c r="M1067" i="11"/>
  <c r="L1067" i="11"/>
  <c r="W1066" i="11"/>
  <c r="Q1066" i="11"/>
  <c r="M1066" i="11"/>
  <c r="L1066" i="11"/>
  <c r="W1065" i="11"/>
  <c r="Q1065" i="11"/>
  <c r="M1065" i="11"/>
  <c r="L1065" i="11"/>
  <c r="W1064" i="11"/>
  <c r="Q1064" i="11"/>
  <c r="M1064" i="11"/>
  <c r="L1064" i="11"/>
  <c r="W1063" i="11"/>
  <c r="Q1063" i="11"/>
  <c r="M1063" i="11"/>
  <c r="L1063" i="11"/>
  <c r="W1062" i="11"/>
  <c r="Q1062" i="11"/>
  <c r="M1062" i="11"/>
  <c r="L1062" i="11"/>
  <c r="W1061" i="11"/>
  <c r="Q1061" i="11"/>
  <c r="M1061" i="11"/>
  <c r="L1061" i="11"/>
  <c r="W1060" i="11"/>
  <c r="Q1060" i="11"/>
  <c r="M1060" i="11"/>
  <c r="L1060" i="11"/>
  <c r="W1059" i="11"/>
  <c r="Q1059" i="11"/>
  <c r="M1059" i="11"/>
  <c r="L1059" i="11"/>
  <c r="W1058" i="11"/>
  <c r="Q1058" i="11"/>
  <c r="M1058" i="11"/>
  <c r="L1058" i="11"/>
  <c r="W1057" i="11"/>
  <c r="Q1057" i="11"/>
  <c r="H1057" i="11"/>
  <c r="L1057" i="11" s="1"/>
  <c r="A1057" i="11"/>
  <c r="A1058" i="11" s="1"/>
  <c r="A1059" i="11" s="1"/>
  <c r="A1060" i="11" s="1"/>
  <c r="A1061" i="11" s="1"/>
  <c r="A1062" i="11" s="1"/>
  <c r="A1063" i="11" s="1"/>
  <c r="A1064" i="11" s="1"/>
  <c r="A1065" i="11" s="1"/>
  <c r="A1066" i="11" s="1"/>
  <c r="A1067" i="11" s="1"/>
  <c r="A1068" i="11" s="1"/>
  <c r="W1056" i="11"/>
  <c r="Q1056" i="11"/>
  <c r="M1056" i="11"/>
  <c r="L1056" i="11"/>
  <c r="W1055" i="11"/>
  <c r="Q1055" i="11"/>
  <c r="M1055" i="11"/>
  <c r="L1055" i="11"/>
  <c r="W1054" i="11"/>
  <c r="Q1054" i="11"/>
  <c r="M1054" i="11"/>
  <c r="L1054" i="11"/>
  <c r="W1053" i="11"/>
  <c r="Q1053" i="11"/>
  <c r="M1053" i="11"/>
  <c r="L1053" i="11"/>
  <c r="W1052" i="11"/>
  <c r="Q1052" i="11"/>
  <c r="M1052" i="11"/>
  <c r="L1052" i="11"/>
  <c r="W1051" i="11"/>
  <c r="Q1051" i="11"/>
  <c r="M1051" i="11"/>
  <c r="L1051" i="11"/>
  <c r="W1050" i="11"/>
  <c r="Q1050" i="11"/>
  <c r="M1050" i="11"/>
  <c r="L1050" i="11"/>
  <c r="W1049" i="11"/>
  <c r="Q1049" i="11"/>
  <c r="M1049" i="11"/>
  <c r="L1049" i="11"/>
  <c r="W1048" i="11"/>
  <c r="Q1048" i="11"/>
  <c r="M1048" i="11"/>
  <c r="L1048" i="11"/>
  <c r="W1047" i="11"/>
  <c r="Q1047" i="11"/>
  <c r="M1047" i="11"/>
  <c r="L1047" i="11"/>
  <c r="A1047" i="11"/>
  <c r="A1048" i="11" s="1"/>
  <c r="A1049" i="11" s="1"/>
  <c r="A1050" i="11" s="1"/>
  <c r="A1051" i="11" s="1"/>
  <c r="A1052" i="11" s="1"/>
  <c r="A1053" i="11" s="1"/>
  <c r="A1054" i="11" s="1"/>
  <c r="A1055" i="11" s="1"/>
  <c r="A1056" i="11" s="1"/>
  <c r="W1046" i="11"/>
  <c r="Q1046" i="11"/>
  <c r="M1046" i="11"/>
  <c r="L1046" i="11"/>
  <c r="W1044" i="11"/>
  <c r="Q1044" i="11"/>
  <c r="M1044" i="11"/>
  <c r="L1044" i="11"/>
  <c r="W1043" i="11"/>
  <c r="Q1043" i="11"/>
  <c r="M1043" i="11"/>
  <c r="L1043" i="11"/>
  <c r="W1042" i="11"/>
  <c r="Q1042" i="11"/>
  <c r="M1042" i="11"/>
  <c r="L1042" i="11"/>
  <c r="W1041" i="11"/>
  <c r="Q1041" i="11"/>
  <c r="M1041" i="11"/>
  <c r="L1041" i="11"/>
  <c r="A1041" i="11"/>
  <c r="A1042" i="11" s="1"/>
  <c r="A1043" i="11" s="1"/>
  <c r="A1044" i="11" s="1"/>
  <c r="A1045" i="11" s="1"/>
  <c r="A1046" i="11" s="1"/>
  <c r="W1040" i="11"/>
  <c r="Q1040" i="11"/>
  <c r="M1040" i="11"/>
  <c r="L1040" i="11"/>
  <c r="W1038" i="11"/>
  <c r="Q1038" i="11"/>
  <c r="M1038" i="11"/>
  <c r="L1038" i="11"/>
  <c r="W1037" i="11"/>
  <c r="Q1037" i="11"/>
  <c r="M1037" i="11"/>
  <c r="L1037" i="11"/>
  <c r="W1036" i="11"/>
  <c r="Q1036" i="11"/>
  <c r="M1036" i="11"/>
  <c r="L1036" i="11"/>
  <c r="W1035" i="11"/>
  <c r="Q1035" i="11"/>
  <c r="M1035" i="11"/>
  <c r="L1035" i="11"/>
  <c r="A1035" i="11"/>
  <c r="A1036" i="11" s="1"/>
  <c r="A1037" i="11" s="1"/>
  <c r="A1038" i="11" s="1"/>
  <c r="A1039" i="11" s="1"/>
  <c r="W1034" i="11"/>
  <c r="Q1034" i="11"/>
  <c r="M1034" i="11"/>
  <c r="L1034" i="11"/>
  <c r="W1032" i="11"/>
  <c r="Q1032" i="11"/>
  <c r="M1032" i="11"/>
  <c r="L1032" i="11"/>
  <c r="W1031" i="11"/>
  <c r="Q1031" i="11"/>
  <c r="M1031" i="11"/>
  <c r="L1031" i="11"/>
  <c r="W1030" i="11"/>
  <c r="Q1030" i="11"/>
  <c r="M1030" i="11"/>
  <c r="L1030" i="11"/>
  <c r="W1029" i="11"/>
  <c r="Q1029" i="11"/>
  <c r="M1029" i="11"/>
  <c r="L1029" i="11"/>
  <c r="A1029" i="11"/>
  <c r="A1030" i="11" s="1"/>
  <c r="A1031" i="11" s="1"/>
  <c r="A1032" i="11" s="1"/>
  <c r="A1033" i="11" s="1"/>
  <c r="W1028" i="11"/>
  <c r="Q1028" i="11"/>
  <c r="M1028" i="11"/>
  <c r="L1028" i="11"/>
  <c r="W1024" i="11"/>
  <c r="Q1024" i="11"/>
  <c r="M1024" i="11"/>
  <c r="L1024" i="11"/>
  <c r="W1023" i="11"/>
  <c r="Q1023" i="11"/>
  <c r="M1023" i="11"/>
  <c r="L1023" i="11"/>
  <c r="W1022" i="11"/>
  <c r="Q1022" i="11"/>
  <c r="M1022" i="11"/>
  <c r="L1022" i="11"/>
  <c r="W1021" i="11"/>
  <c r="Q1021" i="11"/>
  <c r="H1021" i="11"/>
  <c r="M1021" i="11" s="1"/>
  <c r="A1021" i="11"/>
  <c r="A1022" i="11" s="1"/>
  <c r="A1023" i="11" s="1"/>
  <c r="A1024" i="11" s="1"/>
  <c r="A1025" i="11" s="1"/>
  <c r="A1026" i="11" s="1"/>
  <c r="W1020" i="11"/>
  <c r="Q1020" i="11"/>
  <c r="M1020" i="11"/>
  <c r="L1020" i="11"/>
  <c r="W1017" i="11"/>
  <c r="Q1017" i="11"/>
  <c r="M1017" i="11"/>
  <c r="L1017" i="11"/>
  <c r="W1016" i="11"/>
  <c r="Q1016" i="11"/>
  <c r="M1016" i="11"/>
  <c r="L1016" i="11"/>
  <c r="W1015" i="11"/>
  <c r="Q1015" i="11"/>
  <c r="M1015" i="11"/>
  <c r="L1015" i="11"/>
  <c r="W1014" i="11"/>
  <c r="Q1014" i="11"/>
  <c r="L1014" i="11"/>
  <c r="H1014" i="11"/>
  <c r="M1014" i="11" s="1"/>
  <c r="A1014" i="11"/>
  <c r="A1015" i="11" s="1"/>
  <c r="A1016" i="11" s="1"/>
  <c r="A1017" i="11" s="1"/>
  <c r="A1018" i="11" s="1"/>
  <c r="A1019" i="11" s="1"/>
  <c r="A1020" i="11" s="1"/>
  <c r="W1010" i="11"/>
  <c r="Q1010" i="11"/>
  <c r="M1010" i="11"/>
  <c r="L1010" i="11"/>
  <c r="W1009" i="11"/>
  <c r="Q1009" i="11"/>
  <c r="M1009" i="11"/>
  <c r="L1009" i="11"/>
  <c r="W1008" i="11"/>
  <c r="Q1008" i="11"/>
  <c r="M1008" i="11"/>
  <c r="L1008" i="11"/>
  <c r="W1007" i="11"/>
  <c r="Q1007" i="11"/>
  <c r="H1007" i="11"/>
  <c r="M1007" i="11" s="1"/>
  <c r="A1007" i="11"/>
  <c r="A1008" i="11" s="1"/>
  <c r="A1009" i="11" s="1"/>
  <c r="A1010" i="11" s="1"/>
  <c r="A1011" i="11" s="1"/>
  <c r="W1006" i="11"/>
  <c r="Q1006" i="11"/>
  <c r="M1006" i="11"/>
  <c r="L1006" i="11"/>
  <c r="W1004" i="11"/>
  <c r="Q1004" i="11"/>
  <c r="M1004" i="11"/>
  <c r="L1004" i="11"/>
  <c r="W1003" i="11"/>
  <c r="Q1003" i="11"/>
  <c r="M1003" i="11"/>
  <c r="L1003" i="11"/>
  <c r="W1002" i="11"/>
  <c r="Q1002" i="11"/>
  <c r="M1002" i="11"/>
  <c r="L1002" i="11"/>
  <c r="W1001" i="11"/>
  <c r="Q1001" i="11"/>
  <c r="M1001" i="11"/>
  <c r="L1001" i="11"/>
  <c r="A1001" i="11"/>
  <c r="A1002" i="11" s="1"/>
  <c r="A1003" i="11" s="1"/>
  <c r="A1004" i="11" s="1"/>
  <c r="A1005" i="11" s="1"/>
  <c r="A1006" i="11" s="1"/>
  <c r="W1000" i="11"/>
  <c r="Q1000" i="11"/>
  <c r="M1000" i="11"/>
  <c r="L1000" i="11"/>
  <c r="W999" i="11"/>
  <c r="Q999" i="11"/>
  <c r="M999" i="11"/>
  <c r="L999" i="11"/>
  <c r="W998" i="11"/>
  <c r="Q998" i="11"/>
  <c r="M998" i="11"/>
  <c r="L998" i="11"/>
  <c r="W997" i="11"/>
  <c r="Q997" i="11"/>
  <c r="M997" i="11"/>
  <c r="L997" i="11"/>
  <c r="A997" i="11"/>
  <c r="A998" i="11" s="1"/>
  <c r="A999" i="11" s="1"/>
  <c r="A1000" i="11" s="1"/>
  <c r="W996" i="11"/>
  <c r="Q996" i="11"/>
  <c r="M996" i="11"/>
  <c r="L996" i="11"/>
  <c r="A996" i="11"/>
  <c r="W995" i="11"/>
  <c r="Q995" i="11"/>
  <c r="M995" i="11"/>
  <c r="L995" i="11"/>
  <c r="W994" i="11"/>
  <c r="Q994" i="11"/>
  <c r="M994" i="11"/>
  <c r="L994" i="11"/>
  <c r="W993" i="11"/>
  <c r="Q993" i="11"/>
  <c r="M993" i="11"/>
  <c r="L993" i="11"/>
  <c r="W992" i="11"/>
  <c r="Q992" i="11"/>
  <c r="M992" i="11"/>
  <c r="L992" i="11"/>
  <c r="W991" i="11"/>
  <c r="Q991" i="11"/>
  <c r="M991" i="11"/>
  <c r="L991" i="11"/>
  <c r="A991" i="11"/>
  <c r="A992" i="11" s="1"/>
  <c r="A993" i="11" s="1"/>
  <c r="A994" i="11" s="1"/>
  <c r="A995" i="11" s="1"/>
  <c r="W990" i="11"/>
  <c r="Q990" i="11"/>
  <c r="M990" i="11"/>
  <c r="L990" i="11"/>
  <c r="W989" i="11"/>
  <c r="Q989" i="11"/>
  <c r="M989" i="11"/>
  <c r="L989" i="11"/>
  <c r="W988" i="11"/>
  <c r="Q988" i="11"/>
  <c r="M988" i="11"/>
  <c r="L988" i="11"/>
  <c r="W987" i="11"/>
  <c r="Q987" i="11"/>
  <c r="H987" i="11"/>
  <c r="L987" i="11" s="1"/>
  <c r="A987" i="11"/>
  <c r="A988" i="11" s="1"/>
  <c r="A989" i="11" s="1"/>
  <c r="A990" i="11" s="1"/>
  <c r="W983" i="11"/>
  <c r="Q983" i="11"/>
  <c r="M983" i="11"/>
  <c r="L983" i="11"/>
  <c r="W982" i="11"/>
  <c r="Q982" i="11"/>
  <c r="M982" i="11"/>
  <c r="L982" i="11"/>
  <c r="W981" i="11"/>
  <c r="Q981" i="11"/>
  <c r="M981" i="11"/>
  <c r="L981" i="11"/>
  <c r="W980" i="11"/>
  <c r="Q980" i="11"/>
  <c r="M980" i="11"/>
  <c r="L980" i="11"/>
  <c r="A980" i="11"/>
  <c r="A981" i="11" s="1"/>
  <c r="A982" i="11" s="1"/>
  <c r="A983" i="11" s="1"/>
  <c r="A984" i="11" s="1"/>
  <c r="A985" i="11" s="1"/>
  <c r="A986" i="11" s="1"/>
  <c r="W979" i="11"/>
  <c r="Q979" i="11"/>
  <c r="M979" i="11"/>
  <c r="L979" i="11"/>
  <c r="W978" i="11"/>
  <c r="Q978" i="11"/>
  <c r="M978" i="11"/>
  <c r="L978" i="11"/>
  <c r="W977" i="11"/>
  <c r="Q977" i="11"/>
  <c r="M977" i="11"/>
  <c r="L977" i="11"/>
  <c r="W976" i="11"/>
  <c r="Q976" i="11"/>
  <c r="M976" i="11"/>
  <c r="L976" i="11"/>
  <c r="W975" i="11"/>
  <c r="Q975" i="11"/>
  <c r="M975" i="11"/>
  <c r="L975" i="11"/>
  <c r="W974" i="11"/>
  <c r="Q974" i="11"/>
  <c r="M974" i="11"/>
  <c r="L974" i="11"/>
  <c r="W973" i="11"/>
  <c r="Q973" i="11"/>
  <c r="M973" i="11"/>
  <c r="L973" i="11"/>
  <c r="W972" i="11"/>
  <c r="Q972" i="11"/>
  <c r="M972" i="11"/>
  <c r="L972" i="11"/>
  <c r="W971" i="11"/>
  <c r="Q971" i="11"/>
  <c r="M971" i="11"/>
  <c r="L971" i="11"/>
  <c r="W970" i="11"/>
  <c r="Q970" i="11"/>
  <c r="M970" i="11"/>
  <c r="L970" i="11"/>
  <c r="W969" i="11"/>
  <c r="Q969" i="11"/>
  <c r="M969" i="11"/>
  <c r="L969" i="11"/>
  <c r="W968" i="11"/>
  <c r="Q968" i="11"/>
  <c r="M968" i="11"/>
  <c r="L968" i="11"/>
  <c r="W967" i="11"/>
  <c r="Q967" i="11"/>
  <c r="M967" i="11"/>
  <c r="L967" i="11"/>
  <c r="W966" i="11"/>
  <c r="Q966" i="11"/>
  <c r="M966" i="11"/>
  <c r="L966" i="11"/>
  <c r="W965" i="11"/>
  <c r="Q965" i="11"/>
  <c r="M965" i="11"/>
  <c r="L965" i="11"/>
  <c r="W964" i="11"/>
  <c r="Q964" i="11"/>
  <c r="M964" i="11"/>
  <c r="L964" i="11"/>
  <c r="W963" i="11"/>
  <c r="Q963" i="11"/>
  <c r="M963" i="11"/>
  <c r="L963" i="11"/>
  <c r="W962" i="11"/>
  <c r="Q962" i="11"/>
  <c r="M962" i="11"/>
  <c r="L962" i="11"/>
  <c r="W961" i="11"/>
  <c r="Q961" i="11"/>
  <c r="M961" i="11"/>
  <c r="L961" i="11"/>
  <c r="W960" i="11"/>
  <c r="Q960" i="11"/>
  <c r="M960" i="11"/>
  <c r="L960" i="11"/>
  <c r="A960" i="11"/>
  <c r="A961" i="11" s="1"/>
  <c r="A962" i="11" s="1"/>
  <c r="A963" i="11" s="1"/>
  <c r="A964" i="11" s="1"/>
  <c r="A965" i="11" s="1"/>
  <c r="A966" i="11" s="1"/>
  <c r="A967" i="11" s="1"/>
  <c r="A968" i="11" s="1"/>
  <c r="A969" i="11" s="1"/>
  <c r="A970" i="11" s="1"/>
  <c r="A971" i="11" s="1"/>
  <c r="A972" i="11" s="1"/>
  <c r="A973" i="11" s="1"/>
  <c r="A974" i="11" s="1"/>
  <c r="A975" i="11" s="1"/>
  <c r="A976" i="11" s="1"/>
  <c r="A977" i="11" s="1"/>
  <c r="A978" i="11" s="1"/>
  <c r="A979" i="11" s="1"/>
  <c r="W959" i="11"/>
  <c r="Q959" i="11"/>
  <c r="M959" i="11"/>
  <c r="L959" i="11"/>
  <c r="W958" i="11"/>
  <c r="Q958" i="11"/>
  <c r="M958" i="11"/>
  <c r="L958" i="11"/>
  <c r="W957" i="11"/>
  <c r="Q957" i="11"/>
  <c r="M957" i="11"/>
  <c r="L957" i="11"/>
  <c r="W956" i="11"/>
  <c r="Q956" i="11"/>
  <c r="H956" i="11"/>
  <c r="L956" i="11" s="1"/>
  <c r="A956" i="11"/>
  <c r="A957" i="11" s="1"/>
  <c r="A958" i="11" s="1"/>
  <c r="A959" i="11" s="1"/>
  <c r="W955" i="11"/>
  <c r="Q955" i="11"/>
  <c r="M955" i="11"/>
  <c r="L955" i="11"/>
  <c r="W954" i="11"/>
  <c r="Q954" i="11"/>
  <c r="M954" i="11"/>
  <c r="L954" i="11"/>
  <c r="W953" i="11"/>
  <c r="Q953" i="11"/>
  <c r="M953" i="11"/>
  <c r="L953" i="11"/>
  <c r="W952" i="11"/>
  <c r="Q952" i="11"/>
  <c r="M952" i="11"/>
  <c r="L952" i="11"/>
  <c r="W951" i="11"/>
  <c r="Q951" i="11"/>
  <c r="M951" i="11"/>
  <c r="L951" i="11"/>
  <c r="W950" i="11"/>
  <c r="Q950" i="11"/>
  <c r="M950" i="11"/>
  <c r="L950" i="11"/>
  <c r="W949" i="11"/>
  <c r="Q949" i="11"/>
  <c r="M949" i="11"/>
  <c r="L949" i="11"/>
  <c r="W948" i="11"/>
  <c r="Q948" i="11"/>
  <c r="M948" i="11"/>
  <c r="L948" i="11"/>
  <c r="W947" i="11"/>
  <c r="Q947" i="11"/>
  <c r="H947" i="11"/>
  <c r="M947" i="11" s="1"/>
  <c r="W946" i="11"/>
  <c r="Q946" i="11"/>
  <c r="H946" i="11"/>
  <c r="M946" i="11" s="1"/>
  <c r="A946" i="11"/>
  <c r="A947" i="11" s="1"/>
  <c r="A948" i="11" s="1"/>
  <c r="A949" i="11" s="1"/>
  <c r="A950" i="11" s="1"/>
  <c r="A951" i="11" s="1"/>
  <c r="A952" i="11" s="1"/>
  <c r="A953" i="11" s="1"/>
  <c r="A954" i="11" s="1"/>
  <c r="A955" i="11" s="1"/>
  <c r="W945" i="11"/>
  <c r="Q945" i="11"/>
  <c r="M945" i="11"/>
  <c r="L945" i="11"/>
  <c r="W944" i="11"/>
  <c r="Q944" i="11"/>
  <c r="M944" i="11"/>
  <c r="L944" i="11"/>
  <c r="W943" i="11"/>
  <c r="Q943" i="11"/>
  <c r="M943" i="11"/>
  <c r="L943" i="11"/>
  <c r="W942" i="11"/>
  <c r="Q942" i="11"/>
  <c r="M942" i="11"/>
  <c r="L942" i="11"/>
  <c r="W941" i="11"/>
  <c r="Q941" i="11"/>
  <c r="M941" i="11"/>
  <c r="L941" i="11"/>
  <c r="W940" i="11"/>
  <c r="Q940" i="11"/>
  <c r="M940" i="11"/>
  <c r="L940" i="11"/>
  <c r="W939" i="11"/>
  <c r="Q939" i="11"/>
  <c r="M939" i="11"/>
  <c r="L939" i="11"/>
  <c r="W938" i="11"/>
  <c r="Q938" i="11"/>
  <c r="M938" i="11"/>
  <c r="L938" i="11"/>
  <c r="W937" i="11"/>
  <c r="Q937" i="11"/>
  <c r="M937" i="11"/>
  <c r="L937" i="11"/>
  <c r="W936" i="11"/>
  <c r="Q936" i="11"/>
  <c r="M936" i="11"/>
  <c r="L936" i="11"/>
  <c r="W935" i="11"/>
  <c r="Q935" i="11"/>
  <c r="M935" i="11"/>
  <c r="L935" i="11"/>
  <c r="W934" i="11"/>
  <c r="Q934" i="11"/>
  <c r="M934" i="11"/>
  <c r="L934" i="11"/>
  <c r="W933" i="11"/>
  <c r="Q933" i="11"/>
  <c r="M933" i="11"/>
  <c r="L933" i="11"/>
  <c r="W932" i="11"/>
  <c r="Q932" i="11"/>
  <c r="M932" i="11"/>
  <c r="L932" i="11"/>
  <c r="W931" i="11"/>
  <c r="Q931" i="11"/>
  <c r="M931" i="11"/>
  <c r="L931" i="11"/>
  <c r="W930" i="11"/>
  <c r="Q930" i="11"/>
  <c r="M930" i="11"/>
  <c r="L930" i="11"/>
  <c r="W929" i="11"/>
  <c r="Q929" i="11"/>
  <c r="M929" i="11"/>
  <c r="L929" i="11"/>
  <c r="W928" i="11"/>
  <c r="Q928" i="11"/>
  <c r="M928" i="11"/>
  <c r="L928" i="11"/>
  <c r="W927" i="11"/>
  <c r="Q927" i="11"/>
  <c r="M927" i="11"/>
  <c r="L927" i="11"/>
  <c r="W926" i="11"/>
  <c r="Q926" i="11"/>
  <c r="M926" i="11"/>
  <c r="L926" i="11"/>
  <c r="W925" i="11"/>
  <c r="Q925" i="11"/>
  <c r="H925" i="11"/>
  <c r="M925" i="11" s="1"/>
  <c r="W924" i="11"/>
  <c r="Q924" i="11"/>
  <c r="W923" i="11"/>
  <c r="Q923" i="11"/>
  <c r="A923" i="11"/>
  <c r="A924" i="11" s="1"/>
  <c r="A925" i="11" s="1"/>
  <c r="A926" i="11" s="1"/>
  <c r="A927" i="11" s="1"/>
  <c r="A928" i="11" s="1"/>
  <c r="A929" i="11" s="1"/>
  <c r="A930" i="11" s="1"/>
  <c r="A931" i="11" s="1"/>
  <c r="A932" i="11" s="1"/>
  <c r="A933" i="11" s="1"/>
  <c r="A934" i="11" s="1"/>
  <c r="A935" i="11" s="1"/>
  <c r="A936" i="11" s="1"/>
  <c r="A937" i="11" s="1"/>
  <c r="A938" i="11" s="1"/>
  <c r="A939" i="11" s="1"/>
  <c r="A940" i="11" s="1"/>
  <c r="A941" i="11" s="1"/>
  <c r="A942" i="11" s="1"/>
  <c r="A943" i="11" s="1"/>
  <c r="A944" i="11" s="1"/>
  <c r="A945" i="11" s="1"/>
  <c r="A915" i="11"/>
  <c r="A916" i="11" s="1"/>
  <c r="A917" i="11" s="1"/>
  <c r="A906" i="11"/>
  <c r="A907" i="11" s="1"/>
  <c r="A908" i="11" s="1"/>
  <c r="A909" i="11" s="1"/>
  <c r="A910" i="11" s="1"/>
  <c r="A911" i="11" s="1"/>
  <c r="A912" i="11" s="1"/>
  <c r="A913" i="11" s="1"/>
  <c r="A914" i="11" s="1"/>
  <c r="A890" i="11"/>
  <c r="A891" i="11" s="1"/>
  <c r="A892" i="11" s="1"/>
  <c r="A893" i="11" s="1"/>
  <c r="A894" i="11" s="1"/>
  <c r="A895" i="11" s="1"/>
  <c r="A896" i="11" s="1"/>
  <c r="A897" i="11" s="1"/>
  <c r="A898" i="11" s="1"/>
  <c r="A899" i="11" s="1"/>
  <c r="A900" i="11" s="1"/>
  <c r="A901" i="11" s="1"/>
  <c r="A902" i="11" s="1"/>
  <c r="A903" i="11" s="1"/>
  <c r="A904" i="11" s="1"/>
  <c r="A905" i="11" s="1"/>
  <c r="A876" i="11"/>
  <c r="A877" i="11" s="1"/>
  <c r="A878" i="11" s="1"/>
  <c r="A879" i="11" s="1"/>
  <c r="A880" i="11" s="1"/>
  <c r="A881" i="11" s="1"/>
  <c r="A882" i="11" s="1"/>
  <c r="A883" i="11" s="1"/>
  <c r="A884" i="11" s="1"/>
  <c r="A885" i="11" s="1"/>
  <c r="A886" i="11" s="1"/>
  <c r="A887" i="11" s="1"/>
  <c r="A888" i="11" s="1"/>
  <c r="A889" i="11" s="1"/>
  <c r="A860" i="11"/>
  <c r="A861" i="11" s="1"/>
  <c r="A862" i="11" s="1"/>
  <c r="A863" i="11" s="1"/>
  <c r="A864" i="11" s="1"/>
  <c r="A865" i="11" s="1"/>
  <c r="A866" i="11" s="1"/>
  <c r="A867" i="11" s="1"/>
  <c r="A868" i="11" s="1"/>
  <c r="A869" i="11" s="1"/>
  <c r="A870" i="11" s="1"/>
  <c r="A871" i="11" s="1"/>
  <c r="A872" i="11" s="1"/>
  <c r="A873" i="11" s="1"/>
  <c r="A874" i="11" s="1"/>
  <c r="A875" i="11" s="1"/>
  <c r="A829" i="11"/>
  <c r="A830" i="11" s="1"/>
  <c r="A831" i="11" s="1"/>
  <c r="A832" i="11" s="1"/>
  <c r="A833" i="11" s="1"/>
  <c r="A834" i="11" s="1"/>
  <c r="A835" i="11" s="1"/>
  <c r="A836" i="11" s="1"/>
  <c r="A837" i="11" s="1"/>
  <c r="A838" i="11" s="1"/>
  <c r="A839" i="11" s="1"/>
  <c r="A840" i="11" s="1"/>
  <c r="A841" i="11" s="1"/>
  <c r="A842" i="11" s="1"/>
  <c r="A843" i="11" s="1"/>
  <c r="A844" i="11" s="1"/>
  <c r="A845" i="11" s="1"/>
  <c r="A846" i="11" s="1"/>
  <c r="A847" i="11" s="1"/>
  <c r="A848" i="11" s="1"/>
  <c r="A849" i="11" s="1"/>
  <c r="A850" i="11" s="1"/>
  <c r="A851" i="11" s="1"/>
  <c r="A852" i="11" s="1"/>
  <c r="A853" i="11" s="1"/>
  <c r="A854" i="11" s="1"/>
  <c r="A855" i="11" s="1"/>
  <c r="A856" i="11" s="1"/>
  <c r="A857" i="11" s="1"/>
  <c r="A858" i="11" s="1"/>
  <c r="A859" i="11" s="1"/>
  <c r="A822" i="11"/>
  <c r="A823" i="11" s="1"/>
  <c r="A824" i="11" s="1"/>
  <c r="A825" i="11" s="1"/>
  <c r="A827" i="11" s="1"/>
  <c r="A828" i="11" s="1"/>
  <c r="A815" i="11"/>
  <c r="A816" i="11" s="1"/>
  <c r="A817" i="11" s="1"/>
  <c r="A818" i="11" s="1"/>
  <c r="A820" i="11" s="1"/>
  <c r="A821" i="11" s="1"/>
  <c r="A808" i="11"/>
  <c r="A809" i="11" s="1"/>
  <c r="A810" i="11" s="1"/>
  <c r="A811" i="11" s="1"/>
  <c r="A814" i="11" s="1"/>
  <c r="A802" i="11"/>
  <c r="A803" i="11" s="1"/>
  <c r="A804" i="11" s="1"/>
  <c r="A807" i="11" s="1"/>
  <c r="A801" i="11"/>
  <c r="A795" i="11"/>
  <c r="A796" i="11" s="1"/>
  <c r="A797" i="11" s="1"/>
  <c r="A798" i="11" s="1"/>
  <c r="A799" i="11" s="1"/>
  <c r="A800" i="11" s="1"/>
  <c r="A792" i="11"/>
  <c r="A793" i="11" s="1"/>
  <c r="A794" i="11" s="1"/>
  <c r="A728" i="11"/>
  <c r="A729" i="11" s="1"/>
  <c r="A730" i="11" s="1"/>
  <c r="A731" i="11" s="1"/>
  <c r="A732" i="11" s="1"/>
  <c r="A733" i="11" s="1"/>
  <c r="A734" i="11" s="1"/>
  <c r="A735" i="11" s="1"/>
  <c r="A736" i="11" s="1"/>
  <c r="A737" i="11" s="1"/>
  <c r="A738" i="11" s="1"/>
  <c r="A739" i="11" s="1"/>
  <c r="A740" i="11" s="1"/>
  <c r="A741" i="11" s="1"/>
  <c r="A742" i="11" s="1"/>
  <c r="A743" i="11" s="1"/>
  <c r="A744" i="11" s="1"/>
  <c r="A745" i="11" s="1"/>
  <c r="A746" i="11" s="1"/>
  <c r="A747" i="11" s="1"/>
  <c r="A748" i="11" s="1"/>
  <c r="A749" i="11" s="1"/>
  <c r="A750" i="11" s="1"/>
  <c r="A751" i="11" s="1"/>
  <c r="A752" i="11" s="1"/>
  <c r="A753" i="11" s="1"/>
  <c r="A754" i="11" s="1"/>
  <c r="A755" i="11" s="1"/>
  <c r="A756" i="11" s="1"/>
  <c r="A757" i="11" s="1"/>
  <c r="A758" i="11" s="1"/>
  <c r="A759" i="11" s="1"/>
  <c r="A760" i="11" s="1"/>
  <c r="A761" i="11" s="1"/>
  <c r="A762" i="11" s="1"/>
  <c r="A763" i="11" s="1"/>
  <c r="A764" i="11" s="1"/>
  <c r="A765" i="11" s="1"/>
  <c r="A766" i="11" s="1"/>
  <c r="A767" i="11" s="1"/>
  <c r="A768" i="11" s="1"/>
  <c r="A769" i="11" s="1"/>
  <c r="A770" i="11" s="1"/>
  <c r="A771" i="11" s="1"/>
  <c r="A772" i="11" s="1"/>
  <c r="A773" i="11" s="1"/>
  <c r="A774" i="11" s="1"/>
  <c r="A775" i="11" s="1"/>
  <c r="A776" i="11" s="1"/>
  <c r="A777" i="11" s="1"/>
  <c r="A778" i="11" s="1"/>
  <c r="A779" i="11" s="1"/>
  <c r="A780" i="11" s="1"/>
  <c r="A781" i="11" s="1"/>
  <c r="A782" i="11" s="1"/>
  <c r="A783" i="11" s="1"/>
  <c r="A784" i="11" s="1"/>
  <c r="A785" i="11" s="1"/>
  <c r="A786" i="11" s="1"/>
  <c r="A787" i="11" s="1"/>
  <c r="A788" i="11" s="1"/>
  <c r="A789" i="11" s="1"/>
  <c r="A790" i="11" s="1"/>
  <c r="A791" i="11" s="1"/>
  <c r="A719" i="11"/>
  <c r="A720" i="11" s="1"/>
  <c r="A721" i="11" s="1"/>
  <c r="A722" i="11" s="1"/>
  <c r="A723" i="11" s="1"/>
  <c r="A724" i="11" s="1"/>
  <c r="A725" i="11" s="1"/>
  <c r="A726" i="11" s="1"/>
  <c r="A727" i="11" s="1"/>
  <c r="A712" i="11"/>
  <c r="A713" i="11" s="1"/>
  <c r="A714" i="11" s="1"/>
  <c r="A715" i="11" s="1"/>
  <c r="A716" i="11" s="1"/>
  <c r="A717" i="11" s="1"/>
  <c r="A718" i="11" s="1"/>
  <c r="A698" i="11"/>
  <c r="A699" i="11" s="1"/>
  <c r="A700" i="11" s="1"/>
  <c r="A701" i="11" s="1"/>
  <c r="A702" i="11" s="1"/>
  <c r="A703" i="11" s="1"/>
  <c r="A704" i="11" s="1"/>
  <c r="A705" i="11" s="1"/>
  <c r="A706" i="11" s="1"/>
  <c r="A707" i="11" s="1"/>
  <c r="A708" i="11" s="1"/>
  <c r="A709" i="11" s="1"/>
  <c r="A710" i="11" s="1"/>
  <c r="A711" i="11" s="1"/>
  <c r="A697" i="11"/>
  <c r="A675" i="11"/>
  <c r="A676" i="11" s="1"/>
  <c r="A677" i="11" s="1"/>
  <c r="A678" i="11" s="1"/>
  <c r="A679" i="11" s="1"/>
  <c r="A680" i="11" s="1"/>
  <c r="A681" i="11" s="1"/>
  <c r="A682" i="11" s="1"/>
  <c r="A683" i="11" s="1"/>
  <c r="A684" i="11" s="1"/>
  <c r="A685" i="11" s="1"/>
  <c r="A686" i="11" s="1"/>
  <c r="A687" i="11" s="1"/>
  <c r="A688" i="11" s="1"/>
  <c r="A689" i="11" s="1"/>
  <c r="A690" i="11" s="1"/>
  <c r="A691" i="11" s="1"/>
  <c r="A692" i="11" s="1"/>
  <c r="A693" i="11" s="1"/>
  <c r="A694" i="11" s="1"/>
  <c r="A695" i="11" s="1"/>
  <c r="A696" i="11" s="1"/>
  <c r="A657" i="11"/>
  <c r="A658" i="11" s="1"/>
  <c r="A659" i="11" s="1"/>
  <c r="A660" i="11" s="1"/>
  <c r="A661" i="11" s="1"/>
  <c r="A662" i="11" s="1"/>
  <c r="A663" i="11" s="1"/>
  <c r="A664" i="11" s="1"/>
  <c r="A665" i="11" s="1"/>
  <c r="A666" i="11" s="1"/>
  <c r="A667" i="11" s="1"/>
  <c r="A668" i="11" s="1"/>
  <c r="A669" i="11" s="1"/>
  <c r="A670" i="11" s="1"/>
  <c r="A671" i="11" s="1"/>
  <c r="A672" i="11" s="1"/>
  <c r="A673" i="11" s="1"/>
  <c r="A674" i="11" s="1"/>
  <c r="A651" i="11"/>
  <c r="A652" i="11" s="1"/>
  <c r="A653" i="11" s="1"/>
  <c r="A654" i="11" s="1"/>
  <c r="A655" i="11" s="1"/>
  <c r="A656" i="11" s="1"/>
  <c r="A632" i="11"/>
  <c r="A633" i="11" s="1"/>
  <c r="A634" i="11" s="1"/>
  <c r="A635" i="11" s="1"/>
  <c r="A636" i="11" s="1"/>
  <c r="A637" i="11" s="1"/>
  <c r="A638" i="11" s="1"/>
  <c r="A639" i="11" s="1"/>
  <c r="A640" i="11" s="1"/>
  <c r="A641" i="11" s="1"/>
  <c r="A642" i="11" s="1"/>
  <c r="A643" i="11" s="1"/>
  <c r="A644" i="11" s="1"/>
  <c r="A645" i="11" s="1"/>
  <c r="A646" i="11" s="1"/>
  <c r="A647" i="11" s="1"/>
  <c r="A648" i="11" s="1"/>
  <c r="A649" i="11" s="1"/>
  <c r="A650" i="11" s="1"/>
  <c r="A626" i="11"/>
  <c r="A627" i="11" s="1"/>
  <c r="A628" i="11" s="1"/>
  <c r="A630" i="11" s="1"/>
  <c r="A631" i="11" s="1"/>
  <c r="A620" i="11"/>
  <c r="A621" i="11" s="1"/>
  <c r="A622" i="11" s="1"/>
  <c r="A623" i="11" s="1"/>
  <c r="A624" i="11" s="1"/>
  <c r="A625" i="11" s="1"/>
  <c r="A612" i="11"/>
  <c r="A613" i="11" s="1"/>
  <c r="A614" i="11" s="1"/>
  <c r="A615" i="11" s="1"/>
  <c r="A616" i="11" s="1"/>
  <c r="A617" i="11" s="1"/>
  <c r="A618" i="11" s="1"/>
  <c r="A619" i="11" s="1"/>
  <c r="A603" i="11"/>
  <c r="A604" i="11" s="1"/>
  <c r="A605" i="11" s="1"/>
  <c r="A606" i="11" s="1"/>
  <c r="A607" i="11" s="1"/>
  <c r="A608" i="11" s="1"/>
  <c r="A610" i="11" s="1"/>
  <c r="A611" i="11" s="1"/>
  <c r="A567" i="11"/>
  <c r="A568" i="11" s="1"/>
  <c r="A569" i="11" s="1"/>
  <c r="A570" i="11" s="1"/>
  <c r="A571" i="11" s="1"/>
  <c r="A572" i="11" s="1"/>
  <c r="A573" i="11" s="1"/>
  <c r="A574" i="11" s="1"/>
  <c r="A575" i="11" s="1"/>
  <c r="A576" i="11" s="1"/>
  <c r="A577" i="11" s="1"/>
  <c r="A578" i="11" s="1"/>
  <c r="A579" i="11" s="1"/>
  <c r="A580" i="11" s="1"/>
  <c r="A581" i="11" s="1"/>
  <c r="A582" i="11" s="1"/>
  <c r="A583" i="11" s="1"/>
  <c r="A584" i="11" s="1"/>
  <c r="A585" i="11" s="1"/>
  <c r="A586" i="11" s="1"/>
  <c r="A587" i="11" s="1"/>
  <c r="A588" i="11" s="1"/>
  <c r="A589" i="11" s="1"/>
  <c r="A590" i="11" s="1"/>
  <c r="A591" i="11" s="1"/>
  <c r="A592" i="11" s="1"/>
  <c r="A593" i="11" s="1"/>
  <c r="A594" i="11" s="1"/>
  <c r="A595" i="11" s="1"/>
  <c r="A596" i="11" s="1"/>
  <c r="A597" i="11" s="1"/>
  <c r="A598" i="11" s="1"/>
  <c r="A599" i="11" s="1"/>
  <c r="A600" i="11" s="1"/>
  <c r="A601" i="11" s="1"/>
  <c r="A602" i="11" s="1"/>
  <c r="A560" i="11"/>
  <c r="A561" i="11" s="1"/>
  <c r="A562" i="11" s="1"/>
  <c r="A563" i="11" s="1"/>
  <c r="A564" i="11" s="1"/>
  <c r="A565" i="11" s="1"/>
  <c r="A566" i="11" s="1"/>
  <c r="A553" i="11"/>
  <c r="A554" i="11" s="1"/>
  <c r="A555" i="11" s="1"/>
  <c r="A556" i="11" s="1"/>
  <c r="A557" i="11" s="1"/>
  <c r="A558" i="11" s="1"/>
  <c r="A559" i="11" s="1"/>
  <c r="A546" i="11"/>
  <c r="A547" i="11" s="1"/>
  <c r="A548" i="11" s="1"/>
  <c r="A549" i="11" s="1"/>
  <c r="A550" i="11" s="1"/>
  <c r="A551" i="11" s="1"/>
  <c r="A552" i="11" s="1"/>
  <c r="A537" i="11"/>
  <c r="A538" i="11" s="1"/>
  <c r="A539" i="11" s="1"/>
  <c r="A540" i="11" s="1"/>
  <c r="A541" i="11" s="1"/>
  <c r="A542" i="11" s="1"/>
  <c r="A545" i="11" s="1"/>
  <c r="A529" i="11"/>
  <c r="A530" i="11" s="1"/>
  <c r="A531" i="11" s="1"/>
  <c r="A532" i="11" s="1"/>
  <c r="A533" i="11" s="1"/>
  <c r="A535" i="11" s="1"/>
  <c r="A536" i="11" s="1"/>
  <c r="H519" i="11"/>
  <c r="H518" i="11"/>
  <c r="A518" i="11"/>
  <c r="A519" i="11" s="1"/>
  <c r="A520" i="11" s="1"/>
  <c r="A521" i="11" s="1"/>
  <c r="A522" i="11" s="1"/>
  <c r="A525" i="11" s="1"/>
  <c r="A526" i="11" s="1"/>
  <c r="A527" i="11" s="1"/>
  <c r="A528" i="11" s="1"/>
  <c r="A510" i="11"/>
  <c r="A511" i="11" s="1"/>
  <c r="A512" i="11" s="1"/>
  <c r="A513" i="11" s="1"/>
  <c r="A516" i="11" s="1"/>
  <c r="A517" i="11" s="1"/>
  <c r="A501" i="11"/>
  <c r="A502" i="11" s="1"/>
  <c r="A503" i="11" s="1"/>
  <c r="A504" i="11" s="1"/>
  <c r="A505" i="11" s="1"/>
  <c r="A506" i="11" s="1"/>
  <c r="A507" i="11" s="1"/>
  <c r="A508" i="11" s="1"/>
  <c r="A509" i="11" s="1"/>
  <c r="A500" i="11"/>
  <c r="A491" i="11"/>
  <c r="A492" i="11" s="1"/>
  <c r="A493" i="11" s="1"/>
  <c r="A494" i="11" s="1"/>
  <c r="A495" i="11" s="1"/>
  <c r="A496" i="11" s="1"/>
  <c r="A497" i="11" s="1"/>
  <c r="A498" i="11" s="1"/>
  <c r="A499" i="11" s="1"/>
  <c r="A481" i="11"/>
  <c r="A482" i="11" s="1"/>
  <c r="A483" i="11" s="1"/>
  <c r="A484" i="11" s="1"/>
  <c r="A485" i="11" s="1"/>
  <c r="A486" i="11" s="1"/>
  <c r="A487" i="11" s="1"/>
  <c r="A488" i="11" s="1"/>
  <c r="A489" i="11" s="1"/>
  <c r="A490" i="11" s="1"/>
  <c r="A459" i="11"/>
  <c r="A460" i="11" s="1"/>
  <c r="A461" i="11" s="1"/>
  <c r="A462" i="11" s="1"/>
  <c r="A463" i="11" s="1"/>
  <c r="A464" i="11" s="1"/>
  <c r="A465" i="11" s="1"/>
  <c r="A466" i="11" s="1"/>
  <c r="A467" i="11" s="1"/>
  <c r="A468" i="11" s="1"/>
  <c r="A469" i="11" s="1"/>
  <c r="A470" i="11" s="1"/>
  <c r="A471" i="11" s="1"/>
  <c r="A472" i="11" s="1"/>
  <c r="A473" i="11" s="1"/>
  <c r="A474" i="11" s="1"/>
  <c r="A475" i="11" s="1"/>
  <c r="A476" i="11" s="1"/>
  <c r="A477" i="11" s="1"/>
  <c r="A478" i="11" s="1"/>
  <c r="A479" i="11" s="1"/>
  <c r="A480" i="11" s="1"/>
  <c r="A442" i="11"/>
  <c r="A443" i="11" s="1"/>
  <c r="A444" i="11" s="1"/>
  <c r="A445" i="11" s="1"/>
  <c r="A446" i="11" s="1"/>
  <c r="A447" i="11" s="1"/>
  <c r="A448" i="11" s="1"/>
  <c r="A449" i="11" s="1"/>
  <c r="A450" i="11" s="1"/>
  <c r="A451" i="11" s="1"/>
  <c r="A452" i="11" s="1"/>
  <c r="A453" i="11" s="1"/>
  <c r="A454" i="11" s="1"/>
  <c r="A455" i="11" s="1"/>
  <c r="A456" i="11" s="1"/>
  <c r="A457" i="11" s="1"/>
  <c r="A458" i="11" s="1"/>
  <c r="A435" i="11"/>
  <c r="A436" i="11" s="1"/>
  <c r="A437" i="11" s="1"/>
  <c r="A438" i="11" s="1"/>
  <c r="A439" i="11" s="1"/>
  <c r="A440" i="11" s="1"/>
  <c r="A441" i="11" s="1"/>
  <c r="A426" i="11"/>
  <c r="A427" i="11" s="1"/>
  <c r="A428" i="11" s="1"/>
  <c r="A429" i="11" s="1"/>
  <c r="A430" i="11" s="1"/>
  <c r="A431" i="11" s="1"/>
  <c r="A432" i="11" s="1"/>
  <c r="A433" i="11" s="1"/>
  <c r="A434" i="11" s="1"/>
  <c r="A417" i="11"/>
  <c r="A418" i="11" s="1"/>
  <c r="A419" i="11" s="1"/>
  <c r="A420" i="11" s="1"/>
  <c r="A421" i="11" s="1"/>
  <c r="A422" i="11" s="1"/>
  <c r="A423" i="11" s="1"/>
  <c r="A424" i="11" s="1"/>
  <c r="A425" i="11" s="1"/>
  <c r="A400" i="11"/>
  <c r="A401" i="11" s="1"/>
  <c r="A402" i="11" s="1"/>
  <c r="A403" i="11" s="1"/>
  <c r="A404" i="11" s="1"/>
  <c r="A405" i="11" s="1"/>
  <c r="A406" i="11" s="1"/>
  <c r="A407" i="11" s="1"/>
  <c r="A408" i="11" s="1"/>
  <c r="A409" i="11" s="1"/>
  <c r="A410" i="11" s="1"/>
  <c r="A411" i="11" s="1"/>
  <c r="A412" i="11" s="1"/>
  <c r="A413" i="11" s="1"/>
  <c r="A414" i="11" s="1"/>
  <c r="A415" i="11" s="1"/>
  <c r="A416" i="11" s="1"/>
  <c r="A386" i="11"/>
  <c r="A387" i="11" s="1"/>
  <c r="A388" i="11" s="1"/>
  <c r="A389" i="11" s="1"/>
  <c r="A390" i="11" s="1"/>
  <c r="A391" i="11" s="1"/>
  <c r="A392" i="11" s="1"/>
  <c r="A393" i="11" s="1"/>
  <c r="A394" i="11" s="1"/>
  <c r="A395" i="11" s="1"/>
  <c r="A396" i="11" s="1"/>
  <c r="A397" i="11" s="1"/>
  <c r="A398" i="11" s="1"/>
  <c r="A399" i="11" s="1"/>
  <c r="A364" i="11"/>
  <c r="A365" i="11" s="1"/>
  <c r="A366" i="11" s="1"/>
  <c r="A367" i="11" s="1"/>
  <c r="A368" i="11" s="1"/>
  <c r="A369" i="11" s="1"/>
  <c r="A370" i="11" s="1"/>
  <c r="A371" i="11" s="1"/>
  <c r="A372" i="11" s="1"/>
  <c r="A373" i="11" s="1"/>
  <c r="A374" i="11" s="1"/>
  <c r="A375" i="11" s="1"/>
  <c r="A376" i="11" s="1"/>
  <c r="A377" i="11" s="1"/>
  <c r="A378" i="11" s="1"/>
  <c r="A379" i="11" s="1"/>
  <c r="A380" i="11" s="1"/>
  <c r="A381" i="11" s="1"/>
  <c r="A382" i="11" s="1"/>
  <c r="A383" i="11" s="1"/>
  <c r="A384" i="11" s="1"/>
  <c r="A385" i="11" s="1"/>
  <c r="A355" i="11"/>
  <c r="A356" i="11" s="1"/>
  <c r="A357" i="11" s="1"/>
  <c r="A358" i="11" s="1"/>
  <c r="A359" i="11" s="1"/>
  <c r="A360" i="11" s="1"/>
  <c r="A361" i="11" s="1"/>
  <c r="A362" i="11" s="1"/>
  <c r="A363" i="11" s="1"/>
  <c r="A343" i="11"/>
  <c r="A344" i="11" s="1"/>
  <c r="A345" i="11" s="1"/>
  <c r="A346" i="11" s="1"/>
  <c r="A347" i="11" s="1"/>
  <c r="A348" i="11" s="1"/>
  <c r="A349" i="11" s="1"/>
  <c r="A350" i="11" s="1"/>
  <c r="A351" i="11" s="1"/>
  <c r="A352" i="11" s="1"/>
  <c r="A353" i="11" s="1"/>
  <c r="A354" i="11" s="1"/>
  <c r="A335" i="11"/>
  <c r="A336" i="11" s="1"/>
  <c r="A337" i="11" s="1"/>
  <c r="A338" i="11" s="1"/>
  <c r="A339" i="11" s="1"/>
  <c r="A340" i="11" s="1"/>
  <c r="A341" i="11" s="1"/>
  <c r="A342" i="11" s="1"/>
  <c r="A313" i="1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278" i="1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262" i="11"/>
  <c r="A263" i="11" s="1"/>
  <c r="A264" i="11" s="1"/>
  <c r="A265" i="11" s="1"/>
  <c r="A266" i="11" s="1"/>
  <c r="A267" i="11" s="1"/>
  <c r="A268" i="11" s="1"/>
  <c r="A269" i="11" s="1"/>
  <c r="A270" i="11" s="1"/>
  <c r="A271" i="11" s="1"/>
  <c r="A272" i="11" s="1"/>
  <c r="A273" i="11" s="1"/>
  <c r="A274" i="11" s="1"/>
  <c r="A275" i="11" s="1"/>
  <c r="A276" i="11" s="1"/>
  <c r="A277" i="11" s="1"/>
  <c r="A239" i="1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10" i="1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04" i="11"/>
  <c r="A205" i="11" s="1"/>
  <c r="A206" i="11" s="1"/>
  <c r="A207" i="11" s="1"/>
  <c r="A208" i="11" s="1"/>
  <c r="A209" i="11" s="1"/>
  <c r="A196" i="11"/>
  <c r="A197" i="11" s="1"/>
  <c r="A198" i="11" s="1"/>
  <c r="A199" i="11" s="1"/>
  <c r="A200" i="11" s="1"/>
  <c r="A201" i="11" s="1"/>
  <c r="A202" i="11" s="1"/>
  <c r="A203" i="11" s="1"/>
  <c r="A171" i="1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64" i="11"/>
  <c r="A165" i="11" s="1"/>
  <c r="A166" i="11" s="1"/>
  <c r="A167" i="11" s="1"/>
  <c r="A168" i="11" s="1"/>
  <c r="A169" i="11" s="1"/>
  <c r="A170" i="11" s="1"/>
  <c r="A157" i="11"/>
  <c r="A158" i="11" s="1"/>
  <c r="A159" i="11" s="1"/>
  <c r="A160" i="11" s="1"/>
  <c r="A161" i="11" s="1"/>
  <c r="A162" i="11" s="1"/>
  <c r="A163" i="11" s="1"/>
  <c r="A146" i="11"/>
  <c r="A147" i="11" s="1"/>
  <c r="A148" i="11" s="1"/>
  <c r="A149" i="11" s="1"/>
  <c r="A150" i="11" s="1"/>
  <c r="A151" i="11" s="1"/>
  <c r="A152" i="11" s="1"/>
  <c r="A153" i="11" s="1"/>
  <c r="A154" i="11" s="1"/>
  <c r="A155" i="11" s="1"/>
  <c r="A156" i="11" s="1"/>
  <c r="A139" i="11"/>
  <c r="A140" i="11" s="1"/>
  <c r="A141" i="11" s="1"/>
  <c r="A142" i="11" s="1"/>
  <c r="A143" i="11" s="1"/>
  <c r="A144" i="11" s="1"/>
  <c r="A145" i="11" s="1"/>
  <c r="A130" i="11"/>
  <c r="A131" i="11" s="1"/>
  <c r="A132" i="11" s="1"/>
  <c r="A133" i="11" s="1"/>
  <c r="A134" i="11" s="1"/>
  <c r="A135" i="11" s="1"/>
  <c r="A136" i="11" s="1"/>
  <c r="A137" i="11" s="1"/>
  <c r="A138" i="11" s="1"/>
  <c r="A122" i="11"/>
  <c r="A123" i="11" s="1"/>
  <c r="A124" i="11" s="1"/>
  <c r="A125" i="11" s="1"/>
  <c r="A126" i="11" s="1"/>
  <c r="A127" i="11" s="1"/>
  <c r="A128" i="11" s="1"/>
  <c r="A129" i="11" s="1"/>
  <c r="A114" i="11"/>
  <c r="A115" i="11" s="1"/>
  <c r="A116" i="11" s="1"/>
  <c r="A117" i="11" s="1"/>
  <c r="A118" i="11" s="1"/>
  <c r="A119" i="11" s="1"/>
  <c r="A120" i="11" s="1"/>
  <c r="A121" i="11" s="1"/>
  <c r="A108" i="11"/>
  <c r="A109" i="11" s="1"/>
  <c r="A110" i="11" s="1"/>
  <c r="A111" i="11" s="1"/>
  <c r="A112" i="11" s="1"/>
  <c r="A113" i="11" s="1"/>
  <c r="A101" i="11"/>
  <c r="A102" i="11" s="1"/>
  <c r="A103" i="11" s="1"/>
  <c r="A104" i="11" s="1"/>
  <c r="A105" i="11" s="1"/>
  <c r="A106" i="11" s="1"/>
  <c r="A107" i="11" s="1"/>
  <c r="A94" i="11"/>
  <c r="A95" i="11" s="1"/>
  <c r="A96" i="11" s="1"/>
  <c r="A97" i="11" s="1"/>
  <c r="A98" i="11" s="1"/>
  <c r="A99" i="11" s="1"/>
  <c r="A100" i="11" s="1"/>
  <c r="A87" i="11"/>
  <c r="A88" i="11" s="1"/>
  <c r="A89" i="11" s="1"/>
  <c r="A90" i="11" s="1"/>
  <c r="A91" i="11" s="1"/>
  <c r="A93" i="11" s="1"/>
  <c r="A80" i="11"/>
  <c r="A81" i="11" s="1"/>
  <c r="A82" i="11" s="1"/>
  <c r="A83" i="11" s="1"/>
  <c r="A84" i="11" s="1"/>
  <c r="A85" i="11" s="1"/>
  <c r="A86" i="11" s="1"/>
  <c r="A74" i="11"/>
  <c r="A75" i="11" s="1"/>
  <c r="A76" i="11" s="1"/>
  <c r="A77" i="11" s="1"/>
  <c r="A78" i="11" s="1"/>
  <c r="A79" i="11" s="1"/>
  <c r="A68" i="11"/>
  <c r="A69" i="11" s="1"/>
  <c r="A70" i="11" s="1"/>
  <c r="A71" i="11" s="1"/>
  <c r="A72" i="11" s="1"/>
  <c r="A73" i="11" s="1"/>
  <c r="A58" i="11"/>
  <c r="A59" i="11" s="1"/>
  <c r="A60" i="11" s="1"/>
  <c r="A61" i="11" s="1"/>
  <c r="A62" i="11" s="1"/>
  <c r="A63" i="11" s="1"/>
  <c r="A64" i="11" s="1"/>
  <c r="A65" i="11" s="1"/>
  <c r="A66" i="11" s="1"/>
  <c r="A67" i="11" s="1"/>
  <c r="A50" i="11"/>
  <c r="A51" i="11" s="1"/>
  <c r="A52" i="11" s="1"/>
  <c r="A53" i="11" s="1"/>
  <c r="A54" i="11" s="1"/>
  <c r="A55" i="11" s="1"/>
  <c r="A56" i="11" s="1"/>
  <c r="A57" i="11" s="1"/>
  <c r="A41" i="11"/>
  <c r="A42" i="11" s="1"/>
  <c r="A43" i="11" s="1"/>
  <c r="A44" i="11" s="1"/>
  <c r="A45" i="11" s="1"/>
  <c r="A46" i="11" s="1"/>
  <c r="A48" i="11" s="1"/>
  <c r="A49" i="11" s="1"/>
  <c r="A15" i="1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7" i="11"/>
  <c r="A8" i="11" s="1"/>
  <c r="A9" i="11" s="1"/>
  <c r="A10" i="11" s="1"/>
  <c r="A11" i="11" s="1"/>
  <c r="A12" i="11" s="1"/>
  <c r="A13" i="11" s="1"/>
  <c r="A14" i="11" s="1"/>
  <c r="N704" i="10" l="1"/>
  <c r="AI704" i="10" s="1"/>
  <c r="I706" i="10"/>
  <c r="I704" i="10" s="1"/>
  <c r="H924" i="11"/>
  <c r="M924" i="11" s="1"/>
  <c r="L946" i="11"/>
  <c r="M956" i="11"/>
  <c r="M1057" i="11"/>
  <c r="H22" i="10"/>
  <c r="N24" i="10"/>
  <c r="M24" i="10"/>
  <c r="M22" i="10" s="1"/>
  <c r="A1013" i="11"/>
  <c r="A1012" i="11"/>
  <c r="L925" i="11"/>
  <c r="L1007" i="11"/>
  <c r="M1104" i="11"/>
  <c r="M1107" i="11"/>
  <c r="M987" i="11"/>
  <c r="H1105" i="11"/>
  <c r="L1021" i="11"/>
  <c r="L947" i="11"/>
  <c r="L1069" i="11"/>
  <c r="L924" i="11"/>
  <c r="M1106" i="11"/>
  <c r="A922" i="11"/>
  <c r="A918" i="11"/>
  <c r="A919" i="11" s="1"/>
  <c r="A920" i="11" s="1"/>
  <c r="A921" i="11" s="1"/>
  <c r="A1102" i="11"/>
  <c r="A1103" i="11"/>
  <c r="A1027" i="11"/>
  <c r="A1028" i="11"/>
  <c r="A1034" i="11"/>
  <c r="A1040" i="11"/>
  <c r="W1207" i="11"/>
  <c r="N22" i="10" l="1"/>
  <c r="AI22" i="10" s="1"/>
  <c r="I24" i="10"/>
  <c r="I22" i="10" s="1"/>
  <c r="H923" i="11"/>
  <c r="M923" i="11" s="1"/>
  <c r="H5" i="41"/>
  <c r="G5" i="41"/>
  <c r="L923" i="11"/>
  <c r="L1105" i="11"/>
  <c r="M1105" i="11"/>
  <c r="H1909" i="10" l="1"/>
  <c r="H1907" i="10" l="1"/>
  <c r="N1909" i="10"/>
  <c r="M1909" i="10"/>
  <c r="H1416" i="10"/>
  <c r="U1325" i="10"/>
  <c r="U1323" i="10"/>
  <c r="X1323" i="10" s="1"/>
  <c r="U1322" i="10"/>
  <c r="X1322" i="10" s="1"/>
  <c r="U1320" i="10"/>
  <c r="H1147" i="10"/>
  <c r="H1103" i="10"/>
  <c r="N1907" i="10" l="1"/>
  <c r="I1909" i="10"/>
  <c r="I1907" i="10" s="1"/>
  <c r="U1312" i="10"/>
  <c r="U7" i="10"/>
  <c r="H13" i="41"/>
  <c r="G13" i="41"/>
  <c r="H1146" i="10"/>
  <c r="H1415" i="10"/>
  <c r="M1103" i="10"/>
  <c r="N1103" i="10"/>
  <c r="I1103" i="10" s="1"/>
  <c r="M1907" i="10"/>
  <c r="N1147" i="10"/>
  <c r="M1147" i="10"/>
  <c r="M1146" i="10" s="1"/>
  <c r="N1416" i="10"/>
  <c r="M1416" i="10"/>
  <c r="M1415" i="10" s="1"/>
  <c r="X1325" i="10"/>
  <c r="X1320" i="10"/>
  <c r="H1102" i="10"/>
  <c r="AI1907" i="10" l="1"/>
  <c r="N1415" i="10"/>
  <c r="AI1415" i="10" s="1"/>
  <c r="I1416" i="10"/>
  <c r="I1415" i="10" s="1"/>
  <c r="N1146" i="10"/>
  <c r="AI1146" i="10" s="1"/>
  <c r="I1147" i="10"/>
  <c r="I1146" i="10" s="1"/>
  <c r="X1312" i="10"/>
  <c r="AI1312" i="10" s="1"/>
  <c r="H126" i="41"/>
  <c r="G126" i="41"/>
  <c r="H1101" i="10"/>
  <c r="H53" i="41"/>
  <c r="G53" i="41"/>
  <c r="X7" i="10"/>
  <c r="H417" i="33" s="1"/>
  <c r="N1102" i="10"/>
  <c r="M1102" i="10"/>
  <c r="M1101" i="10" s="1"/>
  <c r="A9" i="10"/>
  <c r="A10" i="10" s="1"/>
  <c r="A11" i="10" s="1"/>
  <c r="A12" i="10" s="1"/>
  <c r="A13" i="10" s="1"/>
  <c r="A14" i="10" s="1"/>
  <c r="N1101" i="10" l="1"/>
  <c r="N7" i="10" s="1"/>
  <c r="I1102" i="10"/>
  <c r="I1101" i="10" s="1"/>
  <c r="I7" i="10" s="1"/>
  <c r="H60" i="41"/>
  <c r="G60" i="41"/>
  <c r="M7" i="10"/>
  <c r="AI1101" i="10" l="1"/>
  <c r="AI7" i="10" s="1"/>
  <c r="G144" i="41"/>
  <c r="G145" i="41" s="1"/>
  <c r="G146" i="41" s="1"/>
  <c r="H144" i="41"/>
  <c r="H145" i="41" s="1"/>
  <c r="H146" i="41" s="1"/>
  <c r="H7" i="10"/>
  <c r="B1" i="10"/>
  <c r="B4" i="10" s="1"/>
  <c r="H2427" i="105"/>
  <c r="H7" i="105"/>
  <c r="B1" i="105"/>
  <c r="B4" i="105"/>
</calcChain>
</file>

<file path=xl/comments1.xml><?xml version="1.0" encoding="utf-8"?>
<comments xmlns="http://schemas.openxmlformats.org/spreadsheetml/2006/main">
  <authors>
    <author>PC</author>
  </authors>
  <commentList>
    <comment ref="U17" authorId="0" shapeId="0">
      <text>
        <r>
          <rPr>
            <b/>
            <sz val="9"/>
            <color indexed="81"/>
            <rFont val="Tahoma"/>
            <family val="2"/>
          </rPr>
          <t>PC:</t>
        </r>
        <r>
          <rPr>
            <sz val="9"/>
            <color indexed="81"/>
            <rFont val="Tahoma"/>
            <family val="2"/>
          </rPr>
          <t xml:space="preserve">
xin ý kiến Hội đồng BT phần ảnh hưởng</t>
        </r>
      </text>
    </comment>
    <comment ref="U18" authorId="0" shapeId="0">
      <text>
        <r>
          <rPr>
            <b/>
            <sz val="9"/>
            <color indexed="81"/>
            <rFont val="Tahoma"/>
            <family val="2"/>
          </rPr>
          <t>PC:</t>
        </r>
        <r>
          <rPr>
            <sz val="9"/>
            <color indexed="81"/>
            <rFont val="Tahoma"/>
            <family val="2"/>
          </rPr>
          <t xml:space="preserve">
Xin ý kiến hội đồng BT phần ảnh hưởng</t>
        </r>
      </text>
    </comment>
    <comment ref="R471" authorId="0" shapeId="0">
      <text>
        <r>
          <rPr>
            <b/>
            <sz val="9"/>
            <color indexed="81"/>
            <rFont val="Tahoma"/>
            <family val="2"/>
          </rPr>
          <t>PC:</t>
        </r>
        <r>
          <rPr>
            <sz val="9"/>
            <color indexed="81"/>
            <rFont val="Tahoma"/>
            <family val="2"/>
          </rPr>
          <t xml:space="preserve">
HR B10 HR 17</t>
        </r>
      </text>
    </comment>
    <comment ref="U676" authorId="0" shapeId="0">
      <text>
        <r>
          <rPr>
            <b/>
            <sz val="9"/>
            <color indexed="81"/>
            <rFont val="Tahoma"/>
            <family val="2"/>
          </rPr>
          <t>PC:</t>
        </r>
        <r>
          <rPr>
            <sz val="9"/>
            <color indexed="81"/>
            <rFont val="Tahoma"/>
            <family val="2"/>
          </rPr>
          <t xml:space="preserve">
Xin ý kiến</t>
        </r>
      </text>
    </comment>
    <comment ref="U677" authorId="0" shapeId="0">
      <text>
        <r>
          <rPr>
            <b/>
            <sz val="9"/>
            <color indexed="81"/>
            <rFont val="Tahoma"/>
            <family val="2"/>
          </rPr>
          <t>PC:</t>
        </r>
        <r>
          <rPr>
            <sz val="9"/>
            <color indexed="81"/>
            <rFont val="Tahoma"/>
            <family val="2"/>
          </rPr>
          <t xml:space="preserve">
Xin ý kiến</t>
        </r>
      </text>
    </comment>
    <comment ref="C980" authorId="0" shapeId="0">
      <text>
        <r>
          <rPr>
            <b/>
            <sz val="9"/>
            <color indexed="81"/>
            <rFont val="Tahoma"/>
            <family val="2"/>
          </rPr>
          <t>PC:</t>
        </r>
        <r>
          <rPr>
            <sz val="9"/>
            <color indexed="81"/>
            <rFont val="Tahoma"/>
            <family val="2"/>
          </rPr>
          <t xml:space="preserve">
chưa mẫu 7</t>
        </r>
      </text>
    </comment>
    <comment ref="C1001" authorId="0" shapeId="0">
      <text>
        <r>
          <rPr>
            <b/>
            <sz val="9"/>
            <color indexed="81"/>
            <rFont val="Tahoma"/>
            <family val="2"/>
          </rPr>
          <t>PC:</t>
        </r>
        <r>
          <rPr>
            <sz val="9"/>
            <color indexed="81"/>
            <rFont val="Tahoma"/>
            <family val="2"/>
          </rPr>
          <t xml:space="preserve">
mẫu 8 đưa chủ hộ chưa thu về</t>
        </r>
      </text>
    </comment>
    <comment ref="C1029" authorId="0" shapeId="0">
      <text>
        <r>
          <rPr>
            <b/>
            <sz val="9"/>
            <color indexed="81"/>
            <rFont val="Tahoma"/>
            <family val="2"/>
          </rPr>
          <t>PC:</t>
        </r>
        <r>
          <rPr>
            <sz val="9"/>
            <color indexed="81"/>
            <rFont val="Tahoma"/>
            <family val="2"/>
          </rPr>
          <t xml:space="preserve">
gửi hộ chưa thu hô về mẫu 8</t>
        </r>
      </text>
    </comment>
    <comment ref="C1035" authorId="0" shapeId="0">
      <text>
        <r>
          <rPr>
            <b/>
            <sz val="9"/>
            <color indexed="81"/>
            <rFont val="Tahoma"/>
            <family val="2"/>
          </rPr>
          <t>PC:</t>
        </r>
        <r>
          <rPr>
            <sz val="9"/>
            <color indexed="81"/>
            <rFont val="Tahoma"/>
            <family val="2"/>
          </rPr>
          <t xml:space="preserve">
gửi hộ chưa thu hô về mẫu 8</t>
        </r>
      </text>
    </comment>
    <comment ref="C1057" authorId="0" shapeId="0">
      <text>
        <r>
          <rPr>
            <b/>
            <sz val="9"/>
            <color indexed="81"/>
            <rFont val="Tahoma"/>
            <family val="2"/>
          </rPr>
          <t>PC:</t>
        </r>
        <r>
          <rPr>
            <sz val="9"/>
            <color indexed="81"/>
            <rFont val="Tahoma"/>
            <family val="2"/>
          </rPr>
          <t xml:space="preserve">
gửi hộ chưa thu hô về mẫu 8</t>
        </r>
      </text>
    </comment>
    <comment ref="T1221" authorId="0" shapeId="0">
      <text>
        <r>
          <rPr>
            <b/>
            <sz val="9"/>
            <color indexed="81"/>
            <rFont val="Tahoma"/>
            <family val="2"/>
          </rPr>
          <t>PC:</t>
        </r>
        <r>
          <rPr>
            <sz val="9"/>
            <color indexed="81"/>
            <rFont val="Tahoma"/>
            <family val="2"/>
          </rPr>
          <t xml:space="preserve">
Tách từ KO mái theo ND thẩm định nội nghiệp
</t>
        </r>
      </text>
    </comment>
    <comment ref="T1226" authorId="0" shapeId="0">
      <text>
        <r>
          <rPr>
            <b/>
            <sz val="9"/>
            <color indexed="81"/>
            <rFont val="Tahoma"/>
            <family val="2"/>
          </rPr>
          <t>PC:</t>
        </r>
        <r>
          <rPr>
            <sz val="9"/>
            <color indexed="81"/>
            <rFont val="Tahoma"/>
            <family val="2"/>
          </rPr>
          <t xml:space="preserve">
khấu trừ % cấp nhà</t>
        </r>
      </text>
    </comment>
    <comment ref="T1227" authorId="0" shapeId="0">
      <text>
        <r>
          <rPr>
            <b/>
            <sz val="9"/>
            <color indexed="81"/>
            <rFont val="Tahoma"/>
            <family val="2"/>
          </rPr>
          <t>PC:</t>
        </r>
        <r>
          <rPr>
            <sz val="9"/>
            <color indexed="81"/>
            <rFont val="Tahoma"/>
            <family val="2"/>
          </rPr>
          <t xml:space="preserve">
khấu trừ % cấp nhà</t>
        </r>
      </text>
    </comment>
  </commentList>
</comments>
</file>

<file path=xl/comments2.xml><?xml version="1.0" encoding="utf-8"?>
<comments xmlns="http://schemas.openxmlformats.org/spreadsheetml/2006/main">
  <authors>
    <author>Dell</author>
    <author>PC</author>
  </authors>
  <commentList>
    <comment ref="B4" authorId="0" shapeId="0">
      <text>
        <r>
          <rPr>
            <b/>
            <sz val="9"/>
            <color indexed="81"/>
            <rFont val="Tahoma"/>
            <family val="2"/>
          </rPr>
          <t>Dell:</t>
        </r>
        <r>
          <rPr>
            <sz val="9"/>
            <color indexed="81"/>
            <rFont val="Tahoma"/>
            <family val="2"/>
          </rPr>
          <t xml:space="preserve">
SO LIEU CHỊ THUY CAP
</t>
        </r>
      </text>
    </comment>
    <comment ref="U11" authorId="1" shapeId="0">
      <text>
        <r>
          <rPr>
            <b/>
            <sz val="9"/>
            <color indexed="81"/>
            <rFont val="Tahoma"/>
            <family val="2"/>
          </rPr>
          <t>PC:</t>
        </r>
        <r>
          <rPr>
            <sz val="9"/>
            <color indexed="81"/>
            <rFont val="Tahoma"/>
            <family val="2"/>
          </rPr>
          <t xml:space="preserve">
xin ý kiến Hội đồng BT phần ảnh hưởng</t>
        </r>
      </text>
    </comment>
    <comment ref="U12" authorId="1" shapeId="0">
      <text>
        <r>
          <rPr>
            <b/>
            <sz val="9"/>
            <color indexed="81"/>
            <rFont val="Tahoma"/>
            <family val="2"/>
          </rPr>
          <t>PC:</t>
        </r>
        <r>
          <rPr>
            <sz val="9"/>
            <color indexed="81"/>
            <rFont val="Tahoma"/>
            <family val="2"/>
          </rPr>
          <t xml:space="preserve">
Xin ý kiến hội đồng BT phần ảnh hưởng</t>
        </r>
      </text>
    </comment>
    <comment ref="R598" authorId="1" shapeId="0">
      <text>
        <r>
          <rPr>
            <b/>
            <sz val="9"/>
            <color indexed="81"/>
            <rFont val="Tahoma"/>
            <family val="2"/>
          </rPr>
          <t>PC:</t>
        </r>
        <r>
          <rPr>
            <sz val="9"/>
            <color indexed="81"/>
            <rFont val="Tahoma"/>
            <family val="2"/>
          </rPr>
          <t xml:space="preserve">
HR B10 HR 17</t>
        </r>
      </text>
    </comment>
    <comment ref="U815" authorId="1" shapeId="0">
      <text>
        <r>
          <rPr>
            <b/>
            <sz val="9"/>
            <color indexed="81"/>
            <rFont val="Tahoma"/>
            <family val="2"/>
          </rPr>
          <t>PC:</t>
        </r>
        <r>
          <rPr>
            <sz val="9"/>
            <color indexed="81"/>
            <rFont val="Tahoma"/>
            <family val="2"/>
          </rPr>
          <t xml:space="preserve">
Xin ý kiến</t>
        </r>
      </text>
    </comment>
    <comment ref="U816" authorId="1" shapeId="0">
      <text>
        <r>
          <rPr>
            <b/>
            <sz val="9"/>
            <color indexed="81"/>
            <rFont val="Tahoma"/>
            <family val="2"/>
          </rPr>
          <t>PC:</t>
        </r>
        <r>
          <rPr>
            <sz val="9"/>
            <color indexed="81"/>
            <rFont val="Tahoma"/>
            <family val="2"/>
          </rPr>
          <t xml:space="preserve">
Xin ý kiến</t>
        </r>
      </text>
    </comment>
    <comment ref="G1155" authorId="0" shapeId="0">
      <text>
        <r>
          <rPr>
            <b/>
            <sz val="9"/>
            <color indexed="81"/>
            <rFont val="Tahoma"/>
            <family val="2"/>
          </rPr>
          <t>Dell:</t>
        </r>
        <r>
          <rPr>
            <sz val="9"/>
            <color indexed="81"/>
            <rFont val="Tahoma"/>
            <family val="2"/>
          </rPr>
          <t xml:space="preserve">
chỉnh tăng 0,2 so với mẫu 05
</t>
        </r>
      </text>
    </comment>
    <comment ref="G1207" authorId="0" shapeId="0">
      <text>
        <r>
          <rPr>
            <b/>
            <sz val="9"/>
            <color indexed="81"/>
            <rFont val="Tahoma"/>
            <family val="2"/>
          </rPr>
          <t>Dell:</t>
        </r>
        <r>
          <rPr>
            <sz val="9"/>
            <color indexed="81"/>
            <rFont val="Tahoma"/>
            <family val="2"/>
          </rPr>
          <t xml:space="preserve">
A Thông chỉnh số liệu</t>
        </r>
      </text>
    </comment>
    <comment ref="G1214" authorId="0" shapeId="0">
      <text>
        <r>
          <rPr>
            <b/>
            <sz val="9"/>
            <color indexed="81"/>
            <rFont val="Tahoma"/>
            <family val="2"/>
          </rPr>
          <t>Dell:</t>
        </r>
        <r>
          <rPr>
            <sz val="9"/>
            <color indexed="81"/>
            <rFont val="Tahoma"/>
            <family val="2"/>
          </rPr>
          <t xml:space="preserve">
A Thông đề nghị chỉnh số liệu</t>
        </r>
      </text>
    </comment>
    <comment ref="M1935" authorId="1" shapeId="0">
      <text>
        <r>
          <rPr>
            <b/>
            <sz val="9"/>
            <color indexed="81"/>
            <rFont val="Tahoma"/>
            <family val="2"/>
          </rPr>
          <t>PC:</t>
        </r>
        <r>
          <rPr>
            <sz val="9"/>
            <color indexed="81"/>
            <rFont val="Tahoma"/>
            <family val="2"/>
          </rPr>
          <t xml:space="preserve">
B chỉnh C</t>
        </r>
      </text>
    </comment>
    <comment ref="M2100" authorId="1" shapeId="0">
      <text>
        <r>
          <rPr>
            <b/>
            <sz val="9"/>
            <color indexed="81"/>
            <rFont val="Tahoma"/>
            <family val="2"/>
          </rPr>
          <t>PC:</t>
        </r>
        <r>
          <rPr>
            <sz val="9"/>
            <color indexed="81"/>
            <rFont val="Tahoma"/>
            <family val="2"/>
          </rPr>
          <t xml:space="preserve">
Điều chỉnh mẫu 10 tù B thành Đ
</t>
        </r>
      </text>
    </comment>
    <comment ref="M2101" authorId="1" shapeId="0">
      <text>
        <r>
          <rPr>
            <b/>
            <sz val="9"/>
            <color indexed="81"/>
            <rFont val="Tahoma"/>
            <family val="2"/>
          </rPr>
          <t>PC:</t>
        </r>
        <r>
          <rPr>
            <sz val="9"/>
            <color indexed="81"/>
            <rFont val="Tahoma"/>
            <family val="2"/>
          </rPr>
          <t xml:space="preserve">
D thành G</t>
        </r>
      </text>
    </comment>
  </commentList>
</comments>
</file>

<file path=xl/comments3.xml><?xml version="1.0" encoding="utf-8"?>
<comments xmlns="http://schemas.openxmlformats.org/spreadsheetml/2006/main">
  <authors>
    <author>Dell</author>
    <author>PC</author>
  </authors>
  <commentList>
    <comment ref="C4" authorId="0" shapeId="0">
      <text>
        <r>
          <rPr>
            <b/>
            <sz val="9"/>
            <color indexed="81"/>
            <rFont val="Tahoma"/>
            <family val="2"/>
          </rPr>
          <t>Dell:</t>
        </r>
        <r>
          <rPr>
            <sz val="9"/>
            <color indexed="81"/>
            <rFont val="Tahoma"/>
            <family val="2"/>
          </rPr>
          <t xml:space="preserve">
SO LIEU CHỊ THUY CAP
</t>
        </r>
      </text>
    </comment>
    <comment ref="V25" authorId="1" shapeId="0">
      <text>
        <r>
          <rPr>
            <b/>
            <sz val="9"/>
            <color indexed="81"/>
            <rFont val="Tahoma"/>
            <family val="2"/>
          </rPr>
          <t>PC:</t>
        </r>
        <r>
          <rPr>
            <sz val="9"/>
            <color indexed="81"/>
            <rFont val="Tahoma"/>
            <family val="2"/>
          </rPr>
          <t xml:space="preserve">
xin ý kiến Hội đồng BT phần ảnh hưởng</t>
        </r>
      </text>
    </comment>
    <comment ref="V26" authorId="1" shapeId="0">
      <text>
        <r>
          <rPr>
            <b/>
            <sz val="9"/>
            <color indexed="81"/>
            <rFont val="Tahoma"/>
            <family val="2"/>
          </rPr>
          <t>PC:</t>
        </r>
        <r>
          <rPr>
            <sz val="9"/>
            <color indexed="81"/>
            <rFont val="Tahoma"/>
            <family val="2"/>
          </rPr>
          <t xml:space="preserve">
Xin ý kiến hội đồng BT phần ảnh hưởng</t>
        </r>
      </text>
    </comment>
    <comment ref="S598" authorId="1" shapeId="0">
      <text>
        <r>
          <rPr>
            <b/>
            <sz val="9"/>
            <color indexed="81"/>
            <rFont val="Tahoma"/>
            <family val="2"/>
          </rPr>
          <t>PC:</t>
        </r>
        <r>
          <rPr>
            <sz val="9"/>
            <color indexed="81"/>
            <rFont val="Tahoma"/>
            <family val="2"/>
          </rPr>
          <t xml:space="preserve">
HR B10 HR 17</t>
        </r>
      </text>
    </comment>
    <comment ref="V815" authorId="1" shapeId="0">
      <text>
        <r>
          <rPr>
            <b/>
            <sz val="9"/>
            <color indexed="81"/>
            <rFont val="Tahoma"/>
            <family val="2"/>
          </rPr>
          <t>PC:</t>
        </r>
        <r>
          <rPr>
            <sz val="9"/>
            <color indexed="81"/>
            <rFont val="Tahoma"/>
            <family val="2"/>
          </rPr>
          <t xml:space="preserve">
Xin ý kiến</t>
        </r>
      </text>
    </comment>
    <comment ref="V816" authorId="1" shapeId="0">
      <text>
        <r>
          <rPr>
            <b/>
            <sz val="9"/>
            <color indexed="81"/>
            <rFont val="Tahoma"/>
            <family val="2"/>
          </rPr>
          <t>PC:</t>
        </r>
        <r>
          <rPr>
            <sz val="9"/>
            <color indexed="81"/>
            <rFont val="Tahoma"/>
            <family val="2"/>
          </rPr>
          <t xml:space="preserve">
Xin ý kiến</t>
        </r>
      </text>
    </comment>
    <comment ref="H1155" authorId="0" shapeId="0">
      <text>
        <r>
          <rPr>
            <b/>
            <sz val="9"/>
            <color indexed="81"/>
            <rFont val="Tahoma"/>
            <family val="2"/>
          </rPr>
          <t>Dell:</t>
        </r>
        <r>
          <rPr>
            <sz val="9"/>
            <color indexed="81"/>
            <rFont val="Tahoma"/>
            <family val="2"/>
          </rPr>
          <t xml:space="preserve">
chỉnh tăng 0,2 so với mẫu 05
</t>
        </r>
      </text>
    </comment>
    <comment ref="H1207" authorId="0" shapeId="0">
      <text>
        <r>
          <rPr>
            <b/>
            <sz val="9"/>
            <color indexed="81"/>
            <rFont val="Tahoma"/>
            <family val="2"/>
          </rPr>
          <t>Dell:</t>
        </r>
        <r>
          <rPr>
            <sz val="9"/>
            <color indexed="81"/>
            <rFont val="Tahoma"/>
            <family val="2"/>
          </rPr>
          <t xml:space="preserve">
A Thông chỉnh số liệu</t>
        </r>
      </text>
    </comment>
    <comment ref="H1214" authorId="0" shapeId="0">
      <text>
        <r>
          <rPr>
            <b/>
            <sz val="9"/>
            <color indexed="81"/>
            <rFont val="Tahoma"/>
            <family val="2"/>
          </rPr>
          <t>Dell:</t>
        </r>
        <r>
          <rPr>
            <sz val="9"/>
            <color indexed="81"/>
            <rFont val="Tahoma"/>
            <family val="2"/>
          </rPr>
          <t xml:space="preserve">
A Thông đề nghị chỉnh số liệu</t>
        </r>
      </text>
    </comment>
    <comment ref="G1677"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1909"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O1935" authorId="1" shapeId="0">
      <text>
        <r>
          <rPr>
            <b/>
            <sz val="9"/>
            <color indexed="81"/>
            <rFont val="Tahoma"/>
            <family val="2"/>
          </rPr>
          <t>PC:</t>
        </r>
        <r>
          <rPr>
            <sz val="9"/>
            <color indexed="81"/>
            <rFont val="Tahoma"/>
            <family val="2"/>
          </rPr>
          <t xml:space="preserve">
B chỉnh C</t>
        </r>
      </text>
    </comment>
    <comment ref="G1960"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046"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O2100" authorId="1" shapeId="0">
      <text>
        <r>
          <rPr>
            <b/>
            <sz val="9"/>
            <color indexed="81"/>
            <rFont val="Tahoma"/>
            <family val="2"/>
          </rPr>
          <t>PC:</t>
        </r>
        <r>
          <rPr>
            <sz val="9"/>
            <color indexed="81"/>
            <rFont val="Tahoma"/>
            <family val="2"/>
          </rPr>
          <t xml:space="preserve">
Điều chỉnh mẫu 10 tù B thành Đ
</t>
        </r>
      </text>
    </comment>
    <comment ref="O2101" authorId="1" shapeId="0">
      <text>
        <r>
          <rPr>
            <b/>
            <sz val="9"/>
            <color indexed="81"/>
            <rFont val="Tahoma"/>
            <family val="2"/>
          </rPr>
          <t>PC:</t>
        </r>
        <r>
          <rPr>
            <sz val="9"/>
            <color indexed="81"/>
            <rFont val="Tahoma"/>
            <family val="2"/>
          </rPr>
          <t xml:space="preserve">
D thành G</t>
        </r>
      </text>
    </comment>
    <comment ref="G2282"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347"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364"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423"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List>
</comments>
</file>

<file path=xl/comments4.xml><?xml version="1.0" encoding="utf-8"?>
<comments xmlns="http://schemas.openxmlformats.org/spreadsheetml/2006/main">
  <authors>
    <author>Dell</author>
    <author>PC</author>
  </authors>
  <commentList>
    <comment ref="C4" authorId="0" shapeId="0">
      <text>
        <r>
          <rPr>
            <b/>
            <sz val="9"/>
            <color indexed="81"/>
            <rFont val="Tahoma"/>
            <family val="2"/>
          </rPr>
          <t>Dell:</t>
        </r>
        <r>
          <rPr>
            <sz val="9"/>
            <color indexed="81"/>
            <rFont val="Tahoma"/>
            <family val="2"/>
          </rPr>
          <t xml:space="preserve">
SO LIEU CHỊ THUY CAP
</t>
        </r>
      </text>
    </comment>
    <comment ref="V25" authorId="1" shapeId="0">
      <text>
        <r>
          <rPr>
            <b/>
            <sz val="9"/>
            <color indexed="81"/>
            <rFont val="Tahoma"/>
            <family val="2"/>
          </rPr>
          <t>PC:</t>
        </r>
        <r>
          <rPr>
            <sz val="9"/>
            <color indexed="81"/>
            <rFont val="Tahoma"/>
            <family val="2"/>
          </rPr>
          <t xml:space="preserve">
xin ý kiến Hội đồng BT phần ảnh hưởng</t>
        </r>
      </text>
    </comment>
    <comment ref="V26" authorId="1" shapeId="0">
      <text>
        <r>
          <rPr>
            <b/>
            <sz val="9"/>
            <color indexed="81"/>
            <rFont val="Tahoma"/>
            <family val="2"/>
          </rPr>
          <t>PC:</t>
        </r>
        <r>
          <rPr>
            <sz val="9"/>
            <color indexed="81"/>
            <rFont val="Tahoma"/>
            <family val="2"/>
          </rPr>
          <t xml:space="preserve">
Xin ý kiến hội đồng BT phần ảnh hưởng</t>
        </r>
      </text>
    </comment>
    <comment ref="S598" authorId="1" shapeId="0">
      <text>
        <r>
          <rPr>
            <b/>
            <sz val="9"/>
            <color indexed="81"/>
            <rFont val="Tahoma"/>
            <family val="2"/>
          </rPr>
          <t>PC:</t>
        </r>
        <r>
          <rPr>
            <sz val="9"/>
            <color indexed="81"/>
            <rFont val="Tahoma"/>
            <family val="2"/>
          </rPr>
          <t xml:space="preserve">
HR B10 HR 17</t>
        </r>
      </text>
    </comment>
    <comment ref="V815" authorId="1" shapeId="0">
      <text>
        <r>
          <rPr>
            <b/>
            <sz val="9"/>
            <color indexed="81"/>
            <rFont val="Tahoma"/>
            <family val="2"/>
          </rPr>
          <t>PC:</t>
        </r>
        <r>
          <rPr>
            <sz val="9"/>
            <color indexed="81"/>
            <rFont val="Tahoma"/>
            <family val="2"/>
          </rPr>
          <t xml:space="preserve">
Xin ý kiến</t>
        </r>
      </text>
    </comment>
    <comment ref="V816" authorId="1" shapeId="0">
      <text>
        <r>
          <rPr>
            <b/>
            <sz val="9"/>
            <color indexed="81"/>
            <rFont val="Tahoma"/>
            <family val="2"/>
          </rPr>
          <t>PC:</t>
        </r>
        <r>
          <rPr>
            <sz val="9"/>
            <color indexed="81"/>
            <rFont val="Tahoma"/>
            <family val="2"/>
          </rPr>
          <t xml:space="preserve">
Xin ý kiến</t>
        </r>
      </text>
    </comment>
    <comment ref="H1155" authorId="0" shapeId="0">
      <text>
        <r>
          <rPr>
            <b/>
            <sz val="9"/>
            <color indexed="81"/>
            <rFont val="Tahoma"/>
            <family val="2"/>
          </rPr>
          <t>Dell:</t>
        </r>
        <r>
          <rPr>
            <sz val="9"/>
            <color indexed="81"/>
            <rFont val="Tahoma"/>
            <family val="2"/>
          </rPr>
          <t xml:space="preserve">
chỉnh tăng 0,2 so với mẫu 05
</t>
        </r>
      </text>
    </comment>
    <comment ref="H1207" authorId="0" shapeId="0">
      <text>
        <r>
          <rPr>
            <b/>
            <sz val="9"/>
            <color indexed="81"/>
            <rFont val="Tahoma"/>
            <family val="2"/>
          </rPr>
          <t>Dell:</t>
        </r>
        <r>
          <rPr>
            <sz val="9"/>
            <color indexed="81"/>
            <rFont val="Tahoma"/>
            <family val="2"/>
          </rPr>
          <t xml:space="preserve">
A Thông chỉnh số liệu</t>
        </r>
      </text>
    </comment>
    <comment ref="H1214" authorId="0" shapeId="0">
      <text>
        <r>
          <rPr>
            <b/>
            <sz val="9"/>
            <color indexed="81"/>
            <rFont val="Tahoma"/>
            <family val="2"/>
          </rPr>
          <t>Dell:</t>
        </r>
        <r>
          <rPr>
            <sz val="9"/>
            <color indexed="81"/>
            <rFont val="Tahoma"/>
            <family val="2"/>
          </rPr>
          <t xml:space="preserve">
A Thông đề nghị chỉnh số liệu</t>
        </r>
      </text>
    </comment>
    <comment ref="G1677"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1909"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O1935" authorId="1" shapeId="0">
      <text>
        <r>
          <rPr>
            <b/>
            <sz val="9"/>
            <color indexed="81"/>
            <rFont val="Tahoma"/>
            <family val="2"/>
          </rPr>
          <t>PC:</t>
        </r>
        <r>
          <rPr>
            <sz val="9"/>
            <color indexed="81"/>
            <rFont val="Tahoma"/>
            <family val="2"/>
          </rPr>
          <t xml:space="preserve">
B chỉnh C</t>
        </r>
      </text>
    </comment>
    <comment ref="G1960"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046"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O2100" authorId="1" shapeId="0">
      <text>
        <r>
          <rPr>
            <b/>
            <sz val="9"/>
            <color indexed="81"/>
            <rFont val="Tahoma"/>
            <family val="2"/>
          </rPr>
          <t>PC:</t>
        </r>
        <r>
          <rPr>
            <sz val="9"/>
            <color indexed="81"/>
            <rFont val="Tahoma"/>
            <family val="2"/>
          </rPr>
          <t xml:space="preserve">
Điều chỉnh mẫu 10 tù B thành Đ
</t>
        </r>
      </text>
    </comment>
    <comment ref="O2101" authorId="1" shapeId="0">
      <text>
        <r>
          <rPr>
            <b/>
            <sz val="9"/>
            <color indexed="81"/>
            <rFont val="Tahoma"/>
            <family val="2"/>
          </rPr>
          <t>PC:</t>
        </r>
        <r>
          <rPr>
            <sz val="9"/>
            <color indexed="81"/>
            <rFont val="Tahoma"/>
            <family val="2"/>
          </rPr>
          <t xml:space="preserve">
D thành G</t>
        </r>
      </text>
    </comment>
    <comment ref="G2282"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347"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364"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 ref="G2423" authorId="1" shapeId="0">
      <text>
        <r>
          <rPr>
            <b/>
            <sz val="9"/>
            <color indexed="81"/>
            <rFont val="Tahoma"/>
            <family val="2"/>
          </rPr>
          <t>PC:</t>
        </r>
        <r>
          <rPr>
            <sz val="9"/>
            <color indexed="81"/>
            <rFont val="Tahoma"/>
            <family val="2"/>
          </rPr>
          <t xml:space="preserve">
Lãnh đạo phòng và cán bộ đo đạc đề nghị chỉnh về đường N.T.Trực</t>
        </r>
      </text>
    </comment>
  </commentList>
</comments>
</file>

<file path=xl/comments5.xml><?xml version="1.0" encoding="utf-8"?>
<comments xmlns="http://schemas.openxmlformats.org/spreadsheetml/2006/main">
  <authors>
    <author>PC</author>
  </authors>
  <commentList>
    <comment ref="A215" authorId="0" shapeId="0">
      <text>
        <r>
          <rPr>
            <b/>
            <sz val="9"/>
            <color indexed="81"/>
            <rFont val="Tahoma"/>
            <family val="2"/>
          </rPr>
          <t>PC: Nhóm A Hòa chỉnh B10 từ Chân thành Trôm G như dã nghiệp</t>
        </r>
      </text>
    </comment>
  </commentList>
</comments>
</file>

<file path=xl/sharedStrings.xml><?xml version="1.0" encoding="utf-8"?>
<sst xmlns="http://schemas.openxmlformats.org/spreadsheetml/2006/main" count="44430" uniqueCount="2959">
  <si>
    <t>Họ và Tên</t>
  </si>
  <si>
    <t>Đất đai</t>
  </si>
  <si>
    <t>Cây trồng</t>
  </si>
  <si>
    <t>Vật kiến trúc</t>
  </si>
  <si>
    <t>Tổng</t>
  </si>
  <si>
    <t>a</t>
  </si>
  <si>
    <t>Loại đất</t>
  </si>
  <si>
    <t>DT</t>
  </si>
  <si>
    <t>AH</t>
  </si>
  <si>
    <t>Đ.giá BT</t>
  </si>
  <si>
    <t>Đ.giá HT</t>
  </si>
  <si>
    <t>T.tiền BT</t>
  </si>
  <si>
    <t>T.tiền HT</t>
  </si>
  <si>
    <t>Loại cây</t>
  </si>
  <si>
    <t>SL</t>
  </si>
  <si>
    <t>Đ.giá</t>
  </si>
  <si>
    <t>T.tiền</t>
  </si>
  <si>
    <t>Hạng mục</t>
  </si>
  <si>
    <t>DV</t>
  </si>
  <si>
    <t>Móng</t>
  </si>
  <si>
    <t>Mái</t>
  </si>
  <si>
    <t>Nền</t>
  </si>
  <si>
    <t>Vách</t>
  </si>
  <si>
    <t>Cột</t>
  </si>
  <si>
    <t>Trần</t>
  </si>
  <si>
    <t xml:space="preserve"> </t>
  </si>
  <si>
    <t>Trần Thị Minh Châu</t>
  </si>
  <si>
    <t>Nguyễn Thị Hương</t>
  </si>
  <si>
    <t>Phạm Thị Lâm</t>
  </si>
  <si>
    <t>Huỳnh Thanh Tùng</t>
  </si>
  <si>
    <t>Quách Ngọc Chính</t>
  </si>
  <si>
    <t>Hà Văn Hoàng Sang</t>
  </si>
  <si>
    <t>Trần Hải Anh</t>
  </si>
  <si>
    <t>Đặng Thị Ngọc Diệu</t>
  </si>
  <si>
    <t>Dương Văn Hòa</t>
  </si>
  <si>
    <t>Nguyễn Thị Thu</t>
  </si>
  <si>
    <t>Đỗ Minh Tuấn</t>
  </si>
  <si>
    <t>Phạm Thị Tơ</t>
  </si>
  <si>
    <t>Nguyễn Trung Giang</t>
  </si>
  <si>
    <t>Trần Văn Toán</t>
  </si>
  <si>
    <t>Lê Tấn Phát</t>
  </si>
  <si>
    <t>Phạm Hoàng Phương</t>
  </si>
  <si>
    <t>Mã Thị Quyến</t>
  </si>
  <si>
    <t>Huỳnh Tú Phượng</t>
  </si>
  <si>
    <t>Nguyễn Kinh Kiều</t>
  </si>
  <si>
    <t>Vũ Đình Thiệp</t>
  </si>
  <si>
    <t>Cái Việt Bình</t>
  </si>
  <si>
    <t>Nguyễn Văn Điểm</t>
  </si>
  <si>
    <t>Huỳnh Mỹ Hạnh</t>
  </si>
  <si>
    <t>Đỗ Huỳnh Ngọc Bích</t>
  </si>
  <si>
    <t>Thái Viết Tùng</t>
  </si>
  <si>
    <t>1974 - 0910 7400 2275</t>
  </si>
  <si>
    <t>Nhà C4.05</t>
  </si>
  <si>
    <t>m²</t>
  </si>
  <si>
    <t>Gạch</t>
  </si>
  <si>
    <t>Tolv</t>
  </si>
  <si>
    <t>G.men</t>
  </si>
  <si>
    <t>Tường</t>
  </si>
  <si>
    <t>Lima</t>
  </si>
  <si>
    <t>Hộ Ông Quách Ngọc Nghé</t>
  </si>
  <si>
    <t>1943 - 0910 4300 2669</t>
  </si>
  <si>
    <t>Dừa A</t>
  </si>
  <si>
    <t>Nhà C2.01</t>
  </si>
  <si>
    <t>Btct</t>
  </si>
  <si>
    <t>Dừa B</t>
  </si>
  <si>
    <t>NTC.02</t>
  </si>
  <si>
    <t>Sắt</t>
  </si>
  <si>
    <t>Dừa C</t>
  </si>
  <si>
    <t>Sân xi măng SN.01</t>
  </si>
  <si>
    <t>Dừa D</t>
  </si>
  <si>
    <t>Mít B</t>
  </si>
  <si>
    <t>Nền gạch men</t>
  </si>
  <si>
    <t>Chuối A</t>
  </si>
  <si>
    <t>Chuối B</t>
  </si>
  <si>
    <t>WC+ Tắm (trong nhà) xí bệt, dán gạch men WC.01</t>
  </si>
  <si>
    <t>Chuối C</t>
  </si>
  <si>
    <t>Đu đủ C</t>
  </si>
  <si>
    <t>Xoài B</t>
  </si>
  <si>
    <t>m³</t>
  </si>
  <si>
    <t>Xoài C</t>
  </si>
  <si>
    <t>Xoài D</t>
  </si>
  <si>
    <t>Chuồng gà</t>
  </si>
  <si>
    <t>đất</t>
  </si>
  <si>
    <t>lưới B40</t>
  </si>
  <si>
    <t>Hạnh B</t>
  </si>
  <si>
    <t>Ngói</t>
  </si>
  <si>
    <t>Lưới B40</t>
  </si>
  <si>
    <t>Đất</t>
  </si>
  <si>
    <t>Gỗ&lt;10</t>
  </si>
  <si>
    <t>Chanh C</t>
  </si>
  <si>
    <t>Tol giả ngói</t>
  </si>
  <si>
    <t>Chanh D</t>
  </si>
  <si>
    <t>WC (Tầng 1) xí bệt, dán gạch men WC.01</t>
  </si>
  <si>
    <t>cái</t>
  </si>
  <si>
    <t>Quách Thị Thủy (GCN Hộ Ông Quách Ngọc Nghé)</t>
  </si>
  <si>
    <t>1968 - 0911 6800 5041</t>
  </si>
  <si>
    <t>Nhà C3.05</t>
  </si>
  <si>
    <t>Quách Ngọc Dũng (GCN Hộ Ông Quách Ngọc Nghé)</t>
  </si>
  <si>
    <t>1970 - 0910 7000 8356</t>
  </si>
  <si>
    <t>Nguyễn Ngọc Trung (GCN Quách Thị Tuyết Mai; Nguyễn Ngọc Trường)</t>
  </si>
  <si>
    <t>1972 - 0910 7202 1433</t>
  </si>
  <si>
    <t>m</t>
  </si>
  <si>
    <t>Nguyễn Thị Tuyết Loan (GCN Quách Thị Tuyết Mai; Nguyễn Ngọc Trường)</t>
  </si>
  <si>
    <t>1981 - 0911 8101 6007</t>
  </si>
  <si>
    <t>Nguyễn Ngọc Hiếu (GCN Quách Thị Tuyết Mai; Nguyễn Ngọc Trường)</t>
  </si>
  <si>
    <t>1975 - 0910 7501 4086</t>
  </si>
  <si>
    <t>1982 - 0910 8201 0257</t>
  </si>
  <si>
    <t>Nguyễn Văn Phương</t>
  </si>
  <si>
    <t>1981 - 0910 8101 7829</t>
  </si>
  <si>
    <t>Lê Chúc Xuân</t>
  </si>
  <si>
    <t>1977 - 0911 7701 5749</t>
  </si>
  <si>
    <t>GCN đồng sử dụng</t>
  </si>
  <si>
    <t>1989 - 0910 8900 4439</t>
  </si>
  <si>
    <t>1984 - 0911 8401 9983</t>
  </si>
  <si>
    <t>1958 - 0401 5802 0851</t>
  </si>
  <si>
    <t>1959 - 0911 5900 5030</t>
  </si>
  <si>
    <t>Trần Quang Vinh</t>
  </si>
  <si>
    <t>1955 - 0910 5500 2734</t>
  </si>
  <si>
    <t>Nguyễn Quang Dũng</t>
  </si>
  <si>
    <t>1958 - 0340 5801 7875</t>
  </si>
  <si>
    <t>Nguyễn Thị Thẩm</t>
  </si>
  <si>
    <t>1963 - 0911 6300 8982</t>
  </si>
  <si>
    <t>1980 - 0910 8000 2538</t>
  </si>
  <si>
    <t>Đặng Hồng Lĩnh</t>
  </si>
  <si>
    <t>1970 - 0910 7000 7286</t>
  </si>
  <si>
    <t>Châu Thị Đỗ Quyên</t>
  </si>
  <si>
    <t>1971 - 0911 7101 2715</t>
  </si>
  <si>
    <t>1966 - 0910 6600 3392</t>
  </si>
  <si>
    <t>Sa Chấn Tảo (GCN Sa Khắc Lễ)</t>
  </si>
  <si>
    <t>1987 - 0910 8702 0737</t>
  </si>
  <si>
    <t>1971 - 0890 7102 0797</t>
  </si>
  <si>
    <t>Khế C</t>
  </si>
  <si>
    <t>Mận C</t>
  </si>
  <si>
    <t>Mít C</t>
  </si>
  <si>
    <t>Ổi C</t>
  </si>
  <si>
    <t>Sa kê C</t>
  </si>
  <si>
    <t>NTC.01</t>
  </si>
  <si>
    <t>Tường+tol</t>
  </si>
  <si>
    <t>Tấm cách nhiệt</t>
  </si>
  <si>
    <t>gạch</t>
  </si>
  <si>
    <t>G.khía</t>
  </si>
  <si>
    <t>Xm</t>
  </si>
  <si>
    <t>gỗ tạp</t>
  </si>
  <si>
    <t>gỗ&lt;10</t>
  </si>
  <si>
    <t>1980 - 0910 8001 9432</t>
  </si>
  <si>
    <t>Xoài A</t>
  </si>
  <si>
    <t>Có GCN số BI 854486 do UBND thành phố Rạch Giá cấp ngày 18/04/2012.</t>
  </si>
  <si>
    <t>Chanh A</t>
  </si>
  <si>
    <t>Ổi D</t>
  </si>
  <si>
    <t>Đu đủ B</t>
  </si>
  <si>
    <t>Phạm Tiến Triệu</t>
  </si>
  <si>
    <t>1978 - 0340 7803 0380</t>
  </si>
  <si>
    <t>Phạm Thị Thiên Tài</t>
  </si>
  <si>
    <t>1985 - 0911 8502 1513</t>
  </si>
  <si>
    <t>Đu đủ A</t>
  </si>
  <si>
    <t>Vú sữa C</t>
  </si>
  <si>
    <t>Vú sữa D</t>
  </si>
  <si>
    <t>1982 - 0911 8201 2468</t>
  </si>
  <si>
    <t>Bồn xây gạch (không nắp)</t>
  </si>
  <si>
    <t xml:space="preserve">Đất ở đô thị </t>
  </si>
  <si>
    <t>Tường 10 tô 2 mặt</t>
  </si>
  <si>
    <t>Gạch men bếp</t>
  </si>
  <si>
    <t>1977 - 0910 7701 3413</t>
  </si>
  <si>
    <t>Tường xây 10 không tô</t>
  </si>
  <si>
    <t>Tường 10 tô 2 mặt (bếp)</t>
  </si>
  <si>
    <t>Mít D</t>
  </si>
  <si>
    <t>Mãng cầu D</t>
  </si>
  <si>
    <t>Sa bô D</t>
  </si>
  <si>
    <t>Cóc B</t>
  </si>
  <si>
    <t>Nhà xây dựng năm 2014</t>
  </si>
  <si>
    <t>1/2 tường</t>
  </si>
  <si>
    <t>Tol</t>
  </si>
  <si>
    <t>Tol+lưới B40</t>
  </si>
  <si>
    <t>Giếng khoan không tay bơm</t>
  </si>
  <si>
    <t xml:space="preserve">cái </t>
  </si>
  <si>
    <t>Sơ ri A</t>
  </si>
  <si>
    <t>Mai D</t>
  </si>
  <si>
    <t>Sa bô C</t>
  </si>
  <si>
    <t>Chanh B</t>
  </si>
  <si>
    <t>Sâm lá A</t>
  </si>
  <si>
    <t>Lê Minh Tăng (GCN Dương Văn Hòa)</t>
  </si>
  <si>
    <t>1995 - 0930 9500 8357</t>
  </si>
  <si>
    <t>Nhà xây dựng năm 2016</t>
  </si>
  <si>
    <t>Mít A</t>
  </si>
  <si>
    <t>Vú sữa B</t>
  </si>
  <si>
    <t>Bưởi C</t>
  </si>
  <si>
    <t>Tol+tường</t>
  </si>
  <si>
    <t>Tràm nước A</t>
  </si>
  <si>
    <t>Sa Tuyết Hoa (GCN Sa Khắc Lễ)</t>
  </si>
  <si>
    <t>1983 - 0911 8301 8814</t>
  </si>
  <si>
    <t>1965 - 0911 6500 8186</t>
  </si>
  <si>
    <t>Sả B (m²)</t>
  </si>
  <si>
    <t>Khoai mì B (m²)</t>
  </si>
  <si>
    <t>Me D</t>
  </si>
  <si>
    <t>Khóm C (m²)</t>
  </si>
  <si>
    <t>Võ Ngọc Diễm (GCN Nguyễn Thị Thu)</t>
  </si>
  <si>
    <t>1987 - 0911 8701 9734</t>
  </si>
  <si>
    <t>Võ Ngọc Vi (GCN Nguyễn Thị Thu)</t>
  </si>
  <si>
    <t>1989 - 0911 8901 5730</t>
  </si>
  <si>
    <t>Nguyễn Thanh Thi</t>
  </si>
  <si>
    <t>1975 - 0910 7501 4982</t>
  </si>
  <si>
    <t>Đỗ Thị Thu</t>
  </si>
  <si>
    <t>1976 - 0911 7601 5617</t>
  </si>
  <si>
    <t>Hồng Tú Loan</t>
  </si>
  <si>
    <t>1966 - 0911 6601 2633</t>
  </si>
  <si>
    <t>1991 - 0910 9100 9505</t>
  </si>
  <si>
    <t>Thạch cao miếng</t>
  </si>
  <si>
    <t>Nhà xây dựng năm 2015</t>
  </si>
  <si>
    <t>Ống nhựa bình minh phi 110mm</t>
  </si>
  <si>
    <t>Tường 10 xây tô 2 mặt</t>
  </si>
  <si>
    <t>Gạch men ốp bếp</t>
  </si>
  <si>
    <t>Tường 10 không tô</t>
  </si>
  <si>
    <t>Đỗ Văn Tuấn</t>
  </si>
  <si>
    <t>1972 - 0910 7202 2302</t>
  </si>
  <si>
    <t>Trần Thị Nhuần</t>
  </si>
  <si>
    <t>1979 - 0911 7900 8962</t>
  </si>
  <si>
    <t>Cao Văn Hồng</t>
  </si>
  <si>
    <t>1962 - 0910 6200 6596</t>
  </si>
  <si>
    <t>Nguyễn Ánh Nhan</t>
  </si>
  <si>
    <t>1961 - 0911 6100 2853</t>
  </si>
  <si>
    <t>1979 - 0910 7901 2927</t>
  </si>
  <si>
    <t>1973 - 0340 7302 2323</t>
  </si>
  <si>
    <t>1950 - 0910 5000 7974</t>
  </si>
  <si>
    <t>Nguyễn Văn Tâm</t>
  </si>
  <si>
    <t>1967 - 0910 6701 4798</t>
  </si>
  <si>
    <t>Trang Thị Kim Châu</t>
  </si>
  <si>
    <t>1965 - 0911 6500 6914</t>
  </si>
  <si>
    <t>1981 - 0790 8102 6349</t>
  </si>
  <si>
    <t>Cố GCN số AG 015062 do UBND thành phố Rạch Giá cấp ngày 25/01/2007.</t>
  </si>
  <si>
    <t>Đỗ Đức Quyết</t>
  </si>
  <si>
    <t>1970 - 0910 7000 3905</t>
  </si>
  <si>
    <t>98+100+117</t>
  </si>
  <si>
    <t>Trần Thị Liễu</t>
  </si>
  <si>
    <t>1977 - 0911 7700 8774</t>
  </si>
  <si>
    <t>1972 - 0910 7201 6060</t>
  </si>
  <si>
    <t>1953 - 0911 5300 2322</t>
  </si>
  <si>
    <t>1976 - 0911 7600 6536</t>
  </si>
  <si>
    <t>Nguyễn Văn Sinh</t>
  </si>
  <si>
    <t>1960 - 0300 6001 6823</t>
  </si>
  <si>
    <t>Đỗ Thị Hoa</t>
  </si>
  <si>
    <t>1961 - 0341 6100 8352</t>
  </si>
  <si>
    <t>Nền xi măng SN.01</t>
  </si>
  <si>
    <t>Mía B (m²)</t>
  </si>
  <si>
    <t>Trường Tiểu Học Trần Khánh Dư</t>
  </si>
  <si>
    <t>1944 - 0300 4400 2964</t>
  </si>
  <si>
    <t>Vợ: Nguyễn Thị Thơm</t>
  </si>
  <si>
    <t>Miếng cách nhiệt</t>
  </si>
  <si>
    <t>Nhà xây dựng năm 2005</t>
  </si>
  <si>
    <t>Sả A (m²)</t>
  </si>
  <si>
    <t>1958 - 0340 5801 2176</t>
  </si>
  <si>
    <t>Nhà xây dựng năm 2012</t>
  </si>
  <si>
    <t>Nguyễn Phi Đằng</t>
  </si>
  <si>
    <t>1957 - 0960 5700 2087</t>
  </si>
  <si>
    <t>Có GCN số T 935221 do UBND Thị xã Rạch Giá cấp ngày 26/2/2002.</t>
  </si>
  <si>
    <t>La Thị Cẩm Nhung</t>
  </si>
  <si>
    <t>1965 - 0911 6501 1469</t>
  </si>
  <si>
    <t>Đào C</t>
  </si>
  <si>
    <t>Bơ B</t>
  </si>
  <si>
    <t>Bơ C</t>
  </si>
  <si>
    <t>Nguyễn La Sơn</t>
  </si>
  <si>
    <t>1989 - 0910 8901 0987</t>
  </si>
  <si>
    <t>Nhà cất trên đất cha Nguyễn Phi Đằng; La Thị Cẩm Nhung</t>
  </si>
  <si>
    <t>1972 - 0911 7200 3355</t>
  </si>
  <si>
    <t>63+67</t>
  </si>
  <si>
    <t>Nhà xây dựng 2008</t>
  </si>
  <si>
    <t>WC (trong nhà) xí xổm, dán gạch men WC.03</t>
  </si>
  <si>
    <t>tol</t>
  </si>
  <si>
    <t>sắt</t>
  </si>
  <si>
    <t>Tolt</t>
  </si>
  <si>
    <t>tường</t>
  </si>
  <si>
    <t>Sàn ván tạp</t>
  </si>
  <si>
    <t>Sa kê A</t>
  </si>
  <si>
    <t>Trúc nhật làm hàng rào A (m²)</t>
  </si>
  <si>
    <t>Sương rồng làm hàng rào B (m²)</t>
  </si>
  <si>
    <t>Nhãn C</t>
  </si>
  <si>
    <t>Tầm ruột B</t>
  </si>
  <si>
    <t>Tầm ruột C</t>
  </si>
  <si>
    <t>Cà na B</t>
  </si>
  <si>
    <t>Mãng cầu ta B</t>
  </si>
  <si>
    <t>1977 - 0910 7702 0083</t>
  </si>
  <si>
    <t>1960 - 0911 6000 2143</t>
  </si>
  <si>
    <t>1999 - 0911 9900 3724</t>
  </si>
  <si>
    <t>WC+Tắm (trong nhà) xí bệt, dán gạch men WC.01</t>
  </si>
  <si>
    <t>Nhà T.03</t>
  </si>
  <si>
    <t>Nguyễn Thị Cẩm Hồng</t>
  </si>
  <si>
    <t>1965 - 0911 6501 3539</t>
  </si>
  <si>
    <t>Chồng: Võ Hoàng Phước</t>
  </si>
  <si>
    <t>Lê Thị Tuyết Nhung</t>
  </si>
  <si>
    <t>1970 - 0911 7000 0221</t>
  </si>
  <si>
    <t>Có GCN số X 244031 do UBND thành phố Rạch Giá cấp ngày…..../</t>
  </si>
  <si>
    <t>Nguyễn Văn Thơi</t>
  </si>
  <si>
    <t>1972 - 0360 7200 9007</t>
  </si>
  <si>
    <t>Chung khẩu với mẹ Mã Thị Quyến</t>
  </si>
  <si>
    <t>1966 - 0860 6601 4422</t>
  </si>
  <si>
    <t>Vợ: Nguyễn Thị Hồng Nhung</t>
  </si>
  <si>
    <t>Vợ: Trần Thị Kiều Oanh</t>
  </si>
  <si>
    <t>Nhà xây dựng năm 2013</t>
  </si>
  <si>
    <t>Vợ: Nguyễn Thị Hải</t>
  </si>
  <si>
    <t>Vợ: Lê Thị Lý</t>
  </si>
  <si>
    <t>Chồng: Đặng Ngọc Hải</t>
  </si>
  <si>
    <t>1966 - 0911 6600 0229</t>
  </si>
  <si>
    <t>Trứng cá B</t>
  </si>
  <si>
    <t>Nhà C2.07</t>
  </si>
  <si>
    <t>Vợ: Hồng Tú Loan</t>
  </si>
  <si>
    <t>Chồng: Nguyễn Văn Oanh</t>
  </si>
  <si>
    <t>Vợ: Lê Thị Linh</t>
  </si>
  <si>
    <t>Vợ: Trang Thị Em</t>
  </si>
  <si>
    <t>Vợ: Huỳnh Thị Thanh Hương</t>
  </si>
  <si>
    <t>Vợ: Dư Phương Diễm</t>
  </si>
  <si>
    <t>Chồng: Võ Văn Hồng</t>
  </si>
  <si>
    <t>Chồng: Trần Việt Quân</t>
  </si>
  <si>
    <t>Vợ: Trần Thị Hương Thảo</t>
  </si>
  <si>
    <t>Chồng: Huỳnh Văn Vĩnh</t>
  </si>
  <si>
    <t>Vợ: Trần Thị Quyên</t>
  </si>
  <si>
    <t>Vợ: Trần Thị Hồng Duyên</t>
  </si>
  <si>
    <t>Vợ: Ngô Thị Bé Thơ</t>
  </si>
  <si>
    <t>Vợ: Nguyễn Thị Thương</t>
  </si>
  <si>
    <t>Vợ: Trần Thị Tiếm</t>
  </si>
  <si>
    <t>Sê nô tol hộp</t>
  </si>
  <si>
    <t>Chuối  A</t>
  </si>
  <si>
    <t>Tol+ lưới B40</t>
  </si>
  <si>
    <t>Tường 10 tô 2 mặt (bể cá)</t>
  </si>
  <si>
    <t>Chồng: Chu Đình Hồng</t>
  </si>
  <si>
    <t>Chồng: Trần Quang Vinh</t>
  </si>
  <si>
    <t>Vợ: Châu Thị Đỗ Quyên</t>
  </si>
  <si>
    <t>G.tàu</t>
  </si>
  <si>
    <t>Tolt+tường</t>
  </si>
  <si>
    <t>gỗ&gt;15</t>
  </si>
  <si>
    <t xml:space="preserve"> gạch</t>
  </si>
  <si>
    <t>WC (trong nhà) xí bệt, dán gạch men WC.01</t>
  </si>
  <si>
    <t>Nhà T.43</t>
  </si>
  <si>
    <t>Sê nô</t>
  </si>
  <si>
    <t>Tol+Tường</t>
  </si>
  <si>
    <t>Nhà xây dựng năm 2010</t>
  </si>
  <si>
    <t>Gạch men tam cấp</t>
  </si>
  <si>
    <t>Nhà xây dựng năm 2008</t>
  </si>
  <si>
    <t>Hàng rào xây 10, song sắt, móng gạch, trụ gạch HR.03</t>
  </si>
  <si>
    <t>Vợ: Nguyễn Thùy Linh</t>
  </si>
  <si>
    <t>Thạch cao</t>
  </si>
  <si>
    <t>song sắt+ tol</t>
  </si>
  <si>
    <t>Sân xi măng SN.02</t>
  </si>
  <si>
    <t>Trụ sắt phi 90mm</t>
  </si>
  <si>
    <t>Trụ sắt phi 110mm</t>
  </si>
  <si>
    <t>Biển quảng cáo</t>
  </si>
  <si>
    <t>Bình Bát D</t>
  </si>
  <si>
    <t>Nguyễn Ngọc Thảo (GCN Quách Thị Tuyết Mai; Nguyễn Ngọc Trường)</t>
  </si>
  <si>
    <t xml:space="preserve">                                                   </t>
  </si>
  <si>
    <t>Bông sen A (m²)</t>
  </si>
  <si>
    <t>529,2</t>
  </si>
  <si>
    <t>Ống nhựa bình minh phi 400mm</t>
  </si>
  <si>
    <t>Tràm nước D</t>
  </si>
  <si>
    <t>Sung D</t>
  </si>
  <si>
    <t>Sung E</t>
  </si>
  <si>
    <t>Tràm nước B</t>
  </si>
  <si>
    <t>Rau lang A (m²)</t>
  </si>
  <si>
    <t>Mãng cầu A</t>
  </si>
  <si>
    <t>Mía A (m²)</t>
  </si>
  <si>
    <t xml:space="preserve">Tol </t>
  </si>
  <si>
    <t>Tol+lưới</t>
  </si>
  <si>
    <t>NCT.02</t>
  </si>
  <si>
    <t xml:space="preserve">Tường </t>
  </si>
  <si>
    <t>Tường xây 10 tô 2 mặt (bồn  cây)</t>
  </si>
  <si>
    <t>Gạch men ốp tường (khu vực làm khô)</t>
  </si>
  <si>
    <t xml:space="preserve">Kho đông lạnh </t>
  </si>
  <si>
    <t>15,0*8,6* 3,3</t>
  </si>
  <si>
    <t>4,8*9,7*3,3</t>
  </si>
  <si>
    <t>WC (trong nhà), xí bệt, dán gạch men WC.01</t>
  </si>
  <si>
    <t>Nền xi măng SN.02</t>
  </si>
  <si>
    <t>Miếu xây C4.01</t>
  </si>
  <si>
    <t>Tắm (tầng 1) dán gạch men WC.10</t>
  </si>
  <si>
    <t>Nhà xây dựng năm 2001</t>
  </si>
  <si>
    <t>Nhà xây dựng năm 2006, sửa lại năm 2015</t>
  </si>
  <si>
    <t>Nhà xây dựng năm 2006</t>
  </si>
  <si>
    <t>Hàng rào khung lưới B40, trụ sắt HR.18</t>
  </si>
  <si>
    <t>Sân xi măng SN.03</t>
  </si>
  <si>
    <t>WC+ Tắm (trong nhà) xí xổm, dán gạch men WC.09</t>
  </si>
  <si>
    <t>Hàng rào lưới B40, trụ sắt HR.18</t>
  </si>
  <si>
    <t>WC (trong nhà) dán gạch men WC.01</t>
  </si>
  <si>
    <t>Hàng rào song sắt HR.18</t>
  </si>
  <si>
    <t>WC (trong nhà) xí xổm, dán gạch men WC.09</t>
  </si>
  <si>
    <t>Trần thạch cao</t>
  </si>
  <si>
    <t>Hàng rào song sắt, cột gạch HR.18</t>
  </si>
  <si>
    <t>Hàng rào song sắt, trụ sắt HR.18</t>
  </si>
  <si>
    <t>Hàng rào xây 10 song sắt, trụ sắt HR.13</t>
  </si>
  <si>
    <t>WC +Tắm (trong nhà) xí bệt, dán gạch men WC.01</t>
  </si>
  <si>
    <t>WC (trong nhà) xí xổm WC.09</t>
  </si>
  <si>
    <t>Hàng rào lưới B40, trụ đá HR.18</t>
  </si>
  <si>
    <t>Hàng rào xây 10, song sắt, cột gạch HR.03</t>
  </si>
  <si>
    <t>Nhà C4.07</t>
  </si>
  <si>
    <t>Nhà C4.05 (khu vực làm khô)</t>
  </si>
  <si>
    <t>Nhà C4.07 (khu vực đóng hộp)</t>
  </si>
  <si>
    <t>Trần Thị Thi</t>
  </si>
  <si>
    <t>1960 - 0341 6002 8525</t>
  </si>
  <si>
    <t>Cao Thị Diễm</t>
  </si>
  <si>
    <t>1984 - 0911 8401 9131</t>
  </si>
  <si>
    <t>Kết cấu</t>
  </si>
  <si>
    <r>
      <t>DT (m</t>
    </r>
    <r>
      <rPr>
        <b/>
        <vertAlign val="superscript"/>
        <sz val="11"/>
        <rFont val="Times New Roman"/>
        <family val="1"/>
      </rPr>
      <t>2</t>
    </r>
    <r>
      <rPr>
        <b/>
        <sz val="11"/>
        <rFont val="Times New Roman"/>
        <family val="1"/>
      </rPr>
      <t>)</t>
    </r>
  </si>
  <si>
    <t>Mái che tol</t>
  </si>
  <si>
    <t>Nhà cất năm 2017</t>
  </si>
  <si>
    <t>Trần nhựa</t>
  </si>
  <si>
    <t>Bình bát C</t>
  </si>
  <si>
    <t>Bình bát D</t>
  </si>
  <si>
    <t>Sàn BTCT</t>
  </si>
  <si>
    <t>Đà kiềng BTCT</t>
  </si>
  <si>
    <t>Tỷ lệ mất đất: 100%</t>
  </si>
  <si>
    <t>Mai vàng E</t>
  </si>
  <si>
    <t>Tràm bông vàng E</t>
  </si>
  <si>
    <t>Nhà T.01</t>
  </si>
  <si>
    <t>Ổi B</t>
  </si>
  <si>
    <t>Phát tài E</t>
  </si>
  <si>
    <t>Bàng E</t>
  </si>
  <si>
    <t>cán bộ đo đạc thu thập</t>
  </si>
  <si>
    <t xml:space="preserve">Các thông tin do </t>
  </si>
  <si>
    <t xml:space="preserve">Quách Ngọc Tuấn </t>
  </si>
  <si>
    <t xml:space="preserve">Prima </t>
  </si>
  <si>
    <t>Kinh doanh mua bán tạp hóa (ko giấy phép)</t>
  </si>
  <si>
    <t>Đất ở đô thị (GCN)</t>
  </si>
  <si>
    <t>Đất trồng cây lâu năm (GCN)</t>
  </si>
  <si>
    <t>Tờ BĐ 85, thửa 37; diện tích đất trồng cây lâu năm 2.316,8 m²</t>
  </si>
  <si>
    <t>Có GCN quyền sở hữu nhà ở và quyền sử dụng đất ở, số hồ sơ gốc 0088/2009 do UBND thành phố Rạch Giá cấp ngày 22/1/2009. Diện tích sàn (nhà ở, căn hộ): 247,24 m².</t>
  </si>
  <si>
    <t>Tỷ lệ mất đất: 15,3%</t>
  </si>
  <si>
    <t>Bồn BTCT (có nắp) BNN.01</t>
  </si>
  <si>
    <t>Hàng rào xây 10, song sắt, móng BTCT, trụ BTCT HR.14</t>
  </si>
  <si>
    <t>Hàng rào xây 10, khung lưới B40, móng BTCT, trụ BTCT HR.08</t>
  </si>
  <si>
    <t xml:space="preserve">Hàng ba nhà C2.01*80% (tầng 1) </t>
  </si>
  <si>
    <t>Hàng ba C2.01*80% (tầng 1)</t>
  </si>
  <si>
    <t>Nhà C2.07 (tầng 1)</t>
  </si>
  <si>
    <t xml:space="preserve">Nền gạch men </t>
  </si>
  <si>
    <t>Hàng ba C2.22 x 80%</t>
  </si>
  <si>
    <t>Rau màu các loại A (m²)</t>
  </si>
  <si>
    <t xml:space="preserve">Trần nhựa </t>
  </si>
  <si>
    <t>Tỷ lệ mất đất: 26,8%</t>
  </si>
  <si>
    <t>Nhà xây dựng năm 2006, sửa lại năm 2021</t>
  </si>
  <si>
    <t>Đal bt+G.men</t>
  </si>
  <si>
    <t>Tờ BĐ 86, thửa 1582; diện tích 929,6 m² đất trồng cây lâu năm. GCN do Quách Thị Tuyết Mai; Nguyễn Ngọc Trường đứng tên</t>
  </si>
  <si>
    <t>Tỷ lệ mất đất: 9,4%</t>
  </si>
  <si>
    <t>Tờ BĐ 86, thửa 1581; diện tích: đất ở đô thị 951,7 m², đất trồng cây lâu năm 166,0 m²</t>
  </si>
  <si>
    <t>Tỷ lệ mất đất: 59,4%</t>
  </si>
  <si>
    <t>Đất ở tại đô thị (GCN)</t>
  </si>
  <si>
    <t>Hàng rào lưới B40, trụ đỗ cột BT HR.11</t>
  </si>
  <si>
    <t>Tờ BĐ 86, thửa 198; diện tích: đất ở đô thị 659,5 m², đất trồng cây lâu năm 731,8 m², đất trồng lúa 1.550,9 m²</t>
  </si>
  <si>
    <t>Tờ BĐ 86, thửa 318; diện tích: đất ở đô thị 100,0 m², đất trồng cây lâu năm 216,3 m², đất trồng lúa 350,3 m².</t>
  </si>
  <si>
    <t>Tỷ lệ mất đất: 1,6%</t>
  </si>
  <si>
    <t>Chồng: Trần Trung Toàn</t>
  </si>
  <si>
    <t>Tờ BĐ 86, thửa 706; diện tích: đất ở đô thị 150,0 m², đất trồng cây lâu năm 542,7 m².</t>
  </si>
  <si>
    <t>Tỷ lệ mất đất: 5,7%</t>
  </si>
  <si>
    <t>Tờ BĐ 86, thửa 705; diện tích: đất ở đô thị 125,0 m², đất trồng cây lâu năm 566,6 m².</t>
  </si>
  <si>
    <t>Tờ BĐ 86, thửa 704; diện tích: đất ở đô thị 220,0 m², đất trồng cây lâu năm 470,7 m²</t>
  </si>
  <si>
    <t>Tờ BĐ 86, thửa 703; diện tích: đất ở đô thị 300,0 m², đất trồng cây lâu năm 389,9 m².</t>
  </si>
  <si>
    <t>Tỷ lệ mất đất: 8,0%</t>
  </si>
  <si>
    <t>Tờ BĐ 86, thửa 702; diện tích: đất ở đô thị 150,0 m², đất trồng cây lâu năm 538,6 m².</t>
  </si>
  <si>
    <t>Tỷ lệ mất đất: 5,6%</t>
  </si>
  <si>
    <t>Tờ BĐ 86, thửa 1589 (100A cũ), diện tích đất ở đô thị 200,0 m²; thửa 178, diện tích: đất ở đô thị 327,9 m², đất trồng cây lâu năm 540,1 m²; thửa 179, diện tích: đất ở đô thị 900,6 m², đất trồng lúa 263,1 m²</t>
  </si>
  <si>
    <t>Đất trồng cây lâu năm (Ngoài GCN)</t>
  </si>
  <si>
    <t>Hàng rào xây 10 tô 2 mặt, khung lưới B40, móng BT đá, trụ sắt HR.09</t>
  </si>
  <si>
    <t>Hàng rào xây 10 tô 2 mặt, song sắt, móng BT đá, trụ sắt HR.03</t>
  </si>
  <si>
    <t xml:space="preserve">Phần diện tích …………….. nằm ngoài GCN, có cùng nguồn gốc và thời điểm sử dụng theo GCN số BĐ 225626 do UBND thành phố Rạch Giá cấp ngày 22/03/2011. </t>
  </si>
  <si>
    <t>Nhà xây dựng năm 2011 sửa lại năm 2024</t>
  </si>
  <si>
    <t>Tường xây 10 gạch thẻ không tô (bồn hoa) HR.18</t>
  </si>
  <si>
    <t>168a</t>
  </si>
  <si>
    <t>Tờ BĐ 86, thửa 168a, đất ở đô thị 100,0 m²; thửa 168, diện tích đất trồng cây lâu năm 216,5 m²</t>
  </si>
  <si>
    <t>Đất vườn tạp (GCN)</t>
  </si>
  <si>
    <t>Trứng cá C</t>
  </si>
  <si>
    <t>Tờ BĐ 86, thửa 17; diện tích đất vườn tạp 690,8 m²</t>
  </si>
  <si>
    <t>Đất trồng cây lâu năm (BĐĐC)</t>
  </si>
  <si>
    <t>Tờ BĐ 86, thửa 34; diện tích đất trồng cây lâu năm 205,1 m²</t>
  </si>
  <si>
    <t>Diện tích cấp GCN không đúng so với hình thể thửa đất.</t>
  </si>
  <si>
    <t>Phần diện tích ………..….… nằm ngoài GCN, có cùng nguồn gốc và thời điểm sử dụng theo GCN số BI 102018 do UBND thành phố Rạch Giá cấp ngày 23/11/2011.</t>
  </si>
  <si>
    <t>Rau màu các loại B (m²)</t>
  </si>
  <si>
    <t>Có GCN số DM 241441 do Chi nhánh Văn phòng ĐKĐĐ thành phố Rạch Giá cấp ngày 22/12/2023.</t>
  </si>
  <si>
    <t>Tờ BĐ 86, thửa 271; diện tích đất trồng cây lâu năm 253,3 m²</t>
  </si>
  <si>
    <t>Có GCN số vào sổ H 2566 do UBND thành phố Rạch Giá cấp ngày 30/7/2008.</t>
  </si>
  <si>
    <t>Tờ BĐ 86, thửa 270; diện tích đất trồng cây lâu năm 251,6 m²</t>
  </si>
  <si>
    <t>1/2tol + song sát</t>
  </si>
  <si>
    <t>Tờ BĐ 86, thửa 269; diện tích đất ở đô thị 249,6 m²</t>
  </si>
  <si>
    <t>Tol + song sắt</t>
  </si>
  <si>
    <t>Có GCN đăng ký hộ kinh doanh, mua bán tạp hóa</t>
  </si>
  <si>
    <t>Hàng rào xây 10, song sắt, móng BTCT, trụ BTCT HR.13</t>
  </si>
  <si>
    <t>Hàng rào xây 10, móng BTCT, trụ BTCT HR.13</t>
  </si>
  <si>
    <t>Bồn BTCT có nắp ( hố gas) BNN.02</t>
  </si>
  <si>
    <t xml:space="preserve">Trần thạch cao miếng </t>
  </si>
  <si>
    <t>Tờ BĐ 86, thửa 268; diện tích đất ở đô thị 236,5 m²</t>
  </si>
  <si>
    <t>Hàng ba nhà C2.01*80%</t>
  </si>
  <si>
    <t>Có GCN đăng ký kinh doanh: Công ty TNHH dịch vụ vệ sinh công nghiệp Đức Trí</t>
  </si>
  <si>
    <t>Phần diện tích 6,5 m² nằm ngoài GCN, có cùng nguồn gốc và thời điểm sử dụng theo GCN số CA 611703 do UBND thành phố Rạch Giá cấp ngày 06/10/2015.</t>
  </si>
  <si>
    <t>Đal BT (bồn nước)</t>
  </si>
  <si>
    <t>Hàng rào khung lưới B40, trụ sắt, móng BT HR.18</t>
  </si>
  <si>
    <t>Tờ BĐ 86, thửa 266; diện tích đất trồng cây lâu năm 338,2 m²</t>
  </si>
  <si>
    <t>Nhà cất năm 2018</t>
  </si>
  <si>
    <t>Tường xây 10 không tô HR.18</t>
  </si>
  <si>
    <t>Tờ 86, thửa 257; diện tích: đất ở đô thị 201,5 m², đất trồng cây lâu năm 205,5 m²</t>
  </si>
  <si>
    <t>Phần diện tích 3,3 m² nằm ngoài GCN, có cùng nguồn gốc và thời điểm sử dụng theo GCN số AM 355766 do UBND thành phố Rạch Giá cấp ngày 19/05/2008.</t>
  </si>
  <si>
    <t>Nhà tiền chế cất năm 2020</t>
  </si>
  <si>
    <t>Đal BT bếp</t>
  </si>
  <si>
    <t>Tường 10 không tô (bồn hoa) HR.18</t>
  </si>
  <si>
    <t>Tường 10 tô 1 mặt HR.18</t>
  </si>
  <si>
    <t>Tờ BĐ 86, thửa 263; diện tích: đất ở đô thị 150,0 m², đất trồng cây lâu năm 234,4 m²</t>
  </si>
  <si>
    <t>Nhà T.02</t>
  </si>
  <si>
    <t>Phần diện tích 4,3 m² nằm ngoài GCN, có cùng nguồn gốc và thời điểm sử dụng theo GCN số BU 499143 do UBND thành phố Rạch Giá cấp ngày  9/5/2014.</t>
  </si>
  <si>
    <t>Hàng rào xây 10, khung lưới B40, móng BTCT, trụ BTCT HR.12</t>
  </si>
  <si>
    <t xml:space="preserve">Nền gạch khía </t>
  </si>
  <si>
    <t>Hàng rào xây 10 lưới B40, móng BTCT, trụ BTCT HR.12</t>
  </si>
  <si>
    <t xml:space="preserve">Phần diện tích 3,8  m² nằm ngoài GCN, có cùng nguồn gốc và thời điểm sử dụng theo GCN số AK 527419 do UBND thành phố Rạch Giá cấp ngày 22/10/2007.  </t>
  </si>
  <si>
    <t xml:space="preserve">Phần diện tích 4,2 m² nằm ngoài GCN, có cùng nguồn gốc và thời điểm sử dụng theo GCN số AK 527419 do UBND thành phố Rạch Giá cấp ngày 22/10/2007. </t>
  </si>
  <si>
    <t>Tờ BĐ 86, thửa 256; diện tích: đất trồng cây lâu năm 72,0 m², đất ở đô thị 214,8 m²</t>
  </si>
  <si>
    <t>Mái che lưới lan, trụ sắt</t>
  </si>
  <si>
    <t xml:space="preserve">Phần diện tích 7,1 m² nằm ngoài GCN, có cùng nguồn gốc và thời điểm sử dụng theo GCN số BY 645163 do UBND thành phố Rạch Giá cấp ngày 17/4/2015. </t>
  </si>
  <si>
    <t>Mái che lưới lan</t>
  </si>
  <si>
    <t>Hàng rào xây 10 không tô, cột gạch, móng BTCT HR.18</t>
  </si>
  <si>
    <t>Tường xây 10 ko tô HR.18</t>
  </si>
  <si>
    <t>Giếng khoang không tay bơm (phi 49 sâu 95m)</t>
  </si>
  <si>
    <t>Hàng rào xây 10 ko tô, trụ gạch, móng BTCT HR.18</t>
  </si>
  <si>
    <t>Hàng rào xây 10 không tô, trụ gạch, móng BTCT HR.18</t>
  </si>
  <si>
    <t>Tờ BĐ 86, thửa 255; diện tích: đất ở đô thị 99,9 m², đất trồng cây lâu năm 138,6 m²</t>
  </si>
  <si>
    <t>Có GCN số……/do UBND thị xã  Rạch Giá cấp ngày 26/11/2001.</t>
  </si>
  <si>
    <t>Đất vườn (GCN)</t>
  </si>
  <si>
    <t>Tờ BĐ 86, thửa 151; diện tích: đất ở đô thị 1.086,6 m², đất vườn tạp 493,9 m²</t>
  </si>
  <si>
    <t>Tờ BĐ 86, thửa 370; diện tích: đất ở đô thị 209,4 m², đất trồng cây lâu năm 35,1 m²</t>
  </si>
  <si>
    <t>Phần diện tích 2,0 m² nằm ngoài GCN, có cùng nguồn gốc và thời điểm sử dụng theo GCN số CC 426843 do UBND thành phố Rạch Giá cấp ngày 10/12/2015.</t>
  </si>
  <si>
    <t>Đất tại ở đô thị (GCN)</t>
  </si>
  <si>
    <t>Hàng ba nhà C3.05*80%</t>
  </si>
  <si>
    <t>Tờ BĐ 86, thửa 695; diện tích: đất ở đô thị 209,6 m², đất trồng cây lâu năm 34,9 m²</t>
  </si>
  <si>
    <t>Tờ BĐ 86, thửa 506; diện tích: đất ở đô thị 172,2 m², đất trồng cây lâu năm 333,1 m²</t>
  </si>
  <si>
    <t>Đất trồng cây lâu năm-GCN (LG)</t>
  </si>
  <si>
    <t>Thửa đất có 1,0 m² thuộc đất HLATGT đường bộ</t>
  </si>
  <si>
    <t>Nhà T.27</t>
  </si>
  <si>
    <t>Hàng rào tường gạch dày 10cm, có trát vữa 2 mặt</t>
  </si>
  <si>
    <t>Trụ xây gạch (hàng rào) HR.14</t>
  </si>
  <si>
    <t>Tờ BĐ 86, thửa 632; diện tích: đất ở đô thị 293,5 m², đất trồng cây lâu năm 571,8 m²</t>
  </si>
  <si>
    <t>Tỷ lệ mất đất: 79,1%</t>
  </si>
  <si>
    <t>Tờ BĐ 86, thửa 342; diện tích đất ở đô thị 100,0 m², đất trồng cây lâu năm 139,8 m².</t>
  </si>
  <si>
    <t>Tỷ lệ mất đất: 21,5%</t>
  </si>
  <si>
    <t>Phần diện tích 4,5 m² nằm ngoài GCN, có cùng nguồn gốc và thời điểm sử dụng theo GCN số BU 484556 do UBND thành phố Rạch Giá cấp ngày 18/9/2014.</t>
  </si>
  <si>
    <t>Tờ BĐ 86, thửa 327; diện tích: đất ở đô thị 200,0 m², đất trồng cây lâu năm 134,6 m².</t>
  </si>
  <si>
    <t>Tỷ lệ mất đất: 31,3%</t>
  </si>
  <si>
    <t>Phần diện tích 6,4 m² nằm ngoài GCN, có cùng nguồn gốc và thời điểm sử dụng theo GCN số vào sổ CH 07011 do UBND thành phố Rạch Giá cấp ngày 05/10/2014.</t>
  </si>
  <si>
    <t>Tờ BĐ 86, thửa 1574; diện tích: đất ở đô thị 150,0 m², đất trồng cây lâu năm 231,0 m²</t>
  </si>
  <si>
    <t>Tỷ lệ mất đất: 21,1%</t>
  </si>
  <si>
    <t>Tờ BĐ 86, thửa 1573; diện tích: đất ở đô thị 50,0 m², đất trồng cây lâu năm 357,0 m²</t>
  </si>
  <si>
    <t>Tỷ lệ mất đất: 14,6%</t>
  </si>
  <si>
    <t>Tờ BĐ 86, thửa 37; diện tích: đất ở đô thị 300,5 m², đất trồng cây lâu năm 170,8 m²</t>
  </si>
  <si>
    <t>Hàng rào xây 10, song sắt, móng BTCT, trụ BTCT HR.03</t>
  </si>
  <si>
    <t>Tường xây 10 tô 1 mặt HR.18</t>
  </si>
  <si>
    <t>Tờ BĐ 86, thửa 227; diện tích: đất ở đô thị 277,0 m², đất trồng cây lâu năm 57,6 m²</t>
  </si>
  <si>
    <t>Tỷ lệ mất đất: 36,3%</t>
  </si>
  <si>
    <t>Hàng rào xây 10, song sắt, móng bt, trụ bt HR.03</t>
  </si>
  <si>
    <t>Hàng rào tường xây 10 tô 2 mặt HR.18</t>
  </si>
  <si>
    <t>Đất lúa (GCN)</t>
  </si>
  <si>
    <t>Tờ BĐ 86, thửa 133; diện tích: đất ở đô thị 360,9 m², đất lúa 116,5 m²</t>
  </si>
  <si>
    <t>Tỷ lệ mất đất: 55,2%</t>
  </si>
  <si>
    <t>Tường xây 10 tô 2 mặt HR.17</t>
  </si>
  <si>
    <t>Đất trồng lúa (GCN)</t>
  </si>
  <si>
    <t>Đất trồng lúa (Ngoài GCN)</t>
  </si>
  <si>
    <t>Tờ BĐ 86, thửa 132; diện tích: đất ở đô thị 99,7 m², đất trồng lúa 130,8 m²</t>
  </si>
  <si>
    <t>Đất trống lúa (GCN)</t>
  </si>
  <si>
    <t>Tờ BĐ 86, thửa 131; diện tích: đất ở đô thị 99,7 m², đất trồng lúa 136,6 m²</t>
  </si>
  <si>
    <t>Thửa đất có 1,2 m² thuộc đất HLATGT</t>
  </si>
  <si>
    <t>Tờ BĐ 85, thửa 98+100+117; diện tích: đất ở đô thị 200,0 m², đất trồng lúa 937,4 m²</t>
  </si>
  <si>
    <t>Đất trồng lúa-Ngoài GCN (LG)</t>
  </si>
  <si>
    <t>Có GCN đăng ký kinh doanh: Cty TNHH 1 thành viên Đỗ Gia Bảo</t>
  </si>
  <si>
    <t>Phần diện tích 32,3  m² (lộ giới) nằm ngoài GCN, có cùng nguồn gốc và thời điểm sử dụng theo CGN số CA 581305 do UBND thành phố Rạch Giá cấp ngày 24/8/2015.</t>
  </si>
  <si>
    <t>Huỳnh Thiện Trung</t>
  </si>
  <si>
    <t>Đất trồng lúa-Ngoài GCN (BĐĐC)</t>
  </si>
  <si>
    <t>Tờ BĐ 86, thửa 708, diện tích đất trồng lúa 1.124,5 m².</t>
  </si>
  <si>
    <t>Đất trồng lúa-Ngoài GCN (bờ kênh)</t>
  </si>
  <si>
    <t>Tỷ lệ mất đất: 96,7%</t>
  </si>
  <si>
    <t>Tờ BĐ 86, thửa 709, diện tích đất trồng lúa 1.124,2 m²</t>
  </si>
  <si>
    <t>Tỷ lệ mất đất: 97,2%</t>
  </si>
  <si>
    <t>Tờ BĐ 86, thửa 710; diện tích đất trồng lúa 2.062, m²</t>
  </si>
  <si>
    <t>Tỷ lệ mất đất: 97,8%</t>
  </si>
  <si>
    <t>64 (BĐĐC)</t>
  </si>
  <si>
    <t xml:space="preserve">Nguồn gốc thửa đất năm 2003 đã được cấp giấy chứng nhận QSDĐ. Đến ngày 30/6/2017, chủ sử dụng đất cấp đổi lại GCN do thửa đất có cua quẹo hình thể xấu nên chủ hộ không đưa vào giấy chứng nhận mới (GCN số CE 892474 do UBND thành phố Rạch Giá cấp ngày 30/6/2017). Hiện trạng cây cỏ mọc um tùm.   </t>
  </si>
  <si>
    <t>Tỷ lệ mất đất: 1,8%</t>
  </si>
  <si>
    <t>Có GCN số vào sổ 00129 do UBND thị xã Rạch Giá cấp ngày 07/12/2001.</t>
  </si>
  <si>
    <t>Đất Vườn (GCN)</t>
  </si>
  <si>
    <t>Tờ BĐ 86, thửa 43: diện tích đất lúa 2.593,9 m²; thửa 64: diện tích đất vườn 1.555,4 m²</t>
  </si>
  <si>
    <t>Đất vườn (Ngoài GCN)</t>
  </si>
  <si>
    <t>Nhà xây dựng năm 2002, sửa lại tháng 10/2024</t>
  </si>
  <si>
    <t xml:space="preserve">Đất trồng lúa-Ngoài GCN (bờ kênh) </t>
  </si>
  <si>
    <t>Tỷ lệ mất đất: 99,8%</t>
  </si>
  <si>
    <t>Phần diện tích 20,5 m² nằm ngoài GCN, có nguồn gốc mua lại của ông 3 Kết năm 2008, sử dụng ổn định đến nay.</t>
  </si>
  <si>
    <t>Phần diện tích 34,8 m² (bờ kênh) nằm ngoài GCN, có cùng nguồn gốc và thời điểm sử dụng theo GCN số vào sổ 00129 do UBND thị xã Rạch Giá cấp ngày 7/12/2001.</t>
  </si>
  <si>
    <t xml:space="preserve">Đất giáo dục </t>
  </si>
  <si>
    <t>Hàng rào xây 10, móng BTCT, trụ BTCT HR.17</t>
  </si>
  <si>
    <t>1067B Lâm Quang Ky, phường Rạch Giá, tỉnh An Giang</t>
  </si>
  <si>
    <t>Đất trồng cây lâu năm (LG ngoài GCN)</t>
  </si>
  <si>
    <t>Tờ BĐ 86, thửa 387; diện tích đất trồng cây lâu năm 103,4 m².</t>
  </si>
  <si>
    <t>Tờ BĐ 86, thửa 388; diện tích đất trồng cây lâu năm 79,53 m²</t>
  </si>
  <si>
    <t>Tờ BĐ 86, thửa 87; diện tích đất vườn 2.200,0 m²</t>
  </si>
  <si>
    <t>1067C Lâm Quang Ky, phường Rạch Giá, tỉnh An Giang</t>
  </si>
  <si>
    <t>Ti lệ mất đất: 2,1%</t>
  </si>
  <si>
    <t xml:space="preserve">Phần diện tích 5,0 m² nằm ngoài GCN, có cùng nguồn gốc và thời điểm sử dụng theo GCN số T 935221 do UBND thị xã Rạch Giá cấp ngày 26/2/2002.   </t>
  </si>
  <si>
    <t>Nhà cất năm 2016</t>
  </si>
  <si>
    <t>|</t>
  </si>
  <si>
    <t>Nhà Dưỡng Lão (Hội Chữ Thập Đỏ)</t>
  </si>
  <si>
    <t xml:space="preserve">Đất xây dựng công trình sự nghiệp khác </t>
  </si>
  <si>
    <t>Hàng rào song sắt, trụ BT (trụ cổng rào) HR.03</t>
  </si>
  <si>
    <t>Tờ BĐ 86, thửa 63+67; diện tích đất trồng cây lâu năm 2.397,9 m²</t>
  </si>
  <si>
    <t>Có GCN số BY 645465 do UBND thành phố Rạch Giá cấp ngày 13/5/2015.</t>
  </si>
  <si>
    <t>Tờ 86, thửa 346, diện tích đất trồng cây lâu năm 652,6 m²</t>
  </si>
  <si>
    <t xml:space="preserve">Phần diện tích 8,3 m² (bờ kênh) nằm ngoài GCN, có cùng nguồn gốc và thời điểm sử dụng theo GCN số BY 645465 do UBND thành phố Rạch Giá cấp ngày 13/5/2015. </t>
  </si>
  <si>
    <t>Tờ 86, thửa 344, diện tích đất trồng cây lâu năm 673,3 m²</t>
  </si>
  <si>
    <t>Phần diện tích 10,0 m² (bờ kênh) nằm ngoài GCN, có cùng nguồn gốc và thời điểm sử dụng theo GCN số BX 048655 do UBND thành phố Rạch Giá cấp ngày 31/12/2014.</t>
  </si>
  <si>
    <t>Tờ 86, thửa 343, diện tích đất trồng cây lâu năm 660,9 m²</t>
  </si>
  <si>
    <t>Phần diện tích 11,2 m² (bờ kênh) nằm ngoài GCN, có cùng nguồn gốc và thời điểm sử dụng theo GCN số BX 048656 do UBND thành phố Rạch Giá cấp ngày 31/12/2014.</t>
  </si>
  <si>
    <t>Tờ 86, thửa 347, diện tích đất trồng cây lâu năm 617,9 m²</t>
  </si>
  <si>
    <t>Phần diện tích 10,6 m² (bờ kênh) nằm ngoài GCN, có cùng nguồn gốc và thời điểm sử dụng theo GCN số BY 645467 do UBND thành phố Rạch Giá cấp ngày 13/05/2015.</t>
  </si>
  <si>
    <t>Tờ 86, thửa 401, diện tích đất trồng cây lâu năm 425,9 m²</t>
  </si>
  <si>
    <t>Tờ 86, thửa 137, diện tích  đất trồng cây lâu năm 850,3 m²</t>
  </si>
  <si>
    <t>Nhà cất năm 2010</t>
  </si>
  <si>
    <t>Phần diện tích 12,7 m² (bờ kênh) nằm ngoài GCN, có cùng nguồn gốc và thời điểm sử dụng theo GCN số BX 048657 do UBND thành phố Rạch Giá cấp ngày 31/12/2014.</t>
  </si>
  <si>
    <t>Tờ 86, thửa 62, diện tích đất trồng cây lâu năm 1.611,1 m².</t>
  </si>
  <si>
    <t>Tờ 86, thửa 633, diện tích đất trồng cây lâu năm 500,7 m².</t>
  </si>
  <si>
    <t>Đất trồng cây lâu năm-Ngoài GCN (BK)</t>
  </si>
  <si>
    <t>Tờ 86, thửa 71; diện tích: đất ở đô thị 49,9 m², đất trồng cây lâu năm 950,1 m².</t>
  </si>
  <si>
    <t>Tờ 86, thửa 313, diện tích đất trồng cây lâu năm 760,75 m²</t>
  </si>
  <si>
    <t>Tờ 86, thửa 312; diện tích: đất ở đô thị 50,0 m², đất trồng cây lâu năm 710,75 m²</t>
  </si>
  <si>
    <t>Số</t>
  </si>
  <si>
    <t xml:space="preserve"> kh</t>
  </si>
  <si>
    <t xml:space="preserve">Số </t>
  </si>
  <si>
    <t>tờ</t>
  </si>
  <si>
    <t xml:space="preserve"> th</t>
  </si>
  <si>
    <t>BẢNG TỔNG HỢP CÔNG TRÌNH: KHU TÁI ĐỊNH CƯ NAM AN HÒA (GIAI ĐOẠN 3)</t>
  </si>
  <si>
    <t>ĐỊA ĐIỂM:  KHU PHỐ 2 VÀ KHU PHỐ 5, PHƯỜNG RẠCH GIÁ, TỈNH AN GIANG</t>
  </si>
  <si>
    <t>Ý kiến hội đồng</t>
  </si>
  <si>
    <t>1065/1C Lâm Quang Ky, Phường Rạch Giá, tỉnh An Giang</t>
  </si>
  <si>
    <t xml:space="preserve">Có GCN số BU 454890 do UBND Thành Phố Rạch Giá cấp ngày 22/10/2014. </t>
  </si>
  <si>
    <t>1065 Lâm Quang Ky, Phường Rạch Giá, tỉnh An Giang</t>
  </si>
  <si>
    <t>Nguồn gốc đất do cha cho con là Quách Thị Thủy ngày 12/6/2006 (giấy tay), một phần thửa đất có GCN số BU 454890 do UBND Thành phố Rạch giá cấp ngày 22/10/2014. Tờ BĐ 85, thửa 37; diện tích đất trồng cây lâu năm 2.316,8 m². GCN do cha Quách Ngọc Nghé đứng tên.</t>
  </si>
  <si>
    <t>1065/1 Lâm Quang Ky, Phường Rạch Giá, tỉnh An Giang</t>
  </si>
  <si>
    <t>Nguồn gốc đất do cha cho con là Quách Ngọc Dũng ngày 12/6/2006 (giấy tay), một phần thửa đất có GCN số BU 454890 do UBND Thành phố Rạch giá cấp ngày 22/10/2014. Tờ BĐ 85, thửa 37; diện tích đất trồng cây lâu năm, diện tích 2.316,8 m². GCN do cha Quách Ngọc Nghé đứng tên.</t>
  </si>
  <si>
    <t>1065/1B Lâm Quang Ky, Phường Rạch Giá, tỉnh An Giang</t>
  </si>
  <si>
    <t>Nguồn gốc đất do cha mẹ cho con là Nguyễn Ngọc Trung năm 1990 (không có giấy tay), một phần thửa đất có GCN số DN 948275 do Chi nhánh văn phòng ĐKĐĐ Thành Phố Rạch Giá cấp ngày 23/04/2024.</t>
  </si>
  <si>
    <t>Nguồn gốc đất do cha mẹ cho con là Nguyễn Thị Tuyết Loan ngày 18/6/2015 (giấy tay), một phần thửa đất có GCN số DN 948275 do Chi nhánh văn phòng ĐKĐĐ Thành Phố Rạch Giá cấp ngày 23/04/2024.</t>
  </si>
  <si>
    <t>1065/7 Lâm Quang Ky, Phường Rạch Giá, tỉnh An Giang</t>
  </si>
  <si>
    <t>Nguồn gốc đất do cha mẹ cho con là Nguyễn Ngọc Hiếu ngày 18/6/2015 (giấy tay), một phần thửa đất có GCN số DN 948275 do Chi nhánh văn phòng ĐKĐĐ Thành Phố Rạch Giá cấp ngày 23/04/2024.</t>
  </si>
  <si>
    <t>1065/3 Lâm Quang Ky, Phường Rạch Giá, tỉnh An Giang</t>
  </si>
  <si>
    <t>Nguồn gốc đất do cha mẹ cho con là Nguyễn Ngọc Thảo ngày 18/6/2015 (giấy tay), một phần thửa đất có GCN số DN 948275 do Chi nhánh văn phòng ĐKĐĐ Thành Phố Rạch Giá cấp ngày 23/04/2024.</t>
  </si>
  <si>
    <t>1065/5 Lâm Quang Ky, Phường Rạch Giá, tỉnh An Giang</t>
  </si>
  <si>
    <t>Có GCN số DN 948274 do Chi nhánh văn phòng ĐKĐĐ Thành Phố Rạch Giá cấp ngày 23/04/2024.</t>
  </si>
  <si>
    <t>L3 - 34 Phan Thị Ràng, Phường Rạch Giá, tỉnh An Giang</t>
  </si>
  <si>
    <t>Có GCN số BL 298846 do UBND Thành phố Rạch Giá cấp ngày 31/07/2012.</t>
  </si>
  <si>
    <t>986/30 Nguyễn Trung Trực, phường Rạch Giá, tỉnh An Giang</t>
  </si>
  <si>
    <t>Khu phố Phi Kinh, phường Rạch Giá, tỉnh An Giang</t>
  </si>
  <si>
    <t>334/5/24 Nguyễn Trung Trực, phường Rạch Giá, tỉnh An Giang</t>
  </si>
  <si>
    <t>Khu phố 7, xã Giồng Riềng, tỉnh An Giang</t>
  </si>
  <si>
    <t>L1-14 (109) Trần Quang Khải, phường Rạch Giá, tỉnh An Giang</t>
  </si>
  <si>
    <t>A6-23 Cống Quỳnh, phường Rạch Giá, tỉnh An Giang</t>
  </si>
  <si>
    <t>Có GCN số BĐ 225626 do UBND Thành phố Rạch Giá cấp ngày 22/03/2011.</t>
  </si>
  <si>
    <t>21 Sư Thiện Ân, phường Rạch Giá, tỉnh An Giang</t>
  </si>
  <si>
    <t>Có GCN số BL 675793 do UBND Thành phố Rạch Giá cấp ngày 26/09/2012.</t>
  </si>
  <si>
    <t>828 Ngô Quyền, phường Rạch Giá, tỉnh An Giang</t>
  </si>
  <si>
    <t>Có GCN số BI 102018 do UBND Thành phố Rạch Giá cấp ngày 23/11/2011.</t>
  </si>
  <si>
    <t>1065/30 Lâm Quang Ky, Phường Rạch Giá, tỉnh An Giang</t>
  </si>
  <si>
    <t>Võ Thành Hiến</t>
  </si>
  <si>
    <t>96 Nguyễn Thoại Hầu, phường Rạch Giá, tỉnh An Giang</t>
  </si>
  <si>
    <t xml:space="preserve">D3-41 Đống Đa, phường Rạch Giá, tỉnh An Giang </t>
  </si>
  <si>
    <t>1065/18 Lâm Quang Ky, Phường Rạch Giá, tỉnh An Giang</t>
  </si>
  <si>
    <t>Có GCN số CA 611703 do UBND Thành phố Rạch Giá cấp ngày 06/10/2015.</t>
  </si>
  <si>
    <t>1065/18A Lâm Quang Ky, Phường Rạch Giá, tỉnh An Giang</t>
  </si>
  <si>
    <t>Có GCN số AM 241440 do UBND Thành phố Rạch Giá cấp ngày 30/07/2008.</t>
  </si>
  <si>
    <t>333 Nguyễn Thị Định, phường Rạch Giá, tỉnh An Giang</t>
  </si>
  <si>
    <t>Phần diện tích 4,3 m² nằm ngoài GCN, có cùng nguồn gốc và thời điểm sử dụng theo GCN số AM 241440 do UBND Thành phố Rạch Giá cấp ngày 30/07/2008.</t>
  </si>
  <si>
    <t>Có GCN số AM 355766 do UBND Thành phố Rạch Giá cấp ngày 19/05/2008.</t>
  </si>
  <si>
    <t>Có GCN số BU 499143 do UBND Thành phố Rạch Giá cấp ngày 9/5/2014.</t>
  </si>
  <si>
    <t>1065/20 Lâm Quang Ky, Phường Rạch Giá, tỉnh An Giang</t>
  </si>
  <si>
    <t>Nguồn gốc đất mua lại của Dượng là ông Dương Văn Hòa năm 2016 (giấy tay), một phần thửa đất có GCN số BU 499143 do UBND Thành phố Rạch Giá cấp ngày 9/5/2014. Tờ BĐ 86, thửa 263; diện tích: đất ở đô thị 150,0 m², đất trồng cây lâu năm 234,4 m². GCN do ông Dương Văn Hòa đứng tên.</t>
  </si>
  <si>
    <t>Ấp 5, xã Xà Phiên, Thành Phố Cần Thơ</t>
  </si>
  <si>
    <t>Nguồn gốc đất do cha cho lại con là Sa Chấn Tảo ngày 19/5/2017 (giấy tay), một phần thửa đất có GCN số AK 527419 do UBND Thành phố Rạch giá cấp ngày 22/10/2007. Tờ BĐ 86, thửa 259; diện tích: đất ở đô thị 159,9 m², đất trồng cây lâu năm 223,4 m². GCN do Sa Khắc Lễ đứng tên.</t>
  </si>
  <si>
    <t>1065/28 Lâm Quang Ky, Phường Rạch Giá, tỉnh An Giang</t>
  </si>
  <si>
    <t>Nguồn gốc đất do cha cho lại con là Sa Tuyết Hoa ngày 19/5/2017 (giấy tay), một phần thửa đất có GCN số AK 527419 do UBND Thành phố Rạch giá cấp ngày 22/10/2007. Tờ BĐ 86, thửa 259; diện tích: đất ở đô thị 159,9 m², đất trồng cây lâu năm 223,4 m². GCN do Sa Khắc Lễ đứng tên.</t>
  </si>
  <si>
    <t>1065/26 Lâm Quang Ky, Phường Rạch Giá, tỉnh An Giang</t>
  </si>
  <si>
    <t>Có GCN số BY 645163 do UBND Thành phố Rạch Giá cấp ngày 17/4/2015.</t>
  </si>
  <si>
    <t>1065/24 Lâm Quang Ky, Phường Rạch Giá, tỉnh An Giang</t>
  </si>
  <si>
    <t>Nguồn gốc đất do mẹ cho lại con là Võ Ngọc Diễm ngày 16/02/2020 (giấy tay), một phần thửa đất có GCN số BY 645163 do UBND Thành phố Rạch Giá cấp ngày 17/4/2015. Tờ BĐ 86, thửa 256; diện tích: đất trồng cây lâu năm 72,0 m², đất ở đô thị 214,8 m². GCN do mẹ Nguyễn Thị Thu đứng tên.</t>
  </si>
  <si>
    <t>Ấp Đông Bình, xã An Minh, tỉnh An Giang</t>
  </si>
  <si>
    <t>Nguồn gốc đất do mẹ cho lại con là Võ Ngọc Vi ngày 16/02/2020 (giấy tay), một phần thửa đất có GCN số BY 645163 do UBND Thành phố Rạch Giá cấp ngày 17/4/2015. Tờ BĐ 86, thửa 256; diện tích: đất trồng cây lâu năm 72,0 m², đất ở đô thị 214,8 m². GCN do mẹ Nguyễn Thị Thu đứng tên.</t>
  </si>
  <si>
    <t>421/5B Nguyễn Trung Trực, phường Rạch Giá, tỉnh An Giang</t>
  </si>
  <si>
    <t>152 Trần Khánh Dư, phường Rạch Giá, tỉnh An Giang</t>
  </si>
  <si>
    <t xml:space="preserve"> 68 U Minh 10, phường Rạch Giá, tỉnh An Giang</t>
  </si>
  <si>
    <t>Có GCN số CC 426843 do UBND Thành phố Rạch Giá cấp ngày 10/12/2015.</t>
  </si>
  <si>
    <t>1065/16 Lâm Quang Ky, Phường Rạch Giá, tỉnh An Giang</t>
  </si>
  <si>
    <t>Tổ 9A, Khu phố Hòa Lập, xã Kiên Lương, tỉnh An Giang</t>
  </si>
  <si>
    <t>39 Nguyễn Thông, phường Rạch Giá, tỉnh An Giang</t>
  </si>
  <si>
    <t>Có GCN số BU 484556 do UBND Thành phố Rạch Giá cấp ngày 18/9/2014.</t>
  </si>
  <si>
    <t>1065/12 Lâm Quang Ky, Phường Rạch Giá, tỉnh An Giang</t>
  </si>
  <si>
    <t>Có GCN số vào sổ CH 07011 do UBND Thành phố Rạch Giá cấp ngày 05/10/2014.</t>
  </si>
  <si>
    <t>1065/10 Lâm Quang Ky, Phường Rạch Giá, tỉnh An Giang</t>
  </si>
  <si>
    <t>986/12A Nguyễn Trung Trực, phường Rạch Giá, tỉnh An Giang</t>
  </si>
  <si>
    <t>796 Nguyễn Trung Trực, Phường Rạch Giá, tỉnh An Giang</t>
  </si>
  <si>
    <t>Có GCN số BN 678923 do UBND Thành phố Rạch Giá cấp ngày 23/8/2013.</t>
  </si>
  <si>
    <t>02 Trần Quang Khải, Phường Rạch Giá, tỉnh An Giang</t>
  </si>
  <si>
    <t>956/20/11 Nguyễn Trung Trực, Phường Rạch Giá, tỉnh An Giang</t>
  </si>
  <si>
    <t>186 Nguyễn An Ninh, phường Rạch Giá, tỉnh An Giang</t>
  </si>
  <si>
    <t>218 Ngô Quyền, phường Rạch Giá, tỉnh An Giang</t>
  </si>
  <si>
    <t>Có GCN số CA 581305 do UBND Thành phố Rạch Giá cấp ngày 24/8/2015.</t>
  </si>
  <si>
    <t>87 Nguyễn Bỉnh Khiêm, phường Rạch Giá, tỉnh An Giang</t>
  </si>
  <si>
    <t>888 Ngô Quyền, phường Rạch Giá, tỉnh An Giang</t>
  </si>
  <si>
    <t>08 Mai Văn Trương, phường Rạch Giá, tỉnh An Giang</t>
  </si>
  <si>
    <t>640 Lâm Quang Ky, phường Rạch Giá, tỉnh An Giang</t>
  </si>
  <si>
    <t>36 Lâm Quang Ky, phường Rạch Giá, tỉnh An Giang</t>
  </si>
  <si>
    <t>1067C/3 hẻm Lâm Quang Ky, phường Rạch Giá, tỉnh An Giang</t>
  </si>
  <si>
    <t>1067C/4 Lâm Quang Ky, Phường Rạch Giá, tỉnh An Giang</t>
  </si>
  <si>
    <t>96/9 Nguyễn Chí Thanh, phường Rạch Giá, tỉnh An Giang</t>
  </si>
  <si>
    <t>1067D Lâm Quang Ky, Phường Rạch Giá, tỉnh An Giang</t>
  </si>
  <si>
    <t>Có GCN số BN 715158 do UBND Thành phố Rạch Giá cấp ngày 21/06/2013.</t>
  </si>
  <si>
    <t>1067/2 Lâm Quang Ky, phường Rạch Giá, tỉnh An Giang</t>
  </si>
  <si>
    <t>Ấp Ngọc Hòa, xã Đông Hưng, tỉnh An Giang</t>
  </si>
  <si>
    <t>Có GCN số BX 048655 do UBND Thành phố Rạch giá cấp ngày 31/12/2014.</t>
  </si>
  <si>
    <t>Có GCN số BX 048656 do UBND Thành phố Rạch Giá cấp ngày 31/12/2014.</t>
  </si>
  <si>
    <t>Có GCN số BY 645467 do UBND Thành phố Rạch Giá cấp ngày 13/05/2015.</t>
  </si>
  <si>
    <t>Có GCN số BX 048657 do UBND Thành phố Rạch Giá cấp ngày 31/12/2014.</t>
  </si>
  <si>
    <t>Có GCN số BI 102086 do UBND Thành phố Rạch Giá cấp ngày 15/12/2011.</t>
  </si>
  <si>
    <t>986/33 Nguyễn Trung Trực, phường Rạch Giá, tỉnh An Giang</t>
  </si>
  <si>
    <t>986/31 Nguyễn Trung Trực, phường Rạch Giá, tỉnh An Giang</t>
  </si>
  <si>
    <t>Có GCN số BL 298034 do UBND Thành phố Rạch Giá cấp ngày 19/06/2012.</t>
  </si>
  <si>
    <t>Phần diện tích 4,8 m² (bờ kênh) nằm ngoài GCN, có cùng nguồn gốc và thời điểm sử dụng theo GCN BL 298034 do UBND Thành phố Rạch Giá cấp ngày 19/06/2012.</t>
  </si>
  <si>
    <t>Có GCN số BL 298033 do UBND Thành phố Rạch Giá cấp ngày 21/06/2012.</t>
  </si>
  <si>
    <t>Có GCN số BL 298032 do UBND Thành Phố Rạch Giá cấp ngày 19/06/2012</t>
  </si>
  <si>
    <t>Hoa trồng thành vườn D (m²)</t>
  </si>
  <si>
    <t>Có GCN quyền sở hữu nhà ở và Quyền sử dụng đất ở, hồ sơ gốc số 484 do UBND tỉnh Kiên Giang cấp ngày 10/11/1998.</t>
  </si>
  <si>
    <t>Tờ BĐ 85, thửa 37, diện tích đất ở 300,0 m²</t>
  </si>
  <si>
    <t>Đất trồng lúa-HLATGT (GCN)</t>
  </si>
  <si>
    <t xml:space="preserve">Đất trồng lúa-Ngoài GCN </t>
  </si>
  <si>
    <t>Đất trồng cây lâu năm (ngoài GCN)</t>
  </si>
  <si>
    <t>Sao E</t>
  </si>
  <si>
    <t>Bồ đề E</t>
  </si>
  <si>
    <t>Sộp H</t>
  </si>
  <si>
    <t>Nhàu G</t>
  </si>
  <si>
    <t>Bông trang Đ</t>
  </si>
  <si>
    <t>Sứ D</t>
  </si>
  <si>
    <t>Lộc Vừng Đ</t>
  </si>
  <si>
    <t>Bông trang E</t>
  </si>
  <si>
    <t>Mai chiếu thủy Đ</t>
  </si>
  <si>
    <t>Đinh lăng Đ</t>
  </si>
  <si>
    <t>Nhàu Đ</t>
  </si>
  <si>
    <t>Nhàu H</t>
  </si>
  <si>
    <t>Vối Đ</t>
  </si>
  <si>
    <t>Cách H</t>
  </si>
  <si>
    <t>Mai chiếu thủy E</t>
  </si>
  <si>
    <t>Lộc Vừng G</t>
  </si>
  <si>
    <t>Mai Đ</t>
  </si>
  <si>
    <t>Nguyệt quế E</t>
  </si>
  <si>
    <t>Mai E</t>
  </si>
  <si>
    <t>Cách G</t>
  </si>
  <si>
    <t>Đinh lăng E</t>
  </si>
  <si>
    <t>Gừa H</t>
  </si>
  <si>
    <t>Tra H</t>
  </si>
  <si>
    <t>Vối E</t>
  </si>
  <si>
    <t>Gòn E</t>
  </si>
  <si>
    <t>Bàng H</t>
  </si>
  <si>
    <t>Sứ E</t>
  </si>
  <si>
    <t>Cây xanh D</t>
  </si>
  <si>
    <t>Gừa Đ</t>
  </si>
  <si>
    <t>Bàng G</t>
  </si>
  <si>
    <t>Chùm ngây B (m2)</t>
  </si>
  <si>
    <t>Mai vàng Đ</t>
  </si>
  <si>
    <t>Bằng Lăng H</t>
  </si>
  <si>
    <t>Sầu đâu G</t>
  </si>
  <si>
    <t>Dừa biển E (kiểng)</t>
  </si>
  <si>
    <t>Thanh trà G</t>
  </si>
  <si>
    <t>Trúc bách hợp D</t>
  </si>
  <si>
    <t>Trúc bách hợp Đ</t>
  </si>
  <si>
    <t>Phát tài Đ</t>
  </si>
  <si>
    <t>Sứ cùi Đ</t>
  </si>
  <si>
    <t>Sứ cùi E</t>
  </si>
  <si>
    <t>Mai tứ quí Đ</t>
  </si>
  <si>
    <t>Mai tứ quí E</t>
  </si>
  <si>
    <t>Hoàng Lan Đ</t>
  </si>
  <si>
    <t>Cây vàng anh Đ</t>
  </si>
  <si>
    <t>Cây vàng anh E</t>
  </si>
  <si>
    <t>Nguyệt Quế Đ</t>
  </si>
  <si>
    <t>Chuỗi ngọc E</t>
  </si>
  <si>
    <t>Cau kiểng E</t>
  </si>
  <si>
    <t>Cau kiểng Đ</t>
  </si>
  <si>
    <t>Bằng lăng E</t>
  </si>
  <si>
    <t>Long não Đ</t>
  </si>
  <si>
    <t>Lụa H</t>
  </si>
  <si>
    <t>Mai thái Đ</t>
  </si>
  <si>
    <t>Hoàng nam E</t>
  </si>
  <si>
    <t>Dâu tầm ăn H</t>
  </si>
  <si>
    <t>Quao Đ</t>
  </si>
  <si>
    <t>Quao E</t>
  </si>
  <si>
    <t>Sộp G</t>
  </si>
  <si>
    <t>Tràm nước G</t>
  </si>
  <si>
    <t>Tràm nước H</t>
  </si>
  <si>
    <t>Chồi mồi H</t>
  </si>
  <si>
    <t>Điên điển H</t>
  </si>
  <si>
    <t xml:space="preserve">Tre gai cao từ 7m trở lên </t>
  </si>
  <si>
    <t xml:space="preserve">Tre gai cao từ 5m đến dưới 7m </t>
  </si>
  <si>
    <t>Ngô Quang Bình</t>
  </si>
  <si>
    <t>Đất trồng cây hàng năm-VT1 (GCN) -trừ VKT</t>
  </si>
  <si>
    <t>Lộc vừng G</t>
  </si>
  <si>
    <r>
      <t>m</t>
    </r>
    <r>
      <rPr>
        <vertAlign val="superscript"/>
        <sz val="11"/>
        <rFont val="Times New Roman"/>
        <family val="1"/>
      </rPr>
      <t>2</t>
    </r>
  </si>
  <si>
    <t>Có GCN số vào sổ 685/2002 QSDĐ/AH do UBND thành phố Rạch Giá cấp ngày</t>
  </si>
  <si>
    <t>Giá bồi thường về cây trồng theo Quyết định số 39/2024/QĐ-UBND ngày 11/12/2024 của UBND tỉnh Kiên Giang</t>
  </si>
  <si>
    <t>1965 - 0910 6500 1820</t>
  </si>
  <si>
    <t>Đất trồng cây hàng năm-VT1 (GCN)</t>
  </si>
  <si>
    <t>Lộc vừng H</t>
  </si>
  <si>
    <r>
      <t>08/4/2002. Tờ BĐ số 86, thửa 203, diện tích 937,70 m</t>
    </r>
    <r>
      <rPr>
        <vertAlign val="superscript"/>
        <sz val="11"/>
        <rFont val="Times New Roman"/>
        <family val="1"/>
      </rPr>
      <t>2</t>
    </r>
    <r>
      <rPr>
        <sz val="11"/>
        <rFont val="Times New Roman"/>
        <family val="1"/>
      </rPr>
      <t xml:space="preserve"> đất trồng lúa. </t>
    </r>
  </si>
  <si>
    <t>Giá bồi thường về vật kiến trúc theo Quyết định số 11/2025/QĐ-UBND ngày 31/3/2025 của UBND tỉnh Kiên Giang</t>
  </si>
  <si>
    <t>Đất trồng cây hàng năm-VT1 (GCN)-CĐN 02 khẩu</t>
  </si>
  <si>
    <t>Cây xanh G</t>
  </si>
  <si>
    <t>Nhà tiền chế NTC.01</t>
  </si>
  <si>
    <t xml:space="preserve">Giá hỗ trợ ổn định đời sống theo Thông báo số 559/TB-STC ngày 08/11/2025 của Sở Tài chính về tình hình giá cả </t>
  </si>
  <si>
    <t>Đất trồng cây hàng năm-VT1-CĐN 02 khẩu (ngoài GCN)</t>
  </si>
  <si>
    <t>Bằng Lăng G</t>
  </si>
  <si>
    <t>ĐT: 0913969556</t>
  </si>
  <si>
    <t>thị trường và công tác quản lý nhà nước về giá tháng 10 năm 2025 trên địa bàn tỉnh An Giang (giá trung bình là 16.688 đ/kg)</t>
  </si>
  <si>
    <t>Tỉ lệ mất đất: 100%</t>
  </si>
  <si>
    <t>Giá bồi thường về đất theo Quyết định số 392/QĐ-UBND ngày 26/6/2025 của UBND thành phố Rạch Giá</t>
  </si>
  <si>
    <t>Kinh doanh có đăng ký</t>
  </si>
  <si>
    <t>Hoa Kiểng F</t>
  </si>
  <si>
    <t>Cây liễu E</t>
  </si>
  <si>
    <t>Cam D</t>
  </si>
  <si>
    <t>Cau D</t>
  </si>
  <si>
    <t>Cát bằng E</t>
  </si>
  <si>
    <t>Cây giấm D</t>
  </si>
  <si>
    <t>Nguyễn Thị Mỳ</t>
  </si>
  <si>
    <t>Đất trồng cây hàng năm-VT1 (GCN) (hiện trạng tiếp giáp đường số 07)-trừ VKT</t>
  </si>
  <si>
    <t>Có GCN số BC 395179 do UBND thành phố Rạch Giá cấp ngày 22/12/2010</t>
  </si>
  <si>
    <t>1951 - 0701 5100 4288</t>
  </si>
  <si>
    <t>Đất trồng cây hàng năm-VT1 (GCN) (hiện trạng tiếp giáp đường số 07)-CĐN</t>
  </si>
  <si>
    <r>
      <t>Tờ BĐ số 86, thửa 280, diện tích 377,7 m</t>
    </r>
    <r>
      <rPr>
        <vertAlign val="superscript"/>
        <sz val="11"/>
        <rFont val="Times New Roman"/>
        <family val="1"/>
      </rPr>
      <t>2</t>
    </r>
    <r>
      <rPr>
        <sz val="11"/>
        <rFont val="Times New Roman"/>
        <family val="1"/>
      </rPr>
      <t xml:space="preserve"> đất trồng lúa. </t>
    </r>
  </si>
  <si>
    <t>ĐT: 0938496469</t>
  </si>
  <si>
    <t>Đinh Văn To</t>
  </si>
  <si>
    <t>Đất trồng cây hàng năm-VT1 (GCN) (hiện trạng tiếp giáp đường số 07)</t>
  </si>
  <si>
    <t>Dừa kiểng E</t>
  </si>
  <si>
    <t>Có GCN số BL 298423 do UBND thành phố Rạch Giá cấp ngày 04/7/2012</t>
  </si>
  <si>
    <t>1956 - 0910 5600 4838</t>
  </si>
  <si>
    <r>
      <t>Tờ BĐ số 86, thửa 248, diện tích 1.459,6 m</t>
    </r>
    <r>
      <rPr>
        <vertAlign val="superscript"/>
        <sz val="11"/>
        <rFont val="Times New Roman"/>
        <family val="1"/>
      </rPr>
      <t>2</t>
    </r>
    <r>
      <rPr>
        <sz val="11"/>
        <rFont val="Times New Roman"/>
        <family val="1"/>
      </rPr>
      <t xml:space="preserve"> đất trồng lúa. </t>
    </r>
  </si>
  <si>
    <t>Đất trồng cây hàng năm-VT1 (GCN)(hiện trạng tiếp giáp đường số 07)-CĐN 04 khẩu</t>
  </si>
  <si>
    <t>Bạch đàn chanh E</t>
  </si>
  <si>
    <t>Đất trồng cây hàng năm-VT1 (GCN) (hiện trạng tiếp giáp đường số 07, ngoài GCN)-CĐN 04 khẩu</t>
  </si>
  <si>
    <t>Trúc từ 20 đến dưới 50 cây/bụi</t>
  </si>
  <si>
    <t>Lụa G</t>
  </si>
  <si>
    <t>Trâm gỗ G</t>
  </si>
  <si>
    <t>Dông nem H</t>
  </si>
  <si>
    <r>
      <t>Lá dừa nước (m</t>
    </r>
    <r>
      <rPr>
        <vertAlign val="superscript"/>
        <sz val="11"/>
        <rFont val="Times New Roman"/>
        <family val="1"/>
      </rPr>
      <t>2</t>
    </r>
    <r>
      <rPr>
        <sz val="11"/>
        <rFont val="Times New Roman"/>
        <family val="1"/>
      </rPr>
      <t>)</t>
    </r>
  </si>
  <si>
    <r>
      <t>Sả A (m</t>
    </r>
    <r>
      <rPr>
        <vertAlign val="superscript"/>
        <sz val="11"/>
        <rFont val="Times New Roman"/>
        <family val="1"/>
      </rPr>
      <t>2</t>
    </r>
    <r>
      <rPr>
        <sz val="11"/>
        <rFont val="Times New Roman"/>
        <family val="1"/>
      </rPr>
      <t>)</t>
    </r>
  </si>
  <si>
    <t>Lư Phương Chi</t>
  </si>
  <si>
    <t>Đất trồng cây hàng năm-VT1-CĐN (GCN)</t>
  </si>
  <si>
    <t>Có GCN số BN 715820 do UBND thành phố Rạch Giá cấp ngày 23/4/2013</t>
  </si>
  <si>
    <t>1994 - 0911 9400 8898</t>
  </si>
  <si>
    <t>Đất trồng cây hàng năm-VT1-CĐN (ngoài GCN)</t>
  </si>
  <si>
    <r>
      <t>Tờ BĐ số 86, thửa 332, diện tích 2.046,5 m</t>
    </r>
    <r>
      <rPr>
        <vertAlign val="superscript"/>
        <sz val="11"/>
        <rFont val="Times New Roman"/>
        <family val="1"/>
      </rPr>
      <t>2</t>
    </r>
    <r>
      <rPr>
        <sz val="11"/>
        <rFont val="Times New Roman"/>
        <family val="1"/>
      </rPr>
      <t xml:space="preserve"> đất trồng lúa. </t>
    </r>
  </si>
  <si>
    <t>Số 178/12 đường Chi Lăng, phường Rạch Giá, tỉnh An Giang</t>
  </si>
  <si>
    <t>ĐT: 0941231459</t>
  </si>
  <si>
    <t>Hỗ trợ CĐN theo giấy xác nhận đối tượng trực tiếp sản xuất NN (mẫu 7) của UBND phường Rạch Giá</t>
  </si>
  <si>
    <t>Nguyễn Nhật Nghiêm</t>
  </si>
  <si>
    <t>Có GCN số T 935133 do UBND thành phố Rạch Giá cấp ngày 28/01/2002</t>
  </si>
  <si>
    <t>1951 - 0400 5100 4222</t>
  </si>
  <si>
    <t>Đất trồng cây hàng năm-VT1 (GCN)-CĐN 05 khẩu</t>
  </si>
  <si>
    <r>
      <t>Tờ BĐ số 86, thửa 32, diện tích 1.919,90 m</t>
    </r>
    <r>
      <rPr>
        <vertAlign val="superscript"/>
        <sz val="11"/>
        <rFont val="Times New Roman"/>
        <family val="1"/>
      </rPr>
      <t>2</t>
    </r>
    <r>
      <rPr>
        <sz val="11"/>
        <rFont val="Times New Roman"/>
        <family val="1"/>
      </rPr>
      <t xml:space="preserve"> đất trồng lúa. </t>
    </r>
  </si>
  <si>
    <t>ĐT: 0387033452</t>
  </si>
  <si>
    <t>Đất trồng cây hàng năm-VT1-CĐN</t>
  </si>
  <si>
    <t>Có GCN số BN 715655 do UBND thành phố Rạch Giá cấp ngày 17/5/2013</t>
  </si>
  <si>
    <r>
      <t>Tờ BĐ số 86, thửa 33, diện tích 2.234,7 m</t>
    </r>
    <r>
      <rPr>
        <vertAlign val="superscript"/>
        <sz val="11"/>
        <rFont val="Times New Roman"/>
        <family val="1"/>
      </rPr>
      <t>2</t>
    </r>
    <r>
      <rPr>
        <sz val="11"/>
        <rFont val="Times New Roman"/>
        <family val="1"/>
      </rPr>
      <t xml:space="preserve"> đất trồng lúa. </t>
    </r>
  </si>
  <si>
    <t>Số 986/33 đường Nguyễn Trung Trực, phường Rạch Giá, tỉnh An Giang</t>
  </si>
  <si>
    <t>ĐT: 0908040545</t>
  </si>
  <si>
    <t xml:space="preserve">Hồ Đức Cường </t>
  </si>
  <si>
    <t>Đất trồng cây lâu năm-VT1-CĐN</t>
  </si>
  <si>
    <t>Có GCN số BA 108240 do UBND thành phố Rạch Giá cấp ngày 19/06/2010</t>
  </si>
  <si>
    <t>1982 - 0460 8201 1007</t>
  </si>
  <si>
    <r>
      <t>Tờ BĐ số 86, thửa 277, diện tích 536 m</t>
    </r>
    <r>
      <rPr>
        <vertAlign val="superscript"/>
        <sz val="11"/>
        <rFont val="Times New Roman"/>
        <family val="1"/>
      </rPr>
      <t>2</t>
    </r>
    <r>
      <rPr>
        <sz val="11"/>
        <rFont val="Times New Roman"/>
        <family val="1"/>
      </rPr>
      <t xml:space="preserve"> đất trồng cây lâu năm. </t>
    </r>
  </si>
  <si>
    <t>Số 694A đường Lâm Quang Ky, phường Rạch Giá, tỉnh An Giang</t>
  </si>
  <si>
    <t>Hoàng Khánh Vân</t>
  </si>
  <si>
    <t>Đất trồng cây lâu năm-VT1</t>
  </si>
  <si>
    <t>Có GCN số BC 395209 do UBND thành phố Rạch Giá cấp ngày 13/12/2010</t>
  </si>
  <si>
    <t>1954 - 0400 5401 8571</t>
  </si>
  <si>
    <t>Đất trồng cây lâu năm-VT1-(ngoài GCN)</t>
  </si>
  <si>
    <r>
      <t>Tờ BĐ số 86, thửa 44, diện tích 1.600 m</t>
    </r>
    <r>
      <rPr>
        <vertAlign val="superscript"/>
        <sz val="11"/>
        <rFont val="Times New Roman"/>
        <family val="1"/>
      </rPr>
      <t xml:space="preserve">2 </t>
    </r>
    <r>
      <rPr>
        <sz val="11"/>
        <rFont val="Times New Roman"/>
        <family val="1"/>
      </rPr>
      <t xml:space="preserve">đất trồng cây lâu năm. </t>
    </r>
  </si>
  <si>
    <t>ĐT: 0942477478</t>
  </si>
  <si>
    <t>Hà Quang Minh</t>
  </si>
  <si>
    <t>Đất trồng cây hàng năm-VT1-CĐN 03 nhân khẩu</t>
  </si>
  <si>
    <t>Có GCN số X 244053 do UBND thành phố Rạch Giá cấp ngày 15/4/2003</t>
  </si>
  <si>
    <t>1998 - 0910 9800 2201</t>
  </si>
  <si>
    <t>Đất trồng cây hàng năm-VT1</t>
  </si>
  <si>
    <r>
      <t>Tờ BĐ số 86, thửa 194, diện tích 839,40 m</t>
    </r>
    <r>
      <rPr>
        <vertAlign val="superscript"/>
        <sz val="11"/>
        <rFont val="Times New Roman"/>
        <family val="1"/>
      </rPr>
      <t xml:space="preserve">2 </t>
    </r>
    <r>
      <rPr>
        <sz val="11"/>
        <rFont val="Times New Roman"/>
        <family val="1"/>
      </rPr>
      <t xml:space="preserve">đất trồng lúa. </t>
    </r>
  </si>
  <si>
    <t>Số 501A đường Nguyễn Trung Trực, phường Rạch Giá, tỉnh An Giang</t>
  </si>
  <si>
    <t>Đất trồng cây hàng năm-VT1-(ngoài GCN)</t>
  </si>
  <si>
    <t>ĐT: 0913740202</t>
  </si>
  <si>
    <t>đối với 03 nhân khẩu, 01 nhân khẩu còn lại không hỗ trợ do có nghề nghiệp là cán bộ hưu trí</t>
  </si>
  <si>
    <t>Nguyễn Thị Liên</t>
  </si>
  <si>
    <t>Đất trồng cây hàng năm-VT1-CĐN 02 nhân khẩu</t>
  </si>
  <si>
    <t>Có GCN số X 244052 do UBND thành phố Rạch Giá cấp ngày 15/4/2003</t>
  </si>
  <si>
    <t>1971 - 0421 7101 7226</t>
  </si>
  <si>
    <r>
      <t>Tờ BĐ số 86, thửa 195, diện tích 419,80 m</t>
    </r>
    <r>
      <rPr>
        <vertAlign val="superscript"/>
        <sz val="11"/>
        <rFont val="Times New Roman"/>
        <family val="1"/>
      </rPr>
      <t xml:space="preserve">2 </t>
    </r>
    <r>
      <rPr>
        <sz val="11"/>
        <rFont val="Times New Roman"/>
        <family val="1"/>
      </rPr>
      <t xml:space="preserve">đất trồng lúa. </t>
    </r>
  </si>
  <si>
    <t>Số 2D đường Sư Thiện Ân, phường Rạch Giá, tỉnh An Giang</t>
  </si>
  <si>
    <t>ĐT: 0913197446</t>
  </si>
  <si>
    <t>đối với 02 nhân khẩu, 02 nhân khẩu còn lại không hỗ trợ do có nghề nghiệp là công chức, viên chức</t>
  </si>
  <si>
    <t>Nguyễn Lê Nam Anh</t>
  </si>
  <si>
    <t>Có GCN số X 244051 do UBND thành phố Rạch Giá cấp ngày 15/4/2003</t>
  </si>
  <si>
    <t>2000 - 0912 0001 3217</t>
  </si>
  <si>
    <r>
      <t>Tờ BĐ số 86, thửa 203, diện tích 419,80 m</t>
    </r>
    <r>
      <rPr>
        <vertAlign val="superscript"/>
        <sz val="11"/>
        <rFont val="Times New Roman"/>
        <family val="1"/>
      </rPr>
      <t xml:space="preserve">2 </t>
    </r>
    <r>
      <rPr>
        <sz val="11"/>
        <rFont val="Times New Roman"/>
        <family val="1"/>
      </rPr>
      <t xml:space="preserve">đất trồng lúa. </t>
    </r>
  </si>
  <si>
    <t>Số 67 đường Chu Văn An, phường Rạch Giá, tỉnh An Giang</t>
  </si>
  <si>
    <t>ĐT: 0918123237</t>
  </si>
  <si>
    <t>đối với 02 nhân khẩu, 02 nhân khẩu còn lại không hỗ trợ do có nghề nghiệp là cán bộ hưu trí, viên chức</t>
  </si>
  <si>
    <t>Tô Thị Minh Hoãn</t>
  </si>
  <si>
    <t>Có GCN số CC 480060 do UBND thành phố Rạch Giá cấp ngày 10/12/2015</t>
  </si>
  <si>
    <t>1975 - 0911 7500 0542</t>
  </si>
  <si>
    <r>
      <t>Tờ BĐ số 86, thửa 60, diện tích 425,05 m</t>
    </r>
    <r>
      <rPr>
        <vertAlign val="superscript"/>
        <sz val="11"/>
        <rFont val="Times New Roman"/>
        <family val="1"/>
      </rPr>
      <t xml:space="preserve">2 </t>
    </r>
    <r>
      <rPr>
        <sz val="11"/>
        <rFont val="Times New Roman"/>
        <family val="1"/>
      </rPr>
      <t xml:space="preserve">đất trồng lúa. </t>
    </r>
  </si>
  <si>
    <t>Ấp Bãi Nhà A, đặc khu Kiên Hải, tỉnh An Giang</t>
  </si>
  <si>
    <t>ĐT: 0888999131</t>
  </si>
  <si>
    <t>Lê Bá Tý</t>
  </si>
  <si>
    <t>Có GCN số X 121067 do UBND thành phố Rạch Giá cấp ngày 05/8/2003</t>
  </si>
  <si>
    <t>1972 - 0380 7201 4252</t>
  </si>
  <si>
    <r>
      <t>Tờ BĐ số 86, thửa 226, diện tích 425,05 m</t>
    </r>
    <r>
      <rPr>
        <vertAlign val="superscript"/>
        <sz val="11"/>
        <rFont val="Times New Roman"/>
        <family val="1"/>
      </rPr>
      <t xml:space="preserve">2 </t>
    </r>
    <r>
      <rPr>
        <sz val="11"/>
        <rFont val="Times New Roman"/>
        <family val="1"/>
      </rPr>
      <t xml:space="preserve">đất trồng lúa. </t>
    </r>
  </si>
  <si>
    <t>Ấp Bãi Bấc, đặc khu Kiên Hải, tỉnh An Giang</t>
  </si>
  <si>
    <t>ĐT: 0943476131</t>
  </si>
  <si>
    <t>Trần Thị Hà</t>
  </si>
  <si>
    <t>Có GCN số X 121049 do UBND thành phố Rạch Giá cấp ngày 08/8/2003</t>
  </si>
  <si>
    <t>1956 - 0341 5601 5243</t>
  </si>
  <si>
    <r>
      <t>Tờ BĐ số 86, thửa 208, diện tích 771,30 m</t>
    </r>
    <r>
      <rPr>
        <vertAlign val="superscript"/>
        <sz val="11"/>
        <rFont val="Times New Roman"/>
        <family val="1"/>
      </rPr>
      <t xml:space="preserve">2 </t>
    </r>
    <r>
      <rPr>
        <sz val="11"/>
        <rFont val="Times New Roman"/>
        <family val="1"/>
      </rPr>
      <t xml:space="preserve">đất trồng lúa. </t>
    </r>
  </si>
  <si>
    <t>Số 546 đường Lâm Quang Ky, phường Rạch Giá, tỉnh An Giang</t>
  </si>
  <si>
    <t>ĐT: 0918667810 (Hương)</t>
  </si>
  <si>
    <t xml:space="preserve">Lâm Hồng Nam </t>
  </si>
  <si>
    <t>Có GCN số U 867626 do UBND thành phố Rạch Giá cấp ngày 14/8/2002</t>
  </si>
  <si>
    <t>1977 - 0340 7701 7678</t>
  </si>
  <si>
    <t>Tràm bông vàng G</t>
  </si>
  <si>
    <r>
      <t>Tờ BĐ số 86, thửa 45, diện tích 1.762,50 m</t>
    </r>
    <r>
      <rPr>
        <vertAlign val="superscript"/>
        <sz val="11"/>
        <rFont val="Times New Roman"/>
        <family val="1"/>
      </rPr>
      <t xml:space="preserve">2 </t>
    </r>
    <r>
      <rPr>
        <sz val="11"/>
        <rFont val="Times New Roman"/>
        <family val="1"/>
      </rPr>
      <t xml:space="preserve">đất trồng lúa. </t>
    </r>
  </si>
  <si>
    <t>Bạch đàn chanh Đ</t>
  </si>
  <si>
    <t>ĐT: 0945670899</t>
  </si>
  <si>
    <t>Nguyễn An Trúc</t>
  </si>
  <si>
    <t>Có GCN số AG 010259 do UBND thành phố Rạch Giá cấp ngày 25/9/2006</t>
  </si>
  <si>
    <t>1978 - 0911 7801 7207</t>
  </si>
  <si>
    <t>Đất trồng cây hàng năm-VT1-giáp hẻm đường NTTrực độ rộng mặt đường từ 3,5 m đến dưới 6 m trong phạm vi 30 mét</t>
  </si>
  <si>
    <r>
      <t>Tờ BĐ số 86, thửa 61, diện tích 988,30 m</t>
    </r>
    <r>
      <rPr>
        <vertAlign val="superscript"/>
        <sz val="11"/>
        <rFont val="Times New Roman"/>
        <family val="1"/>
      </rPr>
      <t xml:space="preserve">2 </t>
    </r>
    <r>
      <rPr>
        <sz val="11"/>
        <rFont val="Times New Roman"/>
        <family val="1"/>
      </rPr>
      <t xml:space="preserve">đất trồng cây hàng năm khác. </t>
    </r>
  </si>
  <si>
    <t>Nguyễn Văn Thống</t>
  </si>
  <si>
    <t>Đất trồng cây hàng năm-VT1 (ngoài GCN)</t>
  </si>
  <si>
    <t>ĐT: 0949974979</t>
  </si>
  <si>
    <t>1976 - 0910 7601 7487</t>
  </si>
  <si>
    <t>Tràm nước C</t>
  </si>
  <si>
    <t>Sao đen E</t>
  </si>
  <si>
    <t>Trần Thị Thu Hà (GCN Thái Thị Kim Lanh)</t>
  </si>
  <si>
    <t>Đất trồng cây lâu năm-VT1-trừ VKT</t>
  </si>
  <si>
    <t>Nhà tiền chế NTC.02</t>
  </si>
  <si>
    <t>Ngày 29/12/2006 bà Thái Thị Kim Lanh chuyển nhượng cho ông Lê Doãn Phú, Trần Thanh Tâm và</t>
  </si>
  <si>
    <t>1975 - 0911 7500 4363</t>
  </si>
  <si>
    <t>Đất trồng cây lâu năm-VT1-giáp hẻm đường NTTrực độ rộng mặt đường từ 3,5 m đến dưới 6 m trong phạm vi 30 mét-trừ VKT</t>
  </si>
  <si>
    <t>bà Lê Thị Quý thửa đất tại hẻm 986 chiều ngang 5 m dài 45 m (giấy tay) nằm trong GCN số AG 015360 do</t>
  </si>
  <si>
    <t>UBND thành phố Rạch Giá cấp ngày 28/12/2006, tờ BĐ số 86, thửa 233, diện tích 2.577,30 m² đất CLN do Bà Thái Thị Kim Lanh đứng tên</t>
  </si>
  <si>
    <t xml:space="preserve">Chồng: Lê Doãn Phú </t>
  </si>
  <si>
    <t>Nhà cất 2006</t>
  </si>
  <si>
    <t>1969 - 0380 6903 2737</t>
  </si>
  <si>
    <t>ĐT: 0816667662</t>
  </si>
  <si>
    <t>Hạnh D</t>
  </si>
  <si>
    <r>
      <t>m</t>
    </r>
    <r>
      <rPr>
        <vertAlign val="superscript"/>
        <sz val="11"/>
        <rFont val="Times New Roman"/>
        <family val="1"/>
      </rPr>
      <t>3</t>
    </r>
  </si>
  <si>
    <t>Cây bối A</t>
  </si>
  <si>
    <r>
      <t>Mía A (m</t>
    </r>
    <r>
      <rPr>
        <vertAlign val="superscript"/>
        <sz val="11"/>
        <rFont val="Times New Roman"/>
        <family val="1"/>
      </rPr>
      <t>2</t>
    </r>
    <r>
      <rPr>
        <sz val="11"/>
        <rFont val="Times New Roman"/>
        <family val="1"/>
      </rPr>
      <t>)</t>
    </r>
  </si>
  <si>
    <t>Lê Thị Thanh Thúy</t>
  </si>
  <si>
    <t>Nhà cất 2015 trên đất Lê Doãn Phú</t>
  </si>
  <si>
    <t>1999 - 0911 9901 2308</t>
  </si>
  <si>
    <t>Trần Thanh Lâm (GCN Thái Thị Kim Lanh)</t>
  </si>
  <si>
    <t>Ngày 29/12/2006 bà Thái Thị Kim Lanh chuyển nhượng cho ông Lê Doãn Phú, Trần Thanh Tâm và bà</t>
  </si>
  <si>
    <t>1979 - 0910 7900 7719</t>
  </si>
  <si>
    <t>Lê Thị Quý thửa đất tại hẻm 986 chiều ngang 5 m dài 45 m (giấy tay) nằm trong GCN số AG 015360 do UBND</t>
  </si>
  <si>
    <t>thành phố Rạch Giá cấp ngày 28/12/2006, tờ BĐ số 86, thửa 233, diện tích 2.577,30 m² đất CLN do Bà Thái Thị Kim Lanh đứng tên</t>
  </si>
  <si>
    <t>Nhà cất 2015</t>
  </si>
  <si>
    <t>Thái Thị Kim Lanh</t>
  </si>
  <si>
    <t>Có GCN số AG 015360 do UBND thành phố Rạch Giá cấp ngày 28/12/2006</t>
  </si>
  <si>
    <t>1963 - 0911 6300 5325</t>
  </si>
  <si>
    <r>
      <t>Tờ BĐ số 86, thửa 233, diện tích 2.577,30 m</t>
    </r>
    <r>
      <rPr>
        <vertAlign val="superscript"/>
        <sz val="11"/>
        <rFont val="Times New Roman"/>
        <family val="1"/>
      </rPr>
      <t xml:space="preserve">2 </t>
    </r>
    <r>
      <rPr>
        <sz val="11"/>
        <rFont val="Times New Roman"/>
        <family val="1"/>
      </rPr>
      <t>đất trồng cây lâu năm</t>
    </r>
  </si>
  <si>
    <t>Đất trồng cây lâu năm-VT1-giáp hẻm đường NTTrực độ rộng mặt đường từ 3,5 m đến dưới 6 m trong phạm vi 30 mét-CĐN</t>
  </si>
  <si>
    <t>Công trình nhà trọ có quyết định số 319/QĐ-UBND ngày 15/110/2018 xử phạt VPHC về lĩnh vực xây dựng</t>
  </si>
  <si>
    <t>Nhà trọ xây dựng năm 2017</t>
  </si>
  <si>
    <t>Xà cừ E</t>
  </si>
  <si>
    <r>
      <t>m</t>
    </r>
    <r>
      <rPr>
        <vertAlign val="superscript"/>
        <sz val="11"/>
        <rFont val="Times New Roman"/>
        <family val="1"/>
      </rPr>
      <t>3</t>
    </r>
    <r>
      <rPr>
        <sz val="11"/>
        <color theme="1"/>
        <rFont val="Calibri"/>
        <family val="2"/>
        <scheme val="minor"/>
      </rPr>
      <t/>
    </r>
  </si>
  <si>
    <r>
      <t>m</t>
    </r>
    <r>
      <rPr>
        <vertAlign val="superscript"/>
        <sz val="11"/>
        <rFont val="Times New Roman"/>
        <family val="1"/>
      </rPr>
      <t>4</t>
    </r>
    <r>
      <rPr>
        <sz val="11"/>
        <color theme="1"/>
        <rFont val="Calibri"/>
        <family val="2"/>
        <scheme val="minor"/>
      </rPr>
      <t/>
    </r>
  </si>
  <si>
    <t>Trường cao đẳng nghề Kiên Giang</t>
  </si>
  <si>
    <t>Đất xây dựng cơ sở giáo dục và đào tạo</t>
  </si>
  <si>
    <t>Bình linh E</t>
  </si>
  <si>
    <t>Tường rào xây 20 tô 2 mặt, trụ BTCT, móng BTCT HR.02</t>
  </si>
  <si>
    <r>
      <t>m</t>
    </r>
    <r>
      <rPr>
        <vertAlign val="superscript"/>
        <sz val="10"/>
        <rFont val="Times New Roman"/>
        <family val="1"/>
      </rPr>
      <t>2</t>
    </r>
  </si>
  <si>
    <t>Có GCN số vào sổ TQ 33611 do UBND tỉnh Kiên Giang cấp ngày 06/11/2009</t>
  </si>
  <si>
    <r>
      <t>Tờ BĐ số      , thửa     , diện tích 44.971,1m</t>
    </r>
    <r>
      <rPr>
        <vertAlign val="superscript"/>
        <sz val="10"/>
        <rFont val="Times New Roman"/>
        <family val="1"/>
      </rPr>
      <t xml:space="preserve">2 </t>
    </r>
    <r>
      <rPr>
        <sz val="10"/>
        <rFont val="Times New Roman"/>
        <family val="1"/>
      </rPr>
      <t>đất cơ sở giáo dục - đào tạo (xây dựng trường dạy nghề)</t>
    </r>
  </si>
  <si>
    <t>Hàng rào xây tường 20 tô 2 mặt, khung lưới B40, trụ BTCT, móng BTCT HR.06</t>
  </si>
  <si>
    <t>Nguyễn Thanh Giang</t>
  </si>
  <si>
    <t>Đất trồng cây hàng năm-VT1-CĐN giáp hẻm đường NTTrực độ rộng mặt đường từ 3,5 m đến dưới 6 m</t>
  </si>
  <si>
    <t>Nhà T.23</t>
  </si>
  <si>
    <t>tolV</t>
  </si>
  <si>
    <t>BT</t>
  </si>
  <si>
    <t>gỗ&gt;10</t>
  </si>
  <si>
    <t>Có GCN số DN 975540 do UBND thành phố Rạch Giá cấp ngày 01/4/2024</t>
  </si>
  <si>
    <t>1978 - 0910 7800 0329</t>
  </si>
  <si>
    <t>Đất ở đô thị-VT4</t>
  </si>
  <si>
    <r>
      <t>Tờ BĐ số 86, thửa 59, diện tích 445,90 m</t>
    </r>
    <r>
      <rPr>
        <vertAlign val="superscript"/>
        <sz val="10"/>
        <rFont val="Times New Roman"/>
        <family val="1"/>
      </rPr>
      <t xml:space="preserve">2, </t>
    </r>
    <r>
      <rPr>
        <sz val="10"/>
        <rFont val="Times New Roman"/>
        <family val="1"/>
      </rPr>
      <t>đất ODT: 150,0m</t>
    </r>
    <r>
      <rPr>
        <vertAlign val="superscript"/>
        <sz val="10"/>
        <rFont val="Times New Roman"/>
        <family val="1"/>
      </rPr>
      <t xml:space="preserve">2,  </t>
    </r>
    <r>
      <rPr>
        <sz val="10"/>
        <rFont val="Times New Roman"/>
        <family val="1"/>
      </rPr>
      <t>đất chuyên trồng lúa nước: 295,9m</t>
    </r>
    <r>
      <rPr>
        <vertAlign val="superscript"/>
        <sz val="10"/>
        <rFont val="Times New Roman"/>
        <family val="1"/>
      </rPr>
      <t>2</t>
    </r>
  </si>
  <si>
    <t>Đào Thị Nhi</t>
  </si>
  <si>
    <r>
      <t>m</t>
    </r>
    <r>
      <rPr>
        <vertAlign val="superscript"/>
        <sz val="10"/>
        <rFont val="Times New Roman"/>
        <family val="1"/>
      </rPr>
      <t>3</t>
    </r>
  </si>
  <si>
    <t xml:space="preserve">Có GCN số T935963 do UBND thị xã Rạch Giá cấp ngày        /3/2001                            </t>
  </si>
  <si>
    <t>1970- 0911 7001 1454</t>
  </si>
  <si>
    <t>Đất ở đô thị-VT3</t>
  </si>
  <si>
    <r>
      <t>Tờ BĐ số 86, thửa 154, diện tích 664,4 m</t>
    </r>
    <r>
      <rPr>
        <vertAlign val="superscript"/>
        <sz val="10"/>
        <rFont val="Times New Roman"/>
        <family val="1"/>
      </rPr>
      <t xml:space="preserve">2, </t>
    </r>
    <r>
      <rPr>
        <sz val="10"/>
        <rFont val="Times New Roman"/>
        <family val="1"/>
      </rPr>
      <t>đất ODT: 49,9m</t>
    </r>
    <r>
      <rPr>
        <vertAlign val="superscript"/>
        <sz val="10"/>
        <rFont val="Times New Roman"/>
        <family val="1"/>
      </rPr>
      <t xml:space="preserve">2,  </t>
    </r>
    <r>
      <rPr>
        <sz val="10"/>
        <rFont val="Times New Roman"/>
        <family val="1"/>
      </rPr>
      <t>Đất lúa: 614,5m</t>
    </r>
    <r>
      <rPr>
        <vertAlign val="superscript"/>
        <sz val="10"/>
        <rFont val="Times New Roman"/>
        <family val="1"/>
      </rPr>
      <t>2</t>
    </r>
  </si>
  <si>
    <t>Trần Thị Thủy</t>
  </si>
  <si>
    <t xml:space="preserve">Có GCN số T935205 do UBND thị xã Rạch Giá cấp ngày 27/2/2002                            </t>
  </si>
  <si>
    <t>1970 - 0911 7000 1120</t>
  </si>
  <si>
    <r>
      <t>Tờ BĐ số 86, thửa 165, diện tích 664,4 m</t>
    </r>
    <r>
      <rPr>
        <vertAlign val="superscript"/>
        <sz val="10"/>
        <rFont val="Times New Roman"/>
        <family val="1"/>
      </rPr>
      <t xml:space="preserve">2, </t>
    </r>
    <r>
      <rPr>
        <sz val="10"/>
        <rFont val="Times New Roman"/>
        <family val="1"/>
      </rPr>
      <t>đất ODT: 100,0m</t>
    </r>
    <r>
      <rPr>
        <vertAlign val="superscript"/>
        <sz val="10"/>
        <rFont val="Times New Roman"/>
        <family val="1"/>
      </rPr>
      <t xml:space="preserve">2,  </t>
    </r>
    <r>
      <rPr>
        <sz val="10"/>
        <rFont val="Times New Roman"/>
        <family val="1"/>
      </rPr>
      <t>Đất lúa: 68,5m</t>
    </r>
    <r>
      <rPr>
        <vertAlign val="superscript"/>
        <sz val="10"/>
        <rFont val="Times New Roman"/>
        <family val="1"/>
      </rPr>
      <t>2</t>
    </r>
  </si>
  <si>
    <r>
      <t>Lá dừa nước (m</t>
    </r>
    <r>
      <rPr>
        <vertAlign val="superscript"/>
        <sz val="10"/>
        <rFont val="Times New Roman"/>
        <family val="1"/>
      </rPr>
      <t>2</t>
    </r>
    <r>
      <rPr>
        <sz val="10"/>
        <rFont val="Times New Roman"/>
        <family val="1"/>
      </rPr>
      <t>)</t>
    </r>
  </si>
  <si>
    <t>Trần Vũ Toàn</t>
  </si>
  <si>
    <t xml:space="preserve">Có GCN số BI 854527 do UBND thành phố Rạch Giá cấp ngày 04/04/2012                   </t>
  </si>
  <si>
    <t>1979 - 0910 7900 0532</t>
  </si>
  <si>
    <r>
      <t>Tờ BĐ số 86, thửa 314, diện tích 125,0 m</t>
    </r>
    <r>
      <rPr>
        <vertAlign val="superscript"/>
        <sz val="10"/>
        <rFont val="Times New Roman"/>
        <family val="1"/>
      </rPr>
      <t xml:space="preserve">2, </t>
    </r>
    <r>
      <rPr>
        <sz val="10"/>
        <rFont val="Times New Roman"/>
        <family val="1"/>
      </rPr>
      <t>đất ODT: 50,0m</t>
    </r>
    <r>
      <rPr>
        <vertAlign val="superscript"/>
        <sz val="10"/>
        <rFont val="Times New Roman"/>
        <family val="1"/>
      </rPr>
      <t xml:space="preserve">2,  </t>
    </r>
    <r>
      <rPr>
        <sz val="10"/>
        <rFont val="Times New Roman"/>
        <family val="1"/>
      </rPr>
      <t>Đất trồng lúa: 75,0m</t>
    </r>
    <r>
      <rPr>
        <vertAlign val="superscript"/>
        <sz val="10"/>
        <rFont val="Times New Roman"/>
        <family val="1"/>
      </rPr>
      <t>2</t>
    </r>
  </si>
  <si>
    <t xml:space="preserve">Có GCN số CL 853804 do Sở tài nguyên Môi trường cấp ngày 14/3/2018                            </t>
  </si>
  <si>
    <t>Đất ở đô thị-VT5</t>
  </si>
  <si>
    <t>Gừa G</t>
  </si>
  <si>
    <t>xm</t>
  </si>
  <si>
    <r>
      <t>Tờ BĐ số 86, thửa 167, diện tích 2890,2m</t>
    </r>
    <r>
      <rPr>
        <vertAlign val="superscript"/>
        <sz val="10"/>
        <rFont val="Times New Roman"/>
        <family val="1"/>
      </rPr>
      <t xml:space="preserve">2, </t>
    </r>
    <r>
      <rPr>
        <sz val="10"/>
        <rFont val="Times New Roman"/>
        <family val="1"/>
      </rPr>
      <t>đất ODT: 96,0m</t>
    </r>
    <r>
      <rPr>
        <vertAlign val="superscript"/>
        <sz val="10"/>
        <rFont val="Times New Roman"/>
        <family val="1"/>
      </rPr>
      <t xml:space="preserve">2,  </t>
    </r>
    <r>
      <rPr>
        <sz val="10"/>
        <rFont val="Times New Roman"/>
        <family val="1"/>
      </rPr>
      <t>Đất trồng cây lâu năm: 2794,2m</t>
    </r>
    <r>
      <rPr>
        <vertAlign val="superscript"/>
        <sz val="10"/>
        <rFont val="Times New Roman"/>
        <family val="1"/>
      </rPr>
      <t>2</t>
    </r>
  </si>
  <si>
    <t>Đất trồng cây lâu năm-VT1-CĐN giáp hẻm đường NTTrực độ rộng mặt đường từ 3,5 m đến dưới 6 m-trừ VKT</t>
  </si>
  <si>
    <t>Sê nô (sàn BTCT)</t>
  </si>
  <si>
    <t>Số khẩu và tỷ lệ mất đất đã xét PA 10</t>
  </si>
  <si>
    <t>Đất trồng cây lâu năm-VT1-CĐN giáp hẻm đường NTTrực độ rộng mặt đường từ 3,5 m đến dưới 6 m</t>
  </si>
  <si>
    <t>Đất trồng cây lâu năm-VT1-CĐN (ngoài GCN)</t>
  </si>
  <si>
    <t>g.men</t>
  </si>
  <si>
    <t>Bồn xây 10 tô 2 mặt, có nắp đan BTCT</t>
  </si>
  <si>
    <t>WC.04 (trong nhà, xí xỏm)</t>
  </si>
  <si>
    <t>tường không ốp gạch men</t>
  </si>
  <si>
    <t>Tường xây 10, tô 2 mặt HR.17</t>
  </si>
  <si>
    <t>Tường xây 20, tô 1 mặt HR.17</t>
  </si>
  <si>
    <t>Đan BTCT (kè đất)</t>
  </si>
  <si>
    <t>Gạch men ốp tường</t>
  </si>
  <si>
    <t>Đan BTCT bếp</t>
  </si>
  <si>
    <t>WC.05.1 (ngoài nhà, xí xỏm)</t>
  </si>
  <si>
    <t>tường ốp gạch men</t>
  </si>
  <si>
    <t>Chuồng heo xây</t>
  </si>
  <si>
    <t>Hầm bioga</t>
  </si>
  <si>
    <r>
      <t>m</t>
    </r>
    <r>
      <rPr>
        <vertAlign val="superscript"/>
        <sz val="10"/>
        <rFont val="Times New Roman"/>
        <family val="1"/>
      </rPr>
      <t>3</t>
    </r>
    <r>
      <rPr>
        <sz val="11"/>
        <color theme="1"/>
        <rFont val="Calibri"/>
        <family val="2"/>
        <scheme val="minor"/>
      </rPr>
      <t/>
    </r>
  </si>
  <si>
    <t>Hàng rào lưới B40 + trụ đá HR.11</t>
  </si>
  <si>
    <t>Thái Thị Xuân</t>
  </si>
  <si>
    <t>Gòn D</t>
  </si>
  <si>
    <t xml:space="preserve">Có GCN số CU 861 986 do Sở tài nguyên Môi trường cấp ngày 13/5/2020                        </t>
  </si>
  <si>
    <t>1965 - 0491 6501 3455</t>
  </si>
  <si>
    <r>
      <t>Tờ BĐ số 86, thửa 1512, diện tích 500,0m</t>
    </r>
    <r>
      <rPr>
        <vertAlign val="superscript"/>
        <sz val="10"/>
        <rFont val="Times New Roman"/>
        <family val="1"/>
      </rPr>
      <t>2</t>
    </r>
    <r>
      <rPr>
        <sz val="10"/>
        <rFont val="Times New Roman"/>
        <family val="1"/>
      </rPr>
      <t>, Đất trồng cây lâu năm</t>
    </r>
  </si>
  <si>
    <t>Nhà xây dựng 2002</t>
  </si>
  <si>
    <t>Phạm Quốc Bảo</t>
  </si>
  <si>
    <t xml:space="preserve">Có GCN số CQ 357 677 do Sở tài nguyên Môi trường cấp ngày 01/02/2019                        </t>
  </si>
  <si>
    <t>1995 - 0910 9500 4145</t>
  </si>
  <si>
    <r>
      <t>Tờ BĐ số 86, thửa 711, diện tích 500,0m</t>
    </r>
    <r>
      <rPr>
        <vertAlign val="superscript"/>
        <sz val="10"/>
        <rFont val="Times New Roman"/>
        <family val="1"/>
      </rPr>
      <t>2</t>
    </r>
    <r>
      <rPr>
        <sz val="10"/>
        <rFont val="Times New Roman"/>
        <family val="1"/>
      </rPr>
      <t>, Đất trồng cây lâu năm</t>
    </r>
  </si>
  <si>
    <t>Me nước E</t>
  </si>
  <si>
    <t xml:space="preserve">Có GCN số BL 675 601 dodo UBND thành phố Rạch Giá cấp ngày 14/8/2012                </t>
  </si>
  <si>
    <r>
      <t>Tờ BĐ số 86, thửa 317, diện tích 500,0m</t>
    </r>
    <r>
      <rPr>
        <vertAlign val="superscript"/>
        <sz val="10"/>
        <rFont val="Times New Roman"/>
        <family val="1"/>
      </rPr>
      <t>2</t>
    </r>
    <r>
      <rPr>
        <sz val="10"/>
        <rFont val="Times New Roman"/>
        <family val="1"/>
      </rPr>
      <t>, Đất trồng cây lâu năm</t>
    </r>
  </si>
  <si>
    <t xml:space="preserve">Có GCN số                        do Sở tài nguyên Môi trường cấp ngày            </t>
  </si>
  <si>
    <r>
      <t>Tờ BĐ số 86, thửa 276, diện tích 500,0m</t>
    </r>
    <r>
      <rPr>
        <vertAlign val="superscript"/>
        <sz val="10"/>
        <rFont val="Times New Roman"/>
        <family val="1"/>
      </rPr>
      <t>2</t>
    </r>
    <r>
      <rPr>
        <sz val="10"/>
        <rFont val="Times New Roman"/>
        <family val="1"/>
      </rPr>
      <t>, Đất trồng cây lâu năm</t>
    </r>
  </si>
  <si>
    <t>Dầu D</t>
  </si>
  <si>
    <t>Danh Sơn</t>
  </si>
  <si>
    <t>Vật kiến trúc xây dựng trên đất ông Phạm Quốc Bảo</t>
  </si>
  <si>
    <t>1980 - 0910 8000 6001</t>
  </si>
  <si>
    <t>Hồ Thanh Sơn</t>
  </si>
  <si>
    <t>nhựa</t>
  </si>
  <si>
    <r>
      <t>Ngày 10/12/2014. Ông Nguyễn Minh Hữu và vợ bà Mai Thị Thơ cho tặng con Hồ Thanh Sơn phần diện tích đất 90m</t>
    </r>
    <r>
      <rPr>
        <vertAlign val="superscript"/>
        <sz val="10"/>
        <rFont val="Times New Roman"/>
        <family val="1"/>
      </rPr>
      <t xml:space="preserve">2 </t>
    </r>
    <r>
      <rPr>
        <sz val="10"/>
        <rFont val="Times New Roman"/>
        <family val="1"/>
      </rPr>
      <t>đất trồng cây lâu năm, cho tặng giấy tay.</t>
    </r>
  </si>
  <si>
    <t>1985 - 0910 8501 7636</t>
  </si>
  <si>
    <t xml:space="preserve">Trong GCN số BL 675060                        do Sở tài nguyên Môi trường cấp ngày 14/8/2012                          </t>
  </si>
  <si>
    <r>
      <t>Tờ BĐ số 86, thửa 30+31, diện tích 2873,5m</t>
    </r>
    <r>
      <rPr>
        <vertAlign val="superscript"/>
        <sz val="10"/>
        <rFont val="Times New Roman"/>
        <family val="1"/>
      </rPr>
      <t>2</t>
    </r>
    <r>
      <rPr>
        <sz val="10"/>
        <rFont val="Times New Roman"/>
        <family val="1"/>
      </rPr>
      <t>, Đất trồng cây lâu năm</t>
    </r>
  </si>
  <si>
    <t>Nguyễn Thị Duyên</t>
  </si>
  <si>
    <r>
      <t>Ngày 11/5/2014. Ông Nguyễn Minh Hữu và vợ bà Mai Thị Thơ cho tặng mẹ bà Nguyễn Thị Duyên phần diện tích đất 79,2m</t>
    </r>
    <r>
      <rPr>
        <vertAlign val="superscript"/>
        <sz val="10"/>
        <rFont val="Times New Roman"/>
        <family val="1"/>
      </rPr>
      <t xml:space="preserve">2 </t>
    </r>
    <r>
      <rPr>
        <sz val="10"/>
        <rFont val="Times New Roman"/>
        <family val="1"/>
      </rPr>
      <t>đất trồng cây lâu năm, cho tặng giấy tay.</t>
    </r>
  </si>
  <si>
    <t>1960- 0911 6000 3555</t>
  </si>
  <si>
    <t>Hồ Thị Thúy Vân</t>
  </si>
  <si>
    <r>
      <t>Ngày 10/12/2014. Ông Nguyễn Minh Hữu và vợ bà Mai Thị Thơ cho tặng cháu bà Hồ Thị Thúy Vân phần diện tích đất 113,0m</t>
    </r>
    <r>
      <rPr>
        <vertAlign val="superscript"/>
        <sz val="10"/>
        <rFont val="Times New Roman"/>
        <family val="1"/>
      </rPr>
      <t xml:space="preserve">2 </t>
    </r>
    <r>
      <rPr>
        <sz val="10"/>
        <rFont val="Times New Roman"/>
        <family val="1"/>
      </rPr>
      <t>đất trồng cây lâu năm, cho tặng giấy tay.</t>
    </r>
  </si>
  <si>
    <t>1979 - 0401 7902 7593</t>
  </si>
  <si>
    <t>Nhà xây dựng 2004.</t>
  </si>
  <si>
    <t>tol+lưới</t>
  </si>
  <si>
    <t>sắt+gỗ</t>
  </si>
  <si>
    <t>Phạm Thị Loan</t>
  </si>
  <si>
    <t xml:space="preserve">Có GCN số X 121433 do UBND thị xã Rạch Giá cấp ngày 03/9/2003   </t>
  </si>
  <si>
    <t>1978 - 0361 7801 8305</t>
  </si>
  <si>
    <r>
      <t>Tờ BĐ số 86, thửa 228, diện tích 100,0m</t>
    </r>
    <r>
      <rPr>
        <vertAlign val="superscript"/>
        <sz val="10"/>
        <rFont val="Times New Roman"/>
        <family val="1"/>
      </rPr>
      <t>2</t>
    </r>
    <r>
      <rPr>
        <sz val="10"/>
        <rFont val="Times New Roman"/>
        <family val="1"/>
      </rPr>
      <t>, Đất lúa</t>
    </r>
  </si>
  <si>
    <t>Âu Xiếu Nhỏ</t>
  </si>
  <si>
    <t xml:space="preserve">Có GCN số X 121434 do UBND thị xã Rạch Giá cấp ngày 03/9/2003   </t>
  </si>
  <si>
    <t>1966 - 0911 6600 8584</t>
  </si>
  <si>
    <r>
      <t>Tờ BĐ số 86, thửa 229, diện tích 100,0m</t>
    </r>
    <r>
      <rPr>
        <vertAlign val="superscript"/>
        <sz val="10"/>
        <rFont val="Times New Roman"/>
        <family val="1"/>
      </rPr>
      <t>2</t>
    </r>
    <r>
      <rPr>
        <sz val="10"/>
        <rFont val="Times New Roman"/>
        <family val="1"/>
      </rPr>
      <t>, Đất lúa</t>
    </r>
  </si>
  <si>
    <t>Hà Thị Vân</t>
  </si>
  <si>
    <t xml:space="preserve">Có GCN số                    do UBND thị xã Rạch Giá cấp ngày    </t>
  </si>
  <si>
    <t>1962 - 0341 6201 2574</t>
  </si>
  <si>
    <r>
      <t>Tờ BĐ số 86, thửa 229, diện tích 200,0m</t>
    </r>
    <r>
      <rPr>
        <vertAlign val="superscript"/>
        <sz val="10"/>
        <rFont val="Times New Roman"/>
        <family val="1"/>
      </rPr>
      <t>2</t>
    </r>
    <r>
      <rPr>
        <sz val="10"/>
        <rFont val="Times New Roman"/>
        <family val="1"/>
      </rPr>
      <t>, Đất lúa</t>
    </r>
  </si>
  <si>
    <t>Nguyễn Thị Thanh Hoa</t>
  </si>
  <si>
    <t xml:space="preserve">Có GCN số X 121436 do UBND thị xã Rạch Giá cấp ngày 03/9/2003   </t>
  </si>
  <si>
    <t>1967 - 0911 6700 7935</t>
  </si>
  <si>
    <r>
      <t>Tờ BĐ số 86, thửa 231, diện tích 100,0m</t>
    </r>
    <r>
      <rPr>
        <vertAlign val="superscript"/>
        <sz val="10"/>
        <rFont val="Times New Roman"/>
        <family val="1"/>
      </rPr>
      <t>2</t>
    </r>
    <r>
      <rPr>
        <sz val="10"/>
        <rFont val="Times New Roman"/>
        <family val="1"/>
      </rPr>
      <t>, Đất lúa</t>
    </r>
  </si>
  <si>
    <t xml:space="preserve">Có GCN số W 787491 do UBND thị xã Rạch Giá cấp ngày 07/7/2003   </t>
  </si>
  <si>
    <t>Tờ BĐ số 86, thửa 214, diện tích 100,0m2, Đất lúa</t>
  </si>
  <si>
    <t>Đồng Thanh Quý (Vắng chủ)</t>
  </si>
  <si>
    <t xml:space="preserve">Có GCN số CV 768472  do                                                               cấp ngày                 </t>
  </si>
  <si>
    <t>1993 - 0910 9300 5218</t>
  </si>
  <si>
    <r>
      <t>Tờ BĐ số 86, thửa 217, diện tích 100,0m</t>
    </r>
    <r>
      <rPr>
        <vertAlign val="superscript"/>
        <sz val="10"/>
        <rFont val="Times New Roman"/>
        <family val="1"/>
      </rPr>
      <t>2</t>
    </r>
    <r>
      <rPr>
        <sz val="10"/>
        <rFont val="Times New Roman"/>
        <family val="1"/>
      </rPr>
      <t>, Đất lúa</t>
    </r>
  </si>
  <si>
    <t>thông tin thửa đất và chủ sử dụng thu thập từ Vilis (CSDL)</t>
  </si>
  <si>
    <t>Đinh Trần Thanh Hải</t>
  </si>
  <si>
    <t xml:space="preserve">Có GCN số W 787494 do UBND thị xã Rạch Giá cấp ngày 7/7/2003   </t>
  </si>
  <si>
    <t>1979 - 0910 7901 0904</t>
  </si>
  <si>
    <r>
      <t>Tờ BĐ số 86, thửa 213, diện tích 100,0m</t>
    </r>
    <r>
      <rPr>
        <vertAlign val="superscript"/>
        <sz val="10"/>
        <rFont val="Times New Roman"/>
        <family val="1"/>
      </rPr>
      <t>2</t>
    </r>
    <r>
      <rPr>
        <sz val="10"/>
        <rFont val="Times New Roman"/>
        <family val="1"/>
      </rPr>
      <t>, Đất lúa</t>
    </r>
  </si>
  <si>
    <t>Danh Thị Ngà</t>
  </si>
  <si>
    <t xml:space="preserve">Có GCN số W 787492 do UBND thị xã Rạch Giá cấp ngày 7/7/2003   </t>
  </si>
  <si>
    <t>1987 - 0911  8702 1022</t>
  </si>
  <si>
    <r>
      <t>Tờ BĐ số 86, thửa 215, diện tích 100,0m</t>
    </r>
    <r>
      <rPr>
        <vertAlign val="superscript"/>
        <sz val="10"/>
        <rFont val="Times New Roman"/>
        <family val="1"/>
      </rPr>
      <t>2</t>
    </r>
    <r>
      <rPr>
        <sz val="10"/>
        <rFont val="Times New Roman"/>
        <family val="1"/>
      </rPr>
      <t>, Đất lúa</t>
    </r>
  </si>
  <si>
    <t>Đỗ Đức Duẩn</t>
  </si>
  <si>
    <t xml:space="preserve">Có GCN số W 787490 do UBND thị xã Rạch Giá cấp ngày 7/7/2003   </t>
  </si>
  <si>
    <t>1976 - 0910 7601 3870</t>
  </si>
  <si>
    <t>Lưu Tú Duyên</t>
  </si>
  <si>
    <t xml:space="preserve">Có GCN số T 935226 do UBND thị xã Rạch Giá cấp ngày 7/7/2003   </t>
  </si>
  <si>
    <t>1971 - 0911 7100 8697</t>
  </si>
  <si>
    <t>Đất trồng cây hàng năm-VT1-CĐN- giáp hẻm đường NTTrực độ rộng mặt đường từ 3,5 m đến dưới 6 m</t>
  </si>
  <si>
    <r>
      <t>Tờ BĐ số 86, thửa 166, diện tích 1199,60m</t>
    </r>
    <r>
      <rPr>
        <vertAlign val="superscript"/>
        <sz val="10"/>
        <rFont val="Times New Roman"/>
        <family val="1"/>
      </rPr>
      <t>2</t>
    </r>
    <r>
      <rPr>
        <sz val="10"/>
        <rFont val="Times New Roman"/>
        <family val="1"/>
      </rPr>
      <t>, Đất lúa</t>
    </r>
  </si>
  <si>
    <t>Âu Xiếu Ken</t>
  </si>
  <si>
    <t>1970 - 0911 7001 3497</t>
  </si>
  <si>
    <t>Hà Thị Thuỷ</t>
  </si>
  <si>
    <t>1967 - 0341 6700 7584</t>
  </si>
  <si>
    <t>Lê Quốc Phúc</t>
  </si>
  <si>
    <t>Đất trồng lúa - GCN</t>
  </si>
  <si>
    <t xml:space="preserve">Có GCN số AM 241435 do UBND thành phố Rạch Giá cấp ngày 30/7/2008. </t>
  </si>
  <si>
    <t>1982 - 0250 8200 6226</t>
  </si>
  <si>
    <t>267 BĐĐC</t>
  </si>
  <si>
    <t>Đất trồng lúa</t>
  </si>
  <si>
    <t>Tờ bản đồ số 86, thửa 267, diện tích 222,1 m2 đất trồng lúa</t>
  </si>
  <si>
    <t>Phần diện tích 13,0m2 nằm ngoài GCN, có cùng nguồn gốc và thời điểm sử dụng theo GCN số AM 241435 do UBND thành phố Rạch Giá cấp ngày 30/7/2008</t>
  </si>
  <si>
    <t>Nguyễn Thị Nguyên</t>
  </si>
  <si>
    <t>Đất trồng lúa-GCN</t>
  </si>
  <si>
    <t xml:space="preserve">Có GCN số AC 024349 do UBND thị xã Rạch Giá cấp ngày 24/2/2005 </t>
  </si>
  <si>
    <t>1964 - 0371 6400 7936</t>
  </si>
  <si>
    <t>21 BĐĐC</t>
  </si>
  <si>
    <t>Tờ bản đồ số 86, thửa 21, diện tích 253,89 m2 đất trồng lúa</t>
  </si>
  <si>
    <t>Phần diện tích 18,3m2 nằm ngoài GCN, có cùng nguồn gốc và thời điểm sử dụng theo GCN số AC 024349 do UBND thị xã Rạch Giá cấp ngày 24/2/2005</t>
  </si>
  <si>
    <t>Nguyễn Thị Cúc</t>
  </si>
  <si>
    <t>Đất trồng lúa -GCN</t>
  </si>
  <si>
    <t>Có GCN số CA 611695 do UBND thành phố Rạch Giá cấp ngày 22/10/2015</t>
  </si>
  <si>
    <t>1988 - 0911 8800 6617</t>
  </si>
  <si>
    <t>368 BĐĐC</t>
  </si>
  <si>
    <t>Tờ bản đồ số 86, thửa 368 diện tích 311,4 m2 đất trồng lúa</t>
  </si>
  <si>
    <t>Phần diện tích 6,8m2 nằm ngoài GCN, có cùng nguồn gốc và thời điểm sử dụng theo GCN số CA 611695 do UBND thành phố Rạch Giá cấp ngày 22/10/2015.</t>
  </si>
  <si>
    <t xml:space="preserve">Nguyễn Văn Hiền </t>
  </si>
  <si>
    <t>Có GCN số CA 611694 do UBND thành phố Rạch Giá cấp ngày 22/10/2015</t>
  </si>
  <si>
    <t>1991 - 0910 9101 7775</t>
  </si>
  <si>
    <t>Tờ bản đồ số 86, thửa 367, diện tích 307,4 m2 đất trồng lúa</t>
  </si>
  <si>
    <t>Dương Thị Thảo</t>
  </si>
  <si>
    <t>Đất chuyên trồng lúa nước-GCN</t>
  </si>
  <si>
    <t>Hàng rào tường xây 10 có trát vữa HR.09</t>
  </si>
  <si>
    <t>m2</t>
  </si>
  <si>
    <t>Có GCN số DN 948316 do Chi nhánh văn phòng đăng ký đất đai thành phố Rạch Giá cấp ngày 11/4/2024</t>
  </si>
  <si>
    <t>1978 - 0911 7800 9886</t>
  </si>
  <si>
    <t>Đất ở đô thị-GCN</t>
  </si>
  <si>
    <t>Nhà  C3.05</t>
  </si>
  <si>
    <t>BTCT</t>
  </si>
  <si>
    <t>tôn V</t>
  </si>
  <si>
    <t>Tờ bđ số 86, thửa 1576 diện tích 587,4 m2 trong đó: có 219,7 m2 đất ở đô thị và 367,7 m2 đất chuyên trồng lúa nước</t>
  </si>
  <si>
    <t>Lê Văn Minh</t>
  </si>
  <si>
    <t>WC trong nhà, có hầm tự hoại, xí xổm, ốp gạch men. WC.03</t>
  </si>
  <si>
    <t>Tỷ lệ mất đất: 42,5 %</t>
  </si>
  <si>
    <t>1979 - 0870 7901 4286</t>
  </si>
  <si>
    <t>WC ngoài nhà, có hầm tự hoại, xí xổm, ốp gạch men. WC.05.1</t>
  </si>
  <si>
    <t>Nhà xây dựng 2010</t>
  </si>
  <si>
    <t>Rãnh thoát nước bê tông có nắp. RTN.02</t>
  </si>
  <si>
    <t>Nhà tiền chế không vách. NTC.02</t>
  </si>
  <si>
    <t>Trần Doãn Tứ</t>
  </si>
  <si>
    <t>Có GCN số DM 241450 do Chi nhánh văn phòng đăng ký đất đai thành phố Rạch Giá cấp ngày 05/01/2024</t>
  </si>
  <si>
    <t>1971 - 0910 7101 5238</t>
  </si>
  <si>
    <t>52 BĐĐC</t>
  </si>
  <si>
    <t>Đất chuyên trồng lúa nước</t>
  </si>
  <si>
    <t>Tờ bđ số 86, thửa 52 diện tích 227,5 m2  đất chuyên trồng lúa nước</t>
  </si>
  <si>
    <t>Phần diện tích 2,3m2 nằm ngoài GCN, có cùng nguồn gốc và thời điểm sử dụng theo GCN số DM 241450 do Chi nhánh văn phòng đăng ký đất đai thành phố Rạch Giá cấp ngày 05/01/2024</t>
  </si>
  <si>
    <t>Thanh Long D</t>
  </si>
  <si>
    <t>Nguyễn Thị Hảo</t>
  </si>
  <si>
    <t>Có GCN số CK 471386 do Sở tài nguyên và môi trường tỉnh Kiên Giang cấp ngày 19/9/2017</t>
  </si>
  <si>
    <t>1977 - 0911 7700 3099</t>
  </si>
  <si>
    <t>Tờ bđ số 86, thửa 147 diện tích 229,5 m2  đất trồng lúa</t>
  </si>
  <si>
    <t>Huỳnh Văn Út</t>
  </si>
  <si>
    <t>Có GCN số BN 715119 do Ủy ban nhân dân thành phố Rạch Giá cấp ngày 10/6/2013</t>
  </si>
  <si>
    <t>1981 - 0910 8101 1028</t>
  </si>
  <si>
    <t>Tờ bđ số 86, thửa 138 diện tích 183,6 m2  đất trồng lúa</t>
  </si>
  <si>
    <t>Có GCN số AM 355720 do Ủy ban nhân dân thành phố Rạch Giá cấp ngày 13/5/2008</t>
  </si>
  <si>
    <t>Tờ bđ số 86, thửa 265 diện tích 95 m2  đất trồng lúa nước</t>
  </si>
  <si>
    <t>Sân nền bê tông đá 1x2 mác 250. SN.02</t>
  </si>
  <si>
    <t>Đường nội bộ bê tông đá 1x2 mác 250. ĐNB.01</t>
  </si>
  <si>
    <t>Đinh Văn Sỹ</t>
  </si>
  <si>
    <t>Có GCN số BN 722424 do Ủy ban nhân dân thành phố Rạch Giá cấp ngày 14/3/2013</t>
  </si>
  <si>
    <t>1971 - 0910 7100 0178</t>
  </si>
  <si>
    <t>Tờ bđ số 86, thửa 47 diện tích 487,5 m2  đất trồng lúa nước</t>
  </si>
  <si>
    <t>Nguyễn Thanh Ngân</t>
  </si>
  <si>
    <t>Tỷ lệ mất đất: 54,1%</t>
  </si>
  <si>
    <t>1970 - 0961 7000 2693</t>
  </si>
  <si>
    <t>Lê Thị Hồng Thủy</t>
  </si>
  <si>
    <t>Trạm BTS Vinaphone</t>
  </si>
  <si>
    <t>Thuê đất của ông Nguyễn Văn Vốn để đặt trạm</t>
  </si>
  <si>
    <t>1988 - 0861 8800 4290</t>
  </si>
  <si>
    <t>Trụ anten Vinaphone</t>
  </si>
  <si>
    <t>Trương Minh Giang</t>
  </si>
  <si>
    <t>Đất trồng cây lâu năm-GCN</t>
  </si>
  <si>
    <t>Có GCN số DD 206649 do Sở TN &amp; MT tỉnh Kiên Giang cấp ngày 17/5/2022</t>
  </si>
  <si>
    <t>1978 - 0910 7801 1620</t>
  </si>
  <si>
    <t>Tờ bđ số 86, thửa 1514 diện tích 93,2 m2 trong đó: 40 m2 đất ở đô thị và 53,2 m2 đất trồng cây lâu năm</t>
  </si>
  <si>
    <t>Nguyễn Ngọc Ân</t>
  </si>
  <si>
    <t>Đất trồng cây lâu năm</t>
  </si>
  <si>
    <t>Tỷ lệ mất đất: 100 %</t>
  </si>
  <si>
    <t>1987 - 0871 8700 4935</t>
  </si>
  <si>
    <t>Phần diện tích 11,9 m2 thuộc GCN số BN 637395 do Ủy ban nhân dân thành phố Rạch Giá cấp ngày 19/8/2013. Tờ bđ số 86, thửa 25 diện tích 1393,76 m2 đất trồng cây lâu năm do Ông Nguyễn Văn Vốn Đứng tên. Thực tế ngoài thực địa do Ông Trương Minh Giang Và Nguyễn Ngọc Ân đang sử dụng, không có tranh chấp (Quá trình cấp GCN bị chồng lấn.) được xác nhận ông Nguyễn Văn Vốn xác nhận phần đất này của Ông Trương Minh Giang.</t>
  </si>
  <si>
    <t>Trần Minh Sơn</t>
  </si>
  <si>
    <t>Có GCN số CA 611286 do UBND thành phố Rạch Giá cấp ngày 28/10/2015</t>
  </si>
  <si>
    <t>1985 - 0910 8500 8368</t>
  </si>
  <si>
    <t>Vối C</t>
  </si>
  <si>
    <t>Tờ bđ số 86, thửa 336 diện tích 154,2 m2 đất trồng cây lâu năm</t>
  </si>
  <si>
    <t>Nguyễn Thị Mộng Thu</t>
  </si>
  <si>
    <t>Tỷ lệ mất đất: 56,6 %</t>
  </si>
  <si>
    <t>1984 - 0911 8400 4476</t>
  </si>
  <si>
    <t>Nhà xây dựng 2014</t>
  </si>
  <si>
    <t>Phần diện tích 22,5 m2 thuộc GCN số BN 637395 do Ủy ban nhân dân thành phố Rạch Giá cấp ngày 19/8/2013. Tờ bđ số 86, thửa 25 diện tích 1393,76 m2 đất trồng cây lâu năm do Ông Nguyễn Văn Vốn Đứng tên. Thực tế ngoài thực địa do Ông Trần Minh Sơn và Nguyễn Thị Mộng Thu đang sử dụng, không có tranh chấp (Quá trình cấp GCN bị chồng lấn.) được xác nhận ông Nguyễn Văn Vốn xác nhận phần đất này của Ông Trần Minh Sơn.</t>
  </si>
  <si>
    <t>Lê Phước Trung</t>
  </si>
  <si>
    <t>Có GCN số CE 973145 do UBND thành phố Rạch Giá cấp ngày 15/12/2016</t>
  </si>
  <si>
    <t>1976 - 0910 7601 5744</t>
  </si>
  <si>
    <t>Tờ bđ số 86, thửa 397 diện tích 91,8 m2 đất trồng cây lâu năm</t>
  </si>
  <si>
    <t>Phần diện tích 23,8 m2 thuộc GCN số BN 637395 do Ủy ban nhân dân thành phố Rạch Giá cấp ngày 19/8/2013. Tờ bđ số 86, thửa 25 diện tích 1393,76 m2 đất trồng cây lâu năm do Ông Nguyễn Văn Vốn Đứng tên. Thực tế ngoài thực địa do Lê Phước Trung đang sử dụng, không có tranh chấp (Quá trình cấp GCN bị chồng lấn.) được xác nhận ông Nguyễn Văn Vốn xác nhận phần đất này của Ông Lê Phước Trung.</t>
  </si>
  <si>
    <t>Đất trồng cây lâu năm - GCN</t>
  </si>
  <si>
    <t>Có GCN số CE 973144 do UBND thành phố Rạch Giá cấp ngày 15/12/2016</t>
  </si>
  <si>
    <t>Tờ bđ số 86, thửa 396 diện tích 92,3 m2 đất trồng cây lâu năm</t>
  </si>
  <si>
    <t>Quách Thu Nga</t>
  </si>
  <si>
    <t>Có GCN số DK 098249 do Văn phòng đăng ký đất đai tỉnh Kiên Giang cấp ngày 10/7/2023</t>
  </si>
  <si>
    <t>1978 - 0911 7800 0213</t>
  </si>
  <si>
    <t>Tờ bđ số 86, thửa 48 diện tích 630,9 m2 trong đó: 228,2 m2 đất ở đô thị và 402,7 m2 đất chuyên trồng lúa nước</t>
  </si>
  <si>
    <t>Tỷ lệ mất đất: 5,9 %</t>
  </si>
  <si>
    <t>Tân Tấn Kiệt</t>
  </si>
  <si>
    <t>Cau A</t>
  </si>
  <si>
    <t>Có GCN số CQ 343915 do Sở Tài nguyên và môi trường tỉnh Kiên Giang cấp ngày 05/4/2019</t>
  </si>
  <si>
    <t>1984 - 0910 8401 7126</t>
  </si>
  <si>
    <t>Ổi A</t>
  </si>
  <si>
    <t>Hàng rào trụ BTCT tường xây 10 có trát vữa. HR.12</t>
  </si>
  <si>
    <t>Tờ bđ số 86, thửa 714 diện tích 1194,6 m2 trong đó: 71,8 m2 đất ở đô thị và 1122,8 m2 đất trồng lúa</t>
  </si>
  <si>
    <t>Măng cụt D</t>
  </si>
  <si>
    <t>Hàng rào tường xây 10, không trát. HR.18</t>
  </si>
  <si>
    <t>Tỷ lệ mất đất: 80,4 %</t>
  </si>
  <si>
    <t>Khế A</t>
  </si>
  <si>
    <t>Sân nền bê tông đá mác 100. SN.01</t>
  </si>
  <si>
    <t>Nhà xây dựng 2018</t>
  </si>
  <si>
    <t>Cóc A</t>
  </si>
  <si>
    <t>Táo A</t>
  </si>
  <si>
    <t>Lựu B</t>
  </si>
  <si>
    <t>Sơ ri D</t>
  </si>
  <si>
    <t>Lê Quốc Trung</t>
  </si>
  <si>
    <t>Đất trồng cây lâu năm -GCN</t>
  </si>
  <si>
    <t>Có GCN số BY 645687 do Ủy ban nhân dân thành phố Rạch Giá cấp ngày 11/05/2015</t>
  </si>
  <si>
    <t>1976 - 0700 7600 1041</t>
  </si>
  <si>
    <t>Tờ bđ số 86, thửa 283 diện tích 861,4 m2 đất trồng cây lâu năm</t>
  </si>
  <si>
    <t>Đũng đỉnh D</t>
  </si>
  <si>
    <t>Đũng đỉnh Đ</t>
  </si>
  <si>
    <t>Đũng đỉnh H</t>
  </si>
  <si>
    <t>Xanh H</t>
  </si>
  <si>
    <t>Bàng D</t>
  </si>
  <si>
    <t>Bông Sen A (m²)</t>
  </si>
  <si>
    <t>Đỗ Phương Thảo</t>
  </si>
  <si>
    <t>Có GCN số CA 581021 do Ủy ban nhân dân thành phố Rạch Giá cấp ngày 13/8/2015</t>
  </si>
  <si>
    <t>1981 - 0911 8100 0732</t>
  </si>
  <si>
    <t>Tờ bđ số 86, thửa 261 diện tích 248,4 m2 đất trồng cây lâu năm</t>
  </si>
  <si>
    <t>Tỷ lệ mất đất: 6 %</t>
  </si>
  <si>
    <t>Lý Thị Kim Thoa</t>
  </si>
  <si>
    <t>Còng B</t>
  </si>
  <si>
    <t>Có GCN số CA 581022 do Ủy ban nhân dân thành phố Rạch Giá cấp ngày 13/8/2015</t>
  </si>
  <si>
    <t>1981 - 0911 8100 9894</t>
  </si>
  <si>
    <t>Tràm bông vàng C</t>
  </si>
  <si>
    <t>Tờ bđ số 86, thửa 282 diện tích 570 m2 đất trồng cây lâu năm</t>
  </si>
  <si>
    <t>Tràm bông vàng D</t>
  </si>
  <si>
    <t>Tràm bông vàng Đ</t>
  </si>
  <si>
    <t>Tràm bông vàng H</t>
  </si>
  <si>
    <t>Bàng C</t>
  </si>
  <si>
    <t>Đỗ Văn Nin</t>
  </si>
  <si>
    <t>Có GCN số BC 395299 do Ủy ban nhân dân thành phố Rạch Giá cấp ngày 16/12/2010</t>
  </si>
  <si>
    <t>1964 - 0340 6401 4226</t>
  </si>
  <si>
    <t>Tờ bđ số 86, thửa 27 diện tích 847,3 m2 đất trồng cây lâu năm</t>
  </si>
  <si>
    <t>Lê Thị Huỳnh Nhi</t>
  </si>
  <si>
    <t>xi măng</t>
  </si>
  <si>
    <t>tôn</t>
  </si>
  <si>
    <t>10&lt;gỗ&lt;15</t>
  </si>
  <si>
    <t>Cất nhà trên đất ông Lư Hoàng Tuấn (cha chồng)</t>
  </si>
  <si>
    <t>1994 - 0911 9401 8757</t>
  </si>
  <si>
    <t>Nhà xây dựng 2016</t>
  </si>
  <si>
    <t>Hà Văn Hừng</t>
  </si>
  <si>
    <t>236a</t>
  </si>
  <si>
    <t>Đất ở đô thị -GCN</t>
  </si>
  <si>
    <t>Chúc (chanh) B</t>
  </si>
  <si>
    <t>Hàng rào xây trụ BTCT, tường xây 10 cm có trát vữa xi măng. HR.12</t>
  </si>
  <si>
    <t>Có GCN số AB 063489 do Ủy ban nhân dân thị xã Rạch Giá cấp ngày 04/01/2005</t>
  </si>
  <si>
    <t>1966 - 0910 6600 0071</t>
  </si>
  <si>
    <t>Hàng rào tường xây 10cm tô 1 mặt khung sắt tôn. HR.14</t>
  </si>
  <si>
    <t>Tờ bđ số 86, thửa 236 + 236a diện tích 585,2 m2 trong đó: 262,4 m2 đất ở đô thị và 322,8 m2 đất trồng lúa</t>
  </si>
  <si>
    <t>Tỷ lệ mất đất: 42,7 %</t>
  </si>
  <si>
    <t>Khế B</t>
  </si>
  <si>
    <t>Nhà xây dựng 2006</t>
  </si>
  <si>
    <t>WC, trong nhà, xí bệt, vách tường, ốp gạch men. WC.01</t>
  </si>
  <si>
    <t>WC ngoài nhà, xí bệt, vách tường, mái tôn, ốp gạch. WC.05</t>
  </si>
  <si>
    <t>Sân gạch khía (xin ý kiến)</t>
  </si>
  <si>
    <t>Sân gạch men (xin ý kiến)</t>
  </si>
  <si>
    <t>Sảnh nhà C2.01*80%</t>
  </si>
  <si>
    <t>Bể nước ngầm BTCT toàn khối có cừ tràm. BNN.01</t>
  </si>
  <si>
    <t>m3</t>
  </si>
  <si>
    <t>Lâm Bảo Đoàn</t>
  </si>
  <si>
    <t>Có GCN số CD 966960 do Sở Tài nguyên và môi trường tỉnh Kiên Giang cấp ngày 22/4/2016</t>
  </si>
  <si>
    <t>1985 - 0910 8501 9183</t>
  </si>
  <si>
    <t>Tờ bđ số 86, thửa 380 diện tích 226,1 m2 đất trồng cây lâu năm</t>
  </si>
  <si>
    <t>Tỷ lệ mất đất: 6,2 %</t>
  </si>
  <si>
    <t>Lương Minh Quý</t>
  </si>
  <si>
    <t>Hàng rào xây trụ tường xây 10 bằng gạch, lưới B40, không trát vữa xi măng. HR.11</t>
  </si>
  <si>
    <t>Có GCN số CE 310138 do Sở Tài nguyên và môi trường tỉnh Kiên Giang cấp ngày 14/10/2016</t>
  </si>
  <si>
    <t>1982 - 0380 8202 1001</t>
  </si>
  <si>
    <t>Tờ bđ số 86, thửa 393 diện tích 226,5 m2 trong đó: 36 m2 đất ở đô thị và 190,5 m2 đất trồng cây lâu năm</t>
  </si>
  <si>
    <t>Tỷ lệ mất đất: 6,3 %</t>
  </si>
  <si>
    <t>Trần Khánh Toàn</t>
  </si>
  <si>
    <t>Có GCN số CE 976753 do Sở Tài nguyên và môi trường tỉnh Kiên Giang cấp ngày 19/01/2017</t>
  </si>
  <si>
    <t>1972 - 0910 7202 1961</t>
  </si>
  <si>
    <t>Tờ bđ số 86, thửa 411 diện tích 272,2 m2 đất trồng cây lâu năm</t>
  </si>
  <si>
    <t>Tỷ lệ mất đất: 6,6 %</t>
  </si>
  <si>
    <t>Nhà xây dựng 2012</t>
  </si>
  <si>
    <t>Nguyễn Mạnh Tuấn</t>
  </si>
  <si>
    <t>Trạm BTS Viettel</t>
  </si>
  <si>
    <t>Có GCN số CE 976755 do Sở Tài nguyên và môi trường tỉnh Kiên Giang cấp ngày 19/01/2017</t>
  </si>
  <si>
    <t>1986 - 0910 8600 4447</t>
  </si>
  <si>
    <t>Tờ bđ số 86, thửa 413 diện tích 385,7 m2 đất trồng cây lâu năm</t>
  </si>
  <si>
    <t>Tỷ lệ mất đất: 7,6 %</t>
  </si>
  <si>
    <t>Nguyễn Văn Dũng</t>
  </si>
  <si>
    <t>Có GCN số CE 976908 do Sở Tài nguyên và môi trường tỉnh Kiên Giang cấp ngày 19/01/2017</t>
  </si>
  <si>
    <t>1960 - 0910 6000 8743</t>
  </si>
  <si>
    <t>Nguyễn Thị Chiến</t>
  </si>
  <si>
    <t>Tỷ lệ mất đất: 8,6 %</t>
  </si>
  <si>
    <t>1959 - 0911 5900 3882</t>
  </si>
  <si>
    <t>Trần Ngọc Phan</t>
  </si>
  <si>
    <t>Đất trồng lúa GCN</t>
  </si>
  <si>
    <t>GCN có số vào sổ 373/2002  QSDĐ/AH do UBND Thị xã Rạch Giá cấp ngày 05/02/2002. Tờ 86, thửa 50, diện tích đất đất vườn 2.209,44 m2 và đất trồng lúa 498,96 m2. Do ông Trần Ngọc Phan đứng tên.</t>
  </si>
  <si>
    <t>1985 - 0910 8501 9323</t>
  </si>
  <si>
    <t>Phần diện  59,4 m2 nằm ngoài GCN, có cùng nguồn gốc và thời điểm sử dụng theo GCN số vào sổ 373/2002  QSDĐ/AH do UBND Thị xã Rạch Giá cấp ngày 05/02/2002.</t>
  </si>
  <si>
    <t>50-BĐĐC</t>
  </si>
  <si>
    <t xml:space="preserve">Đất lúa </t>
  </si>
  <si>
    <t>Khoảng năm 1986, bà Đoàn Kim Phụng cho con ruột Lê Thúy Nga một phần diện tích 39,5 m2 thuộc GCN số N 209108 do Ủy ban nhân dân tỉnh Kiên Giang cấp ngày 05/10/1999, Tờ bđ số 86, thửa 52 diện tích 358 m2, đất lúa, do Đoàn Kim Phụng đứng tên</t>
  </si>
  <si>
    <t>1964 - 0911 6400 3847</t>
  </si>
  <si>
    <t>Nhà cất 1986, sửa lại 2022</t>
  </si>
  <si>
    <t>thép</t>
  </si>
  <si>
    <t>Khoảng năm 2016, bà Đoàn Kim Phụng cho cháu ruột Lê Thị Thảo Chi một phần diện tích 23,3 m2 thuộc GCN số N 209108 do Ủy ban nhân dân tỉnh Kiên Giang cấp ngày 05/10/1999, Tờ bđ số 86, thửa 52 diện tích 358 m2, đất lúa, do Đoàn Kim Phụng đứng tên</t>
  </si>
  <si>
    <t>1988 - 0911 8800 5959</t>
  </si>
  <si>
    <t>52-BĐĐC</t>
  </si>
  <si>
    <t xml:space="preserve">Phần diện tích 0,5 m2 ngoài GCN có cùng nguồn gốc và thời điểm sử dụng theo GCN số N 209108 do Ủy ban nhân dân tỉnh Kiên Giang cấp ngày 05/10/1999 </t>
  </si>
  <si>
    <t>Triệu Minh Quyền</t>
  </si>
  <si>
    <t>Rau muống A (m²)</t>
  </si>
  <si>
    <t>Có GCN số T 935152 do Ủy ban nhân dân thị xã Rạch Giá cấp ngày 04/02/2002</t>
  </si>
  <si>
    <t>1975 - 0910 7500 3786</t>
  </si>
  <si>
    <t>Tờ bđ số 86, thửa 27 diện tích 2657,2 m2 trong đó: 200 m2 đất ở đô thị và 2457,2 m2 đất trồng lúa</t>
  </si>
  <si>
    <t>693 Nguyễn Trung Trực, phường An Hòa, thành phố Rạch Giá, tỉnh Kiên Giang (Nay 693 Nguyễn Trung Trực, phường Rạch Giá, tỉnh An Giang)</t>
  </si>
  <si>
    <t>`</t>
  </si>
  <si>
    <t>Hồ Thị Hải</t>
  </si>
  <si>
    <t>Mãng cầu B</t>
  </si>
  <si>
    <t>Có GCN số BA 198005 do Ủy ban nhân dân thành phố Rạch Giá cấp ngày 02/04/2010</t>
  </si>
  <si>
    <t>1965 - 0401 6501 1585</t>
  </si>
  <si>
    <t>Tờ bđ số 86, thửa 275 diện tích 1000 m2 đất trồng cây lâu năm</t>
  </si>
  <si>
    <t>Nhà xây dựng 2000</t>
  </si>
  <si>
    <t>Nền gạch men (xin ý kiến)</t>
  </si>
  <si>
    <t>Xanh C</t>
  </si>
  <si>
    <t>Xanh Đ</t>
  </si>
  <si>
    <t>Giếng khoang phi 34sâu 70 mét</t>
  </si>
  <si>
    <t>Gòn A</t>
  </si>
  <si>
    <t>Lộc vừng B</t>
  </si>
  <si>
    <t>Lộc vừng C</t>
  </si>
  <si>
    <t>Sộp B</t>
  </si>
  <si>
    <t>Dầu lông B</t>
  </si>
  <si>
    <t>Mận A</t>
  </si>
  <si>
    <t>Ao nuôi cá tra quảng canh (m²)</t>
  </si>
  <si>
    <t>Đậu Việt Hưng</t>
  </si>
  <si>
    <t>Cất nhà trên đất mẹ ruột (Hồ Thị Hải)</t>
  </si>
  <si>
    <t>1989 - 0910 8900 7724</t>
  </si>
  <si>
    <t>Đoàn Quang Ngư</t>
  </si>
  <si>
    <t>Có GCN số CO 247912 do Sở Tài nguyên và môi trường tỉnh Kiên Giang cấp ngày 01/11/2018</t>
  </si>
  <si>
    <t>1977 - 0340 7701 4904</t>
  </si>
  <si>
    <t>WC trong nhà, xí xổm, tường xây, ốp gạch men. WC.03</t>
  </si>
  <si>
    <t xml:space="preserve">Tờ bđ số 86, thửa 220 diện tích 95 m2 đất ở đô thị </t>
  </si>
  <si>
    <t>Nguyễn Minh Hữu</t>
  </si>
  <si>
    <t>30 + 31</t>
  </si>
  <si>
    <t>Có GCN số BL 675060 do Ủy ban nhân dân thành phố Rạch Giá cấp ngày 14/8/2012</t>
  </si>
  <si>
    <t>1963 - 0910 6301 6771</t>
  </si>
  <si>
    <t>Tờ bđ số 86, thửa 30 + 31 diện tích 2873,5m2 đất trồng cây lâu năm</t>
  </si>
  <si>
    <t>Táo B</t>
  </si>
  <si>
    <t>Bàng B</t>
  </si>
  <si>
    <t>Đất lúa</t>
  </si>
  <si>
    <t>Có GCN số W 787766 do Ủy ban nhân dân thị xã Rạch Giá cấp ngày 07/7/2003</t>
  </si>
  <si>
    <t>đã chỉnh</t>
  </si>
  <si>
    <t>Mai Thị Hoàng</t>
  </si>
  <si>
    <t>Được ông hữu cho 1 phòng trọ (chị vợ ông hữu)</t>
  </si>
  <si>
    <t>1982 - 0911 8200 9709</t>
  </si>
  <si>
    <t>Phan Hùng Cường</t>
  </si>
  <si>
    <t>Được ông hữu cho 1 phòng trọ (cháu ông hữu)</t>
  </si>
  <si>
    <t>1985 - 0910 8501 3552</t>
  </si>
  <si>
    <t>Mai Văn Thản</t>
  </si>
  <si>
    <t>Được ông hữu cho 1 phòng trọ (anh vợ ông hữu)</t>
  </si>
  <si>
    <t>1980 - 0910 8001 6897</t>
  </si>
  <si>
    <t>Đặng Thị Mỹ Duy</t>
  </si>
  <si>
    <t>Sung B</t>
  </si>
  <si>
    <t>Có GCN số CA 574314 do Ủy ban nhân dân thành phố Rạch Giá cấp ngày 19/6/2015</t>
  </si>
  <si>
    <t>1988 - 0931 8800 5027</t>
  </si>
  <si>
    <t>WC, ngoài nhà, xí bệt, vách tường, mái tôn, không ốp. WC.05</t>
  </si>
  <si>
    <t>Tờ bđ số 86, thửa 293 diện tích 190 m2 trong đó: 50 m2 đất ở đô thị và 140 m2 đất trồng lúa</t>
  </si>
  <si>
    <t>Nhà xây dựng 2023</t>
  </si>
  <si>
    <t>Đơn yêu cầu thu hồi hết đất nhỏ hẹp còn lại</t>
  </si>
  <si>
    <t>Gác gỗ (mới phát sinh sau đo đạc)</t>
  </si>
  <si>
    <t>Lê Duy Khánh</t>
  </si>
  <si>
    <t>Có GCN số CE 973210 do Sở Tài nguyên và môi trường tỉnh Kiên Giang cấp ngày 21/12/2016</t>
  </si>
  <si>
    <t>1980 - 0910 8001 6043</t>
  </si>
  <si>
    <t>406 BĐĐC</t>
  </si>
  <si>
    <t>Tờ bđ số 86, thửa 406 diện tích 144,1 m2  đất trồng lúa</t>
  </si>
  <si>
    <t>Trần Như Quỳnh</t>
  </si>
  <si>
    <t>1981 - 0911 8101 5224</t>
  </si>
  <si>
    <t>Phần diện tích 9,0 m2 có cùng nguồn gốc và thời điểm sử dụng theo GCN số CE 973210 do Sở Tài nguyên và môi trường tỉnh Kiên Giang cấp ngày 21/12/2016</t>
  </si>
  <si>
    <t>Cao Thế Huy</t>
  </si>
  <si>
    <t>Có GCN số CE 973209 do Sở Tài nguyên và Môi trường tỉnh Kiên Giang cấp ngày 21/12/2016</t>
  </si>
  <si>
    <t>1978 - 0910 7802 3179</t>
  </si>
  <si>
    <t>405 BĐĐC</t>
  </si>
  <si>
    <t>Tờ bđ số 86, thửa 405 diện tích 142,9 m2 đất trồng lúa</t>
  </si>
  <si>
    <t>Huỳnh Thị Lánh</t>
  </si>
  <si>
    <t>Phần diện tích 10,6 m2 có cùng nguồn gốc và thời điểm sử dụng theo GCN số CE 973209 do Sở Tài nguyên và Môi trường tỉnh Kiên Giang cấp ngày 21/12/2016</t>
  </si>
  <si>
    <t>1983 - 0911 8301 2826</t>
  </si>
  <si>
    <t>Lư Hoàng Tuấn</t>
  </si>
  <si>
    <t>22-23-24-29</t>
  </si>
  <si>
    <t>Dầu lông C</t>
  </si>
  <si>
    <t>Có GCN số W 787451 do Ủy ban nhân dân thị xã Rạch Giá cấp ngày 17/6/2003</t>
  </si>
  <si>
    <t>1969 - 0910 6900 7135</t>
  </si>
  <si>
    <t>Dầu lông D</t>
  </si>
  <si>
    <t>Dầu lông Đ</t>
  </si>
  <si>
    <t>Trần Kim Loan</t>
  </si>
  <si>
    <t>Dầu lông E</t>
  </si>
  <si>
    <t>Nhà xây dựng 2017</t>
  </si>
  <si>
    <t>1970 - 0911 7001 3352</t>
  </si>
  <si>
    <t>Cau kiểng A</t>
  </si>
  <si>
    <t>Dây trầu A</t>
  </si>
  <si>
    <t>cây</t>
  </si>
  <si>
    <t>Tràm bông vàng B</t>
  </si>
  <si>
    <t>Bạch đàn B</t>
  </si>
  <si>
    <t>Bạch đàn D</t>
  </si>
  <si>
    <t>Bạch đàn Đ</t>
  </si>
  <si>
    <t>Cà na A</t>
  </si>
  <si>
    <t>Chòi mòi D</t>
  </si>
  <si>
    <t>Bình bát B</t>
  </si>
  <si>
    <t>Mai chiếu thủy C</t>
  </si>
  <si>
    <t>Sộp C</t>
  </si>
  <si>
    <t>Sộp D</t>
  </si>
  <si>
    <t>Sộp Đ</t>
  </si>
  <si>
    <t>Lộc vừng Đ</t>
  </si>
  <si>
    <t>Me A</t>
  </si>
  <si>
    <t>Me B</t>
  </si>
  <si>
    <t>Me C</t>
  </si>
  <si>
    <t>Nhàu D</t>
  </si>
  <si>
    <t>Vối G</t>
  </si>
  <si>
    <t>Lư Thu Hương</t>
  </si>
  <si>
    <t>Cất nhà trên đất cha ruột (ông Lư Hoàng Tuấn)</t>
  </si>
  <si>
    <t>1998 - 0911 9800 9105</t>
  </si>
  <si>
    <t>Nguyễn Đình Minh Quốc</t>
  </si>
  <si>
    <t>Cất nhà trên đất cha vợ (ông Lư Hoàng Tuấn)</t>
  </si>
  <si>
    <t>1998 - 0910 9801 4058</t>
  </si>
  <si>
    <t>Lư Hữu Quý</t>
  </si>
  <si>
    <t>Có GCN số CA 581455 do Ủy ban nhân dân thành phố Rạch Giá cấp ngày 15/9/2015</t>
  </si>
  <si>
    <t>1991 - 0910 9101 4446</t>
  </si>
  <si>
    <t>Tờ bđ số 86, thửa 351 diện tích 694 m2 đất trồng lúa</t>
  </si>
  <si>
    <t>Nguyễn Văn Vốn</t>
  </si>
  <si>
    <t>Có GCN số BN 637395 do Ủy ban nhân dân thành phố Rạch Giá cấp ngày 19/8/2013</t>
  </si>
  <si>
    <t>1977 - 0910 7700 3130</t>
  </si>
  <si>
    <t>Tờ bđ số 86, thửa 25 diện tích 1393,76 m2 đất trồng cây lâu năm</t>
  </si>
  <si>
    <t>Tỷ lệ mất đất: 76,4 %</t>
  </si>
  <si>
    <t>lá dừa nước</t>
  </si>
  <si>
    <t>sàn ván</t>
  </si>
  <si>
    <t>Dừa nước A (m²)</t>
  </si>
  <si>
    <t>Bông súng A(m²)</t>
  </si>
  <si>
    <t>Trần Văn Lường</t>
  </si>
  <si>
    <t>Đất  lúa - GCN</t>
  </si>
  <si>
    <t>Có GCN số vào sổ A00883 do Ủy ban nhân dân tỉnh Kiên Giang cấp ngày 01/9/2000</t>
  </si>
  <si>
    <t>1962 - 0910 6200 4406</t>
  </si>
  <si>
    <t>Tờ bđ số 86, thửa 51 diện tích 2595 m2, đất lúa</t>
  </si>
  <si>
    <t>Tỷ lệ mất đất: 50,8 %</t>
  </si>
  <si>
    <t>Gừa C</t>
  </si>
  <si>
    <t>Thanh long A</t>
  </si>
  <si>
    <t>Nhà xây dựng 2003</t>
  </si>
  <si>
    <t>Thanh long B</t>
  </si>
  <si>
    <t>Thanh long D</t>
  </si>
  <si>
    <t>Nuôi Ba Ba quảng canh (m²)</t>
  </si>
  <si>
    <t>Lê Thị Hường</t>
  </si>
  <si>
    <t>Có GCN số CQ 308335 do Sở Tài nguyên và môi trường tỉnh Kiên Giang cấp ngày 21/3/2019</t>
  </si>
  <si>
    <t>1958 - 0911 5800 6087</t>
  </si>
  <si>
    <t>Tờ bđ số 86, thửa 716 diện tích 237,6 m2 đất trồng cây lâu năm</t>
  </si>
  <si>
    <t>Tỷ lệ mất đất: 36,1 %</t>
  </si>
  <si>
    <t>Quách Hồng Thắm</t>
  </si>
  <si>
    <t>Cất nhà trên đất mẹ ruột (Lê Thị Hường)</t>
  </si>
  <si>
    <t>1988 - 0911 8800 5478</t>
  </si>
  <si>
    <t>Nhà xây dựng 2015</t>
  </si>
  <si>
    <t>Nguyễn Văn Chiến</t>
  </si>
  <si>
    <t>Hàng rào xây trụ BTCT, tường xây 10 cm bằng gạch, có trát vữa xi măng 2 mặt. HR.12</t>
  </si>
  <si>
    <t>Có GCN số CE 976754 do Sở Tài nguyên và môi trường tỉnh Kiên Giang cấp ngày 19/01/2017</t>
  </si>
  <si>
    <t>1970 - 0910 7000 8535</t>
  </si>
  <si>
    <t>Nhãn D</t>
  </si>
  <si>
    <t>Giếng khoan phi 42 sâu 60 mét</t>
  </si>
  <si>
    <t>Tờ bđ số 86, thửa 412 diện tích 454,5 m2 trong đó: 54 m2 đất ở đô thị và 400,5 m2 đất trồng cây lâu năm</t>
  </si>
  <si>
    <t>Tỷ lệ mất đất: 7,2 %</t>
  </si>
  <si>
    <t>Mãng Cầu C</t>
  </si>
  <si>
    <t>Lê ki ma D</t>
  </si>
  <si>
    <t>Đinh lăng D</t>
  </si>
  <si>
    <t>Sưa D</t>
  </si>
  <si>
    <t>Nguyễn Tuyết Sương</t>
  </si>
  <si>
    <t>Có GCN số AK 494829 do Ủy ban nhân thành phố Rạch Giá cấp ngày 31/01/2008</t>
  </si>
  <si>
    <t>1969 - 0911 6901 5096</t>
  </si>
  <si>
    <t>Tờ bđ số 86, thửa 260 diện tích 180,6 m2 đất trồng cây lâu năm</t>
  </si>
  <si>
    <t>Nguyễn Tuyết Sương (GCN Nguyễn Văn Dũng và Nguyễn Thị Chiến)</t>
  </si>
  <si>
    <t>Có GCN số CE 310140 do Sở Tài nguyên và môi trường tỉnh Kiên Giang cấp ngày 14/10/2016</t>
  </si>
  <si>
    <t>Tờ bđ số 86, thửa 399 diện tích 45,2 m2 đất trồng cây lâu năm</t>
  </si>
  <si>
    <t>Lê Hải</t>
  </si>
  <si>
    <t>Có GCN số BN 722117 do Ủy ban nhân dân thành phố Rạch Giá cấp ngày 08/4/2013</t>
  </si>
  <si>
    <t>1991 - 0910 9101 5756</t>
  </si>
  <si>
    <t>Tờ bđ số 86, thửa 123 diện tích 341,6 m2 đất trồng lúa</t>
  </si>
  <si>
    <t>7A-20 Sư Minh Không, Vĩnh Bảo, Rạch Giá, Kiên Giang</t>
  </si>
  <si>
    <t>Tỷ lệ mất đất: 34,9 %</t>
  </si>
  <si>
    <t>Lê Ngọc Hoàng</t>
  </si>
  <si>
    <t>Có GCN số CC 480734 do UBND thành phố Rạch Giá cấp ngày 31/12/2015</t>
  </si>
  <si>
    <t>1987 - 0910 8701 7218</t>
  </si>
  <si>
    <t>Tờ bđ số 86, thửa 378 diện tích 147 m2  đất trồng lúa</t>
  </si>
  <si>
    <t>Trần Văn Trường</t>
  </si>
  <si>
    <t xml:space="preserve">Ống nhựa PVC phi 300 </t>
  </si>
  <si>
    <t>Có GCN số CL 948538 do Sở Tài nguyên và môi trường tỉnh Kiên Giang cấp ngày 14/11/2017</t>
  </si>
  <si>
    <t>1982 - 0910 8201 2688</t>
  </si>
  <si>
    <t>Đất ở đô thị - GCN</t>
  </si>
  <si>
    <t>Tờ bđ số 86, thửa 288 diện tích 190 m2 trong đó: 36 m2 đất ở đô thị và 154 m2 đất trồng lúa</t>
  </si>
  <si>
    <t>Nguyễn Thị Yến</t>
  </si>
  <si>
    <t>Có GCN số vào sổ H 3493 do Ủy ban nhân dân thành phố Rạch Giá cấp ngày 20/10/2008</t>
  </si>
  <si>
    <t>1975 - 0911 7500 5936</t>
  </si>
  <si>
    <t>Tờ bđ số 86, thửa 272 diện tích 498 m2 trong đó: 356,7 m2 đất trồng cây lâu năm và 132,3 m2 đất trồng lúa</t>
  </si>
  <si>
    <t>Tỷ lệ mất đất: 53,5 %</t>
  </si>
  <si>
    <t>Trương Tấn Đạt</t>
  </si>
  <si>
    <t>1972 - 0920 7200 4438</t>
  </si>
  <si>
    <t>Đinh Việt Thắng (GCN Đinh Tuấn Tú)</t>
  </si>
  <si>
    <t>Có GCN số BC 395298 do Ủy ban nhân dân thành phố Rạch Giá cấp ngày 16/12/2010.</t>
  </si>
  <si>
    <t>2003 - 0912 0300 5396</t>
  </si>
  <si>
    <t>Tờ bđ số 86, thửa 284 diện tích 563,3 m2 đất trồng cây lâu năm</t>
  </si>
  <si>
    <t>Có GCN số CL 853804 do UBND thành phố Rạch Giá cấp ngày 15/6/2012</t>
  </si>
  <si>
    <t>Tờ bđ số 86, thửa 310 diện tích 1000 m2 đất trồng cây lâu năm</t>
  </si>
  <si>
    <t>Huỳnh Phương Dung</t>
  </si>
  <si>
    <t>Có GCN số BL 298108 do UBND thành phố Rạch Giá cấp ngày 15/6/2012</t>
  </si>
  <si>
    <t>1963- 0911 6300 5243</t>
  </si>
  <si>
    <t>Tờ bđ số 30 thửa 86 diện tích 1155,8 m2 đất trồng cây lâu năm</t>
  </si>
  <si>
    <t>Có GCN số BL 298109 do UBND thành phố Rạch Giá cấp ngày 15/6/2012</t>
  </si>
  <si>
    <t>Tờ bđ số 86 thửa 311 diện tích 1000 m2 đất trồng cây lâu năm</t>
  </si>
  <si>
    <t>Lê Võ Việt Minh Tuân</t>
  </si>
  <si>
    <t>Có GCN số DD 206648 do Sở Tài nguyên và Môi trường tỉnh Kiên Giang cấp ngày 17/5/2022</t>
  </si>
  <si>
    <t>1981- 0910 8101 0220</t>
  </si>
  <si>
    <t>Tờ bđ số 86 thửa 1513 diện tích 92,8 m2 trong đó: 40 m2 đất ở đô thị, 52,8 m2 đất trồng cây lâu năm</t>
  </si>
  <si>
    <t>Nguyễn Thị Tiền</t>
  </si>
  <si>
    <t>Phần diện tích 11,9 m2 thuộc GCN số BN 637395 do Ủy ban nhân dân thành phố Rạch Giá cấp ngày 19/8/2013. Tờ bđ số 86, thửa 25 diện tích 1393,76 m2 đất trồng cây lâu năm do Ông Nguyễn Văn Vốn Đứng tên. Thực tế ngoài thực địa do Lê Võ Việt Minh Tuân đang sử dụng, không có tranh chấp (Quá trình cấp GCN bị chồng lấn.) được xác nhận ông Nguyễn Văn Vốn xác nhận phần đất này của Ông Lê Võ Việt Minh Tuân.</t>
  </si>
  <si>
    <t>1980 - 0911 8000 5680</t>
  </si>
  <si>
    <t>Vũ Thị Tiêm</t>
  </si>
  <si>
    <t>Có GCN số BY 648789 do Ủy ban nhân dân thành phố Rạch Giá cấp ngày 24/3/2015</t>
  </si>
  <si>
    <t>1974 - 0911 7400 2841</t>
  </si>
  <si>
    <t>Tờ bđ số 86 thửa 345 diện tích 93,8 m2 trong đó: 36 m2 đất ở đô thị, 57,8 m2 đất trồng cây lâu năm</t>
  </si>
  <si>
    <t>Phần diện tích 12,0 m2 thuộc GCN số BN 637395 do Ủy ban nhân dân thành phố Rạch Giá cấp ngày 19/8/2013. Tờ bđ số 86, thửa 25 diện tích 1393,76 m2 đất trồng cây lâu năm do Ông Nguyễn Văn Vốn Đứng tên. Thực tế ngoài thực địa do Vũ Thị Tiêm đang sử dụng, không có tranh chấp (Quá trình cấp GCN bị chồng lấn.) được xác nhận ông Nguyễn Văn Vốn xác nhận phần đất này của Vũ Thị Tiêm.</t>
  </si>
  <si>
    <t>Phạm Thị Thắm</t>
  </si>
  <si>
    <t>Có GCN số CE 976756 do Sở tài nguyên và môi trường cấp ngày 19/01/2017</t>
  </si>
  <si>
    <t>1972 - 0911 7201 1144</t>
  </si>
  <si>
    <t>Hàng rào trụ sắt lưới B40.HR.18</t>
  </si>
  <si>
    <t>Tờ bđ số 86 thửa 414 diện tích 228,3 m2 đất trồng cây lâu năm</t>
  </si>
  <si>
    <t>Nguyễn Thị Mai</t>
  </si>
  <si>
    <t>Có GCN số BU 484564 do Ủy ban nhân dân thành phố Giạch Giá cấp ngày 24/9/2014</t>
  </si>
  <si>
    <t>1972 - 0911 7201 5060</t>
  </si>
  <si>
    <t>Tờ bđ số 86 thửa 225 diện tích 95 m2 đất trồng lúa</t>
  </si>
  <si>
    <t>Bành Đình Nguyên</t>
  </si>
  <si>
    <t>chưa xác định được chủ</t>
  </si>
  <si>
    <t>Triệu Văn Thưởng</t>
  </si>
  <si>
    <t>Nguyễn Văn Tịnh</t>
  </si>
  <si>
    <t>1964 - 0011 6403 0274</t>
  </si>
  <si>
    <t>Tol.V</t>
  </si>
  <si>
    <t>bộ</t>
  </si>
  <si>
    <t>Lê Văn Ân</t>
  </si>
  <si>
    <t>Có số PA 70,71,72,98,175</t>
  </si>
  <si>
    <t xml:space="preserve">Tỷ lệ mất đất: 61,6% (6 thửa) </t>
  </si>
  <si>
    <t>24-BĐĐC</t>
  </si>
  <si>
    <t>Đất trồng lúa (QH - DGT)</t>
  </si>
  <si>
    <t>367-BĐĐC</t>
  </si>
  <si>
    <t>Tờ bđ số 86, thửa 22,23,24,29 diện tích 1.2864,6 m2  đất trồng lúa (Trong đó diện tích 1.155,92 m2 nằm trong GCN; 128,7 m2 dư so với diện tích nằm trong GCN )</t>
  </si>
  <si>
    <t>Phần diện tích 38,5 m2 có cùng nguồn gốc và thời điểm sử dụng theo GCN số  GCN số W 787451 do Ủy ban nhân dân thị xã Rạch Giá cấp ngày 17/6/2003</t>
  </si>
  <si>
    <t>Phần diện tích 252,3 m2 và 170,4 m2 có cùng nguồn gốc và thời điểm sử dụng theo GCN số  GCN số W 787451 do Ủy ban nhân dân thị xã Rạch Giá cấp ngày 17/6/2003 nhưng quy hoạch đất giao thông</t>
  </si>
  <si>
    <t>22-23-24-29 -BĐĐC</t>
  </si>
  <si>
    <t>Nay Số 771 đường Nguyễn Trung Trực, phường Rạch Giá, tỉnh An Giang</t>
  </si>
  <si>
    <t>Nay Ấp Minh Phong, xã Bình An, tỉnh An Giang</t>
  </si>
  <si>
    <t>Nay Số 240B đường Chu Văn An, phường Rạch Giá, tỉnh An Giang</t>
  </si>
  <si>
    <t>Nay Khu phố Kênh 9, xã Tân Hiệp, tỉnh An Giang</t>
  </si>
  <si>
    <t>Nay 246A đường Huỳnh tấn Phát, phường Rạch Giá,  tỉnh An Giang</t>
  </si>
  <si>
    <t>Nay 256/88 đường Quang Trung , phường Rạch Giá, tỉnh An Giang</t>
  </si>
  <si>
    <t>Nay Khu phố Vĩnh Đông, xã Vĩnh Phong, tỉnh An Giang</t>
  </si>
  <si>
    <t>Nay Ấp Cây Bàng, xã Vĩnh Hòa, tỉnh An Giang</t>
  </si>
  <si>
    <t>1075 H đường Lâm Quang Ky, Khu phố 2, phường Rạch Giá, tỉnh An Giang</t>
  </si>
  <si>
    <t>C2-70 đường Phạm Hùng, phường Rạch Giá, tỉnh An Giang</t>
  </si>
  <si>
    <t>986/28/1A đường Nguyễn Trung Trực, phường Rạch Giá, tỉnh An Giang</t>
  </si>
  <si>
    <t>1079D/18B đường Lâm Quang Ky, phường Rạch Giá, tỉnh An Giang</t>
  </si>
  <si>
    <t>27/23 đường Ngô Quyền, phường Rạch Giá, tỉnh An Giang</t>
  </si>
  <si>
    <t>phường Bình Đức, tỉnh An Giang</t>
  </si>
  <si>
    <t>L24-23 Khu dân cư An Bình, phường Rạch Giá, tỉnh An Giang</t>
  </si>
  <si>
    <t>Ấp Kinh 7A, xã Tân Hiệp, tỉnh An Giang</t>
  </si>
  <si>
    <t>Số 680 đường Nguyễn Thị Định, phường Rạch Giá, tỉnh An Giang</t>
  </si>
  <si>
    <t>B4 - 30 - 31 đường Lương Thế Vinh, phường Rạch Giá, tỉnh An Giang</t>
  </si>
  <si>
    <t>ấp Kinh 9, xã Tân Hiệp, tỉnh An Giang</t>
  </si>
  <si>
    <t>Số 291/1 Chi Lăng, phường Rạch Giá, tỉnh An Giang</t>
  </si>
  <si>
    <t>21 Nguyễn An, phường Rạch Giá, tỉnh An Giang</t>
  </si>
  <si>
    <t>Số 217/9 Nguyễn Trung Trực,  phường Rạch Giá, tỉnh An Giang</t>
  </si>
  <si>
    <t>Số 26 Phạm Ngọc Thạch, Vĩnh Thanh, thành phố Rạch Giá, tỉnh Kiên Giang</t>
  </si>
  <si>
    <t>06 Nguyễn Văn Cừ, khu phố 3, phường Rạch Giá, tỉnh An Giang</t>
  </si>
  <si>
    <t>15/9 Sư Thiện Ân, phường Rạch Giá, tỉnh An Giang</t>
  </si>
  <si>
    <t>940/2 Nguyễn Trung Trực, phường Rạch Giá, tỉnh An Giang</t>
  </si>
  <si>
    <t>Tổ 12, khóm 3, phường Cao Lãnh, tỉnh Đồng Tháp</t>
  </si>
  <si>
    <t>986/20A Nguyễn Trung Trực, phường Rạch Giá, tỉnh An Giang</t>
  </si>
  <si>
    <t>986/20B Nguyễn Trung Trực, phường Rạch Giá, tỉnh An Giang</t>
  </si>
  <si>
    <t>A9, Lê Hồng Phong, phường Rạch Giá, tỉnh An Giang</t>
  </si>
  <si>
    <t>Chung cư 460 Ngô Quyền, phường Rạch Giá, tỉnh An Giang</t>
  </si>
  <si>
    <t>105/21 Nguyễn An Ninh, phường Rạch Giá, tỉnh An Giang</t>
  </si>
  <si>
    <t>974/12 Nguyễn Trung Trực, phường Rạch Giá, tỉnh An Giang</t>
  </si>
  <si>
    <t>581/12/3 Hai Bà Trưng, phường Rạch Giá, tỉnh An Giang</t>
  </si>
  <si>
    <t>1061/66 Lạc Long Quân, phường Bình Thới, thành phố Hồ Chí Minh</t>
  </si>
  <si>
    <t>986/25 Nguyễn Trung Trực, phường Rạch Giá, tỉnh An Giang</t>
  </si>
  <si>
    <t>Thôn Sơn Lang, xã Thọ Sơn, tỉnh Đồng Nai</t>
  </si>
  <si>
    <t>Tổ 13, Ấp kinh 4, xã Bình Giang, tỉnh An Giang</t>
  </si>
  <si>
    <t>Khu phố 5, đặc khu Phú Quốc, tỉnh An Giang</t>
  </si>
  <si>
    <t>75A Nguyễn Công Trứ, phường 2 Bảo Lộc, tỉnh Lâm Đồng</t>
  </si>
  <si>
    <t>956/25C Nguyễn Trung Trực, phường Rạch Giá, tỉnh An Giang</t>
  </si>
  <si>
    <t>E12/346B ấp 5, xã Bình Chánh, thành phố Hồ Chí Minh</t>
  </si>
  <si>
    <t>94/6A Chu Văn An, phường Rạch Giá, tỉnh An Giang</t>
  </si>
  <si>
    <t>986/26E Nguyễn Trung Trực, phường Rạch Giá, tỉnh An Giang</t>
  </si>
  <si>
    <t>986/26B Nguyễn Trung Trực, phường Rạch Giá, tỉnh An Giang</t>
  </si>
  <si>
    <t>990 Nguyễn Trung Trực, phường Rạch Giá, tỉnh An Giang</t>
  </si>
  <si>
    <t>Phước Chung, xã Thạnh Lộc, tỉnh An Giang</t>
  </si>
  <si>
    <t>986/22 Nguyễn Trung Trực, phường Rạch Giá, tỉnh An Giang</t>
  </si>
  <si>
    <t>956/27A Nguyễn Trung Trực, phường Rạch Giá, tỉnh An Giang</t>
  </si>
  <si>
    <t>956/27 Nguyễn Trung Trực, phường Rạch Giá, tỉnh An Giang</t>
  </si>
  <si>
    <t>986/28/1B Nguyễn Trung Trực, phường Rạch Giá, tỉnh An Giang</t>
  </si>
  <si>
    <t>174 Lâm Quang Ky, phường Rạch Giá, tỉnh An Giang</t>
  </si>
  <si>
    <t>Tổ 4, Hòn Chông, xã Kiên Lương, tỉnh An Giang</t>
  </si>
  <si>
    <t>57 Trần Khánh Dư, phường Rạch Giá, tỉnh An Giang</t>
  </si>
  <si>
    <t>Tổ 13, khu phố 2, phường Hà Tiên, tỉnh An Giang</t>
  </si>
  <si>
    <t>956/18C Nguyễn Trung Trực, phường Rạch Giá, tỉnh An Giang</t>
  </si>
  <si>
    <t>7/5 Lý Thường Kiệt, phường Rạch Giá, tỉnh An Giang</t>
  </si>
  <si>
    <t>Khu phố Vĩnh Phước 1, xã Vĩnh Phong, tỉnh An Giang</t>
  </si>
  <si>
    <t>Tổ 106 ấp Đồng Tranh, xã Vĩnh Bình, tỉnh An Giang</t>
  </si>
  <si>
    <t>940/2A Nguyễn Trung Trực, phường Rạch Giá, tỉnh An Giang</t>
  </si>
  <si>
    <t>956/25 Nguyễn Trung Trực, phường Rạch Giá, tỉnh An Giang</t>
  </si>
  <si>
    <t>956/25B Nguyễn Trung Trực, phường Rạch Giá, tỉnh An Giang</t>
  </si>
  <si>
    <t>E2 Phan Văn Trường, phường Rạch Giá, tỉnh An Giang</t>
  </si>
  <si>
    <t>956/25A Nguyễn Trung Trực, phường Rạch Giá, tỉnh An Giang</t>
  </si>
  <si>
    <t>191/14 Nguyễn Trung Trực, phường Rạch Giá, tỉnh An Giang</t>
  </si>
  <si>
    <t>986/18A Nguyễn Trung Trực, phường Rạch Giá, tỉnh An Giang</t>
  </si>
  <si>
    <t>974/10 Nguyễn Trung Trực, phường Rạch Giá, tỉnh An Giang</t>
  </si>
  <si>
    <t xml:space="preserve"> 974/10A Nguyễn Trung Trực, phường Rạch Giá, tỉnh An Giang</t>
  </si>
  <si>
    <t>986/26D Nguyễn Trung Trực, phường Rạch Giá, tỉnh An Giang</t>
  </si>
  <si>
    <t>704 Nguyễn Trung Trực, phường Rạch Giá, tỉnh An Giang</t>
  </si>
  <si>
    <t>A7-20 Sư Minh Không, phường Rạch Giá, tỉnh An Giang</t>
  </si>
  <si>
    <t>12B Chu Văn An, phường Rạch Giá, tỉnh An Giang</t>
  </si>
  <si>
    <t>986/28A Nguyễn Trung Trực, phường Rạch Giá, tỉnh An Giang</t>
  </si>
  <si>
    <t xml:space="preserve">81/7, KP1, phường An Phú Đông, thành phố Hồ Chí Minh) </t>
  </si>
  <si>
    <t>59 Nguyễn Bỉnh Khiêm, phường Rạch Giá, tỉnh An Giang</t>
  </si>
  <si>
    <t>1352/11 Thái Phiên, phường Rạch Giá, tỉnh An Giang</t>
  </si>
  <si>
    <t>986/32 Nguyễn Trung Trực, phường Rạch Giá, tỉnh An Giang</t>
  </si>
  <si>
    <t>E6-20 Đống Đa, phường Rạch Giá, tỉnh An Giang</t>
  </si>
  <si>
    <t>8/203 Kp Thông Chữ, phường Rạch Giá, tỉnh An Giang</t>
  </si>
  <si>
    <t>1028/30 Nguyễn Trung Trực, phường Rạch Giá, tỉnh An Giang</t>
  </si>
  <si>
    <t>603 Nguyễn Trung Trực, phường Rạch Giá, tỉnh An Giang</t>
  </si>
  <si>
    <t>42/1 Võ Thị Sáu, phường Rạch Giá, tỉnh An Giang</t>
  </si>
  <si>
    <t xml:space="preserve"> 986/24A Nguyễn Trung Trực, phường Rạch Giá, tỉnh An Giang</t>
  </si>
  <si>
    <t>Số 956/31 đường Nguyễn Trung Trực, phường Rạch Giá, tỉnh An Giang</t>
  </si>
  <si>
    <t>Số 663 đường Nguyễn Trung Trực, phường Rạch Giá, tỉnh An Giang</t>
  </si>
  <si>
    <t>986/32 đường Nguyễn Trung Trực, phường Rạch Giá, tỉnh An Giang</t>
  </si>
  <si>
    <t>986/32B đường Nguyễn Trung Trực, phường Rạch Giá, tỉnh An Giang</t>
  </si>
  <si>
    <t>236 Mạc Cửu, phường Rạch Giá, tỉnh An Giang</t>
  </si>
  <si>
    <t>1022 đường Nguyễn Trung Trực, phường Rạch Giá, tỉnh An Giang</t>
  </si>
  <si>
    <t>986/30 đường Nguyễn Trung Trực, phường Rạch Giá, tỉnh An Giang</t>
  </si>
  <si>
    <t>44 đường Nguyễn Tuân, phường Rạch Giá, tỉnh An Giang</t>
  </si>
  <si>
    <t xml:space="preserve"> Khu phố 2, phường Rạch Giá, tỉnh An Giang</t>
  </si>
  <si>
    <t>Ấp Bình Thuận, xã Bình Sơn, tỉnh An Giang</t>
  </si>
  <si>
    <t>Đã xét tỷ lệ mất đất và số khẩu tại phương án 120</t>
  </si>
  <si>
    <t>Đã xét tỷ lệ mất đất và số khẩu PA 121</t>
  </si>
  <si>
    <t>Tỷ lệ mất đất và nhân khẩu đã xét PA 127</t>
  </si>
  <si>
    <t>Tỷ lệ mất đất: 100% (2 thửa - PA 128)</t>
  </si>
  <si>
    <t xml:space="preserve">Tỷ lệ mất đất: 85,8 % </t>
  </si>
  <si>
    <t>Số nhân khẩu và tỷ lệ mất đất đã xét PA 162</t>
  </si>
  <si>
    <t>Tỷ lệ mất đất: 5,3 % (2 thửa - PA 168)</t>
  </si>
  <si>
    <t>Đã xét tỷ lệ mất đất và nhân khẩu tại PA 168</t>
  </si>
  <si>
    <t>Tỷ lệ mất đất: 100% (2 thửa - PA 177)</t>
  </si>
  <si>
    <t>Đã xét tỷ lệ mất đất và nhân khẩu PA 176</t>
  </si>
  <si>
    <t>Tỷ lệ mất đất: 5,5% (2 thửa - PA 14)</t>
  </si>
  <si>
    <t>Đã xét tỷ lệ mất đất và nhân khẩu PA 13</t>
  </si>
  <si>
    <t>Tỷ lệ mất đất và nhân khẩu đã xét PA 17</t>
  </si>
  <si>
    <t>Tỷ lệ mất đất: 5% (2 thửa - PA 18)</t>
  </si>
  <si>
    <t>Tỷ lệ mất đất: 100% (2 thửa - PA 26)</t>
  </si>
  <si>
    <t>Đã xét tỷ lệ mất đất và nhân khẩu tại PA 25</t>
  </si>
  <si>
    <t>Tỷ lệ mất đất và nhân khẩu xét PA 35</t>
  </si>
  <si>
    <t>Đã xét tỷ lệ mất đất và nhân khẩu PA 36</t>
  </si>
  <si>
    <t>Đã xét tỷ lệ mất đất và nhân khẩu PA 47</t>
  </si>
  <si>
    <t>Tỷ lệ mất đất: 84,1% (6 thửa - PA 63,64,65,66,67)</t>
  </si>
  <si>
    <t>Đã xét tỷ lệ mất đất và nhân khẩu PA 62</t>
  </si>
  <si>
    <t>Đã tính tỷ lệ mất đất và nhân khẩu PA 78</t>
  </si>
  <si>
    <t>Tỷ lệ mất đất: 86% (2 thửa - PA 68)</t>
  </si>
  <si>
    <t>Tỷ lệ mất đất: 55% (2 Thửa - PA 19)</t>
  </si>
  <si>
    <t>Có GCN số CU 861005 do Sở TNMT tỉnh Kiên Giang cấp ngày 07/5/2020.</t>
  </si>
  <si>
    <t>Có GCN số CM 745777 do Sở TNMT tỉnh Kiên Giang cấp ngày 21/9/2018.</t>
  </si>
  <si>
    <t>Có GCN số CM 745776 do Sở TNMT tỉnh Kiên Giang cấp ngày 21/9/2018.</t>
  </si>
  <si>
    <t>Có GCN số CM 745997 do Sở TNMT tỉnh Kiên Giang cấp ngày 21/9/2018.</t>
  </si>
  <si>
    <t>Có GCN số CM 745774 do Sở TNMT tỉnh Kiên Giang cấp ngày 21/9/2018.</t>
  </si>
  <si>
    <t>Có GCN số CM 745773 do Sở TNMT tỉnh Kiên Giang cấp ngày 21/09/2018.</t>
  </si>
  <si>
    <t>Có GCN số…………................... do UBND tỉnh Kiên Giang cấp ngày 19/03/2001.</t>
  </si>
  <si>
    <t>Có GCN số CĐ 094335 do Sở TNMT tỉnh Kiên Giang cấp ngày 20/5/2016.</t>
  </si>
  <si>
    <t>Phần diện tích 6,5 m² nằm ngoài GCN, có cùng nguồn gốc và thời điểm sử dụng theo GCN số CĐ 094335 do Sở TNMT tỉnh Kiên Giang cấp ngày 20/5/2016.</t>
  </si>
  <si>
    <t>Có GCN số CL 853108 do Sở TNMT tỉnh Kiên Giang cấp ngày 08/3/2018.</t>
  </si>
  <si>
    <t>Phần diện tích 1,6 m² nằm ngoài GCN, có cùng nguồn gốc và thời điểm sử dụng theo GCN số CL 853108 do Sở TNMT tỉnh Kiên Giang cấp ngày 08/3/2018.</t>
  </si>
  <si>
    <t>Có GCN số CK 471416 do Sở TNMT tỉnh Kiên Giang cấp ngày 28/8/2017.</t>
  </si>
  <si>
    <t xml:space="preserve">Phần diện tích 6,0 m² nằm ngoài GCN, có cùng nguồn gốc và thời điểm sử dụng theo GCN số CK 471416 do Sở TNMT tỉnh Kiên Giang cấp ngày 28/8/2017. </t>
  </si>
  <si>
    <t>Có GCN số CL 999944 do Sở TNMT tỉnh Kiên Giang cấp ngày 05/12/2017.</t>
  </si>
  <si>
    <t>Có GCN số DM 241341 do Văn phòng đăng ký đất đai tỉnh Kiên Giang cấp ngày 10/01/2024.</t>
  </si>
  <si>
    <t>Phần diện tích 6,3 m² nằm ngoài GCN, có cùng nguồn gốc và thời điểm sử dụng theo GCN số DM 241341 do Văn phòng đăng ký đất đai tỉnh Kiên Giang cấp ngày 10/01/2024.</t>
  </si>
  <si>
    <t>Có GCN số DM 241340 do Văn phòng ĐKĐĐ tỉnh Kiên Giang cấp ngày 10/01/2024.</t>
  </si>
  <si>
    <t>Có GCN số CV 768111 do Sở TNMT tỉnh Kiên Giang cấp ngày 19/6/2020.</t>
  </si>
  <si>
    <t xml:space="preserve">Phần diện tích 6,0 m² nằm ngoài GCN, có cùng nguồn gốc và thời điểm sử dụng theo GCN số CV 768111 do Sở TNMT tỉnh Kiên Giang cấp ngày 19/6/2020.   </t>
  </si>
  <si>
    <t>Có GCN số CT 570114 do Sở TNMT tỉnh Kiên Giang cấp ngày 23/12/2019.</t>
  </si>
  <si>
    <t>Có GCN số CM 745302 do Sở TNMT tỉnh Kiên Giang cấp ngày 22/8/2018.</t>
  </si>
  <si>
    <t>Phần diện tích 87,2 m² nằm ngoài GCN, có cùng nguồn gốc và thời điểm sử dụng theo GCN số CM 745302 do Sở TNMT tỉnh Kiên Giang cấp ngày 22/8/2018.</t>
  </si>
  <si>
    <t>Phần diện tích 8,8 m² (bờ kênh) nằm ngoài GCN, có cùng nguồn gốc và thời điểm sử dụng theo GCN số CM 745302 do Sở TNMN tỉnh Kiên Giang cấp ngày 22/8/2018.</t>
  </si>
  <si>
    <t>Có GCN số CM 745304 do Sở TNMT tỉnh Kiên Giang cấp ngày 22/8//2018.</t>
  </si>
  <si>
    <t>Phần diện tích 10,1 m² (bờ kênh) nằm ngoài GCN, có cùng nguồn gốc và thời điểm sử dụng theo GCN số CM 745304 do Sở TNMT tỉnh Kiên Giang cấp ngày 22/8/2018.</t>
  </si>
  <si>
    <t>Có GCN số CM 745303 do Sở TNMT tỉnh Kiên Giang cấp ngày 22/8/2018.</t>
  </si>
  <si>
    <t xml:space="preserve">Phần diện tích 23,7 m² (bờ kênh) nằm ngoài GCN, có cùng nguồn gốc và thời điểm sử dụng theo GCN số CM 745303 do Sở TNMT tỉnh Kiên Giang cấp ngày 22/8/2018.    </t>
  </si>
  <si>
    <t>Có GCN số CE 140488 do Sở TNMT tỉnh Kiên Giang cấp ngày 20/9/2016.</t>
  </si>
  <si>
    <t xml:space="preserve">Phần diện tích 40,2 m² nằm ngoài GCN, có cùng nguồn gốc và thời điểm sử dụng theo GCN số CE 140488 do Sở TNMT tỉnh Kiên Giang cấp ngày 20/9/2016. </t>
  </si>
  <si>
    <t>Có GCN số CE 140491 do Sở TNMT tỉnh Kiên Giang cấp ngày 20/9/2016.</t>
  </si>
  <si>
    <t>Có GCN số CI 659678 do Sở TNMT tỉnh Kiên Giang cấp ngày 19/7/2017.</t>
  </si>
  <si>
    <t>Phần diện tích 6,9 m² (bờ kênh) nằm ngoài GCN, có cùng nguồn gốc và thời điểm sử dụng theo GCN số CI 659678 do Sở TNMT tỉnh Kiên Giang cấp ngày 19/7/2017.</t>
  </si>
  <si>
    <t>Có GCN số CL 973341 do Sở TNMT tỉnh Kiên Giang cấp ngày 23/01/2018.</t>
  </si>
  <si>
    <t>Tỷ lệ mất đất và nhân khẩu tại PA 151</t>
  </si>
  <si>
    <t>Tỷ lệ mất đất: 7,3% (2 thửa - PA 120 là vợ)</t>
  </si>
  <si>
    <t>Tỷ lệ mất đất: 49%</t>
  </si>
  <si>
    <t>Tỷ lệ mất đất: 34,3%</t>
  </si>
  <si>
    <t>Tỷ lệ mất đất: 91,4%</t>
  </si>
  <si>
    <t>Tỷ lệ mất đất: 38,5% (2 thửa - PA 122)</t>
  </si>
  <si>
    <t>Tỷ lệ mất đất: 78,1 %</t>
  </si>
  <si>
    <t>Tỷ lệ mất đất: 35,5 %</t>
  </si>
  <si>
    <t>Tỷ lệ mất đất: 34,6 %</t>
  </si>
  <si>
    <t>Tỷ lệ mất đất:  9,0%</t>
  </si>
  <si>
    <t xml:space="preserve">Phần diện tích 30,8 m² (LG) nằm ngoài GCN, có cùng nguồn gốc và thời điểm sử dụng theo GCN số BU 454890 do UBND Thành Phố Rạch Giá cấp ngày 22/10/2014. </t>
  </si>
  <si>
    <t>Chung khẩu với mẹ Nguyễn Thị Thu (PA 31)</t>
  </si>
  <si>
    <t>Tỷ lệ mất đất: 100% (2 thửa -PA 37)</t>
  </si>
  <si>
    <t>Tỷ lệ mất đất: 23,5% (2 thửa - PA 48)</t>
  </si>
  <si>
    <t>Tờ bđ số 86, thửa 483 diện tích 225,6m2 đất trồng cây lâu năm</t>
  </si>
  <si>
    <t>Tỷ lệ mất đất: 100 % (2 thửa - PA 152)</t>
  </si>
  <si>
    <t>Tờ bđ số 86, thửa 222 diện tích 95 m2, đất lúa</t>
  </si>
  <si>
    <t xml:space="preserve">Đất trồng cây lâu năm-(Ngoài GCN) </t>
  </si>
  <si>
    <t xml:space="preserve">Phần diện tích 10,4 m² nằm ngoài GCN, có cùng nguồn gốc và thời điểm sử dụng theo GCN số  DM 241340 do Văn phòng ĐKĐĐ tỉnh Kiên Giang cấp ngày 10/01/2024. </t>
  </si>
  <si>
    <t>TT</t>
  </si>
  <si>
    <t xml:space="preserve"> ĐẠI DIỆN:……………………………….                                                     ĐẠI DIỆN:……………………………….                                                       ĐẠI DIỆN:……………………………….                                    </t>
  </si>
  <si>
    <t>Tỷ lệ mất đất: 2,6%</t>
  </si>
  <si>
    <t>Tỷ lệ mất đất: 2,5%</t>
  </si>
  <si>
    <t xml:space="preserve">Nguồn gốc đất do cha cho con là Quách Ngọc Tuấn ngày 12/6/2006 (giấy tay). Phần diện tích 10,5 m² nằm ngoài GCN thuộc đất HLATGT, có cùng nguồn gốc và thời điểm sử dụng theo GCN số BU 454890 do UBND Thành Phố Rạch Giá cấp ngày 22/10/2014. </t>
  </si>
  <si>
    <r>
      <t>m</t>
    </r>
    <r>
      <rPr>
        <vertAlign val="superscript"/>
        <sz val="10"/>
        <color rgb="FFFF0000"/>
        <rFont val="Times New Roman"/>
        <family val="1"/>
      </rPr>
      <t>2</t>
    </r>
  </si>
  <si>
    <t>Theo nội dung thẩm định nội nghiệp tách VKT không mái thành từng hạng mục</t>
  </si>
  <si>
    <r>
      <t>m</t>
    </r>
    <r>
      <rPr>
        <vertAlign val="superscript"/>
        <sz val="10"/>
        <color rgb="FFFF0000"/>
        <rFont val="Times New Roman"/>
        <family val="1"/>
      </rPr>
      <t>3</t>
    </r>
    <r>
      <rPr>
        <sz val="11"/>
        <color theme="1"/>
        <rFont val="Calibri"/>
        <family val="2"/>
        <scheme val="minor"/>
      </rPr>
      <t/>
    </r>
  </si>
  <si>
    <t>Đất trồng lúa - Đất nhà nước quản lý</t>
  </si>
  <si>
    <t>Mái che tol (hỗ trợ 80%)</t>
  </si>
  <si>
    <t>Nền xi măng SN.01 (hỗ trợ 80%)</t>
  </si>
  <si>
    <t>Nhà tiền chế NTC.01 (hỗ trợ 80%)</t>
  </si>
  <si>
    <t>Hàng ba C2.01*80% (hỗ trợ 80%)</t>
  </si>
  <si>
    <t>Nhà C2.07 (hỗ trợ 80%)</t>
  </si>
  <si>
    <t>Nhà WC.01 (xí bệt-trong nhà) (hỗ trợ 80%)</t>
  </si>
  <si>
    <t>Nhà C3.05 (hỗ trợ 80%)</t>
  </si>
  <si>
    <t>Đá hoa cương lót tam cấp (hỗ trợ 80%)</t>
  </si>
  <si>
    <t>HR song sắt +trụ Bt+ móng BT HR.13 (hỗ trợ 80%)</t>
  </si>
  <si>
    <t>Trần nhựa (hỗ trợ 80%)</t>
  </si>
  <si>
    <t>Giếng khoan không tay bơm (hỗ trợ 80%)</t>
  </si>
  <si>
    <t>Nhà WC.04 (xí bệt-trong nhà) (hỗ trợ 80%)</t>
  </si>
  <si>
    <t>Nhà cất năm 2021</t>
  </si>
  <si>
    <t>Chuồng heo xây (hỗ trợ 80%)</t>
  </si>
  <si>
    <t>Nhà tiền chế NTC.02 (hỗ trợ 90%)</t>
  </si>
  <si>
    <t>Nhà C4.05 (hỗ trợ 90%)</t>
  </si>
  <si>
    <t>Nhà WC.03 (Xí xổm) - Trong nhà (hỗ trợ 90%)</t>
  </si>
  <si>
    <t>Nhà tắm (WC.09) (hỗ trợ 90%)</t>
  </si>
  <si>
    <t>Nền xi măng SN.02 (hỗ trợ 90%)</t>
  </si>
  <si>
    <t>Mái che tol (hỗ trợ 90%)</t>
  </si>
  <si>
    <t>Nền xi măng SN.01 (hỗ trợ 90%)</t>
  </si>
  <si>
    <t>HR lưới B40 + Trụ đá + Sắt (hỗ trợ 90%)</t>
  </si>
  <si>
    <t>Trụ xây gạch (hỗ trợ 90%)</t>
  </si>
  <si>
    <t>Tường xây 10 tô 2 mặt (hỗ trợ 90%)</t>
  </si>
  <si>
    <t>Tường xây 10 tô 1 mặt (hỗ trợ 90%)</t>
  </si>
  <si>
    <t>Đan BT (hỗ trợ 90%)</t>
  </si>
  <si>
    <t>Gạch men ốp bếp (hỗ trợ 90%)</t>
  </si>
  <si>
    <t>Chuồng gà tạm (hỗ trợ 90%)</t>
  </si>
  <si>
    <t>Trần nhựa (hỗ trợ 90%)</t>
  </si>
  <si>
    <t>Gạch men ốp tường (hỗ trợ 90%)</t>
  </si>
  <si>
    <t>Nhà T.03  (hỗ trợ 80%)</t>
  </si>
  <si>
    <t>Nhà T.03 (hỗ trợ 80%)</t>
  </si>
  <si>
    <t>Nhà WC (xí xổm) - ngoài nhà (hỗ trợ 80%)</t>
  </si>
  <si>
    <t xml:space="preserve">Đường nội bộ BTCT đá 1x2 mác 250 ĐNB.02 </t>
  </si>
  <si>
    <t>Nhà trọ tiền chế NTC.01 (xử lý vi phạm)  (hỗ trợ 80% - Xử lý vi phạm)</t>
  </si>
  <si>
    <t>WC (trong nhà, xí bệt, 10 cái WC) (xử lý vi phạm)  (hỗ trợ 80% - Xử lý vi phạm)</t>
  </si>
  <si>
    <t>WC (trong nhà, xí bệt, 11 cái WC) (xử lý vi phạm) (hỗ trợ 80% - Xử lý vi phạm)</t>
  </si>
  <si>
    <t>WC (trong nhà, xí bệt, 18 cái WC)  (hỗ trợ 80% - Xử lý vi phạm)</t>
  </si>
  <si>
    <t>Nhà trọ tiền chế NTC.01  (hỗ trợ 80% - Xử lý vi phạm)</t>
  </si>
  <si>
    <t>WC (trong nhà, xí xỏm, 4 cái WC)  (hỗ trợ 80% - Xử lý vi phạm)</t>
  </si>
  <si>
    <t>WC (trong nhà, xí bệt, 4 cái WC)  (hỗ trợ 80% - Xử lý vi phạm)</t>
  </si>
  <si>
    <r>
      <t>Ao cá (461,4m</t>
    </r>
    <r>
      <rPr>
        <vertAlign val="superscript"/>
        <sz val="11"/>
        <rFont val="Times New Roman"/>
        <family val="1"/>
      </rPr>
      <t>2</t>
    </r>
    <r>
      <rPr>
        <sz val="11"/>
        <rFont val="Times New Roman"/>
        <family val="1"/>
      </rPr>
      <t xml:space="preserve"> x 2,0 m) </t>
    </r>
  </si>
  <si>
    <t>WC (trong nhà, xí bệt, 2 cái WC)  (hỗ trợ 80% - Xử lý vi phạm)</t>
  </si>
  <si>
    <t>Gạch men ốp tường  (hỗ trợ 80% - Xử lý vi phạm)</t>
  </si>
  <si>
    <t>Nền xi măng SN.01  (hỗ trợ 80% - Xử lý vi phạm)</t>
  </si>
  <si>
    <t>Sàn BTCT  (hỗ trợ 80% - Xử lý vi phạm)</t>
  </si>
  <si>
    <t>Trụ BTCT  (hỗ trợ 80% - Xử lý vi phạm)</t>
  </si>
  <si>
    <t>HR lưới B40 + Trụ đá + Sắt (hỗ trợ 80% - Xử lý vi phạm)</t>
  </si>
  <si>
    <t>Mái che tol  (hỗ trợ 80% - Xử lý vi phạm)</t>
  </si>
  <si>
    <t>Nhà C4.05 (WC ngoài nhà, xí xỏm) (hỗ trợ 90%)</t>
  </si>
  <si>
    <t>Tường xây 10, tô 2 mặt (hỗ trợ 90%)</t>
  </si>
  <si>
    <t>Nền gạch men (hỗ trợ 90%)</t>
  </si>
  <si>
    <t>Đan BTCT (hỗ trợ 90%)</t>
  </si>
  <si>
    <t>Đà kiềng BTCT (hỗ trợ 90%)</t>
  </si>
  <si>
    <t>Nhà trọ C4.05 (hỗ trợ 80%)</t>
  </si>
  <si>
    <t>WC.09 (trong nhà, xí xỏm) (hỗ trợ 80%)</t>
  </si>
  <si>
    <t>Đan bếp BTXM (hỗ trợ 80%)</t>
  </si>
  <si>
    <t>Tường xây 10, tô 2 mặt HR.17 (hỗ trợ 80%)</t>
  </si>
  <si>
    <t>Tường xây 10, tô 2 mặt (5 căn) (hỗ trợ 80%)</t>
  </si>
  <si>
    <t>Tường xây 10, tô 2 mặt (5 WC) (hỗ trợ 80%)</t>
  </si>
  <si>
    <t>Nền gạch men (5 căn) (hỗ trợ 80%)</t>
  </si>
  <si>
    <t>Nền gạch men (5 WC) (hỗ trợ 80%)</t>
  </si>
  <si>
    <t>Đà kiềng BTCT (Nha C4 ko mái) (hỗ trợ 80%)</t>
  </si>
  <si>
    <t>Đan BTCT (hỗ trợ 80%)</t>
  </si>
  <si>
    <t>Mái che bạt (hỗ trợ 80%)</t>
  </si>
  <si>
    <t>WC.01 (trong nhà, xí bệt) (hỗ trợ 90%)</t>
  </si>
  <si>
    <t>Nhà bếp C4.05 (hỗ trợ 90%)</t>
  </si>
  <si>
    <t>Tỉ lệ mất đất: 75,2%</t>
  </si>
  <si>
    <t>Đan BTXM (hỗ trợ 90%)</t>
  </si>
  <si>
    <t>Nền gạch tàu (hỗ trợ 90%)</t>
  </si>
  <si>
    <t>Sàn gỗ tạp (hỗ trợ 90%)</t>
  </si>
  <si>
    <t>Hàng ba C3.05*80% (hỗ trợ 90%)</t>
  </si>
  <si>
    <t>Nhà C3.05 (hỗ trợ 90%)</t>
  </si>
  <si>
    <t>WC.01 (trong nhà, xí bệt, ốp gạch men) (hỗ trợ 90%)</t>
  </si>
  <si>
    <t>Nhà tiền chế NTC.01 (hỗ trợ 90%)</t>
  </si>
  <si>
    <t>WC.04 (trong nhà, xí xỏm, không ốp gạch) (hỗ trợ 90%)</t>
  </si>
  <si>
    <t>Nền đá hoa cương (hỗ trợ 90%)</t>
  </si>
  <si>
    <t>Giếng khoan không tay bơm (hỗ trợ 90%)</t>
  </si>
  <si>
    <t>Trần Prima (hỗ trợ 90%)</t>
  </si>
  <si>
    <t>Nhà C2.07 (hỗ trợ 90%)</t>
  </si>
  <si>
    <t>Hàng rào khung lưới B40, trụ sắt HR.18 (hỗ trợ 90%)</t>
  </si>
  <si>
    <t>Đal BT ông thiên (hỗ trợ 90%)</t>
  </si>
  <si>
    <t>Đal bt (hỗ trợ 90%)</t>
  </si>
  <si>
    <t>Gạch men ốp (hỗ trợ 90%)</t>
  </si>
  <si>
    <t>Sân gạch tàu SN.01 (hỗ trợ 90%)</t>
  </si>
  <si>
    <t>Miếu C4.01 (hỗ trợ 90%)</t>
  </si>
  <si>
    <t>Hàng rào song sắt, trụ sắt HR.14 (hỗ trợ 90%)</t>
  </si>
  <si>
    <t>Ống nhựa BM phi 300 (hỗ trợ 90%)</t>
  </si>
  <si>
    <t>Trụ sắt phi 90 (hỗ trợ 90%)</t>
  </si>
  <si>
    <t>Hàng rào lưới B40, trụ gỗ HR.18 (hỗ trợ 90%)</t>
  </si>
  <si>
    <t>Nhà C4.05 (hỗ trợ 80%)</t>
  </si>
  <si>
    <t>Nền gạch men (hỗ trợ 80%)</t>
  </si>
  <si>
    <t>Nhà T.01 (hỗ trợ 90%)</t>
  </si>
  <si>
    <t>WC xí xổm, dán gạch men WC.09 (hỗ trợ 90%)</t>
  </si>
  <si>
    <t>Gác gỗ (cao nhỏ hơn 3 m) (hỗ trợ 90%)</t>
  </si>
  <si>
    <t>WC+ Tắm (ngoài nhà) xí bệt WC.05 (hỗ trợ 90%)</t>
  </si>
  <si>
    <t>NTC.02 (hỗ trợ 90%)</t>
  </si>
  <si>
    <t>Nhà T.48 (hỗ trợ 90%)</t>
  </si>
  <si>
    <t>Sân xi măng SN.01 (hỗ trợ 90%)</t>
  </si>
  <si>
    <t>Đá hoa cương bếp (hỗ trợ 90%)</t>
  </si>
  <si>
    <t>Tủ bếp gỗ (hỗ trợ 90%)</t>
  </si>
  <si>
    <t>Tấm cách nhiệt (hỗ trợ 90%)</t>
  </si>
  <si>
    <t>Trần nhựa  (nhà C) (hỗ trợ 90%)</t>
  </si>
  <si>
    <t>Hàng rào trụ gỗ, lưới B40 HR.18 (hỗ trợ 90%)</t>
  </si>
  <si>
    <t>Nhà T.01 (hỗ trợ 80%)</t>
  </si>
  <si>
    <t>WC+ Tắm (trong nhà) xí bệt, dán  gạch men WC.09 (hỗ trợ 80%)</t>
  </si>
  <si>
    <t>WC (ngoài nhà) xí xổm WC.09 (hỗ trợ 80%)</t>
  </si>
  <si>
    <t>Tường xây 10 tô 2 mặt (bếp) (hỗ trợ 80%)</t>
  </si>
  <si>
    <t>Bồn xây gạch (không nắp) (hỗ trợ 80%)</t>
  </si>
  <si>
    <t>Tường xây 10 tô 1 mặt (hỗ trợ 80%)</t>
  </si>
  <si>
    <t>Tường xây 10 không tô HR.18 (hỗ trợ 80%)</t>
  </si>
  <si>
    <t>Hàng ba nhà C4.05*80% (hỗ trợ 80%)</t>
  </si>
  <si>
    <t>Sân xi măng SN.02 (hỗ trợ 80%)</t>
  </si>
  <si>
    <t>Không đủ điều kiện BT về đất Theo nội dung thẩm định nội nghiệp tách VKT không mái thành từng hạng mục</t>
  </si>
  <si>
    <t>Hàng rào lưới B40, trụ đá HR.18 (hỗ trợ 90%)</t>
  </si>
  <si>
    <t>NTC.01 (hỗ trợ 90%)</t>
  </si>
  <si>
    <t>WC+Tắm (trong nhà) xí xổm, dán gạch men WC.03 (hỗ trợ 90%)</t>
  </si>
  <si>
    <t>Hàng rào kẻm gai+ trụ đá HR.18 (hỗ trợ 90%)</t>
  </si>
  <si>
    <t>Gác gỗ (cao nhỏ hơn 3,0m) (hỗ trợ 90%)</t>
  </si>
  <si>
    <t>Hàng rào song sắt, trụ xây gạch thẻ HR.03 (hỗ trợ 90%)</t>
  </si>
  <si>
    <t>Hàng ba nhà C2.01*80% (hỗ trợ 90%)</t>
  </si>
  <si>
    <t>WC+ Tắm (xí bệt,dán gạch men) WC.01 (hỗ trợ 90%)</t>
  </si>
  <si>
    <t>Hàng rào xây 10, song sắt, móng BTCT, trụ BTCT HR.03 (hỗ trợ 90%)</t>
  </si>
  <si>
    <t>Hàng rào xây 10, khung lưới B40, móng BTCT, trụ BTCT HR.11 (hỗ trợ 90%)</t>
  </si>
  <si>
    <t>Đal BT (bếp) (hỗ trợ 90%)</t>
  </si>
  <si>
    <t>Hàng rào xây 20 gạch lốc, trụ BTCT HR.19 (hỗ trợ 90%)</t>
  </si>
  <si>
    <t>WC+ Tắm (xí bệt,dán gạch men )WC.01 (hỗ trợ 90%)</t>
  </si>
  <si>
    <t>Tường xây 10 tô 2 mặt HR.18 (hỗ trợ 90%)</t>
  </si>
  <si>
    <t>Gác gỗ (cao nhỏ hơn 3m) (hỗ trợ 90%)</t>
  </si>
  <si>
    <t>Mái BTCT (gác gỗ) (hỗ trợ 90%)</t>
  </si>
  <si>
    <t>Bồn BTCT không nắp BNN.01 (hỗ trợ 90%)</t>
  </si>
  <si>
    <t>Hàng rào xây 10, lưới B40, trụ sắt HR.11 (hỗ trợ 90%)</t>
  </si>
  <si>
    <t>Đal BT bếp (hỗ trợ 90%)</t>
  </si>
  <si>
    <t>Gạch men bếp (hỗ trợ 90%)</t>
  </si>
  <si>
    <t>Tường xây 10 tô 2 mặt (bếp) (hỗ trợ 90%)</t>
  </si>
  <si>
    <t>Tường xây 20 tô 2 mặt (bếp) (hỗ trợ 90%)</t>
  </si>
  <si>
    <t>NTC.01 (hỗ trợ 80%)</t>
  </si>
  <si>
    <t>Nhà C4.07 (hỗ trợ 90%)</t>
  </si>
  <si>
    <t>WC+ Tắm (trong nhà) xí bệt, dán gạch men WC.01 (hỗ trợ 90%)</t>
  </si>
  <si>
    <t>WC (trong nhà) xí xổm, dán gạch men WC.03 (hỗ trợ 90%)</t>
  </si>
  <si>
    <t>Nhà T.03 (hỗ trợ 90%)</t>
  </si>
  <si>
    <t>Tắm (ngoài nhà) WC.09 (hỗ trợ 90%)</t>
  </si>
  <si>
    <t>Nhà T.07 (hỗ trợ 90%)</t>
  </si>
  <si>
    <t>Hàng rào trụ xây gạch, khung lưới B40 HR.09 (hỗ trợ 90%)</t>
  </si>
  <si>
    <t>Hàng rào song sắt, trụ đá HR.14 (hỗ trợ 90%)</t>
  </si>
  <si>
    <t>Nền gạch khía (hỗ trợ 90%)</t>
  </si>
  <si>
    <t>Tường 10 tô 2 mặt (hỗ trợ 90%)</t>
  </si>
  <si>
    <t>Tường xây 10 tô 1 mặt HR.18 (hỗ trợ 90%)</t>
  </si>
  <si>
    <t>Tường xây 10 tô 1 mặt (bồn hoa) HR.18 (hỗ trợ 90%)</t>
  </si>
  <si>
    <t>Cầu sắt tấm (hỗ trợ 90%)</t>
  </si>
  <si>
    <t>Nhà T.44 (hỗ trợ 90%)</t>
  </si>
  <si>
    <t>Chuồng gà (hỗ trợ 90%)</t>
  </si>
  <si>
    <t>Mái che lá (hỗ trợ 90%)</t>
  </si>
  <si>
    <t>Hàng rào lưới B40, trụ đá HR.18 (hỗ trợ 80%)</t>
  </si>
  <si>
    <t>Chuồng heo (hỗ trợ 90%)</t>
  </si>
  <si>
    <t xml:space="preserve">NTC.02 </t>
  </si>
  <si>
    <t xml:space="preserve">Hàng rào lưới B40, trụ đá HR.18 </t>
  </si>
  <si>
    <t>Hàng rào trụ gỗ, lưới B40 HR.18 (hỗ trợ 80%)</t>
  </si>
  <si>
    <t>được áp dụng</t>
  </si>
  <si>
    <t xml:space="preserve">Cơ sở pháp lý </t>
  </si>
  <si>
    <r>
      <t>Phần diện tích</t>
    </r>
    <r>
      <rPr>
        <sz val="10"/>
        <color rgb="FFFF0000"/>
        <rFont val="Times New Roman"/>
        <family val="1"/>
      </rPr>
      <t xml:space="preserve"> 2,1 </t>
    </r>
    <r>
      <rPr>
        <sz val="10"/>
        <rFont val="Times New Roman"/>
        <family val="1"/>
      </rPr>
      <t>m² nằm ngoài GCN, có cùng nguồn gốc theo GCN số BU 499143 do UBND thành phố Rạch Giá cấp ngày 9/5/2014.</t>
    </r>
  </si>
  <si>
    <t>Hàng rào trụ BTCT, tường xây 20 không trát vữa xi măng. HR.01 (hỗ trợ 90%)</t>
  </si>
  <si>
    <t>Hàng rào tường xây 20 tô 1 mặt. HR.19  (hỗ trợ 90%)</t>
  </si>
  <si>
    <t>WC trong nhà, có hầm tự hoại, xí xổm,  không ốp gạch men. WC.04 (hỗ trợ 90%)</t>
  </si>
  <si>
    <t>Sân nền bê tông đá 1x2 mác 250. SN.02 (hỗ trợ 90%)</t>
  </si>
  <si>
    <t>Đường nội bộ bê tông đá 1x2 mác 250. ĐNB.01 (hỗ trợ 90%)</t>
  </si>
  <si>
    <t>Nhà  C3.05 (hỗ trợ 90%)</t>
  </si>
  <si>
    <t>WC trong nhà, có hầm tự hoại, xí bệt, ốp gạch men. WC.01 (hỗ trợ 90%)</t>
  </si>
  <si>
    <t>Nhà tiền chế có vách. NTC.01 (hỗ trợ 90%)</t>
  </si>
  <si>
    <t>Nhà tiền chế khôngvách. NTC.02 (hỗ trợ 90%)</t>
  </si>
  <si>
    <t>Chuồng gà (xin ý kiến) (hỗ trợ 90%)</t>
  </si>
  <si>
    <t>Kè Bê tông cốt thép (xin ý kiến) (hỗ trợ 90%)</t>
  </si>
  <si>
    <t>Dàn sắt V kê bồn lọc nước (xin ý kiến) (hỗ trợ 90%)</t>
  </si>
  <si>
    <t>Công phục dựng (xin ý kiến) (hỗ trợ 90%)</t>
  </si>
  <si>
    <t xml:space="preserve">Nhà tiền chế có vách. NTC.01 </t>
  </si>
  <si>
    <t>Nhà xây dựng tháng 5 năm 2014</t>
  </si>
  <si>
    <t>Xây dựng năm 2013</t>
  </si>
  <si>
    <t>Hàng rào tường gạch dày 20cm, không trát vữa 2 mặt. HR.19 (hỗ trợ 90%)</t>
  </si>
  <si>
    <t>Nhà T.23 (hỗ trợ 80%)</t>
  </si>
  <si>
    <t>Nhà tiền chế không vách NTC.02 (hỗ trợ 80%)</t>
  </si>
  <si>
    <t>WC ngoài nhà, xí xổm, vách tường, mái tôn, ốp gạch. WC.05.1 (hỗ trợ 80%)</t>
  </si>
  <si>
    <t>Mái che tấm nhựa (xin ý kiến) (hỗ trợ 80%)</t>
  </si>
  <si>
    <t>WC trong nhà, có hầm tự hoại, xí bệt, ốp gạch men. WC.01  (hỗ trợ 90%)</t>
  </si>
  <si>
    <t>Nhà tiền chế có vách. NTC.01  (hỗ trợ 90%)</t>
  </si>
  <si>
    <t>Gác gỗ dưới 3 mét (xin ý kiến)  (hỗ trợ 90%)</t>
  </si>
  <si>
    <t>Công phục dựng (xin ý kiến)  (hỗ trợ 90%)</t>
  </si>
  <si>
    <t>Nhà C3.05  (hỗ trợ 90%)</t>
  </si>
  <si>
    <t>WC trong nhà, có hầm tự hoại, xí xổm, ốp gạch men. WC.03  (hỗ trợ 90%)</t>
  </si>
  <si>
    <t>Nhà C3.05 (Xin ý kiến)  (hỗ trợ 90%)</t>
  </si>
  <si>
    <t>WC trong nhà, có hầm tự hoại, xí xổm, ốp gạch men. WC.03 (hỗ trợ 80%)</t>
  </si>
  <si>
    <t>Gác gỗ dưới 3 mét (xin ý kiến) (hỗ trợ 80%)</t>
  </si>
  <si>
    <t>Nhà T.01 (xin ý kiến) (hỗ trợ 80%)</t>
  </si>
  <si>
    <t>Đất lúa -GCN</t>
  </si>
  <si>
    <t>Đất lúa - GCN</t>
  </si>
  <si>
    <t>Lê Thị Thảo Chi (GCN Đoàn Kim Phụng)</t>
  </si>
  <si>
    <t xml:space="preserve">Lê Thúy Nga (GCN Đoàn Kim Phụng) </t>
  </si>
  <si>
    <t>Sảnh C3,05*80% (hỗ trợ 90%)</t>
  </si>
  <si>
    <t>Nhà tiền chế không vách. NTC.02 (hỗ trợ 90%)</t>
  </si>
  <si>
    <t>Sê nô máng nước (xin ý kiến) (hỗ trợ 90%)</t>
  </si>
  <si>
    <t>Nền gạch men (xin ý kiến) (hỗ trợ 90%)</t>
  </si>
  <si>
    <t>Hàng rào trụ BTCT tường xây 10 khung sắt. HR.14 (hỗ trợ 90%)</t>
  </si>
  <si>
    <t>WC trong nhà, có hầm tự hoại, xí bết, ốp gạch men. WC.01 (hỗ trợ 90%)</t>
  </si>
  <si>
    <t>Hầm bioga (hỗ trợ 90%)</t>
  </si>
  <si>
    <t>Giếng khoang phi 34sâu 70 mét (hỗ trợ 90%)</t>
  </si>
  <si>
    <t>Giếng khoang phi 42sâu 70 mét (hỗ trợ 90%)</t>
  </si>
  <si>
    <t>tường xây 20 tô 1 mặt (xin ý kiến) (hỗ trợ 90%)</t>
  </si>
  <si>
    <t>Hàng rào cây, vách tôn (xin ý kiến) (hỗ trợ 90%)</t>
  </si>
  <si>
    <t>Tường xây 10 tô 2 mặt (xin ý kiến) (hỗ trợ 90%)</t>
  </si>
  <si>
    <t>Trụ BTCT (xin ý kiến) (hỗ trợ 90%)</t>
  </si>
  <si>
    <t>Sàn bê tông nhẹ (xin ý kiến) (hỗ trợ 90%)</t>
  </si>
  <si>
    <t>Nhà C,  C4.05 (hỗ trợ 90%)</t>
  </si>
  <si>
    <t>WC trong nhà, xí bệt, tường xây, ốp gạch men. WC.01 (hỗ trợ 90%)</t>
  </si>
  <si>
    <t>Nhà tiền chế không vách NTC.02 (hỗ trợ 90%)</t>
  </si>
  <si>
    <t>Đường nội bộ BTCT đá 1x2 mác 250. ĐNB.02 (hỗ trợ 90%)</t>
  </si>
  <si>
    <t>Đà dầm BTCT (xin ý kiến) (hỗ trợ 90%)</t>
  </si>
  <si>
    <t>Khung sắt bồn nước (xin ý kiến) (hỗ trợ 90%)</t>
  </si>
  <si>
    <t>Hàng rào tôn (xin ý kiến) (hỗ trợ 90%)</t>
  </si>
  <si>
    <t>Sàn gỗ tạp (xin ý kiến) (hỗ trợ 90%)</t>
  </si>
  <si>
    <t>Hàng rào trụ BTCT, tường xây 10 tô 2 mặt HR.12 (hỗ trợ 90%)</t>
  </si>
  <si>
    <t>Tường xây 20 tô 2 mặt (xin ý kiến) (hỗ trợ 90%)</t>
  </si>
  <si>
    <t>đá ốp tường (xin ý kiến) (hỗ trợ 90%)</t>
  </si>
  <si>
    <t>Mái che lưới lan (xin ý kiến) (hỗ trợ 90%)</t>
  </si>
  <si>
    <t>Hàng rào khung sắt (xin ý kiến) (hỗ trợ 90%)</t>
  </si>
  <si>
    <t>Tường xây 10, không tô (hỗ trợ 90%)</t>
  </si>
  <si>
    <t>Nền đá bụi (hỗ trợ 90%)</t>
  </si>
  <si>
    <t>Đường BTXM đá 1x2 có cốt thép ĐNB.02 (hỗ trợ 90%)</t>
  </si>
  <si>
    <t>Nền đá 0x4 (hỗ trợ 90%)</t>
  </si>
  <si>
    <t>Hàng rào trụ sắt + song sắt (hỗ trợ 90%)</t>
  </si>
  <si>
    <t>Nhà xây dựng tháng 4 năm 2014</t>
  </si>
  <si>
    <t>Gác gỗ dưới 3 mét(xin ý kiến) (hỗ trợ 90%)</t>
  </si>
  <si>
    <t>Sân nền bê tông đá 1x2 mác 250. SN.02 (hỗ trợ 80%)</t>
  </si>
  <si>
    <t>Nền gạch men (xin ý kiến) (hỗ trợ 80%)</t>
  </si>
  <si>
    <t>Nhà tiền chế không vách. NTC.02 (hỗ trợ 80%)</t>
  </si>
  <si>
    <t>WC, trong nhà, xí bệt, vách tường, ốp gạch men. WC.01 (hỗ trợ 80%)</t>
  </si>
  <si>
    <t>Cây nước phi 49 sâu 96 mét (xin ý kiến) (hỗ trợ 80%)</t>
  </si>
  <si>
    <t>Hàng rào Trụ sắt lưới B40. HR.11 (hỗ trợ 80%)</t>
  </si>
  <si>
    <t>Hàng rào khung sắt. HR.14 (hỗ trợ 80%)</t>
  </si>
  <si>
    <t>Hàng rào trụ đá dây trì gai. HR.11 (hỗ trợ 80%)</t>
  </si>
  <si>
    <t>Sê nô máng nước (hỗ trợ 80%)</t>
  </si>
  <si>
    <t>Ống bê tông phi 400 (hỗ trợ 80%)</t>
  </si>
  <si>
    <t>Tấm đan bê tông kè ao cá (hỗ trợ 80%)</t>
  </si>
  <si>
    <t>Tường xây 10 tô 2 mặt (hỗ trợ 80%)</t>
  </si>
  <si>
    <t>Tấm đan bê tông (hỗ trợ 80%)</t>
  </si>
  <si>
    <t>WC trong nhà, xí xổm, vách tường, mái tôn, không ốp gạch. WC.04 (hỗ trợ 80%)</t>
  </si>
  <si>
    <t>Nhà tiền chế có vách. NTC.01 (hỗ trợ 80%)</t>
  </si>
  <si>
    <t>Hàng rào trụ đá lưới B40. HR.11 (hỗ trợ 80%)</t>
  </si>
  <si>
    <t>WC ngoài nhà, xí xổm vách tường, mái tôn, không ốp. WC.06.1 (hỗ trợ 80%)</t>
  </si>
  <si>
    <t>Nhà C4.07 (hỗ trợ 80%)</t>
  </si>
  <si>
    <t>Nhà  T.13 (hỗ trợ 80%)</t>
  </si>
  <si>
    <t>Nhà T.16 (hỗ trợ 80%)</t>
  </si>
  <si>
    <t>Sân nền bê tông lót gạch men (xin ý kiến) (hỗ trợ 80%)</t>
  </si>
  <si>
    <t>Giếng khoang phi 42sâu 70 mét (hỗ trợ 80%)</t>
  </si>
  <si>
    <t>Bồn xây 10 không nắp (hỗ trợ 80%)</t>
  </si>
  <si>
    <t>Nhà  T.44 (hỗ trợ 90%)</t>
  </si>
  <si>
    <t>WC, ngoài nhà, cột gạch, vách tường, xí xổm, mái tôn, không ốp, WC.06.1 (hỗ trợ 90%)</t>
  </si>
  <si>
    <t>WC, trong nhà, cột gạch, vách tường, xí bệt, mái tôn, ốp gạch men, WC.09 (hỗ trợ 90%)</t>
  </si>
  <si>
    <t>Hàng rào trụ BTCT, tường xây 10 không tô, lưới B40. HR.08 (hỗ trợ 90%)</t>
  </si>
  <si>
    <t>Hàng rào tường xây gạch 10cm, có trát vữa 2 mặt. HR.17 (hỗ trợ 90%)</t>
  </si>
  <si>
    <t>Hàng rào tường xây gạch 10cm, không trát vữa. HR.18 (hỗ trợ 90%)</t>
  </si>
  <si>
    <t>Nhà T.27 (hỗ trợ 90%)</t>
  </si>
  <si>
    <t>Hào rào trụ đá lưới B40. HR.11 (hỗ trợ 90%)</t>
  </si>
  <si>
    <t>WC trong nhà, xí bệt,vách tường, ốp gạch. WC.01 (hỗ trợ 80%)</t>
  </si>
  <si>
    <t>Công phục dựng (xin ý kiến) (hỗ trợ 80%)</t>
  </si>
  <si>
    <t>Hàng rào xây trụ BTCT, tường xây 10 cm bằng gạch, có trát vữa xi măng 2 mặt. HR.17 (hỗ trợ 90%)</t>
  </si>
  <si>
    <t>WC. Trong nhà, xí xổm, vách tường, ốp gạch men. WC.03 (hỗ trợ 90%)</t>
  </si>
  <si>
    <t>Sàn gỗ quy cách, lót vật liệu nhẹ chiều cao dưới 3 mét (xin ý kiến) (hỗ trợ 90%)</t>
  </si>
  <si>
    <t>công phục dựng (xin ý kiến) (hỗ trợ 90%)</t>
  </si>
  <si>
    <t>Hộ: Nguyễn Thị Hồng</t>
  </si>
  <si>
    <t>Có GCN có số vào sổ A00710 QSDĐ/AH được UBND thị xã Rạch Giá cấp ngày 28/12/2001</t>
  </si>
  <si>
    <t>Tờ BĐ 86, thửa 116, tổng diện tích 1.140,5 m2 trong đó: Đất lúa 840,5 m2 và đất ở 300 m2. GCN do Hộ Nguyễn Thị Hồng đứng tên</t>
  </si>
  <si>
    <t>Tỷ lệ mất đất: 58,3%</t>
  </si>
  <si>
    <t>Xây dựng năm 2016</t>
  </si>
  <si>
    <t>Nhà tiền chế không vách NTC. 02 (hỗ trợ 80%)</t>
  </si>
  <si>
    <t>Nền gạch khía (hỗ trợ 80%)</t>
  </si>
  <si>
    <t>Nhà WC.01 (có hầm tự hoại - trong nhà, xí bệt, ốp gạch) (hỗ trợ 80%)</t>
  </si>
  <si>
    <t>Gác gỗ cao trên 3m (hỗ trợ 80%)</t>
  </si>
  <si>
    <t>Hàng rào trụ BT khung sắt (hỗ trợ 80%)</t>
  </si>
  <si>
    <t>Gạch men ốp tường trong nhà (hỗ trợ 80%)</t>
  </si>
  <si>
    <t>Gạch men ốp tường ngoài nhà (hỗ trợ 80%)</t>
  </si>
  <si>
    <r>
      <t xml:space="preserve">Ống nhựa PVC </t>
    </r>
    <r>
      <rPr>
        <sz val="10"/>
        <rFont val="Arial Unicode MS"/>
        <family val="2"/>
      </rPr>
      <t>Ø</t>
    </r>
    <r>
      <rPr>
        <sz val="9.8000000000000007"/>
        <rFont val="Times New Roman"/>
        <family val="1"/>
      </rPr>
      <t>140 (hỗ trợ 80%)</t>
    </r>
  </si>
  <si>
    <t>Đèn năng lương mặt trời (hỗ trợ 80%)</t>
  </si>
  <si>
    <t>Đất trồng cây lâu năm-Ngoài GCN (LG)  - VT1 - Giáp đường LQK (đoạn Đống Đa - Ngô Văn Sở)</t>
  </si>
  <si>
    <t>Đất ở đô thị (GCN) - VT1 - đường LQK (đoạn Đống Đa - Ngô Văn Sở)</t>
  </si>
  <si>
    <t>Đất trồng cây lâu năm ngoài GCN (LG) - VT1 - giáp đường LQK (đoạn Đống Đa - Ngô Văn Sở)</t>
  </si>
  <si>
    <t>Đất ở đô thị (GCN) - VT2 - đường LQK (đoạn Đống Đa - Ngô Văn Sở)</t>
  </si>
  <si>
    <t>Đất ở đô thị (GCN) - VT4 - đường LQK (đoạn Đống Đa - Ngô Văn Sở) *70% (mương)</t>
  </si>
  <si>
    <t>Đất ở tại đô thị (GCN) - VT4 - đường LQK (đoạn Đống Đa - Ngô Văn Sở) *70% (mương)</t>
  </si>
  <si>
    <t>Đất ở tại đô thị (GCN) VT4 - đường LQK (đoạn Đống Đa - Ngô Văn Sở) *70% (mương)</t>
  </si>
  <si>
    <t>Đất trồng cây lâu năm (Ngoài GCN) - VT1 - hiện trạng tiếp giáp đường số 7</t>
  </si>
  <si>
    <t>Đất ở đô thị (GCN) - VT4 - đường LQK (đoạn Đống Đa - Ngô Văn Sở)</t>
  </si>
  <si>
    <t>Đất ở đô thị - VT4 - đường LQK (đoạn Đống Đa - Ngô Văn Sở)</t>
  </si>
  <si>
    <t>Đất tại ở đô thị (GCN) - VT4 - đường LQK (đoạn Đống Đa - Ngô Văn Sở)</t>
  </si>
  <si>
    <t>Đất trồng cây hàng năm - Đất nhà nước quản lý</t>
  </si>
  <si>
    <t>Phần diện tích 79,9 m2 nằm ngoài GCN, có cùng nguồn gốc và thời điểm sử dụng theo GCN số BI 102018 do UBND thành phố Rạch Giá cấp ngày 23/11/2011.</t>
  </si>
  <si>
    <t xml:space="preserve">Phần diện tích 36,2 m2 nằm ngoài GCN, có cùng nguồn gốc và thời điểm sử dụng theo GCN số BĐ 225626 do UBND thành phố Rạch Giá cấp ngày 22/03/2011. </t>
  </si>
  <si>
    <t>Phần diện tích 43,6 m² (lộ giới) nằm ngoài GCN, có cùng nguồn gốc và thời điểm sử dụng theo CGN số CA 581305 do UBND thành phố Rạch Giá cấp ngày 24/8/2015.</t>
  </si>
  <si>
    <t>Phần diện tích 13,9 m² nằm ngoài GCN, có cùng nguồn gốc và thời điểm sử dụng theo CGN số CA 581305 do UBND thành phố Rạch Giá cấp ngày 24/8/2015.</t>
  </si>
  <si>
    <t>Phần diện tích 7,8 m² (bờ kênh) nằm ngoài GCN, có cùng nguồn gốc và thời điểm sử dụng theo GCN số CM 745302 do Sở TNMN tỉnh Kiên Giang cấp ngày 22/8/2018.</t>
  </si>
  <si>
    <t>Phần diện tích 7,4 m² (bờ kênh) nằm ngoài GCN, có cùng nguồn gốc và thời điểm sử dụng theo GCN số CM 745304 do Sở TNMT tỉnh Kiên Giang cấp ngày 22/8/2018.</t>
  </si>
  <si>
    <t xml:space="preserve">Phần diện tích 13,9 m² (bờ kênh) nằm ngoài GCN, có cùng nguồn gốc và thời điểm sử dụng theo GCN số CM 745303 do Sở TNMT tỉnh Kiên Giang cấp ngày 22/8/2018.    </t>
  </si>
  <si>
    <t>Phần diện tích 27,5 m² (bờ kênh) nằm ngoài GCN, có cùng nguồn gốc và thời điểm sử dụng theo GCN số vào sổ 00129 do UBND thị xã Rạch Giá cấp ngày 7/12/2001.</t>
  </si>
  <si>
    <t>Đất ở đô thị (GCN) - VT4 - đường N.T.Trực (đoạn Đ.Đa-cầu An Hoà)*70%</t>
  </si>
  <si>
    <t>Vắng chủ (Đồng Thanh Quý)</t>
  </si>
  <si>
    <t>Đất trồng cây hàng năm (GCN) - VT1 - hiện trạng tiếp giáp đường số 15</t>
  </si>
  <si>
    <t>Đất trồng cây hàng năm (ngoài GCN) - VT1 - hiện trạng tiếp giáp đường số 15</t>
  </si>
  <si>
    <t>Vắng chủ (Bành Đình Nguyên)</t>
  </si>
  <si>
    <t>Vắng chủ (Triệu Văn Thưởng)</t>
  </si>
  <si>
    <t>Vắng chủ (Nguyễn Văn Tịnh)</t>
  </si>
  <si>
    <t>Vắng chủ (Lê Văn Ân)</t>
  </si>
  <si>
    <t>Đất nhà nước quản lý</t>
  </si>
  <si>
    <t>Ống nhựa PVC Ø140 (hỗ trợ 80%)</t>
  </si>
  <si>
    <t>Đất trồng cây lâu năm (GCN) - VT1 - giáp đường Lâm Quang Ky (đoạn Đống Đa – Ngô Văn Sở)</t>
  </si>
  <si>
    <t>Đất trồng cây lâu năm (Ngoài GCN) - VT1 - giáp đường Lâm Quang Ky (đoạn Đống Đa – Ngô Văn Sở)</t>
  </si>
  <si>
    <t>Đất trồng cây lâu năm ngoài GCN (LG) - VT1 - giáp đường LQK (đoạn Đống Đa - Ngô Văn Sở) - trừ VKT</t>
  </si>
  <si>
    <t>Đất trồng cây lâu năm (GCN) - VT1 - hiện trạng tiếp giáp đường số 7 - trừ VKT</t>
  </si>
  <si>
    <t>Đất trồng cây lâu năm (BĐĐC) - VT1 - hiện trạng tiếp giáp đường số 7 - trừ VKT</t>
  </si>
  <si>
    <t>Đất trồng cây lâu năm (GCN) - VT1 - giáp đường Lâm Quang Ky (đoạn Đống Đa – Ngô Văn Sở) - trừ VKT</t>
  </si>
  <si>
    <t>Đất trồng cây hàng năm (GCN) - VT1 - hiện trạng tiếp giáp đường số 7 - trừ VKT</t>
  </si>
  <si>
    <t>DGT</t>
  </si>
  <si>
    <t>Đất trồng cây lâu năm-Ngoài GCN (LG) - VT1 - Giáp đường LQK (đoạn Đống Đa - Ngô Văn Sở) - CĐN</t>
  </si>
  <si>
    <t>Đất trồng cây lâu năm (GCN) - VT1 - hiện trạng tiếp giáp đường số 7 - CĐN</t>
  </si>
  <si>
    <t>426 - BĐĐC</t>
  </si>
  <si>
    <t>07 khẩu nhưng tách 01 khẩu Huỳnh Thiện Trung</t>
  </si>
  <si>
    <t>Tỷ lệ mất đất: 7,3% (2 thửa - PA 119 là vợ)</t>
  </si>
  <si>
    <t>chung khẩu ông Nguyễn Văn Dũng</t>
  </si>
  <si>
    <t>Phần diện  58,9 m2 nằm ngoài GCN, có cùng nguồn gốc và thời điểm sử dụng theo GCN số vào sổ 373/2002  QSDĐ/AH do UBND Thị xã Rạch Giá cấp ngày 05/02/2002.</t>
  </si>
  <si>
    <t>CĐN theo mẫu 07 giấy xác nhận trực tiếp SXNN của UBND phường Rạch Giá</t>
  </si>
  <si>
    <t>CĐN theo mẫu 08 giấy xác nhận trực tiếp SXNN của UBND xã Bình Sơn</t>
  </si>
  <si>
    <t>Không đủ điều kiện CĐN theo Công văn số 4892/UBND-KT ngày 07/5/2026 của UBND Phường Bình Đức (02 khẩu hưu trí, 01 công chức, 01 LĐ có hợp đồng lao động không xác định thời hạn)</t>
  </si>
  <si>
    <t>Ngày 13/3/2025 UBND xã Tân Hiệp xác nhận đối tượng trực tiếp SXNN</t>
  </si>
  <si>
    <t>CĐN theo mẫu 07 giấy xác nhận trực tiếp SXNN của UBND phường Rạch Giá (Lưu Tú Duyên, Âu Xiếu Ken)</t>
  </si>
  <si>
    <t>CĐN theo mẫu 07 giấy xác nhận trực tiếp SXNN của UBND phường Rạch Giá (Hà Thị Thủy là 01 khẩu hưu trí)</t>
  </si>
  <si>
    <t>Đất trồng cây hàng năm (GCN) - VT1 - hiện trạng tiếp giáp đường số 7 - CĐN</t>
  </si>
  <si>
    <t>Grand</t>
  </si>
  <si>
    <t>Tỷ lệ</t>
  </si>
  <si>
    <t>Đơn giá BT</t>
  </si>
  <si>
    <t>Đơn giá HT</t>
  </si>
  <si>
    <t>Lá dừa nước (m2)</t>
  </si>
  <si>
    <t>Mía A (m2)</t>
  </si>
  <si>
    <t>Sả A (m2)</t>
  </si>
  <si>
    <r>
      <t xml:space="preserve">Vối </t>
    </r>
    <r>
      <rPr>
        <b/>
        <sz val="11"/>
        <rFont val="Times New Roman"/>
        <family val="1"/>
      </rPr>
      <t>E</t>
    </r>
  </si>
  <si>
    <t>Nhóm VI</t>
  </si>
  <si>
    <t>Bạch đàn G</t>
  </si>
  <si>
    <t>ko có giá</t>
  </si>
  <si>
    <t>Bàng lang nước (nhóm III)</t>
  </si>
  <si>
    <t>Nhóm III</t>
  </si>
  <si>
    <t>NHÓM VIII</t>
  </si>
  <si>
    <t>NHÓM VII</t>
  </si>
  <si>
    <t>Vông của nhóm VIII ko có H thì phải chỉnh E</t>
  </si>
  <si>
    <t>Tương đường Gừa và Si láy gỗ</t>
  </si>
  <si>
    <t>Tương đường Gừa và Si lấy gỗ</t>
  </si>
  <si>
    <t>cây kiễng</t>
  </si>
  <si>
    <t>Nhóm V</t>
  </si>
  <si>
    <t>Đào C (Điều)</t>
  </si>
  <si>
    <t>Nhóm IV</t>
  </si>
  <si>
    <t>Dâu tằm ăn H</t>
  </si>
  <si>
    <t>Đủng đỉnh D</t>
  </si>
  <si>
    <t>Đủng đỉnh Đ</t>
  </si>
  <si>
    <t>Đủng đỉnh H</t>
  </si>
  <si>
    <t>Nhom VIII</t>
  </si>
  <si>
    <t>chỉ có E</t>
  </si>
  <si>
    <t>chỉ có C</t>
  </si>
  <si>
    <t>cây cảnh</t>
  </si>
  <si>
    <t>kiểng</t>
  </si>
  <si>
    <t>sâm dây</t>
  </si>
  <si>
    <t>Sao đen Nhóm III</t>
  </si>
  <si>
    <t>Nhóm I</t>
  </si>
  <si>
    <t>Chùm ruột</t>
  </si>
  <si>
    <t>chỉ có c</t>
  </si>
  <si>
    <t>sơn trà (chỉ có D)</t>
  </si>
  <si>
    <t xml:space="preserve">Gừa </t>
  </si>
  <si>
    <t>ko có giá (hoa màu khác)</t>
  </si>
  <si>
    <t>ko có giá (rau màu các loại)</t>
  </si>
  <si>
    <t>Kiểng</t>
  </si>
  <si>
    <t>Trôm G</t>
  </si>
  <si>
    <t>nhóm VIII chỉ có E</t>
  </si>
  <si>
    <t>tỷ lệ hỗ trợ</t>
  </si>
  <si>
    <t>Sảnh</t>
  </si>
  <si>
    <t>Báo cáo 06/BC-TTKĐ ngày 15/4/2026</t>
  </si>
  <si>
    <t>Đ.giá (QĐ 11)</t>
  </si>
  <si>
    <t>Đơn giá</t>
  </si>
  <si>
    <t>đá ốp tường (hỗ trợ 90%)</t>
  </si>
  <si>
    <t>tường xây 20 tô 1 mặt (hỗ trợ 90%)</t>
  </si>
  <si>
    <t>Tường xây 20 tô 2 mặt (hỗ trợ 90%)</t>
  </si>
  <si>
    <t>chỉ  nhóm E (cây bàng lang)</t>
  </si>
  <si>
    <t>hoa kiểng thành vườn</t>
  </si>
  <si>
    <t>Chính sách bồi thường, hỗ trợ khác</t>
  </si>
  <si>
    <t>Loại BT,HT</t>
  </si>
  <si>
    <t>S.lượng</t>
  </si>
  <si>
    <t>Kinh doanh không đăng ký</t>
  </si>
  <si>
    <t>Do mẫu 09 ko có</t>
  </si>
  <si>
    <t>Đã xét tỷ lệ mất đất và nhân khẩu PA 61</t>
  </si>
  <si>
    <t>Số khẩu và tỷ lệ mất đất đã xét PA 97</t>
  </si>
  <si>
    <t>Tỷ lệ mất đất: 100% (thu hồi thêm ngoài ranh)</t>
  </si>
  <si>
    <t>Chúc B</t>
  </si>
  <si>
    <t>DTL</t>
  </si>
  <si>
    <t>Đất giáo dục</t>
  </si>
  <si>
    <t>Đất xây dựng công trình sự nghiệp khác</t>
  </si>
  <si>
    <t>Hàng rào trụ BTCT tường xây 10 có trát vữa. HR.12 (hỗ trợ 80%)</t>
  </si>
  <si>
    <t>Hàng rào tường xây 10, không trát. HR.18 (hỗ trợ 80%)</t>
  </si>
  <si>
    <t>Sân nền bê tông đá mác 100. SN.01 (hỗ trợ 80%)</t>
  </si>
  <si>
    <t>Sê nô (hỗ trợ 90%)</t>
  </si>
  <si>
    <t>Hàng rào xây 10, song sắt, cột gạch HR.03 (hỗ trợ 90%)</t>
  </si>
  <si>
    <t>Nhà xây dựng 2013</t>
  </si>
  <si>
    <t>Gạch men tam cấp (hỗ trợ 90%)</t>
  </si>
  <si>
    <t>Xây dựng 2015</t>
  </si>
  <si>
    <t>Hàng rào xây 10, song sắt, móng gạch, trụ gạch HR.03 (hỗ trợ 80%)</t>
  </si>
  <si>
    <t>Tường xây 10 tô 2 mặt HR.17 (hỗ trợ 80%)</t>
  </si>
  <si>
    <t>Trước ngày 01/07/20214</t>
  </si>
  <si>
    <t>Sau ngày 01/07/20214</t>
  </si>
  <si>
    <t>Đường nội bộ BTCT đá 1x2 mác 250 ĐNB.02 (hỗ trợ 80%)</t>
  </si>
  <si>
    <t>Trước ngày 01/07/2024</t>
  </si>
  <si>
    <t>Trước ngày 01/07/2014</t>
  </si>
  <si>
    <t>Năm xây dựng 2012</t>
  </si>
  <si>
    <t>Xây dựng 2012</t>
  </si>
  <si>
    <t>Xây dựng năm 2015</t>
  </si>
  <si>
    <t>Quách Thị Thủy</t>
  </si>
  <si>
    <t>Quách Ngọc Dũng</t>
  </si>
  <si>
    <t>Quách Thị Tuyết Mai; Nguyễn Ngọc Trường</t>
  </si>
  <si>
    <t>Nguyễn Ngọc Trung</t>
  </si>
  <si>
    <t>Nguyễn Thị Tuyết Loan</t>
  </si>
  <si>
    <t>Nguyễn Ngọc Hiếu</t>
  </si>
  <si>
    <t>Nguyễn Ngọc Thảo</t>
  </si>
  <si>
    <t>Lê Minh Tăng</t>
  </si>
  <si>
    <t>Sa Khắc Lễ</t>
  </si>
  <si>
    <t>Đoàn Kim Phụng</t>
  </si>
  <si>
    <t>Lê Thúy Nga</t>
  </si>
  <si>
    <t>Lê Thị Thảo Chi</t>
  </si>
  <si>
    <t>Sa Chấn Tảo</t>
  </si>
  <si>
    <t xml:space="preserve">Sa Tuyết Hoa </t>
  </si>
  <si>
    <t>Võ Ngọc Diễm</t>
  </si>
  <si>
    <t>Võ Ngọc Vi</t>
  </si>
  <si>
    <t>30+31</t>
  </si>
  <si>
    <t>nguồn góc kí 354,5 bản đồ sửa</t>
  </si>
  <si>
    <t>Đất trồng cây lâu năm (GCN) - VT1 - Giáp đường LQK (đoạn Đống Đa - Ngô Văn Sở) - CĐN</t>
  </si>
  <si>
    <t xml:space="preserve">Đất trồng cây lâu năm (GCN) - VT1 - Giáp đường LQK (đoạn Đống Đa - Ngô Văn Sở) - trừ VKT </t>
  </si>
  <si>
    <t>Nguồn gốc đất Phần diện tích 10,5 m² nằm ngoài GCN thuộc đất HLATGT, có cùng nguồn gốc và thời điểm sử dụng theo GCN số BU 454890 do UBND Thành Phố Rạch Giá cấp ngày 22/10/2014 do Hộ Ông Quách Ngọc Nghé đứng tên. hiện trạng do cha Quách Ngọc Nghé cho con là Quách Ngọc Tuấn ngày 12/6/2006 (giấy tay).</t>
  </si>
  <si>
    <t xml:space="preserve">Nguồn gốc đất có GCN số BU 454890 do UBND Thành phố Rạch giá cấp ngày 22/10/2014. Tờ BĐ 85, thửa 37; diện tích đất trồng cây lâu năm 2.316,8 m². GCN do Quách Ngọc Nghé đứng tên. hiện trạng cha Quách Ngọc Nghé cho con là Quách Thị Thủy ngày 12/6/2006 (giấy tay), một phần thửa đất </t>
  </si>
  <si>
    <t xml:space="preserve">Nguồn gốc đất có GCN số BU 454890 do UBND Thành phố Rạch giá cấp ngày 22/10/2014. Tờ BĐ 85, thửa 37; diện tích đất trồng cây lâu năm, diện tích 2.316,8 m². GCN do Quách Ngọc Nghé đứng tên. hiện trạng do cha Quách Ngọc Nghé cho con là Quách Ngọc Dũng ngày 12/6/2006 (giấy tay), một phần thửa đất </t>
  </si>
  <si>
    <t xml:space="preserve">Nguồn gốc đất có GCN số DN 948275 do Chi nhánh văn phòng ĐKĐĐ Thành Phố Rạch Giá cấp ngày 23/04/2024. Tờ BĐ 86, thửa 1582; diện tích 929,6 m² đất trồng cây lâu năm. GCN do Quách Thị Tuyết Mai; Nguyễn Ngọc Trường đứng tên. hiện trạng do cha mẹ cho con là Nguyễn Ngọc Trung năm 1990 (không có giấy tay), một phần thửa đất </t>
  </si>
  <si>
    <t>chưa thông tin CĐN</t>
  </si>
  <si>
    <t>Nguồn gốc đất  có GCN số DN 948275 do Chi nhánh văn phòng ĐKĐĐ Thành Phố Rạch Giá cấp ngày 23/04/2024.Tờ BĐ 86, thửa 1582; diện tích 929,6 m² đất trồng cây lâu năm. GCN do Quách Thị Tuyết Mai; Nguyễn Ngọc Trường đứng tên. hiện trạng do cha mẹ cho con là Nguyễn Thị Tuyết Loan ngày 18/6/2015 (giấy tay), một phần thửa đất</t>
  </si>
  <si>
    <t xml:space="preserve">Nguồn gốc đất ó GCN số DN 948275 do Chi nhánh văn phòng ĐKĐĐ Thành Phố Rạch Giá cấp ngày 23/04/2024.Tờ BĐ 86, thửa 1582; diện tích 929,6 m² đất trồng cây lâu năm. GCN do Quách Thị Tuyết Mai; Nguyễn Ngọc Trường đứng tên. hiện trạng do cha mẹ cho con là Nguyễn Ngọc Hiếu ngày 18/6/2015 (giấy tay), một phần thửa đất </t>
  </si>
  <si>
    <t xml:space="preserve">Nguồn gốc đất có GCN số DN 948275 do Chi nhánh văn phòng ĐKĐĐ Thành Phố Rạch Giá cấp ngày 23/04/2024. Tờ BĐ 86, thửa 1582; diện tích 929,6 m² đất trồng cây lâu năm. GCN do Quách Thị Tuyết Mai; Nguyễn Ngọc Trường đứng tên. hiện trạng do cha mẹ cho con là Nguyễn Ngọc Thảo ngày 18/6/2015 (giấy tay), một phần thửa đất </t>
  </si>
  <si>
    <t>CĐN theo mẫu 07 giấy xác nhận trực tiếp SXNN của UBND phường Rạch Giá (01 khẩu Lê Chúc Xuân là công chức)</t>
  </si>
  <si>
    <t>Có GCN số CU 861005 do Sở TNMT tỉnh Kiên Giang cấp ngày 07/5/2020.Tờ BĐ 86, thửa 318; diện tích: đất ở đô thị 100,0 m², đất trồng cây lâu năm 216,3 m², đất trồng lúa 350,3 m².</t>
  </si>
  <si>
    <t>Phần diện tích 8,8 m2 nằm ngoài GCN, có cùng nguồn gốc và thời điểm sử dụng theo CN số CU 861005 do Sở TNMT tỉnh Kiên Giang cấp ngày 07/5/2020</t>
  </si>
  <si>
    <t>CĐN theo mẫu 07 giấy xác nhận trực tiếp SXNN của UBND phường Rạch Giá (02 khẩu hưu trí không áp CĐN)</t>
  </si>
  <si>
    <t>CĐN theo mẫu 07 giấy xác nhận trực tiếp SXNN của UBND phường Rạch Giá (02 khẩu hưu trí Nguyễn Quang Dũng và Nguyễn Thị Thẩm không áp CĐN)</t>
  </si>
  <si>
    <t>Phần diện tích 4,4 m² nằm ngoài GCN, có cùng nguồn gốc và thời điểm sử dụng theo GCN số BU 499143 do UBND thành phố Rạch Giá cấp ngày  9/5/2014.</t>
  </si>
  <si>
    <t xml:space="preserve">Nguồn gốc đất có GCN số BU 499143 do UBND Thành phố Rạch Giá cấp ngày 9/5/2014. Tờ BĐ 86, thửa 263; diện tích: đất ở đô thị 150,0 m², đất trồng cây lâu năm 234,4 m². GCN do ông Dương Văn Hòa đứng tên. Hiện trạng Lê Minh Tăng mua lại của Dượng là ông Dương Văn Hòa năm 2016 (giấy tay), một phần thửa đất </t>
  </si>
  <si>
    <t>Nguồn gốc đất  có GCN số AK 527419 do UBND Thành phố Rạch giá cấp ngày 22/10/2007. Tờ BĐ 86, thửa 259; diện tích: đất ở đô thị 159,9 m², đất trồng cây lâu năm 223,4 m². GCN do Sa Khắc Lễ đứng tên. hiện trạng do cha Sa Khắc Lễ cho lại con là Sa Chấn Tảo ngày 19/5/2017 (giấy tay), một phần thửa đất</t>
  </si>
  <si>
    <t xml:space="preserve">Nguồn gốc đất có GCN số AK 527419 do UBND Thành phố Rạch giá cấp ngày 22/10/2007. Tờ BĐ 86, thửa 259; diện tích: đất ở đô thị 159,9 m², đất trồng cây lâu năm 223,4 m². GCN do Sa Khắc Lễ đứng tên. Hiện trạng do cha Sa Khắc Lễ cho lại con là Sa Tuyết Hoa ngày 19/5/2017 (giấy tay), một phần thửa đất </t>
  </si>
  <si>
    <t xml:space="preserve">Phần diện tích 4,1 m² nằm ngoài GCN, có cùng nguồn gốc và thời điểm sử dụng theo GCN số AK 527419 do UBND thành phố Rạch Giá cấp ngày 22/10/2007. </t>
  </si>
  <si>
    <t>hiện trạng chưa có hồ sơ đo đạc, kiểm đếm</t>
  </si>
  <si>
    <t xml:space="preserve">Nguồn gốc đất có GCN số BY 645163 do UBND Thành phố Rạch Giá cấp ngày 17/4/2015. Tờ BĐ 86, thửa 256; diện tích: đất trồng cây lâu năm 72,0 m², đất ở đô thị 214,8 m². GCN do Nguyễn Thị Thu đứng tên. Hiện trạng do mẹ Nguyễn Thị Thu cho lại con là Võ Ngọc Diễm ngày 16/02/2020 (giấy tay), một phần thửa đất </t>
  </si>
  <si>
    <t xml:space="preserve">Nguồn gốc đất có GCN số BY 645163 do UBND Thành phố Rạch Giá cấp ngày 17/4/2015. Tờ BĐ 86, thửa 256; diện tích: đất trồng cây lâu năm 72,0 m², đất ở đô thị 214,8 m². GCN do Nguyễn Thị Thu đứng tên. Hiện trạng do mẹ Nguyễn Thị Thu cho lại con là Võ Ngọc Vi ngày 16/02/2020 (giấy tay), một phần thửa đất </t>
  </si>
  <si>
    <t>CĐN theo mẫu 07 giấy xác nhận trực tiếp SXNN của UBND phường Rạch Giá (02 khẩu viên chức ĐSH không áp giá CĐN)</t>
  </si>
  <si>
    <t>Rà soát đất đô thị diện tích cao</t>
  </si>
  <si>
    <t>CĐN theo mẫu 07 giấy xác nhận trực tiếp SXNN của UBND phường Rạch Giá (khẩu Trần Văn Toán viên chức không áp CĐN)</t>
  </si>
  <si>
    <t>CĐN theo mẫu 07 giấy xác nhận trực tiếp SXNN của UBND phường Rạch Giá (Khẩu Lê Thị Tuyết Nhung viên chức không áp CĐN)</t>
  </si>
  <si>
    <t>CĐN theo mẫu 07 giấy xác nhận trực tiếp SXNN của UBND phường Rạch Giá (khẩu Nguyễn Văn Thơi công chức không áp CĐN)</t>
  </si>
  <si>
    <t>Đất trồng cây hàng năm (GCN) - VT1 - giáp đường LQK (đoạn Đống Đa - Ngô Văn Sở) - trừ VKT</t>
  </si>
  <si>
    <t>Đất trồng cây hàng năm-Ngoài GCN (LG) - VT1 - giáp đường LQK (đoạn Đống Đa - Ngô Văn Sở) - trừ VKT</t>
  </si>
  <si>
    <t>Đất trồng cây hàng năm (Ngoài GCN) - VT1 - giáp đường LQK (đoạn Đống Đa - Ngô Văn Sở) - trừ VKT</t>
  </si>
  <si>
    <t>CĐN theo mẫu 07 giấy xác nhận trực tiếp SXNN của UBND phường Rạch Giá (Khẩu Nguyễn Văn Sinh là hưu trí)</t>
  </si>
  <si>
    <t>Phần diện tích 0,5 m2 nằm ngoài GCN, có cùng nguồn gốc và thời điểm sử dụng theo GCN số CE 140488 do Sở TNMT tỉnh Kiên Giang cấp ngày 20/9/2016</t>
  </si>
  <si>
    <t>CĐN theo mẫu 07 giấy xác nhận trực tiếp SXNN của UBND phường Rạch Giá (01 khẩu Nguyễn Kinh Kiều là hưu trí không áp CĐN)</t>
  </si>
  <si>
    <t>CĐN theo mẫu 07 giấy xác nhận trực tiếp SXNN của UBND phường Rạch Giá (01 khẩu Nguyễn Phi Đằng hưu trí)</t>
  </si>
  <si>
    <t>Đất trồng cây lâu năm (GCN) - VT1 - giáp đường Lâm Quang Ky (đoạn Đống Đa – Ngô Văn Sở) - CĐN</t>
  </si>
  <si>
    <t>CĐN theo mẫu 07 giấy xác nhận trực tiếp SXNN của UBND phường Rạch Giá (01 khẩu Ngô Quang Bình hưu trí không áp CĐN)</t>
  </si>
  <si>
    <t>CĐN theo mẫu 07 giấy xác nhận trực tiếp SXNN của UBND phường Rạch Giá (01 khẩu Đinh Văn To cựu chiến binh không áp CĐN)</t>
  </si>
  <si>
    <t>CĐN theo mẫu 07 giấy xác nhận trực tiếp SXNN của UBND phường Rạch Giá (01 khẩu Nguyễn Nhật Nghiêm cán bộ thương binh không áp CĐN)</t>
  </si>
  <si>
    <t>kTra số lieuj bản đồ</t>
  </si>
  <si>
    <t>CĐN theo mẫu 07 giấy xác nhận trực tiếp SXNN của UBND phường Rạch Giá (01 khẩu Nguyễn Thị Liên viên chức không áp CĐN)</t>
  </si>
  <si>
    <t>CĐN theo mẫu 08 giấy xác nhận trực tiếp SXNN của UBND đặc khu Kiên Hải (01  khẩu Tô Thị Minh Hoãn là viên chức không áp CĐN)</t>
  </si>
  <si>
    <t>CĐN theo mẫu 08 giấy xác nhận trực tiếp SXNN của UBND đặc khu Kiên Hải (02 khẩu viên chức có Lê Bá Tý)</t>
  </si>
  <si>
    <t>Trần Thị Thu Hà</t>
  </si>
  <si>
    <t xml:space="preserve">Lê Doãn Phú </t>
  </si>
  <si>
    <t>Trần Thanh Lâm</t>
  </si>
  <si>
    <t>CĐN theo mẫu 07 giấy xác nhận trực tiếp SXNN của UBND phường Rạch Giá (01 khẩu Nguyễn Thanh Giang công chức không áp CĐN)</t>
  </si>
  <si>
    <t>CĐN theo mẫu 08 giấy xác nhận trực tiếp SXNN của UBND xã Vĩnh Phong (01 khẩu Trần Thị Thủy là cán bộ hưu trí không áp CĐN)</t>
  </si>
  <si>
    <t>CĐN theo mẫu 08 giấy xác nhận trực tiếp SXNN của UBND Vĩnh Phong (Khẩu Trần Vũ Toàn viên chức không áp CĐN)</t>
  </si>
  <si>
    <t>CĐN theo mẫu 07 giấy xác nhận trực tiếp SXNN của UBND phường Rạch Giá (01 khẩu Nguyễn Thị Thanh Hoa là công chức không áp CĐN)</t>
  </si>
  <si>
    <t>21 Nguyễn An Ninh, phường Rạch Giá, tỉnh An Giang</t>
  </si>
  <si>
    <t>CĐN theo mẫu 07 giấy xác nhận trực tiếp SXNN của UBND phường Rạch Giá (Nguyễn Thị Nguyên là Hưu trí không áp CĐN)</t>
  </si>
  <si>
    <t>Ktra lại hộ hay Ông bà</t>
  </si>
  <si>
    <t>CĐN theo mẫu 07 giấy xác nhận trực tiếp SXNN của UBND phường Rạch Giá (01 khẩu Nguyễn Thị Hảo là viên chức không áp CĐN)</t>
  </si>
  <si>
    <t>CĐN theo mẫu 07 giấy xác nhận trực tiếp SXNN của UBND phường Rạch Giá (01 khẩu Huỳnh Văn Út viên chức không áp CĐN)</t>
  </si>
  <si>
    <t>CĐN theo mẫu 07 giấy xác nhận trực tiếp SXNN của UBND phường Rạch Giá (01 khẩu Nguyễn Thanh Ngân là viên chức và Đinh Văn Sỹ hợp động lao động không xác định thời hạn)</t>
  </si>
  <si>
    <t>CĐN theo mẫu 07 giấy xác nhận trực tiếp SXNN của UBND phường Rạch Giá (01 khẩu Lâm Bảo Đoàn là viên chức không áp CĐN)</t>
  </si>
  <si>
    <t>CĐN theo mẫu 07 giấy xác nhận trực tiếp SXNN của UBND phường Rạch Giá (01 khẩu Nguyễn Mạnh Tuấn lao động không xác định thời hạn không CĐN)</t>
  </si>
  <si>
    <t>CĐN theo mẫu 07 giấy xác nhận trực tiếp SXNN của UBND phường Rạch Giá (01 khẩu Nguyễn Văn Dũng là hưu trí) và  trừ khẩu Nguyễn Mạnh Tuấn còn lại 06 khẩu</t>
  </si>
  <si>
    <t xml:space="preserve">Có GCN số N 209108 do Ủy ban nhân dân tỉnh Kiên Giang cấp ngày 05/10/1999, Tờ bđ số 86, thửa 52 diện tích 358 m2, đất lúa, do Đoàn Kim Phụng đứng tên. Hiện trạng khoảng năm 1986, bà Đoàn Kim Phụng cho con ruột Lê Thúy Nga một phần diện tích 39,5 m2 </t>
  </si>
  <si>
    <t>Có GCN số N 209108 do Ủy ban nhân dân tỉnh Kiên Giang cấp ngày 05/10/1999, Tờ bđ số 86, thửa 52 diện tích 358 m2, đất lúa, do Đoàn Kim Phụng đứng tên. Hiện trạng khoảng năm 2016, bà Đoàn Kim Phụng cho cháu ruột Lê Thị Thảo Chi một phần diện tích 23,3 m2</t>
  </si>
  <si>
    <t xml:space="preserve">Trong GCN số BL 675060                        do Sở tài nguyên Môi trường cấp ngày 14/8/2012. Tờ BĐ số 86, thửa 30+31, diện tích 2873,5m2, Đất trồng cây lâu năm. GCN do Nguyễn Minh Hữu đứng tên. Hiện trạng ngày 11/5/2014 Ông Nguyễn Minh Hữu và vợ bà Mai Thị Thơ cho tặng mẹ bà Nguyễn Thị Duyên phần diện tích đất 79,2m2 đất trồng cây lâu năm, cho tặng giấy tay. </t>
  </si>
  <si>
    <t>CĐN theo mẫu 07 giấy xác nhận trực tiếp SXNN của UBND phường Rạch Giá (khẩu Nguyễn Văn Chiến là công chức không áp CĐN</t>
  </si>
  <si>
    <t>Nguyễn Văn Dũng và Nguyễn Thị Chiến</t>
  </si>
  <si>
    <t>Rà soát lại thông tin hỏi lại nguồn gốc và thời gian Nguyễn Tuyết Sương mua lại</t>
  </si>
  <si>
    <t>CĐN theo mẫu 07 giấy xác nhận trực tiếp SXNN của UBND phường Rạch Giá (01 khẩu Nguyễn Thị Tiền viên chức)</t>
  </si>
  <si>
    <t>DT (m2)</t>
  </si>
  <si>
    <t>Giá HT NQ (HT)</t>
  </si>
  <si>
    <t>năm xây dựng nhà cung cấp sau</t>
  </si>
  <si>
    <t>Nhà C2.01 (hỗ trợ 90%)</t>
  </si>
  <si>
    <t>Bồn BTCT (có nắp) BNN.01 (hỗ trợ 90%)</t>
  </si>
  <si>
    <t>Hàng rào xây 10, song sắt, móng BTCT, trụ BTCT HR.14 (hỗ trợ 90%)</t>
  </si>
  <si>
    <t>Miếu xây C4.01 (hỗ trợ 90%)</t>
  </si>
  <si>
    <t>Hàng rào xây 10, khung lưới B40, móng BTCT, trụ BTCT HR.08 (hỗ trợ 90%)</t>
  </si>
  <si>
    <t>Hàng ba nhà C2.01*80% (tầng 1) (hỗ trợ 90%)</t>
  </si>
  <si>
    <t>Nhà C2.07 (tầng 1) (hỗ trợ 90%)</t>
  </si>
  <si>
    <t>WC (Tầng 1) xí bệt, dán gạch men WC.01 (hỗ trợ 90%)</t>
  </si>
  <si>
    <t>Tắm (tầng 1) dán gạch men WC.10 (hỗ trợ 90%)</t>
  </si>
  <si>
    <t>Hàng ba C2.22 x 80% (hỗ trợ 90%)</t>
  </si>
  <si>
    <t>Sân gạch tàu SN.01 (hỗ trợ 80%)</t>
  </si>
  <si>
    <t>Miếu C4.01 (hỗ trợ 80%)</t>
  </si>
  <si>
    <t>Hàng rào song sắt, trụ sắt HR.14 (hỗ trợ 80%)</t>
  </si>
  <si>
    <t>Ống nhựa BM phi 300 (hỗ trợ 80%)</t>
  </si>
  <si>
    <t>Trụ sắt phi 90 (hỗ trợ 80%)</t>
  </si>
  <si>
    <t>Hàng rào lưới B40, trụ gỗ HR.18 (hỗ trợ 80%)</t>
  </si>
  <si>
    <t>Trụ xây gạch (hỗ trợ 80%)</t>
  </si>
  <si>
    <t>Gạch men ốp (hỗ trợ 80%)</t>
  </si>
  <si>
    <t>Hàng rào lưới B40, trụ đỗ cột BT HR.11 (hỗ trợ 80%)</t>
  </si>
  <si>
    <t>Sê nô tol hộp (hỗ trợ 90%)</t>
  </si>
  <si>
    <t>Hàng rào xây 10 tô 2 mặt, khung lưới B40, móng BT đá, trụ sắt HR.09 (hỗ trợ 90%)</t>
  </si>
  <si>
    <t>Hàng rào xây 10 tô 2 mặt, song sắt, móng BT đá, trụ sắt HR.03 (hỗ trợ 90%)</t>
  </si>
  <si>
    <t>Sân xi măng SN.03 (hỗ trợ 90%)</t>
  </si>
  <si>
    <t>Tường xây 10 gạch thẻ không tô (bồn hoa) HR.18 (hỗ trợ 90%)</t>
  </si>
  <si>
    <t>Hàng rào xây 10, song sắt, móng BTCT, trụ BTCT HR.13 (hỗ trợ 90%)</t>
  </si>
  <si>
    <t>Hàng rào xây 10, móng BTCT, trụ BTCT HR.13 (hỗ trợ 90%)</t>
  </si>
  <si>
    <t>Sàn BTCT (hỗ trợ 90%)</t>
  </si>
  <si>
    <t>Bồn BTCT có nắp ( hố gas) BNN.02 (hỗ trợ 90%)</t>
  </si>
  <si>
    <t>Trụ sắt phi 90mm (hỗ trợ 90%)</t>
  </si>
  <si>
    <t>Trụ sắt phi 110mm (hỗ trợ 90%)</t>
  </si>
  <si>
    <t>Biển quảng cáo (hỗ trợ 90%)</t>
  </si>
  <si>
    <t>Trần thạch cao miếng (hỗ trợ 90%)</t>
  </si>
  <si>
    <t>Sân xi măng SN.02 (hỗ trợ 90%)</t>
  </si>
  <si>
    <t>WC (trong nhà) xí bệt, dán gạch men WC.01 (hỗ trợ 90%)</t>
  </si>
  <si>
    <t>Đal BT (bồn nước) (hỗ trợ 90%)</t>
  </si>
  <si>
    <t>Hàng rào khung lưới B40, trụ sắt, móng BT HR.18 (hỗ trợ 90%)</t>
  </si>
  <si>
    <t>WC+ Tắm (trong nhà) xí xổm, dán gạch men WC.09 (hỗ trợ 80%)</t>
  </si>
  <si>
    <t>Hàng rào lưới B40, trụ sắt HR.18 (hỗ trợ 80%)</t>
  </si>
  <si>
    <t>NTC.02 (hỗ trợ 80%)</t>
  </si>
  <si>
    <t>WC+Tắm (trong nhà) xí bệt, dán gạch men WC.01 (hỗ trợ 80%)</t>
  </si>
  <si>
    <t>Đal BT bếp (hỗ trợ 80%)</t>
  </si>
  <si>
    <t>Tường 10 tô 2 mặt (hỗ trợ 80%)</t>
  </si>
  <si>
    <t>Gạch men bếp (hỗ trợ 80%)</t>
  </si>
  <si>
    <t>Tường 10 không tô (bồn hoa) HR.18 (hỗ trợ 80%)</t>
  </si>
  <si>
    <t>Tường 10 tô 1 mặt HR.18 (hỗ trợ 80%)</t>
  </si>
  <si>
    <t>Tường 10 tô 2 mặt (bếp) (hỗ trợ 80%)</t>
  </si>
  <si>
    <t>Hàng ba nhà C2.01*80% (hỗ trợ 80%)</t>
  </si>
  <si>
    <t>Nhà T.02 (hỗ trợ 80%)</t>
  </si>
  <si>
    <t>WC+ Tắm (trong nhà) xí bệt, dán gạch men WC.01 (hỗ trợ 80%)</t>
  </si>
  <si>
    <t>WC (trong nhà) dán gạch men WC.01 (hỗ trợ 80%)</t>
  </si>
  <si>
    <t>Nhà T.43 (hỗ trợ 80%)</t>
  </si>
  <si>
    <t>Hàng rào xây 10, song sắt, móng BTCT, trụ BTCT HR.13 (hỗ trợ 80%)</t>
  </si>
  <si>
    <t>Hàng rào xây 10, khung lưới B40, móng BTCT, trụ BTCT HR.12 (hỗ trợ 80%)</t>
  </si>
  <si>
    <t>Hàng rào song sắt HR.18 (hỗ trợ 80%)</t>
  </si>
  <si>
    <t>Hàng rào khung lưới B40, trụ sắt HR.18 (hỗ trợ 80%)</t>
  </si>
  <si>
    <t>Hàng rào xây 10 lưới B40, móng BTCT, trụ BTCT HR.12 (hỗ trợ 80%)</t>
  </si>
  <si>
    <t>WC (trong nhà) xí xổm, dán gạch men WC.09 (hỗ trợ 80%)</t>
  </si>
  <si>
    <t>Mái che lưới lan, trụ sắt (hỗ trợ 80%)</t>
  </si>
  <si>
    <t>Mái che lưới lan (hỗ trợ 80%)</t>
  </si>
  <si>
    <t>Hàng rào xây 10 không tô, cột gạch, móng BTCT HR.18 (hỗ trợ 80%)</t>
  </si>
  <si>
    <t>Tường xây 10 ko tô HR.18 (hỗ trợ 80%)</t>
  </si>
  <si>
    <t>Ống nhựa bình minh phi 110mm (hỗ trợ 80%)</t>
  </si>
  <si>
    <t>Giếng khoang không tay bơm (phi 49 sâu 95m) (hỗ trợ 80%)</t>
  </si>
  <si>
    <t>Tường xây 10 không tô (hỗ trợ 80%)</t>
  </si>
  <si>
    <t>Tường 10 xây tô 2 mặt (hỗ trợ 80%)</t>
  </si>
  <si>
    <t>Hàng rào xây 10 ko tô, trụ gạch, móng BTCT HR.18 (hỗ trợ 80%)</t>
  </si>
  <si>
    <t>Trần thạch cao (hỗ trợ 80%)</t>
  </si>
  <si>
    <t>Gạch men ốp bếp (hỗ trợ 80%)</t>
  </si>
  <si>
    <t>Tường 10 không tô (hỗ trợ 80%)</t>
  </si>
  <si>
    <t>Hàng rào xây 10 không tô, trụ gạch, móng BTCT HR.18 (hỗ trợ 80%)</t>
  </si>
  <si>
    <t>Hàng ba nhà C3.05*80% (hỗ trợ 90%)</t>
  </si>
  <si>
    <t>Hàng rào xây 10 song sắt, trụ sắt HR.13 (hỗ trợ 90%)</t>
  </si>
  <si>
    <t>Tường 10 tô 2 mặt (bể cá) (hỗ trợ 90%)</t>
  </si>
  <si>
    <t>Hàng rào song sắt, cột gạch HR.18 (hỗ trợ 90%)</t>
  </si>
  <si>
    <t>Hàng rào song sắt, trụ sắt HR.18 (hỗ trợ 90%)</t>
  </si>
  <si>
    <t>WC +Tắm (trong nhà) xí bệt, dán gạch men WC.01 (hỗ trợ 90%)</t>
  </si>
  <si>
    <t>WC (trong nhà) xí xổm WC.09 (hỗ trợ 90%)</t>
  </si>
  <si>
    <t>Nhà T.43 (hỗ trợ 90%)</t>
  </si>
  <si>
    <t>Hàng rào tường gạch dày 10cm, có trát vữa 2 mặt (hỗ trợ 90%)</t>
  </si>
  <si>
    <t>Trụ xây gạch (hàng rào) HR.14 (hỗ trợ 90%)</t>
  </si>
  <si>
    <t>Sê nô (hỗ trợ 80%)</t>
  </si>
  <si>
    <t>Né vKT</t>
  </si>
  <si>
    <t>Sân xi măng SN.01 (hỗ trợ 80%)</t>
  </si>
  <si>
    <t>Hàng rào xây 10, song sắt, móng BTCT, trụ BTCT HR.03 (hỗ trợ 80%)</t>
  </si>
  <si>
    <t>Tường xây 10 tô 1 mặt HR.18 (hỗ trợ 80%)</t>
  </si>
  <si>
    <t>Hàng rào xây 10, song sắt, móng bt, trụ bt HR.03 (hỗ trợ 90%)</t>
  </si>
  <si>
    <t>Hàng rào tường xây 10 tô 2 mặt HR.18 (hỗ trợ 90%)</t>
  </si>
  <si>
    <t>Sân xi măng SN.03 (hỗ trợ 80%)</t>
  </si>
  <si>
    <t>WC (trong nhà), xí bệt, dán gạch men WC.01 (hỗ trợ 80%)</t>
  </si>
  <si>
    <t>WC (trong nhà) xí bệt, dán gạch men WC.01 (hỗ trợ 80%)</t>
  </si>
  <si>
    <t>Nhà C4.05 (khu vực làm khô) (hỗ trợ 80%)</t>
  </si>
  <si>
    <t>Nhà C4.07 (khu vực đóng hộp) (hỗ trợ 80%)</t>
  </si>
  <si>
    <t>WC (trong nhà) xí xổm, dán gạch men WC.03 (hỗ trợ 80%)</t>
  </si>
  <si>
    <t>Nền xi măng SN.02 (hỗ trợ 80%)</t>
  </si>
  <si>
    <t>Tường xây 10 tô 2 mặt (bồn  cây) (hỗ trợ 80%)</t>
  </si>
  <si>
    <t>Gạch men ốp tường (khu vực làm khô) (hỗ trợ 80%)</t>
  </si>
  <si>
    <t>Kho đông lạnh (hỗ trợ 80%)</t>
  </si>
  <si>
    <t>Ống nhựa bình minh phi 400mm (hỗ trợ 80%)</t>
  </si>
  <si>
    <t>Chuồng heo (hỗ trợ 80%)</t>
  </si>
  <si>
    <t>Nhà cất năm 2020</t>
  </si>
  <si>
    <t>Nhà tiền chế NTC.02 (hỗ trợ 80%)</t>
  </si>
  <si>
    <t>Sê nô (sàn BTCT) (hỗ trợ 80%)</t>
  </si>
  <si>
    <t>Bồn xây 10 tô 2 mặt, có nắp đan BTCT (hỗ trợ 80%)</t>
  </si>
  <si>
    <t>WC.04 (trong nhà, xí xỏm) (hỗ trợ 80%)</t>
  </si>
  <si>
    <t>Tường xây 20, tô 1 mặt HR.17 (hỗ trợ 80%)</t>
  </si>
  <si>
    <t>Đan BTCT (kè đất) (hỗ trợ 80%)</t>
  </si>
  <si>
    <t>Gạch men ốp tường (hỗ trợ 80%)</t>
  </si>
  <si>
    <t>Đan BTCT bếp (hỗ trợ 80%)</t>
  </si>
  <si>
    <t>WC.05.1 (ngoài nhà, xí xỏm) (hỗ trợ 80%)</t>
  </si>
  <si>
    <t>Hầm bioga (hỗ trợ 80%)</t>
  </si>
  <si>
    <t>Đà kiềng BTCT (hỗ trợ 80%)</t>
  </si>
  <si>
    <t>Hàng rào lưới B40 + trụ đá HR.11 (hỗ trợ 80%)</t>
  </si>
  <si>
    <t>Hàng rào tường xây 10 có trát vữa HR.09 (hỗ trợ 90%)</t>
  </si>
  <si>
    <t>WC trong nhà, có hầm tự hoại, xí xổm, ốp gạch men. WC.03 (hỗ trợ 90%)</t>
  </si>
  <si>
    <t>WC ngoài nhà, có hầm tự hoại, xí xổm, ốp gạch men. WC.05.1 (hỗ trợ 90%)</t>
  </si>
  <si>
    <t>Rãnh thoát nước bê tông có nắp. RTN.02 (hỗ trợ 90%)</t>
  </si>
  <si>
    <t>Hàng rào trụ BTCT, tường xây 20 không trát vữa xi măng. HR.01 (hỗ trợ 80%)</t>
  </si>
  <si>
    <t>Hàng rào tường xây 20 tô 1 mặt. HR.19  (hỗ trợ 80%)</t>
  </si>
  <si>
    <t>Nhà  C3.05 (hỗ trợ 80%)</t>
  </si>
  <si>
    <t>WC trong nhà, có hầm tự hoại, xí bệt, ốp gạch men. WC.01 (hỗ trợ 80%)</t>
  </si>
  <si>
    <t>Nhà tiền chế khôngvách. NTC.02 (hỗ trợ 80%)</t>
  </si>
  <si>
    <t>Chuồng gà (xin ý kiến) (hỗ trợ 80%)</t>
  </si>
  <si>
    <t>Kè Bê tông cốt thép (xin ý kiến) (hỗ trợ 80%)</t>
  </si>
  <si>
    <t>Dàn sắt V kê bồn lọc nước (xin ý kiến) (hỗ trợ 80%)</t>
  </si>
  <si>
    <t>Hàng rào tường gạch dày 20cm, không trát vữa 2 mặt. HR.19 (hỗ trợ 80%)</t>
  </si>
  <si>
    <t xml:space="preserve">Hàng rào xây trụ BTCT, tường xây 10 cm có trát vữa xi măng. HR.12 (hỗ trợ 90%) </t>
  </si>
  <si>
    <t xml:space="preserve">Hàng rào tường xây 10cm tô 1 mặt khung sắt tôn. HR.14 (hỗ trợ 90%) </t>
  </si>
  <si>
    <t xml:space="preserve">WC, trong nhà, xí bệt, vách tường, ốp gạch men. WC.01 (hỗ trợ 90%) </t>
  </si>
  <si>
    <t xml:space="preserve">WC ngoài nhà, xí bệt, vách tường, mái tôn, ốp gạch. WC.05 (hỗ trợ 90%) </t>
  </si>
  <si>
    <t xml:space="preserve">Sân gạch khía (hỗ trợ 90%) </t>
  </si>
  <si>
    <t xml:space="preserve">Sân gạch men (hỗ trợ 90%) </t>
  </si>
  <si>
    <t xml:space="preserve">Sảnh nhà C2.01*80% (hỗ trợ 90%) </t>
  </si>
  <si>
    <t xml:space="preserve">Bể nước ngầm BTCT toàn khối có cừ tràm. BNN.01 (hỗ trợ 90%) </t>
  </si>
  <si>
    <t xml:space="preserve">Hàng rào xây trụ tường xây 10 bằng gạch, lưới B40, không trát vữa xi măng. HR.11 (hỗ trợ 80%) </t>
  </si>
  <si>
    <t>WC trong nhà, xí xổm, tường xây, ốp gạch men. WC.03 (hỗ trợ 90%)</t>
  </si>
  <si>
    <t>WC trong nhà, xí bệt, tường xây, ốp gạch men. WC.01 (hỗ trợ 80%)</t>
  </si>
  <si>
    <t>Gác gỗ dưới 3 mét(xin ý kiến) (hỗ trợ 80%)</t>
  </si>
  <si>
    <t>WC, ngoài nhà, xí bệt, vách tường, mái tôn, không ốp. WC.05 (hỗ trợ 80%)</t>
  </si>
  <si>
    <t>Đường nội bộ bê tông đá 1x2 mác 250. ĐNB.01 (hỗ trợ 80%)</t>
  </si>
  <si>
    <t>Gác gỗ (mới phát sinh sau đo đạc) (hỗ trợ 80%)</t>
  </si>
  <si>
    <t>Nhà  T.44 (hỗ trợ 80%)</t>
  </si>
  <si>
    <t>Sàn gỗ tạp (xin ý kiến) (hỗ trợ 80%)</t>
  </si>
  <si>
    <t>WC, ngoài nhà, cột gạch, vách tường, xí xổm, mái tôn, không ốp, WC.06.1 (hỗ trợ 80%)</t>
  </si>
  <si>
    <t>WC, trong nhà, cột gạch, vách tường, xí bệt, mái tôn, ốp gạch men, WC.09 (hỗ trợ 80%)</t>
  </si>
  <si>
    <t>Hàng rào trụ BTCT, tường xây 10 không tô, lưới B40. HR.08 (hỗ trợ 80%)</t>
  </si>
  <si>
    <t>Hàng rào tường xây gạch 10cm, có trát vữa 2 mặt. HR.17 (hỗ trợ 80%)</t>
  </si>
  <si>
    <t>Hàng rào tường xây gạch 10cm, không trát vữa. HR.18 (hỗ trợ 80%)</t>
  </si>
  <si>
    <t>Có GCN số vào sổ A00883 do Ủy ban nhân dân tỉnh Kiên Giang cấp ngày 01/9/2000. Tờ bđ số 86, thửa 51 diện tích 2595 m2, đất lúa</t>
  </si>
  <si>
    <t>Hàng rào xây trụ BTCT, tường xây 10 cm bằng gạch, có trát vữa xi măng 2 mặt. HR.12 (hỗ trợ 80%)</t>
  </si>
  <si>
    <t>Giếng khoan phi 42 sâu 60 mét (hỗ trợ 80%)</t>
  </si>
  <si>
    <t>Ống nhựa PVC phi 300 (hỗ trợ 80%)</t>
  </si>
  <si>
    <t>Hàng rào trụ sắt lưới B40.HR.18 (hỗ trợ 80%)</t>
  </si>
  <si>
    <t xml:space="preserve">Ao cá (461,4m2 x 2,0 m) (hỗ trợ 80%) </t>
  </si>
  <si>
    <t>Hàng ba C2.01*80% (tầng 1) (hỗ trợ 90%)</t>
  </si>
  <si>
    <t>Đơn giá chay</t>
  </si>
  <si>
    <t xml:space="preserve">Tường xây 10, tô 2 mặt (5 WC) (hỗ trợ 80%) </t>
  </si>
  <si>
    <t>Nhà trọ C4.05 không mái (hỗ trợ 80%)</t>
  </si>
  <si>
    <t>Nhà trọ C4.05 (WC ngoài nhà, xí xỏm, không mái) (hỗ trợ 80%)</t>
  </si>
  <si>
    <t>Nhà C4.05 (không mái) (hỗ trợ 90%)</t>
  </si>
  <si>
    <t>Theo nội dung thẩm định nội nghiệp điều chỉnh bỏ VKT và ranh</t>
  </si>
  <si>
    <t>Giao 1 nền tái định cư</t>
  </si>
  <si>
    <t>Hỗ trợ tạm cư (12 khẩu)</t>
  </si>
  <si>
    <t>Giao 1 nền tái định cư có thu tiền sử dụng đất</t>
  </si>
  <si>
    <t>Hỗ trợ tạm cư</t>
  </si>
  <si>
    <t>Hỗ trợ tạm cư (6 khẩu)</t>
  </si>
  <si>
    <t>Hỗ trợ tạm cư (8 khẩu)</t>
  </si>
  <si>
    <t>Thành tiền (đồng)</t>
  </si>
  <si>
    <t>Đất trồng cây hàng năm (GCN) - VT1 - CĐN</t>
  </si>
  <si>
    <t>Đất trồng cây lâu năm (GCN) - VT1 - trừ VKT</t>
  </si>
  <si>
    <t>Đất trồng cây lâu năm (GCN) - VT1 - CĐN</t>
  </si>
  <si>
    <t>Đất trồng cây lâu năm (GCN) - VT1 -CĐN</t>
  </si>
  <si>
    <t>Đất trồng cây lâu năm (GCN) - VT1</t>
  </si>
  <si>
    <t>Đất trồng cây hàng năm (GCN) - VT1 (giáp hẻm nội bộ 6 m)</t>
  </si>
  <si>
    <t>Đất trồng cây lâu năm (GCN) - VT1 (giáp hẻm nội bộ 6 m)</t>
  </si>
  <si>
    <t>Đất trồng cây hàng năm (ngoài GCN) - VT1 (giáp hẻm nội bộ 6 m)</t>
  </si>
  <si>
    <t>Đất trồng cây lâu năm (GCN) - VT1 - CĐN 01 nhân khẩu</t>
  </si>
  <si>
    <t>Đất trồng cây hàng năm (GCN) -VT3 - trừ VKT</t>
  </si>
  <si>
    <t>Đất trồng cây hàng năm (GCN) -VT3</t>
  </si>
  <si>
    <t>Đất trồng cây hàng năm (ngoài GCN) - VT3</t>
  </si>
  <si>
    <t>Đất trồng cây hàng năm (GCN) -VT3 - CĐN</t>
  </si>
  <si>
    <t>Đất trồng cây hàng năm (GCN) - VT3 - trừ VKT</t>
  </si>
  <si>
    <t>Đất trồng cây hàng năm (GCN) - VT3</t>
  </si>
  <si>
    <t>Đất trồng cây hàng năm (GCN) - VT3 - CĐN</t>
  </si>
  <si>
    <t>Đất trồng cây lâu năm (GCN) - VT3 - trừ VKT</t>
  </si>
  <si>
    <t>Đất trồng cây lâu năm (GCN) - VT3 - CĐN</t>
  </si>
  <si>
    <t>Đất trồng cây lâu năm (GCN) - VT3</t>
  </si>
  <si>
    <t>Đất ở đô thị (GCN) - VT4 - đường còn lại</t>
  </si>
  <si>
    <t>Đất trồng cây lâu năm (GCN)  - VT3 - CĐN</t>
  </si>
  <si>
    <t>Đất trồng cây lâu năm (GCN)  - VT3 - trừ VKT</t>
  </si>
  <si>
    <t>Đất trồng cây lâu năm (GCN) - VT1 (hẻm nội bộ) - CĐN</t>
  </si>
  <si>
    <t>Đất trồng cây hàng năm (ngoài GCN) - VT3 - CĐN</t>
  </si>
  <si>
    <t>Đất trồng cây hàng năm (GCN) - VT1 (hiện trạng đường số 7) - CĐN</t>
  </si>
  <si>
    <t>Đất trồng cây hàng năm (ngoài GCN) - VT1 (hiện trạng đường số 7) - CĐN</t>
  </si>
  <si>
    <t>Đất trồng cây hàng năm (QH - DGT) (ngoài GCN) - VT1 (hiện trạng đường số 7) - CĐN</t>
  </si>
  <si>
    <t>Đất trồng cây hàng năm (QH - DGT) (ngoài GCN) - VT3 - CĐN</t>
  </si>
  <si>
    <t>CĐN theo mẫu 07 giấy xác nhận trực tiếp SXNN của UBND phường Rạch Giá (02 khẩu Lê Duy Khánh và Trần Như Quỳnh là cán bộ không áp CĐN)</t>
  </si>
  <si>
    <t>Hỗ trợ kinh doanh theo khoản 1, Điều 12, Quyết định số 12/2025/QĐ-UBND ngày 30/9/2025 của UBND tỉnh AG</t>
  </si>
  <si>
    <t xml:space="preserve">Hỗ trợ CĐN và TKVL theo khoản 1, điều 13 Quyết định số 12/2025/QĐ-UBND ngày 30/9/2025 của UBND tỉnh AG </t>
  </si>
  <si>
    <t xml:space="preserve">Giá bồi thường về cây trồng theo Quyết định số 18/QĐ-UBND ngày 02/12/2025 và Quyết định số 03/2026/QĐ-UBND ngày 22/01/2026 của UBND tỉnh AG </t>
  </si>
  <si>
    <t>Giá hỗ trợ VKT theo Quyết định số 11/QĐ-UBND ngày 31/3/2025 và khoản c, điều 5 Quyết định số 07/2026/QĐ-UBND ngày 12/02/2026 của UBND tỉnh AG</t>
  </si>
  <si>
    <t>Hỗ trợ di chuyển nhà theo khoản 1, Điều 8, Quyết định số 12/2025/QĐ-UBND ngày 30/9/2025 của UBND tỉnh AG</t>
  </si>
  <si>
    <t>Nhà xây dựng năm 2006, sửa lại năm 2015 cất trên đất Ông Quách Ngọc Nghé</t>
  </si>
  <si>
    <t>Chưa lập hồ sơ chính chủ</t>
  </si>
  <si>
    <t>Hộ Trần Doãn Tứ</t>
  </si>
  <si>
    <t>Đất ở đô thị (GCN) - VT3 - đường còn lại</t>
  </si>
  <si>
    <t>Đỗ Phương Thảo là viên chức không áp CĐN</t>
  </si>
  <si>
    <t>Lý Thị Kim Thoa là viên chức không áp CĐN</t>
  </si>
  <si>
    <t>1943 - 0911 4300 4010</t>
  </si>
  <si>
    <t>Đất trồng cây hàng năm (GCN) - VT1 (hiện trạng đường số 7) - trừ VKT</t>
  </si>
  <si>
    <t>Đất ở đô thị (GCN) - VT3 - nền đường bằng 3m trải bê tông</t>
  </si>
  <si>
    <t>Đất trồng cây lâu năm - VT1</t>
  </si>
  <si>
    <t>xin ý kiến hội đồng đơn yêu cầu nhỏ hẹp</t>
  </si>
  <si>
    <t>Có GCN số BN 637395 do Ủy ban nhân dân thành phố Rạch Giá cấp ngày 19/8/2013. Tờ bđ số 86, thửa 25 diện tích 1393,76 m2 đất trồng cây lâu năm do Ông Nguyễn Văn Vốn Đứng tên. Thực tế ngoài thực địa do Ông Trần Minh Sơn và Nguyễn Thị Mộng Thu đang sử dụng, không có tranh chấp (Quá trình cấp GCN bị chồng lấn.) được xác nhận ông Nguyễn Văn Vốn xác nhận phần đất này của Ông Trần Minh Sơn.</t>
  </si>
  <si>
    <t>Có GCN số BN 637395 do Ủy ban nhân dân thành phố Rạch Giá cấp ngày 19/8/2013. Tờ bđ số 86, thửa 25 diện tích 1393,76 m2 đất trồng cây lâu năm do Ông Nguyễn Văn Vốn Đứng tên. Thực tế ngoài thực địa do Lê Phước Trung đang sử dụng, không có tranh chấp (Quá trình cấp GCN bị chồng lấn.) được xác nhận ông Nguyễn Văn Vốn xác nhận phần đất này của Ông Lê Phước Trung.</t>
  </si>
  <si>
    <t>Có GCN số BN 637395 do Ủy ban nhân dân thành phố Rạch Giá cấp ngày 19/8/2013. Tờ bđ số 86, thửa 25 diện tích 1393,76 m2 đất trồng cây lâu năm do Ông Nguyễn Văn Vốn Đứng tên. Thực tế ngoài thực địa do Lê Võ Việt Minh Tuân đang sử dụng, không có tranh chấp (Quá trình cấp GCN bị chồng lấn.) được xác nhận ông Nguyễn Văn Vốn xác nhận phần đất này của Ông Lê Võ Việt Minh Tuân.</t>
  </si>
  <si>
    <t>Có GCN số BN 637395 do Ủy ban nhân dân thành phố Rạch Giá cấp ngày 19/8/2013. Tờ bđ số 86, thửa 25 diện tích 1393,76 m2 đất trồng cây lâu năm do Ông Nguyễn Văn Vốn Đứng tên. Thực tế ngoài thực địa do Ông Trương Minh Giang Và Nguyễn Ngọc Ân đang sử dụng, không có tranh chấp (Quá trình cấp GCN bị chồng lấn.) được xác nhận ông Nguyễn Văn Vốn xác nhận phần đất này của Ông Trương Minh Giang.</t>
  </si>
  <si>
    <t>Có GCN số BN 637395 do Ủy ban nhân dân thành phố Rạch Giá cấp ngày 19/8/2013. Tờ bđ số 86, thửa 25 diện tích 1393,76 m2 đất trồng cây lâu năm do Ông Nguyễn Văn Vốn Đứng tên. Thực tế ngoài thực địa do Vũ Thị Tiêm đang sử dụng, không có tranh chấp (Quá trình cấp GCN bị chồng lấn.) được xác nhận ông Nguyễn Văn Vốn xác nhận phần đất này của Vũ Thị Tiêm.</t>
  </si>
  <si>
    <t>Có GCN số BN 637395 do Ủy ban nhân dân thành phố Rạch Giá cấp ngày 19/8/2013. Tờ bđ số 86, thửa 25 diện tích 1393,76 m2 đất trồng cây lâu năm do Ông Nguyễn Văn Vốn Đứng tên. Thực tế ngoài thực địa Vắng chủ, không có tranh chấp (Quá trình cấp GCN bị chồng lấn.) Phần đất này ông Nguyễn Văn Vốn xác nhận không sử dụng</t>
  </si>
  <si>
    <t>Đất trồng cây lâu năm (GCN) - VT1 - giáp hẻm 1065 - CĐN</t>
  </si>
  <si>
    <t>Đất trồng cây lâu năm (Ngoài GCN) - VT1 - giáp hẻm 1065 - CĐN</t>
  </si>
  <si>
    <t>Đất trồng cây lâu năm (GCN) - VT1 - giáp hẻm 1065 - trừ VKT</t>
  </si>
  <si>
    <t>Đất trồng cây lâu năm (GCN) - VT1 - giáp hẻm 1065</t>
  </si>
  <si>
    <t>Đất trồng cây lâu năm (Ngoài GCN) - VT1 - giáp hẻm 1065</t>
  </si>
  <si>
    <t>Đất trồng cây lâu năm-GCN (LG) - VT1 - giáp hẻm 1065</t>
  </si>
  <si>
    <t>Đất trồng cây lâu năm-(Ngoài GCN) - VT1 - giáp hẻm 1065 - CĐN</t>
  </si>
  <si>
    <t>Đất trồng cây hàng năm (GCN) - VT1 - giáp hẻm 1065</t>
  </si>
  <si>
    <t>Đất trồng cây hàng năm (Ngoài GCN) - VT1 - giáp hẻm 1065</t>
  </si>
  <si>
    <t>Đất trồng cây hàng năm -HLATGT (GCN) - VT1 - giáp hẻm 1065</t>
  </si>
  <si>
    <t>Đất trồng cây hàng năm (GCN) - VT1 - giáp hẻm 1067</t>
  </si>
  <si>
    <t>Đất trồng cây lâu năm (GCN) - VT1 - giáp hẻm 1067</t>
  </si>
  <si>
    <t>Đất trồng cây lâu năm (Ngoài GCN) - VT1 - giáp hẻm 1067 - trừ thuế</t>
  </si>
  <si>
    <t>Đất trồng cây hàng năm-Ngoài GCN  - VT1 - giáp hẻm 1067</t>
  </si>
  <si>
    <t>Đất trồng cây lâu năm (GCN) - VT1 - giáp hẻm 1067 - trừ VKT</t>
  </si>
  <si>
    <t>Đất trồng cây hàng năm (GCN) - VT1 - giáp hẻm 1067 - CĐN</t>
  </si>
  <si>
    <t>Đất trồng cây lâu năm (ngoài GCN) - VT1 - giáp hẻm 1067 - trừ VKT</t>
  </si>
  <si>
    <t>Đất trồng cây lâu năm (ngoài GCN) - VT1 - giáp hẻm 1067</t>
  </si>
  <si>
    <t>Đất trồng cây lâu năm (GCN) - VT1 - giáp hẻm 1067 - CĐN</t>
  </si>
  <si>
    <t>Đất ở tại đô thị (GCN) - VT4 - hiện trạng đường số 7 - theo giá dự án</t>
  </si>
  <si>
    <t>theo mẫu 07 giấy xác nhận trực tiếp SXNN của UBND phường Rạch Giá (01 khẩu công chức Phạm Thị Thiên Tài áp dụng 2 khẩu)</t>
  </si>
  <si>
    <t>Đất ở đô thị (GCN) - VT4 - (hiện trạng đường số 7) - theo giá dự án</t>
  </si>
  <si>
    <t>Đất ở đô thị (GCN) - VT3 - đường N.T.Trực (đoạn Đ.Đa-cầu An Hoà)*70%</t>
  </si>
  <si>
    <t>Đất ở đô thị (GCN) - VT3 - nền đường bằng 3 trải bê tông</t>
  </si>
  <si>
    <t>Đất trồng cây hàng năm (GCN) - VT3 (hiện trạng đường số 7) - CĐN</t>
  </si>
  <si>
    <t>Đất trồng cây lâu năm (GCN) - VT1 - giáp hẻm 2,5m - CĐN</t>
  </si>
  <si>
    <t>Đất trồng cây lâu năm (GCN) - VT1 - giáp hẻm 2,5m - trừ VKT</t>
  </si>
  <si>
    <t>Đất trồng cây lâu năm (GCN) - VT1 (hẻm nội bộ 6m) - trừ VKT</t>
  </si>
  <si>
    <t>Đất trồng cây lâu năm (GCN) - VT1 (hẻm nội bộ 6m) - CĐN</t>
  </si>
  <si>
    <t>Đất trồng cây lâu năm (GCN) - VT1 (hẻm 2,5m) - CĐN</t>
  </si>
  <si>
    <t>Đất ở đô thị (GCN) - VT3 - (hiện trạng đường số 7) - theo giá dự án</t>
  </si>
  <si>
    <t>Đất ở tại đô thị (GCN) - VT3 - hiện trạng đường số 7 - theo giá dự án</t>
  </si>
  <si>
    <t>209 Total</t>
  </si>
  <si>
    <t>208 Total</t>
  </si>
  <si>
    <t>207 Total</t>
  </si>
  <si>
    <t>206 Total</t>
  </si>
  <si>
    <t>205 Total</t>
  </si>
  <si>
    <t>204 Total</t>
  </si>
  <si>
    <t>203 Total</t>
  </si>
  <si>
    <t>202 Total</t>
  </si>
  <si>
    <t>201 Total</t>
  </si>
  <si>
    <t>200 Total</t>
  </si>
  <si>
    <t>199 Total</t>
  </si>
  <si>
    <t>198 Total</t>
  </si>
  <si>
    <t>197 Total</t>
  </si>
  <si>
    <t>196 Total</t>
  </si>
  <si>
    <t>195 Total</t>
  </si>
  <si>
    <t>194 Total</t>
  </si>
  <si>
    <t>193 Total</t>
  </si>
  <si>
    <t>192 Total</t>
  </si>
  <si>
    <t>191 Total</t>
  </si>
  <si>
    <t>190 Total</t>
  </si>
  <si>
    <t>189 Total</t>
  </si>
  <si>
    <t>188 Total</t>
  </si>
  <si>
    <t>187 Total</t>
  </si>
  <si>
    <t>186 Total</t>
  </si>
  <si>
    <t>185 Total</t>
  </si>
  <si>
    <t>184 Total</t>
  </si>
  <si>
    <t>183 Total</t>
  </si>
  <si>
    <t>182 Total</t>
  </si>
  <si>
    <t>181 Total</t>
  </si>
  <si>
    <t>180 Total</t>
  </si>
  <si>
    <t>179 Total</t>
  </si>
  <si>
    <t>178 Total</t>
  </si>
  <si>
    <t>177 Total</t>
  </si>
  <si>
    <t>176 Total</t>
  </si>
  <si>
    <t>175 Total</t>
  </si>
  <si>
    <t>174 Total</t>
  </si>
  <si>
    <t>173 Total</t>
  </si>
  <si>
    <t>172 Total</t>
  </si>
  <si>
    <t>171 Total</t>
  </si>
  <si>
    <t>170 Total</t>
  </si>
  <si>
    <t>169 Total</t>
  </si>
  <si>
    <t>168 Total</t>
  </si>
  <si>
    <t>167 Total</t>
  </si>
  <si>
    <t>166 Total</t>
  </si>
  <si>
    <t>165 Total</t>
  </si>
  <si>
    <t>164 Total</t>
  </si>
  <si>
    <t>163 Total</t>
  </si>
  <si>
    <t>162 Total</t>
  </si>
  <si>
    <t>161 Total</t>
  </si>
  <si>
    <t>160 Total</t>
  </si>
  <si>
    <t>159 Total</t>
  </si>
  <si>
    <t>158 Total</t>
  </si>
  <si>
    <t>157 Total</t>
  </si>
  <si>
    <t>156 Total</t>
  </si>
  <si>
    <t>155 Total</t>
  </si>
  <si>
    <t>154 Total</t>
  </si>
  <si>
    <t>153 Total</t>
  </si>
  <si>
    <t>152 Total</t>
  </si>
  <si>
    <t>151 Total</t>
  </si>
  <si>
    <t>150 Total</t>
  </si>
  <si>
    <t>149 Total</t>
  </si>
  <si>
    <t>148 Total</t>
  </si>
  <si>
    <t>147 Total</t>
  </si>
  <si>
    <t>146 Total</t>
  </si>
  <si>
    <t>145 Total</t>
  </si>
  <si>
    <t>144 Total</t>
  </si>
  <si>
    <t>143 Total</t>
  </si>
  <si>
    <t>142 Total</t>
  </si>
  <si>
    <t>141 Total</t>
  </si>
  <si>
    <t>140 Total</t>
  </si>
  <si>
    <t>139 Total</t>
  </si>
  <si>
    <t>138 Total</t>
  </si>
  <si>
    <t>137 Total</t>
  </si>
  <si>
    <t>136 Total</t>
  </si>
  <si>
    <t>135 Total</t>
  </si>
  <si>
    <t>134 Total</t>
  </si>
  <si>
    <t>133 Total</t>
  </si>
  <si>
    <t>132 Total</t>
  </si>
  <si>
    <t>131 Total</t>
  </si>
  <si>
    <t>130 Total</t>
  </si>
  <si>
    <t>129 Total</t>
  </si>
  <si>
    <t>128 Total</t>
  </si>
  <si>
    <t>127 Total</t>
  </si>
  <si>
    <t>126 Total</t>
  </si>
  <si>
    <t>125 Total</t>
  </si>
  <si>
    <t>124 Total</t>
  </si>
  <si>
    <t>123 Total</t>
  </si>
  <si>
    <t>122 Total</t>
  </si>
  <si>
    <t>121 Total</t>
  </si>
  <si>
    <t>120 Total</t>
  </si>
  <si>
    <t>119 Total</t>
  </si>
  <si>
    <t>118 Total</t>
  </si>
  <si>
    <t>117 Total</t>
  </si>
  <si>
    <t>116 Total</t>
  </si>
  <si>
    <t>115 Total</t>
  </si>
  <si>
    <t>114 Total</t>
  </si>
  <si>
    <t>113 Total</t>
  </si>
  <si>
    <t>112 Total</t>
  </si>
  <si>
    <t>111 Total</t>
  </si>
  <si>
    <t>110 Total</t>
  </si>
  <si>
    <t>109 Total</t>
  </si>
  <si>
    <t>108 Total</t>
  </si>
  <si>
    <t>107 Total</t>
  </si>
  <si>
    <t>106 Total</t>
  </si>
  <si>
    <t>105 Total</t>
  </si>
  <si>
    <t>104 Total</t>
  </si>
  <si>
    <t>103 Total</t>
  </si>
  <si>
    <t>102 Total</t>
  </si>
  <si>
    <t>101 Total</t>
  </si>
  <si>
    <t>100 Total</t>
  </si>
  <si>
    <t>99 Total</t>
  </si>
  <si>
    <t>98 Total</t>
  </si>
  <si>
    <t>97 Total</t>
  </si>
  <si>
    <t>96 Total</t>
  </si>
  <si>
    <t>95 Total</t>
  </si>
  <si>
    <t>94 Total</t>
  </si>
  <si>
    <t>93 Total</t>
  </si>
  <si>
    <t>92 Total</t>
  </si>
  <si>
    <t>91 Total</t>
  </si>
  <si>
    <t>90 Total</t>
  </si>
  <si>
    <t>89 Total</t>
  </si>
  <si>
    <t>88 Total</t>
  </si>
  <si>
    <t>87 Total</t>
  </si>
  <si>
    <t>86 Total</t>
  </si>
  <si>
    <t>85 Total</t>
  </si>
  <si>
    <t>84 Total</t>
  </si>
  <si>
    <t>83 Total</t>
  </si>
  <si>
    <t>82 Total</t>
  </si>
  <si>
    <t>81 Total</t>
  </si>
  <si>
    <t>80 Total</t>
  </si>
  <si>
    <t>79 Total</t>
  </si>
  <si>
    <t>78 Total</t>
  </si>
  <si>
    <t>77 Total</t>
  </si>
  <si>
    <t>76 Total</t>
  </si>
  <si>
    <t>75 Total</t>
  </si>
  <si>
    <t>74 Total</t>
  </si>
  <si>
    <t>73 Total</t>
  </si>
  <si>
    <t>72 Total</t>
  </si>
  <si>
    <t>71 Total</t>
  </si>
  <si>
    <t>70 Total</t>
  </si>
  <si>
    <t>69 Total</t>
  </si>
  <si>
    <t>68 Total</t>
  </si>
  <si>
    <t>67 Total</t>
  </si>
  <si>
    <t>66 Total</t>
  </si>
  <si>
    <t>65 Total</t>
  </si>
  <si>
    <t>64 Total</t>
  </si>
  <si>
    <t>63 Total</t>
  </si>
  <si>
    <t>62 Total</t>
  </si>
  <si>
    <t>61 Total</t>
  </si>
  <si>
    <t>60 Total</t>
  </si>
  <si>
    <t>59 Total</t>
  </si>
  <si>
    <t>58 Total</t>
  </si>
  <si>
    <t>57 Total</t>
  </si>
  <si>
    <t>56 Total</t>
  </si>
  <si>
    <t>55 Total</t>
  </si>
  <si>
    <t>54 Total</t>
  </si>
  <si>
    <t>53 Total</t>
  </si>
  <si>
    <t>52 Total</t>
  </si>
  <si>
    <t>51 Total</t>
  </si>
  <si>
    <t>50 Total</t>
  </si>
  <si>
    <t>49 Total</t>
  </si>
  <si>
    <t>48 Total</t>
  </si>
  <si>
    <t>47 Total</t>
  </si>
  <si>
    <t>46 Total</t>
  </si>
  <si>
    <t>45 Total</t>
  </si>
  <si>
    <t>44 Total</t>
  </si>
  <si>
    <t>43 Total</t>
  </si>
  <si>
    <t>42 Total</t>
  </si>
  <si>
    <t>41 Total</t>
  </si>
  <si>
    <t>40 Total</t>
  </si>
  <si>
    <t>39 Total</t>
  </si>
  <si>
    <t>38 Total</t>
  </si>
  <si>
    <t>37 Total</t>
  </si>
  <si>
    <t>36 Total</t>
  </si>
  <si>
    <t>35 Total</t>
  </si>
  <si>
    <t>34 Total</t>
  </si>
  <si>
    <t>33 Total</t>
  </si>
  <si>
    <t>32 Total</t>
  </si>
  <si>
    <t>31 Total</t>
  </si>
  <si>
    <t>30 Total</t>
  </si>
  <si>
    <t>29 Total</t>
  </si>
  <si>
    <t>28 Total</t>
  </si>
  <si>
    <t>27 Total</t>
  </si>
  <si>
    <t>26 Total</t>
  </si>
  <si>
    <t>25 Total</t>
  </si>
  <si>
    <t>24 Total</t>
  </si>
  <si>
    <t>23 Total</t>
  </si>
  <si>
    <t>22 Total</t>
  </si>
  <si>
    <t>21 Total</t>
  </si>
  <si>
    <t>20 Total</t>
  </si>
  <si>
    <t>19 Total</t>
  </si>
  <si>
    <t>18 Total</t>
  </si>
  <si>
    <t>17 Total</t>
  </si>
  <si>
    <t>16 Total</t>
  </si>
  <si>
    <t>15 Total</t>
  </si>
  <si>
    <t>14 Total</t>
  </si>
  <si>
    <t>13 Total</t>
  </si>
  <si>
    <t>12 Total</t>
  </si>
  <si>
    <t>11 Total</t>
  </si>
  <si>
    <t>10 Total</t>
  </si>
  <si>
    <t>9 Total</t>
  </si>
  <si>
    <t>8 Total</t>
  </si>
  <si>
    <t>7 Total</t>
  </si>
  <si>
    <t>6 Total</t>
  </si>
  <si>
    <t>5 Total</t>
  </si>
  <si>
    <t>4 Total</t>
  </si>
  <si>
    <t>3 Total</t>
  </si>
  <si>
    <t>2 Total</t>
  </si>
  <si>
    <t>1 Total</t>
  </si>
  <si>
    <t>Grand Total</t>
  </si>
  <si>
    <t>Nguyễn Văn Phương;Lê Chúc Xuân</t>
  </si>
  <si>
    <t>1981 - 0910 8101 7829; 1977 - 0911 7701 5749</t>
  </si>
  <si>
    <t>Phạm Thị Lâm;Trần Quang Vinh</t>
  </si>
  <si>
    <t>1959 - 0911 5900 5030;1955 - 0910 5500 2734</t>
  </si>
  <si>
    <t>Nguyễn Quang Dũng;Nguyễn Thị Thẩm</t>
  </si>
  <si>
    <t>1958 - 0340 5801 7875;1963 - 0911 6300 8982</t>
  </si>
  <si>
    <t>Đặng Hồng Lĩnh; Châu Thị Đỗ Quyên</t>
  </si>
  <si>
    <t>1970 - 0910 7000 7286;1971 - 0911 7101 2715</t>
  </si>
  <si>
    <t>Phạm Tiến Triệu;Phạm Thị Thiên Tài</t>
  </si>
  <si>
    <t>1978 - 0340 7803 0380;1985 - 0911 8502 1513</t>
  </si>
  <si>
    <t>Nguyễn Thanh Thi;Đỗ Thị Thu</t>
  </si>
  <si>
    <t>1975 - 0910 7501 4982;1976 - 0911 7601 5617</t>
  </si>
  <si>
    <t>421/5B Nguyễn Trung Trực, phường Rạch Giá, tỉnh An Giang;152 Trần Khánh Dư, phường Rạch Giá, tỉnh An Giang</t>
  </si>
  <si>
    <t>Quách Ngọc Chính; Hồng Tú Loan</t>
  </si>
  <si>
    <t>1966 - 0910 6600 3392;1966 - 0911 6601 2633</t>
  </si>
  <si>
    <t>828 Ngô Quyền, phường Rạch Giá, tỉnh An Giang; 68 U Minh 10, phường Rạch Giá, tỉnh An Giang</t>
  </si>
  <si>
    <t>Đỗ Văn Tuấn;Trần Thị Nhuần</t>
  </si>
  <si>
    <t>1972 - 0910 7202 2302; 1979 - 0911 7900 8962</t>
  </si>
  <si>
    <t>152 Trần Khánh Dư, phường Rạch Giá, tỉnh An Giang; 39 Nguyễn Thông, phường Rạch Giá, tỉnh An Giang</t>
  </si>
  <si>
    <t>Cao Văn Hồng; Nguyễn Ánh Nhan</t>
  </si>
  <si>
    <t>1962 - 0910 6200 6596; 1961 - 0911 6100 2853</t>
  </si>
  <si>
    <t>Nguyễn Trung Giang; Cao Thị Diễm</t>
  </si>
  <si>
    <t>1979 - 0910 7901 2927; 1984 - 0911 8401 9131</t>
  </si>
  <si>
    <t>Nguyễn Văn Tâm; Trang Thị Kim Châu</t>
  </si>
  <si>
    <t>1967 - 0910 6701 4798; 1965 - 0911 6500 6914</t>
  </si>
  <si>
    <t>Đỗ Đức Quyết; Trần Thị Liễu</t>
  </si>
  <si>
    <t>1970 - 0910 7000 3905; 1977 - 0911 7700 8774</t>
  </si>
  <si>
    <t>Nguyễn Văn Sinh;Đỗ Thị Hoa</t>
  </si>
  <si>
    <t>1960 - 0300 6001 6823; 1961 - 0341 6100 8352</t>
  </si>
  <si>
    <t>Nguyễn Phi Đằng; La Thị Cẩm Nhung</t>
  </si>
  <si>
    <t>1957 - 0960 5700 2087; 1965 - 0911 6501 1469</t>
  </si>
  <si>
    <t>1067C Lâm Quang Ky, phường Rạch Giá, tỉnh An Giang; 96/9 Nguyễn Chí Thanh, phường Rạch Giá, tỉnh An Giang</t>
  </si>
  <si>
    <t xml:space="preserve">Trần Thị Thu Hà; Lê Doãn Phú </t>
  </si>
  <si>
    <t>1975 - 0911 7500 4363; 1969 - 0380 6903 2737</t>
  </si>
  <si>
    <t>Dương Thị Thảo; Lê Văn Minh</t>
  </si>
  <si>
    <t>1978 - 0911 7800 9886; 1979 - 0870 7901 4286</t>
  </si>
  <si>
    <t>Đinh Văn Sỹ; Nguyễn Thanh Ngân</t>
  </si>
  <si>
    <t>1971 - 0910 7100 0178; 1970 - 0961 7000 2693</t>
  </si>
  <si>
    <t>Trương Minh Giang; Nguyễn Ngọc Ân</t>
  </si>
  <si>
    <t>1978 - 0910 7801 1620; 1987 - 0871 8700 4935</t>
  </si>
  <si>
    <t>Trần Minh Sơn; Nguyễn Thị Mộng Thu</t>
  </si>
  <si>
    <t>1985 - 0910 8500 8368; 1984 - 0911 8400 4476</t>
  </si>
  <si>
    <t>Nguyễn Văn Dũng;Nguyễn Thị Chiến</t>
  </si>
  <si>
    <t>1960 - 0910 6000 8743; 1959 - 0911 5900 3882</t>
  </si>
  <si>
    <t>Lê Duy Khánh; Trần Như Quỳnh</t>
  </si>
  <si>
    <t>1980 - 0910 8001 6043; 1981 - 0911 8101 5224</t>
  </si>
  <si>
    <t>Cao Thế Huy; Huỳnh Thị Lánh</t>
  </si>
  <si>
    <t>1978 - 0910 7802 3179; 1983 - 0911 8301 2826</t>
  </si>
  <si>
    <t>Khu phố Vĩnh Phước 1, xã Vĩnh Phong, tỉnh An Giang; Tổ 106 ấp Đồng Tranh, xã Vĩnh Bình, tỉnh An Giang</t>
  </si>
  <si>
    <t>Lư Hoàng Tuấn; Trần Kim Loan</t>
  </si>
  <si>
    <t>1969 - 0910 6900 7135; 1970 - 0911 7001 3352</t>
  </si>
  <si>
    <t>940/2A Nguyễn Trung Trực, phường Rạch Giá, tỉnh An Giang; 956/25 Nguyễn Trung Trực, phường Rạch Giá, tỉnh An Giang</t>
  </si>
  <si>
    <t>Nguyễn Thị Yến; Trương Tấn Đạt</t>
  </si>
  <si>
    <t>1975 - 0911 7500 5936; 1972 - 0920 7200 4438</t>
  </si>
  <si>
    <t xml:space="preserve">986/28A Nguyễn Trung Trực, phường Rạch Giá, tỉnh An Giang; 81/7, KP1, phường An Phú Đông, thành phố Hồ Chí Minh) </t>
  </si>
  <si>
    <t>Lê Võ Việt Minh Tuân; Nguyễn Thị Tiền</t>
  </si>
  <si>
    <t>1981- 0910 8101 0220; 1980 - 0911 8000 5680</t>
  </si>
  <si>
    <t>E6-20 Đống Đa, phường Rạch Giá, tỉnh An Giang; 8/203 Kp Thông Chữ, phường Rạch Giá, tỉnh An Giang</t>
  </si>
  <si>
    <t>STT</t>
  </si>
  <si>
    <t>Họ và tên</t>
  </si>
  <si>
    <t xml:space="preserve">Giá bồi thường về đất theo Nghị quyết số 16/2025/NQ-HĐND ngày 30/12/2025 của Hội đồng nhân dân tỉnh AG và Quyết định số 69/2026/QĐ-UBND ngày 18/7/2026 của UBND tỉnh AG </t>
  </si>
  <si>
    <t>Năm sinh - Căn cước công dân</t>
  </si>
  <si>
    <t>Địa chỉ thường trú</t>
  </si>
  <si>
    <t>Nguyễn An Trúc; Nguyễn Văn Thống</t>
  </si>
  <si>
    <t>1978 - 0911 7801 7207;1976 - 0910 7601 7487</t>
  </si>
  <si>
    <t xml:space="preserve">Có GCN số CC 480060 do UBND thành phố Rạch Giá cấp ngày 10/12/2015. Tờ BĐ số 86, thửa 60, diện tích 425,05 m2 đất trồng lúa. </t>
  </si>
  <si>
    <t>Hiện trạng sử dụng 415,6 m2 (do diện tích GCN không đúng với hiện trạng)</t>
  </si>
  <si>
    <t xml:space="preserve">CĐN theo mẫu 08 giấy xác nhận trực tiếp SXNN của UBND xã Tân Hiệp (03 khẩu: Nguyễn An Trúc là viên chức, Nguyễn Văn Thống là trợ cấp BHXH hàng tháng không áp CĐN) </t>
  </si>
  <si>
    <t>Nguồn gốc đất có GCN số AG 015360 do UBND thành phố Rạch Giá cấp ngày 28/12/2006, tờ BĐ số 86, thửa 233, diện tích 2.577,30 m² đất CLN do Bà Thái Thị Kim Lanh đứng tên. Hiện trạng ngày 29/12/2006 bà Thái Thị Kim Lanh chuyển nhượng cho ông Lê Doãn Phú, thửa đất tại hẻm 986 chiều ngang 5 m dài 45 m (giấy tay)</t>
  </si>
  <si>
    <t>Nguồn gốc đất có GCN số AG 015360 do UBND thành phố Rạch Giá cấp ngày 28/12/2006, tờ BĐ số 86, thửa 233, diện tích 2.577,30 m² đất CLN do Bà Thái Thị Kim Lanh đứng tên. Hiện trạng ngày 29/12/2006 bà Thái Thị Kim Lanh chuyển nhượng cho ông Trần Thanh Lâm</t>
  </si>
  <si>
    <t>Nay ấp Vĩnh Đông, xã Vĩnh Phong, tỉnh An Giang</t>
  </si>
  <si>
    <t xml:space="preserve">Có GCN số T935208 do UBND thị xã Rạch Giá cấp ngày 27/2/2002                            </t>
  </si>
  <si>
    <t xml:space="preserve">Có GCN số BL 675 061 do UBND thành phố Rạch Giá cấp ngày 14/8/2012                </t>
  </si>
  <si>
    <t>1978 - 0361 7801 1305</t>
  </si>
  <si>
    <t>C319 chung cư 460 Ngô Quyền, phường Rạch Giá, tỉnh An Giang</t>
  </si>
  <si>
    <t>1976 - 0910 7601 5870</t>
  </si>
  <si>
    <t>Số 29/1 Chi Lăng, phường Rạch Giá, tỉnh An Giang</t>
  </si>
  <si>
    <t>Đất trồng cây lâu năm (ngoài GCN) - VT1 - giáp hẻm 1067 - trừ VKT - Ngoài ranh quy hoạch</t>
  </si>
  <si>
    <t>Di chuyển nhà trong phạm vi cấp xã từ 50m2 đến 100m2</t>
  </si>
  <si>
    <t>Di chuyển nhà trong phạm vi cấp xã dưới 50m2</t>
  </si>
  <si>
    <t>Di chuyển nhà trong phạm vi cấp xã trên 100m2</t>
  </si>
  <si>
    <t>818 Ngô Quyền, phường Rạch Giá, tỉnh An Giang</t>
  </si>
  <si>
    <t xml:space="preserve">1949 - 0911 4900 5395
1949 - 0830 4900 4059
</t>
  </si>
  <si>
    <t>Đất ở đô thị (GCN) - VT2 - (hiện trạng đường số 7) - theo giá dự án</t>
  </si>
  <si>
    <t>Đất ở đô thị (GCN) - VT1 - (hiện trạng đường số 7) - theo giá dự án</t>
  </si>
  <si>
    <t>Có GCN số CE 310140 do Sở Tài nguyên và môi trường tỉnh Kiên Giang cấp ngày 14/10/2016. Tờ bđ số 86, thửa 399 diện tích 45,2 m2 đất trồng cây lâu năm, do Nguyễn Văn Dũng và Nguyễn Thị Chiến đứng tên. Hiện trạng Nguyễn Thị Chiến ngày 12/4/2008 có biện nhận giấy tay sang nhượng 45 m2 cho Nguyễn Tuyết Sương</t>
  </si>
  <si>
    <t xml:space="preserve">Giá bồi thường về đất theo Quyết định 2101/QĐ-UBND ngày 29/6/2025 của UBND tỉnh AG và Quyết định số 69/2026/QĐ-UBND ngày 18/7/2026 của UBND tỉnh AG </t>
  </si>
  <si>
    <t>1948 - 0910 4800 4418</t>
  </si>
  <si>
    <t>842 Mạc Cửu, phường Rạch Giá, tỉnh An Giang</t>
  </si>
  <si>
    <t>Báo cáo số 06/BC-TTKĐ ngày 15 tháng 4 năm 2026 ngày 15 tháng 4 năm 2026 của Trung tâm kiểm định và Dịch vụ xây dựng - Sở Xây dựng tỉnh AG</t>
  </si>
  <si>
    <t>Lư Hữu Quí</t>
  </si>
  <si>
    <t>Phần diện tích 2,1 m² nằm ngoài GCN, có cùng nguồn gốc theo GCN số BU 499143 do UBND thành phố Rạch Giá cấp ngày 9/5/2014.</t>
  </si>
  <si>
    <r>
      <t>DT (m</t>
    </r>
    <r>
      <rPr>
        <b/>
        <vertAlign val="superscript"/>
        <sz val="16"/>
        <rFont val="Times New Roman"/>
        <family val="1"/>
      </rPr>
      <t>2</t>
    </r>
    <r>
      <rPr>
        <b/>
        <sz val="16"/>
        <rFont val="Times New Roman"/>
        <family val="1"/>
      </rPr>
      <t>)</t>
    </r>
  </si>
  <si>
    <r>
      <t>m</t>
    </r>
    <r>
      <rPr>
        <vertAlign val="superscript"/>
        <sz val="16"/>
        <rFont val="Times New Roman"/>
        <family val="1"/>
      </rPr>
      <t>2</t>
    </r>
  </si>
  <si>
    <r>
      <t>08/4/2002. Tờ BĐ số 86, thửa 203, diện tích 937,70 m</t>
    </r>
    <r>
      <rPr>
        <vertAlign val="superscript"/>
        <sz val="16"/>
        <rFont val="Times New Roman"/>
        <family val="1"/>
      </rPr>
      <t>2</t>
    </r>
    <r>
      <rPr>
        <sz val="16"/>
        <rFont val="Times New Roman"/>
        <family val="1"/>
      </rPr>
      <t xml:space="preserve"> đất trồng lúa. </t>
    </r>
  </si>
  <si>
    <r>
      <t>Phần diện tích 2,1m</t>
    </r>
    <r>
      <rPr>
        <vertAlign val="superscript"/>
        <sz val="16"/>
        <rFont val="Times New Roman"/>
        <family val="1"/>
      </rPr>
      <t>2</t>
    </r>
    <r>
      <rPr>
        <sz val="16"/>
        <rFont val="Times New Roman"/>
        <family val="1"/>
      </rPr>
      <t xml:space="preserve"> nằm ngoài GCN, có cùng nguồn gốc và thời điểm sử dụng theo GCN số vào sổ 685/2002 QSDĐ/AH do UBND thành phố Rạch Giá cấp ngày 08/4/2002</t>
    </r>
  </si>
  <si>
    <r>
      <t>Tờ BĐ số 86, thửa 280, diện tích 377,7 m</t>
    </r>
    <r>
      <rPr>
        <vertAlign val="superscript"/>
        <sz val="16"/>
        <rFont val="Times New Roman"/>
        <family val="1"/>
      </rPr>
      <t>2</t>
    </r>
    <r>
      <rPr>
        <sz val="16"/>
        <rFont val="Times New Roman"/>
        <family val="1"/>
      </rPr>
      <t xml:space="preserve"> đất trồng lúa. </t>
    </r>
  </si>
  <si>
    <r>
      <t>Tờ BĐ số 86, thửa 248, diện tích 1.459,6 m</t>
    </r>
    <r>
      <rPr>
        <vertAlign val="superscript"/>
        <sz val="16"/>
        <rFont val="Times New Roman"/>
        <family val="1"/>
      </rPr>
      <t>2</t>
    </r>
    <r>
      <rPr>
        <sz val="16"/>
        <rFont val="Times New Roman"/>
        <family val="1"/>
      </rPr>
      <t xml:space="preserve"> đất trồng lúa. </t>
    </r>
  </si>
  <si>
    <r>
      <t>Lá dừa nước (m</t>
    </r>
    <r>
      <rPr>
        <vertAlign val="superscript"/>
        <sz val="16"/>
        <rFont val="Times New Roman"/>
        <family val="1"/>
      </rPr>
      <t>2</t>
    </r>
    <r>
      <rPr>
        <sz val="16"/>
        <rFont val="Times New Roman"/>
        <family val="1"/>
      </rPr>
      <t>)</t>
    </r>
  </si>
  <si>
    <r>
      <t>Sả A (m</t>
    </r>
    <r>
      <rPr>
        <vertAlign val="superscript"/>
        <sz val="16"/>
        <rFont val="Times New Roman"/>
        <family val="1"/>
      </rPr>
      <t>2</t>
    </r>
    <r>
      <rPr>
        <sz val="16"/>
        <rFont val="Times New Roman"/>
        <family val="1"/>
      </rPr>
      <t>)</t>
    </r>
  </si>
  <si>
    <r>
      <t>Tờ BĐ số 86, thửa 332, diện tích 2.046,5 m</t>
    </r>
    <r>
      <rPr>
        <vertAlign val="superscript"/>
        <sz val="16"/>
        <rFont val="Times New Roman"/>
        <family val="1"/>
      </rPr>
      <t>2</t>
    </r>
    <r>
      <rPr>
        <sz val="16"/>
        <rFont val="Times New Roman"/>
        <family val="1"/>
      </rPr>
      <t xml:space="preserve"> đất trồng lúa. </t>
    </r>
  </si>
  <si>
    <r>
      <t>Tờ BĐ số 86, thửa 32, diện tích 1.919,90 m</t>
    </r>
    <r>
      <rPr>
        <vertAlign val="superscript"/>
        <sz val="16"/>
        <rFont val="Times New Roman"/>
        <family val="1"/>
      </rPr>
      <t>2</t>
    </r>
    <r>
      <rPr>
        <sz val="16"/>
        <rFont val="Times New Roman"/>
        <family val="1"/>
      </rPr>
      <t xml:space="preserve"> đất trồng lúa. </t>
    </r>
  </si>
  <si>
    <r>
      <t>Tờ BĐ số 86, thửa 33, diện tích 2.234,7 m</t>
    </r>
    <r>
      <rPr>
        <vertAlign val="superscript"/>
        <sz val="16"/>
        <rFont val="Times New Roman"/>
        <family val="1"/>
      </rPr>
      <t>2</t>
    </r>
    <r>
      <rPr>
        <sz val="16"/>
        <rFont val="Times New Roman"/>
        <family val="1"/>
      </rPr>
      <t xml:space="preserve"> đất trồng lúa. </t>
    </r>
  </si>
  <si>
    <r>
      <t>Tờ BĐ số 86, thửa 277, diện tích 536 m</t>
    </r>
    <r>
      <rPr>
        <vertAlign val="superscript"/>
        <sz val="16"/>
        <rFont val="Times New Roman"/>
        <family val="1"/>
      </rPr>
      <t>2</t>
    </r>
    <r>
      <rPr>
        <sz val="16"/>
        <rFont val="Times New Roman"/>
        <family val="1"/>
      </rPr>
      <t xml:space="preserve"> đất trồng cây lâu năm. </t>
    </r>
  </si>
  <si>
    <r>
      <t>Tờ BĐ số 86, thửa 44, diện tích 1.600 m</t>
    </r>
    <r>
      <rPr>
        <vertAlign val="superscript"/>
        <sz val="16"/>
        <rFont val="Times New Roman"/>
        <family val="1"/>
      </rPr>
      <t xml:space="preserve">2 </t>
    </r>
    <r>
      <rPr>
        <sz val="16"/>
        <rFont val="Times New Roman"/>
        <family val="1"/>
      </rPr>
      <t xml:space="preserve">đất trồng cây lâu năm. </t>
    </r>
  </si>
  <si>
    <r>
      <t>Tờ BĐ số 86, thửa 194, diện tích 839,40 m</t>
    </r>
    <r>
      <rPr>
        <vertAlign val="superscript"/>
        <sz val="16"/>
        <rFont val="Times New Roman"/>
        <family val="1"/>
      </rPr>
      <t xml:space="preserve">2 </t>
    </r>
    <r>
      <rPr>
        <sz val="16"/>
        <rFont val="Times New Roman"/>
        <family val="1"/>
      </rPr>
      <t xml:space="preserve">đất trồng lúa. </t>
    </r>
  </si>
  <si>
    <r>
      <t>Tờ BĐ số 86, thửa 195, diện tích 419,80 m</t>
    </r>
    <r>
      <rPr>
        <vertAlign val="superscript"/>
        <sz val="16"/>
        <rFont val="Times New Roman"/>
        <family val="1"/>
      </rPr>
      <t xml:space="preserve">2 </t>
    </r>
    <r>
      <rPr>
        <sz val="16"/>
        <rFont val="Times New Roman"/>
        <family val="1"/>
      </rPr>
      <t xml:space="preserve">đất trồng lúa. </t>
    </r>
  </si>
  <si>
    <r>
      <t>Tờ BĐ số 86, thửa 203, diện tích 419,80 m</t>
    </r>
    <r>
      <rPr>
        <vertAlign val="superscript"/>
        <sz val="16"/>
        <rFont val="Times New Roman"/>
        <family val="1"/>
      </rPr>
      <t xml:space="preserve">2 </t>
    </r>
    <r>
      <rPr>
        <sz val="16"/>
        <rFont val="Times New Roman"/>
        <family val="1"/>
      </rPr>
      <t xml:space="preserve">đất trồng lúa. </t>
    </r>
  </si>
  <si>
    <r>
      <t>Tờ BĐ số 86, thửa 226, diện tích 425,05 m</t>
    </r>
    <r>
      <rPr>
        <vertAlign val="superscript"/>
        <sz val="16"/>
        <rFont val="Times New Roman"/>
        <family val="1"/>
      </rPr>
      <t xml:space="preserve">2 </t>
    </r>
    <r>
      <rPr>
        <sz val="16"/>
        <rFont val="Times New Roman"/>
        <family val="1"/>
      </rPr>
      <t xml:space="preserve">đất trồng lúa. </t>
    </r>
  </si>
  <si>
    <r>
      <t>Tờ BĐ số 86, thửa 208, diện tích 771,30 m</t>
    </r>
    <r>
      <rPr>
        <vertAlign val="superscript"/>
        <sz val="16"/>
        <rFont val="Times New Roman"/>
        <family val="1"/>
      </rPr>
      <t xml:space="preserve">2 </t>
    </r>
    <r>
      <rPr>
        <sz val="16"/>
        <rFont val="Times New Roman"/>
        <family val="1"/>
      </rPr>
      <t xml:space="preserve">đất trồng lúa. </t>
    </r>
  </si>
  <si>
    <r>
      <t>Tờ BĐ số 86, thửa 45, diện tích 1.762,50 m</t>
    </r>
    <r>
      <rPr>
        <vertAlign val="superscript"/>
        <sz val="16"/>
        <rFont val="Times New Roman"/>
        <family val="1"/>
      </rPr>
      <t xml:space="preserve">2 </t>
    </r>
    <r>
      <rPr>
        <sz val="16"/>
        <rFont val="Times New Roman"/>
        <family val="1"/>
      </rPr>
      <t xml:space="preserve">đất trồng lúa. </t>
    </r>
  </si>
  <si>
    <r>
      <t>Tờ BĐ số 86, thửa 61, diện tích 988,30 m</t>
    </r>
    <r>
      <rPr>
        <vertAlign val="superscript"/>
        <sz val="16"/>
        <rFont val="Times New Roman"/>
        <family val="1"/>
      </rPr>
      <t xml:space="preserve">2 </t>
    </r>
    <r>
      <rPr>
        <sz val="16"/>
        <rFont val="Times New Roman"/>
        <family val="1"/>
      </rPr>
      <t xml:space="preserve">đất trồng cây hàng năm khác. </t>
    </r>
  </si>
  <si>
    <r>
      <t>m</t>
    </r>
    <r>
      <rPr>
        <vertAlign val="superscript"/>
        <sz val="16"/>
        <rFont val="Times New Roman"/>
        <family val="1"/>
      </rPr>
      <t>3</t>
    </r>
  </si>
  <si>
    <r>
      <t>Mía A (m</t>
    </r>
    <r>
      <rPr>
        <vertAlign val="superscript"/>
        <sz val="16"/>
        <rFont val="Times New Roman"/>
        <family val="1"/>
      </rPr>
      <t>2</t>
    </r>
    <r>
      <rPr>
        <sz val="16"/>
        <rFont val="Times New Roman"/>
        <family val="1"/>
      </rPr>
      <t>)</t>
    </r>
  </si>
  <si>
    <r>
      <t>Ao cá (461,4m</t>
    </r>
    <r>
      <rPr>
        <vertAlign val="superscript"/>
        <sz val="16"/>
        <rFont val="Times New Roman"/>
        <family val="1"/>
      </rPr>
      <t>2</t>
    </r>
    <r>
      <rPr>
        <sz val="16"/>
        <rFont val="Times New Roman"/>
        <family val="1"/>
      </rPr>
      <t xml:space="preserve"> x 2,0 m) (hỗ trợ 80%) </t>
    </r>
  </si>
  <si>
    <r>
      <t>Tờ BĐ số 86, thửa 233, diện tích 2.577,30 m</t>
    </r>
    <r>
      <rPr>
        <vertAlign val="superscript"/>
        <sz val="16"/>
        <rFont val="Times New Roman"/>
        <family val="1"/>
      </rPr>
      <t xml:space="preserve">2 </t>
    </r>
    <r>
      <rPr>
        <sz val="16"/>
        <rFont val="Times New Roman"/>
        <family val="1"/>
      </rPr>
      <t>đất trồng cây lâu năm</t>
    </r>
  </si>
  <si>
    <r>
      <t>m</t>
    </r>
    <r>
      <rPr>
        <vertAlign val="superscript"/>
        <sz val="16"/>
        <rFont val="Times New Roman"/>
        <family val="1"/>
      </rPr>
      <t>3</t>
    </r>
    <r>
      <rPr>
        <sz val="11"/>
        <color theme="1"/>
        <rFont val="Calibri"/>
        <family val="2"/>
        <scheme val="minor"/>
      </rPr>
      <t/>
    </r>
  </si>
  <si>
    <r>
      <t>m</t>
    </r>
    <r>
      <rPr>
        <vertAlign val="superscript"/>
        <sz val="16"/>
        <rFont val="Times New Roman"/>
        <family val="1"/>
      </rPr>
      <t>4</t>
    </r>
    <r>
      <rPr>
        <sz val="11"/>
        <color theme="1"/>
        <rFont val="Calibri"/>
        <family val="2"/>
        <scheme val="minor"/>
      </rPr>
      <t/>
    </r>
  </si>
  <si>
    <r>
      <t>Tờ BĐ số      , thửa     , diện tích 44.971,1m</t>
    </r>
    <r>
      <rPr>
        <vertAlign val="superscript"/>
        <sz val="16"/>
        <rFont val="Times New Roman"/>
        <family val="1"/>
      </rPr>
      <t xml:space="preserve">2 </t>
    </r>
    <r>
      <rPr>
        <sz val="16"/>
        <rFont val="Times New Roman"/>
        <family val="1"/>
      </rPr>
      <t>đất cơ sở giáo dục - đào tạo (xây dựng trường dạy nghề)</t>
    </r>
  </si>
  <si>
    <r>
      <t>Tờ BĐ số 86, thửa 59, diện tích 445,90 m</t>
    </r>
    <r>
      <rPr>
        <vertAlign val="superscript"/>
        <sz val="16"/>
        <rFont val="Times New Roman"/>
        <family val="1"/>
      </rPr>
      <t xml:space="preserve">2, </t>
    </r>
    <r>
      <rPr>
        <sz val="16"/>
        <rFont val="Times New Roman"/>
        <family val="1"/>
      </rPr>
      <t>đất ODT: 150,0m</t>
    </r>
    <r>
      <rPr>
        <vertAlign val="superscript"/>
        <sz val="16"/>
        <rFont val="Times New Roman"/>
        <family val="1"/>
      </rPr>
      <t xml:space="preserve">2,  </t>
    </r>
    <r>
      <rPr>
        <sz val="16"/>
        <rFont val="Times New Roman"/>
        <family val="1"/>
      </rPr>
      <t>đất chuyên trồng lúa nước: 295,9m</t>
    </r>
    <r>
      <rPr>
        <vertAlign val="superscript"/>
        <sz val="16"/>
        <rFont val="Times New Roman"/>
        <family val="1"/>
      </rPr>
      <t>2</t>
    </r>
  </si>
  <si>
    <r>
      <t>Tờ BĐ số 86, thửa 154, diện tích 664,4 m</t>
    </r>
    <r>
      <rPr>
        <vertAlign val="superscript"/>
        <sz val="16"/>
        <rFont val="Times New Roman"/>
        <family val="1"/>
      </rPr>
      <t xml:space="preserve">2, </t>
    </r>
    <r>
      <rPr>
        <sz val="16"/>
        <rFont val="Times New Roman"/>
        <family val="1"/>
      </rPr>
      <t>đất ODT: 49,9m</t>
    </r>
    <r>
      <rPr>
        <vertAlign val="superscript"/>
        <sz val="16"/>
        <rFont val="Times New Roman"/>
        <family val="1"/>
      </rPr>
      <t xml:space="preserve">2,  </t>
    </r>
    <r>
      <rPr>
        <sz val="16"/>
        <rFont val="Times New Roman"/>
        <family val="1"/>
      </rPr>
      <t>Đất lúa: 614,5m</t>
    </r>
    <r>
      <rPr>
        <vertAlign val="superscript"/>
        <sz val="16"/>
        <rFont val="Times New Roman"/>
        <family val="1"/>
      </rPr>
      <t>2</t>
    </r>
  </si>
  <si>
    <r>
      <t>Tờ BĐ số 86, thửa 165, diện tích 664,4 m</t>
    </r>
    <r>
      <rPr>
        <vertAlign val="superscript"/>
        <sz val="16"/>
        <rFont val="Times New Roman"/>
        <family val="1"/>
      </rPr>
      <t xml:space="preserve">2, </t>
    </r>
    <r>
      <rPr>
        <sz val="16"/>
        <rFont val="Times New Roman"/>
        <family val="1"/>
      </rPr>
      <t>đất ODT: 100,0m</t>
    </r>
    <r>
      <rPr>
        <vertAlign val="superscript"/>
        <sz val="16"/>
        <rFont val="Times New Roman"/>
        <family val="1"/>
      </rPr>
      <t xml:space="preserve">2,  </t>
    </r>
    <r>
      <rPr>
        <sz val="16"/>
        <rFont val="Times New Roman"/>
        <family val="1"/>
      </rPr>
      <t>Đất lúa: 68,5m</t>
    </r>
    <r>
      <rPr>
        <vertAlign val="superscript"/>
        <sz val="16"/>
        <rFont val="Times New Roman"/>
        <family val="1"/>
      </rPr>
      <t>2</t>
    </r>
  </si>
  <si>
    <r>
      <t>Tờ BĐ số 86, thửa 314, diện tích 125,0 m</t>
    </r>
    <r>
      <rPr>
        <vertAlign val="superscript"/>
        <sz val="16"/>
        <rFont val="Times New Roman"/>
        <family val="1"/>
      </rPr>
      <t xml:space="preserve">2, </t>
    </r>
    <r>
      <rPr>
        <sz val="16"/>
        <rFont val="Times New Roman"/>
        <family val="1"/>
      </rPr>
      <t>đất ODT: 50,0m</t>
    </r>
    <r>
      <rPr>
        <vertAlign val="superscript"/>
        <sz val="16"/>
        <rFont val="Times New Roman"/>
        <family val="1"/>
      </rPr>
      <t xml:space="preserve">2,  </t>
    </r>
    <r>
      <rPr>
        <sz val="16"/>
        <rFont val="Times New Roman"/>
        <family val="1"/>
      </rPr>
      <t>Đất trồng lúa: 75,0m</t>
    </r>
    <r>
      <rPr>
        <vertAlign val="superscript"/>
        <sz val="16"/>
        <rFont val="Times New Roman"/>
        <family val="1"/>
      </rPr>
      <t>2</t>
    </r>
  </si>
  <si>
    <r>
      <t>Tờ BĐ số 86, thửa 167, diện tích 2890,2m</t>
    </r>
    <r>
      <rPr>
        <vertAlign val="superscript"/>
        <sz val="16"/>
        <rFont val="Times New Roman"/>
        <family val="1"/>
      </rPr>
      <t xml:space="preserve">2, </t>
    </r>
    <r>
      <rPr>
        <sz val="16"/>
        <rFont val="Times New Roman"/>
        <family val="1"/>
      </rPr>
      <t>đất ODT: 96,0m</t>
    </r>
    <r>
      <rPr>
        <vertAlign val="superscript"/>
        <sz val="16"/>
        <rFont val="Times New Roman"/>
        <family val="1"/>
      </rPr>
      <t xml:space="preserve">2,  </t>
    </r>
    <r>
      <rPr>
        <sz val="16"/>
        <rFont val="Times New Roman"/>
        <family val="1"/>
      </rPr>
      <t>Đất trồng cây lâu năm: 2794,2m</t>
    </r>
    <r>
      <rPr>
        <vertAlign val="superscript"/>
        <sz val="16"/>
        <rFont val="Times New Roman"/>
        <family val="1"/>
      </rPr>
      <t>2</t>
    </r>
  </si>
  <si>
    <r>
      <t>Tờ BĐ số 86, thửa 1512, diện tích 500,0m</t>
    </r>
    <r>
      <rPr>
        <vertAlign val="superscript"/>
        <sz val="16"/>
        <rFont val="Times New Roman"/>
        <family val="1"/>
      </rPr>
      <t>2</t>
    </r>
    <r>
      <rPr>
        <sz val="16"/>
        <rFont val="Times New Roman"/>
        <family val="1"/>
      </rPr>
      <t>, Đất trồng cây lâu năm</t>
    </r>
  </si>
  <si>
    <r>
      <t>Tờ BĐ số 86, thửa 711, diện tích 500,0m</t>
    </r>
    <r>
      <rPr>
        <vertAlign val="superscript"/>
        <sz val="16"/>
        <rFont val="Times New Roman"/>
        <family val="1"/>
      </rPr>
      <t>2</t>
    </r>
    <r>
      <rPr>
        <sz val="16"/>
        <rFont val="Times New Roman"/>
        <family val="1"/>
      </rPr>
      <t>, Đất trồng cây lâu năm</t>
    </r>
  </si>
  <si>
    <r>
      <t>Tờ BĐ số 86, thửa 317, diện tích 500,0m</t>
    </r>
    <r>
      <rPr>
        <vertAlign val="superscript"/>
        <sz val="16"/>
        <rFont val="Times New Roman"/>
        <family val="1"/>
      </rPr>
      <t>2</t>
    </r>
    <r>
      <rPr>
        <sz val="16"/>
        <rFont val="Times New Roman"/>
        <family val="1"/>
      </rPr>
      <t>, Đất trồng cây lâu năm</t>
    </r>
  </si>
  <si>
    <r>
      <t>Tờ BĐ số 86, thửa 276, diện tích 500,0m</t>
    </r>
    <r>
      <rPr>
        <vertAlign val="superscript"/>
        <sz val="16"/>
        <rFont val="Times New Roman"/>
        <family val="1"/>
      </rPr>
      <t>2</t>
    </r>
    <r>
      <rPr>
        <sz val="16"/>
        <rFont val="Times New Roman"/>
        <family val="1"/>
      </rPr>
      <t>, Đất trồng cây lâu năm</t>
    </r>
  </si>
  <si>
    <r>
      <t>Tờ BĐ số 86, thửa 228, diện tích 100,0m</t>
    </r>
    <r>
      <rPr>
        <vertAlign val="superscript"/>
        <sz val="16"/>
        <rFont val="Times New Roman"/>
        <family val="1"/>
      </rPr>
      <t>2</t>
    </r>
    <r>
      <rPr>
        <sz val="16"/>
        <rFont val="Times New Roman"/>
        <family val="1"/>
      </rPr>
      <t>, Đất lúa</t>
    </r>
  </si>
  <si>
    <r>
      <t>Tờ BĐ số 86, thửa 229, diện tích 100,0m</t>
    </r>
    <r>
      <rPr>
        <vertAlign val="superscript"/>
        <sz val="16"/>
        <rFont val="Times New Roman"/>
        <family val="1"/>
      </rPr>
      <t>2</t>
    </r>
    <r>
      <rPr>
        <sz val="16"/>
        <rFont val="Times New Roman"/>
        <family val="1"/>
      </rPr>
      <t>, Đất lúa</t>
    </r>
  </si>
  <si>
    <r>
      <t>Tờ BĐ số 86, thửa 229, diện tích 200,0m</t>
    </r>
    <r>
      <rPr>
        <vertAlign val="superscript"/>
        <sz val="16"/>
        <rFont val="Times New Roman"/>
        <family val="1"/>
      </rPr>
      <t>2</t>
    </r>
    <r>
      <rPr>
        <sz val="16"/>
        <rFont val="Times New Roman"/>
        <family val="1"/>
      </rPr>
      <t>, Đất lúa</t>
    </r>
  </si>
  <si>
    <r>
      <t>Tờ BĐ số 86, thửa 231, diện tích 100,0m</t>
    </r>
    <r>
      <rPr>
        <vertAlign val="superscript"/>
        <sz val="16"/>
        <rFont val="Times New Roman"/>
        <family val="1"/>
      </rPr>
      <t>2</t>
    </r>
    <r>
      <rPr>
        <sz val="16"/>
        <rFont val="Times New Roman"/>
        <family val="1"/>
      </rPr>
      <t>, Đất lúa</t>
    </r>
  </si>
  <si>
    <r>
      <t>Tờ BĐ số 86, thửa 217, diện tích 100,0m</t>
    </r>
    <r>
      <rPr>
        <vertAlign val="superscript"/>
        <sz val="16"/>
        <rFont val="Times New Roman"/>
        <family val="1"/>
      </rPr>
      <t>2</t>
    </r>
    <r>
      <rPr>
        <sz val="16"/>
        <rFont val="Times New Roman"/>
        <family val="1"/>
      </rPr>
      <t>, Đất lúa</t>
    </r>
  </si>
  <si>
    <r>
      <t>Tờ BĐ số 86, thửa 216, diện tích 100,0m</t>
    </r>
    <r>
      <rPr>
        <vertAlign val="superscript"/>
        <sz val="16"/>
        <rFont val="Times New Roman"/>
        <family val="1"/>
      </rPr>
      <t>2</t>
    </r>
    <r>
      <rPr>
        <sz val="16"/>
        <rFont val="Times New Roman"/>
        <family val="1"/>
      </rPr>
      <t>, Đất lúa</t>
    </r>
  </si>
  <si>
    <r>
      <t>Tờ BĐ số 86, thửa 215, diện tích 100,0m</t>
    </r>
    <r>
      <rPr>
        <vertAlign val="superscript"/>
        <sz val="16"/>
        <rFont val="Times New Roman"/>
        <family val="1"/>
      </rPr>
      <t>2</t>
    </r>
    <r>
      <rPr>
        <sz val="16"/>
        <rFont val="Times New Roman"/>
        <family val="1"/>
      </rPr>
      <t>, Đất lúa</t>
    </r>
  </si>
  <si>
    <r>
      <t>Tờ BĐ số 86, thửa 213, diện tích 100,0m</t>
    </r>
    <r>
      <rPr>
        <vertAlign val="superscript"/>
        <sz val="16"/>
        <rFont val="Times New Roman"/>
        <family val="1"/>
      </rPr>
      <t>2</t>
    </r>
    <r>
      <rPr>
        <sz val="16"/>
        <rFont val="Times New Roman"/>
        <family val="1"/>
      </rPr>
      <t>, Đất lúa</t>
    </r>
  </si>
  <si>
    <r>
      <t>Tờ BĐ số 86, thửa 166, diện tích 1199,60m</t>
    </r>
    <r>
      <rPr>
        <vertAlign val="superscript"/>
        <sz val="16"/>
        <rFont val="Times New Roman"/>
        <family val="1"/>
      </rPr>
      <t>2</t>
    </r>
    <r>
      <rPr>
        <sz val="16"/>
        <rFont val="Times New Roman"/>
        <family val="1"/>
      </rPr>
      <t>, Đất lúa</t>
    </r>
  </si>
  <si>
    <r>
      <t>Có GCN số BL 675060                        do Sở tài nguyên Môi trường cấp ngày 14/8/2012, Tờ BĐ số 86, thửa 30+31, diện tích 2873,5m2, Đất trồng cây lâu năm. GCN do Nguyễn Minh Hữu đứng tên. Hiện trạng ngày 10/12/2014 Ông Nguyễn Minh Hữu và vợ bà Mai Thị Thơ cho tặng con Hồ Thanh Sơn phần diện tích đất 90m</t>
    </r>
    <r>
      <rPr>
        <vertAlign val="superscript"/>
        <sz val="16"/>
        <rFont val="Times New Roman"/>
        <family val="1"/>
      </rPr>
      <t xml:space="preserve">2 </t>
    </r>
    <r>
      <rPr>
        <sz val="16"/>
        <rFont val="Times New Roman"/>
        <family val="1"/>
      </rPr>
      <t>đất trồng cây lâu năm, cho tặng giấy tay.</t>
    </r>
  </si>
  <si>
    <r>
      <t>Trong GCN số BL 675060                        do Sở tài nguyên Môi trường cấp ngày 14/8/2012. Tờ BĐ số 86, thửa 30+31, diện tích 2873,5m2, Đất trồng cây lâu năm. GCN do Nguyễn Minh Hữu đứng tên. Hiện trạng ngày 10/12/2014 Ông Nguyễn Minh Hữu và vợ bà Mai Thị Thơ cho tặng cháu bà Hồ Thị Thúy Vân phần diện tích đất 113,0m</t>
    </r>
    <r>
      <rPr>
        <vertAlign val="superscript"/>
        <sz val="16"/>
        <rFont val="Times New Roman"/>
        <family val="1"/>
      </rPr>
      <t xml:space="preserve">2 </t>
    </r>
    <r>
      <rPr>
        <sz val="16"/>
        <rFont val="Times New Roman"/>
        <family val="1"/>
      </rPr>
      <t>đất trồng cây lâu năm, cho tặng giấy tay.</t>
    </r>
  </si>
  <si>
    <t>BẢNG TỔNG HỢP BỒI THƯỜNG, HỖ TRỢ, TÁI ĐỊNH CƯ KHI NHÀ NƯỚC THU HỒI ĐẤT ĐỂ THỰC HIỆN DỰ ÁN: KHU TÁI ĐỊNH CƯ NAM AN HÒA (GIAI ĐOẠN 3)</t>
  </si>
  <si>
    <t>ĐỊA ĐIỂM:  KHU PHỐ 2  AN HÒA VÀ KHU PHỐ 5 AN HÒA, PHƯỜNG RẠCH GIÁ, TỈNH AN GIANG</t>
  </si>
  <si>
    <t>PA</t>
  </si>
  <si>
    <t xml:space="preserve">Các cơ sở pháp lý </t>
  </si>
  <si>
    <t>Căn cứ cơ sở pháp lý</t>
  </si>
  <si>
    <t>Các thông tin được địa phương xác nhận về nguồn gốc đất, nhà vật kiến trúc trên đất</t>
  </si>
  <si>
    <t>Đất trồng cây hàng năm - VT1 (hẻm nội bộ)</t>
  </si>
  <si>
    <t>Đất trồng cây hàng năm (GCN)  - VT1 (hẻm nội bộ) - CĐN</t>
  </si>
  <si>
    <t>Đất trồng cây hàng năm (GCN) - VT1 - (hẻm nội bộ 2m) - CĐN</t>
  </si>
  <si>
    <t>Đất trồng cây hàng năm (GCN) - VT1 - CĐN (hẻm nội bộ 2m)</t>
  </si>
  <si>
    <t>Đất trồng cây hàng năm (GCN) - VT1 (giáp hẻm nội bộ 3,0m) - CĐN</t>
  </si>
  <si>
    <t>Đất trồng cây hàng năm (GCN) - VT1 (giáp hẻm nội bộ 3,0m) - trừ VKT</t>
  </si>
  <si>
    <t>Đất trồng cây hàng năm (GCN) - VT1 (giáp kênh bề rộng 3 mét)</t>
  </si>
  <si>
    <t>Đất trồng cây hàng năm (GCN) - VT1 (giáp kênh bề rộng 3 mét)  - CĐN</t>
  </si>
  <si>
    <t>Đất trồng cây hàng năm (GCN) - VT1 (giáp kênh bề rộng 3 mét) - CĐN</t>
  </si>
  <si>
    <t>Đất trồng cây hàng năm (GCN) - VT1 -(giáp kênh bề rộng 3 mét) - trừ VKT</t>
  </si>
  <si>
    <t>Đất trồng cây hàng năm (GCN) - VT1 (hẻm nội bộ 2m) - CĐN</t>
  </si>
  <si>
    <t>Đất trồng cây hàng năm (GCN) - VT1 (hẻm nội bộ 2m)</t>
  </si>
  <si>
    <t>Đất trồng cây hàng năm (GCN) - VT1 (hẻm bê tông) - CĐN</t>
  </si>
  <si>
    <t>Đất trồng cây hàng năm (GCN) - VT1 (hẻm nội bộ) - trừ VKT</t>
  </si>
  <si>
    <t>Đất trồng cây hàng năm (GCN) - VT1 giáp hẻm 986 (ngăn cách mương)</t>
  </si>
  <si>
    <t>Đất trồng cây hàng năm (GCN) - VT1 giáp hẻm 986 (ngăn cách mương) - CĐN</t>
  </si>
  <si>
    <t>Đất trồng cây hàng năm (GCN) - VT1 giáp hẻm 986 (ngăn cách mương) - CĐN 02 nhân khẩu</t>
  </si>
  <si>
    <t>Đất trồng cây hàng năm (GCN) - VT1 giáp hẻm 986 (ngăn cách mương) - CĐN 03 nhân khẩu</t>
  </si>
  <si>
    <t>Đất trồng cây hàng năm (GCN) - VT1 giáp hẻm 986 (ngăn cách mương) - trừ VKT</t>
  </si>
  <si>
    <t>Đất trồng cây hàng năm (GCN) -VT1 - (giáp kênh bề rộng 3 mét)</t>
  </si>
  <si>
    <t>Đất trồng cây hàng năm (ngoài GCN) - VT1 giáp hẻm 986 (ngăn cách mương)</t>
  </si>
  <si>
    <t>Đất trồng cây hàng năm (ngoài GCN) - VT1 giáp hẻm 986 (ngăn cách mương) - trừ VKT</t>
  </si>
  <si>
    <t>Đất trồng cây hàng năm-Ngoài GCN (BĐĐC) - VT1 (giáp kênh bề rộng 3 mét) - CĐN</t>
  </si>
  <si>
    <t>Đất trồng cây hàng năm-Ngoài GCN (bờ kênh) - VT1 (giáp kênh bề rộng 3 mét)  - CĐN</t>
  </si>
  <si>
    <t>Đất trồng cây lâu năm - VT1 giáp hẻm 986 (ngăn cách mương) - trừ VKT</t>
  </si>
  <si>
    <t>Đất trồng cây lâu năm (BK ngoài GCN) - VT1 (giáp kênh bề rộng 3 mét) - CĐN</t>
  </si>
  <si>
    <t>Đất trồng cây lâu năm (GCN)  - VT1 (hẻm nội bộ) (hẻm nội bộ) - CĐN</t>
  </si>
  <si>
    <t>Đất trồng cây lâu năm (GCN)  - VT1 (hẻm nội bộ) - trừ VKT</t>
  </si>
  <si>
    <t>Đất trồng cây lâu năm (GCN) - VT1 (giáp kênh bề rộng 3 mét)</t>
  </si>
  <si>
    <t>Đất trồng cây lâu năm (GCN) - VT1 (giáp kênh bề rộng 3 mét)  - CĐN</t>
  </si>
  <si>
    <t>Đất trồng cây lâu năm (GCN) - VT1 (giáp kênh bề rộng 3 mét) - CĐN</t>
  </si>
  <si>
    <t>Đất trồng cây lâu năm (GCN) - VT1 (giáp kênh bề rộng 3 mét) - trừ VKT</t>
  </si>
  <si>
    <t>Đất trồng cây lâu năm (GCN) - VT1 (giáp kênh bề rộng 3 mét)-CĐN</t>
  </si>
  <si>
    <t>Đất trồng cây lâu năm (GCN) - VT1 (hẻm nội bộ) - trừ VKT</t>
  </si>
  <si>
    <t>Đất trồng cây lâu năm (GCN) - VT1 (hẻm nội bộ)- trừ VKT</t>
  </si>
  <si>
    <t>Đất trồng cây lâu năm (GCN) - VT1 giáp hẻm 1065 (ngăn cách mương)</t>
  </si>
  <si>
    <t>Đất trồng cây lâu năm (GCN) - VT1 giáp hẻm 1065 (ngăn cách mương) - CĐN</t>
  </si>
  <si>
    <t>Đất trồng cây lâu năm (GCN) - VT1 giáp hẻm 1065 (ngăn cách mương) - CĐN 01 nhân khẩu</t>
  </si>
  <si>
    <t>Đất trồng cây lâu năm (GCN) - VT1 giáp hẻm 1065 (ngăn cách mương) - trừ VKT</t>
  </si>
  <si>
    <t>Đất trồng cây lâu năm (GCN) - VT1 giáp hẻm 986 (ngăn cách mương) - trừ VKT</t>
  </si>
  <si>
    <t>Đất trồng cây lâu năm (GCN) - VT1 giáp hẻm 986 (ngăn cách mương) - CĐN</t>
  </si>
  <si>
    <t>Đất trồng cây lâu năm (GCN) - VT1 giáp hẻm 986 (ngăn cách mương)</t>
  </si>
  <si>
    <t>Đất trồng cây lâu năm (Ngoài GCN) - VT1 giáp hẻm 1065 (ngăn cách mương) - CĐN</t>
  </si>
  <si>
    <t/>
  </si>
  <si>
    <t>Diện tích CĐN</t>
  </si>
  <si>
    <t>Địa chỉ thửa đất</t>
  </si>
  <si>
    <t>khu phố An Hoà 5, phường Rạch Giá, tỉnh An Giang</t>
  </si>
  <si>
    <t>khu phố An Hoà 2, phường Rạch Giá, tỉnh An Giang</t>
  </si>
  <si>
    <t>DVT</t>
  </si>
  <si>
    <t>Đất ở đô thị (GCN) - VT4 - đường N.T.Trực (đoạn Đ.Đa-cầu An Hoà)</t>
  </si>
  <si>
    <t>Số 26 Phạm Ngọc Thạch, phường Rạch Giá, tỉnh An Giang</t>
  </si>
  <si>
    <t>An Giang, ngày 21 tháng 8 năm 2026</t>
  </si>
  <si>
    <t>ĐƠN VỊ, TỔ CHỨC THỰC HIỆN NHIỆM VỤ BỒI THƯỜNG, HỖ TRỢ, TÁI ĐỊNH CƯ</t>
  </si>
  <si>
    <t>NGƯỜI LẬP PHƯƠNG ÁN</t>
  </si>
  <si>
    <r>
      <t>DT (m</t>
    </r>
    <r>
      <rPr>
        <b/>
        <vertAlign val="superscript"/>
        <sz val="17"/>
        <rFont val="Times New Roman"/>
        <family val="1"/>
      </rPr>
      <t>2</t>
    </r>
    <r>
      <rPr>
        <b/>
        <sz val="17"/>
        <rFont val="Times New Roman"/>
        <family val="1"/>
      </rPr>
      <t>)</t>
    </r>
  </si>
  <si>
    <r>
      <t>m</t>
    </r>
    <r>
      <rPr>
        <vertAlign val="superscript"/>
        <sz val="17"/>
        <rFont val="Times New Roman"/>
        <family val="1"/>
      </rPr>
      <t>2</t>
    </r>
  </si>
  <si>
    <r>
      <t>08/4/2002. Tờ BĐ số 86, thửa 203, diện tích 937,70 m</t>
    </r>
    <r>
      <rPr>
        <vertAlign val="superscript"/>
        <sz val="17"/>
        <rFont val="Times New Roman"/>
        <family val="1"/>
      </rPr>
      <t>2</t>
    </r>
    <r>
      <rPr>
        <sz val="17"/>
        <rFont val="Times New Roman"/>
        <family val="1"/>
      </rPr>
      <t xml:space="preserve"> đất trồng lúa. </t>
    </r>
  </si>
  <si>
    <r>
      <t>Phần diện tích 2,1m</t>
    </r>
    <r>
      <rPr>
        <vertAlign val="superscript"/>
        <sz val="17"/>
        <rFont val="Times New Roman"/>
        <family val="1"/>
      </rPr>
      <t>2</t>
    </r>
    <r>
      <rPr>
        <sz val="17"/>
        <rFont val="Times New Roman"/>
        <family val="1"/>
      </rPr>
      <t xml:space="preserve"> nằm ngoài GCN, có cùng nguồn gốc và thời điểm sử dụng theo GCN số vào sổ 685/2002 QSDĐ/AH do UBND thành phố Rạch Giá cấp ngày 08/4/2002</t>
    </r>
  </si>
  <si>
    <r>
      <t>Tờ BĐ số 86, thửa 280, diện tích 377,7 m</t>
    </r>
    <r>
      <rPr>
        <vertAlign val="superscript"/>
        <sz val="17"/>
        <rFont val="Times New Roman"/>
        <family val="1"/>
      </rPr>
      <t>2</t>
    </r>
    <r>
      <rPr>
        <sz val="17"/>
        <rFont val="Times New Roman"/>
        <family val="1"/>
      </rPr>
      <t xml:space="preserve"> đất trồng lúa. </t>
    </r>
  </si>
  <si>
    <r>
      <t>Tờ BĐ số 86, thửa 248, diện tích 1.459,6 m</t>
    </r>
    <r>
      <rPr>
        <vertAlign val="superscript"/>
        <sz val="17"/>
        <rFont val="Times New Roman"/>
        <family val="1"/>
      </rPr>
      <t>2</t>
    </r>
    <r>
      <rPr>
        <sz val="17"/>
        <rFont val="Times New Roman"/>
        <family val="1"/>
      </rPr>
      <t xml:space="preserve"> đất trồng lúa. </t>
    </r>
  </si>
  <si>
    <r>
      <t>Lá dừa nước (m</t>
    </r>
    <r>
      <rPr>
        <vertAlign val="superscript"/>
        <sz val="17"/>
        <rFont val="Times New Roman"/>
        <family val="1"/>
      </rPr>
      <t>2</t>
    </r>
    <r>
      <rPr>
        <sz val="17"/>
        <rFont val="Times New Roman"/>
        <family val="1"/>
      </rPr>
      <t>)</t>
    </r>
  </si>
  <si>
    <r>
      <t>Sả A (m</t>
    </r>
    <r>
      <rPr>
        <vertAlign val="superscript"/>
        <sz val="17"/>
        <rFont val="Times New Roman"/>
        <family val="1"/>
      </rPr>
      <t>2</t>
    </r>
    <r>
      <rPr>
        <sz val="17"/>
        <rFont val="Times New Roman"/>
        <family val="1"/>
      </rPr>
      <t>)</t>
    </r>
  </si>
  <si>
    <r>
      <t>Tờ BĐ số 86, thửa 332, diện tích 2.046,5 m</t>
    </r>
    <r>
      <rPr>
        <vertAlign val="superscript"/>
        <sz val="17"/>
        <rFont val="Times New Roman"/>
        <family val="1"/>
      </rPr>
      <t>2</t>
    </r>
    <r>
      <rPr>
        <sz val="17"/>
        <rFont val="Times New Roman"/>
        <family val="1"/>
      </rPr>
      <t xml:space="preserve"> đất trồng lúa. </t>
    </r>
  </si>
  <si>
    <r>
      <t>Tờ BĐ số 86, thửa 32, diện tích 1.919,90 m</t>
    </r>
    <r>
      <rPr>
        <vertAlign val="superscript"/>
        <sz val="17"/>
        <rFont val="Times New Roman"/>
        <family val="1"/>
      </rPr>
      <t>2</t>
    </r>
    <r>
      <rPr>
        <sz val="17"/>
        <rFont val="Times New Roman"/>
        <family val="1"/>
      </rPr>
      <t xml:space="preserve"> đất trồng lúa. </t>
    </r>
  </si>
  <si>
    <r>
      <t>Tờ BĐ số 86, thửa 33, diện tích 2.234,7 m</t>
    </r>
    <r>
      <rPr>
        <vertAlign val="superscript"/>
        <sz val="17"/>
        <rFont val="Times New Roman"/>
        <family val="1"/>
      </rPr>
      <t>2</t>
    </r>
    <r>
      <rPr>
        <sz val="17"/>
        <rFont val="Times New Roman"/>
        <family val="1"/>
      </rPr>
      <t xml:space="preserve"> đất trồng lúa. </t>
    </r>
  </si>
  <si>
    <r>
      <t>Tờ BĐ số 86, thửa 277, diện tích 536 m</t>
    </r>
    <r>
      <rPr>
        <vertAlign val="superscript"/>
        <sz val="17"/>
        <rFont val="Times New Roman"/>
        <family val="1"/>
      </rPr>
      <t>2</t>
    </r>
    <r>
      <rPr>
        <sz val="17"/>
        <rFont val="Times New Roman"/>
        <family val="1"/>
      </rPr>
      <t xml:space="preserve"> đất trồng cây lâu năm. </t>
    </r>
  </si>
  <si>
    <r>
      <t>Tờ BĐ số 86, thửa 44, diện tích 1.600 m</t>
    </r>
    <r>
      <rPr>
        <vertAlign val="superscript"/>
        <sz val="17"/>
        <rFont val="Times New Roman"/>
        <family val="1"/>
      </rPr>
      <t xml:space="preserve">2 </t>
    </r>
    <r>
      <rPr>
        <sz val="17"/>
        <rFont val="Times New Roman"/>
        <family val="1"/>
      </rPr>
      <t xml:space="preserve">đất trồng cây lâu năm. </t>
    </r>
  </si>
  <si>
    <r>
      <t>Tờ BĐ số 86, thửa 194, diện tích 839,40 m</t>
    </r>
    <r>
      <rPr>
        <vertAlign val="superscript"/>
        <sz val="17"/>
        <rFont val="Times New Roman"/>
        <family val="1"/>
      </rPr>
      <t xml:space="preserve">2 </t>
    </r>
    <r>
      <rPr>
        <sz val="17"/>
        <rFont val="Times New Roman"/>
        <family val="1"/>
      </rPr>
      <t xml:space="preserve">đất trồng lúa. </t>
    </r>
  </si>
  <si>
    <r>
      <t>Tờ BĐ số 86, thửa 195, diện tích 419,80 m</t>
    </r>
    <r>
      <rPr>
        <vertAlign val="superscript"/>
        <sz val="17"/>
        <rFont val="Times New Roman"/>
        <family val="1"/>
      </rPr>
      <t xml:space="preserve">2 </t>
    </r>
    <r>
      <rPr>
        <sz val="17"/>
        <rFont val="Times New Roman"/>
        <family val="1"/>
      </rPr>
      <t xml:space="preserve">đất trồng lúa. </t>
    </r>
  </si>
  <si>
    <r>
      <t>Tờ BĐ số 86, thửa 203, diện tích 419,80 m</t>
    </r>
    <r>
      <rPr>
        <vertAlign val="superscript"/>
        <sz val="17"/>
        <rFont val="Times New Roman"/>
        <family val="1"/>
      </rPr>
      <t xml:space="preserve">2 </t>
    </r>
    <r>
      <rPr>
        <sz val="17"/>
        <rFont val="Times New Roman"/>
        <family val="1"/>
      </rPr>
      <t xml:space="preserve">đất trồng lúa. </t>
    </r>
  </si>
  <si>
    <r>
      <t>Tờ BĐ số 86, thửa 226, diện tích 425,05 m</t>
    </r>
    <r>
      <rPr>
        <vertAlign val="superscript"/>
        <sz val="17"/>
        <rFont val="Times New Roman"/>
        <family val="1"/>
      </rPr>
      <t xml:space="preserve">2 </t>
    </r>
    <r>
      <rPr>
        <sz val="17"/>
        <rFont val="Times New Roman"/>
        <family val="1"/>
      </rPr>
      <t xml:space="preserve">đất trồng lúa. </t>
    </r>
  </si>
  <si>
    <r>
      <t>Tờ BĐ số 86, thửa 208, diện tích 771,30 m</t>
    </r>
    <r>
      <rPr>
        <vertAlign val="superscript"/>
        <sz val="17"/>
        <rFont val="Times New Roman"/>
        <family val="1"/>
      </rPr>
      <t xml:space="preserve">2 </t>
    </r>
    <r>
      <rPr>
        <sz val="17"/>
        <rFont val="Times New Roman"/>
        <family val="1"/>
      </rPr>
      <t xml:space="preserve">đất trồng lúa. </t>
    </r>
  </si>
  <si>
    <r>
      <t>Tờ BĐ số 86, thửa 45, diện tích 1.762,50 m</t>
    </r>
    <r>
      <rPr>
        <vertAlign val="superscript"/>
        <sz val="17"/>
        <rFont val="Times New Roman"/>
        <family val="1"/>
      </rPr>
      <t xml:space="preserve">2 </t>
    </r>
    <r>
      <rPr>
        <sz val="17"/>
        <rFont val="Times New Roman"/>
        <family val="1"/>
      </rPr>
      <t xml:space="preserve">đất trồng lúa. </t>
    </r>
  </si>
  <si>
    <r>
      <t>Tờ BĐ số 86, thửa 61, diện tích 988,30 m</t>
    </r>
    <r>
      <rPr>
        <vertAlign val="superscript"/>
        <sz val="17"/>
        <rFont val="Times New Roman"/>
        <family val="1"/>
      </rPr>
      <t xml:space="preserve">2 </t>
    </r>
    <r>
      <rPr>
        <sz val="17"/>
        <rFont val="Times New Roman"/>
        <family val="1"/>
      </rPr>
      <t xml:space="preserve">đất trồng cây hàng năm khác. </t>
    </r>
  </si>
  <si>
    <r>
      <t>m</t>
    </r>
    <r>
      <rPr>
        <vertAlign val="superscript"/>
        <sz val="17"/>
        <rFont val="Times New Roman"/>
        <family val="1"/>
      </rPr>
      <t>3</t>
    </r>
  </si>
  <si>
    <r>
      <t>Mía A (m</t>
    </r>
    <r>
      <rPr>
        <vertAlign val="superscript"/>
        <sz val="17"/>
        <rFont val="Times New Roman"/>
        <family val="1"/>
      </rPr>
      <t>2</t>
    </r>
    <r>
      <rPr>
        <sz val="17"/>
        <rFont val="Times New Roman"/>
        <family val="1"/>
      </rPr>
      <t>)</t>
    </r>
  </si>
  <si>
    <r>
      <t>Ao cá (461,4m</t>
    </r>
    <r>
      <rPr>
        <vertAlign val="superscript"/>
        <sz val="17"/>
        <rFont val="Times New Roman"/>
        <family val="1"/>
      </rPr>
      <t>2</t>
    </r>
    <r>
      <rPr>
        <sz val="17"/>
        <rFont val="Times New Roman"/>
        <family val="1"/>
      </rPr>
      <t xml:space="preserve"> x 2,0 m) (hỗ trợ 80%) </t>
    </r>
  </si>
  <si>
    <r>
      <t>Tờ BĐ số 86, thửa 233, diện tích 2.577,30 m</t>
    </r>
    <r>
      <rPr>
        <vertAlign val="superscript"/>
        <sz val="17"/>
        <rFont val="Times New Roman"/>
        <family val="1"/>
      </rPr>
      <t xml:space="preserve">2 </t>
    </r>
    <r>
      <rPr>
        <sz val="17"/>
        <rFont val="Times New Roman"/>
        <family val="1"/>
      </rPr>
      <t>đất trồng cây lâu năm</t>
    </r>
  </si>
  <si>
    <r>
      <t>m</t>
    </r>
    <r>
      <rPr>
        <vertAlign val="superscript"/>
        <sz val="17"/>
        <rFont val="Times New Roman"/>
        <family val="1"/>
      </rPr>
      <t>3</t>
    </r>
    <r>
      <rPr>
        <sz val="11"/>
        <color theme="1"/>
        <rFont val="Calibri"/>
        <family val="2"/>
        <scheme val="minor"/>
      </rPr>
      <t/>
    </r>
  </si>
  <si>
    <r>
      <t>m</t>
    </r>
    <r>
      <rPr>
        <vertAlign val="superscript"/>
        <sz val="17"/>
        <rFont val="Times New Roman"/>
        <family val="1"/>
      </rPr>
      <t>4</t>
    </r>
    <r>
      <rPr>
        <sz val="11"/>
        <color theme="1"/>
        <rFont val="Calibri"/>
        <family val="2"/>
        <scheme val="minor"/>
      </rPr>
      <t/>
    </r>
  </si>
  <si>
    <r>
      <t>Tờ BĐ số      , thửa     , diện tích 44.971,1m</t>
    </r>
    <r>
      <rPr>
        <vertAlign val="superscript"/>
        <sz val="17"/>
        <rFont val="Times New Roman"/>
        <family val="1"/>
      </rPr>
      <t xml:space="preserve">2 </t>
    </r>
    <r>
      <rPr>
        <sz val="17"/>
        <rFont val="Times New Roman"/>
        <family val="1"/>
      </rPr>
      <t>đất cơ sở giáo dục - đào tạo (xây dựng trường dạy nghề)</t>
    </r>
  </si>
  <si>
    <r>
      <t>Tờ BĐ số 86, thửa 59, diện tích 445,90 m</t>
    </r>
    <r>
      <rPr>
        <vertAlign val="superscript"/>
        <sz val="17"/>
        <rFont val="Times New Roman"/>
        <family val="1"/>
      </rPr>
      <t xml:space="preserve">2, </t>
    </r>
    <r>
      <rPr>
        <sz val="17"/>
        <rFont val="Times New Roman"/>
        <family val="1"/>
      </rPr>
      <t>đất ODT: 150,0m</t>
    </r>
    <r>
      <rPr>
        <vertAlign val="superscript"/>
        <sz val="17"/>
        <rFont val="Times New Roman"/>
        <family val="1"/>
      </rPr>
      <t xml:space="preserve">2,  </t>
    </r>
    <r>
      <rPr>
        <sz val="17"/>
        <rFont val="Times New Roman"/>
        <family val="1"/>
      </rPr>
      <t>đất chuyên trồng lúa nước: 295,9m</t>
    </r>
    <r>
      <rPr>
        <vertAlign val="superscript"/>
        <sz val="17"/>
        <rFont val="Times New Roman"/>
        <family val="1"/>
      </rPr>
      <t>2</t>
    </r>
  </si>
  <si>
    <r>
      <t>Tờ BĐ số 86, thửa 154, diện tích 664,4 m</t>
    </r>
    <r>
      <rPr>
        <vertAlign val="superscript"/>
        <sz val="17"/>
        <rFont val="Times New Roman"/>
        <family val="1"/>
      </rPr>
      <t xml:space="preserve">2, </t>
    </r>
    <r>
      <rPr>
        <sz val="17"/>
        <rFont val="Times New Roman"/>
        <family val="1"/>
      </rPr>
      <t>đất ODT: 49,9m</t>
    </r>
    <r>
      <rPr>
        <vertAlign val="superscript"/>
        <sz val="17"/>
        <rFont val="Times New Roman"/>
        <family val="1"/>
      </rPr>
      <t xml:space="preserve">2,  </t>
    </r>
    <r>
      <rPr>
        <sz val="17"/>
        <rFont val="Times New Roman"/>
        <family val="1"/>
      </rPr>
      <t>Đất lúa: 614,5m</t>
    </r>
    <r>
      <rPr>
        <vertAlign val="superscript"/>
        <sz val="17"/>
        <rFont val="Times New Roman"/>
        <family val="1"/>
      </rPr>
      <t>2</t>
    </r>
  </si>
  <si>
    <r>
      <t>Tờ BĐ số 86, thửa 165, diện tích 664,4 m</t>
    </r>
    <r>
      <rPr>
        <vertAlign val="superscript"/>
        <sz val="17"/>
        <rFont val="Times New Roman"/>
        <family val="1"/>
      </rPr>
      <t xml:space="preserve">2, </t>
    </r>
    <r>
      <rPr>
        <sz val="17"/>
        <rFont val="Times New Roman"/>
        <family val="1"/>
      </rPr>
      <t>đất ODT: 100,0m</t>
    </r>
    <r>
      <rPr>
        <vertAlign val="superscript"/>
        <sz val="17"/>
        <rFont val="Times New Roman"/>
        <family val="1"/>
      </rPr>
      <t xml:space="preserve">2,  </t>
    </r>
    <r>
      <rPr>
        <sz val="17"/>
        <rFont val="Times New Roman"/>
        <family val="1"/>
      </rPr>
      <t>Đất lúa: 68,5m</t>
    </r>
    <r>
      <rPr>
        <vertAlign val="superscript"/>
        <sz val="17"/>
        <rFont val="Times New Roman"/>
        <family val="1"/>
      </rPr>
      <t>2</t>
    </r>
  </si>
  <si>
    <r>
      <t>Tờ BĐ số 86, thửa 314, diện tích 125,0 m</t>
    </r>
    <r>
      <rPr>
        <vertAlign val="superscript"/>
        <sz val="17"/>
        <rFont val="Times New Roman"/>
        <family val="1"/>
      </rPr>
      <t xml:space="preserve">2, </t>
    </r>
    <r>
      <rPr>
        <sz val="17"/>
        <rFont val="Times New Roman"/>
        <family val="1"/>
      </rPr>
      <t>đất ODT: 50,0m</t>
    </r>
    <r>
      <rPr>
        <vertAlign val="superscript"/>
        <sz val="17"/>
        <rFont val="Times New Roman"/>
        <family val="1"/>
      </rPr>
      <t xml:space="preserve">2,  </t>
    </r>
    <r>
      <rPr>
        <sz val="17"/>
        <rFont val="Times New Roman"/>
        <family val="1"/>
      </rPr>
      <t>Đất trồng lúa: 75,0m</t>
    </r>
    <r>
      <rPr>
        <vertAlign val="superscript"/>
        <sz val="17"/>
        <rFont val="Times New Roman"/>
        <family val="1"/>
      </rPr>
      <t>2</t>
    </r>
  </si>
  <si>
    <r>
      <t>Tờ BĐ số 86, thửa 167, diện tích 2890,2m</t>
    </r>
    <r>
      <rPr>
        <vertAlign val="superscript"/>
        <sz val="17"/>
        <rFont val="Times New Roman"/>
        <family val="1"/>
      </rPr>
      <t xml:space="preserve">2, </t>
    </r>
    <r>
      <rPr>
        <sz val="17"/>
        <rFont val="Times New Roman"/>
        <family val="1"/>
      </rPr>
      <t>đất ODT: 96,0m</t>
    </r>
    <r>
      <rPr>
        <vertAlign val="superscript"/>
        <sz val="17"/>
        <rFont val="Times New Roman"/>
        <family val="1"/>
      </rPr>
      <t xml:space="preserve">2,  </t>
    </r>
    <r>
      <rPr>
        <sz val="17"/>
        <rFont val="Times New Roman"/>
        <family val="1"/>
      </rPr>
      <t>Đất trồng cây lâu năm: 2794,2m</t>
    </r>
    <r>
      <rPr>
        <vertAlign val="superscript"/>
        <sz val="17"/>
        <rFont val="Times New Roman"/>
        <family val="1"/>
      </rPr>
      <t>2</t>
    </r>
  </si>
  <si>
    <r>
      <t>Tờ BĐ số 86, thửa 1512, diện tích 500,0m</t>
    </r>
    <r>
      <rPr>
        <vertAlign val="superscript"/>
        <sz val="17"/>
        <rFont val="Times New Roman"/>
        <family val="1"/>
      </rPr>
      <t>2</t>
    </r>
    <r>
      <rPr>
        <sz val="17"/>
        <rFont val="Times New Roman"/>
        <family val="1"/>
      </rPr>
      <t>, Đất trồng cây lâu năm</t>
    </r>
  </si>
  <si>
    <r>
      <t>Tờ BĐ số 86, thửa 711, diện tích 500,0m</t>
    </r>
    <r>
      <rPr>
        <vertAlign val="superscript"/>
        <sz val="17"/>
        <rFont val="Times New Roman"/>
        <family val="1"/>
      </rPr>
      <t>2</t>
    </r>
    <r>
      <rPr>
        <sz val="17"/>
        <rFont val="Times New Roman"/>
        <family val="1"/>
      </rPr>
      <t>, Đất trồng cây lâu năm</t>
    </r>
  </si>
  <si>
    <r>
      <t>Tờ BĐ số 86, thửa 317, diện tích 500,0m</t>
    </r>
    <r>
      <rPr>
        <vertAlign val="superscript"/>
        <sz val="17"/>
        <rFont val="Times New Roman"/>
        <family val="1"/>
      </rPr>
      <t>2</t>
    </r>
    <r>
      <rPr>
        <sz val="17"/>
        <rFont val="Times New Roman"/>
        <family val="1"/>
      </rPr>
      <t>, Đất trồng cây lâu năm</t>
    </r>
  </si>
  <si>
    <r>
      <t>Tờ BĐ số 86, thửa 276, diện tích 500,0m</t>
    </r>
    <r>
      <rPr>
        <vertAlign val="superscript"/>
        <sz val="17"/>
        <rFont val="Times New Roman"/>
        <family val="1"/>
      </rPr>
      <t>2</t>
    </r>
    <r>
      <rPr>
        <sz val="17"/>
        <rFont val="Times New Roman"/>
        <family val="1"/>
      </rPr>
      <t>, Đất trồng cây lâu năm</t>
    </r>
  </si>
  <si>
    <r>
      <t>Tờ BĐ số 86, thửa 228, diện tích 100,0m</t>
    </r>
    <r>
      <rPr>
        <vertAlign val="superscript"/>
        <sz val="17"/>
        <rFont val="Times New Roman"/>
        <family val="1"/>
      </rPr>
      <t>2</t>
    </r>
    <r>
      <rPr>
        <sz val="17"/>
        <rFont val="Times New Roman"/>
        <family val="1"/>
      </rPr>
      <t>, Đất lúa</t>
    </r>
  </si>
  <si>
    <r>
      <t>Tờ BĐ số 86, thửa 229, diện tích 100,0m</t>
    </r>
    <r>
      <rPr>
        <vertAlign val="superscript"/>
        <sz val="17"/>
        <rFont val="Times New Roman"/>
        <family val="1"/>
      </rPr>
      <t>2</t>
    </r>
    <r>
      <rPr>
        <sz val="17"/>
        <rFont val="Times New Roman"/>
        <family val="1"/>
      </rPr>
      <t>, Đất lúa</t>
    </r>
  </si>
  <si>
    <r>
      <t>Tờ BĐ số 86, thửa 229, diện tích 200,0m</t>
    </r>
    <r>
      <rPr>
        <vertAlign val="superscript"/>
        <sz val="17"/>
        <rFont val="Times New Roman"/>
        <family val="1"/>
      </rPr>
      <t>2</t>
    </r>
    <r>
      <rPr>
        <sz val="17"/>
        <rFont val="Times New Roman"/>
        <family val="1"/>
      </rPr>
      <t>, Đất lúa</t>
    </r>
  </si>
  <si>
    <r>
      <t>Tờ BĐ số 86, thửa 231, diện tích 100,0m</t>
    </r>
    <r>
      <rPr>
        <vertAlign val="superscript"/>
        <sz val="17"/>
        <rFont val="Times New Roman"/>
        <family val="1"/>
      </rPr>
      <t>2</t>
    </r>
    <r>
      <rPr>
        <sz val="17"/>
        <rFont val="Times New Roman"/>
        <family val="1"/>
      </rPr>
      <t>, Đất lúa</t>
    </r>
  </si>
  <si>
    <r>
      <t>Tờ BĐ số 86, thửa 217, diện tích 100,0m</t>
    </r>
    <r>
      <rPr>
        <vertAlign val="superscript"/>
        <sz val="17"/>
        <rFont val="Times New Roman"/>
        <family val="1"/>
      </rPr>
      <t>2</t>
    </r>
    <r>
      <rPr>
        <sz val="17"/>
        <rFont val="Times New Roman"/>
        <family val="1"/>
      </rPr>
      <t>, Đất lúa</t>
    </r>
  </si>
  <si>
    <r>
      <t>Tờ BĐ số 86, thửa 216, diện tích 100,0m</t>
    </r>
    <r>
      <rPr>
        <vertAlign val="superscript"/>
        <sz val="17"/>
        <rFont val="Times New Roman"/>
        <family val="1"/>
      </rPr>
      <t>2</t>
    </r>
    <r>
      <rPr>
        <sz val="17"/>
        <rFont val="Times New Roman"/>
        <family val="1"/>
      </rPr>
      <t>, Đất lúa</t>
    </r>
  </si>
  <si>
    <r>
      <t>Tờ BĐ số 86, thửa 215, diện tích 100,0m</t>
    </r>
    <r>
      <rPr>
        <vertAlign val="superscript"/>
        <sz val="17"/>
        <rFont val="Times New Roman"/>
        <family val="1"/>
      </rPr>
      <t>2</t>
    </r>
    <r>
      <rPr>
        <sz val="17"/>
        <rFont val="Times New Roman"/>
        <family val="1"/>
      </rPr>
      <t>, Đất lúa</t>
    </r>
  </si>
  <si>
    <r>
      <t>Tờ BĐ số 86, thửa 213, diện tích 100,0m</t>
    </r>
    <r>
      <rPr>
        <vertAlign val="superscript"/>
        <sz val="17"/>
        <rFont val="Times New Roman"/>
        <family val="1"/>
      </rPr>
      <t>2</t>
    </r>
    <r>
      <rPr>
        <sz val="17"/>
        <rFont val="Times New Roman"/>
        <family val="1"/>
      </rPr>
      <t>, Đất lúa</t>
    </r>
  </si>
  <si>
    <r>
      <t>Tờ BĐ số 86, thửa 166, diện tích 1199,60m</t>
    </r>
    <r>
      <rPr>
        <vertAlign val="superscript"/>
        <sz val="17"/>
        <rFont val="Times New Roman"/>
        <family val="1"/>
      </rPr>
      <t>2</t>
    </r>
    <r>
      <rPr>
        <sz val="17"/>
        <rFont val="Times New Roman"/>
        <family val="1"/>
      </rPr>
      <t>, Đất lúa</t>
    </r>
  </si>
  <si>
    <r>
      <t>Có GCN số BL 675060                        do Sở tài nguyên Môi trường cấp ngày 14/8/2012, Tờ BĐ số 86, thửa 30+31, diện tích 2873,5m2, Đất trồng cây lâu năm. GCN do Nguyễn Minh Hữu đứng tên. Hiện trạng ngày 10/12/2014 Ông Nguyễn Minh Hữu và vợ bà Mai Thị Thơ cho tặng con Hồ Thanh Sơn phần diện tích đất 90m</t>
    </r>
    <r>
      <rPr>
        <vertAlign val="superscript"/>
        <sz val="17"/>
        <rFont val="Times New Roman"/>
        <family val="1"/>
      </rPr>
      <t xml:space="preserve">2 </t>
    </r>
    <r>
      <rPr>
        <sz val="17"/>
        <rFont val="Times New Roman"/>
        <family val="1"/>
      </rPr>
      <t>đất trồng cây lâu năm, cho tặng giấy tay.</t>
    </r>
  </si>
  <si>
    <r>
      <t>Trong GCN số BL 675060                        do Sở tài nguyên Môi trường cấp ngày 14/8/2012. Tờ BĐ số 86, thửa 30+31, diện tích 2873,5m2, Đất trồng cây lâu năm. GCN do Nguyễn Minh Hữu đứng tên. Hiện trạng ngày 10/12/2014 Ông Nguyễn Minh Hữu và vợ bà Mai Thị Thơ cho tặng cháu bà Hồ Thị Thúy Vân phần diện tích đất 113,0m</t>
    </r>
    <r>
      <rPr>
        <vertAlign val="superscript"/>
        <sz val="17"/>
        <rFont val="Times New Roman"/>
        <family val="1"/>
      </rPr>
      <t xml:space="preserve">2 </t>
    </r>
    <r>
      <rPr>
        <sz val="17"/>
        <rFont val="Times New Roman"/>
        <family val="1"/>
      </rPr>
      <t>đất trồng cây lâu năm, cho tặng giấy tay.</t>
    </r>
  </si>
  <si>
    <t>S.
lượng</t>
  </si>
  <si>
    <t>DỰ THẢO BẢNG TỔNG HỢP BỒI THƯỜNG, HỖ TRỢ, TÁI ĐỊNH CƯ KHI NHÀ NƯỚC THU HỒI ĐẤT ĐỂ THỰC HIỆN DỰ ÁN: KHU TÁI ĐỊNH CƯ NAM AN HÒA (GIAI ĐOẠN 3)</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</si>
</sst>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_-* #,##0.00\ _₫_-;\-* #,##0.00\ _₫_-;_-* &quot;-&quot;??\ _₫_-;_-@_-"/>
    <numFmt numFmtId="165" formatCode="_-* #,##0.00_-;\-* #,##0.00_-;_-* &quot;-&quot;??_-;_-@_-"/>
    <numFmt numFmtId="166" formatCode="_(* #,##0_);_(* \(#,##0\);_(* &quot;-&quot;??_);_(@_)"/>
    <numFmt numFmtId="167" formatCode="#,##0.0"/>
    <numFmt numFmtId="168" formatCode="_(* #,##0.0_);_(* \(#,##0.0\);_(* &quot;-&quot;??_);_(@_)"/>
    <numFmt numFmtId="169" formatCode="#,##0.0;[Red]#,##0.0"/>
    <numFmt numFmtId="170" formatCode="#,##0.00;[Red]#,##0.00"/>
    <numFmt numFmtId="171" formatCode="_-* #,##0\ _₫_-;\-* #,##0\ _₫_-;_-* &quot;-&quot;??\ _₫_-;_-@_-"/>
    <numFmt numFmtId="172" formatCode="_-* #,##0.0\ _₫_-;\-* #,##0.0\ _₫_-;_-* &quot;-&quot;??\ _₫_-;_-@_-"/>
    <numFmt numFmtId="173" formatCode="_(* #,##0.0_);_(* \(#,##0.0\);_(* &quot;-&quot;?_);_(@_)"/>
    <numFmt numFmtId="174" formatCode="_(* #,##0.00_);_(* \(#,##0.00\);_(* &quot;-&quot;?_);_(@_)"/>
    <numFmt numFmtId="175" formatCode="#,##0;[Red]#,##0"/>
    <numFmt numFmtId="176" formatCode="0.0"/>
  </numFmts>
  <fonts count="63" x14ac:knownFonts="1">
    <font>
      <sz val="11"/>
      <color theme="1"/>
      <name val="Arial"/>
      <family val="2"/>
      <charset val="163"/>
    </font>
    <font>
      <sz val="11"/>
      <color theme="1"/>
      <name val="Calibri"/>
      <family val="2"/>
      <scheme val="minor"/>
    </font>
    <font>
      <sz val="13"/>
      <name val="Arial"/>
      <family val="2"/>
      <charset val="163"/>
    </font>
    <font>
      <sz val="11"/>
      <color indexed="8"/>
      <name val="Arial"/>
      <family val="2"/>
      <charset val="163"/>
    </font>
    <font>
      <sz val="13"/>
      <name val="Arial"/>
      <family val="2"/>
    </font>
    <font>
      <sz val="12"/>
      <name val="Times New Roman"/>
      <family val="1"/>
    </font>
    <font>
      <sz val="12"/>
      <name val="Times New Roman"/>
      <family val="1"/>
      <charset val="163"/>
    </font>
    <font>
      <b/>
      <sz val="11"/>
      <name val="Times New Roman"/>
      <family val="1"/>
    </font>
    <font>
      <b/>
      <vertAlign val="superscript"/>
      <sz val="11"/>
      <name val="Times New Roman"/>
      <family val="1"/>
    </font>
    <font>
      <sz val="10"/>
      <name val="Times New Roman"/>
      <family val="1"/>
    </font>
    <font>
      <sz val="10"/>
      <name val="Times New Roman"/>
      <family val="1"/>
      <charset val="163"/>
    </font>
    <font>
      <sz val="11"/>
      <name val="Arial"/>
      <family val="2"/>
      <charset val="163"/>
    </font>
    <font>
      <b/>
      <sz val="11"/>
      <name val="Arial"/>
      <family val="2"/>
      <charset val="163"/>
    </font>
    <font>
      <b/>
      <sz val="10"/>
      <name val="Times New Roman"/>
      <family val="1"/>
    </font>
    <font>
      <i/>
      <sz val="10"/>
      <name val="Times New Roman"/>
      <family val="1"/>
    </font>
    <font>
      <b/>
      <sz val="9"/>
      <name val="Times New Roman"/>
      <family val="1"/>
    </font>
    <font>
      <sz val="9"/>
      <name val="Times New Roman"/>
      <family val="1"/>
    </font>
    <font>
      <b/>
      <sz val="14"/>
      <name val="Times New Roman"/>
      <family val="1"/>
    </font>
    <font>
      <b/>
      <sz val="14"/>
      <name val="Times New Roman"/>
      <family val="1"/>
      <charset val="163"/>
    </font>
    <font>
      <sz val="9"/>
      <color indexed="81"/>
      <name val="Tahoma"/>
      <family val="2"/>
    </font>
    <font>
      <b/>
      <sz val="9"/>
      <color indexed="81"/>
      <name val="Tahoma"/>
      <family val="2"/>
    </font>
    <font>
      <sz val="11"/>
      <name val="Times New Roman"/>
      <family val="1"/>
    </font>
    <font>
      <vertAlign val="superscript"/>
      <sz val="11"/>
      <name val="Times New Roman"/>
      <family val="1"/>
    </font>
    <font>
      <vertAlign val="superscript"/>
      <sz val="10"/>
      <name val="Times New Roman"/>
      <family val="1"/>
    </font>
    <font>
      <sz val="10"/>
      <name val="Arial Unicode MS"/>
      <family val="2"/>
    </font>
    <font>
      <sz val="9.8000000000000007"/>
      <name val="Times New Roman"/>
      <family val="1"/>
    </font>
    <font>
      <sz val="10"/>
      <name val="Arial"/>
      <family val="2"/>
      <charset val="163"/>
    </font>
    <font>
      <b/>
      <sz val="13"/>
      <name val="Times New Roman"/>
      <family val="1"/>
    </font>
    <font>
      <sz val="10"/>
      <color rgb="FFFF0000"/>
      <name val="Times New Roman"/>
      <family val="1"/>
    </font>
    <font>
      <b/>
      <sz val="10"/>
      <color rgb="FFFF0000"/>
      <name val="Times New Roman"/>
      <family val="1"/>
    </font>
    <font>
      <vertAlign val="superscript"/>
      <sz val="10"/>
      <color rgb="FFFF0000"/>
      <name val="Times New Roman"/>
      <family val="1"/>
    </font>
    <font>
      <sz val="11"/>
      <color theme="1"/>
      <name val="Times New Roman"/>
      <family val="1"/>
    </font>
    <font>
      <sz val="11"/>
      <color theme="1"/>
      <name val="Arial"/>
      <family val="2"/>
      <charset val="163"/>
    </font>
    <font>
      <sz val="11"/>
      <color rgb="FFFF0000"/>
      <name val="Times New Roman"/>
      <family val="1"/>
    </font>
    <font>
      <sz val="12"/>
      <color theme="1"/>
      <name val="Times New Roman"/>
      <family val="1"/>
    </font>
    <font>
      <b/>
      <sz val="11"/>
      <color theme="1"/>
      <name val="Arial"/>
      <family val="2"/>
    </font>
    <font>
      <sz val="12"/>
      <color rgb="FFFF0000"/>
      <name val="Times New Roman"/>
      <family val="1"/>
    </font>
    <font>
      <b/>
      <sz val="12"/>
      <name val="Times New Roman"/>
      <family val="1"/>
    </font>
    <font>
      <b/>
      <sz val="12"/>
      <name val="Arial"/>
      <family val="2"/>
      <charset val="163"/>
    </font>
    <font>
      <b/>
      <sz val="12"/>
      <color rgb="FFFF0000"/>
      <name val="Times New Roman"/>
      <family val="1"/>
    </font>
    <font>
      <sz val="12"/>
      <name val="Arial"/>
      <family val="2"/>
      <charset val="163"/>
    </font>
    <font>
      <sz val="8"/>
      <name val="Arial"/>
      <family val="2"/>
      <charset val="163"/>
    </font>
    <font>
      <b/>
      <sz val="12"/>
      <name val="Arial"/>
      <family val="2"/>
    </font>
    <font>
      <b/>
      <sz val="11"/>
      <color theme="1"/>
      <name val="Arial"/>
      <family val="2"/>
      <charset val="163"/>
    </font>
    <font>
      <b/>
      <sz val="16"/>
      <name val="Times New Roman"/>
      <family val="1"/>
    </font>
    <font>
      <b/>
      <vertAlign val="superscript"/>
      <sz val="16"/>
      <name val="Times New Roman"/>
      <family val="1"/>
    </font>
    <font>
      <sz val="16"/>
      <name val="Times New Roman"/>
      <family val="1"/>
    </font>
    <font>
      <i/>
      <sz val="16"/>
      <name val="Times New Roman"/>
      <family val="1"/>
    </font>
    <font>
      <vertAlign val="superscript"/>
      <sz val="16"/>
      <name val="Times New Roman"/>
      <family val="1"/>
    </font>
    <font>
      <b/>
      <sz val="23"/>
      <name val="Times New Roman"/>
      <family val="1"/>
    </font>
    <font>
      <sz val="12"/>
      <color rgb="FFFF0000"/>
      <name val="Arial"/>
      <family val="2"/>
      <charset val="163"/>
    </font>
    <font>
      <sz val="16"/>
      <color rgb="FFFF0000"/>
      <name val="Times New Roman"/>
      <family val="1"/>
    </font>
    <font>
      <b/>
      <sz val="12"/>
      <color theme="0"/>
      <name val="Arial"/>
      <family val="2"/>
      <charset val="163"/>
    </font>
    <font>
      <sz val="12"/>
      <color theme="0"/>
      <name val="Arial"/>
      <family val="2"/>
      <charset val="163"/>
    </font>
    <font>
      <b/>
      <sz val="30"/>
      <name val="Times New Roman"/>
      <family val="1"/>
    </font>
    <font>
      <sz val="30"/>
      <name val="Times New Roman"/>
      <family val="1"/>
    </font>
    <font>
      <b/>
      <sz val="20"/>
      <name val="Times New Roman"/>
      <family val="1"/>
    </font>
    <font>
      <sz val="20"/>
      <name val="Times New Roman"/>
      <family val="1"/>
    </font>
    <font>
      <b/>
      <sz val="17"/>
      <name val="Times New Roman"/>
      <family val="1"/>
    </font>
    <font>
      <b/>
      <vertAlign val="superscript"/>
      <sz val="17"/>
      <name val="Times New Roman"/>
      <family val="1"/>
    </font>
    <font>
      <sz val="17"/>
      <name val="Times New Roman"/>
      <family val="1"/>
    </font>
    <font>
      <i/>
      <sz val="17"/>
      <name val="Times New Roman"/>
      <family val="1"/>
    </font>
    <font>
      <vertAlign val="superscript"/>
      <sz val="17"/>
      <name val="Times New Roman"/>
      <family val="1"/>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7"/>
        <bgColor indexed="64"/>
      </patternFill>
    </fill>
    <fill>
      <patternFill patternType="solid">
        <fgColor theme="8"/>
        <bgColor indexed="64"/>
      </patternFill>
    </fill>
    <fill>
      <patternFill patternType="solid">
        <fgColor rgb="FFFFC000"/>
        <bgColor indexed="64"/>
      </patternFill>
    </fill>
    <fill>
      <patternFill patternType="solid">
        <fgColor rgb="FF66FF99"/>
        <bgColor indexed="64"/>
      </patternFill>
    </fill>
  </fills>
  <borders count="1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s>
  <cellStyleXfs count="15">
    <xf numFmtId="0" fontId="0" fillId="0" borderId="0"/>
    <xf numFmtId="164" fontId="3" fillId="0" borderId="0" applyFont="0" applyFill="0" applyBorder="0" applyAlignment="0" applyProtection="0"/>
    <xf numFmtId="0" fontId="2" fillId="0" borderId="0"/>
    <xf numFmtId="0" fontId="4" fillId="0" borderId="0"/>
    <xf numFmtId="43" fontId="2" fillId="0" borderId="0" applyFont="0" applyFill="0" applyBorder="0" applyAlignment="0" applyProtection="0"/>
    <xf numFmtId="164" fontId="3" fillId="0" borderId="0" applyFont="0" applyFill="0" applyBorder="0" applyAlignment="0" applyProtection="0"/>
    <xf numFmtId="43" fontId="5" fillId="0" borderId="0" applyFont="0" applyFill="0" applyBorder="0" applyAlignment="0" applyProtection="0"/>
    <xf numFmtId="0" fontId="5" fillId="0" borderId="0"/>
    <xf numFmtId="165" fontId="5" fillId="0" borderId="0" applyFont="0" applyFill="0" applyBorder="0" applyAlignment="0" applyProtection="0"/>
    <xf numFmtId="0" fontId="6" fillId="0" borderId="0"/>
    <xf numFmtId="0" fontId="2"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2" fillId="0" borderId="0"/>
  </cellStyleXfs>
  <cellXfs count="1100">
    <xf numFmtId="0" fontId="0" fillId="0" borderId="0" xfId="0"/>
    <xf numFmtId="0" fontId="9" fillId="0" borderId="1" xfId="2" applyFont="1" applyFill="1" applyBorder="1" applyAlignment="1">
      <alignment vertical="center" wrapText="1"/>
    </xf>
    <xf numFmtId="0" fontId="9" fillId="0" borderId="1" xfId="2" applyFont="1" applyFill="1" applyBorder="1" applyAlignment="1">
      <alignment vertical="center"/>
    </xf>
    <xf numFmtId="3" fontId="9" fillId="0" borderId="1" xfId="4" applyNumberFormat="1" applyFont="1" applyFill="1" applyBorder="1" applyAlignment="1">
      <alignment vertical="center"/>
    </xf>
    <xf numFmtId="166" fontId="9" fillId="0" borderId="1" xfId="4" applyNumberFormat="1" applyFont="1" applyFill="1" applyBorder="1" applyAlignment="1">
      <alignment vertical="center"/>
    </xf>
    <xf numFmtId="166" fontId="9" fillId="0" borderId="1" xfId="4" applyNumberFormat="1" applyFont="1" applyFill="1" applyBorder="1" applyAlignment="1">
      <alignment horizontal="right" vertical="center"/>
    </xf>
    <xf numFmtId="164" fontId="9" fillId="0" borderId="1" xfId="1" applyFont="1" applyFill="1" applyBorder="1" applyAlignment="1">
      <alignment vertical="center"/>
    </xf>
    <xf numFmtId="3" fontId="13" fillId="0" borderId="1" xfId="4" applyNumberFormat="1" applyFont="1" applyFill="1" applyBorder="1" applyAlignment="1">
      <alignment vertical="center"/>
    </xf>
    <xf numFmtId="166" fontId="13" fillId="0" borderId="1" xfId="4" applyNumberFormat="1" applyFont="1" applyFill="1" applyBorder="1" applyAlignment="1">
      <alignment horizontal="right" vertical="center"/>
    </xf>
    <xf numFmtId="166" fontId="13" fillId="0" borderId="1" xfId="4" applyNumberFormat="1" applyFont="1" applyFill="1" applyBorder="1" applyAlignment="1">
      <alignment vertical="center"/>
    </xf>
    <xf numFmtId="164" fontId="9" fillId="0" borderId="1" xfId="1" applyFont="1" applyFill="1" applyBorder="1" applyAlignment="1">
      <alignment horizontal="center" vertical="center"/>
    </xf>
    <xf numFmtId="0" fontId="13" fillId="0" borderId="1" xfId="2" applyFont="1" applyFill="1" applyBorder="1" applyAlignment="1">
      <alignment horizontal="center" vertical="center"/>
    </xf>
    <xf numFmtId="0" fontId="13" fillId="0" borderId="1" xfId="2" applyFont="1" applyFill="1" applyBorder="1" applyAlignment="1">
      <alignment vertical="center"/>
    </xf>
    <xf numFmtId="0" fontId="9" fillId="0" borderId="1" xfId="2" applyFont="1" applyFill="1" applyBorder="1" applyAlignment="1">
      <alignment horizontal="center" vertical="center"/>
    </xf>
    <xf numFmtId="0" fontId="13" fillId="0" borderId="1" xfId="3" applyFont="1" applyFill="1" applyBorder="1" applyAlignment="1">
      <alignment horizontal="center" vertical="center"/>
    </xf>
    <xf numFmtId="0" fontId="13" fillId="0" borderId="1" xfId="2" applyFont="1" applyFill="1" applyBorder="1" applyAlignment="1">
      <alignment horizontal="center" vertical="center" wrapText="1"/>
    </xf>
    <xf numFmtId="0" fontId="9" fillId="0" borderId="1" xfId="3" applyFont="1" applyFill="1" applyBorder="1" applyAlignment="1">
      <alignment vertical="center" wrapText="1"/>
    </xf>
    <xf numFmtId="2" fontId="9" fillId="0" borderId="1" xfId="2" applyNumberFormat="1" applyFont="1" applyFill="1" applyBorder="1" applyAlignment="1">
      <alignment horizontal="center" vertical="center"/>
    </xf>
    <xf numFmtId="0" fontId="9" fillId="0" borderId="1" xfId="2" applyFont="1" applyFill="1" applyBorder="1" applyAlignment="1">
      <alignment horizontal="center" vertical="center" wrapText="1"/>
    </xf>
    <xf numFmtId="168" fontId="9" fillId="0" borderId="1" xfId="4" applyNumberFormat="1" applyFont="1" applyFill="1" applyBorder="1" applyAlignment="1">
      <alignment horizontal="right" vertical="center"/>
    </xf>
    <xf numFmtId="3" fontId="9" fillId="0" borderId="1" xfId="4" applyNumberFormat="1" applyFont="1" applyFill="1" applyBorder="1" applyAlignment="1">
      <alignment horizontal="center" vertical="center" wrapText="1"/>
    </xf>
    <xf numFmtId="0" fontId="13" fillId="0" borderId="1" xfId="2" applyFont="1" applyFill="1" applyBorder="1" applyAlignment="1">
      <alignment vertical="center" wrapText="1"/>
    </xf>
    <xf numFmtId="0" fontId="13" fillId="0" borderId="1" xfId="3" applyFont="1" applyFill="1" applyBorder="1" applyAlignment="1">
      <alignment vertical="center" wrapText="1"/>
    </xf>
    <xf numFmtId="0" fontId="13" fillId="0" borderId="1" xfId="2" applyFont="1" applyFill="1" applyBorder="1" applyAlignment="1">
      <alignment horizontal="left" vertical="center" wrapText="1"/>
    </xf>
    <xf numFmtId="0" fontId="9" fillId="0" borderId="1" xfId="2" applyFont="1" applyFill="1" applyBorder="1" applyAlignment="1">
      <alignment horizontal="left" vertical="center"/>
    </xf>
    <xf numFmtId="164" fontId="9" fillId="0" borderId="1" xfId="1" applyFont="1" applyFill="1" applyBorder="1" applyAlignment="1">
      <alignment vertical="center" wrapText="1"/>
    </xf>
    <xf numFmtId="164" fontId="9" fillId="0" borderId="1" xfId="1" applyFont="1" applyFill="1" applyBorder="1" applyAlignment="1">
      <alignment horizontal="center" vertical="center" wrapText="1"/>
    </xf>
    <xf numFmtId="0" fontId="9" fillId="0" borderId="1" xfId="2" applyFont="1" applyFill="1" applyBorder="1" applyAlignment="1">
      <alignment horizontal="right" vertical="center"/>
    </xf>
    <xf numFmtId="0" fontId="9" fillId="0" borderId="1" xfId="2" applyFont="1" applyFill="1" applyBorder="1" applyAlignment="1">
      <alignment horizontal="right" vertical="center" wrapText="1"/>
    </xf>
    <xf numFmtId="49" fontId="9" fillId="0" borderId="1" xfId="4" applyNumberFormat="1" applyFont="1" applyFill="1" applyBorder="1" applyAlignment="1">
      <alignment horizontal="right" vertical="center"/>
    </xf>
    <xf numFmtId="2" fontId="9" fillId="0" borderId="1" xfId="0" applyNumberFormat="1" applyFont="1" applyFill="1" applyBorder="1" applyAlignment="1">
      <alignment horizontal="center" vertical="center" wrapText="1"/>
    </xf>
    <xf numFmtId="0" fontId="14" fillId="0" borderId="1" xfId="2" applyFont="1" applyFill="1" applyBorder="1" applyAlignment="1">
      <alignment vertical="center" wrapText="1"/>
    </xf>
    <xf numFmtId="166" fontId="9" fillId="0" borderId="1" xfId="4" applyNumberFormat="1" applyFont="1" applyFill="1" applyBorder="1" applyAlignment="1">
      <alignment vertical="center" wrapText="1"/>
    </xf>
    <xf numFmtId="3" fontId="13" fillId="0" borderId="1" xfId="4" applyNumberFormat="1" applyFont="1" applyFill="1" applyBorder="1" applyAlignment="1">
      <alignment vertical="center" wrapText="1"/>
    </xf>
    <xf numFmtId="0" fontId="9" fillId="0" borderId="1" xfId="14" applyFont="1" applyFill="1" applyBorder="1" applyAlignment="1">
      <alignment vertical="center" wrapText="1"/>
    </xf>
    <xf numFmtId="0" fontId="13" fillId="0" borderId="1" xfId="2" applyFont="1" applyFill="1" applyBorder="1" applyAlignment="1">
      <alignment horizontal="left" vertical="center"/>
    </xf>
    <xf numFmtId="0" fontId="12" fillId="0" borderId="0" xfId="0" applyFont="1" applyFill="1" applyBorder="1"/>
    <xf numFmtId="0" fontId="9" fillId="0" borderId="0" xfId="2" applyFont="1" applyFill="1" applyBorder="1"/>
    <xf numFmtId="0" fontId="11" fillId="0" borderId="0" xfId="0" applyFont="1" applyFill="1" applyBorder="1" applyAlignment="1">
      <alignment horizontal="center" vertical="center"/>
    </xf>
    <xf numFmtId="0" fontId="11" fillId="0" borderId="0" xfId="0" applyFont="1" applyFill="1" applyBorder="1"/>
    <xf numFmtId="170" fontId="11" fillId="0" borderId="0" xfId="0" applyNumberFormat="1" applyFont="1" applyFill="1" applyBorder="1"/>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7" fillId="0" borderId="2" xfId="2" applyFont="1" applyFill="1" applyBorder="1" applyAlignment="1">
      <alignment horizontal="center" vertical="center" wrapText="1"/>
    </xf>
    <xf numFmtId="4" fontId="7" fillId="0" borderId="2" xfId="2" applyNumberFormat="1" applyFont="1" applyFill="1" applyBorder="1" applyAlignment="1">
      <alignment horizontal="center" vertical="center"/>
    </xf>
    <xf numFmtId="3" fontId="9" fillId="0" borderId="1" xfId="4" applyNumberFormat="1" applyFont="1" applyFill="1" applyBorder="1" applyAlignment="1">
      <alignment vertical="center" wrapText="1"/>
    </xf>
    <xf numFmtId="0" fontId="12" fillId="0" borderId="0" xfId="0" applyFont="1" applyFill="1" applyBorder="1" applyAlignment="1">
      <alignment horizontal="center" vertical="center"/>
    </xf>
    <xf numFmtId="0" fontId="9" fillId="0" borderId="1" xfId="2" applyFont="1" applyFill="1" applyBorder="1" applyAlignment="1">
      <alignment horizontal="left" vertical="center" wrapText="1"/>
    </xf>
    <xf numFmtId="3" fontId="9" fillId="0" borderId="1" xfId="4" applyNumberFormat="1" applyFont="1" applyFill="1" applyBorder="1" applyAlignment="1">
      <alignment horizontal="center" vertical="center"/>
    </xf>
    <xf numFmtId="3" fontId="13" fillId="0" borderId="1" xfId="4" applyNumberFormat="1" applyFont="1" applyFill="1" applyBorder="1" applyAlignment="1">
      <alignment horizontal="center" vertical="center"/>
    </xf>
    <xf numFmtId="0" fontId="16" fillId="0" borderId="1" xfId="2" applyFont="1" applyFill="1" applyBorder="1" applyAlignment="1">
      <alignment horizontal="center" vertical="center"/>
    </xf>
    <xf numFmtId="0" fontId="16" fillId="0" borderId="1" xfId="2" applyFont="1" applyFill="1" applyBorder="1" applyAlignment="1">
      <alignment vertical="center"/>
    </xf>
    <xf numFmtId="166" fontId="13" fillId="0" borderId="1" xfId="4" applyNumberFormat="1" applyFont="1" applyFill="1" applyBorder="1" applyAlignment="1">
      <alignment horizontal="center" vertical="center"/>
    </xf>
    <xf numFmtId="0" fontId="18" fillId="0" borderId="1" xfId="2" applyFont="1" applyFill="1" applyBorder="1" applyAlignment="1">
      <alignment vertical="center"/>
    </xf>
    <xf numFmtId="166" fontId="9" fillId="0" borderId="1" xfId="4" applyNumberFormat="1" applyFont="1" applyFill="1" applyBorder="1" applyAlignment="1">
      <alignment horizontal="right" vertical="center" wrapText="1"/>
    </xf>
    <xf numFmtId="0" fontId="7" fillId="0" borderId="2" xfId="2" applyFont="1" applyFill="1" applyBorder="1" applyAlignment="1">
      <alignment horizontal="centerContinuous" vertical="center" wrapText="1"/>
    </xf>
    <xf numFmtId="170" fontId="7" fillId="0" borderId="2" xfId="1" applyNumberFormat="1" applyFont="1" applyFill="1" applyBorder="1" applyAlignment="1">
      <alignment horizontal="centerContinuous" vertical="center" wrapText="1"/>
    </xf>
    <xf numFmtId="4" fontId="7" fillId="0" borderId="2" xfId="2" applyNumberFormat="1" applyFont="1" applyFill="1" applyBorder="1" applyAlignment="1">
      <alignment horizontal="centerContinuous" vertical="center" wrapText="1"/>
    </xf>
    <xf numFmtId="2" fontId="7" fillId="0" borderId="2" xfId="2" applyNumberFormat="1" applyFont="1" applyFill="1" applyBorder="1" applyAlignment="1">
      <alignment horizontal="centerContinuous" vertical="center" wrapText="1"/>
    </xf>
    <xf numFmtId="164" fontId="9" fillId="0" borderId="1" xfId="4" applyNumberFormat="1" applyFont="1" applyFill="1" applyBorder="1" applyAlignment="1">
      <alignment horizontal="center" vertical="center" wrapText="1"/>
    </xf>
    <xf numFmtId="164" fontId="9" fillId="0" borderId="1" xfId="4" applyNumberFormat="1" applyFont="1" applyFill="1" applyBorder="1" applyAlignment="1">
      <alignment horizontal="center" vertical="center"/>
    </xf>
    <xf numFmtId="169" fontId="11" fillId="0" borderId="0" xfId="0" applyNumberFormat="1" applyFont="1" applyFill="1" applyBorder="1" applyAlignment="1">
      <alignment horizontal="center"/>
    </xf>
    <xf numFmtId="169" fontId="21" fillId="0" borderId="1" xfId="4" applyNumberFormat="1" applyFont="1" applyFill="1" applyBorder="1" applyAlignment="1">
      <alignment horizontal="right" vertical="center"/>
    </xf>
    <xf numFmtId="3" fontId="21" fillId="0" borderId="1" xfId="0" applyNumberFormat="1" applyFont="1" applyFill="1" applyBorder="1" applyAlignment="1">
      <alignment vertical="center"/>
    </xf>
    <xf numFmtId="170" fontId="21" fillId="0" borderId="1" xfId="1" applyNumberFormat="1" applyFont="1" applyFill="1" applyBorder="1" applyAlignment="1">
      <alignment vertical="center"/>
    </xf>
    <xf numFmtId="164" fontId="21" fillId="0" borderId="1" xfId="1" applyFont="1" applyFill="1" applyBorder="1" applyAlignment="1">
      <alignment horizontal="center" vertical="center"/>
    </xf>
    <xf numFmtId="164" fontId="21" fillId="0" borderId="1" xfId="1" applyFont="1" applyFill="1" applyBorder="1" applyAlignment="1">
      <alignment horizontal="right" vertical="center"/>
    </xf>
    <xf numFmtId="0" fontId="21" fillId="0" borderId="1" xfId="3" applyFont="1" applyFill="1" applyBorder="1" applyAlignment="1">
      <alignment vertical="center" wrapText="1"/>
    </xf>
    <xf numFmtId="0" fontId="21" fillId="0" borderId="1" xfId="2" applyFont="1" applyFill="1" applyBorder="1" applyAlignment="1">
      <alignment vertical="center" wrapText="1"/>
    </xf>
    <xf numFmtId="43" fontId="21" fillId="0" borderId="1" xfId="1" applyNumberFormat="1" applyFont="1" applyFill="1" applyBorder="1" applyAlignment="1">
      <alignment vertical="center" wrapText="1"/>
    </xf>
    <xf numFmtId="0" fontId="21" fillId="0" borderId="1" xfId="0" applyFont="1" applyFill="1" applyBorder="1" applyAlignment="1">
      <alignment vertical="center" wrapText="1"/>
    </xf>
    <xf numFmtId="164" fontId="21" fillId="0" borderId="1" xfId="1" applyFont="1" applyFill="1" applyBorder="1" applyAlignment="1">
      <alignment vertical="center"/>
    </xf>
    <xf numFmtId="172" fontId="21" fillId="0" borderId="1" xfId="1" applyNumberFormat="1" applyFont="1" applyFill="1" applyBorder="1" applyAlignment="1">
      <alignment vertical="center"/>
    </xf>
    <xf numFmtId="172" fontId="21" fillId="0" borderId="1" xfId="1" applyNumberFormat="1" applyFont="1" applyFill="1" applyBorder="1" applyAlignment="1">
      <alignment vertical="center" wrapText="1"/>
    </xf>
    <xf numFmtId="3" fontId="21" fillId="0" borderId="1" xfId="4" applyNumberFormat="1" applyFont="1" applyFill="1" applyBorder="1" applyAlignment="1">
      <alignment vertical="center"/>
    </xf>
    <xf numFmtId="166" fontId="21" fillId="0" borderId="1" xfId="4" applyNumberFormat="1" applyFont="1" applyFill="1" applyBorder="1" applyAlignment="1">
      <alignment vertical="center"/>
    </xf>
    <xf numFmtId="170" fontId="9" fillId="0" borderId="1" xfId="1" applyNumberFormat="1" applyFont="1" applyFill="1" applyBorder="1" applyAlignment="1">
      <alignment vertical="center" wrapText="1"/>
    </xf>
    <xf numFmtId="43" fontId="9" fillId="0" borderId="1" xfId="1" applyNumberFormat="1" applyFont="1" applyFill="1" applyBorder="1" applyAlignment="1">
      <alignment vertical="center" wrapText="1"/>
    </xf>
    <xf numFmtId="169" fontId="9" fillId="0" borderId="1" xfId="2" applyNumberFormat="1" applyFont="1" applyFill="1" applyBorder="1" applyAlignment="1">
      <alignment horizontal="center" vertical="center"/>
    </xf>
    <xf numFmtId="3" fontId="9" fillId="0" borderId="1" xfId="0" applyNumberFormat="1" applyFont="1" applyFill="1" applyBorder="1" applyAlignment="1">
      <alignment vertical="center"/>
    </xf>
    <xf numFmtId="2" fontId="9" fillId="0" borderId="1" xfId="2" applyNumberFormat="1" applyFont="1" applyFill="1" applyBorder="1" applyAlignment="1">
      <alignment vertical="center"/>
    </xf>
    <xf numFmtId="0" fontId="9" fillId="0" borderId="0" xfId="0" applyFont="1" applyFill="1"/>
    <xf numFmtId="0" fontId="9" fillId="0" borderId="1" xfId="0" applyFont="1" applyFill="1" applyBorder="1" applyAlignment="1">
      <alignment horizontal="left" vertical="center" wrapText="1"/>
    </xf>
    <xf numFmtId="1" fontId="9"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169" fontId="9" fillId="0" borderId="1" xfId="1" applyNumberFormat="1" applyFont="1" applyFill="1" applyBorder="1" applyAlignment="1">
      <alignment vertical="center" wrapText="1"/>
    </xf>
    <xf numFmtId="16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64" fontId="9" fillId="0" borderId="1" xfId="5" applyFont="1" applyFill="1" applyBorder="1" applyAlignment="1">
      <alignment horizontal="right" vertical="center" wrapText="1"/>
    </xf>
    <xf numFmtId="2" fontId="9" fillId="0" borderId="1" xfId="0" applyNumberFormat="1" applyFont="1" applyFill="1" applyBorder="1" applyAlignment="1">
      <alignment vertical="center" wrapText="1"/>
    </xf>
    <xf numFmtId="0" fontId="9" fillId="0" borderId="1" xfId="10" applyFont="1" applyFill="1" applyBorder="1" applyAlignment="1">
      <alignment vertical="center" wrapText="1"/>
    </xf>
    <xf numFmtId="0" fontId="9" fillId="0" borderId="0" xfId="0" applyFont="1" applyFill="1" applyBorder="1" applyAlignment="1">
      <alignment wrapText="1"/>
    </xf>
    <xf numFmtId="0" fontId="13" fillId="0" borderId="1" xfId="0" applyFont="1" applyFill="1" applyBorder="1" applyAlignment="1">
      <alignment horizontal="left" vertical="center" wrapText="1"/>
    </xf>
    <xf numFmtId="0" fontId="14" fillId="0" borderId="1" xfId="0" applyFont="1" applyFill="1" applyBorder="1" applyAlignment="1">
      <alignment vertical="center" wrapText="1"/>
    </xf>
    <xf numFmtId="168" fontId="9" fillId="0" borderId="1" xfId="0" applyNumberFormat="1" applyFont="1" applyFill="1" applyBorder="1" applyAlignment="1">
      <alignment horizontal="center" vertical="center" wrapText="1"/>
    </xf>
    <xf numFmtId="43" fontId="9"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171" fontId="9" fillId="0" borderId="1" xfId="5" applyNumberFormat="1" applyFont="1" applyFill="1" applyBorder="1" applyAlignment="1">
      <alignment horizontal="right" vertical="center" wrapText="1"/>
    </xf>
    <xf numFmtId="0" fontId="9" fillId="0" borderId="3" xfId="0" applyFont="1" applyFill="1" applyBorder="1" applyAlignment="1">
      <alignment horizontal="left" vertical="center" wrapText="1"/>
    </xf>
    <xf numFmtId="0" fontId="9" fillId="0" borderId="3" xfId="2" applyFont="1" applyFill="1" applyBorder="1" applyAlignment="1">
      <alignment vertical="center" wrapText="1"/>
    </xf>
    <xf numFmtId="1" fontId="9" fillId="0" borderId="3" xfId="0" applyNumberFormat="1" applyFont="1" applyFill="1" applyBorder="1" applyAlignment="1">
      <alignment horizontal="center" vertical="center" wrapText="1"/>
    </xf>
    <xf numFmtId="0" fontId="9" fillId="0" borderId="3" xfId="0" applyFont="1" applyFill="1" applyBorder="1" applyAlignment="1">
      <alignment vertical="center" wrapText="1"/>
    </xf>
    <xf numFmtId="169" fontId="9" fillId="0" borderId="3" xfId="1" applyNumberFormat="1" applyFont="1" applyFill="1" applyBorder="1" applyAlignment="1">
      <alignment vertical="center" wrapText="1"/>
    </xf>
    <xf numFmtId="0" fontId="9" fillId="0" borderId="3" xfId="2" applyFont="1" applyFill="1" applyBorder="1" applyAlignment="1">
      <alignment horizontal="center" vertical="center" wrapText="1"/>
    </xf>
    <xf numFmtId="166" fontId="9" fillId="0" borderId="3" xfId="4" applyNumberFormat="1" applyFont="1" applyFill="1" applyBorder="1" applyAlignment="1">
      <alignment horizontal="right" vertical="center"/>
    </xf>
    <xf numFmtId="166" fontId="9" fillId="0" borderId="3" xfId="4" applyNumberFormat="1" applyFont="1" applyFill="1" applyBorder="1" applyAlignment="1">
      <alignment vertical="center"/>
    </xf>
    <xf numFmtId="166" fontId="9" fillId="0" borderId="3" xfId="0" applyNumberFormat="1" applyFont="1" applyFill="1" applyBorder="1" applyAlignment="1">
      <alignment horizontal="center" vertical="center" wrapText="1"/>
    </xf>
    <xf numFmtId="0" fontId="9" fillId="0" borderId="3" xfId="2" applyFont="1" applyFill="1" applyBorder="1" applyAlignment="1">
      <alignment horizontal="left" vertical="center" wrapText="1"/>
    </xf>
    <xf numFmtId="0" fontId="9" fillId="0" borderId="3" xfId="0" applyFont="1" applyFill="1" applyBorder="1" applyAlignment="1">
      <alignment horizontal="center" vertical="center" wrapText="1"/>
    </xf>
    <xf numFmtId="164" fontId="9" fillId="0" borderId="3" xfId="5" applyFont="1" applyFill="1" applyBorder="1" applyAlignment="1">
      <alignment horizontal="right" vertical="center" wrapText="1"/>
    </xf>
    <xf numFmtId="2" fontId="9" fillId="0" borderId="3" xfId="0" applyNumberFormat="1" applyFont="1" applyFill="1" applyBorder="1" applyAlignment="1">
      <alignment vertical="center" wrapText="1"/>
    </xf>
    <xf numFmtId="166" fontId="13" fillId="0" borderId="3" xfId="4" applyNumberFormat="1" applyFont="1" applyFill="1" applyBorder="1" applyAlignment="1">
      <alignment vertical="center"/>
    </xf>
    <xf numFmtId="0" fontId="9" fillId="0" borderId="3" xfId="10" applyFont="1" applyFill="1" applyBorder="1" applyAlignment="1">
      <alignment vertical="center" wrapText="1"/>
    </xf>
    <xf numFmtId="2" fontId="13" fillId="0" borderId="2" xfId="2" applyNumberFormat="1" applyFont="1" applyFill="1" applyBorder="1" applyAlignment="1">
      <alignment horizontal="centerContinuous" vertical="center" wrapText="1"/>
    </xf>
    <xf numFmtId="0" fontId="9" fillId="0" borderId="1" xfId="3" applyFont="1" applyFill="1" applyBorder="1" applyAlignment="1">
      <alignment horizontal="center" vertical="center"/>
    </xf>
    <xf numFmtId="49" fontId="9" fillId="0" borderId="1" xfId="2" applyNumberFormat="1" applyFont="1" applyFill="1" applyBorder="1" applyAlignment="1">
      <alignment horizontal="center" vertical="center" wrapText="1"/>
    </xf>
    <xf numFmtId="49" fontId="9" fillId="0" borderId="1" xfId="2" applyNumberFormat="1" applyFont="1" applyFill="1" applyBorder="1" applyAlignment="1">
      <alignment horizontal="center" vertical="center"/>
    </xf>
    <xf numFmtId="0" fontId="26" fillId="0" borderId="0" xfId="0" applyFont="1" applyFill="1" applyBorder="1" applyAlignment="1">
      <alignment wrapText="1"/>
    </xf>
    <xf numFmtId="0" fontId="26" fillId="0" borderId="0" xfId="0" applyFont="1" applyFill="1" applyBorder="1"/>
    <xf numFmtId="0" fontId="21" fillId="0" borderId="1" xfId="2" applyFont="1" applyFill="1" applyBorder="1" applyAlignment="1">
      <alignment vertical="center"/>
    </xf>
    <xf numFmtId="49" fontId="21" fillId="0" borderId="1" xfId="2" applyNumberFormat="1" applyFont="1" applyFill="1" applyBorder="1" applyAlignment="1">
      <alignment vertical="center" wrapText="1"/>
    </xf>
    <xf numFmtId="164" fontId="21" fillId="0" borderId="1" xfId="1" applyFont="1" applyFill="1" applyBorder="1" applyAlignment="1">
      <alignment horizontal="center" vertical="center" wrapText="1"/>
    </xf>
    <xf numFmtId="164" fontId="21" fillId="0" borderId="1" xfId="1" applyFont="1" applyFill="1" applyBorder="1" applyAlignment="1">
      <alignment horizontal="right" vertical="center" wrapText="1"/>
    </xf>
    <xf numFmtId="164" fontId="21" fillId="0" borderId="1" xfId="1" applyNumberFormat="1" applyFont="1" applyFill="1" applyBorder="1" applyAlignment="1">
      <alignment horizontal="right" vertical="center" wrapText="1"/>
    </xf>
    <xf numFmtId="169" fontId="21" fillId="0" borderId="1" xfId="0" applyNumberFormat="1" applyFont="1" applyFill="1" applyBorder="1" applyAlignment="1">
      <alignment horizontal="right" vertical="center" wrapText="1"/>
    </xf>
    <xf numFmtId="169" fontId="9" fillId="0" borderId="1" xfId="0" applyNumberFormat="1" applyFont="1" applyFill="1" applyBorder="1" applyAlignment="1">
      <alignment horizontal="right" vertical="center" wrapText="1"/>
    </xf>
    <xf numFmtId="2" fontId="27" fillId="0" borderId="0" xfId="11" applyNumberFormat="1" applyFont="1" applyFill="1" applyAlignment="1">
      <alignment vertical="center" wrapText="1"/>
    </xf>
    <xf numFmtId="0" fontId="9" fillId="0" borderId="0" xfId="0" applyFont="1" applyFill="1" applyBorder="1"/>
    <xf numFmtId="43" fontId="13" fillId="0" borderId="1" xfId="1"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xf>
    <xf numFmtId="0" fontId="13" fillId="0" borderId="1" xfId="0" applyFont="1" applyFill="1" applyBorder="1" applyAlignment="1">
      <alignment vertical="center" wrapText="1"/>
    </xf>
    <xf numFmtId="3" fontId="13" fillId="0" borderId="1" xfId="0" applyNumberFormat="1" applyFont="1" applyFill="1" applyBorder="1" applyAlignment="1">
      <alignment vertical="center"/>
    </xf>
    <xf numFmtId="0" fontId="13"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3" fontId="9" fillId="0" borderId="1" xfId="1"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3" fontId="9" fillId="0" borderId="1" xfId="6" applyFont="1" applyFill="1" applyBorder="1" applyAlignment="1">
      <alignment horizontal="center" vertical="center" wrapText="1"/>
    </xf>
    <xf numFmtId="43" fontId="9" fillId="0" borderId="1" xfId="6" applyFont="1" applyFill="1" applyBorder="1" applyAlignment="1">
      <alignment vertical="center" wrapText="1"/>
    </xf>
    <xf numFmtId="0" fontId="9" fillId="0" borderId="1" xfId="7" applyFont="1" applyFill="1" applyBorder="1" applyAlignment="1">
      <alignment horizontal="left" vertical="center" wrapText="1"/>
    </xf>
    <xf numFmtId="49" fontId="9" fillId="0" borderId="1" xfId="7" applyNumberFormat="1" applyFont="1" applyFill="1" applyBorder="1" applyAlignment="1">
      <alignment horizontal="center" vertical="center" wrapText="1"/>
    </xf>
    <xf numFmtId="0" fontId="9" fillId="0" borderId="1" xfId="7" applyFont="1" applyFill="1" applyBorder="1" applyAlignment="1">
      <alignment vertical="center" wrapText="1"/>
    </xf>
    <xf numFmtId="3" fontId="9" fillId="0" borderId="1" xfId="7" applyNumberFormat="1" applyFont="1" applyFill="1" applyBorder="1" applyAlignment="1">
      <alignment vertical="center"/>
    </xf>
    <xf numFmtId="167" fontId="9" fillId="0" borderId="1" xfId="7" applyNumberFormat="1" applyFont="1" applyFill="1" applyBorder="1" applyAlignment="1">
      <alignment vertical="center"/>
    </xf>
    <xf numFmtId="0" fontId="13" fillId="0" borderId="1" xfId="9" applyFont="1" applyFill="1" applyBorder="1" applyAlignment="1">
      <alignment horizontal="left" vertical="center" wrapText="1"/>
    </xf>
    <xf numFmtId="0" fontId="9" fillId="0" borderId="1" xfId="9" applyFont="1" applyFill="1" applyBorder="1" applyAlignment="1">
      <alignment horizontal="left" vertical="center" wrapText="1"/>
    </xf>
    <xf numFmtId="0" fontId="9" fillId="0" borderId="1" xfId="9" applyFont="1" applyFill="1" applyBorder="1" applyAlignment="1">
      <alignment vertical="center" wrapText="1"/>
    </xf>
    <xf numFmtId="3" fontId="9" fillId="0" borderId="1" xfId="9" applyNumberFormat="1" applyFont="1" applyFill="1" applyBorder="1" applyAlignment="1">
      <alignment vertical="center"/>
    </xf>
    <xf numFmtId="0" fontId="9" fillId="0" borderId="1" xfId="9" applyFont="1" applyFill="1" applyBorder="1" applyAlignment="1">
      <alignment horizontal="center" vertical="center" wrapText="1"/>
    </xf>
    <xf numFmtId="3" fontId="9" fillId="0" borderId="1" xfId="9" applyNumberFormat="1" applyFont="1" applyFill="1" applyBorder="1" applyAlignment="1">
      <alignment horizontal="right" vertical="center"/>
    </xf>
    <xf numFmtId="3" fontId="9" fillId="0" borderId="1" xfId="9" applyNumberFormat="1" applyFont="1" applyFill="1" applyBorder="1" applyAlignment="1">
      <alignment vertical="center" wrapText="1"/>
    </xf>
    <xf numFmtId="3" fontId="9" fillId="0" borderId="1" xfId="9" applyNumberFormat="1" applyFont="1" applyFill="1" applyBorder="1" applyAlignment="1">
      <alignment horizontal="center" vertical="center"/>
    </xf>
    <xf numFmtId="4" fontId="9" fillId="0" borderId="1" xfId="9" applyNumberFormat="1" applyFont="1" applyFill="1" applyBorder="1" applyAlignment="1">
      <alignment horizontal="center" vertical="center"/>
    </xf>
    <xf numFmtId="0" fontId="9" fillId="0" borderId="1" xfId="7" applyFont="1" applyFill="1" applyBorder="1" applyAlignment="1">
      <alignment horizontal="center" vertical="center" wrapText="1"/>
    </xf>
    <xf numFmtId="49" fontId="9" fillId="0" borderId="1" xfId="7" applyNumberFormat="1" applyFont="1" applyFill="1" applyBorder="1" applyAlignment="1">
      <alignment horizontal="left" vertical="center" wrapText="1"/>
    </xf>
    <xf numFmtId="49" fontId="13" fillId="0" borderId="1" xfId="7" applyNumberFormat="1" applyFont="1" applyFill="1" applyBorder="1" applyAlignment="1">
      <alignment horizontal="left" vertical="center" wrapText="1"/>
    </xf>
    <xf numFmtId="3" fontId="9" fillId="0" borderId="1" xfId="7" applyNumberFormat="1" applyFont="1" applyFill="1" applyBorder="1" applyAlignment="1">
      <alignment horizontal="center" vertical="center"/>
    </xf>
    <xf numFmtId="3" fontId="9" fillId="0" borderId="1" xfId="0" applyNumberFormat="1" applyFont="1" applyFill="1" applyBorder="1" applyAlignment="1">
      <alignment horizontal="right" vertical="center"/>
    </xf>
    <xf numFmtId="3" fontId="9" fillId="0" borderId="1" xfId="0" applyNumberFormat="1" applyFont="1" applyFill="1" applyBorder="1" applyAlignment="1">
      <alignment horizontal="center" vertical="center"/>
    </xf>
    <xf numFmtId="2" fontId="9" fillId="0" borderId="1" xfId="0" applyNumberFormat="1" applyFont="1" applyFill="1" applyBorder="1" applyAlignment="1">
      <alignment vertical="center"/>
    </xf>
    <xf numFmtId="164" fontId="9" fillId="0" borderId="1" xfId="1" applyFont="1" applyFill="1" applyBorder="1" applyAlignment="1">
      <alignment horizontal="right" vertical="center"/>
    </xf>
    <xf numFmtId="0" fontId="13" fillId="0" borderId="3" xfId="2" applyFont="1" applyFill="1" applyBorder="1" applyAlignment="1">
      <alignment horizontal="center" vertical="center"/>
    </xf>
    <xf numFmtId="0" fontId="9" fillId="0" borderId="0" xfId="2" applyFont="1" applyFill="1" applyBorder="1" applyAlignment="1">
      <alignment vertical="center" wrapText="1"/>
    </xf>
    <xf numFmtId="0" fontId="9" fillId="0" borderId="1" xfId="9" applyFont="1" applyFill="1" applyBorder="1" applyAlignment="1">
      <alignment vertical="center"/>
    </xf>
    <xf numFmtId="0" fontId="9" fillId="0" borderId="1" xfId="0" applyFont="1" applyFill="1" applyBorder="1" applyAlignment="1">
      <alignment vertical="center"/>
    </xf>
    <xf numFmtId="169" fontId="11" fillId="0" borderId="1" xfId="0" applyNumberFormat="1" applyFont="1" applyFill="1" applyBorder="1" applyAlignment="1">
      <alignment vertical="center"/>
    </xf>
    <xf numFmtId="0" fontId="11" fillId="0" borderId="1" xfId="0" applyFont="1" applyFill="1" applyBorder="1" applyAlignment="1">
      <alignment vertical="center"/>
    </xf>
    <xf numFmtId="0" fontId="9" fillId="0" borderId="0" xfId="0" applyFont="1" applyFill="1" applyBorder="1" applyAlignment="1">
      <alignment vertical="center" wrapText="1"/>
    </xf>
    <xf numFmtId="2" fontId="9" fillId="0" borderId="1" xfId="2" applyNumberFormat="1" applyFont="1" applyFill="1" applyBorder="1" applyAlignment="1">
      <alignment horizontal="center" vertical="center" wrapText="1"/>
    </xf>
    <xf numFmtId="2" fontId="13" fillId="0" borderId="1" xfId="2" applyNumberFormat="1" applyFont="1" applyFill="1" applyBorder="1" applyAlignment="1">
      <alignment horizontal="center" vertical="center"/>
    </xf>
    <xf numFmtId="0" fontId="17" fillId="0" borderId="1" xfId="2" applyFont="1" applyFill="1" applyBorder="1" applyAlignment="1">
      <alignment vertical="center"/>
    </xf>
    <xf numFmtId="1" fontId="13" fillId="0" borderId="1" xfId="2" applyNumberFormat="1" applyFont="1" applyFill="1" applyBorder="1" applyAlignment="1">
      <alignment horizontal="center" vertical="center"/>
    </xf>
    <xf numFmtId="3" fontId="9" fillId="0" borderId="1" xfId="0" applyNumberFormat="1" applyFont="1" applyFill="1" applyBorder="1" applyAlignment="1">
      <alignment vertical="center" wrapText="1"/>
    </xf>
    <xf numFmtId="166" fontId="21" fillId="0" borderId="1" xfId="4" applyNumberFormat="1" applyFont="1" applyFill="1" applyBorder="1" applyAlignment="1">
      <alignment horizontal="right" vertical="center"/>
    </xf>
    <xf numFmtId="0" fontId="21" fillId="0" borderId="1" xfId="2" applyFont="1" applyFill="1" applyBorder="1" applyAlignment="1">
      <alignment horizontal="center" vertical="center"/>
    </xf>
    <xf numFmtId="0" fontId="21" fillId="0" borderId="1" xfId="2" applyFont="1" applyFill="1" applyBorder="1" applyAlignment="1">
      <alignment horizontal="left" vertical="center" wrapText="1"/>
    </xf>
    <xf numFmtId="169" fontId="21" fillId="0" borderId="1" xfId="2" applyNumberFormat="1" applyFont="1" applyFill="1" applyBorder="1" applyAlignment="1">
      <alignment vertical="center"/>
    </xf>
    <xf numFmtId="169" fontId="21" fillId="0" borderId="1" xfId="2" applyNumberFormat="1" applyFont="1" applyFill="1" applyBorder="1" applyAlignment="1">
      <alignment horizontal="center" vertical="center"/>
    </xf>
    <xf numFmtId="2" fontId="21" fillId="0" borderId="1" xfId="2" applyNumberFormat="1" applyFont="1" applyFill="1" applyBorder="1" applyAlignment="1">
      <alignment vertical="center"/>
    </xf>
    <xf numFmtId="0" fontId="9" fillId="0" borderId="1" xfId="3" applyFont="1" applyFill="1" applyBorder="1" applyAlignment="1">
      <alignment vertical="center"/>
    </xf>
    <xf numFmtId="164" fontId="21" fillId="0" borderId="1" xfId="0" applyNumberFormat="1" applyFont="1" applyFill="1" applyBorder="1" applyAlignment="1">
      <alignment horizontal="right" vertical="center" wrapText="1"/>
    </xf>
    <xf numFmtId="171" fontId="21" fillId="0" borderId="1" xfId="0" applyNumberFormat="1" applyFont="1" applyFill="1" applyBorder="1" applyAlignment="1">
      <alignment horizontal="right" vertical="center" wrapText="1"/>
    </xf>
    <xf numFmtId="2" fontId="21" fillId="0" borderId="1" xfId="0" applyNumberFormat="1" applyFont="1" applyFill="1" applyBorder="1" applyAlignment="1">
      <alignment vertical="center"/>
    </xf>
    <xf numFmtId="0" fontId="5"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vertical="center"/>
    </xf>
    <xf numFmtId="169" fontId="21" fillId="0" borderId="1" xfId="0" applyNumberFormat="1" applyFont="1" applyFill="1" applyBorder="1" applyAlignment="1">
      <alignment horizontal="right" vertical="center"/>
    </xf>
    <xf numFmtId="2" fontId="9" fillId="0" borderId="1" xfId="2" applyNumberFormat="1" applyFont="1" applyFill="1" applyBorder="1" applyAlignment="1">
      <alignment vertical="center" wrapText="1"/>
    </xf>
    <xf numFmtId="170" fontId="21" fillId="0" borderId="1" xfId="0" applyNumberFormat="1" applyFont="1" applyFill="1" applyBorder="1" applyAlignment="1">
      <alignment horizontal="center" vertical="center" wrapText="1"/>
    </xf>
    <xf numFmtId="171" fontId="21" fillId="0" borderId="1" xfId="0" applyNumberFormat="1" applyFont="1" applyFill="1" applyBorder="1" applyAlignment="1">
      <alignment vertical="center"/>
    </xf>
    <xf numFmtId="171" fontId="21" fillId="0" borderId="1" xfId="0" applyNumberFormat="1" applyFont="1" applyFill="1" applyBorder="1" applyAlignment="1">
      <alignment vertical="center" wrapText="1"/>
    </xf>
    <xf numFmtId="0" fontId="26" fillId="0" borderId="1" xfId="0" applyFont="1" applyFill="1" applyBorder="1" applyAlignment="1">
      <alignment vertical="center"/>
    </xf>
    <xf numFmtId="0" fontId="26" fillId="0" borderId="1" xfId="0" applyFont="1" applyFill="1" applyBorder="1" applyAlignment="1">
      <alignment vertical="center" wrapText="1"/>
    </xf>
    <xf numFmtId="170" fontId="11" fillId="0" borderId="1" xfId="0" applyNumberFormat="1" applyFont="1" applyFill="1" applyBorder="1" applyAlignment="1">
      <alignment vertical="center"/>
    </xf>
    <xf numFmtId="0" fontId="11" fillId="0" borderId="1" xfId="0" applyFont="1" applyFill="1" applyBorder="1" applyAlignment="1">
      <alignment vertical="center" wrapText="1"/>
    </xf>
    <xf numFmtId="164" fontId="9" fillId="0" borderId="1" xfId="0" applyNumberFormat="1" applyFont="1" applyFill="1" applyBorder="1" applyAlignment="1">
      <alignment horizontal="right" vertical="center" wrapText="1"/>
    </xf>
    <xf numFmtId="0" fontId="5" fillId="0" borderId="1" xfId="0" applyFont="1" applyFill="1" applyBorder="1" applyAlignment="1">
      <alignment vertical="center"/>
    </xf>
    <xf numFmtId="2" fontId="7" fillId="0" borderId="2" xfId="2" applyNumberFormat="1" applyFont="1" applyFill="1" applyBorder="1" applyAlignment="1">
      <alignment horizontal="center" vertical="center" wrapText="1"/>
    </xf>
    <xf numFmtId="0" fontId="13" fillId="0" borderId="2" xfId="2" applyFont="1" applyFill="1" applyBorder="1" applyAlignment="1">
      <alignment horizontal="center" vertical="center" wrapText="1"/>
    </xf>
    <xf numFmtId="0" fontId="15" fillId="0" borderId="4" xfId="2" applyFont="1" applyFill="1" applyBorder="1" applyAlignment="1">
      <alignment horizontal="center" vertical="center"/>
    </xf>
    <xf numFmtId="0" fontId="13" fillId="0" borderId="4" xfId="0" applyFont="1" applyFill="1" applyBorder="1" applyAlignment="1">
      <alignment horizontal="left" vertical="center" wrapText="1"/>
    </xf>
    <xf numFmtId="0" fontId="9" fillId="0" borderId="4" xfId="3" applyFont="1" applyFill="1" applyBorder="1" applyAlignment="1">
      <alignment horizontal="center" vertical="center" wrapText="1"/>
    </xf>
    <xf numFmtId="0" fontId="9" fillId="0" borderId="4" xfId="2" applyFont="1" applyFill="1" applyBorder="1" applyAlignment="1">
      <alignment horizontal="center" vertical="center" wrapText="1"/>
    </xf>
    <xf numFmtId="0" fontId="9" fillId="0" borderId="4" xfId="0" applyFont="1" applyFill="1" applyBorder="1" applyAlignment="1">
      <alignment vertical="center" wrapText="1"/>
    </xf>
    <xf numFmtId="164" fontId="9" fillId="0" borderId="4" xfId="4" applyNumberFormat="1" applyFont="1" applyFill="1" applyBorder="1" applyAlignment="1">
      <alignment horizontal="center" vertical="center" wrapText="1"/>
    </xf>
    <xf numFmtId="166" fontId="9" fillId="0" borderId="4" xfId="4" applyNumberFormat="1" applyFont="1" applyFill="1" applyBorder="1" applyAlignment="1">
      <alignment horizontal="right" vertical="center" wrapText="1"/>
    </xf>
    <xf numFmtId="166" fontId="9" fillId="0" borderId="4" xfId="4" applyNumberFormat="1" applyFont="1" applyFill="1" applyBorder="1" applyAlignment="1">
      <alignment vertical="center" wrapText="1"/>
    </xf>
    <xf numFmtId="0" fontId="9" fillId="0" borderId="4" xfId="3" applyFont="1" applyFill="1" applyBorder="1" applyAlignment="1">
      <alignment vertical="center" wrapText="1"/>
    </xf>
    <xf numFmtId="3" fontId="9" fillId="0" borderId="4" xfId="4" applyNumberFormat="1" applyFont="1" applyFill="1" applyBorder="1" applyAlignment="1">
      <alignment vertical="center" wrapText="1"/>
    </xf>
    <xf numFmtId="0" fontId="9" fillId="0" borderId="4" xfId="2" applyFont="1" applyFill="1" applyBorder="1" applyAlignment="1">
      <alignment horizontal="left" vertical="center" wrapText="1"/>
    </xf>
    <xf numFmtId="164" fontId="9" fillId="0" borderId="4" xfId="1" applyFont="1" applyFill="1" applyBorder="1" applyAlignment="1">
      <alignment vertical="center" wrapText="1"/>
    </xf>
    <xf numFmtId="3" fontId="9" fillId="0" borderId="4" xfId="4" applyNumberFormat="1" applyFont="1" applyFill="1" applyBorder="1" applyAlignment="1">
      <alignment horizontal="center" vertical="center" wrapText="1"/>
    </xf>
    <xf numFmtId="3" fontId="13" fillId="0" borderId="4" xfId="4" applyNumberFormat="1" applyFont="1" applyFill="1" applyBorder="1" applyAlignment="1">
      <alignment vertical="center" wrapText="1"/>
    </xf>
    <xf numFmtId="0" fontId="9" fillId="0" borderId="4" xfId="2" applyFont="1" applyFill="1" applyBorder="1" applyAlignment="1">
      <alignment vertical="center" wrapText="1"/>
    </xf>
    <xf numFmtId="169" fontId="7" fillId="0" borderId="2" xfId="2" applyNumberFormat="1" applyFont="1" applyFill="1" applyBorder="1" applyAlignment="1">
      <alignment horizontal="centerContinuous" vertical="center" wrapText="1"/>
    </xf>
    <xf numFmtId="0" fontId="7" fillId="0" borderId="5" xfId="2" applyFont="1" applyFill="1" applyBorder="1" applyAlignment="1">
      <alignment horizontal="center" vertical="center"/>
    </xf>
    <xf numFmtId="0" fontId="7" fillId="0" borderId="6" xfId="2" applyFont="1" applyFill="1" applyBorder="1" applyAlignment="1">
      <alignment horizontal="center" vertical="center" wrapText="1"/>
    </xf>
    <xf numFmtId="0" fontId="13" fillId="0" borderId="6" xfId="2" applyFont="1" applyFill="1" applyBorder="1" applyAlignment="1">
      <alignment horizontal="center" vertical="center" wrapText="1"/>
    </xf>
    <xf numFmtId="169" fontId="7" fillId="0" borderId="6" xfId="2" applyNumberFormat="1" applyFont="1" applyFill="1" applyBorder="1" applyAlignment="1">
      <alignment horizontal="center" vertical="center" wrapText="1"/>
    </xf>
    <xf numFmtId="2" fontId="7" fillId="0" borderId="6" xfId="2" applyNumberFormat="1" applyFont="1" applyFill="1" applyBorder="1" applyAlignment="1">
      <alignment horizontal="center" vertical="center"/>
    </xf>
    <xf numFmtId="0" fontId="7" fillId="0" borderId="6" xfId="2" applyFont="1" applyFill="1" applyBorder="1" applyAlignment="1">
      <alignment horizontal="center" vertical="center"/>
    </xf>
    <xf numFmtId="170" fontId="7" fillId="0" borderId="6" xfId="1" applyNumberFormat="1" applyFont="1" applyFill="1" applyBorder="1" applyAlignment="1">
      <alignment horizontal="center" vertical="center"/>
    </xf>
    <xf numFmtId="2" fontId="7" fillId="0" borderId="6" xfId="2" applyNumberFormat="1" applyFont="1" applyFill="1" applyBorder="1" applyAlignment="1">
      <alignment horizontal="center" vertical="center" wrapText="1"/>
    </xf>
    <xf numFmtId="3" fontId="7" fillId="0" borderId="6" xfId="0" applyNumberFormat="1" applyFont="1" applyFill="1" applyBorder="1" applyAlignment="1">
      <alignment horizontal="center" vertical="center" wrapText="1"/>
    </xf>
    <xf numFmtId="4" fontId="7" fillId="0" borderId="6" xfId="2" applyNumberFormat="1" applyFont="1" applyFill="1" applyBorder="1" applyAlignment="1">
      <alignment horizontal="center" vertical="center"/>
    </xf>
    <xf numFmtId="0" fontId="7" fillId="0" borderId="7" xfId="2" applyFont="1" applyFill="1" applyBorder="1" applyAlignment="1">
      <alignment horizontal="center" vertical="center"/>
    </xf>
    <xf numFmtId="0" fontId="13" fillId="0" borderId="2" xfId="2" applyFont="1" applyFill="1" applyBorder="1" applyAlignment="1">
      <alignment horizontal="centerContinuous" vertical="center" wrapText="1"/>
    </xf>
    <xf numFmtId="0" fontId="13" fillId="0" borderId="6" xfId="2" applyFont="1" applyFill="1" applyBorder="1" applyAlignment="1">
      <alignment horizontal="centerContinuous" vertical="center" wrapText="1"/>
    </xf>
    <xf numFmtId="0" fontId="27" fillId="0" borderId="0" xfId="12" applyFont="1" applyFill="1"/>
    <xf numFmtId="0" fontId="27" fillId="0" borderId="0" xfId="0" applyFont="1" applyFill="1"/>
    <xf numFmtId="0" fontId="27" fillId="0" borderId="0" xfId="10" applyFont="1" applyFill="1"/>
    <xf numFmtId="0" fontId="27" fillId="0" borderId="0" xfId="10" applyFont="1" applyFill="1" applyAlignment="1">
      <alignment wrapText="1"/>
    </xf>
    <xf numFmtId="0" fontId="27" fillId="0" borderId="0" xfId="2" applyFont="1" applyFill="1"/>
    <xf numFmtId="166" fontId="27" fillId="0" borderId="0" xfId="13" applyNumberFormat="1" applyFont="1" applyFill="1" applyBorder="1"/>
    <xf numFmtId="43" fontId="27" fillId="0" borderId="0" xfId="13" applyFont="1" applyFill="1" applyBorder="1" applyAlignment="1">
      <alignment horizontal="right"/>
    </xf>
    <xf numFmtId="0" fontId="27" fillId="0" borderId="0" xfId="12" applyFont="1" applyFill="1" applyAlignment="1">
      <alignment horizontal="left"/>
    </xf>
    <xf numFmtId="166" fontId="27" fillId="0" borderId="0" xfId="13" applyNumberFormat="1" applyFont="1" applyFill="1"/>
    <xf numFmtId="43" fontId="27" fillId="0" borderId="0" xfId="13" applyFont="1" applyFill="1" applyAlignment="1">
      <alignment horizontal="right"/>
    </xf>
    <xf numFmtId="0" fontId="28" fillId="0" borderId="1" xfId="2" applyFont="1" applyFill="1" applyBorder="1" applyAlignment="1">
      <alignment vertical="center"/>
    </xf>
    <xf numFmtId="0" fontId="9" fillId="2" borderId="1" xfId="2" applyFont="1" applyFill="1" applyBorder="1" applyAlignment="1">
      <alignment vertical="center" wrapText="1"/>
    </xf>
    <xf numFmtId="0" fontId="28" fillId="0" borderId="1" xfId="2" applyFont="1" applyFill="1" applyBorder="1" applyAlignment="1">
      <alignment horizontal="center" vertical="center"/>
    </xf>
    <xf numFmtId="0" fontId="29" fillId="0" borderId="1" xfId="2" applyFont="1" applyFill="1" applyBorder="1" applyAlignment="1">
      <alignment horizontal="center" vertical="center"/>
    </xf>
    <xf numFmtId="0" fontId="28" fillId="0" borderId="1" xfId="2" applyFont="1" applyFill="1" applyBorder="1" applyAlignment="1">
      <alignment vertical="center" wrapText="1"/>
    </xf>
    <xf numFmtId="169" fontId="28" fillId="0" borderId="1" xfId="2" applyNumberFormat="1" applyFont="1" applyFill="1" applyBorder="1" applyAlignment="1">
      <alignment horizontal="center" vertical="center"/>
    </xf>
    <xf numFmtId="166" fontId="28" fillId="0" borderId="1" xfId="4" applyNumberFormat="1" applyFont="1" applyFill="1" applyBorder="1" applyAlignment="1">
      <alignment horizontal="right" vertical="center"/>
    </xf>
    <xf numFmtId="166" fontId="28" fillId="0" borderId="1" xfId="4" applyNumberFormat="1" applyFont="1" applyFill="1" applyBorder="1" applyAlignment="1">
      <alignment vertical="center"/>
    </xf>
    <xf numFmtId="3" fontId="28" fillId="0" borderId="1" xfId="4" applyNumberFormat="1" applyFont="1" applyFill="1" applyBorder="1" applyAlignment="1">
      <alignment vertical="center"/>
    </xf>
    <xf numFmtId="0" fontId="28" fillId="0" borderId="1" xfId="2" applyFont="1" applyFill="1" applyBorder="1" applyAlignment="1">
      <alignment horizontal="left" vertical="center" wrapText="1"/>
    </xf>
    <xf numFmtId="164" fontId="28" fillId="0" borderId="1" xfId="1" applyFont="1" applyFill="1" applyBorder="1" applyAlignment="1">
      <alignment vertical="center"/>
    </xf>
    <xf numFmtId="2" fontId="28" fillId="0" borderId="1" xfId="2" applyNumberFormat="1" applyFont="1" applyFill="1" applyBorder="1" applyAlignment="1">
      <alignment vertical="center"/>
    </xf>
    <xf numFmtId="166" fontId="28" fillId="0" borderId="1" xfId="4" applyNumberFormat="1" applyFont="1" applyFill="1" applyBorder="1" applyAlignment="1">
      <alignment vertical="center" wrapText="1"/>
    </xf>
    <xf numFmtId="0" fontId="28" fillId="0" borderId="1" xfId="2" applyFont="1" applyFill="1" applyBorder="1" applyAlignment="1">
      <alignment horizontal="center" vertical="center" wrapText="1"/>
    </xf>
    <xf numFmtId="3" fontId="28" fillId="0" borderId="1" xfId="4" applyNumberFormat="1" applyFont="1" applyFill="1" applyBorder="1" applyAlignment="1">
      <alignment horizontal="center" vertical="center" wrapText="1"/>
    </xf>
    <xf numFmtId="166" fontId="29" fillId="0" borderId="1" xfId="4" applyNumberFormat="1" applyFont="1" applyFill="1" applyBorder="1" applyAlignment="1">
      <alignment vertical="center"/>
    </xf>
    <xf numFmtId="0" fontId="28" fillId="0" borderId="0" xfId="0" applyFont="1" applyFill="1"/>
    <xf numFmtId="2" fontId="28" fillId="0" borderId="1" xfId="2" applyNumberFormat="1" applyFont="1" applyFill="1" applyBorder="1" applyAlignment="1">
      <alignment horizontal="center" vertical="center"/>
    </xf>
    <xf numFmtId="164" fontId="28" fillId="0" borderId="1" xfId="4" applyNumberFormat="1" applyFont="1" applyFill="1" applyBorder="1" applyAlignment="1">
      <alignment horizontal="center" vertical="center"/>
    </xf>
    <xf numFmtId="3" fontId="13" fillId="0" borderId="1" xfId="4" applyNumberFormat="1" applyFont="1" applyFill="1" applyBorder="1" applyAlignment="1">
      <alignment horizontal="center" vertical="center" wrapText="1"/>
    </xf>
    <xf numFmtId="0" fontId="16" fillId="0" borderId="1" xfId="2" applyFont="1" applyFill="1" applyBorder="1" applyAlignment="1">
      <alignment horizontal="center" vertical="center" wrapText="1"/>
    </xf>
    <xf numFmtId="166" fontId="21" fillId="0" borderId="1" xfId="4" applyNumberFormat="1" applyFont="1" applyFill="1" applyBorder="1" applyAlignment="1">
      <alignment vertical="center" wrapText="1"/>
    </xf>
    <xf numFmtId="0" fontId="27" fillId="0" borderId="0" xfId="0" applyFont="1" applyFill="1" applyAlignment="1">
      <alignment wrapText="1"/>
    </xf>
    <xf numFmtId="0" fontId="21" fillId="2" borderId="1" xfId="2" applyFont="1" applyFill="1" applyBorder="1" applyAlignment="1">
      <alignment vertical="center"/>
    </xf>
    <xf numFmtId="0" fontId="9" fillId="0" borderId="1" xfId="14" applyFont="1" applyFill="1" applyBorder="1" applyAlignment="1">
      <alignment vertical="center"/>
    </xf>
    <xf numFmtId="164" fontId="9" fillId="0" borderId="1" xfId="1" applyFont="1" applyFill="1" applyBorder="1" applyAlignment="1">
      <alignment horizontal="center" wrapText="1"/>
    </xf>
    <xf numFmtId="0" fontId="29" fillId="0" borderId="1" xfId="2" applyFont="1" applyFill="1" applyBorder="1" applyAlignment="1">
      <alignment vertical="center" wrapText="1"/>
    </xf>
    <xf numFmtId="0" fontId="28" fillId="0" borderId="1" xfId="0" applyFont="1" applyFill="1" applyBorder="1" applyAlignment="1">
      <alignment vertical="center" wrapText="1"/>
    </xf>
    <xf numFmtId="169" fontId="28" fillId="0" borderId="1" xfId="1" applyNumberFormat="1" applyFont="1" applyFill="1" applyBorder="1" applyAlignment="1">
      <alignment vertical="center" wrapText="1"/>
    </xf>
    <xf numFmtId="0" fontId="9" fillId="2" borderId="1" xfId="0" applyFont="1" applyFill="1" applyBorder="1" applyAlignment="1">
      <alignment vertical="center" wrapText="1"/>
    </xf>
    <xf numFmtId="2" fontId="27" fillId="0" borderId="0" xfId="11" applyNumberFormat="1" applyFont="1" applyFill="1" applyAlignment="1">
      <alignment horizontal="center" vertical="center" wrapText="1"/>
    </xf>
    <xf numFmtId="0" fontId="21" fillId="0" borderId="8" xfId="2" applyFont="1" applyFill="1" applyBorder="1" applyAlignment="1">
      <alignment vertical="center" wrapText="1"/>
    </xf>
    <xf numFmtId="0" fontId="21" fillId="0" borderId="8" xfId="0" applyFont="1" applyFill="1" applyBorder="1" applyAlignment="1">
      <alignment vertical="center" wrapText="1"/>
    </xf>
    <xf numFmtId="0" fontId="21" fillId="2" borderId="8" xfId="0" applyFont="1" applyFill="1" applyBorder="1" applyAlignment="1">
      <alignment vertical="center" wrapText="1"/>
    </xf>
    <xf numFmtId="0" fontId="7" fillId="0" borderId="8" xfId="2" applyFont="1" applyFill="1" applyBorder="1" applyAlignment="1">
      <alignment horizontal="center" vertical="center"/>
    </xf>
    <xf numFmtId="0" fontId="21" fillId="0" borderId="8" xfId="0" applyFont="1" applyFill="1" applyBorder="1" applyAlignment="1">
      <alignment horizontal="left" vertical="center" wrapText="1"/>
    </xf>
    <xf numFmtId="166" fontId="21" fillId="0" borderId="8" xfId="0" applyNumberFormat="1" applyFont="1" applyFill="1" applyBorder="1" applyAlignment="1">
      <alignment horizontal="center" vertical="center" wrapText="1"/>
    </xf>
    <xf numFmtId="171" fontId="21" fillId="0" borderId="8" xfId="0" applyNumberFormat="1" applyFont="1" applyFill="1" applyBorder="1" applyAlignment="1">
      <alignment horizontal="right" vertical="center" wrapText="1"/>
    </xf>
    <xf numFmtId="166" fontId="21" fillId="0" borderId="8" xfId="4" applyNumberFormat="1" applyFont="1" applyFill="1" applyBorder="1" applyAlignment="1">
      <alignment horizontal="right" vertical="center"/>
    </xf>
    <xf numFmtId="0" fontId="21" fillId="0" borderId="8" xfId="9" applyFont="1" applyFill="1" applyBorder="1" applyAlignment="1">
      <alignment vertical="center" wrapText="1"/>
    </xf>
    <xf numFmtId="3" fontId="21" fillId="0" borderId="8" xfId="0" applyNumberFormat="1" applyFont="1" applyFill="1" applyBorder="1" applyAlignment="1">
      <alignment vertical="center"/>
    </xf>
    <xf numFmtId="0" fontId="21" fillId="0" borderId="8" xfId="3" applyFont="1" applyFill="1" applyBorder="1" applyAlignment="1">
      <alignment vertical="center" wrapText="1"/>
    </xf>
    <xf numFmtId="0" fontId="33" fillId="0" borderId="8" xfId="2" applyFont="1" applyFill="1" applyBorder="1" applyAlignment="1">
      <alignment vertical="center" wrapText="1"/>
    </xf>
    <xf numFmtId="0" fontId="21" fillId="2" borderId="8" xfId="0" applyFont="1" applyFill="1" applyBorder="1" applyAlignment="1">
      <alignment horizontal="left" vertical="center" wrapText="1"/>
    </xf>
    <xf numFmtId="166" fontId="21" fillId="2" borderId="8" xfId="0" applyNumberFormat="1" applyFont="1" applyFill="1" applyBorder="1" applyAlignment="1">
      <alignment horizontal="center" vertical="center" wrapText="1"/>
    </xf>
    <xf numFmtId="0" fontId="21" fillId="0" borderId="8" xfId="0" applyFont="1" applyFill="1" applyBorder="1" applyAlignment="1">
      <alignment vertical="center"/>
    </xf>
    <xf numFmtId="0" fontId="31" fillId="0" borderId="8" xfId="0" applyFont="1" applyFill="1" applyBorder="1" applyAlignment="1">
      <alignment vertical="center" wrapText="1"/>
    </xf>
    <xf numFmtId="0" fontId="21" fillId="0" borderId="8" xfId="7" applyFont="1" applyFill="1" applyBorder="1" applyAlignment="1">
      <alignment vertical="center" wrapText="1"/>
    </xf>
    <xf numFmtId="3" fontId="7" fillId="0" borderId="8" xfId="2" applyNumberFormat="1" applyFont="1" applyFill="1" applyBorder="1" applyAlignment="1">
      <alignment horizontal="center" vertical="center"/>
    </xf>
    <xf numFmtId="3" fontId="0" fillId="0" borderId="0" xfId="0" applyNumberFormat="1"/>
    <xf numFmtId="0" fontId="0" fillId="3" borderId="0" xfId="0" applyFill="1"/>
    <xf numFmtId="3" fontId="0" fillId="0" borderId="8" xfId="0" applyNumberFormat="1" applyFill="1" applyBorder="1"/>
    <xf numFmtId="0" fontId="0" fillId="0" borderId="0" xfId="0" applyFill="1"/>
    <xf numFmtId="0" fontId="11" fillId="0" borderId="0" xfId="0" applyFont="1"/>
    <xf numFmtId="0" fontId="21" fillId="3" borderId="8" xfId="3" applyFont="1" applyFill="1" applyBorder="1" applyAlignment="1">
      <alignment vertical="center" wrapText="1"/>
    </xf>
    <xf numFmtId="0" fontId="21" fillId="4" borderId="8" xfId="0" applyFont="1" applyFill="1" applyBorder="1" applyAlignment="1">
      <alignment horizontal="left" vertical="center" wrapText="1"/>
    </xf>
    <xf numFmtId="0" fontId="11" fillId="4" borderId="0" xfId="0" applyFont="1" applyFill="1"/>
    <xf numFmtId="0" fontId="21" fillId="3" borderId="8" xfId="0" applyFont="1" applyFill="1" applyBorder="1" applyAlignment="1">
      <alignment horizontal="left" vertical="center" wrapText="1"/>
    </xf>
    <xf numFmtId="0" fontId="21" fillId="3" borderId="8" xfId="9" applyFont="1" applyFill="1" applyBorder="1" applyAlignment="1">
      <alignment vertical="center" wrapText="1"/>
    </xf>
    <xf numFmtId="0" fontId="21" fillId="5" borderId="8" xfId="2" applyFont="1" applyFill="1" applyBorder="1" applyAlignment="1">
      <alignment vertical="center" wrapText="1"/>
    </xf>
    <xf numFmtId="0" fontId="0" fillId="5" borderId="0" xfId="0" applyFill="1"/>
    <xf numFmtId="43" fontId="21" fillId="4" borderId="8" xfId="0" applyNumberFormat="1" applyFont="1" applyFill="1" applyBorder="1" applyAlignment="1">
      <alignment horizontal="center" vertical="center" wrapText="1"/>
    </xf>
    <xf numFmtId="43" fontId="21" fillId="0" borderId="8" xfId="0" applyNumberFormat="1" applyFont="1" applyFill="1" applyBorder="1" applyAlignment="1">
      <alignment horizontal="center" vertical="center" wrapText="1"/>
    </xf>
    <xf numFmtId="43" fontId="21" fillId="0" borderId="8" xfId="0" applyNumberFormat="1" applyFont="1" applyFill="1" applyBorder="1" applyAlignment="1">
      <alignment horizontal="right" vertical="center" wrapText="1"/>
    </xf>
    <xf numFmtId="43" fontId="21" fillId="0" borderId="8" xfId="4" applyNumberFormat="1" applyFont="1" applyFill="1" applyBorder="1" applyAlignment="1">
      <alignment horizontal="right" vertical="center"/>
    </xf>
    <xf numFmtId="43" fontId="21" fillId="5" borderId="8" xfId="0" applyNumberFormat="1" applyFont="1" applyFill="1" applyBorder="1" applyAlignment="1">
      <alignment vertical="center"/>
    </xf>
    <xf numFmtId="43" fontId="21" fillId="0" borderId="8" xfId="0" applyNumberFormat="1" applyFont="1" applyFill="1" applyBorder="1" applyAlignment="1">
      <alignment vertical="center"/>
    </xf>
    <xf numFmtId="43" fontId="31" fillId="0" borderId="8" xfId="0" applyNumberFormat="1" applyFont="1" applyFill="1" applyBorder="1" applyAlignment="1">
      <alignment horizontal="right" vertical="center" wrapText="1"/>
    </xf>
    <xf numFmtId="43" fontId="21" fillId="3" borderId="8" xfId="0" applyNumberFormat="1" applyFont="1" applyFill="1" applyBorder="1" applyAlignment="1">
      <alignment vertical="center"/>
    </xf>
    <xf numFmtId="43" fontId="33" fillId="0" borderId="8" xfId="4" applyNumberFormat="1" applyFont="1" applyFill="1" applyBorder="1" applyAlignment="1">
      <alignment horizontal="right" vertical="center"/>
    </xf>
    <xf numFmtId="43" fontId="21" fillId="3" borderId="8" xfId="0" applyNumberFormat="1" applyFont="1" applyFill="1" applyBorder="1" applyAlignment="1">
      <alignment horizontal="center" vertical="center" wrapText="1"/>
    </xf>
    <xf numFmtId="43" fontId="21" fillId="3" borderId="8" xfId="4" applyNumberFormat="1" applyFont="1" applyFill="1" applyBorder="1" applyAlignment="1">
      <alignment horizontal="right" vertical="center"/>
    </xf>
    <xf numFmtId="43" fontId="21" fillId="2" borderId="8" xfId="0" applyNumberFormat="1" applyFont="1" applyFill="1" applyBorder="1" applyAlignment="1">
      <alignment horizontal="center" vertical="center" wrapText="1"/>
    </xf>
    <xf numFmtId="43" fontId="21" fillId="0" borderId="8" xfId="9" applyNumberFormat="1" applyFont="1" applyFill="1" applyBorder="1" applyAlignment="1">
      <alignment vertical="center"/>
    </xf>
    <xf numFmtId="0" fontId="0" fillId="6" borderId="0" xfId="0" applyFill="1"/>
    <xf numFmtId="166" fontId="21" fillId="2" borderId="8" xfId="4" applyNumberFormat="1" applyFont="1" applyFill="1" applyBorder="1" applyAlignment="1">
      <alignment horizontal="right" vertical="center"/>
    </xf>
    <xf numFmtId="0" fontId="0" fillId="2" borderId="0" xfId="0" applyFont="1" applyFill="1"/>
    <xf numFmtId="0" fontId="21" fillId="6" borderId="8" xfId="0" applyFont="1" applyFill="1" applyBorder="1" applyAlignment="1">
      <alignment horizontal="left" vertical="center" wrapText="1"/>
    </xf>
    <xf numFmtId="43" fontId="21" fillId="6" borderId="8" xfId="0" applyNumberFormat="1" applyFont="1" applyFill="1" applyBorder="1" applyAlignment="1">
      <alignment horizontal="center" vertical="center" wrapText="1"/>
    </xf>
    <xf numFmtId="3" fontId="0" fillId="0" borderId="0" xfId="0" applyNumberFormat="1" applyFill="1"/>
    <xf numFmtId="3" fontId="7" fillId="0" borderId="8" xfId="2" applyNumberFormat="1" applyFont="1" applyFill="1" applyBorder="1" applyAlignment="1">
      <alignment horizontal="center" vertical="center" wrapText="1"/>
    </xf>
    <xf numFmtId="0" fontId="37" fillId="0" borderId="8" xfId="2" applyFont="1" applyFill="1" applyBorder="1" applyAlignment="1">
      <alignment horizontal="center" vertical="center"/>
    </xf>
    <xf numFmtId="0" fontId="5" fillId="0" borderId="8" xfId="2" applyFont="1" applyFill="1" applyBorder="1" applyAlignment="1">
      <alignment horizontal="left" vertical="center" wrapText="1"/>
    </xf>
    <xf numFmtId="3" fontId="11" fillId="0" borderId="8" xfId="0" applyNumberFormat="1" applyFont="1" applyFill="1" applyBorder="1"/>
    <xf numFmtId="0" fontId="5" fillId="0" borderId="8" xfId="0" applyFont="1" applyFill="1" applyBorder="1" applyAlignment="1">
      <alignment vertical="center" wrapText="1"/>
    </xf>
    <xf numFmtId="0" fontId="5" fillId="0" borderId="8" xfId="0" applyFont="1" applyFill="1" applyBorder="1" applyAlignment="1">
      <alignment horizontal="center" vertical="center" wrapText="1"/>
    </xf>
    <xf numFmtId="0" fontId="5" fillId="0" borderId="8" xfId="9" applyFont="1" applyFill="1" applyBorder="1" applyAlignment="1">
      <alignment vertical="center" wrapText="1"/>
    </xf>
    <xf numFmtId="0" fontId="5" fillId="0" borderId="8" xfId="0" applyFont="1" applyFill="1" applyBorder="1" applyAlignment="1">
      <alignment horizontal="left" vertical="center" wrapText="1"/>
    </xf>
    <xf numFmtId="0" fontId="36" fillId="0" borderId="8" xfId="2" applyFont="1" applyFill="1" applyBorder="1" applyAlignment="1">
      <alignment horizontal="left" vertical="center" wrapText="1"/>
    </xf>
    <xf numFmtId="0" fontId="5" fillId="0" borderId="8" xfId="2" applyFont="1" applyFill="1" applyBorder="1" applyAlignment="1">
      <alignment vertical="center"/>
    </xf>
    <xf numFmtId="3" fontId="5" fillId="0" borderId="8" xfId="9" applyNumberFormat="1" applyFont="1" applyFill="1" applyBorder="1" applyAlignment="1">
      <alignment vertical="center" wrapText="1"/>
    </xf>
    <xf numFmtId="0" fontId="5" fillId="0" borderId="8" xfId="7" applyFont="1" applyFill="1" applyBorder="1" applyAlignment="1">
      <alignment vertical="center" wrapText="1"/>
    </xf>
    <xf numFmtId="0" fontId="5" fillId="0" borderId="8" xfId="2" applyFont="1" applyFill="1" applyBorder="1" applyAlignment="1">
      <alignment vertical="center" wrapText="1"/>
    </xf>
    <xf numFmtId="0" fontId="5" fillId="0" borderId="8" xfId="0" applyFont="1" applyFill="1" applyBorder="1" applyAlignment="1">
      <alignment vertical="center"/>
    </xf>
    <xf numFmtId="3" fontId="0" fillId="4" borderId="0" xfId="0" applyNumberFormat="1" applyFill="1"/>
    <xf numFmtId="0" fontId="7" fillId="0" borderId="2" xfId="2" applyFont="1" applyFill="1" applyBorder="1" applyAlignment="1">
      <alignment horizontal="center" vertical="center"/>
    </xf>
    <xf numFmtId="43" fontId="7" fillId="0" borderId="2" xfId="2" applyNumberFormat="1" applyFont="1" applyFill="1" applyBorder="1" applyAlignment="1">
      <alignment horizontal="center" vertical="center"/>
    </xf>
    <xf numFmtId="3" fontId="7" fillId="0" borderId="2" xfId="2" applyNumberFormat="1" applyFont="1" applyFill="1" applyBorder="1" applyAlignment="1">
      <alignment horizontal="center" vertical="center"/>
    </xf>
    <xf numFmtId="0" fontId="11" fillId="0" borderId="8" xfId="0" applyFont="1" applyBorder="1" applyAlignment="1">
      <alignment vertical="center" wrapText="1"/>
    </xf>
    <xf numFmtId="0" fontId="0" fillId="0" borderId="8" xfId="0" applyBorder="1" applyAlignment="1">
      <alignment vertical="center" wrapText="1"/>
    </xf>
    <xf numFmtId="0" fontId="0" fillId="0" borderId="8" xfId="0" applyBorder="1" applyAlignment="1">
      <alignment vertical="center"/>
    </xf>
    <xf numFmtId="0" fontId="0" fillId="0" borderId="0" xfId="0" applyAlignment="1">
      <alignment vertical="center"/>
    </xf>
    <xf numFmtId="3" fontId="0" fillId="6" borderId="8" xfId="0" applyNumberFormat="1" applyFill="1" applyBorder="1" applyAlignment="1">
      <alignment vertical="center"/>
    </xf>
    <xf numFmtId="166" fontId="0" fillId="6" borderId="8" xfId="0" applyNumberFormat="1" applyFill="1" applyBorder="1" applyAlignment="1">
      <alignment vertical="center"/>
    </xf>
    <xf numFmtId="0" fontId="0" fillId="6" borderId="8" xfId="0" applyFill="1" applyBorder="1" applyAlignment="1">
      <alignment vertical="center"/>
    </xf>
    <xf numFmtId="3" fontId="0" fillId="0" borderId="8" xfId="0" applyNumberFormat="1" applyBorder="1" applyAlignment="1">
      <alignment vertical="center"/>
    </xf>
    <xf numFmtId="166" fontId="0" fillId="0" borderId="8" xfId="0" applyNumberFormat="1" applyFill="1" applyBorder="1" applyAlignment="1">
      <alignment vertical="center"/>
    </xf>
    <xf numFmtId="0" fontId="34" fillId="0" borderId="8" xfId="0" applyFont="1" applyBorder="1" applyAlignment="1">
      <alignment vertical="center" wrapText="1"/>
    </xf>
    <xf numFmtId="3" fontId="0" fillId="5" borderId="8" xfId="0" applyNumberFormat="1" applyFill="1" applyBorder="1" applyAlignment="1">
      <alignment vertical="center"/>
    </xf>
    <xf numFmtId="0" fontId="0" fillId="5" borderId="8" xfId="0" applyFill="1" applyBorder="1" applyAlignment="1">
      <alignment vertical="center" wrapText="1"/>
    </xf>
    <xf numFmtId="43" fontId="0" fillId="0" borderId="8" xfId="0" applyNumberFormat="1" applyBorder="1" applyAlignment="1">
      <alignment vertical="center"/>
    </xf>
    <xf numFmtId="3" fontId="0" fillId="0" borderId="8" xfId="0" applyNumberFormat="1" applyFill="1" applyBorder="1" applyAlignment="1">
      <alignment vertical="center"/>
    </xf>
    <xf numFmtId="0" fontId="0" fillId="0" borderId="8" xfId="0" applyFill="1" applyBorder="1" applyAlignment="1">
      <alignment vertical="center"/>
    </xf>
    <xf numFmtId="3" fontId="11" fillId="0" borderId="8" xfId="0" applyNumberFormat="1" applyFont="1" applyBorder="1" applyAlignment="1">
      <alignment vertical="center"/>
    </xf>
    <xf numFmtId="3" fontId="0" fillId="3" borderId="8" xfId="0" applyNumberFormat="1" applyFill="1" applyBorder="1" applyAlignment="1">
      <alignment vertical="center"/>
    </xf>
    <xf numFmtId="0" fontId="0" fillId="3" borderId="8" xfId="0" applyFill="1" applyBorder="1" applyAlignment="1">
      <alignment vertical="center"/>
    </xf>
    <xf numFmtId="3" fontId="11" fillId="4" borderId="8" xfId="0" applyNumberFormat="1" applyFont="1" applyFill="1" applyBorder="1" applyAlignment="1">
      <alignment vertical="center"/>
    </xf>
    <xf numFmtId="166" fontId="0" fillId="4" borderId="8" xfId="0" applyNumberFormat="1" applyFill="1" applyBorder="1" applyAlignment="1">
      <alignment vertical="center"/>
    </xf>
    <xf numFmtId="0" fontId="11" fillId="4" borderId="8" xfId="0" applyFont="1" applyFill="1" applyBorder="1" applyAlignment="1">
      <alignment vertical="center"/>
    </xf>
    <xf numFmtId="3" fontId="0" fillId="2" borderId="8" xfId="0" applyNumberFormat="1" applyFont="1" applyFill="1" applyBorder="1" applyAlignment="1">
      <alignment vertical="center"/>
    </xf>
    <xf numFmtId="166" fontId="0" fillId="2" borderId="8" xfId="0" applyNumberFormat="1" applyFont="1" applyFill="1" applyBorder="1" applyAlignment="1">
      <alignment vertical="center"/>
    </xf>
    <xf numFmtId="0" fontId="0" fillId="2" borderId="8" xfId="0" applyFont="1" applyFill="1" applyBorder="1" applyAlignment="1">
      <alignment vertical="center"/>
    </xf>
    <xf numFmtId="0" fontId="11" fillId="0" borderId="8" xfId="0" applyFont="1" applyFill="1" applyBorder="1" applyAlignment="1">
      <alignment vertical="center"/>
    </xf>
    <xf numFmtId="43" fontId="35" fillId="0" borderId="8" xfId="0" applyNumberFormat="1" applyFont="1" applyBorder="1" applyAlignment="1">
      <alignment vertical="center"/>
    </xf>
    <xf numFmtId="166" fontId="35" fillId="0" borderId="8" xfId="0" applyNumberFormat="1" applyFont="1" applyBorder="1" applyAlignment="1">
      <alignment vertical="center"/>
    </xf>
    <xf numFmtId="0" fontId="32" fillId="0" borderId="0" xfId="0" applyFont="1" applyAlignment="1">
      <alignment vertical="center"/>
    </xf>
    <xf numFmtId="43" fontId="32" fillId="0" borderId="0" xfId="0" applyNumberFormat="1" applyFont="1" applyAlignment="1">
      <alignment vertical="center"/>
    </xf>
    <xf numFmtId="3" fontId="0" fillId="0" borderId="0" xfId="0" applyNumberFormat="1" applyAlignment="1">
      <alignment vertical="center"/>
    </xf>
    <xf numFmtId="166" fontId="0" fillId="0" borderId="0" xfId="0" applyNumberFormat="1" applyAlignment="1">
      <alignment vertical="center"/>
    </xf>
    <xf numFmtId="2" fontId="37" fillId="0" borderId="8" xfId="2" applyNumberFormat="1" applyFont="1" applyFill="1" applyBorder="1" applyAlignment="1">
      <alignment horizontal="center" vertical="center" wrapText="1"/>
    </xf>
    <xf numFmtId="3" fontId="5" fillId="0" borderId="8" xfId="4" applyNumberFormat="1" applyFont="1" applyFill="1" applyBorder="1" applyAlignment="1">
      <alignment horizontal="left" vertical="center" wrapText="1"/>
    </xf>
    <xf numFmtId="3" fontId="5" fillId="0" borderId="8" xfId="4" applyNumberFormat="1" applyFont="1" applyFill="1" applyBorder="1" applyAlignment="1">
      <alignment horizontal="center" vertical="center" wrapText="1"/>
    </xf>
    <xf numFmtId="3" fontId="5" fillId="0" borderId="8" xfId="4" applyNumberFormat="1" applyFont="1" applyFill="1" applyBorder="1" applyAlignment="1">
      <alignment horizontal="left" vertical="center"/>
    </xf>
    <xf numFmtId="3" fontId="0" fillId="0" borderId="8" xfId="0" applyNumberFormat="1" applyBorder="1"/>
    <xf numFmtId="0" fontId="37" fillId="0" borderId="8" xfId="2" applyFont="1" applyFill="1" applyBorder="1" applyAlignment="1">
      <alignment horizontal="center" vertical="center" wrapText="1"/>
    </xf>
    <xf numFmtId="3" fontId="37" fillId="0" borderId="8" xfId="2" applyNumberFormat="1" applyFont="1" applyFill="1" applyBorder="1" applyAlignment="1">
      <alignment horizontal="center" vertical="center" wrapText="1"/>
    </xf>
    <xf numFmtId="0" fontId="5" fillId="0" borderId="0" xfId="0" applyFont="1" applyFill="1" applyBorder="1"/>
    <xf numFmtId="2" fontId="37" fillId="0" borderId="0" xfId="11" applyNumberFormat="1" applyFont="1" applyFill="1" applyAlignment="1">
      <alignment vertical="center" wrapText="1"/>
    </xf>
    <xf numFmtId="0" fontId="38" fillId="0" borderId="0" xfId="0" applyFont="1" applyFill="1" applyBorder="1"/>
    <xf numFmtId="0" fontId="5" fillId="0" borderId="0" xfId="2" applyFont="1" applyFill="1" applyBorder="1"/>
    <xf numFmtId="0" fontId="5" fillId="0" borderId="1" xfId="2" applyFont="1" applyFill="1" applyBorder="1" applyAlignment="1">
      <alignment vertical="center" wrapText="1"/>
    </xf>
    <xf numFmtId="0" fontId="5" fillId="0" borderId="1" xfId="2" applyFont="1" applyFill="1" applyBorder="1" applyAlignment="1">
      <alignment vertical="center"/>
    </xf>
    <xf numFmtId="2" fontId="5" fillId="0" borderId="1" xfId="1" applyNumberFormat="1" applyFont="1" applyFill="1" applyBorder="1" applyAlignment="1">
      <alignment horizontal="right" vertical="center"/>
    </xf>
    <xf numFmtId="0" fontId="36" fillId="0" borderId="1" xfId="0" applyFont="1" applyFill="1" applyBorder="1" applyAlignment="1">
      <alignment vertical="center" wrapText="1"/>
    </xf>
    <xf numFmtId="2" fontId="36" fillId="0" borderId="1" xfId="1" applyNumberFormat="1" applyFont="1" applyFill="1" applyBorder="1" applyAlignment="1">
      <alignment horizontal="right" vertical="center"/>
    </xf>
    <xf numFmtId="0" fontId="36" fillId="0" borderId="0" xfId="2" applyFont="1" applyFill="1" applyBorder="1"/>
    <xf numFmtId="172" fontId="5" fillId="0" borderId="0" xfId="4" applyNumberFormat="1" applyFont="1" applyFill="1" applyBorder="1" applyAlignment="1">
      <alignment horizontal="center" vertical="center"/>
    </xf>
    <xf numFmtId="0" fontId="36" fillId="0" borderId="1" xfId="2" applyFont="1" applyFill="1" applyBorder="1" applyAlignment="1">
      <alignment horizontal="left" vertical="center" wrapText="1"/>
    </xf>
    <xf numFmtId="0" fontId="5" fillId="0" borderId="0" xfId="0" applyFont="1" applyFill="1"/>
    <xf numFmtId="0" fontId="34" fillId="0" borderId="0" xfId="0" applyFont="1" applyFill="1"/>
    <xf numFmtId="173" fontId="34" fillId="0" borderId="0" xfId="0" applyNumberFormat="1" applyFont="1" applyFill="1"/>
    <xf numFmtId="174" fontId="34" fillId="0" borderId="0" xfId="0" applyNumberFormat="1" applyFont="1" applyFill="1"/>
    <xf numFmtId="174" fontId="5" fillId="0" borderId="0" xfId="0" applyNumberFormat="1" applyFont="1" applyFill="1"/>
    <xf numFmtId="2" fontId="5" fillId="0" borderId="1" xfId="0" applyNumberFormat="1" applyFont="1" applyFill="1" applyBorder="1" applyAlignment="1">
      <alignment vertical="center" wrapText="1"/>
    </xf>
    <xf numFmtId="2" fontId="5" fillId="0" borderId="1" xfId="2" applyNumberFormat="1" applyFont="1" applyFill="1" applyBorder="1" applyAlignment="1">
      <alignment vertical="center" wrapText="1"/>
    </xf>
    <xf numFmtId="0" fontId="36" fillId="0" borderId="0" xfId="0" applyFont="1" applyFill="1"/>
    <xf numFmtId="164" fontId="36" fillId="0" borderId="1" xfId="1" applyFont="1" applyFill="1" applyBorder="1" applyAlignment="1">
      <alignment vertical="center" wrapText="1"/>
    </xf>
    <xf numFmtId="0" fontId="5" fillId="0" borderId="0" xfId="0" applyFont="1" applyFill="1" applyBorder="1" applyAlignment="1">
      <alignment wrapText="1"/>
    </xf>
    <xf numFmtId="0" fontId="36" fillId="0" borderId="1" xfId="0" applyFont="1" applyFill="1" applyBorder="1" applyAlignment="1">
      <alignment horizontal="left" vertical="center" wrapText="1"/>
    </xf>
    <xf numFmtId="0" fontId="36" fillId="0" borderId="0" xfId="0" applyFont="1" applyFill="1" applyBorder="1" applyAlignment="1">
      <alignment wrapText="1"/>
    </xf>
    <xf numFmtId="2" fontId="5" fillId="0" borderId="8" xfId="1" applyNumberFormat="1" applyFont="1" applyFill="1" applyBorder="1" applyAlignment="1">
      <alignment horizontal="right" vertical="center"/>
    </xf>
    <xf numFmtId="3" fontId="5" fillId="0" borderId="8" xfId="4" applyNumberFormat="1" applyFont="1" applyFill="1" applyBorder="1" applyAlignment="1">
      <alignment horizontal="center" vertical="center"/>
    </xf>
    <xf numFmtId="0" fontId="37" fillId="0" borderId="8" xfId="10" applyFont="1" applyFill="1" applyBorder="1"/>
    <xf numFmtId="2" fontId="37" fillId="0" borderId="8" xfId="10" applyNumberFormat="1" applyFont="1" applyFill="1" applyBorder="1"/>
    <xf numFmtId="0" fontId="40" fillId="0" borderId="0" xfId="0" applyFont="1" applyFill="1" applyBorder="1"/>
    <xf numFmtId="0" fontId="37" fillId="0" borderId="0" xfId="0" applyFont="1" applyFill="1"/>
    <xf numFmtId="0" fontId="37" fillId="0" borderId="0" xfId="12" applyFont="1" applyFill="1"/>
    <xf numFmtId="43" fontId="37" fillId="0" borderId="0" xfId="13" applyFont="1" applyFill="1" applyBorder="1" applyAlignment="1">
      <alignment horizontal="right"/>
    </xf>
    <xf numFmtId="0" fontId="37" fillId="0" borderId="0" xfId="12" applyFont="1" applyFill="1" applyAlignment="1">
      <alignment horizontal="left"/>
    </xf>
    <xf numFmtId="0" fontId="37" fillId="0" borderId="0" xfId="10" applyFont="1" applyFill="1"/>
    <xf numFmtId="2" fontId="37" fillId="0" borderId="0" xfId="10" applyNumberFormat="1" applyFont="1" applyFill="1"/>
    <xf numFmtId="0" fontId="37" fillId="0" borderId="0" xfId="2" applyFont="1" applyFill="1"/>
    <xf numFmtId="0" fontId="37" fillId="0" borderId="0" xfId="0" applyFont="1" applyFill="1" applyAlignment="1">
      <alignment wrapText="1"/>
    </xf>
    <xf numFmtId="43" fontId="37" fillId="0" borderId="0" xfId="13" applyFont="1" applyFill="1" applyAlignment="1">
      <alignment horizontal="right"/>
    </xf>
    <xf numFmtId="0" fontId="40" fillId="0" borderId="0" xfId="0" applyFont="1" applyFill="1" applyBorder="1" applyAlignment="1">
      <alignment wrapText="1"/>
    </xf>
    <xf numFmtId="2" fontId="40" fillId="0" borderId="0" xfId="0" applyNumberFormat="1" applyFont="1" applyFill="1" applyBorder="1"/>
    <xf numFmtId="0" fontId="40" fillId="0" borderId="0" xfId="0" applyFont="1" applyFill="1" applyBorder="1" applyAlignment="1">
      <alignment horizontal="center" vertical="center" wrapText="1"/>
    </xf>
    <xf numFmtId="172" fontId="5" fillId="0" borderId="0" xfId="4" applyNumberFormat="1" applyFont="1" applyFill="1" applyBorder="1" applyAlignment="1">
      <alignment horizontal="center" vertical="center" wrapText="1"/>
    </xf>
    <xf numFmtId="0" fontId="0" fillId="0" borderId="8" xfId="0" applyFill="1" applyBorder="1"/>
    <xf numFmtId="9" fontId="0" fillId="0" borderId="8" xfId="0" applyNumberFormat="1" applyFill="1" applyBorder="1"/>
    <xf numFmtId="0" fontId="5" fillId="0" borderId="0" xfId="2" applyFont="1" applyFill="1" applyBorder="1" applyAlignment="1">
      <alignment wrapText="1"/>
    </xf>
    <xf numFmtId="0" fontId="0" fillId="0" borderId="0" xfId="0" applyFont="1"/>
    <xf numFmtId="2" fontId="37" fillId="0" borderId="8" xfId="1" applyNumberFormat="1" applyFont="1" applyFill="1" applyBorder="1" applyAlignment="1">
      <alignment horizontal="center" vertical="center"/>
    </xf>
    <xf numFmtId="2" fontId="5" fillId="0" borderId="8" xfId="5" applyNumberFormat="1" applyFont="1" applyFill="1" applyBorder="1" applyAlignment="1">
      <alignment horizontal="right" vertical="center" wrapText="1"/>
    </xf>
    <xf numFmtId="2" fontId="36" fillId="0" borderId="8" xfId="1" applyNumberFormat="1" applyFont="1" applyFill="1" applyBorder="1" applyAlignment="1">
      <alignment horizontal="right" vertical="center"/>
    </xf>
    <xf numFmtId="2" fontId="5" fillId="0" borderId="8" xfId="0" applyNumberFormat="1" applyFont="1" applyFill="1" applyBorder="1" applyAlignment="1">
      <alignment horizontal="right" vertical="center" wrapText="1"/>
    </xf>
    <xf numFmtId="2" fontId="5" fillId="0" borderId="8" xfId="2" applyNumberFormat="1" applyFont="1" applyFill="1" applyBorder="1" applyAlignment="1">
      <alignment horizontal="right" vertical="center"/>
    </xf>
    <xf numFmtId="2" fontId="5" fillId="0" borderId="8" xfId="1" applyNumberFormat="1" applyFont="1" applyFill="1" applyBorder="1" applyAlignment="1">
      <alignment horizontal="right" vertical="center" wrapText="1"/>
    </xf>
    <xf numFmtId="1" fontId="5" fillId="0" borderId="8" xfId="5" applyNumberFormat="1" applyFont="1" applyFill="1" applyBorder="1" applyAlignment="1">
      <alignment horizontal="right" vertical="center" wrapText="1"/>
    </xf>
    <xf numFmtId="0" fontId="0" fillId="0" borderId="8" xfId="0" applyBorder="1"/>
    <xf numFmtId="9" fontId="0" fillId="0" borderId="8" xfId="0" applyNumberFormat="1" applyBorder="1"/>
    <xf numFmtId="0" fontId="0" fillId="0" borderId="0" xfId="0" applyAlignment="1">
      <alignment horizontal="center"/>
    </xf>
    <xf numFmtId="0" fontId="42" fillId="0" borderId="8" xfId="0" applyFont="1" applyFill="1" applyBorder="1" applyAlignment="1">
      <alignment horizontal="center" vertical="center" wrapText="1"/>
    </xf>
    <xf numFmtId="173" fontId="36" fillId="0" borderId="0" xfId="0" applyNumberFormat="1" applyFont="1" applyFill="1" applyBorder="1" applyAlignment="1">
      <alignment wrapText="1"/>
    </xf>
    <xf numFmtId="3" fontId="37" fillId="0" borderId="8" xfId="2" applyNumberFormat="1" applyFont="1" applyFill="1" applyBorder="1" applyAlignment="1">
      <alignment horizontal="right" vertical="center" wrapText="1"/>
    </xf>
    <xf numFmtId="0" fontId="39" fillId="0" borderId="0" xfId="0" applyFont="1" applyFill="1" applyBorder="1" applyAlignment="1">
      <alignment wrapText="1"/>
    </xf>
    <xf numFmtId="0" fontId="5" fillId="0" borderId="8" xfId="12" applyFont="1" applyFill="1" applyBorder="1"/>
    <xf numFmtId="3" fontId="0" fillId="0" borderId="8" xfId="0" applyNumberFormat="1" applyFill="1" applyBorder="1" applyAlignment="1">
      <alignment horizontal="right"/>
    </xf>
    <xf numFmtId="0" fontId="0" fillId="0" borderId="0" xfId="0" applyFont="1" applyFill="1"/>
    <xf numFmtId="0" fontId="5" fillId="0" borderId="11" xfId="2" applyFont="1" applyFill="1" applyBorder="1" applyAlignment="1">
      <alignment vertical="center" wrapText="1"/>
    </xf>
    <xf numFmtId="0" fontId="39" fillId="0" borderId="11"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37" fillId="0" borderId="11" xfId="0" applyFont="1" applyFill="1" applyBorder="1" applyAlignment="1">
      <alignment horizontal="left" vertical="center" wrapText="1"/>
    </xf>
    <xf numFmtId="2" fontId="5" fillId="0" borderId="1" xfId="4" applyNumberFormat="1" applyFont="1" applyFill="1" applyBorder="1" applyAlignment="1">
      <alignment vertical="center" wrapText="1"/>
    </xf>
    <xf numFmtId="2" fontId="5" fillId="0" borderId="1" xfId="0" applyNumberFormat="1" applyFont="1" applyFill="1" applyBorder="1" applyAlignment="1">
      <alignment horizontal="left" vertical="center" wrapText="1"/>
    </xf>
    <xf numFmtId="2" fontId="5" fillId="0" borderId="1" xfId="14" applyNumberFormat="1" applyFont="1" applyFill="1" applyBorder="1" applyAlignment="1">
      <alignment vertical="center" wrapText="1"/>
    </xf>
    <xf numFmtId="2" fontId="5" fillId="0" borderId="1" xfId="9" applyNumberFormat="1" applyFont="1" applyFill="1" applyBorder="1" applyAlignment="1">
      <alignment horizontal="left" vertical="center" wrapText="1"/>
    </xf>
    <xf numFmtId="2" fontId="5" fillId="0" borderId="1" xfId="7" applyNumberFormat="1" applyFont="1" applyFill="1" applyBorder="1" applyAlignment="1">
      <alignment horizontal="left" vertical="center" wrapText="1"/>
    </xf>
    <xf numFmtId="1" fontId="38" fillId="0" borderId="0" xfId="0" applyNumberFormat="1" applyFont="1" applyFill="1" applyBorder="1" applyAlignment="1">
      <alignment horizontal="center" vertical="center"/>
    </xf>
    <xf numFmtId="1" fontId="37" fillId="0" borderId="5" xfId="2" applyNumberFormat="1" applyFont="1" applyFill="1" applyBorder="1" applyAlignment="1">
      <alignment horizontal="center" vertical="center"/>
    </xf>
    <xf numFmtId="1" fontId="5" fillId="0" borderId="12" xfId="2" applyNumberFormat="1" applyFont="1" applyFill="1" applyBorder="1" applyAlignment="1">
      <alignment horizontal="center" vertical="center"/>
    </xf>
    <xf numFmtId="1" fontId="5" fillId="0" borderId="1" xfId="2" applyNumberFormat="1" applyFont="1" applyFill="1" applyBorder="1" applyAlignment="1">
      <alignment horizontal="center" vertical="center"/>
    </xf>
    <xf numFmtId="1" fontId="40" fillId="0" borderId="0" xfId="0" applyNumberFormat="1" applyFont="1" applyFill="1" applyBorder="1" applyAlignment="1">
      <alignment horizontal="center" vertical="center"/>
    </xf>
    <xf numFmtId="1" fontId="37" fillId="0" borderId="0" xfId="0" applyNumberFormat="1" applyFont="1" applyFill="1"/>
    <xf numFmtId="3" fontId="40" fillId="0" borderId="0" xfId="0" applyNumberFormat="1" applyFont="1" applyFill="1" applyBorder="1"/>
    <xf numFmtId="3" fontId="5" fillId="0" borderId="0" xfId="4" applyNumberFormat="1" applyFont="1" applyFill="1" applyBorder="1" applyAlignment="1">
      <alignment horizontal="right" vertical="center" wrapText="1"/>
    </xf>
    <xf numFmtId="3" fontId="37" fillId="0" borderId="0" xfId="10" applyNumberFormat="1" applyFont="1" applyFill="1"/>
    <xf numFmtId="3" fontId="5" fillId="0" borderId="0" xfId="4" applyNumberFormat="1" applyFont="1" applyFill="1" applyBorder="1" applyAlignment="1">
      <alignment horizontal="right" vertical="center"/>
    </xf>
    <xf numFmtId="3" fontId="37" fillId="0" borderId="0" xfId="10" applyNumberFormat="1" applyFont="1" applyFill="1" applyBorder="1"/>
    <xf numFmtId="3" fontId="40" fillId="0" borderId="0" xfId="0" applyNumberFormat="1" applyFont="1" applyFill="1" applyBorder="1" applyAlignment="1">
      <alignment vertical="center" wrapText="1"/>
    </xf>
    <xf numFmtId="3" fontId="40" fillId="0" borderId="0" xfId="0" applyNumberFormat="1" applyFont="1" applyFill="1" applyBorder="1" applyAlignment="1">
      <alignment horizontal="center" vertical="center" wrapText="1"/>
    </xf>
    <xf numFmtId="3" fontId="37" fillId="0" borderId="0" xfId="0" applyNumberFormat="1" applyFont="1" applyFill="1"/>
    <xf numFmtId="3" fontId="37" fillId="0" borderId="0" xfId="10" applyNumberFormat="1" applyFont="1" applyFill="1" applyAlignment="1">
      <alignment wrapText="1"/>
    </xf>
    <xf numFmtId="175" fontId="40" fillId="0" borderId="0" xfId="0" applyNumberFormat="1" applyFont="1" applyFill="1" applyBorder="1"/>
    <xf numFmtId="175" fontId="37" fillId="0" borderId="0" xfId="12" applyNumberFormat="1" applyFont="1" applyFill="1"/>
    <xf numFmtId="175" fontId="37" fillId="0" borderId="0" xfId="13" applyNumberFormat="1" applyFont="1" applyFill="1" applyAlignment="1">
      <alignment horizontal="right"/>
    </xf>
    <xf numFmtId="175" fontId="37" fillId="0" borderId="0" xfId="13" applyNumberFormat="1" applyFont="1" applyFill="1" applyBorder="1" applyAlignment="1">
      <alignment horizontal="right"/>
    </xf>
    <xf numFmtId="175" fontId="37" fillId="0" borderId="0" xfId="13" applyNumberFormat="1" applyFont="1" applyFill="1"/>
    <xf numFmtId="175" fontId="37" fillId="0" borderId="0" xfId="13" applyNumberFormat="1" applyFont="1" applyFill="1" applyBorder="1"/>
    <xf numFmtId="0" fontId="37" fillId="0" borderId="0" xfId="0" applyFont="1" applyFill="1" applyBorder="1" applyAlignment="1">
      <alignment vertical="center" wrapText="1"/>
    </xf>
    <xf numFmtId="1" fontId="37" fillId="0" borderId="12" xfId="2" applyNumberFormat="1" applyFont="1" applyFill="1" applyBorder="1" applyAlignment="1">
      <alignment horizontal="center" vertical="center"/>
    </xf>
    <xf numFmtId="0" fontId="36" fillId="0" borderId="0" xfId="0" applyFont="1" applyFill="1" applyBorder="1" applyAlignment="1">
      <alignment vertical="center" wrapText="1"/>
    </xf>
    <xf numFmtId="0" fontId="39" fillId="0" borderId="0" xfId="0" applyFont="1" applyFill="1" applyBorder="1" applyAlignment="1">
      <alignment horizontal="left" vertical="center" wrapText="1"/>
    </xf>
    <xf numFmtId="0" fontId="36"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2" applyFont="1" applyFill="1" applyBorder="1" applyAlignment="1">
      <alignment vertical="center" wrapText="1"/>
    </xf>
    <xf numFmtId="0" fontId="5" fillId="0" borderId="0" xfId="2" applyFont="1" applyFill="1" applyBorder="1" applyAlignment="1">
      <alignment vertical="center"/>
    </xf>
    <xf numFmtId="0" fontId="37" fillId="0" borderId="0" xfId="2" applyFont="1" applyFill="1" applyBorder="1"/>
    <xf numFmtId="2" fontId="5" fillId="0" borderId="12" xfId="0" applyNumberFormat="1" applyFont="1" applyFill="1" applyBorder="1" applyAlignment="1">
      <alignment horizontal="left" vertical="center" wrapText="1"/>
    </xf>
    <xf numFmtId="2" fontId="0" fillId="0" borderId="0" xfId="0" applyNumberFormat="1" applyFont="1"/>
    <xf numFmtId="2" fontId="0" fillId="0" borderId="0" xfId="0" applyNumberFormat="1" applyFont="1" applyAlignment="1">
      <alignment vertical="center" wrapText="1"/>
    </xf>
    <xf numFmtId="2" fontId="0" fillId="0" borderId="0" xfId="0" applyNumberFormat="1" applyFont="1" applyAlignment="1">
      <alignment vertical="center"/>
    </xf>
    <xf numFmtId="2" fontId="0" fillId="0" borderId="0" xfId="0" applyNumberFormat="1" applyFont="1" applyAlignment="1">
      <alignment wrapText="1"/>
    </xf>
    <xf numFmtId="0" fontId="37" fillId="2" borderId="10" xfId="0" applyFont="1" applyFill="1" applyBorder="1"/>
    <xf numFmtId="0" fontId="43" fillId="2" borderId="0" xfId="0" applyFont="1" applyFill="1"/>
    <xf numFmtId="0" fontId="43" fillId="0" borderId="0" xfId="0" applyFont="1" applyFill="1"/>
    <xf numFmtId="176" fontId="40" fillId="0" borderId="0" xfId="0" applyNumberFormat="1" applyFont="1" applyFill="1" applyBorder="1" applyAlignment="1">
      <alignment wrapText="1"/>
    </xf>
    <xf numFmtId="1" fontId="5" fillId="0" borderId="8" xfId="2" applyNumberFormat="1" applyFont="1" applyFill="1" applyBorder="1" applyAlignment="1">
      <alignment horizontal="center" vertical="center"/>
    </xf>
    <xf numFmtId="2" fontId="5" fillId="0" borderId="8" xfId="0" applyNumberFormat="1" applyFont="1" applyFill="1" applyBorder="1" applyAlignment="1">
      <alignment horizontal="left" vertical="center" wrapText="1"/>
    </xf>
    <xf numFmtId="2" fontId="5" fillId="0" borderId="8" xfId="2" applyNumberFormat="1" applyFont="1" applyFill="1" applyBorder="1" applyAlignment="1">
      <alignment vertical="center" wrapText="1"/>
    </xf>
    <xf numFmtId="2" fontId="5" fillId="0" borderId="8" xfId="14" applyNumberFormat="1" applyFont="1" applyFill="1" applyBorder="1" applyAlignment="1">
      <alignment vertical="center" wrapText="1"/>
    </xf>
    <xf numFmtId="2" fontId="5" fillId="0" borderId="8" xfId="9" applyNumberFormat="1" applyFont="1" applyFill="1" applyBorder="1" applyAlignment="1">
      <alignment horizontal="left" vertical="center" wrapText="1"/>
    </xf>
    <xf numFmtId="2" fontId="5" fillId="0" borderId="8" xfId="7" applyNumberFormat="1" applyFont="1" applyFill="1" applyBorder="1" applyAlignment="1">
      <alignment horizontal="left" vertical="center" wrapText="1"/>
    </xf>
    <xf numFmtId="2" fontId="5" fillId="0" borderId="8" xfId="0" applyNumberFormat="1" applyFont="1" applyFill="1" applyBorder="1" applyAlignment="1">
      <alignment vertical="center" wrapText="1"/>
    </xf>
    <xf numFmtId="0" fontId="35" fillId="0" borderId="8" xfId="0" applyFont="1" applyFill="1" applyBorder="1" applyAlignment="1">
      <alignment horizontal="center"/>
    </xf>
    <xf numFmtId="0" fontId="35" fillId="0" borderId="0" xfId="0" applyFont="1" applyFill="1"/>
    <xf numFmtId="2" fontId="0" fillId="0" borderId="8" xfId="0" applyNumberFormat="1" applyFont="1" applyFill="1" applyBorder="1"/>
    <xf numFmtId="2" fontId="0" fillId="0" borderId="8" xfId="0" applyNumberFormat="1" applyFont="1" applyFill="1" applyBorder="1" applyAlignment="1">
      <alignment vertical="center" wrapText="1"/>
    </xf>
    <xf numFmtId="2" fontId="0" fillId="0" borderId="8" xfId="0" applyNumberFormat="1" applyFont="1" applyFill="1" applyBorder="1" applyAlignment="1">
      <alignment vertical="center"/>
    </xf>
    <xf numFmtId="2" fontId="0" fillId="0" borderId="8" xfId="0" applyNumberFormat="1" applyFont="1" applyFill="1" applyBorder="1" applyAlignment="1">
      <alignment wrapText="1"/>
    </xf>
    <xf numFmtId="169" fontId="40" fillId="0" borderId="0" xfId="0" applyNumberFormat="1" applyFont="1" applyFill="1" applyBorder="1" applyAlignment="1">
      <alignment horizontal="center"/>
    </xf>
    <xf numFmtId="169" fontId="37" fillId="0" borderId="0" xfId="13" applyNumberFormat="1" applyFont="1" applyFill="1"/>
    <xf numFmtId="169" fontId="37" fillId="0" borderId="0" xfId="13" applyNumberFormat="1" applyFont="1" applyFill="1" applyBorder="1"/>
    <xf numFmtId="169" fontId="37" fillId="0" borderId="0" xfId="12" applyNumberFormat="1" applyFont="1" applyFill="1"/>
    <xf numFmtId="2" fontId="0" fillId="0" borderId="0" xfId="0" applyNumberFormat="1" applyFill="1"/>
    <xf numFmtId="3" fontId="5" fillId="0" borderId="1" xfId="4" applyNumberFormat="1" applyFont="1" applyFill="1" applyBorder="1" applyAlignment="1">
      <alignment horizontal="center" vertical="center"/>
    </xf>
    <xf numFmtId="1" fontId="44" fillId="0" borderId="12" xfId="2" applyNumberFormat="1" applyFont="1" applyFill="1" applyBorder="1" applyAlignment="1">
      <alignment horizontal="center" vertical="center" wrapText="1"/>
    </xf>
    <xf numFmtId="0" fontId="44" fillId="0" borderId="12" xfId="2" applyFont="1" applyFill="1" applyBorder="1" applyAlignment="1">
      <alignment horizontal="centerContinuous" vertical="center" wrapText="1"/>
    </xf>
    <xf numFmtId="175" fontId="44" fillId="0" borderId="12" xfId="2" applyNumberFormat="1" applyFont="1" applyFill="1" applyBorder="1" applyAlignment="1">
      <alignment horizontal="center" vertical="center" wrapText="1"/>
    </xf>
    <xf numFmtId="2" fontId="44" fillId="0" borderId="12" xfId="2" applyNumberFormat="1" applyFont="1" applyFill="1" applyBorder="1" applyAlignment="1">
      <alignment horizontal="centerContinuous" vertical="center" wrapText="1"/>
    </xf>
    <xf numFmtId="169" fontId="44" fillId="0" borderId="12" xfId="2" applyNumberFormat="1" applyFont="1" applyFill="1" applyBorder="1" applyAlignment="1">
      <alignment horizontal="centerContinuous" vertical="center" wrapText="1"/>
    </xf>
    <xf numFmtId="3" fontId="44" fillId="0" borderId="12" xfId="2" applyNumberFormat="1" applyFont="1" applyFill="1" applyBorder="1" applyAlignment="1">
      <alignment horizontal="center" vertical="center" wrapText="1"/>
    </xf>
    <xf numFmtId="3" fontId="44" fillId="0" borderId="12" xfId="2" applyNumberFormat="1" applyFont="1" applyFill="1" applyBorder="1" applyAlignment="1">
      <alignment horizontal="centerContinuous" vertical="center" wrapText="1"/>
    </xf>
    <xf numFmtId="2" fontId="44" fillId="0" borderId="12" xfId="1" applyNumberFormat="1" applyFont="1" applyFill="1" applyBorder="1" applyAlignment="1">
      <alignment horizontal="centerContinuous" vertical="center" wrapText="1"/>
    </xf>
    <xf numFmtId="4" fontId="44" fillId="0" borderId="12" xfId="2" applyNumberFormat="1" applyFont="1" applyFill="1" applyBorder="1" applyAlignment="1">
      <alignment horizontal="centerContinuous" vertical="center" wrapText="1"/>
    </xf>
    <xf numFmtId="44" fontId="44" fillId="0" borderId="12" xfId="2" applyNumberFormat="1" applyFont="1" applyFill="1" applyBorder="1" applyAlignment="1">
      <alignment horizontal="centerContinuous" vertical="center" wrapText="1"/>
    </xf>
    <xf numFmtId="3" fontId="44" fillId="0" borderId="12" xfId="2" applyNumberFormat="1" applyFont="1" applyFill="1" applyBorder="1" applyAlignment="1">
      <alignment horizontal="center" vertical="center"/>
    </xf>
    <xf numFmtId="1" fontId="44" fillId="0" borderId="3" xfId="2" applyNumberFormat="1" applyFont="1" applyFill="1" applyBorder="1" applyAlignment="1">
      <alignment horizontal="center" vertical="center" wrapText="1"/>
    </xf>
    <xf numFmtId="0" fontId="44" fillId="0" borderId="3" xfId="2" applyFont="1" applyFill="1" applyBorder="1" applyAlignment="1">
      <alignment horizontal="centerContinuous" vertical="center" wrapText="1"/>
    </xf>
    <xf numFmtId="175" fontId="44" fillId="0" borderId="3" xfId="2" applyNumberFormat="1" applyFont="1" applyFill="1" applyBorder="1" applyAlignment="1">
      <alignment horizontal="center" vertical="center" wrapText="1"/>
    </xf>
    <xf numFmtId="0" fontId="44" fillId="0" borderId="3" xfId="2" applyFont="1" applyFill="1" applyBorder="1" applyAlignment="1">
      <alignment horizontal="center" vertical="center" wrapText="1"/>
    </xf>
    <xf numFmtId="169" fontId="44" fillId="0" borderId="3" xfId="2" applyNumberFormat="1" applyFont="1" applyFill="1" applyBorder="1" applyAlignment="1">
      <alignment horizontal="center" vertical="center" wrapText="1"/>
    </xf>
    <xf numFmtId="2" fontId="44" fillId="0" borderId="3" xfId="2" applyNumberFormat="1" applyFont="1" applyFill="1" applyBorder="1" applyAlignment="1">
      <alignment horizontal="center" vertical="center"/>
    </xf>
    <xf numFmtId="3" fontId="44" fillId="0" borderId="3" xfId="2" applyNumberFormat="1" applyFont="1" applyFill="1" applyBorder="1" applyAlignment="1">
      <alignment horizontal="center" vertical="center"/>
    </xf>
    <xf numFmtId="0" fontId="44" fillId="0" borderId="3" xfId="2" applyFont="1" applyFill="1" applyBorder="1" applyAlignment="1">
      <alignment horizontal="center" vertical="center"/>
    </xf>
    <xf numFmtId="2" fontId="44" fillId="0" borderId="3" xfId="1" applyNumberFormat="1" applyFont="1" applyFill="1" applyBorder="1" applyAlignment="1">
      <alignment horizontal="center" vertical="center"/>
    </xf>
    <xf numFmtId="3" fontId="44" fillId="0" borderId="3" xfId="2" applyNumberFormat="1" applyFont="1" applyFill="1" applyBorder="1" applyAlignment="1">
      <alignment horizontal="center" vertical="center" wrapText="1"/>
    </xf>
    <xf numFmtId="3" fontId="44" fillId="0" borderId="3" xfId="0" applyNumberFormat="1" applyFont="1" applyFill="1" applyBorder="1" applyAlignment="1">
      <alignment horizontal="center" vertical="center" wrapText="1"/>
    </xf>
    <xf numFmtId="2" fontId="44" fillId="0" borderId="3" xfId="2" applyNumberFormat="1" applyFont="1" applyFill="1" applyBorder="1" applyAlignment="1">
      <alignment horizontal="center" vertical="center" wrapText="1"/>
    </xf>
    <xf numFmtId="1" fontId="44" fillId="0" borderId="2" xfId="2" applyNumberFormat="1" applyFont="1" applyFill="1" applyBorder="1" applyAlignment="1">
      <alignment horizontal="center" vertical="center"/>
    </xf>
    <xf numFmtId="2" fontId="44" fillId="0" borderId="2" xfId="0" applyNumberFormat="1" applyFont="1" applyFill="1" applyBorder="1" applyAlignment="1">
      <alignment horizontal="left" vertical="center" wrapText="1"/>
    </xf>
    <xf numFmtId="175" fontId="44" fillId="0" borderId="2" xfId="3" applyNumberFormat="1" applyFont="1" applyFill="1" applyBorder="1" applyAlignment="1">
      <alignment horizontal="center" vertical="center" wrapText="1"/>
    </xf>
    <xf numFmtId="175" fontId="44" fillId="0" borderId="2" xfId="2" applyNumberFormat="1" applyFont="1" applyFill="1" applyBorder="1" applyAlignment="1">
      <alignment horizontal="center" vertical="center" wrapText="1"/>
    </xf>
    <xf numFmtId="2" fontId="44" fillId="0" borderId="2" xfId="2" applyNumberFormat="1" applyFont="1" applyFill="1" applyBorder="1" applyAlignment="1">
      <alignment vertical="center" wrapText="1"/>
    </xf>
    <xf numFmtId="169" fontId="44" fillId="0" borderId="2" xfId="2" applyNumberFormat="1" applyFont="1" applyFill="1" applyBorder="1"/>
    <xf numFmtId="2" fontId="44" fillId="0" borderId="2" xfId="2" applyNumberFormat="1" applyFont="1" applyFill="1" applyBorder="1" applyAlignment="1">
      <alignment horizontal="center" vertical="center" wrapText="1"/>
    </xf>
    <xf numFmtId="3" fontId="44" fillId="0" borderId="2" xfId="4" applyNumberFormat="1" applyFont="1" applyFill="1" applyBorder="1" applyAlignment="1">
      <alignment horizontal="right" vertical="center" wrapText="1"/>
    </xf>
    <xf numFmtId="3" fontId="44" fillId="0" borderId="2" xfId="4" applyNumberFormat="1" applyFont="1" applyFill="1" applyBorder="1" applyAlignment="1">
      <alignment vertical="center" wrapText="1"/>
    </xf>
    <xf numFmtId="2" fontId="44" fillId="0" borderId="2" xfId="3" applyNumberFormat="1" applyFont="1" applyFill="1" applyBorder="1" applyAlignment="1">
      <alignment vertical="center" wrapText="1"/>
    </xf>
    <xf numFmtId="2" fontId="44" fillId="0" borderId="2" xfId="2" applyNumberFormat="1" applyFont="1" applyFill="1" applyBorder="1" applyAlignment="1">
      <alignment horizontal="left" vertical="center" wrapText="1"/>
    </xf>
    <xf numFmtId="167" fontId="44" fillId="0" borderId="2" xfId="4" applyNumberFormat="1" applyFont="1" applyFill="1" applyBorder="1" applyAlignment="1">
      <alignment vertical="center" wrapText="1"/>
    </xf>
    <xf numFmtId="2" fontId="44" fillId="0" borderId="2" xfId="4" applyNumberFormat="1" applyFont="1" applyFill="1" applyBorder="1" applyAlignment="1">
      <alignment horizontal="center" vertical="center" wrapText="1"/>
    </xf>
    <xf numFmtId="2" fontId="44" fillId="0" borderId="2" xfId="4" applyNumberFormat="1" applyFont="1" applyFill="1" applyBorder="1" applyAlignment="1">
      <alignment horizontal="left" vertical="center" wrapText="1"/>
    </xf>
    <xf numFmtId="3" fontId="44" fillId="0" borderId="2" xfId="4" applyNumberFormat="1" applyFont="1" applyFill="1" applyBorder="1" applyAlignment="1">
      <alignment horizontal="center" vertical="center" wrapText="1"/>
    </xf>
    <xf numFmtId="2" fontId="44" fillId="0" borderId="9" xfId="2" applyNumberFormat="1" applyFont="1" applyFill="1" applyBorder="1" applyAlignment="1">
      <alignment vertical="center" wrapText="1"/>
    </xf>
    <xf numFmtId="1" fontId="44" fillId="0" borderId="12" xfId="2" applyNumberFormat="1" applyFont="1" applyFill="1" applyBorder="1" applyAlignment="1">
      <alignment horizontal="center" vertical="center"/>
    </xf>
    <xf numFmtId="2" fontId="44" fillId="0" borderId="12" xfId="0" applyNumberFormat="1" applyFont="1" applyFill="1" applyBorder="1" applyAlignment="1">
      <alignment horizontal="left" vertical="center" wrapText="1"/>
    </xf>
    <xf numFmtId="175" fontId="44" fillId="0" borderId="12" xfId="3" applyNumberFormat="1" applyFont="1" applyFill="1" applyBorder="1" applyAlignment="1">
      <alignment horizontal="center" vertical="center" wrapText="1"/>
    </xf>
    <xf numFmtId="2" fontId="44" fillId="0" borderId="12" xfId="2" applyNumberFormat="1" applyFont="1" applyFill="1" applyBorder="1" applyAlignment="1">
      <alignment vertical="center" wrapText="1"/>
    </xf>
    <xf numFmtId="169" fontId="44" fillId="0" borderId="12" xfId="2" applyNumberFormat="1" applyFont="1" applyFill="1" applyBorder="1"/>
    <xf numFmtId="2" fontId="44" fillId="0" borderId="12" xfId="2" applyNumberFormat="1" applyFont="1" applyFill="1" applyBorder="1" applyAlignment="1">
      <alignment horizontal="center" vertical="center" wrapText="1"/>
    </xf>
    <xf numFmtId="3" fontId="44" fillId="0" borderId="12" xfId="4" applyNumberFormat="1" applyFont="1" applyFill="1" applyBorder="1" applyAlignment="1">
      <alignment horizontal="right" vertical="center" wrapText="1"/>
    </xf>
    <xf numFmtId="3" fontId="44" fillId="0" borderId="12" xfId="4" applyNumberFormat="1" applyFont="1" applyFill="1" applyBorder="1" applyAlignment="1">
      <alignment vertical="center" wrapText="1"/>
    </xf>
    <xf numFmtId="2" fontId="44" fillId="0" borderId="12" xfId="3" applyNumberFormat="1" applyFont="1" applyFill="1" applyBorder="1" applyAlignment="1">
      <alignment vertical="center" wrapText="1"/>
    </xf>
    <xf numFmtId="2" fontId="44" fillId="0" borderId="12" xfId="2" applyNumberFormat="1" applyFont="1" applyFill="1" applyBorder="1" applyAlignment="1">
      <alignment horizontal="left" vertical="center" wrapText="1"/>
    </xf>
    <xf numFmtId="2" fontId="44" fillId="0" borderId="12" xfId="1" applyNumberFormat="1" applyFont="1" applyFill="1" applyBorder="1" applyAlignment="1">
      <alignment horizontal="right" vertical="center" wrapText="1"/>
    </xf>
    <xf numFmtId="2" fontId="46" fillId="0" borderId="12" xfId="2" applyNumberFormat="1" applyFont="1" applyFill="1" applyBorder="1" applyAlignment="1">
      <alignment horizontal="center" vertical="center" wrapText="1"/>
    </xf>
    <xf numFmtId="2" fontId="46" fillId="0" borderId="12" xfId="4" applyNumberFormat="1" applyFont="1" applyFill="1" applyBorder="1" applyAlignment="1">
      <alignment horizontal="center" vertical="center" wrapText="1"/>
    </xf>
    <xf numFmtId="2" fontId="44" fillId="0" borderId="12" xfId="4" applyNumberFormat="1" applyFont="1" applyFill="1" applyBorder="1" applyAlignment="1">
      <alignment horizontal="left" vertical="center" wrapText="1"/>
    </xf>
    <xf numFmtId="3" fontId="44" fillId="0" borderId="12" xfId="4" applyNumberFormat="1" applyFont="1" applyFill="1" applyBorder="1" applyAlignment="1">
      <alignment horizontal="center" vertical="center" wrapText="1"/>
    </xf>
    <xf numFmtId="1" fontId="46" fillId="0" borderId="1" xfId="2" applyNumberFormat="1" applyFont="1" applyFill="1" applyBorder="1" applyAlignment="1">
      <alignment horizontal="center" vertical="center"/>
    </xf>
    <xf numFmtId="2" fontId="46" fillId="0" borderId="1" xfId="2" applyNumberFormat="1" applyFont="1" applyFill="1" applyBorder="1" applyAlignment="1">
      <alignment vertical="center" wrapText="1"/>
    </xf>
    <xf numFmtId="175" fontId="46" fillId="0" borderId="1" xfId="3" applyNumberFormat="1" applyFont="1" applyFill="1" applyBorder="1" applyAlignment="1">
      <alignment horizontal="center" vertical="center" wrapText="1"/>
    </xf>
    <xf numFmtId="175" fontId="46" fillId="0" borderId="1" xfId="2" applyNumberFormat="1" applyFont="1" applyFill="1" applyBorder="1" applyAlignment="1">
      <alignment horizontal="center" vertical="center" wrapText="1"/>
    </xf>
    <xf numFmtId="169" fontId="46" fillId="0" borderId="1" xfId="2" applyNumberFormat="1" applyFont="1" applyFill="1" applyBorder="1"/>
    <xf numFmtId="2" fontId="46" fillId="0" borderId="1" xfId="2" applyNumberFormat="1" applyFont="1" applyFill="1" applyBorder="1" applyAlignment="1">
      <alignment horizontal="center" vertical="center" wrapText="1"/>
    </xf>
    <xf numFmtId="3" fontId="46" fillId="0" borderId="1" xfId="4" applyNumberFormat="1" applyFont="1" applyFill="1" applyBorder="1" applyAlignment="1">
      <alignment horizontal="right" vertical="center" wrapText="1"/>
    </xf>
    <xf numFmtId="3" fontId="46" fillId="0" borderId="1" xfId="4" applyNumberFormat="1" applyFont="1" applyFill="1" applyBorder="1" applyAlignment="1">
      <alignment vertical="center" wrapText="1"/>
    </xf>
    <xf numFmtId="2" fontId="46" fillId="0" borderId="1" xfId="3" applyNumberFormat="1" applyFont="1" applyFill="1" applyBorder="1" applyAlignment="1">
      <alignment vertical="center" wrapText="1"/>
    </xf>
    <xf numFmtId="2" fontId="46" fillId="0" borderId="1" xfId="2" applyNumberFormat="1" applyFont="1" applyFill="1" applyBorder="1" applyAlignment="1">
      <alignment horizontal="left" vertical="center" wrapText="1"/>
    </xf>
    <xf numFmtId="2" fontId="46" fillId="0" borderId="1" xfId="1" applyNumberFormat="1" applyFont="1" applyFill="1" applyBorder="1" applyAlignment="1">
      <alignment horizontal="right" vertical="center" wrapText="1"/>
    </xf>
    <xf numFmtId="2" fontId="46" fillId="0" borderId="1" xfId="4" applyNumberFormat="1" applyFont="1" applyFill="1" applyBorder="1" applyAlignment="1">
      <alignment horizontal="center" vertical="center" wrapText="1"/>
    </xf>
    <xf numFmtId="2" fontId="46" fillId="0" borderId="1" xfId="4" applyNumberFormat="1" applyFont="1" applyFill="1" applyBorder="1" applyAlignment="1">
      <alignment horizontal="left" vertical="center" wrapText="1"/>
    </xf>
    <xf numFmtId="3" fontId="46" fillId="0" borderId="1" xfId="4" applyNumberFormat="1" applyFont="1" applyFill="1" applyBorder="1" applyAlignment="1">
      <alignment horizontal="center" vertical="center" wrapText="1"/>
    </xf>
    <xf numFmtId="3" fontId="44" fillId="0" borderId="1" xfId="4" applyNumberFormat="1" applyFont="1" applyFill="1" applyBorder="1" applyAlignment="1">
      <alignment vertical="center" wrapText="1"/>
    </xf>
    <xf numFmtId="2" fontId="46" fillId="0" borderId="1" xfId="0" applyNumberFormat="1" applyFont="1" applyFill="1" applyBorder="1" applyAlignment="1">
      <alignment horizontal="left" vertical="center" wrapText="1"/>
    </xf>
    <xf numFmtId="169" fontId="46" fillId="0" borderId="1" xfId="4" applyNumberFormat="1" applyFont="1" applyFill="1" applyBorder="1" applyAlignment="1">
      <alignment horizontal="center" vertical="center" wrapText="1"/>
    </xf>
    <xf numFmtId="2" fontId="44" fillId="0" borderId="1" xfId="2" applyNumberFormat="1" applyFont="1" applyFill="1" applyBorder="1" applyAlignment="1">
      <alignment vertical="center" wrapText="1"/>
    </xf>
    <xf numFmtId="2" fontId="46" fillId="0" borderId="1" xfId="2" applyNumberFormat="1" applyFont="1" applyFill="1" applyBorder="1"/>
    <xf numFmtId="1" fontId="44" fillId="0" borderId="1" xfId="2" applyNumberFormat="1" applyFont="1" applyFill="1" applyBorder="1" applyAlignment="1">
      <alignment horizontal="center" vertical="center"/>
    </xf>
    <xf numFmtId="175" fontId="44" fillId="0" borderId="1" xfId="2" applyNumberFormat="1" applyFont="1" applyFill="1" applyBorder="1" applyAlignment="1">
      <alignment horizontal="center" vertical="center" wrapText="1"/>
    </xf>
    <xf numFmtId="2" fontId="44" fillId="0" borderId="1" xfId="0" applyNumberFormat="1" applyFont="1" applyFill="1" applyBorder="1" applyAlignment="1">
      <alignment vertical="center" wrapText="1"/>
    </xf>
    <xf numFmtId="169" fontId="44" fillId="0" borderId="1" xfId="4" applyNumberFormat="1" applyFont="1" applyFill="1" applyBorder="1" applyAlignment="1">
      <alignment horizontal="center" vertical="center" wrapText="1"/>
    </xf>
    <xf numFmtId="2" fontId="44" fillId="0" borderId="1" xfId="2" applyNumberFormat="1" applyFont="1" applyFill="1" applyBorder="1" applyAlignment="1">
      <alignment horizontal="center" vertical="center" wrapText="1"/>
    </xf>
    <xf numFmtId="3" fontId="44" fillId="0" borderId="1" xfId="4" applyNumberFormat="1" applyFont="1" applyFill="1" applyBorder="1" applyAlignment="1">
      <alignment horizontal="right" vertical="center" wrapText="1"/>
    </xf>
    <xf numFmtId="2" fontId="44" fillId="0" borderId="1" xfId="2" applyNumberFormat="1" applyFont="1" applyFill="1" applyBorder="1" applyAlignment="1">
      <alignment horizontal="left" vertical="center" wrapText="1"/>
    </xf>
    <xf numFmtId="2" fontId="44" fillId="0" borderId="1" xfId="1" applyNumberFormat="1" applyFont="1" applyFill="1" applyBorder="1" applyAlignment="1">
      <alignment horizontal="right" vertical="center" wrapText="1"/>
    </xf>
    <xf numFmtId="2" fontId="44" fillId="0" borderId="1" xfId="4" applyNumberFormat="1" applyFont="1" applyFill="1" applyBorder="1" applyAlignment="1">
      <alignment horizontal="center" vertical="center" wrapText="1"/>
    </xf>
    <xf numFmtId="3" fontId="44" fillId="0" borderId="1" xfId="4" applyNumberFormat="1" applyFont="1" applyFill="1" applyBorder="1" applyAlignment="1">
      <alignment horizontal="center" vertical="center" wrapText="1"/>
    </xf>
    <xf numFmtId="2" fontId="46" fillId="0" borderId="1" xfId="0" applyNumberFormat="1" applyFont="1" applyFill="1" applyBorder="1" applyAlignment="1">
      <alignment vertical="center" wrapText="1"/>
    </xf>
    <xf numFmtId="175" fontId="46" fillId="0" borderId="1" xfId="2" applyNumberFormat="1" applyFont="1" applyFill="1" applyBorder="1" applyAlignment="1">
      <alignment horizontal="center" vertical="center"/>
    </xf>
    <xf numFmtId="169" fontId="46" fillId="0" borderId="1" xfId="4" applyNumberFormat="1" applyFont="1" applyFill="1" applyBorder="1" applyAlignment="1">
      <alignment horizontal="center" vertical="center"/>
    </xf>
    <xf numFmtId="2" fontId="46" fillId="0" borderId="1" xfId="2" applyNumberFormat="1" applyFont="1" applyFill="1" applyBorder="1" applyAlignment="1">
      <alignment horizontal="center" vertical="center"/>
    </xf>
    <xf numFmtId="3" fontId="46" fillId="0" borderId="1" xfId="4" applyNumberFormat="1" applyFont="1" applyFill="1" applyBorder="1" applyAlignment="1">
      <alignment horizontal="right" vertical="center"/>
    </xf>
    <xf numFmtId="2" fontId="46" fillId="0" borderId="1" xfId="1" applyNumberFormat="1" applyFont="1" applyFill="1" applyBorder="1" applyAlignment="1">
      <alignment horizontal="right" vertical="center"/>
    </xf>
    <xf numFmtId="2" fontId="46" fillId="0" borderId="1" xfId="4" applyNumberFormat="1" applyFont="1" applyFill="1" applyBorder="1" applyAlignment="1">
      <alignment horizontal="center" vertical="center"/>
    </xf>
    <xf numFmtId="2" fontId="46" fillId="0" borderId="1" xfId="2" applyNumberFormat="1" applyFont="1" applyFill="1" applyBorder="1" applyAlignment="1">
      <alignment vertical="center"/>
    </xf>
    <xf numFmtId="175" fontId="44" fillId="0" borderId="1" xfId="3" applyNumberFormat="1" applyFont="1" applyFill="1" applyBorder="1" applyAlignment="1">
      <alignment horizontal="center" vertical="center"/>
    </xf>
    <xf numFmtId="175" fontId="44" fillId="0" borderId="1" xfId="2" applyNumberFormat="1" applyFont="1" applyFill="1" applyBorder="1" applyAlignment="1">
      <alignment horizontal="center" vertical="center"/>
    </xf>
    <xf numFmtId="169" fontId="44" fillId="0" borderId="1" xfId="2" applyNumberFormat="1" applyFont="1" applyFill="1" applyBorder="1" applyAlignment="1">
      <alignment horizontal="center" vertical="center"/>
    </xf>
    <xf numFmtId="2" fontId="44" fillId="0" borderId="1" xfId="2" applyNumberFormat="1" applyFont="1" applyFill="1" applyBorder="1" applyAlignment="1">
      <alignment horizontal="center" vertical="center"/>
    </xf>
    <xf numFmtId="2" fontId="44" fillId="0" borderId="1" xfId="3" applyNumberFormat="1" applyFont="1" applyFill="1" applyBorder="1" applyAlignment="1">
      <alignment vertical="center" wrapText="1"/>
    </xf>
    <xf numFmtId="3" fontId="44" fillId="0" borderId="1" xfId="4" applyNumberFormat="1" applyFont="1" applyFill="1" applyBorder="1" applyAlignment="1">
      <alignment horizontal="right" vertical="center"/>
    </xf>
    <xf numFmtId="2" fontId="44" fillId="0" borderId="1" xfId="1" applyNumberFormat="1" applyFont="1" applyFill="1" applyBorder="1" applyAlignment="1">
      <alignment horizontal="right" vertical="center"/>
    </xf>
    <xf numFmtId="2" fontId="44" fillId="0" borderId="1" xfId="4" applyNumberFormat="1" applyFont="1" applyFill="1" applyBorder="1" applyAlignment="1">
      <alignment horizontal="center" vertical="center"/>
    </xf>
    <xf numFmtId="2" fontId="44" fillId="0" borderId="1" xfId="4" applyNumberFormat="1" applyFont="1" applyFill="1" applyBorder="1" applyAlignment="1">
      <alignment horizontal="left" vertical="center" wrapText="1"/>
    </xf>
    <xf numFmtId="175" fontId="46" fillId="0" borderId="1" xfId="3" applyNumberFormat="1" applyFont="1" applyFill="1" applyBorder="1" applyAlignment="1">
      <alignment horizontal="center" vertical="center"/>
    </xf>
    <xf numFmtId="169" fontId="46" fillId="0" borderId="1" xfId="2" applyNumberFormat="1" applyFont="1" applyFill="1" applyBorder="1" applyAlignment="1">
      <alignment horizontal="center" vertical="center"/>
    </xf>
    <xf numFmtId="2" fontId="46" fillId="0" borderId="1" xfId="2" applyNumberFormat="1" applyFont="1" applyFill="1" applyBorder="1" applyAlignment="1">
      <alignment wrapText="1"/>
    </xf>
    <xf numFmtId="2" fontId="46" fillId="0" borderId="1" xfId="4" applyNumberFormat="1" applyFont="1" applyFill="1" applyBorder="1" applyAlignment="1">
      <alignment horizontal="left" vertical="center"/>
    </xf>
    <xf numFmtId="2" fontId="44" fillId="0" borderId="1" xfId="0" applyNumberFormat="1" applyFont="1" applyFill="1" applyBorder="1" applyAlignment="1">
      <alignment horizontal="left" vertical="center" wrapText="1"/>
    </xf>
    <xf numFmtId="2" fontId="44" fillId="0" borderId="1" xfId="2" applyNumberFormat="1" applyFont="1" applyFill="1" applyBorder="1" applyAlignment="1">
      <alignment vertical="center"/>
    </xf>
    <xf numFmtId="2" fontId="46" fillId="0" borderId="1" xfId="0" applyNumberFormat="1" applyFont="1" applyFill="1" applyBorder="1" applyAlignment="1">
      <alignment horizontal="center" vertical="center" wrapText="1"/>
    </xf>
    <xf numFmtId="2" fontId="44" fillId="0" borderId="1" xfId="1" applyNumberFormat="1" applyFont="1" applyFill="1" applyBorder="1" applyAlignment="1">
      <alignment horizontal="center" vertical="center" wrapText="1"/>
    </xf>
    <xf numFmtId="2" fontId="46" fillId="0" borderId="1" xfId="0" applyNumberFormat="1" applyFont="1" applyFill="1" applyBorder="1" applyAlignment="1">
      <alignment horizontal="center" vertical="center"/>
    </xf>
    <xf numFmtId="175" fontId="46" fillId="0" borderId="1" xfId="0" applyNumberFormat="1" applyFont="1" applyFill="1" applyBorder="1" applyAlignment="1">
      <alignment horizontal="center" vertical="center" wrapText="1"/>
    </xf>
    <xf numFmtId="175" fontId="46" fillId="0" borderId="1" xfId="1" applyNumberFormat="1" applyFont="1" applyFill="1" applyBorder="1" applyAlignment="1">
      <alignment horizontal="center" vertical="center"/>
    </xf>
    <xf numFmtId="2" fontId="46" fillId="0" borderId="1" xfId="1" applyNumberFormat="1" applyFont="1" applyFill="1" applyBorder="1" applyAlignment="1">
      <alignment horizontal="center" vertical="center"/>
    </xf>
    <xf numFmtId="175" fontId="46" fillId="0" borderId="1" xfId="2" applyNumberFormat="1" applyFont="1" applyFill="1" applyBorder="1" applyAlignment="1">
      <alignment vertical="center"/>
    </xf>
    <xf numFmtId="3" fontId="46" fillId="0" borderId="1" xfId="2" applyNumberFormat="1" applyFont="1" applyFill="1" applyBorder="1" applyAlignment="1">
      <alignment vertical="center"/>
    </xf>
    <xf numFmtId="2" fontId="46" fillId="0" borderId="1" xfId="2" applyNumberFormat="1" applyFont="1" applyFill="1" applyBorder="1" applyAlignment="1">
      <alignment horizontal="right" vertical="center"/>
    </xf>
    <xf numFmtId="169" fontId="44" fillId="0" borderId="1" xfId="4" applyNumberFormat="1" applyFont="1" applyFill="1" applyBorder="1" applyAlignment="1">
      <alignment horizontal="center" vertical="center"/>
    </xf>
    <xf numFmtId="3" fontId="44" fillId="0" borderId="1" xfId="2" applyNumberFormat="1" applyFont="1" applyFill="1" applyBorder="1" applyAlignment="1">
      <alignment vertical="center"/>
    </xf>
    <xf numFmtId="2" fontId="44" fillId="0" borderId="1" xfId="2" applyNumberFormat="1" applyFont="1" applyFill="1" applyBorder="1" applyAlignment="1">
      <alignment horizontal="right" vertical="center"/>
    </xf>
    <xf numFmtId="2" fontId="44" fillId="0" borderId="1" xfId="0" applyNumberFormat="1" applyFont="1" applyFill="1" applyBorder="1" applyAlignment="1">
      <alignment horizontal="center" vertical="center" wrapText="1"/>
    </xf>
    <xf numFmtId="2" fontId="44" fillId="0" borderId="1" xfId="0" applyNumberFormat="1" applyFont="1" applyFill="1" applyBorder="1" applyAlignment="1">
      <alignment horizontal="center" vertical="center"/>
    </xf>
    <xf numFmtId="175" fontId="44" fillId="0" borderId="1" xfId="2" applyNumberFormat="1" applyFont="1" applyFill="1" applyBorder="1"/>
    <xf numFmtId="2" fontId="44" fillId="0" borderId="1" xfId="2" applyNumberFormat="1" applyFont="1" applyFill="1" applyBorder="1"/>
    <xf numFmtId="169" fontId="44" fillId="0" borderId="1" xfId="2" applyNumberFormat="1" applyFont="1" applyFill="1" applyBorder="1"/>
    <xf numFmtId="2" fontId="44" fillId="0" borderId="1" xfId="14" applyNumberFormat="1" applyFont="1" applyFill="1" applyBorder="1" applyAlignment="1">
      <alignment vertical="center" wrapText="1"/>
    </xf>
    <xf numFmtId="175" fontId="46" fillId="0" borderId="1" xfId="2" applyNumberFormat="1" applyFont="1" applyFill="1" applyBorder="1"/>
    <xf numFmtId="2" fontId="46" fillId="0" borderId="1" xfId="14" applyNumberFormat="1" applyFont="1" applyFill="1" applyBorder="1" applyAlignment="1">
      <alignment vertical="center" wrapText="1"/>
    </xf>
    <xf numFmtId="3" fontId="46" fillId="0" borderId="1" xfId="2" applyNumberFormat="1" applyFont="1" applyFill="1" applyBorder="1" applyAlignment="1">
      <alignment horizontal="right" vertical="center"/>
    </xf>
    <xf numFmtId="3" fontId="46" fillId="0" borderId="1" xfId="0" applyNumberFormat="1" applyFont="1" applyFill="1" applyBorder="1" applyAlignment="1">
      <alignment vertical="center"/>
    </xf>
    <xf numFmtId="3" fontId="44" fillId="0" borderId="1" xfId="2" applyNumberFormat="1" applyFont="1" applyFill="1" applyBorder="1"/>
    <xf numFmtId="3" fontId="46" fillId="0" borderId="1" xfId="2" applyNumberFormat="1" applyFont="1" applyFill="1" applyBorder="1"/>
    <xf numFmtId="3" fontId="44" fillId="0" borderId="1" xfId="0" applyNumberFormat="1" applyFont="1" applyFill="1" applyBorder="1" applyAlignment="1">
      <alignment vertical="center"/>
    </xf>
    <xf numFmtId="2" fontId="44" fillId="0" borderId="1" xfId="4" applyNumberFormat="1" applyFont="1" applyFill="1" applyBorder="1" applyAlignment="1">
      <alignment horizontal="left" vertical="center"/>
    </xf>
    <xf numFmtId="2" fontId="47" fillId="0" borderId="1" xfId="2" applyNumberFormat="1" applyFont="1" applyFill="1" applyBorder="1" applyAlignment="1">
      <alignment vertical="center" wrapText="1"/>
    </xf>
    <xf numFmtId="2" fontId="44" fillId="0" borderId="1" xfId="9" applyNumberFormat="1" applyFont="1" applyFill="1" applyBorder="1" applyAlignment="1">
      <alignment horizontal="left" vertical="center" wrapText="1"/>
    </xf>
    <xf numFmtId="2" fontId="46" fillId="0" borderId="1" xfId="9" applyNumberFormat="1" applyFont="1" applyFill="1" applyBorder="1" applyAlignment="1">
      <alignment horizontal="left" vertical="center" wrapText="1"/>
    </xf>
    <xf numFmtId="2" fontId="46" fillId="0" borderId="1" xfId="9" applyNumberFormat="1" applyFont="1" applyFill="1" applyBorder="1" applyAlignment="1">
      <alignment vertical="center" wrapText="1"/>
    </xf>
    <xf numFmtId="2" fontId="46" fillId="0" borderId="1" xfId="9" applyNumberFormat="1" applyFont="1" applyFill="1" applyBorder="1" applyAlignment="1">
      <alignment horizontal="center" vertical="center" wrapText="1"/>
    </xf>
    <xf numFmtId="2" fontId="46" fillId="0" borderId="1" xfId="9" applyNumberFormat="1" applyFont="1" applyFill="1" applyBorder="1" applyAlignment="1">
      <alignment vertical="center"/>
    </xf>
    <xf numFmtId="2" fontId="46" fillId="0" borderId="1" xfId="1" applyNumberFormat="1" applyFont="1" applyFill="1" applyBorder="1" applyAlignment="1">
      <alignment horizontal="center" vertical="center" wrapText="1"/>
    </xf>
    <xf numFmtId="175" fontId="44" fillId="0" borderId="1" xfId="0" applyNumberFormat="1" applyFont="1" applyFill="1" applyBorder="1" applyAlignment="1">
      <alignment horizontal="center" vertical="center" wrapText="1"/>
    </xf>
    <xf numFmtId="2" fontId="44" fillId="0" borderId="1" xfId="7" applyNumberFormat="1" applyFont="1" applyFill="1" applyBorder="1" applyAlignment="1">
      <alignment horizontal="left" vertical="center" wrapText="1"/>
    </xf>
    <xf numFmtId="2" fontId="44" fillId="0" borderId="1" xfId="7" applyNumberFormat="1" applyFont="1" applyFill="1" applyBorder="1" applyAlignment="1">
      <alignment vertical="center" wrapText="1"/>
    </xf>
    <xf numFmtId="2" fontId="44" fillId="0" borderId="1" xfId="7" applyNumberFormat="1" applyFont="1" applyFill="1" applyBorder="1" applyAlignment="1">
      <alignment horizontal="center" vertical="center" wrapText="1"/>
    </xf>
    <xf numFmtId="2" fontId="46" fillId="0" borderId="1" xfId="7" applyNumberFormat="1" applyFont="1" applyFill="1" applyBorder="1" applyAlignment="1">
      <alignment vertical="center" wrapText="1"/>
    </xf>
    <xf numFmtId="2" fontId="46" fillId="0" borderId="1" xfId="7" applyNumberFormat="1" applyFont="1" applyFill="1" applyBorder="1" applyAlignment="1">
      <alignment horizontal="center" vertical="center" wrapText="1"/>
    </xf>
    <xf numFmtId="2" fontId="46" fillId="0" borderId="1" xfId="7" applyNumberFormat="1" applyFont="1" applyFill="1" applyBorder="1" applyAlignment="1">
      <alignment horizontal="left" vertical="center" wrapText="1"/>
    </xf>
    <xf numFmtId="2" fontId="46" fillId="0" borderId="1" xfId="7" applyNumberFormat="1" applyFont="1" applyFill="1" applyBorder="1" applyAlignment="1">
      <alignment horizontal="center" vertical="center"/>
    </xf>
    <xf numFmtId="2" fontId="44" fillId="0" borderId="1" xfId="4" applyNumberFormat="1" applyFont="1" applyFill="1" applyBorder="1" applyAlignment="1">
      <alignment vertical="center"/>
    </xf>
    <xf numFmtId="2" fontId="44" fillId="0" borderId="1" xfId="6" applyNumberFormat="1" applyFont="1" applyFill="1" applyBorder="1" applyAlignment="1">
      <alignment horizontal="center" vertical="center" wrapText="1"/>
    </xf>
    <xf numFmtId="2" fontId="46" fillId="0" borderId="1" xfId="6" applyNumberFormat="1" applyFont="1" applyFill="1" applyBorder="1" applyAlignment="1">
      <alignment horizontal="center" vertical="center" wrapText="1"/>
    </xf>
    <xf numFmtId="0" fontId="46" fillId="0" borderId="8" xfId="2" applyFont="1" applyFill="1" applyBorder="1" applyAlignment="1">
      <alignment vertical="center" wrapText="1"/>
    </xf>
    <xf numFmtId="2" fontId="46" fillId="0" borderId="1" xfId="6" applyNumberFormat="1" applyFont="1" applyFill="1" applyBorder="1" applyAlignment="1">
      <alignment vertical="center" wrapText="1"/>
    </xf>
    <xf numFmtId="2" fontId="44" fillId="0" borderId="1" xfId="7" applyNumberFormat="1" applyFont="1" applyFill="1" applyBorder="1" applyAlignment="1">
      <alignment horizontal="center" vertical="center"/>
    </xf>
    <xf numFmtId="3" fontId="44" fillId="0" borderId="1" xfId="2" applyNumberFormat="1" applyFont="1" applyFill="1" applyBorder="1" applyAlignment="1">
      <alignment horizontal="right" vertical="center"/>
    </xf>
    <xf numFmtId="175" fontId="46" fillId="0" borderId="1" xfId="7" applyNumberFormat="1" applyFont="1" applyFill="1" applyBorder="1" applyAlignment="1">
      <alignment horizontal="center" vertical="center" wrapText="1"/>
    </xf>
    <xf numFmtId="3" fontId="46" fillId="0" borderId="1" xfId="7" applyNumberFormat="1" applyFont="1" applyFill="1" applyBorder="1" applyAlignment="1">
      <alignment vertical="center"/>
    </xf>
    <xf numFmtId="2" fontId="46" fillId="0" borderId="1" xfId="2" applyNumberFormat="1" applyFont="1" applyFill="1" applyBorder="1" applyAlignment="1">
      <alignment horizontal="left" vertical="center"/>
    </xf>
    <xf numFmtId="2" fontId="44" fillId="0" borderId="1" xfId="2" applyNumberFormat="1" applyFont="1" applyFill="1" applyBorder="1" applyAlignment="1">
      <alignment horizontal="left" vertical="center"/>
    </xf>
    <xf numFmtId="2" fontId="46" fillId="0" borderId="1" xfId="0" applyNumberFormat="1" applyFont="1" applyFill="1" applyBorder="1" applyAlignment="1">
      <alignment vertical="center"/>
    </xf>
    <xf numFmtId="2" fontId="46" fillId="0" borderId="1" xfId="7" applyNumberFormat="1" applyFont="1" applyFill="1" applyBorder="1" applyAlignment="1">
      <alignment vertical="center"/>
    </xf>
    <xf numFmtId="2" fontId="44" fillId="0" borderId="1" xfId="0" applyNumberFormat="1" applyFont="1" applyFill="1" applyBorder="1" applyAlignment="1">
      <alignment vertical="center"/>
    </xf>
    <xf numFmtId="3" fontId="46" fillId="0" borderId="1" xfId="9" applyNumberFormat="1" applyFont="1" applyFill="1" applyBorder="1" applyAlignment="1">
      <alignment vertical="center"/>
    </xf>
    <xf numFmtId="0" fontId="46" fillId="2" borderId="1" xfId="0" applyFont="1" applyFill="1" applyBorder="1" applyAlignment="1">
      <alignment vertical="center" wrapText="1"/>
    </xf>
    <xf numFmtId="0" fontId="46" fillId="2" borderId="1" xfId="0" applyFont="1" applyFill="1" applyBorder="1" applyAlignment="1">
      <alignment horizontal="center" vertical="center" wrapText="1"/>
    </xf>
    <xf numFmtId="164" fontId="46" fillId="2" borderId="1" xfId="1" applyFont="1" applyFill="1" applyBorder="1" applyAlignment="1">
      <alignment vertical="center"/>
    </xf>
    <xf numFmtId="2" fontId="46" fillId="2" borderId="1" xfId="2" applyNumberFormat="1" applyFont="1" applyFill="1" applyBorder="1" applyAlignment="1">
      <alignment horizontal="center" vertical="center"/>
    </xf>
    <xf numFmtId="0" fontId="46" fillId="0" borderId="1" xfId="2" applyFont="1" applyBorder="1" applyAlignment="1">
      <alignment horizontal="center" vertical="center"/>
    </xf>
    <xf numFmtId="3" fontId="46" fillId="0" borderId="1" xfId="4" applyNumberFormat="1" applyFont="1" applyFill="1" applyBorder="1" applyAlignment="1">
      <alignment horizontal="center" vertical="center"/>
    </xf>
    <xf numFmtId="0" fontId="46" fillId="2" borderId="1" xfId="2" applyFont="1" applyFill="1" applyBorder="1" applyAlignment="1">
      <alignment horizontal="left" vertical="center" wrapText="1"/>
    </xf>
    <xf numFmtId="0" fontId="46" fillId="2" borderId="1" xfId="2" applyFont="1" applyFill="1" applyBorder="1" applyAlignment="1">
      <alignment horizontal="center" vertical="center"/>
    </xf>
    <xf numFmtId="2" fontId="44" fillId="0" borderId="1" xfId="9" applyNumberFormat="1" applyFont="1" applyFill="1" applyBorder="1" applyAlignment="1">
      <alignment vertical="center" wrapText="1"/>
    </xf>
    <xf numFmtId="2" fontId="44" fillId="0" borderId="1" xfId="9" applyNumberFormat="1" applyFont="1" applyFill="1" applyBorder="1" applyAlignment="1">
      <alignment horizontal="center" vertical="center" wrapText="1"/>
    </xf>
    <xf numFmtId="3" fontId="44" fillId="0" borderId="1" xfId="9" applyNumberFormat="1" applyFont="1" applyFill="1" applyBorder="1" applyAlignment="1">
      <alignment vertical="center"/>
    </xf>
    <xf numFmtId="3" fontId="44" fillId="0" borderId="1" xfId="9" applyNumberFormat="1" applyFont="1" applyFill="1" applyBorder="1" applyAlignment="1">
      <alignment horizontal="right" vertical="center"/>
    </xf>
    <xf numFmtId="3" fontId="46" fillId="0" borderId="1" xfId="9" applyNumberFormat="1" applyFont="1" applyFill="1" applyBorder="1" applyAlignment="1">
      <alignment horizontal="right" vertical="center"/>
    </xf>
    <xf numFmtId="2" fontId="44" fillId="0" borderId="1" xfId="9" applyNumberFormat="1" applyFont="1" applyFill="1" applyBorder="1" applyAlignment="1">
      <alignment vertical="center"/>
    </xf>
    <xf numFmtId="2" fontId="46" fillId="0" borderId="1" xfId="1" applyNumberFormat="1" applyFont="1" applyFill="1" applyBorder="1" applyAlignment="1">
      <alignment horizontal="center" wrapText="1"/>
    </xf>
    <xf numFmtId="2" fontId="46" fillId="0" borderId="1" xfId="9" applyNumberFormat="1" applyFont="1" applyFill="1" applyBorder="1" applyAlignment="1">
      <alignment horizontal="center" vertical="center"/>
    </xf>
    <xf numFmtId="0" fontId="46" fillId="0" borderId="1" xfId="2" applyFont="1" applyFill="1" applyBorder="1"/>
    <xf numFmtId="2" fontId="44" fillId="0" borderId="1" xfId="9" applyNumberFormat="1" applyFont="1" applyFill="1" applyBorder="1" applyAlignment="1">
      <alignment horizontal="center" vertical="center"/>
    </xf>
    <xf numFmtId="2" fontId="46" fillId="0" borderId="1" xfId="4" applyNumberFormat="1" applyFont="1" applyFill="1" applyBorder="1" applyAlignment="1">
      <alignment vertical="center"/>
    </xf>
    <xf numFmtId="2" fontId="46" fillId="2" borderId="1" xfId="2" applyNumberFormat="1" applyFont="1" applyFill="1" applyBorder="1" applyAlignment="1">
      <alignment vertical="center" wrapText="1"/>
    </xf>
    <xf numFmtId="2" fontId="46" fillId="0" borderId="1" xfId="1" applyNumberFormat="1" applyFont="1" applyFill="1" applyBorder="1" applyAlignment="1">
      <alignment vertical="center"/>
    </xf>
    <xf numFmtId="2" fontId="46" fillId="0" borderId="1" xfId="2" applyNumberFormat="1" applyFont="1" applyFill="1" applyBorder="1" applyAlignment="1">
      <alignment horizontal="right" vertical="center" wrapText="1"/>
    </xf>
    <xf numFmtId="3" fontId="46" fillId="0" borderId="1" xfId="0" applyNumberFormat="1" applyFont="1" applyFill="1" applyBorder="1" applyAlignment="1">
      <alignment horizontal="right" vertical="center"/>
    </xf>
    <xf numFmtId="3" fontId="46" fillId="0" borderId="1" xfId="4" applyNumberFormat="1" applyFont="1" applyFill="1" applyBorder="1" applyAlignment="1">
      <alignment vertical="center"/>
    </xf>
    <xf numFmtId="3" fontId="46" fillId="0" borderId="1" xfId="0" applyNumberFormat="1" applyFont="1" applyFill="1" applyBorder="1" applyAlignment="1">
      <alignment horizontal="center" vertical="center"/>
    </xf>
    <xf numFmtId="3" fontId="46" fillId="0" borderId="1" xfId="2" applyNumberFormat="1" applyFont="1" applyFill="1" applyBorder="1" applyAlignment="1">
      <alignment horizontal="right" vertical="center" wrapText="1"/>
    </xf>
    <xf numFmtId="175" fontId="44" fillId="0" borderId="1" xfId="0" applyNumberFormat="1" applyFont="1" applyFill="1" applyBorder="1" applyAlignment="1">
      <alignment vertical="center"/>
    </xf>
    <xf numFmtId="169" fontId="44" fillId="0" borderId="1" xfId="1" applyNumberFormat="1" applyFont="1" applyFill="1" applyBorder="1" applyAlignment="1">
      <alignment horizontal="right" vertical="center" wrapText="1"/>
    </xf>
    <xf numFmtId="2" fontId="44" fillId="0" borderId="1" xfId="4" applyNumberFormat="1" applyFont="1" applyFill="1" applyBorder="1" applyAlignment="1">
      <alignment horizontal="right" vertical="center"/>
    </xf>
    <xf numFmtId="2" fontId="46" fillId="0" borderId="1" xfId="4" applyNumberFormat="1" applyFont="1" applyFill="1" applyBorder="1" applyAlignment="1">
      <alignment vertical="center" wrapText="1"/>
    </xf>
    <xf numFmtId="2" fontId="44" fillId="0" borderId="1" xfId="4" applyNumberFormat="1" applyFont="1" applyFill="1" applyBorder="1" applyAlignment="1">
      <alignment vertical="center" wrapText="1"/>
    </xf>
    <xf numFmtId="175" fontId="46" fillId="0" borderId="1" xfId="0" applyNumberFormat="1" applyFont="1" applyFill="1" applyBorder="1" applyAlignment="1">
      <alignment vertical="center"/>
    </xf>
    <xf numFmtId="169" fontId="46" fillId="0" borderId="1" xfId="1" applyNumberFormat="1" applyFont="1" applyFill="1" applyBorder="1" applyAlignment="1">
      <alignment horizontal="right" vertical="center" wrapText="1"/>
    </xf>
    <xf numFmtId="2" fontId="46" fillId="0" borderId="1" xfId="4" applyNumberFormat="1" applyFont="1" applyFill="1" applyBorder="1" applyAlignment="1">
      <alignment horizontal="right" vertical="center"/>
    </xf>
    <xf numFmtId="169" fontId="46" fillId="0" borderId="1" xfId="1" applyNumberFormat="1" applyFont="1" applyFill="1" applyBorder="1" applyAlignment="1">
      <alignment vertical="center"/>
    </xf>
    <xf numFmtId="175" fontId="46" fillId="0" borderId="1" xfId="2" applyNumberFormat="1" applyFont="1" applyFill="1" applyBorder="1" applyAlignment="1">
      <alignment vertical="center" wrapText="1"/>
    </xf>
    <xf numFmtId="169" fontId="46" fillId="0" borderId="1" xfId="0" applyNumberFormat="1" applyFont="1" applyFill="1" applyBorder="1"/>
    <xf numFmtId="169" fontId="46" fillId="0" borderId="1" xfId="1" applyNumberFormat="1" applyFont="1" applyFill="1" applyBorder="1" applyAlignment="1">
      <alignment horizontal="center" vertical="center"/>
    </xf>
    <xf numFmtId="175" fontId="46" fillId="0" borderId="1" xfId="3" applyNumberFormat="1" applyFont="1" applyFill="1" applyBorder="1" applyAlignment="1">
      <alignment vertical="center"/>
    </xf>
    <xf numFmtId="2" fontId="46" fillId="0" borderId="1" xfId="0" applyNumberFormat="1" applyFont="1" applyFill="1" applyBorder="1"/>
    <xf numFmtId="175" fontId="44" fillId="0" borderId="1" xfId="2" applyNumberFormat="1" applyFont="1" applyFill="1" applyBorder="1" applyAlignment="1">
      <alignment vertical="center"/>
    </xf>
    <xf numFmtId="175" fontId="44" fillId="0" borderId="1" xfId="2" applyNumberFormat="1" applyFont="1" applyFill="1" applyBorder="1" applyAlignment="1">
      <alignment vertical="center" wrapText="1"/>
    </xf>
    <xf numFmtId="169" fontId="44" fillId="0" borderId="1" xfId="1" applyNumberFormat="1" applyFont="1" applyFill="1" applyBorder="1" applyAlignment="1">
      <alignment horizontal="center" vertical="center" wrapText="1"/>
    </xf>
    <xf numFmtId="2" fontId="44" fillId="0" borderId="1" xfId="0" applyNumberFormat="1" applyFont="1" applyFill="1" applyBorder="1" applyAlignment="1">
      <alignment horizontal="right" vertical="center" wrapText="1"/>
    </xf>
    <xf numFmtId="169" fontId="46" fillId="0" borderId="1" xfId="1" applyNumberFormat="1" applyFont="1" applyFill="1" applyBorder="1" applyAlignment="1">
      <alignment horizontal="center" vertical="center" wrapText="1"/>
    </xf>
    <xf numFmtId="2" fontId="46" fillId="0" borderId="1" xfId="0" applyNumberFormat="1" applyFont="1" applyFill="1" applyBorder="1" applyAlignment="1">
      <alignment horizontal="right" vertical="center" wrapText="1"/>
    </xf>
    <xf numFmtId="175" fontId="44" fillId="0" borderId="1" xfId="3" applyNumberFormat="1" applyFont="1" applyFill="1" applyBorder="1" applyAlignment="1">
      <alignment vertical="center"/>
    </xf>
    <xf numFmtId="3" fontId="44" fillId="0" borderId="1" xfId="0" applyNumberFormat="1" applyFont="1" applyFill="1" applyBorder="1" applyAlignment="1">
      <alignment horizontal="right" vertical="center" wrapText="1"/>
    </xf>
    <xf numFmtId="2" fontId="44" fillId="0" borderId="1" xfId="1" applyNumberFormat="1" applyFont="1" applyFill="1" applyBorder="1" applyAlignment="1">
      <alignment vertical="center" wrapText="1"/>
    </xf>
    <xf numFmtId="3" fontId="46" fillId="0" borderId="1" xfId="0" applyNumberFormat="1" applyFont="1" applyFill="1" applyBorder="1" applyAlignment="1">
      <alignment horizontal="right" vertical="center" wrapText="1"/>
    </xf>
    <xf numFmtId="2" fontId="46" fillId="0" borderId="1" xfId="1" applyNumberFormat="1" applyFont="1" applyFill="1" applyBorder="1" applyAlignment="1">
      <alignment vertical="center" wrapText="1"/>
    </xf>
    <xf numFmtId="2" fontId="46" fillId="0" borderId="1" xfId="14" applyNumberFormat="1" applyFont="1" applyFill="1" applyBorder="1" applyAlignment="1">
      <alignment vertical="center"/>
    </xf>
    <xf numFmtId="169" fontId="46" fillId="2" borderId="1" xfId="1" applyNumberFormat="1" applyFont="1" applyFill="1" applyBorder="1" applyAlignment="1">
      <alignment horizontal="center" vertical="center" wrapText="1"/>
    </xf>
    <xf numFmtId="2" fontId="46" fillId="2" borderId="1" xfId="0" applyNumberFormat="1" applyFont="1" applyFill="1" applyBorder="1" applyAlignment="1">
      <alignment vertical="center" wrapText="1"/>
    </xf>
    <xf numFmtId="2" fontId="44" fillId="0" borderId="1" xfId="0" applyNumberFormat="1" applyFont="1" applyFill="1" applyBorder="1" applyAlignment="1">
      <alignment horizontal="right" vertical="center"/>
    </xf>
    <xf numFmtId="2" fontId="46" fillId="0" borderId="1" xfId="0" applyNumberFormat="1" applyFont="1" applyFill="1" applyBorder="1" applyAlignment="1">
      <alignment horizontal="right" vertical="center"/>
    </xf>
    <xf numFmtId="0" fontId="46" fillId="0" borderId="1" xfId="0" applyFont="1" applyFill="1" applyBorder="1"/>
    <xf numFmtId="175" fontId="44" fillId="0" borderId="1" xfId="0" applyNumberFormat="1" applyFont="1" applyFill="1" applyBorder="1"/>
    <xf numFmtId="2" fontId="44" fillId="0" borderId="1" xfId="0" applyNumberFormat="1" applyFont="1" applyFill="1" applyBorder="1"/>
    <xf numFmtId="169" fontId="44" fillId="0" borderId="1" xfId="0" applyNumberFormat="1" applyFont="1" applyFill="1" applyBorder="1"/>
    <xf numFmtId="175" fontId="46" fillId="0" borderId="1" xfId="0" applyNumberFormat="1" applyFont="1" applyFill="1" applyBorder="1"/>
    <xf numFmtId="2" fontId="44" fillId="0" borderId="1" xfId="1" applyNumberFormat="1" applyFont="1" applyFill="1" applyBorder="1" applyAlignment="1">
      <alignment vertical="center"/>
    </xf>
    <xf numFmtId="3" fontId="46" fillId="0" borderId="1" xfId="0" applyNumberFormat="1" applyFont="1" applyFill="1" applyBorder="1" applyAlignment="1">
      <alignment vertical="center" wrapText="1"/>
    </xf>
    <xf numFmtId="169" fontId="44" fillId="0" borderId="1" xfId="0" applyNumberFormat="1" applyFont="1" applyFill="1" applyBorder="1" applyAlignment="1">
      <alignment horizontal="center" vertical="center" wrapText="1"/>
    </xf>
    <xf numFmtId="169" fontId="46" fillId="2" borderId="1" xfId="0" applyNumberFormat="1" applyFont="1" applyFill="1" applyBorder="1" applyAlignment="1">
      <alignment horizontal="center" vertical="center" wrapText="1"/>
    </xf>
    <xf numFmtId="169" fontId="46" fillId="0" borderId="1" xfId="0" applyNumberFormat="1" applyFont="1" applyFill="1" applyBorder="1" applyAlignment="1">
      <alignment horizontal="center" vertical="center"/>
    </xf>
    <xf numFmtId="2" fontId="46" fillId="0" borderId="1" xfId="0" applyNumberFormat="1" applyFont="1" applyFill="1" applyBorder="1" applyAlignment="1">
      <alignment wrapText="1"/>
    </xf>
    <xf numFmtId="169" fontId="46" fillId="0" borderId="1" xfId="0" applyNumberFormat="1" applyFont="1" applyFill="1" applyBorder="1" applyAlignment="1">
      <alignment horizontal="center" vertical="center" wrapText="1"/>
    </xf>
    <xf numFmtId="3" fontId="46" fillId="2" borderId="1" xfId="4" applyNumberFormat="1" applyFont="1" applyFill="1" applyBorder="1" applyAlignment="1">
      <alignment horizontal="right" vertical="center"/>
    </xf>
    <xf numFmtId="169" fontId="46" fillId="0" borderId="1" xfId="2" applyNumberFormat="1" applyFont="1" applyFill="1" applyBorder="1" applyAlignment="1">
      <alignment vertical="center" wrapText="1"/>
    </xf>
    <xf numFmtId="169" fontId="46" fillId="0" borderId="1" xfId="2" applyNumberFormat="1" applyFont="1" applyFill="1" applyBorder="1" applyAlignment="1">
      <alignment vertical="center"/>
    </xf>
    <xf numFmtId="175" fontId="46" fillId="2" borderId="1" xfId="2" applyNumberFormat="1" applyFont="1" applyFill="1" applyBorder="1" applyAlignment="1">
      <alignment vertical="center" wrapText="1"/>
    </xf>
    <xf numFmtId="2" fontId="46" fillId="2" borderId="1" xfId="0" applyNumberFormat="1" applyFont="1" applyFill="1" applyBorder="1" applyAlignment="1">
      <alignment horizontal="left" vertical="center" wrapText="1"/>
    </xf>
    <xf numFmtId="3" fontId="44" fillId="0" borderId="1" xfId="0" applyNumberFormat="1" applyFont="1" applyFill="1" applyBorder="1" applyAlignment="1">
      <alignment horizontal="center" vertical="center" wrapText="1"/>
    </xf>
    <xf numFmtId="2" fontId="44" fillId="0" borderId="1" xfId="5" applyNumberFormat="1" applyFont="1" applyFill="1" applyBorder="1" applyAlignment="1">
      <alignment horizontal="right" vertical="center" wrapText="1"/>
    </xf>
    <xf numFmtId="3" fontId="46" fillId="0" borderId="1" xfId="0" applyNumberFormat="1" applyFont="1" applyFill="1" applyBorder="1" applyAlignment="1">
      <alignment horizontal="center" vertical="center" wrapText="1"/>
    </xf>
    <xf numFmtId="2" fontId="46" fillId="0" borderId="1" xfId="5" applyNumberFormat="1" applyFont="1" applyFill="1" applyBorder="1" applyAlignment="1">
      <alignment horizontal="right" vertical="center" wrapText="1"/>
    </xf>
    <xf numFmtId="2" fontId="46" fillId="0" borderId="1" xfId="10" applyNumberFormat="1" applyFont="1" applyFill="1" applyBorder="1" applyAlignment="1">
      <alignment vertical="center" wrapText="1"/>
    </xf>
    <xf numFmtId="2" fontId="47" fillId="0" borderId="1" xfId="0" applyNumberFormat="1" applyFont="1" applyFill="1" applyBorder="1" applyAlignment="1">
      <alignment vertical="center" wrapText="1"/>
    </xf>
    <xf numFmtId="175" fontId="46" fillId="0" borderId="1" xfId="0" applyNumberFormat="1" applyFont="1" applyFill="1" applyBorder="1" applyAlignment="1">
      <alignment wrapText="1"/>
    </xf>
    <xf numFmtId="169" fontId="46" fillId="0" borderId="1" xfId="0" applyNumberFormat="1" applyFont="1" applyFill="1" applyBorder="1" applyAlignment="1">
      <alignment wrapText="1"/>
    </xf>
    <xf numFmtId="2" fontId="44" fillId="0" borderId="1" xfId="0" applyNumberFormat="1" applyFont="1" applyFill="1" applyBorder="1" applyAlignment="1">
      <alignment wrapText="1"/>
    </xf>
    <xf numFmtId="2" fontId="44" fillId="0" borderId="1" xfId="10" applyNumberFormat="1" applyFont="1" applyFill="1" applyBorder="1" applyAlignment="1">
      <alignment vertical="center" wrapText="1"/>
    </xf>
    <xf numFmtId="175" fontId="44" fillId="0" borderId="1" xfId="0" applyNumberFormat="1" applyFont="1" applyFill="1" applyBorder="1" applyAlignment="1">
      <alignment wrapText="1"/>
    </xf>
    <xf numFmtId="169" fontId="44" fillId="0" borderId="1" xfId="0" applyNumberFormat="1" applyFont="1" applyFill="1" applyBorder="1" applyAlignment="1">
      <alignment wrapText="1"/>
    </xf>
    <xf numFmtId="0" fontId="46" fillId="0" borderId="1" xfId="0" applyFont="1" applyFill="1" applyBorder="1" applyAlignment="1">
      <alignment wrapText="1"/>
    </xf>
    <xf numFmtId="2" fontId="47" fillId="0" borderId="1" xfId="0" applyNumberFormat="1" applyFont="1" applyFill="1" applyBorder="1" applyAlignment="1">
      <alignment horizontal="left" vertical="center" wrapText="1"/>
    </xf>
    <xf numFmtId="1" fontId="44" fillId="0" borderId="3" xfId="0" applyNumberFormat="1" applyFont="1" applyFill="1" applyBorder="1" applyAlignment="1">
      <alignment horizontal="center" vertical="center"/>
    </xf>
    <xf numFmtId="0" fontId="46" fillId="0" borderId="3" xfId="0" applyFont="1" applyFill="1" applyBorder="1" applyAlignment="1">
      <alignment wrapText="1"/>
    </xf>
    <xf numFmtId="175" fontId="46" fillId="0" borderId="3" xfId="2" applyNumberFormat="1" applyFont="1" applyFill="1" applyBorder="1" applyAlignment="1">
      <alignment vertical="center" wrapText="1"/>
    </xf>
    <xf numFmtId="175" fontId="46" fillId="0" borderId="3" xfId="0" applyNumberFormat="1" applyFont="1" applyFill="1" applyBorder="1" applyAlignment="1">
      <alignment horizontal="center" vertical="center" wrapText="1"/>
    </xf>
    <xf numFmtId="2" fontId="46" fillId="0" borderId="3" xfId="0" applyNumberFormat="1" applyFont="1" applyFill="1" applyBorder="1" applyAlignment="1">
      <alignment vertical="center" wrapText="1"/>
    </xf>
    <xf numFmtId="169" fontId="46" fillId="0" borderId="3" xfId="1" applyNumberFormat="1" applyFont="1" applyFill="1" applyBorder="1" applyAlignment="1">
      <alignment horizontal="center" vertical="center" wrapText="1"/>
    </xf>
    <xf numFmtId="2" fontId="46" fillId="0" borderId="3" xfId="2" applyNumberFormat="1" applyFont="1" applyFill="1" applyBorder="1" applyAlignment="1">
      <alignment horizontal="center" vertical="center" wrapText="1"/>
    </xf>
    <xf numFmtId="3" fontId="46" fillId="0" borderId="3" xfId="4" applyNumberFormat="1" applyFont="1" applyFill="1" applyBorder="1" applyAlignment="1">
      <alignment horizontal="right" vertical="center" wrapText="1"/>
    </xf>
    <xf numFmtId="3" fontId="46" fillId="0" borderId="3" xfId="4" applyNumberFormat="1" applyFont="1" applyFill="1" applyBorder="1" applyAlignment="1">
      <alignment vertical="center" wrapText="1"/>
    </xf>
    <xf numFmtId="2" fontId="44" fillId="0" borderId="3" xfId="10" applyNumberFormat="1" applyFont="1" applyFill="1" applyBorder="1"/>
    <xf numFmtId="3" fontId="44" fillId="0" borderId="3" xfId="10" applyNumberFormat="1" applyFont="1" applyFill="1" applyBorder="1"/>
    <xf numFmtId="3" fontId="44" fillId="0" borderId="3" xfId="10" applyNumberFormat="1" applyFont="1" applyFill="1" applyBorder="1" applyAlignment="1">
      <alignment wrapText="1"/>
    </xf>
    <xf numFmtId="2" fontId="44" fillId="0" borderId="3" xfId="2" applyNumberFormat="1" applyFont="1" applyFill="1" applyBorder="1"/>
    <xf numFmtId="2" fontId="44" fillId="0" borderId="3" xfId="0" applyNumberFormat="1" applyFont="1" applyFill="1" applyBorder="1"/>
    <xf numFmtId="2" fontId="44" fillId="0" borderId="3" xfId="0" applyNumberFormat="1" applyFont="1" applyFill="1" applyBorder="1" applyAlignment="1">
      <alignment wrapText="1"/>
    </xf>
    <xf numFmtId="3" fontId="44" fillId="0" borderId="3" xfId="0" applyNumberFormat="1" applyFont="1" applyFill="1" applyBorder="1" applyAlignment="1">
      <alignment horizontal="right" vertical="center"/>
    </xf>
    <xf numFmtId="3" fontId="44" fillId="0" borderId="3" xfId="0" applyNumberFormat="1" applyFont="1" applyFill="1" applyBorder="1"/>
    <xf numFmtId="3" fontId="44" fillId="0" borderId="3" xfId="4" applyNumberFormat="1" applyFont="1" applyFill="1" applyBorder="1" applyAlignment="1">
      <alignment vertical="center" wrapText="1"/>
    </xf>
    <xf numFmtId="1" fontId="50" fillId="0" borderId="13" xfId="0" applyNumberFormat="1" applyFont="1" applyFill="1" applyBorder="1" applyAlignment="1">
      <alignment horizontal="center"/>
    </xf>
    <xf numFmtId="0" fontId="50" fillId="0" borderId="0" xfId="0" applyFont="1" applyFill="1" applyBorder="1" applyAlignment="1">
      <alignment wrapText="1"/>
    </xf>
    <xf numFmtId="1" fontId="50" fillId="0" borderId="0" xfId="0" applyNumberFormat="1" applyFont="1" applyFill="1" applyBorder="1" applyAlignment="1">
      <alignment horizontal="center"/>
    </xf>
    <xf numFmtId="2" fontId="46" fillId="0" borderId="12" xfId="0" applyNumberFormat="1" applyFont="1" applyFill="1" applyBorder="1" applyAlignment="1">
      <alignment horizontal="left" vertical="center" wrapText="1"/>
    </xf>
    <xf numFmtId="0" fontId="5" fillId="2" borderId="8" xfId="0" applyFont="1" applyFill="1" applyBorder="1" applyAlignment="1">
      <alignment vertical="center" wrapText="1"/>
    </xf>
    <xf numFmtId="3" fontId="0" fillId="2" borderId="8" xfId="0" applyNumberFormat="1" applyFill="1" applyBorder="1"/>
    <xf numFmtId="0" fontId="0" fillId="2" borderId="8" xfId="0" applyFill="1" applyBorder="1"/>
    <xf numFmtId="0" fontId="0" fillId="2" borderId="0" xfId="0" applyFill="1"/>
    <xf numFmtId="2" fontId="0" fillId="2" borderId="0" xfId="0" applyNumberFormat="1" applyFill="1"/>
    <xf numFmtId="0" fontId="44" fillId="0" borderId="12" xfId="2" applyFont="1" applyFill="1" applyBorder="1" applyAlignment="1">
      <alignment horizontal="center" vertical="center" wrapText="1"/>
    </xf>
    <xf numFmtId="0" fontId="5" fillId="0" borderId="0" xfId="0" applyFont="1" applyFill="1" applyBorder="1" applyAlignment="1">
      <alignment vertical="center"/>
    </xf>
    <xf numFmtId="2" fontId="46" fillId="0" borderId="3" xfId="0" applyNumberFormat="1" applyFont="1" applyFill="1" applyBorder="1" applyAlignment="1">
      <alignment vertical="center"/>
    </xf>
    <xf numFmtId="2" fontId="51" fillId="0" borderId="1" xfId="0" applyNumberFormat="1" applyFont="1" applyFill="1" applyBorder="1" applyAlignment="1">
      <alignment vertical="center" wrapText="1"/>
    </xf>
    <xf numFmtId="169" fontId="51" fillId="0" borderId="1" xfId="1" applyNumberFormat="1" applyFont="1" applyFill="1" applyBorder="1" applyAlignment="1">
      <alignment horizontal="center" vertical="center" wrapText="1"/>
    </xf>
    <xf numFmtId="1" fontId="37" fillId="7" borderId="12" xfId="2" applyNumberFormat="1" applyFont="1" applyFill="1" applyBorder="1" applyAlignment="1">
      <alignment horizontal="center" vertical="center"/>
    </xf>
    <xf numFmtId="1" fontId="44" fillId="7" borderId="1" xfId="2" applyNumberFormat="1" applyFont="1" applyFill="1" applyBorder="1" applyAlignment="1">
      <alignment horizontal="center" vertical="center"/>
    </xf>
    <xf numFmtId="2" fontId="44" fillId="7" borderId="1" xfId="0" applyNumberFormat="1" applyFont="1" applyFill="1" applyBorder="1" applyAlignment="1">
      <alignment horizontal="left" vertical="center" wrapText="1"/>
    </xf>
    <xf numFmtId="175" fontId="44" fillId="7" borderId="1" xfId="2" applyNumberFormat="1" applyFont="1" applyFill="1" applyBorder="1" applyAlignment="1">
      <alignment vertical="center" wrapText="1"/>
    </xf>
    <xf numFmtId="175" fontId="44" fillId="7" borderId="1" xfId="0" applyNumberFormat="1" applyFont="1" applyFill="1" applyBorder="1" applyAlignment="1">
      <alignment horizontal="center" vertical="center" wrapText="1"/>
    </xf>
    <xf numFmtId="2" fontId="44" fillId="7" borderId="1" xfId="0" applyNumberFormat="1" applyFont="1" applyFill="1" applyBorder="1" applyAlignment="1">
      <alignment vertical="center" wrapText="1"/>
    </xf>
    <xf numFmtId="169" fontId="44" fillId="7" borderId="1" xfId="1" applyNumberFormat="1" applyFont="1" applyFill="1" applyBorder="1" applyAlignment="1">
      <alignment horizontal="center" vertical="center" wrapText="1"/>
    </xf>
    <xf numFmtId="169" fontId="44" fillId="7" borderId="1" xfId="4" applyNumberFormat="1" applyFont="1" applyFill="1" applyBorder="1" applyAlignment="1">
      <alignment horizontal="center" vertical="center" wrapText="1"/>
    </xf>
    <xf numFmtId="2" fontId="44" fillId="7" borderId="1" xfId="2" applyNumberFormat="1" applyFont="1" applyFill="1" applyBorder="1" applyAlignment="1">
      <alignment horizontal="center" vertical="center" wrapText="1"/>
    </xf>
    <xf numFmtId="3" fontId="44" fillId="7" borderId="1" xfId="4" applyNumberFormat="1" applyFont="1" applyFill="1" applyBorder="1" applyAlignment="1">
      <alignment horizontal="right" vertical="center" wrapText="1"/>
    </xf>
    <xf numFmtId="3" fontId="44" fillId="7" borderId="1" xfId="4" applyNumberFormat="1" applyFont="1" applyFill="1" applyBorder="1" applyAlignment="1">
      <alignment vertical="center" wrapText="1"/>
    </xf>
    <xf numFmtId="3" fontId="44" fillId="7" borderId="1" xfId="0" applyNumberFormat="1" applyFont="1" applyFill="1" applyBorder="1" applyAlignment="1">
      <alignment horizontal="center" vertical="center" wrapText="1"/>
    </xf>
    <xf numFmtId="2" fontId="44" fillId="7" borderId="1" xfId="2" applyNumberFormat="1" applyFont="1" applyFill="1" applyBorder="1" applyAlignment="1">
      <alignment horizontal="left" vertical="center" wrapText="1"/>
    </xf>
    <xf numFmtId="2" fontId="44" fillId="7" borderId="1" xfId="0" applyNumberFormat="1" applyFont="1" applyFill="1" applyBorder="1" applyAlignment="1">
      <alignment horizontal="center" vertical="center" wrapText="1"/>
    </xf>
    <xf numFmtId="2" fontId="44" fillId="7" borderId="1" xfId="5" applyNumberFormat="1" applyFont="1" applyFill="1" applyBorder="1" applyAlignment="1">
      <alignment horizontal="right" vertical="center" wrapText="1"/>
    </xf>
    <xf numFmtId="2" fontId="44" fillId="7" borderId="1" xfId="4" applyNumberFormat="1" applyFont="1" applyFill="1" applyBorder="1" applyAlignment="1">
      <alignment vertical="center"/>
    </xf>
    <xf numFmtId="2" fontId="46" fillId="7" borderId="1" xfId="0" applyNumberFormat="1" applyFont="1" applyFill="1" applyBorder="1" applyAlignment="1">
      <alignment vertical="center" wrapText="1"/>
    </xf>
    <xf numFmtId="2" fontId="46" fillId="7" borderId="1" xfId="10" applyNumberFormat="1" applyFont="1" applyFill="1" applyBorder="1" applyAlignment="1">
      <alignment vertical="center" wrapText="1"/>
    </xf>
    <xf numFmtId="3" fontId="44" fillId="7" borderId="1" xfId="0" applyNumberFormat="1" applyFont="1" applyFill="1" applyBorder="1" applyAlignment="1">
      <alignment horizontal="right" vertical="center" wrapText="1"/>
    </xf>
    <xf numFmtId="3" fontId="44" fillId="7" borderId="1" xfId="4" applyNumberFormat="1" applyFont="1" applyFill="1" applyBorder="1" applyAlignment="1">
      <alignment horizontal="center" vertical="center" wrapText="1"/>
    </xf>
    <xf numFmtId="0" fontId="36" fillId="7" borderId="0" xfId="0" applyFont="1" applyFill="1" applyBorder="1" applyAlignment="1">
      <alignment wrapText="1"/>
    </xf>
    <xf numFmtId="3" fontId="0" fillId="2" borderId="8" xfId="0" applyNumberFormat="1" applyFill="1" applyBorder="1" applyAlignment="1">
      <alignment vertical="center"/>
    </xf>
    <xf numFmtId="3" fontId="0" fillId="0" borderId="8" xfId="0" applyNumberFormat="1" applyFill="1" applyBorder="1" applyAlignment="1">
      <alignment horizontal="right" vertical="center"/>
    </xf>
    <xf numFmtId="3" fontId="0" fillId="2" borderId="8" xfId="0" applyNumberFormat="1" applyFill="1" applyBorder="1" applyAlignment="1">
      <alignment horizontal="right" vertical="center"/>
    </xf>
    <xf numFmtId="0" fontId="0" fillId="0" borderId="0" xfId="0" applyFill="1" applyAlignment="1">
      <alignment horizontal="right" vertical="center"/>
    </xf>
    <xf numFmtId="2" fontId="44" fillId="7" borderId="1" xfId="4" applyNumberFormat="1" applyFont="1" applyFill="1" applyBorder="1" applyAlignment="1">
      <alignment horizontal="left" vertical="center" wrapText="1"/>
    </xf>
    <xf numFmtId="0" fontId="5" fillId="7" borderId="0" xfId="0" applyFont="1" applyFill="1" applyBorder="1" applyAlignment="1">
      <alignment wrapText="1"/>
    </xf>
    <xf numFmtId="2" fontId="46" fillId="7" borderId="1" xfId="0" applyNumberFormat="1" applyFont="1" applyFill="1" applyBorder="1" applyAlignment="1">
      <alignment vertical="center"/>
    </xf>
    <xf numFmtId="2" fontId="46" fillId="7" borderId="1" xfId="4" applyNumberFormat="1" applyFont="1" applyFill="1" applyBorder="1" applyAlignment="1">
      <alignment vertical="center"/>
    </xf>
    <xf numFmtId="2" fontId="46" fillId="7" borderId="1" xfId="4" applyNumberFormat="1" applyFont="1" applyFill="1" applyBorder="1" applyAlignment="1">
      <alignment vertical="center" wrapText="1"/>
    </xf>
    <xf numFmtId="2" fontId="44" fillId="7" borderId="1" xfId="4" applyNumberFormat="1" applyFont="1" applyFill="1" applyBorder="1" applyAlignment="1">
      <alignment vertical="center" wrapText="1"/>
    </xf>
    <xf numFmtId="3" fontId="44" fillId="7" borderId="1" xfId="4" applyNumberFormat="1" applyFont="1" applyFill="1" applyBorder="1" applyAlignment="1">
      <alignment horizontal="right" vertical="center"/>
    </xf>
    <xf numFmtId="0" fontId="37" fillId="7" borderId="0" xfId="0" applyFont="1" applyFill="1" applyBorder="1" applyAlignment="1">
      <alignment vertical="center" wrapText="1"/>
    </xf>
    <xf numFmtId="2" fontId="0" fillId="0" borderId="8" xfId="4" applyNumberFormat="1" applyFont="1" applyFill="1" applyBorder="1" applyAlignment="1">
      <alignment horizontal="center" vertical="center"/>
    </xf>
    <xf numFmtId="4" fontId="0" fillId="0" borderId="0" xfId="0" applyNumberFormat="1" applyFill="1"/>
    <xf numFmtId="4" fontId="0" fillId="0" borderId="0" xfId="0" applyNumberFormat="1" applyFont="1" applyFill="1"/>
    <xf numFmtId="176" fontId="52" fillId="0" borderId="0" xfId="0" applyNumberFormat="1" applyFont="1" applyFill="1" applyBorder="1" applyAlignment="1">
      <alignment horizontal="center" vertical="center"/>
    </xf>
    <xf numFmtId="0" fontId="53" fillId="0" borderId="0" xfId="0" applyFont="1" applyFill="1" applyBorder="1" applyAlignment="1">
      <alignment wrapText="1"/>
    </xf>
    <xf numFmtId="2" fontId="52" fillId="0" borderId="13" xfId="0" applyNumberFormat="1" applyFont="1" applyFill="1" applyBorder="1" applyAlignment="1">
      <alignment horizontal="center" vertical="center"/>
    </xf>
    <xf numFmtId="1" fontId="53" fillId="0" borderId="13" xfId="0" applyNumberFormat="1" applyFont="1" applyFill="1" applyBorder="1" applyAlignment="1">
      <alignment horizontal="center"/>
    </xf>
    <xf numFmtId="169" fontId="44" fillId="0" borderId="2" xfId="2" applyNumberFormat="1" applyFont="1" applyFill="1" applyBorder="1" applyAlignment="1">
      <alignment vertical="center"/>
    </xf>
    <xf numFmtId="0" fontId="37" fillId="0" borderId="0" xfId="2" applyFont="1" applyFill="1" applyBorder="1" applyAlignment="1">
      <alignment vertical="center"/>
    </xf>
    <xf numFmtId="2" fontId="54" fillId="0" borderId="0" xfId="11" applyNumberFormat="1" applyFont="1" applyFill="1" applyAlignment="1">
      <alignment vertical="center" wrapText="1"/>
    </xf>
    <xf numFmtId="0" fontId="55" fillId="0" borderId="0" xfId="0" applyFont="1" applyFill="1" applyBorder="1"/>
    <xf numFmtId="3" fontId="37" fillId="0" borderId="0" xfId="0" applyNumberFormat="1" applyFont="1" applyFill="1" applyAlignment="1">
      <alignment horizontal="centerContinuous" wrapText="1"/>
    </xf>
    <xf numFmtId="0" fontId="37" fillId="0" borderId="0" xfId="0" applyFont="1" applyFill="1" applyAlignment="1">
      <alignment horizontal="centerContinuous" wrapText="1"/>
    </xf>
    <xf numFmtId="0" fontId="5" fillId="0" borderId="0" xfId="0" applyFont="1" applyFill="1" applyBorder="1" applyAlignment="1">
      <alignment horizontal="centerContinuous" vertical="center" wrapText="1"/>
    </xf>
    <xf numFmtId="3" fontId="56" fillId="0" borderId="0" xfId="0" applyNumberFormat="1" applyFont="1" applyFill="1" applyAlignment="1">
      <alignment horizontal="centerContinuous" vertical="center" wrapText="1"/>
    </xf>
    <xf numFmtId="3" fontId="57" fillId="0" borderId="0" xfId="0" applyNumberFormat="1" applyFont="1" applyFill="1" applyAlignment="1">
      <alignment horizontal="centerContinuous" vertical="center" wrapText="1"/>
    </xf>
    <xf numFmtId="3" fontId="40" fillId="0" borderId="0" xfId="0" applyNumberFormat="1" applyFont="1" applyFill="1" applyBorder="1" applyAlignment="1">
      <alignment horizontal="centerContinuous" vertical="center" wrapText="1"/>
    </xf>
    <xf numFmtId="0" fontId="37" fillId="0" borderId="0" xfId="12" applyFont="1" applyFill="1" applyAlignment="1">
      <alignment horizontal="centerContinuous" wrapText="1"/>
    </xf>
    <xf numFmtId="169" fontId="37" fillId="0" borderId="0" xfId="12" applyNumberFormat="1" applyFont="1" applyFill="1" applyAlignment="1">
      <alignment horizontal="centerContinuous" wrapText="1"/>
    </xf>
    <xf numFmtId="3" fontId="5" fillId="0" borderId="0" xfId="4" applyNumberFormat="1" applyFont="1" applyFill="1" applyBorder="1" applyAlignment="1">
      <alignment horizontal="centerContinuous" vertical="center" wrapText="1"/>
    </xf>
    <xf numFmtId="0" fontId="56" fillId="0" borderId="0" xfId="12" applyFont="1" applyFill="1" applyAlignment="1">
      <alignment horizontal="centerContinuous" vertical="center" wrapText="1"/>
    </xf>
    <xf numFmtId="1" fontId="58" fillId="0" borderId="12" xfId="2" applyNumberFormat="1" applyFont="1" applyFill="1" applyBorder="1" applyAlignment="1">
      <alignment horizontal="center" vertical="center" wrapText="1"/>
    </xf>
    <xf numFmtId="0" fontId="58" fillId="0" borderId="12" xfId="2" applyFont="1" applyFill="1" applyBorder="1" applyAlignment="1">
      <alignment horizontal="centerContinuous" vertical="center" wrapText="1"/>
    </xf>
    <xf numFmtId="175" fontId="58" fillId="0" borderId="12" xfId="2" applyNumberFormat="1" applyFont="1" applyFill="1" applyBorder="1" applyAlignment="1">
      <alignment horizontal="center" vertical="center" wrapText="1"/>
    </xf>
    <xf numFmtId="2" fontId="58" fillId="0" borderId="12" xfId="2" applyNumberFormat="1" applyFont="1" applyFill="1" applyBorder="1" applyAlignment="1">
      <alignment horizontal="centerContinuous" vertical="center" wrapText="1"/>
    </xf>
    <xf numFmtId="169" fontId="58" fillId="0" borderId="12" xfId="2" applyNumberFormat="1" applyFont="1" applyFill="1" applyBorder="1" applyAlignment="1">
      <alignment horizontal="centerContinuous" vertical="center" wrapText="1"/>
    </xf>
    <xf numFmtId="3" fontId="58" fillId="0" borderId="12" xfId="2" applyNumberFormat="1" applyFont="1" applyFill="1" applyBorder="1" applyAlignment="1">
      <alignment horizontal="center" vertical="center" wrapText="1"/>
    </xf>
    <xf numFmtId="3" fontId="58" fillId="0" borderId="12" xfId="2" applyNumberFormat="1" applyFont="1" applyFill="1" applyBorder="1" applyAlignment="1">
      <alignment horizontal="centerContinuous" vertical="center" wrapText="1"/>
    </xf>
    <xf numFmtId="2" fontId="58" fillId="0" borderId="12" xfId="1" applyNumberFormat="1" applyFont="1" applyFill="1" applyBorder="1" applyAlignment="1">
      <alignment horizontal="centerContinuous" vertical="center" wrapText="1"/>
    </xf>
    <xf numFmtId="4" fontId="58" fillId="0" borderId="12" xfId="2" applyNumberFormat="1" applyFont="1" applyFill="1" applyBorder="1" applyAlignment="1">
      <alignment horizontal="centerContinuous" vertical="center" wrapText="1"/>
    </xf>
    <xf numFmtId="44" fontId="58" fillId="0" borderId="12" xfId="2" applyNumberFormat="1" applyFont="1" applyFill="1" applyBorder="1" applyAlignment="1">
      <alignment horizontal="centerContinuous" vertical="center" wrapText="1"/>
    </xf>
    <xf numFmtId="3" fontId="58" fillId="0" borderId="12" xfId="2" applyNumberFormat="1" applyFont="1" applyFill="1" applyBorder="1" applyAlignment="1">
      <alignment horizontal="center" vertical="center"/>
    </xf>
    <xf numFmtId="0" fontId="58" fillId="0" borderId="12" xfId="2" applyFont="1" applyFill="1" applyBorder="1" applyAlignment="1">
      <alignment horizontal="center" vertical="center" wrapText="1"/>
    </xf>
    <xf numFmtId="1" fontId="58" fillId="0" borderId="3" xfId="2" applyNumberFormat="1" applyFont="1" applyFill="1" applyBorder="1" applyAlignment="1">
      <alignment horizontal="center" vertical="center" wrapText="1"/>
    </xf>
    <xf numFmtId="0" fontId="58" fillId="0" borderId="3" xfId="2" applyFont="1" applyFill="1" applyBorder="1" applyAlignment="1">
      <alignment horizontal="centerContinuous" vertical="center" wrapText="1"/>
    </xf>
    <xf numFmtId="175" fontId="58" fillId="0" borderId="3" xfId="2" applyNumberFormat="1" applyFont="1" applyFill="1" applyBorder="1" applyAlignment="1">
      <alignment horizontal="center" vertical="center" wrapText="1"/>
    </xf>
    <xf numFmtId="0" fontId="58" fillId="0" borderId="3" xfId="2" applyFont="1" applyFill="1" applyBorder="1" applyAlignment="1">
      <alignment horizontal="center" vertical="center" wrapText="1"/>
    </xf>
    <xf numFmtId="169" fontId="58" fillId="0" borderId="3" xfId="2" applyNumberFormat="1" applyFont="1" applyFill="1" applyBorder="1" applyAlignment="1">
      <alignment horizontal="center" vertical="center" wrapText="1"/>
    </xf>
    <xf numFmtId="2" fontId="58" fillId="0" borderId="3" xfId="2" applyNumberFormat="1" applyFont="1" applyFill="1" applyBorder="1" applyAlignment="1">
      <alignment horizontal="center" vertical="center"/>
    </xf>
    <xf numFmtId="3" fontId="58" fillId="0" borderId="3" xfId="2" applyNumberFormat="1" applyFont="1" applyFill="1" applyBorder="1" applyAlignment="1">
      <alignment horizontal="center" vertical="center"/>
    </xf>
    <xf numFmtId="0" fontId="58" fillId="0" borderId="3" xfId="2" applyFont="1" applyFill="1" applyBorder="1" applyAlignment="1">
      <alignment horizontal="center" vertical="center"/>
    </xf>
    <xf numFmtId="2" fontId="58" fillId="0" borderId="3" xfId="1" applyNumberFormat="1" applyFont="1" applyFill="1" applyBorder="1" applyAlignment="1">
      <alignment horizontal="center" vertical="center"/>
    </xf>
    <xf numFmtId="3" fontId="58" fillId="0" borderId="3" xfId="2" applyNumberFormat="1" applyFont="1" applyFill="1" applyBorder="1" applyAlignment="1">
      <alignment horizontal="center" vertical="center" wrapText="1"/>
    </xf>
    <xf numFmtId="3" fontId="58" fillId="0" borderId="3" xfId="0" applyNumberFormat="1" applyFont="1" applyFill="1" applyBorder="1" applyAlignment="1">
      <alignment horizontal="center" vertical="center" wrapText="1"/>
    </xf>
    <xf numFmtId="2" fontId="58" fillId="0" borderId="3" xfId="2" applyNumberFormat="1" applyFont="1" applyFill="1" applyBorder="1" applyAlignment="1">
      <alignment horizontal="center" vertical="center" wrapText="1"/>
    </xf>
    <xf numFmtId="1" fontId="58" fillId="0" borderId="2" xfId="2" applyNumberFormat="1" applyFont="1" applyFill="1" applyBorder="1" applyAlignment="1">
      <alignment horizontal="center" vertical="center"/>
    </xf>
    <xf numFmtId="2" fontId="58" fillId="0" borderId="2" xfId="0" applyNumberFormat="1" applyFont="1" applyFill="1" applyBorder="1" applyAlignment="1">
      <alignment horizontal="left" vertical="center" wrapText="1"/>
    </xf>
    <xf numFmtId="175" fontId="58" fillId="0" borderId="2" xfId="3" applyNumberFormat="1" applyFont="1" applyFill="1" applyBorder="1" applyAlignment="1">
      <alignment horizontal="center" vertical="center" wrapText="1"/>
    </xf>
    <xf numFmtId="175" fontId="58" fillId="0" borderId="2" xfId="2" applyNumberFormat="1" applyFont="1" applyFill="1" applyBorder="1" applyAlignment="1">
      <alignment horizontal="center" vertical="center" wrapText="1"/>
    </xf>
    <xf numFmtId="2" fontId="58" fillId="0" borderId="2" xfId="2" applyNumberFormat="1" applyFont="1" applyFill="1" applyBorder="1" applyAlignment="1">
      <alignment vertical="center" wrapText="1"/>
    </xf>
    <xf numFmtId="169" fontId="58" fillId="0" borderId="2" xfId="2" applyNumberFormat="1" applyFont="1" applyFill="1" applyBorder="1" applyAlignment="1">
      <alignment vertical="center"/>
    </xf>
    <xf numFmtId="2" fontId="58" fillId="0" borderId="2" xfId="2" applyNumberFormat="1" applyFont="1" applyFill="1" applyBorder="1" applyAlignment="1">
      <alignment horizontal="center" vertical="center" wrapText="1"/>
    </xf>
    <xf numFmtId="3" fontId="58" fillId="0" borderId="2" xfId="4" applyNumberFormat="1" applyFont="1" applyFill="1" applyBorder="1" applyAlignment="1">
      <alignment horizontal="right" vertical="center" wrapText="1"/>
    </xf>
    <xf numFmtId="3" fontId="58" fillId="0" borderId="2" xfId="4" applyNumberFormat="1" applyFont="1" applyFill="1" applyBorder="1" applyAlignment="1">
      <alignment vertical="center" wrapText="1"/>
    </xf>
    <xf numFmtId="2" fontId="58" fillId="0" borderId="2" xfId="3" applyNumberFormat="1" applyFont="1" applyFill="1" applyBorder="1" applyAlignment="1">
      <alignment vertical="center" wrapText="1"/>
    </xf>
    <xf numFmtId="2" fontId="58" fillId="0" borderId="2" xfId="2" applyNumberFormat="1" applyFont="1" applyFill="1" applyBorder="1" applyAlignment="1">
      <alignment horizontal="left" vertical="center" wrapText="1"/>
    </xf>
    <xf numFmtId="167" fontId="58" fillId="0" borderId="2" xfId="4" applyNumberFormat="1" applyFont="1" applyFill="1" applyBorder="1" applyAlignment="1">
      <alignment vertical="center" wrapText="1"/>
    </xf>
    <xf numFmtId="2" fontId="58" fillId="0" borderId="2" xfId="4" applyNumberFormat="1" applyFont="1" applyFill="1" applyBorder="1" applyAlignment="1">
      <alignment horizontal="center" vertical="center" wrapText="1"/>
    </xf>
    <xf numFmtId="2" fontId="58" fillId="0" borderId="2" xfId="4" applyNumberFormat="1" applyFont="1" applyFill="1" applyBorder="1" applyAlignment="1">
      <alignment horizontal="left" vertical="center" wrapText="1"/>
    </xf>
    <xf numFmtId="3" fontId="58" fillId="0" borderId="2" xfId="4" applyNumberFormat="1" applyFont="1" applyFill="1" applyBorder="1" applyAlignment="1">
      <alignment horizontal="center" vertical="center" wrapText="1"/>
    </xf>
    <xf numFmtId="2" fontId="58" fillId="0" borderId="9" xfId="2" applyNumberFormat="1" applyFont="1" applyFill="1" applyBorder="1" applyAlignment="1">
      <alignment vertical="center" wrapText="1"/>
    </xf>
    <xf numFmtId="1" fontId="58" fillId="0" borderId="12" xfId="2" applyNumberFormat="1" applyFont="1" applyFill="1" applyBorder="1" applyAlignment="1">
      <alignment horizontal="center" vertical="center"/>
    </xf>
    <xf numFmtId="2" fontId="58" fillId="0" borderId="12" xfId="0" applyNumberFormat="1" applyFont="1" applyFill="1" applyBorder="1" applyAlignment="1">
      <alignment horizontal="left" vertical="center" wrapText="1"/>
    </xf>
    <xf numFmtId="175" fontId="58" fillId="0" borderId="12" xfId="3" applyNumberFormat="1" applyFont="1" applyFill="1" applyBorder="1" applyAlignment="1">
      <alignment horizontal="center" vertical="center" wrapText="1"/>
    </xf>
    <xf numFmtId="2" fontId="58" fillId="0" borderId="12" xfId="2" applyNumberFormat="1" applyFont="1" applyFill="1" applyBorder="1" applyAlignment="1">
      <alignment vertical="center" wrapText="1"/>
    </xf>
    <xf numFmtId="169" fontId="58" fillId="0" borderId="12" xfId="2" applyNumberFormat="1" applyFont="1" applyFill="1" applyBorder="1"/>
    <xf numFmtId="2" fontId="58" fillId="0" borderId="12" xfId="2" applyNumberFormat="1" applyFont="1" applyFill="1" applyBorder="1" applyAlignment="1">
      <alignment horizontal="center" vertical="center" wrapText="1"/>
    </xf>
    <xf numFmtId="3" fontId="58" fillId="0" borderId="12" xfId="4" applyNumberFormat="1" applyFont="1" applyFill="1" applyBorder="1" applyAlignment="1">
      <alignment horizontal="right" vertical="center" wrapText="1"/>
    </xf>
    <xf numFmtId="3" fontId="58" fillId="0" borderId="12" xfId="4" applyNumberFormat="1" applyFont="1" applyFill="1" applyBorder="1" applyAlignment="1">
      <alignment vertical="center" wrapText="1"/>
    </xf>
    <xf numFmtId="2" fontId="58" fillId="0" borderId="12" xfId="3" applyNumberFormat="1" applyFont="1" applyFill="1" applyBorder="1" applyAlignment="1">
      <alignment vertical="center" wrapText="1"/>
    </xf>
    <xf numFmtId="2" fontId="58" fillId="0" borderId="12" xfId="2" applyNumberFormat="1" applyFont="1" applyFill="1" applyBorder="1" applyAlignment="1">
      <alignment horizontal="left" vertical="center" wrapText="1"/>
    </xf>
    <xf numFmtId="2" fontId="58" fillId="0" borderId="12" xfId="1" applyNumberFormat="1" applyFont="1" applyFill="1" applyBorder="1" applyAlignment="1">
      <alignment horizontal="right" vertical="center" wrapText="1"/>
    </xf>
    <xf numFmtId="2" fontId="60" fillId="0" borderId="12" xfId="2" applyNumberFormat="1" applyFont="1" applyFill="1" applyBorder="1" applyAlignment="1">
      <alignment horizontal="center" vertical="center" wrapText="1"/>
    </xf>
    <xf numFmtId="2" fontId="60" fillId="0" borderId="12" xfId="4" applyNumberFormat="1" applyFont="1" applyFill="1" applyBorder="1" applyAlignment="1">
      <alignment horizontal="center" vertical="center" wrapText="1"/>
    </xf>
    <xf numFmtId="2" fontId="58" fillId="0" borderId="12" xfId="4" applyNumberFormat="1" applyFont="1" applyFill="1" applyBorder="1" applyAlignment="1">
      <alignment horizontal="left" vertical="center" wrapText="1"/>
    </xf>
    <xf numFmtId="3" fontId="58" fillId="0" borderId="12" xfId="4" applyNumberFormat="1" applyFont="1" applyFill="1" applyBorder="1" applyAlignment="1">
      <alignment horizontal="center" vertical="center" wrapText="1"/>
    </xf>
    <xf numFmtId="1" fontId="60" fillId="0" borderId="1" xfId="2" applyNumberFormat="1" applyFont="1" applyFill="1" applyBorder="1" applyAlignment="1">
      <alignment horizontal="center" vertical="center"/>
    </xf>
    <xf numFmtId="2" fontId="60" fillId="0" borderId="1" xfId="2" applyNumberFormat="1" applyFont="1" applyFill="1" applyBorder="1" applyAlignment="1">
      <alignment vertical="center" wrapText="1"/>
    </xf>
    <xf numFmtId="175" fontId="60" fillId="0" borderId="1" xfId="3" applyNumberFormat="1" applyFont="1" applyFill="1" applyBorder="1" applyAlignment="1">
      <alignment horizontal="center" vertical="center" wrapText="1"/>
    </xf>
    <xf numFmtId="175" fontId="60" fillId="0" borderId="1" xfId="2" applyNumberFormat="1" applyFont="1" applyFill="1" applyBorder="1" applyAlignment="1">
      <alignment horizontal="center" vertical="center" wrapText="1"/>
    </xf>
    <xf numFmtId="169" fontId="60" fillId="0" borderId="1" xfId="2" applyNumberFormat="1" applyFont="1" applyFill="1" applyBorder="1"/>
    <xf numFmtId="2" fontId="60" fillId="0" borderId="1" xfId="2" applyNumberFormat="1" applyFont="1" applyFill="1" applyBorder="1" applyAlignment="1">
      <alignment horizontal="center" vertical="center" wrapText="1"/>
    </xf>
    <xf numFmtId="3" fontId="60" fillId="0" borderId="1" xfId="4" applyNumberFormat="1" applyFont="1" applyFill="1" applyBorder="1" applyAlignment="1">
      <alignment horizontal="right" vertical="center" wrapText="1"/>
    </xf>
    <xf numFmtId="3" fontId="60" fillId="0" borderId="1" xfId="4" applyNumberFormat="1" applyFont="1" applyFill="1" applyBorder="1" applyAlignment="1">
      <alignment vertical="center" wrapText="1"/>
    </xf>
    <xf numFmtId="2" fontId="60" fillId="0" borderId="1" xfId="3" applyNumberFormat="1" applyFont="1" applyFill="1" applyBorder="1" applyAlignment="1">
      <alignment vertical="center" wrapText="1"/>
    </xf>
    <xf numFmtId="2" fontId="60" fillId="0" borderId="1" xfId="2" applyNumberFormat="1" applyFont="1" applyFill="1" applyBorder="1" applyAlignment="1">
      <alignment horizontal="left" vertical="center" wrapText="1"/>
    </xf>
    <xf numFmtId="2" fontId="60" fillId="0" borderId="1" xfId="1" applyNumberFormat="1" applyFont="1" applyFill="1" applyBorder="1" applyAlignment="1">
      <alignment horizontal="right" vertical="center" wrapText="1"/>
    </xf>
    <xf numFmtId="2" fontId="60" fillId="0" borderId="1" xfId="4" applyNumberFormat="1" applyFont="1" applyFill="1" applyBorder="1" applyAlignment="1">
      <alignment horizontal="center" vertical="center" wrapText="1"/>
    </xf>
    <xf numFmtId="2" fontId="60" fillId="0" borderId="1" xfId="4" applyNumberFormat="1" applyFont="1" applyFill="1" applyBorder="1" applyAlignment="1">
      <alignment horizontal="left" vertical="center" wrapText="1"/>
    </xf>
    <xf numFmtId="3" fontId="60" fillId="0" borderId="1" xfId="4" applyNumberFormat="1" applyFont="1" applyFill="1" applyBorder="1" applyAlignment="1">
      <alignment horizontal="center" vertical="center" wrapText="1"/>
    </xf>
    <xf numFmtId="3" fontId="58" fillId="0" borderId="1" xfId="4" applyNumberFormat="1" applyFont="1" applyFill="1" applyBorder="1" applyAlignment="1">
      <alignment vertical="center" wrapText="1"/>
    </xf>
    <xf numFmtId="2" fontId="60" fillId="0" borderId="1" xfId="0" applyNumberFormat="1" applyFont="1" applyFill="1" applyBorder="1" applyAlignment="1">
      <alignment horizontal="left" vertical="center" wrapText="1"/>
    </xf>
    <xf numFmtId="169" fontId="60" fillId="0" borderId="1" xfId="4" applyNumberFormat="1" applyFont="1" applyFill="1" applyBorder="1" applyAlignment="1">
      <alignment horizontal="center" vertical="center" wrapText="1"/>
    </xf>
    <xf numFmtId="2" fontId="58" fillId="0" borderId="1" xfId="2" applyNumberFormat="1" applyFont="1" applyFill="1" applyBorder="1" applyAlignment="1">
      <alignment vertical="center" wrapText="1"/>
    </xf>
    <xf numFmtId="2" fontId="60" fillId="0" borderId="1" xfId="2" applyNumberFormat="1" applyFont="1" applyFill="1" applyBorder="1"/>
    <xf numFmtId="1" fontId="58" fillId="0" borderId="1" xfId="2" applyNumberFormat="1" applyFont="1" applyFill="1" applyBorder="1" applyAlignment="1">
      <alignment horizontal="center" vertical="center"/>
    </xf>
    <xf numFmtId="175" fontId="58" fillId="0" borderId="1" xfId="2" applyNumberFormat="1" applyFont="1" applyFill="1" applyBorder="1" applyAlignment="1">
      <alignment horizontal="center" vertical="center" wrapText="1"/>
    </xf>
    <xf numFmtId="2" fontId="58" fillId="0" borderId="1" xfId="0" applyNumberFormat="1" applyFont="1" applyFill="1" applyBorder="1" applyAlignment="1">
      <alignment vertical="center" wrapText="1"/>
    </xf>
    <xf numFmtId="169" fontId="58" fillId="0" borderId="1" xfId="4" applyNumberFormat="1" applyFont="1" applyFill="1" applyBorder="1" applyAlignment="1">
      <alignment horizontal="center" vertical="center" wrapText="1"/>
    </xf>
    <xf numFmtId="2" fontId="58" fillId="0" borderId="1" xfId="2" applyNumberFormat="1" applyFont="1" applyFill="1" applyBorder="1" applyAlignment="1">
      <alignment horizontal="center" vertical="center" wrapText="1"/>
    </xf>
    <xf numFmtId="3" fontId="58" fillId="0" borderId="1" xfId="4" applyNumberFormat="1" applyFont="1" applyFill="1" applyBorder="1" applyAlignment="1">
      <alignment horizontal="right" vertical="center" wrapText="1"/>
    </xf>
    <xf numFmtId="2" fontId="58" fillId="0" borderId="1" xfId="2" applyNumberFormat="1" applyFont="1" applyFill="1" applyBorder="1" applyAlignment="1">
      <alignment horizontal="left" vertical="center" wrapText="1"/>
    </xf>
    <xf numFmtId="2" fontId="58" fillId="0" borderId="1" xfId="1" applyNumberFormat="1" applyFont="1" applyFill="1" applyBorder="1" applyAlignment="1">
      <alignment horizontal="right" vertical="center" wrapText="1"/>
    </xf>
    <xf numFmtId="2" fontId="58" fillId="0" borderId="1" xfId="4" applyNumberFormat="1" applyFont="1" applyFill="1" applyBorder="1" applyAlignment="1">
      <alignment horizontal="center" vertical="center" wrapText="1"/>
    </xf>
    <xf numFmtId="3" fontId="58" fillId="0" borderId="1" xfId="4" applyNumberFormat="1" applyFont="1" applyFill="1" applyBorder="1" applyAlignment="1">
      <alignment horizontal="center" vertical="center" wrapText="1"/>
    </xf>
    <xf numFmtId="2" fontId="60" fillId="0" borderId="1" xfId="0" applyNumberFormat="1" applyFont="1" applyFill="1" applyBorder="1" applyAlignment="1">
      <alignment vertical="center" wrapText="1"/>
    </xf>
    <xf numFmtId="175" fontId="60" fillId="0" borderId="1" xfId="2" applyNumberFormat="1" applyFont="1" applyFill="1" applyBorder="1" applyAlignment="1">
      <alignment horizontal="center" vertical="center"/>
    </xf>
    <xf numFmtId="169" fontId="60" fillId="0" borderId="1" xfId="4" applyNumberFormat="1" applyFont="1" applyFill="1" applyBorder="1" applyAlignment="1">
      <alignment horizontal="center" vertical="center"/>
    </xf>
    <xf numFmtId="2" fontId="60" fillId="0" borderId="1" xfId="2" applyNumberFormat="1" applyFont="1" applyFill="1" applyBorder="1" applyAlignment="1">
      <alignment horizontal="center" vertical="center"/>
    </xf>
    <xf numFmtId="3" fontId="60" fillId="0" borderId="1" xfId="4" applyNumberFormat="1" applyFont="1" applyFill="1" applyBorder="1" applyAlignment="1">
      <alignment horizontal="right" vertical="center"/>
    </xf>
    <xf numFmtId="2" fontId="60" fillId="0" borderId="1" xfId="1" applyNumberFormat="1" applyFont="1" applyFill="1" applyBorder="1" applyAlignment="1">
      <alignment horizontal="right" vertical="center"/>
    </xf>
    <xf numFmtId="2" fontId="60" fillId="0" borderId="1" xfId="4" applyNumberFormat="1" applyFont="1" applyFill="1" applyBorder="1" applyAlignment="1">
      <alignment horizontal="center" vertical="center"/>
    </xf>
    <xf numFmtId="2" fontId="60" fillId="0" borderId="1" xfId="2" applyNumberFormat="1" applyFont="1" applyFill="1" applyBorder="1" applyAlignment="1">
      <alignment vertical="center"/>
    </xf>
    <xf numFmtId="175" fontId="58" fillId="0" borderId="1" xfId="3" applyNumberFormat="1" applyFont="1" applyFill="1" applyBorder="1" applyAlignment="1">
      <alignment horizontal="center" vertical="center"/>
    </xf>
    <xf numFmtId="175" fontId="58" fillId="0" borderId="1" xfId="2" applyNumberFormat="1" applyFont="1" applyFill="1" applyBorder="1" applyAlignment="1">
      <alignment horizontal="center" vertical="center"/>
    </xf>
    <xf numFmtId="169" fontId="58" fillId="0" borderId="1" xfId="2" applyNumberFormat="1" applyFont="1" applyFill="1" applyBorder="1" applyAlignment="1">
      <alignment horizontal="center" vertical="center"/>
    </xf>
    <xf numFmtId="2" fontId="58" fillId="0" borderId="1" xfId="2" applyNumberFormat="1" applyFont="1" applyFill="1" applyBorder="1" applyAlignment="1">
      <alignment horizontal="center" vertical="center"/>
    </xf>
    <xf numFmtId="2" fontId="58" fillId="0" borderId="1" xfId="3" applyNumberFormat="1" applyFont="1" applyFill="1" applyBorder="1" applyAlignment="1">
      <alignment vertical="center" wrapText="1"/>
    </xf>
    <xf numFmtId="3" fontId="58" fillId="0" borderId="1" xfId="4" applyNumberFormat="1" applyFont="1" applyFill="1" applyBorder="1" applyAlignment="1">
      <alignment horizontal="right" vertical="center"/>
    </xf>
    <xf numFmtId="2" fontId="58" fillId="0" borderId="1" xfId="1" applyNumberFormat="1" applyFont="1" applyFill="1" applyBorder="1" applyAlignment="1">
      <alignment horizontal="right" vertical="center"/>
    </xf>
    <xf numFmtId="2" fontId="58" fillId="0" borderId="1" xfId="4" applyNumberFormat="1" applyFont="1" applyFill="1" applyBorder="1" applyAlignment="1">
      <alignment horizontal="center" vertical="center"/>
    </xf>
    <xf numFmtId="2" fontId="58" fillId="0" borderId="1" xfId="4" applyNumberFormat="1" applyFont="1" applyFill="1" applyBorder="1" applyAlignment="1">
      <alignment horizontal="left" vertical="center" wrapText="1"/>
    </xf>
    <xf numFmtId="175" fontId="60" fillId="0" borderId="1" xfId="3" applyNumberFormat="1" applyFont="1" applyFill="1" applyBorder="1" applyAlignment="1">
      <alignment horizontal="center" vertical="center"/>
    </xf>
    <xf numFmtId="169" fontId="60" fillId="0" borderId="1" xfId="2" applyNumberFormat="1" applyFont="1" applyFill="1" applyBorder="1" applyAlignment="1">
      <alignment horizontal="center" vertical="center"/>
    </xf>
    <xf numFmtId="2" fontId="60" fillId="0" borderId="1" xfId="4" applyNumberFormat="1" applyFont="1" applyFill="1" applyBorder="1" applyAlignment="1">
      <alignment horizontal="left" vertical="center"/>
    </xf>
    <xf numFmtId="2" fontId="58" fillId="0" borderId="1" xfId="0" applyNumberFormat="1" applyFont="1" applyFill="1" applyBorder="1" applyAlignment="1">
      <alignment horizontal="left" vertical="center" wrapText="1"/>
    </xf>
    <xf numFmtId="2" fontId="58" fillId="0" borderId="1" xfId="2" applyNumberFormat="1" applyFont="1" applyFill="1" applyBorder="1" applyAlignment="1">
      <alignment vertical="center"/>
    </xf>
    <xf numFmtId="2" fontId="60" fillId="0" borderId="1" xfId="0" applyNumberFormat="1" applyFont="1" applyFill="1" applyBorder="1" applyAlignment="1">
      <alignment horizontal="center" vertical="center" wrapText="1"/>
    </xf>
    <xf numFmtId="2" fontId="58" fillId="0" borderId="1" xfId="1" applyNumberFormat="1" applyFont="1" applyFill="1" applyBorder="1" applyAlignment="1">
      <alignment horizontal="center" vertical="center" wrapText="1"/>
    </xf>
    <xf numFmtId="2" fontId="60" fillId="0" borderId="1" xfId="0" applyNumberFormat="1" applyFont="1" applyFill="1" applyBorder="1" applyAlignment="1">
      <alignment horizontal="center" vertical="center"/>
    </xf>
    <xf numFmtId="175" fontId="60" fillId="0" borderId="1" xfId="0" applyNumberFormat="1" applyFont="1" applyFill="1" applyBorder="1" applyAlignment="1">
      <alignment horizontal="center" vertical="center" wrapText="1"/>
    </xf>
    <xf numFmtId="175" fontId="60" fillId="0" borderId="1" xfId="1" applyNumberFormat="1" applyFont="1" applyFill="1" applyBorder="1" applyAlignment="1">
      <alignment horizontal="center" vertical="center"/>
    </xf>
    <xf numFmtId="2" fontId="60" fillId="0" borderId="1" xfId="1" applyNumberFormat="1" applyFont="1" applyFill="1" applyBorder="1" applyAlignment="1">
      <alignment horizontal="center" vertical="center"/>
    </xf>
    <xf numFmtId="175" fontId="60" fillId="0" borderId="1" xfId="2" applyNumberFormat="1" applyFont="1" applyFill="1" applyBorder="1" applyAlignment="1">
      <alignment vertical="center"/>
    </xf>
    <xf numFmtId="3" fontId="60" fillId="0" borderId="1" xfId="2" applyNumberFormat="1" applyFont="1" applyFill="1" applyBorder="1" applyAlignment="1">
      <alignment vertical="center"/>
    </xf>
    <xf numFmtId="2" fontId="60" fillId="0" borderId="1" xfId="2" applyNumberFormat="1" applyFont="1" applyFill="1" applyBorder="1" applyAlignment="1">
      <alignment horizontal="right" vertical="center"/>
    </xf>
    <xf numFmtId="169" fontId="58" fillId="0" borderId="1" xfId="4" applyNumberFormat="1" applyFont="1" applyFill="1" applyBorder="1" applyAlignment="1">
      <alignment horizontal="center" vertical="center"/>
    </xf>
    <xf numFmtId="3" fontId="58" fillId="0" borderId="1" xfId="2" applyNumberFormat="1" applyFont="1" applyFill="1" applyBorder="1" applyAlignment="1">
      <alignment vertical="center"/>
    </xf>
    <xf numFmtId="2" fontId="58" fillId="0" borderId="1" xfId="2" applyNumberFormat="1" applyFont="1" applyFill="1" applyBorder="1" applyAlignment="1">
      <alignment horizontal="right" vertical="center"/>
    </xf>
    <xf numFmtId="2" fontId="58" fillId="0" borderId="1" xfId="0" applyNumberFormat="1" applyFont="1" applyFill="1" applyBorder="1" applyAlignment="1">
      <alignment horizontal="center" vertical="center" wrapText="1"/>
    </xf>
    <xf numFmtId="2" fontId="58" fillId="0" borderId="1" xfId="0" applyNumberFormat="1" applyFont="1" applyFill="1" applyBorder="1" applyAlignment="1">
      <alignment horizontal="center" vertical="center"/>
    </xf>
    <xf numFmtId="175" fontId="58" fillId="0" borderId="1" xfId="2" applyNumberFormat="1" applyFont="1" applyFill="1" applyBorder="1"/>
    <xf numFmtId="2" fontId="58" fillId="0" borderId="1" xfId="2" applyNumberFormat="1" applyFont="1" applyFill="1" applyBorder="1"/>
    <xf numFmtId="169" fontId="58" fillId="0" borderId="1" xfId="2" applyNumberFormat="1" applyFont="1" applyFill="1" applyBorder="1"/>
    <xf numFmtId="2" fontId="58" fillId="0" borderId="1" xfId="14" applyNumberFormat="1" applyFont="1" applyFill="1" applyBorder="1" applyAlignment="1">
      <alignment vertical="center" wrapText="1"/>
    </xf>
    <xf numFmtId="175" fontId="60" fillId="0" borderId="1" xfId="2" applyNumberFormat="1" applyFont="1" applyFill="1" applyBorder="1"/>
    <xf numFmtId="2" fontId="60" fillId="0" borderId="1" xfId="14" applyNumberFormat="1" applyFont="1" applyFill="1" applyBorder="1" applyAlignment="1">
      <alignment vertical="center" wrapText="1"/>
    </xf>
    <xf numFmtId="3" fontId="60" fillId="0" borderId="1" xfId="2" applyNumberFormat="1" applyFont="1" applyFill="1" applyBorder="1" applyAlignment="1">
      <alignment horizontal="right" vertical="center"/>
    </xf>
    <xf numFmtId="3" fontId="60" fillId="0" borderId="1" xfId="0" applyNumberFormat="1" applyFont="1" applyFill="1" applyBorder="1" applyAlignment="1">
      <alignment vertical="center"/>
    </xf>
    <xf numFmtId="3" fontId="58" fillId="0" borderId="1" xfId="2" applyNumberFormat="1" applyFont="1" applyFill="1" applyBorder="1"/>
    <xf numFmtId="3" fontId="60" fillId="0" borderId="1" xfId="2" applyNumberFormat="1" applyFont="1" applyFill="1" applyBorder="1"/>
    <xf numFmtId="3" fontId="58" fillId="0" borderId="1" xfId="0" applyNumberFormat="1" applyFont="1" applyFill="1" applyBorder="1" applyAlignment="1">
      <alignment vertical="center"/>
    </xf>
    <xf numFmtId="2" fontId="58" fillId="0" borderId="1" xfId="4" applyNumberFormat="1" applyFont="1" applyFill="1" applyBorder="1" applyAlignment="1">
      <alignment horizontal="left" vertical="center"/>
    </xf>
    <xf numFmtId="2" fontId="61" fillId="0" borderId="1" xfId="2" applyNumberFormat="1" applyFont="1" applyFill="1" applyBorder="1" applyAlignment="1">
      <alignment vertical="center" wrapText="1"/>
    </xf>
    <xf numFmtId="2" fontId="58" fillId="0" borderId="1" xfId="9" applyNumberFormat="1" applyFont="1" applyFill="1" applyBorder="1" applyAlignment="1">
      <alignment horizontal="left" vertical="center" wrapText="1"/>
    </xf>
    <xf numFmtId="2" fontId="60" fillId="0" borderId="1" xfId="9" applyNumberFormat="1" applyFont="1" applyFill="1" applyBorder="1" applyAlignment="1">
      <alignment horizontal="left" vertical="center" wrapText="1"/>
    </xf>
    <xf numFmtId="2" fontId="60" fillId="0" borderId="1" xfId="9" applyNumberFormat="1" applyFont="1" applyFill="1" applyBorder="1" applyAlignment="1">
      <alignment vertical="center" wrapText="1"/>
    </xf>
    <xf numFmtId="2" fontId="60" fillId="0" borderId="1" xfId="9" applyNumberFormat="1" applyFont="1" applyFill="1" applyBorder="1" applyAlignment="1">
      <alignment horizontal="center" vertical="center" wrapText="1"/>
    </xf>
    <xf numFmtId="2" fontId="60" fillId="0" borderId="1" xfId="9" applyNumberFormat="1" applyFont="1" applyFill="1" applyBorder="1" applyAlignment="1">
      <alignment vertical="center"/>
    </xf>
    <xf numFmtId="2" fontId="60" fillId="0" borderId="1" xfId="1" applyNumberFormat="1" applyFont="1" applyFill="1" applyBorder="1" applyAlignment="1">
      <alignment horizontal="center" vertical="center" wrapText="1"/>
    </xf>
    <xf numFmtId="175" fontId="58" fillId="0" borderId="1" xfId="0" applyNumberFormat="1" applyFont="1" applyFill="1" applyBorder="1" applyAlignment="1">
      <alignment horizontal="center" vertical="center" wrapText="1"/>
    </xf>
    <xf numFmtId="2" fontId="58" fillId="0" borderId="1" xfId="7" applyNumberFormat="1" applyFont="1" applyFill="1" applyBorder="1" applyAlignment="1">
      <alignment horizontal="left" vertical="center" wrapText="1"/>
    </xf>
    <xf numFmtId="2" fontId="58" fillId="0" borderId="1" xfId="7" applyNumberFormat="1" applyFont="1" applyFill="1" applyBorder="1" applyAlignment="1">
      <alignment vertical="center" wrapText="1"/>
    </xf>
    <xf numFmtId="2" fontId="58" fillId="0" borderId="1" xfId="7" applyNumberFormat="1" applyFont="1" applyFill="1" applyBorder="1" applyAlignment="1">
      <alignment horizontal="center" vertical="center" wrapText="1"/>
    </xf>
    <xf numFmtId="2" fontId="60" fillId="0" borderId="1" xfId="7" applyNumberFormat="1" applyFont="1" applyFill="1" applyBorder="1" applyAlignment="1">
      <alignment vertical="center" wrapText="1"/>
    </xf>
    <xf numFmtId="2" fontId="60" fillId="0" borderId="1" xfId="7" applyNumberFormat="1" applyFont="1" applyFill="1" applyBorder="1" applyAlignment="1">
      <alignment horizontal="center" vertical="center" wrapText="1"/>
    </xf>
    <xf numFmtId="2" fontId="60" fillId="0" borderId="1" xfId="7" applyNumberFormat="1" applyFont="1" applyFill="1" applyBorder="1" applyAlignment="1">
      <alignment horizontal="left" vertical="center" wrapText="1"/>
    </xf>
    <xf numFmtId="2" fontId="60" fillId="0" borderId="1" xfId="7" applyNumberFormat="1" applyFont="1" applyFill="1" applyBorder="1" applyAlignment="1">
      <alignment horizontal="center" vertical="center"/>
    </xf>
    <xf numFmtId="2" fontId="58" fillId="0" borderId="1" xfId="4" applyNumberFormat="1" applyFont="1" applyFill="1" applyBorder="1" applyAlignment="1">
      <alignment vertical="center"/>
    </xf>
    <xf numFmtId="2" fontId="58" fillId="0" borderId="1" xfId="6" applyNumberFormat="1" applyFont="1" applyFill="1" applyBorder="1" applyAlignment="1">
      <alignment horizontal="center" vertical="center" wrapText="1"/>
    </xf>
    <xf numFmtId="2" fontId="60" fillId="0" borderId="1" xfId="6" applyNumberFormat="1" applyFont="1" applyFill="1" applyBorder="1" applyAlignment="1">
      <alignment horizontal="center" vertical="center" wrapText="1"/>
    </xf>
    <xf numFmtId="0" fontId="60" fillId="0" borderId="8" xfId="2" applyFont="1" applyFill="1" applyBorder="1" applyAlignment="1">
      <alignment vertical="center" wrapText="1"/>
    </xf>
    <xf numFmtId="2" fontId="60" fillId="0" borderId="1" xfId="6" applyNumberFormat="1" applyFont="1" applyFill="1" applyBorder="1" applyAlignment="1">
      <alignment vertical="center" wrapText="1"/>
    </xf>
    <xf numFmtId="2" fontId="58" fillId="0" borderId="1" xfId="7" applyNumberFormat="1" applyFont="1" applyFill="1" applyBorder="1" applyAlignment="1">
      <alignment horizontal="center" vertical="center"/>
    </xf>
    <xf numFmtId="3" fontId="58" fillId="0" borderId="1" xfId="2" applyNumberFormat="1" applyFont="1" applyFill="1" applyBorder="1" applyAlignment="1">
      <alignment horizontal="right" vertical="center"/>
    </xf>
    <xf numFmtId="175" fontId="60" fillId="0" borderId="1" xfId="7" applyNumberFormat="1" applyFont="1" applyFill="1" applyBorder="1" applyAlignment="1">
      <alignment horizontal="center" vertical="center" wrapText="1"/>
    </xf>
    <xf numFmtId="3" fontId="60" fillId="0" borderId="1" xfId="7" applyNumberFormat="1" applyFont="1" applyFill="1" applyBorder="1" applyAlignment="1">
      <alignment vertical="center"/>
    </xf>
    <xf numFmtId="2" fontId="60" fillId="0" borderId="1" xfId="2" applyNumberFormat="1" applyFont="1" applyFill="1" applyBorder="1" applyAlignment="1">
      <alignment horizontal="left" vertical="center"/>
    </xf>
    <xf numFmtId="2" fontId="58" fillId="0" borderId="1" xfId="2" applyNumberFormat="1" applyFont="1" applyFill="1" applyBorder="1" applyAlignment="1">
      <alignment horizontal="left" vertical="center"/>
    </xf>
    <xf numFmtId="2" fontId="60" fillId="0" borderId="1" xfId="0" applyNumberFormat="1" applyFont="1" applyFill="1" applyBorder="1" applyAlignment="1">
      <alignment vertical="center"/>
    </xf>
    <xf numFmtId="2" fontId="60" fillId="0" borderId="1" xfId="7" applyNumberFormat="1" applyFont="1" applyFill="1" applyBorder="1" applyAlignment="1">
      <alignment vertical="center"/>
    </xf>
    <xf numFmtId="2" fontId="58" fillId="0" borderId="1" xfId="0" applyNumberFormat="1" applyFont="1" applyFill="1" applyBorder="1" applyAlignment="1">
      <alignment vertical="center"/>
    </xf>
    <xf numFmtId="3" fontId="60" fillId="0" borderId="1" xfId="9" applyNumberFormat="1" applyFont="1" applyFill="1" applyBorder="1" applyAlignment="1">
      <alignment vertical="center"/>
    </xf>
    <xf numFmtId="0" fontId="60" fillId="0" borderId="1" xfId="0" applyFont="1" applyFill="1" applyBorder="1" applyAlignment="1">
      <alignment vertical="center" wrapText="1"/>
    </xf>
    <xf numFmtId="0" fontId="60" fillId="0" borderId="1" xfId="0" applyFont="1" applyFill="1" applyBorder="1" applyAlignment="1">
      <alignment horizontal="center" vertical="center" wrapText="1"/>
    </xf>
    <xf numFmtId="164" fontId="60" fillId="0" borderId="1" xfId="1" applyFont="1" applyFill="1" applyBorder="1" applyAlignment="1">
      <alignment vertical="center"/>
    </xf>
    <xf numFmtId="0" fontId="60" fillId="0" borderId="1" xfId="2" applyFont="1" applyFill="1" applyBorder="1" applyAlignment="1">
      <alignment horizontal="center" vertical="center"/>
    </xf>
    <xf numFmtId="3" fontId="60" fillId="0" borderId="1" xfId="4" applyNumberFormat="1" applyFont="1" applyFill="1" applyBorder="1" applyAlignment="1">
      <alignment horizontal="center" vertical="center"/>
    </xf>
    <xf numFmtId="0" fontId="60" fillId="0" borderId="1" xfId="2" applyFont="1" applyFill="1" applyBorder="1" applyAlignment="1">
      <alignment horizontal="left" vertical="center" wrapText="1"/>
    </xf>
    <xf numFmtId="2" fontId="58" fillId="0" borderId="1" xfId="9" applyNumberFormat="1" applyFont="1" applyFill="1" applyBorder="1" applyAlignment="1">
      <alignment vertical="center" wrapText="1"/>
    </xf>
    <xf numFmtId="2" fontId="58" fillId="0" borderId="1" xfId="9" applyNumberFormat="1" applyFont="1" applyFill="1" applyBorder="1" applyAlignment="1">
      <alignment horizontal="center" vertical="center" wrapText="1"/>
    </xf>
    <xf numFmtId="3" fontId="58" fillId="0" borderId="1" xfId="9" applyNumberFormat="1" applyFont="1" applyFill="1" applyBorder="1" applyAlignment="1">
      <alignment vertical="center"/>
    </xf>
    <xf numFmtId="3" fontId="58" fillId="0" borderId="1" xfId="9" applyNumberFormat="1" applyFont="1" applyFill="1" applyBorder="1" applyAlignment="1">
      <alignment horizontal="right" vertical="center"/>
    </xf>
    <xf numFmtId="3" fontId="60" fillId="0" borderId="1" xfId="9" applyNumberFormat="1" applyFont="1" applyFill="1" applyBorder="1" applyAlignment="1">
      <alignment horizontal="right" vertical="center"/>
    </xf>
    <xf numFmtId="2" fontId="58" fillId="0" borderId="1" xfId="9" applyNumberFormat="1" applyFont="1" applyFill="1" applyBorder="1" applyAlignment="1">
      <alignment vertical="center"/>
    </xf>
    <xf numFmtId="2" fontId="60" fillId="0" borderId="1" xfId="1" applyNumberFormat="1" applyFont="1" applyFill="1" applyBorder="1" applyAlignment="1">
      <alignment horizontal="center" wrapText="1"/>
    </xf>
    <xf numFmtId="2" fontId="60" fillId="0" borderId="1" xfId="9" applyNumberFormat="1" applyFont="1" applyFill="1" applyBorder="1" applyAlignment="1">
      <alignment horizontal="center" vertical="center"/>
    </xf>
    <xf numFmtId="0" fontId="60" fillId="0" borderId="1" xfId="2" applyFont="1" applyFill="1" applyBorder="1"/>
    <xf numFmtId="2" fontId="58" fillId="0" borderId="1" xfId="9" applyNumberFormat="1" applyFont="1" applyFill="1" applyBorder="1" applyAlignment="1">
      <alignment horizontal="center" vertical="center"/>
    </xf>
    <xf numFmtId="2" fontId="60" fillId="0" borderId="1" xfId="4" applyNumberFormat="1" applyFont="1" applyFill="1" applyBorder="1" applyAlignment="1">
      <alignment vertical="center"/>
    </xf>
    <xf numFmtId="2" fontId="60" fillId="0" borderId="1" xfId="1" applyNumberFormat="1" applyFont="1" applyFill="1" applyBorder="1" applyAlignment="1">
      <alignment vertical="center"/>
    </xf>
    <xf numFmtId="2" fontId="60" fillId="0" borderId="1" xfId="2" applyNumberFormat="1" applyFont="1" applyFill="1" applyBorder="1" applyAlignment="1">
      <alignment horizontal="right" vertical="center" wrapText="1"/>
    </xf>
    <xf numFmtId="3" fontId="60" fillId="0" borderId="1" xfId="0" applyNumberFormat="1" applyFont="1" applyFill="1" applyBorder="1" applyAlignment="1">
      <alignment horizontal="right" vertical="center"/>
    </xf>
    <xf numFmtId="3" fontId="60" fillId="0" borderId="1" xfId="4" applyNumberFormat="1" applyFont="1" applyFill="1" applyBorder="1" applyAlignment="1">
      <alignment vertical="center"/>
    </xf>
    <xf numFmtId="3" fontId="60" fillId="0" borderId="1" xfId="0" applyNumberFormat="1" applyFont="1" applyFill="1" applyBorder="1" applyAlignment="1">
      <alignment horizontal="center" vertical="center"/>
    </xf>
    <xf numFmtId="3" fontId="60" fillId="0" borderId="1" xfId="2" applyNumberFormat="1" applyFont="1" applyFill="1" applyBorder="1" applyAlignment="1">
      <alignment horizontal="right" vertical="center" wrapText="1"/>
    </xf>
    <xf numFmtId="175" fontId="58" fillId="0" borderId="1" xfId="0" applyNumberFormat="1" applyFont="1" applyFill="1" applyBorder="1" applyAlignment="1">
      <alignment vertical="center"/>
    </xf>
    <xf numFmtId="169" fontId="58" fillId="0" borderId="1" xfId="1" applyNumberFormat="1" applyFont="1" applyFill="1" applyBorder="1" applyAlignment="1">
      <alignment horizontal="right" vertical="center" wrapText="1"/>
    </xf>
    <xf numFmtId="2" fontId="58" fillId="0" borderId="1" xfId="4" applyNumberFormat="1" applyFont="1" applyFill="1" applyBorder="1" applyAlignment="1">
      <alignment horizontal="right" vertical="center"/>
    </xf>
    <xf numFmtId="2" fontId="60" fillId="0" borderId="1" xfId="4" applyNumberFormat="1" applyFont="1" applyFill="1" applyBorder="1" applyAlignment="1">
      <alignment vertical="center" wrapText="1"/>
    </xf>
    <xf numFmtId="2" fontId="58" fillId="0" borderId="1" xfId="4" applyNumberFormat="1" applyFont="1" applyFill="1" applyBorder="1" applyAlignment="1">
      <alignment vertical="center" wrapText="1"/>
    </xf>
    <xf numFmtId="175" fontId="60" fillId="0" borderId="1" xfId="0" applyNumberFormat="1" applyFont="1" applyFill="1" applyBorder="1" applyAlignment="1">
      <alignment vertical="center"/>
    </xf>
    <xf numFmtId="169" fontId="60" fillId="0" borderId="1" xfId="1" applyNumberFormat="1" applyFont="1" applyFill="1" applyBorder="1" applyAlignment="1">
      <alignment horizontal="right" vertical="center" wrapText="1"/>
    </xf>
    <xf numFmtId="2" fontId="60" fillId="0" borderId="1" xfId="4" applyNumberFormat="1" applyFont="1" applyFill="1" applyBorder="1" applyAlignment="1">
      <alignment horizontal="right" vertical="center"/>
    </xf>
    <xf numFmtId="169" fontId="60" fillId="0" borderId="1" xfId="1" applyNumberFormat="1" applyFont="1" applyFill="1" applyBorder="1" applyAlignment="1">
      <alignment vertical="center"/>
    </xf>
    <xf numFmtId="175" fontId="60" fillId="0" borderId="1" xfId="2" applyNumberFormat="1" applyFont="1" applyFill="1" applyBorder="1" applyAlignment="1">
      <alignment vertical="center" wrapText="1"/>
    </xf>
    <xf numFmtId="169" fontId="60" fillId="0" borderId="1" xfId="0" applyNumberFormat="1" applyFont="1" applyFill="1" applyBorder="1"/>
    <xf numFmtId="169" fontId="60" fillId="0" borderId="1" xfId="1" applyNumberFormat="1" applyFont="1" applyFill="1" applyBorder="1" applyAlignment="1">
      <alignment horizontal="center" vertical="center"/>
    </xf>
    <xf numFmtId="175" fontId="60" fillId="0" borderId="1" xfId="3" applyNumberFormat="1" applyFont="1" applyFill="1" applyBorder="1" applyAlignment="1">
      <alignment vertical="center"/>
    </xf>
    <xf numFmtId="2" fontId="60" fillId="0" borderId="1" xfId="0" applyNumberFormat="1" applyFont="1" applyFill="1" applyBorder="1"/>
    <xf numFmtId="175" fontId="58" fillId="0" borderId="1" xfId="2" applyNumberFormat="1" applyFont="1" applyFill="1" applyBorder="1" applyAlignment="1">
      <alignment vertical="center"/>
    </xf>
    <xf numFmtId="175" fontId="58" fillId="0" borderId="1" xfId="2" applyNumberFormat="1" applyFont="1" applyFill="1" applyBorder="1" applyAlignment="1">
      <alignment vertical="center" wrapText="1"/>
    </xf>
    <xf numFmtId="169" fontId="58" fillId="0" borderId="1" xfId="1" applyNumberFormat="1" applyFont="1" applyFill="1" applyBorder="1" applyAlignment="1">
      <alignment horizontal="center" vertical="center" wrapText="1"/>
    </xf>
    <xf numFmtId="2" fontId="58" fillId="0" borderId="1" xfId="0" applyNumberFormat="1" applyFont="1" applyFill="1" applyBorder="1" applyAlignment="1">
      <alignment horizontal="right" vertical="center" wrapText="1"/>
    </xf>
    <xf numFmtId="169" fontId="60" fillId="0" borderId="1" xfId="1" applyNumberFormat="1" applyFont="1" applyFill="1" applyBorder="1" applyAlignment="1">
      <alignment horizontal="center" vertical="center" wrapText="1"/>
    </xf>
    <xf numFmtId="2" fontId="60" fillId="0" borderId="1" xfId="0" applyNumberFormat="1" applyFont="1" applyFill="1" applyBorder="1" applyAlignment="1">
      <alignment horizontal="right" vertical="center" wrapText="1"/>
    </xf>
    <xf numFmtId="175" fontId="58" fillId="0" borderId="1" xfId="3" applyNumberFormat="1" applyFont="1" applyFill="1" applyBorder="1" applyAlignment="1">
      <alignment vertical="center"/>
    </xf>
    <xf numFmtId="3" fontId="58" fillId="0" borderId="1" xfId="0" applyNumberFormat="1" applyFont="1" applyFill="1" applyBorder="1" applyAlignment="1">
      <alignment horizontal="right" vertical="center" wrapText="1"/>
    </xf>
    <xf numFmtId="2" fontId="58" fillId="0" borderId="1" xfId="1" applyNumberFormat="1" applyFont="1" applyFill="1" applyBorder="1" applyAlignment="1">
      <alignment vertical="center" wrapText="1"/>
    </xf>
    <xf numFmtId="3" fontId="60" fillId="0" borderId="1" xfId="0" applyNumberFormat="1" applyFont="1" applyFill="1" applyBorder="1" applyAlignment="1">
      <alignment horizontal="right" vertical="center" wrapText="1"/>
    </xf>
    <xf numFmtId="2" fontId="60" fillId="0" borderId="1" xfId="1" applyNumberFormat="1" applyFont="1" applyFill="1" applyBorder="1" applyAlignment="1">
      <alignment vertical="center" wrapText="1"/>
    </xf>
    <xf numFmtId="2" fontId="60" fillId="0" borderId="1" xfId="14" applyNumberFormat="1" applyFont="1" applyFill="1" applyBorder="1" applyAlignment="1">
      <alignment vertical="center"/>
    </xf>
    <xf numFmtId="2" fontId="58" fillId="0" borderId="1" xfId="0" applyNumberFormat="1" applyFont="1" applyFill="1" applyBorder="1" applyAlignment="1">
      <alignment horizontal="right" vertical="center"/>
    </xf>
    <xf numFmtId="2" fontId="60" fillId="0" borderId="1" xfId="0" applyNumberFormat="1" applyFont="1" applyFill="1" applyBorder="1" applyAlignment="1">
      <alignment horizontal="right" vertical="center"/>
    </xf>
    <xf numFmtId="0" fontId="60" fillId="0" borderId="1" xfId="0" applyFont="1" applyFill="1" applyBorder="1"/>
    <xf numFmtId="175" fontId="58" fillId="0" borderId="1" xfId="0" applyNumberFormat="1" applyFont="1" applyFill="1" applyBorder="1"/>
    <xf numFmtId="2" fontId="58" fillId="0" borderId="1" xfId="0" applyNumberFormat="1" applyFont="1" applyFill="1" applyBorder="1"/>
    <xf numFmtId="169" fontId="58" fillId="0" borderId="1" xfId="0" applyNumberFormat="1" applyFont="1" applyFill="1" applyBorder="1"/>
    <xf numFmtId="175" fontId="60" fillId="0" borderId="1" xfId="0" applyNumberFormat="1" applyFont="1" applyFill="1" applyBorder="1"/>
    <xf numFmtId="2" fontId="58" fillId="0" borderId="1" xfId="1" applyNumberFormat="1" applyFont="1" applyFill="1" applyBorder="1" applyAlignment="1">
      <alignment vertical="center"/>
    </xf>
    <xf numFmtId="3" fontId="60" fillId="0" borderId="1" xfId="0" applyNumberFormat="1" applyFont="1" applyFill="1" applyBorder="1" applyAlignment="1">
      <alignment vertical="center" wrapText="1"/>
    </xf>
    <xf numFmtId="169" fontId="58" fillId="0" borderId="1" xfId="0" applyNumberFormat="1" applyFont="1" applyFill="1" applyBorder="1" applyAlignment="1">
      <alignment horizontal="center" vertical="center" wrapText="1"/>
    </xf>
    <xf numFmtId="169" fontId="60" fillId="0" borderId="1" xfId="0" applyNumberFormat="1" applyFont="1" applyFill="1" applyBorder="1" applyAlignment="1">
      <alignment horizontal="center" vertical="center" wrapText="1"/>
    </xf>
    <xf numFmtId="169" fontId="60" fillId="0" borderId="1" xfId="0" applyNumberFormat="1" applyFont="1" applyFill="1" applyBorder="1" applyAlignment="1">
      <alignment horizontal="center" vertical="center"/>
    </xf>
    <xf numFmtId="169" fontId="60" fillId="0" borderId="1" xfId="2" applyNumberFormat="1" applyFont="1" applyFill="1" applyBorder="1" applyAlignment="1">
      <alignment vertical="center" wrapText="1"/>
    </xf>
    <xf numFmtId="169" fontId="60" fillId="0" borderId="1" xfId="2" applyNumberFormat="1" applyFont="1" applyFill="1" applyBorder="1" applyAlignment="1">
      <alignment vertical="center"/>
    </xf>
    <xf numFmtId="3" fontId="58" fillId="0" borderId="1" xfId="0" applyNumberFormat="1" applyFont="1" applyFill="1" applyBorder="1" applyAlignment="1">
      <alignment horizontal="center" vertical="center" wrapText="1"/>
    </xf>
    <xf numFmtId="2" fontId="58" fillId="0" borderId="1" xfId="5" applyNumberFormat="1" applyFont="1" applyFill="1" applyBorder="1" applyAlignment="1">
      <alignment horizontal="right" vertical="center" wrapText="1"/>
    </xf>
    <xf numFmtId="3" fontId="60" fillId="0" borderId="1" xfId="0" applyNumberFormat="1" applyFont="1" applyFill="1" applyBorder="1" applyAlignment="1">
      <alignment horizontal="center" vertical="center" wrapText="1"/>
    </xf>
    <xf numFmtId="2" fontId="60" fillId="0" borderId="1" xfId="5" applyNumberFormat="1" applyFont="1" applyFill="1" applyBorder="1" applyAlignment="1">
      <alignment horizontal="right" vertical="center" wrapText="1"/>
    </xf>
    <xf numFmtId="2" fontId="60" fillId="0" borderId="1" xfId="10" applyNumberFormat="1" applyFont="1" applyFill="1" applyBorder="1" applyAlignment="1">
      <alignment vertical="center" wrapText="1"/>
    </xf>
    <xf numFmtId="2" fontId="60" fillId="0" borderId="1" xfId="0" applyNumberFormat="1" applyFont="1" applyFill="1" applyBorder="1" applyAlignment="1">
      <alignment wrapText="1"/>
    </xf>
    <xf numFmtId="2" fontId="61" fillId="0" borderId="1" xfId="0" applyNumberFormat="1" applyFont="1" applyFill="1" applyBorder="1" applyAlignment="1">
      <alignment vertical="center" wrapText="1"/>
    </xf>
    <xf numFmtId="175" fontId="60" fillId="0" borderId="1" xfId="0" applyNumberFormat="1" applyFont="1" applyFill="1" applyBorder="1" applyAlignment="1">
      <alignment wrapText="1"/>
    </xf>
    <xf numFmtId="169" fontId="60" fillId="0" borderId="1" xfId="0" applyNumberFormat="1" applyFont="1" applyFill="1" applyBorder="1" applyAlignment="1">
      <alignment wrapText="1"/>
    </xf>
    <xf numFmtId="2" fontId="58" fillId="0" borderId="1" xfId="0" applyNumberFormat="1" applyFont="1" applyFill="1" applyBorder="1" applyAlignment="1">
      <alignment wrapText="1"/>
    </xf>
    <xf numFmtId="2" fontId="58" fillId="0" borderId="1" xfId="10" applyNumberFormat="1" applyFont="1" applyFill="1" applyBorder="1" applyAlignment="1">
      <alignment vertical="center" wrapText="1"/>
    </xf>
    <xf numFmtId="175" fontId="58" fillId="0" borderId="1" xfId="0" applyNumberFormat="1" applyFont="1" applyFill="1" applyBorder="1" applyAlignment="1">
      <alignment wrapText="1"/>
    </xf>
    <xf numFmtId="169" fontId="58" fillId="0" borderId="1" xfId="0" applyNumberFormat="1" applyFont="1" applyFill="1" applyBorder="1" applyAlignment="1">
      <alignment wrapText="1"/>
    </xf>
    <xf numFmtId="0" fontId="60" fillId="0" borderId="1" xfId="0" applyFont="1" applyFill="1" applyBorder="1" applyAlignment="1">
      <alignment wrapText="1"/>
    </xf>
    <xf numFmtId="2" fontId="61" fillId="0" borderId="1" xfId="0" applyNumberFormat="1" applyFont="1" applyFill="1" applyBorder="1" applyAlignment="1">
      <alignment horizontal="left" vertical="center" wrapText="1"/>
    </xf>
    <xf numFmtId="1" fontId="58" fillId="0" borderId="3" xfId="0" applyNumberFormat="1" applyFont="1" applyFill="1" applyBorder="1" applyAlignment="1">
      <alignment horizontal="center" vertical="center"/>
    </xf>
    <xf numFmtId="0" fontId="60" fillId="0" borderId="3" xfId="0" applyFont="1" applyFill="1" applyBorder="1" applyAlignment="1">
      <alignment wrapText="1"/>
    </xf>
    <xf numFmtId="175" fontId="60" fillId="0" borderId="3" xfId="2" applyNumberFormat="1" applyFont="1" applyFill="1" applyBorder="1" applyAlignment="1">
      <alignment vertical="center" wrapText="1"/>
    </xf>
    <xf numFmtId="175" fontId="60" fillId="0" borderId="3" xfId="0" applyNumberFormat="1" applyFont="1" applyFill="1" applyBorder="1" applyAlignment="1">
      <alignment horizontal="center" vertical="center" wrapText="1"/>
    </xf>
    <xf numFmtId="2" fontId="60" fillId="0" borderId="3" xfId="0" applyNumberFormat="1" applyFont="1" applyFill="1" applyBorder="1" applyAlignment="1">
      <alignment vertical="center" wrapText="1"/>
    </xf>
    <xf numFmtId="169" fontId="60" fillId="0" borderId="3" xfId="1" applyNumberFormat="1" applyFont="1" applyFill="1" applyBorder="1" applyAlignment="1">
      <alignment horizontal="center" vertical="center" wrapText="1"/>
    </xf>
    <xf numFmtId="2" fontId="60" fillId="0" borderId="3" xfId="2" applyNumberFormat="1" applyFont="1" applyFill="1" applyBorder="1" applyAlignment="1">
      <alignment horizontal="center" vertical="center" wrapText="1"/>
    </xf>
    <xf numFmtId="3" fontId="60" fillId="0" borderId="3" xfId="4" applyNumberFormat="1" applyFont="1" applyFill="1" applyBorder="1" applyAlignment="1">
      <alignment horizontal="right" vertical="center" wrapText="1"/>
    </xf>
    <xf numFmtId="3" fontId="60" fillId="0" borderId="3" xfId="4" applyNumberFormat="1" applyFont="1" applyFill="1" applyBorder="1" applyAlignment="1">
      <alignment vertical="center" wrapText="1"/>
    </xf>
    <xf numFmtId="2" fontId="58" fillId="0" borderId="3" xfId="10" applyNumberFormat="1" applyFont="1" applyFill="1" applyBorder="1"/>
    <xf numFmtId="3" fontId="58" fillId="0" borderId="3" xfId="10" applyNumberFormat="1" applyFont="1" applyFill="1" applyBorder="1"/>
    <xf numFmtId="3" fontId="58" fillId="0" borderId="3" xfId="10" applyNumberFormat="1" applyFont="1" applyFill="1" applyBorder="1" applyAlignment="1">
      <alignment wrapText="1"/>
    </xf>
    <xf numFmtId="2" fontId="58" fillId="0" borderId="3" xfId="2" applyNumberFormat="1" applyFont="1" applyFill="1" applyBorder="1"/>
    <xf numFmtId="2" fontId="58" fillId="0" borderId="3" xfId="0" applyNumberFormat="1" applyFont="1" applyFill="1" applyBorder="1"/>
    <xf numFmtId="2" fontId="58" fillId="0" borderId="3" xfId="0" applyNumberFormat="1" applyFont="1" applyFill="1" applyBorder="1" applyAlignment="1">
      <alignment wrapText="1"/>
    </xf>
    <xf numFmtId="3" fontId="58" fillId="0" borderId="3" xfId="0" applyNumberFormat="1" applyFont="1" applyFill="1" applyBorder="1" applyAlignment="1">
      <alignment horizontal="right" vertical="center"/>
    </xf>
    <xf numFmtId="3" fontId="58" fillId="0" borderId="3" xfId="0" applyNumberFormat="1" applyFont="1" applyFill="1" applyBorder="1"/>
    <xf numFmtId="3" fontId="58" fillId="0" borderId="3" xfId="4" applyNumberFormat="1" applyFont="1" applyFill="1" applyBorder="1" applyAlignment="1">
      <alignment vertical="center" wrapText="1"/>
    </xf>
    <xf numFmtId="2" fontId="60" fillId="0" borderId="3" xfId="0" applyNumberFormat="1" applyFont="1" applyFill="1" applyBorder="1" applyAlignment="1">
      <alignment vertical="center"/>
    </xf>
    <xf numFmtId="2" fontId="27" fillId="0" borderId="0" xfId="11" applyNumberFormat="1" applyFont="1" applyFill="1" applyAlignment="1">
      <alignment horizontal="center" vertical="center" wrapText="1"/>
    </xf>
    <xf numFmtId="2" fontId="49" fillId="0" borderId="0" xfId="11" applyNumberFormat="1" applyFont="1" applyFill="1" applyAlignment="1">
      <alignment horizontal="center" vertical="center" wrapText="1"/>
    </xf>
    <xf numFmtId="2" fontId="54" fillId="0" borderId="0" xfId="11" applyNumberFormat="1" applyFont="1" applyFill="1" applyAlignment="1">
      <alignment horizontal="center" vertical="center" wrapText="1"/>
    </xf>
  </cellXfs>
  <cellStyles count="15">
    <cellStyle name="Comma" xfId="1" builtinId="3"/>
    <cellStyle name="Comma 2" xfId="4"/>
    <cellStyle name="Comma 3" xfId="11"/>
    <cellStyle name="Comma 3 2" xfId="13"/>
    <cellStyle name="Comma 5" xfId="5"/>
    <cellStyle name="Comma 6 2" xfId="6"/>
    <cellStyle name="Comma 9" xfId="8"/>
    <cellStyle name="Normal" xfId="0" builtinId="0"/>
    <cellStyle name="Normal 10 2" xfId="7"/>
    <cellStyle name="Normal 2" xfId="2"/>
    <cellStyle name="Normal 2 2" xfId="14"/>
    <cellStyle name="Normal 2 3 4" xfId="10"/>
    <cellStyle name="Normal 3 2" xfId="12"/>
    <cellStyle name="Normal 40" xfId="9"/>
    <cellStyle name="Normal_bang tong hop 6-2013" xfId="3"/>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7.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6.xml"/><Relationship Id="rId78"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4.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NC-XL%206month%20apter%202001%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hdieu\e\My%20Documents\Excel%202000\P-TC-HC\Ql-Tien%20Luong\LUONG-1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nhdieu\e\My%20Documents\Excel%202000\P-TC-HC\Ql-tien%20thuong\Yaer%2020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AN%20ANH\DOAN\DSDV.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nhdieu\e\My%20Documents\Excel%202000\P-TC-HC\Ql-tien%20thuong\KT-Year%202002-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KHU%20TAI%20DINH%20CU%20NAM%20AN%20HOA/SP%20BTH%20NGAY%2011-8-25/BTH%20NAM%20AN%20HOA%20(TVG)%2018-12-2025%20A%20TRINH%2026-2-202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KHU%20TAI%20DINH%20CU%20NAM%20AN%20HOA/SP%20BTH%20NGAY%2011-8-25/BTH%20NAM%20AN%20HOA%20TONG-%20NHOM%20THONG%2024-7-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g year 01"/>
      <sheetName val="Cong 6T"/>
      <sheetName val="chitimc"/>
      <sheetName val="MTL(AG)"/>
      <sheetName val="˜Ünh m÷c"/>
      <sheetName val="DI-ESTI"/>
      <sheetName val="NEW-PANEL"/>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 CTdo"/>
      <sheetName val="22-12"/>
      <sheetName val="Thu LCB-2date"/>
      <sheetName val="LCB-5 date"/>
      <sheetName val="Thuong cuoi 00"/>
      <sheetName val="SLg"/>
      <sheetName val="BTH"/>
      <sheetName val="TK-BHXH,YT"/>
      <sheetName val="BGD"/>
      <sheetName val="KT"/>
      <sheetName val="TC"/>
      <sheetName val="KH"/>
      <sheetName val="Ap Tai"/>
      <sheetName val="KD"/>
      <sheetName val="KCS"/>
      <sheetName val="KTNL"/>
      <sheetName val="Cac khoang THU"/>
      <sheetName val="AN CA"/>
      <sheetName val="PX-SX"/>
      <sheetName val="thang-12"/>
      <sheetName val="LKy I- PX-SX"/>
      <sheetName val="Ck thu PXSX"/>
      <sheetName val="Xe-Cty"/>
      <sheetName val="XE-CN"/>
      <sheetName val="Lcau"/>
      <sheetName val="Lcau - Lxuc"/>
      <sheetName val="Ckthu Xe"/>
      <sheetName val="Luong CDo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4">
          <cell r="B14" t="str">
            <v>Phaïm Vuõ Hoàng</v>
          </cell>
          <cell r="C14" t="str">
            <v>Giaùm Ñoác</v>
          </cell>
          <cell r="D14">
            <v>1272600</v>
          </cell>
          <cell r="E14">
            <v>8.0797283702213285</v>
          </cell>
          <cell r="F14">
            <v>10282000</v>
          </cell>
        </row>
        <row r="15">
          <cell r="B15" t="str">
            <v>Nguyeãn Vaên Huøng</v>
          </cell>
          <cell r="C15" t="str">
            <v>Phoù GÑ</v>
          </cell>
          <cell r="D15">
            <v>1113000</v>
          </cell>
          <cell r="E15">
            <v>8.0797283702213285</v>
          </cell>
          <cell r="F15">
            <v>8993000</v>
          </cell>
        </row>
        <row r="16">
          <cell r="B16" t="str">
            <v>Quaùch Ngoïc Minh</v>
          </cell>
          <cell r="C16" t="str">
            <v>KTT</v>
          </cell>
          <cell r="D16">
            <v>1054200</v>
          </cell>
          <cell r="E16">
            <v>5.5093568792830787</v>
          </cell>
          <cell r="F16">
            <v>5808000</v>
          </cell>
        </row>
      </sheetData>
      <sheetData sheetId="9" refreshError="1">
        <row r="15">
          <cell r="B15" t="str">
            <v>Ñaøo Troïng Ñaït</v>
          </cell>
          <cell r="C15" t="str">
            <v>PP</v>
          </cell>
          <cell r="D15">
            <v>827400</v>
          </cell>
          <cell r="E15">
            <v>1.75</v>
          </cell>
          <cell r="F15">
            <v>26</v>
          </cell>
          <cell r="G15">
            <v>45.5</v>
          </cell>
          <cell r="H15">
            <v>3658000</v>
          </cell>
        </row>
        <row r="16">
          <cell r="B16" t="str">
            <v>Nguyeãn Vaên Hieån</v>
          </cell>
          <cell r="C16" t="str">
            <v>NV</v>
          </cell>
          <cell r="D16">
            <v>424200</v>
          </cell>
          <cell r="E16">
            <v>1.3</v>
          </cell>
          <cell r="F16">
            <v>26</v>
          </cell>
          <cell r="G16">
            <v>33.800000000000004</v>
          </cell>
          <cell r="H16">
            <v>2717000</v>
          </cell>
        </row>
        <row r="17">
          <cell r="B17" t="str">
            <v>Döông Vaên Thaûo</v>
          </cell>
          <cell r="C17" t="str">
            <v>NV</v>
          </cell>
          <cell r="D17">
            <v>415800</v>
          </cell>
          <cell r="E17">
            <v>1.25</v>
          </cell>
          <cell r="F17">
            <v>26</v>
          </cell>
          <cell r="G17">
            <v>32.5</v>
          </cell>
          <cell r="H17">
            <v>3136000</v>
          </cell>
        </row>
        <row r="18">
          <cell r="B18" t="str">
            <v>Trònh Hoaøng Laâm</v>
          </cell>
          <cell r="C18" t="str">
            <v>NV</v>
          </cell>
          <cell r="D18">
            <v>415800</v>
          </cell>
          <cell r="E18">
            <v>1.25</v>
          </cell>
          <cell r="F18">
            <v>26</v>
          </cell>
          <cell r="G18">
            <v>32.5</v>
          </cell>
          <cell r="H18">
            <v>2613000</v>
          </cell>
        </row>
        <row r="19">
          <cell r="B19" t="str">
            <v>Nguyeãn Thu Laøi</v>
          </cell>
          <cell r="C19" t="str">
            <v>TQ</v>
          </cell>
          <cell r="D19">
            <v>411600</v>
          </cell>
          <cell r="E19">
            <v>1.2</v>
          </cell>
          <cell r="F19">
            <v>26</v>
          </cell>
          <cell r="G19">
            <v>31.2</v>
          </cell>
          <cell r="H19">
            <v>2769000</v>
          </cell>
        </row>
      </sheetData>
      <sheetData sheetId="10" refreshError="1">
        <row r="10">
          <cell r="B10" t="str">
            <v>Traàn Vaên Nuoâi</v>
          </cell>
          <cell r="C10" t="str">
            <v>T.P</v>
          </cell>
          <cell r="D10">
            <v>907200.00000000012</v>
          </cell>
          <cell r="E10">
            <v>1.8</v>
          </cell>
          <cell r="F10">
            <v>26</v>
          </cell>
          <cell r="G10">
            <v>46.800000000000004</v>
          </cell>
          <cell r="H10">
            <v>3765000</v>
          </cell>
        </row>
        <row r="11">
          <cell r="B11" t="str">
            <v>Nguyeãn Thanh Nhaõ</v>
          </cell>
          <cell r="C11" t="str">
            <v>PP</v>
          </cell>
          <cell r="D11">
            <v>415800</v>
          </cell>
          <cell r="E11">
            <v>1.65</v>
          </cell>
          <cell r="F11">
            <v>26</v>
          </cell>
          <cell r="G11">
            <v>42.9</v>
          </cell>
          <cell r="H11">
            <v>3449000</v>
          </cell>
        </row>
        <row r="12">
          <cell r="B12" t="str">
            <v>Voõ Vaên Phuïng</v>
          </cell>
          <cell r="C12" t="str">
            <v>NV</v>
          </cell>
          <cell r="D12">
            <v>348600</v>
          </cell>
          <cell r="E12">
            <v>1.2</v>
          </cell>
          <cell r="F12">
            <v>26</v>
          </cell>
          <cell r="G12">
            <v>31.2</v>
          </cell>
          <cell r="H12">
            <v>2508000</v>
          </cell>
        </row>
        <row r="13">
          <cell r="B13" t="str">
            <v>Ñoã Thuyû Tieân</v>
          </cell>
          <cell r="C13" t="str">
            <v>N.V</v>
          </cell>
          <cell r="D13">
            <v>396900</v>
          </cell>
          <cell r="E13">
            <v>1.1000000000000001</v>
          </cell>
          <cell r="F13">
            <v>26</v>
          </cell>
          <cell r="G13">
            <v>28.6</v>
          </cell>
          <cell r="H13">
            <v>2299000</v>
          </cell>
        </row>
        <row r="14">
          <cell r="B14" t="str">
            <v>Traàn Phuù Quoác</v>
          </cell>
          <cell r="C14" t="str">
            <v>L.Xe</v>
          </cell>
          <cell r="D14">
            <v>525000</v>
          </cell>
          <cell r="E14">
            <v>1.2</v>
          </cell>
          <cell r="F14">
            <v>26</v>
          </cell>
          <cell r="G14">
            <v>31.2</v>
          </cell>
          <cell r="H14">
            <v>2508000</v>
          </cell>
        </row>
        <row r="15">
          <cell r="B15" t="str">
            <v>Traàn Vaên Tö</v>
          </cell>
          <cell r="C15" t="str">
            <v>L.Xe</v>
          </cell>
          <cell r="D15">
            <v>686700</v>
          </cell>
          <cell r="E15">
            <v>1.2</v>
          </cell>
          <cell r="F15">
            <v>26</v>
          </cell>
          <cell r="G15">
            <v>31.2</v>
          </cell>
          <cell r="H15">
            <v>2508000</v>
          </cell>
        </row>
        <row r="16">
          <cell r="B16" t="str">
            <v>Huyønh Vaên Haø</v>
          </cell>
          <cell r="C16" t="str">
            <v>L.Xe</v>
          </cell>
          <cell r="D16">
            <v>399000</v>
          </cell>
          <cell r="E16">
            <v>1.2</v>
          </cell>
          <cell r="F16">
            <v>26</v>
          </cell>
          <cell r="G16">
            <v>31.2</v>
          </cell>
          <cell r="H16">
            <v>2508000</v>
          </cell>
        </row>
        <row r="17">
          <cell r="B17" t="str">
            <v>Nguyeãn Trung Hieàn</v>
          </cell>
          <cell r="C17" t="str">
            <v>L.Xe</v>
          </cell>
          <cell r="D17">
            <v>399000</v>
          </cell>
          <cell r="E17">
            <v>1.1000000000000001</v>
          </cell>
          <cell r="F17">
            <v>26</v>
          </cell>
          <cell r="G17">
            <v>28.6</v>
          </cell>
          <cell r="H17">
            <v>2299000</v>
          </cell>
        </row>
        <row r="18">
          <cell r="B18" t="str">
            <v>Trònh Thanh Thuûy</v>
          </cell>
          <cell r="C18" t="str">
            <v>Y.Teá</v>
          </cell>
          <cell r="D18">
            <v>396900</v>
          </cell>
          <cell r="E18">
            <v>1.1000000000000001</v>
          </cell>
          <cell r="F18">
            <v>26</v>
          </cell>
          <cell r="G18">
            <v>28.6</v>
          </cell>
          <cell r="H18">
            <v>2299000</v>
          </cell>
        </row>
        <row r="19">
          <cell r="B19" t="str">
            <v>Nguyeãn Hoaøng Lyù</v>
          </cell>
          <cell r="C19" t="str">
            <v>NV</v>
          </cell>
          <cell r="D19">
            <v>415800</v>
          </cell>
          <cell r="E19">
            <v>0.97500000000000009</v>
          </cell>
          <cell r="F19">
            <v>17.5</v>
          </cell>
          <cell r="G19">
            <v>17.0625</v>
          </cell>
          <cell r="H19">
            <v>1372000</v>
          </cell>
        </row>
        <row r="20">
          <cell r="E20">
            <v>12.524999999999999</v>
          </cell>
          <cell r="G20">
            <v>317.36250000000001</v>
          </cell>
          <cell r="H20">
            <v>25515000</v>
          </cell>
        </row>
        <row r="21">
          <cell r="B21" t="str">
            <v>Ñaëng Coâng Chaâu</v>
          </cell>
          <cell r="C21" t="str">
            <v>B.Veä</v>
          </cell>
          <cell r="D21">
            <v>560700.00000000012</v>
          </cell>
          <cell r="E21">
            <v>0.95</v>
          </cell>
          <cell r="F21">
            <v>26</v>
          </cell>
          <cell r="G21">
            <v>24.7</v>
          </cell>
          <cell r="H21">
            <v>1986000</v>
          </cell>
        </row>
        <row r="22">
          <cell r="B22" t="str">
            <v>Phuøng Thanh Phong</v>
          </cell>
          <cell r="C22" t="str">
            <v>B.Veä</v>
          </cell>
          <cell r="D22">
            <v>476700</v>
          </cell>
          <cell r="E22">
            <v>0.95</v>
          </cell>
          <cell r="F22">
            <v>26</v>
          </cell>
          <cell r="G22">
            <v>24.7</v>
          </cell>
          <cell r="H22">
            <v>1986000</v>
          </cell>
        </row>
        <row r="23">
          <cell r="B23" t="str">
            <v>Ngoâ Vaên Naøm</v>
          </cell>
          <cell r="C23" t="str">
            <v>B.Veä</v>
          </cell>
          <cell r="D23">
            <v>476700</v>
          </cell>
          <cell r="E23">
            <v>0.95</v>
          </cell>
          <cell r="F23">
            <v>26</v>
          </cell>
          <cell r="G23">
            <v>24.7</v>
          </cell>
          <cell r="H23">
            <v>1986000</v>
          </cell>
        </row>
        <row r="24">
          <cell r="B24" t="str">
            <v>Traàn Vaên Thaønh</v>
          </cell>
          <cell r="C24" t="str">
            <v>B.Veä</v>
          </cell>
          <cell r="D24">
            <v>392700</v>
          </cell>
          <cell r="E24">
            <v>0.95</v>
          </cell>
          <cell r="F24">
            <v>26</v>
          </cell>
          <cell r="G24">
            <v>24.7</v>
          </cell>
          <cell r="H24">
            <v>1986000</v>
          </cell>
        </row>
        <row r="25">
          <cell r="B25" t="str">
            <v>Nguyeãn Hoaøng Ñaëng</v>
          </cell>
          <cell r="C25" t="str">
            <v>ÑT BV</v>
          </cell>
          <cell r="D25">
            <v>413700</v>
          </cell>
          <cell r="E25">
            <v>1.05</v>
          </cell>
          <cell r="F25">
            <v>26</v>
          </cell>
          <cell r="G25">
            <v>27.3</v>
          </cell>
          <cell r="H25">
            <v>2193000</v>
          </cell>
        </row>
        <row r="26">
          <cell r="B26" t="str">
            <v>Tröông Minh Duõng</v>
          </cell>
          <cell r="C26" t="str">
            <v>B.Veä</v>
          </cell>
          <cell r="D26">
            <v>630000</v>
          </cell>
          <cell r="E26">
            <v>0.95</v>
          </cell>
          <cell r="F26">
            <v>26</v>
          </cell>
          <cell r="G26">
            <v>24.7</v>
          </cell>
          <cell r="H26">
            <v>1986000</v>
          </cell>
        </row>
        <row r="27">
          <cell r="B27" t="str">
            <v>Nguyeãn Tuaán Haûi</v>
          </cell>
          <cell r="C27" t="str">
            <v>B.Veä</v>
          </cell>
          <cell r="D27">
            <v>451500</v>
          </cell>
          <cell r="E27">
            <v>0.95</v>
          </cell>
          <cell r="F27">
            <v>26</v>
          </cell>
          <cell r="G27">
            <v>24.7</v>
          </cell>
          <cell r="H27">
            <v>1986000</v>
          </cell>
        </row>
        <row r="28">
          <cell r="E28">
            <v>6.75</v>
          </cell>
          <cell r="G28">
            <v>175.49999999999997</v>
          </cell>
          <cell r="H28">
            <v>14109000</v>
          </cell>
        </row>
        <row r="29">
          <cell r="B29" t="str">
            <v>Ng. Thò Ngoïc Ñieäp</v>
          </cell>
          <cell r="C29" t="str">
            <v>P.Vuï</v>
          </cell>
          <cell r="D29">
            <v>340200</v>
          </cell>
          <cell r="E29">
            <v>0.95</v>
          </cell>
          <cell r="F29">
            <v>26</v>
          </cell>
          <cell r="H29">
            <v>700000</v>
          </cell>
        </row>
        <row r="30">
          <cell r="B30" t="str">
            <v>Toáng Thò Nguyeân</v>
          </cell>
          <cell r="C30" t="str">
            <v>P.Vuï</v>
          </cell>
          <cell r="D30">
            <v>415800</v>
          </cell>
          <cell r="E30">
            <v>0.95</v>
          </cell>
          <cell r="F30">
            <v>26</v>
          </cell>
          <cell r="H30">
            <v>700000</v>
          </cell>
        </row>
        <row r="31">
          <cell r="B31" t="str">
            <v>Leâ Vaên Phaùt</v>
          </cell>
          <cell r="C31" t="str">
            <v>Beáp TR</v>
          </cell>
          <cell r="D31">
            <v>413700</v>
          </cell>
          <cell r="E31">
            <v>1.05</v>
          </cell>
          <cell r="F31">
            <v>26</v>
          </cell>
          <cell r="H31">
            <v>750000</v>
          </cell>
        </row>
        <row r="32">
          <cell r="B32" t="str">
            <v>Lö  Hoàng Trang</v>
          </cell>
          <cell r="C32" t="str">
            <v>P.Vuï</v>
          </cell>
          <cell r="D32">
            <v>340200</v>
          </cell>
          <cell r="E32">
            <v>0.95</v>
          </cell>
          <cell r="F32">
            <v>26</v>
          </cell>
          <cell r="H32">
            <v>700000</v>
          </cell>
        </row>
        <row r="33">
          <cell r="B33" t="str">
            <v>Ng. Thò Kim Oanh</v>
          </cell>
          <cell r="C33" t="str">
            <v>P.Vuï</v>
          </cell>
          <cell r="D33">
            <v>340200</v>
          </cell>
          <cell r="E33">
            <v>0.95</v>
          </cell>
          <cell r="F33">
            <v>26</v>
          </cell>
          <cell r="H33">
            <v>700000</v>
          </cell>
        </row>
        <row r="34">
          <cell r="B34" t="str">
            <v>Ng. T. Bình Cheáp</v>
          </cell>
          <cell r="C34" t="str">
            <v>T.Vuï</v>
          </cell>
          <cell r="D34">
            <v>415800</v>
          </cell>
          <cell r="F34">
            <v>26</v>
          </cell>
          <cell r="H34">
            <v>600000</v>
          </cell>
        </row>
        <row r="35">
          <cell r="B35" t="str">
            <v>Vuõ Thò Haûi</v>
          </cell>
          <cell r="C35" t="str">
            <v>T.Vuï</v>
          </cell>
          <cell r="D35">
            <v>415800</v>
          </cell>
          <cell r="F35">
            <v>26</v>
          </cell>
          <cell r="H35">
            <v>600000</v>
          </cell>
        </row>
        <row r="36">
          <cell r="B36" t="str">
            <v>Töôùi caây</v>
          </cell>
          <cell r="H36">
            <v>400000</v>
          </cell>
        </row>
        <row r="37">
          <cell r="B37" t="str">
            <v>Quyõ phoøng</v>
          </cell>
          <cell r="H37">
            <v>1345000</v>
          </cell>
        </row>
        <row r="38">
          <cell r="B38" t="str">
            <v>Coäng</v>
          </cell>
          <cell r="D38">
            <v>10974600</v>
          </cell>
          <cell r="H38">
            <v>46119000</v>
          </cell>
        </row>
      </sheetData>
      <sheetData sheetId="11" refreshError="1">
        <row r="11">
          <cell r="B11" t="str">
            <v>Laâm Duy Khaùnh</v>
          </cell>
          <cell r="C11" t="str">
            <v>T.P</v>
          </cell>
          <cell r="D11">
            <v>783300</v>
          </cell>
          <cell r="E11">
            <v>1.9</v>
          </cell>
          <cell r="F11">
            <v>26</v>
          </cell>
          <cell r="G11">
            <v>49.4</v>
          </cell>
          <cell r="H11">
            <v>3972000</v>
          </cell>
          <cell r="I11">
            <v>39165</v>
          </cell>
          <cell r="J11">
            <v>7833</v>
          </cell>
          <cell r="K11">
            <v>3925002</v>
          </cell>
        </row>
        <row r="12">
          <cell r="B12" t="str">
            <v>Hoà Nam Giang</v>
          </cell>
          <cell r="C12" t="str">
            <v>PP</v>
          </cell>
          <cell r="D12">
            <v>415800</v>
          </cell>
          <cell r="E12">
            <v>1.75</v>
          </cell>
          <cell r="F12">
            <v>26</v>
          </cell>
          <cell r="G12">
            <v>45.5</v>
          </cell>
          <cell r="H12">
            <v>3658000</v>
          </cell>
          <cell r="I12">
            <v>20790</v>
          </cell>
          <cell r="J12">
            <v>4158</v>
          </cell>
          <cell r="K12">
            <v>3633052</v>
          </cell>
        </row>
        <row r="13">
          <cell r="B13" t="str">
            <v>Traàn Chinh Chieán</v>
          </cell>
          <cell r="C13" t="str">
            <v>PP</v>
          </cell>
          <cell r="D13">
            <v>558599.99999999988</v>
          </cell>
          <cell r="E13">
            <v>1.75</v>
          </cell>
          <cell r="F13">
            <v>26</v>
          </cell>
          <cell r="G13">
            <v>45.5</v>
          </cell>
          <cell r="H13">
            <v>3658000</v>
          </cell>
          <cell r="I13">
            <v>27929.999999999996</v>
          </cell>
          <cell r="J13">
            <v>5585.9999999999991</v>
          </cell>
          <cell r="K13">
            <v>3624484</v>
          </cell>
        </row>
        <row r="14">
          <cell r="B14" t="str">
            <v>Nguyeãn Baù Toång</v>
          </cell>
          <cell r="C14" t="str">
            <v>QL XE</v>
          </cell>
          <cell r="D14">
            <v>392700</v>
          </cell>
          <cell r="E14">
            <v>1.25</v>
          </cell>
          <cell r="F14">
            <v>26</v>
          </cell>
          <cell r="G14">
            <v>32.5</v>
          </cell>
          <cell r="H14">
            <v>2613000</v>
          </cell>
          <cell r="I14">
            <v>19635</v>
          </cell>
          <cell r="J14">
            <v>3927</v>
          </cell>
          <cell r="K14">
            <v>2589438</v>
          </cell>
        </row>
        <row r="15">
          <cell r="B15" t="str">
            <v>Maïc Thanh Duõng</v>
          </cell>
          <cell r="C15" t="str">
            <v>N.V</v>
          </cell>
          <cell r="D15">
            <v>424200</v>
          </cell>
          <cell r="E15">
            <v>1.3</v>
          </cell>
          <cell r="F15">
            <v>26</v>
          </cell>
          <cell r="G15">
            <v>33.800000000000004</v>
          </cell>
          <cell r="H15">
            <v>2717000</v>
          </cell>
          <cell r="I15">
            <v>21210</v>
          </cell>
          <cell r="J15">
            <v>4242</v>
          </cell>
          <cell r="K15">
            <v>2691548</v>
          </cell>
        </row>
        <row r="16">
          <cell r="B16" t="str">
            <v>Nguyeãn Vaên Thôm</v>
          </cell>
          <cell r="C16" t="str">
            <v>N.V</v>
          </cell>
          <cell r="D16">
            <v>373800</v>
          </cell>
          <cell r="E16">
            <v>1.35</v>
          </cell>
          <cell r="F16">
            <v>26</v>
          </cell>
          <cell r="G16">
            <v>35.1</v>
          </cell>
          <cell r="H16">
            <v>2822000</v>
          </cell>
          <cell r="I16">
            <v>18690</v>
          </cell>
          <cell r="J16">
            <v>3738</v>
          </cell>
          <cell r="K16">
            <v>2799572</v>
          </cell>
        </row>
        <row r="17">
          <cell r="B17" t="str">
            <v>Nguyeãn Thanh Bình</v>
          </cell>
          <cell r="C17" t="str">
            <v>T.Caân</v>
          </cell>
          <cell r="D17">
            <v>403200</v>
          </cell>
          <cell r="E17">
            <v>1.1000000000000001</v>
          </cell>
          <cell r="F17">
            <v>26</v>
          </cell>
          <cell r="G17">
            <v>28.6</v>
          </cell>
          <cell r="H17">
            <v>2299000</v>
          </cell>
          <cell r="I17">
            <v>20160</v>
          </cell>
          <cell r="J17">
            <v>4032</v>
          </cell>
          <cell r="K17">
            <v>2274808</v>
          </cell>
        </row>
        <row r="18">
          <cell r="B18" t="str">
            <v>Voõ Daân Quyeàn</v>
          </cell>
          <cell r="C18" t="str">
            <v>T.Caân</v>
          </cell>
          <cell r="D18">
            <v>403200</v>
          </cell>
          <cell r="E18">
            <v>1.1000000000000001</v>
          </cell>
          <cell r="F18">
            <v>26</v>
          </cell>
          <cell r="G18">
            <v>28.6</v>
          </cell>
          <cell r="H18">
            <v>2299000</v>
          </cell>
          <cell r="I18">
            <v>20160</v>
          </cell>
          <cell r="J18">
            <v>4032</v>
          </cell>
          <cell r="K18">
            <v>2274808</v>
          </cell>
        </row>
        <row r="19">
          <cell r="B19" t="str">
            <v>Huyønh Thanh Cöôøng</v>
          </cell>
          <cell r="C19" t="str">
            <v>"</v>
          </cell>
          <cell r="D19">
            <v>451500</v>
          </cell>
          <cell r="E19">
            <v>1.1000000000000001</v>
          </cell>
          <cell r="F19">
            <v>26</v>
          </cell>
          <cell r="G19">
            <v>28.6</v>
          </cell>
          <cell r="H19">
            <v>2299000</v>
          </cell>
          <cell r="I19">
            <v>22575</v>
          </cell>
          <cell r="J19">
            <v>4515</v>
          </cell>
          <cell r="K19">
            <v>2271910</v>
          </cell>
        </row>
        <row r="20">
          <cell r="B20" t="str">
            <v>Nguyeãn Sôn Haø</v>
          </cell>
          <cell r="C20" t="str">
            <v>TK.BH</v>
          </cell>
          <cell r="D20">
            <v>655200</v>
          </cell>
          <cell r="E20">
            <v>1.35</v>
          </cell>
          <cell r="F20">
            <v>26</v>
          </cell>
          <cell r="G20">
            <v>35.1</v>
          </cell>
          <cell r="H20">
            <v>2822000</v>
          </cell>
          <cell r="I20">
            <v>32760</v>
          </cell>
          <cell r="J20">
            <v>6552</v>
          </cell>
          <cell r="K20">
            <v>2782688</v>
          </cell>
        </row>
        <row r="21">
          <cell r="B21" t="str">
            <v>Tröông Ngoïc Maãn</v>
          </cell>
          <cell r="C21" t="str">
            <v>NV.</v>
          </cell>
          <cell r="D21">
            <v>415800</v>
          </cell>
          <cell r="E21">
            <v>1.2</v>
          </cell>
          <cell r="F21">
            <v>26</v>
          </cell>
          <cell r="G21">
            <v>31.2</v>
          </cell>
          <cell r="H21">
            <v>2508000</v>
          </cell>
          <cell r="I21">
            <v>20790</v>
          </cell>
          <cell r="J21">
            <v>4158</v>
          </cell>
          <cell r="K21">
            <v>2483052</v>
          </cell>
        </row>
        <row r="22">
          <cell r="B22" t="str">
            <v>Huyønh Thanh Lieâm</v>
          </cell>
          <cell r="C22" t="str">
            <v>TKVT</v>
          </cell>
          <cell r="D22">
            <v>476700</v>
          </cell>
          <cell r="E22">
            <v>1.25</v>
          </cell>
          <cell r="F22">
            <v>26</v>
          </cell>
          <cell r="G22">
            <v>32.5</v>
          </cell>
          <cell r="H22">
            <v>2613000</v>
          </cell>
          <cell r="I22">
            <v>23835</v>
          </cell>
          <cell r="J22">
            <v>4767</v>
          </cell>
          <cell r="K22">
            <v>2584398</v>
          </cell>
        </row>
        <row r="23">
          <cell r="B23" t="str">
            <v>Phuøng Höõu Ñaït</v>
          </cell>
          <cell r="C23" t="str">
            <v>TKXM</v>
          </cell>
          <cell r="D23">
            <v>409500</v>
          </cell>
          <cell r="E23">
            <v>1.45</v>
          </cell>
          <cell r="F23">
            <v>26</v>
          </cell>
          <cell r="G23">
            <v>37.699999999999996</v>
          </cell>
          <cell r="H23">
            <v>3031000</v>
          </cell>
          <cell r="I23">
            <v>20475</v>
          </cell>
          <cell r="J23">
            <v>4095</v>
          </cell>
          <cell r="K23">
            <v>3006430</v>
          </cell>
        </row>
        <row r="24">
          <cell r="B24" t="str">
            <v>Laâm Hoàng Haûi</v>
          </cell>
          <cell r="C24" t="str">
            <v>TKVLN</v>
          </cell>
          <cell r="D24">
            <v>451500</v>
          </cell>
          <cell r="E24">
            <v>1.35</v>
          </cell>
          <cell r="F24">
            <v>26</v>
          </cell>
          <cell r="G24">
            <v>35.1</v>
          </cell>
          <cell r="H24">
            <v>2822000</v>
          </cell>
          <cell r="I24">
            <v>22575</v>
          </cell>
          <cell r="J24">
            <v>4515</v>
          </cell>
          <cell r="K24">
            <v>2794910</v>
          </cell>
        </row>
        <row r="25">
          <cell r="B25" t="str">
            <v>Nguyeãn Ngoïc Duy</v>
          </cell>
          <cell r="C25" t="str">
            <v>NV</v>
          </cell>
          <cell r="D25">
            <v>415800</v>
          </cell>
          <cell r="E25">
            <v>1.2</v>
          </cell>
          <cell r="F25">
            <v>26</v>
          </cell>
          <cell r="G25">
            <v>31.2</v>
          </cell>
          <cell r="H25">
            <v>2508000</v>
          </cell>
          <cell r="I25">
            <v>20790</v>
          </cell>
          <cell r="J25">
            <v>4158</v>
          </cell>
          <cell r="K25">
            <v>2483052</v>
          </cell>
        </row>
        <row r="26">
          <cell r="B26" t="str">
            <v>Leâ Hoaøng Baù</v>
          </cell>
          <cell r="C26" t="str">
            <v>KT.BH</v>
          </cell>
          <cell r="D26">
            <v>415800</v>
          </cell>
          <cell r="E26">
            <v>1.25</v>
          </cell>
          <cell r="F26">
            <v>26</v>
          </cell>
          <cell r="G26">
            <v>32.5</v>
          </cell>
          <cell r="H26">
            <v>2613000</v>
          </cell>
          <cell r="I26">
            <v>20790</v>
          </cell>
          <cell r="J26">
            <v>4158</v>
          </cell>
          <cell r="K26">
            <v>2588052</v>
          </cell>
        </row>
        <row r="27">
          <cell r="B27" t="str">
            <v>Traàn Huy Thaïch</v>
          </cell>
          <cell r="C27" t="str">
            <v>NV</v>
          </cell>
          <cell r="D27">
            <v>415800</v>
          </cell>
          <cell r="E27">
            <v>1.2</v>
          </cell>
          <cell r="F27">
            <v>26</v>
          </cell>
          <cell r="G27">
            <v>31.2</v>
          </cell>
          <cell r="H27">
            <v>2508000</v>
          </cell>
          <cell r="I27">
            <v>20790</v>
          </cell>
          <cell r="J27">
            <v>4158</v>
          </cell>
          <cell r="K27">
            <v>2483052</v>
          </cell>
        </row>
        <row r="28">
          <cell r="E28">
            <v>22.849999999999998</v>
          </cell>
          <cell r="G28">
            <v>594.10000000000014</v>
          </cell>
          <cell r="H28">
            <v>47762000</v>
          </cell>
        </row>
        <row r="29">
          <cell r="B29" t="str">
            <v>Nguyeãn Vaên Haûi</v>
          </cell>
          <cell r="C29" t="str">
            <v>BQL-DA</v>
          </cell>
          <cell r="D29">
            <v>497700</v>
          </cell>
          <cell r="E29">
            <v>1.25</v>
          </cell>
          <cell r="F29">
            <v>26</v>
          </cell>
          <cell r="G29">
            <v>32.5</v>
          </cell>
          <cell r="H29">
            <v>2613000</v>
          </cell>
          <cell r="I29">
            <v>24885</v>
          </cell>
          <cell r="J29">
            <v>4977</v>
          </cell>
          <cell r="K29">
            <v>2583138</v>
          </cell>
        </row>
        <row r="30">
          <cell r="B30" t="str">
            <v>Hoà Thò Caåm Huyønh</v>
          </cell>
          <cell r="C30" t="str">
            <v>BQL-DA</v>
          </cell>
          <cell r="D30">
            <v>424200</v>
          </cell>
          <cell r="E30">
            <v>1.25</v>
          </cell>
          <cell r="F30">
            <v>26</v>
          </cell>
          <cell r="G30">
            <v>32.5</v>
          </cell>
          <cell r="H30">
            <v>2613000</v>
          </cell>
          <cell r="I30">
            <v>21210</v>
          </cell>
          <cell r="J30">
            <v>4242</v>
          </cell>
          <cell r="K30">
            <v>2587548</v>
          </cell>
        </row>
        <row r="31">
          <cell r="E31">
            <v>2.5</v>
          </cell>
          <cell r="G31">
            <v>65</v>
          </cell>
          <cell r="H31">
            <v>5226000</v>
          </cell>
        </row>
        <row r="33">
          <cell r="B33" t="str">
            <v>Coäng</v>
          </cell>
          <cell r="D33">
            <v>8784300</v>
          </cell>
          <cell r="E33">
            <v>25.349999999999998</v>
          </cell>
          <cell r="G33">
            <v>659.10000000000014</v>
          </cell>
          <cell r="H33">
            <v>52988000</v>
          </cell>
          <cell r="I33">
            <v>439215</v>
          </cell>
          <cell r="J33">
            <v>87843</v>
          </cell>
          <cell r="K33">
            <v>52460942</v>
          </cell>
        </row>
        <row r="56">
          <cell r="B56" t="str">
            <v>Nguyeãn Vaên Cöôøng</v>
          </cell>
          <cell r="C56" t="str">
            <v>T, Tröôûng</v>
          </cell>
          <cell r="D56">
            <v>537599.99999999988</v>
          </cell>
          <cell r="E56">
            <v>1.4</v>
          </cell>
          <cell r="F56">
            <v>26</v>
          </cell>
          <cell r="G56">
            <v>36.4</v>
          </cell>
          <cell r="H56">
            <v>1977000</v>
          </cell>
          <cell r="I56">
            <v>26879.999999999996</v>
          </cell>
          <cell r="J56">
            <v>5375.9999999999991</v>
          </cell>
          <cell r="K56">
            <v>1944744</v>
          </cell>
        </row>
        <row r="57">
          <cell r="B57" t="str">
            <v>Phan Vaên Hoàng</v>
          </cell>
          <cell r="C57" t="str">
            <v>Toå Phoù</v>
          </cell>
          <cell r="D57">
            <v>531300</v>
          </cell>
          <cell r="E57">
            <v>1.3</v>
          </cell>
          <cell r="F57">
            <v>26</v>
          </cell>
          <cell r="G57">
            <v>20.8</v>
          </cell>
          <cell r="H57">
            <v>1457000</v>
          </cell>
          <cell r="I57">
            <v>26565</v>
          </cell>
          <cell r="J57">
            <v>5313</v>
          </cell>
          <cell r="K57">
            <v>1425122</v>
          </cell>
        </row>
        <row r="58">
          <cell r="B58" t="str">
            <v>Taï Quoác Quyønh</v>
          </cell>
          <cell r="C58" t="str">
            <v>CN</v>
          </cell>
          <cell r="D58">
            <v>445200</v>
          </cell>
          <cell r="E58">
            <v>1.25</v>
          </cell>
          <cell r="F58">
            <v>26</v>
          </cell>
          <cell r="G58">
            <v>32.5</v>
          </cell>
          <cell r="H58">
            <v>1765000</v>
          </cell>
          <cell r="I58">
            <v>22260</v>
          </cell>
          <cell r="J58">
            <v>4452</v>
          </cell>
          <cell r="K58">
            <v>1738288</v>
          </cell>
        </row>
        <row r="59">
          <cell r="B59" t="str">
            <v>Phan Vaên Hieàn</v>
          </cell>
          <cell r="C59" t="str">
            <v>"</v>
          </cell>
          <cell r="D59">
            <v>445200</v>
          </cell>
          <cell r="E59">
            <v>1.25</v>
          </cell>
          <cell r="F59">
            <v>26</v>
          </cell>
          <cell r="G59">
            <v>32.5</v>
          </cell>
          <cell r="H59">
            <v>1765000</v>
          </cell>
          <cell r="I59">
            <v>22260</v>
          </cell>
          <cell r="J59">
            <v>4452</v>
          </cell>
          <cell r="K59">
            <v>1738288</v>
          </cell>
        </row>
        <row r="60">
          <cell r="B60" t="str">
            <v>Leâ Töï Thieän</v>
          </cell>
          <cell r="C60" t="str">
            <v>"</v>
          </cell>
          <cell r="D60">
            <v>531300</v>
          </cell>
          <cell r="E60">
            <v>1.25</v>
          </cell>
          <cell r="F60">
            <v>26</v>
          </cell>
          <cell r="G60">
            <v>32.5</v>
          </cell>
          <cell r="H60">
            <v>1765000</v>
          </cell>
          <cell r="I60">
            <v>26565</v>
          </cell>
          <cell r="J60">
            <v>5313</v>
          </cell>
          <cell r="K60">
            <v>1733122</v>
          </cell>
        </row>
        <row r="61">
          <cell r="B61" t="str">
            <v>Nguyeãn Vaên Ñöông</v>
          </cell>
          <cell r="C61" t="str">
            <v>"</v>
          </cell>
          <cell r="D61">
            <v>403200</v>
          </cell>
          <cell r="E61">
            <v>1.25</v>
          </cell>
          <cell r="F61">
            <v>26</v>
          </cell>
          <cell r="G61">
            <v>32.5</v>
          </cell>
          <cell r="H61">
            <v>1765000</v>
          </cell>
          <cell r="I61">
            <v>20160</v>
          </cell>
          <cell r="J61">
            <v>4032</v>
          </cell>
          <cell r="K61">
            <v>1740808</v>
          </cell>
        </row>
        <row r="62">
          <cell r="B62" t="str">
            <v>Phaïm Gia Bình</v>
          </cell>
          <cell r="C62" t="str">
            <v>"</v>
          </cell>
          <cell r="D62">
            <v>445200</v>
          </cell>
          <cell r="E62">
            <v>1.25</v>
          </cell>
          <cell r="F62">
            <v>25</v>
          </cell>
          <cell r="G62">
            <v>31.25</v>
          </cell>
          <cell r="H62">
            <v>1697000</v>
          </cell>
          <cell r="I62">
            <v>22260</v>
          </cell>
          <cell r="J62">
            <v>4452</v>
          </cell>
          <cell r="K62">
            <v>1670288</v>
          </cell>
        </row>
        <row r="63">
          <cell r="B63" t="str">
            <v>Nguyeãn Ngoïc Sôn</v>
          </cell>
          <cell r="C63" t="str">
            <v>"</v>
          </cell>
          <cell r="D63">
            <v>445200</v>
          </cell>
          <cell r="E63">
            <v>1.25</v>
          </cell>
          <cell r="F63">
            <v>22</v>
          </cell>
          <cell r="G63">
            <v>27.5</v>
          </cell>
          <cell r="H63">
            <v>1494000</v>
          </cell>
          <cell r="I63">
            <v>22260</v>
          </cell>
          <cell r="J63">
            <v>4452</v>
          </cell>
          <cell r="K63">
            <v>1467288</v>
          </cell>
        </row>
        <row r="64">
          <cell r="B64" t="str">
            <v>Nguyeãn Troïng Taøi</v>
          </cell>
          <cell r="C64" t="str">
            <v>"</v>
          </cell>
          <cell r="D64">
            <v>445200</v>
          </cell>
          <cell r="E64">
            <v>1.25</v>
          </cell>
          <cell r="F64">
            <v>26</v>
          </cell>
          <cell r="G64">
            <v>32.5</v>
          </cell>
          <cell r="H64">
            <v>1765000</v>
          </cell>
          <cell r="I64">
            <v>22260</v>
          </cell>
          <cell r="J64">
            <v>4452</v>
          </cell>
          <cell r="K64">
            <v>1738288</v>
          </cell>
        </row>
        <row r="65">
          <cell r="B65" t="str">
            <v>Phan Phöôùc Lôïi</v>
          </cell>
          <cell r="C65" t="str">
            <v>"</v>
          </cell>
          <cell r="D65">
            <v>403200</v>
          </cell>
          <cell r="E65">
            <v>1.25</v>
          </cell>
          <cell r="F65">
            <v>26</v>
          </cell>
          <cell r="G65">
            <v>32.5</v>
          </cell>
          <cell r="H65">
            <v>1765000</v>
          </cell>
          <cell r="I65">
            <v>20160</v>
          </cell>
          <cell r="J65">
            <v>4032</v>
          </cell>
          <cell r="K65">
            <v>1740808</v>
          </cell>
        </row>
        <row r="66">
          <cell r="B66" t="str">
            <v>Phan Vaên Loäc</v>
          </cell>
          <cell r="C66" t="str">
            <v>CN ñieän</v>
          </cell>
          <cell r="D66">
            <v>403200</v>
          </cell>
          <cell r="E66">
            <v>0.9375</v>
          </cell>
          <cell r="F66">
            <v>26</v>
          </cell>
          <cell r="G66">
            <v>24.375</v>
          </cell>
          <cell r="H66">
            <v>1324000</v>
          </cell>
          <cell r="I66">
            <v>20160</v>
          </cell>
          <cell r="J66">
            <v>4032</v>
          </cell>
          <cell r="K66">
            <v>1299808</v>
          </cell>
        </row>
        <row r="67">
          <cell r="B67" t="str">
            <v>Löõ Thanh Ñieàn</v>
          </cell>
          <cell r="C67" t="str">
            <v>"</v>
          </cell>
          <cell r="D67">
            <v>403200</v>
          </cell>
          <cell r="E67">
            <v>0.9375</v>
          </cell>
          <cell r="F67">
            <v>26</v>
          </cell>
          <cell r="G67">
            <v>24.375</v>
          </cell>
          <cell r="H67">
            <v>1324000</v>
          </cell>
          <cell r="I67">
            <v>20160</v>
          </cell>
          <cell r="J67">
            <v>4032</v>
          </cell>
          <cell r="K67">
            <v>1299808</v>
          </cell>
        </row>
        <row r="68">
          <cell r="B68" t="str">
            <v>Traàn Thanh Sang</v>
          </cell>
          <cell r="C68" t="str">
            <v>"</v>
          </cell>
          <cell r="D68">
            <v>403200</v>
          </cell>
          <cell r="E68">
            <v>0.9375</v>
          </cell>
          <cell r="F68">
            <v>13</v>
          </cell>
          <cell r="H68">
            <v>628000</v>
          </cell>
          <cell r="I68">
            <v>20160</v>
          </cell>
          <cell r="J68">
            <v>4032</v>
          </cell>
          <cell r="K68">
            <v>603808</v>
          </cell>
        </row>
        <row r="69">
          <cell r="B69" t="str">
            <v>Coäng:</v>
          </cell>
          <cell r="D69">
            <v>5842200</v>
          </cell>
          <cell r="E69">
            <v>15.512499999999999</v>
          </cell>
          <cell r="G69">
            <v>359.7</v>
          </cell>
          <cell r="H69">
            <v>20491000</v>
          </cell>
          <cell r="I69">
            <v>292110</v>
          </cell>
          <cell r="J69">
            <v>58422</v>
          </cell>
          <cell r="K69">
            <v>20140468</v>
          </cell>
        </row>
      </sheetData>
      <sheetData sheetId="12" refreshError="1"/>
      <sheetData sheetId="13" refreshError="1">
        <row r="9">
          <cell r="B9" t="str">
            <v>Phuøng Höõu Thònh</v>
          </cell>
          <cell r="C9" t="str">
            <v>TP</v>
          </cell>
          <cell r="D9">
            <v>680400</v>
          </cell>
          <cell r="E9">
            <v>1.9</v>
          </cell>
          <cell r="F9">
            <v>26</v>
          </cell>
          <cell r="G9">
            <v>49.4</v>
          </cell>
          <cell r="H9">
            <v>3973000</v>
          </cell>
          <cell r="I9">
            <v>34020</v>
          </cell>
          <cell r="J9">
            <v>6804</v>
          </cell>
          <cell r="K9">
            <v>3932176</v>
          </cell>
        </row>
        <row r="10">
          <cell r="B10" t="str">
            <v>Huyønh Quang Vöõng</v>
          </cell>
          <cell r="C10" t="str">
            <v>PP</v>
          </cell>
          <cell r="D10">
            <v>646800</v>
          </cell>
          <cell r="E10">
            <v>1.75</v>
          </cell>
          <cell r="F10">
            <v>26</v>
          </cell>
          <cell r="G10">
            <v>45.5</v>
          </cell>
          <cell r="H10">
            <v>3659000</v>
          </cell>
          <cell r="I10">
            <v>32340</v>
          </cell>
          <cell r="J10">
            <v>6468</v>
          </cell>
          <cell r="K10">
            <v>3620192</v>
          </cell>
        </row>
        <row r="11">
          <cell r="B11" t="str">
            <v>Ng. Thò Kim Anh</v>
          </cell>
          <cell r="C11" t="str">
            <v>N.V</v>
          </cell>
          <cell r="D11">
            <v>354900</v>
          </cell>
          <cell r="E11">
            <v>1.3</v>
          </cell>
          <cell r="F11">
            <v>26</v>
          </cell>
          <cell r="G11">
            <v>33.800000000000004</v>
          </cell>
          <cell r="H11">
            <v>2717000</v>
          </cell>
          <cell r="I11">
            <v>17745</v>
          </cell>
          <cell r="J11">
            <v>3549</v>
          </cell>
          <cell r="K11">
            <v>2695706</v>
          </cell>
        </row>
        <row r="12">
          <cell r="B12" t="str">
            <v>Traàn Vieát Khoâi</v>
          </cell>
          <cell r="C12" t="str">
            <v>N.V</v>
          </cell>
          <cell r="D12">
            <v>415800</v>
          </cell>
          <cell r="E12">
            <v>0.9375</v>
          </cell>
          <cell r="F12">
            <v>26</v>
          </cell>
          <cell r="G12">
            <v>24.375</v>
          </cell>
          <cell r="H12">
            <v>1960000</v>
          </cell>
          <cell r="I12">
            <v>20790</v>
          </cell>
          <cell r="J12">
            <v>4158</v>
          </cell>
          <cell r="K12">
            <v>1935052</v>
          </cell>
        </row>
        <row r="13">
          <cell r="B13" t="str">
            <v>Mai Thaønh Chính</v>
          </cell>
          <cell r="C13" t="str">
            <v>N.V</v>
          </cell>
          <cell r="D13">
            <v>913500.00000000012</v>
          </cell>
          <cell r="E13">
            <v>1.25</v>
          </cell>
          <cell r="F13">
            <v>26</v>
          </cell>
          <cell r="G13">
            <v>32.5</v>
          </cell>
          <cell r="H13">
            <v>2613000</v>
          </cell>
          <cell r="I13">
            <v>45675.000000000007</v>
          </cell>
          <cell r="J13">
            <v>9135.0000000000018</v>
          </cell>
          <cell r="K13">
            <v>2558190</v>
          </cell>
        </row>
        <row r="14">
          <cell r="B14" t="str">
            <v>Traàn Phuù Thuûy</v>
          </cell>
          <cell r="C14" t="str">
            <v>V.tính</v>
          </cell>
          <cell r="D14">
            <v>415800</v>
          </cell>
          <cell r="E14">
            <v>1.2</v>
          </cell>
          <cell r="F14">
            <v>26</v>
          </cell>
          <cell r="G14">
            <v>31.2</v>
          </cell>
          <cell r="H14">
            <v>2508000</v>
          </cell>
          <cell r="I14">
            <v>20790</v>
          </cell>
          <cell r="J14">
            <v>4158</v>
          </cell>
          <cell r="K14">
            <v>2483052</v>
          </cell>
        </row>
        <row r="15">
          <cell r="B15" t="str">
            <v>Nguyeãn Vaên Hoaøng</v>
          </cell>
          <cell r="C15" t="str">
            <v>AÙp taûi</v>
          </cell>
          <cell r="D15">
            <v>348600</v>
          </cell>
          <cell r="E15">
            <v>1.1000000000000001</v>
          </cell>
          <cell r="F15">
            <v>26</v>
          </cell>
          <cell r="G15">
            <v>28.6</v>
          </cell>
          <cell r="H15">
            <v>2299000</v>
          </cell>
          <cell r="I15">
            <v>17430</v>
          </cell>
          <cell r="J15">
            <v>3486</v>
          </cell>
          <cell r="K15">
            <v>2278084</v>
          </cell>
        </row>
        <row r="16">
          <cell r="B16" t="str">
            <v>Huyønh Vaên Bình</v>
          </cell>
          <cell r="C16" t="str">
            <v>AÙp taûi</v>
          </cell>
          <cell r="D16">
            <v>516600</v>
          </cell>
          <cell r="E16">
            <v>1.1000000000000001</v>
          </cell>
          <cell r="F16">
            <v>26</v>
          </cell>
          <cell r="G16">
            <v>28.6</v>
          </cell>
          <cell r="H16">
            <v>2299000</v>
          </cell>
          <cell r="I16">
            <v>25830</v>
          </cell>
          <cell r="J16">
            <v>5166</v>
          </cell>
          <cell r="K16">
            <v>2268004</v>
          </cell>
        </row>
        <row r="17">
          <cell r="B17" t="str">
            <v>Tröông Thaønh Taâm</v>
          </cell>
          <cell r="C17" t="str">
            <v>AÙp taûi</v>
          </cell>
          <cell r="D17">
            <v>409500</v>
          </cell>
          <cell r="E17">
            <v>1.1000000000000001</v>
          </cell>
          <cell r="F17">
            <v>26</v>
          </cell>
          <cell r="G17">
            <v>28.6</v>
          </cell>
          <cell r="H17">
            <v>2299000</v>
          </cell>
          <cell r="I17">
            <v>20475</v>
          </cell>
          <cell r="J17">
            <v>4095</v>
          </cell>
          <cell r="K17">
            <v>2274430</v>
          </cell>
        </row>
        <row r="18">
          <cell r="B18" t="str">
            <v>Laâm Anh Duõng</v>
          </cell>
          <cell r="C18" t="str">
            <v>AÙp taûi</v>
          </cell>
          <cell r="D18">
            <v>409500</v>
          </cell>
          <cell r="E18">
            <v>1.1000000000000001</v>
          </cell>
          <cell r="F18">
            <v>26</v>
          </cell>
          <cell r="G18">
            <v>28.6</v>
          </cell>
          <cell r="H18">
            <v>2299000</v>
          </cell>
          <cell r="I18">
            <v>20475</v>
          </cell>
          <cell r="J18">
            <v>4095</v>
          </cell>
          <cell r="K18">
            <v>2274430</v>
          </cell>
        </row>
        <row r="19">
          <cell r="B19" t="str">
            <v>Huyønh Thieän Phong</v>
          </cell>
          <cell r="C19" t="str">
            <v>AÙp taûi</v>
          </cell>
          <cell r="D19">
            <v>352800</v>
          </cell>
          <cell r="E19">
            <v>1.1000000000000001</v>
          </cell>
          <cell r="F19">
            <v>26</v>
          </cell>
          <cell r="G19">
            <v>28.6</v>
          </cell>
          <cell r="H19">
            <v>2299000</v>
          </cell>
          <cell r="I19">
            <v>17640</v>
          </cell>
          <cell r="J19">
            <v>3528</v>
          </cell>
          <cell r="K19">
            <v>2277832</v>
          </cell>
        </row>
        <row r="20">
          <cell r="B20" t="str">
            <v>Vuõ Quoác Vieät</v>
          </cell>
          <cell r="C20" t="str">
            <v>AÙp taûi</v>
          </cell>
          <cell r="D20">
            <v>403200</v>
          </cell>
          <cell r="E20">
            <v>1.1000000000000001</v>
          </cell>
          <cell r="F20">
            <v>26</v>
          </cell>
          <cell r="G20">
            <v>28.6</v>
          </cell>
          <cell r="H20">
            <v>2299000</v>
          </cell>
          <cell r="I20">
            <v>20160</v>
          </cell>
          <cell r="J20">
            <v>4032</v>
          </cell>
          <cell r="K20">
            <v>2274808</v>
          </cell>
        </row>
        <row r="21">
          <cell r="B21" t="str">
            <v>Nguyeãn Phöông Phan</v>
          </cell>
          <cell r="C21" t="str">
            <v>AÙp taûi</v>
          </cell>
          <cell r="D21">
            <v>426300.00000000006</v>
          </cell>
          <cell r="E21">
            <v>1.1000000000000001</v>
          </cell>
          <cell r="F21">
            <v>26</v>
          </cell>
          <cell r="G21">
            <v>28.6</v>
          </cell>
          <cell r="H21">
            <v>2299000</v>
          </cell>
          <cell r="I21">
            <v>21315.000000000004</v>
          </cell>
          <cell r="J21">
            <v>4263.0000000000009</v>
          </cell>
          <cell r="K21">
            <v>2273422</v>
          </cell>
        </row>
        <row r="22">
          <cell r="B22" t="str">
            <v>Nguyeãn Quoác Maïnh</v>
          </cell>
          <cell r="C22" t="str">
            <v>AÙp taûi</v>
          </cell>
          <cell r="D22">
            <v>373800</v>
          </cell>
          <cell r="E22">
            <v>1.1000000000000001</v>
          </cell>
          <cell r="F22">
            <v>26</v>
          </cell>
          <cell r="G22">
            <v>28.6</v>
          </cell>
          <cell r="H22">
            <v>2299000</v>
          </cell>
          <cell r="I22">
            <v>18690</v>
          </cell>
          <cell r="J22">
            <v>3738</v>
          </cell>
          <cell r="K22">
            <v>2276572</v>
          </cell>
        </row>
        <row r="23">
          <cell r="B23" t="str">
            <v>Nguyeãn Xuaân Trieäu</v>
          </cell>
          <cell r="C23" t="str">
            <v>"</v>
          </cell>
          <cell r="D23">
            <v>424200</v>
          </cell>
          <cell r="E23">
            <v>1.1000000000000001</v>
          </cell>
          <cell r="F23">
            <v>26</v>
          </cell>
          <cell r="G23">
            <v>28.6</v>
          </cell>
          <cell r="H23">
            <v>2299000</v>
          </cell>
          <cell r="I23">
            <v>21210</v>
          </cell>
          <cell r="J23">
            <v>4242</v>
          </cell>
          <cell r="K23">
            <v>2273548</v>
          </cell>
        </row>
        <row r="24">
          <cell r="B24" t="str">
            <v>Laâm Minh Vöông</v>
          </cell>
          <cell r="C24" t="str">
            <v>T.CN</v>
          </cell>
          <cell r="D24">
            <v>718200</v>
          </cell>
          <cell r="E24">
            <v>1.6</v>
          </cell>
          <cell r="F24">
            <v>26</v>
          </cell>
          <cell r="G24">
            <v>41.6</v>
          </cell>
          <cell r="H24">
            <v>3346000</v>
          </cell>
          <cell r="I24">
            <v>35910</v>
          </cell>
          <cell r="J24">
            <v>7182</v>
          </cell>
          <cell r="K24">
            <v>3302908</v>
          </cell>
        </row>
        <row r="25">
          <cell r="B25" t="str">
            <v>Leâ Thaønh Líp</v>
          </cell>
          <cell r="C25" t="str">
            <v>KT</v>
          </cell>
          <cell r="D25">
            <v>415800</v>
          </cell>
          <cell r="E25">
            <v>1.55</v>
          </cell>
          <cell r="F25">
            <v>26</v>
          </cell>
          <cell r="G25">
            <v>40.300000000000004</v>
          </cell>
          <cell r="H25">
            <v>3240000</v>
          </cell>
          <cell r="I25">
            <v>20790</v>
          </cell>
          <cell r="J25">
            <v>4158</v>
          </cell>
          <cell r="K25">
            <v>3215052</v>
          </cell>
        </row>
        <row r="26">
          <cell r="B26" t="str">
            <v>Voõ Hoaøng Trung</v>
          </cell>
          <cell r="C26" t="str">
            <v>NV</v>
          </cell>
          <cell r="D26">
            <v>476700</v>
          </cell>
          <cell r="E26">
            <v>1.25</v>
          </cell>
          <cell r="F26">
            <v>26</v>
          </cell>
          <cell r="G26">
            <v>32.5</v>
          </cell>
          <cell r="H26">
            <v>2613000</v>
          </cell>
          <cell r="I26">
            <v>23835</v>
          </cell>
          <cell r="J26">
            <v>4767</v>
          </cell>
          <cell r="K26">
            <v>2584398</v>
          </cell>
        </row>
        <row r="27">
          <cell r="B27" t="str">
            <v>Voõ Thoáng Nhaát</v>
          </cell>
          <cell r="C27" t="str">
            <v>Thuû quyõ</v>
          </cell>
          <cell r="D27">
            <v>451500</v>
          </cell>
          <cell r="E27">
            <v>1.2</v>
          </cell>
          <cell r="F27">
            <v>26</v>
          </cell>
          <cell r="G27">
            <v>31.2</v>
          </cell>
          <cell r="H27">
            <v>2508000</v>
          </cell>
          <cell r="I27">
            <v>22575</v>
          </cell>
          <cell r="J27">
            <v>4515</v>
          </cell>
          <cell r="K27">
            <v>2480910</v>
          </cell>
        </row>
        <row r="28">
          <cell r="B28" t="str">
            <v>Voõ Hoàng Taâm</v>
          </cell>
          <cell r="C28" t="str">
            <v>Thuû quyõ</v>
          </cell>
          <cell r="D28">
            <v>403200</v>
          </cell>
          <cell r="E28">
            <v>1.2</v>
          </cell>
          <cell r="F28">
            <v>26</v>
          </cell>
          <cell r="G28">
            <v>31.2</v>
          </cell>
          <cell r="H28">
            <v>2508000</v>
          </cell>
          <cell r="I28">
            <v>20160</v>
          </cell>
          <cell r="J28">
            <v>4032</v>
          </cell>
          <cell r="K28">
            <v>2483808</v>
          </cell>
        </row>
        <row r="29">
          <cell r="B29" t="str">
            <v>Nguyeãn Thaønh Thaân</v>
          </cell>
          <cell r="C29" t="str">
            <v>KT</v>
          </cell>
          <cell r="D29">
            <v>348600</v>
          </cell>
          <cell r="E29">
            <v>1.2</v>
          </cell>
          <cell r="F29">
            <v>26</v>
          </cell>
          <cell r="G29">
            <v>31.2</v>
          </cell>
          <cell r="H29">
            <v>2508000</v>
          </cell>
          <cell r="I29">
            <v>17430</v>
          </cell>
          <cell r="J29">
            <v>3486</v>
          </cell>
          <cell r="K29">
            <v>2487084</v>
          </cell>
        </row>
        <row r="30">
          <cell r="B30" t="str">
            <v>Ñinh Ñöùc Chính</v>
          </cell>
          <cell r="C30" t="str">
            <v>L.Xe</v>
          </cell>
          <cell r="D30">
            <v>445200</v>
          </cell>
          <cell r="E30">
            <v>1.1000000000000001</v>
          </cell>
          <cell r="F30">
            <v>26</v>
          </cell>
          <cell r="G30">
            <v>28.6</v>
          </cell>
          <cell r="H30">
            <v>2299000</v>
          </cell>
          <cell r="I30">
            <v>22260</v>
          </cell>
          <cell r="J30">
            <v>4452</v>
          </cell>
          <cell r="K30">
            <v>2272288</v>
          </cell>
        </row>
        <row r="31">
          <cell r="B31" t="str">
            <v>Ng. Ñaêng Khoa</v>
          </cell>
          <cell r="C31" t="str">
            <v>NV.</v>
          </cell>
          <cell r="D31">
            <v>352800</v>
          </cell>
          <cell r="E31">
            <v>1.1000000000000001</v>
          </cell>
          <cell r="F31">
            <v>26</v>
          </cell>
          <cell r="G31">
            <v>28.6</v>
          </cell>
          <cell r="H31">
            <v>2299000</v>
          </cell>
          <cell r="I31">
            <v>17640</v>
          </cell>
          <cell r="J31">
            <v>3528</v>
          </cell>
          <cell r="K31">
            <v>2277832</v>
          </cell>
        </row>
        <row r="32">
          <cell r="B32" t="str">
            <v>Nguyeãn Phuù Quoác</v>
          </cell>
          <cell r="C32" t="str">
            <v xml:space="preserve">NV </v>
          </cell>
          <cell r="D32">
            <v>352800</v>
          </cell>
          <cell r="E32">
            <v>0.89999999999999991</v>
          </cell>
          <cell r="F32">
            <v>26</v>
          </cell>
          <cell r="G32">
            <v>23.4</v>
          </cell>
          <cell r="H32">
            <v>1881000</v>
          </cell>
          <cell r="I32">
            <v>17640</v>
          </cell>
          <cell r="J32">
            <v>3528</v>
          </cell>
          <cell r="K32">
            <v>1859832</v>
          </cell>
        </row>
        <row r="33">
          <cell r="E33">
            <v>29.337500000000002</v>
          </cell>
          <cell r="G33">
            <v>762.77500000000032</v>
          </cell>
          <cell r="H33">
            <v>61323000</v>
          </cell>
        </row>
        <row r="34">
          <cell r="B34" t="str">
            <v>Nguyeãn Thoaïi Oanh</v>
          </cell>
          <cell r="C34" t="str">
            <v>TB.QLCL</v>
          </cell>
          <cell r="D34">
            <v>558599.99999999988</v>
          </cell>
          <cell r="E34">
            <v>1.75</v>
          </cell>
          <cell r="F34">
            <v>26</v>
          </cell>
          <cell r="G34">
            <v>45.5</v>
          </cell>
          <cell r="H34">
            <v>3658000</v>
          </cell>
          <cell r="I34">
            <v>27929.999999999996</v>
          </cell>
          <cell r="J34">
            <v>5585.9999999999991</v>
          </cell>
          <cell r="K34">
            <v>3624484</v>
          </cell>
        </row>
        <row r="35">
          <cell r="B35" t="str">
            <v>Phaïm Vaên Haûi</v>
          </cell>
          <cell r="C35" t="str">
            <v>BQL-CL</v>
          </cell>
          <cell r="D35">
            <v>552300.00000000012</v>
          </cell>
          <cell r="E35">
            <v>1.25</v>
          </cell>
          <cell r="F35">
            <v>26</v>
          </cell>
          <cell r="G35">
            <v>32.5</v>
          </cell>
          <cell r="H35">
            <v>2613000</v>
          </cell>
          <cell r="I35">
            <v>27615.000000000007</v>
          </cell>
          <cell r="J35">
            <v>5523.0000000000009</v>
          </cell>
          <cell r="K35">
            <v>2579862</v>
          </cell>
        </row>
        <row r="36">
          <cell r="B36" t="str">
            <v>Nguyeãn Höõu Hieáu</v>
          </cell>
          <cell r="C36" t="str">
            <v>"</v>
          </cell>
          <cell r="D36">
            <v>451500</v>
          </cell>
          <cell r="E36">
            <v>1.25</v>
          </cell>
          <cell r="F36">
            <v>26</v>
          </cell>
          <cell r="G36">
            <v>32.5</v>
          </cell>
          <cell r="H36">
            <v>2613000</v>
          </cell>
          <cell r="I36">
            <v>22575</v>
          </cell>
          <cell r="J36">
            <v>4515</v>
          </cell>
          <cell r="K36">
            <v>2585910</v>
          </cell>
        </row>
        <row r="37">
          <cell r="B37" t="str">
            <v>Quyõ Cty buø 30% haûi ñi hoïc (T.11+t12)</v>
          </cell>
          <cell r="H37">
            <v>737000</v>
          </cell>
          <cell r="K37">
            <v>737000</v>
          </cell>
        </row>
        <row r="38">
          <cell r="E38">
            <v>4.25</v>
          </cell>
          <cell r="G38">
            <v>110.5</v>
          </cell>
          <cell r="H38">
            <v>9621000</v>
          </cell>
        </row>
        <row r="39">
          <cell r="B39" t="str">
            <v>Coäng</v>
          </cell>
          <cell r="D39">
            <v>12618900</v>
          </cell>
          <cell r="E39">
            <v>33.587500000000006</v>
          </cell>
          <cell r="G39">
            <v>873.27500000000032</v>
          </cell>
          <cell r="H39">
            <v>70944000</v>
          </cell>
          <cell r="I39">
            <v>630945</v>
          </cell>
          <cell r="J39">
            <v>126189</v>
          </cell>
          <cell r="K39">
            <v>70186866</v>
          </cell>
        </row>
      </sheetData>
      <sheetData sheetId="14" refreshError="1">
        <row r="10">
          <cell r="B10" t="str">
            <v>Phaïm Minh Taâm</v>
          </cell>
          <cell r="C10" t="str">
            <v>Tr . P</v>
          </cell>
          <cell r="D10">
            <v>579600</v>
          </cell>
          <cell r="E10">
            <v>1.75</v>
          </cell>
          <cell r="F10">
            <v>27</v>
          </cell>
          <cell r="G10">
            <v>47.25</v>
          </cell>
          <cell r="H10">
            <v>2364000</v>
          </cell>
        </row>
        <row r="11">
          <cell r="B11" t="str">
            <v>Traàn Tuaán Vieät</v>
          </cell>
          <cell r="C11" t="str">
            <v xml:space="preserve"> P . P</v>
          </cell>
          <cell r="D11">
            <v>539700</v>
          </cell>
          <cell r="E11">
            <v>1.6</v>
          </cell>
          <cell r="F11">
            <v>27</v>
          </cell>
          <cell r="G11">
            <v>43.2</v>
          </cell>
          <cell r="H11">
            <v>2161000</v>
          </cell>
        </row>
        <row r="12">
          <cell r="B12" t="str">
            <v>Traàn Thò Lan Höông</v>
          </cell>
          <cell r="C12" t="str">
            <v>P. P</v>
          </cell>
          <cell r="D12">
            <v>558599.99999999988</v>
          </cell>
          <cell r="E12">
            <v>1.6</v>
          </cell>
          <cell r="F12">
            <v>27</v>
          </cell>
          <cell r="G12">
            <v>43.2</v>
          </cell>
          <cell r="H12">
            <v>2161000</v>
          </cell>
        </row>
        <row r="13">
          <cell r="B13" t="str">
            <v>Ñoã Phöôùc Hieáu</v>
          </cell>
          <cell r="C13" t="str">
            <v xml:space="preserve"> T K</v>
          </cell>
          <cell r="D13">
            <v>451500</v>
          </cell>
          <cell r="E13">
            <v>1.25</v>
          </cell>
          <cell r="F13">
            <v>27</v>
          </cell>
          <cell r="G13">
            <v>33.75</v>
          </cell>
          <cell r="H13">
            <v>1688000</v>
          </cell>
        </row>
        <row r="14">
          <cell r="B14" t="str">
            <v>Traàn Thò Thaïch</v>
          </cell>
          <cell r="C14" t="str">
            <v>TT.PT</v>
          </cell>
          <cell r="D14">
            <v>451500</v>
          </cell>
          <cell r="E14">
            <v>1.31</v>
          </cell>
          <cell r="F14">
            <v>26</v>
          </cell>
          <cell r="G14">
            <v>34.06</v>
          </cell>
          <cell r="H14">
            <v>1704000</v>
          </cell>
        </row>
        <row r="15">
          <cell r="B15" t="str">
            <v>Nguyeãn Thò Hoàng</v>
          </cell>
          <cell r="C15" t="str">
            <v>PT</v>
          </cell>
          <cell r="D15">
            <v>451500</v>
          </cell>
          <cell r="E15">
            <v>1.26</v>
          </cell>
          <cell r="F15">
            <v>26</v>
          </cell>
          <cell r="G15">
            <v>32.76</v>
          </cell>
          <cell r="H15">
            <v>1639000</v>
          </cell>
        </row>
        <row r="16">
          <cell r="B16" t="str">
            <v>Taï Thò Hieàn</v>
          </cell>
          <cell r="C16" t="str">
            <v>"</v>
          </cell>
          <cell r="D16">
            <v>451500</v>
          </cell>
          <cell r="E16">
            <v>1.26</v>
          </cell>
          <cell r="F16">
            <v>25</v>
          </cell>
          <cell r="G16">
            <v>31.5</v>
          </cell>
          <cell r="H16">
            <v>1576000</v>
          </cell>
        </row>
        <row r="17">
          <cell r="B17" t="str">
            <v>Traàn Thò Hoàng Vaân</v>
          </cell>
          <cell r="C17" t="str">
            <v>"</v>
          </cell>
          <cell r="D17">
            <v>451500</v>
          </cell>
          <cell r="E17">
            <v>1.26</v>
          </cell>
          <cell r="F17">
            <v>27</v>
          </cell>
          <cell r="G17">
            <v>34.020000000000003</v>
          </cell>
          <cell r="H17">
            <v>1702000</v>
          </cell>
        </row>
        <row r="18">
          <cell r="B18" t="str">
            <v>Nguyeãn Thanh Laâm</v>
          </cell>
          <cell r="C18" t="str">
            <v>"</v>
          </cell>
          <cell r="D18">
            <v>451500</v>
          </cell>
          <cell r="E18">
            <v>1.25</v>
          </cell>
          <cell r="F18">
            <v>27</v>
          </cell>
          <cell r="G18">
            <v>33.75</v>
          </cell>
          <cell r="H18">
            <v>1688000</v>
          </cell>
        </row>
        <row r="19">
          <cell r="B19" t="str">
            <v>Leâ Vaên Theâm</v>
          </cell>
          <cell r="C19" t="str">
            <v>PT</v>
          </cell>
          <cell r="D19">
            <v>409500</v>
          </cell>
          <cell r="E19">
            <v>1.26</v>
          </cell>
          <cell r="F19">
            <v>27</v>
          </cell>
          <cell r="G19">
            <v>34.020000000000003</v>
          </cell>
          <cell r="H19">
            <v>1702000</v>
          </cell>
        </row>
        <row r="20">
          <cell r="B20" t="str">
            <v>Ñinh Kieân Giang</v>
          </cell>
          <cell r="C20" t="str">
            <v>KC</v>
          </cell>
          <cell r="D20">
            <v>451500</v>
          </cell>
          <cell r="E20">
            <v>1.25</v>
          </cell>
          <cell r="F20">
            <v>26</v>
          </cell>
          <cell r="G20">
            <v>32.5</v>
          </cell>
          <cell r="H20">
            <v>1626000</v>
          </cell>
        </row>
        <row r="21">
          <cell r="B21" t="str">
            <v>Phan Hoàng Huyønh</v>
          </cell>
          <cell r="D21">
            <v>451500</v>
          </cell>
          <cell r="E21">
            <v>1.25</v>
          </cell>
          <cell r="F21">
            <v>26</v>
          </cell>
          <cell r="G21">
            <v>32.5</v>
          </cell>
          <cell r="H21">
            <v>1704000</v>
          </cell>
        </row>
        <row r="22">
          <cell r="B22" t="str">
            <v>Trònh Myõ Trang</v>
          </cell>
          <cell r="D22">
            <v>451500</v>
          </cell>
          <cell r="E22">
            <v>1.25</v>
          </cell>
          <cell r="F22">
            <v>26</v>
          </cell>
          <cell r="G22">
            <v>32.5</v>
          </cell>
          <cell r="H22">
            <v>1626000</v>
          </cell>
        </row>
        <row r="23">
          <cell r="B23" t="str">
            <v>Vuõ Thanh Tuøng</v>
          </cell>
          <cell r="D23">
            <v>415800</v>
          </cell>
          <cell r="E23">
            <v>1.25</v>
          </cell>
          <cell r="F23">
            <v>19</v>
          </cell>
          <cell r="G23">
            <v>23.75</v>
          </cell>
          <cell r="H23">
            <v>1188000</v>
          </cell>
        </row>
        <row r="24">
          <cell r="B24" t="str">
            <v>Phan Thò Löïu</v>
          </cell>
          <cell r="D24">
            <v>415800</v>
          </cell>
          <cell r="E24">
            <v>1.25</v>
          </cell>
          <cell r="F24">
            <v>26</v>
          </cell>
          <cell r="G24">
            <v>32.5</v>
          </cell>
          <cell r="H24">
            <v>1626000</v>
          </cell>
        </row>
        <row r="25">
          <cell r="B25" t="str">
            <v>Ng. Thò Hoàng Hueá</v>
          </cell>
          <cell r="D25">
            <v>451500</v>
          </cell>
          <cell r="E25">
            <v>1.25</v>
          </cell>
          <cell r="F25">
            <v>26</v>
          </cell>
          <cell r="G25">
            <v>32.5</v>
          </cell>
          <cell r="H25">
            <v>1626000</v>
          </cell>
        </row>
        <row r="26">
          <cell r="B26" t="str">
            <v xml:space="preserve">Tröông Myõ Tieân </v>
          </cell>
          <cell r="D26">
            <v>451500</v>
          </cell>
          <cell r="E26">
            <v>1.25</v>
          </cell>
          <cell r="F26">
            <v>25</v>
          </cell>
          <cell r="G26">
            <v>31.25</v>
          </cell>
          <cell r="H26">
            <v>1563000</v>
          </cell>
        </row>
        <row r="27">
          <cell r="B27" t="str">
            <v>Buøi Anh Ñöùc</v>
          </cell>
          <cell r="C27" t="str">
            <v>T T CL</v>
          </cell>
          <cell r="D27">
            <v>451500</v>
          </cell>
          <cell r="E27">
            <v>1.3</v>
          </cell>
          <cell r="F27">
            <v>27</v>
          </cell>
          <cell r="G27">
            <v>35.1</v>
          </cell>
          <cell r="H27">
            <v>1756000</v>
          </cell>
        </row>
        <row r="28">
          <cell r="B28" t="str">
            <v>Thaùi Hoaøng Heân</v>
          </cell>
          <cell r="D28">
            <v>426300.00000000006</v>
          </cell>
          <cell r="E28">
            <v>1.25</v>
          </cell>
          <cell r="F28">
            <v>27</v>
          </cell>
          <cell r="G28">
            <v>33.75</v>
          </cell>
          <cell r="H28">
            <v>1688000</v>
          </cell>
        </row>
        <row r="29">
          <cell r="B29" t="str">
            <v>Nguyeãn Thanh Ñieàn</v>
          </cell>
          <cell r="D29">
            <v>451500</v>
          </cell>
          <cell r="E29">
            <v>1.25</v>
          </cell>
          <cell r="F29">
            <v>27</v>
          </cell>
          <cell r="G29">
            <v>33.75</v>
          </cell>
          <cell r="H29">
            <v>1688000</v>
          </cell>
        </row>
        <row r="30">
          <cell r="B30" t="str">
            <v>Ñinh Quang Sôn</v>
          </cell>
          <cell r="D30">
            <v>426300.00000000006</v>
          </cell>
          <cell r="E30">
            <v>1.25</v>
          </cell>
          <cell r="F30">
            <v>26</v>
          </cell>
          <cell r="G30">
            <v>32.5</v>
          </cell>
          <cell r="H30">
            <v>1626000</v>
          </cell>
        </row>
        <row r="31">
          <cell r="B31" t="str">
            <v>Phuøng Minh Lyù</v>
          </cell>
          <cell r="C31" t="str">
            <v>TTKC</v>
          </cell>
          <cell r="D31">
            <v>451500</v>
          </cell>
          <cell r="E31">
            <v>1.31</v>
          </cell>
          <cell r="F31">
            <v>26</v>
          </cell>
          <cell r="G31">
            <v>34.06</v>
          </cell>
          <cell r="H31">
            <v>1626000</v>
          </cell>
        </row>
        <row r="32">
          <cell r="B32" t="str">
            <v>Traàn Vaên Uùt</v>
          </cell>
          <cell r="C32" t="str">
            <v>NVCL</v>
          </cell>
          <cell r="D32">
            <v>415800</v>
          </cell>
          <cell r="E32">
            <v>0.9375</v>
          </cell>
          <cell r="F32">
            <v>26</v>
          </cell>
          <cell r="G32">
            <v>24.375</v>
          </cell>
          <cell r="H32">
            <v>1219000</v>
          </cell>
        </row>
        <row r="33">
          <cell r="B33" t="str">
            <v>Traàn Thaùi Böûu</v>
          </cell>
          <cell r="C33" t="str">
            <v>NVPT</v>
          </cell>
          <cell r="D33">
            <v>415800</v>
          </cell>
          <cell r="E33">
            <v>0.9375</v>
          </cell>
          <cell r="F33">
            <v>27</v>
          </cell>
          <cell r="G33">
            <v>25.3125</v>
          </cell>
          <cell r="H33">
            <v>1266000</v>
          </cell>
        </row>
        <row r="34">
          <cell r="B34" t="str">
            <v>Mai Vaên Haûi</v>
          </cell>
          <cell r="D34">
            <v>403200</v>
          </cell>
          <cell r="E34">
            <v>1.2</v>
          </cell>
          <cell r="F34">
            <v>25</v>
          </cell>
          <cell r="G34">
            <v>30</v>
          </cell>
          <cell r="H34">
            <v>1167000</v>
          </cell>
        </row>
        <row r="35">
          <cell r="B35" t="str">
            <v>Nguyeãn Vaên Uùt</v>
          </cell>
          <cell r="C35" t="str">
            <v>NVVTPL</v>
          </cell>
          <cell r="D35">
            <v>445200</v>
          </cell>
          <cell r="E35">
            <v>0.86249999999999993</v>
          </cell>
          <cell r="F35">
            <v>1</v>
          </cell>
          <cell r="G35">
            <v>0.86249999999999993</v>
          </cell>
          <cell r="H35">
            <v>473000</v>
          </cell>
        </row>
        <row r="36">
          <cell r="B36" t="str">
            <v>Ng. Thaønh Thaéng A</v>
          </cell>
          <cell r="C36" t="str">
            <v>"</v>
          </cell>
          <cell r="D36">
            <v>403200</v>
          </cell>
          <cell r="E36">
            <v>1.1499999999999999</v>
          </cell>
          <cell r="F36">
            <v>27</v>
          </cell>
          <cell r="G36">
            <v>31.049999999999997</v>
          </cell>
          <cell r="H36">
            <v>1208000</v>
          </cell>
        </row>
        <row r="37">
          <cell r="B37" t="str">
            <v>Ng. Thaønh Thaéng B</v>
          </cell>
          <cell r="C37" t="str">
            <v>TT VTPL</v>
          </cell>
          <cell r="D37">
            <v>386399.99999999994</v>
          </cell>
          <cell r="E37">
            <v>1.2</v>
          </cell>
          <cell r="F37">
            <v>27</v>
          </cell>
          <cell r="G37">
            <v>32.4</v>
          </cell>
          <cell r="H37">
            <v>1208000</v>
          </cell>
        </row>
        <row r="38">
          <cell r="B38" t="str">
            <v>Hoà Hoaøng Taëng</v>
          </cell>
          <cell r="C38" t="str">
            <v>NVVTPL</v>
          </cell>
          <cell r="D38">
            <v>415800</v>
          </cell>
          <cell r="E38">
            <v>1.1499999999999999</v>
          </cell>
          <cell r="F38">
            <v>27</v>
          </cell>
          <cell r="G38">
            <v>31.049999999999997</v>
          </cell>
          <cell r="H38">
            <v>906000</v>
          </cell>
        </row>
        <row r="39">
          <cell r="B39" t="str">
            <v>Ng. Thò Thu Vaân</v>
          </cell>
          <cell r="C39" t="str">
            <v>"</v>
          </cell>
          <cell r="D39">
            <v>403200</v>
          </cell>
          <cell r="E39">
            <v>1.1499999999999999</v>
          </cell>
          <cell r="F39">
            <v>26</v>
          </cell>
          <cell r="G39">
            <v>29.9</v>
          </cell>
          <cell r="H39">
            <v>1163000</v>
          </cell>
        </row>
        <row r="40">
          <cell r="B40" t="str">
            <v>Ng. Thò Kim Hueä</v>
          </cell>
          <cell r="C40" t="str">
            <v>"</v>
          </cell>
          <cell r="D40">
            <v>403200</v>
          </cell>
          <cell r="E40">
            <v>1.1499999999999999</v>
          </cell>
          <cell r="F40">
            <v>14</v>
          </cell>
          <cell r="G40">
            <v>16.099999999999998</v>
          </cell>
          <cell r="H40">
            <v>1387000</v>
          </cell>
        </row>
        <row r="41">
          <cell r="B41" t="str">
            <v>Trònh Ngoïc Toaøn</v>
          </cell>
          <cell r="C41" t="str">
            <v>"</v>
          </cell>
          <cell r="D41">
            <v>451500</v>
          </cell>
          <cell r="E41">
            <v>1.1499999999999999</v>
          </cell>
          <cell r="F41">
            <v>14</v>
          </cell>
          <cell r="G41">
            <v>16.099999999999998</v>
          </cell>
          <cell r="H41">
            <v>626000</v>
          </cell>
        </row>
        <row r="42">
          <cell r="B42" t="str">
            <v>Traàn Duõng Thaéng</v>
          </cell>
          <cell r="E42">
            <v>1.25</v>
          </cell>
          <cell r="F42">
            <v>12</v>
          </cell>
          <cell r="G42">
            <v>15</v>
          </cell>
          <cell r="H42">
            <v>750000</v>
          </cell>
        </row>
        <row r="43">
          <cell r="B43" t="str">
            <v>Löông nghæ pheùp + hoïc caùc toå</v>
          </cell>
          <cell r="H43">
            <v>2127000</v>
          </cell>
        </row>
        <row r="44">
          <cell r="B44" t="str">
            <v>Cuïm löông pheùp T.10</v>
          </cell>
        </row>
        <row r="45">
          <cell r="B45" t="str">
            <v>Quyõ phoøng</v>
          </cell>
          <cell r="H45">
            <v>384000</v>
          </cell>
        </row>
      </sheetData>
      <sheetData sheetId="15" refreshError="1">
        <row r="11">
          <cell r="B11" t="str">
            <v>Leâ Vaên Boán</v>
          </cell>
          <cell r="C11" t="str">
            <v>QÑPX</v>
          </cell>
          <cell r="D11">
            <v>783300</v>
          </cell>
          <cell r="E11">
            <v>1.75</v>
          </cell>
          <cell r="F11">
            <v>26</v>
          </cell>
          <cell r="G11">
            <v>45.5</v>
          </cell>
          <cell r="H11">
            <v>2338000</v>
          </cell>
        </row>
        <row r="12">
          <cell r="B12" t="str">
            <v>Leâ Vieät Nam</v>
          </cell>
          <cell r="C12" t="str">
            <v>CBKT</v>
          </cell>
          <cell r="D12">
            <v>415800</v>
          </cell>
          <cell r="E12">
            <v>1.4</v>
          </cell>
          <cell r="F12">
            <v>26</v>
          </cell>
          <cell r="G12">
            <v>36.4</v>
          </cell>
          <cell r="H12">
            <v>1871000</v>
          </cell>
        </row>
        <row r="13">
          <cell r="B13" t="str">
            <v>Döông Kim Chi</v>
          </cell>
          <cell r="C13" t="str">
            <v>TK-PX</v>
          </cell>
          <cell r="D13">
            <v>399000</v>
          </cell>
          <cell r="E13">
            <v>1.2</v>
          </cell>
          <cell r="F13">
            <v>26</v>
          </cell>
          <cell r="G13">
            <v>31.2</v>
          </cell>
          <cell r="H13">
            <v>1604000</v>
          </cell>
        </row>
        <row r="14">
          <cell r="B14" t="str">
            <v>Nguyeãn Khaéc Haûi</v>
          </cell>
          <cell r="C14" t="str">
            <v>CK.V/h</v>
          </cell>
          <cell r="D14">
            <v>632100</v>
          </cell>
          <cell r="E14">
            <v>1.25</v>
          </cell>
          <cell r="F14">
            <v>26</v>
          </cell>
          <cell r="G14">
            <v>32.5</v>
          </cell>
          <cell r="H14">
            <v>1671000</v>
          </cell>
        </row>
        <row r="15">
          <cell r="B15" t="str">
            <v>Leâ Minh  Ñöùc</v>
          </cell>
          <cell r="C15" t="str">
            <v>TT.Khoan</v>
          </cell>
          <cell r="D15">
            <v>491400.00000000006</v>
          </cell>
          <cell r="E15">
            <v>1.35</v>
          </cell>
          <cell r="F15">
            <v>26</v>
          </cell>
          <cell r="G15">
            <v>35.1</v>
          </cell>
          <cell r="H15">
            <v>1804000</v>
          </cell>
        </row>
        <row r="16">
          <cell r="B16" t="str">
            <v>Giang Vaên Tónh</v>
          </cell>
          <cell r="C16" t="str">
            <v>Thôï khoan</v>
          </cell>
          <cell r="D16">
            <v>470400.00000000006</v>
          </cell>
          <cell r="E16">
            <v>1.3</v>
          </cell>
          <cell r="F16">
            <v>26</v>
          </cell>
          <cell r="G16">
            <v>33.800000000000004</v>
          </cell>
          <cell r="H16">
            <v>1738000</v>
          </cell>
        </row>
        <row r="17">
          <cell r="B17" t="str">
            <v>Trình Xuaân Baûng</v>
          </cell>
          <cell r="C17" t="str">
            <v>"</v>
          </cell>
          <cell r="D17">
            <v>470400.00000000006</v>
          </cell>
          <cell r="E17">
            <v>1.3</v>
          </cell>
          <cell r="F17">
            <v>26</v>
          </cell>
          <cell r="G17">
            <v>33.800000000000004</v>
          </cell>
          <cell r="H17">
            <v>1738000</v>
          </cell>
        </row>
        <row r="18">
          <cell r="B18" t="str">
            <v>Buøi Trung Tuaán</v>
          </cell>
          <cell r="C18" t="str">
            <v>"</v>
          </cell>
          <cell r="D18">
            <v>470400.00000000006</v>
          </cell>
          <cell r="E18">
            <v>1.3</v>
          </cell>
          <cell r="F18">
            <v>26</v>
          </cell>
          <cell r="G18">
            <v>33.800000000000004</v>
          </cell>
          <cell r="H18">
            <v>1738000</v>
          </cell>
        </row>
        <row r="19">
          <cell r="B19" t="str">
            <v>Phaïm Ngoïc Sôn</v>
          </cell>
          <cell r="C19" t="str">
            <v>"</v>
          </cell>
          <cell r="D19">
            <v>470400.00000000006</v>
          </cell>
          <cell r="E19">
            <v>1.3</v>
          </cell>
          <cell r="F19">
            <v>26</v>
          </cell>
          <cell r="G19">
            <v>33.800000000000004</v>
          </cell>
          <cell r="H19">
            <v>1738000</v>
          </cell>
        </row>
        <row r="20">
          <cell r="B20" t="str">
            <v>Ng. Ñình Nguyeân</v>
          </cell>
          <cell r="C20" t="str">
            <v>"</v>
          </cell>
          <cell r="D20">
            <v>426300.00000000006</v>
          </cell>
          <cell r="E20">
            <v>1.3</v>
          </cell>
          <cell r="F20">
            <v>26</v>
          </cell>
          <cell r="G20">
            <v>33.800000000000004</v>
          </cell>
          <cell r="H20">
            <v>1738000</v>
          </cell>
        </row>
        <row r="21">
          <cell r="B21" t="str">
            <v>Laïi Vaên Huyeân</v>
          </cell>
          <cell r="C21" t="str">
            <v>TT Pha boå</v>
          </cell>
          <cell r="D21">
            <v>491399.99999999994</v>
          </cell>
          <cell r="E21">
            <v>1.2</v>
          </cell>
          <cell r="F21">
            <v>26</v>
          </cell>
          <cell r="G21">
            <v>31.2</v>
          </cell>
          <cell r="H21">
            <v>1604000</v>
          </cell>
        </row>
        <row r="22">
          <cell r="B22" t="str">
            <v>Nguyeãn vaên Chaët</v>
          </cell>
          <cell r="C22" t="str">
            <v>CN Pha boå</v>
          </cell>
          <cell r="D22">
            <v>470400.00000000006</v>
          </cell>
          <cell r="E22">
            <v>1.1499999999999999</v>
          </cell>
          <cell r="F22">
            <v>26</v>
          </cell>
          <cell r="G22">
            <v>29.9</v>
          </cell>
          <cell r="H22">
            <v>1537000</v>
          </cell>
        </row>
        <row r="23">
          <cell r="B23" t="str">
            <v>Chaâu Thanh Lieâm</v>
          </cell>
          <cell r="C23" t="str">
            <v>"</v>
          </cell>
          <cell r="D23">
            <v>470400.00000000006</v>
          </cell>
          <cell r="E23">
            <v>1.1499999999999999</v>
          </cell>
          <cell r="F23">
            <v>26</v>
          </cell>
          <cell r="G23">
            <v>29.9</v>
          </cell>
          <cell r="H23">
            <v>1537000</v>
          </cell>
        </row>
        <row r="24">
          <cell r="B24" t="str">
            <v>Ong Döông Haûi</v>
          </cell>
          <cell r="C24" t="str">
            <v>"</v>
          </cell>
          <cell r="D24">
            <v>470400.00000000006</v>
          </cell>
          <cell r="E24">
            <v>1.1499999999999999</v>
          </cell>
          <cell r="F24">
            <v>25</v>
          </cell>
          <cell r="G24">
            <v>28.749999999999996</v>
          </cell>
          <cell r="H24">
            <v>1478000</v>
          </cell>
        </row>
        <row r="25">
          <cell r="B25" t="str">
            <v>Lyù Vaên Höôûng</v>
          </cell>
          <cell r="C25" t="str">
            <v>"</v>
          </cell>
          <cell r="D25">
            <v>470400.00000000006</v>
          </cell>
          <cell r="E25">
            <v>1.1499999999999999</v>
          </cell>
          <cell r="F25">
            <v>26</v>
          </cell>
          <cell r="G25">
            <v>29.9</v>
          </cell>
          <cell r="H25">
            <v>1537000</v>
          </cell>
        </row>
        <row r="26">
          <cell r="B26" t="str">
            <v>Danh Chung</v>
          </cell>
          <cell r="C26" t="str">
            <v>"</v>
          </cell>
          <cell r="D26">
            <v>470400.00000000006</v>
          </cell>
          <cell r="E26">
            <v>1.1499999999999999</v>
          </cell>
          <cell r="F26">
            <v>26</v>
          </cell>
          <cell r="G26">
            <v>29.9</v>
          </cell>
          <cell r="H26">
            <v>1537000</v>
          </cell>
        </row>
        <row r="27">
          <cell r="B27" t="str">
            <v>Laïi Vaên Tình</v>
          </cell>
          <cell r="C27" t="str">
            <v>"</v>
          </cell>
          <cell r="D27">
            <v>470400.00000000006</v>
          </cell>
          <cell r="E27">
            <v>1.1499999999999999</v>
          </cell>
          <cell r="F27">
            <v>26</v>
          </cell>
          <cell r="G27">
            <v>29.9</v>
          </cell>
          <cell r="H27">
            <v>1537000</v>
          </cell>
        </row>
        <row r="28">
          <cell r="B28" t="str">
            <v>Danh Xuaân</v>
          </cell>
          <cell r="C28" t="str">
            <v>"</v>
          </cell>
          <cell r="D28">
            <v>470400.00000000006</v>
          </cell>
          <cell r="E28">
            <v>1.1499999999999999</v>
          </cell>
          <cell r="F28">
            <v>26</v>
          </cell>
          <cell r="G28">
            <v>29.9</v>
          </cell>
          <cell r="H28">
            <v>1537000</v>
          </cell>
        </row>
        <row r="29">
          <cell r="B29" t="str">
            <v>Höùa Vaên Meán</v>
          </cell>
          <cell r="C29" t="str">
            <v>"</v>
          </cell>
          <cell r="D29">
            <v>470400.00000000006</v>
          </cell>
          <cell r="E29">
            <v>1.1499999999999999</v>
          </cell>
          <cell r="F29">
            <v>26</v>
          </cell>
          <cell r="G29">
            <v>29.9</v>
          </cell>
          <cell r="H29">
            <v>1537000</v>
          </cell>
        </row>
        <row r="30">
          <cell r="B30" t="str">
            <v>Du  Kim Thaønh</v>
          </cell>
          <cell r="C30" t="str">
            <v>"</v>
          </cell>
          <cell r="D30">
            <v>470400.00000000006</v>
          </cell>
          <cell r="E30">
            <v>1.1499999999999999</v>
          </cell>
          <cell r="F30">
            <v>19</v>
          </cell>
          <cell r="G30">
            <v>21.849999999999998</v>
          </cell>
          <cell r="H30">
            <v>1123000</v>
          </cell>
        </row>
        <row r="31">
          <cell r="B31" t="str">
            <v>Döông Vaên Tuaán</v>
          </cell>
          <cell r="C31" t="str">
            <v>CN</v>
          </cell>
          <cell r="D31">
            <v>470400.00000000006</v>
          </cell>
          <cell r="E31">
            <v>1.1499999999999999</v>
          </cell>
          <cell r="F31">
            <v>26</v>
          </cell>
          <cell r="G31">
            <v>29.9</v>
          </cell>
          <cell r="H31">
            <v>1537000</v>
          </cell>
        </row>
        <row r="32">
          <cell r="B32" t="str">
            <v>Hoà Vaên Em</v>
          </cell>
          <cell r="C32" t="str">
            <v>"</v>
          </cell>
          <cell r="D32">
            <v>470400.00000000006</v>
          </cell>
          <cell r="E32">
            <v>1.1499999999999999</v>
          </cell>
          <cell r="F32">
            <v>26</v>
          </cell>
          <cell r="G32">
            <v>29.9</v>
          </cell>
          <cell r="H32">
            <v>1537000</v>
          </cell>
        </row>
        <row r="33">
          <cell r="B33" t="str">
            <v>Cao Hoaøi Thanh</v>
          </cell>
          <cell r="C33" t="str">
            <v>"</v>
          </cell>
          <cell r="D33">
            <v>470400.00000000006</v>
          </cell>
          <cell r="E33">
            <v>1.1499999999999999</v>
          </cell>
          <cell r="F33">
            <v>26</v>
          </cell>
          <cell r="G33">
            <v>29.9</v>
          </cell>
          <cell r="H33">
            <v>1537000</v>
          </cell>
        </row>
        <row r="34">
          <cell r="B34" t="str">
            <v>Höùa Vaên Sao</v>
          </cell>
          <cell r="C34" t="str">
            <v>"</v>
          </cell>
          <cell r="D34">
            <v>426300.00000000006</v>
          </cell>
          <cell r="E34">
            <v>1.1499999999999999</v>
          </cell>
          <cell r="F34">
            <v>26</v>
          </cell>
          <cell r="G34">
            <v>29.9</v>
          </cell>
          <cell r="H34">
            <v>1537000</v>
          </cell>
        </row>
        <row r="35">
          <cell r="B35" t="str">
            <v>Trònh Xuaân Tröôûng</v>
          </cell>
          <cell r="C35" t="str">
            <v>"</v>
          </cell>
          <cell r="D35">
            <v>426300.00000000006</v>
          </cell>
          <cell r="E35">
            <v>1.1499999999999999</v>
          </cell>
          <cell r="F35">
            <v>25</v>
          </cell>
          <cell r="G35">
            <v>28.749999999999996</v>
          </cell>
          <cell r="H35">
            <v>1478000</v>
          </cell>
        </row>
        <row r="36">
          <cell r="B36" t="str">
            <v>Döông Phuùc Ñaït</v>
          </cell>
          <cell r="C36" t="str">
            <v>"</v>
          </cell>
          <cell r="D36">
            <v>426300.00000000006</v>
          </cell>
          <cell r="E36">
            <v>1.1499999999999999</v>
          </cell>
          <cell r="F36">
            <v>26</v>
          </cell>
          <cell r="G36">
            <v>29.9</v>
          </cell>
          <cell r="H36">
            <v>1537000</v>
          </cell>
        </row>
        <row r="37">
          <cell r="B37" t="str">
            <v>Nguyeãn Vaên Thaéng</v>
          </cell>
          <cell r="C37" t="str">
            <v>B.Veä</v>
          </cell>
          <cell r="D37">
            <v>426300.00000000006</v>
          </cell>
          <cell r="E37">
            <v>0.95</v>
          </cell>
          <cell r="F37">
            <v>19</v>
          </cell>
          <cell r="G37">
            <v>18.05</v>
          </cell>
          <cell r="H37">
            <v>928000</v>
          </cell>
        </row>
        <row r="38">
          <cell r="B38" t="str">
            <v>Traàn Thuaän Phong</v>
          </cell>
          <cell r="C38" t="str">
            <v>B.Veä</v>
          </cell>
          <cell r="D38">
            <v>476700</v>
          </cell>
          <cell r="E38">
            <v>0.95</v>
          </cell>
          <cell r="F38">
            <v>26</v>
          </cell>
          <cell r="G38">
            <v>24.7</v>
          </cell>
          <cell r="H38">
            <v>1270000</v>
          </cell>
        </row>
        <row r="39">
          <cell r="B39" t="str">
            <v>Leâ Vaên Quyeát</v>
          </cell>
          <cell r="C39" t="str">
            <v>B.Veä</v>
          </cell>
          <cell r="D39">
            <v>367500</v>
          </cell>
          <cell r="E39">
            <v>0.95</v>
          </cell>
          <cell r="F39">
            <v>26</v>
          </cell>
          <cell r="G39">
            <v>24.7</v>
          </cell>
          <cell r="H39">
            <v>1270000</v>
          </cell>
        </row>
        <row r="40">
          <cell r="B40" t="str">
            <v xml:space="preserve">Vuõ Ñình Thaønh </v>
          </cell>
          <cell r="C40" t="str">
            <v>B.Veä</v>
          </cell>
          <cell r="D40">
            <v>451500</v>
          </cell>
          <cell r="E40">
            <v>0.95</v>
          </cell>
          <cell r="F40">
            <v>26</v>
          </cell>
          <cell r="G40">
            <v>24.7</v>
          </cell>
          <cell r="H40">
            <v>1270000</v>
          </cell>
        </row>
        <row r="41">
          <cell r="B41" t="str">
            <v>Leâ Thò Kim Loan</v>
          </cell>
          <cell r="C41" t="str">
            <v>P.Vuï</v>
          </cell>
          <cell r="D41">
            <v>415800</v>
          </cell>
          <cell r="F41">
            <v>26</v>
          </cell>
          <cell r="G41">
            <v>0</v>
          </cell>
          <cell r="H41">
            <v>700000</v>
          </cell>
        </row>
      </sheetData>
      <sheetData sheetId="16" refreshError="1"/>
      <sheetData sheetId="17" refreshError="1"/>
      <sheetData sheetId="18" refreshError="1">
        <row r="23">
          <cell r="B23" t="str">
            <v>Traàn Vaên Naêm</v>
          </cell>
          <cell r="C23" t="str">
            <v>QÑ</v>
          </cell>
          <cell r="D23">
            <v>558599.99999999988</v>
          </cell>
          <cell r="E23">
            <v>1.8</v>
          </cell>
          <cell r="F23">
            <v>26</v>
          </cell>
          <cell r="G23">
            <v>46.800000000000004</v>
          </cell>
          <cell r="H23">
            <v>2066000</v>
          </cell>
        </row>
        <row r="24">
          <cell r="B24" t="str">
            <v>Vuõ Tieán Laõm</v>
          </cell>
          <cell r="C24" t="str">
            <v>PQÑ</v>
          </cell>
          <cell r="D24">
            <v>497700</v>
          </cell>
          <cell r="E24">
            <v>1.65</v>
          </cell>
          <cell r="F24">
            <v>26</v>
          </cell>
          <cell r="G24">
            <v>42.9</v>
          </cell>
          <cell r="H24">
            <v>1895000</v>
          </cell>
        </row>
        <row r="25">
          <cell r="B25" t="str">
            <v>Döông Thanh Haø</v>
          </cell>
          <cell r="C25" t="str">
            <v>PQÑ</v>
          </cell>
          <cell r="D25">
            <v>447300</v>
          </cell>
          <cell r="E25">
            <v>1.65</v>
          </cell>
          <cell r="F25">
            <v>26</v>
          </cell>
          <cell r="G25">
            <v>42.9</v>
          </cell>
          <cell r="H25">
            <v>1895000</v>
          </cell>
        </row>
        <row r="26">
          <cell r="B26" t="str">
            <v>Löu Ñöùc  Hieán</v>
          </cell>
          <cell r="C26" t="str">
            <v>TK</v>
          </cell>
          <cell r="D26">
            <v>451500</v>
          </cell>
          <cell r="E26">
            <v>1.3</v>
          </cell>
          <cell r="F26">
            <v>26</v>
          </cell>
          <cell r="G26">
            <v>33.800000000000004</v>
          </cell>
          <cell r="H26">
            <v>1494000</v>
          </cell>
        </row>
        <row r="27">
          <cell r="B27" t="str">
            <v>Nguyeãn Vaên Lyù</v>
          </cell>
          <cell r="C27" t="str">
            <v>TK</v>
          </cell>
          <cell r="D27">
            <v>424200</v>
          </cell>
          <cell r="E27">
            <v>1.3</v>
          </cell>
          <cell r="F27">
            <v>26</v>
          </cell>
          <cell r="G27">
            <v>33.800000000000004</v>
          </cell>
          <cell r="H27">
            <v>1494000</v>
          </cell>
        </row>
        <row r="28">
          <cell r="B28" t="str">
            <v>Leâ Kim Chuyeån</v>
          </cell>
          <cell r="D28">
            <v>447300</v>
          </cell>
          <cell r="E28">
            <v>1.55</v>
          </cell>
          <cell r="F28">
            <v>26</v>
          </cell>
          <cell r="G28">
            <v>40.300000000000004</v>
          </cell>
          <cell r="H28">
            <v>1781000</v>
          </cell>
        </row>
        <row r="29">
          <cell r="B29" t="str">
            <v>Cao Vaên Döông</v>
          </cell>
          <cell r="D29">
            <v>472500</v>
          </cell>
          <cell r="E29">
            <v>1.55</v>
          </cell>
          <cell r="F29">
            <v>26</v>
          </cell>
          <cell r="G29">
            <v>40.300000000000004</v>
          </cell>
          <cell r="H29">
            <v>1781000</v>
          </cell>
        </row>
        <row r="30">
          <cell r="B30" t="str">
            <v>Ñoã Trung Thöï</v>
          </cell>
          <cell r="D30">
            <v>447300</v>
          </cell>
          <cell r="E30">
            <v>1.55</v>
          </cell>
          <cell r="F30">
            <v>26</v>
          </cell>
          <cell r="G30">
            <v>40.300000000000004</v>
          </cell>
          <cell r="H30">
            <v>1781000</v>
          </cell>
        </row>
        <row r="31">
          <cell r="B31" t="str">
            <v>Phan Vaên Naâng</v>
          </cell>
          <cell r="C31" t="str">
            <v>CT</v>
          </cell>
          <cell r="D31">
            <v>445200</v>
          </cell>
          <cell r="E31">
            <v>1.55</v>
          </cell>
          <cell r="F31">
            <v>26</v>
          </cell>
          <cell r="G31">
            <v>40.300000000000004</v>
          </cell>
          <cell r="H31">
            <v>1781000</v>
          </cell>
        </row>
        <row r="32">
          <cell r="B32" t="str">
            <v>Ñaøo Taát  Ñaït</v>
          </cell>
          <cell r="C32" t="str">
            <v>CT</v>
          </cell>
          <cell r="D32">
            <v>451500</v>
          </cell>
          <cell r="E32">
            <v>1.1499999999999999</v>
          </cell>
          <cell r="F32">
            <v>26</v>
          </cell>
          <cell r="G32">
            <v>29.9</v>
          </cell>
          <cell r="H32">
            <v>1322000</v>
          </cell>
        </row>
        <row r="33">
          <cell r="B33" t="str">
            <v>Haø Vaên khen</v>
          </cell>
          <cell r="D33">
            <v>409500</v>
          </cell>
          <cell r="E33">
            <v>1.1499999999999999</v>
          </cell>
          <cell r="F33">
            <v>26</v>
          </cell>
          <cell r="G33">
            <v>29.9</v>
          </cell>
          <cell r="H33">
            <v>1322000</v>
          </cell>
        </row>
        <row r="34">
          <cell r="B34" t="str">
            <v>Laâm Ngoïc Chuyeân</v>
          </cell>
          <cell r="D34">
            <v>451500</v>
          </cell>
          <cell r="E34">
            <v>1.1499999999999999</v>
          </cell>
          <cell r="F34">
            <v>26</v>
          </cell>
          <cell r="G34">
            <v>29.9</v>
          </cell>
          <cell r="H34">
            <v>1322000</v>
          </cell>
        </row>
        <row r="35">
          <cell r="B35" t="str">
            <v>Leâ Vaên Vuõ</v>
          </cell>
          <cell r="D35">
            <v>472500</v>
          </cell>
          <cell r="E35">
            <v>1.25</v>
          </cell>
          <cell r="F35">
            <v>26</v>
          </cell>
          <cell r="G35">
            <v>32.5</v>
          </cell>
          <cell r="H35">
            <v>1436000</v>
          </cell>
        </row>
        <row r="36">
          <cell r="B36" t="str">
            <v>Haøng Vaên Taøo</v>
          </cell>
          <cell r="D36">
            <v>472500</v>
          </cell>
          <cell r="E36">
            <v>1.371</v>
          </cell>
          <cell r="F36">
            <v>26</v>
          </cell>
          <cell r="G36">
            <v>35.646000000000001</v>
          </cell>
          <cell r="H36">
            <v>1555000</v>
          </cell>
        </row>
        <row r="37">
          <cell r="B37" t="str">
            <v>Nguyeãn Ngoïc Bieân</v>
          </cell>
          <cell r="C37" t="str">
            <v>CT</v>
          </cell>
          <cell r="D37">
            <v>451500</v>
          </cell>
          <cell r="E37">
            <v>1.321</v>
          </cell>
          <cell r="F37">
            <v>25</v>
          </cell>
          <cell r="G37">
            <v>33.024999999999999</v>
          </cell>
          <cell r="H37">
            <v>1441000</v>
          </cell>
        </row>
        <row r="38">
          <cell r="B38" t="str">
            <v>Trònh Hoaøi Phöông</v>
          </cell>
          <cell r="D38">
            <v>451500</v>
          </cell>
          <cell r="E38">
            <v>1.292</v>
          </cell>
          <cell r="F38">
            <v>26</v>
          </cell>
          <cell r="G38">
            <v>33.591999999999999</v>
          </cell>
          <cell r="H38">
            <v>1466000</v>
          </cell>
        </row>
        <row r="39">
          <cell r="B39" t="str">
            <v>Ñaøo Duy Haûi</v>
          </cell>
          <cell r="D39">
            <v>451500</v>
          </cell>
          <cell r="E39">
            <v>1.292</v>
          </cell>
          <cell r="F39">
            <v>26</v>
          </cell>
          <cell r="G39">
            <v>33.591999999999999</v>
          </cell>
          <cell r="H39">
            <v>1466000</v>
          </cell>
        </row>
        <row r="40">
          <cell r="B40" t="str">
            <v>Leâ Coâng Luaän</v>
          </cell>
          <cell r="D40">
            <v>451500</v>
          </cell>
          <cell r="E40">
            <v>1.292</v>
          </cell>
          <cell r="F40">
            <v>26</v>
          </cell>
          <cell r="G40">
            <v>33.591999999999999</v>
          </cell>
          <cell r="H40">
            <v>1466000</v>
          </cell>
        </row>
        <row r="41">
          <cell r="B41" t="str">
            <v>Nguyeãn Thanh Sôn</v>
          </cell>
          <cell r="D41">
            <v>472500</v>
          </cell>
          <cell r="E41">
            <v>1.371</v>
          </cell>
          <cell r="F41">
            <v>25</v>
          </cell>
          <cell r="G41">
            <v>34.274999999999999</v>
          </cell>
          <cell r="H41">
            <v>1581000</v>
          </cell>
        </row>
        <row r="42">
          <cell r="B42" t="str">
            <v>Phaïm Vaên Beàn</v>
          </cell>
          <cell r="C42" t="str">
            <v>TT</v>
          </cell>
          <cell r="D42">
            <v>451500</v>
          </cell>
          <cell r="E42">
            <v>1.321</v>
          </cell>
          <cell r="F42">
            <v>26</v>
          </cell>
          <cell r="G42">
            <v>34.345999999999997</v>
          </cell>
          <cell r="H42">
            <v>1585000</v>
          </cell>
        </row>
        <row r="43">
          <cell r="B43" t="str">
            <v>Traàn Khaéc Ñieàu</v>
          </cell>
          <cell r="D43">
            <v>531300</v>
          </cell>
          <cell r="E43">
            <v>1.266</v>
          </cell>
          <cell r="F43">
            <v>26</v>
          </cell>
          <cell r="G43">
            <v>32.915999999999997</v>
          </cell>
          <cell r="H43">
            <v>1506000</v>
          </cell>
        </row>
        <row r="44">
          <cell r="B44" t="str">
            <v>Nguyeãn Thanh Hoàng</v>
          </cell>
          <cell r="D44">
            <v>451500</v>
          </cell>
          <cell r="E44">
            <v>1.292</v>
          </cell>
          <cell r="F44">
            <v>26</v>
          </cell>
          <cell r="G44">
            <v>33.591999999999999</v>
          </cell>
          <cell r="H44">
            <v>1550000</v>
          </cell>
        </row>
        <row r="45">
          <cell r="B45" t="str">
            <v>Hoà Minh Sôn</v>
          </cell>
          <cell r="D45">
            <v>409500</v>
          </cell>
          <cell r="E45">
            <v>1.2274</v>
          </cell>
          <cell r="F45">
            <v>19</v>
          </cell>
          <cell r="G45">
            <v>23.320600000000002</v>
          </cell>
          <cell r="H45">
            <v>1064000</v>
          </cell>
        </row>
        <row r="46">
          <cell r="B46" t="str">
            <v>Nguyeãn Quang Vinh</v>
          </cell>
          <cell r="D46">
            <v>472500</v>
          </cell>
          <cell r="E46">
            <v>1.371</v>
          </cell>
          <cell r="F46">
            <v>26</v>
          </cell>
          <cell r="G46">
            <v>35.646000000000001</v>
          </cell>
          <cell r="H46">
            <v>1533000</v>
          </cell>
        </row>
        <row r="47">
          <cell r="B47" t="str">
            <v>Traàn vieät Toaøn</v>
          </cell>
          <cell r="C47" t="str">
            <v>CT</v>
          </cell>
          <cell r="D47">
            <v>451500</v>
          </cell>
          <cell r="E47">
            <v>1.321</v>
          </cell>
          <cell r="F47">
            <v>25</v>
          </cell>
          <cell r="G47">
            <v>33.024999999999999</v>
          </cell>
          <cell r="H47">
            <v>1422000</v>
          </cell>
        </row>
        <row r="48">
          <cell r="B48" t="str">
            <v>Traàn Thanh Tuøng</v>
          </cell>
          <cell r="D48">
            <v>451500</v>
          </cell>
          <cell r="E48">
            <v>1.292</v>
          </cell>
          <cell r="F48">
            <v>24</v>
          </cell>
          <cell r="G48">
            <v>31.008000000000003</v>
          </cell>
          <cell r="H48">
            <v>1337000</v>
          </cell>
        </row>
        <row r="49">
          <cell r="B49" t="str">
            <v>Nguyeãn Höõu Taøi</v>
          </cell>
          <cell r="D49">
            <v>451500</v>
          </cell>
          <cell r="E49">
            <v>1.292</v>
          </cell>
          <cell r="F49">
            <v>26</v>
          </cell>
          <cell r="G49">
            <v>33.591999999999999</v>
          </cell>
          <cell r="H49">
            <v>1445000</v>
          </cell>
        </row>
        <row r="50">
          <cell r="B50" t="str">
            <v>Leâ Phaùt Ñaït</v>
          </cell>
          <cell r="D50">
            <v>451500</v>
          </cell>
          <cell r="E50">
            <v>1.292</v>
          </cell>
          <cell r="F50">
            <v>26</v>
          </cell>
          <cell r="G50">
            <v>33.591999999999999</v>
          </cell>
          <cell r="H50">
            <v>1445000</v>
          </cell>
        </row>
        <row r="51">
          <cell r="B51" t="str">
            <v>Nam Taán Löïc</v>
          </cell>
          <cell r="D51">
            <v>447300</v>
          </cell>
          <cell r="E51">
            <v>1.3</v>
          </cell>
          <cell r="F51">
            <v>17</v>
          </cell>
          <cell r="G51">
            <v>22.1</v>
          </cell>
          <cell r="H51">
            <v>976000</v>
          </cell>
        </row>
        <row r="52">
          <cell r="B52" t="str">
            <v>Huyønh Quoác Söû</v>
          </cell>
          <cell r="C52" t="str">
            <v>CT</v>
          </cell>
          <cell r="D52">
            <v>426300.00000000006</v>
          </cell>
          <cell r="E52">
            <v>1.1499999999999999</v>
          </cell>
          <cell r="F52">
            <v>26</v>
          </cell>
          <cell r="G52">
            <v>29.9</v>
          </cell>
          <cell r="H52">
            <v>1322000</v>
          </cell>
        </row>
        <row r="53">
          <cell r="B53" t="str">
            <v>Tröông Tieán Huøng</v>
          </cell>
          <cell r="D53">
            <v>451500</v>
          </cell>
          <cell r="E53">
            <v>1.1499999999999999</v>
          </cell>
          <cell r="F53">
            <v>24</v>
          </cell>
          <cell r="G53">
            <v>27.599999999999998</v>
          </cell>
          <cell r="H53">
            <v>1220000</v>
          </cell>
        </row>
        <row r="54">
          <cell r="B54" t="str">
            <v>Leâ Tröôøng Sa</v>
          </cell>
          <cell r="D54">
            <v>451500</v>
          </cell>
          <cell r="E54">
            <v>1.1499999999999999</v>
          </cell>
          <cell r="F54">
            <v>26</v>
          </cell>
          <cell r="G54">
            <v>29.9</v>
          </cell>
          <cell r="H54">
            <v>1322000</v>
          </cell>
        </row>
        <row r="55">
          <cell r="B55" t="str">
            <v>Leâ Kyø Maïnh</v>
          </cell>
          <cell r="D55">
            <v>386399.99999999994</v>
          </cell>
          <cell r="E55">
            <v>0.86249999999999993</v>
          </cell>
          <cell r="F55">
            <v>26</v>
          </cell>
          <cell r="G55">
            <v>22.424999999999997</v>
          </cell>
          <cell r="H55">
            <v>991000</v>
          </cell>
        </row>
        <row r="56">
          <cell r="B56" t="str">
            <v>Traàn Vaên Tieån</v>
          </cell>
          <cell r="D56">
            <v>426300.00000000006</v>
          </cell>
          <cell r="E56">
            <v>1.3</v>
          </cell>
          <cell r="F56">
            <v>25</v>
          </cell>
          <cell r="G56">
            <v>32.5</v>
          </cell>
          <cell r="H56">
            <v>1436000</v>
          </cell>
        </row>
        <row r="57">
          <cell r="B57" t="str">
            <v>Trònh Xuaân Thaéng</v>
          </cell>
          <cell r="C57" t="str">
            <v>TT</v>
          </cell>
          <cell r="D57">
            <v>426300.00000000006</v>
          </cell>
          <cell r="E57">
            <v>1.1499999999999999</v>
          </cell>
          <cell r="F57">
            <v>26</v>
          </cell>
          <cell r="G57">
            <v>29.9</v>
          </cell>
          <cell r="H57">
            <v>1322000</v>
          </cell>
        </row>
        <row r="58">
          <cell r="B58" t="str">
            <v>Nguyeãn Vaên Thaém</v>
          </cell>
          <cell r="D58">
            <v>426300.00000000006</v>
          </cell>
          <cell r="E58">
            <v>1.1499999999999999</v>
          </cell>
          <cell r="F58">
            <v>26</v>
          </cell>
          <cell r="G58">
            <v>29.9</v>
          </cell>
          <cell r="H58">
            <v>1322000</v>
          </cell>
        </row>
        <row r="59">
          <cell r="B59" t="str">
            <v>Taøo Chís Sal</v>
          </cell>
          <cell r="D59">
            <v>409500</v>
          </cell>
          <cell r="E59">
            <v>1.0924999999999998</v>
          </cell>
          <cell r="F59">
            <v>25</v>
          </cell>
          <cell r="G59">
            <v>27.312499999999996</v>
          </cell>
          <cell r="H59">
            <v>1207000</v>
          </cell>
        </row>
        <row r="60">
          <cell r="B60" t="str">
            <v>Ng. Tuaán Kieät</v>
          </cell>
          <cell r="D60">
            <v>386399.99999999994</v>
          </cell>
          <cell r="E60">
            <v>0.86249999999999993</v>
          </cell>
          <cell r="F60">
            <v>26</v>
          </cell>
          <cell r="G60">
            <v>22.424999999999997</v>
          </cell>
          <cell r="H60">
            <v>991000</v>
          </cell>
        </row>
        <row r="61">
          <cell r="B61" t="str">
            <v>Leâ Thaùi Bình</v>
          </cell>
          <cell r="D61">
            <v>447300</v>
          </cell>
          <cell r="E61">
            <v>1.1656500000000001</v>
          </cell>
          <cell r="F61">
            <v>21</v>
          </cell>
          <cell r="G61">
            <v>24.478650000000002</v>
          </cell>
          <cell r="H61">
            <v>1082000</v>
          </cell>
        </row>
        <row r="62">
          <cell r="B62" t="str">
            <v>Nguyeãn Khaéc Vuõ</v>
          </cell>
          <cell r="C62" t="str">
            <v>CT</v>
          </cell>
          <cell r="D62">
            <v>426300.00000000006</v>
          </cell>
          <cell r="E62">
            <v>1.2230000000000001</v>
          </cell>
          <cell r="F62">
            <v>26</v>
          </cell>
          <cell r="G62">
            <v>31.798000000000002</v>
          </cell>
          <cell r="H62">
            <v>1405000</v>
          </cell>
        </row>
        <row r="63">
          <cell r="B63" t="str">
            <v>Ngoâ Minh Taâm</v>
          </cell>
          <cell r="C63" t="str">
            <v>CP</v>
          </cell>
          <cell r="D63">
            <v>386399.99999999994</v>
          </cell>
          <cell r="E63">
            <v>1.1499999999999999</v>
          </cell>
          <cell r="F63">
            <v>25</v>
          </cell>
          <cell r="G63">
            <v>28.749999999999996</v>
          </cell>
          <cell r="H63">
            <v>1271000</v>
          </cell>
        </row>
        <row r="64">
          <cell r="B64" t="str">
            <v>Nguyeãn Vaên Loäc</v>
          </cell>
          <cell r="D64">
            <v>409500</v>
          </cell>
          <cell r="E64">
            <v>1.0924999999999998</v>
          </cell>
          <cell r="F64">
            <v>26</v>
          </cell>
          <cell r="G64">
            <v>28.404999999999994</v>
          </cell>
          <cell r="H64">
            <v>1255000</v>
          </cell>
        </row>
        <row r="65">
          <cell r="B65" t="str">
            <v>Traàn Vaên Töôøng</v>
          </cell>
          <cell r="D65">
            <v>451500</v>
          </cell>
          <cell r="E65">
            <v>1.0924999999999998</v>
          </cell>
          <cell r="F65">
            <v>25</v>
          </cell>
          <cell r="G65">
            <v>27.312499999999996</v>
          </cell>
          <cell r="H65">
            <v>1207000</v>
          </cell>
        </row>
        <row r="66">
          <cell r="B66" t="str">
            <v>Vuõ Duy Thaêng</v>
          </cell>
          <cell r="D66">
            <v>472500</v>
          </cell>
          <cell r="E66">
            <v>1.2451612903225806</v>
          </cell>
          <cell r="F66">
            <v>26</v>
          </cell>
          <cell r="G66">
            <v>32.374193548387098</v>
          </cell>
          <cell r="H66">
            <v>1459000</v>
          </cell>
        </row>
        <row r="67">
          <cell r="B67" t="str">
            <v>Cao Vaên Thaønh</v>
          </cell>
          <cell r="D67">
            <v>451500</v>
          </cell>
          <cell r="E67">
            <v>1.2193548387096773</v>
          </cell>
          <cell r="F67">
            <v>26</v>
          </cell>
          <cell r="G67">
            <v>31.703225806451609</v>
          </cell>
          <cell r="H67">
            <v>1428000</v>
          </cell>
        </row>
        <row r="68">
          <cell r="B68" t="str">
            <v>Löu Ñöùc Ñònh</v>
          </cell>
          <cell r="D68">
            <v>451500</v>
          </cell>
          <cell r="E68">
            <v>1.2709677419354839</v>
          </cell>
          <cell r="F68">
            <v>26</v>
          </cell>
          <cell r="G68">
            <v>33.045161290322582</v>
          </cell>
          <cell r="H68">
            <v>1488000</v>
          </cell>
        </row>
        <row r="69">
          <cell r="B69" t="str">
            <v>Phaïm Thaùi Hoaø</v>
          </cell>
          <cell r="D69">
            <v>426300.00000000006</v>
          </cell>
          <cell r="E69">
            <v>1.2</v>
          </cell>
          <cell r="F69">
            <v>19</v>
          </cell>
          <cell r="G69">
            <v>22.8</v>
          </cell>
          <cell r="H69">
            <v>1027000</v>
          </cell>
        </row>
        <row r="70">
          <cell r="B70" t="str">
            <v>Dö Minh Taâm</v>
          </cell>
          <cell r="D70">
            <v>451500</v>
          </cell>
          <cell r="E70">
            <v>1.2145161290322577</v>
          </cell>
          <cell r="F70">
            <v>26</v>
          </cell>
          <cell r="G70">
            <v>31.5774193548387</v>
          </cell>
          <cell r="H70">
            <v>1422000</v>
          </cell>
        </row>
        <row r="71">
          <cell r="B71" t="str">
            <v>Nguyeãn Anh Tuaán A</v>
          </cell>
          <cell r="D71">
            <v>426300.00000000006</v>
          </cell>
          <cell r="E71">
            <v>1.2</v>
          </cell>
          <cell r="F71">
            <v>26</v>
          </cell>
          <cell r="G71">
            <v>31.2</v>
          </cell>
          <cell r="H71">
            <v>1405000</v>
          </cell>
        </row>
        <row r="72">
          <cell r="B72" t="str">
            <v>Ngoâ Xuaân Tueä</v>
          </cell>
          <cell r="C72" t="str">
            <v>TT</v>
          </cell>
          <cell r="D72">
            <v>451500</v>
          </cell>
          <cell r="E72">
            <v>1.2096774193548387</v>
          </cell>
          <cell r="F72">
            <v>26</v>
          </cell>
          <cell r="G72">
            <v>31.451612903225808</v>
          </cell>
          <cell r="H72">
            <v>1417000</v>
          </cell>
        </row>
        <row r="73">
          <cell r="B73" t="str">
            <v>Nguyeãn Tieán Duõng</v>
          </cell>
          <cell r="C73" t="str">
            <v>CP</v>
          </cell>
          <cell r="D73">
            <v>451500</v>
          </cell>
          <cell r="E73">
            <v>1.0903225806451613</v>
          </cell>
          <cell r="F73">
            <v>26</v>
          </cell>
          <cell r="G73">
            <v>28.348387096774193</v>
          </cell>
          <cell r="H73">
            <v>1277000</v>
          </cell>
        </row>
        <row r="74">
          <cell r="B74" t="str">
            <v>Trònh Ngoïc Toaøn</v>
          </cell>
          <cell r="D74">
            <v>451500</v>
          </cell>
          <cell r="E74">
            <v>1.0714285714285714</v>
          </cell>
          <cell r="F74">
            <v>12</v>
          </cell>
          <cell r="G74">
            <v>12.857142857142858</v>
          </cell>
          <cell r="H74">
            <v>576000</v>
          </cell>
        </row>
        <row r="75">
          <cell r="B75" t="str">
            <v>Nguyeãn Coâng Danh</v>
          </cell>
          <cell r="D75">
            <v>451500</v>
          </cell>
          <cell r="E75">
            <v>1.1806451612903224</v>
          </cell>
          <cell r="F75">
            <v>26</v>
          </cell>
          <cell r="G75">
            <v>30.696774193548382</v>
          </cell>
          <cell r="H75">
            <v>1383000</v>
          </cell>
        </row>
        <row r="76">
          <cell r="B76" t="str">
            <v>Nguyeãn Nhö  Chöôøng</v>
          </cell>
          <cell r="D76">
            <v>451500</v>
          </cell>
          <cell r="E76">
            <v>1.2258064516129032</v>
          </cell>
          <cell r="F76">
            <v>26</v>
          </cell>
          <cell r="G76">
            <v>31.870967741935484</v>
          </cell>
          <cell r="H76">
            <v>1480000</v>
          </cell>
        </row>
        <row r="77">
          <cell r="B77" t="str">
            <v>Hoaøng Minh Taân</v>
          </cell>
          <cell r="D77">
            <v>451500</v>
          </cell>
          <cell r="E77">
            <v>1.2370967741935481</v>
          </cell>
          <cell r="F77">
            <v>26</v>
          </cell>
          <cell r="G77">
            <v>32.164516129032251</v>
          </cell>
          <cell r="H77">
            <v>1494000</v>
          </cell>
        </row>
        <row r="78">
          <cell r="B78" t="str">
            <v>Nguyeãn Tuaán Anh</v>
          </cell>
          <cell r="D78">
            <v>451500</v>
          </cell>
          <cell r="E78">
            <v>1.2483870967741935</v>
          </cell>
          <cell r="F78">
            <v>26</v>
          </cell>
          <cell r="G78">
            <v>32.458064516129028</v>
          </cell>
          <cell r="H78">
            <v>1507000</v>
          </cell>
        </row>
        <row r="79">
          <cell r="B79" t="str">
            <v>Phan Sinh Ngaân</v>
          </cell>
          <cell r="D79">
            <v>451500</v>
          </cell>
          <cell r="E79">
            <v>1.1806451612903224</v>
          </cell>
          <cell r="F79">
            <v>26</v>
          </cell>
          <cell r="G79">
            <v>30.696774193548382</v>
          </cell>
          <cell r="H79">
            <v>1425000</v>
          </cell>
        </row>
        <row r="80">
          <cell r="B80" t="str">
            <v>Vuõ Duy Theá</v>
          </cell>
          <cell r="D80">
            <v>409500</v>
          </cell>
          <cell r="E80">
            <v>1.2483870967741935</v>
          </cell>
          <cell r="F80">
            <v>26</v>
          </cell>
          <cell r="G80">
            <v>32.458064516129028</v>
          </cell>
          <cell r="H80">
            <v>1507000</v>
          </cell>
        </row>
        <row r="81">
          <cell r="B81" t="str">
            <v>Huyønh Quoác Phuù</v>
          </cell>
          <cell r="D81">
            <v>451500</v>
          </cell>
          <cell r="E81">
            <v>1.2</v>
          </cell>
          <cell r="F81">
            <v>26</v>
          </cell>
          <cell r="G81">
            <v>31.2</v>
          </cell>
          <cell r="H81">
            <v>1449000</v>
          </cell>
        </row>
        <row r="82">
          <cell r="B82" t="str">
            <v>Danh Quang</v>
          </cell>
          <cell r="D82">
            <v>451500</v>
          </cell>
          <cell r="E82">
            <v>1.2</v>
          </cell>
          <cell r="F82">
            <v>26</v>
          </cell>
          <cell r="G82">
            <v>31.2</v>
          </cell>
          <cell r="H82">
            <v>1449000</v>
          </cell>
        </row>
        <row r="83">
          <cell r="B83" t="str">
            <v>Ñoã Minh Taâm</v>
          </cell>
          <cell r="C83" t="str">
            <v>CT</v>
          </cell>
          <cell r="D83">
            <v>451500</v>
          </cell>
          <cell r="E83">
            <v>1.1096774193548389</v>
          </cell>
          <cell r="F83">
            <v>26</v>
          </cell>
          <cell r="G83">
            <v>28.85161290322581</v>
          </cell>
          <cell r="H83">
            <v>1340000</v>
          </cell>
        </row>
        <row r="84">
          <cell r="B84" t="str">
            <v>Huyønh Chí Trung</v>
          </cell>
          <cell r="C84" t="str">
            <v>CP</v>
          </cell>
          <cell r="D84">
            <v>451500</v>
          </cell>
          <cell r="E84">
            <v>1.0903225806451613</v>
          </cell>
          <cell r="F84">
            <v>25</v>
          </cell>
          <cell r="G84">
            <v>27.258064516129032</v>
          </cell>
          <cell r="H84">
            <v>1266000</v>
          </cell>
        </row>
        <row r="85">
          <cell r="B85" t="str">
            <v>Nguyeãn Thaùi Vieät</v>
          </cell>
          <cell r="D85">
            <v>451500</v>
          </cell>
          <cell r="E85">
            <v>1.1580645161290322</v>
          </cell>
          <cell r="F85">
            <v>26</v>
          </cell>
          <cell r="G85">
            <v>30.109677419354835</v>
          </cell>
          <cell r="H85">
            <v>1363000</v>
          </cell>
        </row>
        <row r="86">
          <cell r="B86" t="str">
            <v>Phan Taán Giaøu</v>
          </cell>
          <cell r="D86">
            <v>472500</v>
          </cell>
          <cell r="E86">
            <v>1.2450000000000001</v>
          </cell>
          <cell r="F86">
            <v>26</v>
          </cell>
          <cell r="G86">
            <v>32.370000000000005</v>
          </cell>
          <cell r="H86">
            <v>1328000</v>
          </cell>
        </row>
        <row r="87">
          <cell r="B87" t="str">
            <v>Taï Vaên Beâ</v>
          </cell>
          <cell r="D87">
            <v>451500</v>
          </cell>
          <cell r="E87">
            <v>1.2370967741935481</v>
          </cell>
          <cell r="F87">
            <v>26</v>
          </cell>
          <cell r="G87">
            <v>32.164516129032251</v>
          </cell>
          <cell r="H87">
            <v>1320000</v>
          </cell>
        </row>
        <row r="88">
          <cell r="B88" t="str">
            <v>Cao Trí Duõng</v>
          </cell>
          <cell r="D88">
            <v>451500</v>
          </cell>
          <cell r="E88">
            <v>1.2145161290322577</v>
          </cell>
          <cell r="F88">
            <v>24</v>
          </cell>
          <cell r="G88">
            <v>29.148387096774186</v>
          </cell>
          <cell r="H88">
            <v>1196000</v>
          </cell>
        </row>
        <row r="89">
          <cell r="B89" t="str">
            <v>Söû Hoaøng Vinh</v>
          </cell>
          <cell r="D89">
            <v>451500</v>
          </cell>
          <cell r="E89">
            <v>1.2483870967741935</v>
          </cell>
          <cell r="F89">
            <v>26</v>
          </cell>
          <cell r="G89">
            <v>32.458064516129028</v>
          </cell>
          <cell r="H89">
            <v>1332000</v>
          </cell>
        </row>
        <row r="90">
          <cell r="B90" t="str">
            <v>Nguyeãn Tuaán Höng</v>
          </cell>
          <cell r="D90">
            <v>451500</v>
          </cell>
          <cell r="E90">
            <v>1.2</v>
          </cell>
          <cell r="F90">
            <v>26</v>
          </cell>
          <cell r="G90">
            <v>31.2</v>
          </cell>
          <cell r="H90">
            <v>1281000</v>
          </cell>
        </row>
        <row r="91">
          <cell r="B91" t="str">
            <v>Thaân Hoaøng Tieán</v>
          </cell>
          <cell r="D91">
            <v>386399.99999999994</v>
          </cell>
          <cell r="E91">
            <v>1.1806451612903224</v>
          </cell>
          <cell r="F91">
            <v>21</v>
          </cell>
          <cell r="G91">
            <v>24.79354838709677</v>
          </cell>
          <cell r="H91">
            <v>1017000</v>
          </cell>
        </row>
        <row r="92">
          <cell r="B92" t="str">
            <v>Cao Vaên UÙt</v>
          </cell>
          <cell r="D92">
            <v>451500</v>
          </cell>
          <cell r="E92">
            <v>1.121612903225804</v>
          </cell>
          <cell r="F92">
            <v>25</v>
          </cell>
          <cell r="G92">
            <v>28.0403225806451</v>
          </cell>
          <cell r="H92">
            <v>1151000</v>
          </cell>
        </row>
        <row r="93">
          <cell r="B93" t="str">
            <v>Nguyeãn Thanh Huøng</v>
          </cell>
          <cell r="D93">
            <v>409500</v>
          </cell>
          <cell r="E93">
            <v>1.182608695652174</v>
          </cell>
          <cell r="F93">
            <v>19</v>
          </cell>
          <cell r="G93">
            <v>22.469565217391306</v>
          </cell>
          <cell r="H93">
            <v>1275000</v>
          </cell>
        </row>
        <row r="94">
          <cell r="B94" t="str">
            <v>Traàn Ngoïc Ñoâng</v>
          </cell>
          <cell r="D94">
            <v>451500</v>
          </cell>
          <cell r="E94">
            <v>1.0903225806451613</v>
          </cell>
          <cell r="F94">
            <v>26</v>
          </cell>
          <cell r="G94">
            <v>28.348387096774193</v>
          </cell>
          <cell r="H94">
            <v>1164000</v>
          </cell>
        </row>
        <row r="95">
          <cell r="B95" t="str">
            <v>Leâ Baù Vöông</v>
          </cell>
          <cell r="C95" t="str">
            <v>TT</v>
          </cell>
          <cell r="D95">
            <v>451500</v>
          </cell>
          <cell r="E95">
            <v>1.1241935483870966</v>
          </cell>
          <cell r="F95">
            <v>26</v>
          </cell>
          <cell r="G95">
            <v>29.229032258064514</v>
          </cell>
          <cell r="H95">
            <v>1200000</v>
          </cell>
        </row>
        <row r="96">
          <cell r="B96" t="str">
            <v>Vaên minh Maät</v>
          </cell>
          <cell r="C96" t="str">
            <v>TP</v>
          </cell>
          <cell r="D96">
            <v>415800</v>
          </cell>
          <cell r="E96">
            <v>1.4</v>
          </cell>
          <cell r="F96">
            <v>26</v>
          </cell>
          <cell r="G96">
            <v>36.4</v>
          </cell>
          <cell r="H96">
            <v>1608000</v>
          </cell>
        </row>
        <row r="97">
          <cell r="B97" t="str">
            <v>Döông Thanh Sôn</v>
          </cell>
          <cell r="D97">
            <v>445200</v>
          </cell>
          <cell r="E97">
            <v>1.3</v>
          </cell>
          <cell r="F97">
            <v>26</v>
          </cell>
          <cell r="G97">
            <v>33.800000000000004</v>
          </cell>
          <cell r="H97">
            <v>1494000</v>
          </cell>
        </row>
        <row r="98">
          <cell r="B98" t="str">
            <v>Nguyeãn Vaên Hoaø</v>
          </cell>
          <cell r="D98">
            <v>403200</v>
          </cell>
          <cell r="E98">
            <v>1.3</v>
          </cell>
          <cell r="F98">
            <v>26</v>
          </cell>
          <cell r="G98">
            <v>33.800000000000004</v>
          </cell>
          <cell r="H98">
            <v>1494000</v>
          </cell>
        </row>
        <row r="99">
          <cell r="B99" t="str">
            <v>Nguyeãn Taán Cöôøng</v>
          </cell>
          <cell r="C99" t="str">
            <v>TP</v>
          </cell>
          <cell r="D99">
            <v>403200</v>
          </cell>
          <cell r="E99">
            <v>1.25</v>
          </cell>
          <cell r="F99">
            <v>26</v>
          </cell>
          <cell r="G99">
            <v>32.5</v>
          </cell>
          <cell r="H99">
            <v>1436000</v>
          </cell>
        </row>
        <row r="100">
          <cell r="B100" t="str">
            <v>Danh Höôøng</v>
          </cell>
          <cell r="D100">
            <v>531300</v>
          </cell>
          <cell r="E100">
            <v>1.25</v>
          </cell>
          <cell r="F100">
            <v>26</v>
          </cell>
          <cell r="G100">
            <v>32.5</v>
          </cell>
          <cell r="H100">
            <v>1436000</v>
          </cell>
        </row>
        <row r="101">
          <cell r="B101" t="str">
            <v>Thaùi Truyeàn Thoáng</v>
          </cell>
          <cell r="D101">
            <v>403200</v>
          </cell>
          <cell r="E101">
            <v>1.25</v>
          </cell>
          <cell r="F101">
            <v>26</v>
          </cell>
          <cell r="G101">
            <v>32.5</v>
          </cell>
          <cell r="H101">
            <v>1436000</v>
          </cell>
        </row>
        <row r="102">
          <cell r="B102" t="str">
            <v>Ng Thanh Sang</v>
          </cell>
          <cell r="D102">
            <v>403200</v>
          </cell>
          <cell r="E102">
            <v>1.25</v>
          </cell>
          <cell r="F102">
            <v>26</v>
          </cell>
          <cell r="G102">
            <v>32.5</v>
          </cell>
          <cell r="H102">
            <v>1436000</v>
          </cell>
        </row>
        <row r="103">
          <cell r="B103" t="str">
            <v>Phaïm Vaên Phuù</v>
          </cell>
          <cell r="D103">
            <v>451500</v>
          </cell>
          <cell r="E103">
            <v>1.25</v>
          </cell>
          <cell r="F103">
            <v>26</v>
          </cell>
          <cell r="G103">
            <v>32.5</v>
          </cell>
          <cell r="H103">
            <v>1436000</v>
          </cell>
        </row>
        <row r="104">
          <cell r="B104" t="str">
            <v>Voõ ngoïc Phöôùc</v>
          </cell>
          <cell r="D104">
            <v>531300</v>
          </cell>
          <cell r="E104">
            <v>1.25</v>
          </cell>
          <cell r="F104">
            <v>26</v>
          </cell>
          <cell r="G104">
            <v>32.5</v>
          </cell>
          <cell r="H104">
            <v>1436000</v>
          </cell>
        </row>
        <row r="105">
          <cell r="B105" t="str">
            <v>Laâm Quang Sang</v>
          </cell>
          <cell r="D105">
            <v>409500</v>
          </cell>
          <cell r="E105">
            <v>0.86249999999999993</v>
          </cell>
          <cell r="F105">
            <v>26</v>
          </cell>
          <cell r="G105">
            <v>22.424999999999997</v>
          </cell>
          <cell r="H105">
            <v>991000</v>
          </cell>
        </row>
        <row r="106">
          <cell r="B106" t="str">
            <v>Buøi Ñình Giaùp</v>
          </cell>
          <cell r="D106">
            <v>531300</v>
          </cell>
          <cell r="E106">
            <v>1.25</v>
          </cell>
          <cell r="F106">
            <v>26</v>
          </cell>
          <cell r="G106">
            <v>32.5</v>
          </cell>
          <cell r="H106">
            <v>1436000</v>
          </cell>
        </row>
        <row r="107">
          <cell r="B107" t="str">
            <v>Laâm Vaên  Giang</v>
          </cell>
          <cell r="D107">
            <v>403200</v>
          </cell>
          <cell r="E107">
            <v>1.25</v>
          </cell>
          <cell r="F107">
            <v>26</v>
          </cell>
          <cell r="G107">
            <v>32.5</v>
          </cell>
          <cell r="H107">
            <v>1436000</v>
          </cell>
        </row>
        <row r="108">
          <cell r="B108" t="str">
            <v>Trieäu Quang  Höng</v>
          </cell>
          <cell r="D108">
            <v>445200</v>
          </cell>
          <cell r="E108">
            <v>1.25</v>
          </cell>
          <cell r="F108">
            <v>26</v>
          </cell>
          <cell r="G108">
            <v>32.5</v>
          </cell>
          <cell r="H108">
            <v>1436000</v>
          </cell>
        </row>
        <row r="109">
          <cell r="B109" t="str">
            <v>Leâ ngoïc Bieân</v>
          </cell>
          <cell r="D109">
            <v>445200</v>
          </cell>
          <cell r="E109">
            <v>1.25</v>
          </cell>
          <cell r="F109">
            <v>26</v>
          </cell>
          <cell r="G109">
            <v>32.5</v>
          </cell>
          <cell r="H109">
            <v>1436000</v>
          </cell>
        </row>
        <row r="110">
          <cell r="B110" t="str">
            <v>Nguyeãn Vaên Laäp</v>
          </cell>
          <cell r="D110">
            <v>451500</v>
          </cell>
          <cell r="E110">
            <v>1.25</v>
          </cell>
          <cell r="F110">
            <v>26</v>
          </cell>
          <cell r="G110">
            <v>32.5</v>
          </cell>
          <cell r="H110">
            <v>1436000</v>
          </cell>
        </row>
        <row r="111">
          <cell r="B111" t="str">
            <v>Nguyeãn phuù tuùc</v>
          </cell>
          <cell r="D111">
            <v>367500</v>
          </cell>
          <cell r="E111">
            <v>1.25</v>
          </cell>
          <cell r="F111">
            <v>26</v>
          </cell>
          <cell r="G111">
            <v>32.5</v>
          </cell>
          <cell r="H111">
            <v>1436000</v>
          </cell>
        </row>
        <row r="112">
          <cell r="B112" t="str">
            <v>Traàn ñình Long</v>
          </cell>
          <cell r="D112">
            <v>445200</v>
          </cell>
          <cell r="E112">
            <v>1.25</v>
          </cell>
          <cell r="F112">
            <v>26</v>
          </cell>
          <cell r="G112">
            <v>32.5</v>
          </cell>
          <cell r="H112">
            <v>1436000</v>
          </cell>
        </row>
        <row r="113">
          <cell r="B113" t="str">
            <v>Toâ Ngoïc Mai</v>
          </cell>
          <cell r="C113" t="str">
            <v>TP</v>
          </cell>
          <cell r="D113">
            <v>403200</v>
          </cell>
          <cell r="E113">
            <v>1.3</v>
          </cell>
          <cell r="F113">
            <v>26</v>
          </cell>
          <cell r="G113">
            <v>33.800000000000004</v>
          </cell>
          <cell r="H113">
            <v>1494000</v>
          </cell>
        </row>
        <row r="114">
          <cell r="B114" t="str">
            <v>Ng  Coâng Laønh</v>
          </cell>
          <cell r="D114">
            <v>445200</v>
          </cell>
          <cell r="E114">
            <v>1.25</v>
          </cell>
          <cell r="F114">
            <v>24</v>
          </cell>
          <cell r="G114">
            <v>30</v>
          </cell>
          <cell r="H114">
            <v>1326000</v>
          </cell>
        </row>
        <row r="115">
          <cell r="B115" t="str">
            <v>Ñaøm Ñöùc Minh</v>
          </cell>
          <cell r="D115">
            <v>445200</v>
          </cell>
          <cell r="E115">
            <v>1.25</v>
          </cell>
          <cell r="F115">
            <v>26</v>
          </cell>
          <cell r="G115">
            <v>32.5</v>
          </cell>
          <cell r="H115">
            <v>1436000</v>
          </cell>
        </row>
        <row r="116">
          <cell r="B116" t="str">
            <v>Mai Vaên Tröïc</v>
          </cell>
          <cell r="D116">
            <v>445200</v>
          </cell>
          <cell r="E116">
            <v>1.25</v>
          </cell>
          <cell r="F116">
            <v>26</v>
          </cell>
          <cell r="G116">
            <v>32.5</v>
          </cell>
          <cell r="H116">
            <v>1436000</v>
          </cell>
        </row>
        <row r="117">
          <cell r="B117" t="str">
            <v>Laâm Vaên Sang</v>
          </cell>
          <cell r="C117" t="str">
            <v>C.T</v>
          </cell>
          <cell r="D117">
            <v>447300</v>
          </cell>
          <cell r="E117">
            <v>1.3049999999999999</v>
          </cell>
          <cell r="F117">
            <v>26</v>
          </cell>
          <cell r="G117">
            <v>33.93</v>
          </cell>
          <cell r="H117">
            <v>1499000</v>
          </cell>
        </row>
        <row r="118">
          <cell r="B118" t="str">
            <v>Buøi Huy Chöông</v>
          </cell>
          <cell r="D118">
            <v>426300.00000000006</v>
          </cell>
          <cell r="E118">
            <v>1.155</v>
          </cell>
          <cell r="F118">
            <v>25</v>
          </cell>
          <cell r="G118">
            <v>28.875</v>
          </cell>
          <cell r="H118">
            <v>1276000</v>
          </cell>
        </row>
        <row r="119">
          <cell r="B119" t="str">
            <v>Nguyeãn Höõu Thaïnh</v>
          </cell>
          <cell r="D119">
            <v>426300.00000000006</v>
          </cell>
          <cell r="E119">
            <v>1.155</v>
          </cell>
          <cell r="F119">
            <v>26</v>
          </cell>
          <cell r="G119">
            <v>30.03</v>
          </cell>
          <cell r="H119">
            <v>1327000</v>
          </cell>
        </row>
        <row r="120">
          <cell r="B120" t="str">
            <v>Laâm Höõu Thöùc</v>
          </cell>
          <cell r="D120">
            <v>409500</v>
          </cell>
          <cell r="E120">
            <v>1.0972500000000001</v>
          </cell>
          <cell r="F120">
            <v>23</v>
          </cell>
          <cell r="G120">
            <v>25.236750000000001</v>
          </cell>
          <cell r="H120">
            <v>1115000</v>
          </cell>
        </row>
        <row r="121">
          <cell r="B121" t="str">
            <v>Nguyeãn Xuaân Möôøi</v>
          </cell>
          <cell r="D121">
            <v>451500</v>
          </cell>
          <cell r="E121">
            <v>1.155</v>
          </cell>
          <cell r="F121">
            <v>26</v>
          </cell>
          <cell r="G121">
            <v>30.03</v>
          </cell>
          <cell r="H121">
            <v>1327000</v>
          </cell>
        </row>
        <row r="122">
          <cell r="B122" t="str">
            <v>Traàn Vaên Ñaït</v>
          </cell>
          <cell r="D122">
            <v>451500</v>
          </cell>
          <cell r="E122">
            <v>1.155</v>
          </cell>
          <cell r="F122">
            <v>26</v>
          </cell>
          <cell r="G122">
            <v>30.03</v>
          </cell>
          <cell r="H122">
            <v>1327000</v>
          </cell>
        </row>
        <row r="123">
          <cell r="B123" t="str">
            <v>Traàn Vaên Tieán</v>
          </cell>
          <cell r="C123" t="str">
            <v>TT</v>
          </cell>
          <cell r="D123">
            <v>426300.00000000006</v>
          </cell>
          <cell r="E123">
            <v>1.155</v>
          </cell>
          <cell r="F123">
            <v>26</v>
          </cell>
          <cell r="G123">
            <v>30.03</v>
          </cell>
          <cell r="H123">
            <v>1327000</v>
          </cell>
        </row>
        <row r="124">
          <cell r="B124" t="str">
            <v>Trònh Vaên Thaùi</v>
          </cell>
          <cell r="D124">
            <v>386399.99999999994</v>
          </cell>
          <cell r="E124">
            <v>0.86249999999999993</v>
          </cell>
          <cell r="F124">
            <v>26</v>
          </cell>
          <cell r="G124">
            <v>22.424999999999997</v>
          </cell>
          <cell r="H124">
            <v>991000</v>
          </cell>
        </row>
        <row r="125">
          <cell r="B125" t="str">
            <v>Nguyeãn Hoaøng Nam</v>
          </cell>
          <cell r="D125">
            <v>451500</v>
          </cell>
          <cell r="E125">
            <v>1.3</v>
          </cell>
          <cell r="F125">
            <v>26</v>
          </cell>
          <cell r="G125">
            <v>33.800000000000004</v>
          </cell>
          <cell r="H125">
            <v>1494000</v>
          </cell>
        </row>
        <row r="126">
          <cell r="B126" t="str">
            <v>Traàn Anh Tuaán</v>
          </cell>
          <cell r="D126">
            <v>426300.00000000006</v>
          </cell>
          <cell r="E126">
            <v>1.1499999999999999</v>
          </cell>
          <cell r="F126">
            <v>24</v>
          </cell>
          <cell r="G126">
            <v>27.599999999999998</v>
          </cell>
          <cell r="H126">
            <v>1220000</v>
          </cell>
        </row>
        <row r="127">
          <cell r="B127" t="str">
            <v>Ñoã Ñaêng Khoa</v>
          </cell>
          <cell r="D127">
            <v>399000</v>
          </cell>
          <cell r="E127">
            <v>1.1499999999999999</v>
          </cell>
          <cell r="F127">
            <v>26</v>
          </cell>
          <cell r="G127">
            <v>29.9</v>
          </cell>
          <cell r="H127">
            <v>1322000</v>
          </cell>
        </row>
        <row r="128">
          <cell r="B128" t="str">
            <v>Ñaøo Vaên Phuùc</v>
          </cell>
          <cell r="D128">
            <v>386399.99999999994</v>
          </cell>
          <cell r="E128">
            <v>1.1499999999999999</v>
          </cell>
          <cell r="F128">
            <v>26</v>
          </cell>
          <cell r="G128">
            <v>29.9</v>
          </cell>
          <cell r="H128">
            <v>1322000</v>
          </cell>
        </row>
        <row r="129">
          <cell r="B129" t="str">
            <v>Buøi Ñöùc Bieàn</v>
          </cell>
          <cell r="C129" t="str">
            <v>CT</v>
          </cell>
          <cell r="D129">
            <v>451500</v>
          </cell>
          <cell r="E129">
            <v>1.2629999999999999</v>
          </cell>
          <cell r="F129">
            <v>26</v>
          </cell>
          <cell r="G129">
            <v>32.837999999999994</v>
          </cell>
          <cell r="H129">
            <v>1432000</v>
          </cell>
        </row>
        <row r="130">
          <cell r="B130" t="str">
            <v>Nguyeãn Ngoïc Löôïng</v>
          </cell>
          <cell r="D130">
            <v>386399.99999999994</v>
          </cell>
          <cell r="E130">
            <v>1.2</v>
          </cell>
          <cell r="F130">
            <v>26</v>
          </cell>
          <cell r="G130">
            <v>31.2</v>
          </cell>
          <cell r="H130">
            <v>1379000</v>
          </cell>
        </row>
        <row r="131">
          <cell r="B131" t="str">
            <v>Laâm Nhaät Tröôøng</v>
          </cell>
          <cell r="D131">
            <v>386399.99999999994</v>
          </cell>
          <cell r="E131">
            <v>0.86249999999999993</v>
          </cell>
          <cell r="F131">
            <v>26</v>
          </cell>
          <cell r="G131">
            <v>22.424999999999997</v>
          </cell>
          <cell r="H131">
            <v>991000</v>
          </cell>
        </row>
        <row r="132">
          <cell r="B132" t="str">
            <v>Huyønh Thanh Phong</v>
          </cell>
        </row>
        <row r="133">
          <cell r="B133" t="str">
            <v>Traàn Vieät Quoác</v>
          </cell>
          <cell r="D133">
            <v>447300</v>
          </cell>
          <cell r="E133">
            <v>1.3</v>
          </cell>
          <cell r="F133">
            <v>26</v>
          </cell>
          <cell r="G133">
            <v>33.800000000000004</v>
          </cell>
          <cell r="H133">
            <v>1494000</v>
          </cell>
        </row>
        <row r="134">
          <cell r="B134" t="str">
            <v>Nguyeãn Anh Tuaán B</v>
          </cell>
          <cell r="D134">
            <v>451500</v>
          </cell>
          <cell r="E134">
            <v>1.1759999999999999</v>
          </cell>
          <cell r="F134">
            <v>26</v>
          </cell>
          <cell r="G134">
            <v>30.575999999999997</v>
          </cell>
          <cell r="H134">
            <v>1351000</v>
          </cell>
        </row>
        <row r="135">
          <cell r="B135" t="str">
            <v>Trieäu Vaên Long</v>
          </cell>
          <cell r="C135" t="str">
            <v>CT</v>
          </cell>
          <cell r="D135">
            <v>426300.00000000006</v>
          </cell>
          <cell r="E135">
            <v>1.1499999999999999</v>
          </cell>
          <cell r="F135">
            <v>26</v>
          </cell>
          <cell r="G135">
            <v>29.9</v>
          </cell>
          <cell r="H135">
            <v>1322000</v>
          </cell>
        </row>
        <row r="136">
          <cell r="B136" t="str">
            <v>Ngoâ Quoác Maïnh</v>
          </cell>
          <cell r="D136">
            <v>426300.00000000006</v>
          </cell>
          <cell r="E136">
            <v>1.1499999999999999</v>
          </cell>
          <cell r="F136">
            <v>26</v>
          </cell>
          <cell r="G136">
            <v>29.9</v>
          </cell>
          <cell r="H136">
            <v>1322000</v>
          </cell>
        </row>
        <row r="137">
          <cell r="B137" t="str">
            <v>Nguyeãn Thanh Lieâm</v>
          </cell>
          <cell r="D137">
            <v>386399.99999999994</v>
          </cell>
          <cell r="E137">
            <v>1.1499999999999999</v>
          </cell>
          <cell r="F137">
            <v>26</v>
          </cell>
          <cell r="G137">
            <v>29.9</v>
          </cell>
          <cell r="H137">
            <v>1322000</v>
          </cell>
        </row>
        <row r="138">
          <cell r="B138" t="str">
            <v>Buøi Huy Trung</v>
          </cell>
          <cell r="D138">
            <v>451500</v>
          </cell>
          <cell r="E138">
            <v>1.1499999999999999</v>
          </cell>
          <cell r="F138">
            <v>22</v>
          </cell>
          <cell r="G138">
            <v>25.299999999999997</v>
          </cell>
          <cell r="H138">
            <v>1118000</v>
          </cell>
        </row>
        <row r="139">
          <cell r="B139" t="str">
            <v>Huyønh Thieän Phuùc</v>
          </cell>
          <cell r="D139">
            <v>386399.99999999994</v>
          </cell>
          <cell r="E139">
            <v>1.2</v>
          </cell>
          <cell r="F139">
            <v>24</v>
          </cell>
          <cell r="G139">
            <v>28.799999999999997</v>
          </cell>
          <cell r="H139">
            <v>1273000</v>
          </cell>
        </row>
        <row r="140">
          <cell r="B140" t="str">
            <v>Laâm Thaùi Döông</v>
          </cell>
          <cell r="D140">
            <v>386399.99999999994</v>
          </cell>
          <cell r="E140">
            <v>0.86299999999999999</v>
          </cell>
          <cell r="F140">
            <v>25</v>
          </cell>
          <cell r="G140">
            <v>21.574999999999999</v>
          </cell>
          <cell r="H140">
            <v>953000</v>
          </cell>
        </row>
        <row r="141">
          <cell r="B141" t="str">
            <v>Huyønh Vaên Quyù</v>
          </cell>
          <cell r="D141">
            <v>472500</v>
          </cell>
          <cell r="E141">
            <v>1.45</v>
          </cell>
          <cell r="F141">
            <v>26</v>
          </cell>
          <cell r="G141">
            <v>37.699999999999996</v>
          </cell>
          <cell r="H141">
            <v>1705000</v>
          </cell>
        </row>
        <row r="142">
          <cell r="B142" t="str">
            <v>Ng. Duyeân Thuaán</v>
          </cell>
          <cell r="D142">
            <v>451500</v>
          </cell>
          <cell r="E142">
            <v>1.4</v>
          </cell>
          <cell r="F142">
            <v>26</v>
          </cell>
          <cell r="G142">
            <v>36.4</v>
          </cell>
          <cell r="H142">
            <v>1647000</v>
          </cell>
        </row>
        <row r="143">
          <cell r="B143" t="str">
            <v>Phaïm Nhö Thuaàn</v>
          </cell>
          <cell r="D143">
            <v>451500</v>
          </cell>
          <cell r="E143">
            <v>1.4</v>
          </cell>
          <cell r="F143">
            <v>26</v>
          </cell>
          <cell r="G143">
            <v>36.4</v>
          </cell>
          <cell r="H143">
            <v>1647000</v>
          </cell>
        </row>
        <row r="144">
          <cell r="B144" t="str">
            <v>Huyønh Hoàng Ñöùc</v>
          </cell>
          <cell r="D144">
            <v>451500</v>
          </cell>
          <cell r="E144">
            <v>1.2789999999999999</v>
          </cell>
          <cell r="F144">
            <v>18</v>
          </cell>
          <cell r="G144">
            <v>23.021999999999998</v>
          </cell>
          <cell r="H144">
            <v>1000000</v>
          </cell>
        </row>
        <row r="145">
          <cell r="B145" t="str">
            <v>Traàn Phöông Anh</v>
          </cell>
          <cell r="D145">
            <v>451500</v>
          </cell>
          <cell r="E145">
            <v>1.4</v>
          </cell>
          <cell r="F145">
            <v>26</v>
          </cell>
          <cell r="G145">
            <v>36.4</v>
          </cell>
          <cell r="H145">
            <v>1568000</v>
          </cell>
        </row>
        <row r="146">
          <cell r="B146" t="str">
            <v>Traàn Bình Trong</v>
          </cell>
          <cell r="D146">
            <v>451500</v>
          </cell>
          <cell r="E146">
            <v>1.4</v>
          </cell>
          <cell r="F146">
            <v>26</v>
          </cell>
          <cell r="G146">
            <v>36.4</v>
          </cell>
          <cell r="H146">
            <v>1568000</v>
          </cell>
        </row>
        <row r="147">
          <cell r="B147" t="str">
            <v>Ng. Phuùc Anh</v>
          </cell>
          <cell r="D147">
            <v>409500</v>
          </cell>
          <cell r="E147">
            <v>1.0499999999999998</v>
          </cell>
          <cell r="F147">
            <v>26</v>
          </cell>
          <cell r="G147">
            <v>27.299999999999997</v>
          </cell>
          <cell r="H147">
            <v>1206000</v>
          </cell>
        </row>
        <row r="148">
          <cell r="B148" t="str">
            <v>Nguyeãn Vaên Thanh</v>
          </cell>
          <cell r="D148">
            <v>373800</v>
          </cell>
          <cell r="E148">
            <v>1</v>
          </cell>
          <cell r="F148">
            <v>26</v>
          </cell>
          <cell r="G148">
            <v>26</v>
          </cell>
          <cell r="H148">
            <v>1148000</v>
          </cell>
        </row>
        <row r="149">
          <cell r="B149" t="str">
            <v>Voõ Vaên Huøng</v>
          </cell>
          <cell r="D149">
            <v>386399.99999999994</v>
          </cell>
          <cell r="E149">
            <v>1</v>
          </cell>
          <cell r="F149">
            <v>26</v>
          </cell>
          <cell r="G149">
            <v>26</v>
          </cell>
          <cell r="H149">
            <v>1148000</v>
          </cell>
        </row>
        <row r="150">
          <cell r="B150" t="str">
            <v>Ng. vaên Quoác Ñaèng</v>
          </cell>
          <cell r="D150">
            <v>409500</v>
          </cell>
          <cell r="E150">
            <v>1</v>
          </cell>
          <cell r="F150">
            <v>25</v>
          </cell>
          <cell r="G150">
            <v>25</v>
          </cell>
          <cell r="H150">
            <v>1105000</v>
          </cell>
        </row>
        <row r="151">
          <cell r="B151" t="str">
            <v>Trònh Vaên Luøng</v>
          </cell>
          <cell r="C151" t="str">
            <v>CNPXSX</v>
          </cell>
          <cell r="D151">
            <v>426300.00000000006</v>
          </cell>
          <cell r="E151">
            <v>1</v>
          </cell>
          <cell r="F151">
            <v>25</v>
          </cell>
          <cell r="G151">
            <v>25</v>
          </cell>
          <cell r="H151">
            <v>1105000</v>
          </cell>
        </row>
        <row r="152">
          <cell r="B152" t="str">
            <v>Hoà Quoác Böûu</v>
          </cell>
          <cell r="C152" t="str">
            <v>"</v>
          </cell>
          <cell r="D152">
            <v>426300.00000000006</v>
          </cell>
          <cell r="E152">
            <v>1.171</v>
          </cell>
          <cell r="F152">
            <v>26</v>
          </cell>
          <cell r="G152">
            <v>30.446000000000002</v>
          </cell>
          <cell r="H152">
            <v>1345000</v>
          </cell>
        </row>
        <row r="153">
          <cell r="B153" t="str">
            <v>Nguyeãn Vaên Ñoâng</v>
          </cell>
          <cell r="C153" t="str">
            <v>"</v>
          </cell>
          <cell r="D153">
            <v>426300.00000000006</v>
          </cell>
          <cell r="E153">
            <v>1.2030000000000001</v>
          </cell>
          <cell r="F153">
            <v>26</v>
          </cell>
          <cell r="G153">
            <v>31.278000000000002</v>
          </cell>
          <cell r="H153">
            <v>1382000</v>
          </cell>
        </row>
        <row r="154">
          <cell r="B154" t="str">
            <v>Traàn Duõng Thaéng</v>
          </cell>
          <cell r="C154" t="str">
            <v>"</v>
          </cell>
          <cell r="D154">
            <v>445200</v>
          </cell>
          <cell r="E154">
            <v>1.1060000000000001</v>
          </cell>
          <cell r="F154">
            <v>14</v>
          </cell>
          <cell r="G154">
            <v>15.484000000000002</v>
          </cell>
          <cell r="H154">
            <v>660000</v>
          </cell>
        </row>
        <row r="155">
          <cell r="B155" t="str">
            <v>Quyû caùc toå thieáu ngöôøi</v>
          </cell>
          <cell r="C155" t="str">
            <v>"</v>
          </cell>
          <cell r="E155">
            <v>0</v>
          </cell>
          <cell r="F155">
            <v>0</v>
          </cell>
          <cell r="G155">
            <v>60.81</v>
          </cell>
          <cell r="H155">
            <v>1947000</v>
          </cell>
        </row>
        <row r="156">
          <cell r="B156" t="str">
            <v>Ñaäp ñaù ngoøai trôøi</v>
          </cell>
          <cell r="E156">
            <v>0</v>
          </cell>
          <cell r="F156">
            <v>0</v>
          </cell>
          <cell r="H156">
            <v>0</v>
          </cell>
        </row>
        <row r="157">
          <cell r="B157" t="str">
            <v>Löông Haûi Ñaêng</v>
          </cell>
          <cell r="C157" t="str">
            <v>CNPXSX</v>
          </cell>
          <cell r="D157">
            <v>409500</v>
          </cell>
          <cell r="E157">
            <v>1.1231267345050877</v>
          </cell>
          <cell r="F157">
            <v>22</v>
          </cell>
          <cell r="G157">
            <v>24.708788159111929</v>
          </cell>
          <cell r="H157">
            <v>1143000</v>
          </cell>
        </row>
        <row r="158">
          <cell r="B158" t="str">
            <v>Ng. Vaên Uùt (B)</v>
          </cell>
          <cell r="C158" t="str">
            <v>"</v>
          </cell>
          <cell r="D158">
            <v>409500</v>
          </cell>
          <cell r="E158">
            <v>1.1822386679000925</v>
          </cell>
          <cell r="F158">
            <v>26</v>
          </cell>
          <cell r="G158">
            <v>30.738205365402404</v>
          </cell>
          <cell r="H158">
            <v>1497000</v>
          </cell>
        </row>
        <row r="159">
          <cell r="B159" t="str">
            <v>Phuø Thoï Loäc</v>
          </cell>
          <cell r="C159" t="str">
            <v>"</v>
          </cell>
          <cell r="D159">
            <v>409500</v>
          </cell>
          <cell r="E159">
            <v>1.1822386679000925</v>
          </cell>
          <cell r="F159">
            <v>26</v>
          </cell>
          <cell r="G159">
            <v>30.738205365402404</v>
          </cell>
          <cell r="H159">
            <v>1497000</v>
          </cell>
        </row>
        <row r="160">
          <cell r="B160" t="str">
            <v>Traàn Quang Kheän</v>
          </cell>
          <cell r="C160" t="str">
            <v>"</v>
          </cell>
          <cell r="D160">
            <v>445200</v>
          </cell>
          <cell r="E160">
            <v>1.1231267345050877</v>
          </cell>
          <cell r="F160">
            <v>16</v>
          </cell>
          <cell r="G160">
            <v>17.970027752081403</v>
          </cell>
          <cell r="H160">
            <v>761000</v>
          </cell>
        </row>
        <row r="161">
          <cell r="B161" t="str">
            <v>Phaïm Tieán Huøng</v>
          </cell>
          <cell r="C161" t="str">
            <v>"</v>
          </cell>
          <cell r="D161">
            <v>409500</v>
          </cell>
          <cell r="E161">
            <v>1.1822386679000925</v>
          </cell>
          <cell r="F161">
            <v>26</v>
          </cell>
          <cell r="G161">
            <v>30.738205365402404</v>
          </cell>
          <cell r="H161">
            <v>1233000</v>
          </cell>
        </row>
        <row r="162">
          <cell r="B162" t="str">
            <v>Laâm Duy Khanh</v>
          </cell>
          <cell r="C162" t="str">
            <v>"</v>
          </cell>
          <cell r="D162">
            <v>409500</v>
          </cell>
          <cell r="E162">
            <v>1.1822386679000925</v>
          </cell>
          <cell r="F162">
            <v>22</v>
          </cell>
          <cell r="G162">
            <v>26.009250693802034</v>
          </cell>
          <cell r="H162">
            <v>1043000</v>
          </cell>
        </row>
        <row r="163">
          <cell r="B163" t="str">
            <v>Ng. Thanh Hoaø</v>
          </cell>
          <cell r="C163" t="str">
            <v>"</v>
          </cell>
          <cell r="D163">
            <v>409500</v>
          </cell>
          <cell r="E163">
            <v>1.1822386679000925</v>
          </cell>
          <cell r="F163">
            <v>26</v>
          </cell>
          <cell r="G163">
            <v>30.738205365402404</v>
          </cell>
          <cell r="H163">
            <v>1233000</v>
          </cell>
        </row>
        <row r="164">
          <cell r="B164" t="str">
            <v>Phaïm Thaønh Ñònh</v>
          </cell>
          <cell r="C164" t="str">
            <v>"</v>
          </cell>
          <cell r="D164">
            <v>409500</v>
          </cell>
          <cell r="E164">
            <v>1.1822386679000925</v>
          </cell>
          <cell r="F164">
            <v>26</v>
          </cell>
          <cell r="G164">
            <v>30.738205365402404</v>
          </cell>
          <cell r="H164">
            <v>1162000</v>
          </cell>
        </row>
        <row r="165">
          <cell r="B165" t="str">
            <v>Haø Chí Linh</v>
          </cell>
          <cell r="C165" t="str">
            <v>"</v>
          </cell>
          <cell r="D165">
            <v>409500</v>
          </cell>
          <cell r="E165">
            <v>1.1822386679000925</v>
          </cell>
          <cell r="F165">
            <v>26</v>
          </cell>
          <cell r="G165">
            <v>30.738205365402404</v>
          </cell>
          <cell r="H165">
            <v>1162000</v>
          </cell>
        </row>
        <row r="166">
          <cell r="B166" t="str">
            <v>Leâ Hoaøng UÙt</v>
          </cell>
          <cell r="C166" t="str">
            <v>"</v>
          </cell>
          <cell r="D166">
            <v>409500</v>
          </cell>
          <cell r="E166">
            <v>1.1822386679000925</v>
          </cell>
          <cell r="F166">
            <v>26</v>
          </cell>
          <cell r="G166">
            <v>30.738205365402404</v>
          </cell>
          <cell r="H166">
            <v>1162000</v>
          </cell>
        </row>
        <row r="167">
          <cell r="B167" t="str">
            <v>Trieäu quang Thanh</v>
          </cell>
          <cell r="C167" t="str">
            <v>"</v>
          </cell>
          <cell r="D167">
            <v>451500</v>
          </cell>
          <cell r="E167">
            <v>0</v>
          </cell>
          <cell r="F167">
            <v>0</v>
          </cell>
          <cell r="G167">
            <v>0</v>
          </cell>
          <cell r="H167">
            <v>451000</v>
          </cell>
        </row>
        <row r="168">
          <cell r="B168" t="str">
            <v>Phaïm Quoác Huøng</v>
          </cell>
          <cell r="D168">
            <v>386399.99999999994</v>
          </cell>
          <cell r="F168">
            <v>0</v>
          </cell>
          <cell r="H168">
            <v>386000</v>
          </cell>
        </row>
        <row r="169">
          <cell r="B169" t="str">
            <v>Huyønh Trí Chaùnh</v>
          </cell>
          <cell r="D169">
            <v>426300.00000000006</v>
          </cell>
          <cell r="F169">
            <v>0</v>
          </cell>
          <cell r="H169">
            <v>451000</v>
          </cell>
        </row>
        <row r="170">
          <cell r="B170" t="str">
            <v>Traàn Vaên Teá</v>
          </cell>
          <cell r="F170">
            <v>0</v>
          </cell>
          <cell r="H170">
            <v>0</v>
          </cell>
        </row>
        <row r="171">
          <cell r="B171" t="str">
            <v>Coäng:</v>
          </cell>
          <cell r="D171">
            <v>62924400</v>
          </cell>
          <cell r="H171">
            <v>193800000</v>
          </cell>
        </row>
      </sheetData>
      <sheetData sheetId="19" refreshError="1"/>
      <sheetData sheetId="20" refreshError="1"/>
      <sheetData sheetId="21" refreshError="1"/>
      <sheetData sheetId="22" refreshError="1"/>
      <sheetData sheetId="23" refreshError="1"/>
      <sheetData sheetId="24" refreshError="1"/>
      <sheetData sheetId="25" refreshError="1">
        <row r="15">
          <cell r="B15" t="str">
            <v>Phaïm Ñöùc Thieäp</v>
          </cell>
          <cell r="C15" t="str">
            <v>Xe xuùc</v>
          </cell>
          <cell r="D15">
            <v>623700</v>
          </cell>
          <cell r="E15">
            <v>1.2</v>
          </cell>
          <cell r="F15">
            <v>23</v>
          </cell>
          <cell r="G15">
            <v>27.599999999999998</v>
          </cell>
          <cell r="H15">
            <v>1258000</v>
          </cell>
          <cell r="J15">
            <v>1258000</v>
          </cell>
          <cell r="K15">
            <v>31185</v>
          </cell>
          <cell r="L15">
            <v>6237</v>
          </cell>
          <cell r="M15">
            <v>1220578</v>
          </cell>
        </row>
        <row r="16">
          <cell r="B16" t="str">
            <v>Nguyeãn Xuaân Thaønh</v>
          </cell>
          <cell r="C16" t="str">
            <v>"</v>
          </cell>
          <cell r="D16">
            <v>403200</v>
          </cell>
          <cell r="E16">
            <v>1.2</v>
          </cell>
          <cell r="F16">
            <v>23</v>
          </cell>
          <cell r="G16">
            <v>27.599999999999998</v>
          </cell>
          <cell r="H16">
            <v>1258000</v>
          </cell>
          <cell r="J16">
            <v>1258000</v>
          </cell>
          <cell r="K16">
            <v>20160</v>
          </cell>
          <cell r="L16">
            <v>4032</v>
          </cell>
          <cell r="M16">
            <v>1233808</v>
          </cell>
        </row>
        <row r="17">
          <cell r="B17" t="str">
            <v>Nguyeãn Ñöùc Thaéng</v>
          </cell>
          <cell r="C17" t="str">
            <v>Xe xuùc 300</v>
          </cell>
          <cell r="D17">
            <v>554400</v>
          </cell>
          <cell r="E17">
            <v>1.2</v>
          </cell>
          <cell r="F17">
            <v>24</v>
          </cell>
          <cell r="G17">
            <v>28.799999999999997</v>
          </cell>
          <cell r="H17">
            <v>1314000</v>
          </cell>
          <cell r="J17">
            <v>1314000</v>
          </cell>
          <cell r="K17">
            <v>27720</v>
          </cell>
          <cell r="L17">
            <v>5544</v>
          </cell>
          <cell r="M17">
            <v>1280736</v>
          </cell>
        </row>
        <row r="18">
          <cell r="B18" t="str">
            <v>Buøi Quang Laäp</v>
          </cell>
          <cell r="C18" t="str">
            <v>"</v>
          </cell>
          <cell r="D18">
            <v>445200</v>
          </cell>
          <cell r="E18">
            <v>1.2</v>
          </cell>
          <cell r="F18">
            <v>23</v>
          </cell>
          <cell r="G18">
            <v>27.599999999999998</v>
          </cell>
          <cell r="H18">
            <v>1258000</v>
          </cell>
          <cell r="J18">
            <v>1258000</v>
          </cell>
          <cell r="K18">
            <v>22260</v>
          </cell>
          <cell r="L18">
            <v>4452</v>
          </cell>
          <cell r="M18">
            <v>1231288</v>
          </cell>
        </row>
        <row r="19">
          <cell r="B19" t="str">
            <v>Nguyeãn Thaønh Thoaïi</v>
          </cell>
          <cell r="C19" t="str">
            <v>Xe cuoác</v>
          </cell>
          <cell r="D19">
            <v>403200</v>
          </cell>
          <cell r="E19">
            <v>1.2</v>
          </cell>
          <cell r="F19">
            <v>27</v>
          </cell>
          <cell r="G19">
            <v>32.4</v>
          </cell>
          <cell r="H19">
            <v>1477000</v>
          </cell>
          <cell r="J19">
            <v>1477000</v>
          </cell>
          <cell r="K19">
            <v>20160</v>
          </cell>
          <cell r="L19">
            <v>4032</v>
          </cell>
          <cell r="M19">
            <v>1452808</v>
          </cell>
        </row>
        <row r="20">
          <cell r="B20" t="str">
            <v>Ngoâ Vaên Taân</v>
          </cell>
          <cell r="C20" t="str">
            <v>Xe cuoác</v>
          </cell>
          <cell r="D20">
            <v>554400</v>
          </cell>
          <cell r="E20">
            <v>1.2</v>
          </cell>
          <cell r="F20">
            <v>27</v>
          </cell>
          <cell r="G20">
            <v>32.4</v>
          </cell>
          <cell r="H20">
            <v>1477000</v>
          </cell>
          <cell r="J20">
            <v>1477000</v>
          </cell>
          <cell r="K20">
            <v>27720</v>
          </cell>
          <cell r="L20">
            <v>5544</v>
          </cell>
          <cell r="M20">
            <v>1443736</v>
          </cell>
        </row>
        <row r="21">
          <cell r="E21">
            <v>7.2</v>
          </cell>
          <cell r="G21">
            <v>176.4</v>
          </cell>
          <cell r="H21">
            <v>8042000</v>
          </cell>
          <cell r="J21">
            <v>8042000</v>
          </cell>
        </row>
        <row r="22">
          <cell r="B22" t="str">
            <v>Buøi Quang Baèng</v>
          </cell>
          <cell r="C22" t="str">
            <v>Xe naâng</v>
          </cell>
          <cell r="D22">
            <v>403200</v>
          </cell>
          <cell r="E22">
            <v>1.2</v>
          </cell>
          <cell r="F22">
            <v>24</v>
          </cell>
          <cell r="G22">
            <v>28.799999999999997</v>
          </cell>
          <cell r="H22">
            <v>1249000</v>
          </cell>
          <cell r="J22">
            <v>1249000</v>
          </cell>
          <cell r="K22">
            <v>20160</v>
          </cell>
          <cell r="L22">
            <v>4032</v>
          </cell>
          <cell r="M22">
            <v>1224808</v>
          </cell>
        </row>
        <row r="23">
          <cell r="B23" t="str">
            <v>Ngoâ Vaên Thaân</v>
          </cell>
          <cell r="C23" t="str">
            <v>"</v>
          </cell>
          <cell r="D23">
            <v>403200</v>
          </cell>
          <cell r="E23">
            <v>1.2</v>
          </cell>
          <cell r="F23">
            <v>31</v>
          </cell>
          <cell r="G23">
            <v>37.199999999999996</v>
          </cell>
          <cell r="H23">
            <v>1613000</v>
          </cell>
          <cell r="J23">
            <v>1613000</v>
          </cell>
          <cell r="K23">
            <v>20160</v>
          </cell>
          <cell r="L23">
            <v>4032</v>
          </cell>
          <cell r="M23">
            <v>1588808</v>
          </cell>
        </row>
        <row r="24">
          <cell r="B24" t="str">
            <v>Phan Thanh Trung</v>
          </cell>
          <cell r="C24" t="str">
            <v>"</v>
          </cell>
          <cell r="D24">
            <v>403200</v>
          </cell>
          <cell r="E24">
            <v>1.2</v>
          </cell>
          <cell r="F24">
            <v>29</v>
          </cell>
          <cell r="G24">
            <v>34.799999999999997</v>
          </cell>
          <cell r="H24">
            <v>1509000</v>
          </cell>
          <cell r="J24">
            <v>1509000</v>
          </cell>
          <cell r="K24">
            <v>20160</v>
          </cell>
          <cell r="L24">
            <v>4032</v>
          </cell>
          <cell r="M24">
            <v>1484808</v>
          </cell>
        </row>
        <row r="25">
          <cell r="B25" t="str">
            <v>Hoà Ngoïc Lôïi</v>
          </cell>
          <cell r="C25" t="str">
            <v>"</v>
          </cell>
          <cell r="D25">
            <v>417900</v>
          </cell>
          <cell r="E25">
            <v>1.2</v>
          </cell>
          <cell r="F25">
            <v>20</v>
          </cell>
          <cell r="G25">
            <v>24</v>
          </cell>
          <cell r="H25">
            <v>1041000</v>
          </cell>
          <cell r="J25">
            <v>1041000</v>
          </cell>
          <cell r="K25">
            <v>20895</v>
          </cell>
          <cell r="L25">
            <v>4179</v>
          </cell>
          <cell r="M25">
            <v>1015926</v>
          </cell>
        </row>
        <row r="26">
          <cell r="B26" t="str">
            <v>Nguyeãn Vaên Yeân</v>
          </cell>
          <cell r="C26" t="str">
            <v>"</v>
          </cell>
          <cell r="D26">
            <v>554400</v>
          </cell>
          <cell r="E26">
            <v>1.2</v>
          </cell>
          <cell r="F26">
            <v>30</v>
          </cell>
          <cell r="G26">
            <v>36</v>
          </cell>
          <cell r="H26">
            <v>1561000</v>
          </cell>
          <cell r="J26">
            <v>1561000</v>
          </cell>
          <cell r="M26">
            <v>1561000</v>
          </cell>
        </row>
        <row r="27">
          <cell r="B27" t="str">
            <v>Ñoã Vaên Loäc</v>
          </cell>
          <cell r="C27" t="str">
            <v>"</v>
          </cell>
          <cell r="E27">
            <v>1.2</v>
          </cell>
          <cell r="F27">
            <v>23</v>
          </cell>
          <cell r="G27">
            <v>27.599999999999998</v>
          </cell>
          <cell r="H27">
            <v>1197000</v>
          </cell>
          <cell r="J27">
            <v>1197000</v>
          </cell>
          <cell r="M27">
            <v>1197000</v>
          </cell>
        </row>
        <row r="28">
          <cell r="B28" t="str">
            <v>Traàn Ngoïc Phöông</v>
          </cell>
          <cell r="C28" t="str">
            <v>"</v>
          </cell>
          <cell r="E28">
            <v>1.2</v>
          </cell>
          <cell r="F28">
            <v>8</v>
          </cell>
          <cell r="G28">
            <v>9.6</v>
          </cell>
          <cell r="H28">
            <v>416000</v>
          </cell>
          <cell r="J28">
            <v>416000</v>
          </cell>
          <cell r="M28">
            <v>416000</v>
          </cell>
        </row>
        <row r="29">
          <cell r="B29" t="str">
            <v>Laâm Hoàng Thu</v>
          </cell>
          <cell r="C29" t="str">
            <v>"</v>
          </cell>
          <cell r="E29">
            <v>1.2</v>
          </cell>
          <cell r="F29">
            <v>3</v>
          </cell>
          <cell r="G29">
            <v>3.5999999999999996</v>
          </cell>
          <cell r="H29">
            <v>157000</v>
          </cell>
          <cell r="J29">
            <v>157000</v>
          </cell>
          <cell r="M29">
            <v>157000</v>
          </cell>
        </row>
        <row r="30">
          <cell r="E30">
            <v>9.6</v>
          </cell>
          <cell r="G30">
            <v>201.6</v>
          </cell>
          <cell r="H30">
            <v>8743000</v>
          </cell>
          <cell r="M30">
            <v>0</v>
          </cell>
        </row>
        <row r="31">
          <cell r="B31" t="str">
            <v>Ñaëng Quoác Trung</v>
          </cell>
          <cell r="C31" t="str">
            <v>LX 06-14</v>
          </cell>
          <cell r="D31">
            <v>554400</v>
          </cell>
          <cell r="E31" t="str">
            <v>"</v>
          </cell>
          <cell r="F31">
            <v>3</v>
          </cell>
          <cell r="H31">
            <v>64000</v>
          </cell>
          <cell r="J31">
            <v>64000</v>
          </cell>
          <cell r="M31">
            <v>64000</v>
          </cell>
        </row>
        <row r="33">
          <cell r="B33" t="str">
            <v>Coäng:</v>
          </cell>
          <cell r="D33">
            <v>5166000</v>
          </cell>
          <cell r="H33">
            <v>16849000</v>
          </cell>
          <cell r="I33">
            <v>0</v>
          </cell>
          <cell r="J33">
            <v>16849000</v>
          </cell>
          <cell r="K33">
            <v>230580</v>
          </cell>
          <cell r="L33">
            <v>46116</v>
          </cell>
          <cell r="M33">
            <v>16572304</v>
          </cell>
        </row>
      </sheetData>
      <sheetData sheetId="26" refreshError="1"/>
      <sheetData sheetId="2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 KT Doan"/>
      <sheetName val="Sheet2"/>
      <sheetName val="Thuong = tien"/>
      <sheetName val="LD Out (2)"/>
      <sheetName val="SLg"/>
      <sheetName val="LT thua 6Tcuoi "/>
      <sheetName val="Thuong 6Tcuoi"/>
      <sheetName val="Data-year2001"/>
      <sheetName val="Data -6T dau"/>
      <sheetName val="NC XL 6T cuoi 01 CTy"/>
      <sheetName val="6 T cuoi PXSX"/>
      <sheetName val="XL KT PXSX 01 "/>
      <sheetName val="Cac K Thu"/>
      <sheetName val="Tong Hop"/>
      <sheetName val="Tien Thuong"/>
      <sheetName val="Cong 6T"/>
      <sheetName val="Tong Hop Cong"/>
      <sheetName val="6T cuoi pxsx"/>
      <sheetName val="LD Out"/>
      <sheetName val="XL KT PXSX 01 data"/>
      <sheetName val="Data BKGK"/>
      <sheetName val="Data BKGK (2)"/>
      <sheetName val="Data BKGK (totrinh)"/>
      <sheetName val="Data BKGK tong hop"/>
      <sheetName val="Data-year2001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B6" t="str">
            <v>Traàn Vaên Nuoâi</v>
          </cell>
          <cell r="C6" t="str">
            <v>Tr.P</v>
          </cell>
          <cell r="D6">
            <v>1.8</v>
          </cell>
          <cell r="E6">
            <v>152</v>
          </cell>
          <cell r="F6">
            <v>1.6</v>
          </cell>
        </row>
        <row r="7">
          <cell r="B7" t="str">
            <v>Nguyeãn Thanh Nhaõ</v>
          </cell>
          <cell r="C7" t="str">
            <v>PP.</v>
          </cell>
          <cell r="D7">
            <v>1.65</v>
          </cell>
          <cell r="E7">
            <v>135</v>
          </cell>
          <cell r="F7">
            <v>1.6</v>
          </cell>
        </row>
        <row r="8">
          <cell r="B8" t="str">
            <v>Löu Thaùi Nhaïc</v>
          </cell>
          <cell r="C8" t="str">
            <v xml:space="preserve">CB </v>
          </cell>
          <cell r="D8">
            <v>1.3</v>
          </cell>
          <cell r="E8">
            <v>150</v>
          </cell>
          <cell r="F8">
            <v>1.4</v>
          </cell>
        </row>
        <row r="9">
          <cell r="B9" t="str">
            <v>Nguyeãn Vaên Thanh</v>
          </cell>
          <cell r="C9" t="str">
            <v>NV</v>
          </cell>
          <cell r="D9">
            <v>1.1000000000000001</v>
          </cell>
          <cell r="E9">
            <v>150</v>
          </cell>
          <cell r="F9">
            <v>1.4</v>
          </cell>
        </row>
        <row r="10">
          <cell r="B10" t="str">
            <v>Voõ Vaên Phuïng</v>
          </cell>
          <cell r="C10" t="str">
            <v>NV</v>
          </cell>
          <cell r="D10">
            <v>1.2</v>
          </cell>
          <cell r="E10">
            <v>151</v>
          </cell>
          <cell r="F10">
            <v>1.4</v>
          </cell>
        </row>
        <row r="11">
          <cell r="B11" t="str">
            <v>Ñoã Thuyû Tieân</v>
          </cell>
          <cell r="C11" t="str">
            <v>"</v>
          </cell>
          <cell r="D11">
            <v>1.1000000000000001</v>
          </cell>
          <cell r="E11">
            <v>150</v>
          </cell>
          <cell r="F11">
            <v>1.6</v>
          </cell>
        </row>
        <row r="12">
          <cell r="B12" t="str">
            <v>Traàn Phuù Quoác</v>
          </cell>
          <cell r="C12" t="str">
            <v>L.xe</v>
          </cell>
          <cell r="D12">
            <v>1.2</v>
          </cell>
          <cell r="E12">
            <v>155</v>
          </cell>
          <cell r="F12">
            <v>1.6</v>
          </cell>
        </row>
        <row r="13">
          <cell r="B13" t="str">
            <v>Traàn Vaên Tö</v>
          </cell>
          <cell r="C13" t="str">
            <v>"</v>
          </cell>
          <cell r="D13">
            <v>1.2</v>
          </cell>
          <cell r="E13">
            <v>154</v>
          </cell>
          <cell r="F13">
            <v>1.4</v>
          </cell>
        </row>
        <row r="14">
          <cell r="B14" t="str">
            <v>Hoà Ngoïc Lôïi</v>
          </cell>
          <cell r="C14" t="str">
            <v>"</v>
          </cell>
          <cell r="D14">
            <v>1.2</v>
          </cell>
          <cell r="E14">
            <v>150</v>
          </cell>
          <cell r="F14">
            <v>1</v>
          </cell>
        </row>
        <row r="15">
          <cell r="B15" t="str">
            <v>Huyønh Vaên Haø</v>
          </cell>
          <cell r="C15" t="str">
            <v>"</v>
          </cell>
          <cell r="D15">
            <v>1.2</v>
          </cell>
          <cell r="E15">
            <v>49</v>
          </cell>
          <cell r="F15">
            <v>1.4</v>
          </cell>
        </row>
        <row r="16">
          <cell r="B16" t="str">
            <v>Nguyeãn Trung Hieàn</v>
          </cell>
          <cell r="C16" t="str">
            <v>"</v>
          </cell>
          <cell r="D16">
            <v>1.1000000000000001</v>
          </cell>
          <cell r="E16">
            <v>150</v>
          </cell>
          <cell r="F16">
            <v>1.2</v>
          </cell>
        </row>
        <row r="17">
          <cell r="B17" t="str">
            <v>Trònh Thanh Thuûy</v>
          </cell>
          <cell r="C17" t="str">
            <v>YT</v>
          </cell>
          <cell r="D17">
            <v>1.1000000000000001</v>
          </cell>
          <cell r="E17">
            <v>89</v>
          </cell>
          <cell r="F17">
            <v>1.4</v>
          </cell>
        </row>
        <row r="18">
          <cell r="B18" t="str">
            <v>Ñaëng Coâng Chaâu</v>
          </cell>
          <cell r="C18" t="str">
            <v>BV</v>
          </cell>
          <cell r="D18">
            <v>0.95</v>
          </cell>
          <cell r="E18">
            <v>144</v>
          </cell>
          <cell r="F18">
            <v>1.4</v>
          </cell>
        </row>
        <row r="19">
          <cell r="B19" t="str">
            <v>Phuøng Thanh Phong</v>
          </cell>
          <cell r="C19" t="str">
            <v>"</v>
          </cell>
          <cell r="D19">
            <v>0.95</v>
          </cell>
          <cell r="E19">
            <v>157</v>
          </cell>
          <cell r="F19">
            <v>1.2</v>
          </cell>
        </row>
        <row r="20">
          <cell r="B20" t="str">
            <v>Ngoâ Vaên Naøm</v>
          </cell>
          <cell r="C20" t="str">
            <v>"</v>
          </cell>
          <cell r="D20">
            <v>0.95</v>
          </cell>
          <cell r="E20">
            <v>157</v>
          </cell>
          <cell r="F20">
            <v>1.4</v>
          </cell>
        </row>
        <row r="21">
          <cell r="B21" t="str">
            <v>Traàn Vaên Thaønh</v>
          </cell>
          <cell r="C21" t="str">
            <v>"</v>
          </cell>
          <cell r="D21">
            <v>0.95</v>
          </cell>
          <cell r="E21">
            <v>148</v>
          </cell>
          <cell r="F21">
            <v>1.6</v>
          </cell>
        </row>
        <row r="22">
          <cell r="B22" t="str">
            <v>Nguyeãn Hoaøng Ñaëng</v>
          </cell>
          <cell r="C22" t="str">
            <v>"</v>
          </cell>
          <cell r="D22">
            <v>1.05</v>
          </cell>
          <cell r="E22">
            <v>157</v>
          </cell>
          <cell r="F22">
            <v>1.4</v>
          </cell>
        </row>
        <row r="23">
          <cell r="B23" t="str">
            <v>Tröông Minh Duõng</v>
          </cell>
          <cell r="C23" t="str">
            <v>"</v>
          </cell>
          <cell r="D23">
            <v>0.95</v>
          </cell>
          <cell r="E23">
            <v>157</v>
          </cell>
          <cell r="F23">
            <v>1.4</v>
          </cell>
        </row>
        <row r="24">
          <cell r="B24" t="str">
            <v>Nguyeãn Tuaán Haûi</v>
          </cell>
          <cell r="C24" t="str">
            <v>"</v>
          </cell>
          <cell r="D24">
            <v>1.1000000000000001</v>
          </cell>
          <cell r="E24">
            <v>155</v>
          </cell>
          <cell r="F24">
            <v>1.4</v>
          </cell>
        </row>
        <row r="25">
          <cell r="B25" t="str">
            <v>Ng. Thò Ngoïc Ñieäp</v>
          </cell>
          <cell r="C25" t="str">
            <v>CDöôõng</v>
          </cell>
          <cell r="D25">
            <v>0.9</v>
          </cell>
          <cell r="E25">
            <v>154</v>
          </cell>
          <cell r="F25">
            <v>1.6</v>
          </cell>
        </row>
        <row r="26">
          <cell r="B26" t="str">
            <v>Toáng Thò Nguyeân</v>
          </cell>
          <cell r="C26" t="str">
            <v>"</v>
          </cell>
          <cell r="D26">
            <v>0.9</v>
          </cell>
          <cell r="E26">
            <v>150</v>
          </cell>
          <cell r="F26">
            <v>1.4</v>
          </cell>
        </row>
        <row r="27">
          <cell r="B27" t="str">
            <v>Leâ Vaên Phaùt</v>
          </cell>
          <cell r="C27" t="str">
            <v>"</v>
          </cell>
          <cell r="D27">
            <v>0.95</v>
          </cell>
          <cell r="E27">
            <v>152</v>
          </cell>
          <cell r="F27">
            <v>1.2</v>
          </cell>
        </row>
        <row r="28">
          <cell r="B28" t="str">
            <v>Lö  Hoàng Trang</v>
          </cell>
          <cell r="C28" t="str">
            <v>"</v>
          </cell>
          <cell r="D28">
            <v>0.9</v>
          </cell>
          <cell r="E28">
            <v>150</v>
          </cell>
          <cell r="F28">
            <v>1.4</v>
          </cell>
        </row>
        <row r="29">
          <cell r="B29" t="str">
            <v>Leâ Thò Kim Thanh</v>
          </cell>
          <cell r="C29" t="str">
            <v>"</v>
          </cell>
          <cell r="D29">
            <v>0.9</v>
          </cell>
          <cell r="E29">
            <v>146</v>
          </cell>
          <cell r="F29">
            <v>1.4</v>
          </cell>
        </row>
        <row r="30">
          <cell r="B30" t="str">
            <v>Nguyeãn T. Bình Cheáp</v>
          </cell>
          <cell r="C30" t="str">
            <v>T/vuï</v>
          </cell>
          <cell r="D30">
            <v>0.9</v>
          </cell>
          <cell r="E30">
            <v>153</v>
          </cell>
          <cell r="F30">
            <v>1.4</v>
          </cell>
        </row>
        <row r="31">
          <cell r="B31" t="str">
            <v>Vuõ Thò Haûi</v>
          </cell>
          <cell r="C31" t="str">
            <v>"</v>
          </cell>
          <cell r="D31">
            <v>0.9</v>
          </cell>
          <cell r="E31">
            <v>153</v>
          </cell>
          <cell r="F31">
            <v>1.4</v>
          </cell>
        </row>
        <row r="33">
          <cell r="B33" t="str">
            <v>Traàn Vaên Naêm</v>
          </cell>
          <cell r="C33" t="str">
            <v>QÑ</v>
          </cell>
          <cell r="D33">
            <v>1.8</v>
          </cell>
          <cell r="E33">
            <v>153</v>
          </cell>
          <cell r="F33">
            <v>1.6</v>
          </cell>
        </row>
        <row r="34">
          <cell r="B34" t="str">
            <v>Vuõ Tieán Laõm</v>
          </cell>
          <cell r="C34" t="str">
            <v>PQÑ</v>
          </cell>
          <cell r="D34">
            <v>1.65</v>
          </cell>
          <cell r="E34">
            <v>153</v>
          </cell>
          <cell r="F34">
            <v>1.6</v>
          </cell>
        </row>
        <row r="35">
          <cell r="B35" t="str">
            <v>Döông Thanh Haø</v>
          </cell>
          <cell r="C35" t="str">
            <v>PQÑ</v>
          </cell>
          <cell r="D35">
            <v>1.65</v>
          </cell>
          <cell r="E35">
            <v>153</v>
          </cell>
          <cell r="F35">
            <v>1.6</v>
          </cell>
        </row>
        <row r="36">
          <cell r="B36" t="str">
            <v>Löu Ñöùc  Hieán</v>
          </cell>
          <cell r="C36" t="str">
            <v>TK</v>
          </cell>
          <cell r="D36">
            <v>1.3</v>
          </cell>
          <cell r="E36">
            <v>154</v>
          </cell>
          <cell r="F36">
            <v>1.6</v>
          </cell>
        </row>
        <row r="37">
          <cell r="B37" t="str">
            <v>Nguyeãn Vaên Lyù</v>
          </cell>
          <cell r="C37" t="str">
            <v>TK</v>
          </cell>
          <cell r="D37">
            <v>1.3</v>
          </cell>
          <cell r="E37">
            <v>152</v>
          </cell>
          <cell r="F37">
            <v>1.6</v>
          </cell>
        </row>
        <row r="38">
          <cell r="B38" t="str">
            <v>Ñaøo Taát  Ñaït</v>
          </cell>
          <cell r="D38">
            <v>1.1499999999999999</v>
          </cell>
          <cell r="E38">
            <v>150</v>
          </cell>
          <cell r="F38">
            <v>1.2</v>
          </cell>
        </row>
        <row r="39">
          <cell r="B39" t="str">
            <v>Haø Vaên Khen</v>
          </cell>
          <cell r="D39">
            <v>1.1499999999999999</v>
          </cell>
          <cell r="E39">
            <v>144</v>
          </cell>
          <cell r="F39">
            <v>1.4</v>
          </cell>
        </row>
        <row r="40">
          <cell r="B40" t="str">
            <v>Laâm Ngoïc Chuyeân</v>
          </cell>
          <cell r="D40">
            <v>1.1499999999999999</v>
          </cell>
          <cell r="E40">
            <v>156</v>
          </cell>
          <cell r="F40">
            <v>1.4</v>
          </cell>
        </row>
        <row r="41">
          <cell r="B41" t="str">
            <v>Leâ Vaên Vuõ</v>
          </cell>
          <cell r="C41" t="str">
            <v>CT</v>
          </cell>
          <cell r="D41">
            <v>1.25</v>
          </cell>
          <cell r="E41">
            <v>155</v>
          </cell>
          <cell r="F41">
            <v>1.6</v>
          </cell>
        </row>
        <row r="42">
          <cell r="B42" t="str">
            <v>Haøng Vaên Taøo</v>
          </cell>
          <cell r="C42" t="str">
            <v>CT</v>
          </cell>
          <cell r="D42">
            <v>1.3249428571428572</v>
          </cell>
          <cell r="E42">
            <v>149</v>
          </cell>
          <cell r="F42">
            <v>1.6</v>
          </cell>
        </row>
        <row r="43">
          <cell r="B43" t="str">
            <v>Nguyeãn Ngoïc Bieân</v>
          </cell>
          <cell r="D43">
            <v>1.2749428571428572</v>
          </cell>
          <cell r="E43">
            <v>156</v>
          </cell>
          <cell r="F43">
            <v>1.4</v>
          </cell>
        </row>
        <row r="44">
          <cell r="B44" t="str">
            <v>Trònh Hoaøi Phöông</v>
          </cell>
          <cell r="D44">
            <v>1.2408166666666667</v>
          </cell>
          <cell r="E44">
            <v>156</v>
          </cell>
          <cell r="F44">
            <v>1.4</v>
          </cell>
        </row>
        <row r="45">
          <cell r="B45" t="str">
            <v>Ñaøo Duy Haûi</v>
          </cell>
          <cell r="D45">
            <v>1.2184952380952381</v>
          </cell>
          <cell r="E45">
            <v>155</v>
          </cell>
          <cell r="F45">
            <v>1.2</v>
          </cell>
        </row>
        <row r="46">
          <cell r="B46" t="str">
            <v>Ngoâ Quoác Maïnh</v>
          </cell>
          <cell r="D46">
            <v>1.1825619047619049</v>
          </cell>
          <cell r="E46">
            <v>155</v>
          </cell>
          <cell r="F46">
            <v>1.4</v>
          </cell>
        </row>
        <row r="47">
          <cell r="B47" t="str">
            <v>Traàn khaéc Ñieàu</v>
          </cell>
          <cell r="D47">
            <v>1.2184952380952381</v>
          </cell>
          <cell r="E47">
            <v>156</v>
          </cell>
          <cell r="F47">
            <v>1.4</v>
          </cell>
        </row>
        <row r="48">
          <cell r="B48" t="str">
            <v>Nguyeãn Thanh Hoàng</v>
          </cell>
          <cell r="D48">
            <v>1.2184952380952381</v>
          </cell>
          <cell r="E48">
            <v>155</v>
          </cell>
          <cell r="F48">
            <v>1.4</v>
          </cell>
        </row>
        <row r="49">
          <cell r="B49" t="str">
            <v>Trieäu Quang Thanh</v>
          </cell>
          <cell r="D49">
            <v>1.213742857142857</v>
          </cell>
          <cell r="E49">
            <v>97</v>
          </cell>
          <cell r="F49">
            <v>1.4</v>
          </cell>
        </row>
        <row r="50">
          <cell r="B50" t="str">
            <v>Nguyeãn Quang Vinh</v>
          </cell>
          <cell r="D50">
            <v>1.3249428571428572</v>
          </cell>
          <cell r="E50">
            <v>139</v>
          </cell>
          <cell r="F50">
            <v>1.6</v>
          </cell>
        </row>
        <row r="51">
          <cell r="B51" t="str">
            <v>Nguyeãn Thanh Sôn</v>
          </cell>
          <cell r="D51">
            <v>1.2999428571428571</v>
          </cell>
          <cell r="E51">
            <v>155</v>
          </cell>
          <cell r="F51">
            <v>1.6</v>
          </cell>
        </row>
        <row r="52">
          <cell r="B52" t="str">
            <v>Traàn Thanh Tuøng</v>
          </cell>
          <cell r="D52">
            <v>1.2184952380952381</v>
          </cell>
          <cell r="E52">
            <v>154</v>
          </cell>
          <cell r="F52">
            <v>1.4</v>
          </cell>
        </row>
        <row r="53">
          <cell r="B53" t="str">
            <v>Nguyeãn Höõu Taøi</v>
          </cell>
          <cell r="D53">
            <v>1.2184952380952381</v>
          </cell>
          <cell r="E53">
            <v>155</v>
          </cell>
          <cell r="F53">
            <v>1.4</v>
          </cell>
        </row>
        <row r="54">
          <cell r="B54" t="str">
            <v>Leâ Phaùt Ñaït</v>
          </cell>
          <cell r="D54">
            <v>1.2184952380952381</v>
          </cell>
          <cell r="E54">
            <v>156</v>
          </cell>
          <cell r="F54">
            <v>1.6</v>
          </cell>
        </row>
        <row r="55">
          <cell r="B55" t="str">
            <v>Nam Taán Löïc</v>
          </cell>
          <cell r="D55">
            <v>1.3</v>
          </cell>
          <cell r="E55">
            <v>154</v>
          </cell>
          <cell r="F55">
            <v>1.2</v>
          </cell>
        </row>
        <row r="56">
          <cell r="B56" t="str">
            <v>Huyønh Quoác Söû</v>
          </cell>
          <cell r="D56">
            <v>1.1499999999999999</v>
          </cell>
          <cell r="E56">
            <v>156</v>
          </cell>
          <cell r="F56">
            <v>1.4</v>
          </cell>
        </row>
        <row r="57">
          <cell r="B57" t="str">
            <v>Trònh Vaên Luøng</v>
          </cell>
          <cell r="D57">
            <v>1.1499999999999999</v>
          </cell>
          <cell r="E57">
            <v>151</v>
          </cell>
          <cell r="F57">
            <v>1.2</v>
          </cell>
        </row>
        <row r="58">
          <cell r="B58" t="str">
            <v>Taøo Chís Sal</v>
          </cell>
          <cell r="D58">
            <v>1.1499999999999999</v>
          </cell>
          <cell r="E58">
            <v>149</v>
          </cell>
          <cell r="F58">
            <v>1.4</v>
          </cell>
        </row>
        <row r="59">
          <cell r="B59" t="str">
            <v>Leâ Tröôøng Sa</v>
          </cell>
          <cell r="D59">
            <v>1.1499999999999999</v>
          </cell>
          <cell r="E59">
            <v>153</v>
          </cell>
          <cell r="F59">
            <v>1.2</v>
          </cell>
        </row>
        <row r="60">
          <cell r="B60" t="str">
            <v>Ñoã Trung Thöï</v>
          </cell>
          <cell r="D60">
            <v>1.3</v>
          </cell>
          <cell r="E60">
            <v>155</v>
          </cell>
          <cell r="F60">
            <v>1.6</v>
          </cell>
        </row>
        <row r="61">
          <cell r="B61" t="str">
            <v>Trònh Xuaân Thaéng</v>
          </cell>
          <cell r="D61">
            <v>1.1499999999999999</v>
          </cell>
          <cell r="E61">
            <v>155</v>
          </cell>
          <cell r="F61">
            <v>1.4</v>
          </cell>
        </row>
        <row r="62">
          <cell r="B62" t="str">
            <v>Nguyeãn Vaên Thaém</v>
          </cell>
          <cell r="D62">
            <v>1.1499999999999999</v>
          </cell>
          <cell r="E62">
            <v>156</v>
          </cell>
          <cell r="F62">
            <v>1.4</v>
          </cell>
        </row>
        <row r="63">
          <cell r="B63" t="str">
            <v>Leâ Coâng Luaän</v>
          </cell>
          <cell r="D63">
            <v>1.1499999999999999</v>
          </cell>
          <cell r="E63">
            <v>144</v>
          </cell>
          <cell r="F63">
            <v>1.2</v>
          </cell>
        </row>
        <row r="64">
          <cell r="B64" t="str">
            <v>Traàn Vaên Tieån</v>
          </cell>
          <cell r="D64">
            <v>1.1499999999999999</v>
          </cell>
          <cell r="E64">
            <v>156</v>
          </cell>
          <cell r="F64">
            <v>1.4</v>
          </cell>
        </row>
        <row r="65">
          <cell r="B65" t="str">
            <v>Leâ Thaùi Bình</v>
          </cell>
          <cell r="D65">
            <v>1.3</v>
          </cell>
          <cell r="E65">
            <v>156</v>
          </cell>
          <cell r="F65">
            <v>1.4</v>
          </cell>
        </row>
        <row r="66">
          <cell r="B66" t="str">
            <v>Nguyeãn Khaéc Vuõ</v>
          </cell>
          <cell r="D66">
            <v>1.1499999999999999</v>
          </cell>
          <cell r="E66">
            <v>156</v>
          </cell>
          <cell r="F66">
            <v>1.6</v>
          </cell>
        </row>
        <row r="67">
          <cell r="B67" t="str">
            <v>Hoà Quoác Böûu</v>
          </cell>
          <cell r="D67">
            <v>1.1499999999999999</v>
          </cell>
          <cell r="E67">
            <v>156</v>
          </cell>
          <cell r="F67">
            <v>1.4</v>
          </cell>
        </row>
        <row r="68">
          <cell r="B68" t="str">
            <v>Ngoâ Minh Taâm</v>
          </cell>
          <cell r="D68">
            <v>1.1499999999999999</v>
          </cell>
          <cell r="E68">
            <v>154</v>
          </cell>
          <cell r="F68">
            <v>1.4</v>
          </cell>
        </row>
        <row r="69">
          <cell r="B69" t="str">
            <v>Nguyeãn Vaên Ñoâng</v>
          </cell>
          <cell r="D69">
            <v>1.1499999999999999</v>
          </cell>
          <cell r="E69">
            <v>153</v>
          </cell>
          <cell r="F69">
            <v>1.2</v>
          </cell>
        </row>
        <row r="70">
          <cell r="B70" t="str">
            <v>Vuõ Duy Thaêng</v>
          </cell>
          <cell r="D70">
            <v>1.3657885304659498</v>
          </cell>
          <cell r="E70">
            <v>156</v>
          </cell>
          <cell r="F70">
            <v>1.6</v>
          </cell>
        </row>
        <row r="71">
          <cell r="B71" t="str">
            <v>Nguyeãn Nhö  Chöôøng</v>
          </cell>
          <cell r="C71" t="str">
            <v>CP</v>
          </cell>
          <cell r="D71">
            <v>1.3367293906810034</v>
          </cell>
          <cell r="E71">
            <v>133</v>
          </cell>
          <cell r="F71">
            <v>1.6</v>
          </cell>
        </row>
        <row r="72">
          <cell r="B72" t="str">
            <v>Löu Ñöùc Ñònh</v>
          </cell>
          <cell r="D72">
            <v>1.3542019713261648</v>
          </cell>
          <cell r="E72">
            <v>156</v>
          </cell>
          <cell r="F72">
            <v>1.6</v>
          </cell>
        </row>
        <row r="73">
          <cell r="B73" t="str">
            <v>Phaïm Thaùi Hoaø</v>
          </cell>
          <cell r="D73">
            <v>1.2265053763440861</v>
          </cell>
          <cell r="E73">
            <v>154</v>
          </cell>
          <cell r="F73">
            <v>1.4</v>
          </cell>
        </row>
        <row r="74">
          <cell r="B74" t="str">
            <v>Dö Minh Taâm</v>
          </cell>
          <cell r="D74">
            <v>1.2979928315412186</v>
          </cell>
          <cell r="E74">
            <v>156</v>
          </cell>
          <cell r="F74">
            <v>1.2</v>
          </cell>
        </row>
        <row r="75">
          <cell r="B75" t="str">
            <v>Nguyeãn Anh Tuaán A</v>
          </cell>
          <cell r="D75">
            <v>1.2205376344086021</v>
          </cell>
          <cell r="E75">
            <v>152</v>
          </cell>
          <cell r="F75">
            <v>1.4</v>
          </cell>
        </row>
        <row r="76">
          <cell r="B76" t="str">
            <v>Nguyeãn Xuaân Möôøi</v>
          </cell>
          <cell r="D76">
            <v>1.2575075268817206</v>
          </cell>
          <cell r="E76">
            <v>155</v>
          </cell>
          <cell r="F76">
            <v>1.4</v>
          </cell>
        </row>
        <row r="77">
          <cell r="B77" t="str">
            <v>Ngoâ Xuaân Tueä</v>
          </cell>
          <cell r="D77">
            <v>1.2758691756272402</v>
          </cell>
          <cell r="E77">
            <v>153</v>
          </cell>
          <cell r="F77">
            <v>1.2</v>
          </cell>
        </row>
        <row r="78">
          <cell r="B78" t="str">
            <v>Nguyeãn Tieán Duõng</v>
          </cell>
          <cell r="D78">
            <v>1.2187853046594981</v>
          </cell>
          <cell r="E78">
            <v>154</v>
          </cell>
          <cell r="F78">
            <v>1.4</v>
          </cell>
        </row>
        <row r="79">
          <cell r="B79" t="str">
            <v>Trònh Ngoïc Toaøn</v>
          </cell>
          <cell r="D79">
            <v>1.1776254480286739</v>
          </cell>
          <cell r="E79">
            <v>152</v>
          </cell>
          <cell r="F79">
            <v>1.4</v>
          </cell>
        </row>
        <row r="80">
          <cell r="B80" t="str">
            <v>Nguyeãn Coâng Danh</v>
          </cell>
          <cell r="D80">
            <v>1.2348207885304658</v>
          </cell>
          <cell r="E80">
            <v>155</v>
          </cell>
          <cell r="F80">
            <v>1.4</v>
          </cell>
        </row>
        <row r="81">
          <cell r="B81" t="str">
            <v>Cao Vaên Döông</v>
          </cell>
          <cell r="C81" t="str">
            <v>CT</v>
          </cell>
          <cell r="D81">
            <v>1.3359139784946237</v>
          </cell>
          <cell r="E81">
            <v>154</v>
          </cell>
          <cell r="F81">
            <v>1.6</v>
          </cell>
        </row>
        <row r="82">
          <cell r="B82" t="str">
            <v>Hoaøng Minh Taân</v>
          </cell>
          <cell r="D82">
            <v>1.2991666666666666</v>
          </cell>
          <cell r="E82">
            <v>151</v>
          </cell>
          <cell r="F82">
            <v>1.4</v>
          </cell>
        </row>
        <row r="83">
          <cell r="B83" t="str">
            <v>Nguyeãn Tuaán Anh</v>
          </cell>
          <cell r="D83">
            <v>1.3276168458781361</v>
          </cell>
          <cell r="E83">
            <v>156</v>
          </cell>
          <cell r="F83">
            <v>1.4</v>
          </cell>
        </row>
        <row r="84">
          <cell r="B84" t="str">
            <v>Phan Sinh Ngaân</v>
          </cell>
          <cell r="D84">
            <v>1.3520514336917564</v>
          </cell>
          <cell r="E84">
            <v>153</v>
          </cell>
          <cell r="F84">
            <v>1.4</v>
          </cell>
        </row>
        <row r="85">
          <cell r="B85" t="str">
            <v>Cao Vaên Thaønh</v>
          </cell>
          <cell r="D85">
            <v>1.2645878136200717</v>
          </cell>
          <cell r="E85">
            <v>156</v>
          </cell>
          <cell r="F85">
            <v>1.4</v>
          </cell>
        </row>
        <row r="86">
          <cell r="B86" t="str">
            <v>Huyønh Quoác Phuù</v>
          </cell>
          <cell r="D86">
            <v>1.267706093189964</v>
          </cell>
          <cell r="E86">
            <v>156</v>
          </cell>
          <cell r="F86">
            <v>1.4</v>
          </cell>
        </row>
        <row r="87">
          <cell r="B87" t="str">
            <v>Danh Quang</v>
          </cell>
          <cell r="D87">
            <v>1.2841884280593956</v>
          </cell>
          <cell r="E87">
            <v>154</v>
          </cell>
          <cell r="F87">
            <v>1.4</v>
          </cell>
        </row>
        <row r="88">
          <cell r="B88" t="str">
            <v>Ñoã Minh Taâm</v>
          </cell>
          <cell r="D88">
            <v>1.1675806451612902</v>
          </cell>
          <cell r="E88">
            <v>156</v>
          </cell>
          <cell r="F88">
            <v>1.4</v>
          </cell>
        </row>
        <row r="89">
          <cell r="B89" t="str">
            <v>Huyønh Chí Trung</v>
          </cell>
          <cell r="D89">
            <v>1.1558781362007169</v>
          </cell>
          <cell r="E89">
            <v>153</v>
          </cell>
          <cell r="F89">
            <v>1.4</v>
          </cell>
        </row>
        <row r="90">
          <cell r="B90" t="str">
            <v>Nguyeãn Thaùi Vieät</v>
          </cell>
          <cell r="D90">
            <v>1.1696071428571428</v>
          </cell>
          <cell r="E90">
            <v>156</v>
          </cell>
          <cell r="F90">
            <v>1.4</v>
          </cell>
        </row>
        <row r="91">
          <cell r="B91" t="str">
            <v>Traàn Vaên Tieán</v>
          </cell>
          <cell r="D91">
            <v>1.1572222222222222</v>
          </cell>
          <cell r="E91">
            <v>156</v>
          </cell>
          <cell r="F91">
            <v>1.2</v>
          </cell>
        </row>
        <row r="92">
          <cell r="B92" t="str">
            <v>Phaïm Taán Giaøu</v>
          </cell>
          <cell r="C92" t="str">
            <v>CT</v>
          </cell>
          <cell r="D92">
            <v>1.3337275985663082</v>
          </cell>
          <cell r="E92">
            <v>156</v>
          </cell>
          <cell r="F92">
            <v>1.4</v>
          </cell>
        </row>
        <row r="93">
          <cell r="B93" t="str">
            <v>Taï Vaên Beâ</v>
          </cell>
          <cell r="C93" t="str">
            <v>CP</v>
          </cell>
          <cell r="D93">
            <v>1.2983602150537634</v>
          </cell>
          <cell r="E93">
            <v>156</v>
          </cell>
          <cell r="F93">
            <v>1.4</v>
          </cell>
        </row>
        <row r="94">
          <cell r="B94" t="str">
            <v>Cao Trí Duõng</v>
          </cell>
          <cell r="D94">
            <v>1.2560573476702508</v>
          </cell>
          <cell r="E94">
            <v>156</v>
          </cell>
          <cell r="F94">
            <v>1.4</v>
          </cell>
        </row>
        <row r="95">
          <cell r="B95" t="str">
            <v>Söû Hoaøng Vinh</v>
          </cell>
          <cell r="D95">
            <v>1.2624532770097285</v>
          </cell>
          <cell r="E95">
            <v>151</v>
          </cell>
          <cell r="F95">
            <v>1.4</v>
          </cell>
        </row>
        <row r="96">
          <cell r="B96" t="str">
            <v>Nguyeãn Tuaán Höng</v>
          </cell>
          <cell r="D96">
            <v>1.3002963645673322</v>
          </cell>
          <cell r="E96">
            <v>156</v>
          </cell>
          <cell r="F96">
            <v>1.4</v>
          </cell>
        </row>
        <row r="97">
          <cell r="B97" t="str">
            <v>Tröông Tieán Huøng</v>
          </cell>
          <cell r="D97">
            <v>1.2719982078853047</v>
          </cell>
          <cell r="E97">
            <v>155</v>
          </cell>
          <cell r="F97">
            <v>1.4</v>
          </cell>
        </row>
        <row r="98">
          <cell r="B98" t="str">
            <v>Cao Vaên UÙt</v>
          </cell>
          <cell r="D98">
            <v>1.252616487455197</v>
          </cell>
          <cell r="E98">
            <v>155</v>
          </cell>
          <cell r="F98">
            <v>1.4</v>
          </cell>
        </row>
        <row r="99">
          <cell r="B99" t="str">
            <v>Nguyeãn Thanh Huøng</v>
          </cell>
          <cell r="D99">
            <v>1.2778218125960064</v>
          </cell>
          <cell r="E99">
            <v>153</v>
          </cell>
          <cell r="F99">
            <v>1.4</v>
          </cell>
        </row>
        <row r="100">
          <cell r="B100" t="str">
            <v>Vuõ Duy Theá</v>
          </cell>
          <cell r="D100">
            <v>1.2768996415770608</v>
          </cell>
          <cell r="E100">
            <v>156</v>
          </cell>
          <cell r="F100">
            <v>1.4</v>
          </cell>
        </row>
        <row r="101">
          <cell r="B101" t="str">
            <v>Traàn Ngoïc Ñoâng</v>
          </cell>
          <cell r="D101">
            <v>1.2266571684587813</v>
          </cell>
          <cell r="E101">
            <v>155</v>
          </cell>
          <cell r="F101">
            <v>1.4</v>
          </cell>
        </row>
        <row r="102">
          <cell r="B102" t="str">
            <v>Leâ Baù Vöông</v>
          </cell>
          <cell r="D102">
            <v>1.178431899641577</v>
          </cell>
          <cell r="E102">
            <v>156</v>
          </cell>
          <cell r="F102">
            <v>1.4</v>
          </cell>
        </row>
        <row r="103">
          <cell r="B103" t="str">
            <v>Nguyeãn Vaên Loäc</v>
          </cell>
          <cell r="D103">
            <v>1.1480017921146952</v>
          </cell>
          <cell r="E103">
            <v>153</v>
          </cell>
          <cell r="F103">
            <v>1.4</v>
          </cell>
        </row>
        <row r="104">
          <cell r="B104" t="str">
            <v>Phaïm Vaên Haûi</v>
          </cell>
          <cell r="C104" t="str">
            <v>TT</v>
          </cell>
          <cell r="D104">
            <v>1.375</v>
          </cell>
          <cell r="E104">
            <v>144</v>
          </cell>
          <cell r="F104">
            <v>1.6</v>
          </cell>
        </row>
        <row r="105">
          <cell r="B105" t="str">
            <v>Phan Vaên Naâng</v>
          </cell>
          <cell r="C105" t="str">
            <v>TP</v>
          </cell>
          <cell r="D105">
            <v>1.3</v>
          </cell>
          <cell r="E105">
            <v>151</v>
          </cell>
          <cell r="F105">
            <v>1.6</v>
          </cell>
        </row>
        <row r="106">
          <cell r="B106" t="str">
            <v>Ñaøm Ñöùc Minh</v>
          </cell>
          <cell r="C106" t="str">
            <v>TT</v>
          </cell>
          <cell r="D106">
            <v>1.25</v>
          </cell>
          <cell r="E106">
            <v>150</v>
          </cell>
          <cell r="F106">
            <v>1.4</v>
          </cell>
        </row>
        <row r="107">
          <cell r="B107" t="str">
            <v>Döông Thanh Sôn</v>
          </cell>
          <cell r="C107" t="str">
            <v>TP</v>
          </cell>
          <cell r="D107">
            <v>1.2916666666666665</v>
          </cell>
          <cell r="E107">
            <v>147</v>
          </cell>
          <cell r="F107">
            <v>1.4</v>
          </cell>
        </row>
        <row r="108">
          <cell r="B108" t="str">
            <v>Nguyeãn Vaên Hoaø</v>
          </cell>
          <cell r="D108">
            <v>1.3</v>
          </cell>
          <cell r="E108">
            <v>150</v>
          </cell>
          <cell r="F108">
            <v>1.6</v>
          </cell>
        </row>
        <row r="109">
          <cell r="B109" t="str">
            <v>Nguyeãn Taán Cöôøng</v>
          </cell>
          <cell r="D109">
            <v>1.25</v>
          </cell>
          <cell r="E109">
            <v>148</v>
          </cell>
          <cell r="F109">
            <v>1.6</v>
          </cell>
        </row>
        <row r="110">
          <cell r="B110" t="str">
            <v>Danh Höôøng</v>
          </cell>
          <cell r="D110">
            <v>1.25</v>
          </cell>
          <cell r="E110">
            <v>150</v>
          </cell>
          <cell r="F110">
            <v>1.6</v>
          </cell>
        </row>
        <row r="111">
          <cell r="B111" t="str">
            <v>Thaùi Truyeàn Thoáng</v>
          </cell>
          <cell r="D111">
            <v>1.25</v>
          </cell>
          <cell r="E111">
            <v>151</v>
          </cell>
          <cell r="F111">
            <v>1.4</v>
          </cell>
        </row>
        <row r="112">
          <cell r="B112" t="str">
            <v>Ng Thanh Sang</v>
          </cell>
          <cell r="D112">
            <v>1.25</v>
          </cell>
          <cell r="E112">
            <v>151</v>
          </cell>
          <cell r="F112">
            <v>1.4</v>
          </cell>
        </row>
        <row r="113">
          <cell r="B113" t="str">
            <v>Phaïm vaên Phuù</v>
          </cell>
          <cell r="D113">
            <v>1.25</v>
          </cell>
          <cell r="E113">
            <v>151</v>
          </cell>
          <cell r="F113">
            <v>1.4</v>
          </cell>
        </row>
        <row r="114">
          <cell r="B114" t="str">
            <v>Voõ ngoïc Phöôùc</v>
          </cell>
          <cell r="D114">
            <v>1.25</v>
          </cell>
          <cell r="E114">
            <v>147</v>
          </cell>
          <cell r="F114">
            <v>1.4</v>
          </cell>
        </row>
        <row r="115">
          <cell r="B115" t="str">
            <v>Buøi Ñình Giaùp</v>
          </cell>
          <cell r="D115">
            <v>1.25</v>
          </cell>
          <cell r="E115">
            <v>156</v>
          </cell>
          <cell r="F115">
            <v>1.6</v>
          </cell>
        </row>
        <row r="116">
          <cell r="B116" t="str">
            <v>Laâm Vaên Giang</v>
          </cell>
          <cell r="D116">
            <v>1.25</v>
          </cell>
          <cell r="E116">
            <v>156</v>
          </cell>
          <cell r="F116">
            <v>1.4</v>
          </cell>
        </row>
        <row r="117">
          <cell r="B117" t="str">
            <v>Trieäu Quang Höng</v>
          </cell>
          <cell r="D117">
            <v>1.25</v>
          </cell>
          <cell r="E117">
            <v>156</v>
          </cell>
          <cell r="F117">
            <v>1.4</v>
          </cell>
        </row>
        <row r="118">
          <cell r="B118" t="str">
            <v>Traàn ñình Long</v>
          </cell>
          <cell r="D118">
            <v>1.25</v>
          </cell>
          <cell r="E118">
            <v>156</v>
          </cell>
          <cell r="F118">
            <v>1.4</v>
          </cell>
        </row>
        <row r="119">
          <cell r="B119" t="str">
            <v>Nguyeãn Vaên Laäp</v>
          </cell>
          <cell r="D119">
            <v>1.25</v>
          </cell>
          <cell r="E119">
            <v>154</v>
          </cell>
          <cell r="F119">
            <v>1.4</v>
          </cell>
        </row>
        <row r="120">
          <cell r="B120" t="str">
            <v>Nguyeãn Phuù Tuùc</v>
          </cell>
          <cell r="D120">
            <v>1.2170000000000001</v>
          </cell>
          <cell r="E120">
            <v>156</v>
          </cell>
          <cell r="F120">
            <v>1.4</v>
          </cell>
        </row>
        <row r="121">
          <cell r="B121" t="str">
            <v>Leâ Ngoïc Bieân</v>
          </cell>
          <cell r="D121">
            <v>1.25</v>
          </cell>
          <cell r="E121">
            <v>156</v>
          </cell>
          <cell r="F121">
            <v>1</v>
          </cell>
        </row>
        <row r="122">
          <cell r="B122" t="str">
            <v>Toâ Ngoïc Mai</v>
          </cell>
          <cell r="D122">
            <v>1.3</v>
          </cell>
          <cell r="E122">
            <v>154</v>
          </cell>
          <cell r="F122">
            <v>1.6</v>
          </cell>
        </row>
        <row r="123">
          <cell r="B123" t="str">
            <v>Ng  Coâng Laønh</v>
          </cell>
          <cell r="D123">
            <v>1.25</v>
          </cell>
          <cell r="E123">
            <v>148</v>
          </cell>
          <cell r="F123">
            <v>1.4</v>
          </cell>
        </row>
        <row r="124">
          <cell r="B124" t="str">
            <v>Nguyeãn Vaên Ñöông</v>
          </cell>
          <cell r="D124">
            <v>1.25</v>
          </cell>
          <cell r="E124">
            <v>156</v>
          </cell>
          <cell r="F124">
            <v>1.4</v>
          </cell>
        </row>
        <row r="125">
          <cell r="B125" t="str">
            <v>Mai Vaên Tröïc</v>
          </cell>
          <cell r="D125">
            <v>1.25</v>
          </cell>
          <cell r="E125">
            <v>156</v>
          </cell>
          <cell r="F125">
            <v>1.4</v>
          </cell>
        </row>
        <row r="126">
          <cell r="B126" t="str">
            <v>Ng Vaên UÙt</v>
          </cell>
          <cell r="D126">
            <v>1.1499999999999999</v>
          </cell>
          <cell r="E126">
            <v>141</v>
          </cell>
          <cell r="F126">
            <v>1.4</v>
          </cell>
        </row>
        <row r="127">
          <cell r="B127" t="str">
            <v>Mai Vaên Haûi</v>
          </cell>
          <cell r="D127">
            <v>1.1499999999999999</v>
          </cell>
          <cell r="E127">
            <v>156</v>
          </cell>
          <cell r="F127">
            <v>1.4</v>
          </cell>
        </row>
        <row r="128">
          <cell r="B128" t="str">
            <v>Nguyeãn Thaønh Thaéng A</v>
          </cell>
          <cell r="D128">
            <v>1.1499999999999999</v>
          </cell>
          <cell r="E128">
            <v>156</v>
          </cell>
          <cell r="F128">
            <v>1.4</v>
          </cell>
        </row>
        <row r="129">
          <cell r="B129" t="str">
            <v>Nguyeãn Thaønh Thaéng B</v>
          </cell>
          <cell r="D129">
            <v>1.1499999999999999</v>
          </cell>
          <cell r="E129">
            <v>156</v>
          </cell>
          <cell r="F129">
            <v>1.4</v>
          </cell>
        </row>
        <row r="130">
          <cell r="B130" t="str">
            <v>Traàn Vaên Töôøng</v>
          </cell>
          <cell r="D130">
            <v>1.1499999999999999</v>
          </cell>
          <cell r="E130">
            <v>156</v>
          </cell>
          <cell r="F130">
            <v>1.4</v>
          </cell>
        </row>
        <row r="131">
          <cell r="B131" t="str">
            <v>Nguyeãn Thò Thu Vaân</v>
          </cell>
          <cell r="D131">
            <v>1.1499999999999999</v>
          </cell>
          <cell r="E131">
            <v>156</v>
          </cell>
          <cell r="F131">
            <v>1.4</v>
          </cell>
        </row>
        <row r="132">
          <cell r="B132" t="str">
            <v>Nguyeãn Thò Kim Hueä</v>
          </cell>
          <cell r="D132">
            <v>1.1499999999999999</v>
          </cell>
          <cell r="E132">
            <v>87</v>
          </cell>
          <cell r="F132">
            <v>1.4</v>
          </cell>
        </row>
        <row r="133">
          <cell r="B133" t="str">
            <v>Laâm Vaên Sang</v>
          </cell>
          <cell r="C133" t="str">
            <v>CT</v>
          </cell>
          <cell r="D133">
            <v>1.3</v>
          </cell>
          <cell r="E133">
            <v>156</v>
          </cell>
          <cell r="F133">
            <v>1.6</v>
          </cell>
        </row>
        <row r="134">
          <cell r="B134" t="str">
            <v>Buøi Huy Chöông</v>
          </cell>
          <cell r="D134">
            <v>1.1499999999999999</v>
          </cell>
          <cell r="E134">
            <v>141</v>
          </cell>
          <cell r="F134">
            <v>1.4</v>
          </cell>
        </row>
        <row r="135">
          <cell r="B135" t="str">
            <v>Nguyeãn Höõu Thaïnh</v>
          </cell>
          <cell r="D135">
            <v>1.1499999999999999</v>
          </cell>
          <cell r="E135">
            <v>156</v>
          </cell>
          <cell r="F135">
            <v>1.2</v>
          </cell>
        </row>
        <row r="136">
          <cell r="B136" t="str">
            <v>Nguyeãn Duyeân Thuaán</v>
          </cell>
          <cell r="D136">
            <v>1.1997261904761904</v>
          </cell>
          <cell r="E136">
            <v>156</v>
          </cell>
          <cell r="F136">
            <v>1.4</v>
          </cell>
        </row>
        <row r="137">
          <cell r="B137" t="str">
            <v>Traàn Vaên Ñaït</v>
          </cell>
          <cell r="D137">
            <v>1.1499999999999999</v>
          </cell>
          <cell r="E137">
            <v>153</v>
          </cell>
          <cell r="F137">
            <v>1.4</v>
          </cell>
        </row>
        <row r="138">
          <cell r="B138" t="str">
            <v>Leâ Kim Chuyeån</v>
          </cell>
          <cell r="C138" t="str">
            <v>CT</v>
          </cell>
          <cell r="D138">
            <v>1.3</v>
          </cell>
          <cell r="E138">
            <v>144</v>
          </cell>
          <cell r="F138">
            <v>1.6</v>
          </cell>
        </row>
        <row r="139">
          <cell r="B139" t="str">
            <v>Nguyeãn Hoaøng Nam</v>
          </cell>
          <cell r="D139">
            <v>1.1499999999999999</v>
          </cell>
          <cell r="E139">
            <v>148</v>
          </cell>
          <cell r="F139">
            <v>1.4</v>
          </cell>
        </row>
        <row r="140">
          <cell r="B140" t="str">
            <v>Traàn Anh Tuaán</v>
          </cell>
          <cell r="D140">
            <v>1.1499999999999999</v>
          </cell>
          <cell r="E140">
            <v>145</v>
          </cell>
          <cell r="F140">
            <v>1.4</v>
          </cell>
        </row>
        <row r="141">
          <cell r="B141" t="str">
            <v>Ñoã Ñaêng Khoa</v>
          </cell>
          <cell r="D141">
            <v>1.1499999999999999</v>
          </cell>
          <cell r="E141">
            <v>155</v>
          </cell>
          <cell r="F141">
            <v>1.4</v>
          </cell>
        </row>
        <row r="142">
          <cell r="B142" t="str">
            <v>Ñaøo Vaên Phuùc</v>
          </cell>
          <cell r="D142">
            <v>1.1499999999999999</v>
          </cell>
          <cell r="E142">
            <v>156</v>
          </cell>
          <cell r="F142">
            <v>1.4</v>
          </cell>
        </row>
        <row r="143">
          <cell r="B143" t="str">
            <v>Buøi Ñöùc Bieàn</v>
          </cell>
          <cell r="D143">
            <v>1.1753333333333333</v>
          </cell>
          <cell r="E143">
            <v>155</v>
          </cell>
          <cell r="F143">
            <v>1.4</v>
          </cell>
        </row>
        <row r="144">
          <cell r="B144" t="str">
            <v>Traàn Vieät Quoác</v>
          </cell>
          <cell r="C144" t="str">
            <v>CT</v>
          </cell>
          <cell r="D144">
            <v>1.3</v>
          </cell>
          <cell r="E144">
            <v>155</v>
          </cell>
          <cell r="F144">
            <v>1.4</v>
          </cell>
        </row>
        <row r="145">
          <cell r="B145" t="str">
            <v>Nguyeãn Anh Tuaán B</v>
          </cell>
          <cell r="D145">
            <v>1.185904761904762</v>
          </cell>
          <cell r="E145">
            <v>156</v>
          </cell>
          <cell r="F145">
            <v>1.4</v>
          </cell>
        </row>
        <row r="146">
          <cell r="B146" t="str">
            <v>Trieäu Vaên Long</v>
          </cell>
          <cell r="D146">
            <v>1.1499999999999999</v>
          </cell>
          <cell r="E146">
            <v>155</v>
          </cell>
          <cell r="F146">
            <v>1.4</v>
          </cell>
        </row>
        <row r="147">
          <cell r="B147" t="str">
            <v>Huyønh Chí Chaùnh</v>
          </cell>
          <cell r="D147">
            <v>1.1793333333333333</v>
          </cell>
          <cell r="E147">
            <v>156</v>
          </cell>
          <cell r="F147">
            <v>1.2</v>
          </cell>
        </row>
        <row r="149">
          <cell r="B149" t="str">
            <v>Buøi Huy Trung</v>
          </cell>
          <cell r="D149">
            <v>1.1499999999999999</v>
          </cell>
          <cell r="E149">
            <v>151</v>
          </cell>
          <cell r="F149">
            <v>1.4</v>
          </cell>
        </row>
        <row r="150">
          <cell r="B150" t="str">
            <v>Huyønh Vaên Quyù</v>
          </cell>
          <cell r="D150">
            <v>1.45</v>
          </cell>
          <cell r="E150">
            <v>151</v>
          </cell>
          <cell r="F150">
            <v>1.4</v>
          </cell>
        </row>
        <row r="151">
          <cell r="B151" t="str">
            <v>Traàn Vaên Teá</v>
          </cell>
          <cell r="D151">
            <v>1.4</v>
          </cell>
          <cell r="E151">
            <v>152</v>
          </cell>
          <cell r="F151">
            <v>1.6</v>
          </cell>
        </row>
        <row r="152">
          <cell r="B152" t="str">
            <v>Phaïm Nhö Thuaàn</v>
          </cell>
          <cell r="C152" t="str">
            <v>TT</v>
          </cell>
          <cell r="D152">
            <v>1.4</v>
          </cell>
          <cell r="E152">
            <v>151</v>
          </cell>
          <cell r="F152">
            <v>1.4</v>
          </cell>
        </row>
        <row r="153">
          <cell r="B153" t="str">
            <v>Huyønh Hoàng Ñöùc</v>
          </cell>
          <cell r="D153">
            <v>1.4</v>
          </cell>
          <cell r="E153">
            <v>150</v>
          </cell>
          <cell r="F153">
            <v>1.4</v>
          </cell>
        </row>
        <row r="154">
          <cell r="B154" t="str">
            <v>Traàn Phöông Anh</v>
          </cell>
          <cell r="D154">
            <v>1.4</v>
          </cell>
          <cell r="E154">
            <v>151</v>
          </cell>
          <cell r="F154">
            <v>1.4</v>
          </cell>
        </row>
        <row r="155">
          <cell r="B155" t="str">
            <v>Traàn Bình Trong</v>
          </cell>
          <cell r="D155">
            <v>1.4</v>
          </cell>
          <cell r="E155">
            <v>151</v>
          </cell>
          <cell r="F155">
            <v>1.4</v>
          </cell>
        </row>
        <row r="156">
          <cell r="B156" t="str">
            <v>Laâm Höõu Thöùc</v>
          </cell>
          <cell r="D156">
            <v>1.2</v>
          </cell>
          <cell r="E156">
            <v>139</v>
          </cell>
          <cell r="F156">
            <v>1.2</v>
          </cell>
        </row>
        <row r="157">
          <cell r="B157" t="str">
            <v>Huyønh Thieän Phuùc</v>
          </cell>
          <cell r="D157">
            <v>1.2</v>
          </cell>
          <cell r="E157">
            <v>149</v>
          </cell>
          <cell r="F157">
            <v>1.4</v>
          </cell>
        </row>
        <row r="158">
          <cell r="B158" t="str">
            <v>Nguyeãn Ngoïc Löôïng</v>
          </cell>
          <cell r="D158">
            <v>1.2</v>
          </cell>
          <cell r="E158">
            <v>156</v>
          </cell>
          <cell r="F158">
            <v>1.4</v>
          </cell>
        </row>
        <row r="159">
          <cell r="B159" t="str">
            <v>Phaïm Quoác Huøng</v>
          </cell>
          <cell r="C159" t="str">
            <v>VSCN</v>
          </cell>
          <cell r="D159">
            <v>1</v>
          </cell>
          <cell r="E159">
            <v>153</v>
          </cell>
          <cell r="F159">
            <v>1.4</v>
          </cell>
        </row>
        <row r="160">
          <cell r="B160" t="str">
            <v>Voõ Vaên Huøng</v>
          </cell>
          <cell r="C160" t="str">
            <v>VSCN</v>
          </cell>
          <cell r="D160">
            <v>1.0220476190476191</v>
          </cell>
          <cell r="E160">
            <v>154</v>
          </cell>
          <cell r="F160">
            <v>1.4</v>
          </cell>
        </row>
        <row r="161">
          <cell r="B161" t="str">
            <v>Ng. V. Quoác Ñaèng</v>
          </cell>
          <cell r="C161" t="str">
            <v>VSCN</v>
          </cell>
          <cell r="D161">
            <v>1.0017833333333332</v>
          </cell>
          <cell r="E161">
            <v>143</v>
          </cell>
          <cell r="F161">
            <v>1.2</v>
          </cell>
        </row>
        <row r="162">
          <cell r="B162" t="str">
            <v>Thaân Hoaøng Tieán</v>
          </cell>
          <cell r="C162" t="str">
            <v>VSCN</v>
          </cell>
          <cell r="D162">
            <v>1.0017833333333332</v>
          </cell>
          <cell r="E162">
            <v>148</v>
          </cell>
          <cell r="F162">
            <v>1.2</v>
          </cell>
        </row>
        <row r="164">
          <cell r="B164" t="str">
            <v>Phaïm Minh Taâm</v>
          </cell>
          <cell r="C164" t="str">
            <v>Tr.Phoøng</v>
          </cell>
          <cell r="D164">
            <v>1.75</v>
          </cell>
          <cell r="E164">
            <v>153</v>
          </cell>
          <cell r="F164">
            <v>1.6</v>
          </cell>
        </row>
        <row r="165">
          <cell r="B165" t="str">
            <v>Traàn Thò Lan Höông</v>
          </cell>
          <cell r="C165" t="str">
            <v>PP</v>
          </cell>
          <cell r="D165">
            <v>1.6</v>
          </cell>
          <cell r="E165">
            <v>153</v>
          </cell>
          <cell r="F165">
            <v>1.6</v>
          </cell>
        </row>
        <row r="166">
          <cell r="B166" t="str">
            <v>Traàn Tuaán Vieät</v>
          </cell>
          <cell r="C166" t="str">
            <v>PP</v>
          </cell>
          <cell r="D166">
            <v>1.6</v>
          </cell>
          <cell r="E166">
            <v>153</v>
          </cell>
          <cell r="F166">
            <v>1.6</v>
          </cell>
        </row>
        <row r="167">
          <cell r="B167" t="str">
            <v>Nguyeãn Höõu Hieáu</v>
          </cell>
          <cell r="C167" t="str">
            <v>TK.</v>
          </cell>
          <cell r="D167">
            <v>1.25</v>
          </cell>
          <cell r="E167">
            <v>154</v>
          </cell>
          <cell r="F167">
            <v>1.6</v>
          </cell>
        </row>
        <row r="168">
          <cell r="B168" t="str">
            <v>Taï Thò Hieàn</v>
          </cell>
          <cell r="C168" t="str">
            <v>Toå PT</v>
          </cell>
          <cell r="D168">
            <v>1.26</v>
          </cell>
          <cell r="E168">
            <v>153</v>
          </cell>
          <cell r="F168">
            <v>1.4</v>
          </cell>
        </row>
        <row r="169">
          <cell r="B169" t="str">
            <v>Nguyeãn Thò Hoàng</v>
          </cell>
          <cell r="C169" t="str">
            <v>"</v>
          </cell>
          <cell r="D169">
            <v>1.26</v>
          </cell>
          <cell r="E169">
            <v>139</v>
          </cell>
          <cell r="F169">
            <v>1.4</v>
          </cell>
        </row>
        <row r="170">
          <cell r="B170" t="str">
            <v>Traàn Thò Thaïch</v>
          </cell>
          <cell r="C170" t="str">
            <v>"</v>
          </cell>
          <cell r="D170">
            <v>1.31</v>
          </cell>
          <cell r="E170">
            <v>153</v>
          </cell>
          <cell r="F170">
            <v>1.6</v>
          </cell>
        </row>
        <row r="171">
          <cell r="B171" t="str">
            <v>Traàn Thò Hoàng Vaân</v>
          </cell>
          <cell r="C171" t="str">
            <v>"</v>
          </cell>
          <cell r="D171">
            <v>1.26</v>
          </cell>
          <cell r="E171">
            <v>153</v>
          </cell>
          <cell r="F171">
            <v>1.4</v>
          </cell>
        </row>
        <row r="172">
          <cell r="B172" t="str">
            <v>Phan Hoàng Huyønh</v>
          </cell>
          <cell r="C172" t="str">
            <v>"</v>
          </cell>
          <cell r="D172">
            <v>1.26</v>
          </cell>
          <cell r="E172">
            <v>152</v>
          </cell>
          <cell r="F172">
            <v>1.4</v>
          </cell>
        </row>
        <row r="173">
          <cell r="B173" t="str">
            <v>Nguyeãn Thanh Laâm</v>
          </cell>
          <cell r="C173" t="str">
            <v>"</v>
          </cell>
          <cell r="D173">
            <v>1.25</v>
          </cell>
          <cell r="E173">
            <v>151</v>
          </cell>
          <cell r="F173">
            <v>1.4</v>
          </cell>
        </row>
        <row r="174">
          <cell r="B174" t="str">
            <v>Ñinh Kieân Giang</v>
          </cell>
          <cell r="C174" t="str">
            <v>"</v>
          </cell>
          <cell r="D174">
            <v>1.25</v>
          </cell>
          <cell r="E174">
            <v>151</v>
          </cell>
          <cell r="F174">
            <v>1.4</v>
          </cell>
        </row>
        <row r="175">
          <cell r="B175" t="str">
            <v>Leâ Vaên Theâm</v>
          </cell>
          <cell r="C175" t="str">
            <v>"</v>
          </cell>
          <cell r="D175">
            <v>1.26</v>
          </cell>
          <cell r="E175">
            <v>153</v>
          </cell>
          <cell r="F175">
            <v>1.4</v>
          </cell>
        </row>
        <row r="176">
          <cell r="B176" t="str">
            <v>Ñoã Phöôùc Hieáu</v>
          </cell>
          <cell r="C176" t="str">
            <v>Toå C.lyù</v>
          </cell>
          <cell r="D176">
            <v>1.25</v>
          </cell>
          <cell r="E176">
            <v>151</v>
          </cell>
          <cell r="F176">
            <v>1.4</v>
          </cell>
        </row>
        <row r="177">
          <cell r="B177" t="str">
            <v>Nguyeãn Thanh Ñieàn</v>
          </cell>
          <cell r="C177" t="str">
            <v>"</v>
          </cell>
          <cell r="D177">
            <v>1.25</v>
          </cell>
          <cell r="E177">
            <v>154</v>
          </cell>
          <cell r="F177">
            <v>1.4</v>
          </cell>
        </row>
        <row r="178">
          <cell r="B178" t="str">
            <v>Tröông Myõ Tieân</v>
          </cell>
          <cell r="C178" t="str">
            <v>"</v>
          </cell>
          <cell r="D178">
            <v>1.25</v>
          </cell>
          <cell r="E178">
            <v>154</v>
          </cell>
          <cell r="F178">
            <v>1.6</v>
          </cell>
        </row>
        <row r="179">
          <cell r="B179" t="str">
            <v>Buøi Anh Ñöùc</v>
          </cell>
          <cell r="C179" t="str">
            <v>"</v>
          </cell>
          <cell r="D179">
            <v>1.3</v>
          </cell>
          <cell r="E179">
            <v>154</v>
          </cell>
          <cell r="F179">
            <v>1.6</v>
          </cell>
        </row>
        <row r="180">
          <cell r="B180" t="str">
            <v>Ñinh Quang Sôn</v>
          </cell>
          <cell r="C180" t="str">
            <v>"</v>
          </cell>
          <cell r="D180">
            <v>1.25</v>
          </cell>
          <cell r="E180">
            <v>149</v>
          </cell>
          <cell r="F180">
            <v>1.4</v>
          </cell>
        </row>
        <row r="181">
          <cell r="B181" t="str">
            <v>Thaùi Hoaøng Heân</v>
          </cell>
          <cell r="C181" t="str">
            <v>"</v>
          </cell>
          <cell r="D181">
            <v>1.25</v>
          </cell>
          <cell r="E181">
            <v>155</v>
          </cell>
          <cell r="F181">
            <v>1.4</v>
          </cell>
        </row>
        <row r="182">
          <cell r="B182" t="str">
            <v>Phuøng Minh Lyù</v>
          </cell>
          <cell r="C182" t="str">
            <v>Toå K.C</v>
          </cell>
          <cell r="D182">
            <v>1.3</v>
          </cell>
          <cell r="E182">
            <v>156</v>
          </cell>
          <cell r="F182">
            <v>1.6</v>
          </cell>
        </row>
        <row r="183">
          <cell r="B183" t="str">
            <v>Trònh Myõ Trang</v>
          </cell>
          <cell r="C183" t="str">
            <v>"</v>
          </cell>
          <cell r="D183">
            <v>1.25</v>
          </cell>
          <cell r="E183">
            <v>148</v>
          </cell>
          <cell r="F183">
            <v>1.4</v>
          </cell>
        </row>
        <row r="184">
          <cell r="B184" t="str">
            <v>Traàn Duõng Thaéng</v>
          </cell>
          <cell r="C184" t="str">
            <v>"</v>
          </cell>
          <cell r="D184">
            <v>1.25</v>
          </cell>
          <cell r="E184">
            <v>156</v>
          </cell>
          <cell r="F184">
            <v>1.4</v>
          </cell>
        </row>
        <row r="185">
          <cell r="B185" t="str">
            <v>Vuõ Thanh Tuøng</v>
          </cell>
          <cell r="C185" t="str">
            <v>"</v>
          </cell>
          <cell r="D185">
            <v>1.25</v>
          </cell>
          <cell r="E185">
            <v>155</v>
          </cell>
          <cell r="F185">
            <v>1.4</v>
          </cell>
        </row>
        <row r="186">
          <cell r="B186" t="str">
            <v>Phan Thò Löïu</v>
          </cell>
          <cell r="C186" t="str">
            <v>"</v>
          </cell>
          <cell r="D186">
            <v>1.25</v>
          </cell>
          <cell r="E186">
            <v>155</v>
          </cell>
          <cell r="F186">
            <v>1.4</v>
          </cell>
        </row>
        <row r="187">
          <cell r="B187" t="str">
            <v>Ng. T. Hoàng Hueá</v>
          </cell>
          <cell r="C187" t="str">
            <v>"</v>
          </cell>
          <cell r="D187">
            <v>1.25</v>
          </cell>
          <cell r="E187">
            <v>151</v>
          </cell>
          <cell r="F187">
            <v>1.4</v>
          </cell>
        </row>
        <row r="188">
          <cell r="B188" t="str">
            <v>Phuøng Höõu Thònh</v>
          </cell>
          <cell r="C188" t="str">
            <v>TP</v>
          </cell>
          <cell r="D188">
            <v>1.9</v>
          </cell>
          <cell r="E188">
            <v>153</v>
          </cell>
          <cell r="F188">
            <v>1.6</v>
          </cell>
        </row>
        <row r="189">
          <cell r="B189" t="str">
            <v>Huyønh Quang Vöõng</v>
          </cell>
          <cell r="C189" t="str">
            <v>PP</v>
          </cell>
          <cell r="D189">
            <v>1.75</v>
          </cell>
          <cell r="E189">
            <v>152</v>
          </cell>
          <cell r="F189">
            <v>1.6</v>
          </cell>
        </row>
        <row r="190">
          <cell r="B190" t="str">
            <v>Nguyeãn Thoaïi Oanh</v>
          </cell>
          <cell r="C190" t="str">
            <v>PP</v>
          </cell>
          <cell r="D190">
            <v>1.75</v>
          </cell>
          <cell r="E190">
            <v>152</v>
          </cell>
          <cell r="F190">
            <v>1.6</v>
          </cell>
        </row>
        <row r="191">
          <cell r="B191" t="str">
            <v>Nguyeãn Thò Kim Anh</v>
          </cell>
          <cell r="C191" t="str">
            <v>N.V</v>
          </cell>
          <cell r="D191">
            <v>1.3</v>
          </cell>
          <cell r="E191">
            <v>151</v>
          </cell>
          <cell r="F191">
            <v>1.6</v>
          </cell>
        </row>
        <row r="192">
          <cell r="B192" t="str">
            <v>Nguyeãn Baù Toång</v>
          </cell>
          <cell r="C192" t="str">
            <v>N.V</v>
          </cell>
          <cell r="D192">
            <v>1.25</v>
          </cell>
          <cell r="E192">
            <v>151</v>
          </cell>
          <cell r="F192">
            <v>1.2</v>
          </cell>
        </row>
        <row r="193">
          <cell r="B193" t="str">
            <v>Mai Thaønh Chính</v>
          </cell>
          <cell r="C193" t="str">
            <v>N.V</v>
          </cell>
          <cell r="D193">
            <v>1.25</v>
          </cell>
          <cell r="E193">
            <v>151</v>
          </cell>
          <cell r="F193">
            <v>1.2</v>
          </cell>
        </row>
        <row r="194">
          <cell r="B194" t="str">
            <v>Nguyeãn Vaên Hoaøng</v>
          </cell>
          <cell r="C194" t="str">
            <v>AÙp taûi</v>
          </cell>
          <cell r="D194">
            <v>1.1000000000000001</v>
          </cell>
          <cell r="E194">
            <v>142</v>
          </cell>
          <cell r="F194">
            <v>1.4</v>
          </cell>
        </row>
        <row r="195">
          <cell r="B195" t="str">
            <v>Huyønh Vaên Bình</v>
          </cell>
          <cell r="C195" t="str">
            <v>AÙp taûi</v>
          </cell>
          <cell r="D195">
            <v>1.1000000000000001</v>
          </cell>
          <cell r="E195">
            <v>151</v>
          </cell>
          <cell r="F195">
            <v>1.4</v>
          </cell>
        </row>
        <row r="196">
          <cell r="B196" t="str">
            <v>Tröông Thaønh Taâm</v>
          </cell>
          <cell r="C196" t="str">
            <v>AÙp taûi</v>
          </cell>
          <cell r="D196">
            <v>1.1000000000000001</v>
          </cell>
          <cell r="E196">
            <v>151</v>
          </cell>
          <cell r="F196">
            <v>1.4</v>
          </cell>
        </row>
        <row r="197">
          <cell r="B197" t="str">
            <v>Laâm Anh Duõng</v>
          </cell>
          <cell r="C197" t="str">
            <v>AÙp taûi</v>
          </cell>
          <cell r="D197">
            <v>1.1000000000000001</v>
          </cell>
          <cell r="E197">
            <v>151</v>
          </cell>
          <cell r="F197">
            <v>1.4</v>
          </cell>
        </row>
        <row r="198">
          <cell r="B198" t="str">
            <v>Huyønh Thieän Phong</v>
          </cell>
          <cell r="C198" t="str">
            <v>AÙp taûi</v>
          </cell>
          <cell r="D198">
            <v>1.1000000000000001</v>
          </cell>
          <cell r="E198">
            <v>145</v>
          </cell>
          <cell r="F198">
            <v>1.4</v>
          </cell>
        </row>
        <row r="199">
          <cell r="B199" t="str">
            <v>Vuõ Quoác Vieät</v>
          </cell>
          <cell r="C199" t="str">
            <v>AÙp taûi</v>
          </cell>
          <cell r="D199">
            <v>1.1000000000000001</v>
          </cell>
          <cell r="E199">
            <v>151</v>
          </cell>
          <cell r="F199">
            <v>1.4</v>
          </cell>
        </row>
        <row r="200">
          <cell r="B200" t="str">
            <v>Nguyeãn Phöông Phan</v>
          </cell>
          <cell r="C200" t="str">
            <v>AÙp taûi</v>
          </cell>
          <cell r="D200">
            <v>1.1000000000000001</v>
          </cell>
          <cell r="E200">
            <v>151</v>
          </cell>
          <cell r="F200">
            <v>1.4</v>
          </cell>
        </row>
        <row r="201">
          <cell r="B201" t="str">
            <v>Nguyeãn Quoác Maïnh</v>
          </cell>
          <cell r="C201" t="str">
            <v>AÙp taûi</v>
          </cell>
          <cell r="D201">
            <v>1.1000000000000001</v>
          </cell>
          <cell r="E201">
            <v>151</v>
          </cell>
          <cell r="F201">
            <v>1.4</v>
          </cell>
        </row>
        <row r="202">
          <cell r="B202" t="str">
            <v>Laâm Minh Vöông</v>
          </cell>
          <cell r="C202" t="str">
            <v>T.CN</v>
          </cell>
          <cell r="D202">
            <v>1.6</v>
          </cell>
          <cell r="E202">
            <v>152</v>
          </cell>
          <cell r="F202">
            <v>1.6</v>
          </cell>
        </row>
        <row r="203">
          <cell r="B203" t="str">
            <v>Leâ Thaønh Líp</v>
          </cell>
          <cell r="C203" t="str">
            <v>KT</v>
          </cell>
          <cell r="D203">
            <v>1.3</v>
          </cell>
          <cell r="E203">
            <v>153</v>
          </cell>
          <cell r="F203">
            <v>1.6</v>
          </cell>
        </row>
        <row r="204">
          <cell r="B204" t="str">
            <v>Voõ Hoaøng Trung</v>
          </cell>
          <cell r="C204" t="str">
            <v>NV</v>
          </cell>
          <cell r="D204">
            <v>1.25</v>
          </cell>
          <cell r="E204">
            <v>151</v>
          </cell>
          <cell r="F204">
            <v>1.6</v>
          </cell>
        </row>
        <row r="205">
          <cell r="B205" t="str">
            <v>Voõ Thoáng Nhaát</v>
          </cell>
          <cell r="C205" t="str">
            <v>Thuû quyõ</v>
          </cell>
          <cell r="D205">
            <v>1.2</v>
          </cell>
          <cell r="E205">
            <v>151</v>
          </cell>
          <cell r="F205">
            <v>1.4</v>
          </cell>
        </row>
        <row r="206">
          <cell r="B206" t="str">
            <v>Voõ Hoàng Taâm</v>
          </cell>
          <cell r="C206" t="str">
            <v>Thuû quyõ</v>
          </cell>
          <cell r="D206">
            <v>1.2</v>
          </cell>
          <cell r="E206">
            <v>153</v>
          </cell>
          <cell r="F206">
            <v>1.6</v>
          </cell>
        </row>
        <row r="207">
          <cell r="B207" t="str">
            <v>Nguyeãn Thaønh Thaân</v>
          </cell>
          <cell r="C207" t="str">
            <v>KT</v>
          </cell>
          <cell r="D207">
            <v>1.2</v>
          </cell>
          <cell r="E207">
            <v>105</v>
          </cell>
          <cell r="F207">
            <v>1.4</v>
          </cell>
        </row>
        <row r="208">
          <cell r="B208" t="str">
            <v>Ñinh Ñöùc Chính</v>
          </cell>
          <cell r="C208" t="str">
            <v>L.Xe</v>
          </cell>
          <cell r="D208">
            <v>1.1666666666666667</v>
          </cell>
          <cell r="E208">
            <v>152</v>
          </cell>
          <cell r="F208">
            <v>1.4</v>
          </cell>
        </row>
        <row r="209">
          <cell r="B209" t="str">
            <v>Buøi Tieán Coâng</v>
          </cell>
          <cell r="C209" t="str">
            <v>"</v>
          </cell>
          <cell r="D209">
            <v>1.2</v>
          </cell>
          <cell r="E209">
            <v>153</v>
          </cell>
          <cell r="F209">
            <v>1.4</v>
          </cell>
        </row>
        <row r="210">
          <cell r="B210" t="str">
            <v>Phaïm Vaên Nhieàu</v>
          </cell>
          <cell r="C210" t="str">
            <v>"</v>
          </cell>
          <cell r="D210">
            <v>1.2</v>
          </cell>
          <cell r="E210">
            <v>150</v>
          </cell>
          <cell r="F210">
            <v>1.4</v>
          </cell>
        </row>
        <row r="211">
          <cell r="B211" t="str">
            <v>Ngoâ Thaønh Phöôùc</v>
          </cell>
          <cell r="C211" t="str">
            <v>"</v>
          </cell>
          <cell r="D211">
            <v>1.2</v>
          </cell>
          <cell r="E211">
            <v>150</v>
          </cell>
          <cell r="F211">
            <v>1.4</v>
          </cell>
        </row>
        <row r="212">
          <cell r="B212" t="str">
            <v>Phaïm Anh Huøng</v>
          </cell>
          <cell r="C212" t="str">
            <v>"</v>
          </cell>
          <cell r="D212">
            <v>1.2</v>
          </cell>
          <cell r="E212">
            <v>150</v>
          </cell>
          <cell r="F212">
            <v>1.4</v>
          </cell>
        </row>
        <row r="213">
          <cell r="B213" t="str">
            <v>Nguyeãn Thanh Phong</v>
          </cell>
          <cell r="C213" t="str">
            <v>"</v>
          </cell>
          <cell r="D213">
            <v>1.2</v>
          </cell>
          <cell r="E213">
            <v>136</v>
          </cell>
          <cell r="F213">
            <v>1.4</v>
          </cell>
        </row>
        <row r="214">
          <cell r="B214" t="str">
            <v>Ñaøo Ngoïc Höông</v>
          </cell>
          <cell r="C214" t="str">
            <v>"</v>
          </cell>
          <cell r="D214">
            <v>1.2</v>
          </cell>
          <cell r="E214">
            <v>150</v>
          </cell>
          <cell r="F214">
            <v>1.6</v>
          </cell>
        </row>
        <row r="215">
          <cell r="B215" t="str">
            <v>Voõ Thaønh Nhaân</v>
          </cell>
          <cell r="C215" t="str">
            <v>"</v>
          </cell>
          <cell r="D215">
            <v>1.2</v>
          </cell>
          <cell r="E215">
            <v>72</v>
          </cell>
          <cell r="F215">
            <v>1.2</v>
          </cell>
        </row>
        <row r="216">
          <cell r="B216" t="str">
            <v>Ñoaøn ngoïc Thònh</v>
          </cell>
          <cell r="C216" t="str">
            <v>"</v>
          </cell>
          <cell r="D216">
            <v>1.2</v>
          </cell>
          <cell r="E216">
            <v>21</v>
          </cell>
          <cell r="F216">
            <v>1</v>
          </cell>
        </row>
        <row r="217">
          <cell r="B217" t="str">
            <v>Leâ Vaên Boán</v>
          </cell>
          <cell r="C217" t="str">
            <v>QÑPX</v>
          </cell>
          <cell r="D217">
            <v>1.75</v>
          </cell>
          <cell r="E217">
            <v>139</v>
          </cell>
          <cell r="F217">
            <v>1.6</v>
          </cell>
        </row>
        <row r="218">
          <cell r="B218" t="str">
            <v>Döông Kim Chi</v>
          </cell>
          <cell r="C218" t="str">
            <v>TK-PX</v>
          </cell>
          <cell r="D218">
            <v>1.2</v>
          </cell>
          <cell r="E218">
            <v>147</v>
          </cell>
          <cell r="F218">
            <v>1.4</v>
          </cell>
        </row>
        <row r="219">
          <cell r="B219" t="str">
            <v>Nguyeãn Khaéc Haûi</v>
          </cell>
          <cell r="C219" t="str">
            <v>CK.V/h</v>
          </cell>
          <cell r="D219">
            <v>1.25</v>
          </cell>
          <cell r="E219">
            <v>152</v>
          </cell>
          <cell r="F219">
            <v>1.4</v>
          </cell>
        </row>
        <row r="220">
          <cell r="B220" t="str">
            <v>Leâ Minh  Ñöùc</v>
          </cell>
          <cell r="C220" t="str">
            <v>TT.Khoan</v>
          </cell>
          <cell r="D220">
            <v>1.35</v>
          </cell>
          <cell r="E220">
            <v>152</v>
          </cell>
          <cell r="F220">
            <v>1.6</v>
          </cell>
        </row>
        <row r="221">
          <cell r="B221" t="str">
            <v>Giang Vaên Tónh</v>
          </cell>
          <cell r="C221" t="str">
            <v>Thôï khoan</v>
          </cell>
          <cell r="D221">
            <v>1.3</v>
          </cell>
          <cell r="E221">
            <v>151</v>
          </cell>
          <cell r="F221">
            <v>1.4</v>
          </cell>
        </row>
        <row r="222">
          <cell r="B222" t="str">
            <v>Trình Xuaân Baûng</v>
          </cell>
          <cell r="C222" t="str">
            <v>"</v>
          </cell>
          <cell r="D222">
            <v>1.3</v>
          </cell>
          <cell r="E222">
            <v>153</v>
          </cell>
          <cell r="F222">
            <v>1.4</v>
          </cell>
        </row>
        <row r="223">
          <cell r="B223" t="str">
            <v>Buøi Trung Tuaán</v>
          </cell>
          <cell r="C223" t="str">
            <v>"</v>
          </cell>
          <cell r="D223">
            <v>1.3</v>
          </cell>
          <cell r="E223">
            <v>151</v>
          </cell>
          <cell r="F223">
            <v>1.4</v>
          </cell>
        </row>
        <row r="224">
          <cell r="B224" t="str">
            <v>Phaïm Ngoïc Sôn</v>
          </cell>
          <cell r="C224" t="str">
            <v>"</v>
          </cell>
          <cell r="D224">
            <v>1.3</v>
          </cell>
          <cell r="E224">
            <v>151</v>
          </cell>
          <cell r="F224">
            <v>1.4</v>
          </cell>
        </row>
        <row r="225">
          <cell r="B225" t="str">
            <v>Ng. Ñình Nguyeân</v>
          </cell>
          <cell r="C225" t="str">
            <v>"</v>
          </cell>
          <cell r="D225">
            <v>1.3</v>
          </cell>
          <cell r="E225">
            <v>151</v>
          </cell>
          <cell r="F225">
            <v>1.4</v>
          </cell>
        </row>
        <row r="226">
          <cell r="B226" t="str">
            <v>Laïi Vaên Huyeân</v>
          </cell>
          <cell r="C226" t="str">
            <v>TT Pha boå</v>
          </cell>
          <cell r="D226">
            <v>1.2</v>
          </cell>
          <cell r="E226">
            <v>152</v>
          </cell>
          <cell r="F226">
            <v>1.6</v>
          </cell>
        </row>
        <row r="227">
          <cell r="B227" t="str">
            <v>Nguyeãn vaên Chaët</v>
          </cell>
          <cell r="C227" t="str">
            <v>CN Pha boå</v>
          </cell>
          <cell r="D227">
            <v>1.1499999999999999</v>
          </cell>
          <cell r="E227">
            <v>140</v>
          </cell>
          <cell r="F227">
            <v>1.2</v>
          </cell>
        </row>
        <row r="228">
          <cell r="B228" t="str">
            <v>Chaâu Thanh Lieâm</v>
          </cell>
          <cell r="C228" t="str">
            <v>"</v>
          </cell>
          <cell r="D228">
            <v>1.1499999999999999</v>
          </cell>
          <cell r="E228">
            <v>151</v>
          </cell>
          <cell r="F228">
            <v>1.4</v>
          </cell>
        </row>
        <row r="229">
          <cell r="B229" t="str">
            <v>Ong Döông Haûi</v>
          </cell>
          <cell r="C229" t="str">
            <v>"</v>
          </cell>
          <cell r="D229">
            <v>1.1499999999999999</v>
          </cell>
          <cell r="E229">
            <v>151</v>
          </cell>
          <cell r="F229">
            <v>1.2</v>
          </cell>
        </row>
        <row r="230">
          <cell r="B230" t="str">
            <v>Lyù Vaên Thaønh</v>
          </cell>
          <cell r="C230" t="str">
            <v>"</v>
          </cell>
          <cell r="D230">
            <v>1.1499999999999999</v>
          </cell>
          <cell r="E230">
            <v>151</v>
          </cell>
          <cell r="F230">
            <v>1.4</v>
          </cell>
        </row>
        <row r="231">
          <cell r="B231" t="str">
            <v>Danh Chung</v>
          </cell>
          <cell r="C231" t="str">
            <v>"</v>
          </cell>
          <cell r="D231">
            <v>1.1499999999999999</v>
          </cell>
          <cell r="E231">
            <v>145</v>
          </cell>
          <cell r="F231">
            <v>1.4</v>
          </cell>
        </row>
        <row r="232">
          <cell r="B232" t="str">
            <v>Laïi Vaên Tình</v>
          </cell>
          <cell r="C232" t="str">
            <v>"</v>
          </cell>
          <cell r="D232">
            <v>1.1499999999999999</v>
          </cell>
          <cell r="E232">
            <v>151</v>
          </cell>
          <cell r="F232">
            <v>1.4</v>
          </cell>
        </row>
        <row r="233">
          <cell r="B233" t="str">
            <v>Danh Xuaân</v>
          </cell>
          <cell r="C233" t="str">
            <v>"</v>
          </cell>
          <cell r="D233">
            <v>1.1499999999999999</v>
          </cell>
          <cell r="E233">
            <v>151</v>
          </cell>
          <cell r="F233">
            <v>1.4</v>
          </cell>
        </row>
        <row r="234">
          <cell r="B234" t="str">
            <v>Höùa Vaên Meán</v>
          </cell>
          <cell r="C234" t="str">
            <v>"</v>
          </cell>
          <cell r="D234">
            <v>1.1499999999999999</v>
          </cell>
          <cell r="E234">
            <v>151</v>
          </cell>
          <cell r="F234">
            <v>1.4</v>
          </cell>
        </row>
        <row r="235">
          <cell r="B235" t="str">
            <v>Du  Kim Thaønh</v>
          </cell>
          <cell r="C235" t="str">
            <v>"</v>
          </cell>
          <cell r="D235">
            <v>1.1499999999999999</v>
          </cell>
          <cell r="E235">
            <v>151</v>
          </cell>
          <cell r="F235">
            <v>1.4</v>
          </cell>
        </row>
        <row r="236">
          <cell r="B236" t="str">
            <v>Döông Vaên Tuaán</v>
          </cell>
          <cell r="C236" t="str">
            <v>CN</v>
          </cell>
          <cell r="D236">
            <v>1.1499999999999999</v>
          </cell>
          <cell r="E236">
            <v>153</v>
          </cell>
          <cell r="F236">
            <v>1.4</v>
          </cell>
        </row>
        <row r="237">
          <cell r="B237" t="str">
            <v>Hoà Vaên Em</v>
          </cell>
          <cell r="C237" t="str">
            <v>"</v>
          </cell>
          <cell r="D237">
            <v>1.1499999999999999</v>
          </cell>
          <cell r="E237">
            <v>151</v>
          </cell>
          <cell r="F237">
            <v>1.4</v>
          </cell>
        </row>
        <row r="238">
          <cell r="B238" t="str">
            <v>Cao Hoaøi Thanh</v>
          </cell>
          <cell r="C238" t="str">
            <v>"</v>
          </cell>
          <cell r="D238">
            <v>1.1499999999999999</v>
          </cell>
          <cell r="E238">
            <v>151</v>
          </cell>
          <cell r="F238">
            <v>1.4</v>
          </cell>
        </row>
        <row r="239">
          <cell r="B239" t="str">
            <v>Höùa Vaên Sao</v>
          </cell>
          <cell r="C239" t="str">
            <v>"</v>
          </cell>
          <cell r="D239">
            <v>1.1499999999999999</v>
          </cell>
          <cell r="E239">
            <v>151</v>
          </cell>
          <cell r="F239">
            <v>1.4</v>
          </cell>
        </row>
        <row r="240">
          <cell r="B240" t="str">
            <v>Trònh Xuaân Tröôûng</v>
          </cell>
          <cell r="C240" t="str">
            <v>"</v>
          </cell>
          <cell r="D240">
            <v>1.1499999999999999</v>
          </cell>
          <cell r="E240">
            <v>150</v>
          </cell>
          <cell r="F240">
            <v>1.4</v>
          </cell>
        </row>
        <row r="241">
          <cell r="B241" t="str">
            <v>Döông Phuùc Ñaït</v>
          </cell>
          <cell r="C241" t="str">
            <v>"</v>
          </cell>
          <cell r="D241">
            <v>1.1499999999999999</v>
          </cell>
          <cell r="E241">
            <v>141</v>
          </cell>
          <cell r="F241">
            <v>1.6</v>
          </cell>
        </row>
        <row r="242">
          <cell r="B242" t="str">
            <v>Nguyeãn Vaên Thaéng</v>
          </cell>
          <cell r="C242" t="str">
            <v>B.Veä</v>
          </cell>
          <cell r="D242">
            <v>0.95</v>
          </cell>
          <cell r="E242">
            <v>151</v>
          </cell>
          <cell r="F242">
            <v>1.4</v>
          </cell>
        </row>
        <row r="243">
          <cell r="B243" t="str">
            <v>Traàn Thuaän Phong</v>
          </cell>
          <cell r="C243" t="str">
            <v>B.Veä</v>
          </cell>
          <cell r="D243">
            <v>0.95</v>
          </cell>
          <cell r="E243">
            <v>153</v>
          </cell>
          <cell r="F243">
            <v>1.6</v>
          </cell>
        </row>
        <row r="244">
          <cell r="B244" t="str">
            <v>Leâ Vaên Quyeát</v>
          </cell>
          <cell r="C244" t="str">
            <v>B.Veä</v>
          </cell>
          <cell r="D244">
            <v>0.95</v>
          </cell>
          <cell r="E244">
            <v>153</v>
          </cell>
          <cell r="F244">
            <v>1.4</v>
          </cell>
        </row>
        <row r="245">
          <cell r="B245" t="str">
            <v xml:space="preserve">Vuõ Ñình Thaønh </v>
          </cell>
          <cell r="C245" t="str">
            <v>B.Veä</v>
          </cell>
          <cell r="D245">
            <v>0.95</v>
          </cell>
          <cell r="E245">
            <v>153</v>
          </cell>
          <cell r="F245">
            <v>1.4</v>
          </cell>
        </row>
        <row r="246">
          <cell r="B246" t="str">
            <v>Leâ Thò Kim Loan</v>
          </cell>
          <cell r="C246" t="str">
            <v>P.Vuï</v>
          </cell>
          <cell r="D246">
            <v>0.9</v>
          </cell>
          <cell r="E246">
            <v>151</v>
          </cell>
          <cell r="F246">
            <v>1.6</v>
          </cell>
        </row>
        <row r="247">
          <cell r="B247" t="str">
            <v>Ñaøo Troïng Ñaït</v>
          </cell>
          <cell r="C247" t="str">
            <v>PP</v>
          </cell>
          <cell r="D247">
            <v>1.75</v>
          </cell>
          <cell r="E247">
            <v>152</v>
          </cell>
          <cell r="F247">
            <v>1.6</v>
          </cell>
        </row>
        <row r="248">
          <cell r="B248" t="str">
            <v>Nguyeãn Vaên Hieån</v>
          </cell>
          <cell r="C248" t="str">
            <v>N.V</v>
          </cell>
          <cell r="D248">
            <v>1.3</v>
          </cell>
          <cell r="E248">
            <v>151</v>
          </cell>
          <cell r="F248">
            <v>1.4</v>
          </cell>
        </row>
        <row r="249">
          <cell r="B249" t="str">
            <v>Trònh Hoaøng Laâm</v>
          </cell>
          <cell r="C249" t="str">
            <v>N.V</v>
          </cell>
          <cell r="D249">
            <v>1.25</v>
          </cell>
          <cell r="E249">
            <v>151</v>
          </cell>
          <cell r="F249">
            <v>1.4</v>
          </cell>
        </row>
        <row r="250">
          <cell r="B250" t="str">
            <v>Döông Vaên Thaûo</v>
          </cell>
          <cell r="C250" t="str">
            <v>N.V</v>
          </cell>
          <cell r="D250">
            <v>1.25</v>
          </cell>
          <cell r="E250">
            <v>151</v>
          </cell>
          <cell r="F250">
            <v>1.6</v>
          </cell>
        </row>
        <row r="251">
          <cell r="B251" t="str">
            <v>Nguyeãn Thu Laøi</v>
          </cell>
          <cell r="C251" t="str">
            <v>N.V</v>
          </cell>
          <cell r="D251">
            <v>1.2</v>
          </cell>
          <cell r="E251">
            <v>151</v>
          </cell>
          <cell r="F251">
            <v>1.4</v>
          </cell>
        </row>
        <row r="253">
          <cell r="B253" t="str">
            <v>Laâm Duy Khaùnh</v>
          </cell>
          <cell r="C253" t="str">
            <v>T.P</v>
          </cell>
          <cell r="D253">
            <v>1.9</v>
          </cell>
          <cell r="E253">
            <v>152</v>
          </cell>
          <cell r="F253">
            <v>1.6</v>
          </cell>
        </row>
        <row r="254">
          <cell r="B254" t="str">
            <v>Hoà Nam Giang</v>
          </cell>
          <cell r="C254" t="str">
            <v>PP</v>
          </cell>
          <cell r="D254">
            <v>1.75</v>
          </cell>
          <cell r="E254">
            <v>152</v>
          </cell>
          <cell r="F254">
            <v>1.6</v>
          </cell>
        </row>
        <row r="255">
          <cell r="B255" t="str">
            <v>Traàn Chinh Chieán</v>
          </cell>
          <cell r="C255" t="str">
            <v>PP</v>
          </cell>
          <cell r="D255">
            <v>1.75</v>
          </cell>
          <cell r="E255">
            <v>152</v>
          </cell>
          <cell r="F255">
            <v>1.6</v>
          </cell>
        </row>
        <row r="256">
          <cell r="B256" t="str">
            <v>Nguyeãn Xuaân Trieäu</v>
          </cell>
          <cell r="C256" t="str">
            <v>NV</v>
          </cell>
          <cell r="D256">
            <v>1.2</v>
          </cell>
          <cell r="E256">
            <v>151</v>
          </cell>
          <cell r="F256">
            <v>1.2</v>
          </cell>
        </row>
        <row r="257">
          <cell r="B257" t="str">
            <v>Vaên Minh Maät</v>
          </cell>
          <cell r="C257" t="str">
            <v>ÑTVT</v>
          </cell>
          <cell r="D257">
            <v>1.3167</v>
          </cell>
          <cell r="E257">
            <v>151</v>
          </cell>
          <cell r="F257">
            <v>1.4</v>
          </cell>
        </row>
        <row r="258">
          <cell r="B258" t="str">
            <v>Maïc Thanh Duõng</v>
          </cell>
          <cell r="C258" t="str">
            <v>N.V</v>
          </cell>
          <cell r="D258">
            <v>1.3</v>
          </cell>
          <cell r="E258">
            <v>151</v>
          </cell>
          <cell r="F258">
            <v>1.6</v>
          </cell>
        </row>
        <row r="259">
          <cell r="B259" t="str">
            <v>Nguyeãn Vaên Thôm</v>
          </cell>
          <cell r="C259" t="str">
            <v>N.V</v>
          </cell>
          <cell r="D259">
            <v>1.35</v>
          </cell>
          <cell r="E259">
            <v>151</v>
          </cell>
          <cell r="F259">
            <v>1.6</v>
          </cell>
        </row>
        <row r="260">
          <cell r="B260" t="str">
            <v>Nguyeãn Thanh Bình</v>
          </cell>
          <cell r="C260" t="str">
            <v>T.Caân</v>
          </cell>
          <cell r="D260">
            <v>1.1000000000000001</v>
          </cell>
          <cell r="E260">
            <v>157</v>
          </cell>
          <cell r="F260">
            <v>1.4</v>
          </cell>
        </row>
        <row r="261">
          <cell r="B261" t="str">
            <v>Voõ Daân Quyeàn</v>
          </cell>
          <cell r="C261" t="str">
            <v>T.Caân</v>
          </cell>
          <cell r="D261">
            <v>1.1000000000000001</v>
          </cell>
          <cell r="E261">
            <v>157</v>
          </cell>
          <cell r="F261">
            <v>1.4</v>
          </cell>
        </row>
        <row r="262">
          <cell r="B262" t="str">
            <v>Huyønh Thanh Cöôøng</v>
          </cell>
          <cell r="C262" t="str">
            <v>"</v>
          </cell>
          <cell r="D262">
            <v>1.1000000000000001</v>
          </cell>
          <cell r="E262">
            <v>157</v>
          </cell>
          <cell r="F262">
            <v>1.4</v>
          </cell>
        </row>
        <row r="263">
          <cell r="B263" t="str">
            <v>Nguyeãn Sôn Haø</v>
          </cell>
          <cell r="C263" t="str">
            <v>T.BH</v>
          </cell>
          <cell r="D263">
            <v>1.35</v>
          </cell>
          <cell r="E263">
            <v>153</v>
          </cell>
          <cell r="F263">
            <v>1.4</v>
          </cell>
        </row>
        <row r="264">
          <cell r="B264" t="str">
            <v>Tröông Ngoïc Maãn</v>
          </cell>
          <cell r="C264" t="str">
            <v>T.BH</v>
          </cell>
          <cell r="D264">
            <v>1.35</v>
          </cell>
          <cell r="E264">
            <v>153</v>
          </cell>
          <cell r="F264">
            <v>1.6</v>
          </cell>
        </row>
        <row r="265">
          <cell r="B265" t="str">
            <v>Huyønh Thanh Lieâm</v>
          </cell>
          <cell r="C265" t="str">
            <v>TKVT</v>
          </cell>
          <cell r="D265">
            <v>1.25</v>
          </cell>
          <cell r="E265">
            <v>151</v>
          </cell>
          <cell r="F265">
            <v>1.4</v>
          </cell>
        </row>
        <row r="266">
          <cell r="B266" t="str">
            <v>Phuøng Höõu Ñaït</v>
          </cell>
          <cell r="C266" t="str">
            <v>TKXM</v>
          </cell>
          <cell r="D266">
            <v>1.45</v>
          </cell>
          <cell r="E266">
            <v>151</v>
          </cell>
          <cell r="F266">
            <v>1.6</v>
          </cell>
        </row>
        <row r="267">
          <cell r="B267" t="str">
            <v>Laâm Hoàng Haûi</v>
          </cell>
          <cell r="C267" t="str">
            <v>TKVLN</v>
          </cell>
          <cell r="D267">
            <v>1.35</v>
          </cell>
          <cell r="E267">
            <v>151</v>
          </cell>
          <cell r="F267">
            <v>1.4</v>
          </cell>
        </row>
        <row r="268">
          <cell r="B268" t="str">
            <v>Nguyeãn Ngoïc Duy</v>
          </cell>
          <cell r="C268" t="str">
            <v>NV</v>
          </cell>
          <cell r="D268">
            <v>1.2</v>
          </cell>
          <cell r="E268">
            <v>72</v>
          </cell>
          <cell r="F268">
            <v>1.4</v>
          </cell>
        </row>
        <row r="269">
          <cell r="B269" t="str">
            <v>Leâ Hoaøng Baù</v>
          </cell>
          <cell r="C269" t="str">
            <v>NV</v>
          </cell>
          <cell r="D269">
            <v>1.1000000000000001</v>
          </cell>
          <cell r="E269">
            <v>12</v>
          </cell>
          <cell r="F269">
            <v>1.4</v>
          </cell>
        </row>
        <row r="270">
          <cell r="B270" t="str">
            <v>Traàn Huy Thaïch</v>
          </cell>
          <cell r="C270" t="str">
            <v>NV</v>
          </cell>
          <cell r="D270">
            <v>1.1000000000000001</v>
          </cell>
          <cell r="E270">
            <v>9</v>
          </cell>
          <cell r="F270">
            <v>1.4</v>
          </cell>
        </row>
        <row r="271">
          <cell r="B271" t="str">
            <v>Traàn phuù Thuyû</v>
          </cell>
          <cell r="C271" t="str">
            <v>NV</v>
          </cell>
          <cell r="D271">
            <v>1.2</v>
          </cell>
          <cell r="E271">
            <v>151</v>
          </cell>
          <cell r="F271">
            <v>1.6</v>
          </cell>
        </row>
        <row r="272">
          <cell r="B272" t="str">
            <v>Nguyeãn Vaên Haûi</v>
          </cell>
          <cell r="C272" t="str">
            <v>BQL-DA</v>
          </cell>
          <cell r="D272">
            <v>1.25</v>
          </cell>
          <cell r="E272">
            <v>151</v>
          </cell>
          <cell r="F272">
            <v>1.4</v>
          </cell>
        </row>
        <row r="273">
          <cell r="B273" t="str">
            <v>Hoà Thò Caåm Huyønh</v>
          </cell>
          <cell r="C273" t="str">
            <v>BQL-DA</v>
          </cell>
          <cell r="D273">
            <v>1.25</v>
          </cell>
          <cell r="E273">
            <v>151</v>
          </cell>
          <cell r="F273">
            <v>1.4</v>
          </cell>
        </row>
        <row r="274">
          <cell r="B274" t="str">
            <v>Nguyeãn Vaên Cöôøng</v>
          </cell>
          <cell r="C274" t="str">
            <v>TT</v>
          </cell>
          <cell r="D274">
            <v>1.4</v>
          </cell>
          <cell r="E274">
            <v>154</v>
          </cell>
          <cell r="F274">
            <v>1.6</v>
          </cell>
        </row>
        <row r="275">
          <cell r="B275" t="str">
            <v>Phan Vaên Hoàng</v>
          </cell>
          <cell r="C275" t="str">
            <v>Toå Phoù</v>
          </cell>
          <cell r="D275">
            <v>1.3</v>
          </cell>
          <cell r="E275">
            <v>154</v>
          </cell>
          <cell r="F275">
            <v>1.6</v>
          </cell>
        </row>
        <row r="276">
          <cell r="B276" t="str">
            <v>Taï Quoác Quyønh</v>
          </cell>
          <cell r="C276" t="str">
            <v>CN</v>
          </cell>
          <cell r="D276">
            <v>1.25</v>
          </cell>
          <cell r="E276">
            <v>154</v>
          </cell>
          <cell r="F276">
            <v>1.4</v>
          </cell>
        </row>
        <row r="277">
          <cell r="B277" t="str">
            <v>Phan Vaên Hieàn</v>
          </cell>
          <cell r="C277" t="str">
            <v>"</v>
          </cell>
          <cell r="D277">
            <v>1.25</v>
          </cell>
          <cell r="E277">
            <v>154</v>
          </cell>
          <cell r="F277">
            <v>1.4</v>
          </cell>
        </row>
        <row r="278">
          <cell r="B278" t="str">
            <v>Leâ Töï Thieän</v>
          </cell>
          <cell r="C278" t="str">
            <v>"</v>
          </cell>
          <cell r="D278">
            <v>1.25</v>
          </cell>
          <cell r="E278">
            <v>154</v>
          </cell>
          <cell r="F278">
            <v>1.4</v>
          </cell>
        </row>
        <row r="279">
          <cell r="B279" t="str">
            <v>Phaïm Gia Bình</v>
          </cell>
          <cell r="C279" t="str">
            <v>"</v>
          </cell>
          <cell r="D279">
            <v>1.25</v>
          </cell>
          <cell r="E279">
            <v>155</v>
          </cell>
          <cell r="F279">
            <v>1.2</v>
          </cell>
        </row>
        <row r="280">
          <cell r="B280" t="str">
            <v>Nguyeãn Ngoïc Sôn</v>
          </cell>
          <cell r="C280" t="str">
            <v>"</v>
          </cell>
          <cell r="D280">
            <v>1.25</v>
          </cell>
          <cell r="E280">
            <v>154</v>
          </cell>
          <cell r="F280">
            <v>1.4</v>
          </cell>
        </row>
        <row r="281">
          <cell r="B281" t="str">
            <v>Nguyeãn Troïng Taøi</v>
          </cell>
          <cell r="C281" t="str">
            <v>"</v>
          </cell>
          <cell r="D281">
            <v>1.25</v>
          </cell>
          <cell r="E281">
            <v>154</v>
          </cell>
          <cell r="F281">
            <v>1.4</v>
          </cell>
        </row>
        <row r="282">
          <cell r="B282" t="str">
            <v>Phan Phöôùc Lôïi</v>
          </cell>
          <cell r="C282" t="str">
            <v>"</v>
          </cell>
          <cell r="D282">
            <v>1.25</v>
          </cell>
          <cell r="E282">
            <v>153</v>
          </cell>
          <cell r="F282">
            <v>1.4</v>
          </cell>
        </row>
        <row r="283">
          <cell r="B283" t="str">
            <v>Nguyeãn Hoàng Hoaøng</v>
          </cell>
          <cell r="C283" t="str">
            <v>L.xe taûi</v>
          </cell>
          <cell r="D283">
            <v>1.2</v>
          </cell>
          <cell r="E283">
            <v>153</v>
          </cell>
          <cell r="F283">
            <v>1.6</v>
          </cell>
        </row>
        <row r="284">
          <cell r="B284" t="str">
            <v>Traàn Ngoïc Phöông</v>
          </cell>
          <cell r="C284" t="str">
            <v>"</v>
          </cell>
          <cell r="D284">
            <v>1.2</v>
          </cell>
          <cell r="E284">
            <v>151</v>
          </cell>
          <cell r="F284">
            <v>1.4</v>
          </cell>
        </row>
        <row r="285">
          <cell r="B285" t="str">
            <v>Ñoã Vaên Loäc</v>
          </cell>
          <cell r="C285" t="str">
            <v>"</v>
          </cell>
          <cell r="D285">
            <v>1.2</v>
          </cell>
          <cell r="E285">
            <v>151</v>
          </cell>
          <cell r="F285">
            <v>1.4</v>
          </cell>
        </row>
        <row r="286">
          <cell r="B286" t="str">
            <v>Ñaëng Quoác Trung</v>
          </cell>
          <cell r="C286" t="str">
            <v>"</v>
          </cell>
          <cell r="D286">
            <v>1.2</v>
          </cell>
          <cell r="E286">
            <v>151</v>
          </cell>
          <cell r="F286">
            <v>1.4</v>
          </cell>
        </row>
        <row r="287">
          <cell r="B287" t="str">
            <v>Nguyeãn Thaønh Haûo</v>
          </cell>
          <cell r="C287" t="str">
            <v>"</v>
          </cell>
          <cell r="D287">
            <v>1.2</v>
          </cell>
          <cell r="E287">
            <v>150</v>
          </cell>
          <cell r="F287">
            <v>1.4</v>
          </cell>
        </row>
        <row r="288">
          <cell r="B288" t="str">
            <v>Phaïm Quoác Huy</v>
          </cell>
          <cell r="C288" t="str">
            <v>"</v>
          </cell>
          <cell r="D288">
            <v>1.2</v>
          </cell>
          <cell r="E288">
            <v>117</v>
          </cell>
          <cell r="F288">
            <v>1.4</v>
          </cell>
        </row>
        <row r="289">
          <cell r="B289" t="str">
            <v>Tröông Hoaøi Phong</v>
          </cell>
          <cell r="C289" t="str">
            <v>"</v>
          </cell>
          <cell r="D289">
            <v>1.2</v>
          </cell>
          <cell r="E289">
            <v>151</v>
          </cell>
          <cell r="F289">
            <v>1.4</v>
          </cell>
        </row>
        <row r="290">
          <cell r="B290" t="str">
            <v>Nguyeãn vaên Yeân</v>
          </cell>
          <cell r="C290" t="str">
            <v>"</v>
          </cell>
          <cell r="D290">
            <v>1.2</v>
          </cell>
          <cell r="E290">
            <v>151</v>
          </cell>
          <cell r="F290">
            <v>1.4</v>
          </cell>
        </row>
        <row r="291">
          <cell r="B291" t="str">
            <v>Ñaëng Quoác Duõng</v>
          </cell>
          <cell r="C291" t="str">
            <v>"</v>
          </cell>
          <cell r="D291">
            <v>1.2</v>
          </cell>
          <cell r="E291">
            <v>148</v>
          </cell>
          <cell r="F291">
            <v>1.4</v>
          </cell>
        </row>
        <row r="292">
          <cell r="B292" t="str">
            <v>Nguyeãn Thanh Tuaán</v>
          </cell>
          <cell r="C292" t="str">
            <v>Laùi caåu</v>
          </cell>
          <cell r="D292">
            <v>1.3</v>
          </cell>
          <cell r="E292">
            <v>150</v>
          </cell>
          <cell r="F292">
            <v>1.4</v>
          </cell>
        </row>
        <row r="293">
          <cell r="B293" t="str">
            <v>Traàn Vaên Sôn</v>
          </cell>
          <cell r="C293" t="str">
            <v>"</v>
          </cell>
          <cell r="D293">
            <v>1.3</v>
          </cell>
          <cell r="E293">
            <v>149</v>
          </cell>
          <cell r="F293">
            <v>1.2</v>
          </cell>
        </row>
        <row r="294">
          <cell r="B294" t="str">
            <v>Ñaøo Vaên Minh</v>
          </cell>
          <cell r="C294" t="str">
            <v>Laùi cuoác</v>
          </cell>
          <cell r="D294">
            <v>1.3</v>
          </cell>
          <cell r="E294">
            <v>152</v>
          </cell>
          <cell r="F294">
            <v>1.6</v>
          </cell>
        </row>
        <row r="295">
          <cell r="B295" t="str">
            <v>Phaïm Ñöùc Thieäp</v>
          </cell>
          <cell r="C295" t="str">
            <v>Xe xuùc</v>
          </cell>
          <cell r="D295">
            <v>1.2</v>
          </cell>
          <cell r="E295">
            <v>151</v>
          </cell>
          <cell r="F295">
            <v>1.4</v>
          </cell>
        </row>
        <row r="296">
          <cell r="B296" t="str">
            <v>Nguyeãn Xuaân Thaønh</v>
          </cell>
          <cell r="C296" t="str">
            <v>"</v>
          </cell>
          <cell r="D296">
            <v>1.2</v>
          </cell>
          <cell r="E296">
            <v>151</v>
          </cell>
          <cell r="F296">
            <v>1.4</v>
          </cell>
        </row>
        <row r="297">
          <cell r="B297" t="str">
            <v>Nguyeãn Ñöùc Thaéng</v>
          </cell>
          <cell r="C297" t="str">
            <v>X.xuùc 300</v>
          </cell>
          <cell r="D297">
            <v>1.2</v>
          </cell>
          <cell r="E297">
            <v>150</v>
          </cell>
          <cell r="F297">
            <v>1.6</v>
          </cell>
        </row>
        <row r="298">
          <cell r="B298" t="str">
            <v>Nguyeãn Thaønh Thoaïi</v>
          </cell>
          <cell r="C298" t="str">
            <v>Daewoo</v>
          </cell>
          <cell r="D298">
            <v>1.2</v>
          </cell>
          <cell r="E298">
            <v>138</v>
          </cell>
          <cell r="F298">
            <v>1.4</v>
          </cell>
        </row>
        <row r="299">
          <cell r="B299" t="str">
            <v>Ngoâ Vaên Taân</v>
          </cell>
          <cell r="C299" t="str">
            <v>Xe cuoác</v>
          </cell>
          <cell r="D299">
            <v>1.2</v>
          </cell>
          <cell r="E299">
            <v>153</v>
          </cell>
          <cell r="F299">
            <v>1.6</v>
          </cell>
        </row>
        <row r="300">
          <cell r="B300" t="str">
            <v>Buøi Quang Baèng</v>
          </cell>
          <cell r="C300" t="str">
            <v>Xe naâng</v>
          </cell>
          <cell r="D300">
            <v>1.2</v>
          </cell>
          <cell r="E300">
            <v>149</v>
          </cell>
          <cell r="F300">
            <v>1.4</v>
          </cell>
        </row>
        <row r="301">
          <cell r="B301" t="str">
            <v>Ngoâ Vaên Thaân</v>
          </cell>
          <cell r="C301" t="str">
            <v>Xe naâng</v>
          </cell>
          <cell r="D301">
            <v>1.2</v>
          </cell>
          <cell r="E301">
            <v>134</v>
          </cell>
          <cell r="F301">
            <v>1.2</v>
          </cell>
        </row>
        <row r="302">
          <cell r="B302" t="str">
            <v>Buøi Quang Laäp</v>
          </cell>
          <cell r="C302" t="str">
            <v>Xe naâng</v>
          </cell>
          <cell r="D302">
            <v>1.2</v>
          </cell>
          <cell r="E302">
            <v>150</v>
          </cell>
          <cell r="F302">
            <v>1.2</v>
          </cell>
        </row>
        <row r="303">
          <cell r="B303" t="str">
            <v>Phan Thanh Trung</v>
          </cell>
          <cell r="C303" t="str">
            <v>Xe naâng</v>
          </cell>
          <cell r="D303">
            <v>1.2</v>
          </cell>
          <cell r="E303">
            <v>149</v>
          </cell>
          <cell r="F303">
            <v>1.4</v>
          </cell>
        </row>
        <row r="304">
          <cell r="B304" t="str">
            <v>Laâm Hoàng Thu</v>
          </cell>
          <cell r="C304" t="str">
            <v>Xe naâng</v>
          </cell>
          <cell r="D304">
            <v>1.2</v>
          </cell>
          <cell r="E304">
            <v>18</v>
          </cell>
          <cell r="F304">
            <v>1.4</v>
          </cell>
        </row>
        <row r="306">
          <cell r="B306" t="str">
            <v>Phaïm Vuõ Hoàng</v>
          </cell>
          <cell r="C306" t="str">
            <v>Giaùm ñoác</v>
          </cell>
          <cell r="D306">
            <v>3.6</v>
          </cell>
          <cell r="E306">
            <v>152</v>
          </cell>
          <cell r="F306">
            <v>1.6</v>
          </cell>
        </row>
        <row r="307">
          <cell r="B307" t="str">
            <v>Nguyeãn Vaên Huøng</v>
          </cell>
          <cell r="C307" t="str">
            <v>P.GÑ</v>
          </cell>
          <cell r="D307">
            <v>3</v>
          </cell>
          <cell r="E307">
            <v>152</v>
          </cell>
          <cell r="F307">
            <v>1.6</v>
          </cell>
        </row>
        <row r="308">
          <cell r="B308" t="str">
            <v>Nguyeãn Vaên Tuoát</v>
          </cell>
          <cell r="C308" t="str">
            <v>KTT</v>
          </cell>
          <cell r="D308">
            <v>3</v>
          </cell>
          <cell r="E308">
            <v>151</v>
          </cell>
          <cell r="F308">
            <v>1.6</v>
          </cell>
        </row>
        <row r="309">
          <cell r="B309" t="str">
            <v>Coäng:</v>
          </cell>
          <cell r="D309">
            <v>373.74701472094171</v>
          </cell>
          <cell r="E309">
            <v>44160</v>
          </cell>
        </row>
      </sheetData>
      <sheetData sheetId="9" refreshError="1">
        <row r="6">
          <cell r="B6" t="str">
            <v>Traàn Vaên Nuoâi</v>
          </cell>
          <cell r="C6" t="str">
            <v>Tr.P</v>
          </cell>
          <cell r="D6">
            <v>152</v>
          </cell>
          <cell r="E6">
            <v>21</v>
          </cell>
          <cell r="F6">
            <v>27</v>
          </cell>
          <cell r="G6">
            <v>25</v>
          </cell>
          <cell r="H6">
            <v>27</v>
          </cell>
          <cell r="I6">
            <v>26</v>
          </cell>
          <cell r="J6">
            <v>26</v>
          </cell>
          <cell r="K6">
            <v>152</v>
          </cell>
          <cell r="L6">
            <v>304</v>
          </cell>
          <cell r="M6">
            <v>1.8</v>
          </cell>
          <cell r="N6" t="str">
            <v>Xuaát saéc</v>
          </cell>
          <cell r="O6">
            <v>1.6</v>
          </cell>
          <cell r="Q6" t="str">
            <v xml:space="preserve"> (pheùp naêm + cöôùi con =5 ngaøy)</v>
          </cell>
          <cell r="R6" t="str">
            <v>Xuaát saéc</v>
          </cell>
          <cell r="S6">
            <v>1.6</v>
          </cell>
        </row>
        <row r="7">
          <cell r="B7" t="str">
            <v>Nguyeãn Thanh Nhaõ</v>
          </cell>
          <cell r="C7" t="str">
            <v>PP.</v>
          </cell>
          <cell r="D7">
            <v>135</v>
          </cell>
          <cell r="E7">
            <v>26</v>
          </cell>
          <cell r="F7">
            <v>27</v>
          </cell>
          <cell r="G7">
            <v>25</v>
          </cell>
          <cell r="H7">
            <v>27</v>
          </cell>
          <cell r="I7">
            <v>26</v>
          </cell>
          <cell r="J7">
            <v>26</v>
          </cell>
          <cell r="K7">
            <v>157</v>
          </cell>
          <cell r="L7">
            <v>292</v>
          </cell>
          <cell r="M7">
            <v>1.65</v>
          </cell>
          <cell r="N7" t="str">
            <v>Xuaát saéc</v>
          </cell>
          <cell r="O7">
            <v>1.6</v>
          </cell>
          <cell r="R7" t="str">
            <v>A</v>
          </cell>
          <cell r="S7">
            <v>1.4</v>
          </cell>
        </row>
        <row r="8">
          <cell r="B8" t="str">
            <v>Löu Thaùi Nhaïc</v>
          </cell>
          <cell r="C8" t="str">
            <v xml:space="preserve">CB </v>
          </cell>
          <cell r="E8">
            <v>26</v>
          </cell>
          <cell r="F8">
            <v>18</v>
          </cell>
          <cell r="K8">
            <v>44</v>
          </cell>
          <cell r="L8">
            <v>44</v>
          </cell>
          <cell r="M8">
            <v>1.3</v>
          </cell>
          <cell r="N8" t="str">
            <v>C</v>
          </cell>
          <cell r="O8">
            <v>1</v>
          </cell>
          <cell r="Q8" t="str">
            <v>Nghæ vieäc</v>
          </cell>
          <cell r="R8" t="str">
            <v>B</v>
          </cell>
          <cell r="S8">
            <v>1.2</v>
          </cell>
        </row>
        <row r="9">
          <cell r="B9" t="str">
            <v>Voõ Vaên Phuïng</v>
          </cell>
          <cell r="C9" t="str">
            <v>NV</v>
          </cell>
          <cell r="D9">
            <v>151</v>
          </cell>
          <cell r="E9">
            <v>26</v>
          </cell>
          <cell r="F9">
            <v>27</v>
          </cell>
          <cell r="G9">
            <v>25</v>
          </cell>
          <cell r="H9">
            <v>27</v>
          </cell>
          <cell r="I9">
            <v>26</v>
          </cell>
          <cell r="J9">
            <v>26</v>
          </cell>
          <cell r="K9">
            <v>157</v>
          </cell>
          <cell r="L9">
            <v>308</v>
          </cell>
          <cell r="M9">
            <v>1.2</v>
          </cell>
          <cell r="N9" t="str">
            <v>Xuaát saéc</v>
          </cell>
          <cell r="O9">
            <v>1.6</v>
          </cell>
          <cell r="R9" t="str">
            <v>C</v>
          </cell>
          <cell r="S9">
            <v>1</v>
          </cell>
        </row>
        <row r="10">
          <cell r="B10" t="str">
            <v>Ñoã Thuyû Tieân</v>
          </cell>
          <cell r="C10" t="str">
            <v>"</v>
          </cell>
          <cell r="D10">
            <v>150</v>
          </cell>
          <cell r="E10">
            <v>26</v>
          </cell>
          <cell r="F10">
            <v>27</v>
          </cell>
          <cell r="G10">
            <v>25</v>
          </cell>
          <cell r="H10">
            <v>27</v>
          </cell>
          <cell r="I10">
            <v>26</v>
          </cell>
          <cell r="J10">
            <v>26</v>
          </cell>
          <cell r="K10">
            <v>157</v>
          </cell>
          <cell r="L10">
            <v>307</v>
          </cell>
          <cell r="M10">
            <v>1.1000000000000001</v>
          </cell>
          <cell r="N10" t="str">
            <v>A</v>
          </cell>
          <cell r="O10">
            <v>1.4</v>
          </cell>
        </row>
        <row r="11">
          <cell r="B11" t="str">
            <v>Traàn Phuù Quoác</v>
          </cell>
          <cell r="C11" t="str">
            <v>L.xe</v>
          </cell>
          <cell r="D11">
            <v>155</v>
          </cell>
          <cell r="E11">
            <v>26</v>
          </cell>
          <cell r="F11">
            <v>27</v>
          </cell>
          <cell r="G11">
            <v>25</v>
          </cell>
          <cell r="H11">
            <v>27</v>
          </cell>
          <cell r="I11">
            <v>26</v>
          </cell>
          <cell r="J11">
            <v>26</v>
          </cell>
          <cell r="K11">
            <v>157</v>
          </cell>
          <cell r="L11">
            <v>312</v>
          </cell>
          <cell r="M11">
            <v>1.2</v>
          </cell>
          <cell r="N11" t="str">
            <v>Xuaát saéc</v>
          </cell>
          <cell r="O11">
            <v>1.6</v>
          </cell>
        </row>
        <row r="12">
          <cell r="B12" t="str">
            <v>Traàn Vaên Tö</v>
          </cell>
          <cell r="C12" t="str">
            <v>"</v>
          </cell>
          <cell r="D12">
            <v>154</v>
          </cell>
          <cell r="E12">
            <v>26</v>
          </cell>
          <cell r="F12">
            <v>27</v>
          </cell>
          <cell r="G12">
            <v>25</v>
          </cell>
          <cell r="H12">
            <v>27</v>
          </cell>
          <cell r="I12">
            <v>26</v>
          </cell>
          <cell r="J12">
            <v>26</v>
          </cell>
          <cell r="K12">
            <v>157</v>
          </cell>
          <cell r="L12">
            <v>311</v>
          </cell>
          <cell r="M12">
            <v>1.2</v>
          </cell>
          <cell r="N12" t="str">
            <v>Xuaát saéc</v>
          </cell>
          <cell r="O12">
            <v>1.6</v>
          </cell>
        </row>
        <row r="13">
          <cell r="B13" t="str">
            <v>Huyønh Vaên Haø</v>
          </cell>
          <cell r="C13" t="str">
            <v>"</v>
          </cell>
          <cell r="D13">
            <v>49</v>
          </cell>
          <cell r="E13">
            <v>26</v>
          </cell>
          <cell r="F13">
            <v>27</v>
          </cell>
          <cell r="G13">
            <v>25</v>
          </cell>
          <cell r="H13">
            <v>27</v>
          </cell>
          <cell r="I13">
            <v>26</v>
          </cell>
          <cell r="J13">
            <v>26</v>
          </cell>
          <cell r="K13">
            <v>157</v>
          </cell>
          <cell r="L13">
            <v>206</v>
          </cell>
          <cell r="M13">
            <v>1.2</v>
          </cell>
          <cell r="N13" t="str">
            <v>A</v>
          </cell>
          <cell r="O13">
            <v>1.4</v>
          </cell>
        </row>
        <row r="14">
          <cell r="B14" t="str">
            <v>Nguyeãn Trung Hieàn</v>
          </cell>
          <cell r="C14" t="str">
            <v>"</v>
          </cell>
          <cell r="D14">
            <v>150</v>
          </cell>
          <cell r="E14">
            <v>26</v>
          </cell>
          <cell r="F14">
            <v>27</v>
          </cell>
          <cell r="G14">
            <v>25</v>
          </cell>
          <cell r="H14">
            <v>27</v>
          </cell>
          <cell r="I14">
            <v>26</v>
          </cell>
          <cell r="J14">
            <v>26</v>
          </cell>
          <cell r="K14">
            <v>157</v>
          </cell>
          <cell r="L14">
            <v>307</v>
          </cell>
          <cell r="M14">
            <v>1.1000000000000001</v>
          </cell>
          <cell r="N14" t="str">
            <v>B</v>
          </cell>
          <cell r="O14">
            <v>1.2</v>
          </cell>
        </row>
        <row r="15">
          <cell r="B15" t="str">
            <v>Trònh Thanh Thuûy</v>
          </cell>
          <cell r="C15" t="str">
            <v>YT</v>
          </cell>
          <cell r="D15">
            <v>59</v>
          </cell>
          <cell r="E15">
            <v>26</v>
          </cell>
          <cell r="F15">
            <v>27</v>
          </cell>
          <cell r="G15">
            <v>25</v>
          </cell>
          <cell r="H15">
            <v>27</v>
          </cell>
          <cell r="I15">
            <v>26</v>
          </cell>
          <cell r="J15">
            <v>26</v>
          </cell>
          <cell r="K15">
            <v>157</v>
          </cell>
          <cell r="L15">
            <v>216</v>
          </cell>
          <cell r="M15">
            <v>1.1000000000000001</v>
          </cell>
          <cell r="N15" t="str">
            <v>A</v>
          </cell>
          <cell r="O15">
            <v>1.4</v>
          </cell>
          <cell r="Q15" t="str">
            <v>ñaõ höôûng TS 30 c 6T ñaàu</v>
          </cell>
        </row>
        <row r="16">
          <cell r="B16" t="str">
            <v>Ñaëng Coâng Chaâu</v>
          </cell>
          <cell r="C16" t="str">
            <v>BV</v>
          </cell>
          <cell r="D16">
            <v>144</v>
          </cell>
          <cell r="E16">
            <v>26</v>
          </cell>
          <cell r="F16">
            <v>27</v>
          </cell>
          <cell r="G16">
            <v>25</v>
          </cell>
          <cell r="H16">
            <v>27</v>
          </cell>
          <cell r="I16">
            <v>26</v>
          </cell>
          <cell r="J16">
            <v>26</v>
          </cell>
          <cell r="K16">
            <v>157</v>
          </cell>
          <cell r="L16">
            <v>301</v>
          </cell>
          <cell r="M16">
            <v>0.95</v>
          </cell>
          <cell r="N16" t="str">
            <v>A</v>
          </cell>
          <cell r="O16">
            <v>1.4</v>
          </cell>
        </row>
        <row r="17">
          <cell r="B17" t="str">
            <v>Phuøng Thanh Phong</v>
          </cell>
          <cell r="C17" t="str">
            <v>"</v>
          </cell>
          <cell r="D17">
            <v>157</v>
          </cell>
          <cell r="F17">
            <v>27</v>
          </cell>
          <cell r="G17">
            <v>25</v>
          </cell>
          <cell r="H17">
            <v>27</v>
          </cell>
          <cell r="I17">
            <v>26</v>
          </cell>
          <cell r="J17">
            <v>26</v>
          </cell>
          <cell r="K17">
            <v>131</v>
          </cell>
          <cell r="L17">
            <v>288</v>
          </cell>
          <cell r="M17">
            <v>0.95</v>
          </cell>
          <cell r="N17" t="str">
            <v>B</v>
          </cell>
          <cell r="O17">
            <v>1.2</v>
          </cell>
        </row>
        <row r="18">
          <cell r="B18" t="str">
            <v>Ngoâ Vaên Naøm</v>
          </cell>
          <cell r="C18" t="str">
            <v>"</v>
          </cell>
          <cell r="D18">
            <v>157</v>
          </cell>
          <cell r="E18">
            <v>26</v>
          </cell>
          <cell r="F18">
            <v>21</v>
          </cell>
          <cell r="G18">
            <v>25</v>
          </cell>
          <cell r="H18">
            <v>27</v>
          </cell>
          <cell r="I18">
            <v>26</v>
          </cell>
          <cell r="J18">
            <v>26</v>
          </cell>
          <cell r="K18">
            <v>151</v>
          </cell>
          <cell r="L18">
            <v>308</v>
          </cell>
          <cell r="M18">
            <v>0.95</v>
          </cell>
          <cell r="N18" t="str">
            <v>A</v>
          </cell>
          <cell r="O18">
            <v>1.4</v>
          </cell>
        </row>
        <row r="19">
          <cell r="B19" t="str">
            <v>Traàn Vaên Thaønh</v>
          </cell>
          <cell r="C19" t="str">
            <v>"</v>
          </cell>
          <cell r="D19">
            <v>148</v>
          </cell>
          <cell r="E19">
            <v>26</v>
          </cell>
          <cell r="F19">
            <v>27</v>
          </cell>
          <cell r="G19">
            <v>25</v>
          </cell>
          <cell r="H19">
            <v>27</v>
          </cell>
          <cell r="I19">
            <v>26</v>
          </cell>
          <cell r="J19">
            <v>26</v>
          </cell>
          <cell r="K19">
            <v>157</v>
          </cell>
          <cell r="L19">
            <v>305</v>
          </cell>
          <cell r="M19">
            <v>0.95</v>
          </cell>
          <cell r="N19" t="str">
            <v>Xuaát saéc</v>
          </cell>
          <cell r="O19">
            <v>1.6</v>
          </cell>
        </row>
        <row r="20">
          <cell r="B20" t="str">
            <v>Nguyeãn Hoaøng Ñaëng</v>
          </cell>
          <cell r="C20" t="str">
            <v>"</v>
          </cell>
          <cell r="D20">
            <v>157</v>
          </cell>
          <cell r="E20">
            <v>26</v>
          </cell>
          <cell r="F20">
            <v>27</v>
          </cell>
          <cell r="G20">
            <v>25</v>
          </cell>
          <cell r="H20">
            <v>27</v>
          </cell>
          <cell r="I20">
            <v>26</v>
          </cell>
          <cell r="J20">
            <v>26</v>
          </cell>
          <cell r="K20">
            <v>157</v>
          </cell>
          <cell r="L20">
            <v>314</v>
          </cell>
          <cell r="M20">
            <v>1.05</v>
          </cell>
          <cell r="N20" t="str">
            <v>A</v>
          </cell>
          <cell r="O20">
            <v>1.4</v>
          </cell>
        </row>
        <row r="21">
          <cell r="B21" t="str">
            <v>Tröông Minh Duõng</v>
          </cell>
          <cell r="C21" t="str">
            <v>"</v>
          </cell>
          <cell r="D21">
            <v>157</v>
          </cell>
          <cell r="E21">
            <v>26</v>
          </cell>
          <cell r="F21">
            <v>26</v>
          </cell>
          <cell r="G21">
            <v>25</v>
          </cell>
          <cell r="H21">
            <v>27</v>
          </cell>
          <cell r="I21">
            <v>26</v>
          </cell>
          <cell r="J21">
            <v>26</v>
          </cell>
          <cell r="K21">
            <v>156</v>
          </cell>
          <cell r="L21">
            <v>313</v>
          </cell>
          <cell r="M21">
            <v>0.95</v>
          </cell>
          <cell r="N21" t="str">
            <v>A</v>
          </cell>
          <cell r="O21">
            <v>1.4</v>
          </cell>
        </row>
        <row r="22">
          <cell r="B22" t="str">
            <v>Nguyeãn Tuaán Haûi</v>
          </cell>
          <cell r="C22" t="str">
            <v>"</v>
          </cell>
          <cell r="D22">
            <v>155</v>
          </cell>
          <cell r="E22">
            <v>26</v>
          </cell>
          <cell r="F22">
            <v>27</v>
          </cell>
          <cell r="G22">
            <v>25</v>
          </cell>
          <cell r="H22">
            <v>27</v>
          </cell>
          <cell r="I22">
            <v>26</v>
          </cell>
          <cell r="J22">
            <v>26</v>
          </cell>
          <cell r="K22">
            <v>157</v>
          </cell>
          <cell r="L22">
            <v>312</v>
          </cell>
          <cell r="M22">
            <v>0.95</v>
          </cell>
          <cell r="N22" t="str">
            <v>A</v>
          </cell>
          <cell r="O22">
            <v>1.4</v>
          </cell>
        </row>
        <row r="23">
          <cell r="B23" t="str">
            <v>Ng. Thò Ngoïc Ñieäp</v>
          </cell>
          <cell r="C23" t="str">
            <v>CDöôõng</v>
          </cell>
          <cell r="D23">
            <v>154</v>
          </cell>
          <cell r="E23">
            <v>26</v>
          </cell>
          <cell r="F23">
            <v>27</v>
          </cell>
          <cell r="G23">
            <v>25</v>
          </cell>
          <cell r="H23">
            <v>27</v>
          </cell>
          <cell r="I23">
            <v>26</v>
          </cell>
          <cell r="J23">
            <v>26</v>
          </cell>
          <cell r="K23">
            <v>157</v>
          </cell>
          <cell r="L23">
            <v>311</v>
          </cell>
          <cell r="M23">
            <v>0.9</v>
          </cell>
          <cell r="N23" t="str">
            <v>B</v>
          </cell>
          <cell r="O23">
            <v>1.2</v>
          </cell>
        </row>
        <row r="24">
          <cell r="B24" t="str">
            <v>Toáng Thò Nguyeân</v>
          </cell>
          <cell r="C24" t="str">
            <v>"</v>
          </cell>
          <cell r="D24">
            <v>150</v>
          </cell>
          <cell r="E24">
            <v>26</v>
          </cell>
          <cell r="F24">
            <v>27</v>
          </cell>
          <cell r="G24">
            <v>25</v>
          </cell>
          <cell r="H24">
            <v>10</v>
          </cell>
          <cell r="I24">
            <v>25</v>
          </cell>
          <cell r="J24">
            <v>26</v>
          </cell>
          <cell r="K24">
            <v>139</v>
          </cell>
          <cell r="L24">
            <v>289</v>
          </cell>
          <cell r="M24">
            <v>0.9</v>
          </cell>
          <cell r="N24" t="str">
            <v>A</v>
          </cell>
          <cell r="O24">
            <v>1.4</v>
          </cell>
          <cell r="Q24" t="str">
            <v>6 pheùp</v>
          </cell>
        </row>
        <row r="25">
          <cell r="B25" t="str">
            <v>Leâ Vaên Phaùt</v>
          </cell>
          <cell r="C25" t="str">
            <v>"</v>
          </cell>
          <cell r="D25">
            <v>152</v>
          </cell>
          <cell r="E25">
            <v>26</v>
          </cell>
          <cell r="F25">
            <v>27</v>
          </cell>
          <cell r="G25">
            <v>25</v>
          </cell>
          <cell r="H25">
            <v>27</v>
          </cell>
          <cell r="I25">
            <v>26</v>
          </cell>
          <cell r="J25">
            <v>26</v>
          </cell>
          <cell r="K25">
            <v>157</v>
          </cell>
          <cell r="L25">
            <v>309</v>
          </cell>
          <cell r="M25">
            <v>1</v>
          </cell>
          <cell r="N25" t="str">
            <v>B</v>
          </cell>
          <cell r="O25">
            <v>1.2</v>
          </cell>
        </row>
        <row r="26">
          <cell r="B26" t="str">
            <v>Lö  Hoàng Trang</v>
          </cell>
          <cell r="C26" t="str">
            <v>"</v>
          </cell>
          <cell r="D26">
            <v>150</v>
          </cell>
          <cell r="E26">
            <v>26</v>
          </cell>
          <cell r="F26">
            <v>27</v>
          </cell>
          <cell r="G26">
            <v>25</v>
          </cell>
          <cell r="H26">
            <v>27</v>
          </cell>
          <cell r="I26">
            <v>26</v>
          </cell>
          <cell r="J26">
            <v>26</v>
          </cell>
          <cell r="K26">
            <v>157</v>
          </cell>
          <cell r="L26">
            <v>307</v>
          </cell>
          <cell r="M26">
            <v>0.9</v>
          </cell>
          <cell r="N26" t="str">
            <v>A</v>
          </cell>
          <cell r="O26">
            <v>1.4</v>
          </cell>
        </row>
        <row r="27">
          <cell r="B27" t="str">
            <v>Leâ Thò Kim Thanh</v>
          </cell>
          <cell r="C27" t="str">
            <v>"</v>
          </cell>
          <cell r="E27">
            <v>26</v>
          </cell>
          <cell r="F27">
            <v>26</v>
          </cell>
          <cell r="K27">
            <v>52</v>
          </cell>
          <cell r="L27">
            <v>52</v>
          </cell>
          <cell r="M27">
            <v>0.9</v>
          </cell>
          <cell r="N27" t="str">
            <v>C</v>
          </cell>
          <cell r="O27">
            <v>1</v>
          </cell>
          <cell r="Q27" t="str">
            <v>Nghæ vieäc</v>
          </cell>
        </row>
        <row r="28">
          <cell r="B28" t="str">
            <v>Nguyeãn Thò Kim Oanh</v>
          </cell>
          <cell r="C28" t="str">
            <v>"</v>
          </cell>
          <cell r="G28">
            <v>22</v>
          </cell>
          <cell r="H28">
            <v>27</v>
          </cell>
          <cell r="I28">
            <v>26</v>
          </cell>
          <cell r="J28">
            <v>26</v>
          </cell>
          <cell r="K28">
            <v>101</v>
          </cell>
          <cell r="L28">
            <v>101</v>
          </cell>
          <cell r="M28">
            <v>0.9</v>
          </cell>
          <cell r="N28" t="str">
            <v>A</v>
          </cell>
          <cell r="O28">
            <v>1.4</v>
          </cell>
        </row>
        <row r="29">
          <cell r="B29" t="str">
            <v>Nguyeãn Hoaøng Lyù</v>
          </cell>
          <cell r="C29" t="str">
            <v>NV</v>
          </cell>
          <cell r="J29">
            <v>17.5</v>
          </cell>
          <cell r="K29">
            <v>17.5</v>
          </cell>
          <cell r="L29">
            <v>17.5</v>
          </cell>
          <cell r="M29">
            <v>0.97500000000000009</v>
          </cell>
          <cell r="N29" t="str">
            <v>A</v>
          </cell>
          <cell r="O29">
            <v>1.4</v>
          </cell>
          <cell r="Q29" t="str">
            <v>HÑ môùi</v>
          </cell>
        </row>
        <row r="30">
          <cell r="B30" t="str">
            <v>Nguyeãn T. Bình Cheùp</v>
          </cell>
          <cell r="C30" t="str">
            <v>T/vuï</v>
          </cell>
          <cell r="D30">
            <v>153</v>
          </cell>
          <cell r="E30">
            <v>26</v>
          </cell>
          <cell r="F30">
            <v>27</v>
          </cell>
          <cell r="G30">
            <v>25</v>
          </cell>
          <cell r="H30">
            <v>27</v>
          </cell>
          <cell r="I30">
            <v>26</v>
          </cell>
          <cell r="J30">
            <v>26</v>
          </cell>
          <cell r="K30">
            <v>157</v>
          </cell>
          <cell r="L30">
            <v>310</v>
          </cell>
          <cell r="M30">
            <v>0.9</v>
          </cell>
          <cell r="N30" t="str">
            <v>A</v>
          </cell>
          <cell r="O30">
            <v>1.4</v>
          </cell>
        </row>
        <row r="31">
          <cell r="B31" t="str">
            <v>Vuõ Thò Haûi</v>
          </cell>
          <cell r="C31" t="str">
            <v>"</v>
          </cell>
          <cell r="D31">
            <v>153</v>
          </cell>
          <cell r="E31">
            <v>26</v>
          </cell>
          <cell r="F31">
            <v>27</v>
          </cell>
          <cell r="G31">
            <v>25</v>
          </cell>
          <cell r="H31">
            <v>27</v>
          </cell>
          <cell r="I31">
            <v>26</v>
          </cell>
          <cell r="J31">
            <v>26</v>
          </cell>
          <cell r="K31">
            <v>157</v>
          </cell>
          <cell r="L31">
            <v>310</v>
          </cell>
          <cell r="M31">
            <v>0.9</v>
          </cell>
          <cell r="N31" t="str">
            <v>A</v>
          </cell>
          <cell r="O31">
            <v>1.4</v>
          </cell>
        </row>
        <row r="32">
          <cell r="B32" t="str">
            <v>Coäng:</v>
          </cell>
        </row>
        <row r="34">
          <cell r="B34" t="str">
            <v xml:space="preserve"> - Löu Thaùi Nhaïc</v>
          </cell>
          <cell r="C34" t="str">
            <v>Nghæ vieäc (1/9/2001)</v>
          </cell>
          <cell r="N34" t="str">
            <v>Ngaøy ____ thaùng _____ naêm 2001</v>
          </cell>
        </row>
        <row r="35">
          <cell r="B35" t="str">
            <v xml:space="preserve"> - Leâ T. Kim Thanh</v>
          </cell>
          <cell r="C35" t="str">
            <v>Nghæ vieäc (1/9/2001)</v>
          </cell>
          <cell r="N35" t="str">
            <v>Phuï traùch boä phaän</v>
          </cell>
        </row>
        <row r="36">
          <cell r="N36" t="str">
            <v>(Kyù ghi hoï teân)</v>
          </cell>
        </row>
        <row r="37">
          <cell r="B37" t="str">
            <v xml:space="preserve"> - Tröôûng, phoù boä phaän =</v>
          </cell>
          <cell r="D37" t="str">
            <v xml:space="preserve"> (Nuoâi; Nhaõ)</v>
          </cell>
        </row>
        <row r="38">
          <cell r="B38" t="str">
            <v xml:space="preserve"> - Loaïi xuaát saéc             =</v>
          </cell>
          <cell r="C38">
            <v>6</v>
          </cell>
          <cell r="D38" t="str">
            <v>(Nuoâi; Nhaõ; Quoác; Tö; Phuïng; Thaønh)</v>
          </cell>
        </row>
        <row r="39">
          <cell r="B39" t="str">
            <v xml:space="preserve"> - Loaïi A                        =</v>
          </cell>
          <cell r="C39">
            <v>14</v>
          </cell>
        </row>
        <row r="40">
          <cell r="B40" t="str">
            <v xml:space="preserve"> - Loaïi B                        =</v>
          </cell>
          <cell r="C40">
            <v>4</v>
          </cell>
          <cell r="D40" t="str">
            <v xml:space="preserve"> (Hieàn; Phaùt; Ñieäp; Phong)</v>
          </cell>
        </row>
        <row r="41">
          <cell r="B41" t="str">
            <v xml:space="preserve"> - Loaïi C                        =</v>
          </cell>
          <cell r="C41">
            <v>2</v>
          </cell>
        </row>
        <row r="42">
          <cell r="B42" t="str">
            <v xml:space="preserve"> - Khoâng xeùt                  =</v>
          </cell>
        </row>
        <row r="43">
          <cell r="C43">
            <v>26</v>
          </cell>
        </row>
        <row r="56">
          <cell r="B56" t="str">
            <v xml:space="preserve">                                                          BAÛNG TOÅNG HÔÏP NGAØY COÂNG NAÊM 2001</v>
          </cell>
        </row>
        <row r="58">
          <cell r="B58" t="str">
            <v>HOÏ VAØ TEÂN</v>
          </cell>
          <cell r="C58" t="str">
            <v>Chöùc vuï</v>
          </cell>
          <cell r="D58" t="str">
            <v>NC. 6T ñaàu naêm</v>
          </cell>
          <cell r="E58" t="str">
            <v>Ngaøy coâng 6 thaùng cuoái naêm</v>
          </cell>
          <cell r="L58" t="str">
            <v>Toång NC caû naêm</v>
          </cell>
          <cell r="M58" t="str">
            <v>HSCV</v>
          </cell>
          <cell r="N58" t="str">
            <v>Xeáp loaïi    A-B-C</v>
          </cell>
          <cell r="O58" t="str">
            <v>Xeáp loaïi HS</v>
          </cell>
          <cell r="P58" t="str">
            <v>XL.Xuaát saéc</v>
          </cell>
          <cell r="Q58" t="str">
            <v>Ghi chuù</v>
          </cell>
        </row>
        <row r="59">
          <cell r="E59">
            <v>7</v>
          </cell>
          <cell r="F59">
            <v>8</v>
          </cell>
          <cell r="G59">
            <v>9</v>
          </cell>
          <cell r="H59">
            <v>10</v>
          </cell>
          <cell r="I59">
            <v>11</v>
          </cell>
          <cell r="J59">
            <v>12</v>
          </cell>
          <cell r="K59" t="str">
            <v>Coäng</v>
          </cell>
        </row>
        <row r="60">
          <cell r="B60" t="str">
            <v>Laâm Duy Khaùnh</v>
          </cell>
          <cell r="C60" t="str">
            <v>T.P</v>
          </cell>
          <cell r="D60">
            <v>152</v>
          </cell>
          <cell r="E60">
            <v>26</v>
          </cell>
          <cell r="F60">
            <v>27</v>
          </cell>
          <cell r="G60">
            <v>25</v>
          </cell>
          <cell r="H60">
            <v>27</v>
          </cell>
          <cell r="I60">
            <v>26</v>
          </cell>
          <cell r="J60">
            <v>26</v>
          </cell>
          <cell r="K60">
            <v>157</v>
          </cell>
          <cell r="L60">
            <v>309</v>
          </cell>
          <cell r="M60">
            <v>1.9</v>
          </cell>
          <cell r="N60" t="str">
            <v>Xuaát saéc</v>
          </cell>
          <cell r="O60">
            <v>1.6</v>
          </cell>
        </row>
        <row r="61">
          <cell r="B61" t="str">
            <v>Hoà Nam Giang</v>
          </cell>
          <cell r="C61" t="str">
            <v>PP</v>
          </cell>
          <cell r="D61">
            <v>152</v>
          </cell>
          <cell r="E61">
            <v>26</v>
          </cell>
          <cell r="F61">
            <v>27</v>
          </cell>
          <cell r="G61">
            <v>25</v>
          </cell>
          <cell r="H61">
            <v>27</v>
          </cell>
          <cell r="I61">
            <v>26</v>
          </cell>
          <cell r="J61">
            <v>26</v>
          </cell>
          <cell r="K61">
            <v>157</v>
          </cell>
          <cell r="L61">
            <v>309</v>
          </cell>
          <cell r="M61">
            <v>1.75</v>
          </cell>
          <cell r="N61" t="str">
            <v>Xuaát saéc</v>
          </cell>
          <cell r="O61">
            <v>1.6</v>
          </cell>
          <cell r="Q61" t="str">
            <v>(oùm thaùng 11- 4 ngaøy)</v>
          </cell>
        </row>
        <row r="62">
          <cell r="B62" t="str">
            <v>Traàn Chinh Chieán</v>
          </cell>
          <cell r="C62" t="str">
            <v>PP</v>
          </cell>
          <cell r="D62">
            <v>152</v>
          </cell>
          <cell r="E62">
            <v>26</v>
          </cell>
          <cell r="F62">
            <v>27</v>
          </cell>
          <cell r="G62">
            <v>25</v>
          </cell>
          <cell r="H62">
            <v>27</v>
          </cell>
          <cell r="I62">
            <v>26</v>
          </cell>
          <cell r="J62">
            <v>26</v>
          </cell>
          <cell r="K62">
            <v>157</v>
          </cell>
          <cell r="L62">
            <v>309</v>
          </cell>
          <cell r="M62">
            <v>1.75</v>
          </cell>
          <cell r="N62" t="str">
            <v>Xuaát saéc</v>
          </cell>
          <cell r="O62">
            <v>1.6</v>
          </cell>
        </row>
        <row r="63">
          <cell r="B63" t="str">
            <v>Nguyeãn Xuaân Trieäu</v>
          </cell>
          <cell r="C63" t="str">
            <v>NV</v>
          </cell>
          <cell r="D63">
            <v>151</v>
          </cell>
          <cell r="E63">
            <v>26</v>
          </cell>
          <cell r="F63">
            <v>27</v>
          </cell>
          <cell r="G63">
            <v>25</v>
          </cell>
          <cell r="H63">
            <v>27</v>
          </cell>
          <cell r="I63">
            <v>25</v>
          </cell>
          <cell r="J63">
            <v>26</v>
          </cell>
          <cell r="K63">
            <v>156</v>
          </cell>
          <cell r="L63">
            <v>307</v>
          </cell>
          <cell r="M63">
            <v>1.1500000000000001</v>
          </cell>
          <cell r="N63" t="str">
            <v>B</v>
          </cell>
          <cell r="O63">
            <v>1.2</v>
          </cell>
          <cell r="Q63" t="str">
            <v>(P.KD chuyeån veà 67c)</v>
          </cell>
        </row>
        <row r="64">
          <cell r="B64" t="str">
            <v>Maïc Thanh Duõng</v>
          </cell>
          <cell r="C64" t="str">
            <v>N.V</v>
          </cell>
          <cell r="D64">
            <v>151</v>
          </cell>
          <cell r="E64">
            <v>26</v>
          </cell>
          <cell r="F64">
            <v>27</v>
          </cell>
          <cell r="G64">
            <v>25</v>
          </cell>
          <cell r="H64">
            <v>27</v>
          </cell>
          <cell r="I64">
            <v>26</v>
          </cell>
          <cell r="J64">
            <v>26</v>
          </cell>
          <cell r="K64">
            <v>157</v>
          </cell>
          <cell r="L64">
            <v>308</v>
          </cell>
          <cell r="M64">
            <v>1.3</v>
          </cell>
          <cell r="N64" t="str">
            <v>Xuaát saéc</v>
          </cell>
          <cell r="O64">
            <v>1.6</v>
          </cell>
          <cell r="Q64" t="str">
            <v>3 Dl</v>
          </cell>
        </row>
        <row r="65">
          <cell r="B65" t="str">
            <v>Nguyeãn Vaên Thôm</v>
          </cell>
          <cell r="C65" t="str">
            <v>N.V</v>
          </cell>
          <cell r="D65">
            <v>151</v>
          </cell>
          <cell r="E65">
            <v>26</v>
          </cell>
          <cell r="F65">
            <v>27</v>
          </cell>
          <cell r="G65">
            <v>25</v>
          </cell>
          <cell r="H65">
            <v>27</v>
          </cell>
          <cell r="I65">
            <v>26</v>
          </cell>
          <cell r="J65">
            <v>26</v>
          </cell>
          <cell r="K65">
            <v>157</v>
          </cell>
          <cell r="L65">
            <v>308</v>
          </cell>
          <cell r="M65">
            <v>1.35</v>
          </cell>
          <cell r="N65" t="str">
            <v>A</v>
          </cell>
          <cell r="O65">
            <v>1.4</v>
          </cell>
        </row>
        <row r="66">
          <cell r="B66" t="str">
            <v>Nguyeãn Thanh Bình</v>
          </cell>
          <cell r="C66" t="str">
            <v>T.Caân</v>
          </cell>
          <cell r="D66">
            <v>157</v>
          </cell>
          <cell r="E66">
            <v>26</v>
          </cell>
          <cell r="F66">
            <v>27</v>
          </cell>
          <cell r="G66">
            <v>25</v>
          </cell>
          <cell r="H66">
            <v>27</v>
          </cell>
          <cell r="I66">
            <v>26</v>
          </cell>
          <cell r="J66">
            <v>26</v>
          </cell>
          <cell r="K66">
            <v>157</v>
          </cell>
          <cell r="L66">
            <v>314</v>
          </cell>
          <cell r="M66">
            <v>1.1000000000000001</v>
          </cell>
          <cell r="N66" t="str">
            <v>B</v>
          </cell>
          <cell r="O66">
            <v>1.2</v>
          </cell>
        </row>
        <row r="67">
          <cell r="B67" t="str">
            <v>Voõ Daân Quyeàn</v>
          </cell>
          <cell r="C67" t="str">
            <v>T.Caân</v>
          </cell>
          <cell r="D67">
            <v>157</v>
          </cell>
          <cell r="E67">
            <v>26</v>
          </cell>
          <cell r="F67">
            <v>27</v>
          </cell>
          <cell r="G67">
            <v>25</v>
          </cell>
          <cell r="H67">
            <v>27</v>
          </cell>
          <cell r="I67">
            <v>26</v>
          </cell>
          <cell r="J67">
            <v>26</v>
          </cell>
          <cell r="K67">
            <v>157</v>
          </cell>
          <cell r="L67">
            <v>314</v>
          </cell>
          <cell r="M67">
            <v>1.1000000000000001</v>
          </cell>
          <cell r="N67" t="str">
            <v>B</v>
          </cell>
          <cell r="O67">
            <v>1.2</v>
          </cell>
          <cell r="Q67" t="str">
            <v>3DL</v>
          </cell>
        </row>
        <row r="68">
          <cell r="B68" t="str">
            <v>Huyønh Thanh Cöôøng</v>
          </cell>
          <cell r="C68" t="str">
            <v>"</v>
          </cell>
          <cell r="D68">
            <v>157</v>
          </cell>
          <cell r="E68">
            <v>26</v>
          </cell>
          <cell r="F68">
            <v>27</v>
          </cell>
          <cell r="G68">
            <v>25</v>
          </cell>
          <cell r="H68">
            <v>27</v>
          </cell>
          <cell r="I68">
            <v>26</v>
          </cell>
          <cell r="J68">
            <v>26</v>
          </cell>
          <cell r="K68">
            <v>157</v>
          </cell>
          <cell r="L68">
            <v>314</v>
          </cell>
          <cell r="M68">
            <v>1.1000000000000001</v>
          </cell>
          <cell r="N68" t="str">
            <v>B</v>
          </cell>
          <cell r="O68">
            <v>1.2</v>
          </cell>
        </row>
        <row r="69">
          <cell r="B69" t="str">
            <v>Nguyeãn Sôn Haø</v>
          </cell>
          <cell r="C69" t="str">
            <v>T.BH</v>
          </cell>
          <cell r="D69">
            <v>153</v>
          </cell>
          <cell r="E69">
            <v>26</v>
          </cell>
          <cell r="F69">
            <v>27</v>
          </cell>
          <cell r="G69">
            <v>25</v>
          </cell>
          <cell r="H69">
            <v>27</v>
          </cell>
          <cell r="I69">
            <v>26</v>
          </cell>
          <cell r="J69">
            <v>26</v>
          </cell>
          <cell r="K69">
            <v>157</v>
          </cell>
          <cell r="L69">
            <v>310</v>
          </cell>
          <cell r="M69">
            <v>1.35</v>
          </cell>
          <cell r="N69" t="str">
            <v>A</v>
          </cell>
          <cell r="O69">
            <v>1.4</v>
          </cell>
        </row>
        <row r="70">
          <cell r="B70" t="str">
            <v>Tröông Ngoïc Maãn</v>
          </cell>
          <cell r="C70" t="str">
            <v>T.BH</v>
          </cell>
          <cell r="D70">
            <v>153</v>
          </cell>
          <cell r="E70">
            <v>26</v>
          </cell>
          <cell r="F70">
            <v>27</v>
          </cell>
          <cell r="G70">
            <v>25</v>
          </cell>
          <cell r="H70">
            <v>27</v>
          </cell>
          <cell r="I70">
            <v>26</v>
          </cell>
          <cell r="J70">
            <v>26</v>
          </cell>
          <cell r="K70">
            <v>157</v>
          </cell>
          <cell r="L70">
            <v>310</v>
          </cell>
          <cell r="M70">
            <v>1.2666666666666666</v>
          </cell>
          <cell r="N70" t="str">
            <v>C</v>
          </cell>
          <cell r="O70">
            <v>1</v>
          </cell>
        </row>
        <row r="71">
          <cell r="B71" t="str">
            <v>Huyønh Thanh Lieâm</v>
          </cell>
          <cell r="C71" t="str">
            <v>TKVT</v>
          </cell>
          <cell r="D71">
            <v>151</v>
          </cell>
          <cell r="E71">
            <v>26</v>
          </cell>
          <cell r="F71">
            <v>27</v>
          </cell>
          <cell r="G71">
            <v>25</v>
          </cell>
          <cell r="H71">
            <v>27</v>
          </cell>
          <cell r="I71">
            <v>26</v>
          </cell>
          <cell r="J71">
            <v>26</v>
          </cell>
          <cell r="K71">
            <v>157</v>
          </cell>
          <cell r="L71">
            <v>308</v>
          </cell>
          <cell r="M71">
            <v>1.25</v>
          </cell>
          <cell r="N71" t="str">
            <v>A</v>
          </cell>
          <cell r="O71">
            <v>1.4</v>
          </cell>
        </row>
        <row r="72">
          <cell r="B72" t="str">
            <v>Phuøng Höõu Ñaït</v>
          </cell>
          <cell r="C72" t="str">
            <v>TKXM</v>
          </cell>
          <cell r="D72">
            <v>151</v>
          </cell>
          <cell r="E72">
            <v>26</v>
          </cell>
          <cell r="F72">
            <v>27</v>
          </cell>
          <cell r="G72">
            <v>25</v>
          </cell>
          <cell r="H72">
            <v>27</v>
          </cell>
          <cell r="I72">
            <v>26</v>
          </cell>
          <cell r="J72">
            <v>26</v>
          </cell>
          <cell r="K72">
            <v>157</v>
          </cell>
          <cell r="L72">
            <v>308</v>
          </cell>
          <cell r="M72">
            <v>1.45</v>
          </cell>
          <cell r="N72" t="str">
            <v>Xuaát saéc</v>
          </cell>
          <cell r="O72">
            <v>1.6</v>
          </cell>
        </row>
        <row r="73">
          <cell r="B73" t="str">
            <v>Laâm Hoàng Haûi</v>
          </cell>
          <cell r="C73" t="str">
            <v>TKVLN</v>
          </cell>
          <cell r="D73">
            <v>151</v>
          </cell>
          <cell r="E73">
            <v>26</v>
          </cell>
          <cell r="F73">
            <v>27</v>
          </cell>
          <cell r="G73">
            <v>25</v>
          </cell>
          <cell r="H73">
            <v>27</v>
          </cell>
          <cell r="I73">
            <v>26</v>
          </cell>
          <cell r="J73">
            <v>26</v>
          </cell>
          <cell r="K73">
            <v>157</v>
          </cell>
          <cell r="L73">
            <v>308</v>
          </cell>
          <cell r="M73">
            <v>1.35</v>
          </cell>
          <cell r="N73" t="str">
            <v>A</v>
          </cell>
          <cell r="O73">
            <v>1.4</v>
          </cell>
          <cell r="Q73" t="str">
            <v>3DL</v>
          </cell>
        </row>
        <row r="74">
          <cell r="B74" t="str">
            <v>Nguyeãn Ngoïc Duy</v>
          </cell>
          <cell r="C74" t="str">
            <v>NV</v>
          </cell>
          <cell r="D74">
            <v>72</v>
          </cell>
          <cell r="E74">
            <v>26</v>
          </cell>
          <cell r="F74">
            <v>27</v>
          </cell>
          <cell r="G74">
            <v>25</v>
          </cell>
          <cell r="H74">
            <v>27</v>
          </cell>
          <cell r="I74">
            <v>26</v>
          </cell>
          <cell r="J74">
            <v>26</v>
          </cell>
          <cell r="K74">
            <v>157</v>
          </cell>
          <cell r="L74">
            <v>229</v>
          </cell>
          <cell r="M74">
            <v>1.2</v>
          </cell>
          <cell r="N74" t="str">
            <v>Xuaát saéc</v>
          </cell>
          <cell r="O74">
            <v>1.6</v>
          </cell>
          <cell r="Q74" t="str">
            <v>3DL</v>
          </cell>
        </row>
        <row r="75">
          <cell r="B75" t="str">
            <v>Leâ Hoaøng Baù</v>
          </cell>
          <cell r="C75" t="str">
            <v>NV</v>
          </cell>
          <cell r="D75">
            <v>12</v>
          </cell>
          <cell r="E75">
            <v>26</v>
          </cell>
          <cell r="F75">
            <v>27</v>
          </cell>
          <cell r="G75">
            <v>25</v>
          </cell>
          <cell r="H75">
            <v>27</v>
          </cell>
          <cell r="I75">
            <v>26</v>
          </cell>
          <cell r="J75">
            <v>26</v>
          </cell>
          <cell r="K75">
            <v>157</v>
          </cell>
          <cell r="L75">
            <v>169</v>
          </cell>
          <cell r="M75">
            <v>1.2249999999999999</v>
          </cell>
          <cell r="N75" t="str">
            <v>A</v>
          </cell>
          <cell r="O75">
            <v>1.4</v>
          </cell>
        </row>
        <row r="76">
          <cell r="B76" t="str">
            <v>Traàn Huy Thaïch</v>
          </cell>
          <cell r="C76" t="str">
            <v>NV</v>
          </cell>
          <cell r="D76">
            <v>9</v>
          </cell>
          <cell r="E76">
            <v>26</v>
          </cell>
          <cell r="F76">
            <v>27</v>
          </cell>
          <cell r="G76">
            <v>25</v>
          </cell>
          <cell r="H76">
            <v>27</v>
          </cell>
          <cell r="I76">
            <v>26</v>
          </cell>
          <cell r="J76">
            <v>26</v>
          </cell>
          <cell r="K76">
            <v>157</v>
          </cell>
          <cell r="L76">
            <v>166</v>
          </cell>
          <cell r="M76">
            <v>1.1833333333333333</v>
          </cell>
          <cell r="N76" t="str">
            <v>A</v>
          </cell>
          <cell r="O76">
            <v>1.4</v>
          </cell>
        </row>
        <row r="77">
          <cell r="B77" t="str">
            <v>Nguyeãn Vaên Haûi</v>
          </cell>
          <cell r="C77" t="str">
            <v>BQL-DA</v>
          </cell>
          <cell r="D77">
            <v>151</v>
          </cell>
          <cell r="E77">
            <v>26</v>
          </cell>
          <cell r="F77">
            <v>27</v>
          </cell>
          <cell r="G77">
            <v>25</v>
          </cell>
          <cell r="H77">
            <v>27</v>
          </cell>
          <cell r="I77">
            <v>26</v>
          </cell>
          <cell r="J77">
            <v>26</v>
          </cell>
          <cell r="K77">
            <v>157</v>
          </cell>
          <cell r="L77">
            <v>308</v>
          </cell>
          <cell r="M77">
            <v>1.25</v>
          </cell>
          <cell r="N77" t="str">
            <v>A</v>
          </cell>
          <cell r="O77">
            <v>1.4</v>
          </cell>
        </row>
        <row r="78">
          <cell r="B78" t="str">
            <v>Hoà Thò Caåm Huyønh</v>
          </cell>
          <cell r="C78" t="str">
            <v>BQL-DA</v>
          </cell>
          <cell r="D78">
            <v>151</v>
          </cell>
          <cell r="E78">
            <v>26</v>
          </cell>
          <cell r="F78">
            <v>27</v>
          </cell>
          <cell r="G78">
            <v>25</v>
          </cell>
          <cell r="H78">
            <v>27</v>
          </cell>
          <cell r="I78">
            <v>26</v>
          </cell>
          <cell r="J78">
            <v>26</v>
          </cell>
          <cell r="K78">
            <v>157</v>
          </cell>
          <cell r="L78">
            <v>308</v>
          </cell>
          <cell r="M78">
            <v>1.25</v>
          </cell>
          <cell r="N78" t="str">
            <v>A</v>
          </cell>
          <cell r="O78">
            <v>1.4</v>
          </cell>
        </row>
        <row r="79">
          <cell r="B79" t="str">
            <v>Nguyeãn Vaên Cöôøng</v>
          </cell>
          <cell r="C79" t="str">
            <v>TT</v>
          </cell>
          <cell r="D79">
            <v>154</v>
          </cell>
          <cell r="E79">
            <v>26</v>
          </cell>
          <cell r="F79">
            <v>27</v>
          </cell>
          <cell r="G79">
            <v>25</v>
          </cell>
          <cell r="H79">
            <v>27</v>
          </cell>
          <cell r="I79">
            <v>26</v>
          </cell>
          <cell r="J79">
            <v>26</v>
          </cell>
          <cell r="K79">
            <v>157</v>
          </cell>
          <cell r="L79">
            <v>311</v>
          </cell>
          <cell r="M79">
            <v>1.4</v>
          </cell>
          <cell r="N79" t="str">
            <v>Xuaát saéc</v>
          </cell>
          <cell r="O79">
            <v>1.6</v>
          </cell>
        </row>
        <row r="80">
          <cell r="B80" t="str">
            <v>Phan Vaên Hoàng</v>
          </cell>
          <cell r="C80" t="str">
            <v>Toå Phoù</v>
          </cell>
          <cell r="D80">
            <v>154</v>
          </cell>
          <cell r="E80">
            <v>26</v>
          </cell>
          <cell r="F80">
            <v>27</v>
          </cell>
          <cell r="G80">
            <v>22</v>
          </cell>
          <cell r="H80">
            <v>27</v>
          </cell>
          <cell r="I80">
            <v>26</v>
          </cell>
          <cell r="J80">
            <v>26</v>
          </cell>
          <cell r="K80">
            <v>154</v>
          </cell>
          <cell r="L80">
            <v>308</v>
          </cell>
          <cell r="M80">
            <v>1.3</v>
          </cell>
          <cell r="N80" t="str">
            <v>A</v>
          </cell>
          <cell r="O80">
            <v>1.4</v>
          </cell>
        </row>
        <row r="81">
          <cell r="B81" t="str">
            <v>Taï Quoác Quyønh</v>
          </cell>
          <cell r="C81" t="str">
            <v>CN</v>
          </cell>
          <cell r="D81">
            <v>154</v>
          </cell>
          <cell r="E81">
            <v>26</v>
          </cell>
          <cell r="F81">
            <v>25</v>
          </cell>
          <cell r="G81">
            <v>25</v>
          </cell>
          <cell r="H81">
            <v>27</v>
          </cell>
          <cell r="I81">
            <v>26</v>
          </cell>
          <cell r="J81">
            <v>26</v>
          </cell>
          <cell r="K81">
            <v>155</v>
          </cell>
          <cell r="L81">
            <v>309</v>
          </cell>
          <cell r="M81">
            <v>1.25</v>
          </cell>
          <cell r="N81" t="str">
            <v>Xuaát saéc</v>
          </cell>
          <cell r="O81">
            <v>1.6</v>
          </cell>
        </row>
        <row r="82">
          <cell r="B82" t="str">
            <v>Phan Vaên Hieàn</v>
          </cell>
          <cell r="C82" t="str">
            <v>"</v>
          </cell>
          <cell r="D82">
            <v>154</v>
          </cell>
          <cell r="E82">
            <v>26</v>
          </cell>
          <cell r="F82">
            <v>27</v>
          </cell>
          <cell r="G82">
            <v>25</v>
          </cell>
          <cell r="H82">
            <v>27</v>
          </cell>
          <cell r="I82">
            <v>26</v>
          </cell>
          <cell r="J82">
            <v>26</v>
          </cell>
          <cell r="K82">
            <v>157</v>
          </cell>
          <cell r="L82">
            <v>311</v>
          </cell>
          <cell r="M82">
            <v>1.25</v>
          </cell>
          <cell r="N82" t="str">
            <v>B</v>
          </cell>
          <cell r="O82">
            <v>1.2</v>
          </cell>
        </row>
        <row r="83">
          <cell r="B83" t="str">
            <v>Leâ Töï Thieän</v>
          </cell>
          <cell r="C83" t="str">
            <v>"</v>
          </cell>
          <cell r="D83">
            <v>154</v>
          </cell>
          <cell r="E83">
            <v>26</v>
          </cell>
          <cell r="F83">
            <v>27</v>
          </cell>
          <cell r="G83">
            <v>25</v>
          </cell>
          <cell r="H83">
            <v>26</v>
          </cell>
          <cell r="I83">
            <v>26</v>
          </cell>
          <cell r="J83">
            <v>26</v>
          </cell>
          <cell r="K83">
            <v>156</v>
          </cell>
          <cell r="L83">
            <v>310</v>
          </cell>
          <cell r="M83">
            <v>1.25</v>
          </cell>
          <cell r="N83" t="str">
            <v>A</v>
          </cell>
          <cell r="O83">
            <v>1.4</v>
          </cell>
        </row>
        <row r="84">
          <cell r="B84" t="str">
            <v>Phaïm Gia Bình</v>
          </cell>
          <cell r="C84" t="str">
            <v>"</v>
          </cell>
          <cell r="D84">
            <v>155</v>
          </cell>
          <cell r="E84">
            <v>26</v>
          </cell>
          <cell r="F84">
            <v>27</v>
          </cell>
          <cell r="G84">
            <v>25</v>
          </cell>
          <cell r="H84">
            <v>27</v>
          </cell>
          <cell r="I84">
            <v>26</v>
          </cell>
          <cell r="J84">
            <v>25</v>
          </cell>
          <cell r="K84">
            <v>156</v>
          </cell>
          <cell r="L84">
            <v>311</v>
          </cell>
          <cell r="M84">
            <v>1.25</v>
          </cell>
          <cell r="N84" t="str">
            <v>B</v>
          </cell>
          <cell r="O84">
            <v>1.2</v>
          </cell>
        </row>
        <row r="85">
          <cell r="B85" t="str">
            <v>Nguyeãn Ngoïc Sôn</v>
          </cell>
          <cell r="C85" t="str">
            <v>"</v>
          </cell>
          <cell r="D85">
            <v>154</v>
          </cell>
          <cell r="E85">
            <v>26</v>
          </cell>
          <cell r="F85">
            <v>25</v>
          </cell>
          <cell r="G85">
            <v>23</v>
          </cell>
          <cell r="H85">
            <v>27</v>
          </cell>
          <cell r="I85">
            <v>24</v>
          </cell>
          <cell r="J85">
            <v>22</v>
          </cell>
          <cell r="K85">
            <v>147</v>
          </cell>
          <cell r="L85">
            <v>301</v>
          </cell>
          <cell r="M85">
            <v>1.25</v>
          </cell>
          <cell r="N85" t="str">
            <v>A</v>
          </cell>
          <cell r="O85">
            <v>1.4</v>
          </cell>
        </row>
        <row r="86">
          <cell r="B86" t="str">
            <v>Nguyeãn Troïng Taøi</v>
          </cell>
          <cell r="C86" t="str">
            <v>"</v>
          </cell>
          <cell r="D86">
            <v>154</v>
          </cell>
          <cell r="E86">
            <v>26</v>
          </cell>
          <cell r="F86">
            <v>27</v>
          </cell>
          <cell r="G86">
            <v>25</v>
          </cell>
          <cell r="H86">
            <v>27</v>
          </cell>
          <cell r="I86">
            <v>26</v>
          </cell>
          <cell r="J86">
            <v>26</v>
          </cell>
          <cell r="K86">
            <v>157</v>
          </cell>
          <cell r="L86">
            <v>311</v>
          </cell>
          <cell r="M86">
            <v>1.25</v>
          </cell>
          <cell r="N86" t="str">
            <v>B</v>
          </cell>
          <cell r="O86">
            <v>1.2</v>
          </cell>
        </row>
        <row r="87">
          <cell r="B87" t="str">
            <v>Phan Phöôùc Lôïi</v>
          </cell>
          <cell r="C87" t="str">
            <v>"</v>
          </cell>
          <cell r="D87">
            <v>153</v>
          </cell>
          <cell r="E87">
            <v>26</v>
          </cell>
          <cell r="F87">
            <v>27</v>
          </cell>
          <cell r="G87">
            <v>23</v>
          </cell>
          <cell r="H87">
            <v>27</v>
          </cell>
          <cell r="I87">
            <v>3</v>
          </cell>
          <cell r="J87">
            <v>26</v>
          </cell>
          <cell r="K87">
            <v>132</v>
          </cell>
          <cell r="L87">
            <v>285</v>
          </cell>
          <cell r="M87">
            <v>1.25</v>
          </cell>
          <cell r="N87" t="str">
            <v>B</v>
          </cell>
          <cell r="O87">
            <v>1.2</v>
          </cell>
          <cell r="Q87" t="str">
            <v>(TNGT-Ngoaøi giôø)</v>
          </cell>
        </row>
        <row r="88">
          <cell r="B88" t="str">
            <v>Nguyeãn Vaên Ñöông</v>
          </cell>
          <cell r="C88" t="str">
            <v>"</v>
          </cell>
          <cell r="D88">
            <v>156</v>
          </cell>
          <cell r="E88">
            <v>26</v>
          </cell>
          <cell r="F88">
            <v>27</v>
          </cell>
          <cell r="G88">
            <v>25</v>
          </cell>
          <cell r="H88">
            <v>27</v>
          </cell>
          <cell r="I88">
            <v>26</v>
          </cell>
          <cell r="J88">
            <v>26</v>
          </cell>
          <cell r="K88">
            <v>157</v>
          </cell>
          <cell r="L88">
            <v>313</v>
          </cell>
          <cell r="M88">
            <v>1.25</v>
          </cell>
          <cell r="N88" t="str">
            <v>A</v>
          </cell>
          <cell r="O88">
            <v>1.4</v>
          </cell>
        </row>
        <row r="89">
          <cell r="B89" t="str">
            <v>Löõ Thanh Ñieàn</v>
          </cell>
          <cell r="C89" t="str">
            <v>"</v>
          </cell>
          <cell r="H89">
            <v>24</v>
          </cell>
          <cell r="I89">
            <v>26</v>
          </cell>
          <cell r="J89">
            <v>26</v>
          </cell>
          <cell r="K89">
            <v>76</v>
          </cell>
          <cell r="L89">
            <v>76</v>
          </cell>
          <cell r="M89">
            <v>0.9375</v>
          </cell>
          <cell r="N89" t="str">
            <v>A</v>
          </cell>
          <cell r="O89">
            <v>1.4</v>
          </cell>
        </row>
        <row r="90">
          <cell r="B90" t="str">
            <v>Phan Vaên Loäc</v>
          </cell>
          <cell r="C90" t="str">
            <v>"</v>
          </cell>
          <cell r="H90">
            <v>25</v>
          </cell>
          <cell r="I90">
            <v>26</v>
          </cell>
          <cell r="J90">
            <v>26</v>
          </cell>
          <cell r="K90">
            <v>77</v>
          </cell>
          <cell r="L90">
            <v>77</v>
          </cell>
          <cell r="M90">
            <v>0.9375</v>
          </cell>
          <cell r="N90" t="str">
            <v>A</v>
          </cell>
          <cell r="O90">
            <v>1.4</v>
          </cell>
        </row>
        <row r="91">
          <cell r="B91" t="str">
            <v>Traàn Thanh Sang</v>
          </cell>
          <cell r="C91" t="str">
            <v>"</v>
          </cell>
          <cell r="J91">
            <v>13</v>
          </cell>
          <cell r="K91">
            <v>13</v>
          </cell>
          <cell r="L91">
            <v>13</v>
          </cell>
          <cell r="M91">
            <v>0.9375</v>
          </cell>
          <cell r="N91" t="str">
            <v>B</v>
          </cell>
          <cell r="O91">
            <v>1.2</v>
          </cell>
          <cell r="Q91" t="str">
            <v>(HÑ môùi T.12)</v>
          </cell>
        </row>
        <row r="92">
          <cell r="B92" t="str">
            <v>Nguyeãn Hoàng Hoaøng</v>
          </cell>
          <cell r="C92" t="str">
            <v>L.xe taûi</v>
          </cell>
          <cell r="D92">
            <v>153</v>
          </cell>
          <cell r="E92">
            <v>26</v>
          </cell>
          <cell r="F92">
            <v>27</v>
          </cell>
          <cell r="G92">
            <v>25</v>
          </cell>
          <cell r="H92">
            <v>27</v>
          </cell>
          <cell r="I92">
            <v>26</v>
          </cell>
          <cell r="J92">
            <v>26</v>
          </cell>
          <cell r="K92">
            <v>157</v>
          </cell>
          <cell r="L92">
            <v>310</v>
          </cell>
          <cell r="M92">
            <v>1.2</v>
          </cell>
          <cell r="N92" t="str">
            <v>C</v>
          </cell>
          <cell r="O92">
            <v>1</v>
          </cell>
        </row>
        <row r="93">
          <cell r="B93" t="str">
            <v>Traàn Ngoïc Phöông</v>
          </cell>
          <cell r="C93" t="str">
            <v>"</v>
          </cell>
          <cell r="D93">
            <v>151</v>
          </cell>
          <cell r="E93">
            <v>26</v>
          </cell>
          <cell r="F93">
            <v>27</v>
          </cell>
          <cell r="G93">
            <v>25</v>
          </cell>
          <cell r="H93">
            <v>27</v>
          </cell>
          <cell r="I93">
            <v>26</v>
          </cell>
          <cell r="J93">
            <v>26</v>
          </cell>
          <cell r="K93">
            <v>157</v>
          </cell>
          <cell r="L93">
            <v>308</v>
          </cell>
          <cell r="M93">
            <v>1.2</v>
          </cell>
          <cell r="N93" t="str">
            <v>C</v>
          </cell>
          <cell r="O93">
            <v>1</v>
          </cell>
        </row>
        <row r="94">
          <cell r="B94" t="str">
            <v>Ñoã Vaên Loäc</v>
          </cell>
          <cell r="C94" t="str">
            <v>"</v>
          </cell>
          <cell r="D94">
            <v>151</v>
          </cell>
          <cell r="E94">
            <v>26</v>
          </cell>
          <cell r="F94">
            <v>27</v>
          </cell>
          <cell r="G94">
            <v>25</v>
          </cell>
          <cell r="H94">
            <v>27</v>
          </cell>
          <cell r="I94">
            <v>26</v>
          </cell>
          <cell r="J94">
            <v>26</v>
          </cell>
          <cell r="K94">
            <v>157</v>
          </cell>
          <cell r="L94">
            <v>308</v>
          </cell>
          <cell r="M94">
            <v>1.2</v>
          </cell>
          <cell r="N94" t="str">
            <v>C</v>
          </cell>
          <cell r="O94">
            <v>1</v>
          </cell>
        </row>
        <row r="95">
          <cell r="B95" t="str">
            <v>Ñaëng Quoác Trung</v>
          </cell>
          <cell r="C95" t="str">
            <v>"</v>
          </cell>
          <cell r="D95">
            <v>151</v>
          </cell>
          <cell r="E95">
            <v>26</v>
          </cell>
          <cell r="F95">
            <v>27</v>
          </cell>
          <cell r="G95">
            <v>25</v>
          </cell>
          <cell r="H95">
            <v>27</v>
          </cell>
          <cell r="I95">
            <v>26</v>
          </cell>
          <cell r="J95">
            <v>26</v>
          </cell>
          <cell r="K95">
            <v>157</v>
          </cell>
          <cell r="L95">
            <v>308</v>
          </cell>
          <cell r="M95">
            <v>1.2</v>
          </cell>
          <cell r="N95" t="str">
            <v>C</v>
          </cell>
          <cell r="O95">
            <v>1</v>
          </cell>
        </row>
        <row r="96">
          <cell r="B96" t="str">
            <v>Nguyeãn Thaønh Haûo</v>
          </cell>
          <cell r="C96" t="str">
            <v>"</v>
          </cell>
          <cell r="D96">
            <v>150</v>
          </cell>
          <cell r="E96">
            <v>26</v>
          </cell>
          <cell r="F96">
            <v>27</v>
          </cell>
          <cell r="G96">
            <v>25</v>
          </cell>
          <cell r="H96">
            <v>27</v>
          </cell>
          <cell r="I96">
            <v>26</v>
          </cell>
          <cell r="J96">
            <v>26</v>
          </cell>
          <cell r="K96">
            <v>157</v>
          </cell>
          <cell r="L96">
            <v>307</v>
          </cell>
          <cell r="M96">
            <v>1.2</v>
          </cell>
          <cell r="N96" t="str">
            <v>C</v>
          </cell>
          <cell r="O96">
            <v>1</v>
          </cell>
        </row>
        <row r="97">
          <cell r="B97" t="str">
            <v>Phaïm Quoác Huy</v>
          </cell>
          <cell r="C97" t="str">
            <v>"</v>
          </cell>
          <cell r="D97">
            <v>117</v>
          </cell>
          <cell r="E97">
            <v>26</v>
          </cell>
          <cell r="F97">
            <v>27</v>
          </cell>
          <cell r="G97">
            <v>25</v>
          </cell>
          <cell r="H97">
            <v>27</v>
          </cell>
          <cell r="I97">
            <v>26</v>
          </cell>
          <cell r="J97">
            <v>26</v>
          </cell>
          <cell r="K97">
            <v>157</v>
          </cell>
          <cell r="L97">
            <v>274</v>
          </cell>
          <cell r="M97">
            <v>1.2</v>
          </cell>
          <cell r="N97" t="str">
            <v>C</v>
          </cell>
          <cell r="O97">
            <v>1</v>
          </cell>
        </row>
        <row r="98">
          <cell r="B98" t="str">
            <v>Tröông Hoaøi Phong</v>
          </cell>
          <cell r="C98" t="str">
            <v>"</v>
          </cell>
          <cell r="D98">
            <v>151</v>
          </cell>
          <cell r="E98">
            <v>26</v>
          </cell>
          <cell r="F98">
            <v>27</v>
          </cell>
          <cell r="G98">
            <v>25</v>
          </cell>
          <cell r="H98">
            <v>27</v>
          </cell>
          <cell r="I98">
            <v>26</v>
          </cell>
          <cell r="J98">
            <v>26</v>
          </cell>
          <cell r="K98">
            <v>157</v>
          </cell>
          <cell r="L98">
            <v>308</v>
          </cell>
          <cell r="M98">
            <v>1.2</v>
          </cell>
          <cell r="N98" t="str">
            <v>C</v>
          </cell>
          <cell r="O98">
            <v>1</v>
          </cell>
        </row>
        <row r="99">
          <cell r="B99" t="str">
            <v>Nguyeãn vaên Yeân</v>
          </cell>
          <cell r="C99" t="str">
            <v>"</v>
          </cell>
          <cell r="D99">
            <v>151</v>
          </cell>
          <cell r="E99">
            <v>11</v>
          </cell>
          <cell r="F99">
            <v>27</v>
          </cell>
          <cell r="G99">
            <v>13</v>
          </cell>
          <cell r="H99">
            <v>16</v>
          </cell>
          <cell r="I99">
            <v>26</v>
          </cell>
          <cell r="J99">
            <v>26</v>
          </cell>
          <cell r="K99">
            <v>119</v>
          </cell>
          <cell r="L99">
            <v>270</v>
          </cell>
          <cell r="M99">
            <v>1.2</v>
          </cell>
          <cell r="N99" t="str">
            <v>C</v>
          </cell>
          <cell r="O99">
            <v>1</v>
          </cell>
          <cell r="Q99" t="str">
            <v>(Ngaøy coâng thieáu + KL caûnh caùo)</v>
          </cell>
        </row>
        <row r="100">
          <cell r="B100" t="str">
            <v>Ñaëng Quoác Duõng</v>
          </cell>
          <cell r="C100" t="str">
            <v>"</v>
          </cell>
          <cell r="D100">
            <v>148</v>
          </cell>
          <cell r="E100">
            <v>26</v>
          </cell>
          <cell r="F100">
            <v>27</v>
          </cell>
          <cell r="G100">
            <v>25</v>
          </cell>
          <cell r="H100">
            <v>27</v>
          </cell>
          <cell r="I100">
            <v>26</v>
          </cell>
          <cell r="J100">
            <v>26</v>
          </cell>
          <cell r="K100">
            <v>157</v>
          </cell>
          <cell r="L100">
            <v>305</v>
          </cell>
          <cell r="M100">
            <v>1.2</v>
          </cell>
          <cell r="N100" t="str">
            <v>C</v>
          </cell>
          <cell r="O100">
            <v>1</v>
          </cell>
        </row>
        <row r="101">
          <cell r="B101" t="str">
            <v>Nguyeãn Thanh Phong</v>
          </cell>
          <cell r="C101" t="str">
            <v>"</v>
          </cell>
          <cell r="D101">
            <v>136</v>
          </cell>
          <cell r="E101">
            <v>26</v>
          </cell>
          <cell r="F101">
            <v>27</v>
          </cell>
          <cell r="G101">
            <v>25</v>
          </cell>
          <cell r="H101">
            <v>27</v>
          </cell>
          <cell r="I101">
            <v>26</v>
          </cell>
          <cell r="J101">
            <v>26</v>
          </cell>
          <cell r="K101">
            <v>157</v>
          </cell>
          <cell r="L101">
            <v>293</v>
          </cell>
          <cell r="M101">
            <v>1.2</v>
          </cell>
          <cell r="N101" t="str">
            <v>C</v>
          </cell>
          <cell r="O101">
            <v>1</v>
          </cell>
        </row>
        <row r="102">
          <cell r="B102" t="str">
            <v>Nguyeãn Thanh Tuaán</v>
          </cell>
          <cell r="C102" t="str">
            <v>Laùi caåu</v>
          </cell>
          <cell r="D102">
            <v>150</v>
          </cell>
          <cell r="E102">
            <v>26</v>
          </cell>
          <cell r="F102">
            <v>27</v>
          </cell>
          <cell r="G102">
            <v>25</v>
          </cell>
          <cell r="H102">
            <v>27</v>
          </cell>
          <cell r="I102">
            <v>26</v>
          </cell>
          <cell r="J102">
            <v>26</v>
          </cell>
          <cell r="K102">
            <v>157</v>
          </cell>
          <cell r="L102">
            <v>307</v>
          </cell>
          <cell r="M102">
            <v>1.3</v>
          </cell>
          <cell r="N102" t="str">
            <v>A</v>
          </cell>
          <cell r="O102">
            <v>1.4</v>
          </cell>
        </row>
        <row r="103">
          <cell r="B103" t="str">
            <v>Traàn Vaên Sôn</v>
          </cell>
          <cell r="C103" t="str">
            <v>"</v>
          </cell>
          <cell r="D103">
            <v>149</v>
          </cell>
          <cell r="E103">
            <v>26</v>
          </cell>
          <cell r="F103">
            <v>27</v>
          </cell>
          <cell r="G103">
            <v>25</v>
          </cell>
          <cell r="H103">
            <v>27</v>
          </cell>
          <cell r="I103">
            <v>26</v>
          </cell>
          <cell r="J103">
            <v>26</v>
          </cell>
          <cell r="K103">
            <v>157</v>
          </cell>
          <cell r="L103">
            <v>306</v>
          </cell>
          <cell r="M103">
            <v>1.3</v>
          </cell>
          <cell r="N103" t="str">
            <v>A</v>
          </cell>
          <cell r="O103">
            <v>1.4</v>
          </cell>
        </row>
        <row r="104">
          <cell r="B104" t="str">
            <v>Ñaøo Vaên Minh</v>
          </cell>
          <cell r="C104" t="str">
            <v>Laùi cuoác</v>
          </cell>
          <cell r="D104">
            <v>152</v>
          </cell>
          <cell r="E104">
            <v>26</v>
          </cell>
          <cell r="F104">
            <v>27</v>
          </cell>
          <cell r="G104">
            <v>25</v>
          </cell>
          <cell r="H104">
            <v>27</v>
          </cell>
          <cell r="I104">
            <v>26</v>
          </cell>
          <cell r="J104">
            <v>26</v>
          </cell>
          <cell r="K104">
            <v>157</v>
          </cell>
          <cell r="L104">
            <v>309</v>
          </cell>
          <cell r="M104">
            <v>1.3</v>
          </cell>
          <cell r="N104" t="str">
            <v>Xuaát saéc</v>
          </cell>
          <cell r="O104">
            <v>1.6</v>
          </cell>
        </row>
        <row r="105">
          <cell r="B105" t="str">
            <v>Phaïm Ñöùc Thieäp</v>
          </cell>
          <cell r="C105" t="str">
            <v>Xe xuùc</v>
          </cell>
          <cell r="D105">
            <v>151</v>
          </cell>
          <cell r="E105">
            <v>24</v>
          </cell>
          <cell r="F105">
            <v>27</v>
          </cell>
          <cell r="G105">
            <v>25</v>
          </cell>
          <cell r="H105">
            <v>24</v>
          </cell>
          <cell r="I105">
            <v>24</v>
          </cell>
          <cell r="J105">
            <v>23</v>
          </cell>
          <cell r="K105">
            <v>147</v>
          </cell>
          <cell r="L105">
            <v>298</v>
          </cell>
          <cell r="M105">
            <v>1.2</v>
          </cell>
          <cell r="N105" t="str">
            <v>A</v>
          </cell>
          <cell r="O105">
            <v>1.4</v>
          </cell>
        </row>
        <row r="106">
          <cell r="B106" t="str">
            <v>Nguyeãn Xuaân Thaønh</v>
          </cell>
          <cell r="C106" t="str">
            <v>"</v>
          </cell>
          <cell r="D106">
            <v>151</v>
          </cell>
          <cell r="E106">
            <v>26</v>
          </cell>
          <cell r="F106">
            <v>27</v>
          </cell>
          <cell r="G106">
            <v>25</v>
          </cell>
          <cell r="H106">
            <v>26.5</v>
          </cell>
          <cell r="I106">
            <v>23</v>
          </cell>
          <cell r="J106">
            <v>23</v>
          </cell>
          <cell r="K106">
            <v>150.5</v>
          </cell>
          <cell r="L106">
            <v>301.5</v>
          </cell>
          <cell r="M106">
            <v>1.2</v>
          </cell>
          <cell r="N106" t="str">
            <v>A</v>
          </cell>
          <cell r="O106">
            <v>1.4</v>
          </cell>
        </row>
        <row r="107">
          <cell r="B107" t="str">
            <v>Nguyeãn Ñöùc Thaéng</v>
          </cell>
          <cell r="C107" t="str">
            <v>X.xuùc 300</v>
          </cell>
          <cell r="D107">
            <v>150</v>
          </cell>
          <cell r="E107">
            <v>26</v>
          </cell>
          <cell r="F107">
            <v>27</v>
          </cell>
          <cell r="G107">
            <v>24</v>
          </cell>
          <cell r="H107">
            <v>26.5</v>
          </cell>
          <cell r="I107">
            <v>24</v>
          </cell>
          <cell r="J107">
            <v>24</v>
          </cell>
          <cell r="K107">
            <v>151.5</v>
          </cell>
          <cell r="L107">
            <v>301.5</v>
          </cell>
          <cell r="M107">
            <v>1.2</v>
          </cell>
          <cell r="N107" t="str">
            <v>A</v>
          </cell>
          <cell r="O107">
            <v>1.4</v>
          </cell>
        </row>
        <row r="108">
          <cell r="B108" t="str">
            <v>Nguyeãn Thaønh Thoaïi</v>
          </cell>
          <cell r="C108" t="str">
            <v>Daewoo</v>
          </cell>
          <cell r="D108">
            <v>138</v>
          </cell>
          <cell r="E108">
            <v>26</v>
          </cell>
          <cell r="F108">
            <v>27</v>
          </cell>
          <cell r="G108">
            <v>25</v>
          </cell>
          <cell r="H108">
            <v>27</v>
          </cell>
          <cell r="I108">
            <v>26</v>
          </cell>
          <cell r="J108">
            <v>26</v>
          </cell>
          <cell r="K108">
            <v>157</v>
          </cell>
          <cell r="L108">
            <v>295</v>
          </cell>
          <cell r="M108">
            <v>1.2</v>
          </cell>
          <cell r="N108" t="str">
            <v>Xuaát saéc</v>
          </cell>
          <cell r="O108">
            <v>1.6</v>
          </cell>
        </row>
        <row r="109">
          <cell r="B109" t="str">
            <v>Ngoâ Vaên Taân</v>
          </cell>
          <cell r="C109" t="str">
            <v>Xe cuoác</v>
          </cell>
          <cell r="D109">
            <v>153</v>
          </cell>
          <cell r="E109">
            <v>26</v>
          </cell>
          <cell r="F109">
            <v>21</v>
          </cell>
          <cell r="G109">
            <v>0</v>
          </cell>
          <cell r="H109">
            <v>12</v>
          </cell>
          <cell r="I109">
            <v>26</v>
          </cell>
          <cell r="J109">
            <v>26</v>
          </cell>
          <cell r="K109">
            <v>141</v>
          </cell>
          <cell r="L109">
            <v>294</v>
          </cell>
          <cell r="M109">
            <v>1.2</v>
          </cell>
          <cell r="N109" t="str">
            <v>B</v>
          </cell>
          <cell r="O109">
            <v>1.2</v>
          </cell>
          <cell r="Q109" t="str">
            <v>(Coäng oùm 30 ngaøy cuoái naêm)</v>
          </cell>
        </row>
        <row r="110">
          <cell r="B110" t="str">
            <v>Buøi Quang Baèng</v>
          </cell>
          <cell r="C110" t="str">
            <v>Xe naâng</v>
          </cell>
          <cell r="D110">
            <v>149</v>
          </cell>
          <cell r="E110">
            <v>26</v>
          </cell>
          <cell r="F110">
            <v>27</v>
          </cell>
          <cell r="G110">
            <v>25</v>
          </cell>
          <cell r="H110">
            <v>27</v>
          </cell>
          <cell r="I110">
            <v>26</v>
          </cell>
          <cell r="J110">
            <v>24</v>
          </cell>
          <cell r="K110">
            <v>155</v>
          </cell>
          <cell r="L110">
            <v>304</v>
          </cell>
          <cell r="M110">
            <v>1.2</v>
          </cell>
          <cell r="N110" t="str">
            <v>A</v>
          </cell>
          <cell r="O110">
            <v>1.4</v>
          </cell>
        </row>
        <row r="111">
          <cell r="B111" t="str">
            <v>Ngoâ Vaên Thaân</v>
          </cell>
          <cell r="C111" t="str">
            <v>Xe naâng</v>
          </cell>
          <cell r="D111">
            <v>134</v>
          </cell>
          <cell r="E111">
            <v>26</v>
          </cell>
          <cell r="F111">
            <v>27</v>
          </cell>
          <cell r="G111">
            <v>25</v>
          </cell>
          <cell r="H111">
            <v>27</v>
          </cell>
          <cell r="I111">
            <v>26</v>
          </cell>
          <cell r="J111">
            <v>26</v>
          </cell>
          <cell r="K111">
            <v>157</v>
          </cell>
          <cell r="L111">
            <v>291</v>
          </cell>
          <cell r="M111">
            <v>1.2</v>
          </cell>
          <cell r="N111" t="str">
            <v>A</v>
          </cell>
          <cell r="O111">
            <v>1.4</v>
          </cell>
        </row>
        <row r="112">
          <cell r="B112" t="str">
            <v>Buøi Quang Laäp</v>
          </cell>
          <cell r="C112" t="str">
            <v>Xe naâng</v>
          </cell>
          <cell r="D112">
            <v>150</v>
          </cell>
          <cell r="E112">
            <v>26</v>
          </cell>
          <cell r="F112">
            <v>27</v>
          </cell>
          <cell r="G112">
            <v>25</v>
          </cell>
          <cell r="H112">
            <v>25</v>
          </cell>
          <cell r="I112">
            <v>21</v>
          </cell>
          <cell r="J112">
            <v>23</v>
          </cell>
          <cell r="K112">
            <v>147</v>
          </cell>
          <cell r="L112">
            <v>297</v>
          </cell>
          <cell r="M112">
            <v>1.2</v>
          </cell>
          <cell r="N112" t="str">
            <v>A</v>
          </cell>
          <cell r="O112">
            <v>1.4</v>
          </cell>
          <cell r="Q112" t="str">
            <v>(5 pheùp T.11)</v>
          </cell>
        </row>
        <row r="113">
          <cell r="B113" t="str">
            <v>Phan Thanh Trung</v>
          </cell>
          <cell r="C113" t="str">
            <v>Xe naâng</v>
          </cell>
          <cell r="D113">
            <v>149</v>
          </cell>
          <cell r="E113">
            <v>26</v>
          </cell>
          <cell r="F113">
            <v>27</v>
          </cell>
          <cell r="G113">
            <v>25</v>
          </cell>
          <cell r="H113">
            <v>27</v>
          </cell>
          <cell r="I113">
            <v>26</v>
          </cell>
          <cell r="J113">
            <v>26</v>
          </cell>
          <cell r="K113">
            <v>157</v>
          </cell>
          <cell r="L113">
            <v>306</v>
          </cell>
          <cell r="M113">
            <v>1.2</v>
          </cell>
          <cell r="N113" t="str">
            <v>A</v>
          </cell>
          <cell r="O113">
            <v>1.4</v>
          </cell>
        </row>
        <row r="114">
          <cell r="B114" t="str">
            <v>Laâm Hoàng Thu</v>
          </cell>
          <cell r="C114" t="str">
            <v>Xe naâng</v>
          </cell>
          <cell r="D114">
            <v>50</v>
          </cell>
          <cell r="E114">
            <v>26</v>
          </cell>
          <cell r="F114">
            <v>27</v>
          </cell>
          <cell r="G114">
            <v>25</v>
          </cell>
          <cell r="H114">
            <v>27</v>
          </cell>
          <cell r="I114">
            <v>26</v>
          </cell>
          <cell r="J114">
            <v>26</v>
          </cell>
          <cell r="K114">
            <v>157</v>
          </cell>
          <cell r="L114">
            <v>207</v>
          </cell>
          <cell r="M114">
            <v>1.2</v>
          </cell>
          <cell r="N114" t="str">
            <v>B</v>
          </cell>
          <cell r="O114">
            <v>1.2</v>
          </cell>
        </row>
        <row r="115">
          <cell r="B115" t="str">
            <v>Hoà Ngoïc Lôïi</v>
          </cell>
          <cell r="C115" t="str">
            <v>"</v>
          </cell>
          <cell r="D115">
            <v>150</v>
          </cell>
          <cell r="E115">
            <v>26</v>
          </cell>
          <cell r="F115">
            <v>27</v>
          </cell>
          <cell r="G115">
            <v>25</v>
          </cell>
          <cell r="H115">
            <v>27</v>
          </cell>
          <cell r="I115">
            <v>23</v>
          </cell>
          <cell r="J115">
            <v>17</v>
          </cell>
          <cell r="K115">
            <v>145</v>
          </cell>
          <cell r="L115">
            <v>295</v>
          </cell>
          <cell r="M115">
            <v>1.2</v>
          </cell>
          <cell r="N115" t="str">
            <v>A</v>
          </cell>
          <cell r="O115">
            <v>1.4</v>
          </cell>
          <cell r="Q115" t="str">
            <v>Pheùp T11&amp;12=12 ngaøy</v>
          </cell>
        </row>
        <row r="117">
          <cell r="B117" t="str">
            <v>Coäng:</v>
          </cell>
        </row>
        <row r="118">
          <cell r="B118" t="str">
            <v xml:space="preserve"> * Ñeà nghò Hoäi ñoàng xem xeùt :</v>
          </cell>
        </row>
        <row r="119">
          <cell r="B119" t="str">
            <v xml:space="preserve"> - Nguyeãn Xuaân Trieäu</v>
          </cell>
          <cell r="C119" t="str">
            <v xml:space="preserve"> ( taäp theå phoøng thoáng nhaát xeùt loaïi B - ñ/c khoâng ñoàng yù vaø ñeà nghò HÑ Cty xeùt).</v>
          </cell>
          <cell r="Q119" t="str">
            <v>Ngöôøi laäp</v>
          </cell>
        </row>
        <row r="120">
          <cell r="B120" t="str">
            <v xml:space="preserve"> - Phan Phöôùc Lôïi</v>
          </cell>
          <cell r="C120" t="str">
            <v xml:space="preserve"> (TNGT ngoaøi giôø)</v>
          </cell>
        </row>
        <row r="121">
          <cell r="C121" t="str">
            <v xml:space="preserve"> </v>
          </cell>
        </row>
        <row r="122">
          <cell r="B122" t="str">
            <v>Keát quaû bình xeùt :</v>
          </cell>
        </row>
        <row r="123">
          <cell r="B123" t="str">
            <v xml:space="preserve"> - Tröôûng, phoù boä phaän =</v>
          </cell>
          <cell r="D123" t="str">
            <v xml:space="preserve"> (Khaùnh; Giang; Chieán)</v>
          </cell>
          <cell r="M123" t="str">
            <v xml:space="preserve">         Phoøng Keá hoaïch</v>
          </cell>
        </row>
        <row r="124">
          <cell r="B124" t="str">
            <v xml:space="preserve"> - Loaïi xuaát saéc             =</v>
          </cell>
          <cell r="C124">
            <v>10</v>
          </cell>
          <cell r="D124" t="str">
            <v xml:space="preserve"> (X.Thaønh;Thoaïi;Minh;T.Duõng;Ñaït;Duy;Cöôøng (toå ñieän);Quyønh)</v>
          </cell>
        </row>
        <row r="125">
          <cell r="B125" t="str">
            <v xml:space="preserve"> - Loaïi A                        =</v>
          </cell>
          <cell r="C125">
            <v>24</v>
          </cell>
        </row>
        <row r="126">
          <cell r="B126" t="str">
            <v xml:space="preserve"> - Loaïi B                        =</v>
          </cell>
          <cell r="C126">
            <v>11</v>
          </cell>
        </row>
        <row r="127">
          <cell r="B127" t="str">
            <v xml:space="preserve"> - Loaïi C                        =</v>
          </cell>
          <cell r="C127">
            <v>11</v>
          </cell>
          <cell r="D127" t="str">
            <v>(Yeân;Phong;Huy;Haûo;Phöông;Hoaøng;T.Phong;Duõng;Loäc;Trung;Maãn;Bình;Quyeàn;Cöôøng(tr.caân);Hieàn;Taøi.)</v>
          </cell>
        </row>
        <row r="128">
          <cell r="B128" t="str">
            <v xml:space="preserve"> - Khoâng xeùt                  =</v>
          </cell>
          <cell r="D128" t="str">
            <v>(Trieäu;Toång; Sang; Lôïi (c/ñieän)</v>
          </cell>
        </row>
        <row r="129">
          <cell r="B129" t="str">
            <v>Coäng:</v>
          </cell>
          <cell r="C129">
            <v>56</v>
          </cell>
        </row>
        <row r="138">
          <cell r="B138" t="str">
            <v xml:space="preserve">                                                          BAÛNG TOÅNG HÔÏP NGAØY COÂNG NAÊM 2001</v>
          </cell>
        </row>
        <row r="140">
          <cell r="B140" t="str">
            <v>HOÏ VAØ TEÂN</v>
          </cell>
          <cell r="C140" t="str">
            <v>Chöùc vuï</v>
          </cell>
          <cell r="D140" t="str">
            <v>NC. 6T ñaàu naêm</v>
          </cell>
          <cell r="E140" t="str">
            <v>Ngaøy coâng 6 thaùng cuoái naêm</v>
          </cell>
          <cell r="L140" t="str">
            <v>Toång NC caû naêm</v>
          </cell>
          <cell r="M140" t="str">
            <v>HSCV</v>
          </cell>
          <cell r="N140" t="str">
            <v>Xeáp loaïi    A-B-C</v>
          </cell>
          <cell r="O140" t="str">
            <v>Xeáp loaïi HS</v>
          </cell>
          <cell r="P140" t="str">
            <v>XL.Xuaát saéc</v>
          </cell>
          <cell r="Q140" t="str">
            <v>Ghi chuù</v>
          </cell>
        </row>
        <row r="141">
          <cell r="E141">
            <v>7</v>
          </cell>
          <cell r="F141">
            <v>8</v>
          </cell>
          <cell r="G141">
            <v>9</v>
          </cell>
          <cell r="H141">
            <v>10</v>
          </cell>
          <cell r="I141">
            <v>11</v>
          </cell>
          <cell r="J141">
            <v>12</v>
          </cell>
          <cell r="K141" t="str">
            <v>Coäng</v>
          </cell>
        </row>
        <row r="142">
          <cell r="B142" t="str">
            <v>Phuøng Höõu Thònh</v>
          </cell>
          <cell r="C142" t="str">
            <v>TP</v>
          </cell>
          <cell r="D142">
            <v>153</v>
          </cell>
          <cell r="E142">
            <v>26</v>
          </cell>
          <cell r="F142">
            <v>27</v>
          </cell>
          <cell r="G142">
            <v>25</v>
          </cell>
          <cell r="H142">
            <v>27</v>
          </cell>
          <cell r="I142">
            <v>26</v>
          </cell>
          <cell r="J142">
            <v>26</v>
          </cell>
          <cell r="K142">
            <v>157</v>
          </cell>
          <cell r="L142">
            <v>310</v>
          </cell>
          <cell r="M142">
            <v>1.9</v>
          </cell>
          <cell r="N142" t="str">
            <v>Xuaát saéc</v>
          </cell>
          <cell r="O142">
            <v>1.6</v>
          </cell>
        </row>
        <row r="143">
          <cell r="B143" t="str">
            <v>Huyønh Quang Vöõng</v>
          </cell>
          <cell r="C143" t="str">
            <v>PP</v>
          </cell>
          <cell r="D143">
            <v>152</v>
          </cell>
          <cell r="E143">
            <v>26</v>
          </cell>
          <cell r="F143">
            <v>27</v>
          </cell>
          <cell r="G143">
            <v>25</v>
          </cell>
          <cell r="H143">
            <v>27</v>
          </cell>
          <cell r="I143">
            <v>26</v>
          </cell>
          <cell r="J143">
            <v>26</v>
          </cell>
          <cell r="K143">
            <v>157</v>
          </cell>
          <cell r="L143">
            <v>309</v>
          </cell>
          <cell r="M143">
            <v>1.75</v>
          </cell>
          <cell r="N143" t="str">
            <v>Xuaát saéc</v>
          </cell>
          <cell r="O143">
            <v>1.6</v>
          </cell>
        </row>
        <row r="144">
          <cell r="B144" t="str">
            <v>Nguyeãn Thò Kim Anh</v>
          </cell>
          <cell r="C144" t="str">
            <v>N.V</v>
          </cell>
          <cell r="D144">
            <v>151</v>
          </cell>
          <cell r="E144">
            <v>26</v>
          </cell>
          <cell r="F144">
            <v>27</v>
          </cell>
          <cell r="G144">
            <v>23</v>
          </cell>
          <cell r="H144">
            <v>27</v>
          </cell>
          <cell r="I144">
            <v>26</v>
          </cell>
          <cell r="J144">
            <v>26</v>
          </cell>
          <cell r="K144">
            <v>155</v>
          </cell>
          <cell r="L144">
            <v>306</v>
          </cell>
          <cell r="M144">
            <v>1.3</v>
          </cell>
          <cell r="N144" t="str">
            <v>Xuaát saéc</v>
          </cell>
          <cell r="O144">
            <v>1.6</v>
          </cell>
        </row>
        <row r="145">
          <cell r="B145" t="str">
            <v>Nguyeãn Baù Toång</v>
          </cell>
          <cell r="C145" t="str">
            <v>N.V</v>
          </cell>
          <cell r="D145">
            <v>151</v>
          </cell>
          <cell r="E145">
            <v>26</v>
          </cell>
          <cell r="F145">
            <v>27</v>
          </cell>
          <cell r="G145">
            <v>25</v>
          </cell>
          <cell r="H145">
            <v>22</v>
          </cell>
          <cell r="I145">
            <v>26</v>
          </cell>
          <cell r="J145">
            <v>26</v>
          </cell>
          <cell r="K145">
            <v>152</v>
          </cell>
          <cell r="L145">
            <v>303</v>
          </cell>
          <cell r="M145">
            <v>1.25</v>
          </cell>
          <cell r="N145" t="str">
            <v>A</v>
          </cell>
          <cell r="O145">
            <v>1.4</v>
          </cell>
        </row>
        <row r="146">
          <cell r="B146" t="str">
            <v>Mai Thaønh Chính</v>
          </cell>
          <cell r="C146" t="str">
            <v>N.V</v>
          </cell>
          <cell r="D146">
            <v>151</v>
          </cell>
          <cell r="E146">
            <v>26</v>
          </cell>
          <cell r="F146">
            <v>27</v>
          </cell>
          <cell r="G146">
            <v>25</v>
          </cell>
          <cell r="H146">
            <v>27</v>
          </cell>
          <cell r="I146">
            <v>26</v>
          </cell>
          <cell r="J146">
            <v>26</v>
          </cell>
          <cell r="K146">
            <v>157</v>
          </cell>
          <cell r="L146">
            <v>308</v>
          </cell>
          <cell r="M146">
            <v>1.25</v>
          </cell>
          <cell r="N146" t="str">
            <v>A</v>
          </cell>
          <cell r="O146">
            <v>1.4</v>
          </cell>
        </row>
        <row r="147">
          <cell r="B147" t="str">
            <v>Traàn Phuù Thuyû</v>
          </cell>
          <cell r="C147" t="str">
            <v>NV</v>
          </cell>
          <cell r="D147">
            <v>151</v>
          </cell>
          <cell r="E147">
            <v>26</v>
          </cell>
          <cell r="F147">
            <v>27</v>
          </cell>
          <cell r="G147">
            <v>25</v>
          </cell>
          <cell r="H147">
            <v>27</v>
          </cell>
          <cell r="I147">
            <v>26</v>
          </cell>
          <cell r="J147">
            <v>26</v>
          </cell>
          <cell r="K147">
            <v>157</v>
          </cell>
          <cell r="L147">
            <v>308</v>
          </cell>
          <cell r="M147">
            <v>1.2</v>
          </cell>
          <cell r="N147" t="str">
            <v>Xuaát saéc</v>
          </cell>
          <cell r="O147">
            <v>1.6</v>
          </cell>
        </row>
        <row r="148">
          <cell r="B148" t="str">
            <v>Nguyeãn Vaên Hoaøng</v>
          </cell>
          <cell r="C148" t="str">
            <v>AÙp taûi</v>
          </cell>
          <cell r="D148">
            <v>142</v>
          </cell>
          <cell r="E148">
            <v>26</v>
          </cell>
          <cell r="F148">
            <v>27</v>
          </cell>
          <cell r="G148">
            <v>25</v>
          </cell>
          <cell r="H148">
            <v>27</v>
          </cell>
          <cell r="I148">
            <v>26</v>
          </cell>
          <cell r="J148">
            <v>26</v>
          </cell>
          <cell r="K148">
            <v>157</v>
          </cell>
          <cell r="L148">
            <v>299</v>
          </cell>
          <cell r="M148">
            <v>1.1000000000000001</v>
          </cell>
          <cell r="N148" t="str">
            <v>A</v>
          </cell>
          <cell r="O148">
            <v>1.4</v>
          </cell>
        </row>
        <row r="149">
          <cell r="B149" t="str">
            <v>Huyønh Vaên Bình</v>
          </cell>
          <cell r="C149" t="str">
            <v>AÙp taûi</v>
          </cell>
          <cell r="D149">
            <v>151</v>
          </cell>
          <cell r="E149">
            <v>26</v>
          </cell>
          <cell r="F149">
            <v>23</v>
          </cell>
          <cell r="G149">
            <v>25</v>
          </cell>
          <cell r="H149">
            <v>26</v>
          </cell>
          <cell r="I149">
            <v>26</v>
          </cell>
          <cell r="J149">
            <v>26</v>
          </cell>
          <cell r="K149">
            <v>152</v>
          </cell>
          <cell r="L149">
            <v>303</v>
          </cell>
          <cell r="M149">
            <v>1.1000000000000001</v>
          </cell>
          <cell r="N149" t="str">
            <v>A</v>
          </cell>
          <cell r="O149">
            <v>1.4</v>
          </cell>
        </row>
        <row r="150">
          <cell r="B150" t="str">
            <v>Tröông Thaønh Taâm</v>
          </cell>
          <cell r="C150" t="str">
            <v>AÙp taûi</v>
          </cell>
          <cell r="D150">
            <v>151</v>
          </cell>
          <cell r="E150">
            <v>26</v>
          </cell>
          <cell r="F150">
            <v>27</v>
          </cell>
          <cell r="G150">
            <v>22</v>
          </cell>
          <cell r="H150">
            <v>27</v>
          </cell>
          <cell r="I150">
            <v>26</v>
          </cell>
          <cell r="J150">
            <v>26</v>
          </cell>
          <cell r="K150">
            <v>154</v>
          </cell>
          <cell r="L150">
            <v>305</v>
          </cell>
          <cell r="M150">
            <v>1.1000000000000001</v>
          </cell>
          <cell r="N150" t="str">
            <v>A</v>
          </cell>
          <cell r="O150">
            <v>1.4</v>
          </cell>
        </row>
        <row r="151">
          <cell r="B151" t="str">
            <v>Laâm Anh Duõng</v>
          </cell>
          <cell r="C151" t="str">
            <v>AÙp taûi</v>
          </cell>
          <cell r="D151">
            <v>151</v>
          </cell>
          <cell r="E151">
            <v>26</v>
          </cell>
          <cell r="F151">
            <v>27</v>
          </cell>
          <cell r="G151">
            <v>25</v>
          </cell>
          <cell r="H151">
            <v>27</v>
          </cell>
          <cell r="I151">
            <v>26</v>
          </cell>
          <cell r="J151">
            <v>26</v>
          </cell>
          <cell r="K151">
            <v>157</v>
          </cell>
          <cell r="L151">
            <v>308</v>
          </cell>
          <cell r="M151">
            <v>1.1000000000000001</v>
          </cell>
          <cell r="N151" t="str">
            <v>A</v>
          </cell>
          <cell r="O151">
            <v>1.4</v>
          </cell>
        </row>
        <row r="152">
          <cell r="B152" t="str">
            <v>Huyønh Thieän Phong</v>
          </cell>
          <cell r="C152" t="str">
            <v>AÙp taûi</v>
          </cell>
          <cell r="D152">
            <v>145</v>
          </cell>
          <cell r="E152">
            <v>26</v>
          </cell>
          <cell r="F152">
            <v>27</v>
          </cell>
          <cell r="G152">
            <v>25</v>
          </cell>
          <cell r="H152">
            <v>27</v>
          </cell>
          <cell r="I152">
            <v>26</v>
          </cell>
          <cell r="J152">
            <v>26</v>
          </cell>
          <cell r="K152">
            <v>157</v>
          </cell>
          <cell r="L152">
            <v>302</v>
          </cell>
          <cell r="M152">
            <v>1.1000000000000001</v>
          </cell>
          <cell r="N152" t="str">
            <v>A</v>
          </cell>
          <cell r="O152">
            <v>1.4</v>
          </cell>
        </row>
        <row r="153">
          <cell r="B153" t="str">
            <v>Vuõ Quoác Vieät</v>
          </cell>
          <cell r="C153" t="str">
            <v>AÙp taûi</v>
          </cell>
          <cell r="D153">
            <v>151</v>
          </cell>
          <cell r="E153">
            <v>26</v>
          </cell>
          <cell r="F153">
            <v>27</v>
          </cell>
          <cell r="G153">
            <v>25</v>
          </cell>
          <cell r="H153">
            <v>27</v>
          </cell>
          <cell r="I153">
            <v>26</v>
          </cell>
          <cell r="J153">
            <v>26</v>
          </cell>
          <cell r="K153">
            <v>157</v>
          </cell>
          <cell r="L153">
            <v>308</v>
          </cell>
          <cell r="M153">
            <v>1.1000000000000001</v>
          </cell>
          <cell r="N153" t="str">
            <v>A</v>
          </cell>
          <cell r="O153">
            <v>1.4</v>
          </cell>
        </row>
        <row r="154">
          <cell r="B154" t="str">
            <v>Nguyeãn Phöông Phan</v>
          </cell>
          <cell r="C154" t="str">
            <v>AÙp taûi</v>
          </cell>
          <cell r="D154">
            <v>151</v>
          </cell>
          <cell r="E154">
            <v>26</v>
          </cell>
          <cell r="F154">
            <v>24</v>
          </cell>
          <cell r="G154">
            <v>25</v>
          </cell>
          <cell r="H154">
            <v>27</v>
          </cell>
          <cell r="I154">
            <v>26</v>
          </cell>
          <cell r="J154">
            <v>26</v>
          </cell>
          <cell r="K154">
            <v>154</v>
          </cell>
          <cell r="L154">
            <v>305</v>
          </cell>
          <cell r="M154">
            <v>1.1000000000000001</v>
          </cell>
          <cell r="N154" t="str">
            <v>B</v>
          </cell>
          <cell r="O154">
            <v>1.2</v>
          </cell>
        </row>
        <row r="155">
          <cell r="B155" t="str">
            <v>Nguyeãn Quoác Maïnh</v>
          </cell>
          <cell r="C155" t="str">
            <v>AÙp taûi</v>
          </cell>
          <cell r="D155">
            <v>151</v>
          </cell>
          <cell r="E155">
            <v>26</v>
          </cell>
          <cell r="F155">
            <v>27</v>
          </cell>
          <cell r="G155">
            <v>25</v>
          </cell>
          <cell r="H155">
            <v>27</v>
          </cell>
          <cell r="I155">
            <v>26</v>
          </cell>
          <cell r="J155">
            <v>26</v>
          </cell>
          <cell r="K155">
            <v>157</v>
          </cell>
          <cell r="L155">
            <v>308</v>
          </cell>
          <cell r="M155">
            <v>1.1000000000000001</v>
          </cell>
          <cell r="N155" t="str">
            <v>A</v>
          </cell>
          <cell r="O155">
            <v>1.4</v>
          </cell>
        </row>
        <row r="156">
          <cell r="B156" t="str">
            <v>Traàn Vieát Khoâi</v>
          </cell>
          <cell r="C156" t="str">
            <v>NV</v>
          </cell>
          <cell r="H156">
            <v>20</v>
          </cell>
          <cell r="I156">
            <v>26</v>
          </cell>
          <cell r="J156">
            <v>26</v>
          </cell>
          <cell r="K156">
            <v>72</v>
          </cell>
          <cell r="L156">
            <v>72</v>
          </cell>
          <cell r="M156">
            <v>0.9375</v>
          </cell>
          <cell r="N156" t="str">
            <v>A</v>
          </cell>
          <cell r="O156">
            <v>1.4</v>
          </cell>
        </row>
        <row r="157">
          <cell r="B157" t="str">
            <v>Laâm Minh Vöông</v>
          </cell>
          <cell r="C157" t="str">
            <v>T.CN</v>
          </cell>
          <cell r="D157">
            <v>152</v>
          </cell>
          <cell r="E157">
            <v>26</v>
          </cell>
          <cell r="F157">
            <v>27</v>
          </cell>
          <cell r="G157">
            <v>25</v>
          </cell>
          <cell r="H157">
            <v>27</v>
          </cell>
          <cell r="I157">
            <v>26</v>
          </cell>
          <cell r="J157">
            <v>26</v>
          </cell>
          <cell r="K157">
            <v>157</v>
          </cell>
          <cell r="L157">
            <v>309</v>
          </cell>
          <cell r="M157">
            <v>1.6</v>
          </cell>
          <cell r="N157" t="str">
            <v>Xuaát saéc</v>
          </cell>
          <cell r="O157">
            <v>1.6</v>
          </cell>
        </row>
        <row r="158">
          <cell r="B158" t="str">
            <v>Leâ Thaønh Líp</v>
          </cell>
          <cell r="C158" t="str">
            <v>KT</v>
          </cell>
          <cell r="D158">
            <v>153</v>
          </cell>
          <cell r="E158">
            <v>26</v>
          </cell>
          <cell r="F158">
            <v>27</v>
          </cell>
          <cell r="G158">
            <v>25</v>
          </cell>
          <cell r="H158">
            <v>27</v>
          </cell>
          <cell r="I158">
            <v>26</v>
          </cell>
          <cell r="J158">
            <v>26</v>
          </cell>
          <cell r="K158">
            <v>157</v>
          </cell>
          <cell r="L158">
            <v>310</v>
          </cell>
          <cell r="M158">
            <v>1.3416666666666668</v>
          </cell>
          <cell r="N158" t="str">
            <v>Xuaát saéc</v>
          </cell>
          <cell r="O158">
            <v>1.6</v>
          </cell>
        </row>
        <row r="159">
          <cell r="B159" t="str">
            <v>Voõ Hoaøng Trung</v>
          </cell>
          <cell r="C159" t="str">
            <v>NV</v>
          </cell>
          <cell r="D159">
            <v>151</v>
          </cell>
          <cell r="E159">
            <v>26</v>
          </cell>
          <cell r="F159">
            <v>27</v>
          </cell>
          <cell r="G159">
            <v>25</v>
          </cell>
          <cell r="H159">
            <v>27</v>
          </cell>
          <cell r="I159">
            <v>26</v>
          </cell>
          <cell r="J159">
            <v>26</v>
          </cell>
          <cell r="K159">
            <v>157</v>
          </cell>
          <cell r="L159">
            <v>308</v>
          </cell>
          <cell r="M159">
            <v>1.3</v>
          </cell>
          <cell r="N159" t="str">
            <v>Xuaát saéc</v>
          </cell>
          <cell r="O159">
            <v>1.6</v>
          </cell>
        </row>
        <row r="160">
          <cell r="B160" t="str">
            <v>Voõ Thoáng Nhaát</v>
          </cell>
          <cell r="C160" t="str">
            <v>Thuû quyõ</v>
          </cell>
          <cell r="D160">
            <v>151</v>
          </cell>
          <cell r="E160">
            <v>26</v>
          </cell>
          <cell r="F160">
            <v>27</v>
          </cell>
          <cell r="G160">
            <v>25</v>
          </cell>
          <cell r="H160">
            <v>27</v>
          </cell>
          <cell r="I160">
            <v>26</v>
          </cell>
          <cell r="J160">
            <v>26</v>
          </cell>
          <cell r="K160">
            <v>157</v>
          </cell>
          <cell r="L160">
            <v>308</v>
          </cell>
          <cell r="M160">
            <v>1.2</v>
          </cell>
          <cell r="N160" t="str">
            <v>A</v>
          </cell>
          <cell r="O160">
            <v>1.4</v>
          </cell>
        </row>
        <row r="161">
          <cell r="B161" t="str">
            <v>Voõ Hoàng Taâm</v>
          </cell>
          <cell r="C161" t="str">
            <v>Thuû quyõ</v>
          </cell>
          <cell r="D161">
            <v>153</v>
          </cell>
          <cell r="E161">
            <v>26</v>
          </cell>
          <cell r="F161">
            <v>27</v>
          </cell>
          <cell r="G161">
            <v>25</v>
          </cell>
          <cell r="H161">
            <v>27</v>
          </cell>
          <cell r="I161">
            <v>26</v>
          </cell>
          <cell r="J161">
            <v>26</v>
          </cell>
          <cell r="K161">
            <v>157</v>
          </cell>
          <cell r="L161">
            <v>310</v>
          </cell>
          <cell r="M161">
            <v>1.2</v>
          </cell>
          <cell r="N161" t="str">
            <v>A</v>
          </cell>
          <cell r="O161">
            <v>1.4</v>
          </cell>
        </row>
        <row r="162">
          <cell r="B162" t="str">
            <v>Nguyeãn Thaønh Thaân</v>
          </cell>
          <cell r="C162" t="str">
            <v>KT</v>
          </cell>
          <cell r="D162">
            <v>105</v>
          </cell>
          <cell r="E162">
            <v>22</v>
          </cell>
          <cell r="F162">
            <v>27</v>
          </cell>
          <cell r="G162">
            <v>25</v>
          </cell>
          <cell r="H162">
            <v>27</v>
          </cell>
          <cell r="I162">
            <v>26</v>
          </cell>
          <cell r="J162">
            <v>26</v>
          </cell>
          <cell r="K162">
            <v>153</v>
          </cell>
          <cell r="L162">
            <v>258</v>
          </cell>
          <cell r="M162">
            <v>1.2</v>
          </cell>
          <cell r="N162" t="str">
            <v>A</v>
          </cell>
          <cell r="O162">
            <v>1.4</v>
          </cell>
        </row>
        <row r="163">
          <cell r="B163" t="str">
            <v>Ñinh Ñöùc Chính</v>
          </cell>
          <cell r="C163" t="str">
            <v>L.Xe</v>
          </cell>
          <cell r="D163">
            <v>152</v>
          </cell>
          <cell r="E163">
            <v>26</v>
          </cell>
          <cell r="F163">
            <v>27</v>
          </cell>
          <cell r="G163">
            <v>25</v>
          </cell>
          <cell r="H163">
            <v>27</v>
          </cell>
          <cell r="I163">
            <v>26</v>
          </cell>
          <cell r="J163">
            <v>26</v>
          </cell>
          <cell r="K163">
            <v>157</v>
          </cell>
          <cell r="L163">
            <v>309</v>
          </cell>
          <cell r="M163">
            <v>1.1000000000000001</v>
          </cell>
          <cell r="N163" t="str">
            <v>A</v>
          </cell>
          <cell r="O163">
            <v>1.4</v>
          </cell>
        </row>
        <row r="164">
          <cell r="B164" t="str">
            <v>Buøi Tieán Coâng</v>
          </cell>
          <cell r="C164" t="str">
            <v>"</v>
          </cell>
          <cell r="D164">
            <v>153</v>
          </cell>
          <cell r="E164">
            <v>26</v>
          </cell>
          <cell r="F164">
            <v>27</v>
          </cell>
          <cell r="G164">
            <v>25</v>
          </cell>
          <cell r="H164">
            <v>27</v>
          </cell>
          <cell r="I164">
            <v>26</v>
          </cell>
          <cell r="J164">
            <v>26</v>
          </cell>
          <cell r="K164">
            <v>157</v>
          </cell>
          <cell r="L164">
            <v>310</v>
          </cell>
          <cell r="M164">
            <v>1.2</v>
          </cell>
          <cell r="N164" t="str">
            <v>B</v>
          </cell>
          <cell r="O164">
            <v>1.2</v>
          </cell>
        </row>
        <row r="165">
          <cell r="B165" t="str">
            <v>Phaïm Vaên Nhieàu</v>
          </cell>
          <cell r="C165" t="str">
            <v>"</v>
          </cell>
          <cell r="D165">
            <v>150</v>
          </cell>
          <cell r="E165">
            <v>26</v>
          </cell>
          <cell r="F165">
            <v>27</v>
          </cell>
          <cell r="G165">
            <v>25</v>
          </cell>
          <cell r="H165">
            <v>27</v>
          </cell>
          <cell r="I165">
            <v>26</v>
          </cell>
          <cell r="J165">
            <v>26</v>
          </cell>
          <cell r="K165">
            <v>157</v>
          </cell>
          <cell r="L165">
            <v>307</v>
          </cell>
          <cell r="M165">
            <v>1.2</v>
          </cell>
          <cell r="N165" t="str">
            <v>A</v>
          </cell>
          <cell r="O165">
            <v>1.4</v>
          </cell>
        </row>
        <row r="166">
          <cell r="B166" t="str">
            <v>Phaïm Anh Huøng</v>
          </cell>
          <cell r="C166" t="str">
            <v>"</v>
          </cell>
          <cell r="D166">
            <v>150</v>
          </cell>
          <cell r="E166">
            <v>26</v>
          </cell>
          <cell r="J166">
            <v>26</v>
          </cell>
          <cell r="K166">
            <v>52</v>
          </cell>
          <cell r="L166">
            <v>202</v>
          </cell>
          <cell r="M166">
            <v>1.2</v>
          </cell>
          <cell r="N166" t="str">
            <v>B</v>
          </cell>
          <cell r="O166">
            <v>1.2</v>
          </cell>
          <cell r="Q166" t="str">
            <v>(Hoäi xeùt -4 thaùng chôø vieäc)</v>
          </cell>
        </row>
        <row r="167">
          <cell r="B167" t="str">
            <v>Ñaøo Ngoïc Höông</v>
          </cell>
          <cell r="C167" t="str">
            <v>"</v>
          </cell>
          <cell r="D167">
            <v>150</v>
          </cell>
          <cell r="E167">
            <v>26</v>
          </cell>
          <cell r="F167">
            <v>27</v>
          </cell>
          <cell r="G167">
            <v>25</v>
          </cell>
          <cell r="H167">
            <v>27</v>
          </cell>
          <cell r="I167">
            <v>26</v>
          </cell>
          <cell r="J167">
            <v>26</v>
          </cell>
          <cell r="K167">
            <v>157</v>
          </cell>
          <cell r="L167">
            <v>307</v>
          </cell>
          <cell r="M167">
            <v>1.2</v>
          </cell>
          <cell r="N167" t="str">
            <v>A</v>
          </cell>
          <cell r="O167">
            <v>1.4</v>
          </cell>
        </row>
        <row r="168">
          <cell r="B168" t="str">
            <v>Voõ Thaønh Nhaân</v>
          </cell>
          <cell r="C168" t="str">
            <v>"</v>
          </cell>
          <cell r="D168">
            <v>76</v>
          </cell>
          <cell r="E168">
            <v>26</v>
          </cell>
          <cell r="F168">
            <v>27</v>
          </cell>
          <cell r="G168">
            <v>25</v>
          </cell>
          <cell r="H168">
            <v>27</v>
          </cell>
          <cell r="I168">
            <v>26</v>
          </cell>
          <cell r="J168">
            <v>26</v>
          </cell>
          <cell r="K168">
            <v>157</v>
          </cell>
          <cell r="L168">
            <v>233</v>
          </cell>
          <cell r="M168">
            <v>1.2</v>
          </cell>
          <cell r="N168" t="str">
            <v>A</v>
          </cell>
          <cell r="O168">
            <v>1.4</v>
          </cell>
        </row>
        <row r="169">
          <cell r="B169" t="str">
            <v>Nguyeãn Ñaêng Khoa</v>
          </cell>
          <cell r="C169" t="str">
            <v>"</v>
          </cell>
          <cell r="F169">
            <v>21</v>
          </cell>
          <cell r="G169">
            <v>25</v>
          </cell>
          <cell r="H169">
            <v>27</v>
          </cell>
          <cell r="I169">
            <v>26</v>
          </cell>
          <cell r="J169">
            <v>26</v>
          </cell>
          <cell r="K169">
            <v>125</v>
          </cell>
          <cell r="L169">
            <v>125</v>
          </cell>
          <cell r="M169">
            <v>1.1000000000000001</v>
          </cell>
          <cell r="N169" t="str">
            <v>A</v>
          </cell>
          <cell r="O169">
            <v>1.4</v>
          </cell>
        </row>
        <row r="170">
          <cell r="B170" t="str">
            <v>Nguyeãn Phuù Quoác</v>
          </cell>
          <cell r="C170" t="str">
            <v>"</v>
          </cell>
          <cell r="H170">
            <v>21</v>
          </cell>
          <cell r="I170">
            <v>26</v>
          </cell>
          <cell r="J170">
            <v>26</v>
          </cell>
          <cell r="K170">
            <v>73</v>
          </cell>
          <cell r="L170">
            <v>73</v>
          </cell>
          <cell r="M170">
            <v>0.9</v>
          </cell>
          <cell r="N170" t="str">
            <v>A</v>
          </cell>
          <cell r="O170">
            <v>1.4</v>
          </cell>
        </row>
        <row r="171">
          <cell r="B171" t="str">
            <v>Ngoâ Thaønh Phöôùc</v>
          </cell>
          <cell r="C171" t="str">
            <v>"</v>
          </cell>
          <cell r="D171">
            <v>150</v>
          </cell>
          <cell r="E171">
            <v>26</v>
          </cell>
          <cell r="F171">
            <v>27</v>
          </cell>
          <cell r="G171">
            <v>25</v>
          </cell>
          <cell r="H171">
            <v>27</v>
          </cell>
          <cell r="I171">
            <v>26</v>
          </cell>
          <cell r="J171">
            <v>24</v>
          </cell>
          <cell r="K171">
            <v>155</v>
          </cell>
          <cell r="L171">
            <v>305</v>
          </cell>
          <cell r="M171">
            <v>1.2</v>
          </cell>
          <cell r="Q171" t="str">
            <v>(p.KH chuyeån 16)</v>
          </cell>
        </row>
        <row r="173">
          <cell r="B173" t="str">
            <v>BQL Chaát Löôïng:</v>
          </cell>
        </row>
        <row r="174">
          <cell r="B174" t="str">
            <v>Nguyeãn Thoaïi Oanh</v>
          </cell>
          <cell r="C174" t="str">
            <v>Tban</v>
          </cell>
          <cell r="D174">
            <v>152</v>
          </cell>
          <cell r="E174">
            <v>26</v>
          </cell>
          <cell r="F174">
            <v>27</v>
          </cell>
          <cell r="G174">
            <v>25</v>
          </cell>
          <cell r="H174">
            <v>27</v>
          </cell>
          <cell r="I174">
            <v>26</v>
          </cell>
          <cell r="J174">
            <v>26</v>
          </cell>
          <cell r="K174">
            <v>157</v>
          </cell>
          <cell r="L174">
            <v>309</v>
          </cell>
          <cell r="M174">
            <v>1.75</v>
          </cell>
          <cell r="N174" t="str">
            <v>Xuaát saéc</v>
          </cell>
          <cell r="O174">
            <v>1.6</v>
          </cell>
        </row>
        <row r="175">
          <cell r="B175" t="str">
            <v>Nguyeãn Höõu Hieáu</v>
          </cell>
          <cell r="C175" t="str">
            <v>NV</v>
          </cell>
          <cell r="D175">
            <v>154</v>
          </cell>
          <cell r="E175">
            <v>26</v>
          </cell>
          <cell r="F175">
            <v>27</v>
          </cell>
          <cell r="G175">
            <v>25</v>
          </cell>
          <cell r="H175">
            <v>27</v>
          </cell>
          <cell r="I175">
            <v>26</v>
          </cell>
          <cell r="J175">
            <v>26</v>
          </cell>
          <cell r="K175">
            <v>157</v>
          </cell>
          <cell r="L175">
            <v>311</v>
          </cell>
          <cell r="M175">
            <v>1.25</v>
          </cell>
          <cell r="N175" t="str">
            <v>A</v>
          </cell>
          <cell r="O175">
            <v>1.4</v>
          </cell>
        </row>
        <row r="176">
          <cell r="B176" t="str">
            <v>Phaïm Vaên Haûi</v>
          </cell>
          <cell r="C176" t="str">
            <v>NV</v>
          </cell>
          <cell r="D176">
            <v>144</v>
          </cell>
          <cell r="E176">
            <v>26</v>
          </cell>
          <cell r="F176">
            <v>27</v>
          </cell>
          <cell r="G176">
            <v>25</v>
          </cell>
          <cell r="H176">
            <v>27</v>
          </cell>
          <cell r="I176">
            <v>26</v>
          </cell>
          <cell r="J176">
            <v>26</v>
          </cell>
          <cell r="K176">
            <v>157</v>
          </cell>
          <cell r="L176">
            <v>301</v>
          </cell>
          <cell r="M176">
            <v>1.3120000000000001</v>
          </cell>
          <cell r="N176" t="str">
            <v>A</v>
          </cell>
          <cell r="O176">
            <v>1.4</v>
          </cell>
        </row>
        <row r="178">
          <cell r="B178" t="str">
            <v>Coäng:</v>
          </cell>
        </row>
        <row r="179">
          <cell r="B179" t="str">
            <v>*Ñeà nghò Hoäi ñoàng xeùt</v>
          </cell>
        </row>
        <row r="180">
          <cell r="B180" t="str">
            <v>Keát quaû bình xeùt : P.KD</v>
          </cell>
          <cell r="Q180" t="str">
            <v>Ngöôøi laäp</v>
          </cell>
        </row>
        <row r="181">
          <cell r="B181" t="str">
            <v xml:space="preserve"> - Tröôûng, phoù boä phaän =</v>
          </cell>
          <cell r="D181" t="str">
            <v>(Thònh;Vöõng)</v>
          </cell>
        </row>
        <row r="182">
          <cell r="B182" t="str">
            <v xml:space="preserve"> - Loaïi xuaát saéc             =</v>
          </cell>
          <cell r="C182">
            <v>8</v>
          </cell>
          <cell r="D182" t="str">
            <v>(Thònh; Vöõng; Oanh; K.Anh; Thuyû;Vöông;Líp;Trung)</v>
          </cell>
        </row>
        <row r="183">
          <cell r="B183" t="str">
            <v xml:space="preserve"> - Loaïi A                        =</v>
          </cell>
          <cell r="C183">
            <v>21</v>
          </cell>
        </row>
        <row r="184">
          <cell r="B184" t="str">
            <v xml:space="preserve"> - Loaïi B                        =</v>
          </cell>
          <cell r="C184">
            <v>3</v>
          </cell>
          <cell r="D184" t="str">
            <v xml:space="preserve"> (Coâng; Phan; Huøng)</v>
          </cell>
        </row>
        <row r="185">
          <cell r="B185" t="str">
            <v xml:space="preserve"> - Loaïi C                        =</v>
          </cell>
          <cell r="C185">
            <v>0</v>
          </cell>
        </row>
        <row r="186">
          <cell r="B186" t="str">
            <v xml:space="preserve"> - Khoâng xeùt                  =</v>
          </cell>
          <cell r="C186">
            <v>1</v>
          </cell>
          <cell r="D186" t="str">
            <v xml:space="preserve"> (Phöôùc)</v>
          </cell>
        </row>
        <row r="187">
          <cell r="B187" t="str">
            <v>Coäng:</v>
          </cell>
          <cell r="C187">
            <v>33</v>
          </cell>
        </row>
        <row r="189">
          <cell r="B189" t="str">
            <v xml:space="preserve">                                                          BAÛNG TOÅNG HÔÏP NGAØY COÂNG NAÊM 2001</v>
          </cell>
        </row>
        <row r="192">
          <cell r="B192" t="str">
            <v>HOÏ VAØ TEÂN</v>
          </cell>
          <cell r="C192" t="str">
            <v>Chöùc vuï</v>
          </cell>
          <cell r="D192" t="str">
            <v>NC. 6T ñaàu naêm</v>
          </cell>
          <cell r="E192" t="str">
            <v>Ngaøy coâng 6 thaùng cuoái naêm</v>
          </cell>
          <cell r="L192" t="str">
            <v>Toång NC caû naêm</v>
          </cell>
          <cell r="M192" t="str">
            <v>HSCV</v>
          </cell>
          <cell r="N192" t="str">
            <v>Xeáp loaïi    A-B-C</v>
          </cell>
          <cell r="O192" t="str">
            <v>Xeáp loaïi HS</v>
          </cell>
          <cell r="P192" t="str">
            <v>XL.Xuaát saéc</v>
          </cell>
          <cell r="Q192" t="str">
            <v>Ghi chuù</v>
          </cell>
        </row>
        <row r="193">
          <cell r="E193">
            <v>7</v>
          </cell>
          <cell r="F193">
            <v>8</v>
          </cell>
          <cell r="G193">
            <v>9</v>
          </cell>
          <cell r="H193">
            <v>10</v>
          </cell>
          <cell r="I193">
            <v>11</v>
          </cell>
          <cell r="J193">
            <v>12</v>
          </cell>
          <cell r="K193" t="str">
            <v>Coäng</v>
          </cell>
        </row>
        <row r="194">
          <cell r="B194" t="str">
            <v>Quaùch Ngoïc Minh</v>
          </cell>
          <cell r="C194" t="str">
            <v>KTT</v>
          </cell>
          <cell r="F194">
            <v>3</v>
          </cell>
          <cell r="G194">
            <v>25</v>
          </cell>
          <cell r="H194">
            <v>27</v>
          </cell>
          <cell r="I194">
            <v>26</v>
          </cell>
          <cell r="J194">
            <v>26</v>
          </cell>
          <cell r="K194">
            <v>107</v>
          </cell>
          <cell r="L194">
            <v>107</v>
          </cell>
          <cell r="M194">
            <v>3</v>
          </cell>
          <cell r="N194" t="str">
            <v>Xuaát saéc</v>
          </cell>
          <cell r="O194">
            <v>1.6</v>
          </cell>
        </row>
        <row r="195">
          <cell r="B195" t="str">
            <v>Nguyeãn Vaên Tuoát</v>
          </cell>
          <cell r="C195" t="str">
            <v>KTT cuõ</v>
          </cell>
          <cell r="D195">
            <v>151</v>
          </cell>
          <cell r="E195">
            <v>26</v>
          </cell>
          <cell r="F195">
            <v>27</v>
          </cell>
          <cell r="K195">
            <v>53</v>
          </cell>
          <cell r="L195">
            <v>204</v>
          </cell>
          <cell r="M195">
            <v>3</v>
          </cell>
          <cell r="N195" t="str">
            <v>Xuaát saéc</v>
          </cell>
          <cell r="O195">
            <v>1.6</v>
          </cell>
        </row>
        <row r="196">
          <cell r="B196" t="str">
            <v>Ñaøo Troïng Ñaït</v>
          </cell>
          <cell r="C196" t="str">
            <v>PP</v>
          </cell>
          <cell r="D196">
            <v>152</v>
          </cell>
          <cell r="E196">
            <v>26</v>
          </cell>
          <cell r="F196">
            <v>27</v>
          </cell>
          <cell r="G196">
            <v>25</v>
          </cell>
          <cell r="H196">
            <v>27</v>
          </cell>
          <cell r="I196">
            <v>26</v>
          </cell>
          <cell r="J196">
            <v>26</v>
          </cell>
          <cell r="K196">
            <v>157</v>
          </cell>
          <cell r="L196">
            <v>309</v>
          </cell>
          <cell r="M196">
            <v>1.75</v>
          </cell>
          <cell r="N196" t="str">
            <v>Xuaát saéc</v>
          </cell>
          <cell r="O196">
            <v>1.6</v>
          </cell>
        </row>
        <row r="197">
          <cell r="B197" t="str">
            <v>Nguyeãn Vaên Hieån</v>
          </cell>
          <cell r="C197" t="str">
            <v>N.V</v>
          </cell>
          <cell r="D197">
            <v>151</v>
          </cell>
          <cell r="E197">
            <v>26</v>
          </cell>
          <cell r="F197">
            <v>27</v>
          </cell>
          <cell r="G197">
            <v>25</v>
          </cell>
          <cell r="H197">
            <v>27</v>
          </cell>
          <cell r="I197">
            <v>23</v>
          </cell>
          <cell r="J197">
            <v>26</v>
          </cell>
          <cell r="K197">
            <v>154</v>
          </cell>
          <cell r="L197">
            <v>305</v>
          </cell>
          <cell r="M197">
            <v>1.3</v>
          </cell>
          <cell r="N197" t="str">
            <v>A</v>
          </cell>
          <cell r="O197">
            <v>1.4</v>
          </cell>
        </row>
        <row r="198">
          <cell r="B198" t="str">
            <v>Trònh Hoaøng Laâm</v>
          </cell>
          <cell r="C198" t="str">
            <v>N.V</v>
          </cell>
          <cell r="D198">
            <v>151</v>
          </cell>
          <cell r="E198">
            <v>26</v>
          </cell>
          <cell r="F198">
            <v>27</v>
          </cell>
          <cell r="G198">
            <v>25</v>
          </cell>
          <cell r="H198">
            <v>27</v>
          </cell>
          <cell r="I198">
            <v>26</v>
          </cell>
          <cell r="J198">
            <v>26</v>
          </cell>
          <cell r="K198">
            <v>157</v>
          </cell>
          <cell r="L198">
            <v>308</v>
          </cell>
          <cell r="M198">
            <v>1.25</v>
          </cell>
          <cell r="N198" t="str">
            <v>B</v>
          </cell>
          <cell r="O198">
            <v>1.2</v>
          </cell>
        </row>
        <row r="199">
          <cell r="B199" t="str">
            <v>Döông Vaên Thaûo</v>
          </cell>
          <cell r="C199" t="str">
            <v>N.V</v>
          </cell>
          <cell r="D199">
            <v>151</v>
          </cell>
          <cell r="E199">
            <v>26</v>
          </cell>
          <cell r="F199">
            <v>27</v>
          </cell>
          <cell r="G199">
            <v>25</v>
          </cell>
          <cell r="H199">
            <v>27</v>
          </cell>
          <cell r="I199">
            <v>26</v>
          </cell>
          <cell r="J199">
            <v>26</v>
          </cell>
          <cell r="K199">
            <v>157</v>
          </cell>
          <cell r="L199">
            <v>308</v>
          </cell>
          <cell r="M199">
            <v>1.25</v>
          </cell>
          <cell r="N199" t="str">
            <v>Xuaát saéc</v>
          </cell>
          <cell r="O199">
            <v>1.6</v>
          </cell>
        </row>
        <row r="200">
          <cell r="B200" t="str">
            <v>Nguyeãn Thu Laøi</v>
          </cell>
          <cell r="C200" t="str">
            <v>N.V</v>
          </cell>
          <cell r="D200">
            <v>151</v>
          </cell>
          <cell r="E200">
            <v>11</v>
          </cell>
          <cell r="F200">
            <v>27</v>
          </cell>
          <cell r="G200">
            <v>25</v>
          </cell>
          <cell r="H200">
            <v>27</v>
          </cell>
          <cell r="I200">
            <v>26</v>
          </cell>
          <cell r="J200">
            <v>26</v>
          </cell>
          <cell r="K200">
            <v>157</v>
          </cell>
          <cell r="L200">
            <v>308</v>
          </cell>
          <cell r="M200">
            <v>1.2</v>
          </cell>
          <cell r="N200" t="str">
            <v>A</v>
          </cell>
          <cell r="O200">
            <v>1.4</v>
          </cell>
          <cell r="Q200" t="str">
            <v xml:space="preserve"> ( Coäng Oám 15 ngaøy)</v>
          </cell>
        </row>
        <row r="201">
          <cell r="B201" t="str">
            <v>Coäng:</v>
          </cell>
        </row>
        <row r="203">
          <cell r="B203" t="str">
            <v>*Ñeà nghò Hoäi ñoàng xeùt</v>
          </cell>
          <cell r="Q203" t="str">
            <v>Ngöôøi laäp</v>
          </cell>
        </row>
        <row r="204">
          <cell r="B204" t="str">
            <v xml:space="preserve"> - Nguyeãn Vaên Tuoát </v>
          </cell>
          <cell r="C204" t="str">
            <v xml:space="preserve"> - Chuyeån coâng taùc thaùng 9</v>
          </cell>
        </row>
        <row r="205">
          <cell r="B205" t="str">
            <v xml:space="preserve"> - Nguyeãn Thu Laøi </v>
          </cell>
          <cell r="C205" t="str">
            <v xml:space="preserve"> - Nghæ oám 15 coâng</v>
          </cell>
        </row>
        <row r="206">
          <cell r="B206" t="str">
            <v>Keát quaû bình xeùt :</v>
          </cell>
        </row>
        <row r="207">
          <cell r="B207" t="str">
            <v xml:space="preserve"> - Tröôûng, phoù boä phaän =</v>
          </cell>
        </row>
        <row r="208">
          <cell r="B208" t="str">
            <v xml:space="preserve"> - Loaïi xuaát saéc             =</v>
          </cell>
          <cell r="C208">
            <v>4</v>
          </cell>
          <cell r="D208" t="str">
            <v xml:space="preserve"> (Minh; Ñaït; Tuoát; Thaûo)</v>
          </cell>
        </row>
        <row r="209">
          <cell r="B209" t="str">
            <v xml:space="preserve"> - Loaïi A                        =</v>
          </cell>
          <cell r="C209">
            <v>2</v>
          </cell>
        </row>
        <row r="210">
          <cell r="B210" t="str">
            <v xml:space="preserve"> - Loaïi B                        =</v>
          </cell>
          <cell r="C210">
            <v>1</v>
          </cell>
        </row>
        <row r="211">
          <cell r="B211" t="str">
            <v xml:space="preserve"> - Loaïi C                        =</v>
          </cell>
          <cell r="C211">
            <v>0</v>
          </cell>
        </row>
        <row r="212">
          <cell r="B212" t="str">
            <v xml:space="preserve"> - Khoâng xeùt                  =</v>
          </cell>
        </row>
        <row r="213">
          <cell r="B213" t="str">
            <v>Coäng:</v>
          </cell>
          <cell r="C213">
            <v>7</v>
          </cell>
        </row>
        <row r="217">
          <cell r="B217" t="str">
            <v xml:space="preserve">                                                          BAÛNG TOÅNG HÔÏP NGAØY COÂNG NAÊM 2001</v>
          </cell>
        </row>
        <row r="219">
          <cell r="B219" t="str">
            <v>HOÏ VAØ TEÂN</v>
          </cell>
          <cell r="C219" t="str">
            <v>Chöùc vuï</v>
          </cell>
          <cell r="D219" t="str">
            <v>NC. 6T ñaàu naêm</v>
          </cell>
          <cell r="E219" t="str">
            <v>Ngaøy coâng 6 thaùng cuoái naêm</v>
          </cell>
          <cell r="L219" t="str">
            <v>Toång NC caû naêm</v>
          </cell>
          <cell r="M219" t="str">
            <v>HSCV</v>
          </cell>
          <cell r="N219" t="str">
            <v>Xeáp loaïi    A-B-C</v>
          </cell>
          <cell r="O219" t="str">
            <v>Xeáp loaïi HS</v>
          </cell>
          <cell r="P219" t="str">
            <v>XL.Xuaát saéc</v>
          </cell>
          <cell r="Q219" t="str">
            <v>Ghi chuù</v>
          </cell>
        </row>
        <row r="220">
          <cell r="E220">
            <v>7</v>
          </cell>
          <cell r="F220">
            <v>8</v>
          </cell>
          <cell r="G220">
            <v>9</v>
          </cell>
          <cell r="H220">
            <v>10</v>
          </cell>
          <cell r="I220">
            <v>11</v>
          </cell>
          <cell r="J220">
            <v>12</v>
          </cell>
          <cell r="K220" t="str">
            <v>Coäng</v>
          </cell>
        </row>
        <row r="221">
          <cell r="B221" t="str">
            <v>Leâ Vaên Boán</v>
          </cell>
          <cell r="C221" t="str">
            <v>QÑPX</v>
          </cell>
          <cell r="D221">
            <v>139</v>
          </cell>
          <cell r="E221">
            <v>26</v>
          </cell>
          <cell r="F221">
            <v>27</v>
          </cell>
          <cell r="G221">
            <v>25</v>
          </cell>
          <cell r="H221">
            <v>27</v>
          </cell>
          <cell r="I221">
            <v>26</v>
          </cell>
          <cell r="J221">
            <v>26</v>
          </cell>
          <cell r="K221">
            <v>157</v>
          </cell>
          <cell r="L221">
            <v>296</v>
          </cell>
          <cell r="M221">
            <v>1.75</v>
          </cell>
          <cell r="N221" t="str">
            <v>Xuaát saéc</v>
          </cell>
          <cell r="O221">
            <v>1.6</v>
          </cell>
        </row>
        <row r="222">
          <cell r="B222" t="str">
            <v>Leâ Vieät Nam</v>
          </cell>
          <cell r="C222" t="str">
            <v>CBKT</v>
          </cell>
          <cell r="E222">
            <v>24</v>
          </cell>
          <cell r="F222">
            <v>27</v>
          </cell>
          <cell r="G222">
            <v>25</v>
          </cell>
          <cell r="H222">
            <v>27</v>
          </cell>
          <cell r="I222">
            <v>26</v>
          </cell>
          <cell r="J222">
            <v>26</v>
          </cell>
          <cell r="K222">
            <v>155</v>
          </cell>
          <cell r="L222">
            <v>155</v>
          </cell>
          <cell r="M222">
            <v>1.4</v>
          </cell>
          <cell r="N222" t="str">
            <v>A</v>
          </cell>
          <cell r="O222">
            <v>1.4</v>
          </cell>
        </row>
        <row r="223">
          <cell r="B223" t="str">
            <v>Döông Kim Chi</v>
          </cell>
          <cell r="C223" t="str">
            <v>TK-PX</v>
          </cell>
          <cell r="D223">
            <v>147</v>
          </cell>
          <cell r="E223">
            <v>26</v>
          </cell>
          <cell r="F223">
            <v>24</v>
          </cell>
          <cell r="G223">
            <v>25</v>
          </cell>
          <cell r="H223">
            <v>27</v>
          </cell>
          <cell r="I223">
            <v>25</v>
          </cell>
          <cell r="J223">
            <v>26</v>
          </cell>
          <cell r="K223">
            <v>153</v>
          </cell>
          <cell r="L223">
            <v>300</v>
          </cell>
          <cell r="M223">
            <v>1.2</v>
          </cell>
          <cell r="N223" t="str">
            <v>A</v>
          </cell>
          <cell r="O223">
            <v>1.4</v>
          </cell>
        </row>
        <row r="224">
          <cell r="B224" t="str">
            <v>Nguyeãn Khaéc Haûi</v>
          </cell>
          <cell r="C224" t="str">
            <v>CK.V/h</v>
          </cell>
          <cell r="D224">
            <v>152</v>
          </cell>
          <cell r="E224">
            <v>26</v>
          </cell>
          <cell r="F224">
            <v>27</v>
          </cell>
          <cell r="G224">
            <v>25</v>
          </cell>
          <cell r="H224">
            <v>27</v>
          </cell>
          <cell r="I224">
            <v>26</v>
          </cell>
          <cell r="J224">
            <v>26</v>
          </cell>
          <cell r="K224">
            <v>157</v>
          </cell>
          <cell r="L224">
            <v>309</v>
          </cell>
          <cell r="M224">
            <v>1.25</v>
          </cell>
          <cell r="N224" t="str">
            <v>Xuaát saéc</v>
          </cell>
          <cell r="O224">
            <v>1.6</v>
          </cell>
        </row>
        <row r="225">
          <cell r="B225" t="str">
            <v>Leâ Minh  Ñöùc</v>
          </cell>
          <cell r="C225" t="str">
            <v>TT.Khoan</v>
          </cell>
          <cell r="D225">
            <v>152</v>
          </cell>
          <cell r="E225">
            <v>25</v>
          </cell>
          <cell r="F225">
            <v>27</v>
          </cell>
          <cell r="G225">
            <v>25</v>
          </cell>
          <cell r="H225">
            <v>27</v>
          </cell>
          <cell r="I225">
            <v>26</v>
          </cell>
          <cell r="J225">
            <v>26</v>
          </cell>
          <cell r="K225">
            <v>156</v>
          </cell>
          <cell r="L225">
            <v>308</v>
          </cell>
          <cell r="M225">
            <v>1.35</v>
          </cell>
          <cell r="N225" t="str">
            <v>A</v>
          </cell>
          <cell r="O225">
            <v>1.4</v>
          </cell>
        </row>
        <row r="226">
          <cell r="B226" t="str">
            <v>Giang Vaên Tónh</v>
          </cell>
          <cell r="C226" t="str">
            <v>Thôï khoan</v>
          </cell>
          <cell r="D226">
            <v>151</v>
          </cell>
          <cell r="E226">
            <v>26</v>
          </cell>
          <cell r="F226">
            <v>27</v>
          </cell>
          <cell r="G226">
            <v>25</v>
          </cell>
          <cell r="H226">
            <v>27</v>
          </cell>
          <cell r="I226">
            <v>26</v>
          </cell>
          <cell r="J226">
            <v>26</v>
          </cell>
          <cell r="K226">
            <v>157</v>
          </cell>
          <cell r="L226">
            <v>308</v>
          </cell>
          <cell r="M226">
            <v>1.3</v>
          </cell>
          <cell r="N226" t="str">
            <v>A</v>
          </cell>
          <cell r="O226">
            <v>1.4</v>
          </cell>
        </row>
        <row r="227">
          <cell r="B227" t="str">
            <v>Trình Xuaân Baûng</v>
          </cell>
          <cell r="C227" t="str">
            <v>"</v>
          </cell>
          <cell r="D227">
            <v>153</v>
          </cell>
          <cell r="E227">
            <v>26</v>
          </cell>
          <cell r="F227">
            <v>27</v>
          </cell>
          <cell r="G227">
            <v>25</v>
          </cell>
          <cell r="H227">
            <v>27</v>
          </cell>
          <cell r="I227">
            <v>26</v>
          </cell>
          <cell r="J227">
            <v>26</v>
          </cell>
          <cell r="K227">
            <v>157</v>
          </cell>
          <cell r="L227">
            <v>310</v>
          </cell>
          <cell r="M227">
            <v>1.3</v>
          </cell>
          <cell r="N227" t="str">
            <v>Xuaát saéc</v>
          </cell>
          <cell r="O227">
            <v>1.6</v>
          </cell>
        </row>
        <row r="228">
          <cell r="B228" t="str">
            <v>Buøi Trung Tuaán</v>
          </cell>
          <cell r="C228" t="str">
            <v>"</v>
          </cell>
          <cell r="D228">
            <v>151</v>
          </cell>
          <cell r="E228">
            <v>25</v>
          </cell>
          <cell r="F228">
            <v>27</v>
          </cell>
          <cell r="G228">
            <v>25</v>
          </cell>
          <cell r="H228">
            <v>27</v>
          </cell>
          <cell r="I228">
            <v>26</v>
          </cell>
          <cell r="J228">
            <v>26</v>
          </cell>
          <cell r="K228">
            <v>156</v>
          </cell>
          <cell r="L228">
            <v>307</v>
          </cell>
          <cell r="M228">
            <v>1.3</v>
          </cell>
          <cell r="N228" t="str">
            <v>A</v>
          </cell>
          <cell r="O228">
            <v>1.4</v>
          </cell>
        </row>
        <row r="229">
          <cell r="B229" t="str">
            <v>Phaïm Ngoïc Sôn</v>
          </cell>
          <cell r="C229" t="str">
            <v>"</v>
          </cell>
          <cell r="D229">
            <v>151</v>
          </cell>
          <cell r="E229">
            <v>25</v>
          </cell>
          <cell r="F229">
            <v>27</v>
          </cell>
          <cell r="G229">
            <v>25</v>
          </cell>
          <cell r="H229">
            <v>27</v>
          </cell>
          <cell r="I229">
            <v>26</v>
          </cell>
          <cell r="J229">
            <v>26</v>
          </cell>
          <cell r="K229">
            <v>156</v>
          </cell>
          <cell r="L229">
            <v>307</v>
          </cell>
          <cell r="M229">
            <v>1.3</v>
          </cell>
          <cell r="N229" t="str">
            <v>A</v>
          </cell>
          <cell r="O229">
            <v>1.4</v>
          </cell>
        </row>
        <row r="230">
          <cell r="B230" t="str">
            <v>Ng. Ñình Nguyeân</v>
          </cell>
          <cell r="C230" t="str">
            <v>"</v>
          </cell>
          <cell r="D230">
            <v>151</v>
          </cell>
          <cell r="E230">
            <v>26</v>
          </cell>
          <cell r="F230">
            <v>27</v>
          </cell>
          <cell r="G230">
            <v>25</v>
          </cell>
          <cell r="H230">
            <v>27</v>
          </cell>
          <cell r="I230">
            <v>26</v>
          </cell>
          <cell r="J230">
            <v>26</v>
          </cell>
          <cell r="K230">
            <v>157</v>
          </cell>
          <cell r="L230">
            <v>308</v>
          </cell>
          <cell r="M230">
            <v>1.3</v>
          </cell>
          <cell r="N230" t="str">
            <v>A</v>
          </cell>
          <cell r="O230">
            <v>1.4</v>
          </cell>
        </row>
        <row r="231">
          <cell r="B231" t="str">
            <v>Laïi Vaên Huyeân</v>
          </cell>
          <cell r="C231" t="str">
            <v>TT Pha boå</v>
          </cell>
          <cell r="D231">
            <v>152</v>
          </cell>
          <cell r="E231">
            <v>26</v>
          </cell>
          <cell r="F231">
            <v>27</v>
          </cell>
          <cell r="G231">
            <v>25</v>
          </cell>
          <cell r="H231">
            <v>27</v>
          </cell>
          <cell r="I231">
            <v>26</v>
          </cell>
          <cell r="J231">
            <v>26</v>
          </cell>
          <cell r="K231">
            <v>157</v>
          </cell>
          <cell r="L231">
            <v>309</v>
          </cell>
          <cell r="M231">
            <v>1.2</v>
          </cell>
          <cell r="N231" t="str">
            <v>Xuaát saéc</v>
          </cell>
          <cell r="O231">
            <v>1.6</v>
          </cell>
        </row>
        <row r="232">
          <cell r="B232" t="str">
            <v>Nguyeãn vaên Chaët</v>
          </cell>
          <cell r="C232" t="str">
            <v>CN Pha boå</v>
          </cell>
          <cell r="D232">
            <v>140</v>
          </cell>
          <cell r="E232">
            <v>22</v>
          </cell>
          <cell r="F232">
            <v>22</v>
          </cell>
          <cell r="G232">
            <v>23</v>
          </cell>
          <cell r="H232">
            <v>27</v>
          </cell>
          <cell r="I232">
            <v>23</v>
          </cell>
          <cell r="J232">
            <v>26</v>
          </cell>
          <cell r="K232">
            <v>143</v>
          </cell>
          <cell r="L232">
            <v>283</v>
          </cell>
          <cell r="M232">
            <v>1.1499999999999999</v>
          </cell>
          <cell r="N232" t="str">
            <v>B</v>
          </cell>
          <cell r="O232">
            <v>1.2</v>
          </cell>
        </row>
        <row r="233">
          <cell r="B233" t="str">
            <v>Chaâu Thanh Lieâm</v>
          </cell>
          <cell r="C233" t="str">
            <v>"</v>
          </cell>
          <cell r="D233">
            <v>151</v>
          </cell>
          <cell r="E233">
            <v>25</v>
          </cell>
          <cell r="F233">
            <v>19</v>
          </cell>
          <cell r="G233">
            <v>25</v>
          </cell>
          <cell r="H233">
            <v>27</v>
          </cell>
          <cell r="I233">
            <v>26</v>
          </cell>
          <cell r="J233">
            <v>26</v>
          </cell>
          <cell r="K233">
            <v>148</v>
          </cell>
          <cell r="L233">
            <v>299</v>
          </cell>
          <cell r="M233">
            <v>1.1499999999999999</v>
          </cell>
          <cell r="N233" t="str">
            <v>A</v>
          </cell>
          <cell r="O233">
            <v>1.4</v>
          </cell>
        </row>
        <row r="234">
          <cell r="B234" t="str">
            <v>Ong Döông Haûi</v>
          </cell>
          <cell r="C234" t="str">
            <v>"</v>
          </cell>
          <cell r="D234">
            <v>151</v>
          </cell>
          <cell r="E234">
            <v>24</v>
          </cell>
          <cell r="F234">
            <v>25</v>
          </cell>
          <cell r="G234">
            <v>25</v>
          </cell>
          <cell r="H234">
            <v>20</v>
          </cell>
          <cell r="I234">
            <v>26</v>
          </cell>
          <cell r="J234">
            <v>26</v>
          </cell>
          <cell r="K234">
            <v>146</v>
          </cell>
          <cell r="L234">
            <v>297</v>
          </cell>
          <cell r="M234">
            <v>1.1499999999999999</v>
          </cell>
          <cell r="N234" t="str">
            <v>A</v>
          </cell>
          <cell r="O234">
            <v>1.4</v>
          </cell>
        </row>
        <row r="235">
          <cell r="B235" t="str">
            <v>Lyù Vaên Thaønh</v>
          </cell>
          <cell r="C235" t="str">
            <v>"</v>
          </cell>
          <cell r="D235">
            <v>151</v>
          </cell>
          <cell r="E235">
            <v>23</v>
          </cell>
          <cell r="F235">
            <v>26</v>
          </cell>
          <cell r="G235">
            <v>25</v>
          </cell>
          <cell r="H235">
            <v>27</v>
          </cell>
          <cell r="I235">
            <v>26</v>
          </cell>
          <cell r="J235">
            <v>25</v>
          </cell>
          <cell r="K235">
            <v>152</v>
          </cell>
          <cell r="L235">
            <v>303</v>
          </cell>
          <cell r="M235">
            <v>1.1499999999999999</v>
          </cell>
          <cell r="N235" t="str">
            <v>A</v>
          </cell>
          <cell r="O235">
            <v>1.4</v>
          </cell>
        </row>
        <row r="236">
          <cell r="B236" t="str">
            <v>Danh Chung</v>
          </cell>
          <cell r="C236" t="str">
            <v>"</v>
          </cell>
          <cell r="D236">
            <v>145</v>
          </cell>
          <cell r="E236">
            <v>23</v>
          </cell>
          <cell r="F236">
            <v>27</v>
          </cell>
          <cell r="G236">
            <v>25</v>
          </cell>
          <cell r="H236">
            <v>27</v>
          </cell>
          <cell r="I236">
            <v>26</v>
          </cell>
          <cell r="J236">
            <v>26</v>
          </cell>
          <cell r="K236">
            <v>154</v>
          </cell>
          <cell r="L236">
            <v>299</v>
          </cell>
          <cell r="M236">
            <v>1.1499999999999999</v>
          </cell>
          <cell r="N236" t="str">
            <v>A</v>
          </cell>
          <cell r="O236">
            <v>1.4</v>
          </cell>
        </row>
        <row r="237">
          <cell r="B237" t="str">
            <v>Laïi Vaên Tình</v>
          </cell>
          <cell r="C237" t="str">
            <v>"</v>
          </cell>
          <cell r="D237">
            <v>151</v>
          </cell>
          <cell r="E237">
            <v>26</v>
          </cell>
          <cell r="F237">
            <v>27</v>
          </cell>
          <cell r="G237">
            <v>25</v>
          </cell>
          <cell r="H237">
            <v>27</v>
          </cell>
          <cell r="I237">
            <v>26</v>
          </cell>
          <cell r="J237">
            <v>26</v>
          </cell>
          <cell r="K237">
            <v>157</v>
          </cell>
          <cell r="L237">
            <v>308</v>
          </cell>
          <cell r="M237">
            <v>1.1499999999999999</v>
          </cell>
          <cell r="N237" t="str">
            <v>A</v>
          </cell>
          <cell r="O237">
            <v>1.4</v>
          </cell>
        </row>
        <row r="238">
          <cell r="B238" t="str">
            <v>Danh Xuaân</v>
          </cell>
          <cell r="C238" t="str">
            <v>"</v>
          </cell>
          <cell r="D238">
            <v>151</v>
          </cell>
          <cell r="E238">
            <v>24</v>
          </cell>
          <cell r="F238">
            <v>27</v>
          </cell>
          <cell r="G238">
            <v>25</v>
          </cell>
          <cell r="H238">
            <v>27</v>
          </cell>
          <cell r="I238">
            <v>26</v>
          </cell>
          <cell r="J238">
            <v>26</v>
          </cell>
          <cell r="K238">
            <v>155</v>
          </cell>
          <cell r="L238">
            <v>306</v>
          </cell>
          <cell r="M238">
            <v>1.1499999999999999</v>
          </cell>
          <cell r="N238" t="str">
            <v>A</v>
          </cell>
          <cell r="O238">
            <v>1.4</v>
          </cell>
        </row>
        <row r="239">
          <cell r="B239" t="str">
            <v>Höùa Vaên Meán</v>
          </cell>
          <cell r="C239" t="str">
            <v>"</v>
          </cell>
          <cell r="D239">
            <v>151</v>
          </cell>
          <cell r="E239">
            <v>24</v>
          </cell>
          <cell r="F239">
            <v>27</v>
          </cell>
          <cell r="G239">
            <v>25</v>
          </cell>
          <cell r="H239">
            <v>27</v>
          </cell>
          <cell r="I239">
            <v>26</v>
          </cell>
          <cell r="J239">
            <v>26</v>
          </cell>
          <cell r="K239">
            <v>155</v>
          </cell>
          <cell r="L239">
            <v>306</v>
          </cell>
          <cell r="M239">
            <v>1.1499999999999999</v>
          </cell>
          <cell r="N239" t="str">
            <v>A</v>
          </cell>
          <cell r="O239">
            <v>1.4</v>
          </cell>
        </row>
        <row r="240">
          <cell r="B240" t="str">
            <v>Du  Kim Thaønh</v>
          </cell>
          <cell r="C240" t="str">
            <v>"</v>
          </cell>
          <cell r="D240">
            <v>151</v>
          </cell>
          <cell r="E240">
            <v>26</v>
          </cell>
          <cell r="F240">
            <v>27</v>
          </cell>
          <cell r="G240">
            <v>25</v>
          </cell>
          <cell r="H240">
            <v>27</v>
          </cell>
          <cell r="I240">
            <v>26</v>
          </cell>
          <cell r="J240">
            <v>26</v>
          </cell>
          <cell r="K240">
            <v>157</v>
          </cell>
          <cell r="L240">
            <v>308</v>
          </cell>
          <cell r="M240">
            <v>1.1499999999999999</v>
          </cell>
          <cell r="N240" t="str">
            <v>A</v>
          </cell>
          <cell r="O240">
            <v>1.4</v>
          </cell>
          <cell r="Q240" t="str">
            <v>( + 7 coâng oùm)</v>
          </cell>
        </row>
        <row r="241">
          <cell r="B241" t="str">
            <v>Döông Vaên Tuaán</v>
          </cell>
          <cell r="C241" t="str">
            <v>CN</v>
          </cell>
          <cell r="D241">
            <v>153</v>
          </cell>
          <cell r="E241">
            <v>25</v>
          </cell>
          <cell r="F241">
            <v>27</v>
          </cell>
          <cell r="G241">
            <v>25</v>
          </cell>
          <cell r="H241">
            <v>27</v>
          </cell>
          <cell r="I241">
            <v>26</v>
          </cell>
          <cell r="J241">
            <v>26</v>
          </cell>
          <cell r="K241">
            <v>156</v>
          </cell>
          <cell r="L241">
            <v>309</v>
          </cell>
          <cell r="M241">
            <v>1.1499999999999999</v>
          </cell>
          <cell r="N241" t="str">
            <v>A</v>
          </cell>
          <cell r="O241">
            <v>1.4</v>
          </cell>
        </row>
        <row r="242">
          <cell r="B242" t="str">
            <v>Hoà Vaên Em</v>
          </cell>
          <cell r="C242" t="str">
            <v>"</v>
          </cell>
          <cell r="D242">
            <v>151</v>
          </cell>
          <cell r="E242">
            <v>26</v>
          </cell>
          <cell r="F242">
            <v>27</v>
          </cell>
          <cell r="G242">
            <v>25</v>
          </cell>
          <cell r="H242">
            <v>27</v>
          </cell>
          <cell r="I242">
            <v>25</v>
          </cell>
          <cell r="J242">
            <v>26</v>
          </cell>
          <cell r="K242">
            <v>156</v>
          </cell>
          <cell r="L242">
            <v>307</v>
          </cell>
          <cell r="M242">
            <v>1.1499999999999999</v>
          </cell>
          <cell r="N242" t="str">
            <v>A</v>
          </cell>
          <cell r="O242">
            <v>1.4</v>
          </cell>
        </row>
        <row r="243">
          <cell r="B243" t="str">
            <v>Cao Hoaøi Thanh</v>
          </cell>
          <cell r="C243" t="str">
            <v>"</v>
          </cell>
          <cell r="D243">
            <v>151</v>
          </cell>
          <cell r="E243">
            <v>26</v>
          </cell>
          <cell r="F243">
            <v>27</v>
          </cell>
          <cell r="G243">
            <v>25</v>
          </cell>
          <cell r="H243">
            <v>27</v>
          </cell>
          <cell r="I243">
            <v>26</v>
          </cell>
          <cell r="J243">
            <v>26</v>
          </cell>
          <cell r="K243">
            <v>157</v>
          </cell>
          <cell r="L243">
            <v>308</v>
          </cell>
          <cell r="M243">
            <v>1.1499999999999999</v>
          </cell>
          <cell r="N243" t="str">
            <v>A</v>
          </cell>
          <cell r="O243">
            <v>1.4</v>
          </cell>
        </row>
        <row r="244">
          <cell r="B244" t="str">
            <v>Höùa Vaên Sao</v>
          </cell>
          <cell r="C244" t="str">
            <v>"</v>
          </cell>
          <cell r="D244">
            <v>151</v>
          </cell>
          <cell r="E244">
            <v>25</v>
          </cell>
          <cell r="F244">
            <v>27</v>
          </cell>
          <cell r="G244">
            <v>25</v>
          </cell>
          <cell r="H244">
            <v>27</v>
          </cell>
          <cell r="I244">
            <v>26</v>
          </cell>
          <cell r="J244">
            <v>26</v>
          </cell>
          <cell r="K244">
            <v>156</v>
          </cell>
          <cell r="L244">
            <v>307</v>
          </cell>
          <cell r="M244">
            <v>1.1499999999999999</v>
          </cell>
          <cell r="N244" t="str">
            <v>A</v>
          </cell>
          <cell r="O244">
            <v>1.4</v>
          </cell>
        </row>
        <row r="245">
          <cell r="B245" t="str">
            <v>Trònh Xuaân Tröôûng</v>
          </cell>
          <cell r="C245" t="str">
            <v>"</v>
          </cell>
          <cell r="D245">
            <v>150</v>
          </cell>
          <cell r="E245">
            <v>25</v>
          </cell>
          <cell r="F245">
            <v>27</v>
          </cell>
          <cell r="G245">
            <v>25</v>
          </cell>
          <cell r="H245">
            <v>27</v>
          </cell>
          <cell r="I245">
            <v>26</v>
          </cell>
          <cell r="J245">
            <v>25</v>
          </cell>
          <cell r="K245">
            <v>155</v>
          </cell>
          <cell r="L245">
            <v>305</v>
          </cell>
          <cell r="M245">
            <v>1.1499999999999999</v>
          </cell>
          <cell r="N245" t="str">
            <v>B</v>
          </cell>
          <cell r="O245">
            <v>1.2</v>
          </cell>
        </row>
        <row r="246">
          <cell r="B246" t="str">
            <v>Döông Phuùc Ñaït</v>
          </cell>
          <cell r="C246" t="str">
            <v>"</v>
          </cell>
          <cell r="D246">
            <v>141</v>
          </cell>
          <cell r="E246">
            <v>25</v>
          </cell>
          <cell r="F246">
            <v>27</v>
          </cell>
          <cell r="G246">
            <v>25</v>
          </cell>
          <cell r="H246">
            <v>23</v>
          </cell>
          <cell r="I246">
            <v>26</v>
          </cell>
          <cell r="J246">
            <v>26</v>
          </cell>
          <cell r="K246">
            <v>152</v>
          </cell>
          <cell r="L246">
            <v>293</v>
          </cell>
          <cell r="M246">
            <v>1.1499999999999999</v>
          </cell>
          <cell r="N246" t="str">
            <v>Xuaát saéc</v>
          </cell>
          <cell r="O246">
            <v>1.6</v>
          </cell>
        </row>
        <row r="247">
          <cell r="B247" t="str">
            <v>Nguyeãn Vaên Thaéng</v>
          </cell>
          <cell r="C247" t="str">
            <v>B.Veä</v>
          </cell>
          <cell r="D247">
            <v>151</v>
          </cell>
          <cell r="E247">
            <v>26</v>
          </cell>
          <cell r="F247">
            <v>27</v>
          </cell>
          <cell r="G247">
            <v>25</v>
          </cell>
          <cell r="H247">
            <v>27</v>
          </cell>
          <cell r="I247">
            <v>15</v>
          </cell>
          <cell r="J247">
            <v>19</v>
          </cell>
          <cell r="K247">
            <v>139</v>
          </cell>
          <cell r="L247">
            <v>290</v>
          </cell>
          <cell r="M247">
            <v>0.95</v>
          </cell>
          <cell r="N247" t="str">
            <v>A</v>
          </cell>
          <cell r="O247">
            <v>1.4</v>
          </cell>
          <cell r="Q247" t="str">
            <v>Pheùp naêm</v>
          </cell>
        </row>
        <row r="248">
          <cell r="B248" t="str">
            <v>Traàn Thuaän Phong</v>
          </cell>
          <cell r="C248" t="str">
            <v>B.Veä</v>
          </cell>
          <cell r="D248">
            <v>153</v>
          </cell>
          <cell r="E248">
            <v>26</v>
          </cell>
          <cell r="F248">
            <v>27</v>
          </cell>
          <cell r="G248">
            <v>25</v>
          </cell>
          <cell r="H248">
            <v>27</v>
          </cell>
          <cell r="I248">
            <v>26</v>
          </cell>
          <cell r="J248">
            <v>26</v>
          </cell>
          <cell r="K248">
            <v>157</v>
          </cell>
          <cell r="L248">
            <v>310</v>
          </cell>
          <cell r="M248">
            <v>0.95</v>
          </cell>
          <cell r="N248" t="str">
            <v>A</v>
          </cell>
          <cell r="O248">
            <v>1.4</v>
          </cell>
        </row>
        <row r="249">
          <cell r="B249" t="str">
            <v>Leâ Vaên Quyeát</v>
          </cell>
          <cell r="C249" t="str">
            <v>B.Veä</v>
          </cell>
          <cell r="D249">
            <v>153</v>
          </cell>
          <cell r="E249">
            <v>26</v>
          </cell>
          <cell r="F249">
            <v>27</v>
          </cell>
          <cell r="G249">
            <v>25</v>
          </cell>
          <cell r="H249">
            <v>26</v>
          </cell>
          <cell r="I249">
            <v>26</v>
          </cell>
          <cell r="J249">
            <v>26</v>
          </cell>
          <cell r="K249">
            <v>156</v>
          </cell>
          <cell r="L249">
            <v>309</v>
          </cell>
          <cell r="M249">
            <v>0.95</v>
          </cell>
          <cell r="N249" t="str">
            <v>A</v>
          </cell>
          <cell r="O249">
            <v>1.4</v>
          </cell>
        </row>
        <row r="250">
          <cell r="B250" t="str">
            <v xml:space="preserve">Vuõ Ñình Thaønh </v>
          </cell>
          <cell r="C250" t="str">
            <v>B.Veä</v>
          </cell>
          <cell r="D250">
            <v>153</v>
          </cell>
          <cell r="E250">
            <v>26</v>
          </cell>
          <cell r="F250">
            <v>27</v>
          </cell>
          <cell r="G250">
            <v>25</v>
          </cell>
          <cell r="H250">
            <v>26</v>
          </cell>
          <cell r="I250">
            <v>26</v>
          </cell>
          <cell r="J250">
            <v>26</v>
          </cell>
          <cell r="K250">
            <v>156</v>
          </cell>
          <cell r="L250">
            <v>309</v>
          </cell>
          <cell r="M250">
            <v>0.95</v>
          </cell>
          <cell r="N250" t="str">
            <v>B</v>
          </cell>
          <cell r="O250">
            <v>1.2</v>
          </cell>
        </row>
        <row r="251">
          <cell r="B251" t="str">
            <v>Leâ Thò Kim Loan</v>
          </cell>
          <cell r="C251" t="str">
            <v>P.Vuï</v>
          </cell>
          <cell r="D251">
            <v>151</v>
          </cell>
          <cell r="E251">
            <v>26</v>
          </cell>
          <cell r="F251">
            <v>27</v>
          </cell>
          <cell r="G251">
            <v>25</v>
          </cell>
          <cell r="H251">
            <v>27</v>
          </cell>
          <cell r="I251">
            <v>26</v>
          </cell>
          <cell r="J251">
            <v>26</v>
          </cell>
          <cell r="K251">
            <v>157</v>
          </cell>
          <cell r="L251">
            <v>308</v>
          </cell>
          <cell r="M251">
            <v>0.9</v>
          </cell>
          <cell r="N251" t="str">
            <v>Xuaát saéc</v>
          </cell>
          <cell r="O251">
            <v>1.6</v>
          </cell>
        </row>
        <row r="252">
          <cell r="B252" t="str">
            <v>Coäng:</v>
          </cell>
        </row>
        <row r="254">
          <cell r="B254" t="str">
            <v>*Ñeà nghò Hoäi ñoàng xeùt</v>
          </cell>
          <cell r="Q254" t="str">
            <v>Ngöôøi laäp</v>
          </cell>
        </row>
        <row r="257">
          <cell r="B257" t="str">
            <v>Keát quaû bình xeùt :</v>
          </cell>
        </row>
        <row r="258">
          <cell r="B258" t="str">
            <v xml:space="preserve"> - Tröôûng, phoù boä phaän =</v>
          </cell>
          <cell r="C258">
            <v>1</v>
          </cell>
          <cell r="D258" t="str">
            <v xml:space="preserve"> (Boán)</v>
          </cell>
        </row>
        <row r="259">
          <cell r="B259" t="str">
            <v xml:space="preserve"> - Loaïi xuaát saéc             =</v>
          </cell>
          <cell r="C259">
            <v>6</v>
          </cell>
          <cell r="D259" t="str">
            <v xml:space="preserve"> (Haûi; Baûng; Huyeân; Ñaït;Loan)</v>
          </cell>
        </row>
        <row r="260">
          <cell r="B260" t="str">
            <v xml:space="preserve"> - Loaïi A                        =</v>
          </cell>
          <cell r="C260">
            <v>22</v>
          </cell>
        </row>
        <row r="261">
          <cell r="B261" t="str">
            <v xml:space="preserve"> - Loaïi B                        =</v>
          </cell>
          <cell r="C261">
            <v>3</v>
          </cell>
          <cell r="D261" t="str">
            <v>(Chaët;Tröôûng;Thaønh)</v>
          </cell>
        </row>
        <row r="262">
          <cell r="B262" t="str">
            <v xml:space="preserve"> - Loaïi C                        =</v>
          </cell>
          <cell r="C262">
            <v>0</v>
          </cell>
        </row>
        <row r="263">
          <cell r="B263" t="str">
            <v xml:space="preserve"> - Khoâng xeùt                  =</v>
          </cell>
          <cell r="C263">
            <v>0</v>
          </cell>
        </row>
        <row r="264">
          <cell r="B264" t="str">
            <v>Coäng:</v>
          </cell>
          <cell r="C264">
            <v>32</v>
          </cell>
        </row>
        <row r="273">
          <cell r="B273" t="str">
            <v xml:space="preserve">                                                          BAÛNG TOÅNG HÔÏP NGAØY COÂNG NAÊM 2001</v>
          </cell>
        </row>
        <row r="275">
          <cell r="B275" t="str">
            <v>HOÏ VAØ TEÂN</v>
          </cell>
          <cell r="C275" t="str">
            <v>Chöùc vuï</v>
          </cell>
          <cell r="D275" t="str">
            <v>NC. 6T ñaàu naêm</v>
          </cell>
          <cell r="E275" t="str">
            <v>Ngaøy coâng 6 thaùng cuoái naêm</v>
          </cell>
          <cell r="L275" t="str">
            <v>Toång NC caû naêm</v>
          </cell>
          <cell r="M275" t="str">
            <v>HSCV</v>
          </cell>
          <cell r="N275" t="str">
            <v>Xeáp loaïi    A-B-C</v>
          </cell>
          <cell r="O275" t="str">
            <v>Xeáp loaïi HS</v>
          </cell>
          <cell r="P275" t="str">
            <v>XL.Xuaát saéc</v>
          </cell>
          <cell r="Q275" t="str">
            <v>Ghi chuù</v>
          </cell>
        </row>
        <row r="276">
          <cell r="E276">
            <v>7</v>
          </cell>
          <cell r="F276">
            <v>8</v>
          </cell>
          <cell r="G276">
            <v>9</v>
          </cell>
          <cell r="H276">
            <v>10</v>
          </cell>
          <cell r="I276">
            <v>11</v>
          </cell>
          <cell r="J276">
            <v>12</v>
          </cell>
          <cell r="K276" t="str">
            <v>Coäng</v>
          </cell>
        </row>
        <row r="277">
          <cell r="B277" t="str">
            <v>Phaïm Minh Taâm</v>
          </cell>
          <cell r="C277" t="str">
            <v>TP</v>
          </cell>
          <cell r="D277">
            <v>153</v>
          </cell>
          <cell r="E277">
            <v>26</v>
          </cell>
          <cell r="F277">
            <v>27</v>
          </cell>
          <cell r="G277">
            <v>25</v>
          </cell>
          <cell r="H277">
            <v>27</v>
          </cell>
          <cell r="I277">
            <v>26</v>
          </cell>
          <cell r="J277">
            <v>26</v>
          </cell>
          <cell r="K277">
            <v>157</v>
          </cell>
          <cell r="L277">
            <v>310</v>
          </cell>
          <cell r="M277">
            <v>1.75</v>
          </cell>
          <cell r="N277" t="str">
            <v>Xuaát saéc</v>
          </cell>
          <cell r="O277">
            <v>1.6</v>
          </cell>
        </row>
        <row r="278">
          <cell r="B278" t="str">
            <v>Traàn Tuaán Vieät</v>
          </cell>
          <cell r="C278" t="str">
            <v>PP</v>
          </cell>
          <cell r="D278">
            <v>153</v>
          </cell>
          <cell r="E278">
            <v>26</v>
          </cell>
          <cell r="F278">
            <v>27</v>
          </cell>
          <cell r="G278">
            <v>25</v>
          </cell>
          <cell r="H278">
            <v>27</v>
          </cell>
          <cell r="I278">
            <v>26</v>
          </cell>
          <cell r="J278">
            <v>26</v>
          </cell>
          <cell r="K278">
            <v>157</v>
          </cell>
          <cell r="L278">
            <v>310</v>
          </cell>
          <cell r="M278">
            <v>1.6</v>
          </cell>
          <cell r="N278" t="str">
            <v>Xuaát saéc</v>
          </cell>
          <cell r="O278">
            <v>1.6</v>
          </cell>
        </row>
        <row r="279">
          <cell r="B279" t="str">
            <v>Traàn Thò Lan Höông</v>
          </cell>
          <cell r="C279" t="str">
            <v>PP</v>
          </cell>
          <cell r="D279">
            <v>153</v>
          </cell>
          <cell r="E279">
            <v>26</v>
          </cell>
          <cell r="F279">
            <v>27</v>
          </cell>
          <cell r="G279">
            <v>25</v>
          </cell>
          <cell r="H279">
            <v>27</v>
          </cell>
          <cell r="I279">
            <v>26</v>
          </cell>
          <cell r="J279">
            <v>26</v>
          </cell>
          <cell r="K279">
            <v>157</v>
          </cell>
          <cell r="L279">
            <v>310</v>
          </cell>
          <cell r="M279">
            <v>1.6</v>
          </cell>
          <cell r="N279" t="str">
            <v>Xuaát saéc</v>
          </cell>
          <cell r="O279">
            <v>1.6</v>
          </cell>
        </row>
        <row r="280">
          <cell r="B280" t="str">
            <v>Ñoã Phöôùc Hieáu</v>
          </cell>
          <cell r="C280" t="str">
            <v>TK</v>
          </cell>
          <cell r="D280">
            <v>151</v>
          </cell>
          <cell r="E280">
            <v>26</v>
          </cell>
          <cell r="F280">
            <v>23</v>
          </cell>
          <cell r="G280">
            <v>25</v>
          </cell>
          <cell r="H280">
            <v>27</v>
          </cell>
          <cell r="I280">
            <v>26</v>
          </cell>
          <cell r="J280">
            <v>26</v>
          </cell>
          <cell r="K280">
            <v>153</v>
          </cell>
          <cell r="L280">
            <v>304</v>
          </cell>
          <cell r="M280">
            <v>1.25</v>
          </cell>
          <cell r="N280" t="str">
            <v>Xuaát saéc</v>
          </cell>
          <cell r="O280">
            <v>1.6</v>
          </cell>
        </row>
        <row r="281">
          <cell r="B281" t="str">
            <v>Traàn Thò Thaïch</v>
          </cell>
          <cell r="C281" t="str">
            <v>TT</v>
          </cell>
          <cell r="D281">
            <v>153</v>
          </cell>
          <cell r="E281">
            <v>26</v>
          </cell>
          <cell r="F281">
            <v>27</v>
          </cell>
          <cell r="G281">
            <v>26</v>
          </cell>
          <cell r="H281">
            <v>26</v>
          </cell>
          <cell r="I281">
            <v>26</v>
          </cell>
          <cell r="J281">
            <v>26</v>
          </cell>
          <cell r="K281">
            <v>157</v>
          </cell>
          <cell r="L281">
            <v>310</v>
          </cell>
          <cell r="M281">
            <v>1.31</v>
          </cell>
          <cell r="N281" t="str">
            <v>Xuaát saéc</v>
          </cell>
          <cell r="O281">
            <v>1.6</v>
          </cell>
        </row>
        <row r="282">
          <cell r="B282" t="str">
            <v>Nguyeãn Thò Hoàng</v>
          </cell>
          <cell r="D282">
            <v>139</v>
          </cell>
          <cell r="E282">
            <v>26</v>
          </cell>
          <cell r="F282">
            <v>27</v>
          </cell>
          <cell r="G282">
            <v>25</v>
          </cell>
          <cell r="H282">
            <v>26</v>
          </cell>
          <cell r="I282">
            <v>26</v>
          </cell>
          <cell r="J282">
            <v>26</v>
          </cell>
          <cell r="K282">
            <v>156</v>
          </cell>
          <cell r="L282">
            <v>295</v>
          </cell>
          <cell r="M282">
            <v>1.26</v>
          </cell>
          <cell r="N282" t="str">
            <v>A</v>
          </cell>
          <cell r="O282">
            <v>1.4</v>
          </cell>
        </row>
        <row r="283">
          <cell r="B283" t="str">
            <v>Taï Thò Hieàn</v>
          </cell>
          <cell r="D283">
            <v>153</v>
          </cell>
          <cell r="E283">
            <v>26</v>
          </cell>
          <cell r="F283">
            <v>27</v>
          </cell>
          <cell r="G283">
            <v>25</v>
          </cell>
          <cell r="H283">
            <v>24</v>
          </cell>
          <cell r="I283">
            <v>23</v>
          </cell>
          <cell r="J283">
            <v>25</v>
          </cell>
          <cell r="K283">
            <v>150</v>
          </cell>
          <cell r="L283">
            <v>303</v>
          </cell>
          <cell r="M283">
            <v>1.26</v>
          </cell>
          <cell r="N283" t="str">
            <v>A</v>
          </cell>
          <cell r="O283">
            <v>1.4</v>
          </cell>
        </row>
        <row r="284">
          <cell r="B284" t="str">
            <v>Traàn Thò Hoàng Vaân</v>
          </cell>
          <cell r="D284">
            <v>134</v>
          </cell>
          <cell r="E284">
            <v>0</v>
          </cell>
          <cell r="F284">
            <v>0</v>
          </cell>
          <cell r="G284">
            <v>0</v>
          </cell>
          <cell r="H284">
            <v>19</v>
          </cell>
          <cell r="I284">
            <v>24</v>
          </cell>
          <cell r="J284">
            <v>26</v>
          </cell>
          <cell r="K284">
            <v>80</v>
          </cell>
          <cell r="L284">
            <v>214</v>
          </cell>
          <cell r="M284">
            <v>1.26</v>
          </cell>
          <cell r="N284" t="str">
            <v>A</v>
          </cell>
          <cell r="O284">
            <v>1.4</v>
          </cell>
          <cell r="Q284" t="str">
            <v>6thaùng ñaàu naêm ñaõ tính 19c TS (cuoái naêm coøn laïi +11c )</v>
          </cell>
        </row>
        <row r="285">
          <cell r="B285" t="str">
            <v>Nguyeãn Thanh Laâm</v>
          </cell>
          <cell r="D285">
            <v>151</v>
          </cell>
          <cell r="E285">
            <v>26</v>
          </cell>
          <cell r="F285">
            <v>27</v>
          </cell>
          <cell r="G285">
            <v>22</v>
          </cell>
          <cell r="H285">
            <v>26</v>
          </cell>
          <cell r="I285">
            <v>25</v>
          </cell>
          <cell r="J285">
            <v>26</v>
          </cell>
          <cell r="K285">
            <v>152</v>
          </cell>
          <cell r="L285">
            <v>303</v>
          </cell>
          <cell r="M285">
            <v>1.25</v>
          </cell>
          <cell r="N285" t="str">
            <v>B</v>
          </cell>
          <cell r="O285">
            <v>1.2</v>
          </cell>
        </row>
        <row r="286">
          <cell r="B286" t="str">
            <v>Leâ Vaên Theâm</v>
          </cell>
          <cell r="D286">
            <v>153</v>
          </cell>
          <cell r="E286">
            <v>26</v>
          </cell>
          <cell r="F286">
            <v>26</v>
          </cell>
          <cell r="G286">
            <v>24</v>
          </cell>
          <cell r="H286">
            <v>26</v>
          </cell>
          <cell r="I286">
            <v>25</v>
          </cell>
          <cell r="J286">
            <v>26</v>
          </cell>
          <cell r="K286">
            <v>153</v>
          </cell>
          <cell r="L286">
            <v>306</v>
          </cell>
          <cell r="M286">
            <v>1.26</v>
          </cell>
          <cell r="N286" t="str">
            <v>A</v>
          </cell>
          <cell r="O286">
            <v>1.4</v>
          </cell>
        </row>
        <row r="287">
          <cell r="B287" t="str">
            <v>Phan Hoàng Huyønh</v>
          </cell>
          <cell r="C287" t="str">
            <v>TT</v>
          </cell>
          <cell r="D287">
            <v>152</v>
          </cell>
          <cell r="E287">
            <v>26</v>
          </cell>
          <cell r="F287">
            <v>27</v>
          </cell>
          <cell r="G287">
            <v>26</v>
          </cell>
          <cell r="H287">
            <v>26</v>
          </cell>
          <cell r="I287">
            <v>16</v>
          </cell>
          <cell r="J287">
            <v>26</v>
          </cell>
          <cell r="K287">
            <v>147</v>
          </cell>
          <cell r="L287">
            <v>299</v>
          </cell>
          <cell r="M287">
            <v>1.2725</v>
          </cell>
          <cell r="N287" t="str">
            <v>Xuaát saéc</v>
          </cell>
          <cell r="O287">
            <v>1.6</v>
          </cell>
          <cell r="Q287" t="str">
            <v>HSCV tính BQ caû naêm</v>
          </cell>
        </row>
        <row r="288">
          <cell r="B288" t="str">
            <v>Ñinh Kieân Giang</v>
          </cell>
          <cell r="D288">
            <v>151</v>
          </cell>
          <cell r="E288">
            <v>26</v>
          </cell>
          <cell r="F288">
            <v>27</v>
          </cell>
          <cell r="G288">
            <v>26</v>
          </cell>
          <cell r="H288">
            <v>26</v>
          </cell>
          <cell r="I288">
            <v>25</v>
          </cell>
          <cell r="J288">
            <v>26</v>
          </cell>
          <cell r="K288">
            <v>156</v>
          </cell>
          <cell r="L288">
            <v>307</v>
          </cell>
          <cell r="M288">
            <v>1.25</v>
          </cell>
          <cell r="N288" t="str">
            <v>B</v>
          </cell>
          <cell r="O288">
            <v>1.2</v>
          </cell>
        </row>
        <row r="289">
          <cell r="B289" t="str">
            <v>Phuøng Minh Lyù</v>
          </cell>
          <cell r="D289">
            <v>156</v>
          </cell>
          <cell r="E289">
            <v>26</v>
          </cell>
          <cell r="F289">
            <v>27</v>
          </cell>
          <cell r="G289">
            <v>26</v>
          </cell>
          <cell r="H289">
            <v>24</v>
          </cell>
          <cell r="I289">
            <v>25</v>
          </cell>
          <cell r="J289">
            <v>26</v>
          </cell>
          <cell r="K289">
            <v>154</v>
          </cell>
          <cell r="L289">
            <v>310</v>
          </cell>
          <cell r="M289">
            <v>1.2875000000000001</v>
          </cell>
          <cell r="N289" t="str">
            <v>A</v>
          </cell>
          <cell r="O289">
            <v>1.4</v>
          </cell>
          <cell r="Q289" t="str">
            <v>HSCV tính BQ caû naêm</v>
          </cell>
        </row>
        <row r="290">
          <cell r="B290" t="str">
            <v>Trònh Myõ Trang</v>
          </cell>
          <cell r="D290">
            <v>148</v>
          </cell>
          <cell r="E290">
            <v>26</v>
          </cell>
          <cell r="F290">
            <v>27</v>
          </cell>
          <cell r="G290">
            <v>24</v>
          </cell>
          <cell r="H290">
            <v>26</v>
          </cell>
          <cell r="I290">
            <v>26</v>
          </cell>
          <cell r="J290">
            <v>26</v>
          </cell>
          <cell r="K290">
            <v>155</v>
          </cell>
          <cell r="L290">
            <v>303</v>
          </cell>
          <cell r="M290">
            <v>1.25</v>
          </cell>
          <cell r="N290" t="str">
            <v>A</v>
          </cell>
          <cell r="O290">
            <v>1.4</v>
          </cell>
        </row>
        <row r="291">
          <cell r="B291" t="str">
            <v>Traàn Duõng Thaéng</v>
          </cell>
          <cell r="D291">
            <v>156</v>
          </cell>
          <cell r="E291">
            <v>26</v>
          </cell>
          <cell r="F291">
            <v>27</v>
          </cell>
          <cell r="G291">
            <v>25</v>
          </cell>
          <cell r="H291">
            <v>27</v>
          </cell>
          <cell r="I291">
            <v>26</v>
          </cell>
          <cell r="J291">
            <v>26</v>
          </cell>
          <cell r="K291">
            <v>157</v>
          </cell>
          <cell r="L291">
            <v>313</v>
          </cell>
          <cell r="M291">
            <v>1.238</v>
          </cell>
          <cell r="N291" t="str">
            <v>B</v>
          </cell>
          <cell r="O291">
            <v>1.2</v>
          </cell>
          <cell r="P291">
            <v>1.1779999999999999</v>
          </cell>
          <cell r="Q291" t="str">
            <v>(PX.SX chuyeån veà 14c HS 1,106)</v>
          </cell>
        </row>
        <row r="292">
          <cell r="B292" t="str">
            <v>Vuõ Thanh Tuøng</v>
          </cell>
          <cell r="D292">
            <v>155</v>
          </cell>
          <cell r="E292">
            <v>26</v>
          </cell>
          <cell r="F292">
            <v>27</v>
          </cell>
          <cell r="G292">
            <v>26</v>
          </cell>
          <cell r="H292">
            <v>27</v>
          </cell>
          <cell r="I292">
            <v>26</v>
          </cell>
          <cell r="J292">
            <v>19</v>
          </cell>
          <cell r="K292">
            <v>151</v>
          </cell>
          <cell r="L292">
            <v>306</v>
          </cell>
          <cell r="M292">
            <v>1.25</v>
          </cell>
          <cell r="N292" t="str">
            <v>A</v>
          </cell>
          <cell r="O292">
            <v>1.4</v>
          </cell>
        </row>
        <row r="293">
          <cell r="B293" t="str">
            <v>Phan Thò Löïu</v>
          </cell>
          <cell r="D293">
            <v>155</v>
          </cell>
          <cell r="E293">
            <v>26</v>
          </cell>
          <cell r="F293">
            <v>26</v>
          </cell>
          <cell r="G293">
            <v>26</v>
          </cell>
          <cell r="H293">
            <v>23</v>
          </cell>
          <cell r="I293">
            <v>20</v>
          </cell>
          <cell r="J293">
            <v>26</v>
          </cell>
          <cell r="K293">
            <v>147</v>
          </cell>
          <cell r="L293">
            <v>302</v>
          </cell>
          <cell r="M293">
            <v>1.25</v>
          </cell>
          <cell r="N293" t="str">
            <v>A</v>
          </cell>
          <cell r="O293">
            <v>1.4</v>
          </cell>
        </row>
        <row r="294">
          <cell r="B294" t="str">
            <v>Ng. T. Hoàng Hueá</v>
          </cell>
          <cell r="D294">
            <v>151</v>
          </cell>
          <cell r="E294">
            <v>26</v>
          </cell>
          <cell r="F294">
            <v>27</v>
          </cell>
          <cell r="G294">
            <v>23</v>
          </cell>
          <cell r="H294">
            <v>27</v>
          </cell>
          <cell r="I294">
            <v>26</v>
          </cell>
          <cell r="J294">
            <v>26</v>
          </cell>
          <cell r="K294">
            <v>155</v>
          </cell>
          <cell r="L294">
            <v>306</v>
          </cell>
          <cell r="M294">
            <v>1.25</v>
          </cell>
          <cell r="N294" t="str">
            <v>A</v>
          </cell>
          <cell r="O294">
            <v>1.4</v>
          </cell>
        </row>
        <row r="295">
          <cell r="B295" t="str">
            <v>Tröông Myõ Tieân</v>
          </cell>
          <cell r="D295">
            <v>154</v>
          </cell>
          <cell r="E295">
            <v>26</v>
          </cell>
          <cell r="F295">
            <v>27</v>
          </cell>
          <cell r="G295">
            <v>23</v>
          </cell>
          <cell r="H295">
            <v>22</v>
          </cell>
          <cell r="I295">
            <v>25</v>
          </cell>
          <cell r="J295">
            <v>25</v>
          </cell>
          <cell r="K295">
            <v>148</v>
          </cell>
          <cell r="L295">
            <v>302</v>
          </cell>
          <cell r="M295">
            <v>1.25</v>
          </cell>
          <cell r="N295" t="str">
            <v>Xuaát saéc</v>
          </cell>
          <cell r="O295">
            <v>1.6</v>
          </cell>
        </row>
        <row r="296">
          <cell r="B296" t="str">
            <v>Buøi Anh Ñöùc</v>
          </cell>
          <cell r="C296" t="str">
            <v>TT</v>
          </cell>
          <cell r="D296">
            <v>154</v>
          </cell>
          <cell r="E296">
            <v>26</v>
          </cell>
          <cell r="F296">
            <v>27</v>
          </cell>
          <cell r="G296">
            <v>19</v>
          </cell>
          <cell r="H296">
            <v>26</v>
          </cell>
          <cell r="I296">
            <v>26</v>
          </cell>
          <cell r="J296">
            <v>26</v>
          </cell>
          <cell r="K296">
            <v>150</v>
          </cell>
          <cell r="L296">
            <v>304</v>
          </cell>
          <cell r="M296">
            <v>1.3</v>
          </cell>
          <cell r="N296" t="str">
            <v>Xuaát saéc</v>
          </cell>
          <cell r="O296">
            <v>1.6</v>
          </cell>
        </row>
        <row r="297">
          <cell r="B297" t="str">
            <v>Thaùi Hoaøng Heân</v>
          </cell>
          <cell r="D297">
            <v>155</v>
          </cell>
          <cell r="E297">
            <v>26</v>
          </cell>
          <cell r="F297">
            <v>27</v>
          </cell>
          <cell r="G297">
            <v>23</v>
          </cell>
          <cell r="H297">
            <v>27</v>
          </cell>
          <cell r="I297">
            <v>26</v>
          </cell>
          <cell r="J297">
            <v>26</v>
          </cell>
          <cell r="K297">
            <v>155</v>
          </cell>
          <cell r="L297">
            <v>310</v>
          </cell>
          <cell r="M297">
            <v>1.25</v>
          </cell>
          <cell r="N297" t="str">
            <v>A</v>
          </cell>
          <cell r="O297">
            <v>1.4</v>
          </cell>
        </row>
        <row r="298">
          <cell r="B298" t="str">
            <v>Nguyeãn Thanh Ñieàn</v>
          </cell>
          <cell r="D298">
            <v>154</v>
          </cell>
          <cell r="E298">
            <v>26</v>
          </cell>
          <cell r="F298">
            <v>27</v>
          </cell>
          <cell r="G298">
            <v>26</v>
          </cell>
          <cell r="H298">
            <v>26</v>
          </cell>
          <cell r="I298">
            <v>26</v>
          </cell>
          <cell r="J298">
            <v>26</v>
          </cell>
          <cell r="K298">
            <v>157</v>
          </cell>
          <cell r="L298">
            <v>311</v>
          </cell>
          <cell r="M298">
            <v>1.25</v>
          </cell>
          <cell r="N298" t="str">
            <v>A</v>
          </cell>
          <cell r="O298">
            <v>1.4</v>
          </cell>
        </row>
        <row r="299">
          <cell r="B299" t="str">
            <v>Ñinh Quang Sôn</v>
          </cell>
          <cell r="D299">
            <v>149</v>
          </cell>
          <cell r="E299">
            <v>26</v>
          </cell>
          <cell r="F299">
            <v>27</v>
          </cell>
          <cell r="G299">
            <v>25</v>
          </cell>
          <cell r="H299">
            <v>27</v>
          </cell>
          <cell r="I299">
            <v>26</v>
          </cell>
          <cell r="J299">
            <v>26</v>
          </cell>
          <cell r="K299">
            <v>157</v>
          </cell>
          <cell r="L299">
            <v>306</v>
          </cell>
          <cell r="M299">
            <v>1.25</v>
          </cell>
          <cell r="N299" t="str">
            <v>A</v>
          </cell>
          <cell r="O299">
            <v>1.4</v>
          </cell>
        </row>
        <row r="300">
          <cell r="B300" t="str">
            <v>Traàn Thaùi Böûu</v>
          </cell>
          <cell r="D300">
            <v>0</v>
          </cell>
          <cell r="E300">
            <v>0</v>
          </cell>
          <cell r="F300">
            <v>0</v>
          </cell>
          <cell r="G300">
            <v>0</v>
          </cell>
          <cell r="H300">
            <v>25</v>
          </cell>
          <cell r="I300">
            <v>26</v>
          </cell>
          <cell r="J300">
            <v>26</v>
          </cell>
          <cell r="K300">
            <v>77</v>
          </cell>
          <cell r="L300">
            <v>77</v>
          </cell>
          <cell r="M300">
            <v>0.9375</v>
          </cell>
          <cell r="N300" t="str">
            <v>B</v>
          </cell>
          <cell r="O300">
            <v>1.2</v>
          </cell>
        </row>
        <row r="301">
          <cell r="B301" t="str">
            <v>Traàn Vaên Uùt</v>
          </cell>
          <cell r="D301">
            <v>0</v>
          </cell>
          <cell r="E301">
            <v>0</v>
          </cell>
          <cell r="F301">
            <v>0</v>
          </cell>
          <cell r="G301">
            <v>0</v>
          </cell>
          <cell r="H301">
            <v>21</v>
          </cell>
          <cell r="I301">
            <v>26</v>
          </cell>
          <cell r="J301">
            <v>25</v>
          </cell>
          <cell r="K301">
            <v>72</v>
          </cell>
          <cell r="L301">
            <v>72</v>
          </cell>
          <cell r="M301">
            <v>0.9375</v>
          </cell>
          <cell r="N301" t="str">
            <v>A</v>
          </cell>
          <cell r="O301">
            <v>1.4</v>
          </cell>
        </row>
        <row r="302">
          <cell r="B302" t="str">
            <v>Mai Vaên Haûi</v>
          </cell>
          <cell r="C302" t="str">
            <v>TT VTPL</v>
          </cell>
          <cell r="D302">
            <v>156</v>
          </cell>
          <cell r="E302">
            <v>26</v>
          </cell>
          <cell r="F302">
            <v>27</v>
          </cell>
          <cell r="G302">
            <v>25</v>
          </cell>
          <cell r="H302">
            <v>26</v>
          </cell>
          <cell r="I302">
            <v>26</v>
          </cell>
          <cell r="J302">
            <v>25</v>
          </cell>
          <cell r="K302">
            <v>155</v>
          </cell>
          <cell r="L302">
            <v>311</v>
          </cell>
          <cell r="M302">
            <v>1.1625000000000001</v>
          </cell>
          <cell r="N302" t="str">
            <v>A</v>
          </cell>
          <cell r="O302">
            <v>1.4</v>
          </cell>
          <cell r="Q302" t="str">
            <v>Toå tröôûng T./10</v>
          </cell>
        </row>
        <row r="303">
          <cell r="B303" t="str">
            <v>Nguyeãn Vaên Uùt</v>
          </cell>
          <cell r="D303">
            <v>141</v>
          </cell>
          <cell r="E303">
            <v>26</v>
          </cell>
          <cell r="F303">
            <v>27</v>
          </cell>
          <cell r="G303">
            <v>25</v>
          </cell>
          <cell r="H303">
            <v>26</v>
          </cell>
          <cell r="I303">
            <v>24</v>
          </cell>
          <cell r="J303">
            <v>26</v>
          </cell>
          <cell r="K303">
            <v>154</v>
          </cell>
          <cell r="L303">
            <v>295</v>
          </cell>
          <cell r="M303">
            <v>1.1499999999999999</v>
          </cell>
          <cell r="N303" t="str">
            <v>A</v>
          </cell>
          <cell r="O303">
            <v>1.4</v>
          </cell>
        </row>
        <row r="304">
          <cell r="B304" t="str">
            <v>Nguyeãn Thaønh Thaéng A</v>
          </cell>
          <cell r="D304">
            <v>156</v>
          </cell>
          <cell r="E304">
            <v>25</v>
          </cell>
          <cell r="F304">
            <v>27</v>
          </cell>
          <cell r="G304">
            <v>25</v>
          </cell>
          <cell r="H304">
            <v>26</v>
          </cell>
          <cell r="I304">
            <v>26</v>
          </cell>
          <cell r="J304">
            <v>26</v>
          </cell>
          <cell r="K304">
            <v>155</v>
          </cell>
          <cell r="L304">
            <v>311</v>
          </cell>
          <cell r="M304">
            <v>1.1499999999999999</v>
          </cell>
          <cell r="N304" t="str">
            <v>A</v>
          </cell>
          <cell r="O304">
            <v>1.4</v>
          </cell>
        </row>
        <row r="305">
          <cell r="B305" t="str">
            <v>Nguyeãn Thaønh Thaéng B</v>
          </cell>
          <cell r="D305">
            <v>156</v>
          </cell>
          <cell r="E305">
            <v>26</v>
          </cell>
          <cell r="F305">
            <v>27</v>
          </cell>
          <cell r="G305">
            <v>16</v>
          </cell>
          <cell r="H305">
            <v>26</v>
          </cell>
          <cell r="I305">
            <v>25</v>
          </cell>
          <cell r="J305">
            <v>26</v>
          </cell>
          <cell r="K305">
            <v>146</v>
          </cell>
          <cell r="L305">
            <v>302</v>
          </cell>
          <cell r="M305">
            <v>1.1499999999999999</v>
          </cell>
          <cell r="N305" t="str">
            <v>A</v>
          </cell>
          <cell r="O305">
            <v>1.4</v>
          </cell>
        </row>
        <row r="306">
          <cell r="B306" t="str">
            <v>Hoà Hoaøng Taëng</v>
          </cell>
          <cell r="D306">
            <v>0</v>
          </cell>
          <cell r="E306">
            <v>0</v>
          </cell>
          <cell r="F306">
            <v>0</v>
          </cell>
          <cell r="G306">
            <v>0</v>
          </cell>
          <cell r="H306">
            <v>25</v>
          </cell>
          <cell r="I306">
            <v>25</v>
          </cell>
          <cell r="J306">
            <v>26</v>
          </cell>
          <cell r="K306">
            <v>76</v>
          </cell>
          <cell r="L306">
            <v>76</v>
          </cell>
          <cell r="M306">
            <v>0.86249999999999993</v>
          </cell>
          <cell r="N306" t="str">
            <v>A</v>
          </cell>
          <cell r="O306">
            <v>1.4</v>
          </cell>
        </row>
        <row r="307">
          <cell r="B307" t="str">
            <v>Nguyeãn Thò Thu Vaân</v>
          </cell>
          <cell r="D307">
            <v>156</v>
          </cell>
          <cell r="E307">
            <v>26</v>
          </cell>
          <cell r="F307">
            <v>27</v>
          </cell>
          <cell r="G307">
            <v>25</v>
          </cell>
          <cell r="H307">
            <v>24</v>
          </cell>
          <cell r="I307">
            <v>26</v>
          </cell>
          <cell r="J307">
            <v>26</v>
          </cell>
          <cell r="K307">
            <v>154</v>
          </cell>
          <cell r="L307">
            <v>310</v>
          </cell>
          <cell r="M307">
            <v>1.1499999999999999</v>
          </cell>
          <cell r="N307" t="str">
            <v>A</v>
          </cell>
          <cell r="O307">
            <v>1.4</v>
          </cell>
        </row>
        <row r="308">
          <cell r="B308" t="str">
            <v>Nguyeãn Thò Kim Hueä</v>
          </cell>
          <cell r="D308">
            <v>57</v>
          </cell>
          <cell r="E308">
            <v>26</v>
          </cell>
          <cell r="F308">
            <v>27</v>
          </cell>
          <cell r="G308">
            <v>25</v>
          </cell>
          <cell r="H308">
            <v>27</v>
          </cell>
          <cell r="I308">
            <v>25</v>
          </cell>
          <cell r="J308">
            <v>26</v>
          </cell>
          <cell r="K308">
            <v>156</v>
          </cell>
          <cell r="L308">
            <v>213</v>
          </cell>
          <cell r="M308">
            <v>1.1499999999999999</v>
          </cell>
          <cell r="N308" t="str">
            <v>B</v>
          </cell>
          <cell r="O308">
            <v>1.2</v>
          </cell>
        </row>
        <row r="309">
          <cell r="B309" t="str">
            <v>Coäng:</v>
          </cell>
        </row>
        <row r="311">
          <cell r="B311" t="str">
            <v>*Ñeà nghò Hoäi ñoàng xeùt</v>
          </cell>
          <cell r="Q311" t="str">
            <v>Ngöôøi laäp</v>
          </cell>
        </row>
        <row r="314">
          <cell r="B314" t="str">
            <v>Keát quaû bình xeùt :</v>
          </cell>
        </row>
        <row r="315">
          <cell r="B315" t="str">
            <v xml:space="preserve"> - Tröôûng, phoù boä phaän =</v>
          </cell>
          <cell r="D315" t="str">
            <v>(Taâm;Vieät;Höông)</v>
          </cell>
        </row>
        <row r="316">
          <cell r="B316" t="str">
            <v xml:space="preserve"> - Loaïi xuaát saéc             =</v>
          </cell>
          <cell r="C316">
            <v>8</v>
          </cell>
          <cell r="D316" t="str">
            <v>(Hieáu;Thaïch;Huyønh;Tieân;Ñöùc;Thu Vaân)</v>
          </cell>
        </row>
        <row r="317">
          <cell r="B317" t="str">
            <v xml:space="preserve"> - Loaïi A                        =</v>
          </cell>
          <cell r="C317">
            <v>19</v>
          </cell>
        </row>
        <row r="318">
          <cell r="B318" t="str">
            <v xml:space="preserve"> - Loaïi (A-)                   =</v>
          </cell>
          <cell r="C318">
            <v>0</v>
          </cell>
        </row>
        <row r="319">
          <cell r="B319" t="str">
            <v xml:space="preserve"> - Loaïi B                        =</v>
          </cell>
          <cell r="C319">
            <v>5</v>
          </cell>
          <cell r="D319" t="str">
            <v>(Laâm;K.Giang;D.Thaéng;Hueä;Böûu)</v>
          </cell>
        </row>
        <row r="320">
          <cell r="B320" t="str">
            <v xml:space="preserve"> - Loaïi C                        =</v>
          </cell>
          <cell r="C320">
            <v>0</v>
          </cell>
        </row>
        <row r="321">
          <cell r="B321" t="str">
            <v xml:space="preserve"> - Khoâng xeùt                  =</v>
          </cell>
          <cell r="C321">
            <v>0</v>
          </cell>
        </row>
        <row r="322">
          <cell r="B322" t="str">
            <v>Coäng:</v>
          </cell>
          <cell r="C322">
            <v>32</v>
          </cell>
        </row>
        <row r="338">
          <cell r="B338" t="str">
            <v xml:space="preserve">                                                          BAÛNG TOÅNG HÔÏP NGAØY COÂNG NAÊM 2001</v>
          </cell>
        </row>
        <row r="340">
          <cell r="B340" t="str">
            <v>HOÏ VAØ TEÂN</v>
          </cell>
          <cell r="C340" t="str">
            <v>Chöùc vuï</v>
          </cell>
          <cell r="D340" t="str">
            <v>NC. 6T ñaàu naêm</v>
          </cell>
          <cell r="E340" t="str">
            <v>Ngaøy coâng 6 thaùng cuoái naêm</v>
          </cell>
          <cell r="L340" t="str">
            <v>Toång NC caû naêm</v>
          </cell>
          <cell r="M340" t="str">
            <v>HSCV</v>
          </cell>
          <cell r="N340" t="str">
            <v>Xeáp loaïi    A-B-C</v>
          </cell>
          <cell r="O340" t="str">
            <v>Xeáp loaïi HS</v>
          </cell>
          <cell r="P340" t="str">
            <v>XL.Xuaát saéc</v>
          </cell>
          <cell r="Q340" t="str">
            <v>Ghi chuù</v>
          </cell>
        </row>
        <row r="341">
          <cell r="E341">
            <v>7</v>
          </cell>
          <cell r="F341">
            <v>8</v>
          </cell>
          <cell r="G341">
            <v>9</v>
          </cell>
          <cell r="H341">
            <v>10</v>
          </cell>
          <cell r="I341">
            <v>11</v>
          </cell>
          <cell r="J341">
            <v>12</v>
          </cell>
          <cell r="K341" t="str">
            <v>Coäng</v>
          </cell>
        </row>
        <row r="342">
          <cell r="B342" t="str">
            <v>Traàn Vaên Naêm</v>
          </cell>
          <cell r="C342" t="str">
            <v>QÑ</v>
          </cell>
          <cell r="D342">
            <v>153</v>
          </cell>
          <cell r="E342">
            <v>26</v>
          </cell>
          <cell r="F342">
            <v>27</v>
          </cell>
          <cell r="G342">
            <v>25</v>
          </cell>
          <cell r="H342">
            <v>27</v>
          </cell>
          <cell r="I342">
            <v>26</v>
          </cell>
          <cell r="J342">
            <v>26</v>
          </cell>
          <cell r="K342">
            <v>157</v>
          </cell>
          <cell r="L342">
            <v>310</v>
          </cell>
          <cell r="M342">
            <v>1.8</v>
          </cell>
          <cell r="N342" t="str">
            <v>Xuaát Saéc</v>
          </cell>
          <cell r="O342">
            <v>1.6</v>
          </cell>
        </row>
        <row r="343">
          <cell r="B343" t="str">
            <v>Vuõ Tieán Laõm</v>
          </cell>
          <cell r="C343" t="str">
            <v>PQÑ</v>
          </cell>
          <cell r="D343">
            <v>153</v>
          </cell>
          <cell r="E343">
            <v>26</v>
          </cell>
          <cell r="F343">
            <v>27</v>
          </cell>
          <cell r="G343">
            <v>25</v>
          </cell>
          <cell r="H343">
            <v>27</v>
          </cell>
          <cell r="I343">
            <v>26</v>
          </cell>
          <cell r="J343">
            <v>26</v>
          </cell>
          <cell r="K343">
            <v>157</v>
          </cell>
          <cell r="L343">
            <v>310</v>
          </cell>
          <cell r="M343">
            <v>1.65</v>
          </cell>
          <cell r="N343" t="str">
            <v>Xuaát Saéc</v>
          </cell>
          <cell r="O343">
            <v>1.6</v>
          </cell>
        </row>
        <row r="344">
          <cell r="B344" t="str">
            <v>Döông Thanh Haø</v>
          </cell>
          <cell r="C344" t="str">
            <v>PQÑ</v>
          </cell>
          <cell r="D344">
            <v>153</v>
          </cell>
          <cell r="E344">
            <v>26</v>
          </cell>
          <cell r="F344">
            <v>27</v>
          </cell>
          <cell r="G344">
            <v>25</v>
          </cell>
          <cell r="H344">
            <v>27</v>
          </cell>
          <cell r="I344">
            <v>26</v>
          </cell>
          <cell r="J344">
            <v>26</v>
          </cell>
          <cell r="K344">
            <v>157</v>
          </cell>
          <cell r="L344">
            <v>310</v>
          </cell>
          <cell r="M344">
            <v>1.65</v>
          </cell>
          <cell r="N344" t="str">
            <v>Xuaát Saéc</v>
          </cell>
          <cell r="O344">
            <v>1.6</v>
          </cell>
        </row>
        <row r="345">
          <cell r="B345" t="str">
            <v>Löu Ñöùc  Hieán</v>
          </cell>
          <cell r="C345" t="str">
            <v>TK</v>
          </cell>
          <cell r="D345">
            <v>154</v>
          </cell>
          <cell r="E345">
            <v>26</v>
          </cell>
          <cell r="F345">
            <v>27</v>
          </cell>
          <cell r="G345">
            <v>25</v>
          </cell>
          <cell r="H345">
            <v>27</v>
          </cell>
          <cell r="I345">
            <v>26</v>
          </cell>
          <cell r="J345">
            <v>26</v>
          </cell>
          <cell r="K345">
            <v>157</v>
          </cell>
          <cell r="L345">
            <v>311</v>
          </cell>
          <cell r="M345">
            <v>1.3</v>
          </cell>
          <cell r="N345" t="str">
            <v>Xuaát Saéc</v>
          </cell>
          <cell r="O345">
            <v>1.6</v>
          </cell>
        </row>
        <row r="346">
          <cell r="B346" t="str">
            <v>Nguyeãn Vaên Lyù</v>
          </cell>
          <cell r="C346" t="str">
            <v>TK</v>
          </cell>
          <cell r="D346">
            <v>152</v>
          </cell>
          <cell r="E346">
            <v>26</v>
          </cell>
          <cell r="F346">
            <v>27</v>
          </cell>
          <cell r="G346">
            <v>25</v>
          </cell>
          <cell r="H346">
            <v>27</v>
          </cell>
          <cell r="I346">
            <v>26</v>
          </cell>
          <cell r="J346">
            <v>26</v>
          </cell>
          <cell r="K346">
            <v>157</v>
          </cell>
          <cell r="L346">
            <v>309</v>
          </cell>
          <cell r="M346">
            <v>1.3</v>
          </cell>
          <cell r="N346" t="str">
            <v>Xuaát Saéc</v>
          </cell>
          <cell r="O346">
            <v>1.6</v>
          </cell>
        </row>
        <row r="347">
          <cell r="B347" t="str">
            <v>Leâ Kim Chuyeån</v>
          </cell>
          <cell r="C347" t="str">
            <v>ÑC</v>
          </cell>
          <cell r="D347">
            <v>144</v>
          </cell>
          <cell r="E347">
            <v>25</v>
          </cell>
          <cell r="F347">
            <v>26</v>
          </cell>
          <cell r="G347">
            <v>25</v>
          </cell>
          <cell r="H347">
            <v>27</v>
          </cell>
          <cell r="I347">
            <v>26</v>
          </cell>
          <cell r="J347">
            <v>26</v>
          </cell>
          <cell r="K347">
            <v>155</v>
          </cell>
          <cell r="L347">
            <v>299</v>
          </cell>
          <cell r="M347">
            <v>1.383</v>
          </cell>
          <cell r="N347" t="str">
            <v>B</v>
          </cell>
          <cell r="O347">
            <v>1.2</v>
          </cell>
          <cell r="Q347" t="str">
            <v xml:space="preserve">caûnh caùo </v>
          </cell>
        </row>
        <row r="348">
          <cell r="B348" t="str">
            <v>Cao Vaên Döông</v>
          </cell>
          <cell r="C348" t="str">
            <v>ÑC</v>
          </cell>
          <cell r="D348">
            <v>154</v>
          </cell>
          <cell r="E348">
            <v>25</v>
          </cell>
          <cell r="F348">
            <v>27</v>
          </cell>
          <cell r="G348">
            <v>25</v>
          </cell>
          <cell r="H348">
            <v>27</v>
          </cell>
          <cell r="I348">
            <v>26</v>
          </cell>
          <cell r="J348">
            <v>26</v>
          </cell>
          <cell r="K348">
            <v>156</v>
          </cell>
          <cell r="L348">
            <v>310</v>
          </cell>
          <cell r="M348">
            <v>1.375</v>
          </cell>
          <cell r="N348" t="str">
            <v>B</v>
          </cell>
          <cell r="O348">
            <v>1.2</v>
          </cell>
          <cell r="Q348" t="str">
            <v xml:space="preserve">caûnh caùo </v>
          </cell>
        </row>
        <row r="349">
          <cell r="B349" t="str">
            <v>Ñoã Trung Thöï</v>
          </cell>
          <cell r="C349" t="str">
            <v>ÑC</v>
          </cell>
          <cell r="D349">
            <v>155</v>
          </cell>
          <cell r="E349">
            <v>26</v>
          </cell>
          <cell r="F349">
            <v>27</v>
          </cell>
          <cell r="G349">
            <v>25</v>
          </cell>
          <cell r="H349">
            <v>27</v>
          </cell>
          <cell r="I349">
            <v>25</v>
          </cell>
          <cell r="J349">
            <v>26</v>
          </cell>
          <cell r="K349">
            <v>156</v>
          </cell>
          <cell r="L349">
            <v>311</v>
          </cell>
          <cell r="M349">
            <v>1.383</v>
          </cell>
          <cell r="N349" t="str">
            <v>B</v>
          </cell>
          <cell r="O349">
            <v>1.2</v>
          </cell>
          <cell r="Q349" t="str">
            <v xml:space="preserve">caûnh caùo </v>
          </cell>
        </row>
        <row r="350">
          <cell r="B350" t="str">
            <v>Phan Vaên Naâng</v>
          </cell>
          <cell r="C350" t="str">
            <v>ÑC</v>
          </cell>
          <cell r="D350">
            <v>151</v>
          </cell>
          <cell r="E350">
            <v>26</v>
          </cell>
          <cell r="F350">
            <v>23</v>
          </cell>
          <cell r="G350">
            <v>25</v>
          </cell>
          <cell r="H350">
            <v>27</v>
          </cell>
          <cell r="I350">
            <v>26</v>
          </cell>
          <cell r="J350">
            <v>26</v>
          </cell>
          <cell r="K350">
            <v>153</v>
          </cell>
          <cell r="L350">
            <v>304</v>
          </cell>
          <cell r="M350">
            <v>1.383</v>
          </cell>
          <cell r="N350" t="str">
            <v>Xuaát Saéc</v>
          </cell>
          <cell r="O350">
            <v>1.6</v>
          </cell>
        </row>
        <row r="351">
          <cell r="B351" t="str">
            <v>Ñaøo Taát  Ñaït</v>
          </cell>
          <cell r="D351">
            <v>150</v>
          </cell>
          <cell r="E351">
            <v>26</v>
          </cell>
          <cell r="F351">
            <v>27</v>
          </cell>
          <cell r="G351">
            <v>25</v>
          </cell>
          <cell r="H351">
            <v>26</v>
          </cell>
          <cell r="I351">
            <v>26</v>
          </cell>
          <cell r="J351">
            <v>26</v>
          </cell>
          <cell r="K351">
            <v>156</v>
          </cell>
          <cell r="L351">
            <v>306</v>
          </cell>
          <cell r="M351">
            <v>1.1499999999999999</v>
          </cell>
          <cell r="N351" t="str">
            <v>A</v>
          </cell>
          <cell r="O351">
            <v>1.4</v>
          </cell>
        </row>
        <row r="352">
          <cell r="B352" t="str">
            <v>Haø Vaên Khen</v>
          </cell>
          <cell r="D352">
            <v>144</v>
          </cell>
          <cell r="E352">
            <v>24</v>
          </cell>
          <cell r="F352">
            <v>27</v>
          </cell>
          <cell r="G352">
            <v>25</v>
          </cell>
          <cell r="H352">
            <v>26</v>
          </cell>
          <cell r="I352">
            <v>25</v>
          </cell>
          <cell r="J352">
            <v>26</v>
          </cell>
          <cell r="K352">
            <v>153</v>
          </cell>
          <cell r="L352">
            <v>297</v>
          </cell>
          <cell r="M352">
            <v>1.1499999999999999</v>
          </cell>
          <cell r="N352" t="str">
            <v>Xuaát Saéc</v>
          </cell>
          <cell r="O352">
            <v>1.6</v>
          </cell>
        </row>
        <row r="353">
          <cell r="B353" t="str">
            <v>Laâm Ngoïc Chuyeân</v>
          </cell>
          <cell r="D353">
            <v>156</v>
          </cell>
          <cell r="E353">
            <v>26</v>
          </cell>
          <cell r="F353">
            <v>27</v>
          </cell>
          <cell r="G353">
            <v>25</v>
          </cell>
          <cell r="H353">
            <v>27</v>
          </cell>
          <cell r="I353">
            <v>26</v>
          </cell>
          <cell r="J353">
            <v>26</v>
          </cell>
          <cell r="K353">
            <v>157</v>
          </cell>
          <cell r="L353">
            <v>313</v>
          </cell>
          <cell r="M353">
            <v>1.1499999999999999</v>
          </cell>
          <cell r="N353" t="str">
            <v>Xuaát Saéc</v>
          </cell>
          <cell r="O353">
            <v>1.6</v>
          </cell>
        </row>
        <row r="354">
          <cell r="B354" t="str">
            <v>Leâ Vaên Vuõ</v>
          </cell>
          <cell r="C354" t="str">
            <v>CT</v>
          </cell>
          <cell r="D354">
            <v>155</v>
          </cell>
          <cell r="E354">
            <v>26</v>
          </cell>
          <cell r="F354">
            <v>26</v>
          </cell>
          <cell r="G354">
            <v>25</v>
          </cell>
          <cell r="H354">
            <v>27</v>
          </cell>
          <cell r="I354">
            <v>26</v>
          </cell>
          <cell r="J354">
            <v>26</v>
          </cell>
          <cell r="K354">
            <v>156</v>
          </cell>
          <cell r="L354">
            <v>311</v>
          </cell>
          <cell r="M354">
            <v>1.25</v>
          </cell>
          <cell r="N354" t="str">
            <v>B</v>
          </cell>
          <cell r="O354">
            <v>1.2</v>
          </cell>
          <cell r="Q354" t="str">
            <v xml:space="preserve">caûnh caùo </v>
          </cell>
        </row>
        <row r="355">
          <cell r="B355" t="str">
            <v>Haøng Vaên Taøo</v>
          </cell>
          <cell r="C355" t="str">
            <v>CT</v>
          </cell>
          <cell r="D355">
            <v>149</v>
          </cell>
          <cell r="E355">
            <v>25</v>
          </cell>
          <cell r="F355">
            <v>27</v>
          </cell>
          <cell r="G355">
            <v>25</v>
          </cell>
          <cell r="H355">
            <v>27</v>
          </cell>
          <cell r="I355">
            <v>26</v>
          </cell>
          <cell r="J355">
            <v>26</v>
          </cell>
          <cell r="K355">
            <v>156</v>
          </cell>
          <cell r="L355">
            <v>305</v>
          </cell>
          <cell r="M355">
            <v>1.349</v>
          </cell>
          <cell r="N355" t="str">
            <v>B</v>
          </cell>
          <cell r="O355">
            <v>1.2</v>
          </cell>
          <cell r="Q355" t="str">
            <v xml:space="preserve">caûnh caùo </v>
          </cell>
        </row>
        <row r="356">
          <cell r="B356" t="str">
            <v>Nguyeãn Ngoïc Bieân</v>
          </cell>
          <cell r="D356">
            <v>156</v>
          </cell>
          <cell r="E356">
            <v>26</v>
          </cell>
          <cell r="F356">
            <v>27</v>
          </cell>
          <cell r="G356">
            <v>25</v>
          </cell>
          <cell r="H356">
            <v>27</v>
          </cell>
          <cell r="I356">
            <v>26</v>
          </cell>
          <cell r="J356">
            <v>25</v>
          </cell>
          <cell r="K356">
            <v>156</v>
          </cell>
          <cell r="L356">
            <v>312</v>
          </cell>
          <cell r="M356">
            <v>1.2989999999999999</v>
          </cell>
          <cell r="N356" t="str">
            <v>A</v>
          </cell>
          <cell r="O356">
            <v>1.4</v>
          </cell>
        </row>
        <row r="357">
          <cell r="B357" t="str">
            <v>Trònh Hoaøi Phöông</v>
          </cell>
          <cell r="D357">
            <v>156</v>
          </cell>
          <cell r="E357">
            <v>26</v>
          </cell>
          <cell r="F357">
            <v>27</v>
          </cell>
          <cell r="G357">
            <v>25</v>
          </cell>
          <cell r="H357">
            <v>26</v>
          </cell>
          <cell r="I357">
            <v>26</v>
          </cell>
          <cell r="J357">
            <v>26</v>
          </cell>
          <cell r="K357">
            <v>156</v>
          </cell>
          <cell r="L357">
            <v>312</v>
          </cell>
          <cell r="M357">
            <v>1.264</v>
          </cell>
          <cell r="N357" t="str">
            <v>A</v>
          </cell>
          <cell r="O357">
            <v>1.4</v>
          </cell>
        </row>
        <row r="358">
          <cell r="B358" t="str">
            <v>Ñaøo Duy Haûi</v>
          </cell>
          <cell r="D358">
            <v>155</v>
          </cell>
          <cell r="E358">
            <v>26</v>
          </cell>
          <cell r="F358">
            <v>27</v>
          </cell>
          <cell r="G358">
            <v>25</v>
          </cell>
          <cell r="H358">
            <v>26</v>
          </cell>
          <cell r="I358">
            <v>26</v>
          </cell>
          <cell r="J358">
            <v>26</v>
          </cell>
          <cell r="K358">
            <v>156</v>
          </cell>
          <cell r="L358">
            <v>311</v>
          </cell>
          <cell r="M358">
            <v>1.25</v>
          </cell>
          <cell r="N358" t="str">
            <v>A</v>
          </cell>
          <cell r="O358">
            <v>1.4</v>
          </cell>
        </row>
        <row r="359">
          <cell r="B359" t="str">
            <v>Leâ Coâng Luaän</v>
          </cell>
          <cell r="D359">
            <v>144</v>
          </cell>
          <cell r="E359">
            <v>26</v>
          </cell>
          <cell r="F359">
            <v>27</v>
          </cell>
          <cell r="G359">
            <v>25</v>
          </cell>
          <cell r="H359">
            <v>26</v>
          </cell>
          <cell r="I359">
            <v>25</v>
          </cell>
          <cell r="J359">
            <v>26</v>
          </cell>
          <cell r="K359">
            <v>155</v>
          </cell>
          <cell r="L359">
            <v>299</v>
          </cell>
          <cell r="M359">
            <v>1.1890000000000001</v>
          </cell>
          <cell r="N359" t="str">
            <v>B</v>
          </cell>
          <cell r="O359">
            <v>1.2</v>
          </cell>
          <cell r="Q359" t="str">
            <v>Vi phaïm NQLÑ</v>
          </cell>
        </row>
        <row r="360">
          <cell r="B360" t="str">
            <v>Nguyeãn Thanh Sôn</v>
          </cell>
          <cell r="C360" t="str">
            <v>CT</v>
          </cell>
          <cell r="D360">
            <v>155</v>
          </cell>
          <cell r="E360">
            <v>26</v>
          </cell>
          <cell r="F360">
            <v>27</v>
          </cell>
          <cell r="G360">
            <v>24</v>
          </cell>
          <cell r="H360">
            <v>27</v>
          </cell>
          <cell r="I360">
            <v>26</v>
          </cell>
          <cell r="J360">
            <v>25</v>
          </cell>
          <cell r="K360">
            <v>155</v>
          </cell>
          <cell r="L360">
            <v>310</v>
          </cell>
          <cell r="M360">
            <v>1.329</v>
          </cell>
          <cell r="N360" t="str">
            <v>B</v>
          </cell>
          <cell r="O360">
            <v>1.2</v>
          </cell>
          <cell r="Q360" t="str">
            <v xml:space="preserve">caûnh caùo </v>
          </cell>
        </row>
        <row r="361">
          <cell r="B361" t="str">
            <v>Phaïm Vaên Beàn</v>
          </cell>
          <cell r="D361">
            <v>156</v>
          </cell>
          <cell r="E361">
            <v>26</v>
          </cell>
          <cell r="F361">
            <v>27</v>
          </cell>
          <cell r="G361">
            <v>25</v>
          </cell>
          <cell r="H361">
            <v>27</v>
          </cell>
          <cell r="I361">
            <v>26</v>
          </cell>
          <cell r="J361">
            <v>26</v>
          </cell>
          <cell r="K361">
            <v>157</v>
          </cell>
          <cell r="L361">
            <v>313</v>
          </cell>
          <cell r="M361">
            <v>1.2909999999999999</v>
          </cell>
          <cell r="Q361" t="str">
            <v>Kyû luaät caét KT</v>
          </cell>
        </row>
        <row r="362">
          <cell r="B362" t="str">
            <v>Traàn Khaéc Ñieàu</v>
          </cell>
          <cell r="D362">
            <v>156</v>
          </cell>
          <cell r="E362">
            <v>26</v>
          </cell>
          <cell r="F362">
            <v>27</v>
          </cell>
          <cell r="G362">
            <v>25</v>
          </cell>
          <cell r="H362">
            <v>27</v>
          </cell>
          <cell r="I362">
            <v>26</v>
          </cell>
          <cell r="J362">
            <v>26</v>
          </cell>
          <cell r="K362">
            <v>157</v>
          </cell>
          <cell r="L362">
            <v>313</v>
          </cell>
          <cell r="M362">
            <v>1.2390000000000001</v>
          </cell>
          <cell r="N362" t="str">
            <v>A</v>
          </cell>
          <cell r="O362">
            <v>1.4</v>
          </cell>
        </row>
        <row r="363">
          <cell r="B363" t="str">
            <v>Nguyeãn Thanh Hoàng</v>
          </cell>
          <cell r="D363">
            <v>155</v>
          </cell>
          <cell r="E363">
            <v>26</v>
          </cell>
          <cell r="F363">
            <v>26</v>
          </cell>
          <cell r="G363">
            <v>25</v>
          </cell>
          <cell r="H363">
            <v>27</v>
          </cell>
          <cell r="I363">
            <v>26</v>
          </cell>
          <cell r="J363">
            <v>26</v>
          </cell>
          <cell r="K363">
            <v>156</v>
          </cell>
          <cell r="L363">
            <v>311</v>
          </cell>
          <cell r="M363">
            <v>1.2430000000000001</v>
          </cell>
          <cell r="N363" t="str">
            <v>A</v>
          </cell>
          <cell r="O363">
            <v>1.4</v>
          </cell>
        </row>
        <row r="364">
          <cell r="B364" t="str">
            <v>Hoà Minh Sôn</v>
          </cell>
          <cell r="D364">
            <v>85</v>
          </cell>
          <cell r="E364">
            <v>26</v>
          </cell>
          <cell r="F364">
            <v>26</v>
          </cell>
          <cell r="G364">
            <v>25</v>
          </cell>
          <cell r="H364">
            <v>27</v>
          </cell>
          <cell r="I364">
            <v>26</v>
          </cell>
          <cell r="J364">
            <v>19</v>
          </cell>
          <cell r="K364">
            <v>149</v>
          </cell>
          <cell r="L364">
            <v>234</v>
          </cell>
          <cell r="M364">
            <v>1.1857</v>
          </cell>
          <cell r="Q364" t="str">
            <v>Kyû luaät caét KT</v>
          </cell>
        </row>
        <row r="365">
          <cell r="B365" t="str">
            <v>Nguyeãn Quang Vinh</v>
          </cell>
          <cell r="C365" t="str">
            <v>TT</v>
          </cell>
          <cell r="D365">
            <v>139</v>
          </cell>
          <cell r="E365">
            <v>26</v>
          </cell>
          <cell r="F365">
            <v>27</v>
          </cell>
          <cell r="G365">
            <v>25</v>
          </cell>
          <cell r="H365">
            <v>27</v>
          </cell>
          <cell r="I365">
            <v>26</v>
          </cell>
          <cell r="J365">
            <v>26</v>
          </cell>
          <cell r="K365">
            <v>157</v>
          </cell>
          <cell r="L365">
            <v>296</v>
          </cell>
          <cell r="M365">
            <v>1.341</v>
          </cell>
          <cell r="N365" t="str">
            <v>B</v>
          </cell>
          <cell r="O365">
            <v>1.2</v>
          </cell>
          <cell r="Q365" t="str">
            <v>caûnh caùo</v>
          </cell>
        </row>
        <row r="366">
          <cell r="B366" t="str">
            <v>Traàn vieät Toaøn</v>
          </cell>
          <cell r="D366">
            <v>156</v>
          </cell>
          <cell r="E366">
            <v>23</v>
          </cell>
          <cell r="F366">
            <v>27</v>
          </cell>
          <cell r="G366">
            <v>23</v>
          </cell>
          <cell r="H366">
            <v>25</v>
          </cell>
          <cell r="I366">
            <v>26</v>
          </cell>
          <cell r="J366">
            <v>25</v>
          </cell>
          <cell r="K366">
            <v>149</v>
          </cell>
          <cell r="L366">
            <v>305</v>
          </cell>
          <cell r="M366">
            <v>1.3029999999999999</v>
          </cell>
          <cell r="Q366" t="str">
            <v>Kyû luaät caét KT</v>
          </cell>
        </row>
        <row r="367">
          <cell r="B367" t="str">
            <v>Traàn Thanh Tuøng</v>
          </cell>
          <cell r="D367">
            <v>154</v>
          </cell>
          <cell r="E367">
            <v>21</v>
          </cell>
          <cell r="F367">
            <v>27</v>
          </cell>
          <cell r="G367">
            <v>23</v>
          </cell>
          <cell r="H367">
            <v>26</v>
          </cell>
          <cell r="I367">
            <v>25</v>
          </cell>
          <cell r="J367">
            <v>24</v>
          </cell>
          <cell r="K367">
            <v>146</v>
          </cell>
          <cell r="L367">
            <v>300</v>
          </cell>
          <cell r="M367">
            <v>1.242</v>
          </cell>
          <cell r="N367" t="str">
            <v>A</v>
          </cell>
          <cell r="O367">
            <v>1.4</v>
          </cell>
        </row>
        <row r="368">
          <cell r="B368" t="str">
            <v>Nguyeãn Höõu Taøi</v>
          </cell>
          <cell r="D368">
            <v>155</v>
          </cell>
          <cell r="E368">
            <v>26</v>
          </cell>
          <cell r="F368">
            <v>27</v>
          </cell>
          <cell r="G368">
            <v>25</v>
          </cell>
          <cell r="H368">
            <v>26</v>
          </cell>
          <cell r="I368">
            <v>18</v>
          </cell>
          <cell r="J368">
            <v>26</v>
          </cell>
          <cell r="K368">
            <v>148</v>
          </cell>
          <cell r="L368">
            <v>303</v>
          </cell>
          <cell r="M368">
            <v>1.242</v>
          </cell>
          <cell r="N368" t="str">
            <v>A</v>
          </cell>
          <cell r="O368">
            <v>1.4</v>
          </cell>
        </row>
        <row r="369">
          <cell r="B369" t="str">
            <v>Leâ Phaùt Ñaït</v>
          </cell>
          <cell r="D369">
            <v>156</v>
          </cell>
          <cell r="E369">
            <v>26</v>
          </cell>
          <cell r="F369">
            <v>27</v>
          </cell>
          <cell r="G369">
            <v>25</v>
          </cell>
          <cell r="H369">
            <v>27</v>
          </cell>
          <cell r="I369">
            <v>26</v>
          </cell>
          <cell r="J369">
            <v>26</v>
          </cell>
          <cell r="K369">
            <v>157</v>
          </cell>
          <cell r="L369">
            <v>313</v>
          </cell>
          <cell r="M369">
            <v>1.2430000000000001</v>
          </cell>
          <cell r="N369" t="str">
            <v>A</v>
          </cell>
          <cell r="O369">
            <v>1.4</v>
          </cell>
        </row>
        <row r="370">
          <cell r="B370" t="str">
            <v>Nam Taán Löïc</v>
          </cell>
          <cell r="C370" t="str">
            <v>CT</v>
          </cell>
          <cell r="D370">
            <v>154</v>
          </cell>
          <cell r="E370">
            <v>26</v>
          </cell>
          <cell r="F370">
            <v>26</v>
          </cell>
          <cell r="G370">
            <v>25</v>
          </cell>
          <cell r="H370">
            <v>26</v>
          </cell>
          <cell r="I370">
            <v>26</v>
          </cell>
          <cell r="J370">
            <v>17</v>
          </cell>
          <cell r="K370">
            <v>146</v>
          </cell>
          <cell r="L370">
            <v>300</v>
          </cell>
          <cell r="M370">
            <v>1.3</v>
          </cell>
          <cell r="N370" t="str">
            <v>B</v>
          </cell>
          <cell r="O370">
            <v>1.2</v>
          </cell>
          <cell r="Q370" t="str">
            <v>caûnh caùo</v>
          </cell>
        </row>
        <row r="371">
          <cell r="B371" t="str">
            <v>Huyønh Quoác Söû</v>
          </cell>
          <cell r="D371">
            <v>156</v>
          </cell>
          <cell r="E371">
            <v>26</v>
          </cell>
          <cell r="F371">
            <v>27</v>
          </cell>
          <cell r="G371">
            <v>25</v>
          </cell>
          <cell r="H371">
            <v>27</v>
          </cell>
          <cell r="I371">
            <v>6</v>
          </cell>
          <cell r="J371">
            <v>26</v>
          </cell>
          <cell r="K371">
            <v>137</v>
          </cell>
          <cell r="L371">
            <v>293</v>
          </cell>
          <cell r="M371">
            <v>1.1499999999999999</v>
          </cell>
          <cell r="N371" t="str">
            <v>B</v>
          </cell>
          <cell r="O371">
            <v>1.2</v>
          </cell>
          <cell r="Q371" t="str">
            <v>Naèm vieän thieáu coâng</v>
          </cell>
        </row>
        <row r="372">
          <cell r="B372" t="str">
            <v>Tröông Tieán Huøng</v>
          </cell>
          <cell r="D372">
            <v>155</v>
          </cell>
          <cell r="E372">
            <v>26</v>
          </cell>
          <cell r="F372">
            <v>27</v>
          </cell>
          <cell r="G372">
            <v>21</v>
          </cell>
          <cell r="H372">
            <v>27</v>
          </cell>
          <cell r="I372">
            <v>20</v>
          </cell>
          <cell r="J372">
            <v>24</v>
          </cell>
          <cell r="K372">
            <v>145</v>
          </cell>
          <cell r="L372">
            <v>300</v>
          </cell>
          <cell r="M372">
            <v>1.246</v>
          </cell>
          <cell r="N372" t="str">
            <v>A</v>
          </cell>
          <cell r="O372">
            <v>1.4</v>
          </cell>
        </row>
        <row r="373">
          <cell r="B373" t="str">
            <v>Leâ Tröôøng Sa</v>
          </cell>
          <cell r="D373">
            <v>153</v>
          </cell>
          <cell r="E373">
            <v>26</v>
          </cell>
          <cell r="F373">
            <v>27</v>
          </cell>
          <cell r="G373">
            <v>25</v>
          </cell>
          <cell r="H373">
            <v>27</v>
          </cell>
          <cell r="I373">
            <v>24</v>
          </cell>
          <cell r="J373">
            <v>26</v>
          </cell>
          <cell r="K373">
            <v>155</v>
          </cell>
          <cell r="L373">
            <v>308</v>
          </cell>
          <cell r="M373">
            <v>1.1499999999999999</v>
          </cell>
          <cell r="N373" t="str">
            <v>A</v>
          </cell>
          <cell r="O373">
            <v>1.4</v>
          </cell>
        </row>
        <row r="374">
          <cell r="B374" t="str">
            <v>Leâ Kyø Maïnh</v>
          </cell>
          <cell r="H374">
            <v>20</v>
          </cell>
          <cell r="I374">
            <v>26</v>
          </cell>
          <cell r="J374">
            <v>26</v>
          </cell>
          <cell r="K374">
            <v>72</v>
          </cell>
          <cell r="L374">
            <v>72</v>
          </cell>
          <cell r="M374">
            <v>0.86250000000000004</v>
          </cell>
          <cell r="N374" t="str">
            <v>A</v>
          </cell>
          <cell r="O374">
            <v>1.4</v>
          </cell>
        </row>
        <row r="375">
          <cell r="B375" t="str">
            <v>Traàn Vaên Tieån</v>
          </cell>
          <cell r="C375" t="str">
            <v>CT</v>
          </cell>
          <cell r="D375">
            <v>156</v>
          </cell>
          <cell r="E375">
            <v>26</v>
          </cell>
          <cell r="F375">
            <v>27</v>
          </cell>
          <cell r="G375">
            <v>25</v>
          </cell>
          <cell r="H375">
            <v>27</v>
          </cell>
          <cell r="I375">
            <v>25</v>
          </cell>
          <cell r="J375">
            <v>25</v>
          </cell>
          <cell r="K375">
            <v>155</v>
          </cell>
          <cell r="L375">
            <v>311</v>
          </cell>
          <cell r="M375">
            <v>1.2</v>
          </cell>
          <cell r="N375" t="str">
            <v>Xuaát Saéc</v>
          </cell>
          <cell r="O375">
            <v>1.6</v>
          </cell>
          <cell r="Q375" t="str">
            <v>( + 3 DL)</v>
          </cell>
        </row>
        <row r="376">
          <cell r="B376" t="str">
            <v>Trònh Xuaân Thaéng</v>
          </cell>
          <cell r="D376">
            <v>155</v>
          </cell>
          <cell r="E376">
            <v>26</v>
          </cell>
          <cell r="F376">
            <v>27</v>
          </cell>
          <cell r="G376">
            <v>25</v>
          </cell>
          <cell r="H376">
            <v>27</v>
          </cell>
          <cell r="I376">
            <v>26</v>
          </cell>
          <cell r="J376">
            <v>26</v>
          </cell>
          <cell r="K376">
            <v>157</v>
          </cell>
          <cell r="L376">
            <v>312</v>
          </cell>
          <cell r="M376">
            <v>1.1499999999999999</v>
          </cell>
          <cell r="N376" t="str">
            <v>A</v>
          </cell>
          <cell r="O376">
            <v>1.4</v>
          </cell>
        </row>
        <row r="377">
          <cell r="B377" t="str">
            <v>Nguyeãn Vaên Thaém</v>
          </cell>
          <cell r="D377">
            <v>156</v>
          </cell>
          <cell r="E377">
            <v>26</v>
          </cell>
          <cell r="F377">
            <v>27</v>
          </cell>
          <cell r="G377">
            <v>25</v>
          </cell>
          <cell r="H377">
            <v>27</v>
          </cell>
          <cell r="I377">
            <v>26</v>
          </cell>
          <cell r="J377">
            <v>26</v>
          </cell>
          <cell r="K377">
            <v>157</v>
          </cell>
          <cell r="L377">
            <v>313</v>
          </cell>
          <cell r="M377">
            <v>1.1499999999999999</v>
          </cell>
          <cell r="N377" t="str">
            <v>A</v>
          </cell>
          <cell r="O377">
            <v>1.4</v>
          </cell>
        </row>
        <row r="378">
          <cell r="B378" t="str">
            <v>Taøo Chís Sal</v>
          </cell>
          <cell r="D378">
            <v>149</v>
          </cell>
          <cell r="E378">
            <v>25</v>
          </cell>
          <cell r="F378">
            <v>26</v>
          </cell>
          <cell r="G378">
            <v>25</v>
          </cell>
          <cell r="H378">
            <v>25</v>
          </cell>
          <cell r="I378">
            <v>26</v>
          </cell>
          <cell r="J378">
            <v>25</v>
          </cell>
          <cell r="K378">
            <v>152</v>
          </cell>
          <cell r="L378">
            <v>301</v>
          </cell>
          <cell r="M378">
            <v>1.1499999999999999</v>
          </cell>
          <cell r="N378" t="str">
            <v>A</v>
          </cell>
          <cell r="O378">
            <v>1.4</v>
          </cell>
        </row>
        <row r="379">
          <cell r="B379" t="str">
            <v>Nguyeãn Tuaán Kieät</v>
          </cell>
          <cell r="H379">
            <v>20</v>
          </cell>
          <cell r="I379">
            <v>9</v>
          </cell>
          <cell r="J379">
            <v>26</v>
          </cell>
          <cell r="K379">
            <v>55</v>
          </cell>
          <cell r="L379">
            <v>55</v>
          </cell>
          <cell r="M379">
            <v>0.86250000000000004</v>
          </cell>
          <cell r="N379" t="str">
            <v>C</v>
          </cell>
          <cell r="O379">
            <v>1</v>
          </cell>
          <cell r="Q379" t="str">
            <v>Naèm vieän -TNGT ngoaøi</v>
          </cell>
        </row>
        <row r="380">
          <cell r="B380" t="str">
            <v>Leâ Thaùi Bình</v>
          </cell>
          <cell r="D380">
            <v>156</v>
          </cell>
          <cell r="E380">
            <v>26</v>
          </cell>
          <cell r="F380">
            <v>27</v>
          </cell>
          <cell r="G380">
            <v>25</v>
          </cell>
          <cell r="H380">
            <v>27</v>
          </cell>
          <cell r="I380">
            <v>21</v>
          </cell>
          <cell r="J380">
            <v>21</v>
          </cell>
          <cell r="K380">
            <v>147</v>
          </cell>
          <cell r="L380">
            <v>303</v>
          </cell>
          <cell r="M380">
            <v>1.294</v>
          </cell>
          <cell r="N380" t="str">
            <v>C</v>
          </cell>
          <cell r="O380">
            <v>1</v>
          </cell>
          <cell r="Q380" t="str">
            <v>Kyû luaät caûnh caùo</v>
          </cell>
        </row>
        <row r="381">
          <cell r="B381" t="str">
            <v>Nguyeãn Khaéc Vuõ</v>
          </cell>
          <cell r="D381">
            <v>156</v>
          </cell>
          <cell r="E381">
            <v>26</v>
          </cell>
          <cell r="F381">
            <v>27</v>
          </cell>
          <cell r="G381">
            <v>25</v>
          </cell>
          <cell r="H381">
            <v>27</v>
          </cell>
          <cell r="I381">
            <v>25</v>
          </cell>
          <cell r="J381">
            <v>26</v>
          </cell>
          <cell r="K381">
            <v>156</v>
          </cell>
          <cell r="L381">
            <v>312</v>
          </cell>
          <cell r="M381">
            <v>1.1559999999999999</v>
          </cell>
          <cell r="N381" t="str">
            <v>Xuaát Saéc</v>
          </cell>
          <cell r="O381">
            <v>1.6</v>
          </cell>
        </row>
        <row r="382">
          <cell r="B382" t="str">
            <v>Ngoâ Minh Taâm</v>
          </cell>
          <cell r="D382">
            <v>154</v>
          </cell>
          <cell r="E382">
            <v>26</v>
          </cell>
          <cell r="F382">
            <v>27</v>
          </cell>
          <cell r="G382">
            <v>25</v>
          </cell>
          <cell r="H382">
            <v>27</v>
          </cell>
          <cell r="I382">
            <v>25</v>
          </cell>
          <cell r="J382">
            <v>25</v>
          </cell>
          <cell r="K382">
            <v>155</v>
          </cell>
          <cell r="L382">
            <v>309</v>
          </cell>
          <cell r="M382">
            <v>1.1499999999999999</v>
          </cell>
          <cell r="N382" t="str">
            <v>A</v>
          </cell>
          <cell r="O382">
            <v>1.4</v>
          </cell>
        </row>
        <row r="383">
          <cell r="B383" t="str">
            <v>Nguyeãn Vaên Loäc</v>
          </cell>
          <cell r="D383">
            <v>153</v>
          </cell>
          <cell r="E383">
            <v>26</v>
          </cell>
          <cell r="F383">
            <v>27</v>
          </cell>
          <cell r="G383">
            <v>25</v>
          </cell>
          <cell r="H383">
            <v>27</v>
          </cell>
          <cell r="I383">
            <v>26</v>
          </cell>
          <cell r="J383">
            <v>26</v>
          </cell>
          <cell r="K383">
            <v>157</v>
          </cell>
          <cell r="L383">
            <v>310</v>
          </cell>
          <cell r="M383">
            <v>1.149</v>
          </cell>
          <cell r="N383" t="str">
            <v>B</v>
          </cell>
          <cell r="O383">
            <v>1.2</v>
          </cell>
          <cell r="Q383" t="str">
            <v>Khieån traùch</v>
          </cell>
        </row>
        <row r="384">
          <cell r="B384" t="str">
            <v>Traàn Vaên Töôøng</v>
          </cell>
          <cell r="D384">
            <v>156</v>
          </cell>
          <cell r="E384">
            <v>26</v>
          </cell>
          <cell r="F384">
            <v>27</v>
          </cell>
          <cell r="G384">
            <v>20</v>
          </cell>
          <cell r="H384">
            <v>25</v>
          </cell>
          <cell r="I384">
            <v>26</v>
          </cell>
          <cell r="J384">
            <v>25</v>
          </cell>
          <cell r="K384">
            <v>149</v>
          </cell>
          <cell r="L384">
            <v>305</v>
          </cell>
          <cell r="M384">
            <v>1.1499999999999999</v>
          </cell>
          <cell r="N384" t="str">
            <v>B</v>
          </cell>
          <cell r="O384">
            <v>1.2</v>
          </cell>
          <cell r="Q384" t="str">
            <v>Khieån traùch</v>
          </cell>
        </row>
        <row r="385">
          <cell r="B385" t="str">
            <v>Vuõ Duy Thaêng</v>
          </cell>
          <cell r="C385" t="str">
            <v>CT</v>
          </cell>
          <cell r="D385">
            <v>156</v>
          </cell>
          <cell r="E385">
            <v>26</v>
          </cell>
          <cell r="F385">
            <v>27</v>
          </cell>
          <cell r="G385">
            <v>25</v>
          </cell>
          <cell r="H385">
            <v>27</v>
          </cell>
          <cell r="I385">
            <v>25</v>
          </cell>
          <cell r="J385">
            <v>26</v>
          </cell>
          <cell r="K385">
            <v>156</v>
          </cell>
          <cell r="L385">
            <v>312</v>
          </cell>
          <cell r="M385">
            <v>1.3460000000000001</v>
          </cell>
          <cell r="N385" t="str">
            <v>B</v>
          </cell>
          <cell r="O385">
            <v>1.2</v>
          </cell>
          <cell r="Q385" t="str">
            <v>caûnh caùo</v>
          </cell>
        </row>
        <row r="386">
          <cell r="B386" t="str">
            <v>Cao Vaên Thaønh</v>
          </cell>
          <cell r="D386">
            <v>156</v>
          </cell>
          <cell r="E386">
            <v>22</v>
          </cell>
          <cell r="F386">
            <v>26</v>
          </cell>
          <cell r="G386">
            <v>22</v>
          </cell>
          <cell r="H386">
            <v>27</v>
          </cell>
          <cell r="I386">
            <v>26</v>
          </cell>
          <cell r="J386">
            <v>26</v>
          </cell>
          <cell r="K386">
            <v>149</v>
          </cell>
          <cell r="L386">
            <v>305</v>
          </cell>
          <cell r="M386">
            <v>1.268</v>
          </cell>
          <cell r="N386" t="str">
            <v>A</v>
          </cell>
          <cell r="O386">
            <v>1.4</v>
          </cell>
        </row>
        <row r="387">
          <cell r="B387" t="str">
            <v>Löu Ñöùc Ñònh</v>
          </cell>
          <cell r="C387" t="str">
            <v>CP</v>
          </cell>
          <cell r="D387">
            <v>156</v>
          </cell>
          <cell r="E387">
            <v>26</v>
          </cell>
          <cell r="F387">
            <v>27</v>
          </cell>
          <cell r="G387">
            <v>25</v>
          </cell>
          <cell r="H387">
            <v>26</v>
          </cell>
          <cell r="I387">
            <v>26</v>
          </cell>
          <cell r="J387">
            <v>26</v>
          </cell>
          <cell r="K387">
            <v>156</v>
          </cell>
          <cell r="L387">
            <v>312</v>
          </cell>
          <cell r="M387">
            <v>1.319</v>
          </cell>
          <cell r="N387" t="str">
            <v>Xuaát Saéc</v>
          </cell>
          <cell r="O387">
            <v>1.6</v>
          </cell>
        </row>
        <row r="388">
          <cell r="B388" t="str">
            <v>Phaïm Thaùi Hoaø</v>
          </cell>
          <cell r="D388">
            <v>154</v>
          </cell>
          <cell r="E388">
            <v>26</v>
          </cell>
          <cell r="F388">
            <v>27</v>
          </cell>
          <cell r="G388">
            <v>25</v>
          </cell>
          <cell r="H388">
            <v>27</v>
          </cell>
          <cell r="I388">
            <v>23</v>
          </cell>
          <cell r="J388">
            <v>19</v>
          </cell>
          <cell r="K388">
            <v>147</v>
          </cell>
          <cell r="L388">
            <v>301</v>
          </cell>
          <cell r="M388">
            <v>1.2330000000000001</v>
          </cell>
          <cell r="N388" t="str">
            <v>A</v>
          </cell>
          <cell r="O388">
            <v>1.4</v>
          </cell>
        </row>
        <row r="389">
          <cell r="B389" t="str">
            <v>Dö Minh Taâm</v>
          </cell>
          <cell r="D389">
            <v>156</v>
          </cell>
          <cell r="E389">
            <v>26</v>
          </cell>
          <cell r="F389">
            <v>27</v>
          </cell>
          <cell r="G389">
            <v>24</v>
          </cell>
          <cell r="H389">
            <v>27</v>
          </cell>
          <cell r="I389">
            <v>26</v>
          </cell>
          <cell r="J389">
            <v>26</v>
          </cell>
          <cell r="K389">
            <v>156</v>
          </cell>
          <cell r="L389">
            <v>312</v>
          </cell>
          <cell r="M389">
            <v>1.28</v>
          </cell>
          <cell r="N389" t="str">
            <v>A</v>
          </cell>
          <cell r="O389">
            <v>1.4</v>
          </cell>
        </row>
        <row r="390">
          <cell r="B390" t="str">
            <v>Nguyeãn Anh Tuaán A</v>
          </cell>
          <cell r="D390">
            <v>152</v>
          </cell>
          <cell r="E390">
            <v>26</v>
          </cell>
          <cell r="F390">
            <v>27</v>
          </cell>
          <cell r="G390">
            <v>25</v>
          </cell>
          <cell r="H390">
            <v>26</v>
          </cell>
          <cell r="I390">
            <v>26</v>
          </cell>
          <cell r="J390">
            <v>26</v>
          </cell>
          <cell r="K390">
            <v>156</v>
          </cell>
          <cell r="L390">
            <v>308</v>
          </cell>
          <cell r="M390">
            <v>1.228</v>
          </cell>
          <cell r="N390" t="str">
            <v>A</v>
          </cell>
          <cell r="O390">
            <v>1.4</v>
          </cell>
        </row>
        <row r="391">
          <cell r="B391" t="str">
            <v>Ngoâ Xuaân Tueä</v>
          </cell>
          <cell r="D391">
            <v>153</v>
          </cell>
          <cell r="E391">
            <v>26</v>
          </cell>
          <cell r="F391">
            <v>27</v>
          </cell>
          <cell r="G391">
            <v>24</v>
          </cell>
          <cell r="H391">
            <v>27</v>
          </cell>
          <cell r="I391">
            <v>26</v>
          </cell>
          <cell r="J391">
            <v>26</v>
          </cell>
          <cell r="K391">
            <v>156</v>
          </cell>
          <cell r="L391">
            <v>309</v>
          </cell>
          <cell r="M391">
            <v>1.2709999999999999</v>
          </cell>
          <cell r="N391" t="str">
            <v>A</v>
          </cell>
          <cell r="O391">
            <v>1.4</v>
          </cell>
        </row>
        <row r="392">
          <cell r="B392" t="str">
            <v>Nguyeãn Tieán Duõng</v>
          </cell>
          <cell r="D392">
            <v>154</v>
          </cell>
          <cell r="E392">
            <v>24</v>
          </cell>
          <cell r="F392">
            <v>20</v>
          </cell>
          <cell r="G392">
            <v>22</v>
          </cell>
          <cell r="H392">
            <v>25</v>
          </cell>
          <cell r="I392">
            <v>26</v>
          </cell>
          <cell r="J392">
            <v>26</v>
          </cell>
          <cell r="K392">
            <v>143</v>
          </cell>
          <cell r="L392">
            <v>297</v>
          </cell>
          <cell r="M392">
            <v>1.181</v>
          </cell>
          <cell r="N392" t="str">
            <v>A</v>
          </cell>
          <cell r="O392">
            <v>1.4</v>
          </cell>
          <cell r="Q392" t="str">
            <v>Pheùp naêm</v>
          </cell>
        </row>
        <row r="393">
          <cell r="B393" t="str">
            <v>Trònh Ngoïc Toaøn</v>
          </cell>
          <cell r="D393">
            <v>152</v>
          </cell>
          <cell r="E393">
            <v>26</v>
          </cell>
          <cell r="F393">
            <v>26</v>
          </cell>
          <cell r="G393">
            <v>24</v>
          </cell>
          <cell r="H393">
            <v>27</v>
          </cell>
          <cell r="I393">
            <v>25</v>
          </cell>
          <cell r="J393">
            <v>26</v>
          </cell>
          <cell r="K393">
            <v>154</v>
          </cell>
          <cell r="L393">
            <v>306</v>
          </cell>
          <cell r="M393">
            <v>1.1719999999999999</v>
          </cell>
          <cell r="N393" t="str">
            <v>Xuaát Saéc</v>
          </cell>
          <cell r="O393">
            <v>1.6</v>
          </cell>
        </row>
        <row r="394">
          <cell r="B394" t="str">
            <v>Nguyeãn Coâng Danh</v>
          </cell>
          <cell r="D394">
            <v>155</v>
          </cell>
          <cell r="E394">
            <v>26</v>
          </cell>
          <cell r="F394">
            <v>27</v>
          </cell>
          <cell r="G394">
            <v>25</v>
          </cell>
          <cell r="H394">
            <v>27</v>
          </cell>
          <cell r="I394">
            <v>26</v>
          </cell>
          <cell r="J394">
            <v>26</v>
          </cell>
          <cell r="K394">
            <v>157</v>
          </cell>
          <cell r="L394">
            <v>312</v>
          </cell>
          <cell r="M394">
            <v>1.236</v>
          </cell>
          <cell r="N394" t="str">
            <v>A</v>
          </cell>
          <cell r="O394">
            <v>1.4</v>
          </cell>
        </row>
        <row r="395">
          <cell r="B395" t="str">
            <v>Nguyeãn Nhö  Chöôøng</v>
          </cell>
          <cell r="C395" t="str">
            <v>CT</v>
          </cell>
          <cell r="D395">
            <v>133</v>
          </cell>
          <cell r="E395">
            <v>24</v>
          </cell>
          <cell r="F395">
            <v>27</v>
          </cell>
          <cell r="G395">
            <v>25</v>
          </cell>
          <cell r="H395">
            <v>27</v>
          </cell>
          <cell r="I395">
            <v>26</v>
          </cell>
          <cell r="J395">
            <v>26</v>
          </cell>
          <cell r="K395">
            <v>155</v>
          </cell>
          <cell r="L395">
            <v>288</v>
          </cell>
          <cell r="M395">
            <v>1.319</v>
          </cell>
          <cell r="N395" t="str">
            <v>Xuaát Saéc</v>
          </cell>
          <cell r="O395">
            <v>1.6</v>
          </cell>
          <cell r="Q395" t="str">
            <v>Pheùp naêm</v>
          </cell>
        </row>
        <row r="396">
          <cell r="B396" t="str">
            <v>Hoaøng Minh Taân</v>
          </cell>
          <cell r="C396" t="str">
            <v>CP</v>
          </cell>
          <cell r="D396">
            <v>151</v>
          </cell>
          <cell r="E396">
            <v>26</v>
          </cell>
          <cell r="F396">
            <v>27</v>
          </cell>
          <cell r="G396">
            <v>25</v>
          </cell>
          <cell r="H396">
            <v>27</v>
          </cell>
          <cell r="I396">
            <v>26</v>
          </cell>
          <cell r="J396">
            <v>26</v>
          </cell>
          <cell r="K396">
            <v>157</v>
          </cell>
          <cell r="L396">
            <v>308</v>
          </cell>
          <cell r="M396">
            <v>1.3029999999999999</v>
          </cell>
          <cell r="N396" t="str">
            <v>Xuaát Saéc</v>
          </cell>
          <cell r="O396">
            <v>1.6</v>
          </cell>
          <cell r="Q396" t="str">
            <v>( + 18ngaøy naèm vieän do TNGT)</v>
          </cell>
        </row>
        <row r="397">
          <cell r="B397" t="str">
            <v>Nguyeãn Tuaán Anh</v>
          </cell>
          <cell r="D397">
            <v>156</v>
          </cell>
          <cell r="E397">
            <v>26</v>
          </cell>
          <cell r="F397">
            <v>27</v>
          </cell>
          <cell r="G397">
            <v>25</v>
          </cell>
          <cell r="H397">
            <v>27</v>
          </cell>
          <cell r="I397">
            <v>26</v>
          </cell>
          <cell r="J397">
            <v>26</v>
          </cell>
          <cell r="K397">
            <v>157</v>
          </cell>
          <cell r="L397">
            <v>313</v>
          </cell>
          <cell r="M397">
            <v>1.302</v>
          </cell>
          <cell r="N397" t="str">
            <v>A</v>
          </cell>
          <cell r="O397">
            <v>1.4</v>
          </cell>
        </row>
        <row r="398">
          <cell r="B398" t="str">
            <v>Phan Sinh Ngaân</v>
          </cell>
          <cell r="D398">
            <v>153</v>
          </cell>
          <cell r="E398">
            <v>25</v>
          </cell>
          <cell r="F398">
            <v>27</v>
          </cell>
          <cell r="G398">
            <v>25</v>
          </cell>
          <cell r="H398">
            <v>27</v>
          </cell>
          <cell r="I398">
            <v>25</v>
          </cell>
          <cell r="J398">
            <v>25</v>
          </cell>
          <cell r="K398">
            <v>154</v>
          </cell>
          <cell r="L398">
            <v>307</v>
          </cell>
          <cell r="M398">
            <v>1.306</v>
          </cell>
          <cell r="N398" t="str">
            <v>A</v>
          </cell>
          <cell r="O398">
            <v>1.4</v>
          </cell>
        </row>
        <row r="399">
          <cell r="B399" t="str">
            <v>Vuõ Duy Theá</v>
          </cell>
          <cell r="D399">
            <v>156</v>
          </cell>
          <cell r="E399">
            <v>26</v>
          </cell>
          <cell r="F399">
            <v>27</v>
          </cell>
          <cell r="G399">
            <v>24</v>
          </cell>
          <cell r="H399">
            <v>27</v>
          </cell>
          <cell r="I399">
            <v>26</v>
          </cell>
          <cell r="J399">
            <v>26</v>
          </cell>
          <cell r="K399">
            <v>156</v>
          </cell>
          <cell r="L399">
            <v>312</v>
          </cell>
          <cell r="M399">
            <v>1.2709999999999999</v>
          </cell>
          <cell r="N399" t="str">
            <v>A</v>
          </cell>
          <cell r="O399">
            <v>1.4</v>
          </cell>
        </row>
        <row r="400">
          <cell r="B400" t="str">
            <v>Huyønh Quoác Phuù</v>
          </cell>
          <cell r="D400">
            <v>156</v>
          </cell>
          <cell r="E400">
            <v>26</v>
          </cell>
          <cell r="F400">
            <v>27</v>
          </cell>
          <cell r="G400">
            <v>25</v>
          </cell>
          <cell r="H400">
            <v>27</v>
          </cell>
          <cell r="I400">
            <v>26</v>
          </cell>
          <cell r="J400">
            <v>26</v>
          </cell>
          <cell r="K400">
            <v>157</v>
          </cell>
          <cell r="L400">
            <v>313</v>
          </cell>
          <cell r="M400">
            <v>1.2649999999999999</v>
          </cell>
          <cell r="N400" t="str">
            <v>A</v>
          </cell>
          <cell r="O400">
            <v>1.4</v>
          </cell>
        </row>
        <row r="401">
          <cell r="B401" t="str">
            <v>Danh Quang</v>
          </cell>
          <cell r="D401">
            <v>154</v>
          </cell>
          <cell r="E401">
            <v>26</v>
          </cell>
          <cell r="F401">
            <v>27</v>
          </cell>
          <cell r="G401">
            <v>25</v>
          </cell>
          <cell r="H401">
            <v>26</v>
          </cell>
          <cell r="I401">
            <v>26</v>
          </cell>
          <cell r="J401">
            <v>26</v>
          </cell>
          <cell r="K401">
            <v>156</v>
          </cell>
          <cell r="L401">
            <v>310</v>
          </cell>
          <cell r="M401">
            <v>1.2709999999999999</v>
          </cell>
          <cell r="N401" t="str">
            <v>Xuaát Saéc</v>
          </cell>
          <cell r="O401">
            <v>1.6</v>
          </cell>
        </row>
        <row r="402">
          <cell r="B402" t="str">
            <v>Ñoã Minh Taâm</v>
          </cell>
          <cell r="D402">
            <v>156</v>
          </cell>
          <cell r="E402">
            <v>26</v>
          </cell>
          <cell r="F402">
            <v>27</v>
          </cell>
          <cell r="G402">
            <v>25</v>
          </cell>
          <cell r="H402">
            <v>26</v>
          </cell>
          <cell r="I402">
            <v>26</v>
          </cell>
          <cell r="J402">
            <v>26</v>
          </cell>
          <cell r="K402">
            <v>156</v>
          </cell>
          <cell r="L402">
            <v>312</v>
          </cell>
          <cell r="M402">
            <v>1.159</v>
          </cell>
          <cell r="N402" t="str">
            <v>A</v>
          </cell>
          <cell r="O402">
            <v>1.4</v>
          </cell>
        </row>
        <row r="403">
          <cell r="B403" t="str">
            <v>Huyønh Chí Trung</v>
          </cell>
          <cell r="D403">
            <v>153</v>
          </cell>
          <cell r="E403">
            <v>26</v>
          </cell>
          <cell r="F403">
            <v>27</v>
          </cell>
          <cell r="G403">
            <v>25</v>
          </cell>
          <cell r="H403">
            <v>27</v>
          </cell>
          <cell r="I403">
            <v>25</v>
          </cell>
          <cell r="J403">
            <v>25</v>
          </cell>
          <cell r="K403">
            <v>155</v>
          </cell>
          <cell r="L403">
            <v>308</v>
          </cell>
          <cell r="M403">
            <v>1.1339999999999999</v>
          </cell>
          <cell r="N403" t="str">
            <v>A</v>
          </cell>
          <cell r="O403">
            <v>1.4</v>
          </cell>
        </row>
        <row r="404">
          <cell r="B404" t="str">
            <v>Nguyeãn Thaùi Vieät</v>
          </cell>
          <cell r="D404">
            <v>156</v>
          </cell>
          <cell r="E404">
            <v>26</v>
          </cell>
          <cell r="F404">
            <v>27</v>
          </cell>
          <cell r="G404">
            <v>25</v>
          </cell>
          <cell r="H404">
            <v>27</v>
          </cell>
          <cell r="I404">
            <v>26</v>
          </cell>
          <cell r="J404">
            <v>26</v>
          </cell>
          <cell r="K404">
            <v>157</v>
          </cell>
          <cell r="L404">
            <v>313</v>
          </cell>
          <cell r="M404">
            <v>1.177</v>
          </cell>
          <cell r="N404" t="str">
            <v>Xuaát Saéc</v>
          </cell>
          <cell r="O404">
            <v>1.6</v>
          </cell>
        </row>
        <row r="405">
          <cell r="B405" t="str">
            <v>Phaïm Taán Giaøu</v>
          </cell>
          <cell r="C405" t="str">
            <v>CT</v>
          </cell>
          <cell r="D405">
            <v>156</v>
          </cell>
          <cell r="E405">
            <v>26</v>
          </cell>
          <cell r="F405">
            <v>27</v>
          </cell>
          <cell r="G405">
            <v>25</v>
          </cell>
          <cell r="H405">
            <v>27</v>
          </cell>
          <cell r="I405">
            <v>26</v>
          </cell>
          <cell r="J405">
            <v>26</v>
          </cell>
          <cell r="K405">
            <v>157</v>
          </cell>
          <cell r="L405">
            <v>313</v>
          </cell>
          <cell r="M405">
            <v>1.337</v>
          </cell>
          <cell r="N405" t="str">
            <v>B</v>
          </cell>
          <cell r="O405">
            <v>1.2</v>
          </cell>
          <cell r="Q405" t="str">
            <v>caûnh caùo</v>
          </cell>
        </row>
        <row r="406">
          <cell r="B406" t="str">
            <v>Taï Vaên Beâ</v>
          </cell>
          <cell r="C406" t="str">
            <v>CP</v>
          </cell>
          <cell r="D406">
            <v>156</v>
          </cell>
          <cell r="E406">
            <v>26</v>
          </cell>
          <cell r="F406">
            <v>27</v>
          </cell>
          <cell r="G406">
            <v>23</v>
          </cell>
          <cell r="H406">
            <v>27</v>
          </cell>
          <cell r="I406">
            <v>25</v>
          </cell>
          <cell r="J406">
            <v>26</v>
          </cell>
          <cell r="K406">
            <v>154</v>
          </cell>
          <cell r="L406">
            <v>310</v>
          </cell>
          <cell r="M406">
            <v>1.2849999999999999</v>
          </cell>
          <cell r="N406" t="str">
            <v>A</v>
          </cell>
          <cell r="O406">
            <v>1.4</v>
          </cell>
        </row>
        <row r="407">
          <cell r="B407" t="str">
            <v>Cao Trí Duõng</v>
          </cell>
          <cell r="D407">
            <v>156</v>
          </cell>
          <cell r="E407">
            <v>26</v>
          </cell>
          <cell r="F407">
            <v>27</v>
          </cell>
          <cell r="G407">
            <v>23</v>
          </cell>
          <cell r="H407">
            <v>27</v>
          </cell>
          <cell r="I407">
            <v>26</v>
          </cell>
          <cell r="J407">
            <v>24</v>
          </cell>
          <cell r="K407">
            <v>153</v>
          </cell>
          <cell r="L407">
            <v>309</v>
          </cell>
          <cell r="M407">
            <v>1.2490000000000001</v>
          </cell>
          <cell r="N407" t="str">
            <v>A</v>
          </cell>
          <cell r="O407">
            <v>1.4</v>
          </cell>
        </row>
        <row r="408">
          <cell r="B408" t="str">
            <v>Söû Hoaøng Vinh</v>
          </cell>
          <cell r="D408">
            <v>151</v>
          </cell>
          <cell r="E408">
            <v>26</v>
          </cell>
          <cell r="F408">
            <v>27</v>
          </cell>
          <cell r="G408">
            <v>25</v>
          </cell>
          <cell r="H408">
            <v>27</v>
          </cell>
          <cell r="I408">
            <v>26</v>
          </cell>
          <cell r="J408">
            <v>26</v>
          </cell>
          <cell r="K408">
            <v>157</v>
          </cell>
          <cell r="L408">
            <v>308</v>
          </cell>
          <cell r="M408">
            <v>1.2789999999999999</v>
          </cell>
          <cell r="N408" t="str">
            <v>A</v>
          </cell>
          <cell r="O408">
            <v>1.4</v>
          </cell>
        </row>
        <row r="409">
          <cell r="B409" t="str">
            <v>Nguyeãn Tuaán Höng</v>
          </cell>
          <cell r="D409">
            <v>156</v>
          </cell>
          <cell r="E409">
            <v>26</v>
          </cell>
          <cell r="F409">
            <v>27</v>
          </cell>
          <cell r="G409">
            <v>25</v>
          </cell>
          <cell r="H409">
            <v>27</v>
          </cell>
          <cell r="I409">
            <v>26</v>
          </cell>
          <cell r="J409">
            <v>26</v>
          </cell>
          <cell r="K409">
            <v>157</v>
          </cell>
          <cell r="L409">
            <v>313</v>
          </cell>
          <cell r="M409">
            <v>1.282</v>
          </cell>
          <cell r="N409" t="str">
            <v>A</v>
          </cell>
          <cell r="O409">
            <v>1.4</v>
          </cell>
        </row>
        <row r="410">
          <cell r="B410" t="str">
            <v>Thaân Hoaøng Tieán</v>
          </cell>
          <cell r="D410">
            <v>148</v>
          </cell>
          <cell r="E410">
            <v>25</v>
          </cell>
          <cell r="F410">
            <v>27</v>
          </cell>
          <cell r="G410">
            <v>24</v>
          </cell>
          <cell r="H410">
            <v>27</v>
          </cell>
          <cell r="I410">
            <v>22</v>
          </cell>
          <cell r="J410">
            <v>21</v>
          </cell>
          <cell r="K410">
            <v>146</v>
          </cell>
          <cell r="L410">
            <v>294</v>
          </cell>
          <cell r="M410">
            <v>1.038</v>
          </cell>
          <cell r="N410" t="str">
            <v>B</v>
          </cell>
          <cell r="O410">
            <v>1.2</v>
          </cell>
          <cell r="Q410" t="str">
            <v>Vi phaïm NQLÑ</v>
          </cell>
        </row>
        <row r="411">
          <cell r="B411" t="str">
            <v>Cao Vaên UÙt</v>
          </cell>
          <cell r="D411">
            <v>155</v>
          </cell>
          <cell r="E411">
            <v>26</v>
          </cell>
          <cell r="F411">
            <v>27</v>
          </cell>
          <cell r="G411">
            <v>25</v>
          </cell>
          <cell r="H411">
            <v>26</v>
          </cell>
          <cell r="I411">
            <v>26</v>
          </cell>
          <cell r="J411">
            <v>25</v>
          </cell>
          <cell r="K411">
            <v>155</v>
          </cell>
          <cell r="L411">
            <v>310</v>
          </cell>
          <cell r="M411">
            <v>1.266</v>
          </cell>
          <cell r="N411" t="str">
            <v>A</v>
          </cell>
          <cell r="O411">
            <v>1.4</v>
          </cell>
        </row>
        <row r="412">
          <cell r="B412" t="str">
            <v>Nguyeãn Thanh Huøng</v>
          </cell>
          <cell r="D412">
            <v>153</v>
          </cell>
          <cell r="E412">
            <v>26</v>
          </cell>
          <cell r="F412">
            <v>27</v>
          </cell>
          <cell r="G412">
            <v>25</v>
          </cell>
          <cell r="H412">
            <v>27</v>
          </cell>
          <cell r="I412">
            <v>26</v>
          </cell>
          <cell r="J412">
            <v>26</v>
          </cell>
          <cell r="K412">
            <v>157</v>
          </cell>
          <cell r="L412">
            <v>310</v>
          </cell>
          <cell r="M412">
            <v>1.2629999999999999</v>
          </cell>
          <cell r="N412" t="str">
            <v>A</v>
          </cell>
          <cell r="O412">
            <v>1.4</v>
          </cell>
          <cell r="Q412" t="str">
            <v>P.KH chuyeån 7C T.12</v>
          </cell>
        </row>
        <row r="413">
          <cell r="B413" t="str">
            <v>Traàn Ngoïc Ñoâng</v>
          </cell>
          <cell r="D413">
            <v>155</v>
          </cell>
          <cell r="E413">
            <v>25</v>
          </cell>
          <cell r="F413">
            <v>27</v>
          </cell>
          <cell r="G413">
            <v>25</v>
          </cell>
          <cell r="H413">
            <v>27</v>
          </cell>
          <cell r="I413">
            <v>26</v>
          </cell>
          <cell r="J413">
            <v>26</v>
          </cell>
          <cell r="K413">
            <v>156</v>
          </cell>
          <cell r="L413">
            <v>311</v>
          </cell>
          <cell r="M413">
            <v>1.1719999999999999</v>
          </cell>
          <cell r="N413" t="str">
            <v>A</v>
          </cell>
          <cell r="O413">
            <v>1.4</v>
          </cell>
        </row>
        <row r="414">
          <cell r="B414" t="str">
            <v>Leâ Baù Vöông</v>
          </cell>
          <cell r="D414">
            <v>156</v>
          </cell>
          <cell r="E414">
            <v>26</v>
          </cell>
          <cell r="F414">
            <v>27</v>
          </cell>
          <cell r="G414">
            <v>14</v>
          </cell>
          <cell r="H414">
            <v>27</v>
          </cell>
          <cell r="I414">
            <v>26</v>
          </cell>
          <cell r="J414">
            <v>26</v>
          </cell>
          <cell r="K414">
            <v>146</v>
          </cell>
          <cell r="L414">
            <v>302</v>
          </cell>
          <cell r="M414">
            <v>1.167</v>
          </cell>
          <cell r="N414" t="str">
            <v>A</v>
          </cell>
          <cell r="O414">
            <v>1.4</v>
          </cell>
        </row>
        <row r="415">
          <cell r="B415" t="str">
            <v>Vaên Minh Maät</v>
          </cell>
          <cell r="C415" t="str">
            <v>TT</v>
          </cell>
          <cell r="E415">
            <v>26</v>
          </cell>
          <cell r="F415">
            <v>27</v>
          </cell>
          <cell r="G415">
            <v>25</v>
          </cell>
          <cell r="H415">
            <v>27</v>
          </cell>
          <cell r="I415">
            <v>26</v>
          </cell>
          <cell r="J415">
            <v>26</v>
          </cell>
          <cell r="K415">
            <v>157</v>
          </cell>
          <cell r="L415">
            <v>157</v>
          </cell>
          <cell r="M415">
            <v>1.359</v>
          </cell>
          <cell r="N415" t="str">
            <v>A</v>
          </cell>
          <cell r="O415">
            <v>1.4</v>
          </cell>
        </row>
        <row r="416">
          <cell r="B416" t="str">
            <v>Döông Thanh Sôn</v>
          </cell>
          <cell r="D416">
            <v>147</v>
          </cell>
          <cell r="E416">
            <v>26</v>
          </cell>
          <cell r="F416">
            <v>27</v>
          </cell>
          <cell r="G416">
            <v>23</v>
          </cell>
          <cell r="H416">
            <v>27</v>
          </cell>
          <cell r="I416">
            <v>26</v>
          </cell>
          <cell r="J416">
            <v>26</v>
          </cell>
          <cell r="K416">
            <v>155</v>
          </cell>
          <cell r="L416">
            <v>302</v>
          </cell>
          <cell r="M416">
            <v>1.296</v>
          </cell>
          <cell r="N416" t="str">
            <v>A</v>
          </cell>
          <cell r="O416">
            <v>1.4</v>
          </cell>
        </row>
        <row r="417">
          <cell r="B417" t="str">
            <v>Nguyeãn Vaên Hoaø</v>
          </cell>
          <cell r="C417" t="str">
            <v>TP</v>
          </cell>
          <cell r="D417">
            <v>150</v>
          </cell>
          <cell r="E417">
            <v>24</v>
          </cell>
          <cell r="F417">
            <v>26</v>
          </cell>
          <cell r="G417">
            <v>25</v>
          </cell>
          <cell r="H417">
            <v>26</v>
          </cell>
          <cell r="I417">
            <v>26</v>
          </cell>
          <cell r="J417">
            <v>26</v>
          </cell>
          <cell r="K417">
            <v>153</v>
          </cell>
          <cell r="L417">
            <v>303</v>
          </cell>
          <cell r="M417">
            <v>1.3</v>
          </cell>
          <cell r="N417" t="str">
            <v>Xuaát Saéc</v>
          </cell>
          <cell r="O417">
            <v>1.6</v>
          </cell>
        </row>
        <row r="418">
          <cell r="B418" t="str">
            <v>Nguyeãn Taán Cöôøng</v>
          </cell>
          <cell r="D418">
            <v>148</v>
          </cell>
          <cell r="E418">
            <v>26</v>
          </cell>
          <cell r="F418">
            <v>27</v>
          </cell>
          <cell r="G418">
            <v>25</v>
          </cell>
          <cell r="H418">
            <v>27</v>
          </cell>
          <cell r="I418">
            <v>26</v>
          </cell>
          <cell r="J418">
            <v>26</v>
          </cell>
          <cell r="K418">
            <v>157</v>
          </cell>
          <cell r="L418">
            <v>305</v>
          </cell>
          <cell r="M418">
            <v>1.25</v>
          </cell>
          <cell r="N418" t="str">
            <v>Xuaát Saéc</v>
          </cell>
          <cell r="O418">
            <v>1.6</v>
          </cell>
        </row>
        <row r="419">
          <cell r="B419" t="str">
            <v>Danh Höôøng</v>
          </cell>
          <cell r="D419">
            <v>150</v>
          </cell>
          <cell r="E419">
            <v>26</v>
          </cell>
          <cell r="F419">
            <v>27</v>
          </cell>
          <cell r="G419">
            <v>24</v>
          </cell>
          <cell r="H419">
            <v>27</v>
          </cell>
          <cell r="I419">
            <v>26</v>
          </cell>
          <cell r="J419">
            <v>26</v>
          </cell>
          <cell r="K419">
            <v>156</v>
          </cell>
          <cell r="L419">
            <v>306</v>
          </cell>
          <cell r="M419">
            <v>1.25</v>
          </cell>
          <cell r="N419" t="str">
            <v>A</v>
          </cell>
          <cell r="O419">
            <v>1.4</v>
          </cell>
        </row>
        <row r="420">
          <cell r="B420" t="str">
            <v>Thaùi Truyeàn Thoáng</v>
          </cell>
          <cell r="D420">
            <v>151</v>
          </cell>
          <cell r="E420">
            <v>26</v>
          </cell>
          <cell r="F420">
            <v>27</v>
          </cell>
          <cell r="G420">
            <v>25</v>
          </cell>
          <cell r="H420">
            <v>27</v>
          </cell>
          <cell r="I420">
            <v>26</v>
          </cell>
          <cell r="J420">
            <v>26</v>
          </cell>
          <cell r="K420">
            <v>157</v>
          </cell>
          <cell r="L420">
            <v>308</v>
          </cell>
          <cell r="M420">
            <v>1.25</v>
          </cell>
          <cell r="N420" t="str">
            <v>A</v>
          </cell>
          <cell r="O420">
            <v>1.4</v>
          </cell>
        </row>
        <row r="421">
          <cell r="B421" t="str">
            <v>Ng Thanh Sang</v>
          </cell>
          <cell r="D421">
            <v>151</v>
          </cell>
          <cell r="E421">
            <v>26</v>
          </cell>
          <cell r="F421">
            <v>27</v>
          </cell>
          <cell r="G421">
            <v>25</v>
          </cell>
          <cell r="H421">
            <v>27</v>
          </cell>
          <cell r="I421">
            <v>26</v>
          </cell>
          <cell r="J421">
            <v>26</v>
          </cell>
          <cell r="K421">
            <v>157</v>
          </cell>
          <cell r="L421">
            <v>308</v>
          </cell>
          <cell r="M421">
            <v>1.25</v>
          </cell>
          <cell r="N421" t="str">
            <v>A</v>
          </cell>
          <cell r="O421">
            <v>1.4</v>
          </cell>
        </row>
        <row r="422">
          <cell r="B422" t="str">
            <v>Phaïm Vaên Phuù</v>
          </cell>
          <cell r="D422">
            <v>151</v>
          </cell>
          <cell r="E422">
            <v>26</v>
          </cell>
          <cell r="F422">
            <v>27</v>
          </cell>
          <cell r="G422">
            <v>25</v>
          </cell>
          <cell r="H422">
            <v>27</v>
          </cell>
          <cell r="I422">
            <v>26</v>
          </cell>
          <cell r="J422">
            <v>26</v>
          </cell>
          <cell r="K422">
            <v>157</v>
          </cell>
          <cell r="L422">
            <v>308</v>
          </cell>
          <cell r="M422">
            <v>1.25</v>
          </cell>
          <cell r="N422" t="str">
            <v>A</v>
          </cell>
          <cell r="O422">
            <v>1.4</v>
          </cell>
        </row>
        <row r="423">
          <cell r="B423" t="str">
            <v>Voõ ngoïc Phöôùc</v>
          </cell>
          <cell r="D423">
            <v>147</v>
          </cell>
          <cell r="E423">
            <v>26</v>
          </cell>
          <cell r="F423">
            <v>27</v>
          </cell>
          <cell r="G423">
            <v>23</v>
          </cell>
          <cell r="H423">
            <v>27</v>
          </cell>
          <cell r="I423">
            <v>26</v>
          </cell>
          <cell r="J423">
            <v>26</v>
          </cell>
          <cell r="K423">
            <v>155</v>
          </cell>
          <cell r="L423">
            <v>302</v>
          </cell>
          <cell r="M423">
            <v>1.25</v>
          </cell>
          <cell r="N423" t="str">
            <v>A</v>
          </cell>
          <cell r="O423">
            <v>1.4</v>
          </cell>
        </row>
        <row r="424">
          <cell r="B424" t="str">
            <v>Lám Quang Sang</v>
          </cell>
          <cell r="H424">
            <v>20</v>
          </cell>
          <cell r="I424">
            <v>26</v>
          </cell>
          <cell r="J424">
            <v>26</v>
          </cell>
          <cell r="K424">
            <v>72</v>
          </cell>
          <cell r="L424">
            <v>72</v>
          </cell>
          <cell r="M424">
            <v>0.86250000000000004</v>
          </cell>
          <cell r="N424" t="str">
            <v>A</v>
          </cell>
          <cell r="O424">
            <v>1.4</v>
          </cell>
          <cell r="Q424" t="str">
            <v>HÑ môùi</v>
          </cell>
        </row>
        <row r="425">
          <cell r="B425" t="str">
            <v>Buøi Ñình Giaùp</v>
          </cell>
          <cell r="D425">
            <v>156</v>
          </cell>
          <cell r="E425">
            <v>26</v>
          </cell>
          <cell r="F425">
            <v>26</v>
          </cell>
          <cell r="G425">
            <v>25</v>
          </cell>
          <cell r="H425">
            <v>13</v>
          </cell>
          <cell r="I425">
            <v>18</v>
          </cell>
          <cell r="J425">
            <v>26</v>
          </cell>
          <cell r="K425">
            <v>134</v>
          </cell>
          <cell r="L425">
            <v>290</v>
          </cell>
          <cell r="M425">
            <v>1.25</v>
          </cell>
          <cell r="N425" t="str">
            <v>Xuaát Saéc</v>
          </cell>
          <cell r="O425">
            <v>1.6</v>
          </cell>
          <cell r="Q425" t="str">
            <v>?  Ngaøy coâng o ñuû-Pheùp naêm</v>
          </cell>
        </row>
        <row r="426">
          <cell r="B426" t="str">
            <v>Laâm Vaên Giang</v>
          </cell>
          <cell r="D426">
            <v>156</v>
          </cell>
          <cell r="E426">
            <v>26</v>
          </cell>
          <cell r="F426">
            <v>27</v>
          </cell>
          <cell r="G426">
            <v>25</v>
          </cell>
          <cell r="H426">
            <v>27</v>
          </cell>
          <cell r="I426">
            <v>26</v>
          </cell>
          <cell r="J426">
            <v>26</v>
          </cell>
          <cell r="K426">
            <v>157</v>
          </cell>
          <cell r="L426">
            <v>313</v>
          </cell>
          <cell r="M426">
            <v>1.25</v>
          </cell>
          <cell r="N426" t="str">
            <v>A</v>
          </cell>
          <cell r="O426">
            <v>1.4</v>
          </cell>
        </row>
        <row r="427">
          <cell r="B427" t="str">
            <v>Trieäu Quang Höng</v>
          </cell>
          <cell r="D427">
            <v>156</v>
          </cell>
          <cell r="E427">
            <v>22</v>
          </cell>
          <cell r="F427">
            <v>26</v>
          </cell>
          <cell r="G427">
            <v>25</v>
          </cell>
          <cell r="H427">
            <v>27</v>
          </cell>
          <cell r="I427">
            <v>26</v>
          </cell>
          <cell r="J427">
            <v>26</v>
          </cell>
          <cell r="K427">
            <v>152</v>
          </cell>
          <cell r="L427">
            <v>308</v>
          </cell>
          <cell r="M427">
            <v>1.25</v>
          </cell>
          <cell r="N427" t="str">
            <v>A</v>
          </cell>
          <cell r="O427">
            <v>1.4</v>
          </cell>
        </row>
        <row r="428">
          <cell r="B428" t="str">
            <v>Leâ ngoïc Bieân</v>
          </cell>
          <cell r="D428">
            <v>156</v>
          </cell>
          <cell r="E428">
            <v>26</v>
          </cell>
          <cell r="F428">
            <v>27</v>
          </cell>
          <cell r="G428">
            <v>24</v>
          </cell>
          <cell r="H428">
            <v>27</v>
          </cell>
          <cell r="I428">
            <v>26</v>
          </cell>
          <cell r="J428">
            <v>26</v>
          </cell>
          <cell r="K428">
            <v>156</v>
          </cell>
          <cell r="L428">
            <v>312</v>
          </cell>
          <cell r="M428">
            <v>1.25</v>
          </cell>
          <cell r="N428" t="str">
            <v>A</v>
          </cell>
          <cell r="O428">
            <v>1.4</v>
          </cell>
          <cell r="Q428" t="str">
            <v>caûnh caùo (Hoäi ñoàng xeùt A)</v>
          </cell>
        </row>
        <row r="429">
          <cell r="B429" t="str">
            <v>Nguyeãn Vaên Laäp</v>
          </cell>
          <cell r="D429">
            <v>154</v>
          </cell>
          <cell r="E429">
            <v>26</v>
          </cell>
          <cell r="F429">
            <v>27</v>
          </cell>
          <cell r="G429">
            <v>24</v>
          </cell>
          <cell r="H429">
            <v>27</v>
          </cell>
          <cell r="I429">
            <v>26</v>
          </cell>
          <cell r="J429">
            <v>26</v>
          </cell>
          <cell r="K429">
            <v>156</v>
          </cell>
          <cell r="L429">
            <v>310</v>
          </cell>
          <cell r="M429">
            <v>1.25</v>
          </cell>
          <cell r="N429" t="str">
            <v>A</v>
          </cell>
          <cell r="O429">
            <v>1.4</v>
          </cell>
        </row>
        <row r="430">
          <cell r="B430" t="str">
            <v>Nguyeãn Phuù Tuùc</v>
          </cell>
          <cell r="D430">
            <v>156</v>
          </cell>
          <cell r="E430">
            <v>26</v>
          </cell>
          <cell r="F430">
            <v>27</v>
          </cell>
          <cell r="G430">
            <v>25</v>
          </cell>
          <cell r="H430">
            <v>26</v>
          </cell>
          <cell r="I430">
            <v>26</v>
          </cell>
          <cell r="J430">
            <v>26</v>
          </cell>
          <cell r="K430">
            <v>156</v>
          </cell>
          <cell r="L430">
            <v>312</v>
          </cell>
          <cell r="M430">
            <v>1.234</v>
          </cell>
          <cell r="N430" t="str">
            <v>A</v>
          </cell>
          <cell r="O430">
            <v>1.4</v>
          </cell>
        </row>
        <row r="431">
          <cell r="B431" t="str">
            <v>Traàn Ñình Long</v>
          </cell>
          <cell r="D431">
            <v>156</v>
          </cell>
          <cell r="E431">
            <v>26</v>
          </cell>
          <cell r="F431">
            <v>27</v>
          </cell>
          <cell r="G431">
            <v>25</v>
          </cell>
          <cell r="H431">
            <v>27</v>
          </cell>
          <cell r="I431">
            <v>26</v>
          </cell>
          <cell r="J431">
            <v>26</v>
          </cell>
          <cell r="K431">
            <v>157</v>
          </cell>
          <cell r="L431">
            <v>313</v>
          </cell>
          <cell r="M431">
            <v>1.25</v>
          </cell>
          <cell r="N431" t="str">
            <v>A</v>
          </cell>
          <cell r="O431">
            <v>1.4</v>
          </cell>
        </row>
        <row r="432">
          <cell r="B432" t="str">
            <v>Toâ Ngoïc Mai</v>
          </cell>
          <cell r="D432">
            <v>154</v>
          </cell>
          <cell r="E432">
            <v>26</v>
          </cell>
          <cell r="F432">
            <v>27</v>
          </cell>
          <cell r="G432">
            <v>25</v>
          </cell>
          <cell r="H432">
            <v>27</v>
          </cell>
          <cell r="I432">
            <v>26</v>
          </cell>
          <cell r="J432">
            <v>26</v>
          </cell>
          <cell r="K432">
            <v>157</v>
          </cell>
          <cell r="L432">
            <v>311</v>
          </cell>
          <cell r="M432">
            <v>1.3</v>
          </cell>
          <cell r="N432" t="str">
            <v>Xuaát Saéc</v>
          </cell>
          <cell r="O432">
            <v>1.6</v>
          </cell>
        </row>
        <row r="433">
          <cell r="B433" t="str">
            <v>Ng  Coâng Laønh</v>
          </cell>
          <cell r="D433">
            <v>148</v>
          </cell>
          <cell r="E433">
            <v>26</v>
          </cell>
          <cell r="F433">
            <v>27</v>
          </cell>
          <cell r="G433">
            <v>25</v>
          </cell>
          <cell r="H433">
            <v>27</v>
          </cell>
          <cell r="I433">
            <v>23</v>
          </cell>
          <cell r="J433">
            <v>24</v>
          </cell>
          <cell r="K433">
            <v>152</v>
          </cell>
          <cell r="L433">
            <v>300</v>
          </cell>
          <cell r="M433">
            <v>1.25</v>
          </cell>
          <cell r="N433" t="str">
            <v>A</v>
          </cell>
          <cell r="O433">
            <v>1.4</v>
          </cell>
        </row>
        <row r="434">
          <cell r="B434" t="str">
            <v>Ñaøm Ñöùc Minh</v>
          </cell>
          <cell r="D434">
            <v>150</v>
          </cell>
          <cell r="E434">
            <v>26</v>
          </cell>
          <cell r="F434">
            <v>27</v>
          </cell>
          <cell r="G434">
            <v>25</v>
          </cell>
          <cell r="H434">
            <v>27</v>
          </cell>
          <cell r="I434">
            <v>26</v>
          </cell>
          <cell r="J434">
            <v>26</v>
          </cell>
          <cell r="K434">
            <v>157</v>
          </cell>
          <cell r="L434">
            <v>307</v>
          </cell>
          <cell r="M434">
            <v>1.25</v>
          </cell>
          <cell r="N434" t="str">
            <v>A</v>
          </cell>
          <cell r="O434">
            <v>1.4</v>
          </cell>
        </row>
        <row r="435">
          <cell r="B435" t="str">
            <v>Mai Vaên Tröïc</v>
          </cell>
          <cell r="D435">
            <v>156</v>
          </cell>
          <cell r="E435">
            <v>26</v>
          </cell>
          <cell r="F435">
            <v>27</v>
          </cell>
          <cell r="G435">
            <v>25</v>
          </cell>
          <cell r="H435">
            <v>18</v>
          </cell>
          <cell r="I435">
            <v>23</v>
          </cell>
          <cell r="J435">
            <v>26</v>
          </cell>
          <cell r="K435">
            <v>145</v>
          </cell>
          <cell r="L435">
            <v>301</v>
          </cell>
          <cell r="M435">
            <v>1.25</v>
          </cell>
          <cell r="N435" t="str">
            <v>A</v>
          </cell>
          <cell r="O435">
            <v>1.4</v>
          </cell>
        </row>
        <row r="436">
          <cell r="B436" t="str">
            <v>Laâm Vaên Sang</v>
          </cell>
          <cell r="C436" t="str">
            <v>CT</v>
          </cell>
          <cell r="D436">
            <v>156</v>
          </cell>
          <cell r="E436">
            <v>26</v>
          </cell>
          <cell r="F436">
            <v>27</v>
          </cell>
          <cell r="G436">
            <v>25</v>
          </cell>
          <cell r="H436">
            <v>27</v>
          </cell>
          <cell r="I436">
            <v>26</v>
          </cell>
          <cell r="J436">
            <v>26</v>
          </cell>
          <cell r="K436">
            <v>157</v>
          </cell>
          <cell r="L436">
            <v>313</v>
          </cell>
          <cell r="M436">
            <v>1.302</v>
          </cell>
          <cell r="N436" t="str">
            <v>B</v>
          </cell>
          <cell r="O436">
            <v>1.2</v>
          </cell>
          <cell r="Q436" t="str">
            <v>caûnh caùo</v>
          </cell>
        </row>
        <row r="437">
          <cell r="B437" t="str">
            <v>Buøi Huy Chöông</v>
          </cell>
          <cell r="D437">
            <v>141</v>
          </cell>
          <cell r="E437">
            <v>26</v>
          </cell>
          <cell r="F437">
            <v>27</v>
          </cell>
          <cell r="G437">
            <v>25</v>
          </cell>
          <cell r="H437">
            <v>27</v>
          </cell>
          <cell r="I437">
            <v>22</v>
          </cell>
          <cell r="J437">
            <v>25</v>
          </cell>
          <cell r="K437">
            <v>152</v>
          </cell>
          <cell r="L437">
            <v>293</v>
          </cell>
          <cell r="M437">
            <v>1.151</v>
          </cell>
          <cell r="N437" t="str">
            <v>A</v>
          </cell>
          <cell r="O437">
            <v>1.4</v>
          </cell>
        </row>
        <row r="438">
          <cell r="B438" t="str">
            <v>Nguyeãn Höõu Thaïnh</v>
          </cell>
          <cell r="D438">
            <v>156</v>
          </cell>
          <cell r="E438">
            <v>26</v>
          </cell>
          <cell r="F438">
            <v>27</v>
          </cell>
          <cell r="G438">
            <v>24</v>
          </cell>
          <cell r="H438">
            <v>27</v>
          </cell>
          <cell r="I438">
            <v>26</v>
          </cell>
          <cell r="J438">
            <v>26</v>
          </cell>
          <cell r="K438">
            <v>156</v>
          </cell>
          <cell r="L438">
            <v>312</v>
          </cell>
          <cell r="M438">
            <v>1.151</v>
          </cell>
          <cell r="N438" t="str">
            <v>A</v>
          </cell>
          <cell r="O438">
            <v>1.4</v>
          </cell>
        </row>
        <row r="439">
          <cell r="B439" t="str">
            <v>Laâm Höõu Thöùc</v>
          </cell>
          <cell r="D439">
            <v>139</v>
          </cell>
          <cell r="E439">
            <v>26</v>
          </cell>
          <cell r="F439">
            <v>24</v>
          </cell>
          <cell r="G439">
            <v>20</v>
          </cell>
          <cell r="H439">
            <v>27</v>
          </cell>
          <cell r="I439">
            <v>23</v>
          </cell>
          <cell r="J439">
            <v>23</v>
          </cell>
          <cell r="K439">
            <v>143</v>
          </cell>
          <cell r="L439">
            <v>282</v>
          </cell>
          <cell r="M439">
            <v>1.1850000000000001</v>
          </cell>
          <cell r="N439" t="str">
            <v>B</v>
          </cell>
          <cell r="O439">
            <v>1.2</v>
          </cell>
          <cell r="Q439" t="str">
            <v>Vi phaïm NQLÑ</v>
          </cell>
        </row>
        <row r="440">
          <cell r="B440" t="str">
            <v>Nguyeãn Xuaân Möôøi</v>
          </cell>
          <cell r="D440">
            <v>155</v>
          </cell>
          <cell r="E440">
            <v>26</v>
          </cell>
          <cell r="F440">
            <v>27</v>
          </cell>
          <cell r="G440">
            <v>25</v>
          </cell>
          <cell r="H440">
            <v>27</v>
          </cell>
          <cell r="I440">
            <v>19</v>
          </cell>
          <cell r="J440">
            <v>26</v>
          </cell>
          <cell r="K440">
            <v>150</v>
          </cell>
          <cell r="L440">
            <v>305</v>
          </cell>
          <cell r="M440">
            <v>1.206</v>
          </cell>
          <cell r="N440" t="str">
            <v>A</v>
          </cell>
          <cell r="O440">
            <v>1.4</v>
          </cell>
        </row>
        <row r="441">
          <cell r="B441" t="str">
            <v>Traàn Vaên Ñaït</v>
          </cell>
          <cell r="D441">
            <v>153</v>
          </cell>
          <cell r="E441">
            <v>26</v>
          </cell>
          <cell r="F441">
            <v>27</v>
          </cell>
          <cell r="G441">
            <v>25</v>
          </cell>
          <cell r="H441">
            <v>24</v>
          </cell>
          <cell r="I441">
            <v>26</v>
          </cell>
          <cell r="J441">
            <v>26</v>
          </cell>
          <cell r="K441">
            <v>154</v>
          </cell>
          <cell r="L441">
            <v>307</v>
          </cell>
          <cell r="M441">
            <v>1.171</v>
          </cell>
          <cell r="N441" t="str">
            <v>Xuaát Saéc</v>
          </cell>
          <cell r="O441">
            <v>1.6</v>
          </cell>
        </row>
        <row r="442">
          <cell r="B442" t="str">
            <v>Traàn Vaên Tieán</v>
          </cell>
          <cell r="D442">
            <v>156</v>
          </cell>
          <cell r="E442">
            <v>26</v>
          </cell>
          <cell r="F442">
            <v>25</v>
          </cell>
          <cell r="G442">
            <v>25</v>
          </cell>
          <cell r="H442">
            <v>27</v>
          </cell>
          <cell r="I442">
            <v>26</v>
          </cell>
          <cell r="J442">
            <v>26</v>
          </cell>
          <cell r="K442">
            <v>155</v>
          </cell>
          <cell r="L442">
            <v>311</v>
          </cell>
          <cell r="M442">
            <v>1.165</v>
          </cell>
          <cell r="N442" t="str">
            <v>A</v>
          </cell>
          <cell r="O442">
            <v>1.4</v>
          </cell>
        </row>
        <row r="443">
          <cell r="B443" t="str">
            <v>Trònh Vaên Thaùi</v>
          </cell>
          <cell r="H443">
            <v>24</v>
          </cell>
          <cell r="I443">
            <v>26</v>
          </cell>
          <cell r="J443">
            <v>26</v>
          </cell>
          <cell r="K443">
            <v>76</v>
          </cell>
          <cell r="L443">
            <v>76</v>
          </cell>
          <cell r="M443">
            <v>0.86250000000000004</v>
          </cell>
          <cell r="N443" t="str">
            <v>A</v>
          </cell>
          <cell r="O443">
            <v>1.4</v>
          </cell>
        </row>
        <row r="444">
          <cell r="B444" t="str">
            <v>Nguyeãn Hoaøng Nam</v>
          </cell>
          <cell r="C444" t="str">
            <v>CT</v>
          </cell>
          <cell r="D444">
            <v>148</v>
          </cell>
          <cell r="E444">
            <v>25</v>
          </cell>
          <cell r="F444">
            <v>27</v>
          </cell>
          <cell r="G444">
            <v>25</v>
          </cell>
          <cell r="H444">
            <v>27</v>
          </cell>
          <cell r="I444">
            <v>25</v>
          </cell>
          <cell r="J444">
            <v>26</v>
          </cell>
          <cell r="K444">
            <v>155</v>
          </cell>
          <cell r="L444">
            <v>303</v>
          </cell>
          <cell r="M444">
            <v>1.2</v>
          </cell>
          <cell r="N444" t="str">
            <v>Xuaát Saéc</v>
          </cell>
          <cell r="O444">
            <v>1.6</v>
          </cell>
        </row>
        <row r="445">
          <cell r="B445" t="str">
            <v>Traàn Anh Tuaán</v>
          </cell>
          <cell r="D445">
            <v>145</v>
          </cell>
          <cell r="E445">
            <v>26</v>
          </cell>
          <cell r="F445">
            <v>26</v>
          </cell>
          <cell r="G445">
            <v>25</v>
          </cell>
          <cell r="H445">
            <v>27</v>
          </cell>
          <cell r="I445">
            <v>21</v>
          </cell>
          <cell r="J445">
            <v>24</v>
          </cell>
          <cell r="K445">
            <v>149</v>
          </cell>
          <cell r="L445">
            <v>294</v>
          </cell>
          <cell r="M445">
            <v>1.1499999999999999</v>
          </cell>
          <cell r="N445" t="str">
            <v>B</v>
          </cell>
          <cell r="O445">
            <v>1.2</v>
          </cell>
          <cell r="Q445" t="str">
            <v>khieån traùch</v>
          </cell>
        </row>
        <row r="446">
          <cell r="B446" t="str">
            <v>Ñoã Ñaêng Khoa</v>
          </cell>
          <cell r="D446">
            <v>155</v>
          </cell>
          <cell r="E446">
            <v>26</v>
          </cell>
          <cell r="F446">
            <v>27</v>
          </cell>
          <cell r="G446">
            <v>25</v>
          </cell>
          <cell r="H446">
            <v>27</v>
          </cell>
          <cell r="I446">
            <v>25</v>
          </cell>
          <cell r="J446">
            <v>26</v>
          </cell>
          <cell r="K446">
            <v>156</v>
          </cell>
          <cell r="L446">
            <v>311</v>
          </cell>
          <cell r="M446">
            <v>1.1499999999999999</v>
          </cell>
          <cell r="N446" t="str">
            <v>B</v>
          </cell>
          <cell r="O446">
            <v>1.2</v>
          </cell>
          <cell r="Q446" t="str">
            <v>khieån traùch</v>
          </cell>
        </row>
        <row r="447">
          <cell r="B447" t="str">
            <v>Ñaøo Vaên Phuùc</v>
          </cell>
          <cell r="D447">
            <v>156</v>
          </cell>
          <cell r="E447">
            <v>26</v>
          </cell>
          <cell r="F447">
            <v>27</v>
          </cell>
          <cell r="G447">
            <v>25</v>
          </cell>
          <cell r="H447">
            <v>27</v>
          </cell>
          <cell r="I447">
            <v>25</v>
          </cell>
          <cell r="J447">
            <v>26</v>
          </cell>
          <cell r="K447">
            <v>156</v>
          </cell>
          <cell r="L447">
            <v>312</v>
          </cell>
          <cell r="M447">
            <v>1.1499999999999999</v>
          </cell>
          <cell r="N447" t="str">
            <v>Xuaát Saéc</v>
          </cell>
          <cell r="O447">
            <v>1.6</v>
          </cell>
        </row>
        <row r="448">
          <cell r="B448" t="str">
            <v>Buøi Ñöùc Bieàn</v>
          </cell>
          <cell r="D448">
            <v>155</v>
          </cell>
          <cell r="E448">
            <v>26</v>
          </cell>
          <cell r="F448">
            <v>27</v>
          </cell>
          <cell r="G448">
            <v>25</v>
          </cell>
          <cell r="H448">
            <v>24</v>
          </cell>
          <cell r="I448">
            <v>24</v>
          </cell>
          <cell r="J448">
            <v>26</v>
          </cell>
          <cell r="K448">
            <v>152</v>
          </cell>
          <cell r="L448">
            <v>307</v>
          </cell>
          <cell r="M448">
            <v>1.198</v>
          </cell>
          <cell r="N448" t="str">
            <v>A</v>
          </cell>
          <cell r="O448">
            <v>1.4</v>
          </cell>
        </row>
        <row r="449">
          <cell r="B449" t="str">
            <v>Nguyeãn Ngoïc Löôïng</v>
          </cell>
          <cell r="D449">
            <v>156</v>
          </cell>
          <cell r="E449">
            <v>24</v>
          </cell>
          <cell r="F449">
            <v>26</v>
          </cell>
          <cell r="G449">
            <v>25</v>
          </cell>
          <cell r="H449">
            <v>23</v>
          </cell>
          <cell r="I449">
            <v>26</v>
          </cell>
          <cell r="J449">
            <v>26</v>
          </cell>
          <cell r="K449">
            <v>150</v>
          </cell>
          <cell r="L449">
            <v>306</v>
          </cell>
          <cell r="M449">
            <v>1.2</v>
          </cell>
          <cell r="N449" t="str">
            <v>B</v>
          </cell>
          <cell r="O449">
            <v>1.2</v>
          </cell>
          <cell r="Q449" t="str">
            <v>khieån traùch</v>
          </cell>
        </row>
        <row r="450">
          <cell r="B450" t="str">
            <v>Laâm Nhaät Tröôøng</v>
          </cell>
          <cell r="H450">
            <v>24</v>
          </cell>
          <cell r="I450">
            <v>26</v>
          </cell>
          <cell r="J450">
            <v>26</v>
          </cell>
          <cell r="K450">
            <v>76</v>
          </cell>
          <cell r="L450">
            <v>76</v>
          </cell>
          <cell r="M450">
            <v>0.86250000000000004</v>
          </cell>
          <cell r="N450" t="str">
            <v>A</v>
          </cell>
          <cell r="O450">
            <v>1.4</v>
          </cell>
        </row>
        <row r="451">
          <cell r="B451" t="str">
            <v>Huyønh Thanh Phong</v>
          </cell>
          <cell r="H451">
            <v>24</v>
          </cell>
          <cell r="I451">
            <v>14</v>
          </cell>
          <cell r="L451">
            <v>0</v>
          </cell>
        </row>
        <row r="452">
          <cell r="B452" t="str">
            <v>Traàn Vieät Quoác</v>
          </cell>
          <cell r="C452" t="str">
            <v>CT</v>
          </cell>
          <cell r="D452">
            <v>155</v>
          </cell>
          <cell r="E452">
            <v>25</v>
          </cell>
          <cell r="F452">
            <v>26</v>
          </cell>
          <cell r="G452">
            <v>25</v>
          </cell>
          <cell r="H452">
            <v>27</v>
          </cell>
          <cell r="I452">
            <v>26</v>
          </cell>
          <cell r="J452">
            <v>26</v>
          </cell>
          <cell r="K452">
            <v>155</v>
          </cell>
          <cell r="L452">
            <v>310</v>
          </cell>
          <cell r="M452">
            <v>1.3</v>
          </cell>
          <cell r="N452" t="str">
            <v>B</v>
          </cell>
          <cell r="O452">
            <v>1.2</v>
          </cell>
          <cell r="Q452" t="str">
            <v>caûnh caùo</v>
          </cell>
        </row>
        <row r="453">
          <cell r="B453" t="str">
            <v>Nguyeãn Anh Tuaán B</v>
          </cell>
          <cell r="D453">
            <v>156</v>
          </cell>
          <cell r="E453">
            <v>26</v>
          </cell>
          <cell r="F453">
            <v>27</v>
          </cell>
          <cell r="G453">
            <v>25</v>
          </cell>
          <cell r="H453">
            <v>25</v>
          </cell>
          <cell r="I453">
            <v>26</v>
          </cell>
          <cell r="J453">
            <v>26</v>
          </cell>
          <cell r="K453">
            <v>155</v>
          </cell>
          <cell r="L453">
            <v>311</v>
          </cell>
          <cell r="M453">
            <v>1.1990000000000001</v>
          </cell>
          <cell r="N453" t="str">
            <v>Xuaát Saéc</v>
          </cell>
          <cell r="O453">
            <v>1.6</v>
          </cell>
        </row>
        <row r="454">
          <cell r="B454" t="str">
            <v>Trieäu Vaên Long</v>
          </cell>
          <cell r="D454">
            <v>155</v>
          </cell>
          <cell r="E454">
            <v>26</v>
          </cell>
          <cell r="F454">
            <v>27</v>
          </cell>
          <cell r="G454">
            <v>25</v>
          </cell>
          <cell r="H454">
            <v>27</v>
          </cell>
          <cell r="I454">
            <v>25</v>
          </cell>
          <cell r="J454">
            <v>26</v>
          </cell>
          <cell r="K454">
            <v>156</v>
          </cell>
          <cell r="L454">
            <v>311</v>
          </cell>
          <cell r="M454">
            <v>1.1499999999999999</v>
          </cell>
          <cell r="N454" t="str">
            <v>A</v>
          </cell>
          <cell r="O454">
            <v>1.4</v>
          </cell>
        </row>
        <row r="455">
          <cell r="B455" t="str">
            <v>Ngoâ Quoác Maïnh</v>
          </cell>
          <cell r="D455">
            <v>155</v>
          </cell>
          <cell r="E455">
            <v>26</v>
          </cell>
          <cell r="F455">
            <v>27</v>
          </cell>
          <cell r="G455">
            <v>25</v>
          </cell>
          <cell r="H455">
            <v>27</v>
          </cell>
          <cell r="I455">
            <v>25</v>
          </cell>
          <cell r="J455">
            <v>26</v>
          </cell>
          <cell r="K455">
            <v>156</v>
          </cell>
          <cell r="L455">
            <v>311</v>
          </cell>
          <cell r="M455">
            <v>1.1659999999999999</v>
          </cell>
          <cell r="N455" t="str">
            <v>A</v>
          </cell>
          <cell r="O455">
            <v>1.4</v>
          </cell>
        </row>
        <row r="456">
          <cell r="B456" t="str">
            <v>Nguyeãn Thanh Lieâm</v>
          </cell>
          <cell r="D456">
            <v>155</v>
          </cell>
          <cell r="E456">
            <v>26</v>
          </cell>
          <cell r="F456">
            <v>26</v>
          </cell>
          <cell r="G456">
            <v>25</v>
          </cell>
          <cell r="H456">
            <v>27</v>
          </cell>
          <cell r="I456">
            <v>26</v>
          </cell>
          <cell r="J456">
            <v>26</v>
          </cell>
          <cell r="K456">
            <v>156</v>
          </cell>
          <cell r="L456">
            <v>311</v>
          </cell>
          <cell r="M456">
            <v>1.1499999999999999</v>
          </cell>
          <cell r="N456" t="str">
            <v>A</v>
          </cell>
          <cell r="O456">
            <v>1.4</v>
          </cell>
        </row>
        <row r="457">
          <cell r="B457" t="str">
            <v>Buøi Huy Trung</v>
          </cell>
          <cell r="D457">
            <v>151</v>
          </cell>
          <cell r="E457">
            <v>26</v>
          </cell>
          <cell r="F457">
            <v>27</v>
          </cell>
          <cell r="G457">
            <v>25</v>
          </cell>
          <cell r="H457">
            <v>25</v>
          </cell>
          <cell r="I457">
            <v>25</v>
          </cell>
          <cell r="J457">
            <v>22</v>
          </cell>
          <cell r="K457">
            <v>150</v>
          </cell>
          <cell r="L457">
            <v>301</v>
          </cell>
          <cell r="M457">
            <v>1.1499999999999999</v>
          </cell>
          <cell r="N457" t="str">
            <v>A</v>
          </cell>
          <cell r="O457">
            <v>1.4</v>
          </cell>
        </row>
        <row r="458">
          <cell r="B458" t="str">
            <v>Huyønh Thieän Phuùc</v>
          </cell>
          <cell r="D458">
            <v>149</v>
          </cell>
          <cell r="E458">
            <v>25</v>
          </cell>
          <cell r="F458">
            <v>26</v>
          </cell>
          <cell r="G458">
            <v>25</v>
          </cell>
          <cell r="H458">
            <v>27</v>
          </cell>
          <cell r="I458">
            <v>26</v>
          </cell>
          <cell r="J458">
            <v>24</v>
          </cell>
          <cell r="K458">
            <v>153</v>
          </cell>
          <cell r="L458">
            <v>302</v>
          </cell>
          <cell r="M458">
            <v>1.2</v>
          </cell>
          <cell r="N458" t="str">
            <v>A</v>
          </cell>
          <cell r="O458">
            <v>1.4</v>
          </cell>
        </row>
        <row r="459">
          <cell r="B459" t="str">
            <v>Laâm Thaùi Döông</v>
          </cell>
          <cell r="H459">
            <v>23</v>
          </cell>
          <cell r="I459">
            <v>23</v>
          </cell>
          <cell r="J459">
            <v>25</v>
          </cell>
          <cell r="K459">
            <v>71</v>
          </cell>
          <cell r="L459">
            <v>71</v>
          </cell>
          <cell r="M459">
            <v>0.86250000000000004</v>
          </cell>
          <cell r="N459" t="str">
            <v>A</v>
          </cell>
          <cell r="O459">
            <v>1.4</v>
          </cell>
        </row>
        <row r="460">
          <cell r="B460" t="str">
            <v>Huyønh Vaên Quyù</v>
          </cell>
          <cell r="C460" t="str">
            <v>CT</v>
          </cell>
          <cell r="D460">
            <v>151</v>
          </cell>
          <cell r="E460">
            <v>26</v>
          </cell>
          <cell r="F460">
            <v>27</v>
          </cell>
          <cell r="G460">
            <v>25</v>
          </cell>
          <cell r="H460">
            <v>27</v>
          </cell>
          <cell r="I460">
            <v>26</v>
          </cell>
          <cell r="J460">
            <v>26</v>
          </cell>
          <cell r="K460">
            <v>157</v>
          </cell>
          <cell r="L460">
            <v>308</v>
          </cell>
          <cell r="M460">
            <v>1.45</v>
          </cell>
          <cell r="N460" t="str">
            <v>B</v>
          </cell>
          <cell r="O460">
            <v>1.2</v>
          </cell>
          <cell r="Q460" t="str">
            <v>caûnh caùo</v>
          </cell>
        </row>
        <row r="461">
          <cell r="B461" t="str">
            <v>Nguyeãn Duyeân Thuaán</v>
          </cell>
          <cell r="D461">
            <v>156</v>
          </cell>
          <cell r="E461">
            <v>26</v>
          </cell>
          <cell r="F461">
            <v>27</v>
          </cell>
          <cell r="G461">
            <v>20</v>
          </cell>
          <cell r="H461">
            <v>27</v>
          </cell>
          <cell r="I461">
            <v>26</v>
          </cell>
          <cell r="J461">
            <v>26</v>
          </cell>
          <cell r="K461">
            <v>152</v>
          </cell>
          <cell r="L461">
            <v>308</v>
          </cell>
          <cell r="M461">
            <v>1.262</v>
          </cell>
          <cell r="N461" t="str">
            <v>A</v>
          </cell>
          <cell r="O461">
            <v>1.4</v>
          </cell>
        </row>
        <row r="462">
          <cell r="B462" t="str">
            <v>Phaïm Nhö Thuaàn</v>
          </cell>
          <cell r="D462">
            <v>151</v>
          </cell>
          <cell r="E462">
            <v>26</v>
          </cell>
          <cell r="F462">
            <v>27</v>
          </cell>
          <cell r="G462">
            <v>22</v>
          </cell>
          <cell r="H462">
            <v>27</v>
          </cell>
          <cell r="I462">
            <v>26</v>
          </cell>
          <cell r="J462">
            <v>26</v>
          </cell>
          <cell r="K462">
            <v>154</v>
          </cell>
          <cell r="L462">
            <v>305</v>
          </cell>
          <cell r="M462">
            <v>1.4</v>
          </cell>
          <cell r="N462" t="str">
            <v>A</v>
          </cell>
          <cell r="O462">
            <v>1.4</v>
          </cell>
        </row>
        <row r="463">
          <cell r="B463" t="str">
            <v>Huyønh Hoàng Ñöùc</v>
          </cell>
          <cell r="D463">
            <v>150</v>
          </cell>
          <cell r="E463">
            <v>26</v>
          </cell>
          <cell r="F463">
            <v>27</v>
          </cell>
          <cell r="G463">
            <v>25</v>
          </cell>
          <cell r="H463">
            <v>27</v>
          </cell>
          <cell r="I463">
            <v>26</v>
          </cell>
          <cell r="J463">
            <v>18</v>
          </cell>
          <cell r="K463">
            <v>149</v>
          </cell>
          <cell r="L463">
            <v>299</v>
          </cell>
          <cell r="M463">
            <v>1.39</v>
          </cell>
          <cell r="N463" t="str">
            <v>B</v>
          </cell>
          <cell r="O463">
            <v>1.2</v>
          </cell>
          <cell r="Q463" t="str">
            <v>?  Nghæ oùm hay TNGT</v>
          </cell>
        </row>
        <row r="464">
          <cell r="B464" t="str">
            <v>Traàn Phöông Anh</v>
          </cell>
          <cell r="D464">
            <v>151</v>
          </cell>
          <cell r="E464">
            <v>26</v>
          </cell>
          <cell r="F464">
            <v>27</v>
          </cell>
          <cell r="G464">
            <v>25</v>
          </cell>
          <cell r="H464">
            <v>27</v>
          </cell>
          <cell r="I464">
            <v>26</v>
          </cell>
          <cell r="J464">
            <v>26</v>
          </cell>
          <cell r="K464">
            <v>157</v>
          </cell>
          <cell r="L464">
            <v>308</v>
          </cell>
          <cell r="M464">
            <v>1.4</v>
          </cell>
          <cell r="N464" t="str">
            <v>A</v>
          </cell>
          <cell r="O464">
            <v>1.4</v>
          </cell>
        </row>
        <row r="465">
          <cell r="B465" t="str">
            <v>Traàn Bình Trong</v>
          </cell>
          <cell r="D465">
            <v>151</v>
          </cell>
          <cell r="E465">
            <v>26</v>
          </cell>
          <cell r="F465">
            <v>27</v>
          </cell>
          <cell r="G465">
            <v>25</v>
          </cell>
          <cell r="H465">
            <v>27</v>
          </cell>
          <cell r="I465">
            <v>26</v>
          </cell>
          <cell r="J465">
            <v>26</v>
          </cell>
          <cell r="K465">
            <v>157</v>
          </cell>
          <cell r="L465">
            <v>308</v>
          </cell>
          <cell r="M465">
            <v>1.4</v>
          </cell>
          <cell r="N465" t="str">
            <v>A</v>
          </cell>
          <cell r="O465">
            <v>1.4</v>
          </cell>
        </row>
        <row r="466">
          <cell r="B466" t="str">
            <v>Nguyeãn Phuùc Anh</v>
          </cell>
          <cell r="H466">
            <v>24</v>
          </cell>
          <cell r="I466">
            <v>26</v>
          </cell>
          <cell r="J466">
            <v>26</v>
          </cell>
          <cell r="K466">
            <v>76</v>
          </cell>
          <cell r="L466">
            <v>76</v>
          </cell>
          <cell r="M466">
            <v>1.0349999999999999</v>
          </cell>
          <cell r="N466" t="str">
            <v>A</v>
          </cell>
          <cell r="O466">
            <v>1.4</v>
          </cell>
        </row>
        <row r="467">
          <cell r="B467" t="str">
            <v>Nguyeãn Vaên Thanh</v>
          </cell>
          <cell r="C467" t="str">
            <v>VSCN</v>
          </cell>
          <cell r="G467">
            <v>25</v>
          </cell>
          <cell r="H467">
            <v>27</v>
          </cell>
          <cell r="I467">
            <v>26</v>
          </cell>
          <cell r="J467">
            <v>26</v>
          </cell>
          <cell r="K467">
            <v>104</v>
          </cell>
          <cell r="L467">
            <v>104</v>
          </cell>
          <cell r="M467">
            <v>1.0666</v>
          </cell>
          <cell r="N467" t="str">
            <v>C</v>
          </cell>
          <cell r="O467">
            <v>1</v>
          </cell>
          <cell r="Q467" t="str">
            <v>caûnh caùo</v>
          </cell>
        </row>
        <row r="468">
          <cell r="B468" t="str">
            <v>Voõ Vaên Huøng</v>
          </cell>
          <cell r="C468" t="str">
            <v>VSCN</v>
          </cell>
          <cell r="D468">
            <v>154</v>
          </cell>
          <cell r="E468">
            <v>26</v>
          </cell>
          <cell r="F468">
            <v>27</v>
          </cell>
          <cell r="G468">
            <v>23</v>
          </cell>
          <cell r="H468">
            <v>27</v>
          </cell>
          <cell r="I468">
            <v>24</v>
          </cell>
          <cell r="J468">
            <v>26</v>
          </cell>
          <cell r="K468">
            <v>153</v>
          </cell>
          <cell r="L468">
            <v>307</v>
          </cell>
          <cell r="M468">
            <v>1.032</v>
          </cell>
          <cell r="N468" t="str">
            <v>A</v>
          </cell>
          <cell r="O468">
            <v>1.4</v>
          </cell>
        </row>
        <row r="469">
          <cell r="B469" t="str">
            <v>Ng. V. Quoác Ñaèng</v>
          </cell>
          <cell r="C469" t="str">
            <v>VSCN</v>
          </cell>
          <cell r="D469">
            <v>143</v>
          </cell>
          <cell r="E469">
            <v>24</v>
          </cell>
          <cell r="F469">
            <v>27</v>
          </cell>
          <cell r="G469">
            <v>23</v>
          </cell>
          <cell r="H469">
            <v>23</v>
          </cell>
          <cell r="I469">
            <v>24</v>
          </cell>
          <cell r="J469">
            <v>25</v>
          </cell>
          <cell r="K469">
            <v>146</v>
          </cell>
          <cell r="L469">
            <v>289</v>
          </cell>
          <cell r="M469">
            <v>1.0009999999999999</v>
          </cell>
          <cell r="N469" t="str">
            <v>B</v>
          </cell>
          <cell r="O469">
            <v>1.2</v>
          </cell>
          <cell r="Q469" t="str">
            <v>khieån traùch</v>
          </cell>
        </row>
        <row r="470">
          <cell r="B470" t="str">
            <v>Trònh Vaên Luøng</v>
          </cell>
          <cell r="C470" t="str">
            <v>VSCN</v>
          </cell>
          <cell r="D470">
            <v>151</v>
          </cell>
          <cell r="E470">
            <v>24</v>
          </cell>
          <cell r="F470">
            <v>27</v>
          </cell>
          <cell r="G470">
            <v>23</v>
          </cell>
          <cell r="H470">
            <v>22</v>
          </cell>
          <cell r="I470">
            <v>26</v>
          </cell>
          <cell r="J470">
            <v>25</v>
          </cell>
          <cell r="K470">
            <v>147</v>
          </cell>
          <cell r="L470">
            <v>298</v>
          </cell>
          <cell r="M470">
            <v>1.125</v>
          </cell>
          <cell r="N470" t="str">
            <v>B</v>
          </cell>
          <cell r="O470">
            <v>1.2</v>
          </cell>
          <cell r="Q470" t="str">
            <v>Vi phaïm NQLÑ</v>
          </cell>
        </row>
        <row r="471">
          <cell r="B471" t="str">
            <v>Nguyeãn Vaên Ñoâng</v>
          </cell>
          <cell r="D471">
            <v>153</v>
          </cell>
          <cell r="E471">
            <v>25</v>
          </cell>
          <cell r="F471">
            <v>27</v>
          </cell>
          <cell r="G471">
            <v>24</v>
          </cell>
          <cell r="H471">
            <v>27</v>
          </cell>
          <cell r="I471">
            <v>26</v>
          </cell>
          <cell r="J471">
            <v>26</v>
          </cell>
          <cell r="K471">
            <v>155</v>
          </cell>
          <cell r="L471">
            <v>308</v>
          </cell>
          <cell r="M471">
            <v>1.173</v>
          </cell>
          <cell r="N471" t="str">
            <v>A</v>
          </cell>
          <cell r="O471">
            <v>1.4</v>
          </cell>
        </row>
        <row r="472">
          <cell r="B472" t="str">
            <v>Phaïm Thaønh Ñònh</v>
          </cell>
          <cell r="H472">
            <v>25</v>
          </cell>
          <cell r="I472">
            <v>26</v>
          </cell>
          <cell r="J472">
            <v>26</v>
          </cell>
          <cell r="K472">
            <v>77</v>
          </cell>
          <cell r="L472">
            <v>77</v>
          </cell>
          <cell r="M472">
            <v>1.04</v>
          </cell>
          <cell r="N472" t="str">
            <v>A</v>
          </cell>
          <cell r="O472">
            <v>1.4</v>
          </cell>
        </row>
        <row r="473">
          <cell r="B473" t="str">
            <v>Haø Chí Linh</v>
          </cell>
          <cell r="H473">
            <v>25</v>
          </cell>
          <cell r="I473">
            <v>25</v>
          </cell>
          <cell r="J473">
            <v>26</v>
          </cell>
          <cell r="K473">
            <v>76</v>
          </cell>
          <cell r="L473">
            <v>76</v>
          </cell>
          <cell r="M473">
            <v>1.04</v>
          </cell>
          <cell r="N473" t="str">
            <v>A</v>
          </cell>
          <cell r="O473">
            <v>1.4</v>
          </cell>
        </row>
        <row r="474">
          <cell r="B474" t="str">
            <v>Leâ Hoaøng Uùt</v>
          </cell>
          <cell r="H474">
            <v>20</v>
          </cell>
          <cell r="I474">
            <v>24</v>
          </cell>
          <cell r="J474">
            <v>26</v>
          </cell>
          <cell r="K474">
            <v>70</v>
          </cell>
          <cell r="L474">
            <v>70</v>
          </cell>
          <cell r="M474">
            <v>1.04</v>
          </cell>
          <cell r="N474" t="str">
            <v>A</v>
          </cell>
          <cell r="O474">
            <v>1.4</v>
          </cell>
        </row>
        <row r="475">
          <cell r="B475" t="str">
            <v>Traàn Quang Kheän</v>
          </cell>
          <cell r="I475">
            <v>13</v>
          </cell>
          <cell r="J475">
            <v>16</v>
          </cell>
          <cell r="K475">
            <v>29</v>
          </cell>
          <cell r="L475">
            <v>29</v>
          </cell>
          <cell r="M475">
            <v>1.1085</v>
          </cell>
          <cell r="Q475" t="str">
            <v>khoâng xeùt (Caét khen thöôûng)</v>
          </cell>
        </row>
        <row r="476">
          <cell r="B476" t="str">
            <v>Phaïm Tieán Huøng</v>
          </cell>
          <cell r="H476">
            <v>25</v>
          </cell>
          <cell r="I476">
            <v>26</v>
          </cell>
          <cell r="J476">
            <v>26</v>
          </cell>
          <cell r="K476">
            <v>77</v>
          </cell>
          <cell r="L476">
            <v>77</v>
          </cell>
          <cell r="M476">
            <v>1.04</v>
          </cell>
          <cell r="N476" t="str">
            <v>A</v>
          </cell>
          <cell r="O476">
            <v>1.4</v>
          </cell>
        </row>
        <row r="477">
          <cell r="B477" t="str">
            <v>Laâm Duy Khanh</v>
          </cell>
          <cell r="H477">
            <v>25</v>
          </cell>
          <cell r="I477">
            <v>26</v>
          </cell>
          <cell r="J477">
            <v>22</v>
          </cell>
          <cell r="K477">
            <v>73</v>
          </cell>
          <cell r="L477">
            <v>73</v>
          </cell>
          <cell r="M477">
            <v>1.04</v>
          </cell>
          <cell r="N477" t="str">
            <v>A</v>
          </cell>
          <cell r="O477">
            <v>1.4</v>
          </cell>
        </row>
        <row r="478">
          <cell r="B478" t="str">
            <v>Nguyeãn Thanh Hoaø</v>
          </cell>
          <cell r="H478">
            <v>24</v>
          </cell>
          <cell r="I478">
            <v>26</v>
          </cell>
          <cell r="J478">
            <v>26</v>
          </cell>
          <cell r="K478">
            <v>76</v>
          </cell>
          <cell r="L478">
            <v>76</v>
          </cell>
          <cell r="M478">
            <v>1.04</v>
          </cell>
          <cell r="N478" t="str">
            <v>A</v>
          </cell>
          <cell r="O478">
            <v>1.4</v>
          </cell>
        </row>
        <row r="479">
          <cell r="B479" t="str">
            <v>Hoà Quoác Böûu</v>
          </cell>
          <cell r="D479">
            <v>156</v>
          </cell>
          <cell r="E479">
            <v>26</v>
          </cell>
          <cell r="F479">
            <v>27</v>
          </cell>
          <cell r="G479">
            <v>25</v>
          </cell>
          <cell r="H479">
            <v>27</v>
          </cell>
          <cell r="I479">
            <v>25</v>
          </cell>
          <cell r="J479">
            <v>26</v>
          </cell>
          <cell r="K479">
            <v>156</v>
          </cell>
          <cell r="L479">
            <v>312</v>
          </cell>
          <cell r="M479">
            <v>1.1679999999999999</v>
          </cell>
          <cell r="N479" t="str">
            <v>A</v>
          </cell>
          <cell r="O479">
            <v>1.4</v>
          </cell>
        </row>
        <row r="480">
          <cell r="B480" t="str">
            <v>Löông Haûi Ñaêng</v>
          </cell>
          <cell r="G480">
            <v>9</v>
          </cell>
          <cell r="H480">
            <v>27</v>
          </cell>
          <cell r="I480">
            <v>23</v>
          </cell>
          <cell r="J480">
            <v>22</v>
          </cell>
          <cell r="K480">
            <v>81</v>
          </cell>
          <cell r="L480">
            <v>81</v>
          </cell>
          <cell r="M480">
            <v>1.077</v>
          </cell>
          <cell r="N480" t="str">
            <v>B</v>
          </cell>
          <cell r="O480">
            <v>1.2</v>
          </cell>
          <cell r="Q480" t="str">
            <v>Vi phaïm NQLÑ</v>
          </cell>
        </row>
        <row r="481">
          <cell r="B481" t="str">
            <v>Nguyeãn Vaên Uùt B</v>
          </cell>
          <cell r="H481">
            <v>25</v>
          </cell>
          <cell r="I481">
            <v>26</v>
          </cell>
          <cell r="J481">
            <v>26</v>
          </cell>
          <cell r="K481">
            <v>77</v>
          </cell>
          <cell r="L481">
            <v>77</v>
          </cell>
          <cell r="M481">
            <v>1.04</v>
          </cell>
          <cell r="N481" t="str">
            <v>A</v>
          </cell>
          <cell r="O481">
            <v>1.4</v>
          </cell>
        </row>
        <row r="482">
          <cell r="B482" t="str">
            <v>Phuø Thoï Loäc</v>
          </cell>
          <cell r="H482">
            <v>20</v>
          </cell>
          <cell r="I482">
            <v>26</v>
          </cell>
          <cell r="J482">
            <v>26</v>
          </cell>
          <cell r="K482">
            <v>72</v>
          </cell>
          <cell r="L482">
            <v>72</v>
          </cell>
          <cell r="M482">
            <v>1.04</v>
          </cell>
          <cell r="N482" t="str">
            <v>A</v>
          </cell>
          <cell r="O482">
            <v>1.4</v>
          </cell>
        </row>
        <row r="483">
          <cell r="B483" t="str">
            <v>Trieäu Quang Thanh</v>
          </cell>
          <cell r="D483">
            <v>97</v>
          </cell>
          <cell r="E483">
            <v>0</v>
          </cell>
          <cell r="F483">
            <v>0</v>
          </cell>
          <cell r="G483">
            <v>0</v>
          </cell>
          <cell r="H483">
            <v>0</v>
          </cell>
          <cell r="I483">
            <v>0</v>
          </cell>
          <cell r="J483">
            <v>0</v>
          </cell>
          <cell r="K483">
            <v>0</v>
          </cell>
          <cell r="L483">
            <v>97</v>
          </cell>
          <cell r="M483">
            <v>1.2130000000000001</v>
          </cell>
          <cell r="N483" t="str">
            <v>C</v>
          </cell>
          <cell r="O483">
            <v>1</v>
          </cell>
          <cell r="Q483" t="str">
            <v>oám daøi haïn</v>
          </cell>
        </row>
        <row r="484">
          <cell r="B484" t="str">
            <v>Phaïm Quoác Huøng</v>
          </cell>
          <cell r="D484">
            <v>153</v>
          </cell>
          <cell r="E484">
            <v>4</v>
          </cell>
          <cell r="F484">
            <v>0</v>
          </cell>
          <cell r="G484">
            <v>0</v>
          </cell>
          <cell r="H484">
            <v>0</v>
          </cell>
          <cell r="I484">
            <v>0</v>
          </cell>
          <cell r="J484">
            <v>0</v>
          </cell>
          <cell r="K484">
            <v>4</v>
          </cell>
          <cell r="L484">
            <v>157</v>
          </cell>
          <cell r="M484">
            <v>1</v>
          </cell>
          <cell r="N484" t="str">
            <v>C</v>
          </cell>
          <cell r="O484">
            <v>1</v>
          </cell>
          <cell r="Q484" t="str">
            <v>oám coäng 26c cuoái naêm</v>
          </cell>
        </row>
        <row r="485">
          <cell r="B485" t="str">
            <v>Huyønh Chí Chaùnh</v>
          </cell>
          <cell r="D485">
            <v>156</v>
          </cell>
          <cell r="E485">
            <v>22</v>
          </cell>
          <cell r="F485">
            <v>27</v>
          </cell>
          <cell r="G485">
            <v>25</v>
          </cell>
          <cell r="H485">
            <v>10</v>
          </cell>
          <cell r="I485">
            <v>0</v>
          </cell>
          <cell r="J485">
            <v>0</v>
          </cell>
          <cell r="K485">
            <v>84</v>
          </cell>
          <cell r="L485">
            <v>240</v>
          </cell>
          <cell r="M485">
            <v>1.1639999999999999</v>
          </cell>
          <cell r="N485" t="str">
            <v>C</v>
          </cell>
          <cell r="O485">
            <v>1</v>
          </cell>
          <cell r="Q485" t="str">
            <v>oám daøi haïn</v>
          </cell>
        </row>
        <row r="486">
          <cell r="B486" t="str">
            <v>Traàn Vaên Teá</v>
          </cell>
          <cell r="D486">
            <v>152</v>
          </cell>
          <cell r="E486">
            <v>26</v>
          </cell>
          <cell r="F486">
            <v>27</v>
          </cell>
          <cell r="G486">
            <v>1</v>
          </cell>
          <cell r="I486">
            <v>0</v>
          </cell>
          <cell r="J486">
            <v>0</v>
          </cell>
          <cell r="K486">
            <v>54</v>
          </cell>
          <cell r="L486">
            <v>206</v>
          </cell>
          <cell r="M486">
            <v>1.4</v>
          </cell>
          <cell r="N486" t="str">
            <v>C</v>
          </cell>
          <cell r="O486">
            <v>1</v>
          </cell>
          <cell r="Q486" t="str">
            <v xml:space="preserve"> (ñình chæ coâng taùc)</v>
          </cell>
        </row>
        <row r="487">
          <cell r="B487" t="str">
            <v>Toâång Coäng</v>
          </cell>
          <cell r="L487">
            <v>39202</v>
          </cell>
          <cell r="N487">
            <v>83</v>
          </cell>
          <cell r="P487">
            <v>0</v>
          </cell>
        </row>
      </sheetData>
      <sheetData sheetId="10" refreshError="1"/>
      <sheetData sheetId="11" refreshError="1"/>
      <sheetData sheetId="12" refreshError="1"/>
      <sheetData sheetId="13" refreshError="1"/>
      <sheetData sheetId="14" refreshError="1">
        <row r="1">
          <cell r="A1" t="str">
            <v>CTY XIMAÊNG HAØ TIEÂN KIEÂN GIANG</v>
          </cell>
        </row>
        <row r="2">
          <cell r="A2" t="str">
            <v>Boä phaän: Phoøng Toå chöùc - haønh chaùnh</v>
          </cell>
          <cell r="E2" t="str">
            <v>BAÛNG THANH TOÙAN TIEÀN THÖÔÛNG 6 THAÙNG ÑAÀU NAÊM 2001</v>
          </cell>
        </row>
        <row r="4">
          <cell r="A4" t="str">
            <v>Stt</v>
          </cell>
          <cell r="B4" t="str">
            <v>Hoï vaø Teân</v>
          </cell>
          <cell r="C4" t="str">
            <v>Chöùc vuï</v>
          </cell>
          <cell r="D4" t="str">
            <v>HSCV</v>
          </cell>
          <cell r="E4" t="str">
            <v>Ngaøy coâng</v>
          </cell>
          <cell r="F4" t="str">
            <v>Heä soá X.Loaïi</v>
          </cell>
          <cell r="G4" t="str">
            <v>HSQÑ</v>
          </cell>
          <cell r="H4" t="str">
            <v>Ñôn giaù</v>
          </cell>
          <cell r="I4" t="str">
            <v>Thöïc laõnh (ñ)</v>
          </cell>
        </row>
        <row r="6">
          <cell r="A6">
            <v>1</v>
          </cell>
          <cell r="B6" t="str">
            <v>Traàn Vaên Nuoâi</v>
          </cell>
          <cell r="C6" t="str">
            <v>Tr.P</v>
          </cell>
          <cell r="D6">
            <v>1.8</v>
          </cell>
          <cell r="E6">
            <v>152</v>
          </cell>
          <cell r="F6">
            <v>1.6</v>
          </cell>
          <cell r="G6">
            <v>437.76000000000005</v>
          </cell>
          <cell r="H6">
            <v>7472.5</v>
          </cell>
          <cell r="I6">
            <v>3271000</v>
          </cell>
        </row>
        <row r="7">
          <cell r="A7">
            <v>2</v>
          </cell>
          <cell r="B7" t="str">
            <v>Nguyeãn Thanh Nhaõ</v>
          </cell>
          <cell r="C7" t="str">
            <v>PP.</v>
          </cell>
          <cell r="D7">
            <v>1.65</v>
          </cell>
          <cell r="E7">
            <v>135</v>
          </cell>
          <cell r="F7">
            <v>1.6</v>
          </cell>
          <cell r="G7">
            <v>356.40000000000003</v>
          </cell>
          <cell r="H7">
            <v>7472.5</v>
          </cell>
          <cell r="I7">
            <v>2663000</v>
          </cell>
        </row>
        <row r="8">
          <cell r="A8">
            <v>3</v>
          </cell>
          <cell r="B8" t="str">
            <v>Löu Thaùi Nhaïc</v>
          </cell>
          <cell r="C8" t="str">
            <v xml:space="preserve">CB </v>
          </cell>
          <cell r="D8">
            <v>1.3</v>
          </cell>
          <cell r="E8">
            <v>150</v>
          </cell>
          <cell r="F8">
            <v>1.4</v>
          </cell>
          <cell r="G8">
            <v>273</v>
          </cell>
          <cell r="H8">
            <v>7472.5</v>
          </cell>
          <cell r="I8">
            <v>2040000</v>
          </cell>
        </row>
        <row r="9">
          <cell r="A9">
            <v>4</v>
          </cell>
          <cell r="B9" t="str">
            <v>Nguyeãn Vaên Thanh</v>
          </cell>
          <cell r="C9" t="str">
            <v>NV</v>
          </cell>
          <cell r="D9">
            <v>1.1000000000000001</v>
          </cell>
          <cell r="E9">
            <v>150</v>
          </cell>
          <cell r="F9">
            <v>1.4</v>
          </cell>
          <cell r="G9">
            <v>230.99999999999997</v>
          </cell>
          <cell r="H9">
            <v>7472.5</v>
          </cell>
          <cell r="I9">
            <v>1726000</v>
          </cell>
        </row>
        <row r="10">
          <cell r="A10">
            <v>5</v>
          </cell>
          <cell r="B10" t="str">
            <v>Voõ Vaên Phuïng</v>
          </cell>
          <cell r="C10" t="str">
            <v>NV</v>
          </cell>
          <cell r="D10">
            <v>1.2</v>
          </cell>
          <cell r="E10">
            <v>151</v>
          </cell>
          <cell r="F10">
            <v>1.4</v>
          </cell>
          <cell r="G10">
            <v>253.67999999999998</v>
          </cell>
          <cell r="H10">
            <v>7472.5</v>
          </cell>
          <cell r="I10">
            <v>1901000</v>
          </cell>
        </row>
        <row r="11">
          <cell r="A11">
            <v>6</v>
          </cell>
          <cell r="B11" t="str">
            <v>Ñoã Thuyû Tieân</v>
          </cell>
          <cell r="C11" t="str">
            <v>"</v>
          </cell>
          <cell r="D11">
            <v>1.1000000000000001</v>
          </cell>
          <cell r="E11">
            <v>150</v>
          </cell>
          <cell r="F11">
            <v>1.6</v>
          </cell>
          <cell r="G11">
            <v>264</v>
          </cell>
          <cell r="H11">
            <v>7472.5</v>
          </cell>
          <cell r="I11">
            <v>1973000</v>
          </cell>
        </row>
        <row r="12">
          <cell r="A12">
            <v>7</v>
          </cell>
          <cell r="B12" t="str">
            <v>Traàn Phuù Quoác</v>
          </cell>
          <cell r="C12" t="str">
            <v>L.xe</v>
          </cell>
          <cell r="D12">
            <v>1.2</v>
          </cell>
          <cell r="E12">
            <v>155</v>
          </cell>
          <cell r="F12">
            <v>1.6</v>
          </cell>
          <cell r="G12">
            <v>297.60000000000002</v>
          </cell>
          <cell r="H12">
            <v>7472.5</v>
          </cell>
          <cell r="I12">
            <v>2224000</v>
          </cell>
        </row>
        <row r="13">
          <cell r="A13">
            <v>8</v>
          </cell>
          <cell r="B13" t="str">
            <v>Traàn Vaên Tö</v>
          </cell>
          <cell r="C13" t="str">
            <v>"</v>
          </cell>
          <cell r="D13">
            <v>1.2</v>
          </cell>
          <cell r="E13">
            <v>154</v>
          </cell>
          <cell r="F13">
            <v>1.4</v>
          </cell>
          <cell r="G13">
            <v>258.71999999999997</v>
          </cell>
          <cell r="H13">
            <v>7472.5</v>
          </cell>
          <cell r="I13">
            <v>1933000</v>
          </cell>
        </row>
        <row r="14">
          <cell r="A14">
            <v>9</v>
          </cell>
          <cell r="B14" t="str">
            <v>Hoà Ngoïc Lôïi</v>
          </cell>
          <cell r="C14" t="str">
            <v>"</v>
          </cell>
          <cell r="D14">
            <v>1.2</v>
          </cell>
          <cell r="E14">
            <v>150</v>
          </cell>
          <cell r="F14">
            <v>1</v>
          </cell>
          <cell r="G14">
            <v>180</v>
          </cell>
          <cell r="H14">
            <v>7472.5</v>
          </cell>
          <cell r="I14">
            <v>1345000</v>
          </cell>
        </row>
        <row r="15">
          <cell r="A15">
            <v>10</v>
          </cell>
          <cell r="B15" t="str">
            <v>Huyønh Vaên Haø</v>
          </cell>
          <cell r="C15" t="str">
            <v>"</v>
          </cell>
          <cell r="D15">
            <v>1.2</v>
          </cell>
          <cell r="E15">
            <v>49</v>
          </cell>
          <cell r="F15">
            <v>1.4</v>
          </cell>
          <cell r="G15">
            <v>82.32</v>
          </cell>
          <cell r="H15">
            <v>7472.5</v>
          </cell>
          <cell r="I15">
            <v>615000</v>
          </cell>
        </row>
        <row r="16">
          <cell r="A16">
            <v>11</v>
          </cell>
          <cell r="B16" t="str">
            <v>Nguyeãn Trung Hieàn</v>
          </cell>
          <cell r="C16" t="str">
            <v>"</v>
          </cell>
          <cell r="D16">
            <v>1.1000000000000001</v>
          </cell>
          <cell r="E16">
            <v>150</v>
          </cell>
          <cell r="F16">
            <v>1.2</v>
          </cell>
          <cell r="G16">
            <v>198</v>
          </cell>
          <cell r="H16">
            <v>7472.5</v>
          </cell>
          <cell r="I16">
            <v>1480000</v>
          </cell>
        </row>
        <row r="17">
          <cell r="A17">
            <v>12</v>
          </cell>
          <cell r="B17" t="str">
            <v>Trònh Thanh Thuûy</v>
          </cell>
          <cell r="C17" t="str">
            <v>YT</v>
          </cell>
          <cell r="D17">
            <v>1.1000000000000001</v>
          </cell>
          <cell r="E17">
            <v>89</v>
          </cell>
          <cell r="F17">
            <v>1.4</v>
          </cell>
          <cell r="G17">
            <v>137.06</v>
          </cell>
          <cell r="H17">
            <v>7472.5</v>
          </cell>
          <cell r="I17">
            <v>1024000</v>
          </cell>
        </row>
        <row r="18">
          <cell r="A18">
            <v>13</v>
          </cell>
          <cell r="B18" t="str">
            <v>Ñaëng Coâng Chaâu</v>
          </cell>
          <cell r="C18" t="str">
            <v>BV</v>
          </cell>
          <cell r="D18">
            <v>0.95</v>
          </cell>
          <cell r="E18">
            <v>144</v>
          </cell>
          <cell r="F18">
            <v>1.4</v>
          </cell>
          <cell r="G18">
            <v>191.51999999999995</v>
          </cell>
          <cell r="H18">
            <v>7472.5</v>
          </cell>
          <cell r="I18">
            <v>1431000</v>
          </cell>
        </row>
        <row r="19">
          <cell r="A19">
            <v>14</v>
          </cell>
          <cell r="B19" t="str">
            <v>Phuøng Thanh Phong</v>
          </cell>
          <cell r="C19" t="str">
            <v>"</v>
          </cell>
          <cell r="D19">
            <v>0.95</v>
          </cell>
          <cell r="E19">
            <v>157</v>
          </cell>
          <cell r="F19">
            <v>1.2</v>
          </cell>
          <cell r="G19">
            <v>178.98</v>
          </cell>
          <cell r="H19">
            <v>7472.5</v>
          </cell>
          <cell r="I19">
            <v>1337000</v>
          </cell>
        </row>
        <row r="20">
          <cell r="A20">
            <v>15</v>
          </cell>
          <cell r="B20" t="str">
            <v>Ngoâ Vaên Naøm</v>
          </cell>
          <cell r="C20" t="str">
            <v>"</v>
          </cell>
          <cell r="D20">
            <v>0.95</v>
          </cell>
          <cell r="E20">
            <v>157</v>
          </cell>
          <cell r="F20">
            <v>1.4</v>
          </cell>
          <cell r="G20">
            <v>208.81</v>
          </cell>
          <cell r="H20">
            <v>7472.5</v>
          </cell>
          <cell r="I20">
            <v>1560000</v>
          </cell>
        </row>
        <row r="21">
          <cell r="A21">
            <v>16</v>
          </cell>
          <cell r="B21" t="str">
            <v>Traàn Vaên Thaønh</v>
          </cell>
          <cell r="C21" t="str">
            <v>"</v>
          </cell>
          <cell r="D21">
            <v>0.95</v>
          </cell>
          <cell r="E21">
            <v>148</v>
          </cell>
          <cell r="F21">
            <v>1.6</v>
          </cell>
          <cell r="G21">
            <v>224.96</v>
          </cell>
          <cell r="H21">
            <v>7472.5</v>
          </cell>
          <cell r="I21">
            <v>1681000</v>
          </cell>
        </row>
        <row r="22">
          <cell r="A22">
            <v>17</v>
          </cell>
          <cell r="B22" t="str">
            <v>Nguyeãn Hoaøng Ñaëng</v>
          </cell>
          <cell r="C22" t="str">
            <v>"</v>
          </cell>
          <cell r="D22">
            <v>1.05</v>
          </cell>
          <cell r="E22">
            <v>157</v>
          </cell>
          <cell r="F22">
            <v>1.4</v>
          </cell>
          <cell r="G22">
            <v>230.78999999999996</v>
          </cell>
          <cell r="H22">
            <v>7472.5</v>
          </cell>
          <cell r="I22">
            <v>1725000</v>
          </cell>
        </row>
        <row r="23">
          <cell r="A23">
            <v>18</v>
          </cell>
          <cell r="B23" t="str">
            <v>Tröông Minh Duõng</v>
          </cell>
          <cell r="C23" t="str">
            <v>"</v>
          </cell>
          <cell r="D23">
            <v>0.95</v>
          </cell>
          <cell r="E23">
            <v>157</v>
          </cell>
          <cell r="F23">
            <v>1.4</v>
          </cell>
          <cell r="G23">
            <v>208.81</v>
          </cell>
          <cell r="H23">
            <v>7472.5</v>
          </cell>
          <cell r="I23">
            <v>1560000</v>
          </cell>
        </row>
        <row r="24">
          <cell r="A24">
            <v>19</v>
          </cell>
          <cell r="B24" t="str">
            <v>Nguyeãn Tuaán Haûi</v>
          </cell>
          <cell r="C24" t="str">
            <v>"</v>
          </cell>
          <cell r="D24">
            <v>1.1000000000000001</v>
          </cell>
          <cell r="E24">
            <v>155</v>
          </cell>
          <cell r="F24">
            <v>1.4</v>
          </cell>
          <cell r="G24">
            <v>238.7</v>
          </cell>
          <cell r="H24">
            <v>7472.5</v>
          </cell>
          <cell r="I24">
            <v>1784000</v>
          </cell>
        </row>
        <row r="25">
          <cell r="A25">
            <v>20</v>
          </cell>
          <cell r="B25" t="str">
            <v>Ng. Thò Ngoïc Ñieäp</v>
          </cell>
          <cell r="C25" t="str">
            <v>CDöôõng</v>
          </cell>
          <cell r="D25">
            <v>0.9</v>
          </cell>
          <cell r="E25">
            <v>154</v>
          </cell>
          <cell r="F25">
            <v>1.6</v>
          </cell>
          <cell r="G25">
            <v>221.76</v>
          </cell>
          <cell r="H25">
            <v>7472.5</v>
          </cell>
          <cell r="I25">
            <v>1657000</v>
          </cell>
        </row>
        <row r="26">
          <cell r="A26">
            <v>21</v>
          </cell>
          <cell r="B26" t="str">
            <v>Toáng Thò Nguyeân</v>
          </cell>
          <cell r="C26" t="str">
            <v>"</v>
          </cell>
          <cell r="D26">
            <v>0.9</v>
          </cell>
          <cell r="E26">
            <v>150</v>
          </cell>
          <cell r="F26">
            <v>1.4</v>
          </cell>
          <cell r="G26">
            <v>189</v>
          </cell>
          <cell r="H26">
            <v>7472.5</v>
          </cell>
          <cell r="I26">
            <v>1412000</v>
          </cell>
        </row>
        <row r="27">
          <cell r="A27">
            <v>22</v>
          </cell>
          <cell r="B27" t="str">
            <v>Leâ Vaên Phaùt</v>
          </cell>
          <cell r="C27" t="str">
            <v>"</v>
          </cell>
          <cell r="D27">
            <v>0.95</v>
          </cell>
          <cell r="E27">
            <v>152</v>
          </cell>
          <cell r="F27">
            <v>1.2</v>
          </cell>
          <cell r="G27">
            <v>173.28</v>
          </cell>
          <cell r="H27">
            <v>7472.5</v>
          </cell>
          <cell r="I27">
            <v>1295000</v>
          </cell>
        </row>
        <row r="28">
          <cell r="A28">
            <v>23</v>
          </cell>
          <cell r="B28" t="str">
            <v>Lö  Hoàng Trang</v>
          </cell>
          <cell r="C28" t="str">
            <v>"</v>
          </cell>
          <cell r="D28">
            <v>0.9</v>
          </cell>
          <cell r="E28">
            <v>150</v>
          </cell>
          <cell r="F28">
            <v>1.4</v>
          </cell>
          <cell r="G28">
            <v>189</v>
          </cell>
          <cell r="H28">
            <v>7472.5</v>
          </cell>
          <cell r="I28">
            <v>1412000</v>
          </cell>
        </row>
        <row r="29">
          <cell r="A29">
            <v>24</v>
          </cell>
          <cell r="B29" t="str">
            <v>Leâ Thò Kim Thanh</v>
          </cell>
          <cell r="C29" t="str">
            <v>"</v>
          </cell>
          <cell r="D29">
            <v>0.9</v>
          </cell>
          <cell r="E29">
            <v>146</v>
          </cell>
          <cell r="F29">
            <v>1.4</v>
          </cell>
          <cell r="G29">
            <v>183.96</v>
          </cell>
          <cell r="H29">
            <v>7472.5</v>
          </cell>
          <cell r="I29">
            <v>1375000</v>
          </cell>
        </row>
        <row r="30">
          <cell r="A30">
            <v>25</v>
          </cell>
          <cell r="B30" t="str">
            <v>Nguyeãn T. Bình Cheùp</v>
          </cell>
          <cell r="C30" t="str">
            <v>T/vuï</v>
          </cell>
          <cell r="D30">
            <v>0.9</v>
          </cell>
          <cell r="E30">
            <v>153</v>
          </cell>
          <cell r="F30">
            <v>1.4</v>
          </cell>
          <cell r="G30">
            <v>192.78</v>
          </cell>
          <cell r="H30">
            <v>7472.5</v>
          </cell>
          <cell r="I30">
            <v>1441000</v>
          </cell>
        </row>
        <row r="31">
          <cell r="A31">
            <v>26</v>
          </cell>
          <cell r="B31" t="str">
            <v>Vuõ Thò Haûi</v>
          </cell>
          <cell r="C31" t="str">
            <v>"</v>
          </cell>
          <cell r="D31">
            <v>0.9</v>
          </cell>
          <cell r="E31">
            <v>153</v>
          </cell>
          <cell r="F31">
            <v>1.4</v>
          </cell>
          <cell r="G31">
            <v>192.78</v>
          </cell>
          <cell r="H31">
            <v>7472.5</v>
          </cell>
          <cell r="I31">
            <v>1441000</v>
          </cell>
        </row>
        <row r="32">
          <cell r="B32" t="str">
            <v>Coäng:</v>
          </cell>
          <cell r="D32">
            <v>28.399999999999988</v>
          </cell>
          <cell r="G32">
            <v>5794.6699999999992</v>
          </cell>
          <cell r="I32">
            <v>43306000</v>
          </cell>
        </row>
        <row r="34">
          <cell r="D34" t="str">
            <v>Baèng chöõ:    (Boán möôi ba trieäu, ba traêm leû saùu ngaøn ñoàng).</v>
          </cell>
        </row>
        <row r="36">
          <cell r="B36" t="str">
            <v>Duyeät Ban Giaùm ñoác</v>
          </cell>
          <cell r="G36" t="str">
            <v>Keá toaùn tröôûng</v>
          </cell>
        </row>
        <row r="46">
          <cell r="A46" t="str">
            <v>CTY XIMAÊNG HAØ TIEÂN KIEÂN GIANG</v>
          </cell>
          <cell r="E46" t="str">
            <v>BAÛNG THANH TOÙAN TIEÀN THÖÔÛNG 6 THAÙNG ÑAÀU NAÊM 2001</v>
          </cell>
        </row>
        <row r="47">
          <cell r="A47" t="str">
            <v>Boä phaän: Phaân xöôûng Saûn Xuaát</v>
          </cell>
        </row>
        <row r="49">
          <cell r="A49" t="str">
            <v>Stt</v>
          </cell>
          <cell r="B49" t="str">
            <v>Hoï vaø Teân</v>
          </cell>
          <cell r="C49" t="str">
            <v>Chöùc vuï</v>
          </cell>
          <cell r="D49" t="str">
            <v>HSCV</v>
          </cell>
          <cell r="E49" t="str">
            <v>Ngaøy coâng</v>
          </cell>
          <cell r="F49" t="str">
            <v>Heä soá X.Loaïi</v>
          </cell>
          <cell r="G49" t="str">
            <v>HSQÑ</v>
          </cell>
          <cell r="H49" t="str">
            <v>Ñôn giaù</v>
          </cell>
          <cell r="I49" t="str">
            <v>Thöïc laõnh (ñ)</v>
          </cell>
        </row>
        <row r="51">
          <cell r="A51">
            <v>1</v>
          </cell>
          <cell r="B51" t="str">
            <v>Traàn Vaên Naêm</v>
          </cell>
          <cell r="C51" t="str">
            <v>QÑ</v>
          </cell>
          <cell r="D51">
            <v>1.8</v>
          </cell>
          <cell r="E51">
            <v>153</v>
          </cell>
          <cell r="F51">
            <v>1.6</v>
          </cell>
          <cell r="G51">
            <v>440.6400000000001</v>
          </cell>
          <cell r="H51">
            <v>7472.5</v>
          </cell>
          <cell r="I51">
            <v>3293000</v>
          </cell>
        </row>
        <row r="52">
          <cell r="A52">
            <v>2</v>
          </cell>
          <cell r="B52" t="str">
            <v>Vuõ Tieán Laõm</v>
          </cell>
          <cell r="C52" t="str">
            <v>PQÑ</v>
          </cell>
          <cell r="D52">
            <v>1.65</v>
          </cell>
          <cell r="E52">
            <v>153</v>
          </cell>
          <cell r="F52">
            <v>1.6</v>
          </cell>
          <cell r="G52">
            <v>403.92</v>
          </cell>
          <cell r="H52">
            <v>7472.5</v>
          </cell>
          <cell r="I52">
            <v>3018000</v>
          </cell>
        </row>
        <row r="53">
          <cell r="A53">
            <v>3</v>
          </cell>
          <cell r="B53" t="str">
            <v>Döông Thanh Haø</v>
          </cell>
          <cell r="C53" t="str">
            <v>PQÑ</v>
          </cell>
          <cell r="D53">
            <v>1.65</v>
          </cell>
          <cell r="E53">
            <v>153</v>
          </cell>
          <cell r="F53">
            <v>1.6</v>
          </cell>
          <cell r="G53">
            <v>403.92</v>
          </cell>
          <cell r="H53">
            <v>7472.5</v>
          </cell>
          <cell r="I53">
            <v>3018000</v>
          </cell>
        </row>
        <row r="54">
          <cell r="A54">
            <v>4</v>
          </cell>
          <cell r="B54" t="str">
            <v>Löu Ñöùc  Hieán</v>
          </cell>
          <cell r="C54" t="str">
            <v>TK</v>
          </cell>
          <cell r="D54">
            <v>1.3</v>
          </cell>
          <cell r="E54">
            <v>154</v>
          </cell>
          <cell r="F54">
            <v>1.6</v>
          </cell>
          <cell r="G54">
            <v>320.32000000000005</v>
          </cell>
          <cell r="H54">
            <v>7472.5</v>
          </cell>
          <cell r="I54">
            <v>2394000</v>
          </cell>
        </row>
        <row r="55">
          <cell r="A55">
            <v>5</v>
          </cell>
          <cell r="B55" t="str">
            <v>Nguyeãn Vaên Lyù</v>
          </cell>
          <cell r="C55" t="str">
            <v>TK</v>
          </cell>
          <cell r="D55">
            <v>1.3</v>
          </cell>
          <cell r="E55">
            <v>152</v>
          </cell>
          <cell r="F55">
            <v>1.6</v>
          </cell>
          <cell r="G55">
            <v>316.16000000000003</v>
          </cell>
          <cell r="H55">
            <v>7472.5</v>
          </cell>
          <cell r="I55">
            <v>2363000</v>
          </cell>
        </row>
        <row r="56">
          <cell r="A56">
            <v>6</v>
          </cell>
          <cell r="B56" t="str">
            <v>Ñaøo Taát  Ñaït</v>
          </cell>
          <cell r="D56">
            <v>1.1499999999999999</v>
          </cell>
          <cell r="E56">
            <v>150</v>
          </cell>
          <cell r="F56">
            <v>1.2</v>
          </cell>
          <cell r="G56">
            <v>207</v>
          </cell>
          <cell r="H56">
            <v>7472.5</v>
          </cell>
          <cell r="I56">
            <v>1547000</v>
          </cell>
        </row>
        <row r="57">
          <cell r="A57">
            <v>7</v>
          </cell>
          <cell r="B57" t="str">
            <v>Haø Vaên Khen</v>
          </cell>
          <cell r="D57">
            <v>1.1499999999999999</v>
          </cell>
          <cell r="E57">
            <v>144</v>
          </cell>
          <cell r="F57">
            <v>1.4</v>
          </cell>
          <cell r="G57">
            <v>231.83999999999997</v>
          </cell>
          <cell r="H57">
            <v>7472.5</v>
          </cell>
          <cell r="I57">
            <v>1732000</v>
          </cell>
        </row>
        <row r="58">
          <cell r="A58">
            <v>8</v>
          </cell>
          <cell r="B58" t="str">
            <v>Laâm Ngoïc Chuyeân</v>
          </cell>
          <cell r="D58">
            <v>1.1499999999999999</v>
          </cell>
          <cell r="E58">
            <v>156</v>
          </cell>
          <cell r="F58">
            <v>1.4</v>
          </cell>
          <cell r="G58">
            <v>251.15999999999994</v>
          </cell>
          <cell r="H58">
            <v>7472.5</v>
          </cell>
          <cell r="I58">
            <v>1877000</v>
          </cell>
        </row>
        <row r="59">
          <cell r="A59">
            <v>9</v>
          </cell>
          <cell r="B59" t="str">
            <v>Leâ Vaên Vuõ</v>
          </cell>
          <cell r="C59" t="str">
            <v>CT</v>
          </cell>
          <cell r="D59">
            <v>1.25</v>
          </cell>
          <cell r="E59">
            <v>155</v>
          </cell>
          <cell r="F59">
            <v>1.6</v>
          </cell>
          <cell r="G59">
            <v>310</v>
          </cell>
          <cell r="H59">
            <v>7472.5</v>
          </cell>
          <cell r="I59">
            <v>2316000</v>
          </cell>
        </row>
        <row r="60">
          <cell r="A60">
            <v>10</v>
          </cell>
          <cell r="B60" t="str">
            <v>Haøng Vaên Taøo</v>
          </cell>
          <cell r="C60" t="str">
            <v>CT</v>
          </cell>
          <cell r="D60">
            <v>1.3249428571428572</v>
          </cell>
          <cell r="E60">
            <v>149</v>
          </cell>
          <cell r="F60">
            <v>1.6</v>
          </cell>
          <cell r="G60">
            <v>315.86637714285717</v>
          </cell>
          <cell r="H60">
            <v>7472.5</v>
          </cell>
          <cell r="I60">
            <v>2360000</v>
          </cell>
        </row>
        <row r="61">
          <cell r="A61">
            <v>11</v>
          </cell>
          <cell r="B61" t="str">
            <v>Nguyeãn Ngoïc Bieân</v>
          </cell>
          <cell r="D61">
            <v>1.2749428571428572</v>
          </cell>
          <cell r="E61">
            <v>156</v>
          </cell>
          <cell r="F61">
            <v>1.4</v>
          </cell>
          <cell r="G61">
            <v>278.44752</v>
          </cell>
          <cell r="H61">
            <v>7472.5</v>
          </cell>
          <cell r="I61">
            <v>2081000</v>
          </cell>
        </row>
        <row r="62">
          <cell r="A62">
            <v>12</v>
          </cell>
          <cell r="B62" t="str">
            <v>Trònh Hoaøi Phöông</v>
          </cell>
          <cell r="D62">
            <v>1.2408166666666667</v>
          </cell>
          <cell r="E62">
            <v>156</v>
          </cell>
          <cell r="F62">
            <v>1.4</v>
          </cell>
          <cell r="G62">
            <v>270.99435999999997</v>
          </cell>
          <cell r="H62">
            <v>7472.5</v>
          </cell>
          <cell r="I62">
            <v>2025000</v>
          </cell>
        </row>
        <row r="63">
          <cell r="A63">
            <v>13</v>
          </cell>
          <cell r="B63" t="str">
            <v>Ñaøo Duy Haûi</v>
          </cell>
          <cell r="D63">
            <v>1.2184952380952381</v>
          </cell>
          <cell r="E63">
            <v>155</v>
          </cell>
          <cell r="F63">
            <v>1.2</v>
          </cell>
          <cell r="G63">
            <v>226.6401142857143</v>
          </cell>
          <cell r="H63">
            <v>7472.5</v>
          </cell>
          <cell r="I63">
            <v>1694000</v>
          </cell>
        </row>
        <row r="64">
          <cell r="A64">
            <v>14</v>
          </cell>
          <cell r="B64" t="str">
            <v>Ngoâ Quoác Maïnh</v>
          </cell>
          <cell r="D64">
            <v>1.1825619047619049</v>
          </cell>
          <cell r="E64">
            <v>155</v>
          </cell>
          <cell r="F64">
            <v>1.4</v>
          </cell>
          <cell r="G64">
            <v>256.61593333333337</v>
          </cell>
          <cell r="H64">
            <v>7472.5</v>
          </cell>
          <cell r="I64">
            <v>1918000</v>
          </cell>
        </row>
        <row r="65">
          <cell r="A65">
            <v>15</v>
          </cell>
          <cell r="B65" t="str">
            <v>Traàn khaéc Ñieàu</v>
          </cell>
          <cell r="D65">
            <v>1.2184952380952381</v>
          </cell>
          <cell r="E65">
            <v>156</v>
          </cell>
          <cell r="F65">
            <v>1.4</v>
          </cell>
          <cell r="G65">
            <v>266.11935999999997</v>
          </cell>
          <cell r="H65">
            <v>7472.5</v>
          </cell>
          <cell r="I65">
            <v>1989000</v>
          </cell>
        </row>
        <row r="66">
          <cell r="A66">
            <v>16</v>
          </cell>
          <cell r="B66" t="str">
            <v>Nguyeãn Thanh Hoàng</v>
          </cell>
          <cell r="D66">
            <v>1.2184952380952381</v>
          </cell>
          <cell r="E66">
            <v>155</v>
          </cell>
          <cell r="F66">
            <v>1.4</v>
          </cell>
          <cell r="G66">
            <v>264.41346666666669</v>
          </cell>
          <cell r="H66">
            <v>7472.5</v>
          </cell>
          <cell r="I66">
            <v>1976000</v>
          </cell>
        </row>
        <row r="67">
          <cell r="A67">
            <v>17</v>
          </cell>
          <cell r="B67" t="str">
            <v>Trieäu Quang Thanh</v>
          </cell>
          <cell r="D67">
            <v>1.213742857142857</v>
          </cell>
          <cell r="E67">
            <v>97</v>
          </cell>
          <cell r="F67">
            <v>1.4</v>
          </cell>
          <cell r="G67">
            <v>164.82627999999997</v>
          </cell>
          <cell r="H67">
            <v>7472.5</v>
          </cell>
          <cell r="I67">
            <v>1232000</v>
          </cell>
        </row>
        <row r="68">
          <cell r="A68">
            <v>18</v>
          </cell>
          <cell r="B68" t="str">
            <v>Nguyeãn Quang Vinh</v>
          </cell>
          <cell r="D68">
            <v>1.3249428571428572</v>
          </cell>
          <cell r="E68">
            <v>139</v>
          </cell>
          <cell r="F68">
            <v>1.6</v>
          </cell>
          <cell r="G68">
            <v>294.66729142857145</v>
          </cell>
          <cell r="H68">
            <v>7472.5</v>
          </cell>
          <cell r="I68">
            <v>2202000</v>
          </cell>
        </row>
        <row r="69">
          <cell r="A69">
            <v>19</v>
          </cell>
          <cell r="B69" t="str">
            <v>Nguyeãn Thanh Sôn</v>
          </cell>
          <cell r="D69">
            <v>1.2999428571428571</v>
          </cell>
          <cell r="E69">
            <v>155</v>
          </cell>
          <cell r="F69">
            <v>1.6</v>
          </cell>
          <cell r="G69">
            <v>322.38582857142859</v>
          </cell>
          <cell r="H69">
            <v>7472.5</v>
          </cell>
          <cell r="I69">
            <v>2409000</v>
          </cell>
        </row>
        <row r="70">
          <cell r="A70">
            <v>20</v>
          </cell>
          <cell r="B70" t="str">
            <v>Traàn Thanh Tuøng</v>
          </cell>
          <cell r="D70">
            <v>1.2184952380952381</v>
          </cell>
          <cell r="E70">
            <v>154</v>
          </cell>
          <cell r="F70">
            <v>1.4</v>
          </cell>
          <cell r="G70">
            <v>262.7075733333333</v>
          </cell>
          <cell r="H70">
            <v>7472.5</v>
          </cell>
          <cell r="I70">
            <v>1963000</v>
          </cell>
        </row>
        <row r="71">
          <cell r="A71">
            <v>21</v>
          </cell>
          <cell r="B71" t="str">
            <v>Nguyeãn Höõu Taøi</v>
          </cell>
          <cell r="D71">
            <v>1.2184952380952381</v>
          </cell>
          <cell r="E71">
            <v>155</v>
          </cell>
          <cell r="F71">
            <v>1.4</v>
          </cell>
          <cell r="G71">
            <v>264.41346666666669</v>
          </cell>
          <cell r="H71">
            <v>7472.5</v>
          </cell>
          <cell r="I71">
            <v>1976000</v>
          </cell>
        </row>
        <row r="72">
          <cell r="A72">
            <v>22</v>
          </cell>
          <cell r="B72" t="str">
            <v>Leâ Phaùt Ñaït</v>
          </cell>
          <cell r="D72">
            <v>1.2184952380952381</v>
          </cell>
          <cell r="E72">
            <v>156</v>
          </cell>
          <cell r="F72">
            <v>1.6</v>
          </cell>
          <cell r="G72">
            <v>304.13641142857142</v>
          </cell>
          <cell r="H72">
            <v>7472.5</v>
          </cell>
          <cell r="I72">
            <v>2273000</v>
          </cell>
        </row>
        <row r="73">
          <cell r="A73">
            <v>23</v>
          </cell>
          <cell r="B73" t="str">
            <v>Nam Taán Löïc</v>
          </cell>
          <cell r="D73">
            <v>1.3</v>
          </cell>
          <cell r="E73">
            <v>154</v>
          </cell>
          <cell r="F73">
            <v>1.2</v>
          </cell>
          <cell r="G73">
            <v>240.24</v>
          </cell>
          <cell r="H73">
            <v>7472.5</v>
          </cell>
          <cell r="I73">
            <v>1795000</v>
          </cell>
        </row>
        <row r="74">
          <cell r="A74">
            <v>24</v>
          </cell>
          <cell r="B74" t="str">
            <v>Huyønh Quoác Söû</v>
          </cell>
          <cell r="D74">
            <v>1.1499999999999999</v>
          </cell>
          <cell r="E74">
            <v>156</v>
          </cell>
          <cell r="F74">
            <v>1.4</v>
          </cell>
          <cell r="G74">
            <v>251.15999999999994</v>
          </cell>
          <cell r="H74">
            <v>7472.5</v>
          </cell>
          <cell r="I74">
            <v>1877000</v>
          </cell>
        </row>
        <row r="75">
          <cell r="A75">
            <v>25</v>
          </cell>
          <cell r="B75" t="str">
            <v>Trònh Vaên Luøng</v>
          </cell>
          <cell r="D75">
            <v>1.1499999999999999</v>
          </cell>
          <cell r="E75">
            <v>151</v>
          </cell>
          <cell r="F75">
            <v>1.2</v>
          </cell>
          <cell r="G75">
            <v>208.37999999999997</v>
          </cell>
          <cell r="H75">
            <v>7472.5</v>
          </cell>
          <cell r="I75">
            <v>1557000</v>
          </cell>
        </row>
        <row r="76">
          <cell r="A76">
            <v>26</v>
          </cell>
          <cell r="B76" t="str">
            <v>Taøo Chís Sal</v>
          </cell>
          <cell r="D76">
            <v>1.1499999999999999</v>
          </cell>
          <cell r="E76">
            <v>149</v>
          </cell>
          <cell r="F76">
            <v>1.4</v>
          </cell>
          <cell r="G76">
            <v>239.89</v>
          </cell>
          <cell r="H76">
            <v>7472.5</v>
          </cell>
          <cell r="I76">
            <v>1793000</v>
          </cell>
        </row>
        <row r="77">
          <cell r="A77">
            <v>27</v>
          </cell>
          <cell r="B77" t="str">
            <v>Leâ Tröôøng Sa</v>
          </cell>
          <cell r="D77">
            <v>1.1499999999999999</v>
          </cell>
          <cell r="E77">
            <v>153</v>
          </cell>
          <cell r="F77">
            <v>1.2</v>
          </cell>
          <cell r="G77">
            <v>211.14</v>
          </cell>
          <cell r="H77">
            <v>7472.5</v>
          </cell>
          <cell r="I77">
            <v>1578000</v>
          </cell>
        </row>
        <row r="78">
          <cell r="A78">
            <v>28</v>
          </cell>
          <cell r="B78" t="str">
            <v>Ñoã Trung Thöï</v>
          </cell>
          <cell r="D78">
            <v>1.3</v>
          </cell>
          <cell r="E78">
            <v>155</v>
          </cell>
          <cell r="F78">
            <v>1.6</v>
          </cell>
          <cell r="G78">
            <v>322.40000000000003</v>
          </cell>
          <cell r="H78">
            <v>7472.5</v>
          </cell>
          <cell r="I78">
            <v>2409000</v>
          </cell>
        </row>
        <row r="79">
          <cell r="A79">
            <v>29</v>
          </cell>
          <cell r="B79" t="str">
            <v>Trònh Xuaân Thaéng</v>
          </cell>
          <cell r="D79">
            <v>1.1499999999999999</v>
          </cell>
          <cell r="E79">
            <v>155</v>
          </cell>
          <cell r="F79">
            <v>1.4</v>
          </cell>
          <cell r="G79">
            <v>249.54999999999998</v>
          </cell>
          <cell r="H79">
            <v>7472.5</v>
          </cell>
          <cell r="I79">
            <v>1865000</v>
          </cell>
        </row>
        <row r="80">
          <cell r="A80">
            <v>30</v>
          </cell>
          <cell r="B80" t="str">
            <v>Nguyeãn Vaên Thaém</v>
          </cell>
          <cell r="D80">
            <v>1.1499999999999999</v>
          </cell>
          <cell r="E80">
            <v>156</v>
          </cell>
          <cell r="F80">
            <v>1.4</v>
          </cell>
          <cell r="G80">
            <v>251.15999999999994</v>
          </cell>
          <cell r="H80">
            <v>7472.5</v>
          </cell>
          <cell r="I80">
            <v>1877000</v>
          </cell>
        </row>
        <row r="81">
          <cell r="A81">
            <v>31</v>
          </cell>
          <cell r="B81" t="str">
            <v>Leâ Coâng Luaän</v>
          </cell>
          <cell r="D81">
            <v>1.1499999999999999</v>
          </cell>
          <cell r="E81">
            <v>144</v>
          </cell>
          <cell r="F81">
            <v>1.2</v>
          </cell>
          <cell r="G81">
            <v>198.72</v>
          </cell>
          <cell r="H81">
            <v>7472.5</v>
          </cell>
          <cell r="I81">
            <v>1485000</v>
          </cell>
        </row>
        <row r="82">
          <cell r="A82">
            <v>32</v>
          </cell>
          <cell r="B82" t="str">
            <v>Traàn Vaên Tieån</v>
          </cell>
          <cell r="D82">
            <v>1.1499999999999999</v>
          </cell>
          <cell r="E82">
            <v>156</v>
          </cell>
          <cell r="F82">
            <v>1.4</v>
          </cell>
          <cell r="G82">
            <v>251.15999999999994</v>
          </cell>
          <cell r="H82">
            <v>7472.5</v>
          </cell>
          <cell r="I82">
            <v>1877000</v>
          </cell>
        </row>
        <row r="83">
          <cell r="A83">
            <v>33</v>
          </cell>
          <cell r="B83" t="str">
            <v>Leâ Thaùi Bình</v>
          </cell>
          <cell r="D83">
            <v>1.3</v>
          </cell>
          <cell r="E83">
            <v>156</v>
          </cell>
          <cell r="F83">
            <v>1.4</v>
          </cell>
          <cell r="G83">
            <v>283.92</v>
          </cell>
          <cell r="H83">
            <v>7472.5</v>
          </cell>
          <cell r="I83">
            <v>2122000</v>
          </cell>
        </row>
        <row r="84">
          <cell r="A84">
            <v>34</v>
          </cell>
          <cell r="B84" t="str">
            <v>Nguyeãn Khaéc Vuõ</v>
          </cell>
          <cell r="D84">
            <v>1.1499999999999999</v>
          </cell>
          <cell r="E84">
            <v>156</v>
          </cell>
          <cell r="F84">
            <v>1.6</v>
          </cell>
          <cell r="G84">
            <v>287.03999999999996</v>
          </cell>
          <cell r="H84">
            <v>7472.5</v>
          </cell>
          <cell r="I84">
            <v>2145000</v>
          </cell>
        </row>
        <row r="85">
          <cell r="A85">
            <v>35</v>
          </cell>
          <cell r="B85" t="str">
            <v>Hoà Quoác Böûu</v>
          </cell>
          <cell r="D85">
            <v>1.1499999999999999</v>
          </cell>
          <cell r="E85">
            <v>156</v>
          </cell>
          <cell r="F85">
            <v>1.4</v>
          </cell>
          <cell r="G85">
            <v>251.15999999999994</v>
          </cell>
          <cell r="H85">
            <v>7472.5</v>
          </cell>
          <cell r="I85">
            <v>1877000</v>
          </cell>
        </row>
        <row r="86">
          <cell r="A86">
            <v>36</v>
          </cell>
          <cell r="B86" t="str">
            <v>Ngoâ Minh Taâm</v>
          </cell>
          <cell r="D86">
            <v>1.1499999999999999</v>
          </cell>
          <cell r="E86">
            <v>154</v>
          </cell>
          <cell r="F86">
            <v>1.4</v>
          </cell>
          <cell r="G86">
            <v>247.93999999999997</v>
          </cell>
          <cell r="H86">
            <v>7472.5</v>
          </cell>
          <cell r="I86">
            <v>1853000</v>
          </cell>
        </row>
        <row r="87">
          <cell r="A87">
            <v>37</v>
          </cell>
          <cell r="B87" t="str">
            <v>Nguyeãn Vaên Ñoâng</v>
          </cell>
          <cell r="D87">
            <v>1.1499999999999999</v>
          </cell>
          <cell r="E87">
            <v>153</v>
          </cell>
          <cell r="F87">
            <v>1.2</v>
          </cell>
          <cell r="G87">
            <v>211.14</v>
          </cell>
          <cell r="H87">
            <v>7472.5</v>
          </cell>
          <cell r="I87">
            <v>1578000</v>
          </cell>
        </row>
        <row r="88">
          <cell r="A88">
            <v>38</v>
          </cell>
          <cell r="B88" t="str">
            <v>Vuõ Duy Thaêng</v>
          </cell>
          <cell r="D88">
            <v>1.3657885304659498</v>
          </cell>
          <cell r="E88">
            <v>156</v>
          </cell>
          <cell r="F88">
            <v>1.6</v>
          </cell>
          <cell r="G88">
            <v>340.90081720430112</v>
          </cell>
          <cell r="H88">
            <v>7472.5</v>
          </cell>
          <cell r="I88">
            <v>2547000</v>
          </cell>
        </row>
        <row r="89">
          <cell r="A89">
            <v>39</v>
          </cell>
          <cell r="B89" t="str">
            <v>Nguyeãn Nhö  Chöôøng</v>
          </cell>
          <cell r="C89" t="str">
            <v>CP</v>
          </cell>
          <cell r="D89">
            <v>1.3367293906810034</v>
          </cell>
          <cell r="E89">
            <v>133</v>
          </cell>
          <cell r="F89">
            <v>1.6</v>
          </cell>
          <cell r="G89">
            <v>284.45601433691758</v>
          </cell>
          <cell r="H89">
            <v>7472.5</v>
          </cell>
          <cell r="I89">
            <v>2126000</v>
          </cell>
        </row>
        <row r="90">
          <cell r="A90">
            <v>40</v>
          </cell>
          <cell r="B90" t="str">
            <v>Löu Ñöùc Ñònh</v>
          </cell>
          <cell r="D90">
            <v>1.3542019713261648</v>
          </cell>
          <cell r="E90">
            <v>156</v>
          </cell>
          <cell r="F90">
            <v>1.6</v>
          </cell>
          <cell r="G90">
            <v>338.00881204301072</v>
          </cell>
          <cell r="H90">
            <v>7472.5</v>
          </cell>
          <cell r="I90">
            <v>2526000</v>
          </cell>
        </row>
        <row r="91">
          <cell r="A91">
            <v>41</v>
          </cell>
          <cell r="B91" t="str">
            <v>Phaïm Thaùi Hoaø</v>
          </cell>
          <cell r="D91">
            <v>1.2265053763440861</v>
          </cell>
          <cell r="E91">
            <v>154</v>
          </cell>
          <cell r="F91">
            <v>1.4</v>
          </cell>
          <cell r="G91">
            <v>264.43455913978494</v>
          </cell>
          <cell r="H91">
            <v>7472.5</v>
          </cell>
          <cell r="I91">
            <v>1976000</v>
          </cell>
        </row>
        <row r="92">
          <cell r="A92">
            <v>42</v>
          </cell>
          <cell r="B92" t="str">
            <v>Dö Minh Taâm</v>
          </cell>
          <cell r="D92">
            <v>1.2979928315412186</v>
          </cell>
          <cell r="E92">
            <v>156</v>
          </cell>
          <cell r="F92">
            <v>1.2</v>
          </cell>
          <cell r="G92">
            <v>242.9842580645161</v>
          </cell>
          <cell r="H92">
            <v>7472.5</v>
          </cell>
          <cell r="I92">
            <v>1816000</v>
          </cell>
        </row>
        <row r="93">
          <cell r="A93">
            <v>43</v>
          </cell>
          <cell r="B93" t="str">
            <v>Nguyeãn Anh Tuaán A</v>
          </cell>
          <cell r="D93">
            <v>1.2205376344086021</v>
          </cell>
          <cell r="E93">
            <v>152</v>
          </cell>
          <cell r="F93">
            <v>1.4</v>
          </cell>
          <cell r="G93">
            <v>259.73040860215048</v>
          </cell>
          <cell r="H93">
            <v>7472.5</v>
          </cell>
          <cell r="I93">
            <v>1941000</v>
          </cell>
        </row>
        <row r="94">
          <cell r="A94">
            <v>44</v>
          </cell>
          <cell r="B94" t="str">
            <v>Nguyeãn Xuaân Möôøi</v>
          </cell>
          <cell r="D94">
            <v>1.2575075268817206</v>
          </cell>
          <cell r="E94">
            <v>155</v>
          </cell>
          <cell r="F94">
            <v>1.4</v>
          </cell>
          <cell r="G94">
            <v>272.87913333333336</v>
          </cell>
          <cell r="H94">
            <v>7472.5</v>
          </cell>
          <cell r="I94">
            <v>2039000</v>
          </cell>
        </row>
        <row r="95">
          <cell r="A95">
            <v>45</v>
          </cell>
          <cell r="B95" t="str">
            <v>Ngoâ Xuaân Tueä</v>
          </cell>
          <cell r="D95">
            <v>1.2758691756272402</v>
          </cell>
          <cell r="E95">
            <v>153</v>
          </cell>
          <cell r="F95">
            <v>1.2</v>
          </cell>
          <cell r="G95">
            <v>234.2495806451613</v>
          </cell>
          <cell r="H95">
            <v>7472.5</v>
          </cell>
          <cell r="I95">
            <v>1750000</v>
          </cell>
        </row>
        <row r="96">
          <cell r="A96">
            <v>46</v>
          </cell>
          <cell r="B96" t="str">
            <v>Nguyeãn Tieán Duõng</v>
          </cell>
          <cell r="D96">
            <v>1.2187853046594981</v>
          </cell>
          <cell r="E96">
            <v>154</v>
          </cell>
          <cell r="F96">
            <v>1.4</v>
          </cell>
          <cell r="G96">
            <v>262.77011168458773</v>
          </cell>
          <cell r="H96">
            <v>7472.5</v>
          </cell>
          <cell r="I96">
            <v>1964000</v>
          </cell>
        </row>
        <row r="97">
          <cell r="A97">
            <v>47</v>
          </cell>
          <cell r="B97" t="str">
            <v>Trònh Ngoïc Toaøn</v>
          </cell>
          <cell r="D97">
            <v>1.1776254480286739</v>
          </cell>
          <cell r="E97">
            <v>152</v>
          </cell>
          <cell r="F97">
            <v>1.4</v>
          </cell>
          <cell r="G97">
            <v>250.59869534050176</v>
          </cell>
          <cell r="H97">
            <v>7472.5</v>
          </cell>
          <cell r="I97">
            <v>1873000</v>
          </cell>
        </row>
        <row r="98">
          <cell r="A98">
            <v>48</v>
          </cell>
          <cell r="B98" t="str">
            <v>Nguyeãn Coâng Danh</v>
          </cell>
          <cell r="D98">
            <v>1.2348207885304658</v>
          </cell>
          <cell r="E98">
            <v>155</v>
          </cell>
          <cell r="F98">
            <v>1.4</v>
          </cell>
          <cell r="G98">
            <v>267.95611111111106</v>
          </cell>
          <cell r="H98">
            <v>7472.5</v>
          </cell>
          <cell r="I98">
            <v>2002000</v>
          </cell>
        </row>
        <row r="99">
          <cell r="A99">
            <v>49</v>
          </cell>
          <cell r="B99" t="str">
            <v>Cao Vaên Döông</v>
          </cell>
          <cell r="C99" t="str">
            <v>TT</v>
          </cell>
          <cell r="D99">
            <v>1.3359139784946237</v>
          </cell>
          <cell r="E99">
            <v>154</v>
          </cell>
          <cell r="F99">
            <v>1.6</v>
          </cell>
          <cell r="G99">
            <v>329.1692043010753</v>
          </cell>
          <cell r="H99">
            <v>7472.5</v>
          </cell>
          <cell r="I99">
            <v>2460000</v>
          </cell>
        </row>
        <row r="100">
          <cell r="A100">
            <v>50</v>
          </cell>
          <cell r="B100" t="str">
            <v>Hoaøng Minh Taân</v>
          </cell>
          <cell r="D100">
            <v>1.2991666666666666</v>
          </cell>
          <cell r="E100">
            <v>151</v>
          </cell>
          <cell r="F100">
            <v>1.4</v>
          </cell>
          <cell r="G100">
            <v>274.6438333333333</v>
          </cell>
          <cell r="H100">
            <v>7472.5</v>
          </cell>
          <cell r="I100">
            <v>2052000</v>
          </cell>
        </row>
        <row r="101">
          <cell r="A101">
            <v>51</v>
          </cell>
          <cell r="B101" t="str">
            <v>Nguyeãn Tuaán Anh</v>
          </cell>
          <cell r="D101">
            <v>1.3276168458781361</v>
          </cell>
          <cell r="E101">
            <v>156</v>
          </cell>
          <cell r="F101">
            <v>1.4</v>
          </cell>
          <cell r="G101">
            <v>289.95151913978492</v>
          </cell>
          <cell r="H101">
            <v>7472.5</v>
          </cell>
          <cell r="I101">
            <v>2167000</v>
          </cell>
        </row>
        <row r="102">
          <cell r="A102">
            <v>52</v>
          </cell>
          <cell r="B102" t="str">
            <v>Phan Sinh Ngaân</v>
          </cell>
          <cell r="D102">
            <v>1.3520514336917564</v>
          </cell>
          <cell r="E102">
            <v>153</v>
          </cell>
          <cell r="F102">
            <v>1.4</v>
          </cell>
          <cell r="G102">
            <v>289.60941709677422</v>
          </cell>
          <cell r="H102">
            <v>7472.5</v>
          </cell>
          <cell r="I102">
            <v>2164000</v>
          </cell>
        </row>
        <row r="103">
          <cell r="A103">
            <v>53</v>
          </cell>
          <cell r="B103" t="str">
            <v>Cao Vaên Thaønh</v>
          </cell>
          <cell r="D103">
            <v>1.2645878136200717</v>
          </cell>
          <cell r="E103">
            <v>156</v>
          </cell>
          <cell r="F103">
            <v>1.4</v>
          </cell>
          <cell r="G103">
            <v>276.18597849462367</v>
          </cell>
          <cell r="H103">
            <v>7472.5</v>
          </cell>
          <cell r="I103">
            <v>2064000</v>
          </cell>
        </row>
        <row r="104">
          <cell r="A104">
            <v>54</v>
          </cell>
          <cell r="B104" t="str">
            <v>Huyønh Quoác Phuù</v>
          </cell>
          <cell r="D104">
            <v>1.267706093189964</v>
          </cell>
          <cell r="E104">
            <v>156</v>
          </cell>
          <cell r="F104">
            <v>1.4</v>
          </cell>
          <cell r="G104">
            <v>276.86701075268809</v>
          </cell>
          <cell r="H104">
            <v>7472.5</v>
          </cell>
          <cell r="I104">
            <v>2069000</v>
          </cell>
        </row>
        <row r="105">
          <cell r="A105">
            <v>55</v>
          </cell>
          <cell r="B105" t="str">
            <v>Danh Quang</v>
          </cell>
          <cell r="D105">
            <v>1.2841884280593956</v>
          </cell>
          <cell r="E105">
            <v>154</v>
          </cell>
          <cell r="F105">
            <v>1.4</v>
          </cell>
          <cell r="G105">
            <v>276.87102508960567</v>
          </cell>
          <cell r="H105">
            <v>7472.5</v>
          </cell>
          <cell r="I105">
            <v>2069000</v>
          </cell>
        </row>
        <row r="106">
          <cell r="A106">
            <v>56</v>
          </cell>
          <cell r="B106" t="str">
            <v>Ñoã Minh Taâm</v>
          </cell>
          <cell r="D106">
            <v>1.1675806451612902</v>
          </cell>
          <cell r="E106">
            <v>156</v>
          </cell>
          <cell r="F106">
            <v>1.4</v>
          </cell>
          <cell r="G106">
            <v>254.99961290322577</v>
          </cell>
          <cell r="H106">
            <v>7472.5</v>
          </cell>
          <cell r="I106">
            <v>1905000</v>
          </cell>
        </row>
        <row r="107">
          <cell r="A107">
            <v>57</v>
          </cell>
          <cell r="B107" t="str">
            <v>Huyønh Chí Trung</v>
          </cell>
          <cell r="D107">
            <v>1.1558781362007169</v>
          </cell>
          <cell r="E107">
            <v>153</v>
          </cell>
          <cell r="F107">
            <v>1.4</v>
          </cell>
          <cell r="G107">
            <v>247.58909677419354</v>
          </cell>
          <cell r="H107">
            <v>7472.5</v>
          </cell>
          <cell r="I107">
            <v>1850000</v>
          </cell>
        </row>
        <row r="108">
          <cell r="A108">
            <v>58</v>
          </cell>
          <cell r="B108" t="str">
            <v>Nguyeãn Thaùi Vieät</v>
          </cell>
          <cell r="D108">
            <v>1.1696071428571428</v>
          </cell>
          <cell r="E108">
            <v>156</v>
          </cell>
          <cell r="F108">
            <v>1.4</v>
          </cell>
          <cell r="G108">
            <v>255.44219999999999</v>
          </cell>
          <cell r="H108">
            <v>7472.5</v>
          </cell>
          <cell r="I108">
            <v>1909000</v>
          </cell>
        </row>
        <row r="109">
          <cell r="A109">
            <v>59</v>
          </cell>
          <cell r="B109" t="str">
            <v>Traàn Vaên Tieán</v>
          </cell>
          <cell r="D109">
            <v>1.1572222222222222</v>
          </cell>
          <cell r="E109">
            <v>156</v>
          </cell>
          <cell r="F109">
            <v>1.2</v>
          </cell>
          <cell r="G109">
            <v>216.63199999999998</v>
          </cell>
          <cell r="H109">
            <v>7472.5</v>
          </cell>
          <cell r="I109">
            <v>1619000</v>
          </cell>
        </row>
        <row r="110">
          <cell r="A110">
            <v>60</v>
          </cell>
          <cell r="B110" t="str">
            <v>Phaïm Taán Giaøu</v>
          </cell>
          <cell r="C110" t="str">
            <v>TT</v>
          </cell>
          <cell r="D110">
            <v>1.3337275985663082</v>
          </cell>
          <cell r="E110">
            <v>156</v>
          </cell>
          <cell r="F110">
            <v>1.4</v>
          </cell>
          <cell r="G110">
            <v>291.28610752688172</v>
          </cell>
          <cell r="H110">
            <v>7472.5</v>
          </cell>
          <cell r="I110">
            <v>2177000</v>
          </cell>
        </row>
        <row r="111">
          <cell r="A111">
            <v>61</v>
          </cell>
          <cell r="B111" t="str">
            <v>Taï Vaên Beâ</v>
          </cell>
          <cell r="C111" t="str">
            <v>CP</v>
          </cell>
          <cell r="D111">
            <v>1.2983602150537634</v>
          </cell>
          <cell r="E111">
            <v>156</v>
          </cell>
          <cell r="F111">
            <v>1.4</v>
          </cell>
          <cell r="G111">
            <v>283.56187096774192</v>
          </cell>
          <cell r="H111">
            <v>7472.5</v>
          </cell>
          <cell r="I111">
            <v>2119000</v>
          </cell>
        </row>
        <row r="112">
          <cell r="A112">
            <v>62</v>
          </cell>
          <cell r="B112" t="str">
            <v>Cao Trí Duõng</v>
          </cell>
          <cell r="D112">
            <v>1.2560573476702508</v>
          </cell>
          <cell r="E112">
            <v>156</v>
          </cell>
          <cell r="F112">
            <v>1.4</v>
          </cell>
          <cell r="G112">
            <v>274.32292473118275</v>
          </cell>
          <cell r="H112">
            <v>7472.5</v>
          </cell>
          <cell r="I112">
            <v>2050000</v>
          </cell>
        </row>
        <row r="113">
          <cell r="A113">
            <v>63</v>
          </cell>
          <cell r="B113" t="str">
            <v>Söû Hoaøng Vinh</v>
          </cell>
          <cell r="D113">
            <v>1.2624532770097285</v>
          </cell>
          <cell r="E113">
            <v>151</v>
          </cell>
          <cell r="F113">
            <v>1.4</v>
          </cell>
          <cell r="G113">
            <v>266.88262275985659</v>
          </cell>
          <cell r="H113">
            <v>7472.5</v>
          </cell>
          <cell r="I113">
            <v>1994000</v>
          </cell>
        </row>
        <row r="114">
          <cell r="A114">
            <v>64</v>
          </cell>
          <cell r="B114" t="str">
            <v>Nguyeãn Tuaán Höng</v>
          </cell>
          <cell r="D114">
            <v>1.3002963645673322</v>
          </cell>
          <cell r="E114">
            <v>156</v>
          </cell>
          <cell r="F114">
            <v>1.4</v>
          </cell>
          <cell r="G114">
            <v>283.98472602150537</v>
          </cell>
          <cell r="H114">
            <v>7472.5</v>
          </cell>
          <cell r="I114">
            <v>2122000</v>
          </cell>
        </row>
        <row r="115">
          <cell r="A115">
            <v>65</v>
          </cell>
          <cell r="B115" t="str">
            <v>Tröông Tieán Huøng</v>
          </cell>
          <cell r="D115">
            <v>1.2719982078853047</v>
          </cell>
          <cell r="E115">
            <v>155</v>
          </cell>
          <cell r="F115">
            <v>1.4</v>
          </cell>
          <cell r="G115">
            <v>276.02361111111111</v>
          </cell>
          <cell r="H115">
            <v>7472.5</v>
          </cell>
          <cell r="I115">
            <v>2063000</v>
          </cell>
        </row>
        <row r="116">
          <cell r="A116">
            <v>66</v>
          </cell>
          <cell r="B116" t="str">
            <v>Cao Vaên UÙt</v>
          </cell>
          <cell r="D116">
            <v>1.252616487455197</v>
          </cell>
          <cell r="E116">
            <v>155</v>
          </cell>
          <cell r="F116">
            <v>1.4</v>
          </cell>
          <cell r="G116">
            <v>271.81777777777774</v>
          </cell>
          <cell r="H116">
            <v>7472.5</v>
          </cell>
          <cell r="I116">
            <v>2031000</v>
          </cell>
        </row>
        <row r="117">
          <cell r="A117">
            <v>67</v>
          </cell>
          <cell r="B117" t="str">
            <v>Nguyeãn Thanh Huøng</v>
          </cell>
          <cell r="D117">
            <v>1.2778218125960064</v>
          </cell>
          <cell r="E117">
            <v>153</v>
          </cell>
          <cell r="F117">
            <v>1.4</v>
          </cell>
          <cell r="G117">
            <v>273.70943225806457</v>
          </cell>
          <cell r="H117">
            <v>7472.5</v>
          </cell>
          <cell r="I117">
            <v>2045000</v>
          </cell>
        </row>
        <row r="118">
          <cell r="A118">
            <v>68</v>
          </cell>
          <cell r="B118" t="str">
            <v>Vuõ Duy Theá</v>
          </cell>
          <cell r="D118">
            <v>1.2768996415770608</v>
          </cell>
          <cell r="E118">
            <v>156</v>
          </cell>
          <cell r="F118">
            <v>1.4</v>
          </cell>
          <cell r="G118">
            <v>278.8748817204301</v>
          </cell>
          <cell r="H118">
            <v>7472.5</v>
          </cell>
          <cell r="I118">
            <v>2084000</v>
          </cell>
        </row>
        <row r="119">
          <cell r="A119">
            <v>69</v>
          </cell>
          <cell r="B119" t="str">
            <v>Traàn Ngoïc Ñoâng</v>
          </cell>
          <cell r="D119">
            <v>1.2266571684587813</v>
          </cell>
          <cell r="E119">
            <v>155</v>
          </cell>
          <cell r="F119">
            <v>1.4</v>
          </cell>
          <cell r="G119">
            <v>266.18460555555555</v>
          </cell>
          <cell r="H119">
            <v>7472.5</v>
          </cell>
          <cell r="I119">
            <v>1989000</v>
          </cell>
        </row>
        <row r="120">
          <cell r="A120">
            <v>70</v>
          </cell>
          <cell r="B120" t="str">
            <v>Leâ Baù Vöông</v>
          </cell>
          <cell r="D120">
            <v>1.178431899641577</v>
          </cell>
          <cell r="E120">
            <v>156</v>
          </cell>
          <cell r="F120">
            <v>1.4</v>
          </cell>
          <cell r="G120">
            <v>257.36952688172039</v>
          </cell>
          <cell r="H120">
            <v>7472.5</v>
          </cell>
          <cell r="I120">
            <v>1923000</v>
          </cell>
        </row>
        <row r="121">
          <cell r="A121">
            <v>71</v>
          </cell>
          <cell r="B121" t="str">
            <v>Nguyeãn Vaên Loäc</v>
          </cell>
          <cell r="D121">
            <v>1.1480017921146952</v>
          </cell>
          <cell r="E121">
            <v>153</v>
          </cell>
          <cell r="F121">
            <v>1.4</v>
          </cell>
          <cell r="G121">
            <v>245.90198387096771</v>
          </cell>
          <cell r="H121">
            <v>7472.5</v>
          </cell>
          <cell r="I121">
            <v>1838000</v>
          </cell>
        </row>
        <row r="122">
          <cell r="A122">
            <v>72</v>
          </cell>
          <cell r="B122" t="str">
            <v>Phaïm Vaên Haûi</v>
          </cell>
          <cell r="C122" t="str">
            <v>TT</v>
          </cell>
          <cell r="D122">
            <v>1.375</v>
          </cell>
          <cell r="E122">
            <v>144</v>
          </cell>
          <cell r="F122">
            <v>1.6</v>
          </cell>
          <cell r="G122">
            <v>316.8</v>
          </cell>
          <cell r="H122">
            <v>7472.5</v>
          </cell>
          <cell r="I122">
            <v>2367000</v>
          </cell>
        </row>
        <row r="123">
          <cell r="A123">
            <v>73</v>
          </cell>
          <cell r="B123" t="str">
            <v>Phan Vaên Naâng</v>
          </cell>
          <cell r="C123" t="str">
            <v>TP</v>
          </cell>
          <cell r="D123">
            <v>1.3</v>
          </cell>
          <cell r="E123">
            <v>151</v>
          </cell>
          <cell r="F123">
            <v>1.6</v>
          </cell>
          <cell r="G123">
            <v>314.08000000000004</v>
          </cell>
          <cell r="H123">
            <v>7472.5</v>
          </cell>
          <cell r="I123">
            <v>2347000</v>
          </cell>
        </row>
        <row r="124">
          <cell r="A124">
            <v>74</v>
          </cell>
          <cell r="B124" t="str">
            <v>Ñaøm Ñöùc Minh</v>
          </cell>
          <cell r="C124" t="str">
            <v>TT</v>
          </cell>
          <cell r="D124">
            <v>1.25</v>
          </cell>
          <cell r="E124">
            <v>150</v>
          </cell>
          <cell r="F124">
            <v>1.4</v>
          </cell>
          <cell r="G124">
            <v>262.5</v>
          </cell>
          <cell r="H124">
            <v>7472.5</v>
          </cell>
          <cell r="I124">
            <v>1962000</v>
          </cell>
        </row>
        <row r="125">
          <cell r="A125">
            <v>75</v>
          </cell>
          <cell r="B125" t="str">
            <v>Döông Thanh Sôn</v>
          </cell>
          <cell r="C125" t="str">
            <v>TP</v>
          </cell>
          <cell r="D125">
            <v>1.2916666666666665</v>
          </cell>
          <cell r="E125">
            <v>147</v>
          </cell>
          <cell r="F125">
            <v>1.4</v>
          </cell>
          <cell r="G125">
            <v>265.82499999999993</v>
          </cell>
          <cell r="H125">
            <v>7472.5</v>
          </cell>
          <cell r="I125">
            <v>1986000</v>
          </cell>
        </row>
        <row r="126">
          <cell r="A126">
            <v>76</v>
          </cell>
          <cell r="B126" t="str">
            <v>Nguyeãn Vaên Hoaø</v>
          </cell>
          <cell r="D126">
            <v>1.3</v>
          </cell>
          <cell r="E126">
            <v>150</v>
          </cell>
          <cell r="F126">
            <v>1.6</v>
          </cell>
          <cell r="G126">
            <v>312</v>
          </cell>
          <cell r="H126">
            <v>7472.5</v>
          </cell>
          <cell r="I126">
            <v>2331000</v>
          </cell>
        </row>
        <row r="127">
          <cell r="A127">
            <v>77</v>
          </cell>
          <cell r="B127" t="str">
            <v>Nguyeãn Taán Cöôøng</v>
          </cell>
          <cell r="D127">
            <v>1.25</v>
          </cell>
          <cell r="E127">
            <v>148</v>
          </cell>
          <cell r="F127">
            <v>1.6</v>
          </cell>
          <cell r="G127">
            <v>296</v>
          </cell>
          <cell r="H127">
            <v>7472.5</v>
          </cell>
          <cell r="I127">
            <v>2212000</v>
          </cell>
        </row>
        <row r="128">
          <cell r="A128">
            <v>78</v>
          </cell>
          <cell r="B128" t="str">
            <v>Danh Höôøng</v>
          </cell>
          <cell r="D128">
            <v>1.25</v>
          </cell>
          <cell r="E128">
            <v>150</v>
          </cell>
          <cell r="F128">
            <v>1.6</v>
          </cell>
          <cell r="G128">
            <v>300</v>
          </cell>
          <cell r="H128">
            <v>7472.5</v>
          </cell>
          <cell r="I128">
            <v>2242000</v>
          </cell>
        </row>
        <row r="129">
          <cell r="A129">
            <v>79</v>
          </cell>
          <cell r="B129" t="str">
            <v>Thaùi Truyeàn Thoáng</v>
          </cell>
          <cell r="D129">
            <v>1.25</v>
          </cell>
          <cell r="E129">
            <v>151</v>
          </cell>
          <cell r="F129">
            <v>1.4</v>
          </cell>
          <cell r="G129">
            <v>264.25</v>
          </cell>
          <cell r="H129">
            <v>7472.5</v>
          </cell>
          <cell r="I129">
            <v>1975000</v>
          </cell>
        </row>
        <row r="130">
          <cell r="A130">
            <v>80</v>
          </cell>
          <cell r="B130" t="str">
            <v>Ng Thanh Sang</v>
          </cell>
          <cell r="D130">
            <v>1.25</v>
          </cell>
          <cell r="E130">
            <v>151</v>
          </cell>
          <cell r="F130">
            <v>1.4</v>
          </cell>
          <cell r="G130">
            <v>264.25</v>
          </cell>
          <cell r="H130">
            <v>7472.5</v>
          </cell>
          <cell r="I130">
            <v>1975000</v>
          </cell>
        </row>
        <row r="131">
          <cell r="A131">
            <v>81</v>
          </cell>
          <cell r="B131" t="str">
            <v>Phaïm vaên Phuù</v>
          </cell>
          <cell r="D131">
            <v>1.25</v>
          </cell>
          <cell r="E131">
            <v>151</v>
          </cell>
          <cell r="F131">
            <v>1.4</v>
          </cell>
          <cell r="G131">
            <v>264.25</v>
          </cell>
          <cell r="H131">
            <v>7472.5</v>
          </cell>
          <cell r="I131">
            <v>1975000</v>
          </cell>
        </row>
        <row r="132">
          <cell r="A132">
            <v>82</v>
          </cell>
          <cell r="B132" t="str">
            <v>Voõ ngoïc Phöôùc</v>
          </cell>
          <cell r="D132">
            <v>1.25</v>
          </cell>
          <cell r="E132">
            <v>147</v>
          </cell>
          <cell r="F132">
            <v>1.4</v>
          </cell>
          <cell r="G132">
            <v>257.25</v>
          </cell>
          <cell r="H132">
            <v>7472.5</v>
          </cell>
          <cell r="I132">
            <v>1922000</v>
          </cell>
        </row>
        <row r="133">
          <cell r="A133">
            <v>83</v>
          </cell>
          <cell r="B133" t="str">
            <v>Buøi Ñình Giaùp</v>
          </cell>
          <cell r="D133">
            <v>1.25</v>
          </cell>
          <cell r="E133">
            <v>156</v>
          </cell>
          <cell r="F133">
            <v>1.6</v>
          </cell>
          <cell r="G133">
            <v>312</v>
          </cell>
          <cell r="H133">
            <v>7472.5</v>
          </cell>
          <cell r="I133">
            <v>2331000</v>
          </cell>
        </row>
        <row r="134">
          <cell r="A134">
            <v>84</v>
          </cell>
          <cell r="B134" t="str">
            <v>Laâm Vaên Giang</v>
          </cell>
          <cell r="D134">
            <v>1.25</v>
          </cell>
          <cell r="E134">
            <v>156</v>
          </cell>
          <cell r="F134">
            <v>1.4</v>
          </cell>
          <cell r="G134">
            <v>273</v>
          </cell>
          <cell r="H134">
            <v>7472.5</v>
          </cell>
          <cell r="I134">
            <v>2040000</v>
          </cell>
        </row>
        <row r="135">
          <cell r="A135">
            <v>85</v>
          </cell>
          <cell r="B135" t="str">
            <v>Trieäu Quang Höng</v>
          </cell>
          <cell r="D135">
            <v>1.25</v>
          </cell>
          <cell r="E135">
            <v>156</v>
          </cell>
          <cell r="F135">
            <v>1.4</v>
          </cell>
          <cell r="G135">
            <v>273</v>
          </cell>
          <cell r="H135">
            <v>7472.5</v>
          </cell>
          <cell r="I135">
            <v>2040000</v>
          </cell>
        </row>
        <row r="136">
          <cell r="A136">
            <v>86</v>
          </cell>
          <cell r="B136" t="str">
            <v>Traàn ñình Long</v>
          </cell>
          <cell r="D136">
            <v>1.25</v>
          </cell>
          <cell r="E136">
            <v>156</v>
          </cell>
          <cell r="F136">
            <v>1.4</v>
          </cell>
          <cell r="G136">
            <v>273</v>
          </cell>
          <cell r="H136">
            <v>7472.5</v>
          </cell>
          <cell r="I136">
            <v>2040000</v>
          </cell>
        </row>
        <row r="137">
          <cell r="A137">
            <v>87</v>
          </cell>
          <cell r="B137" t="str">
            <v>Nguyeãn Vaên Laäp</v>
          </cell>
          <cell r="D137">
            <v>1.25</v>
          </cell>
          <cell r="E137">
            <v>154</v>
          </cell>
          <cell r="F137">
            <v>1.4</v>
          </cell>
          <cell r="G137">
            <v>269.5</v>
          </cell>
          <cell r="H137">
            <v>7472.5</v>
          </cell>
          <cell r="I137">
            <v>2014000</v>
          </cell>
        </row>
        <row r="138">
          <cell r="A138">
            <v>88</v>
          </cell>
          <cell r="B138" t="str">
            <v>Nguyeãn Phuù Tuùc</v>
          </cell>
          <cell r="D138">
            <v>1.2170000000000001</v>
          </cell>
          <cell r="E138">
            <v>156</v>
          </cell>
          <cell r="F138">
            <v>1.4</v>
          </cell>
          <cell r="G138">
            <v>265.7928</v>
          </cell>
          <cell r="H138">
            <v>7472.5</v>
          </cell>
          <cell r="I138">
            <v>1986000</v>
          </cell>
        </row>
        <row r="139">
          <cell r="A139">
            <v>89</v>
          </cell>
          <cell r="B139" t="str">
            <v>Leâ Ngoïc Bieân</v>
          </cell>
          <cell r="D139">
            <v>1.25</v>
          </cell>
          <cell r="E139">
            <v>156</v>
          </cell>
          <cell r="F139">
            <v>1</v>
          </cell>
          <cell r="G139">
            <v>195</v>
          </cell>
          <cell r="H139">
            <v>7472.5</v>
          </cell>
          <cell r="I139">
            <v>1457000</v>
          </cell>
        </row>
        <row r="140">
          <cell r="A140">
            <v>90</v>
          </cell>
          <cell r="B140" t="str">
            <v>Toâ Ngoïc Mai</v>
          </cell>
          <cell r="D140">
            <v>1.3</v>
          </cell>
          <cell r="E140">
            <v>154</v>
          </cell>
          <cell r="F140">
            <v>1.6</v>
          </cell>
          <cell r="G140">
            <v>320.32000000000005</v>
          </cell>
          <cell r="H140">
            <v>7472.5</v>
          </cell>
          <cell r="I140">
            <v>2394000</v>
          </cell>
        </row>
        <row r="141">
          <cell r="A141">
            <v>91</v>
          </cell>
          <cell r="B141" t="str">
            <v>Ng  Coâng Laønh</v>
          </cell>
          <cell r="D141">
            <v>1.25</v>
          </cell>
          <cell r="E141">
            <v>148</v>
          </cell>
          <cell r="F141">
            <v>1.4</v>
          </cell>
          <cell r="G141">
            <v>259</v>
          </cell>
          <cell r="H141">
            <v>7472.5</v>
          </cell>
          <cell r="I141">
            <v>1935000</v>
          </cell>
        </row>
        <row r="142">
          <cell r="A142">
            <v>92</v>
          </cell>
          <cell r="B142" t="str">
            <v>Nguyeãn Vaên Ñöông</v>
          </cell>
          <cell r="D142">
            <v>1.25</v>
          </cell>
          <cell r="E142">
            <v>156</v>
          </cell>
          <cell r="F142">
            <v>1.4</v>
          </cell>
          <cell r="G142">
            <v>273</v>
          </cell>
          <cell r="H142">
            <v>7472.5</v>
          </cell>
          <cell r="I142">
            <v>2040000</v>
          </cell>
        </row>
        <row r="143">
          <cell r="A143">
            <v>93</v>
          </cell>
          <cell r="B143" t="str">
            <v>Mai Vaên Tröïc</v>
          </cell>
          <cell r="D143">
            <v>1.25</v>
          </cell>
          <cell r="E143">
            <v>156</v>
          </cell>
          <cell r="F143">
            <v>1.4</v>
          </cell>
          <cell r="G143">
            <v>273</v>
          </cell>
          <cell r="H143">
            <v>7472.5</v>
          </cell>
          <cell r="I143">
            <v>2040000</v>
          </cell>
        </row>
        <row r="144">
          <cell r="A144">
            <v>94</v>
          </cell>
          <cell r="B144" t="str">
            <v>Nguyeãn Vaên Uùt</v>
          </cell>
          <cell r="D144">
            <v>1.1499999999999999</v>
          </cell>
          <cell r="E144">
            <v>141</v>
          </cell>
          <cell r="F144">
            <v>1.4</v>
          </cell>
          <cell r="G144">
            <v>227.00999999999996</v>
          </cell>
          <cell r="H144">
            <v>7472.5</v>
          </cell>
          <cell r="I144">
            <v>1696000</v>
          </cell>
        </row>
        <row r="145">
          <cell r="A145">
            <v>95</v>
          </cell>
          <cell r="B145" t="str">
            <v>Mai Vaên Haûi</v>
          </cell>
          <cell r="D145">
            <v>1.1499999999999999</v>
          </cell>
          <cell r="E145">
            <v>156</v>
          </cell>
          <cell r="F145">
            <v>1.4</v>
          </cell>
          <cell r="G145">
            <v>251.15999999999994</v>
          </cell>
          <cell r="H145">
            <v>7472.5</v>
          </cell>
          <cell r="I145">
            <v>1877000</v>
          </cell>
        </row>
        <row r="146">
          <cell r="A146">
            <v>96</v>
          </cell>
          <cell r="B146" t="str">
            <v>Nguyeãn Thaønh Thaéng A</v>
          </cell>
          <cell r="D146">
            <v>1.1499999999999999</v>
          </cell>
          <cell r="E146">
            <v>156</v>
          </cell>
          <cell r="F146">
            <v>1.4</v>
          </cell>
          <cell r="G146">
            <v>251.15999999999994</v>
          </cell>
          <cell r="H146">
            <v>7472.5</v>
          </cell>
          <cell r="I146">
            <v>1877000</v>
          </cell>
        </row>
        <row r="147">
          <cell r="A147">
            <v>97</v>
          </cell>
          <cell r="B147" t="str">
            <v>Nguyeãn Thaønh Thaéng B</v>
          </cell>
          <cell r="D147">
            <v>1.1499999999999999</v>
          </cell>
          <cell r="E147">
            <v>156</v>
          </cell>
          <cell r="F147">
            <v>1.4</v>
          </cell>
          <cell r="G147">
            <v>251.15999999999994</v>
          </cell>
          <cell r="H147">
            <v>7472.5</v>
          </cell>
          <cell r="I147">
            <v>1877000</v>
          </cell>
        </row>
        <row r="148">
          <cell r="A148">
            <v>98</v>
          </cell>
          <cell r="B148" t="str">
            <v>Traàn Vaên Töôøng</v>
          </cell>
          <cell r="D148">
            <v>1.1499999999999999</v>
          </cell>
          <cell r="E148">
            <v>156</v>
          </cell>
          <cell r="F148">
            <v>1.4</v>
          </cell>
          <cell r="G148">
            <v>251.15999999999994</v>
          </cell>
          <cell r="H148">
            <v>7472.5</v>
          </cell>
          <cell r="I148">
            <v>1877000</v>
          </cell>
        </row>
        <row r="149">
          <cell r="A149">
            <v>99</v>
          </cell>
          <cell r="B149" t="str">
            <v>Nguyeãn Thò Thu Vaân</v>
          </cell>
          <cell r="D149">
            <v>1.1499999999999999</v>
          </cell>
          <cell r="E149">
            <v>156</v>
          </cell>
          <cell r="F149">
            <v>1.4</v>
          </cell>
          <cell r="G149">
            <v>251.15999999999994</v>
          </cell>
          <cell r="H149">
            <v>7472.5</v>
          </cell>
          <cell r="I149">
            <v>1877000</v>
          </cell>
        </row>
        <row r="150">
          <cell r="A150">
            <v>100</v>
          </cell>
          <cell r="B150" t="str">
            <v>Nguyeãn Thò Kim Hueä</v>
          </cell>
          <cell r="D150">
            <v>1.1499999999999999</v>
          </cell>
          <cell r="E150">
            <v>87</v>
          </cell>
          <cell r="F150">
            <v>1.4</v>
          </cell>
          <cell r="G150">
            <v>140.07</v>
          </cell>
          <cell r="H150">
            <v>7472.5</v>
          </cell>
          <cell r="I150">
            <v>1047000</v>
          </cell>
        </row>
        <row r="151">
          <cell r="A151">
            <v>101</v>
          </cell>
          <cell r="B151" t="str">
            <v>Laâm Vaên Sang</v>
          </cell>
          <cell r="C151" t="str">
            <v>CT</v>
          </cell>
          <cell r="D151">
            <v>1.3</v>
          </cell>
          <cell r="E151">
            <v>156</v>
          </cell>
          <cell r="F151">
            <v>1.6</v>
          </cell>
          <cell r="G151">
            <v>324.48</v>
          </cell>
          <cell r="H151">
            <v>7472.5</v>
          </cell>
          <cell r="I151">
            <v>2425000</v>
          </cell>
        </row>
        <row r="152">
          <cell r="A152">
            <v>102</v>
          </cell>
          <cell r="B152" t="str">
            <v>Buøi Huy Chöông</v>
          </cell>
          <cell r="D152">
            <v>1.1499999999999999</v>
          </cell>
          <cell r="E152">
            <v>141</v>
          </cell>
          <cell r="F152">
            <v>1.4</v>
          </cell>
          <cell r="G152">
            <v>227.00999999999996</v>
          </cell>
          <cell r="H152">
            <v>7472.5</v>
          </cell>
          <cell r="I152">
            <v>1696000</v>
          </cell>
        </row>
        <row r="153">
          <cell r="A153">
            <v>103</v>
          </cell>
          <cell r="B153" t="str">
            <v>Nguyeãn Höõu Thaïnh</v>
          </cell>
          <cell r="D153">
            <v>1.1499999999999999</v>
          </cell>
          <cell r="E153">
            <v>156</v>
          </cell>
          <cell r="F153">
            <v>1.2</v>
          </cell>
          <cell r="G153">
            <v>215.27999999999997</v>
          </cell>
          <cell r="H153">
            <v>7472.5</v>
          </cell>
          <cell r="I153">
            <v>1609000</v>
          </cell>
        </row>
        <row r="154">
          <cell r="A154">
            <v>104</v>
          </cell>
          <cell r="B154" t="str">
            <v>Nguyeãn Duyeân Thuaán</v>
          </cell>
          <cell r="D154">
            <v>1.1997261904761904</v>
          </cell>
          <cell r="E154">
            <v>156</v>
          </cell>
          <cell r="F154">
            <v>1.4</v>
          </cell>
          <cell r="G154">
            <v>262.02019999999999</v>
          </cell>
          <cell r="H154">
            <v>7472.5</v>
          </cell>
          <cell r="I154">
            <v>1958000</v>
          </cell>
        </row>
        <row r="155">
          <cell r="A155">
            <v>105</v>
          </cell>
          <cell r="B155" t="str">
            <v>Traàn Vaên Ñaït</v>
          </cell>
          <cell r="D155">
            <v>1.1499999999999999</v>
          </cell>
          <cell r="E155">
            <v>153</v>
          </cell>
          <cell r="F155">
            <v>1.4</v>
          </cell>
          <cell r="G155">
            <v>246.32999999999996</v>
          </cell>
          <cell r="H155">
            <v>7472.5</v>
          </cell>
          <cell r="I155">
            <v>1841000</v>
          </cell>
        </row>
        <row r="156">
          <cell r="A156">
            <v>106</v>
          </cell>
          <cell r="B156" t="str">
            <v>Leâ Kim Chuyeån</v>
          </cell>
          <cell r="C156" t="str">
            <v>CT</v>
          </cell>
          <cell r="D156">
            <v>1.3</v>
          </cell>
          <cell r="E156">
            <v>144</v>
          </cell>
          <cell r="F156">
            <v>1.6</v>
          </cell>
          <cell r="G156">
            <v>299.52000000000004</v>
          </cell>
          <cell r="H156">
            <v>7472.5</v>
          </cell>
          <cell r="I156">
            <v>2238000</v>
          </cell>
        </row>
        <row r="157">
          <cell r="A157">
            <v>107</v>
          </cell>
          <cell r="B157" t="str">
            <v>Nguyeãn Hoaøng Nam</v>
          </cell>
          <cell r="D157">
            <v>1.1499999999999999</v>
          </cell>
          <cell r="E157">
            <v>148</v>
          </cell>
          <cell r="F157">
            <v>1.4</v>
          </cell>
          <cell r="G157">
            <v>238.27999999999997</v>
          </cell>
          <cell r="H157">
            <v>7472.5</v>
          </cell>
          <cell r="I157">
            <v>1781000</v>
          </cell>
        </row>
        <row r="158">
          <cell r="A158">
            <v>108</v>
          </cell>
          <cell r="B158" t="str">
            <v>Traàn Anh Tuaán</v>
          </cell>
          <cell r="D158">
            <v>1.1499999999999999</v>
          </cell>
          <cell r="E158">
            <v>145</v>
          </cell>
          <cell r="F158">
            <v>1.4</v>
          </cell>
          <cell r="G158">
            <v>233.45</v>
          </cell>
          <cell r="H158">
            <v>7472.5</v>
          </cell>
          <cell r="I158">
            <v>1744000</v>
          </cell>
        </row>
        <row r="159">
          <cell r="A159">
            <v>109</v>
          </cell>
          <cell r="B159" t="str">
            <v>Ñoã Ñaêng Khoa</v>
          </cell>
          <cell r="D159">
            <v>1.1499999999999999</v>
          </cell>
          <cell r="E159">
            <v>155</v>
          </cell>
          <cell r="F159">
            <v>1.4</v>
          </cell>
          <cell r="G159">
            <v>249.54999999999998</v>
          </cell>
          <cell r="H159">
            <v>7472.5</v>
          </cell>
          <cell r="I159">
            <v>1865000</v>
          </cell>
        </row>
        <row r="160">
          <cell r="A160">
            <v>110</v>
          </cell>
          <cell r="B160" t="str">
            <v>Ñaøo Vaên Phuùc</v>
          </cell>
          <cell r="D160">
            <v>1.1499999999999999</v>
          </cell>
          <cell r="E160">
            <v>156</v>
          </cell>
          <cell r="F160">
            <v>1.4</v>
          </cell>
          <cell r="G160">
            <v>251.15999999999994</v>
          </cell>
          <cell r="H160">
            <v>7472.5</v>
          </cell>
          <cell r="I160">
            <v>1877000</v>
          </cell>
        </row>
        <row r="161">
          <cell r="A161">
            <v>111</v>
          </cell>
          <cell r="B161" t="str">
            <v>Buøi Ñöùc Bieàn</v>
          </cell>
          <cell r="D161">
            <v>1.1753333333333333</v>
          </cell>
          <cell r="E161">
            <v>155</v>
          </cell>
          <cell r="F161">
            <v>1.4</v>
          </cell>
          <cell r="G161">
            <v>255.04733333333334</v>
          </cell>
          <cell r="H161">
            <v>7472.5</v>
          </cell>
          <cell r="I161">
            <v>1906000</v>
          </cell>
        </row>
        <row r="162">
          <cell r="A162">
            <v>112</v>
          </cell>
          <cell r="B162" t="str">
            <v>Traàn Vieät Quoác</v>
          </cell>
          <cell r="C162" t="str">
            <v>CT</v>
          </cell>
          <cell r="D162">
            <v>1.3</v>
          </cell>
          <cell r="E162">
            <v>155</v>
          </cell>
          <cell r="F162">
            <v>1.4</v>
          </cell>
          <cell r="G162">
            <v>282.09999999999997</v>
          </cell>
          <cell r="H162">
            <v>7472.5</v>
          </cell>
          <cell r="I162">
            <v>2108000</v>
          </cell>
        </row>
        <row r="163">
          <cell r="A163">
            <v>113</v>
          </cell>
          <cell r="B163" t="str">
            <v>Nguyeãn Anh Tuaán B</v>
          </cell>
          <cell r="D163">
            <v>1.185904761904762</v>
          </cell>
          <cell r="E163">
            <v>156</v>
          </cell>
          <cell r="F163">
            <v>1.4</v>
          </cell>
          <cell r="G163">
            <v>259.0016</v>
          </cell>
          <cell r="H163">
            <v>7472.5</v>
          </cell>
          <cell r="I163">
            <v>1935000</v>
          </cell>
        </row>
        <row r="164">
          <cell r="A164">
            <v>114</v>
          </cell>
          <cell r="B164" t="str">
            <v>Trieäu Vaên Long</v>
          </cell>
          <cell r="D164">
            <v>1.1499999999999999</v>
          </cell>
          <cell r="E164">
            <v>155</v>
          </cell>
          <cell r="F164">
            <v>1.4</v>
          </cell>
          <cell r="G164">
            <v>249.54999999999998</v>
          </cell>
          <cell r="H164">
            <v>7472.5</v>
          </cell>
          <cell r="I164">
            <v>1865000</v>
          </cell>
        </row>
        <row r="165">
          <cell r="A165">
            <v>115</v>
          </cell>
          <cell r="B165" t="str">
            <v>Huyønh Chí Chaùnh</v>
          </cell>
          <cell r="D165">
            <v>1.1793333333333333</v>
          </cell>
          <cell r="E165">
            <v>156</v>
          </cell>
          <cell r="F165">
            <v>1.2</v>
          </cell>
          <cell r="G165">
            <v>220.77119999999999</v>
          </cell>
          <cell r="H165">
            <v>7472.5</v>
          </cell>
          <cell r="I165">
            <v>1650000</v>
          </cell>
        </row>
        <row r="166">
          <cell r="A166">
            <v>116</v>
          </cell>
          <cell r="B166" t="str">
            <v>Nguyeãn Thanh Lieâm</v>
          </cell>
          <cell r="D166">
            <v>1.1499999999999999</v>
          </cell>
          <cell r="E166">
            <v>155</v>
          </cell>
          <cell r="F166">
            <v>1.4</v>
          </cell>
          <cell r="G166">
            <v>249.54999999999998</v>
          </cell>
          <cell r="H166">
            <v>7472.5</v>
          </cell>
          <cell r="I166">
            <v>1865000</v>
          </cell>
        </row>
        <row r="167">
          <cell r="A167">
            <v>117</v>
          </cell>
          <cell r="B167" t="str">
            <v>Buøi Huy Trung</v>
          </cell>
          <cell r="D167">
            <v>1.1499999999999999</v>
          </cell>
          <cell r="E167">
            <v>151</v>
          </cell>
          <cell r="F167">
            <v>1.4</v>
          </cell>
          <cell r="G167">
            <v>243.10999999999996</v>
          </cell>
          <cell r="H167">
            <v>7472.5</v>
          </cell>
          <cell r="I167">
            <v>1817000</v>
          </cell>
        </row>
        <row r="168">
          <cell r="A168">
            <v>118</v>
          </cell>
          <cell r="B168" t="str">
            <v>Huyønh Vaên Quyù</v>
          </cell>
          <cell r="C168" t="str">
            <v>CT</v>
          </cell>
          <cell r="D168">
            <v>1.45</v>
          </cell>
          <cell r="E168">
            <v>151</v>
          </cell>
          <cell r="F168">
            <v>1.4</v>
          </cell>
          <cell r="G168">
            <v>306.52999999999997</v>
          </cell>
          <cell r="H168">
            <v>7472.5</v>
          </cell>
          <cell r="I168">
            <v>2291000</v>
          </cell>
        </row>
        <row r="169">
          <cell r="A169">
            <v>119</v>
          </cell>
          <cell r="B169" t="str">
            <v>Traàn Vaên Teá</v>
          </cell>
          <cell r="D169">
            <v>1.4</v>
          </cell>
          <cell r="E169">
            <v>152</v>
          </cell>
          <cell r="F169">
            <v>1.6</v>
          </cell>
          <cell r="G169">
            <v>340.48</v>
          </cell>
          <cell r="H169">
            <v>7472.5</v>
          </cell>
          <cell r="I169">
            <v>2544000</v>
          </cell>
        </row>
        <row r="170">
          <cell r="A170">
            <v>120</v>
          </cell>
          <cell r="B170" t="str">
            <v>Phaïm Nhö Thuaàn</v>
          </cell>
          <cell r="D170">
            <v>1.4</v>
          </cell>
          <cell r="E170">
            <v>151</v>
          </cell>
          <cell r="F170">
            <v>1.4</v>
          </cell>
          <cell r="G170">
            <v>295.95999999999992</v>
          </cell>
          <cell r="H170">
            <v>7472.5</v>
          </cell>
          <cell r="I170">
            <v>2212000</v>
          </cell>
        </row>
        <row r="171">
          <cell r="A171">
            <v>121</v>
          </cell>
          <cell r="B171" t="str">
            <v>Huyønh Hoàng Ñöùc</v>
          </cell>
          <cell r="D171">
            <v>1.4</v>
          </cell>
          <cell r="E171">
            <v>150</v>
          </cell>
          <cell r="F171">
            <v>1.4</v>
          </cell>
          <cell r="G171">
            <v>294</v>
          </cell>
          <cell r="H171">
            <v>7472.5</v>
          </cell>
          <cell r="I171">
            <v>2197000</v>
          </cell>
        </row>
        <row r="172">
          <cell r="A172">
            <v>122</v>
          </cell>
          <cell r="B172" t="str">
            <v>Traàn Phöông Anh</v>
          </cell>
          <cell r="D172">
            <v>1.4</v>
          </cell>
          <cell r="E172">
            <v>151</v>
          </cell>
          <cell r="F172">
            <v>1.4</v>
          </cell>
          <cell r="G172">
            <v>295.95999999999992</v>
          </cell>
          <cell r="H172">
            <v>7472.5</v>
          </cell>
          <cell r="I172">
            <v>2212000</v>
          </cell>
        </row>
        <row r="173">
          <cell r="A173">
            <v>123</v>
          </cell>
          <cell r="B173" t="str">
            <v>Traàn Bình Trong</v>
          </cell>
          <cell r="D173">
            <v>1.4</v>
          </cell>
          <cell r="E173">
            <v>151</v>
          </cell>
          <cell r="F173">
            <v>1.4</v>
          </cell>
          <cell r="G173">
            <v>295.95999999999992</v>
          </cell>
          <cell r="H173">
            <v>7472.5</v>
          </cell>
          <cell r="I173">
            <v>2212000</v>
          </cell>
        </row>
        <row r="174">
          <cell r="A174">
            <v>124</v>
          </cell>
          <cell r="B174" t="str">
            <v>Laâm Höõu Thöùc</v>
          </cell>
          <cell r="D174">
            <v>1.2</v>
          </cell>
          <cell r="E174">
            <v>139</v>
          </cell>
          <cell r="F174">
            <v>1.2</v>
          </cell>
          <cell r="G174">
            <v>200.15999999999997</v>
          </cell>
          <cell r="H174">
            <v>7472.5</v>
          </cell>
          <cell r="I174">
            <v>1496000</v>
          </cell>
        </row>
        <row r="175">
          <cell r="A175">
            <v>125</v>
          </cell>
          <cell r="B175" t="str">
            <v>Huyønh Thieän Phuùc</v>
          </cell>
          <cell r="D175">
            <v>1.2</v>
          </cell>
          <cell r="E175">
            <v>149</v>
          </cell>
          <cell r="F175">
            <v>1.4</v>
          </cell>
          <cell r="G175">
            <v>250.31999999999996</v>
          </cell>
          <cell r="H175">
            <v>7472.5</v>
          </cell>
          <cell r="I175">
            <v>1871000</v>
          </cell>
        </row>
        <row r="176">
          <cell r="A176">
            <v>126</v>
          </cell>
          <cell r="B176" t="str">
            <v>Nguyeãn Ngoïc Löôïng</v>
          </cell>
          <cell r="D176">
            <v>1.2</v>
          </cell>
          <cell r="E176">
            <v>156</v>
          </cell>
          <cell r="F176">
            <v>1.4</v>
          </cell>
          <cell r="G176">
            <v>262.08</v>
          </cell>
          <cell r="H176">
            <v>7472.5</v>
          </cell>
          <cell r="I176">
            <v>1958000</v>
          </cell>
        </row>
        <row r="177">
          <cell r="A177">
            <v>127</v>
          </cell>
          <cell r="B177" t="str">
            <v>Phaïm Quoác Huøng</v>
          </cell>
          <cell r="C177" t="str">
            <v>VSCN</v>
          </cell>
          <cell r="D177">
            <v>1</v>
          </cell>
          <cell r="E177">
            <v>153</v>
          </cell>
          <cell r="F177">
            <v>1.4</v>
          </cell>
          <cell r="G177">
            <v>214.2</v>
          </cell>
          <cell r="H177">
            <v>7472.5</v>
          </cell>
          <cell r="I177">
            <v>1601000</v>
          </cell>
        </row>
        <row r="178">
          <cell r="A178">
            <v>128</v>
          </cell>
          <cell r="B178" t="str">
            <v>Voõ Vaên Huøng</v>
          </cell>
          <cell r="C178" t="str">
            <v>VSCN</v>
          </cell>
          <cell r="D178">
            <v>1.0220476190476191</v>
          </cell>
          <cell r="E178">
            <v>154</v>
          </cell>
          <cell r="F178">
            <v>1.4</v>
          </cell>
          <cell r="G178">
            <v>220.35346666666663</v>
          </cell>
          <cell r="H178">
            <v>7472.5</v>
          </cell>
          <cell r="I178">
            <v>1647000</v>
          </cell>
        </row>
        <row r="179">
          <cell r="A179">
            <v>129</v>
          </cell>
          <cell r="B179" t="str">
            <v>Ng. V. Quoác Ñaèng</v>
          </cell>
          <cell r="C179" t="str">
            <v>VSCN</v>
          </cell>
          <cell r="D179">
            <v>1.0017833333333332</v>
          </cell>
          <cell r="E179">
            <v>143</v>
          </cell>
          <cell r="F179">
            <v>1.2</v>
          </cell>
          <cell r="G179">
            <v>171.90601999999998</v>
          </cell>
          <cell r="H179">
            <v>7472.5</v>
          </cell>
          <cell r="I179">
            <v>1285000</v>
          </cell>
        </row>
        <row r="180">
          <cell r="A180">
            <v>130</v>
          </cell>
          <cell r="B180" t="str">
            <v>Thaân Hoaøng Tieán</v>
          </cell>
          <cell r="C180" t="str">
            <v>VSCN</v>
          </cell>
          <cell r="D180">
            <v>1.0017833333333332</v>
          </cell>
          <cell r="E180">
            <v>148</v>
          </cell>
          <cell r="F180">
            <v>1.2</v>
          </cell>
          <cell r="G180">
            <v>177.91671999999997</v>
          </cell>
          <cell r="H180">
            <v>7472.5</v>
          </cell>
          <cell r="I180">
            <v>1329000</v>
          </cell>
        </row>
        <row r="181">
          <cell r="B181" t="str">
            <v>Coäng:</v>
          </cell>
          <cell r="D181">
            <v>161.15364805427546</v>
          </cell>
          <cell r="G181">
            <v>34717.777793430614</v>
          </cell>
          <cell r="I181">
            <v>259441000</v>
          </cell>
        </row>
        <row r="182">
          <cell r="C182" t="str">
            <v>Baèng chöõ:          (Hai traêm naêm möôi chín trieäu, boán traêm boán möôi moát ngaøn ñoàng).</v>
          </cell>
        </row>
        <row r="184">
          <cell r="B184" t="str">
            <v>Duyeät Ban Giaùm ñoác</v>
          </cell>
          <cell r="G184" t="str">
            <v>Keá toaùn tröôûng</v>
          </cell>
        </row>
        <row r="192">
          <cell r="A192" t="str">
            <v>CTY XIMAÊNG HAØ TIEÂN KIEÂN GIANG</v>
          </cell>
        </row>
        <row r="193">
          <cell r="A193" t="str">
            <v>Boä phaän: Phoøng Hoaù - KCS</v>
          </cell>
          <cell r="E193" t="str">
            <v>BAÛNG THANH TOÙAN TIEÀN THÖÔÛNG 6 THAÙNG ÑAÀU NAÊM 2001</v>
          </cell>
        </row>
        <row r="195">
          <cell r="A195" t="str">
            <v>Stt</v>
          </cell>
          <cell r="B195" t="str">
            <v>Hoï vaø Teân</v>
          </cell>
          <cell r="C195" t="str">
            <v>Chöùc vuï</v>
          </cell>
          <cell r="D195" t="str">
            <v>HSCV</v>
          </cell>
          <cell r="E195" t="str">
            <v>Ngaøy coâng</v>
          </cell>
          <cell r="F195" t="str">
            <v>Heä soá X.Loaïi</v>
          </cell>
          <cell r="G195" t="str">
            <v>HSQÑ</v>
          </cell>
          <cell r="H195" t="str">
            <v>Ñôn giaù</v>
          </cell>
          <cell r="I195" t="str">
            <v>Thöïc laõnh (ñ)</v>
          </cell>
        </row>
        <row r="197">
          <cell r="A197">
            <v>1</v>
          </cell>
          <cell r="B197" t="str">
            <v>Phaïm Minh Taâm</v>
          </cell>
          <cell r="C197" t="str">
            <v>Tr.Phoøng</v>
          </cell>
          <cell r="D197">
            <v>1.75</v>
          </cell>
          <cell r="E197">
            <v>153</v>
          </cell>
          <cell r="F197">
            <v>1.6</v>
          </cell>
          <cell r="G197">
            <v>428.40000000000003</v>
          </cell>
          <cell r="H197">
            <v>7472.5</v>
          </cell>
          <cell r="I197">
            <v>3201000</v>
          </cell>
        </row>
        <row r="198">
          <cell r="A198">
            <v>2</v>
          </cell>
          <cell r="B198" t="str">
            <v>Traàn Thò Lan Höông</v>
          </cell>
          <cell r="C198" t="str">
            <v>PP</v>
          </cell>
          <cell r="D198">
            <v>1.6</v>
          </cell>
          <cell r="E198">
            <v>153</v>
          </cell>
          <cell r="F198">
            <v>1.6</v>
          </cell>
          <cell r="G198">
            <v>391.68000000000006</v>
          </cell>
          <cell r="H198">
            <v>7472.5</v>
          </cell>
          <cell r="I198">
            <v>2927000</v>
          </cell>
        </row>
        <row r="199">
          <cell r="A199">
            <v>3</v>
          </cell>
          <cell r="B199" t="str">
            <v>Traàn Tuaán Vieät</v>
          </cell>
          <cell r="C199" t="str">
            <v>PP</v>
          </cell>
          <cell r="D199">
            <v>1.6</v>
          </cell>
          <cell r="E199">
            <v>153</v>
          </cell>
          <cell r="F199">
            <v>1.6</v>
          </cell>
          <cell r="G199">
            <v>391.68000000000006</v>
          </cell>
          <cell r="H199">
            <v>7472.5</v>
          </cell>
          <cell r="I199">
            <v>2927000</v>
          </cell>
        </row>
        <row r="200">
          <cell r="A200">
            <v>4</v>
          </cell>
          <cell r="B200" t="str">
            <v>Nguyeãn Höõu Hieáu</v>
          </cell>
          <cell r="C200" t="str">
            <v>TK.</v>
          </cell>
          <cell r="D200">
            <v>1.25</v>
          </cell>
          <cell r="E200">
            <v>154</v>
          </cell>
          <cell r="F200">
            <v>1.6</v>
          </cell>
          <cell r="G200">
            <v>308</v>
          </cell>
          <cell r="H200">
            <v>7472.5</v>
          </cell>
          <cell r="I200">
            <v>2302000</v>
          </cell>
        </row>
        <row r="201">
          <cell r="A201">
            <v>5</v>
          </cell>
          <cell r="B201" t="str">
            <v>Taï Thò Hieàn</v>
          </cell>
          <cell r="C201" t="str">
            <v>Toå PT</v>
          </cell>
          <cell r="D201">
            <v>1.26</v>
          </cell>
          <cell r="E201">
            <v>153</v>
          </cell>
          <cell r="F201">
            <v>1.4</v>
          </cell>
          <cell r="G201">
            <v>269.892</v>
          </cell>
          <cell r="H201">
            <v>7472.5</v>
          </cell>
          <cell r="I201">
            <v>2017000</v>
          </cell>
        </row>
        <row r="202">
          <cell r="A202">
            <v>6</v>
          </cell>
          <cell r="B202" t="str">
            <v>Nguyeãn Thò Hoàng</v>
          </cell>
          <cell r="C202" t="str">
            <v>"</v>
          </cell>
          <cell r="D202">
            <v>1.26</v>
          </cell>
          <cell r="E202">
            <v>139</v>
          </cell>
          <cell r="F202">
            <v>1.4</v>
          </cell>
          <cell r="G202">
            <v>245.196</v>
          </cell>
          <cell r="H202">
            <v>7472.5</v>
          </cell>
          <cell r="I202">
            <v>1832000</v>
          </cell>
        </row>
        <row r="203">
          <cell r="A203">
            <v>7</v>
          </cell>
          <cell r="B203" t="str">
            <v>Traàn Thò Thaïch</v>
          </cell>
          <cell r="C203" t="str">
            <v>"</v>
          </cell>
          <cell r="D203">
            <v>1.31</v>
          </cell>
          <cell r="E203">
            <v>153</v>
          </cell>
          <cell r="F203">
            <v>1.6</v>
          </cell>
          <cell r="G203">
            <v>320.68800000000005</v>
          </cell>
          <cell r="H203">
            <v>7472.5</v>
          </cell>
          <cell r="I203">
            <v>2396000</v>
          </cell>
        </row>
        <row r="204">
          <cell r="A204">
            <v>8</v>
          </cell>
          <cell r="B204" t="str">
            <v>Traàn Thò Hoàng Vaân</v>
          </cell>
          <cell r="C204" t="str">
            <v>"</v>
          </cell>
          <cell r="D204">
            <v>1.26</v>
          </cell>
          <cell r="E204">
            <v>153</v>
          </cell>
          <cell r="F204">
            <v>1.4</v>
          </cell>
          <cell r="G204">
            <v>269.892</v>
          </cell>
          <cell r="H204">
            <v>7472.5</v>
          </cell>
          <cell r="I204">
            <v>2017000</v>
          </cell>
        </row>
        <row r="205">
          <cell r="A205">
            <v>9</v>
          </cell>
          <cell r="B205" t="str">
            <v>Phan Hoàng Huyønh</v>
          </cell>
          <cell r="C205" t="str">
            <v>"</v>
          </cell>
          <cell r="D205">
            <v>1.26</v>
          </cell>
          <cell r="E205">
            <v>152</v>
          </cell>
          <cell r="F205">
            <v>1.4</v>
          </cell>
          <cell r="G205">
            <v>268.12799999999999</v>
          </cell>
          <cell r="H205">
            <v>7472.5</v>
          </cell>
          <cell r="I205">
            <v>2004000</v>
          </cell>
        </row>
        <row r="206">
          <cell r="A206">
            <v>10</v>
          </cell>
          <cell r="B206" t="str">
            <v>Nguyeãn Thanh Laâm</v>
          </cell>
          <cell r="C206" t="str">
            <v>"</v>
          </cell>
          <cell r="D206">
            <v>1.25</v>
          </cell>
          <cell r="E206">
            <v>151</v>
          </cell>
          <cell r="F206">
            <v>1.4</v>
          </cell>
          <cell r="G206">
            <v>264.25</v>
          </cell>
          <cell r="H206">
            <v>7472.5</v>
          </cell>
          <cell r="I206">
            <v>1975000</v>
          </cell>
        </row>
        <row r="207">
          <cell r="A207">
            <v>11</v>
          </cell>
          <cell r="B207" t="str">
            <v>Ñinh Kieân Giang</v>
          </cell>
          <cell r="C207" t="str">
            <v>"</v>
          </cell>
          <cell r="D207">
            <v>1.25</v>
          </cell>
          <cell r="E207">
            <v>151</v>
          </cell>
          <cell r="F207">
            <v>1.4</v>
          </cell>
          <cell r="G207">
            <v>264.25</v>
          </cell>
          <cell r="H207">
            <v>7472.5</v>
          </cell>
          <cell r="I207">
            <v>1975000</v>
          </cell>
        </row>
        <row r="208">
          <cell r="A208">
            <v>12</v>
          </cell>
          <cell r="B208" t="str">
            <v>Leâ Vaên Theâm</v>
          </cell>
          <cell r="C208" t="str">
            <v>"</v>
          </cell>
          <cell r="D208">
            <v>1.26</v>
          </cell>
          <cell r="E208">
            <v>153</v>
          </cell>
          <cell r="F208">
            <v>1.4</v>
          </cell>
          <cell r="G208">
            <v>269.892</v>
          </cell>
          <cell r="H208">
            <v>7472.5</v>
          </cell>
          <cell r="I208">
            <v>2017000</v>
          </cell>
        </row>
        <row r="209">
          <cell r="A209">
            <v>13</v>
          </cell>
          <cell r="B209" t="str">
            <v>Ñoã Phöôùc Hieáu</v>
          </cell>
          <cell r="C209" t="str">
            <v>Toå C.lyù</v>
          </cell>
          <cell r="D209">
            <v>1.25</v>
          </cell>
          <cell r="E209">
            <v>151</v>
          </cell>
          <cell r="F209">
            <v>1.4</v>
          </cell>
          <cell r="G209">
            <v>264.25</v>
          </cell>
          <cell r="H209">
            <v>7472.5</v>
          </cell>
          <cell r="I209">
            <v>1975000</v>
          </cell>
        </row>
        <row r="210">
          <cell r="A210">
            <v>14</v>
          </cell>
          <cell r="B210" t="str">
            <v>Nguyeãn Thanh Ñieàn</v>
          </cell>
          <cell r="C210" t="str">
            <v>"</v>
          </cell>
          <cell r="D210">
            <v>1.25</v>
          </cell>
          <cell r="E210">
            <v>154</v>
          </cell>
          <cell r="F210">
            <v>1.4</v>
          </cell>
          <cell r="G210">
            <v>269.5</v>
          </cell>
          <cell r="H210">
            <v>7472.5</v>
          </cell>
          <cell r="I210">
            <v>2014000</v>
          </cell>
        </row>
        <row r="211">
          <cell r="A211">
            <v>15</v>
          </cell>
          <cell r="B211" t="str">
            <v>Tröông Myõ Tieân</v>
          </cell>
          <cell r="C211" t="str">
            <v>"</v>
          </cell>
          <cell r="D211">
            <v>1.25</v>
          </cell>
          <cell r="E211">
            <v>154</v>
          </cell>
          <cell r="F211">
            <v>1.6</v>
          </cell>
          <cell r="G211">
            <v>308</v>
          </cell>
          <cell r="H211">
            <v>7472.5</v>
          </cell>
          <cell r="I211">
            <v>2302000</v>
          </cell>
        </row>
        <row r="212">
          <cell r="A212">
            <v>16</v>
          </cell>
          <cell r="B212" t="str">
            <v>Buøi Anh Ñöùc</v>
          </cell>
          <cell r="C212" t="str">
            <v>"</v>
          </cell>
          <cell r="D212">
            <v>1.3</v>
          </cell>
          <cell r="E212">
            <v>154</v>
          </cell>
          <cell r="F212">
            <v>1.6</v>
          </cell>
          <cell r="G212">
            <v>320.32000000000005</v>
          </cell>
          <cell r="H212">
            <v>7472.5</v>
          </cell>
          <cell r="I212">
            <v>2394000</v>
          </cell>
        </row>
        <row r="213">
          <cell r="A213">
            <v>17</v>
          </cell>
          <cell r="B213" t="str">
            <v>Ñinh Quang Sôn</v>
          </cell>
          <cell r="C213" t="str">
            <v>"</v>
          </cell>
          <cell r="D213">
            <v>1.25</v>
          </cell>
          <cell r="E213">
            <v>149</v>
          </cell>
          <cell r="F213">
            <v>1.4</v>
          </cell>
          <cell r="G213">
            <v>260.75</v>
          </cell>
          <cell r="H213">
            <v>7472.5</v>
          </cell>
          <cell r="I213">
            <v>1948000</v>
          </cell>
        </row>
        <row r="214">
          <cell r="A214">
            <v>18</v>
          </cell>
          <cell r="B214" t="str">
            <v>Thaùi Hoaøng Heân</v>
          </cell>
          <cell r="C214" t="str">
            <v>"</v>
          </cell>
          <cell r="D214">
            <v>1.25</v>
          </cell>
          <cell r="E214">
            <v>155</v>
          </cell>
          <cell r="F214">
            <v>1.4</v>
          </cell>
          <cell r="G214">
            <v>271.25</v>
          </cell>
          <cell r="H214">
            <v>7472.5</v>
          </cell>
          <cell r="I214">
            <v>2027000</v>
          </cell>
        </row>
        <row r="215">
          <cell r="A215">
            <v>19</v>
          </cell>
          <cell r="B215" t="str">
            <v>Phuøng Minh Lyù</v>
          </cell>
          <cell r="C215" t="str">
            <v>Toå K.C</v>
          </cell>
          <cell r="D215">
            <v>1.3</v>
          </cell>
          <cell r="E215">
            <v>156</v>
          </cell>
          <cell r="F215">
            <v>1.6</v>
          </cell>
          <cell r="G215">
            <v>324.48</v>
          </cell>
          <cell r="H215">
            <v>7472.5</v>
          </cell>
          <cell r="I215">
            <v>2425000</v>
          </cell>
        </row>
        <row r="216">
          <cell r="A216">
            <v>20</v>
          </cell>
          <cell r="B216" t="str">
            <v>Trònh Myõ Trang</v>
          </cell>
          <cell r="C216" t="str">
            <v>"</v>
          </cell>
          <cell r="D216">
            <v>1.25</v>
          </cell>
          <cell r="E216">
            <v>148</v>
          </cell>
          <cell r="F216">
            <v>1.4</v>
          </cell>
          <cell r="G216">
            <v>259</v>
          </cell>
          <cell r="H216">
            <v>7472.5</v>
          </cell>
          <cell r="I216">
            <v>1935000</v>
          </cell>
        </row>
        <row r="217">
          <cell r="A217">
            <v>21</v>
          </cell>
          <cell r="B217" t="str">
            <v>Traàn Duõng Thaéng</v>
          </cell>
          <cell r="C217" t="str">
            <v>"</v>
          </cell>
          <cell r="D217">
            <v>1.25</v>
          </cell>
          <cell r="E217">
            <v>156</v>
          </cell>
          <cell r="F217">
            <v>1.4</v>
          </cell>
          <cell r="G217">
            <v>273</v>
          </cell>
          <cell r="H217">
            <v>7472.5</v>
          </cell>
          <cell r="I217">
            <v>2040000</v>
          </cell>
        </row>
        <row r="218">
          <cell r="A218">
            <v>22</v>
          </cell>
          <cell r="B218" t="str">
            <v>Vuõ Thanh Tuøng</v>
          </cell>
          <cell r="C218" t="str">
            <v>"</v>
          </cell>
          <cell r="D218">
            <v>1.25</v>
          </cell>
          <cell r="E218">
            <v>155</v>
          </cell>
          <cell r="F218">
            <v>1.4</v>
          </cell>
          <cell r="G218">
            <v>271.25</v>
          </cell>
          <cell r="H218">
            <v>7472.5</v>
          </cell>
          <cell r="I218">
            <v>2027000</v>
          </cell>
        </row>
        <row r="219">
          <cell r="A219">
            <v>23</v>
          </cell>
          <cell r="B219" t="str">
            <v>Phan Thò Löïu</v>
          </cell>
          <cell r="C219" t="str">
            <v>"</v>
          </cell>
          <cell r="D219">
            <v>1.25</v>
          </cell>
          <cell r="E219">
            <v>155</v>
          </cell>
          <cell r="F219">
            <v>1.4</v>
          </cell>
          <cell r="G219">
            <v>271.25</v>
          </cell>
          <cell r="H219">
            <v>7472.5</v>
          </cell>
          <cell r="I219">
            <v>2027000</v>
          </cell>
        </row>
        <row r="220">
          <cell r="A220">
            <v>24</v>
          </cell>
          <cell r="B220" t="str">
            <v>Ng. T. Hoàng Hueá</v>
          </cell>
          <cell r="C220" t="str">
            <v>"</v>
          </cell>
          <cell r="D220">
            <v>1.25</v>
          </cell>
          <cell r="E220">
            <v>151</v>
          </cell>
          <cell r="F220">
            <v>1.4</v>
          </cell>
          <cell r="G220">
            <v>264.25</v>
          </cell>
          <cell r="H220">
            <v>7472.5</v>
          </cell>
          <cell r="I220">
            <v>1975000</v>
          </cell>
        </row>
        <row r="221">
          <cell r="B221" t="str">
            <v>Coäng:</v>
          </cell>
          <cell r="D221">
            <v>31.410000000000004</v>
          </cell>
          <cell r="G221">
            <v>7049.2479999999996</v>
          </cell>
          <cell r="I221">
            <v>52679000</v>
          </cell>
        </row>
        <row r="222">
          <cell r="C222" t="str">
            <v>Baèng chöõ:          (Naêm möôi hai trieäu, saùu traêm baûy möôi chín ngaøn ñoàng).</v>
          </cell>
        </row>
        <row r="223">
          <cell r="B223" t="str">
            <v>Duyeät Ban Giaùm ñoác</v>
          </cell>
          <cell r="G223" t="str">
            <v>Keá toaùn tröôûng</v>
          </cell>
        </row>
        <row r="237">
          <cell r="A237" t="str">
            <v>CTY XIMAÊNG HAØ TIEÂN KIEÂN GIANG</v>
          </cell>
        </row>
        <row r="238">
          <cell r="A238" t="str">
            <v>Boä phaän: Phoøng Kinh doanh</v>
          </cell>
          <cell r="E238" t="str">
            <v>BAÛNG THANH TOÙAN TIEÀN THÖÔÛNG 6 THAÙNG ÑAÀU NAÊM 2001</v>
          </cell>
        </row>
        <row r="240">
          <cell r="A240" t="str">
            <v>Stt</v>
          </cell>
          <cell r="B240" t="str">
            <v>Hoï vaø Teân</v>
          </cell>
          <cell r="C240" t="str">
            <v>Chöùc vuï</v>
          </cell>
          <cell r="D240" t="str">
            <v>HSCV</v>
          </cell>
          <cell r="E240" t="str">
            <v>Ngaøy coâng</v>
          </cell>
          <cell r="F240" t="str">
            <v>Heä soá X.Loaïi</v>
          </cell>
          <cell r="G240" t="str">
            <v>HSQÑ</v>
          </cell>
          <cell r="H240" t="str">
            <v>Ñôn giaù</v>
          </cell>
          <cell r="I240" t="str">
            <v>Thöïc laõnh (ñ)</v>
          </cell>
        </row>
        <row r="242">
          <cell r="A242">
            <v>1</v>
          </cell>
          <cell r="B242" t="str">
            <v>Phuøng Höõu Thònh</v>
          </cell>
          <cell r="C242" t="str">
            <v>TP</v>
          </cell>
          <cell r="D242">
            <v>1.9</v>
          </cell>
          <cell r="E242">
            <v>153</v>
          </cell>
          <cell r="F242">
            <v>1.6</v>
          </cell>
          <cell r="G242">
            <v>465.12</v>
          </cell>
          <cell r="H242">
            <v>7472.5</v>
          </cell>
          <cell r="I242">
            <v>3476000</v>
          </cell>
        </row>
        <row r="243">
          <cell r="A243">
            <v>2</v>
          </cell>
          <cell r="B243" t="str">
            <v>Huyønh Quang Vöõng</v>
          </cell>
          <cell r="C243" t="str">
            <v>PP</v>
          </cell>
          <cell r="D243">
            <v>1.75</v>
          </cell>
          <cell r="E243">
            <v>152</v>
          </cell>
          <cell r="F243">
            <v>1.6</v>
          </cell>
          <cell r="G243">
            <v>425.6</v>
          </cell>
          <cell r="H243">
            <v>7472.5</v>
          </cell>
          <cell r="I243">
            <v>3180000</v>
          </cell>
        </row>
        <row r="244">
          <cell r="A244">
            <v>3</v>
          </cell>
          <cell r="B244" t="str">
            <v>Nguyeãn Thoaïi Oanh</v>
          </cell>
          <cell r="C244" t="str">
            <v>PP</v>
          </cell>
          <cell r="D244">
            <v>1.75</v>
          </cell>
          <cell r="E244">
            <v>152</v>
          </cell>
          <cell r="F244">
            <v>1.6</v>
          </cell>
          <cell r="G244">
            <v>425.6</v>
          </cell>
          <cell r="H244">
            <v>7472.5</v>
          </cell>
          <cell r="I244">
            <v>3180000</v>
          </cell>
        </row>
        <row r="245">
          <cell r="A245">
            <v>4</v>
          </cell>
          <cell r="B245" t="str">
            <v>Nguyeãn Thò Kim Anh</v>
          </cell>
          <cell r="C245" t="str">
            <v>N.V</v>
          </cell>
          <cell r="D245">
            <v>1.3</v>
          </cell>
          <cell r="E245">
            <v>151</v>
          </cell>
          <cell r="F245">
            <v>1.6</v>
          </cell>
          <cell r="G245">
            <v>314.08000000000004</v>
          </cell>
          <cell r="H245">
            <v>7472.5</v>
          </cell>
          <cell r="I245">
            <v>2347000</v>
          </cell>
        </row>
        <row r="246">
          <cell r="A246">
            <v>5</v>
          </cell>
          <cell r="B246" t="str">
            <v>Nguyeãn Baù Toång</v>
          </cell>
          <cell r="C246" t="str">
            <v>N.V</v>
          </cell>
          <cell r="D246">
            <v>1.25</v>
          </cell>
          <cell r="E246">
            <v>151</v>
          </cell>
          <cell r="F246">
            <v>1.2</v>
          </cell>
          <cell r="G246">
            <v>226.5</v>
          </cell>
          <cell r="H246">
            <v>7472.5</v>
          </cell>
          <cell r="I246">
            <v>1693000</v>
          </cell>
        </row>
        <row r="247">
          <cell r="A247">
            <v>6</v>
          </cell>
          <cell r="B247" t="str">
            <v>Mai Thaønh Chính</v>
          </cell>
          <cell r="C247" t="str">
            <v>N.V</v>
          </cell>
          <cell r="D247">
            <v>1.25</v>
          </cell>
          <cell r="E247">
            <v>151</v>
          </cell>
          <cell r="F247">
            <v>1.2</v>
          </cell>
          <cell r="G247">
            <v>226.5</v>
          </cell>
          <cell r="H247">
            <v>7472.5</v>
          </cell>
          <cell r="I247">
            <v>1693000</v>
          </cell>
        </row>
        <row r="248">
          <cell r="A248">
            <v>7</v>
          </cell>
          <cell r="B248" t="str">
            <v>Nguyeãn Vaên Hoaøng</v>
          </cell>
          <cell r="C248" t="str">
            <v>AÙp taûi</v>
          </cell>
          <cell r="D248">
            <v>1.1000000000000001</v>
          </cell>
          <cell r="E248">
            <v>142</v>
          </cell>
          <cell r="F248">
            <v>1.4</v>
          </cell>
          <cell r="G248">
            <v>218.68</v>
          </cell>
          <cell r="H248">
            <v>7472.5</v>
          </cell>
          <cell r="I248">
            <v>1634000</v>
          </cell>
        </row>
        <row r="249">
          <cell r="A249">
            <v>8</v>
          </cell>
          <cell r="B249" t="str">
            <v>Huyønh Vaên Bình</v>
          </cell>
          <cell r="C249" t="str">
            <v>AÙp taûi</v>
          </cell>
          <cell r="D249">
            <v>1.1000000000000001</v>
          </cell>
          <cell r="E249">
            <v>151</v>
          </cell>
          <cell r="F249">
            <v>1.4</v>
          </cell>
          <cell r="G249">
            <v>232.54000000000002</v>
          </cell>
          <cell r="H249">
            <v>7472.5</v>
          </cell>
          <cell r="I249">
            <v>1738000</v>
          </cell>
        </row>
        <row r="250">
          <cell r="A250">
            <v>9</v>
          </cell>
          <cell r="B250" t="str">
            <v>Tröông Thaønh Taâm</v>
          </cell>
          <cell r="C250" t="str">
            <v>AÙp taûi</v>
          </cell>
          <cell r="D250">
            <v>1.1000000000000001</v>
          </cell>
          <cell r="E250">
            <v>151</v>
          </cell>
          <cell r="F250">
            <v>1.4</v>
          </cell>
          <cell r="G250">
            <v>232.54000000000002</v>
          </cell>
          <cell r="H250">
            <v>7472.5</v>
          </cell>
          <cell r="I250">
            <v>1738000</v>
          </cell>
        </row>
        <row r="251">
          <cell r="A251">
            <v>10</v>
          </cell>
          <cell r="B251" t="str">
            <v>Laâm Anh Duõng</v>
          </cell>
          <cell r="C251" t="str">
            <v>AÙp taûi</v>
          </cell>
          <cell r="D251">
            <v>1.1000000000000001</v>
          </cell>
          <cell r="E251">
            <v>151</v>
          </cell>
          <cell r="F251">
            <v>1.4</v>
          </cell>
          <cell r="G251">
            <v>232.54000000000002</v>
          </cell>
          <cell r="H251">
            <v>7472.5</v>
          </cell>
          <cell r="I251">
            <v>1738000</v>
          </cell>
        </row>
        <row r="252">
          <cell r="A252">
            <v>11</v>
          </cell>
          <cell r="B252" t="str">
            <v>Huyønh Thieän Phong</v>
          </cell>
          <cell r="C252" t="str">
            <v>AÙp taûi</v>
          </cell>
          <cell r="D252">
            <v>1.1000000000000001</v>
          </cell>
          <cell r="E252">
            <v>145</v>
          </cell>
          <cell r="F252">
            <v>1.4</v>
          </cell>
          <cell r="G252">
            <v>223.29999999999998</v>
          </cell>
          <cell r="H252">
            <v>7472.5</v>
          </cell>
          <cell r="I252">
            <v>1669000</v>
          </cell>
        </row>
        <row r="253">
          <cell r="A253">
            <v>12</v>
          </cell>
          <cell r="B253" t="str">
            <v>Vuõ Quoác Vieät</v>
          </cell>
          <cell r="C253" t="str">
            <v>AÙp taûi</v>
          </cell>
          <cell r="D253">
            <v>1.1000000000000001</v>
          </cell>
          <cell r="E253">
            <v>151</v>
          </cell>
          <cell r="F253">
            <v>1.4</v>
          </cell>
          <cell r="G253">
            <v>232.54000000000002</v>
          </cell>
          <cell r="H253">
            <v>7472.5</v>
          </cell>
          <cell r="I253">
            <v>1738000</v>
          </cell>
        </row>
        <row r="254">
          <cell r="A254">
            <v>13</v>
          </cell>
          <cell r="B254" t="str">
            <v>Nguyeãn Phöông Phan</v>
          </cell>
          <cell r="C254" t="str">
            <v>AÙp taûi</v>
          </cell>
          <cell r="D254">
            <v>1.1000000000000001</v>
          </cell>
          <cell r="E254">
            <v>151</v>
          </cell>
          <cell r="F254">
            <v>1.4</v>
          </cell>
          <cell r="G254">
            <v>232.54000000000002</v>
          </cell>
          <cell r="H254">
            <v>7472.5</v>
          </cell>
          <cell r="I254">
            <v>1738000</v>
          </cell>
        </row>
        <row r="255">
          <cell r="A255">
            <v>14</v>
          </cell>
          <cell r="B255" t="str">
            <v>Nguyeãn Quoác Maïnh</v>
          </cell>
          <cell r="C255" t="str">
            <v>AÙp taûi</v>
          </cell>
          <cell r="D255">
            <v>1.1000000000000001</v>
          </cell>
          <cell r="E255">
            <v>151</v>
          </cell>
          <cell r="F255">
            <v>1.4</v>
          </cell>
          <cell r="G255">
            <v>232.54000000000002</v>
          </cell>
          <cell r="H255">
            <v>7472.5</v>
          </cell>
          <cell r="I255">
            <v>1738000</v>
          </cell>
        </row>
        <row r="256">
          <cell r="A256">
            <v>15</v>
          </cell>
          <cell r="B256" t="str">
            <v>Laâm Minh Vöông</v>
          </cell>
          <cell r="C256" t="str">
            <v>T.CN</v>
          </cell>
          <cell r="D256">
            <v>1.6</v>
          </cell>
          <cell r="E256">
            <v>152</v>
          </cell>
          <cell r="F256">
            <v>1.6</v>
          </cell>
          <cell r="G256">
            <v>389.12000000000006</v>
          </cell>
          <cell r="H256">
            <v>7472.5</v>
          </cell>
          <cell r="I256">
            <v>2908000</v>
          </cell>
        </row>
        <row r="257">
          <cell r="A257">
            <v>16</v>
          </cell>
          <cell r="B257" t="str">
            <v>Leâ Thaønh Líp</v>
          </cell>
          <cell r="C257" t="str">
            <v>KT</v>
          </cell>
          <cell r="D257">
            <v>1.3</v>
          </cell>
          <cell r="E257">
            <v>153</v>
          </cell>
          <cell r="F257">
            <v>1.6</v>
          </cell>
          <cell r="G257">
            <v>318.24</v>
          </cell>
          <cell r="H257">
            <v>7472.5</v>
          </cell>
          <cell r="I257">
            <v>2378000</v>
          </cell>
        </row>
        <row r="258">
          <cell r="A258">
            <v>17</v>
          </cell>
          <cell r="B258" t="str">
            <v>Voõ Hoaøng Trung</v>
          </cell>
          <cell r="C258" t="str">
            <v>NV</v>
          </cell>
          <cell r="D258">
            <v>1.25</v>
          </cell>
          <cell r="E258">
            <v>151</v>
          </cell>
          <cell r="F258">
            <v>1.6</v>
          </cell>
          <cell r="G258">
            <v>302</v>
          </cell>
          <cell r="H258">
            <v>7472.5</v>
          </cell>
          <cell r="I258">
            <v>2257000</v>
          </cell>
        </row>
        <row r="259">
          <cell r="A259">
            <v>18</v>
          </cell>
          <cell r="B259" t="str">
            <v>Voõ Thoáng Nhaát</v>
          </cell>
          <cell r="C259" t="str">
            <v>Thuû quyõ</v>
          </cell>
          <cell r="D259">
            <v>1.2</v>
          </cell>
          <cell r="E259">
            <v>151</v>
          </cell>
          <cell r="F259">
            <v>1.4</v>
          </cell>
          <cell r="G259">
            <v>253.67999999999998</v>
          </cell>
          <cell r="H259">
            <v>7472.5</v>
          </cell>
          <cell r="I259">
            <v>1896000</v>
          </cell>
        </row>
        <row r="260">
          <cell r="A260">
            <v>19</v>
          </cell>
          <cell r="B260" t="str">
            <v>Voõ Hoàng Taâm</v>
          </cell>
          <cell r="C260" t="str">
            <v>Thuû quyõ</v>
          </cell>
          <cell r="D260">
            <v>1.2</v>
          </cell>
          <cell r="E260">
            <v>153</v>
          </cell>
          <cell r="F260">
            <v>1.6</v>
          </cell>
          <cell r="G260">
            <v>293.76</v>
          </cell>
          <cell r="H260">
            <v>7472.5</v>
          </cell>
          <cell r="I260">
            <v>2195000</v>
          </cell>
        </row>
        <row r="261">
          <cell r="A261">
            <v>20</v>
          </cell>
          <cell r="B261" t="str">
            <v>Nguyeãn Thaønh Thaân</v>
          </cell>
          <cell r="C261" t="str">
            <v>KT</v>
          </cell>
          <cell r="D261">
            <v>1.2</v>
          </cell>
          <cell r="E261">
            <v>105</v>
          </cell>
          <cell r="F261">
            <v>1.4</v>
          </cell>
          <cell r="G261">
            <v>176.39999999999998</v>
          </cell>
          <cell r="H261">
            <v>7472.5</v>
          </cell>
          <cell r="I261">
            <v>1318000</v>
          </cell>
        </row>
        <row r="262">
          <cell r="A262">
            <v>21</v>
          </cell>
          <cell r="B262" t="str">
            <v>Ñinh Ñöùc Chính</v>
          </cell>
          <cell r="C262" t="str">
            <v>L.Xe</v>
          </cell>
          <cell r="D262">
            <v>1.1666666666666667</v>
          </cell>
          <cell r="E262">
            <v>152</v>
          </cell>
          <cell r="F262">
            <v>1.4</v>
          </cell>
          <cell r="G262">
            <v>248.26666666666665</v>
          </cell>
          <cell r="H262">
            <v>7472.5</v>
          </cell>
          <cell r="I262">
            <v>1855000</v>
          </cell>
        </row>
        <row r="263">
          <cell r="A263">
            <v>22</v>
          </cell>
          <cell r="B263" t="str">
            <v>Buøi Tieán Coâng</v>
          </cell>
          <cell r="C263" t="str">
            <v>"</v>
          </cell>
          <cell r="D263">
            <v>1.2</v>
          </cell>
          <cell r="E263">
            <v>153</v>
          </cell>
          <cell r="F263">
            <v>1.4</v>
          </cell>
          <cell r="G263">
            <v>257.03999999999996</v>
          </cell>
          <cell r="H263">
            <v>7472.5</v>
          </cell>
          <cell r="I263">
            <v>1921000</v>
          </cell>
        </row>
        <row r="264">
          <cell r="A264">
            <v>23</v>
          </cell>
          <cell r="B264" t="str">
            <v>Phaïm Vaên Nhieàu</v>
          </cell>
          <cell r="C264" t="str">
            <v>"</v>
          </cell>
          <cell r="D264">
            <v>1.2</v>
          </cell>
          <cell r="E264">
            <v>150</v>
          </cell>
          <cell r="F264">
            <v>1.4</v>
          </cell>
          <cell r="G264">
            <v>251.99999999999997</v>
          </cell>
          <cell r="H264">
            <v>7472.5</v>
          </cell>
          <cell r="I264">
            <v>1883000</v>
          </cell>
        </row>
        <row r="265">
          <cell r="A265">
            <v>24</v>
          </cell>
          <cell r="B265" t="str">
            <v>Ngoâ Thaønh Phöôùc</v>
          </cell>
          <cell r="C265" t="str">
            <v>"</v>
          </cell>
          <cell r="D265">
            <v>1.2</v>
          </cell>
          <cell r="E265">
            <v>150</v>
          </cell>
          <cell r="F265">
            <v>1.4</v>
          </cell>
          <cell r="G265">
            <v>251.99999999999997</v>
          </cell>
          <cell r="H265">
            <v>7472.5</v>
          </cell>
          <cell r="I265">
            <v>1883000</v>
          </cell>
        </row>
        <row r="266">
          <cell r="A266">
            <v>25</v>
          </cell>
          <cell r="B266" t="str">
            <v>Phaïm Anh Huøng</v>
          </cell>
          <cell r="C266" t="str">
            <v>"</v>
          </cell>
          <cell r="D266">
            <v>1.2</v>
          </cell>
          <cell r="E266">
            <v>150</v>
          </cell>
          <cell r="F266">
            <v>1.4</v>
          </cell>
          <cell r="G266">
            <v>251.99999999999997</v>
          </cell>
          <cell r="H266">
            <v>7472.5</v>
          </cell>
          <cell r="I266">
            <v>1883000</v>
          </cell>
        </row>
        <row r="267">
          <cell r="A267">
            <v>26</v>
          </cell>
          <cell r="B267" t="str">
            <v>Nguyeãn Thanh Phong</v>
          </cell>
          <cell r="C267" t="str">
            <v>"</v>
          </cell>
          <cell r="D267">
            <v>1.2</v>
          </cell>
          <cell r="E267">
            <v>136</v>
          </cell>
          <cell r="F267">
            <v>1.4</v>
          </cell>
          <cell r="G267">
            <v>228.47999999999996</v>
          </cell>
          <cell r="H267">
            <v>7472.5</v>
          </cell>
          <cell r="I267">
            <v>1707000</v>
          </cell>
        </row>
        <row r="268">
          <cell r="A268">
            <v>27</v>
          </cell>
          <cell r="B268" t="str">
            <v>Ñaøo Ngoïc Höông</v>
          </cell>
          <cell r="C268" t="str">
            <v>"</v>
          </cell>
          <cell r="D268">
            <v>1.2</v>
          </cell>
          <cell r="E268">
            <v>150</v>
          </cell>
          <cell r="F268">
            <v>1.6</v>
          </cell>
          <cell r="G268">
            <v>288</v>
          </cell>
          <cell r="H268">
            <v>7472.5</v>
          </cell>
          <cell r="I268">
            <v>2152000</v>
          </cell>
        </row>
        <row r="269">
          <cell r="A269">
            <v>28</v>
          </cell>
          <cell r="B269" t="str">
            <v>Voõ Thaønh Nhaân</v>
          </cell>
          <cell r="C269" t="str">
            <v>"</v>
          </cell>
          <cell r="D269">
            <v>1.2</v>
          </cell>
          <cell r="E269">
            <v>72</v>
          </cell>
          <cell r="F269">
            <v>1.2</v>
          </cell>
          <cell r="G269">
            <v>103.67999999999999</v>
          </cell>
          <cell r="H269">
            <v>7472.5</v>
          </cell>
          <cell r="I269">
            <v>775000</v>
          </cell>
        </row>
        <row r="270">
          <cell r="A270">
            <v>29</v>
          </cell>
          <cell r="B270" t="str">
            <v>Ñoaøn Ngoïc Thònh</v>
          </cell>
          <cell r="C270" t="str">
            <v>"</v>
          </cell>
          <cell r="D270">
            <v>1.2</v>
          </cell>
          <cell r="E270">
            <v>21</v>
          </cell>
          <cell r="F270">
            <v>1</v>
          </cell>
          <cell r="G270">
            <v>25.2</v>
          </cell>
          <cell r="H270">
            <v>7472.5</v>
          </cell>
          <cell r="I270">
            <v>188000</v>
          </cell>
        </row>
        <row r="271">
          <cell r="B271" t="str">
            <v>Coäng:</v>
          </cell>
          <cell r="D271">
            <v>36.516666666666673</v>
          </cell>
          <cell r="G271">
            <v>7560.4866666666658</v>
          </cell>
          <cell r="I271">
            <v>56499000</v>
          </cell>
        </row>
        <row r="272">
          <cell r="C272" t="str">
            <v>Baèng chöõ:    (Naêm möôi saùu trieäu, boán traêm chín möôi chín ngaøn ñoàng).</v>
          </cell>
        </row>
        <row r="273">
          <cell r="B273" t="str">
            <v>Duyeät Ban Giaùm ñoác</v>
          </cell>
          <cell r="G273" t="str">
            <v>Keá toaùn tröôûng</v>
          </cell>
        </row>
        <row r="282">
          <cell r="A282" t="str">
            <v>CTY XIMAÊNG HAØ TIEÂN KIEÂN GIANG</v>
          </cell>
        </row>
        <row r="283">
          <cell r="A283" t="str">
            <v>Boä phaän: Phaân xöôûng Khai thaùc NL</v>
          </cell>
          <cell r="E283" t="str">
            <v>BAÛNG THANH TOÙAN TIEÀN THÖÔÛNG 6 THAÙNG ÑAÀU NAÊM 2001</v>
          </cell>
        </row>
        <row r="285">
          <cell r="A285" t="str">
            <v>Stt</v>
          </cell>
          <cell r="B285" t="str">
            <v>Hoï vaø Teân</v>
          </cell>
          <cell r="C285" t="str">
            <v>Chöùc vuï</v>
          </cell>
          <cell r="D285" t="str">
            <v>HSCV</v>
          </cell>
          <cell r="E285" t="str">
            <v>Ngaøy coâng</v>
          </cell>
          <cell r="F285" t="str">
            <v>Heä soá X.Loaïi</v>
          </cell>
          <cell r="G285" t="str">
            <v>HSQÑ</v>
          </cell>
          <cell r="H285" t="str">
            <v>Ñôn giaù</v>
          </cell>
          <cell r="I285" t="str">
            <v>Thöïc laõnh (ñ)</v>
          </cell>
        </row>
        <row r="287">
          <cell r="A287">
            <v>1</v>
          </cell>
          <cell r="B287" t="str">
            <v>Leâ Vaên Boán</v>
          </cell>
          <cell r="C287" t="str">
            <v>QÑPX</v>
          </cell>
          <cell r="D287">
            <v>1.75</v>
          </cell>
          <cell r="E287">
            <v>139</v>
          </cell>
          <cell r="F287">
            <v>1.6</v>
          </cell>
          <cell r="G287">
            <v>389.20000000000005</v>
          </cell>
          <cell r="H287">
            <v>7472.5</v>
          </cell>
          <cell r="I287">
            <v>2908000</v>
          </cell>
        </row>
        <row r="288">
          <cell r="A288">
            <v>2</v>
          </cell>
          <cell r="B288" t="str">
            <v>Döông Kim Chi</v>
          </cell>
          <cell r="C288" t="str">
            <v>TK-PX</v>
          </cell>
          <cell r="D288">
            <v>1.2</v>
          </cell>
          <cell r="E288">
            <v>147</v>
          </cell>
          <cell r="F288">
            <v>1.4</v>
          </cell>
          <cell r="G288">
            <v>246.95999999999998</v>
          </cell>
          <cell r="H288">
            <v>7472.5</v>
          </cell>
          <cell r="I288">
            <v>1845000</v>
          </cell>
        </row>
        <row r="289">
          <cell r="A289">
            <v>3</v>
          </cell>
          <cell r="B289" t="str">
            <v>Nguyeãn Khaéc Haûi</v>
          </cell>
          <cell r="C289" t="str">
            <v>CK.V/h</v>
          </cell>
          <cell r="D289">
            <v>1.25</v>
          </cell>
          <cell r="E289">
            <v>152</v>
          </cell>
          <cell r="F289">
            <v>1.4</v>
          </cell>
          <cell r="G289">
            <v>266</v>
          </cell>
          <cell r="H289">
            <v>7472.5</v>
          </cell>
          <cell r="I289">
            <v>1988000</v>
          </cell>
        </row>
        <row r="290">
          <cell r="A290">
            <v>4</v>
          </cell>
          <cell r="B290" t="str">
            <v>Leâ Minh  Ñöùc</v>
          </cell>
          <cell r="C290" t="str">
            <v>TT.Khoan</v>
          </cell>
          <cell r="D290">
            <v>1.35</v>
          </cell>
          <cell r="E290">
            <v>152</v>
          </cell>
          <cell r="F290">
            <v>1.6</v>
          </cell>
          <cell r="G290">
            <v>328.32000000000005</v>
          </cell>
          <cell r="H290">
            <v>7472.5</v>
          </cell>
          <cell r="I290">
            <v>2453000</v>
          </cell>
        </row>
        <row r="291">
          <cell r="A291">
            <v>5</v>
          </cell>
          <cell r="B291" t="str">
            <v>Giang Vaên Tónh</v>
          </cell>
          <cell r="C291" t="str">
            <v>Thôï khoan</v>
          </cell>
          <cell r="D291">
            <v>1.3</v>
          </cell>
          <cell r="E291">
            <v>151</v>
          </cell>
          <cell r="F291">
            <v>1.4</v>
          </cell>
          <cell r="G291">
            <v>274.82</v>
          </cell>
          <cell r="H291">
            <v>7472.5</v>
          </cell>
          <cell r="I291">
            <v>2054000</v>
          </cell>
        </row>
        <row r="292">
          <cell r="A292">
            <v>6</v>
          </cell>
          <cell r="B292" t="str">
            <v>Trình Xuaân Baûng</v>
          </cell>
          <cell r="C292" t="str">
            <v>"</v>
          </cell>
          <cell r="D292">
            <v>1.3</v>
          </cell>
          <cell r="E292">
            <v>153</v>
          </cell>
          <cell r="F292">
            <v>1.4</v>
          </cell>
          <cell r="G292">
            <v>278.45999999999998</v>
          </cell>
          <cell r="H292">
            <v>7472.5</v>
          </cell>
          <cell r="I292">
            <v>2081000</v>
          </cell>
        </row>
        <row r="293">
          <cell r="A293">
            <v>7</v>
          </cell>
          <cell r="B293" t="str">
            <v>Buøi Trung Tuaán</v>
          </cell>
          <cell r="C293" t="str">
            <v>"</v>
          </cell>
          <cell r="D293">
            <v>1.3</v>
          </cell>
          <cell r="E293">
            <v>151</v>
          </cell>
          <cell r="F293">
            <v>1.4</v>
          </cell>
          <cell r="G293">
            <v>274.82</v>
          </cell>
          <cell r="H293">
            <v>7472.5</v>
          </cell>
          <cell r="I293">
            <v>2054000</v>
          </cell>
        </row>
        <row r="294">
          <cell r="A294">
            <v>8</v>
          </cell>
          <cell r="B294" t="str">
            <v>Phaïm Ngoïc Sôn</v>
          </cell>
          <cell r="C294" t="str">
            <v>"</v>
          </cell>
          <cell r="D294">
            <v>1.3</v>
          </cell>
          <cell r="E294">
            <v>151</v>
          </cell>
          <cell r="F294">
            <v>1.4</v>
          </cell>
          <cell r="G294">
            <v>274.82</v>
          </cell>
          <cell r="H294">
            <v>7472.5</v>
          </cell>
          <cell r="I294">
            <v>2054000</v>
          </cell>
        </row>
        <row r="295">
          <cell r="A295">
            <v>9</v>
          </cell>
          <cell r="B295" t="str">
            <v>Ng. Ñình Nguyeân</v>
          </cell>
          <cell r="C295" t="str">
            <v>"</v>
          </cell>
          <cell r="D295">
            <v>1.3</v>
          </cell>
          <cell r="E295">
            <v>151</v>
          </cell>
          <cell r="F295">
            <v>1.4</v>
          </cell>
          <cell r="G295">
            <v>274.82</v>
          </cell>
          <cell r="H295">
            <v>7472.5</v>
          </cell>
          <cell r="I295">
            <v>2054000</v>
          </cell>
        </row>
        <row r="296">
          <cell r="A296">
            <v>10</v>
          </cell>
          <cell r="B296" t="str">
            <v>Laïi Vaên Huyeân</v>
          </cell>
          <cell r="C296" t="str">
            <v>TT Pha boå</v>
          </cell>
          <cell r="D296">
            <v>1.2</v>
          </cell>
          <cell r="E296">
            <v>152</v>
          </cell>
          <cell r="F296">
            <v>1.6</v>
          </cell>
          <cell r="G296">
            <v>291.84000000000003</v>
          </cell>
          <cell r="H296">
            <v>7472.5</v>
          </cell>
          <cell r="I296">
            <v>2181000</v>
          </cell>
        </row>
        <row r="297">
          <cell r="A297">
            <v>11</v>
          </cell>
          <cell r="B297" t="str">
            <v>Nguyeãn vaên Chaët</v>
          </cell>
          <cell r="C297" t="str">
            <v>CN Pha boå</v>
          </cell>
          <cell r="D297">
            <v>1.1499999999999999</v>
          </cell>
          <cell r="E297">
            <v>140</v>
          </cell>
          <cell r="F297">
            <v>1.2</v>
          </cell>
          <cell r="G297">
            <v>193.2</v>
          </cell>
          <cell r="H297">
            <v>7472.5</v>
          </cell>
          <cell r="I297">
            <v>1444000</v>
          </cell>
        </row>
        <row r="298">
          <cell r="A298">
            <v>12</v>
          </cell>
          <cell r="B298" t="str">
            <v>Chaâu Thanh Lieâm</v>
          </cell>
          <cell r="C298" t="str">
            <v>"</v>
          </cell>
          <cell r="D298">
            <v>1.1499999999999999</v>
          </cell>
          <cell r="E298">
            <v>151</v>
          </cell>
          <cell r="F298">
            <v>1.4</v>
          </cell>
          <cell r="G298">
            <v>243.10999999999996</v>
          </cell>
          <cell r="H298">
            <v>7472.5</v>
          </cell>
          <cell r="I298">
            <v>1817000</v>
          </cell>
        </row>
        <row r="299">
          <cell r="A299">
            <v>13</v>
          </cell>
          <cell r="B299" t="str">
            <v>Ong Döông Haûi</v>
          </cell>
          <cell r="C299" t="str">
            <v>"</v>
          </cell>
          <cell r="D299">
            <v>1.1499999999999999</v>
          </cell>
          <cell r="E299">
            <v>151</v>
          </cell>
          <cell r="F299">
            <v>1.2</v>
          </cell>
          <cell r="G299">
            <v>208.37999999999997</v>
          </cell>
          <cell r="H299">
            <v>7472.5</v>
          </cell>
          <cell r="I299">
            <v>1557000</v>
          </cell>
        </row>
        <row r="300">
          <cell r="A300">
            <v>14</v>
          </cell>
          <cell r="B300" t="str">
            <v>Lyù Vaên Thaønh</v>
          </cell>
          <cell r="C300" t="str">
            <v>"</v>
          </cell>
          <cell r="D300">
            <v>1.1499999999999999</v>
          </cell>
          <cell r="E300">
            <v>151</v>
          </cell>
          <cell r="F300">
            <v>1.4</v>
          </cell>
          <cell r="G300">
            <v>243.10999999999996</v>
          </cell>
          <cell r="H300">
            <v>7472.5</v>
          </cell>
          <cell r="I300">
            <v>1817000</v>
          </cell>
        </row>
        <row r="301">
          <cell r="A301">
            <v>15</v>
          </cell>
          <cell r="B301" t="str">
            <v>Danh Chung</v>
          </cell>
          <cell r="C301" t="str">
            <v>"</v>
          </cell>
          <cell r="D301">
            <v>1.1499999999999999</v>
          </cell>
          <cell r="E301">
            <v>145</v>
          </cell>
          <cell r="F301">
            <v>1.4</v>
          </cell>
          <cell r="G301">
            <v>233.45</v>
          </cell>
          <cell r="H301">
            <v>7472.5</v>
          </cell>
          <cell r="I301">
            <v>1744000</v>
          </cell>
        </row>
        <row r="302">
          <cell r="A302">
            <v>16</v>
          </cell>
          <cell r="B302" t="str">
            <v>Laïi Vaên Tình</v>
          </cell>
          <cell r="C302" t="str">
            <v>"</v>
          </cell>
          <cell r="D302">
            <v>1.1499999999999999</v>
          </cell>
          <cell r="E302">
            <v>151</v>
          </cell>
          <cell r="F302">
            <v>1.4</v>
          </cell>
          <cell r="G302">
            <v>243.10999999999996</v>
          </cell>
          <cell r="H302">
            <v>7472.5</v>
          </cell>
          <cell r="I302">
            <v>1817000</v>
          </cell>
        </row>
        <row r="303">
          <cell r="A303">
            <v>17</v>
          </cell>
          <cell r="B303" t="str">
            <v>Danh Xuaân</v>
          </cell>
          <cell r="C303" t="str">
            <v>"</v>
          </cell>
          <cell r="D303">
            <v>1.1499999999999999</v>
          </cell>
          <cell r="E303">
            <v>151</v>
          </cell>
          <cell r="F303">
            <v>1.4</v>
          </cell>
          <cell r="G303">
            <v>243.10999999999996</v>
          </cell>
          <cell r="H303">
            <v>7472.5</v>
          </cell>
          <cell r="I303">
            <v>1817000</v>
          </cell>
        </row>
        <row r="304">
          <cell r="A304">
            <v>18</v>
          </cell>
          <cell r="B304" t="str">
            <v>Höùa Vaên Meán</v>
          </cell>
          <cell r="C304" t="str">
            <v>"</v>
          </cell>
          <cell r="D304">
            <v>1.1499999999999999</v>
          </cell>
          <cell r="E304">
            <v>151</v>
          </cell>
          <cell r="F304">
            <v>1.4</v>
          </cell>
          <cell r="G304">
            <v>243.10999999999996</v>
          </cell>
          <cell r="H304">
            <v>7472.5</v>
          </cell>
          <cell r="I304">
            <v>1817000</v>
          </cell>
        </row>
        <row r="305">
          <cell r="A305">
            <v>19</v>
          </cell>
          <cell r="B305" t="str">
            <v>Du  Kim Thaønh</v>
          </cell>
          <cell r="C305" t="str">
            <v>"</v>
          </cell>
          <cell r="D305">
            <v>1.1499999999999999</v>
          </cell>
          <cell r="E305">
            <v>151</v>
          </cell>
          <cell r="F305">
            <v>1.4</v>
          </cell>
          <cell r="G305">
            <v>243.10999999999996</v>
          </cell>
          <cell r="H305">
            <v>7472.5</v>
          </cell>
          <cell r="I305">
            <v>1817000</v>
          </cell>
        </row>
        <row r="306">
          <cell r="A306">
            <v>20</v>
          </cell>
          <cell r="B306" t="str">
            <v>Döông Vaên Tuaán</v>
          </cell>
          <cell r="C306" t="str">
            <v>CN</v>
          </cell>
          <cell r="D306">
            <v>1.1499999999999999</v>
          </cell>
          <cell r="E306">
            <v>153</v>
          </cell>
          <cell r="F306">
            <v>1.4</v>
          </cell>
          <cell r="G306">
            <v>246.32999999999996</v>
          </cell>
          <cell r="H306">
            <v>7472.5</v>
          </cell>
          <cell r="I306">
            <v>1841000</v>
          </cell>
        </row>
        <row r="307">
          <cell r="A307">
            <v>21</v>
          </cell>
          <cell r="B307" t="str">
            <v>Hoà Vaên Em</v>
          </cell>
          <cell r="C307" t="str">
            <v>"</v>
          </cell>
          <cell r="D307">
            <v>1.1499999999999999</v>
          </cell>
          <cell r="E307">
            <v>151</v>
          </cell>
          <cell r="F307">
            <v>1.4</v>
          </cell>
          <cell r="G307">
            <v>243.10999999999996</v>
          </cell>
          <cell r="H307">
            <v>7472.5</v>
          </cell>
          <cell r="I307">
            <v>1817000</v>
          </cell>
        </row>
        <row r="308">
          <cell r="A308">
            <v>22</v>
          </cell>
          <cell r="B308" t="str">
            <v>Cao Hoaøi Thanh</v>
          </cell>
          <cell r="C308" t="str">
            <v>"</v>
          </cell>
          <cell r="D308">
            <v>1.1499999999999999</v>
          </cell>
          <cell r="E308">
            <v>151</v>
          </cell>
          <cell r="F308">
            <v>1.4</v>
          </cell>
          <cell r="G308">
            <v>243.10999999999996</v>
          </cell>
          <cell r="H308">
            <v>7472.5</v>
          </cell>
          <cell r="I308">
            <v>1817000</v>
          </cell>
        </row>
        <row r="309">
          <cell r="A309">
            <v>23</v>
          </cell>
          <cell r="B309" t="str">
            <v>Höùa Vaên Sao</v>
          </cell>
          <cell r="C309" t="str">
            <v>"</v>
          </cell>
          <cell r="D309">
            <v>1.1499999999999999</v>
          </cell>
          <cell r="E309">
            <v>151</v>
          </cell>
          <cell r="F309">
            <v>1.4</v>
          </cell>
          <cell r="G309">
            <v>243.10999999999996</v>
          </cell>
          <cell r="H309">
            <v>7472.5</v>
          </cell>
          <cell r="I309">
            <v>1817000</v>
          </cell>
        </row>
        <row r="310">
          <cell r="A310">
            <v>24</v>
          </cell>
          <cell r="B310" t="str">
            <v>Trònh Xuaân Tröôûng</v>
          </cell>
          <cell r="C310" t="str">
            <v>"</v>
          </cell>
          <cell r="D310">
            <v>1.1499999999999999</v>
          </cell>
          <cell r="E310">
            <v>150</v>
          </cell>
          <cell r="F310">
            <v>1.4</v>
          </cell>
          <cell r="G310">
            <v>241.49999999999997</v>
          </cell>
          <cell r="H310">
            <v>7472.5</v>
          </cell>
          <cell r="I310">
            <v>1805000</v>
          </cell>
        </row>
        <row r="311">
          <cell r="A311">
            <v>25</v>
          </cell>
          <cell r="B311" t="str">
            <v>Döông Phuùc Ñaït</v>
          </cell>
          <cell r="C311" t="str">
            <v>"</v>
          </cell>
          <cell r="D311">
            <v>1.1499999999999999</v>
          </cell>
          <cell r="E311">
            <v>141</v>
          </cell>
          <cell r="F311">
            <v>1.6</v>
          </cell>
          <cell r="G311">
            <v>259.44</v>
          </cell>
          <cell r="H311">
            <v>7472.5</v>
          </cell>
          <cell r="I311">
            <v>1939000</v>
          </cell>
        </row>
        <row r="312">
          <cell r="A312">
            <v>26</v>
          </cell>
          <cell r="B312" t="str">
            <v>Nguyeãn Vaên Thaéng</v>
          </cell>
          <cell r="C312" t="str">
            <v>B.Veä</v>
          </cell>
          <cell r="D312">
            <v>0.95</v>
          </cell>
          <cell r="E312">
            <v>151</v>
          </cell>
          <cell r="F312">
            <v>1.4</v>
          </cell>
          <cell r="G312">
            <v>200.82999999999998</v>
          </cell>
          <cell r="H312">
            <v>7472.5</v>
          </cell>
          <cell r="I312">
            <v>1501000</v>
          </cell>
        </row>
        <row r="313">
          <cell r="A313">
            <v>27</v>
          </cell>
          <cell r="B313" t="str">
            <v>Traàn Thuaän Phong</v>
          </cell>
          <cell r="C313" t="str">
            <v>B.Veä</v>
          </cell>
          <cell r="D313">
            <v>0.95</v>
          </cell>
          <cell r="E313">
            <v>153</v>
          </cell>
          <cell r="F313">
            <v>1.6</v>
          </cell>
          <cell r="G313">
            <v>232.56</v>
          </cell>
          <cell r="H313">
            <v>7472.5</v>
          </cell>
          <cell r="I313">
            <v>1738000</v>
          </cell>
        </row>
        <row r="314">
          <cell r="A314">
            <v>28</v>
          </cell>
          <cell r="B314" t="str">
            <v>Leâ Vaên Quyeát</v>
          </cell>
          <cell r="C314" t="str">
            <v>B.Veä</v>
          </cell>
          <cell r="D314">
            <v>0.95</v>
          </cell>
          <cell r="E314">
            <v>153</v>
          </cell>
          <cell r="F314">
            <v>1.4</v>
          </cell>
          <cell r="G314">
            <v>203.48999999999998</v>
          </cell>
          <cell r="H314">
            <v>7472.5</v>
          </cell>
          <cell r="I314">
            <v>1521000</v>
          </cell>
        </row>
        <row r="315">
          <cell r="A315">
            <v>29</v>
          </cell>
          <cell r="B315" t="str">
            <v xml:space="preserve">Vuõ Ñình Thaønh </v>
          </cell>
          <cell r="C315" t="str">
            <v>B.Veä</v>
          </cell>
          <cell r="D315">
            <v>0.95</v>
          </cell>
          <cell r="E315">
            <v>153</v>
          </cell>
          <cell r="F315">
            <v>1.4</v>
          </cell>
          <cell r="G315">
            <v>203.48999999999998</v>
          </cell>
          <cell r="H315">
            <v>7472.5</v>
          </cell>
          <cell r="I315">
            <v>1521000</v>
          </cell>
        </row>
        <row r="316">
          <cell r="A316">
            <v>30</v>
          </cell>
          <cell r="B316" t="str">
            <v>Leâ Thò Kim Loan</v>
          </cell>
          <cell r="C316" t="str">
            <v>P.Vuï</v>
          </cell>
          <cell r="D316">
            <v>0.9</v>
          </cell>
          <cell r="E316">
            <v>151</v>
          </cell>
          <cell r="F316">
            <v>1.6</v>
          </cell>
          <cell r="G316">
            <v>217.44000000000003</v>
          </cell>
          <cell r="H316">
            <v>7472.5</v>
          </cell>
          <cell r="I316">
            <v>1625000</v>
          </cell>
        </row>
        <row r="317">
          <cell r="B317" t="str">
            <v>Coäng:</v>
          </cell>
          <cell r="D317">
            <v>35.199999999999989</v>
          </cell>
          <cell r="G317">
            <v>7528.1599999999971</v>
          </cell>
          <cell r="I317">
            <v>56261000</v>
          </cell>
        </row>
        <row r="318">
          <cell r="C318" t="str">
            <v>Baèng chöõ:          (Naêm möôi saùu trieäu, hai traêm saùu möôi moát ngaøn ñoàng).</v>
          </cell>
        </row>
        <row r="319">
          <cell r="B319" t="str">
            <v>Duyeät Ban Giaùm ñoác</v>
          </cell>
          <cell r="G319" t="str">
            <v>Keá toaùn tröôûng</v>
          </cell>
        </row>
        <row r="330">
          <cell r="A330" t="str">
            <v>CTY XIMAÊNG HAØ TIEÂN KIEÂN GIANG</v>
          </cell>
        </row>
        <row r="331">
          <cell r="A331" t="str">
            <v>Boä phaän: Phoøng Keá toaùn taøi vuï</v>
          </cell>
          <cell r="E331" t="str">
            <v>BAÛNG THANH TOÙAN TIEÀN THÖÔÛNG 6 THAÙNG ÑAÀU NAÊM 2001</v>
          </cell>
        </row>
        <row r="334">
          <cell r="A334" t="str">
            <v>Stt</v>
          </cell>
          <cell r="B334" t="str">
            <v>Hoï vaø Teân</v>
          </cell>
          <cell r="C334" t="str">
            <v>Chöùc vuï</v>
          </cell>
          <cell r="D334" t="str">
            <v>HSCV</v>
          </cell>
          <cell r="E334" t="str">
            <v>Ngaøy coâng</v>
          </cell>
          <cell r="F334" t="str">
            <v>Heä soá X.Loaïi</v>
          </cell>
          <cell r="G334" t="str">
            <v>HSQÑ</v>
          </cell>
          <cell r="H334" t="str">
            <v>Ñôn giaù</v>
          </cell>
          <cell r="I334" t="str">
            <v>Thöïc laõnh (ñ)</v>
          </cell>
        </row>
        <row r="336">
          <cell r="A336">
            <v>1</v>
          </cell>
          <cell r="B336" t="str">
            <v>Ñaøo Troïng Ñaït</v>
          </cell>
          <cell r="C336" t="str">
            <v>PP</v>
          </cell>
          <cell r="D336">
            <v>1.75</v>
          </cell>
          <cell r="E336">
            <v>152</v>
          </cell>
          <cell r="F336">
            <v>1.6</v>
          </cell>
          <cell r="G336">
            <v>425.6</v>
          </cell>
          <cell r="H336">
            <v>7472.5</v>
          </cell>
          <cell r="I336">
            <v>3180000</v>
          </cell>
        </row>
        <row r="337">
          <cell r="A337">
            <v>2</v>
          </cell>
          <cell r="B337" t="str">
            <v>Nguyeãn Vaên Hieån</v>
          </cell>
          <cell r="C337" t="str">
            <v>N.V</v>
          </cell>
          <cell r="D337">
            <v>1.3</v>
          </cell>
          <cell r="E337">
            <v>151</v>
          </cell>
          <cell r="F337">
            <v>1.4</v>
          </cell>
          <cell r="G337">
            <v>274.82</v>
          </cell>
          <cell r="H337">
            <v>7472.5</v>
          </cell>
          <cell r="I337">
            <v>2054000</v>
          </cell>
        </row>
        <row r="338">
          <cell r="A338">
            <v>3</v>
          </cell>
          <cell r="B338" t="str">
            <v>Trònh Hoaøng Laâm</v>
          </cell>
          <cell r="C338" t="str">
            <v>N.V</v>
          </cell>
          <cell r="D338">
            <v>1.25</v>
          </cell>
          <cell r="E338">
            <v>151</v>
          </cell>
          <cell r="F338">
            <v>1.4</v>
          </cell>
          <cell r="G338">
            <v>264.25</v>
          </cell>
          <cell r="H338">
            <v>7472.5</v>
          </cell>
          <cell r="I338">
            <v>1975000</v>
          </cell>
        </row>
        <row r="339">
          <cell r="A339">
            <v>4</v>
          </cell>
          <cell r="B339" t="str">
            <v>Döông Vaên Thaûo</v>
          </cell>
          <cell r="C339" t="str">
            <v>N.V</v>
          </cell>
          <cell r="D339">
            <v>1.25</v>
          </cell>
          <cell r="E339">
            <v>151</v>
          </cell>
          <cell r="F339">
            <v>1.6</v>
          </cell>
          <cell r="G339">
            <v>302</v>
          </cell>
          <cell r="H339">
            <v>7472.5</v>
          </cell>
          <cell r="I339">
            <v>2257000</v>
          </cell>
        </row>
        <row r="340">
          <cell r="A340">
            <v>5</v>
          </cell>
          <cell r="B340" t="str">
            <v>Nguyeãn Thu Laøi</v>
          </cell>
          <cell r="C340" t="str">
            <v>N.V</v>
          </cell>
          <cell r="D340">
            <v>1.2</v>
          </cell>
          <cell r="E340">
            <v>151</v>
          </cell>
          <cell r="F340">
            <v>1.4</v>
          </cell>
          <cell r="G340">
            <v>253.67999999999998</v>
          </cell>
          <cell r="H340">
            <v>7472.5</v>
          </cell>
          <cell r="I340">
            <v>1896000</v>
          </cell>
        </row>
        <row r="341">
          <cell r="B341" t="str">
            <v>Coäng:</v>
          </cell>
          <cell r="D341">
            <v>6.75</v>
          </cell>
          <cell r="G341">
            <v>1520.3500000000001</v>
          </cell>
          <cell r="I341">
            <v>11362000</v>
          </cell>
        </row>
        <row r="343">
          <cell r="C343" t="str">
            <v>Baèng chöõ:          (Möôøi moät trieäu, ba traêm saùu möôi hai ngaøn ñoàng).</v>
          </cell>
        </row>
        <row r="345">
          <cell r="B345" t="str">
            <v>Duyeät Ban Giaùm ñoác</v>
          </cell>
          <cell r="G345" t="str">
            <v>Keá toaùn tröôûng</v>
          </cell>
        </row>
        <row r="351">
          <cell r="A351" t="str">
            <v>CTY XIMAÊNG HAØ TIEÂN KIEÂN GIANG</v>
          </cell>
        </row>
        <row r="352">
          <cell r="A352" t="str">
            <v>Boä phaän: Phoøng Keá hoaïch</v>
          </cell>
          <cell r="E352" t="str">
            <v>BAÛNG THANH TOÙAN TIEÀN THÖÔÛNG 6 THAÙNG ÑAÀU NAÊM 2001</v>
          </cell>
        </row>
        <row r="354">
          <cell r="A354" t="str">
            <v>Stt</v>
          </cell>
          <cell r="B354" t="str">
            <v>Hoï vaø Teân</v>
          </cell>
          <cell r="C354" t="str">
            <v>Chöùc vuï</v>
          </cell>
          <cell r="D354" t="str">
            <v>HSCV</v>
          </cell>
          <cell r="E354" t="str">
            <v>Ngaøy coâng</v>
          </cell>
          <cell r="F354" t="str">
            <v>Heä soá X.Loaïi</v>
          </cell>
          <cell r="G354" t="str">
            <v>HSQÑ</v>
          </cell>
          <cell r="H354" t="str">
            <v>Ñôn giaù</v>
          </cell>
          <cell r="I354" t="str">
            <v>Thöïc laõnh (ñ)</v>
          </cell>
        </row>
        <row r="356">
          <cell r="A356">
            <v>1</v>
          </cell>
          <cell r="B356" t="str">
            <v>Laâm Duy Khaùnh</v>
          </cell>
          <cell r="C356" t="str">
            <v>T.P</v>
          </cell>
          <cell r="D356">
            <v>1.9</v>
          </cell>
          <cell r="E356">
            <v>152</v>
          </cell>
          <cell r="F356">
            <v>1.6</v>
          </cell>
          <cell r="G356">
            <v>462.08000000000004</v>
          </cell>
          <cell r="H356">
            <v>7472.5</v>
          </cell>
          <cell r="I356">
            <v>3453000</v>
          </cell>
        </row>
        <row r="357">
          <cell r="A357">
            <v>2</v>
          </cell>
          <cell r="B357" t="str">
            <v>Hoà Nam Giang</v>
          </cell>
          <cell r="C357" t="str">
            <v>PP</v>
          </cell>
          <cell r="D357">
            <v>1.75</v>
          </cell>
          <cell r="E357">
            <v>152</v>
          </cell>
          <cell r="F357">
            <v>1.6</v>
          </cell>
          <cell r="G357">
            <v>425.6</v>
          </cell>
          <cell r="H357">
            <v>7472.5</v>
          </cell>
          <cell r="I357">
            <v>3180000</v>
          </cell>
        </row>
        <row r="358">
          <cell r="A358">
            <v>3</v>
          </cell>
          <cell r="B358" t="str">
            <v>Traàn Chinh Chieán</v>
          </cell>
          <cell r="C358" t="str">
            <v>PP</v>
          </cell>
          <cell r="D358">
            <v>1.75</v>
          </cell>
          <cell r="E358">
            <v>152</v>
          </cell>
          <cell r="F358">
            <v>1.6</v>
          </cell>
          <cell r="G358">
            <v>425.6</v>
          </cell>
          <cell r="H358">
            <v>7472.5</v>
          </cell>
          <cell r="I358">
            <v>3180000</v>
          </cell>
        </row>
        <row r="359">
          <cell r="A359">
            <v>4</v>
          </cell>
          <cell r="B359" t="str">
            <v>Nguyeãn Xuaân Trieäu</v>
          </cell>
          <cell r="C359" t="str">
            <v>NV</v>
          </cell>
          <cell r="D359">
            <v>1.2</v>
          </cell>
          <cell r="E359">
            <v>151</v>
          </cell>
          <cell r="F359">
            <v>1.2</v>
          </cell>
          <cell r="G359">
            <v>217.43999999999997</v>
          </cell>
          <cell r="H359">
            <v>7472.5</v>
          </cell>
          <cell r="I359">
            <v>1625000</v>
          </cell>
        </row>
        <row r="360">
          <cell r="A360">
            <v>5</v>
          </cell>
          <cell r="B360" t="str">
            <v>Vaên Minh Maät</v>
          </cell>
          <cell r="C360" t="str">
            <v>ÑTVT</v>
          </cell>
          <cell r="D360">
            <v>1.3167</v>
          </cell>
          <cell r="E360">
            <v>151</v>
          </cell>
          <cell r="F360">
            <v>1.4</v>
          </cell>
          <cell r="G360">
            <v>278.35037999999997</v>
          </cell>
          <cell r="H360">
            <v>7472.5</v>
          </cell>
          <cell r="I360">
            <v>2080000</v>
          </cell>
        </row>
        <row r="361">
          <cell r="A361">
            <v>6</v>
          </cell>
          <cell r="B361" t="str">
            <v>Maïc Thanh Duõng</v>
          </cell>
          <cell r="C361" t="str">
            <v>N.V</v>
          </cell>
          <cell r="D361">
            <v>1.3</v>
          </cell>
          <cell r="E361">
            <v>151</v>
          </cell>
          <cell r="F361">
            <v>1.6</v>
          </cell>
          <cell r="G361">
            <v>314.08000000000004</v>
          </cell>
          <cell r="H361">
            <v>7472.5</v>
          </cell>
          <cell r="I361">
            <v>2347000</v>
          </cell>
        </row>
        <row r="362">
          <cell r="A362">
            <v>7</v>
          </cell>
          <cell r="B362" t="str">
            <v>Nguyeãn Vaên Thôm</v>
          </cell>
          <cell r="C362" t="str">
            <v>N.V</v>
          </cell>
          <cell r="D362">
            <v>1.35</v>
          </cell>
          <cell r="E362">
            <v>151</v>
          </cell>
          <cell r="F362">
            <v>1.6</v>
          </cell>
          <cell r="G362">
            <v>326.16000000000008</v>
          </cell>
          <cell r="H362">
            <v>7472.5</v>
          </cell>
          <cell r="I362">
            <v>2437000</v>
          </cell>
        </row>
        <row r="363">
          <cell r="A363">
            <v>8</v>
          </cell>
          <cell r="B363" t="str">
            <v>Nguyeãn Thanh Bình</v>
          </cell>
          <cell r="C363" t="str">
            <v>T.Caân</v>
          </cell>
          <cell r="D363">
            <v>1.1000000000000001</v>
          </cell>
          <cell r="E363">
            <v>157</v>
          </cell>
          <cell r="F363">
            <v>1.4</v>
          </cell>
          <cell r="G363">
            <v>241.78</v>
          </cell>
          <cell r="H363">
            <v>7472.5</v>
          </cell>
          <cell r="I363">
            <v>1807000</v>
          </cell>
        </row>
        <row r="364">
          <cell r="A364">
            <v>9</v>
          </cell>
          <cell r="B364" t="str">
            <v>Voõ Daân Quyeàn</v>
          </cell>
          <cell r="C364" t="str">
            <v>T.Caân</v>
          </cell>
          <cell r="D364">
            <v>1.1000000000000001</v>
          </cell>
          <cell r="E364">
            <v>157</v>
          </cell>
          <cell r="F364">
            <v>1.4</v>
          </cell>
          <cell r="G364">
            <v>241.78</v>
          </cell>
          <cell r="H364">
            <v>7472.5</v>
          </cell>
          <cell r="I364">
            <v>1807000</v>
          </cell>
        </row>
        <row r="365">
          <cell r="A365">
            <v>10</v>
          </cell>
          <cell r="B365" t="str">
            <v>Huyønh Thanh Cöôøng</v>
          </cell>
          <cell r="C365" t="str">
            <v>"</v>
          </cell>
          <cell r="D365">
            <v>1.1000000000000001</v>
          </cell>
          <cell r="E365">
            <v>157</v>
          </cell>
          <cell r="F365">
            <v>1.4</v>
          </cell>
          <cell r="G365">
            <v>241.78</v>
          </cell>
          <cell r="H365">
            <v>7472.5</v>
          </cell>
          <cell r="I365">
            <v>1807000</v>
          </cell>
        </row>
        <row r="366">
          <cell r="A366">
            <v>11</v>
          </cell>
          <cell r="B366" t="str">
            <v>Nguyeãn Sôn Haø</v>
          </cell>
          <cell r="C366" t="str">
            <v>T.BH</v>
          </cell>
          <cell r="D366">
            <v>1.35</v>
          </cell>
          <cell r="E366">
            <v>153</v>
          </cell>
          <cell r="F366">
            <v>1.4</v>
          </cell>
          <cell r="G366">
            <v>289.17</v>
          </cell>
          <cell r="H366">
            <v>7472.5</v>
          </cell>
          <cell r="I366">
            <v>2161000</v>
          </cell>
        </row>
        <row r="367">
          <cell r="A367">
            <v>12</v>
          </cell>
          <cell r="B367" t="str">
            <v>Tröông Ngoïc Maãn</v>
          </cell>
          <cell r="C367" t="str">
            <v>T.BH</v>
          </cell>
          <cell r="D367">
            <v>1.35</v>
          </cell>
          <cell r="E367">
            <v>153</v>
          </cell>
          <cell r="F367">
            <v>1.6</v>
          </cell>
          <cell r="G367">
            <v>330.48</v>
          </cell>
          <cell r="H367">
            <v>7472.5</v>
          </cell>
          <cell r="I367">
            <v>2470000</v>
          </cell>
        </row>
        <row r="368">
          <cell r="A368">
            <v>13</v>
          </cell>
          <cell r="B368" t="str">
            <v>Huyønh Thanh Lieâm</v>
          </cell>
          <cell r="C368" t="str">
            <v>TKVT</v>
          </cell>
          <cell r="D368">
            <v>1.25</v>
          </cell>
          <cell r="E368">
            <v>151</v>
          </cell>
          <cell r="F368">
            <v>1.4</v>
          </cell>
          <cell r="G368">
            <v>264.25</v>
          </cell>
          <cell r="H368">
            <v>7472.5</v>
          </cell>
          <cell r="I368">
            <v>1975000</v>
          </cell>
        </row>
        <row r="369">
          <cell r="A369">
            <v>14</v>
          </cell>
          <cell r="B369" t="str">
            <v>Phuøng Höõu Ñaït</v>
          </cell>
          <cell r="C369" t="str">
            <v>TKXM</v>
          </cell>
          <cell r="D369">
            <v>1.45</v>
          </cell>
          <cell r="E369">
            <v>151</v>
          </cell>
          <cell r="F369">
            <v>1.6</v>
          </cell>
          <cell r="G369">
            <v>350.32</v>
          </cell>
          <cell r="H369">
            <v>7472.5</v>
          </cell>
          <cell r="I369">
            <v>2618000</v>
          </cell>
        </row>
        <row r="370">
          <cell r="A370">
            <v>15</v>
          </cell>
          <cell r="B370" t="str">
            <v>Laâm Hoàng Haûi</v>
          </cell>
          <cell r="C370" t="str">
            <v>TKVLN</v>
          </cell>
          <cell r="D370">
            <v>1.35</v>
          </cell>
          <cell r="E370">
            <v>151</v>
          </cell>
          <cell r="F370">
            <v>1.4</v>
          </cell>
          <cell r="G370">
            <v>285.39</v>
          </cell>
          <cell r="H370">
            <v>7472.5</v>
          </cell>
          <cell r="I370">
            <v>2133000</v>
          </cell>
        </row>
        <row r="371">
          <cell r="A371">
            <v>16</v>
          </cell>
          <cell r="B371" t="str">
            <v>Nguyeãn Ngoïc Duy</v>
          </cell>
          <cell r="C371" t="str">
            <v>NV</v>
          </cell>
          <cell r="D371">
            <v>1.2</v>
          </cell>
          <cell r="E371">
            <v>72</v>
          </cell>
          <cell r="F371">
            <v>1.4</v>
          </cell>
          <cell r="G371">
            <v>120.95999999999998</v>
          </cell>
          <cell r="H371">
            <v>7472.5</v>
          </cell>
          <cell r="I371">
            <v>904000</v>
          </cell>
        </row>
        <row r="372">
          <cell r="A372">
            <v>17</v>
          </cell>
          <cell r="B372" t="str">
            <v>Leâ Hoaøng Baù</v>
          </cell>
          <cell r="C372" t="str">
            <v>NV</v>
          </cell>
          <cell r="D372">
            <v>1.1000000000000001</v>
          </cell>
          <cell r="E372">
            <v>12</v>
          </cell>
          <cell r="F372">
            <v>1.4</v>
          </cell>
          <cell r="G372">
            <v>18.48</v>
          </cell>
          <cell r="H372">
            <v>7472.5</v>
          </cell>
          <cell r="I372">
            <v>138000</v>
          </cell>
        </row>
        <row r="373">
          <cell r="A373">
            <v>18</v>
          </cell>
          <cell r="B373" t="str">
            <v>Traàn Huy Thaïch</v>
          </cell>
          <cell r="C373" t="str">
            <v>NV</v>
          </cell>
          <cell r="D373">
            <v>1.1000000000000001</v>
          </cell>
          <cell r="E373">
            <v>9</v>
          </cell>
          <cell r="F373">
            <v>1.4</v>
          </cell>
          <cell r="G373">
            <v>13.86</v>
          </cell>
          <cell r="H373">
            <v>7472.5</v>
          </cell>
          <cell r="I373">
            <v>104000</v>
          </cell>
        </row>
        <row r="374">
          <cell r="A374">
            <v>19</v>
          </cell>
          <cell r="B374" t="str">
            <v>Traàn Phuù Thuyû</v>
          </cell>
          <cell r="C374" t="str">
            <v>NV</v>
          </cell>
          <cell r="D374">
            <v>1.2</v>
          </cell>
          <cell r="E374">
            <v>151</v>
          </cell>
          <cell r="F374">
            <v>1.6</v>
          </cell>
          <cell r="G374">
            <v>289.92</v>
          </cell>
          <cell r="H374">
            <v>7472.5</v>
          </cell>
          <cell r="I374">
            <v>2166000</v>
          </cell>
        </row>
        <row r="375">
          <cell r="A375">
            <v>20</v>
          </cell>
          <cell r="B375" t="str">
            <v>Nguyeãn Vaên Haûi</v>
          </cell>
          <cell r="C375" t="str">
            <v>BQL-DA</v>
          </cell>
          <cell r="D375">
            <v>1.25</v>
          </cell>
          <cell r="E375">
            <v>151</v>
          </cell>
          <cell r="F375">
            <v>1.4</v>
          </cell>
          <cell r="G375">
            <v>264.25</v>
          </cell>
          <cell r="H375">
            <v>7472.5</v>
          </cell>
          <cell r="I375">
            <v>1975000</v>
          </cell>
        </row>
        <row r="376">
          <cell r="A376">
            <v>21</v>
          </cell>
          <cell r="B376" t="str">
            <v>Hoà Thò Caåm Huyønh</v>
          </cell>
          <cell r="C376" t="str">
            <v>BQL-DA</v>
          </cell>
          <cell r="D376">
            <v>1.25</v>
          </cell>
          <cell r="E376">
            <v>151</v>
          </cell>
          <cell r="F376">
            <v>1.4</v>
          </cell>
          <cell r="G376">
            <v>264.25</v>
          </cell>
          <cell r="H376">
            <v>7472.5</v>
          </cell>
          <cell r="I376">
            <v>1975000</v>
          </cell>
        </row>
        <row r="377">
          <cell r="A377">
            <v>22</v>
          </cell>
          <cell r="B377" t="str">
            <v>Nguyeãn Vaên Cöôøng</v>
          </cell>
          <cell r="C377" t="str">
            <v>TT</v>
          </cell>
          <cell r="D377">
            <v>1.4</v>
          </cell>
          <cell r="E377">
            <v>154</v>
          </cell>
          <cell r="F377">
            <v>1.6</v>
          </cell>
          <cell r="G377">
            <v>344.96000000000004</v>
          </cell>
          <cell r="H377">
            <v>7472.5</v>
          </cell>
          <cell r="I377">
            <v>2578000</v>
          </cell>
        </row>
        <row r="378">
          <cell r="A378">
            <v>23</v>
          </cell>
          <cell r="B378" t="str">
            <v>Phan Vaên Hoàng</v>
          </cell>
          <cell r="C378" t="str">
            <v>Toå Phoù</v>
          </cell>
          <cell r="D378">
            <v>1.3</v>
          </cell>
          <cell r="E378">
            <v>154</v>
          </cell>
          <cell r="F378">
            <v>1.6</v>
          </cell>
          <cell r="G378">
            <v>320.32000000000005</v>
          </cell>
          <cell r="H378">
            <v>7472.5</v>
          </cell>
          <cell r="I378">
            <v>2394000</v>
          </cell>
        </row>
        <row r="379">
          <cell r="A379">
            <v>24</v>
          </cell>
          <cell r="B379" t="str">
            <v>Taï Quoác Quyønh</v>
          </cell>
          <cell r="C379" t="str">
            <v>CN</v>
          </cell>
          <cell r="D379">
            <v>1.25</v>
          </cell>
          <cell r="E379">
            <v>154</v>
          </cell>
          <cell r="F379">
            <v>1.4</v>
          </cell>
          <cell r="G379">
            <v>269.5</v>
          </cell>
          <cell r="H379">
            <v>7472.5</v>
          </cell>
          <cell r="I379">
            <v>2014000</v>
          </cell>
        </row>
        <row r="380">
          <cell r="A380">
            <v>25</v>
          </cell>
          <cell r="B380" t="str">
            <v>Phan Vaên Hieàn</v>
          </cell>
          <cell r="C380" t="str">
            <v>"</v>
          </cell>
          <cell r="D380">
            <v>1.25</v>
          </cell>
          <cell r="E380">
            <v>154</v>
          </cell>
          <cell r="F380">
            <v>1.4</v>
          </cell>
          <cell r="G380">
            <v>269.5</v>
          </cell>
          <cell r="H380">
            <v>7472.5</v>
          </cell>
          <cell r="I380">
            <v>2014000</v>
          </cell>
        </row>
        <row r="381">
          <cell r="A381">
            <v>26</v>
          </cell>
          <cell r="B381" t="str">
            <v>Leâ Töï Thieän</v>
          </cell>
          <cell r="C381" t="str">
            <v>"</v>
          </cell>
          <cell r="D381">
            <v>1.25</v>
          </cell>
          <cell r="E381">
            <v>154</v>
          </cell>
          <cell r="F381">
            <v>1.4</v>
          </cell>
          <cell r="G381">
            <v>269.5</v>
          </cell>
          <cell r="H381">
            <v>7472.5</v>
          </cell>
          <cell r="I381">
            <v>2014000</v>
          </cell>
        </row>
        <row r="382">
          <cell r="A382">
            <v>27</v>
          </cell>
          <cell r="B382" t="str">
            <v>Phaïm Gia Bình</v>
          </cell>
          <cell r="C382" t="str">
            <v>"</v>
          </cell>
          <cell r="D382">
            <v>1.25</v>
          </cell>
          <cell r="E382">
            <v>155</v>
          </cell>
          <cell r="F382">
            <v>1.2</v>
          </cell>
          <cell r="G382">
            <v>232.5</v>
          </cell>
          <cell r="H382">
            <v>7472.5</v>
          </cell>
          <cell r="I382">
            <v>1737000</v>
          </cell>
        </row>
        <row r="383">
          <cell r="A383">
            <v>28</v>
          </cell>
          <cell r="B383" t="str">
            <v>Nguyeãn Ngoïc Sôn</v>
          </cell>
          <cell r="C383" t="str">
            <v>"</v>
          </cell>
          <cell r="D383">
            <v>1.25</v>
          </cell>
          <cell r="E383">
            <v>154</v>
          </cell>
          <cell r="F383">
            <v>1.4</v>
          </cell>
          <cell r="G383">
            <v>269.5</v>
          </cell>
          <cell r="H383">
            <v>7472.5</v>
          </cell>
          <cell r="I383">
            <v>2014000</v>
          </cell>
        </row>
        <row r="384">
          <cell r="A384">
            <v>29</v>
          </cell>
          <cell r="B384" t="str">
            <v>Nguyeãn Troïng Taøi</v>
          </cell>
          <cell r="C384" t="str">
            <v>"</v>
          </cell>
          <cell r="D384">
            <v>1.25</v>
          </cell>
          <cell r="E384">
            <v>154</v>
          </cell>
          <cell r="F384">
            <v>1.4</v>
          </cell>
          <cell r="G384">
            <v>269.5</v>
          </cell>
          <cell r="H384">
            <v>7472.5</v>
          </cell>
          <cell r="I384">
            <v>2014000</v>
          </cell>
        </row>
        <row r="385">
          <cell r="A385">
            <v>30</v>
          </cell>
          <cell r="B385" t="str">
            <v>Phan Phöôùc Lôïi</v>
          </cell>
          <cell r="C385" t="str">
            <v>"</v>
          </cell>
          <cell r="D385">
            <v>1.25</v>
          </cell>
          <cell r="E385">
            <v>153</v>
          </cell>
          <cell r="F385">
            <v>1.4</v>
          </cell>
          <cell r="G385">
            <v>267.75</v>
          </cell>
          <cell r="H385">
            <v>7472.5</v>
          </cell>
          <cell r="I385">
            <v>2001000</v>
          </cell>
        </row>
        <row r="386">
          <cell r="A386">
            <v>31</v>
          </cell>
          <cell r="B386" t="str">
            <v>Nguyeãn Hoàng Hoaøng</v>
          </cell>
          <cell r="C386" t="str">
            <v>L.xe taûi</v>
          </cell>
          <cell r="D386">
            <v>1.2</v>
          </cell>
          <cell r="E386">
            <v>153</v>
          </cell>
          <cell r="F386">
            <v>1.6</v>
          </cell>
          <cell r="G386">
            <v>293.76</v>
          </cell>
          <cell r="H386">
            <v>7472.5</v>
          </cell>
          <cell r="I386">
            <v>2195000</v>
          </cell>
        </row>
        <row r="387">
          <cell r="A387">
            <v>32</v>
          </cell>
          <cell r="B387" t="str">
            <v>Traàn Ngoïc Phöông</v>
          </cell>
          <cell r="C387" t="str">
            <v>"</v>
          </cell>
          <cell r="D387">
            <v>1.2</v>
          </cell>
          <cell r="E387">
            <v>151</v>
          </cell>
          <cell r="F387">
            <v>1.4</v>
          </cell>
          <cell r="G387">
            <v>253.67999999999998</v>
          </cell>
          <cell r="H387">
            <v>7472.5</v>
          </cell>
          <cell r="I387">
            <v>1896000</v>
          </cell>
        </row>
        <row r="388">
          <cell r="A388">
            <v>33</v>
          </cell>
          <cell r="B388" t="str">
            <v>Ñoã Vaên Loäc</v>
          </cell>
          <cell r="C388" t="str">
            <v>"</v>
          </cell>
          <cell r="D388">
            <v>1.2</v>
          </cell>
          <cell r="E388">
            <v>151</v>
          </cell>
          <cell r="F388">
            <v>1.4</v>
          </cell>
          <cell r="G388">
            <v>253.67999999999998</v>
          </cell>
          <cell r="H388">
            <v>7472.5</v>
          </cell>
          <cell r="I388">
            <v>1896000</v>
          </cell>
        </row>
        <row r="389">
          <cell r="A389">
            <v>34</v>
          </cell>
          <cell r="B389" t="str">
            <v>Ñaëng Quoác Trung</v>
          </cell>
          <cell r="C389" t="str">
            <v>"</v>
          </cell>
          <cell r="D389">
            <v>1.2</v>
          </cell>
          <cell r="E389">
            <v>151</v>
          </cell>
          <cell r="F389">
            <v>1.4</v>
          </cell>
          <cell r="G389">
            <v>253.67999999999998</v>
          </cell>
          <cell r="H389">
            <v>7472.5</v>
          </cell>
          <cell r="I389">
            <v>1896000</v>
          </cell>
        </row>
        <row r="390">
          <cell r="A390">
            <v>35</v>
          </cell>
          <cell r="B390" t="str">
            <v>Nguyeãn Thaønh Haûo</v>
          </cell>
          <cell r="C390" t="str">
            <v>"</v>
          </cell>
          <cell r="D390">
            <v>1.2</v>
          </cell>
          <cell r="E390">
            <v>150</v>
          </cell>
          <cell r="F390">
            <v>1.4</v>
          </cell>
          <cell r="G390">
            <v>251.99999999999997</v>
          </cell>
          <cell r="H390">
            <v>7472.5</v>
          </cell>
          <cell r="I390">
            <v>1883000</v>
          </cell>
        </row>
        <row r="391">
          <cell r="A391">
            <v>36</v>
          </cell>
          <cell r="B391" t="str">
            <v>Phaïm Quoác Huy</v>
          </cell>
          <cell r="C391" t="str">
            <v>"</v>
          </cell>
          <cell r="D391">
            <v>1.2</v>
          </cell>
          <cell r="E391">
            <v>117</v>
          </cell>
          <cell r="F391">
            <v>1.4</v>
          </cell>
          <cell r="G391">
            <v>196.56</v>
          </cell>
          <cell r="H391">
            <v>7472.5</v>
          </cell>
          <cell r="I391">
            <v>1469000</v>
          </cell>
        </row>
        <row r="392">
          <cell r="A392">
            <v>37</v>
          </cell>
          <cell r="B392" t="str">
            <v>Tröông Hoaøi Phong</v>
          </cell>
          <cell r="C392" t="str">
            <v>"</v>
          </cell>
          <cell r="D392">
            <v>1.2</v>
          </cell>
          <cell r="E392">
            <v>151</v>
          </cell>
          <cell r="F392">
            <v>1.4</v>
          </cell>
          <cell r="G392">
            <v>253.67999999999998</v>
          </cell>
          <cell r="H392">
            <v>7472.5</v>
          </cell>
          <cell r="I392">
            <v>1896000</v>
          </cell>
        </row>
        <row r="393">
          <cell r="A393">
            <v>38</v>
          </cell>
          <cell r="B393" t="str">
            <v>Nguyeãn vaên Yeân</v>
          </cell>
          <cell r="C393" t="str">
            <v>"</v>
          </cell>
          <cell r="D393">
            <v>1.2</v>
          </cell>
          <cell r="E393">
            <v>151</v>
          </cell>
          <cell r="F393">
            <v>1.4</v>
          </cell>
          <cell r="G393">
            <v>253.67999999999998</v>
          </cell>
          <cell r="H393">
            <v>7472.5</v>
          </cell>
          <cell r="I393">
            <v>1896000</v>
          </cell>
        </row>
        <row r="394">
          <cell r="A394">
            <v>39</v>
          </cell>
          <cell r="B394" t="str">
            <v>Ñaëng Quoác Duõng</v>
          </cell>
          <cell r="C394" t="str">
            <v>"</v>
          </cell>
          <cell r="D394">
            <v>1.2</v>
          </cell>
          <cell r="E394">
            <v>148</v>
          </cell>
          <cell r="F394">
            <v>1.4</v>
          </cell>
          <cell r="G394">
            <v>248.64</v>
          </cell>
          <cell r="H394">
            <v>7472.5</v>
          </cell>
          <cell r="I394">
            <v>1858000</v>
          </cell>
        </row>
        <row r="395">
          <cell r="A395">
            <v>40</v>
          </cell>
          <cell r="B395" t="str">
            <v>Nguyeãn Thanh Tuaán</v>
          </cell>
          <cell r="C395" t="str">
            <v>Laùi caåu</v>
          </cell>
          <cell r="D395">
            <v>1.3</v>
          </cell>
          <cell r="E395">
            <v>150</v>
          </cell>
          <cell r="F395">
            <v>1.4</v>
          </cell>
          <cell r="G395">
            <v>273</v>
          </cell>
          <cell r="H395">
            <v>7472.5</v>
          </cell>
          <cell r="I395">
            <v>2040000</v>
          </cell>
        </row>
        <row r="396">
          <cell r="A396">
            <v>41</v>
          </cell>
          <cell r="B396" t="str">
            <v>Traàn Vaên Sôn</v>
          </cell>
          <cell r="C396" t="str">
            <v>"</v>
          </cell>
          <cell r="D396">
            <v>1.3</v>
          </cell>
          <cell r="E396">
            <v>149</v>
          </cell>
          <cell r="F396">
            <v>1.2</v>
          </cell>
          <cell r="G396">
            <v>232.44</v>
          </cell>
          <cell r="H396">
            <v>7472.5</v>
          </cell>
          <cell r="I396">
            <v>1737000</v>
          </cell>
        </row>
        <row r="397">
          <cell r="A397">
            <v>42</v>
          </cell>
          <cell r="B397" t="str">
            <v>Ñaøo Vaên Minh</v>
          </cell>
          <cell r="C397" t="str">
            <v>Laùi cuoác</v>
          </cell>
          <cell r="D397">
            <v>1.3</v>
          </cell>
          <cell r="E397">
            <v>152</v>
          </cell>
          <cell r="F397">
            <v>1.6</v>
          </cell>
          <cell r="G397">
            <v>316.16000000000003</v>
          </cell>
          <cell r="H397">
            <v>7472.5</v>
          </cell>
          <cell r="I397">
            <v>2363000</v>
          </cell>
        </row>
        <row r="398">
          <cell r="A398">
            <v>43</v>
          </cell>
          <cell r="B398" t="str">
            <v>Phaïm Ñöùc Thieäp</v>
          </cell>
          <cell r="C398" t="str">
            <v>Xe xuùc</v>
          </cell>
          <cell r="D398">
            <v>1.2</v>
          </cell>
          <cell r="E398">
            <v>151</v>
          </cell>
          <cell r="F398">
            <v>1.4</v>
          </cell>
          <cell r="G398">
            <v>253.67999999999998</v>
          </cell>
          <cell r="H398">
            <v>7472.5</v>
          </cell>
          <cell r="I398">
            <v>1896000</v>
          </cell>
        </row>
        <row r="399">
          <cell r="A399">
            <v>44</v>
          </cell>
          <cell r="B399" t="str">
            <v>Nguyeãn Xuaân Thaønh</v>
          </cell>
          <cell r="C399" t="str">
            <v>"</v>
          </cell>
          <cell r="D399">
            <v>1.2</v>
          </cell>
          <cell r="E399">
            <v>151</v>
          </cell>
          <cell r="F399">
            <v>1.4</v>
          </cell>
          <cell r="G399">
            <v>253.67999999999998</v>
          </cell>
          <cell r="H399">
            <v>7472.5</v>
          </cell>
          <cell r="I399">
            <v>1896000</v>
          </cell>
        </row>
        <row r="400">
          <cell r="A400">
            <v>45</v>
          </cell>
          <cell r="B400" t="str">
            <v>Nguyeãn Ñöùc Thaéng</v>
          </cell>
          <cell r="C400" t="str">
            <v>X.xuùc 300</v>
          </cell>
          <cell r="D400">
            <v>1.2</v>
          </cell>
          <cell r="E400">
            <v>150</v>
          </cell>
          <cell r="F400">
            <v>1.6</v>
          </cell>
          <cell r="G400">
            <v>288</v>
          </cell>
          <cell r="H400">
            <v>7472.5</v>
          </cell>
          <cell r="I400">
            <v>2152000</v>
          </cell>
        </row>
        <row r="401">
          <cell r="A401">
            <v>46</v>
          </cell>
          <cell r="B401" t="str">
            <v>Nguyeãn Thaønh Thoaïi</v>
          </cell>
          <cell r="C401" t="str">
            <v>Daewoo</v>
          </cell>
          <cell r="D401">
            <v>1.2</v>
          </cell>
          <cell r="E401">
            <v>138</v>
          </cell>
          <cell r="F401">
            <v>1.4</v>
          </cell>
          <cell r="G401">
            <v>231.83999999999997</v>
          </cell>
          <cell r="H401">
            <v>7472.5</v>
          </cell>
          <cell r="I401">
            <v>1732000</v>
          </cell>
        </row>
        <row r="402">
          <cell r="A402">
            <v>47</v>
          </cell>
          <cell r="B402" t="str">
            <v>Ngoâ Vaên Taân</v>
          </cell>
          <cell r="C402" t="str">
            <v>Xe cuoác</v>
          </cell>
          <cell r="D402">
            <v>1.2</v>
          </cell>
          <cell r="E402">
            <v>153</v>
          </cell>
          <cell r="F402">
            <v>1.6</v>
          </cell>
          <cell r="G402">
            <v>293.76</v>
          </cell>
          <cell r="H402">
            <v>7472.5</v>
          </cell>
          <cell r="I402">
            <v>2195000</v>
          </cell>
        </row>
        <row r="403">
          <cell r="A403">
            <v>48</v>
          </cell>
          <cell r="B403" t="str">
            <v>Buøi Quang Baèng</v>
          </cell>
          <cell r="C403" t="str">
            <v>Xe naâng</v>
          </cell>
          <cell r="D403">
            <v>1.2</v>
          </cell>
          <cell r="E403">
            <v>149</v>
          </cell>
          <cell r="F403">
            <v>1.4</v>
          </cell>
          <cell r="G403">
            <v>250.31999999999996</v>
          </cell>
          <cell r="H403">
            <v>7472.5</v>
          </cell>
          <cell r="I403">
            <v>1871000</v>
          </cell>
        </row>
        <row r="404">
          <cell r="A404">
            <v>49</v>
          </cell>
          <cell r="B404" t="str">
            <v>Ngoâ Vaên Thaân</v>
          </cell>
          <cell r="C404" t="str">
            <v>Xe naâng</v>
          </cell>
          <cell r="D404">
            <v>1.2</v>
          </cell>
          <cell r="E404">
            <v>134</v>
          </cell>
          <cell r="F404">
            <v>1.2</v>
          </cell>
          <cell r="G404">
            <v>192.95999999999998</v>
          </cell>
          <cell r="H404">
            <v>7472.5</v>
          </cell>
          <cell r="I404">
            <v>1442000</v>
          </cell>
        </row>
        <row r="405">
          <cell r="A405">
            <v>50</v>
          </cell>
          <cell r="B405" t="str">
            <v>Buøi Quang Laäp</v>
          </cell>
          <cell r="C405" t="str">
            <v>Xe naâng</v>
          </cell>
          <cell r="D405">
            <v>1.2</v>
          </cell>
          <cell r="E405">
            <v>150</v>
          </cell>
          <cell r="F405">
            <v>1.2</v>
          </cell>
          <cell r="G405">
            <v>216</v>
          </cell>
          <cell r="H405">
            <v>7472.5</v>
          </cell>
          <cell r="I405">
            <v>1614000</v>
          </cell>
        </row>
        <row r="406">
          <cell r="A406">
            <v>51</v>
          </cell>
          <cell r="B406" t="str">
            <v>Phan Thanh Trung</v>
          </cell>
          <cell r="C406" t="str">
            <v>Xe naâng</v>
          </cell>
          <cell r="D406">
            <v>1.2</v>
          </cell>
          <cell r="E406">
            <v>149</v>
          </cell>
          <cell r="F406">
            <v>1.4</v>
          </cell>
          <cell r="G406">
            <v>250.31999999999996</v>
          </cell>
          <cell r="H406">
            <v>7472.5</v>
          </cell>
          <cell r="I406">
            <v>1871000</v>
          </cell>
        </row>
        <row r="407">
          <cell r="A407">
            <v>52</v>
          </cell>
          <cell r="B407" t="str">
            <v>Laâm Hoàng Thu</v>
          </cell>
          <cell r="C407" t="str">
            <v>Xe naâng</v>
          </cell>
          <cell r="D407">
            <v>1.2</v>
          </cell>
          <cell r="E407">
            <v>18</v>
          </cell>
          <cell r="F407">
            <v>1.4</v>
          </cell>
          <cell r="G407">
            <v>30.239999999999995</v>
          </cell>
          <cell r="H407">
            <v>7472.5</v>
          </cell>
          <cell r="I407">
            <v>226000</v>
          </cell>
        </row>
        <row r="408">
          <cell r="B408" t="str">
            <v>Coäng:</v>
          </cell>
          <cell r="D408">
            <v>65.866700000000051</v>
          </cell>
          <cell r="G408">
            <v>13520.77038</v>
          </cell>
          <cell r="I408">
            <v>101042000</v>
          </cell>
        </row>
        <row r="409">
          <cell r="C409" t="str">
            <v>Baèng chöõ:          (Moät traêm leû moät trieäu, khoâng traêm boán möôi hai ngaøn ñoàng).</v>
          </cell>
        </row>
        <row r="411">
          <cell r="B411" t="str">
            <v>Duyeät Ban Giaùm ñoác</v>
          </cell>
          <cell r="G411" t="str">
            <v>Keá toaùn tröôûng</v>
          </cell>
        </row>
        <row r="422">
          <cell r="A422" t="str">
            <v>CTY XIMAÊNG HAØ TIEÂN KIEÂN GIANG</v>
          </cell>
        </row>
        <row r="423">
          <cell r="A423" t="str">
            <v>Boä phaän: Ban Laõnh ñaïo Cty.</v>
          </cell>
          <cell r="E423" t="str">
            <v>BAÛNG THANH TOÙAN TIEÀN THÖÔÛNG 6 THAÙNG ÑAÀU NAÊM 2001</v>
          </cell>
        </row>
        <row r="427">
          <cell r="A427" t="str">
            <v>Stt</v>
          </cell>
          <cell r="B427" t="str">
            <v>Hoï vaø Teân</v>
          </cell>
          <cell r="C427" t="str">
            <v>Chöùc vuï</v>
          </cell>
          <cell r="D427" t="str">
            <v>HSCV</v>
          </cell>
          <cell r="E427" t="str">
            <v>Ngaøy coâng</v>
          </cell>
          <cell r="F427" t="str">
            <v>Heä soá X.Loaïi</v>
          </cell>
          <cell r="G427" t="str">
            <v>HSQÑ</v>
          </cell>
          <cell r="H427" t="str">
            <v>Ñôn giaù</v>
          </cell>
          <cell r="I427" t="str">
            <v>Thöïc laõnh (ñ)</v>
          </cell>
        </row>
        <row r="429">
          <cell r="A429">
            <v>1</v>
          </cell>
          <cell r="B429" t="str">
            <v>Phaïm Vuõ Hoàng</v>
          </cell>
          <cell r="C429" t="str">
            <v>Giaùm ñoác</v>
          </cell>
          <cell r="D429">
            <v>3.6</v>
          </cell>
          <cell r="E429">
            <v>152</v>
          </cell>
          <cell r="F429">
            <v>1.6</v>
          </cell>
          <cell r="G429">
            <v>875.5200000000001</v>
          </cell>
          <cell r="H429">
            <v>7472.5</v>
          </cell>
          <cell r="I429">
            <v>6542000</v>
          </cell>
        </row>
        <row r="430">
          <cell r="A430">
            <v>2</v>
          </cell>
          <cell r="B430" t="str">
            <v>Nguyeãn Vaên Huøng</v>
          </cell>
          <cell r="C430" t="str">
            <v>P.GÑ</v>
          </cell>
          <cell r="D430">
            <v>3</v>
          </cell>
          <cell r="E430">
            <v>152</v>
          </cell>
          <cell r="F430">
            <v>1.6</v>
          </cell>
          <cell r="G430">
            <v>729.6</v>
          </cell>
          <cell r="H430">
            <v>7472.5</v>
          </cell>
          <cell r="I430">
            <v>5452000</v>
          </cell>
        </row>
        <row r="431">
          <cell r="A431">
            <v>3</v>
          </cell>
          <cell r="B431" t="str">
            <v>Nguyeãn Vaên Tuoát</v>
          </cell>
          <cell r="C431" t="str">
            <v>KTT</v>
          </cell>
          <cell r="D431">
            <v>3</v>
          </cell>
          <cell r="E431">
            <v>151</v>
          </cell>
          <cell r="F431">
            <v>1.6</v>
          </cell>
          <cell r="G431">
            <v>724.80000000000007</v>
          </cell>
          <cell r="H431">
            <v>7472.5</v>
          </cell>
          <cell r="I431">
            <v>5416000</v>
          </cell>
        </row>
        <row r="432">
          <cell r="B432" t="str">
            <v>Coäng:</v>
          </cell>
          <cell r="D432">
            <v>9.6</v>
          </cell>
          <cell r="G432">
            <v>2329.92</v>
          </cell>
          <cell r="I432">
            <v>17410000</v>
          </cell>
        </row>
      </sheetData>
      <sheetData sheetId="15" refreshError="1">
        <row r="6">
          <cell r="M6" t="str">
            <v>Xuaát saéc</v>
          </cell>
        </row>
        <row r="7">
          <cell r="M7" t="str">
            <v>Xuaát saéc</v>
          </cell>
        </row>
        <row r="8">
          <cell r="M8" t="str">
            <v>A</v>
          </cell>
        </row>
        <row r="9">
          <cell r="M9" t="str">
            <v>A</v>
          </cell>
        </row>
        <row r="10">
          <cell r="M10" t="str">
            <v>A</v>
          </cell>
        </row>
        <row r="11">
          <cell r="M11" t="str">
            <v>Xuaát saéc</v>
          </cell>
        </row>
        <row r="12">
          <cell r="M12" t="str">
            <v>Xuaát saéc</v>
          </cell>
        </row>
        <row r="13">
          <cell r="M13" t="str">
            <v>A</v>
          </cell>
        </row>
        <row r="14">
          <cell r="M14" t="str">
            <v>C</v>
          </cell>
        </row>
        <row r="15">
          <cell r="M15" t="str">
            <v>A</v>
          </cell>
        </row>
        <row r="16">
          <cell r="M16" t="str">
            <v>B</v>
          </cell>
        </row>
        <row r="17">
          <cell r="M17" t="str">
            <v>A</v>
          </cell>
        </row>
        <row r="18">
          <cell r="M18" t="str">
            <v>A</v>
          </cell>
        </row>
        <row r="19">
          <cell r="M19" t="str">
            <v>B</v>
          </cell>
        </row>
        <row r="20">
          <cell r="M20" t="str">
            <v>A</v>
          </cell>
        </row>
        <row r="21">
          <cell r="M21" t="str">
            <v>Xuaát saéc</v>
          </cell>
        </row>
        <row r="22">
          <cell r="M22" t="str">
            <v>A</v>
          </cell>
        </row>
        <row r="23">
          <cell r="M23" t="str">
            <v>A</v>
          </cell>
        </row>
        <row r="24">
          <cell r="M24" t="str">
            <v>A</v>
          </cell>
        </row>
        <row r="25">
          <cell r="M25" t="str">
            <v>Xuaát saéc</v>
          </cell>
        </row>
        <row r="26">
          <cell r="M26" t="str">
            <v>A</v>
          </cell>
        </row>
        <row r="27">
          <cell r="M27" t="str">
            <v>B</v>
          </cell>
        </row>
        <row r="28">
          <cell r="M28" t="str">
            <v>A</v>
          </cell>
        </row>
        <row r="29">
          <cell r="M29" t="str">
            <v>A</v>
          </cell>
        </row>
        <row r="30">
          <cell r="M30" t="str">
            <v>A</v>
          </cell>
        </row>
        <row r="31">
          <cell r="M31" t="str">
            <v>A</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7">
          <cell r="B7" t="str">
            <v>Phaïm Vuõ Hoàng</v>
          </cell>
          <cell r="C7" t="str">
            <v>G.Ñoác</v>
          </cell>
          <cell r="D7">
            <v>3.6</v>
          </cell>
          <cell r="E7">
            <v>3.6</v>
          </cell>
          <cell r="F7">
            <v>3.6</v>
          </cell>
          <cell r="G7">
            <v>152</v>
          </cell>
          <cell r="H7">
            <v>157</v>
          </cell>
          <cell r="I7">
            <v>309</v>
          </cell>
          <cell r="J7">
            <v>1.6</v>
          </cell>
          <cell r="K7">
            <v>1.6</v>
          </cell>
          <cell r="L7">
            <v>1.6</v>
          </cell>
        </row>
        <row r="8">
          <cell r="B8" t="str">
            <v>Nguyeãn Vaên Huøng</v>
          </cell>
          <cell r="C8" t="str">
            <v>P.GÑ</v>
          </cell>
          <cell r="D8">
            <v>3</v>
          </cell>
          <cell r="E8">
            <v>3</v>
          </cell>
          <cell r="F8">
            <v>3</v>
          </cell>
          <cell r="G8">
            <v>152</v>
          </cell>
          <cell r="H8">
            <v>157</v>
          </cell>
          <cell r="I8">
            <v>309</v>
          </cell>
          <cell r="J8">
            <v>1.6</v>
          </cell>
          <cell r="K8">
            <v>1.6</v>
          </cell>
          <cell r="L8">
            <v>1.6</v>
          </cell>
        </row>
        <row r="9">
          <cell r="B9" t="str">
            <v>Quaùch Ngoïc Minh</v>
          </cell>
          <cell r="C9" t="str">
            <v>KTT</v>
          </cell>
          <cell r="E9">
            <v>3</v>
          </cell>
          <cell r="F9">
            <v>3</v>
          </cell>
          <cell r="H9">
            <v>107</v>
          </cell>
          <cell r="I9">
            <v>107</v>
          </cell>
          <cell r="K9">
            <v>1.6</v>
          </cell>
          <cell r="L9">
            <v>1.6</v>
          </cell>
        </row>
        <row r="10">
          <cell r="B10" t="str">
            <v>Nguyeãn Vaên Tuoát</v>
          </cell>
          <cell r="C10" t="str">
            <v>KTT cuõ</v>
          </cell>
          <cell r="D10">
            <v>3</v>
          </cell>
          <cell r="E10">
            <v>3</v>
          </cell>
          <cell r="F10">
            <v>3</v>
          </cell>
          <cell r="G10">
            <v>151</v>
          </cell>
          <cell r="H10">
            <v>53</v>
          </cell>
          <cell r="I10">
            <v>204</v>
          </cell>
          <cell r="J10">
            <v>1.6</v>
          </cell>
          <cell r="K10">
            <v>1.6</v>
          </cell>
          <cell r="L10">
            <v>1.6</v>
          </cell>
        </row>
        <row r="11">
          <cell r="B11" t="str">
            <v>Ñaøo Troïng Ñaït</v>
          </cell>
          <cell r="C11" t="str">
            <v>PP.KT-TV</v>
          </cell>
          <cell r="D11">
            <v>1.75</v>
          </cell>
          <cell r="E11">
            <v>1.75</v>
          </cell>
          <cell r="F11">
            <v>1.75</v>
          </cell>
          <cell r="G11">
            <v>152</v>
          </cell>
          <cell r="H11">
            <v>157</v>
          </cell>
          <cell r="I11">
            <v>309</v>
          </cell>
          <cell r="J11">
            <v>1.6</v>
          </cell>
          <cell r="K11">
            <v>1.6</v>
          </cell>
          <cell r="L11">
            <v>1.6</v>
          </cell>
        </row>
        <row r="12">
          <cell r="B12" t="str">
            <v>Nguyeãn Vaên Hieån</v>
          </cell>
          <cell r="C12" t="str">
            <v>N.V</v>
          </cell>
          <cell r="D12">
            <v>1.3</v>
          </cell>
          <cell r="E12">
            <v>1.3</v>
          </cell>
          <cell r="F12">
            <v>1.3</v>
          </cell>
          <cell r="G12">
            <v>151</v>
          </cell>
          <cell r="H12">
            <v>154</v>
          </cell>
          <cell r="I12">
            <v>305</v>
          </cell>
          <cell r="J12">
            <v>1.4</v>
          </cell>
          <cell r="K12">
            <v>1.4</v>
          </cell>
          <cell r="L12">
            <v>1.4</v>
          </cell>
        </row>
        <row r="13">
          <cell r="B13" t="str">
            <v>Trònh Hoaøng Laâm</v>
          </cell>
          <cell r="C13" t="str">
            <v>N.V</v>
          </cell>
          <cell r="D13">
            <v>1.25</v>
          </cell>
          <cell r="E13">
            <v>1.25</v>
          </cell>
          <cell r="F13">
            <v>1.25</v>
          </cell>
          <cell r="G13">
            <v>151</v>
          </cell>
          <cell r="H13">
            <v>157</v>
          </cell>
          <cell r="I13">
            <v>308</v>
          </cell>
          <cell r="J13">
            <v>1.4</v>
          </cell>
          <cell r="K13">
            <v>1.2</v>
          </cell>
          <cell r="L13">
            <v>1.2999999999999998</v>
          </cell>
        </row>
        <row r="14">
          <cell r="B14" t="str">
            <v>Döông Vaên Thaûo</v>
          </cell>
          <cell r="C14" t="str">
            <v>N.V</v>
          </cell>
          <cell r="D14">
            <v>1.25</v>
          </cell>
          <cell r="E14">
            <v>1.25</v>
          </cell>
          <cell r="F14">
            <v>1.25</v>
          </cell>
          <cell r="G14">
            <v>151</v>
          </cell>
          <cell r="H14">
            <v>157</v>
          </cell>
          <cell r="I14">
            <v>308</v>
          </cell>
          <cell r="J14">
            <v>1.6</v>
          </cell>
          <cell r="K14">
            <v>1.6</v>
          </cell>
          <cell r="L14">
            <v>1.6</v>
          </cell>
        </row>
        <row r="15">
          <cell r="B15" t="str">
            <v>Nguyeãn Thu Laøi</v>
          </cell>
          <cell r="C15" t="str">
            <v>N.V</v>
          </cell>
          <cell r="D15">
            <v>1.2</v>
          </cell>
          <cell r="E15">
            <v>1.2</v>
          </cell>
          <cell r="F15">
            <v>1.2</v>
          </cell>
          <cell r="G15">
            <v>151</v>
          </cell>
          <cell r="H15">
            <v>157</v>
          </cell>
          <cell r="I15">
            <v>308</v>
          </cell>
          <cell r="J15">
            <v>1.4</v>
          </cell>
          <cell r="K15">
            <v>1.4</v>
          </cell>
          <cell r="L15">
            <v>1.4</v>
          </cell>
        </row>
        <row r="18">
          <cell r="B18" t="str">
            <v xml:space="preserve"> Ghi chuù :</v>
          </cell>
          <cell r="C18" t="str">
            <v>Heä soá xeáp loaïi : (1,6 = xuaát saéc ; 1,4 = Loaïi A ; 1,2 = Loaïi B ; 1,0 = loaïi C)</v>
          </cell>
        </row>
        <row r="19">
          <cell r="B19" t="str">
            <v xml:space="preserve"> * Toång hôïp :</v>
          </cell>
          <cell r="C19" t="str">
            <v>Loaïi XS</v>
          </cell>
          <cell r="D19">
            <v>6</v>
          </cell>
        </row>
        <row r="20">
          <cell r="C20" t="str">
            <v>Loaïi A</v>
          </cell>
          <cell r="D20">
            <v>2</v>
          </cell>
        </row>
        <row r="21">
          <cell r="C21" t="str">
            <v>Loaïi B</v>
          </cell>
          <cell r="D21">
            <v>1</v>
          </cell>
        </row>
        <row r="22">
          <cell r="C22" t="str">
            <v>Loaïi C</v>
          </cell>
          <cell r="D22">
            <v>0</v>
          </cell>
        </row>
        <row r="23">
          <cell r="B23" t="str">
            <v xml:space="preserve">                           Coäng:</v>
          </cell>
          <cell r="D23">
            <v>9</v>
          </cell>
          <cell r="I23" t="str">
            <v>Ngaøy ___ thaùng ____ naêm 2002</v>
          </cell>
        </row>
        <row r="24">
          <cell r="B24" t="str">
            <v>Ngöôøi laäp</v>
          </cell>
          <cell r="J24" t="str">
            <v>P.Keá toaùn</v>
          </cell>
        </row>
        <row r="28">
          <cell r="B28" t="str">
            <v>Traàn Vaên Nuoâi</v>
          </cell>
          <cell r="C28" t="str">
            <v>Tr.P</v>
          </cell>
          <cell r="D28">
            <v>1.8</v>
          </cell>
          <cell r="E28">
            <v>1.8</v>
          </cell>
          <cell r="F28">
            <v>1.8</v>
          </cell>
          <cell r="G28">
            <v>152</v>
          </cell>
          <cell r="H28">
            <v>152</v>
          </cell>
          <cell r="I28">
            <v>304</v>
          </cell>
          <cell r="J28">
            <v>1.6</v>
          </cell>
          <cell r="K28">
            <v>1.6</v>
          </cell>
          <cell r="L28">
            <v>1.6</v>
          </cell>
        </row>
        <row r="29">
          <cell r="B29" t="str">
            <v>Nguyeãn Thanh Nhaõ</v>
          </cell>
          <cell r="C29" t="str">
            <v>PP.</v>
          </cell>
          <cell r="D29">
            <v>1.65</v>
          </cell>
          <cell r="E29">
            <v>1.65</v>
          </cell>
          <cell r="F29">
            <v>1.65</v>
          </cell>
          <cell r="G29">
            <v>135</v>
          </cell>
          <cell r="H29">
            <v>157</v>
          </cell>
          <cell r="I29">
            <v>292</v>
          </cell>
          <cell r="J29">
            <v>1.6</v>
          </cell>
          <cell r="K29">
            <v>1.6</v>
          </cell>
          <cell r="L29">
            <v>1.6</v>
          </cell>
        </row>
        <row r="30">
          <cell r="B30" t="str">
            <v>Löu Thaùi Nhaïc</v>
          </cell>
          <cell r="C30" t="str">
            <v xml:space="preserve">CB </v>
          </cell>
          <cell r="D30">
            <v>1.3</v>
          </cell>
          <cell r="E30">
            <v>1.3</v>
          </cell>
          <cell r="F30">
            <v>1.3</v>
          </cell>
          <cell r="H30">
            <v>44</v>
          </cell>
          <cell r="I30">
            <v>44</v>
          </cell>
          <cell r="J30">
            <v>1.4</v>
          </cell>
          <cell r="K30">
            <v>1</v>
          </cell>
          <cell r="L30">
            <v>1.2</v>
          </cell>
        </row>
        <row r="31">
          <cell r="B31" t="str">
            <v>Voõ Vaên Phuïng</v>
          </cell>
          <cell r="C31" t="str">
            <v>NV</v>
          </cell>
          <cell r="D31">
            <v>1.2</v>
          </cell>
          <cell r="E31">
            <v>1.2</v>
          </cell>
          <cell r="F31">
            <v>1.2</v>
          </cell>
          <cell r="G31">
            <v>151</v>
          </cell>
          <cell r="H31">
            <v>157</v>
          </cell>
          <cell r="I31">
            <v>308</v>
          </cell>
          <cell r="J31">
            <v>1.4</v>
          </cell>
          <cell r="K31">
            <v>1.6</v>
          </cell>
          <cell r="L31">
            <v>1.5</v>
          </cell>
        </row>
        <row r="32">
          <cell r="B32" t="str">
            <v>Ñoã Thuyû Tieân</v>
          </cell>
          <cell r="C32" t="str">
            <v>"</v>
          </cell>
          <cell r="D32">
            <v>1.1000000000000001</v>
          </cell>
          <cell r="E32">
            <v>1.1000000000000001</v>
          </cell>
          <cell r="F32">
            <v>1.1000000000000001</v>
          </cell>
          <cell r="G32">
            <v>150</v>
          </cell>
          <cell r="H32">
            <v>157</v>
          </cell>
          <cell r="I32">
            <v>307</v>
          </cell>
          <cell r="J32">
            <v>1.6</v>
          </cell>
          <cell r="K32">
            <v>1.4</v>
          </cell>
          <cell r="L32">
            <v>1.5</v>
          </cell>
        </row>
        <row r="33">
          <cell r="B33" t="str">
            <v>Traàn Phuù Quoác</v>
          </cell>
          <cell r="C33" t="str">
            <v>L.xe</v>
          </cell>
          <cell r="D33">
            <v>1.2</v>
          </cell>
          <cell r="E33">
            <v>1.2</v>
          </cell>
          <cell r="F33">
            <v>1.2</v>
          </cell>
          <cell r="G33">
            <v>155</v>
          </cell>
          <cell r="H33">
            <v>157</v>
          </cell>
          <cell r="I33">
            <v>312</v>
          </cell>
          <cell r="J33">
            <v>1.6</v>
          </cell>
          <cell r="K33">
            <v>1.6</v>
          </cell>
          <cell r="L33">
            <v>1.6</v>
          </cell>
        </row>
        <row r="34">
          <cell r="B34" t="str">
            <v>Traàn Vaên Tö</v>
          </cell>
          <cell r="C34" t="str">
            <v>"</v>
          </cell>
          <cell r="D34">
            <v>1.2</v>
          </cell>
          <cell r="E34">
            <v>1.2</v>
          </cell>
          <cell r="F34">
            <v>1.2</v>
          </cell>
          <cell r="G34">
            <v>154</v>
          </cell>
          <cell r="H34">
            <v>157</v>
          </cell>
          <cell r="I34">
            <v>311</v>
          </cell>
          <cell r="J34">
            <v>1.4</v>
          </cell>
          <cell r="K34">
            <v>1.6</v>
          </cell>
          <cell r="L34">
            <v>1.5</v>
          </cell>
        </row>
        <row r="35">
          <cell r="B35" t="str">
            <v>Huyønh Vaên Haø</v>
          </cell>
          <cell r="C35" t="str">
            <v>"</v>
          </cell>
          <cell r="D35">
            <v>1.2</v>
          </cell>
          <cell r="E35">
            <v>1.2</v>
          </cell>
          <cell r="F35">
            <v>1.2</v>
          </cell>
          <cell r="G35">
            <v>49</v>
          </cell>
          <cell r="H35">
            <v>157</v>
          </cell>
          <cell r="I35">
            <v>206</v>
          </cell>
          <cell r="J35">
            <v>1.4</v>
          </cell>
          <cell r="K35">
            <v>1.4</v>
          </cell>
          <cell r="L35">
            <v>1.4</v>
          </cell>
        </row>
        <row r="36">
          <cell r="B36" t="str">
            <v>Nguyeãn Trung Hieàn</v>
          </cell>
          <cell r="C36" t="str">
            <v>"</v>
          </cell>
          <cell r="D36">
            <v>1.1000000000000001</v>
          </cell>
          <cell r="E36">
            <v>1.1000000000000001</v>
          </cell>
          <cell r="F36">
            <v>1.1000000000000001</v>
          </cell>
          <cell r="G36">
            <v>150</v>
          </cell>
          <cell r="H36">
            <v>157</v>
          </cell>
          <cell r="I36">
            <v>307</v>
          </cell>
          <cell r="J36">
            <v>1.2</v>
          </cell>
          <cell r="K36">
            <v>1.2</v>
          </cell>
          <cell r="L36">
            <v>1.2</v>
          </cell>
        </row>
        <row r="37">
          <cell r="B37" t="str">
            <v>Trònh Thanh Thuûy</v>
          </cell>
          <cell r="C37" t="str">
            <v>YT</v>
          </cell>
          <cell r="D37">
            <v>1.1000000000000001</v>
          </cell>
          <cell r="E37">
            <v>1.1000000000000001</v>
          </cell>
          <cell r="F37">
            <v>1.1000000000000001</v>
          </cell>
          <cell r="G37">
            <v>59</v>
          </cell>
          <cell r="H37">
            <v>157</v>
          </cell>
          <cell r="I37">
            <v>216</v>
          </cell>
          <cell r="J37">
            <v>1.4</v>
          </cell>
          <cell r="K37">
            <v>1.4</v>
          </cell>
          <cell r="L37">
            <v>1.4</v>
          </cell>
        </row>
        <row r="38">
          <cell r="B38" t="str">
            <v>Ñaëng Coâng Chaâu</v>
          </cell>
          <cell r="C38" t="str">
            <v>BV</v>
          </cell>
          <cell r="D38">
            <v>0.95</v>
          </cell>
          <cell r="E38">
            <v>0.95</v>
          </cell>
          <cell r="F38">
            <v>0.95</v>
          </cell>
          <cell r="G38">
            <v>144</v>
          </cell>
          <cell r="H38">
            <v>157</v>
          </cell>
          <cell r="I38">
            <v>301</v>
          </cell>
          <cell r="J38">
            <v>1.4</v>
          </cell>
          <cell r="K38">
            <v>1.4</v>
          </cell>
          <cell r="L38">
            <v>1.4</v>
          </cell>
        </row>
        <row r="39">
          <cell r="B39" t="str">
            <v>Phuøng Thanh Phong</v>
          </cell>
          <cell r="C39" t="str">
            <v>"</v>
          </cell>
          <cell r="D39">
            <v>0.95</v>
          </cell>
          <cell r="E39">
            <v>0.95</v>
          </cell>
          <cell r="F39">
            <v>0.95</v>
          </cell>
          <cell r="G39">
            <v>157</v>
          </cell>
          <cell r="H39">
            <v>131</v>
          </cell>
          <cell r="I39">
            <v>288</v>
          </cell>
          <cell r="J39">
            <v>1.2</v>
          </cell>
          <cell r="K39">
            <v>1.2</v>
          </cell>
          <cell r="L39">
            <v>1.2</v>
          </cell>
        </row>
        <row r="40">
          <cell r="B40" t="str">
            <v>Ngoâ Vaên Naøm</v>
          </cell>
          <cell r="C40" t="str">
            <v>"</v>
          </cell>
          <cell r="D40">
            <v>0.95</v>
          </cell>
          <cell r="E40">
            <v>0.95</v>
          </cell>
          <cell r="F40">
            <v>0.95</v>
          </cell>
          <cell r="G40">
            <v>157</v>
          </cell>
          <cell r="H40">
            <v>151</v>
          </cell>
          <cell r="I40">
            <v>308</v>
          </cell>
          <cell r="J40">
            <v>1.4</v>
          </cell>
          <cell r="K40">
            <v>1.4</v>
          </cell>
          <cell r="L40">
            <v>1.4</v>
          </cell>
        </row>
        <row r="41">
          <cell r="B41" t="str">
            <v>Traàn Vaên Thaønh</v>
          </cell>
          <cell r="C41" t="str">
            <v>"</v>
          </cell>
          <cell r="D41">
            <v>0.95</v>
          </cell>
          <cell r="E41">
            <v>0.95</v>
          </cell>
          <cell r="F41">
            <v>0.95</v>
          </cell>
          <cell r="G41">
            <v>148</v>
          </cell>
          <cell r="H41">
            <v>157</v>
          </cell>
          <cell r="I41">
            <v>305</v>
          </cell>
          <cell r="J41">
            <v>1.6</v>
          </cell>
          <cell r="K41">
            <v>1.6</v>
          </cell>
          <cell r="L41">
            <v>1.6</v>
          </cell>
        </row>
        <row r="42">
          <cell r="B42" t="str">
            <v>Nguyeãn Hoaøng Ñaëng</v>
          </cell>
          <cell r="C42" t="str">
            <v>"</v>
          </cell>
          <cell r="D42">
            <v>1.05</v>
          </cell>
          <cell r="E42">
            <v>1.05</v>
          </cell>
          <cell r="F42">
            <v>1.05</v>
          </cell>
          <cell r="G42">
            <v>157</v>
          </cell>
          <cell r="H42">
            <v>157</v>
          </cell>
          <cell r="I42">
            <v>314</v>
          </cell>
          <cell r="J42">
            <v>1.4</v>
          </cell>
          <cell r="K42">
            <v>1.4</v>
          </cell>
          <cell r="L42">
            <v>1.4</v>
          </cell>
        </row>
        <row r="43">
          <cell r="B43" t="str">
            <v>Tröông Minh Duõng</v>
          </cell>
          <cell r="C43" t="str">
            <v>"</v>
          </cell>
          <cell r="D43">
            <v>0.95</v>
          </cell>
          <cell r="E43">
            <v>0.95</v>
          </cell>
          <cell r="F43">
            <v>0.95</v>
          </cell>
          <cell r="G43">
            <v>157</v>
          </cell>
          <cell r="H43">
            <v>156</v>
          </cell>
          <cell r="I43">
            <v>313</v>
          </cell>
          <cell r="J43">
            <v>1.4</v>
          </cell>
          <cell r="K43">
            <v>1.4</v>
          </cell>
          <cell r="L43">
            <v>1.4</v>
          </cell>
        </row>
        <row r="44">
          <cell r="B44" t="str">
            <v>Nguyeãn Tuaán Haûi</v>
          </cell>
          <cell r="C44" t="str">
            <v>"</v>
          </cell>
          <cell r="D44">
            <v>1.1000000000000001</v>
          </cell>
          <cell r="E44">
            <v>0.95</v>
          </cell>
          <cell r="F44">
            <v>1.0249999999999999</v>
          </cell>
          <cell r="G44">
            <v>155</v>
          </cell>
          <cell r="H44">
            <v>157</v>
          </cell>
          <cell r="I44">
            <v>312</v>
          </cell>
          <cell r="J44">
            <v>1.4</v>
          </cell>
          <cell r="K44">
            <v>1.4</v>
          </cell>
          <cell r="L44">
            <v>1.4</v>
          </cell>
        </row>
        <row r="45">
          <cell r="B45" t="str">
            <v>Ng. Thò Ngoïc Ñieäp</v>
          </cell>
          <cell r="C45" t="str">
            <v>CDöôõng</v>
          </cell>
          <cell r="D45">
            <v>0.9</v>
          </cell>
          <cell r="E45">
            <v>0.9</v>
          </cell>
          <cell r="F45">
            <v>0.9</v>
          </cell>
          <cell r="G45">
            <v>154</v>
          </cell>
          <cell r="H45">
            <v>157</v>
          </cell>
          <cell r="I45">
            <v>311</v>
          </cell>
          <cell r="J45">
            <v>1.6</v>
          </cell>
          <cell r="K45">
            <v>1.2</v>
          </cell>
          <cell r="L45">
            <v>1.4</v>
          </cell>
        </row>
        <row r="46">
          <cell r="B46" t="str">
            <v>Toáng Thò Nguyeân</v>
          </cell>
          <cell r="C46" t="str">
            <v>"</v>
          </cell>
          <cell r="D46">
            <v>0.9</v>
          </cell>
          <cell r="E46">
            <v>0.9</v>
          </cell>
          <cell r="F46">
            <v>0.9</v>
          </cell>
          <cell r="G46">
            <v>150</v>
          </cell>
          <cell r="H46">
            <v>139</v>
          </cell>
          <cell r="I46">
            <v>289</v>
          </cell>
          <cell r="J46">
            <v>1.4</v>
          </cell>
          <cell r="K46">
            <v>1.4</v>
          </cell>
          <cell r="L46">
            <v>1.4</v>
          </cell>
        </row>
        <row r="47">
          <cell r="B47" t="str">
            <v>Leâ Vaên Phaùt</v>
          </cell>
          <cell r="C47" t="str">
            <v>"</v>
          </cell>
          <cell r="D47">
            <v>0.95</v>
          </cell>
          <cell r="E47">
            <v>1</v>
          </cell>
          <cell r="F47">
            <v>0.97499999999999998</v>
          </cell>
          <cell r="G47">
            <v>152</v>
          </cell>
          <cell r="H47">
            <v>157</v>
          </cell>
          <cell r="I47">
            <v>309</v>
          </cell>
          <cell r="J47">
            <v>1.2</v>
          </cell>
          <cell r="K47">
            <v>1.2</v>
          </cell>
          <cell r="L47">
            <v>1.2</v>
          </cell>
        </row>
        <row r="48">
          <cell r="B48" t="str">
            <v>Lö  Hoàng Trang</v>
          </cell>
          <cell r="C48" t="str">
            <v>"</v>
          </cell>
          <cell r="D48">
            <v>0.9</v>
          </cell>
          <cell r="E48">
            <v>0.9</v>
          </cell>
          <cell r="F48">
            <v>0.9</v>
          </cell>
          <cell r="G48">
            <v>150</v>
          </cell>
          <cell r="H48">
            <v>157</v>
          </cell>
          <cell r="I48">
            <v>307</v>
          </cell>
          <cell r="J48">
            <v>1.4</v>
          </cell>
          <cell r="K48">
            <v>1.4</v>
          </cell>
          <cell r="L48">
            <v>1.4</v>
          </cell>
        </row>
        <row r="49">
          <cell r="B49" t="str">
            <v>Leâ Thò Kim Thanh</v>
          </cell>
          <cell r="C49" t="str">
            <v>"</v>
          </cell>
          <cell r="D49">
            <v>0.9</v>
          </cell>
          <cell r="E49">
            <v>0.9</v>
          </cell>
          <cell r="F49">
            <v>0.9</v>
          </cell>
          <cell r="H49">
            <v>52</v>
          </cell>
          <cell r="I49">
            <v>52</v>
          </cell>
          <cell r="J49">
            <v>1.4</v>
          </cell>
          <cell r="K49">
            <v>1</v>
          </cell>
          <cell r="L49">
            <v>1.2</v>
          </cell>
        </row>
        <row r="50">
          <cell r="B50" t="str">
            <v>Nguyeãn Thò Kim Oanh</v>
          </cell>
          <cell r="C50" t="str">
            <v>"</v>
          </cell>
          <cell r="E50">
            <v>0.9</v>
          </cell>
          <cell r="F50">
            <v>0.9</v>
          </cell>
          <cell r="H50">
            <v>101</v>
          </cell>
          <cell r="I50">
            <v>101</v>
          </cell>
          <cell r="K50">
            <v>1.4</v>
          </cell>
          <cell r="L50">
            <v>1.4</v>
          </cell>
        </row>
        <row r="51">
          <cell r="B51" t="str">
            <v>Nguyeãn Hoaøng Lyù</v>
          </cell>
          <cell r="C51" t="str">
            <v>NV</v>
          </cell>
          <cell r="E51">
            <v>0.97500000000000009</v>
          </cell>
          <cell r="F51">
            <v>0.97500000000000009</v>
          </cell>
          <cell r="H51">
            <v>17.5</v>
          </cell>
          <cell r="I51">
            <v>17.5</v>
          </cell>
          <cell r="K51">
            <v>1.4</v>
          </cell>
          <cell r="L51">
            <v>1.4</v>
          </cell>
        </row>
        <row r="52">
          <cell r="B52" t="str">
            <v>Nguyeãn T. Bình Cheùp</v>
          </cell>
          <cell r="C52" t="str">
            <v>T/vuï</v>
          </cell>
          <cell r="D52">
            <v>0.9</v>
          </cell>
          <cell r="E52">
            <v>0.9</v>
          </cell>
          <cell r="F52">
            <v>0.9</v>
          </cell>
          <cell r="G52">
            <v>153</v>
          </cell>
          <cell r="H52">
            <v>157</v>
          </cell>
          <cell r="I52">
            <v>310</v>
          </cell>
          <cell r="J52">
            <v>1.4</v>
          </cell>
          <cell r="K52">
            <v>1.4</v>
          </cell>
          <cell r="L52">
            <v>1.4</v>
          </cell>
        </row>
        <row r="53">
          <cell r="B53" t="str">
            <v>Vuõ Thò Haûi</v>
          </cell>
          <cell r="C53" t="str">
            <v>"</v>
          </cell>
          <cell r="D53">
            <v>0.9</v>
          </cell>
          <cell r="E53">
            <v>0.9</v>
          </cell>
          <cell r="F53">
            <v>0.9</v>
          </cell>
          <cell r="G53">
            <v>153</v>
          </cell>
          <cell r="H53">
            <v>157</v>
          </cell>
          <cell r="I53">
            <v>310</v>
          </cell>
          <cell r="J53">
            <v>1.4</v>
          </cell>
          <cell r="K53">
            <v>1.4</v>
          </cell>
          <cell r="L53">
            <v>1.4</v>
          </cell>
        </row>
        <row r="55">
          <cell r="B55" t="str">
            <v>Laâm Duy Khaùnh</v>
          </cell>
          <cell r="C55" t="str">
            <v>T.P</v>
          </cell>
          <cell r="D55">
            <v>1.9</v>
          </cell>
          <cell r="E55">
            <v>1.9</v>
          </cell>
          <cell r="F55">
            <v>1.9</v>
          </cell>
          <cell r="G55">
            <v>152</v>
          </cell>
          <cell r="H55">
            <v>157</v>
          </cell>
          <cell r="I55">
            <v>309</v>
          </cell>
          <cell r="J55">
            <v>1.6</v>
          </cell>
          <cell r="K55">
            <v>1.6</v>
          </cell>
          <cell r="L55">
            <v>1.6</v>
          </cell>
        </row>
        <row r="56">
          <cell r="B56" t="str">
            <v>Hoà Nam Giang</v>
          </cell>
          <cell r="C56" t="str">
            <v>PP</v>
          </cell>
          <cell r="D56">
            <v>1.75</v>
          </cell>
          <cell r="E56">
            <v>1.75</v>
          </cell>
          <cell r="F56">
            <v>1.75</v>
          </cell>
          <cell r="G56">
            <v>152</v>
          </cell>
          <cell r="H56">
            <v>157</v>
          </cell>
          <cell r="I56">
            <v>309</v>
          </cell>
          <cell r="J56">
            <v>1.6</v>
          </cell>
          <cell r="K56">
            <v>1.6</v>
          </cell>
          <cell r="L56">
            <v>1.6</v>
          </cell>
        </row>
        <row r="57">
          <cell r="B57" t="str">
            <v>Traàn Chinh Chieán</v>
          </cell>
          <cell r="C57" t="str">
            <v>PP</v>
          </cell>
          <cell r="D57">
            <v>1.75</v>
          </cell>
          <cell r="E57">
            <v>1.75</v>
          </cell>
          <cell r="F57">
            <v>1.75</v>
          </cell>
          <cell r="G57">
            <v>152</v>
          </cell>
          <cell r="H57">
            <v>157</v>
          </cell>
          <cell r="I57">
            <v>309</v>
          </cell>
          <cell r="J57">
            <v>1.6</v>
          </cell>
          <cell r="K57">
            <v>1.6</v>
          </cell>
          <cell r="L57">
            <v>1.6</v>
          </cell>
        </row>
        <row r="58">
          <cell r="B58" t="str">
            <v>Nguyeãn Xuaân Trieäu</v>
          </cell>
          <cell r="C58" t="str">
            <v>NV</v>
          </cell>
          <cell r="D58">
            <v>1.2</v>
          </cell>
          <cell r="E58">
            <v>1.1500000000000001</v>
          </cell>
          <cell r="F58">
            <v>1.175</v>
          </cell>
          <cell r="G58">
            <v>151</v>
          </cell>
          <cell r="H58">
            <v>156</v>
          </cell>
          <cell r="I58">
            <v>307</v>
          </cell>
          <cell r="J58">
            <v>1.2</v>
          </cell>
          <cell r="K58">
            <v>1.2</v>
          </cell>
          <cell r="L58">
            <v>1.2</v>
          </cell>
        </row>
        <row r="59">
          <cell r="B59" t="str">
            <v>Maïc Thanh Duõng</v>
          </cell>
          <cell r="C59" t="str">
            <v>N.V</v>
          </cell>
          <cell r="D59">
            <v>1.3</v>
          </cell>
          <cell r="E59">
            <v>1.3</v>
          </cell>
          <cell r="F59">
            <v>1.3</v>
          </cell>
          <cell r="G59">
            <v>151</v>
          </cell>
          <cell r="H59">
            <v>157</v>
          </cell>
          <cell r="I59">
            <v>308</v>
          </cell>
          <cell r="J59">
            <v>1.6</v>
          </cell>
          <cell r="K59">
            <v>1.6</v>
          </cell>
          <cell r="L59">
            <v>1.6</v>
          </cell>
        </row>
        <row r="60">
          <cell r="B60" t="str">
            <v>Nguyeãn Vaên Thôm</v>
          </cell>
          <cell r="C60" t="str">
            <v>N.V</v>
          </cell>
          <cell r="D60">
            <v>1.35</v>
          </cell>
          <cell r="E60">
            <v>1.35</v>
          </cell>
          <cell r="F60">
            <v>1.35</v>
          </cell>
          <cell r="G60">
            <v>151</v>
          </cell>
          <cell r="H60">
            <v>157</v>
          </cell>
          <cell r="I60">
            <v>308</v>
          </cell>
          <cell r="J60">
            <v>1.6</v>
          </cell>
          <cell r="K60">
            <v>1.4</v>
          </cell>
          <cell r="L60">
            <v>1.5</v>
          </cell>
        </row>
        <row r="61">
          <cell r="B61" t="str">
            <v>Nguyeãn Thanh Bình</v>
          </cell>
          <cell r="C61" t="str">
            <v>T.Caân</v>
          </cell>
          <cell r="D61">
            <v>1.1000000000000001</v>
          </cell>
          <cell r="E61">
            <v>1.1000000000000001</v>
          </cell>
          <cell r="F61">
            <v>1.1000000000000001</v>
          </cell>
          <cell r="G61">
            <v>157</v>
          </cell>
          <cell r="H61">
            <v>157</v>
          </cell>
          <cell r="I61">
            <v>314</v>
          </cell>
          <cell r="J61">
            <v>1.4</v>
          </cell>
          <cell r="K61">
            <v>1.2</v>
          </cell>
          <cell r="L61">
            <v>1.2999999999999998</v>
          </cell>
        </row>
        <row r="62">
          <cell r="B62" t="str">
            <v>Voõ Daân Quyeàn</v>
          </cell>
          <cell r="C62" t="str">
            <v>T.Caân</v>
          </cell>
          <cell r="D62">
            <v>1.1000000000000001</v>
          </cell>
          <cell r="E62">
            <v>1.1000000000000001</v>
          </cell>
          <cell r="F62">
            <v>1.1000000000000001</v>
          </cell>
          <cell r="G62">
            <v>157</v>
          </cell>
          <cell r="H62">
            <v>157</v>
          </cell>
          <cell r="I62">
            <v>314</v>
          </cell>
          <cell r="J62">
            <v>1.4</v>
          </cell>
          <cell r="K62">
            <v>1.2</v>
          </cell>
          <cell r="L62">
            <v>1.2999999999999998</v>
          </cell>
        </row>
        <row r="63">
          <cell r="B63" t="str">
            <v>Huyønh Thanh Cöôøng</v>
          </cell>
          <cell r="C63" t="str">
            <v>"</v>
          </cell>
          <cell r="D63">
            <v>1.1000000000000001</v>
          </cell>
          <cell r="E63">
            <v>1.1000000000000001</v>
          </cell>
          <cell r="F63">
            <v>1.1000000000000001</v>
          </cell>
          <cell r="G63">
            <v>157</v>
          </cell>
          <cell r="H63">
            <v>157</v>
          </cell>
          <cell r="I63">
            <v>314</v>
          </cell>
          <cell r="J63">
            <v>1.4</v>
          </cell>
          <cell r="K63">
            <v>1.2</v>
          </cell>
          <cell r="L63">
            <v>1.2999999999999998</v>
          </cell>
        </row>
        <row r="64">
          <cell r="B64" t="str">
            <v>Nguyeãn Sôn Haø</v>
          </cell>
          <cell r="C64" t="str">
            <v>T.BH</v>
          </cell>
          <cell r="D64">
            <v>1.35</v>
          </cell>
          <cell r="E64">
            <v>1.35</v>
          </cell>
          <cell r="F64">
            <v>1.35</v>
          </cell>
          <cell r="G64">
            <v>153</v>
          </cell>
          <cell r="H64">
            <v>157</v>
          </cell>
          <cell r="I64">
            <v>310</v>
          </cell>
          <cell r="J64">
            <v>1.4</v>
          </cell>
          <cell r="K64">
            <v>1.4</v>
          </cell>
          <cell r="L64">
            <v>1.4</v>
          </cell>
        </row>
        <row r="65">
          <cell r="B65" t="str">
            <v>Tröông Ngoïc Maãn</v>
          </cell>
          <cell r="C65" t="str">
            <v>T.BH</v>
          </cell>
          <cell r="D65">
            <v>1.35</v>
          </cell>
          <cell r="E65">
            <v>1.2666666666666666</v>
          </cell>
          <cell r="F65">
            <v>1.3083333333333333</v>
          </cell>
          <cell r="G65">
            <v>153</v>
          </cell>
          <cell r="H65">
            <v>157</v>
          </cell>
          <cell r="I65">
            <v>310</v>
          </cell>
          <cell r="J65">
            <v>1.6</v>
          </cell>
          <cell r="K65">
            <v>1</v>
          </cell>
          <cell r="L65">
            <v>1.3</v>
          </cell>
        </row>
        <row r="66">
          <cell r="B66" t="str">
            <v>Huyønh Thanh Lieâm</v>
          </cell>
          <cell r="C66" t="str">
            <v>TKVT</v>
          </cell>
          <cell r="D66">
            <v>1.25</v>
          </cell>
          <cell r="E66">
            <v>1.25</v>
          </cell>
          <cell r="F66">
            <v>1.25</v>
          </cell>
          <cell r="G66">
            <v>151</v>
          </cell>
          <cell r="H66">
            <v>157</v>
          </cell>
          <cell r="I66">
            <v>308</v>
          </cell>
          <cell r="J66">
            <v>1.4</v>
          </cell>
          <cell r="K66">
            <v>1.4</v>
          </cell>
          <cell r="L66">
            <v>1.4</v>
          </cell>
        </row>
        <row r="67">
          <cell r="B67" t="str">
            <v>Phuøng Höõu Ñaït</v>
          </cell>
          <cell r="C67" t="str">
            <v>TKXM</v>
          </cell>
          <cell r="D67">
            <v>1.45</v>
          </cell>
          <cell r="E67">
            <v>1.45</v>
          </cell>
          <cell r="F67">
            <v>1.45</v>
          </cell>
          <cell r="G67">
            <v>151</v>
          </cell>
          <cell r="H67">
            <v>157</v>
          </cell>
          <cell r="I67">
            <v>308</v>
          </cell>
          <cell r="J67">
            <v>1.6</v>
          </cell>
          <cell r="K67">
            <v>1.6</v>
          </cell>
          <cell r="L67">
            <v>1.6</v>
          </cell>
        </row>
        <row r="68">
          <cell r="B68" t="str">
            <v>Laâm Hoàng Haûi</v>
          </cell>
          <cell r="C68" t="str">
            <v>TKVLN</v>
          </cell>
          <cell r="D68">
            <v>1.35</v>
          </cell>
          <cell r="E68">
            <v>1.35</v>
          </cell>
          <cell r="F68">
            <v>1.35</v>
          </cell>
          <cell r="G68">
            <v>151</v>
          </cell>
          <cell r="H68">
            <v>157</v>
          </cell>
          <cell r="I68">
            <v>308</v>
          </cell>
          <cell r="J68">
            <v>1.4</v>
          </cell>
          <cell r="K68">
            <v>1.4</v>
          </cell>
          <cell r="L68">
            <v>1.4</v>
          </cell>
        </row>
        <row r="69">
          <cell r="B69" t="str">
            <v>Nguyeãn Ngoïc Duy</v>
          </cell>
          <cell r="C69" t="str">
            <v>NV</v>
          </cell>
          <cell r="D69">
            <v>1.2</v>
          </cell>
          <cell r="E69">
            <v>1.2</v>
          </cell>
          <cell r="F69">
            <v>1.2</v>
          </cell>
          <cell r="G69">
            <v>72</v>
          </cell>
          <cell r="H69">
            <v>157</v>
          </cell>
          <cell r="I69">
            <v>229</v>
          </cell>
          <cell r="J69">
            <v>1.4</v>
          </cell>
          <cell r="K69">
            <v>1.6</v>
          </cell>
          <cell r="L69">
            <v>1.5</v>
          </cell>
        </row>
        <row r="70">
          <cell r="B70" t="str">
            <v>Leâ Hoaøng Baù</v>
          </cell>
          <cell r="C70" t="str">
            <v>NV</v>
          </cell>
          <cell r="D70">
            <v>1.1000000000000001</v>
          </cell>
          <cell r="E70">
            <v>1.2249999999999999</v>
          </cell>
          <cell r="F70">
            <v>1.1625000000000001</v>
          </cell>
          <cell r="G70">
            <v>12</v>
          </cell>
          <cell r="H70">
            <v>157</v>
          </cell>
          <cell r="I70">
            <v>169</v>
          </cell>
          <cell r="J70">
            <v>1.4</v>
          </cell>
          <cell r="K70">
            <v>1.4</v>
          </cell>
          <cell r="L70">
            <v>1.4</v>
          </cell>
        </row>
        <row r="71">
          <cell r="B71" t="str">
            <v>Traàn Huy Thaïch</v>
          </cell>
          <cell r="C71" t="str">
            <v>NV</v>
          </cell>
          <cell r="D71">
            <v>1.1000000000000001</v>
          </cell>
          <cell r="E71">
            <v>1.1833333333333333</v>
          </cell>
          <cell r="F71">
            <v>1.1416666666666666</v>
          </cell>
          <cell r="G71">
            <v>9</v>
          </cell>
          <cell r="H71">
            <v>157</v>
          </cell>
          <cell r="I71">
            <v>166</v>
          </cell>
          <cell r="J71">
            <v>1.4</v>
          </cell>
          <cell r="K71">
            <v>1.4</v>
          </cell>
          <cell r="L71">
            <v>1.4</v>
          </cell>
        </row>
        <row r="72">
          <cell r="B72" t="str">
            <v>Nguyeãn Vaên Haûi</v>
          </cell>
          <cell r="C72" t="str">
            <v>BQL-DA</v>
          </cell>
          <cell r="D72">
            <v>1.25</v>
          </cell>
          <cell r="E72">
            <v>1.25</v>
          </cell>
          <cell r="F72">
            <v>1.25</v>
          </cell>
          <cell r="G72">
            <v>151</v>
          </cell>
          <cell r="H72">
            <v>157</v>
          </cell>
          <cell r="I72">
            <v>308</v>
          </cell>
          <cell r="J72">
            <v>1.4</v>
          </cell>
          <cell r="K72">
            <v>1.4</v>
          </cell>
          <cell r="L72">
            <v>1.4</v>
          </cell>
        </row>
        <row r="73">
          <cell r="B73" t="str">
            <v>Hoà Thò Caåm Huyønh</v>
          </cell>
          <cell r="C73" t="str">
            <v>BQL-DA</v>
          </cell>
          <cell r="D73">
            <v>1.25</v>
          </cell>
          <cell r="E73">
            <v>1.25</v>
          </cell>
          <cell r="F73">
            <v>1.25</v>
          </cell>
          <cell r="G73">
            <v>151</v>
          </cell>
          <cell r="H73">
            <v>157</v>
          </cell>
          <cell r="I73">
            <v>308</v>
          </cell>
          <cell r="J73">
            <v>1.4</v>
          </cell>
          <cell r="K73">
            <v>1.4</v>
          </cell>
          <cell r="L73">
            <v>1.4</v>
          </cell>
        </row>
        <row r="74">
          <cell r="B74" t="str">
            <v>Nguyeãn Vaên Cöôøng</v>
          </cell>
          <cell r="C74" t="str">
            <v>TT</v>
          </cell>
          <cell r="D74">
            <v>1.4</v>
          </cell>
          <cell r="E74">
            <v>1.4</v>
          </cell>
          <cell r="F74">
            <v>1.4</v>
          </cell>
          <cell r="G74">
            <v>154</v>
          </cell>
          <cell r="H74">
            <v>157</v>
          </cell>
          <cell r="I74">
            <v>311</v>
          </cell>
          <cell r="J74">
            <v>1.6</v>
          </cell>
          <cell r="K74">
            <v>1.6</v>
          </cell>
          <cell r="L74">
            <v>1.6</v>
          </cell>
        </row>
        <row r="75">
          <cell r="B75" t="str">
            <v>Phan Vaên Hoàng</v>
          </cell>
          <cell r="C75" t="str">
            <v>Toå Phoù</v>
          </cell>
          <cell r="D75">
            <v>1.3</v>
          </cell>
          <cell r="E75">
            <v>1.3</v>
          </cell>
          <cell r="F75">
            <v>1.3</v>
          </cell>
          <cell r="G75">
            <v>154</v>
          </cell>
          <cell r="H75">
            <v>154</v>
          </cell>
          <cell r="I75">
            <v>308</v>
          </cell>
          <cell r="J75">
            <v>1.6</v>
          </cell>
          <cell r="K75">
            <v>1.4</v>
          </cell>
          <cell r="L75">
            <v>1.5</v>
          </cell>
        </row>
        <row r="76">
          <cell r="B76" t="str">
            <v>Taï Quoác Quyønh</v>
          </cell>
          <cell r="C76" t="str">
            <v>CN</v>
          </cell>
          <cell r="D76">
            <v>1.25</v>
          </cell>
          <cell r="E76">
            <v>1.25</v>
          </cell>
          <cell r="F76">
            <v>1.25</v>
          </cell>
          <cell r="G76">
            <v>154</v>
          </cell>
          <cell r="H76">
            <v>155</v>
          </cell>
          <cell r="I76">
            <v>309</v>
          </cell>
          <cell r="J76">
            <v>1.4</v>
          </cell>
          <cell r="K76">
            <v>1.6</v>
          </cell>
          <cell r="L76">
            <v>1.5</v>
          </cell>
        </row>
        <row r="77">
          <cell r="B77" t="str">
            <v>Phan Vaên Hieàn</v>
          </cell>
          <cell r="C77" t="str">
            <v>"</v>
          </cell>
          <cell r="D77">
            <v>1.25</v>
          </cell>
          <cell r="E77">
            <v>1.25</v>
          </cell>
          <cell r="F77">
            <v>1.25</v>
          </cell>
          <cell r="G77">
            <v>154</v>
          </cell>
          <cell r="H77">
            <v>157</v>
          </cell>
          <cell r="I77">
            <v>311</v>
          </cell>
          <cell r="J77">
            <v>1.4</v>
          </cell>
          <cell r="K77">
            <v>1.2</v>
          </cell>
          <cell r="L77">
            <v>1.2999999999999998</v>
          </cell>
        </row>
        <row r="78">
          <cell r="B78" t="str">
            <v>Leâ Töï Thieän</v>
          </cell>
          <cell r="C78" t="str">
            <v>"</v>
          </cell>
          <cell r="D78">
            <v>1.25</v>
          </cell>
          <cell r="E78">
            <v>1.25</v>
          </cell>
          <cell r="F78">
            <v>1.25</v>
          </cell>
          <cell r="G78">
            <v>154</v>
          </cell>
          <cell r="H78">
            <v>156</v>
          </cell>
          <cell r="I78">
            <v>310</v>
          </cell>
          <cell r="J78">
            <v>1.4</v>
          </cell>
          <cell r="K78">
            <v>1.4</v>
          </cell>
          <cell r="L78">
            <v>1.4</v>
          </cell>
        </row>
        <row r="79">
          <cell r="B79" t="str">
            <v>Phaïm Gia Bình</v>
          </cell>
          <cell r="C79" t="str">
            <v>"</v>
          </cell>
          <cell r="D79">
            <v>1.25</v>
          </cell>
          <cell r="E79">
            <v>1.25</v>
          </cell>
          <cell r="F79">
            <v>1.25</v>
          </cell>
          <cell r="G79">
            <v>155</v>
          </cell>
          <cell r="H79">
            <v>156</v>
          </cell>
          <cell r="I79">
            <v>311</v>
          </cell>
          <cell r="J79">
            <v>1.2</v>
          </cell>
          <cell r="K79">
            <v>1.2</v>
          </cell>
          <cell r="L79">
            <v>1.2</v>
          </cell>
        </row>
        <row r="80">
          <cell r="B80" t="str">
            <v>Nguyeãn Ngoïc Sôn</v>
          </cell>
          <cell r="C80" t="str">
            <v>"</v>
          </cell>
          <cell r="D80">
            <v>1.25</v>
          </cell>
          <cell r="E80">
            <v>1.25</v>
          </cell>
          <cell r="F80">
            <v>1.25</v>
          </cell>
          <cell r="G80">
            <v>154</v>
          </cell>
          <cell r="H80">
            <v>147</v>
          </cell>
          <cell r="I80">
            <v>301</v>
          </cell>
          <cell r="J80">
            <v>1.4</v>
          </cell>
          <cell r="K80">
            <v>1.4</v>
          </cell>
          <cell r="L80">
            <v>1.4</v>
          </cell>
        </row>
        <row r="81">
          <cell r="B81" t="str">
            <v>Nguyeãn Troïng Taøi</v>
          </cell>
          <cell r="C81" t="str">
            <v>"</v>
          </cell>
          <cell r="D81">
            <v>1.25</v>
          </cell>
          <cell r="E81">
            <v>1.25</v>
          </cell>
          <cell r="F81">
            <v>1.25</v>
          </cell>
          <cell r="G81">
            <v>154</v>
          </cell>
          <cell r="H81">
            <v>157</v>
          </cell>
          <cell r="I81">
            <v>311</v>
          </cell>
          <cell r="J81">
            <v>1.4</v>
          </cell>
          <cell r="K81">
            <v>1.2</v>
          </cell>
          <cell r="L81">
            <v>1.2999999999999998</v>
          </cell>
        </row>
        <row r="82">
          <cell r="B82" t="str">
            <v>Phan Phöôùc Lôïi</v>
          </cell>
          <cell r="C82" t="str">
            <v>"</v>
          </cell>
          <cell r="D82">
            <v>1.25</v>
          </cell>
          <cell r="E82">
            <v>1.25</v>
          </cell>
          <cell r="F82">
            <v>1.25</v>
          </cell>
          <cell r="G82">
            <v>153</v>
          </cell>
          <cell r="H82">
            <v>132</v>
          </cell>
          <cell r="I82">
            <v>285</v>
          </cell>
          <cell r="J82">
            <v>1.4</v>
          </cell>
          <cell r="K82">
            <v>1.2</v>
          </cell>
          <cell r="L82">
            <v>1.2999999999999998</v>
          </cell>
        </row>
        <row r="83">
          <cell r="B83" t="str">
            <v>Nguyeãn Vaên Ñöông</v>
          </cell>
          <cell r="C83" t="str">
            <v>"</v>
          </cell>
          <cell r="D83">
            <v>1.25</v>
          </cell>
          <cell r="E83">
            <v>1.25</v>
          </cell>
          <cell r="F83">
            <v>1.25</v>
          </cell>
          <cell r="G83">
            <v>156</v>
          </cell>
          <cell r="H83">
            <v>157</v>
          </cell>
          <cell r="I83">
            <v>313</v>
          </cell>
          <cell r="J83">
            <v>1.4</v>
          </cell>
          <cell r="K83">
            <v>1.4</v>
          </cell>
          <cell r="L83">
            <v>1.4</v>
          </cell>
        </row>
        <row r="84">
          <cell r="B84" t="str">
            <v>Löõ Thanh Ñieàn</v>
          </cell>
          <cell r="C84" t="str">
            <v>"</v>
          </cell>
          <cell r="E84">
            <v>0.9375</v>
          </cell>
          <cell r="F84">
            <v>0.9375</v>
          </cell>
          <cell r="H84">
            <v>76</v>
          </cell>
          <cell r="I84">
            <v>76</v>
          </cell>
          <cell r="K84">
            <v>1.4</v>
          </cell>
          <cell r="L84">
            <v>1.4</v>
          </cell>
        </row>
        <row r="85">
          <cell r="B85" t="str">
            <v>Phan Vaên Loäc</v>
          </cell>
          <cell r="C85" t="str">
            <v>"</v>
          </cell>
          <cell r="E85">
            <v>0.9375</v>
          </cell>
          <cell r="F85">
            <v>0.9375</v>
          </cell>
          <cell r="H85">
            <v>77</v>
          </cell>
          <cell r="I85">
            <v>77</v>
          </cell>
          <cell r="K85">
            <v>1.4</v>
          </cell>
          <cell r="L85">
            <v>1.4</v>
          </cell>
        </row>
        <row r="86">
          <cell r="B86" t="str">
            <v>Traàn Thanh Sang</v>
          </cell>
          <cell r="C86" t="str">
            <v>"</v>
          </cell>
          <cell r="E86">
            <v>0.9375</v>
          </cell>
          <cell r="F86">
            <v>0.9375</v>
          </cell>
          <cell r="H86">
            <v>13</v>
          </cell>
          <cell r="I86">
            <v>13</v>
          </cell>
          <cell r="K86">
            <v>1.2</v>
          </cell>
          <cell r="L86">
            <v>1.2</v>
          </cell>
        </row>
        <row r="87">
          <cell r="B87" t="str">
            <v>Nguyeãn Hoàng Hoaøng</v>
          </cell>
          <cell r="C87" t="str">
            <v>L.xe taûi</v>
          </cell>
          <cell r="D87">
            <v>1.2</v>
          </cell>
          <cell r="E87">
            <v>1.2</v>
          </cell>
          <cell r="F87">
            <v>1.2</v>
          </cell>
          <cell r="G87">
            <v>153</v>
          </cell>
          <cell r="H87">
            <v>157</v>
          </cell>
          <cell r="I87">
            <v>310</v>
          </cell>
          <cell r="J87">
            <v>1.6</v>
          </cell>
          <cell r="K87">
            <v>1</v>
          </cell>
          <cell r="L87">
            <v>1.3</v>
          </cell>
        </row>
        <row r="88">
          <cell r="B88" t="str">
            <v>Traàn Ngoïc Phöông</v>
          </cell>
          <cell r="C88" t="str">
            <v>"</v>
          </cell>
          <cell r="D88">
            <v>1.2</v>
          </cell>
          <cell r="E88">
            <v>1.2</v>
          </cell>
          <cell r="F88">
            <v>1.2</v>
          </cell>
          <cell r="G88">
            <v>151</v>
          </cell>
          <cell r="H88">
            <v>157</v>
          </cell>
          <cell r="I88">
            <v>308</v>
          </cell>
          <cell r="J88">
            <v>1.4</v>
          </cell>
          <cell r="K88">
            <v>1</v>
          </cell>
          <cell r="L88">
            <v>1.2</v>
          </cell>
        </row>
        <row r="89">
          <cell r="B89" t="str">
            <v>Ñoã Vaên Loäc</v>
          </cell>
          <cell r="C89" t="str">
            <v>"</v>
          </cell>
          <cell r="D89">
            <v>1.2</v>
          </cell>
          <cell r="E89">
            <v>1.2</v>
          </cell>
          <cell r="F89">
            <v>1.2</v>
          </cell>
          <cell r="G89">
            <v>151</v>
          </cell>
          <cell r="H89">
            <v>157</v>
          </cell>
          <cell r="I89">
            <v>308</v>
          </cell>
          <cell r="J89">
            <v>1.4</v>
          </cell>
          <cell r="K89">
            <v>1</v>
          </cell>
          <cell r="L89">
            <v>1.2</v>
          </cell>
        </row>
        <row r="90">
          <cell r="B90" t="str">
            <v>Ñaëng Quoác Trung</v>
          </cell>
          <cell r="C90" t="str">
            <v>"</v>
          </cell>
          <cell r="D90">
            <v>1.2</v>
          </cell>
          <cell r="E90">
            <v>1.2</v>
          </cell>
          <cell r="F90">
            <v>1.2</v>
          </cell>
          <cell r="G90">
            <v>151</v>
          </cell>
          <cell r="H90">
            <v>157</v>
          </cell>
          <cell r="I90">
            <v>308</v>
          </cell>
          <cell r="J90">
            <v>1.4</v>
          </cell>
          <cell r="K90">
            <v>1</v>
          </cell>
          <cell r="L90">
            <v>1.2</v>
          </cell>
        </row>
        <row r="91">
          <cell r="B91" t="str">
            <v>Nguyeãn Thaønh Haûo</v>
          </cell>
          <cell r="C91" t="str">
            <v>"</v>
          </cell>
          <cell r="D91">
            <v>1.2</v>
          </cell>
          <cell r="E91">
            <v>1.2</v>
          </cell>
          <cell r="F91">
            <v>1.2</v>
          </cell>
          <cell r="G91">
            <v>150</v>
          </cell>
          <cell r="H91">
            <v>157</v>
          </cell>
          <cell r="I91">
            <v>307</v>
          </cell>
          <cell r="J91">
            <v>1.4</v>
          </cell>
          <cell r="K91">
            <v>1</v>
          </cell>
          <cell r="L91">
            <v>1.2</v>
          </cell>
        </row>
        <row r="92">
          <cell r="B92" t="str">
            <v>Phaïm Quoác Huy</v>
          </cell>
          <cell r="C92" t="str">
            <v>"</v>
          </cell>
          <cell r="D92">
            <v>1.2</v>
          </cell>
          <cell r="E92">
            <v>1.2</v>
          </cell>
          <cell r="F92">
            <v>1.2</v>
          </cell>
          <cell r="G92">
            <v>117</v>
          </cell>
          <cell r="H92">
            <v>157</v>
          </cell>
          <cell r="I92">
            <v>274</v>
          </cell>
          <cell r="J92">
            <v>1.4</v>
          </cell>
          <cell r="K92">
            <v>1</v>
          </cell>
          <cell r="L92">
            <v>1.2</v>
          </cell>
        </row>
        <row r="93">
          <cell r="B93" t="str">
            <v>Tröông Hoaøi Phong</v>
          </cell>
          <cell r="C93" t="str">
            <v>"</v>
          </cell>
          <cell r="D93">
            <v>1.2</v>
          </cell>
          <cell r="E93">
            <v>1.2</v>
          </cell>
          <cell r="F93">
            <v>1.2</v>
          </cell>
          <cell r="G93">
            <v>151</v>
          </cell>
          <cell r="H93">
            <v>157</v>
          </cell>
          <cell r="I93">
            <v>308</v>
          </cell>
          <cell r="J93">
            <v>1.4</v>
          </cell>
          <cell r="K93">
            <v>1</v>
          </cell>
          <cell r="L93">
            <v>1.2</v>
          </cell>
        </row>
        <row r="94">
          <cell r="B94" t="str">
            <v>Nguyeãn vaên Yeân</v>
          </cell>
          <cell r="C94" t="str">
            <v>"</v>
          </cell>
          <cell r="D94">
            <v>1.2</v>
          </cell>
          <cell r="E94">
            <v>1.2</v>
          </cell>
          <cell r="F94">
            <v>1.2</v>
          </cell>
          <cell r="G94">
            <v>151</v>
          </cell>
          <cell r="H94">
            <v>119</v>
          </cell>
          <cell r="I94">
            <v>270</v>
          </cell>
          <cell r="J94">
            <v>1.4</v>
          </cell>
          <cell r="K94">
            <v>1</v>
          </cell>
          <cell r="L94">
            <v>1.2</v>
          </cell>
        </row>
        <row r="95">
          <cell r="B95" t="str">
            <v>Ñaëng Quoác Duõng</v>
          </cell>
          <cell r="C95" t="str">
            <v>"</v>
          </cell>
          <cell r="D95">
            <v>1.2</v>
          </cell>
          <cell r="E95">
            <v>1.2</v>
          </cell>
          <cell r="F95">
            <v>1.2</v>
          </cell>
          <cell r="G95">
            <v>148</v>
          </cell>
          <cell r="H95">
            <v>157</v>
          </cell>
          <cell r="I95">
            <v>305</v>
          </cell>
          <cell r="J95">
            <v>1.4</v>
          </cell>
          <cell r="K95">
            <v>1</v>
          </cell>
          <cell r="L95">
            <v>1.2</v>
          </cell>
        </row>
        <row r="96">
          <cell r="B96" t="str">
            <v>Nguyeãn Thanh Phong</v>
          </cell>
          <cell r="C96" t="str">
            <v>"</v>
          </cell>
          <cell r="D96">
            <v>1.2</v>
          </cell>
          <cell r="E96">
            <v>1.2</v>
          </cell>
          <cell r="F96">
            <v>1.2</v>
          </cell>
          <cell r="G96">
            <v>136</v>
          </cell>
          <cell r="H96">
            <v>157</v>
          </cell>
          <cell r="I96">
            <v>293</v>
          </cell>
          <cell r="J96">
            <v>1.4</v>
          </cell>
          <cell r="K96">
            <v>1</v>
          </cell>
          <cell r="L96">
            <v>1.2</v>
          </cell>
        </row>
        <row r="97">
          <cell r="B97" t="str">
            <v>Nguyeãn Thanh Tuaán</v>
          </cell>
          <cell r="C97" t="str">
            <v>Laùi caåu</v>
          </cell>
          <cell r="D97">
            <v>1.3</v>
          </cell>
          <cell r="E97">
            <v>1.3</v>
          </cell>
          <cell r="F97">
            <v>1.3</v>
          </cell>
          <cell r="G97">
            <v>150</v>
          </cell>
          <cell r="H97">
            <v>157</v>
          </cell>
          <cell r="I97">
            <v>307</v>
          </cell>
          <cell r="J97">
            <v>1.4</v>
          </cell>
          <cell r="K97">
            <v>1.4</v>
          </cell>
          <cell r="L97">
            <v>1.4</v>
          </cell>
        </row>
        <row r="98">
          <cell r="B98" t="str">
            <v>Traàn Vaên Sôn</v>
          </cell>
          <cell r="C98" t="str">
            <v>"</v>
          </cell>
          <cell r="D98">
            <v>1.3</v>
          </cell>
          <cell r="E98">
            <v>1.3</v>
          </cell>
          <cell r="F98">
            <v>1.3</v>
          </cell>
          <cell r="G98">
            <v>149</v>
          </cell>
          <cell r="H98">
            <v>157</v>
          </cell>
          <cell r="I98">
            <v>306</v>
          </cell>
          <cell r="J98">
            <v>1.2</v>
          </cell>
          <cell r="K98">
            <v>1.4</v>
          </cell>
          <cell r="L98">
            <v>1.2999999999999998</v>
          </cell>
        </row>
        <row r="99">
          <cell r="B99" t="str">
            <v>Ñaøo Vaên Minh</v>
          </cell>
          <cell r="C99" t="str">
            <v>Laùi cuoác</v>
          </cell>
          <cell r="D99">
            <v>1.3</v>
          </cell>
          <cell r="E99">
            <v>1.3</v>
          </cell>
          <cell r="F99">
            <v>1.3</v>
          </cell>
          <cell r="G99">
            <v>152</v>
          </cell>
          <cell r="H99">
            <v>157</v>
          </cell>
          <cell r="I99">
            <v>309</v>
          </cell>
          <cell r="J99">
            <v>1.6</v>
          </cell>
          <cell r="K99">
            <v>1.6</v>
          </cell>
          <cell r="L99">
            <v>1.6</v>
          </cell>
        </row>
        <row r="100">
          <cell r="B100" t="str">
            <v>Phaïm Ñöùc Thieäp</v>
          </cell>
          <cell r="C100" t="str">
            <v>Xe xuùc</v>
          </cell>
          <cell r="D100">
            <v>1.2</v>
          </cell>
          <cell r="E100">
            <v>1.2</v>
          </cell>
          <cell r="F100">
            <v>1.2</v>
          </cell>
          <cell r="G100">
            <v>151</v>
          </cell>
          <cell r="H100">
            <v>147</v>
          </cell>
          <cell r="I100">
            <v>298</v>
          </cell>
          <cell r="J100">
            <v>1.4</v>
          </cell>
          <cell r="K100">
            <v>1.4</v>
          </cell>
          <cell r="L100">
            <v>1.4</v>
          </cell>
        </row>
        <row r="101">
          <cell r="B101" t="str">
            <v>Nguyeãn Xuaân Thaønh</v>
          </cell>
          <cell r="C101" t="str">
            <v>"</v>
          </cell>
          <cell r="D101">
            <v>1.2</v>
          </cell>
          <cell r="E101">
            <v>1.2</v>
          </cell>
          <cell r="F101">
            <v>1.2</v>
          </cell>
          <cell r="G101">
            <v>151</v>
          </cell>
          <cell r="H101">
            <v>150.5</v>
          </cell>
          <cell r="I101">
            <v>301.5</v>
          </cell>
          <cell r="J101">
            <v>1.4</v>
          </cell>
          <cell r="K101">
            <v>1.4</v>
          </cell>
          <cell r="L101">
            <v>1.4</v>
          </cell>
        </row>
        <row r="102">
          <cell r="B102" t="str">
            <v>Nguyeãn Ñöùc Thaéng</v>
          </cell>
          <cell r="C102" t="str">
            <v>X.xuùc 300</v>
          </cell>
          <cell r="D102">
            <v>1.2</v>
          </cell>
          <cell r="E102">
            <v>1.2</v>
          </cell>
          <cell r="F102">
            <v>1.2</v>
          </cell>
          <cell r="G102">
            <v>150</v>
          </cell>
          <cell r="H102">
            <v>151.5</v>
          </cell>
          <cell r="I102">
            <v>301.5</v>
          </cell>
          <cell r="J102">
            <v>1.6</v>
          </cell>
          <cell r="K102">
            <v>1.4</v>
          </cell>
          <cell r="L102">
            <v>1.5</v>
          </cell>
        </row>
        <row r="103">
          <cell r="B103" t="str">
            <v>Nguyeãn Thaønh Thoaïi</v>
          </cell>
          <cell r="C103" t="str">
            <v>Daewoo</v>
          </cell>
          <cell r="D103">
            <v>1.2</v>
          </cell>
          <cell r="E103">
            <v>1.2</v>
          </cell>
          <cell r="F103">
            <v>1.2</v>
          </cell>
          <cell r="G103">
            <v>138</v>
          </cell>
          <cell r="H103">
            <v>157</v>
          </cell>
          <cell r="I103">
            <v>295</v>
          </cell>
          <cell r="J103">
            <v>1.4</v>
          </cell>
          <cell r="K103">
            <v>1.6</v>
          </cell>
          <cell r="L103">
            <v>1.5</v>
          </cell>
        </row>
        <row r="104">
          <cell r="B104" t="str">
            <v>Ngoâ Vaên Taân</v>
          </cell>
          <cell r="C104" t="str">
            <v>Xe cuoác</v>
          </cell>
          <cell r="D104">
            <v>1.2</v>
          </cell>
          <cell r="E104">
            <v>1.2</v>
          </cell>
          <cell r="F104">
            <v>1.2</v>
          </cell>
          <cell r="G104">
            <v>153</v>
          </cell>
          <cell r="H104">
            <v>141</v>
          </cell>
          <cell r="I104">
            <v>294</v>
          </cell>
          <cell r="J104">
            <v>1.6</v>
          </cell>
          <cell r="K104">
            <v>1.2</v>
          </cell>
          <cell r="L104">
            <v>1.4</v>
          </cell>
        </row>
        <row r="105">
          <cell r="B105" t="str">
            <v>Buøi Quang Baèng</v>
          </cell>
          <cell r="C105" t="str">
            <v>Xe naâng</v>
          </cell>
          <cell r="D105">
            <v>1.2</v>
          </cell>
          <cell r="E105">
            <v>1.2</v>
          </cell>
          <cell r="F105">
            <v>1.2</v>
          </cell>
          <cell r="G105">
            <v>149</v>
          </cell>
          <cell r="H105">
            <v>155</v>
          </cell>
          <cell r="I105">
            <v>304</v>
          </cell>
          <cell r="J105">
            <v>1.4</v>
          </cell>
          <cell r="K105">
            <v>1.4</v>
          </cell>
          <cell r="L105">
            <v>1.4</v>
          </cell>
        </row>
        <row r="106">
          <cell r="B106" t="str">
            <v>Ngoâ Vaên Thaân</v>
          </cell>
          <cell r="C106" t="str">
            <v>Xe naâng</v>
          </cell>
          <cell r="D106">
            <v>1.2</v>
          </cell>
          <cell r="E106">
            <v>1.2</v>
          </cell>
          <cell r="F106">
            <v>1.2</v>
          </cell>
          <cell r="G106">
            <v>134</v>
          </cell>
          <cell r="H106">
            <v>157</v>
          </cell>
          <cell r="I106">
            <v>291</v>
          </cell>
          <cell r="J106">
            <v>1.2</v>
          </cell>
          <cell r="K106">
            <v>1.4</v>
          </cell>
          <cell r="L106">
            <v>1.2999999999999998</v>
          </cell>
        </row>
        <row r="107">
          <cell r="B107" t="str">
            <v>Buøi Quang Laäp</v>
          </cell>
          <cell r="C107" t="str">
            <v>Xe naâng</v>
          </cell>
          <cell r="D107">
            <v>1.2</v>
          </cell>
          <cell r="E107">
            <v>1.2</v>
          </cell>
          <cell r="F107">
            <v>1.2</v>
          </cell>
          <cell r="G107">
            <v>150</v>
          </cell>
          <cell r="H107">
            <v>147</v>
          </cell>
          <cell r="I107">
            <v>297</v>
          </cell>
          <cell r="J107">
            <v>1.2</v>
          </cell>
          <cell r="K107">
            <v>1.4</v>
          </cell>
          <cell r="L107">
            <v>1.2999999999999998</v>
          </cell>
        </row>
        <row r="108">
          <cell r="B108" t="str">
            <v>Phan Thanh Trung</v>
          </cell>
          <cell r="C108" t="str">
            <v>Xe naâng</v>
          </cell>
          <cell r="D108">
            <v>1.2</v>
          </cell>
          <cell r="E108">
            <v>1.2</v>
          </cell>
          <cell r="F108">
            <v>1.2</v>
          </cell>
          <cell r="G108">
            <v>149</v>
          </cell>
          <cell r="H108">
            <v>157</v>
          </cell>
          <cell r="I108">
            <v>306</v>
          </cell>
          <cell r="J108">
            <v>1.4</v>
          </cell>
          <cell r="K108">
            <v>1.4</v>
          </cell>
          <cell r="L108">
            <v>1.4</v>
          </cell>
        </row>
        <row r="109">
          <cell r="B109" t="str">
            <v>Laâm Hoàng Thu</v>
          </cell>
          <cell r="C109" t="str">
            <v>Xe naâng</v>
          </cell>
          <cell r="D109">
            <v>1.2</v>
          </cell>
          <cell r="E109">
            <v>1.2</v>
          </cell>
          <cell r="F109">
            <v>1.2</v>
          </cell>
          <cell r="G109">
            <v>50</v>
          </cell>
          <cell r="H109">
            <v>157</v>
          </cell>
          <cell r="I109">
            <v>207</v>
          </cell>
          <cell r="J109">
            <v>1.4</v>
          </cell>
          <cell r="K109">
            <v>1.2</v>
          </cell>
          <cell r="L109">
            <v>1.2999999999999998</v>
          </cell>
        </row>
        <row r="110">
          <cell r="B110" t="str">
            <v>Hoà Ngoïc Lôïi</v>
          </cell>
          <cell r="C110" t="str">
            <v>"</v>
          </cell>
          <cell r="D110">
            <v>1.2</v>
          </cell>
          <cell r="E110">
            <v>1.2</v>
          </cell>
          <cell r="F110">
            <v>1.2</v>
          </cell>
          <cell r="G110">
            <v>150</v>
          </cell>
          <cell r="H110">
            <v>145</v>
          </cell>
          <cell r="I110">
            <v>295</v>
          </cell>
          <cell r="J110">
            <v>1</v>
          </cell>
          <cell r="K110">
            <v>1.4</v>
          </cell>
          <cell r="L110">
            <v>1.2</v>
          </cell>
        </row>
        <row r="112">
          <cell r="B112" t="str">
            <v xml:space="preserve"> Ghi chuù :</v>
          </cell>
          <cell r="C112" t="str">
            <v>Heä soá xeáp loaïi : (1,6 = xuaát saéc ; 1,4 = Loaïi A ; 1,2 = Loaïi B ; 1,0 = loaïi C)</v>
          </cell>
        </row>
        <row r="113">
          <cell r="B113" t="str">
            <v xml:space="preserve"> * Toång hôïp :</v>
          </cell>
          <cell r="C113" t="str">
            <v>Loaïi XS</v>
          </cell>
          <cell r="D113">
            <v>10</v>
          </cell>
        </row>
        <row r="114">
          <cell r="C114" t="str">
            <v>Loaïi A</v>
          </cell>
          <cell r="D114">
            <v>24</v>
          </cell>
        </row>
        <row r="115">
          <cell r="C115" t="str">
            <v>Loaïi B</v>
          </cell>
          <cell r="D115">
            <v>11</v>
          </cell>
        </row>
        <row r="116">
          <cell r="C116" t="str">
            <v>Loaïi C</v>
          </cell>
          <cell r="D116">
            <v>11</v>
          </cell>
          <cell r="I116" t="str">
            <v>Ngaøy ___ thaùng ____ naêm 2002</v>
          </cell>
        </row>
        <row r="117">
          <cell r="B117" t="str">
            <v>Ngöôøi laäp</v>
          </cell>
          <cell r="D117">
            <v>56</v>
          </cell>
          <cell r="J117" t="str">
            <v>Phoøng Keá hoaïch</v>
          </cell>
        </row>
        <row r="129">
          <cell r="B129" t="str">
            <v>Phuøng Höõu Thònh</v>
          </cell>
          <cell r="C129" t="str">
            <v>TP</v>
          </cell>
          <cell r="D129">
            <v>1.9</v>
          </cell>
          <cell r="E129">
            <v>1.9</v>
          </cell>
          <cell r="F129">
            <v>1.9</v>
          </cell>
          <cell r="G129">
            <v>153</v>
          </cell>
          <cell r="H129">
            <v>157</v>
          </cell>
          <cell r="I129">
            <v>310</v>
          </cell>
          <cell r="J129">
            <v>1.6</v>
          </cell>
          <cell r="K129">
            <v>1.6</v>
          </cell>
          <cell r="L129">
            <v>1.6</v>
          </cell>
        </row>
        <row r="130">
          <cell r="B130" t="str">
            <v>Huyønh Quang Vöõng</v>
          </cell>
          <cell r="C130" t="str">
            <v>PP</v>
          </cell>
          <cell r="D130">
            <v>1.75</v>
          </cell>
          <cell r="E130">
            <v>1.75</v>
          </cell>
          <cell r="F130">
            <v>1.75</v>
          </cell>
          <cell r="G130">
            <v>152</v>
          </cell>
          <cell r="H130">
            <v>157</v>
          </cell>
          <cell r="I130">
            <v>309</v>
          </cell>
          <cell r="J130">
            <v>1.6</v>
          </cell>
          <cell r="K130">
            <v>1.6</v>
          </cell>
          <cell r="L130">
            <v>1.6</v>
          </cell>
        </row>
        <row r="131">
          <cell r="B131" t="str">
            <v>Nguyeãn Thò Kim Anh</v>
          </cell>
          <cell r="C131" t="str">
            <v>N.V</v>
          </cell>
          <cell r="D131">
            <v>1.3</v>
          </cell>
          <cell r="E131">
            <v>1.3</v>
          </cell>
          <cell r="F131">
            <v>1.3</v>
          </cell>
          <cell r="G131">
            <v>151</v>
          </cell>
          <cell r="H131">
            <v>155</v>
          </cell>
          <cell r="I131">
            <v>306</v>
          </cell>
          <cell r="J131">
            <v>1.6</v>
          </cell>
          <cell r="K131">
            <v>1.6</v>
          </cell>
          <cell r="L131">
            <v>1.6</v>
          </cell>
        </row>
        <row r="132">
          <cell r="B132" t="str">
            <v>Nguyeãn Baù Toång</v>
          </cell>
          <cell r="C132" t="str">
            <v>N.V</v>
          </cell>
          <cell r="D132">
            <v>1.25</v>
          </cell>
          <cell r="E132">
            <v>1.25</v>
          </cell>
          <cell r="F132">
            <v>1.25</v>
          </cell>
          <cell r="G132">
            <v>151</v>
          </cell>
          <cell r="H132">
            <v>152</v>
          </cell>
          <cell r="I132">
            <v>303</v>
          </cell>
          <cell r="J132">
            <v>1.2</v>
          </cell>
          <cell r="K132">
            <v>1.4</v>
          </cell>
          <cell r="L132">
            <v>1.2999999999999998</v>
          </cell>
        </row>
        <row r="133">
          <cell r="B133" t="str">
            <v>Mai Thaønh Chính</v>
          </cell>
          <cell r="C133" t="str">
            <v>N.V</v>
          </cell>
          <cell r="D133">
            <v>1.25</v>
          </cell>
          <cell r="E133">
            <v>1.25</v>
          </cell>
          <cell r="F133">
            <v>1.25</v>
          </cell>
          <cell r="G133">
            <v>151</v>
          </cell>
          <cell r="H133">
            <v>157</v>
          </cell>
          <cell r="I133">
            <v>308</v>
          </cell>
          <cell r="J133">
            <v>1.2</v>
          </cell>
          <cell r="K133">
            <v>1.4</v>
          </cell>
          <cell r="L133">
            <v>1.2999999999999998</v>
          </cell>
        </row>
        <row r="134">
          <cell r="B134" t="str">
            <v>Traàn Phuù Thuyû</v>
          </cell>
          <cell r="C134" t="str">
            <v>NV</v>
          </cell>
          <cell r="D134">
            <v>1.2</v>
          </cell>
          <cell r="E134">
            <v>1.2</v>
          </cell>
          <cell r="F134">
            <v>1.2</v>
          </cell>
          <cell r="G134">
            <v>151</v>
          </cell>
          <cell r="H134">
            <v>157</v>
          </cell>
          <cell r="I134">
            <v>308</v>
          </cell>
          <cell r="J134">
            <v>1.6</v>
          </cell>
          <cell r="K134">
            <v>1.6</v>
          </cell>
          <cell r="L134">
            <v>1.6</v>
          </cell>
        </row>
        <row r="135">
          <cell r="B135" t="str">
            <v>Nguyeãn Vaên Hoaøng</v>
          </cell>
          <cell r="C135" t="str">
            <v>AÙp taûi</v>
          </cell>
          <cell r="D135">
            <v>1.1000000000000001</v>
          </cell>
          <cell r="E135">
            <v>1.1000000000000001</v>
          </cell>
          <cell r="F135">
            <v>1.1000000000000001</v>
          </cell>
          <cell r="G135">
            <v>142</v>
          </cell>
          <cell r="H135">
            <v>157</v>
          </cell>
          <cell r="I135">
            <v>299</v>
          </cell>
          <cell r="J135">
            <v>1.4</v>
          </cell>
          <cell r="K135">
            <v>1.4</v>
          </cell>
          <cell r="L135">
            <v>1.4</v>
          </cell>
        </row>
        <row r="136">
          <cell r="B136" t="str">
            <v>Huyønh Vaên Bình</v>
          </cell>
          <cell r="C136" t="str">
            <v>AÙp taûi</v>
          </cell>
          <cell r="D136">
            <v>1.1000000000000001</v>
          </cell>
          <cell r="E136">
            <v>1.1000000000000001</v>
          </cell>
          <cell r="F136">
            <v>1.1000000000000001</v>
          </cell>
          <cell r="G136">
            <v>151</v>
          </cell>
          <cell r="H136">
            <v>152</v>
          </cell>
          <cell r="I136">
            <v>303</v>
          </cell>
          <cell r="J136">
            <v>1.4</v>
          </cell>
          <cell r="K136">
            <v>1.4</v>
          </cell>
          <cell r="L136">
            <v>1.4</v>
          </cell>
        </row>
        <row r="137">
          <cell r="B137" t="str">
            <v>Tröông Thaønh Taâm</v>
          </cell>
          <cell r="C137" t="str">
            <v>AÙp taûi</v>
          </cell>
          <cell r="D137">
            <v>1.1000000000000001</v>
          </cell>
          <cell r="E137">
            <v>1.1000000000000001</v>
          </cell>
          <cell r="F137">
            <v>1.1000000000000001</v>
          </cell>
          <cell r="G137">
            <v>151</v>
          </cell>
          <cell r="H137">
            <v>154</v>
          </cell>
          <cell r="I137">
            <v>305</v>
          </cell>
          <cell r="J137">
            <v>1.4</v>
          </cell>
          <cell r="K137">
            <v>1.4</v>
          </cell>
          <cell r="L137">
            <v>1.4</v>
          </cell>
        </row>
        <row r="138">
          <cell r="B138" t="str">
            <v>Laâm Anh Duõng</v>
          </cell>
          <cell r="C138" t="str">
            <v>AÙp taûi</v>
          </cell>
          <cell r="D138">
            <v>1.1000000000000001</v>
          </cell>
          <cell r="E138">
            <v>1.1000000000000001</v>
          </cell>
          <cell r="F138">
            <v>1.1000000000000001</v>
          </cell>
          <cell r="G138">
            <v>151</v>
          </cell>
          <cell r="H138">
            <v>157</v>
          </cell>
          <cell r="I138">
            <v>308</v>
          </cell>
          <cell r="J138">
            <v>1.4</v>
          </cell>
          <cell r="K138">
            <v>1.4</v>
          </cell>
          <cell r="L138">
            <v>1.4</v>
          </cell>
        </row>
        <row r="139">
          <cell r="B139" t="str">
            <v>Huyønh Thieän Phong</v>
          </cell>
          <cell r="C139" t="str">
            <v>AÙp taûi</v>
          </cell>
          <cell r="D139">
            <v>1.1000000000000001</v>
          </cell>
          <cell r="E139">
            <v>1.1000000000000001</v>
          </cell>
          <cell r="F139">
            <v>1.1000000000000001</v>
          </cell>
          <cell r="G139">
            <v>145</v>
          </cell>
          <cell r="H139">
            <v>157</v>
          </cell>
          <cell r="I139">
            <v>302</v>
          </cell>
          <cell r="J139">
            <v>1.4</v>
          </cell>
          <cell r="K139">
            <v>1.4</v>
          </cell>
          <cell r="L139">
            <v>1.4</v>
          </cell>
        </row>
        <row r="140">
          <cell r="B140" t="str">
            <v>Vuõ Quoác Vieät</v>
          </cell>
          <cell r="C140" t="str">
            <v>AÙp taûi</v>
          </cell>
          <cell r="D140">
            <v>1.1000000000000001</v>
          </cell>
          <cell r="E140">
            <v>1.1000000000000001</v>
          </cell>
          <cell r="F140">
            <v>1.1000000000000001</v>
          </cell>
          <cell r="G140">
            <v>151</v>
          </cell>
          <cell r="H140">
            <v>157</v>
          </cell>
          <cell r="I140">
            <v>308</v>
          </cell>
          <cell r="J140">
            <v>1.4</v>
          </cell>
          <cell r="K140">
            <v>1.4</v>
          </cell>
          <cell r="L140">
            <v>1.4</v>
          </cell>
        </row>
        <row r="141">
          <cell r="B141" t="str">
            <v>Nguyeãn Phöông Phan</v>
          </cell>
          <cell r="C141" t="str">
            <v>AÙp taûi</v>
          </cell>
          <cell r="D141">
            <v>1.1000000000000001</v>
          </cell>
          <cell r="E141">
            <v>1.1000000000000001</v>
          </cell>
          <cell r="F141">
            <v>1.1000000000000001</v>
          </cell>
          <cell r="G141">
            <v>151</v>
          </cell>
          <cell r="H141">
            <v>154</v>
          </cell>
          <cell r="I141">
            <v>305</v>
          </cell>
          <cell r="J141">
            <v>1.4</v>
          </cell>
          <cell r="K141">
            <v>1.2</v>
          </cell>
          <cell r="L141">
            <v>1.2999999999999998</v>
          </cell>
        </row>
        <row r="142">
          <cell r="B142" t="str">
            <v>Nguyeãn Quoác Maïnh</v>
          </cell>
          <cell r="C142" t="str">
            <v>AÙp taûi</v>
          </cell>
          <cell r="D142">
            <v>1.1000000000000001</v>
          </cell>
          <cell r="E142">
            <v>1.1000000000000001</v>
          </cell>
          <cell r="F142">
            <v>1.1000000000000001</v>
          </cell>
          <cell r="G142">
            <v>151</v>
          </cell>
          <cell r="H142">
            <v>157</v>
          </cell>
          <cell r="I142">
            <v>308</v>
          </cell>
          <cell r="J142">
            <v>1.4</v>
          </cell>
          <cell r="K142">
            <v>1.4</v>
          </cell>
          <cell r="L142">
            <v>1.4</v>
          </cell>
        </row>
        <row r="143">
          <cell r="B143" t="str">
            <v>Traàn Vieát Khoâi</v>
          </cell>
          <cell r="C143" t="str">
            <v>NV</v>
          </cell>
          <cell r="E143">
            <v>0.9375</v>
          </cell>
          <cell r="F143">
            <v>0.9375</v>
          </cell>
          <cell r="H143">
            <v>72</v>
          </cell>
          <cell r="I143">
            <v>72</v>
          </cell>
          <cell r="K143">
            <v>1.4</v>
          </cell>
          <cell r="L143">
            <v>1.4</v>
          </cell>
        </row>
        <row r="144">
          <cell r="B144" t="str">
            <v>Laâm Minh Vöông</v>
          </cell>
          <cell r="C144" t="str">
            <v>T.CN</v>
          </cell>
          <cell r="D144">
            <v>1.6</v>
          </cell>
          <cell r="E144">
            <v>1.6</v>
          </cell>
          <cell r="F144">
            <v>1.6</v>
          </cell>
          <cell r="G144">
            <v>152</v>
          </cell>
          <cell r="H144">
            <v>157</v>
          </cell>
          <cell r="I144">
            <v>309</v>
          </cell>
          <cell r="J144">
            <v>1.6</v>
          </cell>
          <cell r="K144">
            <v>1.6</v>
          </cell>
          <cell r="L144">
            <v>1.6</v>
          </cell>
        </row>
        <row r="145">
          <cell r="B145" t="str">
            <v>Leâ Thaønh Líp</v>
          </cell>
          <cell r="C145" t="str">
            <v>KT</v>
          </cell>
          <cell r="D145">
            <v>1.3</v>
          </cell>
          <cell r="E145">
            <v>1.3416666666666668</v>
          </cell>
          <cell r="F145">
            <v>1.3208333333333333</v>
          </cell>
          <cell r="G145">
            <v>153</v>
          </cell>
          <cell r="H145">
            <v>157</v>
          </cell>
          <cell r="I145">
            <v>310</v>
          </cell>
          <cell r="J145">
            <v>1.6</v>
          </cell>
          <cell r="K145">
            <v>1.6</v>
          </cell>
          <cell r="L145">
            <v>1.6</v>
          </cell>
        </row>
        <row r="146">
          <cell r="B146" t="str">
            <v>Voõ Hoaøng Trung</v>
          </cell>
          <cell r="C146" t="str">
            <v>NV</v>
          </cell>
          <cell r="D146">
            <v>1.25</v>
          </cell>
          <cell r="E146">
            <v>1.3</v>
          </cell>
          <cell r="F146">
            <v>1.2749999999999999</v>
          </cell>
          <cell r="G146">
            <v>151</v>
          </cell>
          <cell r="H146">
            <v>157</v>
          </cell>
          <cell r="I146">
            <v>308</v>
          </cell>
          <cell r="J146">
            <v>1.6</v>
          </cell>
          <cell r="K146">
            <v>1.6</v>
          </cell>
          <cell r="L146">
            <v>1.6</v>
          </cell>
        </row>
        <row r="147">
          <cell r="B147" t="str">
            <v>Voõ Thoáng Nhaát</v>
          </cell>
          <cell r="C147" t="str">
            <v>Thuû quyõ</v>
          </cell>
          <cell r="D147">
            <v>1.2</v>
          </cell>
          <cell r="E147">
            <v>1.2</v>
          </cell>
          <cell r="F147">
            <v>1.2</v>
          </cell>
          <cell r="G147">
            <v>151</v>
          </cell>
          <cell r="H147">
            <v>157</v>
          </cell>
          <cell r="I147">
            <v>308</v>
          </cell>
          <cell r="J147">
            <v>1.4</v>
          </cell>
          <cell r="K147">
            <v>1.4</v>
          </cell>
          <cell r="L147">
            <v>1.4</v>
          </cell>
        </row>
        <row r="148">
          <cell r="B148" t="str">
            <v>Voõ Hoàng Taâm</v>
          </cell>
          <cell r="C148" t="str">
            <v>Thuû quyõ</v>
          </cell>
          <cell r="D148">
            <v>1.2</v>
          </cell>
          <cell r="E148">
            <v>1.2</v>
          </cell>
          <cell r="F148">
            <v>1.2</v>
          </cell>
          <cell r="G148">
            <v>153</v>
          </cell>
          <cell r="H148">
            <v>157</v>
          </cell>
          <cell r="I148">
            <v>310</v>
          </cell>
          <cell r="J148">
            <v>1.6</v>
          </cell>
          <cell r="K148">
            <v>1.4</v>
          </cell>
          <cell r="L148">
            <v>1.5</v>
          </cell>
        </row>
        <row r="149">
          <cell r="B149" t="str">
            <v>Nguyeãn Thaønh Thaân</v>
          </cell>
          <cell r="C149" t="str">
            <v>KT</v>
          </cell>
          <cell r="D149">
            <v>1.2</v>
          </cell>
          <cell r="E149">
            <v>1.2</v>
          </cell>
          <cell r="F149">
            <v>1.2</v>
          </cell>
          <cell r="G149">
            <v>105</v>
          </cell>
          <cell r="H149">
            <v>153</v>
          </cell>
          <cell r="I149">
            <v>258</v>
          </cell>
          <cell r="J149">
            <v>1.4</v>
          </cell>
          <cell r="K149">
            <v>1.4</v>
          </cell>
          <cell r="L149">
            <v>1.4</v>
          </cell>
        </row>
        <row r="150">
          <cell r="B150" t="str">
            <v>Ñinh Ñöùc Chính</v>
          </cell>
          <cell r="C150" t="str">
            <v>L.Xe</v>
          </cell>
          <cell r="D150">
            <v>1.1666666666666667</v>
          </cell>
          <cell r="E150">
            <v>1.1000000000000001</v>
          </cell>
          <cell r="F150">
            <v>1.1333333333333333</v>
          </cell>
          <cell r="G150">
            <v>152</v>
          </cell>
          <cell r="H150">
            <v>157</v>
          </cell>
          <cell r="I150">
            <v>309</v>
          </cell>
          <cell r="J150">
            <v>1.4</v>
          </cell>
          <cell r="K150">
            <v>1.4</v>
          </cell>
          <cell r="L150">
            <v>1.4</v>
          </cell>
        </row>
        <row r="151">
          <cell r="B151" t="str">
            <v>Buøi Tieán Coâng</v>
          </cell>
          <cell r="C151" t="str">
            <v>"</v>
          </cell>
          <cell r="D151">
            <v>1.2</v>
          </cell>
          <cell r="E151">
            <v>1.2</v>
          </cell>
          <cell r="F151">
            <v>1.2</v>
          </cell>
          <cell r="G151">
            <v>153</v>
          </cell>
          <cell r="H151">
            <v>157</v>
          </cell>
          <cell r="I151">
            <v>310</v>
          </cell>
          <cell r="J151">
            <v>1.4</v>
          </cell>
          <cell r="K151">
            <v>1.2</v>
          </cell>
          <cell r="L151">
            <v>1.2999999999999998</v>
          </cell>
        </row>
        <row r="152">
          <cell r="B152" t="str">
            <v>Phaïm Vaên Nhieàu</v>
          </cell>
          <cell r="C152" t="str">
            <v>"</v>
          </cell>
          <cell r="D152">
            <v>1.2</v>
          </cell>
          <cell r="E152">
            <v>1.2</v>
          </cell>
          <cell r="F152">
            <v>1.2</v>
          </cell>
          <cell r="G152">
            <v>150</v>
          </cell>
          <cell r="H152">
            <v>157</v>
          </cell>
          <cell r="I152">
            <v>307</v>
          </cell>
          <cell r="J152">
            <v>1.4</v>
          </cell>
          <cell r="K152">
            <v>1.4</v>
          </cell>
          <cell r="L152">
            <v>1.4</v>
          </cell>
        </row>
        <row r="153">
          <cell r="B153" t="str">
            <v>Phaïm Anh Huøng</v>
          </cell>
          <cell r="C153" t="str">
            <v>"</v>
          </cell>
          <cell r="D153">
            <v>1.2</v>
          </cell>
          <cell r="E153">
            <v>1.2</v>
          </cell>
          <cell r="F153">
            <v>1.2</v>
          </cell>
          <cell r="G153">
            <v>150</v>
          </cell>
          <cell r="H153">
            <v>52</v>
          </cell>
          <cell r="I153">
            <v>202</v>
          </cell>
          <cell r="J153">
            <v>1.4</v>
          </cell>
          <cell r="K153">
            <v>1.2</v>
          </cell>
          <cell r="L153">
            <v>1.2999999999999998</v>
          </cell>
        </row>
        <row r="154">
          <cell r="B154" t="str">
            <v>Ñaøo Ngoïc Höông</v>
          </cell>
          <cell r="C154" t="str">
            <v>"</v>
          </cell>
          <cell r="D154">
            <v>1.2</v>
          </cell>
          <cell r="E154">
            <v>1.2</v>
          </cell>
          <cell r="F154">
            <v>1.2</v>
          </cell>
          <cell r="G154">
            <v>150</v>
          </cell>
          <cell r="H154">
            <v>157</v>
          </cell>
          <cell r="I154">
            <v>307</v>
          </cell>
          <cell r="J154">
            <v>1.6</v>
          </cell>
          <cell r="K154">
            <v>1.4</v>
          </cell>
          <cell r="L154">
            <v>1.5</v>
          </cell>
        </row>
        <row r="155">
          <cell r="B155" t="str">
            <v>Voõ Thaønh Nhaân</v>
          </cell>
          <cell r="C155" t="str">
            <v>"</v>
          </cell>
          <cell r="D155">
            <v>1.2</v>
          </cell>
          <cell r="E155">
            <v>1.2</v>
          </cell>
          <cell r="F155">
            <v>1.2</v>
          </cell>
          <cell r="G155">
            <v>72</v>
          </cell>
          <cell r="H155">
            <v>157</v>
          </cell>
          <cell r="I155">
            <v>229</v>
          </cell>
          <cell r="J155">
            <v>1.2</v>
          </cell>
          <cell r="K155">
            <v>1.4</v>
          </cell>
          <cell r="L155">
            <v>1.2999999999999998</v>
          </cell>
        </row>
        <row r="156">
          <cell r="B156" t="str">
            <v>Nguyeãn Ñaêng Khoa</v>
          </cell>
          <cell r="C156" t="str">
            <v>"</v>
          </cell>
          <cell r="E156">
            <v>1.1000000000000001</v>
          </cell>
          <cell r="F156">
            <v>1.1000000000000001</v>
          </cell>
          <cell r="H156">
            <v>125</v>
          </cell>
          <cell r="I156">
            <v>125</v>
          </cell>
          <cell r="K156">
            <v>1.4</v>
          </cell>
          <cell r="L156">
            <v>1.4</v>
          </cell>
        </row>
        <row r="157">
          <cell r="B157" t="str">
            <v>Nguyeãn Phuù Quoác</v>
          </cell>
          <cell r="C157" t="str">
            <v>"</v>
          </cell>
          <cell r="E157">
            <v>0.9</v>
          </cell>
          <cell r="F157">
            <v>0.9</v>
          </cell>
          <cell r="H157">
            <v>73</v>
          </cell>
          <cell r="I157">
            <v>73</v>
          </cell>
          <cell r="K157">
            <v>1.4</v>
          </cell>
          <cell r="L157">
            <v>1.4</v>
          </cell>
        </row>
        <row r="159">
          <cell r="B159" t="str">
            <v>BQL Chaát Löôïng:</v>
          </cell>
        </row>
        <row r="160">
          <cell r="B160" t="str">
            <v>Nguyeãn Thoaïi Oanh</v>
          </cell>
          <cell r="C160" t="str">
            <v>Tban</v>
          </cell>
          <cell r="D160">
            <v>1.75</v>
          </cell>
          <cell r="E160">
            <v>1.75</v>
          </cell>
          <cell r="F160">
            <v>1.75</v>
          </cell>
          <cell r="G160">
            <v>152</v>
          </cell>
          <cell r="H160">
            <v>157</v>
          </cell>
          <cell r="I160">
            <v>309</v>
          </cell>
          <cell r="J160">
            <v>1.6</v>
          </cell>
          <cell r="K160">
            <v>1.6</v>
          </cell>
          <cell r="L160">
            <v>1.6</v>
          </cell>
        </row>
        <row r="161">
          <cell r="B161" t="str">
            <v>Nguyeãn Höõu Hieáu</v>
          </cell>
          <cell r="C161" t="str">
            <v>NV</v>
          </cell>
          <cell r="D161">
            <v>1.25</v>
          </cell>
          <cell r="E161">
            <v>1.25</v>
          </cell>
          <cell r="F161">
            <v>1.25</v>
          </cell>
          <cell r="G161">
            <v>154</v>
          </cell>
          <cell r="H161">
            <v>157</v>
          </cell>
          <cell r="I161">
            <v>311</v>
          </cell>
          <cell r="J161">
            <v>1.6</v>
          </cell>
          <cell r="K161">
            <v>1.4</v>
          </cell>
          <cell r="L161">
            <v>1.5</v>
          </cell>
        </row>
        <row r="162">
          <cell r="B162" t="str">
            <v>Phaïm Vaên Haûi</v>
          </cell>
          <cell r="C162" t="str">
            <v>NV</v>
          </cell>
          <cell r="D162">
            <v>1.375</v>
          </cell>
          <cell r="E162">
            <v>1.3120000000000001</v>
          </cell>
          <cell r="F162">
            <v>1.3435000000000001</v>
          </cell>
          <cell r="G162">
            <v>144</v>
          </cell>
          <cell r="H162">
            <v>157</v>
          </cell>
          <cell r="I162">
            <v>301</v>
          </cell>
          <cell r="J162">
            <v>1.6</v>
          </cell>
          <cell r="K162">
            <v>1.4</v>
          </cell>
          <cell r="L162">
            <v>1.5</v>
          </cell>
        </row>
        <row r="164">
          <cell r="B164" t="str">
            <v xml:space="preserve"> Ghi chuù :</v>
          </cell>
          <cell r="C164" t="str">
            <v>Heä soá xeáp loaïi : (1,6 = xuaát saéc ; 1,4 = Loaïi A ; 1,2 = Loaïi B ; 1,0 = loaïi C)</v>
          </cell>
        </row>
        <row r="165">
          <cell r="B165" t="str">
            <v xml:space="preserve"> * Toång hôïp :</v>
          </cell>
          <cell r="C165" t="str">
            <v>Loaïi XS</v>
          </cell>
          <cell r="D165">
            <v>8</v>
          </cell>
          <cell r="E165" t="str">
            <v xml:space="preserve"> (BQL-CL 01)</v>
          </cell>
        </row>
        <row r="166">
          <cell r="C166" t="str">
            <v>Loaïi A</v>
          </cell>
          <cell r="D166">
            <v>21</v>
          </cell>
          <cell r="E166" t="str">
            <v xml:space="preserve"> (BQL-CL 02)</v>
          </cell>
        </row>
        <row r="167">
          <cell r="C167" t="str">
            <v>Loaïi B</v>
          </cell>
          <cell r="D167">
            <v>3</v>
          </cell>
        </row>
        <row r="168">
          <cell r="C168" t="str">
            <v>Loaïi C</v>
          </cell>
          <cell r="D168">
            <v>0</v>
          </cell>
          <cell r="I168" t="str">
            <v>Ngaøy ___ thaùng ____ naêm 2002</v>
          </cell>
        </row>
        <row r="169">
          <cell r="B169" t="str">
            <v xml:space="preserve">                           Coäng :</v>
          </cell>
          <cell r="D169">
            <v>32</v>
          </cell>
        </row>
        <row r="170">
          <cell r="B170" t="str">
            <v>Ngöôøi laäp</v>
          </cell>
          <cell r="J170" t="str">
            <v>Phoøng Kinh doanh</v>
          </cell>
        </row>
        <row r="179">
          <cell r="B179" t="str">
            <v>Leâ Vaên Boán</v>
          </cell>
          <cell r="C179" t="str">
            <v>QÑPX</v>
          </cell>
          <cell r="D179">
            <v>1.75</v>
          </cell>
          <cell r="E179">
            <v>1.75</v>
          </cell>
          <cell r="F179">
            <v>1.75</v>
          </cell>
          <cell r="G179">
            <v>139</v>
          </cell>
          <cell r="H179">
            <v>157</v>
          </cell>
          <cell r="I179">
            <v>296</v>
          </cell>
          <cell r="J179">
            <v>1.6</v>
          </cell>
          <cell r="K179">
            <v>1.6</v>
          </cell>
          <cell r="L179">
            <v>1.6</v>
          </cell>
        </row>
        <row r="180">
          <cell r="B180" t="str">
            <v>Leâ Vieät Nam</v>
          </cell>
          <cell r="C180" t="str">
            <v>CBKT</v>
          </cell>
          <cell r="E180">
            <v>1.4</v>
          </cell>
          <cell r="F180">
            <v>1.4</v>
          </cell>
          <cell r="H180">
            <v>155</v>
          </cell>
          <cell r="I180">
            <v>155</v>
          </cell>
          <cell r="K180">
            <v>1.4</v>
          </cell>
          <cell r="L180">
            <v>1.4</v>
          </cell>
        </row>
        <row r="181">
          <cell r="B181" t="str">
            <v>Döông Kim Chi</v>
          </cell>
          <cell r="C181" t="str">
            <v>TK-PX</v>
          </cell>
          <cell r="D181">
            <v>1.2</v>
          </cell>
          <cell r="E181">
            <v>1.2</v>
          </cell>
          <cell r="F181">
            <v>1.2</v>
          </cell>
          <cell r="G181">
            <v>147</v>
          </cell>
          <cell r="H181">
            <v>153</v>
          </cell>
          <cell r="I181">
            <v>300</v>
          </cell>
          <cell r="J181">
            <v>1.4</v>
          </cell>
          <cell r="K181">
            <v>1.4</v>
          </cell>
          <cell r="L181">
            <v>1.4</v>
          </cell>
        </row>
        <row r="182">
          <cell r="B182" t="str">
            <v>Nguyeãn Khaéc Haûi</v>
          </cell>
          <cell r="C182" t="str">
            <v>CK.V/h</v>
          </cell>
          <cell r="D182">
            <v>1.25</v>
          </cell>
          <cell r="E182">
            <v>1.25</v>
          </cell>
          <cell r="F182">
            <v>1.25</v>
          </cell>
          <cell r="G182">
            <v>152</v>
          </cell>
          <cell r="H182">
            <v>157</v>
          </cell>
          <cell r="I182">
            <v>309</v>
          </cell>
          <cell r="J182">
            <v>1.4</v>
          </cell>
          <cell r="K182">
            <v>1.6</v>
          </cell>
          <cell r="L182">
            <v>1.5</v>
          </cell>
        </row>
        <row r="183">
          <cell r="B183" t="str">
            <v>Leâ Minh  Ñöùc</v>
          </cell>
          <cell r="C183" t="str">
            <v>TT.Khoan</v>
          </cell>
          <cell r="D183">
            <v>1.35</v>
          </cell>
          <cell r="E183">
            <v>1.35</v>
          </cell>
          <cell r="F183">
            <v>1.35</v>
          </cell>
          <cell r="G183">
            <v>152</v>
          </cell>
          <cell r="H183">
            <v>156</v>
          </cell>
          <cell r="I183">
            <v>308</v>
          </cell>
          <cell r="J183">
            <v>1.6</v>
          </cell>
          <cell r="K183">
            <v>1.4</v>
          </cell>
          <cell r="L183">
            <v>1.5</v>
          </cell>
        </row>
        <row r="184">
          <cell r="B184" t="str">
            <v>Giang Vaên Tónh</v>
          </cell>
          <cell r="C184" t="str">
            <v>Thôï khoan</v>
          </cell>
          <cell r="D184">
            <v>1.3</v>
          </cell>
          <cell r="E184">
            <v>1.3</v>
          </cell>
          <cell r="F184">
            <v>1.3</v>
          </cell>
          <cell r="G184">
            <v>151</v>
          </cell>
          <cell r="H184">
            <v>157</v>
          </cell>
          <cell r="I184">
            <v>308</v>
          </cell>
          <cell r="J184">
            <v>1.4</v>
          </cell>
          <cell r="K184">
            <v>1.4</v>
          </cell>
          <cell r="L184">
            <v>1.4</v>
          </cell>
        </row>
        <row r="185">
          <cell r="B185" t="str">
            <v>Trình Xuaân Baûng</v>
          </cell>
          <cell r="C185" t="str">
            <v>"</v>
          </cell>
          <cell r="D185">
            <v>1.3</v>
          </cell>
          <cell r="E185">
            <v>1.3</v>
          </cell>
          <cell r="F185">
            <v>1.3</v>
          </cell>
          <cell r="G185">
            <v>153</v>
          </cell>
          <cell r="H185">
            <v>157</v>
          </cell>
          <cell r="I185">
            <v>310</v>
          </cell>
          <cell r="J185">
            <v>1.4</v>
          </cell>
          <cell r="K185">
            <v>1.6</v>
          </cell>
          <cell r="L185">
            <v>1.5</v>
          </cell>
        </row>
        <row r="186">
          <cell r="B186" t="str">
            <v>Buøi Trung Tuaán</v>
          </cell>
          <cell r="C186" t="str">
            <v>"</v>
          </cell>
          <cell r="D186">
            <v>1.3</v>
          </cell>
          <cell r="E186">
            <v>1.3</v>
          </cell>
          <cell r="F186">
            <v>1.3</v>
          </cell>
          <cell r="G186">
            <v>151</v>
          </cell>
          <cell r="H186">
            <v>156</v>
          </cell>
          <cell r="I186">
            <v>307</v>
          </cell>
          <cell r="J186">
            <v>1.4</v>
          </cell>
          <cell r="K186">
            <v>1.4</v>
          </cell>
          <cell r="L186">
            <v>1.4</v>
          </cell>
        </row>
        <row r="187">
          <cell r="B187" t="str">
            <v>Phaïm Ngoïc Sôn</v>
          </cell>
          <cell r="C187" t="str">
            <v>"</v>
          </cell>
          <cell r="D187">
            <v>1.3</v>
          </cell>
          <cell r="E187">
            <v>1.3</v>
          </cell>
          <cell r="F187">
            <v>1.3</v>
          </cell>
          <cell r="G187">
            <v>151</v>
          </cell>
          <cell r="H187">
            <v>156</v>
          </cell>
          <cell r="I187">
            <v>307</v>
          </cell>
          <cell r="J187">
            <v>1.4</v>
          </cell>
          <cell r="K187">
            <v>1.4</v>
          </cell>
          <cell r="L187">
            <v>1.4</v>
          </cell>
        </row>
        <row r="188">
          <cell r="B188" t="str">
            <v>Ng. Ñình Nguyeân</v>
          </cell>
          <cell r="C188" t="str">
            <v>"</v>
          </cell>
          <cell r="D188">
            <v>1.3</v>
          </cell>
          <cell r="E188">
            <v>1.3</v>
          </cell>
          <cell r="F188">
            <v>1.3</v>
          </cell>
          <cell r="G188">
            <v>151</v>
          </cell>
          <cell r="H188">
            <v>157</v>
          </cell>
          <cell r="I188">
            <v>308</v>
          </cell>
          <cell r="J188">
            <v>1.4</v>
          </cell>
          <cell r="K188">
            <v>1.4</v>
          </cell>
          <cell r="L188">
            <v>1.4</v>
          </cell>
        </row>
        <row r="189">
          <cell r="B189" t="str">
            <v>Laïi Vaên Huyeân</v>
          </cell>
          <cell r="C189" t="str">
            <v>TT Pha boå</v>
          </cell>
          <cell r="D189">
            <v>1.2</v>
          </cell>
          <cell r="E189">
            <v>1.2</v>
          </cell>
          <cell r="F189">
            <v>1.2</v>
          </cell>
          <cell r="G189">
            <v>152</v>
          </cell>
          <cell r="H189">
            <v>157</v>
          </cell>
          <cell r="I189">
            <v>309</v>
          </cell>
          <cell r="J189">
            <v>1.6</v>
          </cell>
          <cell r="K189">
            <v>1.6</v>
          </cell>
          <cell r="L189">
            <v>1.6</v>
          </cell>
        </row>
        <row r="190">
          <cell r="B190" t="str">
            <v>Nguyeãn vaên Chaët</v>
          </cell>
          <cell r="C190" t="str">
            <v>CN Pha boå</v>
          </cell>
          <cell r="D190">
            <v>1.1499999999999999</v>
          </cell>
          <cell r="E190">
            <v>1.1499999999999999</v>
          </cell>
          <cell r="F190">
            <v>1.1499999999999999</v>
          </cell>
          <cell r="G190">
            <v>140</v>
          </cell>
          <cell r="H190">
            <v>143</v>
          </cell>
          <cell r="I190">
            <v>283</v>
          </cell>
          <cell r="J190">
            <v>1.2</v>
          </cell>
          <cell r="K190">
            <v>1.2</v>
          </cell>
          <cell r="L190">
            <v>1.2</v>
          </cell>
        </row>
        <row r="191">
          <cell r="B191" t="str">
            <v>Chaâu Thanh Lieâm</v>
          </cell>
          <cell r="C191" t="str">
            <v>"</v>
          </cell>
          <cell r="D191">
            <v>1.1499999999999999</v>
          </cell>
          <cell r="E191">
            <v>1.1499999999999999</v>
          </cell>
          <cell r="F191">
            <v>1.1499999999999999</v>
          </cell>
          <cell r="G191">
            <v>151</v>
          </cell>
          <cell r="H191">
            <v>148</v>
          </cell>
          <cell r="I191">
            <v>299</v>
          </cell>
          <cell r="J191">
            <v>1.4</v>
          </cell>
          <cell r="K191">
            <v>1.4</v>
          </cell>
          <cell r="L191">
            <v>1.4</v>
          </cell>
        </row>
        <row r="192">
          <cell r="B192" t="str">
            <v>Ong Döông Haûi</v>
          </cell>
          <cell r="C192" t="str">
            <v>"</v>
          </cell>
          <cell r="D192">
            <v>1.1499999999999999</v>
          </cell>
          <cell r="E192">
            <v>1.1499999999999999</v>
          </cell>
          <cell r="F192">
            <v>1.1499999999999999</v>
          </cell>
          <cell r="G192">
            <v>151</v>
          </cell>
          <cell r="H192">
            <v>146</v>
          </cell>
          <cell r="I192">
            <v>297</v>
          </cell>
          <cell r="J192">
            <v>1.2</v>
          </cell>
          <cell r="K192">
            <v>1.4</v>
          </cell>
          <cell r="L192">
            <v>1.2999999999999998</v>
          </cell>
        </row>
        <row r="193">
          <cell r="B193" t="str">
            <v>Lyù Vaên Thaønh</v>
          </cell>
          <cell r="C193" t="str">
            <v>"</v>
          </cell>
          <cell r="D193">
            <v>1.1499999999999999</v>
          </cell>
          <cell r="E193">
            <v>1.1499999999999999</v>
          </cell>
          <cell r="F193">
            <v>1.1499999999999999</v>
          </cell>
          <cell r="G193">
            <v>151</v>
          </cell>
          <cell r="H193">
            <v>152</v>
          </cell>
          <cell r="I193">
            <v>303</v>
          </cell>
          <cell r="J193">
            <v>1.4</v>
          </cell>
          <cell r="K193">
            <v>1.4</v>
          </cell>
          <cell r="L193">
            <v>1.4</v>
          </cell>
        </row>
        <row r="194">
          <cell r="B194" t="str">
            <v>Danh Chung</v>
          </cell>
          <cell r="C194" t="str">
            <v>"</v>
          </cell>
          <cell r="D194">
            <v>1.1499999999999999</v>
          </cell>
          <cell r="E194">
            <v>1.1499999999999999</v>
          </cell>
          <cell r="F194">
            <v>1.1499999999999999</v>
          </cell>
          <cell r="G194">
            <v>145</v>
          </cell>
          <cell r="H194">
            <v>154</v>
          </cell>
          <cell r="I194">
            <v>299</v>
          </cell>
          <cell r="J194">
            <v>1.4</v>
          </cell>
          <cell r="K194">
            <v>1.4</v>
          </cell>
          <cell r="L194">
            <v>1.4</v>
          </cell>
        </row>
        <row r="195">
          <cell r="B195" t="str">
            <v>Laïi Vaên Tình</v>
          </cell>
          <cell r="C195" t="str">
            <v>"</v>
          </cell>
          <cell r="D195">
            <v>1.1499999999999999</v>
          </cell>
          <cell r="E195">
            <v>1.1499999999999999</v>
          </cell>
          <cell r="F195">
            <v>1.1499999999999999</v>
          </cell>
          <cell r="G195">
            <v>151</v>
          </cell>
          <cell r="H195">
            <v>157</v>
          </cell>
          <cell r="I195">
            <v>308</v>
          </cell>
          <cell r="J195">
            <v>1.4</v>
          </cell>
          <cell r="K195">
            <v>1.4</v>
          </cell>
          <cell r="L195">
            <v>1.4</v>
          </cell>
        </row>
        <row r="196">
          <cell r="B196" t="str">
            <v>Danh Xuaân</v>
          </cell>
          <cell r="C196" t="str">
            <v>"</v>
          </cell>
          <cell r="D196">
            <v>1.1499999999999999</v>
          </cell>
          <cell r="E196">
            <v>1.1499999999999999</v>
          </cell>
          <cell r="F196">
            <v>1.1499999999999999</v>
          </cell>
          <cell r="G196">
            <v>151</v>
          </cell>
          <cell r="H196">
            <v>155</v>
          </cell>
          <cell r="I196">
            <v>306</v>
          </cell>
          <cell r="J196">
            <v>1.4</v>
          </cell>
          <cell r="K196">
            <v>1.4</v>
          </cell>
          <cell r="L196">
            <v>1.4</v>
          </cell>
        </row>
        <row r="197">
          <cell r="B197" t="str">
            <v>Höùa Vaên Meán</v>
          </cell>
          <cell r="C197" t="str">
            <v>"</v>
          </cell>
          <cell r="D197">
            <v>1.1499999999999999</v>
          </cell>
          <cell r="E197">
            <v>1.1499999999999999</v>
          </cell>
          <cell r="F197">
            <v>1.1499999999999999</v>
          </cell>
          <cell r="G197">
            <v>151</v>
          </cell>
          <cell r="H197">
            <v>155</v>
          </cell>
          <cell r="I197">
            <v>306</v>
          </cell>
          <cell r="J197">
            <v>1.4</v>
          </cell>
          <cell r="K197">
            <v>1.4</v>
          </cell>
          <cell r="L197">
            <v>1.4</v>
          </cell>
        </row>
        <row r="198">
          <cell r="B198" t="str">
            <v>Du  Kim Thaønh</v>
          </cell>
          <cell r="C198" t="str">
            <v>"</v>
          </cell>
          <cell r="D198">
            <v>1.1499999999999999</v>
          </cell>
          <cell r="E198">
            <v>1.1499999999999999</v>
          </cell>
          <cell r="F198">
            <v>1.1499999999999999</v>
          </cell>
          <cell r="G198">
            <v>151</v>
          </cell>
          <cell r="H198">
            <v>157</v>
          </cell>
          <cell r="I198">
            <v>308</v>
          </cell>
          <cell r="J198">
            <v>1.4</v>
          </cell>
          <cell r="K198">
            <v>1.4</v>
          </cell>
          <cell r="L198">
            <v>1.4</v>
          </cell>
        </row>
        <row r="199">
          <cell r="B199" t="str">
            <v>Döông Vaên Tuaán</v>
          </cell>
          <cell r="C199" t="str">
            <v>CN</v>
          </cell>
          <cell r="D199">
            <v>1.1499999999999999</v>
          </cell>
          <cell r="E199">
            <v>1.1499999999999999</v>
          </cell>
          <cell r="F199">
            <v>1.1499999999999999</v>
          </cell>
          <cell r="G199">
            <v>153</v>
          </cell>
          <cell r="H199">
            <v>156</v>
          </cell>
          <cell r="I199">
            <v>309</v>
          </cell>
          <cell r="J199">
            <v>1.4</v>
          </cell>
          <cell r="K199">
            <v>1.4</v>
          </cell>
          <cell r="L199">
            <v>1.4</v>
          </cell>
        </row>
        <row r="200">
          <cell r="B200" t="str">
            <v>Hoà Vaên Em</v>
          </cell>
          <cell r="C200" t="str">
            <v>"</v>
          </cell>
          <cell r="D200">
            <v>1.1499999999999999</v>
          </cell>
          <cell r="E200">
            <v>1.1499999999999999</v>
          </cell>
          <cell r="F200">
            <v>1.1499999999999999</v>
          </cell>
          <cell r="G200">
            <v>151</v>
          </cell>
          <cell r="H200">
            <v>156</v>
          </cell>
          <cell r="I200">
            <v>307</v>
          </cell>
          <cell r="J200">
            <v>1.4</v>
          </cell>
          <cell r="K200">
            <v>1.4</v>
          </cell>
          <cell r="L200">
            <v>1.4</v>
          </cell>
        </row>
        <row r="201">
          <cell r="B201" t="str">
            <v>Cao Hoaøi Thanh</v>
          </cell>
          <cell r="C201" t="str">
            <v>"</v>
          </cell>
          <cell r="D201">
            <v>1.1499999999999999</v>
          </cell>
          <cell r="E201">
            <v>1.1499999999999999</v>
          </cell>
          <cell r="F201">
            <v>1.1499999999999999</v>
          </cell>
          <cell r="G201">
            <v>151</v>
          </cell>
          <cell r="H201">
            <v>157</v>
          </cell>
          <cell r="I201">
            <v>308</v>
          </cell>
          <cell r="J201">
            <v>1.4</v>
          </cell>
          <cell r="K201">
            <v>1.4</v>
          </cell>
          <cell r="L201">
            <v>1.4</v>
          </cell>
        </row>
        <row r="202">
          <cell r="B202" t="str">
            <v>Höùa Vaên Sao</v>
          </cell>
          <cell r="C202" t="str">
            <v>"</v>
          </cell>
          <cell r="D202">
            <v>1.1499999999999999</v>
          </cell>
          <cell r="E202">
            <v>1.1499999999999999</v>
          </cell>
          <cell r="F202">
            <v>1.1499999999999999</v>
          </cell>
          <cell r="G202">
            <v>151</v>
          </cell>
          <cell r="H202">
            <v>156</v>
          </cell>
          <cell r="I202">
            <v>307</v>
          </cell>
          <cell r="J202">
            <v>1.4</v>
          </cell>
          <cell r="K202">
            <v>1.4</v>
          </cell>
          <cell r="L202">
            <v>1.4</v>
          </cell>
        </row>
        <row r="203">
          <cell r="B203" t="str">
            <v>Trònh Xuaân Tröôûng</v>
          </cell>
          <cell r="C203" t="str">
            <v>"</v>
          </cell>
          <cell r="D203">
            <v>1.1499999999999999</v>
          </cell>
          <cell r="E203">
            <v>1.1499999999999999</v>
          </cell>
          <cell r="F203">
            <v>1.1499999999999999</v>
          </cell>
          <cell r="G203">
            <v>150</v>
          </cell>
          <cell r="H203">
            <v>155</v>
          </cell>
          <cell r="I203">
            <v>305</v>
          </cell>
          <cell r="J203">
            <v>1.4</v>
          </cell>
          <cell r="K203">
            <v>1.2</v>
          </cell>
          <cell r="L203">
            <v>1.2999999999999998</v>
          </cell>
        </row>
        <row r="204">
          <cell r="B204" t="str">
            <v>Döông Phuùc Ñaït</v>
          </cell>
          <cell r="C204" t="str">
            <v>"</v>
          </cell>
          <cell r="D204">
            <v>1.1499999999999999</v>
          </cell>
          <cell r="E204">
            <v>1.1499999999999999</v>
          </cell>
          <cell r="F204">
            <v>1.1499999999999999</v>
          </cell>
          <cell r="G204">
            <v>141</v>
          </cell>
          <cell r="H204">
            <v>152</v>
          </cell>
          <cell r="I204">
            <v>293</v>
          </cell>
          <cell r="J204">
            <v>1.6</v>
          </cell>
          <cell r="K204">
            <v>1.6</v>
          </cell>
          <cell r="L204">
            <v>1.6</v>
          </cell>
        </row>
        <row r="205">
          <cell r="B205" t="str">
            <v>Nguyeãn Vaên Thaéng</v>
          </cell>
          <cell r="C205" t="str">
            <v>B.Veä</v>
          </cell>
          <cell r="D205">
            <v>0.95</v>
          </cell>
          <cell r="E205">
            <v>0.95</v>
          </cell>
          <cell r="F205">
            <v>0.95</v>
          </cell>
          <cell r="G205">
            <v>151</v>
          </cell>
          <cell r="H205">
            <v>139</v>
          </cell>
          <cell r="I205">
            <v>290</v>
          </cell>
          <cell r="J205">
            <v>1.4</v>
          </cell>
          <cell r="K205">
            <v>1.4</v>
          </cell>
          <cell r="L205">
            <v>1.4</v>
          </cell>
        </row>
        <row r="206">
          <cell r="B206" t="str">
            <v>Traàn Thuaän Phong</v>
          </cell>
          <cell r="C206" t="str">
            <v>B.Veä</v>
          </cell>
          <cell r="D206">
            <v>0.95</v>
          </cell>
          <cell r="E206">
            <v>0.95</v>
          </cell>
          <cell r="F206">
            <v>0.95</v>
          </cell>
          <cell r="G206">
            <v>153</v>
          </cell>
          <cell r="H206">
            <v>157</v>
          </cell>
          <cell r="I206">
            <v>310</v>
          </cell>
          <cell r="J206">
            <v>1.6</v>
          </cell>
          <cell r="K206">
            <v>1.4</v>
          </cell>
          <cell r="L206">
            <v>1.5</v>
          </cell>
        </row>
        <row r="207">
          <cell r="B207" t="str">
            <v>Leâ Vaên Quyeát</v>
          </cell>
          <cell r="C207" t="str">
            <v>B.Veä</v>
          </cell>
          <cell r="D207">
            <v>0.95</v>
          </cell>
          <cell r="E207">
            <v>0.95</v>
          </cell>
          <cell r="F207">
            <v>0.95</v>
          </cell>
          <cell r="G207">
            <v>153</v>
          </cell>
          <cell r="H207">
            <v>156</v>
          </cell>
          <cell r="I207">
            <v>309</v>
          </cell>
          <cell r="J207">
            <v>1.4</v>
          </cell>
          <cell r="K207">
            <v>1.4</v>
          </cell>
          <cell r="L207">
            <v>1.4</v>
          </cell>
        </row>
        <row r="208">
          <cell r="B208" t="str">
            <v xml:space="preserve">Vuõ Ñình Thaønh </v>
          </cell>
          <cell r="C208" t="str">
            <v>B.Veä</v>
          </cell>
          <cell r="D208">
            <v>0.95</v>
          </cell>
          <cell r="E208">
            <v>0.95</v>
          </cell>
          <cell r="F208">
            <v>0.95</v>
          </cell>
          <cell r="G208">
            <v>153</v>
          </cell>
          <cell r="H208">
            <v>156</v>
          </cell>
          <cell r="I208">
            <v>309</v>
          </cell>
          <cell r="J208">
            <v>1.4</v>
          </cell>
          <cell r="K208">
            <v>1.2</v>
          </cell>
          <cell r="L208">
            <v>1.2999999999999998</v>
          </cell>
        </row>
        <row r="209">
          <cell r="B209" t="str">
            <v>Leâ Thò Kim Loan</v>
          </cell>
          <cell r="C209" t="str">
            <v>P.Vuï</v>
          </cell>
          <cell r="D209">
            <v>0.9</v>
          </cell>
          <cell r="E209">
            <v>0.9</v>
          </cell>
          <cell r="F209">
            <v>0.9</v>
          </cell>
          <cell r="G209">
            <v>151</v>
          </cell>
          <cell r="H209">
            <v>157</v>
          </cell>
          <cell r="I209">
            <v>308</v>
          </cell>
          <cell r="J209">
            <v>1.6</v>
          </cell>
          <cell r="K209">
            <v>1.6</v>
          </cell>
          <cell r="L209">
            <v>1.6</v>
          </cell>
        </row>
        <row r="211">
          <cell r="B211" t="str">
            <v xml:space="preserve"> Ghi chuù :</v>
          </cell>
          <cell r="C211" t="str">
            <v>Heä soá xeáp loaïi : (1,6 = xuaát saéc ; 1,4 = Loaïi A ; 1,2 = Loaïi B ; 1,0 = loaïi C)</v>
          </cell>
        </row>
        <row r="212">
          <cell r="B212" t="str">
            <v xml:space="preserve"> * Toång hôïp :</v>
          </cell>
          <cell r="C212" t="str">
            <v>Loaïi XS</v>
          </cell>
          <cell r="D212">
            <v>6</v>
          </cell>
        </row>
        <row r="213">
          <cell r="C213" t="str">
            <v>Loaïi A</v>
          </cell>
          <cell r="D213">
            <v>22</v>
          </cell>
        </row>
        <row r="214">
          <cell r="C214" t="str">
            <v>Loaïi B</v>
          </cell>
          <cell r="D214">
            <v>3</v>
          </cell>
        </row>
        <row r="215">
          <cell r="C215" t="str">
            <v>Loaïi C</v>
          </cell>
          <cell r="D215">
            <v>0</v>
          </cell>
        </row>
        <row r="216">
          <cell r="C216" t="str">
            <v>Coäng:</v>
          </cell>
          <cell r="D216">
            <v>31</v>
          </cell>
          <cell r="I216" t="str">
            <v>Ngaøy ___ thaùng ____ naêm 2002</v>
          </cell>
        </row>
        <row r="217">
          <cell r="B217" t="str">
            <v>Ngöôøi laäp</v>
          </cell>
          <cell r="J217" t="str">
            <v>PX. Khai thaùc NL</v>
          </cell>
        </row>
        <row r="229">
          <cell r="B229" t="str">
            <v>Phaïm Minh Taâm</v>
          </cell>
          <cell r="C229" t="str">
            <v>TP</v>
          </cell>
          <cell r="E229">
            <v>1.75</v>
          </cell>
          <cell r="F229">
            <v>1.75</v>
          </cell>
          <cell r="G229">
            <v>153</v>
          </cell>
          <cell r="H229">
            <v>157</v>
          </cell>
          <cell r="I229">
            <v>310</v>
          </cell>
          <cell r="J229">
            <v>1.6</v>
          </cell>
          <cell r="K229">
            <v>1.6</v>
          </cell>
          <cell r="L229">
            <v>1.6</v>
          </cell>
        </row>
        <row r="230">
          <cell r="B230" t="str">
            <v>Traàn Tuaán Vieät</v>
          </cell>
          <cell r="C230" t="str">
            <v>PP</v>
          </cell>
          <cell r="E230">
            <v>1.6</v>
          </cell>
          <cell r="F230">
            <v>1.6</v>
          </cell>
          <cell r="G230">
            <v>153</v>
          </cell>
          <cell r="H230">
            <v>157</v>
          </cell>
          <cell r="I230">
            <v>310</v>
          </cell>
          <cell r="J230">
            <v>1.6</v>
          </cell>
          <cell r="K230">
            <v>1.6</v>
          </cell>
          <cell r="L230">
            <v>1.6</v>
          </cell>
        </row>
        <row r="231">
          <cell r="B231" t="str">
            <v>Traàn Thò Lan Höông</v>
          </cell>
          <cell r="C231" t="str">
            <v>PP</v>
          </cell>
          <cell r="E231">
            <v>1.6</v>
          </cell>
          <cell r="F231">
            <v>1.6</v>
          </cell>
          <cell r="G231">
            <v>153</v>
          </cell>
          <cell r="H231">
            <v>157</v>
          </cell>
          <cell r="I231">
            <v>310</v>
          </cell>
          <cell r="J231">
            <v>1.6</v>
          </cell>
          <cell r="K231">
            <v>1.6</v>
          </cell>
          <cell r="L231">
            <v>1.6</v>
          </cell>
        </row>
        <row r="232">
          <cell r="B232" t="str">
            <v>Ñoã Phöôùc Hieáu</v>
          </cell>
          <cell r="C232" t="str">
            <v>TK</v>
          </cell>
          <cell r="E232">
            <v>1.25</v>
          </cell>
          <cell r="F232">
            <v>1.25</v>
          </cell>
          <cell r="G232">
            <v>151</v>
          </cell>
          <cell r="H232">
            <v>153</v>
          </cell>
          <cell r="I232">
            <v>304</v>
          </cell>
          <cell r="J232">
            <v>1.4</v>
          </cell>
          <cell r="K232">
            <v>1.6</v>
          </cell>
          <cell r="L232">
            <v>1.5</v>
          </cell>
        </row>
        <row r="233">
          <cell r="B233" t="str">
            <v>Traàn Thò Thaïch</v>
          </cell>
          <cell r="C233" t="str">
            <v>TT</v>
          </cell>
          <cell r="E233">
            <v>1.31</v>
          </cell>
          <cell r="F233">
            <v>1.31</v>
          </cell>
          <cell r="G233">
            <v>153</v>
          </cell>
          <cell r="H233">
            <v>157</v>
          </cell>
          <cell r="I233">
            <v>310</v>
          </cell>
          <cell r="J233">
            <v>1.6</v>
          </cell>
          <cell r="K233">
            <v>1.6</v>
          </cell>
          <cell r="L233">
            <v>1.6</v>
          </cell>
        </row>
        <row r="234">
          <cell r="B234" t="str">
            <v>Nguyeãn Thò Hoàng</v>
          </cell>
          <cell r="E234">
            <v>1.26</v>
          </cell>
          <cell r="F234">
            <v>1.26</v>
          </cell>
          <cell r="G234">
            <v>139</v>
          </cell>
          <cell r="H234">
            <v>156</v>
          </cell>
          <cell r="I234">
            <v>295</v>
          </cell>
          <cell r="J234">
            <v>1.4</v>
          </cell>
          <cell r="K234">
            <v>1.4</v>
          </cell>
          <cell r="L234">
            <v>1.4</v>
          </cell>
        </row>
        <row r="235">
          <cell r="B235" t="str">
            <v>Taï Thò Hieàn</v>
          </cell>
          <cell r="E235">
            <v>1.26</v>
          </cell>
          <cell r="F235">
            <v>1.26</v>
          </cell>
          <cell r="G235">
            <v>153</v>
          </cell>
          <cell r="H235">
            <v>150</v>
          </cell>
          <cell r="I235">
            <v>303</v>
          </cell>
          <cell r="J235">
            <v>1.4</v>
          </cell>
          <cell r="K235">
            <v>1.4</v>
          </cell>
          <cell r="L235">
            <v>1.4</v>
          </cell>
        </row>
        <row r="236">
          <cell r="B236" t="str">
            <v>Traàn Thò Hoàng Vaân</v>
          </cell>
          <cell r="E236">
            <v>1.26</v>
          </cell>
          <cell r="F236">
            <v>1.26</v>
          </cell>
          <cell r="G236">
            <v>134</v>
          </cell>
          <cell r="H236">
            <v>80</v>
          </cell>
          <cell r="I236">
            <v>214</v>
          </cell>
          <cell r="J236">
            <v>1.4</v>
          </cell>
          <cell r="K236">
            <v>1.4</v>
          </cell>
          <cell r="L236">
            <v>1.4</v>
          </cell>
        </row>
        <row r="237">
          <cell r="B237" t="str">
            <v>Nguyeãn Thanh Laâm</v>
          </cell>
          <cell r="E237">
            <v>1.25</v>
          </cell>
          <cell r="F237">
            <v>1.25</v>
          </cell>
          <cell r="G237">
            <v>151</v>
          </cell>
          <cell r="H237">
            <v>152</v>
          </cell>
          <cell r="I237">
            <v>303</v>
          </cell>
          <cell r="J237">
            <v>1.4</v>
          </cell>
          <cell r="K237">
            <v>1.2</v>
          </cell>
          <cell r="L237">
            <v>1.2999999999999998</v>
          </cell>
        </row>
        <row r="238">
          <cell r="B238" t="str">
            <v>Leâ Vaên Theâm</v>
          </cell>
          <cell r="E238">
            <v>1.26</v>
          </cell>
          <cell r="F238">
            <v>1.26</v>
          </cell>
          <cell r="G238">
            <v>153</v>
          </cell>
          <cell r="H238">
            <v>153</v>
          </cell>
          <cell r="I238">
            <v>306</v>
          </cell>
          <cell r="J238">
            <v>1.4</v>
          </cell>
          <cell r="K238">
            <v>1.4</v>
          </cell>
          <cell r="L238">
            <v>1.4</v>
          </cell>
        </row>
        <row r="239">
          <cell r="B239" t="str">
            <v>Phan Hoàng Huyønh</v>
          </cell>
          <cell r="C239" t="str">
            <v>TT</v>
          </cell>
          <cell r="E239">
            <v>1.2725</v>
          </cell>
          <cell r="F239">
            <v>1.2725</v>
          </cell>
          <cell r="G239">
            <v>152</v>
          </cell>
          <cell r="H239">
            <v>147</v>
          </cell>
          <cell r="I239">
            <v>299</v>
          </cell>
          <cell r="J239">
            <v>1.4</v>
          </cell>
          <cell r="K239">
            <v>1.6</v>
          </cell>
          <cell r="L239">
            <v>1.5</v>
          </cell>
        </row>
        <row r="240">
          <cell r="B240" t="str">
            <v>Ñinh Kieân Giang</v>
          </cell>
          <cell r="E240">
            <v>1.25</v>
          </cell>
          <cell r="F240">
            <v>1.25</v>
          </cell>
          <cell r="G240">
            <v>151</v>
          </cell>
          <cell r="H240">
            <v>156</v>
          </cell>
          <cell r="I240">
            <v>307</v>
          </cell>
          <cell r="J240">
            <v>1.4</v>
          </cell>
          <cell r="K240">
            <v>1.2</v>
          </cell>
          <cell r="L240">
            <v>1.2999999999999998</v>
          </cell>
        </row>
        <row r="241">
          <cell r="B241" t="str">
            <v>Phuøng Minh Lyù</v>
          </cell>
          <cell r="E241">
            <v>1.2875000000000001</v>
          </cell>
          <cell r="F241">
            <v>1.2875000000000001</v>
          </cell>
          <cell r="G241">
            <v>156</v>
          </cell>
          <cell r="H241">
            <v>154</v>
          </cell>
          <cell r="I241">
            <v>310</v>
          </cell>
          <cell r="J241">
            <v>1.6</v>
          </cell>
          <cell r="K241">
            <v>1.4</v>
          </cell>
          <cell r="L241">
            <v>1.5</v>
          </cell>
        </row>
        <row r="242">
          <cell r="B242" t="str">
            <v>Trònh Myõ Trang</v>
          </cell>
          <cell r="E242">
            <v>1.25</v>
          </cell>
          <cell r="F242">
            <v>1.25</v>
          </cell>
          <cell r="G242">
            <v>148</v>
          </cell>
          <cell r="H242">
            <v>155</v>
          </cell>
          <cell r="I242">
            <v>303</v>
          </cell>
          <cell r="J242">
            <v>1.4</v>
          </cell>
          <cell r="K242">
            <v>1.4</v>
          </cell>
          <cell r="L242">
            <v>1.4</v>
          </cell>
        </row>
        <row r="243">
          <cell r="B243" t="str">
            <v>Traàn Duõng Thaéng</v>
          </cell>
          <cell r="E243">
            <v>1.238</v>
          </cell>
          <cell r="F243">
            <v>1.238</v>
          </cell>
          <cell r="G243">
            <v>156</v>
          </cell>
          <cell r="H243">
            <v>157</v>
          </cell>
          <cell r="I243">
            <v>313</v>
          </cell>
          <cell r="J243">
            <v>1.4</v>
          </cell>
          <cell r="K243">
            <v>1.2</v>
          </cell>
          <cell r="L243">
            <v>1.2999999999999998</v>
          </cell>
        </row>
        <row r="244">
          <cell r="B244" t="str">
            <v>Vuõ Thanh Tuøng</v>
          </cell>
          <cell r="E244">
            <v>1.25</v>
          </cell>
          <cell r="F244">
            <v>1.25</v>
          </cell>
          <cell r="G244">
            <v>155</v>
          </cell>
          <cell r="H244">
            <v>151</v>
          </cell>
          <cell r="I244">
            <v>306</v>
          </cell>
          <cell r="J244">
            <v>1.4</v>
          </cell>
          <cell r="K244">
            <v>1.4</v>
          </cell>
          <cell r="L244">
            <v>1.4</v>
          </cell>
        </row>
        <row r="245">
          <cell r="B245" t="str">
            <v>Phan Thò Löïu</v>
          </cell>
          <cell r="E245">
            <v>1.25</v>
          </cell>
          <cell r="F245">
            <v>1.25</v>
          </cell>
          <cell r="G245">
            <v>155</v>
          </cell>
          <cell r="H245">
            <v>147</v>
          </cell>
          <cell r="I245">
            <v>302</v>
          </cell>
          <cell r="J245">
            <v>1.4</v>
          </cell>
          <cell r="K245">
            <v>1.4</v>
          </cell>
          <cell r="L245">
            <v>1.4</v>
          </cell>
        </row>
        <row r="246">
          <cell r="B246" t="str">
            <v>Ng. T. Hoàng Hueá</v>
          </cell>
          <cell r="E246">
            <v>1.25</v>
          </cell>
          <cell r="F246">
            <v>1.25</v>
          </cell>
          <cell r="G246">
            <v>151</v>
          </cell>
          <cell r="H246">
            <v>155</v>
          </cell>
          <cell r="I246">
            <v>306</v>
          </cell>
          <cell r="J246">
            <v>1.4</v>
          </cell>
          <cell r="K246">
            <v>1.4</v>
          </cell>
          <cell r="L246">
            <v>1.4</v>
          </cell>
        </row>
        <row r="247">
          <cell r="B247" t="str">
            <v>Tröông Myõ Tieân</v>
          </cell>
          <cell r="E247">
            <v>1.25</v>
          </cell>
          <cell r="F247">
            <v>1.25</v>
          </cell>
          <cell r="G247">
            <v>154</v>
          </cell>
          <cell r="H247">
            <v>148</v>
          </cell>
          <cell r="I247">
            <v>302</v>
          </cell>
          <cell r="J247">
            <v>1.6</v>
          </cell>
          <cell r="K247">
            <v>1.6</v>
          </cell>
          <cell r="L247">
            <v>1.6</v>
          </cell>
        </row>
        <row r="248">
          <cell r="B248" t="str">
            <v>Buøi Anh Ñöùc</v>
          </cell>
          <cell r="C248" t="str">
            <v>TT</v>
          </cell>
          <cell r="E248">
            <v>1.3</v>
          </cell>
          <cell r="F248">
            <v>1.3</v>
          </cell>
          <cell r="G248">
            <v>154</v>
          </cell>
          <cell r="H248">
            <v>150</v>
          </cell>
          <cell r="I248">
            <v>304</v>
          </cell>
          <cell r="J248">
            <v>1.6</v>
          </cell>
          <cell r="K248">
            <v>1.6</v>
          </cell>
          <cell r="L248">
            <v>1.6</v>
          </cell>
        </row>
        <row r="249">
          <cell r="B249" t="str">
            <v>Thaùi Hoaøng Heân</v>
          </cell>
          <cell r="E249">
            <v>1.25</v>
          </cell>
          <cell r="F249">
            <v>1.25</v>
          </cell>
          <cell r="G249">
            <v>155</v>
          </cell>
          <cell r="H249">
            <v>155</v>
          </cell>
          <cell r="I249">
            <v>310</v>
          </cell>
          <cell r="J249">
            <v>1.4</v>
          </cell>
          <cell r="K249">
            <v>1.4</v>
          </cell>
          <cell r="L249">
            <v>1.4</v>
          </cell>
        </row>
        <row r="250">
          <cell r="B250" t="str">
            <v>Nguyeãn Thanh Ñieàn</v>
          </cell>
          <cell r="E250">
            <v>1.25</v>
          </cell>
          <cell r="F250">
            <v>1.25</v>
          </cell>
          <cell r="G250">
            <v>154</v>
          </cell>
          <cell r="H250">
            <v>157</v>
          </cell>
          <cell r="I250">
            <v>311</v>
          </cell>
          <cell r="J250">
            <v>1.4</v>
          </cell>
          <cell r="K250">
            <v>1.4</v>
          </cell>
          <cell r="L250">
            <v>1.4</v>
          </cell>
        </row>
        <row r="251">
          <cell r="B251" t="str">
            <v>Ñinh Quang Sôn</v>
          </cell>
          <cell r="E251">
            <v>1.25</v>
          </cell>
          <cell r="F251">
            <v>1.25</v>
          </cell>
          <cell r="G251">
            <v>149</v>
          </cell>
          <cell r="H251">
            <v>157</v>
          </cell>
          <cell r="I251">
            <v>306</v>
          </cell>
          <cell r="J251">
            <v>1.4</v>
          </cell>
          <cell r="K251">
            <v>1.4</v>
          </cell>
          <cell r="L251">
            <v>1.4</v>
          </cell>
        </row>
        <row r="252">
          <cell r="B252" t="str">
            <v>Traàn Thaùi Böûu</v>
          </cell>
          <cell r="E252">
            <v>0.9375</v>
          </cell>
          <cell r="F252">
            <v>0.9375</v>
          </cell>
          <cell r="H252">
            <v>77</v>
          </cell>
          <cell r="I252">
            <v>77</v>
          </cell>
          <cell r="K252">
            <v>1.2</v>
          </cell>
          <cell r="L252">
            <v>1.2</v>
          </cell>
        </row>
        <row r="253">
          <cell r="B253" t="str">
            <v>Traàn Vaên Uùt</v>
          </cell>
          <cell r="E253">
            <v>0.9375</v>
          </cell>
          <cell r="F253">
            <v>0.9375</v>
          </cell>
          <cell r="H253">
            <v>72</v>
          </cell>
          <cell r="I253">
            <v>72</v>
          </cell>
          <cell r="K253">
            <v>1.4</v>
          </cell>
          <cell r="L253">
            <v>1.4</v>
          </cell>
        </row>
        <row r="254">
          <cell r="B254" t="str">
            <v>Mai Vaên Haûi</v>
          </cell>
          <cell r="C254" t="str">
            <v>TT VTPL</v>
          </cell>
          <cell r="E254">
            <v>1.1625000000000001</v>
          </cell>
          <cell r="F254">
            <v>1.1625000000000001</v>
          </cell>
          <cell r="G254">
            <v>156</v>
          </cell>
          <cell r="H254">
            <v>155</v>
          </cell>
          <cell r="I254">
            <v>311</v>
          </cell>
          <cell r="J254">
            <v>1.4</v>
          </cell>
          <cell r="K254">
            <v>1.4</v>
          </cell>
          <cell r="L254">
            <v>1.4</v>
          </cell>
        </row>
        <row r="255">
          <cell r="B255" t="str">
            <v>Nguyeãn Vaên Uùt</v>
          </cell>
          <cell r="E255">
            <v>1.1499999999999999</v>
          </cell>
          <cell r="F255">
            <v>1.1499999999999999</v>
          </cell>
          <cell r="G255">
            <v>141</v>
          </cell>
          <cell r="H255">
            <v>154</v>
          </cell>
          <cell r="I255">
            <v>295</v>
          </cell>
          <cell r="J255">
            <v>1.4</v>
          </cell>
          <cell r="K255">
            <v>1.4</v>
          </cell>
          <cell r="L255">
            <v>1.4</v>
          </cell>
        </row>
        <row r="256">
          <cell r="B256" t="str">
            <v>Nguyeãn Thaønh Thaéng A</v>
          </cell>
          <cell r="E256">
            <v>1.1499999999999999</v>
          </cell>
          <cell r="F256">
            <v>1.1499999999999999</v>
          </cell>
          <cell r="G256">
            <v>156</v>
          </cell>
          <cell r="H256">
            <v>155</v>
          </cell>
          <cell r="I256">
            <v>311</v>
          </cell>
          <cell r="J256">
            <v>1.4</v>
          </cell>
          <cell r="K256">
            <v>1.4</v>
          </cell>
          <cell r="L256">
            <v>1.4</v>
          </cell>
        </row>
        <row r="257">
          <cell r="B257" t="str">
            <v>Nguyeãn Thaønh Thaéng B</v>
          </cell>
          <cell r="E257">
            <v>1.1499999999999999</v>
          </cell>
          <cell r="F257">
            <v>1.1499999999999999</v>
          </cell>
          <cell r="G257">
            <v>156</v>
          </cell>
          <cell r="H257">
            <v>146</v>
          </cell>
          <cell r="I257">
            <v>302</v>
          </cell>
          <cell r="J257">
            <v>1.4</v>
          </cell>
          <cell r="K257">
            <v>1.4</v>
          </cell>
          <cell r="L257">
            <v>1.4</v>
          </cell>
        </row>
        <row r="258">
          <cell r="B258" t="str">
            <v>Hoà Hoaøng Taëng</v>
          </cell>
          <cell r="E258">
            <v>0.86249999999999993</v>
          </cell>
          <cell r="F258">
            <v>0.86249999999999993</v>
          </cell>
          <cell r="H258">
            <v>76</v>
          </cell>
          <cell r="I258">
            <v>76</v>
          </cell>
          <cell r="K258">
            <v>1.4</v>
          </cell>
          <cell r="L258">
            <v>1.4</v>
          </cell>
        </row>
        <row r="259">
          <cell r="B259" t="str">
            <v>Nguyeãn Thò Thu Vaân</v>
          </cell>
          <cell r="E259">
            <v>1.1499999999999999</v>
          </cell>
          <cell r="F259">
            <v>1.1499999999999999</v>
          </cell>
          <cell r="G259">
            <v>156</v>
          </cell>
          <cell r="H259">
            <v>154</v>
          </cell>
          <cell r="I259">
            <v>310</v>
          </cell>
          <cell r="J259">
            <v>1.4</v>
          </cell>
          <cell r="K259">
            <v>1.4</v>
          </cell>
          <cell r="L259">
            <v>1.4</v>
          </cell>
        </row>
        <row r="260">
          <cell r="B260" t="str">
            <v>Nguyeãn Thò Kim Hueä</v>
          </cell>
          <cell r="E260">
            <v>1.1499999999999999</v>
          </cell>
          <cell r="F260">
            <v>1.1499999999999999</v>
          </cell>
          <cell r="G260">
            <v>87</v>
          </cell>
          <cell r="H260">
            <v>156</v>
          </cell>
          <cell r="I260">
            <v>243</v>
          </cell>
          <cell r="J260">
            <v>1.4</v>
          </cell>
          <cell r="K260">
            <v>1.2</v>
          </cell>
          <cell r="L260">
            <v>1.2999999999999998</v>
          </cell>
        </row>
        <row r="262">
          <cell r="B262" t="str">
            <v xml:space="preserve"> Ghi chuù :</v>
          </cell>
          <cell r="C262" t="str">
            <v>Heä soá xeáp loaïi : (1,6 = xuaát saéc ; 1,4 = Loaïi A ; 1,2 = Loaïi B ; 1,0 = loaïi C)</v>
          </cell>
        </row>
        <row r="263">
          <cell r="B263" t="str">
            <v xml:space="preserve"> * Toång hôïp :</v>
          </cell>
          <cell r="C263" t="str">
            <v>Loaïi XS</v>
          </cell>
          <cell r="D263">
            <v>8</v>
          </cell>
        </row>
        <row r="264">
          <cell r="C264" t="str">
            <v>Loaïi A</v>
          </cell>
          <cell r="D264">
            <v>19</v>
          </cell>
        </row>
        <row r="265">
          <cell r="C265" t="str">
            <v>Loaïi B</v>
          </cell>
          <cell r="D265">
            <v>5</v>
          </cell>
        </row>
        <row r="266">
          <cell r="C266" t="str">
            <v>Loaïi C</v>
          </cell>
          <cell r="D266">
            <v>0</v>
          </cell>
        </row>
        <row r="267">
          <cell r="C267" t="str">
            <v>Coäng:</v>
          </cell>
          <cell r="D267">
            <v>32</v>
          </cell>
          <cell r="I267" t="str">
            <v>Ngaøy ___ thaùng ____ naêm 2002</v>
          </cell>
        </row>
        <row r="268">
          <cell r="B268" t="str">
            <v>Ngöôøi laäp</v>
          </cell>
          <cell r="J268" t="str">
            <v>Phoøng KCS</v>
          </cell>
        </row>
        <row r="279">
          <cell r="B279" t="str">
            <v>Traàn Vaên Naêm</v>
          </cell>
          <cell r="C279" t="str">
            <v>QÑ</v>
          </cell>
          <cell r="D279">
            <v>1.8</v>
          </cell>
          <cell r="F279">
            <v>1.8</v>
          </cell>
          <cell r="G279">
            <v>153</v>
          </cell>
          <cell r="H279">
            <v>157</v>
          </cell>
          <cell r="I279">
            <v>310</v>
          </cell>
          <cell r="J279">
            <v>1.6</v>
          </cell>
          <cell r="K279">
            <v>1.6</v>
          </cell>
          <cell r="L279">
            <v>1.6</v>
          </cell>
        </row>
        <row r="280">
          <cell r="B280" t="str">
            <v>Vuõ Tieán Laõm</v>
          </cell>
          <cell r="C280" t="str">
            <v>PQÑ</v>
          </cell>
          <cell r="D280">
            <v>1.65</v>
          </cell>
          <cell r="F280">
            <v>1.65</v>
          </cell>
          <cell r="G280">
            <v>153</v>
          </cell>
          <cell r="H280">
            <v>157</v>
          </cell>
          <cell r="I280">
            <v>310</v>
          </cell>
          <cell r="J280">
            <v>1.6</v>
          </cell>
          <cell r="K280">
            <v>1.6</v>
          </cell>
          <cell r="L280">
            <v>1.6</v>
          </cell>
        </row>
        <row r="281">
          <cell r="B281" t="str">
            <v>Döông Thanh Haø</v>
          </cell>
          <cell r="C281" t="str">
            <v>PQÑ</v>
          </cell>
          <cell r="D281">
            <v>1.65</v>
          </cell>
          <cell r="F281">
            <v>1.65</v>
          </cell>
          <cell r="G281">
            <v>153</v>
          </cell>
          <cell r="H281">
            <v>157</v>
          </cell>
          <cell r="I281">
            <v>310</v>
          </cell>
          <cell r="J281">
            <v>1.6</v>
          </cell>
          <cell r="K281">
            <v>1.6</v>
          </cell>
          <cell r="L281">
            <v>1.6</v>
          </cell>
        </row>
        <row r="282">
          <cell r="B282" t="str">
            <v>Löu Ñöùc  Hieán</v>
          </cell>
          <cell r="C282" t="str">
            <v>TK</v>
          </cell>
          <cell r="D282">
            <v>1.3</v>
          </cell>
          <cell r="F282">
            <v>1.3</v>
          </cell>
          <cell r="G282">
            <v>154</v>
          </cell>
          <cell r="H282">
            <v>157</v>
          </cell>
          <cell r="I282">
            <v>311</v>
          </cell>
          <cell r="J282">
            <v>1.6</v>
          </cell>
          <cell r="K282">
            <v>1.6</v>
          </cell>
          <cell r="L282">
            <v>1.6</v>
          </cell>
        </row>
        <row r="283">
          <cell r="B283" t="str">
            <v>Nguyeãn Vaên Lyù</v>
          </cell>
          <cell r="C283" t="str">
            <v>TK</v>
          </cell>
          <cell r="D283">
            <v>1.3</v>
          </cell>
          <cell r="F283">
            <v>1.3</v>
          </cell>
          <cell r="G283">
            <v>152</v>
          </cell>
          <cell r="H283">
            <v>157</v>
          </cell>
          <cell r="I283">
            <v>309</v>
          </cell>
          <cell r="J283">
            <v>1.6</v>
          </cell>
          <cell r="K283">
            <v>1.6</v>
          </cell>
          <cell r="L283">
            <v>1.6</v>
          </cell>
        </row>
        <row r="284">
          <cell r="B284" t="str">
            <v>Leâ Kim Chuyeån</v>
          </cell>
          <cell r="C284" t="str">
            <v>ÑC</v>
          </cell>
          <cell r="D284">
            <v>1.3</v>
          </cell>
          <cell r="F284">
            <v>1.383</v>
          </cell>
          <cell r="G284">
            <v>144</v>
          </cell>
          <cell r="H284">
            <v>155</v>
          </cell>
          <cell r="I284">
            <v>299</v>
          </cell>
          <cell r="J284">
            <v>1.6</v>
          </cell>
          <cell r="K284">
            <v>1.2</v>
          </cell>
          <cell r="L284">
            <v>1.4</v>
          </cell>
        </row>
        <row r="285">
          <cell r="B285" t="str">
            <v>Cao Vaên Döông</v>
          </cell>
          <cell r="C285" t="str">
            <v>ÑC</v>
          </cell>
          <cell r="D285">
            <v>1.3359139784946237</v>
          </cell>
          <cell r="F285">
            <v>1.375</v>
          </cell>
          <cell r="G285">
            <v>154</v>
          </cell>
          <cell r="H285">
            <v>156</v>
          </cell>
          <cell r="I285">
            <v>310</v>
          </cell>
          <cell r="J285">
            <v>1.6</v>
          </cell>
          <cell r="K285">
            <v>1.2</v>
          </cell>
          <cell r="L285">
            <v>1.4</v>
          </cell>
        </row>
        <row r="286">
          <cell r="B286" t="str">
            <v>Ñoã Trung Thöï</v>
          </cell>
          <cell r="C286" t="str">
            <v>ÑC</v>
          </cell>
          <cell r="D286">
            <v>1.3</v>
          </cell>
          <cell r="F286">
            <v>1.383</v>
          </cell>
          <cell r="G286">
            <v>155</v>
          </cell>
          <cell r="H286">
            <v>156</v>
          </cell>
          <cell r="I286">
            <v>311</v>
          </cell>
          <cell r="J286">
            <v>1.6</v>
          </cell>
          <cell r="K286">
            <v>1.2</v>
          </cell>
          <cell r="L286">
            <v>1.4</v>
          </cell>
        </row>
        <row r="287">
          <cell r="B287" t="str">
            <v>Phan Vaên Naâng</v>
          </cell>
          <cell r="C287" t="str">
            <v>ÑC</v>
          </cell>
          <cell r="D287">
            <v>1.3</v>
          </cell>
          <cell r="F287">
            <v>1.383</v>
          </cell>
          <cell r="G287">
            <v>151</v>
          </cell>
          <cell r="H287">
            <v>153</v>
          </cell>
          <cell r="I287">
            <v>304</v>
          </cell>
          <cell r="J287">
            <v>1.6</v>
          </cell>
          <cell r="K287">
            <v>1.6</v>
          </cell>
          <cell r="L287">
            <v>1.6</v>
          </cell>
        </row>
        <row r="288">
          <cell r="B288" t="str">
            <v>Ñaøo Taát  Ñaït</v>
          </cell>
          <cell r="D288">
            <v>1.1499999999999999</v>
          </cell>
          <cell r="F288">
            <v>1.1499999999999999</v>
          </cell>
          <cell r="G288">
            <v>150</v>
          </cell>
          <cell r="H288">
            <v>156</v>
          </cell>
          <cell r="I288">
            <v>306</v>
          </cell>
          <cell r="J288">
            <v>1.2</v>
          </cell>
          <cell r="K288">
            <v>1.4</v>
          </cell>
          <cell r="L288">
            <v>1.2999999999999998</v>
          </cell>
        </row>
        <row r="289">
          <cell r="B289" t="str">
            <v>Haø Vaên Khen</v>
          </cell>
          <cell r="D289">
            <v>1.1499999999999999</v>
          </cell>
          <cell r="F289">
            <v>1.1499999999999999</v>
          </cell>
          <cell r="G289">
            <v>144</v>
          </cell>
          <cell r="H289">
            <v>153</v>
          </cell>
          <cell r="I289">
            <v>297</v>
          </cell>
          <cell r="J289">
            <v>1.4</v>
          </cell>
          <cell r="K289">
            <v>1.6</v>
          </cell>
          <cell r="L289">
            <v>1.5</v>
          </cell>
        </row>
        <row r="290">
          <cell r="B290" t="str">
            <v>Laâm Ngoïc Chuyeân</v>
          </cell>
          <cell r="D290">
            <v>1.1499999999999999</v>
          </cell>
          <cell r="F290">
            <v>1.1499999999999999</v>
          </cell>
          <cell r="G290">
            <v>156</v>
          </cell>
          <cell r="H290">
            <v>157</v>
          </cell>
          <cell r="I290">
            <v>313</v>
          </cell>
          <cell r="J290">
            <v>1.4</v>
          </cell>
          <cell r="K290">
            <v>1.6</v>
          </cell>
          <cell r="L290">
            <v>1.5</v>
          </cell>
        </row>
        <row r="291">
          <cell r="B291" t="str">
            <v>Leâ Vaên Vuõ</v>
          </cell>
          <cell r="C291" t="str">
            <v>CT</v>
          </cell>
          <cell r="D291">
            <v>1.25</v>
          </cell>
          <cell r="F291">
            <v>1.25</v>
          </cell>
          <cell r="G291">
            <v>155</v>
          </cell>
          <cell r="H291">
            <v>156</v>
          </cell>
          <cell r="I291">
            <v>311</v>
          </cell>
          <cell r="J291">
            <v>1.6</v>
          </cell>
          <cell r="K291">
            <v>1.2</v>
          </cell>
          <cell r="L291">
            <v>1.4</v>
          </cell>
        </row>
        <row r="292">
          <cell r="B292" t="str">
            <v>Haøng Vaên Taøo</v>
          </cell>
          <cell r="C292" t="str">
            <v>CT</v>
          </cell>
          <cell r="D292">
            <v>1.3249428571428572</v>
          </cell>
          <cell r="F292">
            <v>1.349</v>
          </cell>
          <cell r="G292">
            <v>149</v>
          </cell>
          <cell r="H292">
            <v>156</v>
          </cell>
          <cell r="I292">
            <v>305</v>
          </cell>
          <cell r="J292">
            <v>1.6</v>
          </cell>
          <cell r="K292">
            <v>1.2</v>
          </cell>
          <cell r="L292">
            <v>1.4</v>
          </cell>
        </row>
        <row r="293">
          <cell r="B293" t="str">
            <v>Nguyeãn Ngoïc Bieân</v>
          </cell>
          <cell r="D293">
            <v>1.2749428571428572</v>
          </cell>
          <cell r="F293">
            <v>1.2989999999999999</v>
          </cell>
          <cell r="G293">
            <v>156</v>
          </cell>
          <cell r="H293">
            <v>156</v>
          </cell>
          <cell r="I293">
            <v>312</v>
          </cell>
          <cell r="J293">
            <v>1.4</v>
          </cell>
          <cell r="K293">
            <v>1.4</v>
          </cell>
          <cell r="L293">
            <v>1.4</v>
          </cell>
        </row>
        <row r="294">
          <cell r="B294" t="str">
            <v>Trònh Hoaøi Phöông</v>
          </cell>
          <cell r="D294">
            <v>1.2408166666666667</v>
          </cell>
          <cell r="F294">
            <v>1.264</v>
          </cell>
          <cell r="G294">
            <v>156</v>
          </cell>
          <cell r="H294">
            <v>156</v>
          </cell>
          <cell r="I294">
            <v>312</v>
          </cell>
          <cell r="J294">
            <v>1.4</v>
          </cell>
          <cell r="K294">
            <v>1.4</v>
          </cell>
          <cell r="L294">
            <v>1.4</v>
          </cell>
        </row>
        <row r="295">
          <cell r="B295" t="str">
            <v>Ñaøo Duy Haûi</v>
          </cell>
          <cell r="D295">
            <v>1.2184952380952381</v>
          </cell>
          <cell r="F295">
            <v>1.25</v>
          </cell>
          <cell r="G295">
            <v>155</v>
          </cell>
          <cell r="H295">
            <v>156</v>
          </cell>
          <cell r="I295">
            <v>311</v>
          </cell>
          <cell r="J295">
            <v>1.2</v>
          </cell>
          <cell r="K295">
            <v>1.4</v>
          </cell>
          <cell r="L295">
            <v>1.2999999999999998</v>
          </cell>
        </row>
        <row r="296">
          <cell r="B296" t="str">
            <v>Leâ Coâng Luaän</v>
          </cell>
          <cell r="D296">
            <v>1.1499999999999999</v>
          </cell>
          <cell r="F296">
            <v>1.1890000000000001</v>
          </cell>
          <cell r="G296">
            <v>144</v>
          </cell>
          <cell r="H296">
            <v>155</v>
          </cell>
          <cell r="I296">
            <v>299</v>
          </cell>
          <cell r="J296">
            <v>1.2</v>
          </cell>
          <cell r="K296">
            <v>1.2</v>
          </cell>
          <cell r="L296">
            <v>1.2</v>
          </cell>
        </row>
        <row r="297">
          <cell r="B297" t="str">
            <v>Nguyeãn Thanh Sôn</v>
          </cell>
          <cell r="C297" t="str">
            <v>CT</v>
          </cell>
          <cell r="D297">
            <v>1.2999428571428571</v>
          </cell>
          <cell r="F297">
            <v>1.329</v>
          </cell>
          <cell r="G297">
            <v>155</v>
          </cell>
          <cell r="H297">
            <v>155</v>
          </cell>
          <cell r="I297">
            <v>310</v>
          </cell>
          <cell r="J297">
            <v>1.6</v>
          </cell>
          <cell r="K297">
            <v>1.2</v>
          </cell>
          <cell r="L297">
            <v>1.4</v>
          </cell>
        </row>
        <row r="298">
          <cell r="B298" t="str">
            <v>Traàn Khaéc Ñieàu</v>
          </cell>
          <cell r="D298">
            <v>1.2184952380952381</v>
          </cell>
          <cell r="F298">
            <v>1.2390000000000001</v>
          </cell>
          <cell r="G298">
            <v>156</v>
          </cell>
          <cell r="H298">
            <v>157</v>
          </cell>
          <cell r="I298">
            <v>313</v>
          </cell>
          <cell r="J298">
            <v>1.4</v>
          </cell>
          <cell r="K298">
            <v>1.4</v>
          </cell>
          <cell r="L298">
            <v>1.4</v>
          </cell>
        </row>
        <row r="299">
          <cell r="B299" t="str">
            <v>Nguyeãn Thanh Hoàng</v>
          </cell>
          <cell r="D299">
            <v>1.2184952380952381</v>
          </cell>
          <cell r="F299">
            <v>1.2430000000000001</v>
          </cell>
          <cell r="G299">
            <v>155</v>
          </cell>
          <cell r="H299">
            <v>156</v>
          </cell>
          <cell r="I299">
            <v>311</v>
          </cell>
          <cell r="J299">
            <v>1.4</v>
          </cell>
          <cell r="K299">
            <v>1.4</v>
          </cell>
          <cell r="L299">
            <v>1.4</v>
          </cell>
        </row>
        <row r="300">
          <cell r="B300" t="str">
            <v>Nguyeãn Quang Vinh</v>
          </cell>
          <cell r="C300" t="str">
            <v>TT</v>
          </cell>
          <cell r="D300">
            <v>1.3249428571428572</v>
          </cell>
          <cell r="F300">
            <v>1.341</v>
          </cell>
          <cell r="G300">
            <v>139</v>
          </cell>
          <cell r="H300">
            <v>157</v>
          </cell>
          <cell r="I300">
            <v>296</v>
          </cell>
          <cell r="J300">
            <v>1.6</v>
          </cell>
          <cell r="K300">
            <v>1.2</v>
          </cell>
          <cell r="L300">
            <v>1.4</v>
          </cell>
        </row>
        <row r="301">
          <cell r="B301" t="str">
            <v>Traàn Thanh Tuøng</v>
          </cell>
          <cell r="D301">
            <v>1.2184952380952381</v>
          </cell>
          <cell r="F301">
            <v>1.242</v>
          </cell>
          <cell r="G301">
            <v>154</v>
          </cell>
          <cell r="H301">
            <v>146</v>
          </cell>
          <cell r="I301">
            <v>300</v>
          </cell>
          <cell r="J301">
            <v>1.4</v>
          </cell>
          <cell r="K301">
            <v>1.4</v>
          </cell>
          <cell r="L301">
            <v>1.4</v>
          </cell>
        </row>
        <row r="302">
          <cell r="B302" t="str">
            <v>Nguyeãn Höõu Taøi</v>
          </cell>
          <cell r="D302">
            <v>1.2184952380952381</v>
          </cell>
          <cell r="F302">
            <v>1.242</v>
          </cell>
          <cell r="G302">
            <v>155</v>
          </cell>
          <cell r="H302">
            <v>148</v>
          </cell>
          <cell r="I302">
            <v>303</v>
          </cell>
          <cell r="J302">
            <v>1.4</v>
          </cell>
          <cell r="K302">
            <v>1.4</v>
          </cell>
          <cell r="L302">
            <v>1.4</v>
          </cell>
        </row>
        <row r="303">
          <cell r="B303" t="str">
            <v>Leâ Phaùt Ñaït</v>
          </cell>
          <cell r="D303">
            <v>1.2184952380952381</v>
          </cell>
          <cell r="F303">
            <v>1.2430000000000001</v>
          </cell>
          <cell r="G303">
            <v>156</v>
          </cell>
          <cell r="H303">
            <v>157</v>
          </cell>
          <cell r="I303">
            <v>313</v>
          </cell>
          <cell r="J303">
            <v>1.6</v>
          </cell>
          <cell r="K303">
            <v>1.4</v>
          </cell>
          <cell r="L303">
            <v>1.5</v>
          </cell>
        </row>
        <row r="304">
          <cell r="B304" t="str">
            <v>Nam Taán Löïc</v>
          </cell>
          <cell r="C304" t="str">
            <v>CT</v>
          </cell>
          <cell r="D304">
            <v>1.3</v>
          </cell>
          <cell r="F304">
            <v>1.3</v>
          </cell>
          <cell r="G304">
            <v>154</v>
          </cell>
          <cell r="H304">
            <v>146</v>
          </cell>
          <cell r="I304">
            <v>300</v>
          </cell>
          <cell r="J304">
            <v>1.2</v>
          </cell>
          <cell r="K304">
            <v>1.2</v>
          </cell>
          <cell r="L304">
            <v>1.2</v>
          </cell>
        </row>
        <row r="305">
          <cell r="B305" t="str">
            <v>Huyønh Quoác Söû</v>
          </cell>
          <cell r="D305">
            <v>1.1499999999999999</v>
          </cell>
          <cell r="F305">
            <v>1.1499999999999999</v>
          </cell>
          <cell r="G305">
            <v>156</v>
          </cell>
          <cell r="H305">
            <v>137</v>
          </cell>
          <cell r="I305">
            <v>293</v>
          </cell>
          <cell r="J305">
            <v>1.4</v>
          </cell>
          <cell r="K305">
            <v>1.2</v>
          </cell>
          <cell r="L305">
            <v>1.2999999999999998</v>
          </cell>
        </row>
        <row r="306">
          <cell r="B306" t="str">
            <v>Tröông Tieán Huøng</v>
          </cell>
          <cell r="D306">
            <v>1.2719982078853047</v>
          </cell>
          <cell r="F306">
            <v>1.246</v>
          </cell>
          <cell r="G306">
            <v>155</v>
          </cell>
          <cell r="H306">
            <v>145</v>
          </cell>
          <cell r="I306">
            <v>300</v>
          </cell>
          <cell r="J306">
            <v>1.4</v>
          </cell>
          <cell r="K306">
            <v>1.4</v>
          </cell>
          <cell r="L306">
            <v>1.4</v>
          </cell>
        </row>
        <row r="307">
          <cell r="B307" t="str">
            <v>Leâ Tröôøng Sa</v>
          </cell>
          <cell r="D307">
            <v>1.1499999999999999</v>
          </cell>
          <cell r="F307">
            <v>1.1499999999999999</v>
          </cell>
          <cell r="G307">
            <v>153</v>
          </cell>
          <cell r="H307">
            <v>155</v>
          </cell>
          <cell r="I307">
            <v>308</v>
          </cell>
          <cell r="J307">
            <v>1.2</v>
          </cell>
          <cell r="K307">
            <v>1.4</v>
          </cell>
          <cell r="L307">
            <v>1.2999999999999998</v>
          </cell>
        </row>
        <row r="308">
          <cell r="B308" t="str">
            <v>Leâ Kyø Maïnh</v>
          </cell>
          <cell r="F308">
            <v>0.86250000000000004</v>
          </cell>
          <cell r="H308">
            <v>72</v>
          </cell>
          <cell r="I308">
            <v>72</v>
          </cell>
          <cell r="K308">
            <v>1.4</v>
          </cell>
          <cell r="L308">
            <v>1.4</v>
          </cell>
        </row>
        <row r="309">
          <cell r="B309" t="str">
            <v>Traàn Vaên Tieån</v>
          </cell>
          <cell r="C309" t="str">
            <v>CT</v>
          </cell>
          <cell r="D309">
            <v>1.1499999999999999</v>
          </cell>
          <cell r="F309">
            <v>1.2</v>
          </cell>
          <cell r="G309">
            <v>156</v>
          </cell>
          <cell r="H309">
            <v>155</v>
          </cell>
          <cell r="I309">
            <v>311</v>
          </cell>
          <cell r="J309">
            <v>1.4</v>
          </cell>
          <cell r="K309">
            <v>1.6</v>
          </cell>
          <cell r="L309">
            <v>1.5</v>
          </cell>
        </row>
        <row r="310">
          <cell r="B310" t="str">
            <v>Trònh Xuaân Thaéng</v>
          </cell>
          <cell r="D310">
            <v>1.1499999999999999</v>
          </cell>
          <cell r="F310">
            <v>1.1499999999999999</v>
          </cell>
          <cell r="G310">
            <v>155</v>
          </cell>
          <cell r="H310">
            <v>157</v>
          </cell>
          <cell r="I310">
            <v>312</v>
          </cell>
          <cell r="J310">
            <v>1.4</v>
          </cell>
          <cell r="K310">
            <v>1.4</v>
          </cell>
          <cell r="L310">
            <v>1.4</v>
          </cell>
        </row>
        <row r="311">
          <cell r="B311" t="str">
            <v>Nguyeãn Vaên Thaém</v>
          </cell>
          <cell r="D311">
            <v>1.1499999999999999</v>
          </cell>
          <cell r="F311">
            <v>1.1499999999999999</v>
          </cell>
          <cell r="G311">
            <v>156</v>
          </cell>
          <cell r="H311">
            <v>157</v>
          </cell>
          <cell r="I311">
            <v>313</v>
          </cell>
          <cell r="J311">
            <v>1.4</v>
          </cell>
          <cell r="K311">
            <v>1.4</v>
          </cell>
          <cell r="L311">
            <v>1.4</v>
          </cell>
        </row>
        <row r="312">
          <cell r="B312" t="str">
            <v>Taøo Chís Sal</v>
          </cell>
          <cell r="D312">
            <v>1.1499999999999999</v>
          </cell>
          <cell r="F312">
            <v>1.1499999999999999</v>
          </cell>
          <cell r="G312">
            <v>149</v>
          </cell>
          <cell r="H312">
            <v>152</v>
          </cell>
          <cell r="I312">
            <v>301</v>
          </cell>
          <cell r="J312">
            <v>1.4</v>
          </cell>
          <cell r="K312">
            <v>1.4</v>
          </cell>
          <cell r="L312">
            <v>1.4</v>
          </cell>
        </row>
        <row r="313">
          <cell r="B313" t="str">
            <v>Nguyeãn Tuaán Kieät</v>
          </cell>
          <cell r="F313">
            <v>0.86250000000000004</v>
          </cell>
          <cell r="H313">
            <v>55</v>
          </cell>
          <cell r="I313">
            <v>55</v>
          </cell>
          <cell r="K313">
            <v>1</v>
          </cell>
          <cell r="L313">
            <v>1</v>
          </cell>
        </row>
        <row r="314">
          <cell r="B314" t="str">
            <v>Leâ Thaùi Bình</v>
          </cell>
          <cell r="D314">
            <v>1.3</v>
          </cell>
          <cell r="F314">
            <v>1.294</v>
          </cell>
          <cell r="G314">
            <v>156</v>
          </cell>
          <cell r="H314">
            <v>147</v>
          </cell>
          <cell r="I314">
            <v>303</v>
          </cell>
          <cell r="J314">
            <v>1.4</v>
          </cell>
          <cell r="K314">
            <v>1</v>
          </cell>
          <cell r="L314">
            <v>1.2</v>
          </cell>
        </row>
        <row r="315">
          <cell r="B315" t="str">
            <v>Nguyeãn Khaéc Vuõ</v>
          </cell>
          <cell r="D315">
            <v>1.1499999999999999</v>
          </cell>
          <cell r="F315">
            <v>1.1559999999999999</v>
          </cell>
          <cell r="G315">
            <v>156</v>
          </cell>
          <cell r="H315">
            <v>156</v>
          </cell>
          <cell r="I315">
            <v>312</v>
          </cell>
          <cell r="J315">
            <v>1.6</v>
          </cell>
          <cell r="K315">
            <v>1.6</v>
          </cell>
          <cell r="L315">
            <v>1.6</v>
          </cell>
        </row>
        <row r="316">
          <cell r="B316" t="str">
            <v>Ngoâ Minh Taâm</v>
          </cell>
          <cell r="D316">
            <v>1.1499999999999999</v>
          </cell>
          <cell r="F316">
            <v>1.1499999999999999</v>
          </cell>
          <cell r="G316">
            <v>154</v>
          </cell>
          <cell r="H316">
            <v>155</v>
          </cell>
          <cell r="I316">
            <v>309</v>
          </cell>
          <cell r="J316">
            <v>1.4</v>
          </cell>
          <cell r="K316">
            <v>1.4</v>
          </cell>
          <cell r="L316">
            <v>1.4</v>
          </cell>
        </row>
        <row r="317">
          <cell r="B317" t="str">
            <v>Nguyeãn Vaên Loäc</v>
          </cell>
          <cell r="D317">
            <v>1.1480017921146952</v>
          </cell>
          <cell r="F317">
            <v>1.149</v>
          </cell>
          <cell r="G317">
            <v>153</v>
          </cell>
          <cell r="H317">
            <v>157</v>
          </cell>
          <cell r="I317">
            <v>310</v>
          </cell>
          <cell r="J317">
            <v>1.4</v>
          </cell>
          <cell r="K317">
            <v>1.2</v>
          </cell>
          <cell r="L317">
            <v>1.2999999999999998</v>
          </cell>
        </row>
        <row r="318">
          <cell r="B318" t="str">
            <v>Traàn Vaên Töôøng</v>
          </cell>
          <cell r="D318">
            <v>1.1499999999999999</v>
          </cell>
          <cell r="F318">
            <v>1.1499999999999999</v>
          </cell>
          <cell r="G318">
            <v>156</v>
          </cell>
          <cell r="H318">
            <v>149</v>
          </cell>
          <cell r="I318">
            <v>305</v>
          </cell>
          <cell r="J318">
            <v>1.4</v>
          </cell>
          <cell r="K318">
            <v>1.2</v>
          </cell>
          <cell r="L318">
            <v>1.2999999999999998</v>
          </cell>
        </row>
        <row r="319">
          <cell r="B319" t="str">
            <v>Vuõ Duy Thaêng</v>
          </cell>
          <cell r="C319" t="str">
            <v>CT</v>
          </cell>
          <cell r="D319">
            <v>1.3657885304659498</v>
          </cell>
          <cell r="F319">
            <v>1.3460000000000001</v>
          </cell>
          <cell r="G319">
            <v>156</v>
          </cell>
          <cell r="H319">
            <v>156</v>
          </cell>
          <cell r="I319">
            <v>312</v>
          </cell>
          <cell r="J319">
            <v>1.6</v>
          </cell>
          <cell r="K319">
            <v>1.2</v>
          </cell>
          <cell r="L319">
            <v>1.4</v>
          </cell>
        </row>
        <row r="320">
          <cell r="B320" t="str">
            <v>Cao Vaên Thaønh</v>
          </cell>
          <cell r="D320">
            <v>1.2645878136200717</v>
          </cell>
          <cell r="F320">
            <v>1.268</v>
          </cell>
          <cell r="G320">
            <v>156</v>
          </cell>
          <cell r="H320">
            <v>149</v>
          </cell>
          <cell r="I320">
            <v>305</v>
          </cell>
          <cell r="J320">
            <v>1.4</v>
          </cell>
          <cell r="K320">
            <v>1.4</v>
          </cell>
          <cell r="L320">
            <v>1.4</v>
          </cell>
        </row>
        <row r="321">
          <cell r="B321" t="str">
            <v>Löu Ñöùc Ñònh</v>
          </cell>
          <cell r="C321" t="str">
            <v>CP</v>
          </cell>
          <cell r="D321">
            <v>1.3542019713261648</v>
          </cell>
          <cell r="F321">
            <v>1.319</v>
          </cell>
          <cell r="G321">
            <v>156</v>
          </cell>
          <cell r="H321">
            <v>156</v>
          </cell>
          <cell r="I321">
            <v>312</v>
          </cell>
          <cell r="J321">
            <v>1.6</v>
          </cell>
          <cell r="K321">
            <v>1.6</v>
          </cell>
          <cell r="L321">
            <v>1.6</v>
          </cell>
        </row>
        <row r="322">
          <cell r="B322" t="str">
            <v>Phaïm Thaùi Hoaø</v>
          </cell>
          <cell r="D322">
            <v>1.2265053763440861</v>
          </cell>
          <cell r="F322">
            <v>1.2330000000000001</v>
          </cell>
          <cell r="G322">
            <v>154</v>
          </cell>
          <cell r="H322">
            <v>147</v>
          </cell>
          <cell r="I322">
            <v>301</v>
          </cell>
          <cell r="J322">
            <v>1.4</v>
          </cell>
          <cell r="K322">
            <v>1.4</v>
          </cell>
          <cell r="L322">
            <v>1.4</v>
          </cell>
        </row>
        <row r="323">
          <cell r="B323" t="str">
            <v>Dö Minh Taâm</v>
          </cell>
          <cell r="D323">
            <v>1.2979928315412186</v>
          </cell>
          <cell r="F323">
            <v>1.28</v>
          </cell>
          <cell r="G323">
            <v>156</v>
          </cell>
          <cell r="H323">
            <v>156</v>
          </cell>
          <cell r="I323">
            <v>312</v>
          </cell>
          <cell r="J323">
            <v>1.2</v>
          </cell>
          <cell r="K323">
            <v>1.4</v>
          </cell>
          <cell r="L323">
            <v>1.2999999999999998</v>
          </cell>
        </row>
        <row r="324">
          <cell r="B324" t="str">
            <v>Nguyeãn Anh Tuaán A</v>
          </cell>
          <cell r="D324">
            <v>1.2205376344086021</v>
          </cell>
          <cell r="F324">
            <v>1.228</v>
          </cell>
          <cell r="G324">
            <v>152</v>
          </cell>
          <cell r="H324">
            <v>156</v>
          </cell>
          <cell r="I324">
            <v>308</v>
          </cell>
          <cell r="J324">
            <v>1.4</v>
          </cell>
          <cell r="K324">
            <v>1.4</v>
          </cell>
          <cell r="L324">
            <v>1.4</v>
          </cell>
        </row>
        <row r="325">
          <cell r="B325" t="str">
            <v>Ngoâ Xuaân Tueä</v>
          </cell>
          <cell r="D325">
            <v>1.2758691756272402</v>
          </cell>
          <cell r="F325">
            <v>1.2709999999999999</v>
          </cell>
          <cell r="G325">
            <v>153</v>
          </cell>
          <cell r="H325">
            <v>156</v>
          </cell>
          <cell r="I325">
            <v>309</v>
          </cell>
          <cell r="J325">
            <v>1.2</v>
          </cell>
          <cell r="K325">
            <v>1.4</v>
          </cell>
          <cell r="L325">
            <v>1.2999999999999998</v>
          </cell>
        </row>
        <row r="326">
          <cell r="B326" t="str">
            <v>Nguyeãn Tieán Duõng</v>
          </cell>
          <cell r="D326">
            <v>1.2187853046594981</v>
          </cell>
          <cell r="F326">
            <v>1.181</v>
          </cell>
          <cell r="G326">
            <v>154</v>
          </cell>
          <cell r="H326">
            <v>143</v>
          </cell>
          <cell r="I326">
            <v>297</v>
          </cell>
          <cell r="J326">
            <v>1.4</v>
          </cell>
          <cell r="K326">
            <v>1.4</v>
          </cell>
          <cell r="L326">
            <v>1.4</v>
          </cell>
        </row>
        <row r="327">
          <cell r="B327" t="str">
            <v>Trònh Ngoïc Toaøn</v>
          </cell>
          <cell r="D327">
            <v>1.1776254480286739</v>
          </cell>
          <cell r="F327">
            <v>1.1719999999999999</v>
          </cell>
          <cell r="G327">
            <v>152</v>
          </cell>
          <cell r="H327">
            <v>154</v>
          </cell>
          <cell r="I327">
            <v>306</v>
          </cell>
          <cell r="J327">
            <v>1.4</v>
          </cell>
          <cell r="K327">
            <v>1.6</v>
          </cell>
          <cell r="L327">
            <v>1.5</v>
          </cell>
        </row>
        <row r="328">
          <cell r="B328" t="str">
            <v>Nguyeãn Coâng Danh</v>
          </cell>
          <cell r="D328">
            <v>1.2348207885304658</v>
          </cell>
          <cell r="F328">
            <v>1.236</v>
          </cell>
          <cell r="G328">
            <v>155</v>
          </cell>
          <cell r="H328">
            <v>157</v>
          </cell>
          <cell r="I328">
            <v>312</v>
          </cell>
          <cell r="J328">
            <v>1.4</v>
          </cell>
          <cell r="K328">
            <v>1.4</v>
          </cell>
          <cell r="L328">
            <v>1.4</v>
          </cell>
        </row>
        <row r="329">
          <cell r="B329" t="str">
            <v>Nguyeãn Nhö  Chöôøng</v>
          </cell>
          <cell r="C329" t="str">
            <v>CT</v>
          </cell>
          <cell r="D329">
            <v>1.3367293906810034</v>
          </cell>
          <cell r="F329">
            <v>1.319</v>
          </cell>
          <cell r="G329">
            <v>133</v>
          </cell>
          <cell r="H329">
            <v>155</v>
          </cell>
          <cell r="I329">
            <v>288</v>
          </cell>
          <cell r="J329">
            <v>1.6</v>
          </cell>
          <cell r="K329">
            <v>1.6</v>
          </cell>
          <cell r="L329">
            <v>1.6</v>
          </cell>
        </row>
        <row r="330">
          <cell r="B330" t="str">
            <v>Hoaøng Minh Taân</v>
          </cell>
          <cell r="C330" t="str">
            <v>CP</v>
          </cell>
          <cell r="D330">
            <v>1.2991666666666666</v>
          </cell>
          <cell r="F330">
            <v>1.3029999999999999</v>
          </cell>
          <cell r="G330">
            <v>151</v>
          </cell>
          <cell r="H330">
            <v>157</v>
          </cell>
          <cell r="I330">
            <v>308</v>
          </cell>
          <cell r="J330">
            <v>1.4</v>
          </cell>
          <cell r="K330">
            <v>1.6</v>
          </cell>
          <cell r="L330">
            <v>1.5</v>
          </cell>
        </row>
        <row r="331">
          <cell r="B331" t="str">
            <v>Nguyeãn Tuaán Anh</v>
          </cell>
          <cell r="D331">
            <v>1.3276168458781361</v>
          </cell>
          <cell r="F331">
            <v>1.302</v>
          </cell>
          <cell r="G331">
            <v>156</v>
          </cell>
          <cell r="H331">
            <v>157</v>
          </cell>
          <cell r="I331">
            <v>313</v>
          </cell>
          <cell r="J331">
            <v>1.4</v>
          </cell>
          <cell r="K331">
            <v>1.4</v>
          </cell>
          <cell r="L331">
            <v>1.4</v>
          </cell>
        </row>
        <row r="332">
          <cell r="B332" t="str">
            <v>Phan Sinh Ngaân</v>
          </cell>
          <cell r="D332">
            <v>1.3520514336917564</v>
          </cell>
          <cell r="F332">
            <v>1.306</v>
          </cell>
          <cell r="G332">
            <v>153</v>
          </cell>
          <cell r="H332">
            <v>154</v>
          </cell>
          <cell r="I332">
            <v>307</v>
          </cell>
          <cell r="J332">
            <v>1.4</v>
          </cell>
          <cell r="K332">
            <v>1.4</v>
          </cell>
          <cell r="L332">
            <v>1.4</v>
          </cell>
        </row>
        <row r="333">
          <cell r="B333" t="str">
            <v>Vuõ Duy Theá</v>
          </cell>
          <cell r="D333">
            <v>1.2768996415770608</v>
          </cell>
          <cell r="F333">
            <v>1.2709999999999999</v>
          </cell>
          <cell r="G333">
            <v>156</v>
          </cell>
          <cell r="H333">
            <v>156</v>
          </cell>
          <cell r="I333">
            <v>312</v>
          </cell>
          <cell r="J333">
            <v>1.4</v>
          </cell>
          <cell r="K333">
            <v>1.4</v>
          </cell>
          <cell r="L333">
            <v>1.4</v>
          </cell>
        </row>
        <row r="334">
          <cell r="B334" t="str">
            <v>Huyønh Quoác Phuù</v>
          </cell>
          <cell r="D334">
            <v>1.267706093189964</v>
          </cell>
          <cell r="F334">
            <v>1.2649999999999999</v>
          </cell>
          <cell r="G334">
            <v>156</v>
          </cell>
          <cell r="H334">
            <v>157</v>
          </cell>
          <cell r="I334">
            <v>313</v>
          </cell>
          <cell r="J334">
            <v>1.4</v>
          </cell>
          <cell r="K334">
            <v>1.4</v>
          </cell>
          <cell r="L334">
            <v>1.4</v>
          </cell>
        </row>
        <row r="335">
          <cell r="B335" t="str">
            <v>Danh Quang</v>
          </cell>
          <cell r="D335">
            <v>1.2841884280593956</v>
          </cell>
          <cell r="F335">
            <v>1.2709999999999999</v>
          </cell>
          <cell r="G335">
            <v>154</v>
          </cell>
          <cell r="H335">
            <v>156</v>
          </cell>
          <cell r="I335">
            <v>310</v>
          </cell>
          <cell r="J335">
            <v>1.4</v>
          </cell>
          <cell r="K335">
            <v>1.6</v>
          </cell>
          <cell r="L335">
            <v>1.5</v>
          </cell>
        </row>
        <row r="336">
          <cell r="B336" t="str">
            <v>Ñoã Minh Taâm</v>
          </cell>
          <cell r="D336">
            <v>1.1675806451612902</v>
          </cell>
          <cell r="F336">
            <v>1.159</v>
          </cell>
          <cell r="G336">
            <v>156</v>
          </cell>
          <cell r="H336">
            <v>156</v>
          </cell>
          <cell r="I336">
            <v>312</v>
          </cell>
          <cell r="J336">
            <v>1.4</v>
          </cell>
          <cell r="K336">
            <v>1.4</v>
          </cell>
          <cell r="L336">
            <v>1.4</v>
          </cell>
        </row>
        <row r="337">
          <cell r="B337" t="str">
            <v>Huyønh Chí Trung</v>
          </cell>
          <cell r="D337">
            <v>1.1558781362007169</v>
          </cell>
          <cell r="F337">
            <v>1.1339999999999999</v>
          </cell>
          <cell r="G337">
            <v>153</v>
          </cell>
          <cell r="H337">
            <v>155</v>
          </cell>
          <cell r="I337">
            <v>308</v>
          </cell>
          <cell r="J337">
            <v>1.4</v>
          </cell>
          <cell r="K337">
            <v>1.4</v>
          </cell>
          <cell r="L337">
            <v>1.4</v>
          </cell>
        </row>
        <row r="338">
          <cell r="B338" t="str">
            <v>Nguyeãn Thaùi Vieät</v>
          </cell>
          <cell r="D338">
            <v>1.1696071428571428</v>
          </cell>
          <cell r="F338">
            <v>1.177</v>
          </cell>
          <cell r="G338">
            <v>156</v>
          </cell>
          <cell r="H338">
            <v>157</v>
          </cell>
          <cell r="I338">
            <v>313</v>
          </cell>
          <cell r="J338">
            <v>1.4</v>
          </cell>
          <cell r="K338">
            <v>1.6</v>
          </cell>
          <cell r="L338">
            <v>1.5</v>
          </cell>
        </row>
        <row r="339">
          <cell r="B339" t="str">
            <v>Phaïm Taán Giaøu</v>
          </cell>
          <cell r="C339" t="str">
            <v>CT</v>
          </cell>
          <cell r="D339">
            <v>1.3337275985663082</v>
          </cell>
          <cell r="F339">
            <v>1.337</v>
          </cell>
          <cell r="G339">
            <v>156</v>
          </cell>
          <cell r="H339">
            <v>157</v>
          </cell>
          <cell r="I339">
            <v>313</v>
          </cell>
          <cell r="J339">
            <v>1.4</v>
          </cell>
          <cell r="K339">
            <v>1.2</v>
          </cell>
          <cell r="L339">
            <v>1.2999999999999998</v>
          </cell>
        </row>
        <row r="340">
          <cell r="B340" t="str">
            <v>Taï Vaên Beâ</v>
          </cell>
          <cell r="C340" t="str">
            <v>CP</v>
          </cell>
          <cell r="D340">
            <v>1.2983602150537634</v>
          </cell>
          <cell r="F340">
            <v>1.2849999999999999</v>
          </cell>
          <cell r="G340">
            <v>156</v>
          </cell>
          <cell r="H340">
            <v>154</v>
          </cell>
          <cell r="I340">
            <v>310</v>
          </cell>
          <cell r="J340">
            <v>1.4</v>
          </cell>
          <cell r="K340">
            <v>1.4</v>
          </cell>
          <cell r="L340">
            <v>1.4</v>
          </cell>
        </row>
        <row r="341">
          <cell r="B341" t="str">
            <v>Cao Trí Duõng</v>
          </cell>
          <cell r="D341">
            <v>1.2560573476702508</v>
          </cell>
          <cell r="F341">
            <v>1.2490000000000001</v>
          </cell>
          <cell r="G341">
            <v>156</v>
          </cell>
          <cell r="H341">
            <v>153</v>
          </cell>
          <cell r="I341">
            <v>309</v>
          </cell>
          <cell r="J341">
            <v>1.4</v>
          </cell>
          <cell r="K341">
            <v>1.4</v>
          </cell>
          <cell r="L341">
            <v>1.4</v>
          </cell>
        </row>
        <row r="342">
          <cell r="B342" t="str">
            <v>Söû Hoaøng Vinh</v>
          </cell>
          <cell r="D342">
            <v>1.2624532770097285</v>
          </cell>
          <cell r="F342">
            <v>1.2789999999999999</v>
          </cell>
          <cell r="G342">
            <v>151</v>
          </cell>
          <cell r="H342">
            <v>157</v>
          </cell>
          <cell r="I342">
            <v>308</v>
          </cell>
          <cell r="J342">
            <v>1.4</v>
          </cell>
          <cell r="K342">
            <v>1.4</v>
          </cell>
          <cell r="L342">
            <v>1.4</v>
          </cell>
        </row>
        <row r="343">
          <cell r="B343" t="str">
            <v>Nguyeãn Tuaán Höng</v>
          </cell>
          <cell r="D343">
            <v>1.3002963645673322</v>
          </cell>
          <cell r="F343">
            <v>1.282</v>
          </cell>
          <cell r="G343">
            <v>156</v>
          </cell>
          <cell r="H343">
            <v>157</v>
          </cell>
          <cell r="I343">
            <v>313</v>
          </cell>
          <cell r="J343">
            <v>1.4</v>
          </cell>
          <cell r="K343">
            <v>1.4</v>
          </cell>
          <cell r="L343">
            <v>1.4</v>
          </cell>
        </row>
        <row r="344">
          <cell r="B344" t="str">
            <v>Thaân Hoaøng Tieán</v>
          </cell>
          <cell r="D344">
            <v>1.0017833333333332</v>
          </cell>
          <cell r="F344">
            <v>1.038</v>
          </cell>
          <cell r="G344">
            <v>148</v>
          </cell>
          <cell r="H344">
            <v>146</v>
          </cell>
          <cell r="I344">
            <v>294</v>
          </cell>
          <cell r="J344">
            <v>1.2</v>
          </cell>
          <cell r="K344">
            <v>1.2</v>
          </cell>
          <cell r="L344">
            <v>1.2</v>
          </cell>
        </row>
        <row r="345">
          <cell r="B345" t="str">
            <v>Cao Vaên UÙt</v>
          </cell>
          <cell r="D345">
            <v>1.252616487455197</v>
          </cell>
          <cell r="F345">
            <v>1.266</v>
          </cell>
          <cell r="G345">
            <v>155</v>
          </cell>
          <cell r="H345">
            <v>155</v>
          </cell>
          <cell r="I345">
            <v>310</v>
          </cell>
          <cell r="J345">
            <v>1.4</v>
          </cell>
          <cell r="K345">
            <v>1.4</v>
          </cell>
          <cell r="L345">
            <v>1.4</v>
          </cell>
        </row>
        <row r="346">
          <cell r="B346" t="str">
            <v>Nguyeãn Thanh Huøng</v>
          </cell>
          <cell r="D346">
            <v>1.2778218125960064</v>
          </cell>
          <cell r="F346">
            <v>1.2629999999999999</v>
          </cell>
          <cell r="G346">
            <v>153</v>
          </cell>
          <cell r="H346">
            <v>157</v>
          </cell>
          <cell r="I346">
            <v>310</v>
          </cell>
          <cell r="J346">
            <v>1.4</v>
          </cell>
          <cell r="K346">
            <v>1.4</v>
          </cell>
          <cell r="L346">
            <v>1.4</v>
          </cell>
        </row>
        <row r="347">
          <cell r="B347" t="str">
            <v>Traàn Ngoïc Ñoâng</v>
          </cell>
          <cell r="D347">
            <v>1.2266571684587813</v>
          </cell>
          <cell r="F347">
            <v>1.1719999999999999</v>
          </cell>
          <cell r="G347">
            <v>155</v>
          </cell>
          <cell r="H347">
            <v>156</v>
          </cell>
          <cell r="I347">
            <v>311</v>
          </cell>
          <cell r="J347">
            <v>1.4</v>
          </cell>
          <cell r="K347">
            <v>1.4</v>
          </cell>
          <cell r="L347">
            <v>1.4</v>
          </cell>
        </row>
        <row r="348">
          <cell r="B348" t="str">
            <v>Leâ Baù Vöông</v>
          </cell>
          <cell r="D348">
            <v>1.178431899641577</v>
          </cell>
          <cell r="F348">
            <v>1.167</v>
          </cell>
          <cell r="G348">
            <v>156</v>
          </cell>
          <cell r="H348">
            <v>146</v>
          </cell>
          <cell r="I348">
            <v>302</v>
          </cell>
          <cell r="J348">
            <v>1.4</v>
          </cell>
          <cell r="K348">
            <v>1.4</v>
          </cell>
          <cell r="L348">
            <v>1.4</v>
          </cell>
        </row>
        <row r="349">
          <cell r="B349" t="str">
            <v>Vaên minh Maät</v>
          </cell>
          <cell r="C349" t="str">
            <v>TT</v>
          </cell>
          <cell r="D349">
            <v>1.3167</v>
          </cell>
          <cell r="F349">
            <v>1.359</v>
          </cell>
          <cell r="G349">
            <v>151</v>
          </cell>
          <cell r="H349">
            <v>157</v>
          </cell>
          <cell r="I349">
            <v>308</v>
          </cell>
          <cell r="J349">
            <v>1.4</v>
          </cell>
          <cell r="K349">
            <v>1.4</v>
          </cell>
          <cell r="L349">
            <v>1.4</v>
          </cell>
        </row>
        <row r="350">
          <cell r="B350" t="str">
            <v>Döông Thanh Sôn</v>
          </cell>
          <cell r="D350">
            <v>1.2916666666666665</v>
          </cell>
          <cell r="F350">
            <v>1.296</v>
          </cell>
          <cell r="G350">
            <v>147</v>
          </cell>
          <cell r="H350">
            <v>155</v>
          </cell>
          <cell r="I350">
            <v>302</v>
          </cell>
          <cell r="J350">
            <v>1.4</v>
          </cell>
          <cell r="K350">
            <v>1.4</v>
          </cell>
          <cell r="L350">
            <v>1.4</v>
          </cell>
        </row>
        <row r="351">
          <cell r="B351" t="str">
            <v>Nguyeãn Vaên Hoaø</v>
          </cell>
          <cell r="C351" t="str">
            <v>TP</v>
          </cell>
          <cell r="D351">
            <v>1.3</v>
          </cell>
          <cell r="F351">
            <v>1.3</v>
          </cell>
          <cell r="G351">
            <v>150</v>
          </cell>
          <cell r="H351">
            <v>153</v>
          </cell>
          <cell r="I351">
            <v>303</v>
          </cell>
          <cell r="J351">
            <v>1.6</v>
          </cell>
          <cell r="K351">
            <v>1.6</v>
          </cell>
          <cell r="L351">
            <v>1.6</v>
          </cell>
        </row>
        <row r="352">
          <cell r="B352" t="str">
            <v>Nguyeãn Taán Cöôøng</v>
          </cell>
          <cell r="D352">
            <v>1.25</v>
          </cell>
          <cell r="F352">
            <v>1.25</v>
          </cell>
          <cell r="G352">
            <v>148</v>
          </cell>
          <cell r="H352">
            <v>157</v>
          </cell>
          <cell r="I352">
            <v>305</v>
          </cell>
          <cell r="J352">
            <v>1.6</v>
          </cell>
          <cell r="K352">
            <v>1.6</v>
          </cell>
          <cell r="L352">
            <v>1.6</v>
          </cell>
        </row>
        <row r="353">
          <cell r="B353" t="str">
            <v>Danh Höôøng</v>
          </cell>
          <cell r="D353">
            <v>1.25</v>
          </cell>
          <cell r="F353">
            <v>1.25</v>
          </cell>
          <cell r="G353">
            <v>150</v>
          </cell>
          <cell r="H353">
            <v>156</v>
          </cell>
          <cell r="I353">
            <v>306</v>
          </cell>
          <cell r="J353">
            <v>1.6</v>
          </cell>
          <cell r="K353">
            <v>1.4</v>
          </cell>
          <cell r="L353">
            <v>1.5</v>
          </cell>
        </row>
        <row r="354">
          <cell r="B354" t="str">
            <v>Thaùi Truyeàn Thoáng</v>
          </cell>
          <cell r="D354">
            <v>1.25</v>
          </cell>
          <cell r="F354">
            <v>1.25</v>
          </cell>
          <cell r="G354">
            <v>151</v>
          </cell>
          <cell r="H354">
            <v>157</v>
          </cell>
          <cell r="I354">
            <v>308</v>
          </cell>
          <cell r="J354">
            <v>1.4</v>
          </cell>
          <cell r="K354">
            <v>1.4</v>
          </cell>
          <cell r="L354">
            <v>1.4</v>
          </cell>
        </row>
        <row r="355">
          <cell r="B355" t="str">
            <v>Ng Thanh Sang</v>
          </cell>
          <cell r="D355">
            <v>1.25</v>
          </cell>
          <cell r="F355">
            <v>1.25</v>
          </cell>
          <cell r="G355">
            <v>151</v>
          </cell>
          <cell r="H355">
            <v>157</v>
          </cell>
          <cell r="I355">
            <v>308</v>
          </cell>
          <cell r="J355">
            <v>1.4</v>
          </cell>
          <cell r="K355">
            <v>1.4</v>
          </cell>
          <cell r="L355">
            <v>1.4</v>
          </cell>
        </row>
        <row r="356">
          <cell r="B356" t="str">
            <v>Phaïm Vaên Phuù</v>
          </cell>
          <cell r="D356">
            <v>1.25</v>
          </cell>
          <cell r="F356">
            <v>1.25</v>
          </cell>
          <cell r="G356">
            <v>151</v>
          </cell>
          <cell r="H356">
            <v>157</v>
          </cell>
          <cell r="I356">
            <v>308</v>
          </cell>
          <cell r="J356">
            <v>1.4</v>
          </cell>
          <cell r="K356">
            <v>1.4</v>
          </cell>
          <cell r="L356">
            <v>1.4</v>
          </cell>
        </row>
        <row r="357">
          <cell r="B357" t="str">
            <v>Voõ ngoïc Phöôùc</v>
          </cell>
          <cell r="D357">
            <v>1.25</v>
          </cell>
          <cell r="F357">
            <v>1.25</v>
          </cell>
          <cell r="G357">
            <v>147</v>
          </cell>
          <cell r="H357">
            <v>155</v>
          </cell>
          <cell r="I357">
            <v>302</v>
          </cell>
          <cell r="J357">
            <v>1.4</v>
          </cell>
          <cell r="K357">
            <v>1.4</v>
          </cell>
          <cell r="L357">
            <v>1.4</v>
          </cell>
        </row>
        <row r="358">
          <cell r="B358" t="str">
            <v>Lám Quang Sang</v>
          </cell>
          <cell r="F358">
            <v>0.86250000000000004</v>
          </cell>
          <cell r="H358">
            <v>72</v>
          </cell>
          <cell r="I358">
            <v>72</v>
          </cell>
          <cell r="K358">
            <v>1.4</v>
          </cell>
          <cell r="L358">
            <v>1.4</v>
          </cell>
        </row>
        <row r="359">
          <cell r="B359" t="str">
            <v>Buøi Ñình Giaùp</v>
          </cell>
          <cell r="D359">
            <v>1.25</v>
          </cell>
          <cell r="F359">
            <v>1.25</v>
          </cell>
          <cell r="G359">
            <v>156</v>
          </cell>
          <cell r="H359">
            <v>134</v>
          </cell>
          <cell r="I359">
            <v>290</v>
          </cell>
          <cell r="J359">
            <v>1.6</v>
          </cell>
          <cell r="K359">
            <v>1.6</v>
          </cell>
          <cell r="L359">
            <v>1.6</v>
          </cell>
        </row>
        <row r="360">
          <cell r="B360" t="str">
            <v>Laâm Vaên Giang</v>
          </cell>
          <cell r="D360">
            <v>1.25</v>
          </cell>
          <cell r="F360">
            <v>1.25</v>
          </cell>
          <cell r="G360">
            <v>156</v>
          </cell>
          <cell r="H360">
            <v>157</v>
          </cell>
          <cell r="I360">
            <v>313</v>
          </cell>
          <cell r="J360">
            <v>1.4</v>
          </cell>
          <cell r="K360">
            <v>1.4</v>
          </cell>
          <cell r="L360">
            <v>1.4</v>
          </cell>
        </row>
        <row r="361">
          <cell r="B361" t="str">
            <v>Trieäu Quang Höng</v>
          </cell>
          <cell r="D361">
            <v>1.25</v>
          </cell>
          <cell r="F361">
            <v>1.25</v>
          </cell>
          <cell r="G361">
            <v>156</v>
          </cell>
          <cell r="H361">
            <v>152</v>
          </cell>
          <cell r="I361">
            <v>308</v>
          </cell>
          <cell r="J361">
            <v>1.4</v>
          </cell>
          <cell r="K361">
            <v>1.4</v>
          </cell>
          <cell r="L361">
            <v>1.4</v>
          </cell>
        </row>
        <row r="362">
          <cell r="B362" t="str">
            <v>Leâ ngoïc Bieân</v>
          </cell>
          <cell r="D362">
            <v>1.25</v>
          </cell>
          <cell r="F362">
            <v>1.25</v>
          </cell>
          <cell r="G362">
            <v>156</v>
          </cell>
          <cell r="H362">
            <v>156</v>
          </cell>
          <cell r="I362">
            <v>312</v>
          </cell>
          <cell r="J362">
            <v>1</v>
          </cell>
          <cell r="K362">
            <v>1.4</v>
          </cell>
          <cell r="L362">
            <v>1.2</v>
          </cell>
        </row>
        <row r="363">
          <cell r="B363" t="str">
            <v>Nguyeãn Vaên Laäp</v>
          </cell>
          <cell r="D363">
            <v>1.25</v>
          </cell>
          <cell r="F363">
            <v>1.25</v>
          </cell>
          <cell r="G363">
            <v>154</v>
          </cell>
          <cell r="H363">
            <v>156</v>
          </cell>
          <cell r="I363">
            <v>310</v>
          </cell>
          <cell r="J363">
            <v>1.4</v>
          </cell>
          <cell r="K363">
            <v>1.4</v>
          </cell>
          <cell r="L363">
            <v>1.4</v>
          </cell>
        </row>
        <row r="364">
          <cell r="B364" t="str">
            <v>Nguyeãn Phuù Tuùc</v>
          </cell>
          <cell r="D364">
            <v>1.2170000000000001</v>
          </cell>
          <cell r="F364">
            <v>1.234</v>
          </cell>
          <cell r="G364">
            <v>156</v>
          </cell>
          <cell r="H364">
            <v>156</v>
          </cell>
          <cell r="I364">
            <v>312</v>
          </cell>
          <cell r="J364">
            <v>1.4</v>
          </cell>
          <cell r="K364">
            <v>1.4</v>
          </cell>
          <cell r="L364">
            <v>1.4</v>
          </cell>
        </row>
        <row r="365">
          <cell r="B365" t="str">
            <v>Traàn Ñình Long</v>
          </cell>
          <cell r="D365">
            <v>1.25</v>
          </cell>
          <cell r="F365">
            <v>1.25</v>
          </cell>
          <cell r="G365">
            <v>156</v>
          </cell>
          <cell r="H365">
            <v>157</v>
          </cell>
          <cell r="I365">
            <v>313</v>
          </cell>
          <cell r="J365">
            <v>1.4</v>
          </cell>
          <cell r="K365">
            <v>1.4</v>
          </cell>
          <cell r="L365">
            <v>1.4</v>
          </cell>
        </row>
        <row r="366">
          <cell r="B366" t="str">
            <v>Toâ Ngoïc Mai</v>
          </cell>
          <cell r="D366">
            <v>1.3</v>
          </cell>
          <cell r="F366">
            <v>1.3</v>
          </cell>
          <cell r="G366">
            <v>154</v>
          </cell>
          <cell r="H366">
            <v>157</v>
          </cell>
          <cell r="I366">
            <v>311</v>
          </cell>
          <cell r="J366">
            <v>1.6</v>
          </cell>
          <cell r="K366">
            <v>1.6</v>
          </cell>
          <cell r="L366">
            <v>1.6</v>
          </cell>
        </row>
        <row r="367">
          <cell r="B367" t="str">
            <v>Ng  Coâng Laønh</v>
          </cell>
          <cell r="D367">
            <v>1.25</v>
          </cell>
          <cell r="F367">
            <v>1.25</v>
          </cell>
          <cell r="G367">
            <v>148</v>
          </cell>
          <cell r="H367">
            <v>152</v>
          </cell>
          <cell r="I367">
            <v>300</v>
          </cell>
          <cell r="J367">
            <v>1.4</v>
          </cell>
          <cell r="K367">
            <v>1.4</v>
          </cell>
          <cell r="L367">
            <v>1.4</v>
          </cell>
        </row>
        <row r="368">
          <cell r="B368" t="str">
            <v>Ñaøm Ñöùc Minh</v>
          </cell>
          <cell r="D368">
            <v>1.25</v>
          </cell>
          <cell r="F368">
            <v>1.25</v>
          </cell>
          <cell r="G368">
            <v>150</v>
          </cell>
          <cell r="H368">
            <v>157</v>
          </cell>
          <cell r="I368">
            <v>307</v>
          </cell>
          <cell r="J368">
            <v>1.4</v>
          </cell>
          <cell r="K368">
            <v>1.4</v>
          </cell>
          <cell r="L368">
            <v>1.4</v>
          </cell>
        </row>
        <row r="369">
          <cell r="B369" t="str">
            <v>Mai Vaên Tröïc</v>
          </cell>
          <cell r="D369">
            <v>1.25</v>
          </cell>
          <cell r="F369">
            <v>1.25</v>
          </cell>
          <cell r="G369">
            <v>156</v>
          </cell>
          <cell r="H369">
            <v>145</v>
          </cell>
          <cell r="I369">
            <v>301</v>
          </cell>
          <cell r="J369">
            <v>1.4</v>
          </cell>
          <cell r="K369">
            <v>1.4</v>
          </cell>
          <cell r="L369">
            <v>1.4</v>
          </cell>
        </row>
        <row r="370">
          <cell r="B370" t="str">
            <v>Laâm Vaên Sang</v>
          </cell>
          <cell r="C370" t="str">
            <v>CT</v>
          </cell>
          <cell r="D370">
            <v>1.3</v>
          </cell>
          <cell r="F370">
            <v>1.302</v>
          </cell>
          <cell r="G370">
            <v>156</v>
          </cell>
          <cell r="H370">
            <v>157</v>
          </cell>
          <cell r="I370">
            <v>313</v>
          </cell>
          <cell r="J370">
            <v>1.6</v>
          </cell>
          <cell r="K370">
            <v>1.2</v>
          </cell>
          <cell r="L370">
            <v>1.4</v>
          </cell>
        </row>
        <row r="371">
          <cell r="B371" t="str">
            <v>Buøi Huy Chöông</v>
          </cell>
          <cell r="D371">
            <v>1.1499999999999999</v>
          </cell>
          <cell r="F371">
            <v>1.151</v>
          </cell>
          <cell r="G371">
            <v>141</v>
          </cell>
          <cell r="H371">
            <v>152</v>
          </cell>
          <cell r="I371">
            <v>293</v>
          </cell>
          <cell r="J371">
            <v>1.4</v>
          </cell>
          <cell r="K371">
            <v>1.4</v>
          </cell>
          <cell r="L371">
            <v>1.4</v>
          </cell>
        </row>
        <row r="372">
          <cell r="B372" t="str">
            <v>Nguyeãn Höõu Thaïnh</v>
          </cell>
          <cell r="D372">
            <v>1.1499999999999999</v>
          </cell>
          <cell r="F372">
            <v>1.151</v>
          </cell>
          <cell r="G372">
            <v>156</v>
          </cell>
          <cell r="H372">
            <v>156</v>
          </cell>
          <cell r="I372">
            <v>312</v>
          </cell>
          <cell r="J372">
            <v>1.2</v>
          </cell>
          <cell r="K372">
            <v>1.4</v>
          </cell>
          <cell r="L372">
            <v>1.2999999999999998</v>
          </cell>
        </row>
        <row r="373">
          <cell r="B373" t="str">
            <v>Laâm Höõu Thöùc</v>
          </cell>
          <cell r="D373">
            <v>1.2</v>
          </cell>
          <cell r="F373">
            <v>1.1850000000000001</v>
          </cell>
          <cell r="G373">
            <v>139</v>
          </cell>
          <cell r="H373">
            <v>143</v>
          </cell>
          <cell r="I373">
            <v>282</v>
          </cell>
          <cell r="J373">
            <v>1.2</v>
          </cell>
          <cell r="K373">
            <v>1.2</v>
          </cell>
          <cell r="L373">
            <v>1.2</v>
          </cell>
        </row>
        <row r="374">
          <cell r="B374" t="str">
            <v>Nguyeãn Xuaân Möôøi</v>
          </cell>
          <cell r="D374">
            <v>1.2575075268817206</v>
          </cell>
          <cell r="F374">
            <v>1.206</v>
          </cell>
          <cell r="G374">
            <v>155</v>
          </cell>
          <cell r="H374">
            <v>150</v>
          </cell>
          <cell r="I374">
            <v>305</v>
          </cell>
          <cell r="J374">
            <v>1.4</v>
          </cell>
          <cell r="K374">
            <v>1.4</v>
          </cell>
          <cell r="L374">
            <v>1.4</v>
          </cell>
        </row>
        <row r="375">
          <cell r="B375" t="str">
            <v>Traàn Vaên Ñaït</v>
          </cell>
          <cell r="D375">
            <v>1.1499999999999999</v>
          </cell>
          <cell r="F375">
            <v>1.171</v>
          </cell>
          <cell r="G375">
            <v>153</v>
          </cell>
          <cell r="H375">
            <v>154</v>
          </cell>
          <cell r="I375">
            <v>307</v>
          </cell>
          <cell r="J375">
            <v>1.4</v>
          </cell>
          <cell r="K375">
            <v>1.6</v>
          </cell>
          <cell r="L375">
            <v>1.5</v>
          </cell>
        </row>
        <row r="376">
          <cell r="B376" t="str">
            <v>Traàn Vaên Tieán</v>
          </cell>
          <cell r="D376">
            <v>1.1572222222222222</v>
          </cell>
          <cell r="F376">
            <v>1.165</v>
          </cell>
          <cell r="G376">
            <v>156</v>
          </cell>
          <cell r="H376">
            <v>155</v>
          </cell>
          <cell r="I376">
            <v>311</v>
          </cell>
          <cell r="J376">
            <v>1.2</v>
          </cell>
          <cell r="K376">
            <v>1.4</v>
          </cell>
          <cell r="L376">
            <v>1.2999999999999998</v>
          </cell>
        </row>
        <row r="377">
          <cell r="B377" t="str">
            <v>Trònh Vaên Thaùi</v>
          </cell>
          <cell r="F377">
            <v>0.86250000000000004</v>
          </cell>
          <cell r="H377">
            <v>76</v>
          </cell>
          <cell r="I377">
            <v>76</v>
          </cell>
          <cell r="K377">
            <v>1.4</v>
          </cell>
          <cell r="L377">
            <v>1.4</v>
          </cell>
        </row>
        <row r="378">
          <cell r="B378" t="str">
            <v>Nguyeãn Hoaøng Nam</v>
          </cell>
          <cell r="C378" t="str">
            <v>CT</v>
          </cell>
          <cell r="D378">
            <v>1.1499999999999999</v>
          </cell>
          <cell r="F378">
            <v>1.2</v>
          </cell>
          <cell r="G378">
            <v>148</v>
          </cell>
          <cell r="H378">
            <v>155</v>
          </cell>
          <cell r="I378">
            <v>303</v>
          </cell>
          <cell r="J378">
            <v>1.4</v>
          </cell>
          <cell r="K378">
            <v>1.6</v>
          </cell>
          <cell r="L378">
            <v>1.5</v>
          </cell>
        </row>
        <row r="379">
          <cell r="B379" t="str">
            <v>Traàn Anh Tuaán</v>
          </cell>
          <cell r="D379">
            <v>1.1499999999999999</v>
          </cell>
          <cell r="F379">
            <v>1.1499999999999999</v>
          </cell>
          <cell r="G379">
            <v>145</v>
          </cell>
          <cell r="H379">
            <v>149</v>
          </cell>
          <cell r="I379">
            <v>294</v>
          </cell>
          <cell r="J379">
            <v>1.4</v>
          </cell>
          <cell r="K379">
            <v>1.2</v>
          </cell>
          <cell r="L379">
            <v>1.2999999999999998</v>
          </cell>
        </row>
        <row r="380">
          <cell r="B380" t="str">
            <v>Ñoã Ñaêng Khoa</v>
          </cell>
          <cell r="D380">
            <v>1.1499999999999999</v>
          </cell>
          <cell r="F380">
            <v>1.1499999999999999</v>
          </cell>
          <cell r="G380">
            <v>155</v>
          </cell>
          <cell r="H380">
            <v>156</v>
          </cell>
          <cell r="I380">
            <v>311</v>
          </cell>
          <cell r="J380">
            <v>1.4</v>
          </cell>
          <cell r="K380">
            <v>1.2</v>
          </cell>
          <cell r="L380">
            <v>1.2999999999999998</v>
          </cell>
        </row>
        <row r="381">
          <cell r="B381" t="str">
            <v>Ñaøo Vaên Phuùc</v>
          </cell>
          <cell r="D381">
            <v>1.1499999999999999</v>
          </cell>
          <cell r="F381">
            <v>1.1499999999999999</v>
          </cell>
          <cell r="G381">
            <v>156</v>
          </cell>
          <cell r="H381">
            <v>156</v>
          </cell>
          <cell r="I381">
            <v>312</v>
          </cell>
          <cell r="J381">
            <v>1.4</v>
          </cell>
          <cell r="K381">
            <v>1.6</v>
          </cell>
          <cell r="L381">
            <v>1.5</v>
          </cell>
        </row>
        <row r="382">
          <cell r="B382" t="str">
            <v>Buøi Ñöùc Bieàn</v>
          </cell>
          <cell r="D382">
            <v>1.1753333333333333</v>
          </cell>
          <cell r="F382">
            <v>1.198</v>
          </cell>
          <cell r="G382">
            <v>155</v>
          </cell>
          <cell r="H382">
            <v>152</v>
          </cell>
          <cell r="I382">
            <v>307</v>
          </cell>
          <cell r="J382">
            <v>1.4</v>
          </cell>
          <cell r="K382">
            <v>1.4</v>
          </cell>
          <cell r="L382">
            <v>1.4</v>
          </cell>
        </row>
        <row r="383">
          <cell r="B383" t="str">
            <v>Nguyeãn Ngoïc Löôïng</v>
          </cell>
          <cell r="D383">
            <v>1.2</v>
          </cell>
          <cell r="F383">
            <v>1.2</v>
          </cell>
          <cell r="G383">
            <v>156</v>
          </cell>
          <cell r="H383">
            <v>150</v>
          </cell>
          <cell r="I383">
            <v>306</v>
          </cell>
          <cell r="J383">
            <v>1.4</v>
          </cell>
          <cell r="K383">
            <v>1.2</v>
          </cell>
          <cell r="L383">
            <v>1.2999999999999998</v>
          </cell>
        </row>
        <row r="384">
          <cell r="B384" t="str">
            <v>Laâm Nhaät Tröôøng</v>
          </cell>
          <cell r="F384">
            <v>0.86250000000000004</v>
          </cell>
          <cell r="H384">
            <v>76</v>
          </cell>
          <cell r="I384">
            <v>76</v>
          </cell>
          <cell r="K384">
            <v>1.4</v>
          </cell>
          <cell r="L384">
            <v>1.4</v>
          </cell>
        </row>
        <row r="385">
          <cell r="B385" t="str">
            <v>Traàn Vieät Quoác</v>
          </cell>
          <cell r="C385" t="str">
            <v>CT</v>
          </cell>
          <cell r="D385">
            <v>1.3</v>
          </cell>
          <cell r="F385">
            <v>1.3</v>
          </cell>
          <cell r="G385">
            <v>155</v>
          </cell>
          <cell r="H385">
            <v>155</v>
          </cell>
          <cell r="I385">
            <v>310</v>
          </cell>
          <cell r="J385">
            <v>1.4</v>
          </cell>
          <cell r="K385">
            <v>1.2</v>
          </cell>
          <cell r="L385">
            <v>1.2999999999999998</v>
          </cell>
        </row>
        <row r="386">
          <cell r="B386" t="str">
            <v>Nguyeãn Anh Tuaán B</v>
          </cell>
          <cell r="D386">
            <v>1.185904761904762</v>
          </cell>
          <cell r="F386">
            <v>1.1990000000000001</v>
          </cell>
          <cell r="G386">
            <v>156</v>
          </cell>
          <cell r="H386">
            <v>155</v>
          </cell>
          <cell r="I386">
            <v>311</v>
          </cell>
          <cell r="J386">
            <v>1.4</v>
          </cell>
          <cell r="K386">
            <v>1.6</v>
          </cell>
          <cell r="L386">
            <v>1.5</v>
          </cell>
        </row>
        <row r="387">
          <cell r="B387" t="str">
            <v>Trieäu Vaên Long</v>
          </cell>
          <cell r="D387">
            <v>1.1499999999999999</v>
          </cell>
          <cell r="F387">
            <v>1.1499999999999999</v>
          </cell>
          <cell r="G387">
            <v>155</v>
          </cell>
          <cell r="H387">
            <v>156</v>
          </cell>
          <cell r="I387">
            <v>311</v>
          </cell>
          <cell r="J387">
            <v>1.4</v>
          </cell>
          <cell r="K387">
            <v>1.4</v>
          </cell>
          <cell r="L387">
            <v>1.4</v>
          </cell>
        </row>
        <row r="388">
          <cell r="B388" t="str">
            <v>Ngoâ Quoác Maïnh</v>
          </cell>
          <cell r="D388">
            <v>1.1825619047619049</v>
          </cell>
          <cell r="F388">
            <v>1.1659999999999999</v>
          </cell>
          <cell r="G388">
            <v>155</v>
          </cell>
          <cell r="H388">
            <v>156</v>
          </cell>
          <cell r="I388">
            <v>311</v>
          </cell>
          <cell r="J388">
            <v>1.4</v>
          </cell>
          <cell r="K388">
            <v>1.4</v>
          </cell>
          <cell r="L388">
            <v>1.4</v>
          </cell>
        </row>
        <row r="389">
          <cell r="B389" t="str">
            <v>Nguyeãn Thanh Lieâm</v>
          </cell>
          <cell r="D389">
            <v>1.1499999999999999</v>
          </cell>
          <cell r="F389">
            <v>1.1499999999999999</v>
          </cell>
          <cell r="G389">
            <v>155</v>
          </cell>
          <cell r="H389">
            <v>156</v>
          </cell>
          <cell r="I389">
            <v>311</v>
          </cell>
          <cell r="J389">
            <v>1.4</v>
          </cell>
          <cell r="K389">
            <v>1.4</v>
          </cell>
          <cell r="L389">
            <v>1.4</v>
          </cell>
        </row>
        <row r="390">
          <cell r="B390" t="str">
            <v>Buøi Huy Trung</v>
          </cell>
          <cell r="D390">
            <v>1.1499999999999999</v>
          </cell>
          <cell r="F390">
            <v>1.1499999999999999</v>
          </cell>
          <cell r="G390">
            <v>151</v>
          </cell>
          <cell r="H390">
            <v>150</v>
          </cell>
          <cell r="I390">
            <v>301</v>
          </cell>
          <cell r="J390">
            <v>1.4</v>
          </cell>
          <cell r="K390">
            <v>1.4</v>
          </cell>
          <cell r="L390">
            <v>1.4</v>
          </cell>
        </row>
        <row r="391">
          <cell r="B391" t="str">
            <v>Huyønh Thieän Phuùc</v>
          </cell>
          <cell r="D391">
            <v>1.2</v>
          </cell>
          <cell r="F391">
            <v>1.2</v>
          </cell>
          <cell r="G391">
            <v>149</v>
          </cell>
          <cell r="H391">
            <v>153</v>
          </cell>
          <cell r="I391">
            <v>302</v>
          </cell>
          <cell r="J391">
            <v>1.4</v>
          </cell>
          <cell r="K391">
            <v>1.4</v>
          </cell>
          <cell r="L391">
            <v>1.4</v>
          </cell>
        </row>
        <row r="392">
          <cell r="B392" t="str">
            <v>Laâm Thaùi Döông</v>
          </cell>
          <cell r="F392">
            <v>0.86250000000000004</v>
          </cell>
          <cell r="H392">
            <v>71</v>
          </cell>
          <cell r="I392">
            <v>71</v>
          </cell>
          <cell r="K392">
            <v>1.4</v>
          </cell>
          <cell r="L392">
            <v>1.4</v>
          </cell>
        </row>
        <row r="393">
          <cell r="B393" t="str">
            <v>Huyønh Vaên Quyù</v>
          </cell>
          <cell r="C393" t="str">
            <v>CT</v>
          </cell>
          <cell r="D393">
            <v>1.45</v>
          </cell>
          <cell r="F393">
            <v>1.45</v>
          </cell>
          <cell r="G393">
            <v>151</v>
          </cell>
          <cell r="H393">
            <v>157</v>
          </cell>
          <cell r="I393">
            <v>308</v>
          </cell>
          <cell r="J393">
            <v>1.4</v>
          </cell>
          <cell r="K393">
            <v>1.2</v>
          </cell>
          <cell r="L393">
            <v>1.2999999999999998</v>
          </cell>
        </row>
        <row r="394">
          <cell r="B394" t="str">
            <v>Nguyeãn Duyeân Thuaán</v>
          </cell>
          <cell r="D394">
            <v>1.1997261904761904</v>
          </cell>
          <cell r="F394">
            <v>1.262</v>
          </cell>
          <cell r="G394">
            <v>156</v>
          </cell>
          <cell r="H394">
            <v>152</v>
          </cell>
          <cell r="I394">
            <v>308</v>
          </cell>
          <cell r="J394">
            <v>1.4</v>
          </cell>
          <cell r="K394">
            <v>1.4</v>
          </cell>
          <cell r="L394">
            <v>1.4</v>
          </cell>
        </row>
        <row r="395">
          <cell r="B395" t="str">
            <v>Phaïm Nhö Thuaàn</v>
          </cell>
          <cell r="D395">
            <v>1.4</v>
          </cell>
          <cell r="F395">
            <v>1.4</v>
          </cell>
          <cell r="G395">
            <v>151</v>
          </cell>
          <cell r="H395">
            <v>154</v>
          </cell>
          <cell r="I395">
            <v>305</v>
          </cell>
          <cell r="J395">
            <v>1.4</v>
          </cell>
          <cell r="K395">
            <v>1.4</v>
          </cell>
          <cell r="L395">
            <v>1.4</v>
          </cell>
        </row>
        <row r="396">
          <cell r="B396" t="str">
            <v>Huyønh Hoàng Ñöùc</v>
          </cell>
          <cell r="D396">
            <v>1.4</v>
          </cell>
          <cell r="F396">
            <v>1.39</v>
          </cell>
          <cell r="G396">
            <v>150</v>
          </cell>
          <cell r="H396">
            <v>149</v>
          </cell>
          <cell r="I396">
            <v>299</v>
          </cell>
          <cell r="J396">
            <v>1.4</v>
          </cell>
          <cell r="K396">
            <v>1.2</v>
          </cell>
          <cell r="L396">
            <v>1.2999999999999998</v>
          </cell>
        </row>
        <row r="397">
          <cell r="B397" t="str">
            <v>Traàn Phöông Anh</v>
          </cell>
          <cell r="D397">
            <v>1.4</v>
          </cell>
          <cell r="F397">
            <v>1.4</v>
          </cell>
          <cell r="G397">
            <v>151</v>
          </cell>
          <cell r="H397">
            <v>157</v>
          </cell>
          <cell r="I397">
            <v>308</v>
          </cell>
          <cell r="J397">
            <v>1.4</v>
          </cell>
          <cell r="K397">
            <v>1.4</v>
          </cell>
          <cell r="L397">
            <v>1.4</v>
          </cell>
        </row>
        <row r="398">
          <cell r="B398" t="str">
            <v>Traàn Bình Trong</v>
          </cell>
          <cell r="D398">
            <v>1.4</v>
          </cell>
          <cell r="F398">
            <v>1.4</v>
          </cell>
          <cell r="G398">
            <v>151</v>
          </cell>
          <cell r="H398">
            <v>157</v>
          </cell>
          <cell r="I398">
            <v>308</v>
          </cell>
          <cell r="J398">
            <v>1.4</v>
          </cell>
          <cell r="K398">
            <v>1.4</v>
          </cell>
          <cell r="L398">
            <v>1.4</v>
          </cell>
        </row>
        <row r="399">
          <cell r="B399" t="str">
            <v>Nguyeãn Phuùc Anh</v>
          </cell>
          <cell r="F399">
            <v>1.0349999999999999</v>
          </cell>
          <cell r="H399">
            <v>76</v>
          </cell>
          <cell r="I399">
            <v>76</v>
          </cell>
          <cell r="K399">
            <v>1.4</v>
          </cell>
          <cell r="L399">
            <v>1.4</v>
          </cell>
        </row>
        <row r="400">
          <cell r="B400" t="str">
            <v>Nguyeãn Vaên Thanh</v>
          </cell>
          <cell r="C400" t="str">
            <v>VSCN</v>
          </cell>
          <cell r="D400">
            <v>1.1000000000000001</v>
          </cell>
          <cell r="F400">
            <v>1.0666</v>
          </cell>
          <cell r="G400">
            <v>150</v>
          </cell>
          <cell r="H400">
            <v>104</v>
          </cell>
          <cell r="I400">
            <v>254</v>
          </cell>
          <cell r="J400">
            <v>1.4</v>
          </cell>
          <cell r="K400">
            <v>1</v>
          </cell>
          <cell r="L400">
            <v>1.2</v>
          </cell>
        </row>
        <row r="401">
          <cell r="B401" t="str">
            <v>Voõ Vaên Huøng</v>
          </cell>
          <cell r="C401" t="str">
            <v>VSCN</v>
          </cell>
          <cell r="D401">
            <v>1.0220476190476191</v>
          </cell>
          <cell r="F401">
            <v>1.032</v>
          </cell>
          <cell r="G401">
            <v>154</v>
          </cell>
          <cell r="H401">
            <v>153</v>
          </cell>
          <cell r="I401">
            <v>307</v>
          </cell>
          <cell r="J401">
            <v>1.4</v>
          </cell>
          <cell r="K401">
            <v>1.4</v>
          </cell>
          <cell r="L401">
            <v>1.4</v>
          </cell>
        </row>
        <row r="402">
          <cell r="B402" t="str">
            <v>Ng. V. Quoác Ñaèng</v>
          </cell>
          <cell r="C402" t="str">
            <v>VSCN</v>
          </cell>
          <cell r="D402">
            <v>1.0017833333333332</v>
          </cell>
          <cell r="F402">
            <v>1.0009999999999999</v>
          </cell>
          <cell r="G402">
            <v>143</v>
          </cell>
          <cell r="H402">
            <v>146</v>
          </cell>
          <cell r="I402">
            <v>289</v>
          </cell>
          <cell r="J402">
            <v>1.2</v>
          </cell>
          <cell r="K402">
            <v>1.2</v>
          </cell>
          <cell r="L402">
            <v>1.2</v>
          </cell>
        </row>
        <row r="403">
          <cell r="B403" t="str">
            <v>Trònh Vaên Luøng</v>
          </cell>
          <cell r="C403" t="str">
            <v>VSCN</v>
          </cell>
          <cell r="D403">
            <v>1.1499999999999999</v>
          </cell>
          <cell r="F403">
            <v>1.125</v>
          </cell>
          <cell r="G403">
            <v>151</v>
          </cell>
          <cell r="H403">
            <v>147</v>
          </cell>
          <cell r="I403">
            <v>298</v>
          </cell>
          <cell r="J403">
            <v>1.2</v>
          </cell>
          <cell r="K403">
            <v>1.2</v>
          </cell>
          <cell r="L403">
            <v>1.2</v>
          </cell>
        </row>
        <row r="404">
          <cell r="B404" t="str">
            <v>Nguyeãn Vaên Ñoâng</v>
          </cell>
          <cell r="D404">
            <v>1.1499999999999999</v>
          </cell>
          <cell r="F404">
            <v>1.173</v>
          </cell>
          <cell r="G404">
            <v>153</v>
          </cell>
          <cell r="H404">
            <v>155</v>
          </cell>
          <cell r="I404">
            <v>308</v>
          </cell>
          <cell r="J404">
            <v>1.2</v>
          </cell>
          <cell r="K404">
            <v>1.4</v>
          </cell>
          <cell r="L404">
            <v>1.2999999999999998</v>
          </cell>
        </row>
        <row r="405">
          <cell r="B405" t="str">
            <v>Phaïm Thaønh Ñònh</v>
          </cell>
          <cell r="F405">
            <v>1.04</v>
          </cell>
          <cell r="H405">
            <v>77</v>
          </cell>
          <cell r="I405">
            <v>77</v>
          </cell>
          <cell r="K405">
            <v>1.4</v>
          </cell>
          <cell r="L405">
            <v>1.4</v>
          </cell>
        </row>
        <row r="406">
          <cell r="B406" t="str">
            <v>Haø Chí Linh</v>
          </cell>
          <cell r="F406">
            <v>1.04</v>
          </cell>
          <cell r="H406">
            <v>76</v>
          </cell>
          <cell r="I406">
            <v>76</v>
          </cell>
          <cell r="K406">
            <v>1.4</v>
          </cell>
          <cell r="L406">
            <v>1.4</v>
          </cell>
        </row>
        <row r="407">
          <cell r="B407" t="str">
            <v>Leâ Hoaøng Uùt</v>
          </cell>
          <cell r="F407">
            <v>1.04</v>
          </cell>
          <cell r="H407">
            <v>70</v>
          </cell>
          <cell r="I407">
            <v>70</v>
          </cell>
          <cell r="K407">
            <v>1.4</v>
          </cell>
          <cell r="L407">
            <v>1.4</v>
          </cell>
        </row>
        <row r="408">
          <cell r="B408" t="str">
            <v>Phaïm Tieán Huøng</v>
          </cell>
          <cell r="F408">
            <v>1.04</v>
          </cell>
          <cell r="H408">
            <v>77</v>
          </cell>
          <cell r="I408">
            <v>77</v>
          </cell>
          <cell r="K408">
            <v>1.4</v>
          </cell>
          <cell r="L408">
            <v>1.4</v>
          </cell>
        </row>
        <row r="409">
          <cell r="B409" t="str">
            <v>Laâm Duy Khanh</v>
          </cell>
          <cell r="F409">
            <v>1.04</v>
          </cell>
          <cell r="H409">
            <v>73</v>
          </cell>
          <cell r="I409">
            <v>73</v>
          </cell>
          <cell r="K409">
            <v>1.4</v>
          </cell>
          <cell r="L409">
            <v>1.4</v>
          </cell>
        </row>
        <row r="410">
          <cell r="B410" t="str">
            <v>Nguyeãn Thanh Hoaø</v>
          </cell>
          <cell r="F410">
            <v>1.04</v>
          </cell>
          <cell r="H410">
            <v>76</v>
          </cell>
          <cell r="I410">
            <v>76</v>
          </cell>
          <cell r="K410">
            <v>1.4</v>
          </cell>
          <cell r="L410">
            <v>1.4</v>
          </cell>
        </row>
        <row r="411">
          <cell r="B411" t="str">
            <v>Hoà Quoác Böûu</v>
          </cell>
          <cell r="D411">
            <v>1.1499999999999999</v>
          </cell>
          <cell r="F411">
            <v>1.1679999999999999</v>
          </cell>
          <cell r="G411">
            <v>156</v>
          </cell>
          <cell r="H411">
            <v>156</v>
          </cell>
          <cell r="I411">
            <v>312</v>
          </cell>
          <cell r="J411">
            <v>1.4</v>
          </cell>
          <cell r="K411">
            <v>1.4</v>
          </cell>
          <cell r="L411">
            <v>1.4</v>
          </cell>
        </row>
        <row r="412">
          <cell r="B412" t="str">
            <v>Löông Haûi Ñaêng</v>
          </cell>
          <cell r="F412">
            <v>1.077</v>
          </cell>
          <cell r="H412">
            <v>81</v>
          </cell>
          <cell r="I412">
            <v>81</v>
          </cell>
          <cell r="K412">
            <v>1.2</v>
          </cell>
          <cell r="L412">
            <v>1.2</v>
          </cell>
        </row>
        <row r="413">
          <cell r="B413" t="str">
            <v>Nguyeãn Vaên Uùt B</v>
          </cell>
          <cell r="F413">
            <v>1.04</v>
          </cell>
          <cell r="H413">
            <v>77</v>
          </cell>
          <cell r="I413">
            <v>77</v>
          </cell>
          <cell r="K413">
            <v>1.4</v>
          </cell>
          <cell r="L413">
            <v>1.4</v>
          </cell>
        </row>
        <row r="414">
          <cell r="B414" t="str">
            <v>Phuø Thoï Loäc</v>
          </cell>
          <cell r="F414">
            <v>1.04</v>
          </cell>
          <cell r="H414">
            <v>72</v>
          </cell>
          <cell r="I414">
            <v>72</v>
          </cell>
          <cell r="K414">
            <v>1.4</v>
          </cell>
          <cell r="L414">
            <v>1.4</v>
          </cell>
        </row>
        <row r="415">
          <cell r="B415" t="str">
            <v>Trieäu Quang Thanh</v>
          </cell>
          <cell r="C415" t="str">
            <v xml:space="preserve"> + 30 ngaøy</v>
          </cell>
          <cell r="D415">
            <v>1.213742857142857</v>
          </cell>
          <cell r="F415">
            <v>1.2130000000000001</v>
          </cell>
          <cell r="G415">
            <v>97</v>
          </cell>
          <cell r="H415">
            <v>30</v>
          </cell>
          <cell r="I415">
            <v>127</v>
          </cell>
          <cell r="J415">
            <v>1.4</v>
          </cell>
          <cell r="K415">
            <v>1</v>
          </cell>
          <cell r="L415">
            <v>1.2</v>
          </cell>
        </row>
        <row r="416">
          <cell r="B416" t="str">
            <v>Phaïm Quoác Huøng</v>
          </cell>
          <cell r="C416" t="str">
            <v xml:space="preserve"> + 30 ngaøy</v>
          </cell>
          <cell r="D416">
            <v>1</v>
          </cell>
          <cell r="F416">
            <v>1</v>
          </cell>
          <cell r="G416">
            <v>153</v>
          </cell>
          <cell r="H416">
            <v>34</v>
          </cell>
          <cell r="I416">
            <v>187</v>
          </cell>
          <cell r="J416">
            <v>1.4</v>
          </cell>
          <cell r="K416">
            <v>1</v>
          </cell>
          <cell r="L416">
            <v>1.2</v>
          </cell>
        </row>
        <row r="417">
          <cell r="B417" t="str">
            <v>Huyønh Chí Chaùnh</v>
          </cell>
          <cell r="C417" t="str">
            <v xml:space="preserve"> + 30 ngaøy</v>
          </cell>
          <cell r="D417">
            <v>1.1793333333333333</v>
          </cell>
          <cell r="F417">
            <v>1.1639999999999999</v>
          </cell>
          <cell r="G417">
            <v>156</v>
          </cell>
          <cell r="H417">
            <v>114</v>
          </cell>
          <cell r="I417">
            <v>270</v>
          </cell>
          <cell r="J417">
            <v>1.2</v>
          </cell>
          <cell r="K417">
            <v>1</v>
          </cell>
          <cell r="L417">
            <v>1.1000000000000001</v>
          </cell>
        </row>
        <row r="418">
          <cell r="B418" t="str">
            <v>Traàn Vaên Teá</v>
          </cell>
          <cell r="D418">
            <v>1.4</v>
          </cell>
          <cell r="F418">
            <v>1.4</v>
          </cell>
          <cell r="G418">
            <v>152</v>
          </cell>
          <cell r="H418">
            <v>54</v>
          </cell>
          <cell r="I418">
            <v>206</v>
          </cell>
          <cell r="J418">
            <v>1.6</v>
          </cell>
          <cell r="K418">
            <v>1</v>
          </cell>
          <cell r="L418">
            <v>1.3</v>
          </cell>
        </row>
        <row r="420">
          <cell r="B420" t="str">
            <v>Phaïm Vaên Beàn</v>
          </cell>
          <cell r="F420">
            <v>1.2909999999999999</v>
          </cell>
          <cell r="G420">
            <v>156</v>
          </cell>
          <cell r="H420">
            <v>157</v>
          </cell>
          <cell r="I420">
            <v>313</v>
          </cell>
        </row>
        <row r="421">
          <cell r="B421" t="str">
            <v>Hoà Minh Sôn</v>
          </cell>
          <cell r="F421">
            <v>1.1857</v>
          </cell>
          <cell r="G421">
            <v>85</v>
          </cell>
          <cell r="H421">
            <v>149</v>
          </cell>
          <cell r="I421">
            <v>234</v>
          </cell>
        </row>
        <row r="422">
          <cell r="B422" t="str">
            <v>Traàn Vieät Toaøn</v>
          </cell>
          <cell r="F422">
            <v>1.3029999999999999</v>
          </cell>
          <cell r="G422">
            <v>156</v>
          </cell>
          <cell r="H422">
            <v>149</v>
          </cell>
          <cell r="I422">
            <v>305</v>
          </cell>
        </row>
        <row r="423">
          <cell r="B423" t="str">
            <v>Traàn Quang Kheän</v>
          </cell>
          <cell r="F423">
            <v>1.1085</v>
          </cell>
          <cell r="G423">
            <v>137</v>
          </cell>
          <cell r="H423">
            <v>29</v>
          </cell>
          <cell r="I423">
            <v>166</v>
          </cell>
        </row>
        <row r="424">
          <cell r="I424">
            <v>39730</v>
          </cell>
        </row>
        <row r="425">
          <cell r="B425" t="str">
            <v>Ngoâ Thaønh Phöôùc</v>
          </cell>
          <cell r="C425" t="str">
            <v>P.KH</v>
          </cell>
          <cell r="D425">
            <v>1.2</v>
          </cell>
          <cell r="F425">
            <v>1.2</v>
          </cell>
          <cell r="G425">
            <v>150</v>
          </cell>
          <cell r="H425">
            <v>155</v>
          </cell>
          <cell r="I425">
            <v>305</v>
          </cell>
          <cell r="J425">
            <v>1.4</v>
          </cell>
        </row>
        <row r="426">
          <cell r="F426">
            <v>409.38396666666665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XL4Poppy"/>
      <sheetName val="Can Doi DT tang"/>
      <sheetName val="Bieu 5a"/>
      <sheetName val="Bieu 9a"/>
      <sheetName val="K.tra KQ"/>
      <sheetName val="Dat trong lua"/>
      <sheetName val="Dat trong co"/>
      <sheetName val="Dat cay hang nam khac"/>
      <sheetName val="Dat Cay lau nam"/>
      <sheetName val="Rung san xuat"/>
      <sheetName val="Rung phong ho"/>
      <sheetName val="Rung dac dung"/>
      <sheetName val="Dat nuoi trong thuy san"/>
      <sheetName val="Dat lam muoi"/>
      <sheetName val="Dat nong nghiep khac"/>
      <sheetName val="Dat Nong thon"/>
      <sheetName val="Dat Do thi"/>
      <sheetName val="Dat tru so CQ"/>
      <sheetName val="Dat QP, AN"/>
      <sheetName val="Dat SX, KD phi NN"/>
      <sheetName val="Dat cong cong"/>
      <sheetName val="Dat ton giao, tin nguong"/>
      <sheetName val="Dat nghia trang, nghia dia"/>
      <sheetName val="Dat song suoi"/>
      <sheetName val="Dat phi N.nghiep khac"/>
      <sheetName val="Dat bang chua SD"/>
      <sheetName val="Doi nui chua SD"/>
      <sheetName val="nui da khong rung cay"/>
      <sheetName val="00000000"/>
      <sheetName val="10000000"/>
      <sheetName val="20000000"/>
      <sheetName val="30000000"/>
      <sheetName val="40000000"/>
      <sheetName val="50000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Thu Lai "/>
      <sheetName val="Thu Quy CDoan"/>
      <sheetName val="Sheet4"/>
      <sheetName val="Thu TTXH"/>
      <sheetName val="DS-Thuong 6T dau"/>
      <sheetName val="Sheet1"/>
      <sheetName val="LD Out"/>
      <sheetName val="Sheet3"/>
      <sheetName val="Sheet2"/>
      <sheetName val="Data-6 T dau"/>
      <sheetName val="Cong 6T dau"/>
    </sheetNames>
    <sheetDataSet>
      <sheetData sheetId="0"/>
      <sheetData sheetId="1"/>
      <sheetData sheetId="2"/>
      <sheetData sheetId="3"/>
      <sheetData sheetId="4"/>
      <sheetData sheetId="5" refreshError="1">
        <row r="10">
          <cell r="B10" t="str">
            <v>Phaïm Vuõ Hoàng</v>
          </cell>
          <cell r="C10" t="str">
            <v>Giaùm ñoác</v>
          </cell>
          <cell r="D10">
            <v>3.6</v>
          </cell>
          <cell r="E10">
            <v>149</v>
          </cell>
          <cell r="F10">
            <v>1.6</v>
          </cell>
          <cell r="G10">
            <v>858.24</v>
          </cell>
          <cell r="H10">
            <v>6922.2616903403596</v>
          </cell>
          <cell r="I10">
            <v>5941000</v>
          </cell>
        </row>
        <row r="11">
          <cell r="B11" t="str">
            <v>Nguyeãn Vaên Huøng</v>
          </cell>
          <cell r="C11" t="str">
            <v>P.GÑ</v>
          </cell>
          <cell r="D11">
            <v>3</v>
          </cell>
          <cell r="E11">
            <v>150</v>
          </cell>
          <cell r="F11">
            <v>1.6</v>
          </cell>
          <cell r="G11">
            <v>720</v>
          </cell>
          <cell r="H11">
            <v>6922.2616903403596</v>
          </cell>
          <cell r="I11">
            <v>4984000</v>
          </cell>
        </row>
        <row r="12">
          <cell r="B12" t="str">
            <v>Quaùch Ngoïc Minh</v>
          </cell>
          <cell r="C12" t="str">
            <v>KTT</v>
          </cell>
          <cell r="D12">
            <v>3</v>
          </cell>
          <cell r="E12">
            <v>150</v>
          </cell>
          <cell r="F12">
            <v>1.4</v>
          </cell>
          <cell r="G12">
            <v>630</v>
          </cell>
          <cell r="H12">
            <v>6922.2616903403596</v>
          </cell>
          <cell r="I12">
            <v>4361000</v>
          </cell>
        </row>
        <row r="14">
          <cell r="B14" t="str">
            <v>Coäng:</v>
          </cell>
          <cell r="G14">
            <v>2208.2399999999998</v>
          </cell>
          <cell r="I14">
            <v>15286000</v>
          </cell>
        </row>
        <row r="16">
          <cell r="B16" t="e">
            <v>#NAME?</v>
          </cell>
        </row>
        <row r="17">
          <cell r="I17" t="str">
            <v xml:space="preserve"> Kieân Löông, ngaøy 02  thaùng 08 naêm 2002</v>
          </cell>
        </row>
        <row r="18">
          <cell r="B18" t="str">
            <v>Keá toaùn tröôûng</v>
          </cell>
          <cell r="F18" t="str">
            <v xml:space="preserve"> Phoøng Toå chöùc - Haønh chaùnh</v>
          </cell>
        </row>
        <row r="27">
          <cell r="D27" t="str">
            <v>DANH SAÙCH CHI BOÅ SUNG LÖÔNG 06 THAÙNG ÑAÀU NAÊM 2002</v>
          </cell>
        </row>
        <row r="29">
          <cell r="B29" t="str">
            <v>Hoï vaø Teân</v>
          </cell>
          <cell r="C29" t="str">
            <v>Chöùc vuï</v>
          </cell>
          <cell r="D29" t="str">
            <v>HSCV</v>
          </cell>
          <cell r="E29" t="str">
            <v>Ngaøy coâng</v>
          </cell>
          <cell r="F29" t="str">
            <v>Heä soá X.Loaïi</v>
          </cell>
          <cell r="G29" t="str">
            <v>HSQÑ</v>
          </cell>
          <cell r="H29" t="str">
            <v>Ñôn giaù</v>
          </cell>
          <cell r="I29" t="str">
            <v>Thaønh tieàn (ñ)</v>
          </cell>
        </row>
        <row r="31">
          <cell r="B31" t="str">
            <v>P.KT-TV:</v>
          </cell>
        </row>
        <row r="32">
          <cell r="B32" t="str">
            <v>Ñaøo Troïng Ñaït</v>
          </cell>
          <cell r="C32" t="str">
            <v>P.P</v>
          </cell>
          <cell r="D32">
            <v>1.85</v>
          </cell>
          <cell r="E32">
            <v>150</v>
          </cell>
          <cell r="F32">
            <v>1.4</v>
          </cell>
          <cell r="G32">
            <v>388.5</v>
          </cell>
          <cell r="H32">
            <v>6922.2616903403596</v>
          </cell>
          <cell r="I32">
            <v>2689000</v>
          </cell>
        </row>
        <row r="33">
          <cell r="B33" t="str">
            <v>Nguyeãn Vaên Hieån</v>
          </cell>
          <cell r="C33" t="str">
            <v>NV</v>
          </cell>
          <cell r="D33">
            <v>1.3</v>
          </cell>
          <cell r="E33">
            <v>142</v>
          </cell>
          <cell r="F33">
            <v>1.2</v>
          </cell>
          <cell r="G33">
            <v>221.51999999999998</v>
          </cell>
          <cell r="H33">
            <v>6922.2616903403596</v>
          </cell>
          <cell r="I33">
            <v>1533000</v>
          </cell>
        </row>
        <row r="34">
          <cell r="B34" t="str">
            <v>Döông Vaên Thaûo</v>
          </cell>
          <cell r="C34" t="str">
            <v>"</v>
          </cell>
          <cell r="D34">
            <v>1.25</v>
          </cell>
          <cell r="E34">
            <v>149</v>
          </cell>
          <cell r="F34">
            <v>1.2</v>
          </cell>
          <cell r="G34">
            <v>223.5</v>
          </cell>
          <cell r="H34">
            <v>6922.2616903403596</v>
          </cell>
          <cell r="I34">
            <v>1547000</v>
          </cell>
        </row>
        <row r="35">
          <cell r="B35" t="str">
            <v>Trònh Hoaøng Laâm</v>
          </cell>
          <cell r="C35" t="str">
            <v>"</v>
          </cell>
          <cell r="D35">
            <v>1.25</v>
          </cell>
          <cell r="E35">
            <v>149</v>
          </cell>
          <cell r="F35">
            <v>1.4</v>
          </cell>
          <cell r="G35">
            <v>260.75</v>
          </cell>
          <cell r="H35">
            <v>6922.2616903403596</v>
          </cell>
          <cell r="I35">
            <v>1814000</v>
          </cell>
        </row>
        <row r="36">
          <cell r="B36" t="str">
            <v>Nguyeãn Thu Laøi</v>
          </cell>
          <cell r="C36" t="str">
            <v>T.Quyõ</v>
          </cell>
          <cell r="D36">
            <v>1.2</v>
          </cell>
          <cell r="E36">
            <v>149</v>
          </cell>
          <cell r="F36">
            <v>1.6</v>
          </cell>
          <cell r="G36">
            <v>286.08</v>
          </cell>
          <cell r="H36">
            <v>6922.2616903403596</v>
          </cell>
          <cell r="I36">
            <v>1980000</v>
          </cell>
        </row>
        <row r="38">
          <cell r="B38" t="str">
            <v>Coäng:</v>
          </cell>
          <cell r="G38">
            <v>1380.35</v>
          </cell>
          <cell r="I38">
            <v>9563000</v>
          </cell>
        </row>
        <row r="40">
          <cell r="B40" t="e">
            <v>#NAME?</v>
          </cell>
        </row>
        <row r="41">
          <cell r="I41" t="str">
            <v xml:space="preserve"> Kieân Löông, ngaøy 02  thaùng 08 naêm 2002</v>
          </cell>
        </row>
        <row r="42">
          <cell r="B42" t="str">
            <v>Keá toaùn tröôûng</v>
          </cell>
          <cell r="F42" t="str">
            <v xml:space="preserve"> Phoøng Toå chöùc - Haønh chaùnh</v>
          </cell>
        </row>
        <row r="50">
          <cell r="D50" t="str">
            <v>DANH SAÙCH CHI BOÅ SUNG LÖÔNG 06 THAÙNG ÑAÀU NAÊM 2002</v>
          </cell>
        </row>
        <row r="52">
          <cell r="B52" t="str">
            <v>Hoï vaø Teân</v>
          </cell>
          <cell r="C52" t="str">
            <v>Chöùc vuï</v>
          </cell>
          <cell r="D52" t="str">
            <v>HSCV</v>
          </cell>
          <cell r="E52" t="str">
            <v>Ngaøy coâng</v>
          </cell>
          <cell r="F52" t="str">
            <v>Heä soá X.Loaïi</v>
          </cell>
          <cell r="G52" t="str">
            <v>HSQÑ</v>
          </cell>
          <cell r="H52" t="str">
            <v>Ñôn giaù</v>
          </cell>
          <cell r="I52" t="str">
            <v>Thaønh tieàn (ñ)</v>
          </cell>
        </row>
        <row r="55">
          <cell r="B55" t="str">
            <v>Traàn Vaên Nuoâi</v>
          </cell>
          <cell r="C55" t="str">
            <v>T.P</v>
          </cell>
          <cell r="D55">
            <v>1.9</v>
          </cell>
          <cell r="E55">
            <v>150</v>
          </cell>
          <cell r="F55">
            <v>1.6</v>
          </cell>
          <cell r="G55">
            <v>456</v>
          </cell>
          <cell r="H55">
            <v>6922.2616903403596</v>
          </cell>
          <cell r="I55">
            <v>3157000</v>
          </cell>
        </row>
        <row r="56">
          <cell r="B56" t="str">
            <v>Nguyeãn Thanh Nhaõ</v>
          </cell>
          <cell r="C56" t="str">
            <v>PP</v>
          </cell>
          <cell r="D56">
            <v>1.75</v>
          </cell>
          <cell r="E56">
            <v>145</v>
          </cell>
          <cell r="F56">
            <v>1.6</v>
          </cell>
          <cell r="G56">
            <v>406</v>
          </cell>
          <cell r="H56">
            <v>6922.2616903403596</v>
          </cell>
          <cell r="I56">
            <v>2810000</v>
          </cell>
        </row>
        <row r="57">
          <cell r="B57" t="str">
            <v>Voõ Vaên Phuïng</v>
          </cell>
          <cell r="C57" t="str">
            <v>NV</v>
          </cell>
          <cell r="D57">
            <v>1.3</v>
          </cell>
          <cell r="E57">
            <v>149</v>
          </cell>
          <cell r="F57">
            <v>1.6</v>
          </cell>
          <cell r="G57">
            <v>309.92000000000007</v>
          </cell>
          <cell r="H57">
            <v>6922.2616903403596</v>
          </cell>
          <cell r="I57">
            <v>2145000</v>
          </cell>
        </row>
        <row r="58">
          <cell r="B58" t="str">
            <v>Ñoã T. Thuyû Tieân</v>
          </cell>
          <cell r="C58" t="str">
            <v>N.V</v>
          </cell>
          <cell r="D58">
            <v>1.1000000000000001</v>
          </cell>
          <cell r="E58">
            <v>149</v>
          </cell>
          <cell r="F58">
            <v>1.4</v>
          </cell>
          <cell r="G58">
            <v>229.45999999999998</v>
          </cell>
          <cell r="H58">
            <v>6922.2616903403596</v>
          </cell>
          <cell r="I58">
            <v>1588000</v>
          </cell>
        </row>
        <row r="59">
          <cell r="B59" t="str">
            <v>Traàn Phuù Quoác</v>
          </cell>
          <cell r="C59" t="str">
            <v>L.Xe</v>
          </cell>
          <cell r="D59">
            <v>1.2</v>
          </cell>
          <cell r="E59">
            <v>152</v>
          </cell>
          <cell r="F59">
            <v>1.6</v>
          </cell>
          <cell r="G59">
            <v>291.84000000000003</v>
          </cell>
          <cell r="H59">
            <v>6922.2616903403596</v>
          </cell>
          <cell r="I59">
            <v>2020000</v>
          </cell>
        </row>
        <row r="60">
          <cell r="B60" t="str">
            <v>Traàn Vaên Tö</v>
          </cell>
          <cell r="C60" t="str">
            <v>L.Xe</v>
          </cell>
          <cell r="D60">
            <v>1.2</v>
          </cell>
          <cell r="E60">
            <v>154</v>
          </cell>
          <cell r="F60">
            <v>1.6</v>
          </cell>
          <cell r="G60">
            <v>295.68</v>
          </cell>
          <cell r="H60">
            <v>6922.2616903403596</v>
          </cell>
          <cell r="I60">
            <v>2047000</v>
          </cell>
        </row>
        <row r="61">
          <cell r="B61" t="str">
            <v>Huyønh Vaên Haø</v>
          </cell>
          <cell r="C61" t="str">
            <v>L.Xe</v>
          </cell>
          <cell r="D61">
            <v>1.2</v>
          </cell>
          <cell r="E61">
            <v>153</v>
          </cell>
          <cell r="F61">
            <v>1.6</v>
          </cell>
          <cell r="G61">
            <v>293.76</v>
          </cell>
          <cell r="H61">
            <v>6922.2616903403596</v>
          </cell>
          <cell r="I61">
            <v>2033000</v>
          </cell>
        </row>
        <row r="62">
          <cell r="B62" t="str">
            <v>Nguyeãn Trung Hieàn</v>
          </cell>
          <cell r="C62" t="str">
            <v>L.Xe</v>
          </cell>
          <cell r="D62">
            <v>1.1000000000000001</v>
          </cell>
          <cell r="E62">
            <v>153</v>
          </cell>
          <cell r="F62">
            <v>1.4</v>
          </cell>
          <cell r="G62">
            <v>235.62</v>
          </cell>
          <cell r="H62">
            <v>6922.2616903403596</v>
          </cell>
          <cell r="I62">
            <v>1631000</v>
          </cell>
        </row>
        <row r="63">
          <cell r="B63" t="str">
            <v>Trònh Thanh Thuûy</v>
          </cell>
          <cell r="C63" t="str">
            <v>Y.Teá</v>
          </cell>
          <cell r="D63">
            <v>1.1000000000000001</v>
          </cell>
          <cell r="E63">
            <v>149</v>
          </cell>
          <cell r="F63">
            <v>1.6</v>
          </cell>
          <cell r="G63">
            <v>262.24</v>
          </cell>
          <cell r="H63">
            <v>6922.2616903403596</v>
          </cell>
          <cell r="I63">
            <v>1815000</v>
          </cell>
        </row>
        <row r="64">
          <cell r="B64" t="str">
            <v>Nguyeãn Hoaøng Lyù</v>
          </cell>
          <cell r="C64" t="str">
            <v>CB</v>
          </cell>
          <cell r="D64">
            <v>1.1916666666666667</v>
          </cell>
          <cell r="E64">
            <v>149</v>
          </cell>
          <cell r="F64">
            <v>1.4</v>
          </cell>
          <cell r="G64">
            <v>248.58166666666665</v>
          </cell>
          <cell r="H64">
            <v>6922.2616903403596</v>
          </cell>
          <cell r="I64">
            <v>1721000</v>
          </cell>
        </row>
        <row r="65">
          <cell r="B65" t="str">
            <v>Ñaëng Coâng Chaâu</v>
          </cell>
          <cell r="C65" t="str">
            <v>B.Veä</v>
          </cell>
          <cell r="D65">
            <v>0.95</v>
          </cell>
          <cell r="E65">
            <v>155</v>
          </cell>
          <cell r="F65">
            <v>1.4</v>
          </cell>
          <cell r="G65">
            <v>206.14999999999998</v>
          </cell>
          <cell r="H65">
            <v>6922.2616903403596</v>
          </cell>
          <cell r="I65">
            <v>1427000</v>
          </cell>
        </row>
        <row r="66">
          <cell r="B66" t="str">
            <v>Phuøng Thanh Phong</v>
          </cell>
          <cell r="C66" t="str">
            <v>B.Veä</v>
          </cell>
          <cell r="D66">
            <v>0.95</v>
          </cell>
          <cell r="E66">
            <v>155</v>
          </cell>
          <cell r="F66">
            <v>1.2</v>
          </cell>
          <cell r="G66">
            <v>176.7</v>
          </cell>
          <cell r="H66">
            <v>6922.2616903403596</v>
          </cell>
          <cell r="I66">
            <v>1223000</v>
          </cell>
        </row>
        <row r="67">
          <cell r="B67" t="str">
            <v>Leâ Vaên Quyeát</v>
          </cell>
          <cell r="C67" t="str">
            <v>B.Veä</v>
          </cell>
          <cell r="D67">
            <v>0.95</v>
          </cell>
          <cell r="E67">
            <v>155</v>
          </cell>
          <cell r="F67">
            <v>1.4</v>
          </cell>
          <cell r="G67">
            <v>206.14999999999998</v>
          </cell>
          <cell r="H67">
            <v>6922.2616903403596</v>
          </cell>
          <cell r="I67">
            <v>1427000</v>
          </cell>
        </row>
        <row r="68">
          <cell r="B68" t="str">
            <v>Nguyeãn Hoaøng Ñaëng</v>
          </cell>
          <cell r="C68" t="str">
            <v>ÑT BV</v>
          </cell>
          <cell r="D68">
            <v>1.1499999999999999</v>
          </cell>
          <cell r="E68">
            <v>155</v>
          </cell>
          <cell r="F68">
            <v>1.4</v>
          </cell>
          <cell r="G68">
            <v>249.54999999999998</v>
          </cell>
          <cell r="H68">
            <v>6922.2616903403596</v>
          </cell>
          <cell r="I68">
            <v>1727000</v>
          </cell>
        </row>
        <row r="69">
          <cell r="B69" t="str">
            <v>Tröông Minh Duõng</v>
          </cell>
          <cell r="C69" t="str">
            <v>B.Veä</v>
          </cell>
          <cell r="D69">
            <v>0.95</v>
          </cell>
          <cell r="E69">
            <v>155</v>
          </cell>
          <cell r="F69">
            <v>1.4</v>
          </cell>
          <cell r="G69">
            <v>206.14999999999998</v>
          </cell>
          <cell r="H69">
            <v>6922.2616903403596</v>
          </cell>
          <cell r="I69">
            <v>1427000</v>
          </cell>
        </row>
        <row r="70">
          <cell r="B70" t="str">
            <v>Nguyeãn Tuaán Haûi</v>
          </cell>
          <cell r="C70" t="str">
            <v>B.Veä</v>
          </cell>
          <cell r="D70">
            <v>0.95</v>
          </cell>
          <cell r="E70">
            <v>155</v>
          </cell>
          <cell r="F70">
            <v>1.4</v>
          </cell>
          <cell r="G70">
            <v>206.14999999999998</v>
          </cell>
          <cell r="H70">
            <v>6922.2616903403596</v>
          </cell>
          <cell r="I70">
            <v>1427000</v>
          </cell>
        </row>
        <row r="71">
          <cell r="B71" t="str">
            <v>Ñoaøn Höõu Hoaøng</v>
          </cell>
          <cell r="C71" t="str">
            <v>B.Veä</v>
          </cell>
          <cell r="D71">
            <v>0.95</v>
          </cell>
          <cell r="E71">
            <v>112</v>
          </cell>
          <cell r="F71">
            <v>1.4</v>
          </cell>
          <cell r="G71">
            <v>148.95999999999998</v>
          </cell>
          <cell r="H71">
            <v>6922.2616903403596</v>
          </cell>
          <cell r="I71">
            <v>1031000</v>
          </cell>
        </row>
        <row r="72">
          <cell r="B72" t="str">
            <v>Traàn Trung Haäu</v>
          </cell>
          <cell r="C72" t="str">
            <v>B.Veä</v>
          </cell>
          <cell r="D72">
            <v>0.95</v>
          </cell>
          <cell r="E72">
            <v>99.5</v>
          </cell>
          <cell r="F72">
            <v>1.4</v>
          </cell>
          <cell r="G72">
            <v>132.33499999999998</v>
          </cell>
          <cell r="H72">
            <v>6922.2616903403596</v>
          </cell>
          <cell r="I72">
            <v>916000</v>
          </cell>
        </row>
        <row r="73">
          <cell r="B73" t="str">
            <v>Traàn Thuaän Phong</v>
          </cell>
          <cell r="C73" t="str">
            <v>B.Veä</v>
          </cell>
          <cell r="D73">
            <v>0.95</v>
          </cell>
          <cell r="E73">
            <v>155</v>
          </cell>
          <cell r="F73">
            <v>1.4</v>
          </cell>
          <cell r="G73">
            <v>206.14999999999998</v>
          </cell>
          <cell r="H73">
            <v>6922.2616903403596</v>
          </cell>
          <cell r="I73">
            <v>1427000</v>
          </cell>
        </row>
        <row r="74">
          <cell r="B74" t="str">
            <v>Ngoâ Vaên Naøm</v>
          </cell>
          <cell r="C74" t="str">
            <v>B.Veä</v>
          </cell>
          <cell r="D74">
            <v>0.95</v>
          </cell>
          <cell r="E74">
            <v>155</v>
          </cell>
          <cell r="F74">
            <v>1.4</v>
          </cell>
          <cell r="G74">
            <v>206.14999999999998</v>
          </cell>
          <cell r="H74">
            <v>6922.2616903403596</v>
          </cell>
          <cell r="I74">
            <v>1427000</v>
          </cell>
        </row>
        <row r="75">
          <cell r="B75" t="str">
            <v>Ng. Thò Ngoïc Ñieäp</v>
          </cell>
          <cell r="C75" t="str">
            <v>P.Vuï</v>
          </cell>
          <cell r="D75">
            <v>0.9</v>
          </cell>
          <cell r="E75">
            <v>151</v>
          </cell>
          <cell r="F75">
            <v>1.4</v>
          </cell>
          <cell r="G75">
            <v>190.26</v>
          </cell>
          <cell r="H75">
            <v>6922.2616903403596</v>
          </cell>
          <cell r="I75">
            <v>1317000</v>
          </cell>
        </row>
        <row r="76">
          <cell r="B76" t="str">
            <v>Toáng Thò Nguyeân</v>
          </cell>
          <cell r="C76" t="str">
            <v>P.Vuï</v>
          </cell>
          <cell r="D76">
            <v>0.9</v>
          </cell>
          <cell r="E76">
            <v>152</v>
          </cell>
          <cell r="F76">
            <v>1.6</v>
          </cell>
          <cell r="G76">
            <v>218.88000000000002</v>
          </cell>
          <cell r="H76">
            <v>6922.2616903403596</v>
          </cell>
          <cell r="I76">
            <v>1515000</v>
          </cell>
        </row>
        <row r="77">
          <cell r="B77" t="str">
            <v>Leâ Vaên Phaùt</v>
          </cell>
          <cell r="C77" t="str">
            <v>Beáp TR</v>
          </cell>
          <cell r="D77">
            <v>0.95</v>
          </cell>
          <cell r="E77">
            <v>153</v>
          </cell>
          <cell r="F77">
            <v>1.4</v>
          </cell>
          <cell r="G77">
            <v>203.48999999999998</v>
          </cell>
          <cell r="H77">
            <v>6922.2616903403596</v>
          </cell>
          <cell r="I77">
            <v>1409000</v>
          </cell>
        </row>
        <row r="78">
          <cell r="B78" t="str">
            <v>Lö Hoàng Trang</v>
          </cell>
          <cell r="C78" t="str">
            <v>P.Vuï</v>
          </cell>
          <cell r="D78">
            <v>0.9</v>
          </cell>
          <cell r="E78">
            <v>154</v>
          </cell>
          <cell r="F78">
            <v>1.4</v>
          </cell>
          <cell r="G78">
            <v>194.04</v>
          </cell>
          <cell r="H78">
            <v>6922.2616903403596</v>
          </cell>
          <cell r="I78">
            <v>1343000</v>
          </cell>
        </row>
        <row r="79">
          <cell r="B79" t="str">
            <v>Ng. Thò Kim Oanh</v>
          </cell>
          <cell r="C79" t="str">
            <v>P.Vuï</v>
          </cell>
          <cell r="D79">
            <v>0.9</v>
          </cell>
          <cell r="E79">
            <v>145</v>
          </cell>
          <cell r="F79">
            <v>1.4</v>
          </cell>
          <cell r="G79">
            <v>182.7</v>
          </cell>
          <cell r="H79">
            <v>6922.2616903403596</v>
          </cell>
          <cell r="I79">
            <v>1265000</v>
          </cell>
        </row>
        <row r="80">
          <cell r="B80" t="str">
            <v>Huyønh Thò Tuyeát</v>
          </cell>
          <cell r="C80" t="str">
            <v>P.Vuï</v>
          </cell>
          <cell r="D80">
            <v>0.9</v>
          </cell>
          <cell r="E80">
            <v>76</v>
          </cell>
          <cell r="F80">
            <v>1.4</v>
          </cell>
          <cell r="G80">
            <v>95.76</v>
          </cell>
          <cell r="H80">
            <v>6922.2616903403596</v>
          </cell>
          <cell r="I80">
            <v>663000</v>
          </cell>
        </row>
        <row r="81">
          <cell r="B81" t="str">
            <v>Ng. T. Bình Cheáp</v>
          </cell>
          <cell r="C81" t="str">
            <v>T.Vuï</v>
          </cell>
          <cell r="D81">
            <v>0.9</v>
          </cell>
          <cell r="E81">
            <v>152</v>
          </cell>
          <cell r="F81">
            <v>1.4</v>
          </cell>
          <cell r="G81">
            <v>191.52</v>
          </cell>
          <cell r="H81">
            <v>6922.2616903403596</v>
          </cell>
          <cell r="I81">
            <v>1326000</v>
          </cell>
        </row>
        <row r="82">
          <cell r="B82" t="str">
            <v>Vuõ Thò Haûi</v>
          </cell>
          <cell r="C82" t="str">
            <v>T.Vuï</v>
          </cell>
          <cell r="D82">
            <v>0.9</v>
          </cell>
          <cell r="E82">
            <v>152</v>
          </cell>
          <cell r="F82">
            <v>1.4</v>
          </cell>
          <cell r="G82">
            <v>191.52</v>
          </cell>
          <cell r="H82">
            <v>6922.2616903403596</v>
          </cell>
          <cell r="I82">
            <v>1326000</v>
          </cell>
        </row>
        <row r="83">
          <cell r="B83" t="str">
            <v>Ong Vónh Leä</v>
          </cell>
          <cell r="C83" t="str">
            <v>Töôùi caây</v>
          </cell>
          <cell r="D83">
            <v>0.9</v>
          </cell>
          <cell r="E83">
            <v>38</v>
          </cell>
          <cell r="F83">
            <v>1.4</v>
          </cell>
          <cell r="G83">
            <v>47.88</v>
          </cell>
          <cell r="H83">
            <v>6922.2616903403596</v>
          </cell>
          <cell r="I83">
            <v>331000</v>
          </cell>
        </row>
        <row r="84">
          <cell r="B84" t="str">
            <v>Traàn Vaên Thaønh</v>
          </cell>
          <cell r="C84" t="str">
            <v xml:space="preserve"> (nghæ)</v>
          </cell>
          <cell r="D84">
            <v>0.95</v>
          </cell>
          <cell r="E84">
            <v>90</v>
          </cell>
          <cell r="F84">
            <v>1</v>
          </cell>
          <cell r="G84">
            <v>85.5</v>
          </cell>
          <cell r="H84">
            <v>6922.2616903403596</v>
          </cell>
          <cell r="I84">
            <v>592000</v>
          </cell>
        </row>
        <row r="85">
          <cell r="B85" t="str">
            <v>Coäng:</v>
          </cell>
          <cell r="G85">
            <v>6575.0966666666673</v>
          </cell>
          <cell r="I85">
            <v>45513000</v>
          </cell>
        </row>
        <row r="87">
          <cell r="B87" t="e">
            <v>#NAME?</v>
          </cell>
        </row>
        <row r="88">
          <cell r="I88" t="str">
            <v xml:space="preserve"> Kieân Löông, ngaøy 02  thaùng 08 naêm 2002</v>
          </cell>
        </row>
        <row r="89">
          <cell r="B89" t="str">
            <v>Keá toaùn tröôûng</v>
          </cell>
          <cell r="F89" t="str">
            <v xml:space="preserve"> Phoøng Toå chöùc - Haønh chaùnh</v>
          </cell>
        </row>
        <row r="93">
          <cell r="D93" t="str">
            <v>DANH SAÙCH CHI BOÅ SUNG LÖÔNG 06 THAÙNG ÑAÀU NAÊM 2002</v>
          </cell>
        </row>
        <row r="95">
          <cell r="B95" t="str">
            <v>Hoï vaø Teân</v>
          </cell>
          <cell r="C95" t="str">
            <v>Chöùc vuï</v>
          </cell>
          <cell r="D95" t="str">
            <v>HSCV</v>
          </cell>
          <cell r="E95" t="str">
            <v>Ngaøy coâng</v>
          </cell>
          <cell r="F95" t="str">
            <v>Heä soá X.Loaïi</v>
          </cell>
          <cell r="G95" t="str">
            <v>HSQÑ</v>
          </cell>
          <cell r="H95" t="str">
            <v>Ñôn giaù</v>
          </cell>
          <cell r="I95" t="str">
            <v>Thaønh tieàn (ñ)</v>
          </cell>
        </row>
        <row r="97">
          <cell r="B97" t="str">
            <v>Laâm Duy Khaùnh</v>
          </cell>
          <cell r="C97" t="str">
            <v>T.Phoøng</v>
          </cell>
          <cell r="D97">
            <v>2</v>
          </cell>
          <cell r="E97">
            <v>150</v>
          </cell>
          <cell r="F97">
            <v>1.4</v>
          </cell>
          <cell r="G97">
            <v>420</v>
          </cell>
          <cell r="H97">
            <v>6922.2616903403596</v>
          </cell>
          <cell r="I97">
            <v>2907000</v>
          </cell>
        </row>
        <row r="98">
          <cell r="B98" t="str">
            <v>Hoà Nam Giang</v>
          </cell>
          <cell r="C98" t="str">
            <v>P.Phoøng</v>
          </cell>
          <cell r="D98">
            <v>1.85</v>
          </cell>
          <cell r="E98">
            <v>150</v>
          </cell>
          <cell r="F98">
            <v>1.6</v>
          </cell>
          <cell r="G98">
            <v>444</v>
          </cell>
          <cell r="H98">
            <v>6922.2616903403596</v>
          </cell>
          <cell r="I98">
            <v>3073000</v>
          </cell>
        </row>
        <row r="99">
          <cell r="B99" t="str">
            <v>Traàn Chinh Chieán</v>
          </cell>
          <cell r="C99" t="str">
            <v>P.Phoøng</v>
          </cell>
          <cell r="D99">
            <v>1.85</v>
          </cell>
          <cell r="E99">
            <v>150</v>
          </cell>
          <cell r="F99">
            <v>1.6</v>
          </cell>
          <cell r="G99">
            <v>444</v>
          </cell>
          <cell r="H99">
            <v>6922.2616903403596</v>
          </cell>
          <cell r="I99">
            <v>3073000</v>
          </cell>
        </row>
        <row r="100">
          <cell r="B100" t="str">
            <v>Maïc Thanh Duõng</v>
          </cell>
          <cell r="C100" t="str">
            <v>Nhaân vieân</v>
          </cell>
          <cell r="D100">
            <v>1.3</v>
          </cell>
          <cell r="E100">
            <v>149</v>
          </cell>
          <cell r="F100">
            <v>1.6</v>
          </cell>
          <cell r="G100">
            <v>309.92000000000007</v>
          </cell>
          <cell r="H100">
            <v>6922.2616903403596</v>
          </cell>
          <cell r="I100">
            <v>2145000</v>
          </cell>
        </row>
        <row r="101">
          <cell r="B101" t="str">
            <v>Huyønh Thanh Lieâm</v>
          </cell>
          <cell r="C101" t="str">
            <v>Thuû kho</v>
          </cell>
          <cell r="D101">
            <v>1.25</v>
          </cell>
          <cell r="E101">
            <v>149</v>
          </cell>
          <cell r="F101">
            <v>1.4</v>
          </cell>
          <cell r="G101">
            <v>260.75</v>
          </cell>
          <cell r="H101">
            <v>6922.2616903403596</v>
          </cell>
          <cell r="I101">
            <v>1805000</v>
          </cell>
        </row>
        <row r="102">
          <cell r="B102" t="str">
            <v>Nguyeãn Vaên Thôm</v>
          </cell>
          <cell r="C102" t="str">
            <v>NV</v>
          </cell>
          <cell r="D102">
            <v>1.35</v>
          </cell>
          <cell r="E102">
            <v>149</v>
          </cell>
          <cell r="F102">
            <v>1.6</v>
          </cell>
          <cell r="G102">
            <v>321.84000000000003</v>
          </cell>
          <cell r="H102">
            <v>6922.2616903403596</v>
          </cell>
          <cell r="I102">
            <v>2228000</v>
          </cell>
        </row>
        <row r="103">
          <cell r="B103" t="str">
            <v>Phuøng Höõu Ñaït</v>
          </cell>
          <cell r="C103" t="str">
            <v>Thuû kho</v>
          </cell>
          <cell r="D103">
            <v>1.45</v>
          </cell>
          <cell r="E103">
            <v>146</v>
          </cell>
          <cell r="F103">
            <v>1.6</v>
          </cell>
          <cell r="G103">
            <v>338.72</v>
          </cell>
          <cell r="H103">
            <v>6922.2616903403596</v>
          </cell>
          <cell r="I103">
            <v>2345000</v>
          </cell>
        </row>
        <row r="104">
          <cell r="B104" t="str">
            <v>Nguyeãn Sôn Haø</v>
          </cell>
          <cell r="C104" t="str">
            <v>Thuû kho</v>
          </cell>
          <cell r="D104">
            <v>1.35</v>
          </cell>
          <cell r="E104">
            <v>150</v>
          </cell>
          <cell r="F104">
            <v>1.4</v>
          </cell>
          <cell r="G104">
            <v>283.5</v>
          </cell>
          <cell r="H104">
            <v>6922.2616903403596</v>
          </cell>
          <cell r="I104">
            <v>1962000</v>
          </cell>
        </row>
        <row r="105">
          <cell r="B105" t="str">
            <v>Leâ Hoaøng Baù</v>
          </cell>
          <cell r="C105" t="str">
            <v>NV</v>
          </cell>
          <cell r="D105">
            <v>1.2916666666666667</v>
          </cell>
          <cell r="E105">
            <v>151</v>
          </cell>
          <cell r="F105">
            <v>1.4</v>
          </cell>
          <cell r="G105">
            <v>273.05833333333334</v>
          </cell>
          <cell r="H105">
            <v>6922.2616903403596</v>
          </cell>
          <cell r="I105">
            <v>1890000</v>
          </cell>
        </row>
        <row r="106">
          <cell r="B106" t="str">
            <v>Tröông  Ngoïc Maãn</v>
          </cell>
          <cell r="C106" t="str">
            <v>NV</v>
          </cell>
          <cell r="D106">
            <v>1.2</v>
          </cell>
          <cell r="E106">
            <v>152</v>
          </cell>
          <cell r="F106">
            <v>1.4</v>
          </cell>
          <cell r="G106">
            <v>255.35999999999999</v>
          </cell>
          <cell r="H106">
            <v>6922.2616903403596</v>
          </cell>
          <cell r="I106">
            <v>1768000</v>
          </cell>
        </row>
        <row r="107">
          <cell r="B107" t="str">
            <v>Nguyeãn Thanh Bình</v>
          </cell>
          <cell r="C107" t="str">
            <v>NV</v>
          </cell>
          <cell r="D107">
            <v>1.2666666666666666</v>
          </cell>
          <cell r="E107">
            <v>155</v>
          </cell>
          <cell r="F107">
            <v>1.6</v>
          </cell>
          <cell r="G107">
            <v>314.13333333333333</v>
          </cell>
          <cell r="H107">
            <v>6922.2616903403596</v>
          </cell>
          <cell r="I107">
            <v>2175000</v>
          </cell>
        </row>
        <row r="108">
          <cell r="B108" t="str">
            <v>Voõ Daân Quyeàn</v>
          </cell>
          <cell r="C108" t="str">
            <v>NV</v>
          </cell>
          <cell r="D108">
            <v>1.2250000000000001</v>
          </cell>
          <cell r="E108">
            <v>155</v>
          </cell>
          <cell r="F108">
            <v>1.4</v>
          </cell>
          <cell r="G108">
            <v>265.82499999999999</v>
          </cell>
          <cell r="H108">
            <v>6922.2616903403596</v>
          </cell>
          <cell r="I108">
            <v>1840000</v>
          </cell>
        </row>
        <row r="109">
          <cell r="B109" t="str">
            <v>Huyønh Thanh Cöôøng</v>
          </cell>
          <cell r="C109" t="str">
            <v>NV</v>
          </cell>
          <cell r="D109">
            <v>1.2250000000000001</v>
          </cell>
          <cell r="E109">
            <v>155</v>
          </cell>
          <cell r="F109">
            <v>1.4</v>
          </cell>
          <cell r="G109">
            <v>265.82499999999999</v>
          </cell>
          <cell r="H109">
            <v>6922.2616903403596</v>
          </cell>
          <cell r="I109">
            <v>1840000</v>
          </cell>
        </row>
        <row r="110">
          <cell r="B110" t="str">
            <v>Nguyeãn Ngoïc Duy</v>
          </cell>
          <cell r="C110" t="str">
            <v>NV</v>
          </cell>
          <cell r="D110">
            <v>1.3</v>
          </cell>
          <cell r="E110">
            <v>149</v>
          </cell>
          <cell r="F110">
            <v>1.4</v>
          </cell>
          <cell r="G110">
            <v>271.18</v>
          </cell>
          <cell r="H110">
            <v>6922.2616903403596</v>
          </cell>
          <cell r="I110">
            <v>1877000</v>
          </cell>
        </row>
        <row r="111">
          <cell r="B111" t="str">
            <v>Laâm Hoàng Haûi</v>
          </cell>
          <cell r="C111" t="str">
            <v>Thuû kho</v>
          </cell>
          <cell r="D111">
            <v>1.25</v>
          </cell>
          <cell r="E111">
            <v>150</v>
          </cell>
          <cell r="F111">
            <v>1.4</v>
          </cell>
          <cell r="G111">
            <v>262.5</v>
          </cell>
          <cell r="H111">
            <v>6922.2616903403596</v>
          </cell>
          <cell r="I111">
            <v>1817000</v>
          </cell>
        </row>
        <row r="112">
          <cell r="B112" t="str">
            <v>Nguyeãn Phöông Phan</v>
          </cell>
          <cell r="C112" t="str">
            <v>Phuï kho</v>
          </cell>
          <cell r="D112">
            <v>1.1499999999999999</v>
          </cell>
          <cell r="E112">
            <v>149</v>
          </cell>
          <cell r="F112">
            <v>1.4</v>
          </cell>
          <cell r="G112">
            <v>239.89</v>
          </cell>
          <cell r="H112">
            <v>6922.2616903403596</v>
          </cell>
          <cell r="I112">
            <v>1661000</v>
          </cell>
        </row>
        <row r="113">
          <cell r="B113" t="str">
            <v>Nguyeãn Baù Toång</v>
          </cell>
          <cell r="C113" t="str">
            <v>NV</v>
          </cell>
          <cell r="D113">
            <v>1.25</v>
          </cell>
          <cell r="E113">
            <v>149</v>
          </cell>
          <cell r="F113">
            <v>1.4</v>
          </cell>
          <cell r="G113">
            <v>260.75</v>
          </cell>
          <cell r="H113">
            <v>6922.2616903403596</v>
          </cell>
          <cell r="I113">
            <v>1805000</v>
          </cell>
        </row>
        <row r="114">
          <cell r="B114" t="str">
            <v>Löông Vaên Khaàu</v>
          </cell>
          <cell r="C114" t="str">
            <v>BQLDA</v>
          </cell>
          <cell r="D114">
            <v>1.3</v>
          </cell>
          <cell r="E114">
            <v>128</v>
          </cell>
          <cell r="F114">
            <v>1.4</v>
          </cell>
          <cell r="G114">
            <v>232.95999999999998</v>
          </cell>
          <cell r="H114">
            <v>6922.2616903403596</v>
          </cell>
          <cell r="I114">
            <v>1613000</v>
          </cell>
        </row>
        <row r="115">
          <cell r="B115" t="str">
            <v>Nguyeãn Vaên Haûi</v>
          </cell>
          <cell r="C115" t="str">
            <v>BQLDA</v>
          </cell>
          <cell r="D115">
            <v>1.25</v>
          </cell>
          <cell r="E115">
            <v>151</v>
          </cell>
          <cell r="F115">
            <v>1.4</v>
          </cell>
          <cell r="G115">
            <v>264.25</v>
          </cell>
          <cell r="H115">
            <v>6922.2616903403596</v>
          </cell>
          <cell r="I115">
            <v>1829000</v>
          </cell>
        </row>
        <row r="116">
          <cell r="B116" t="str">
            <v>Hoà Thò Caåm Huyønh</v>
          </cell>
          <cell r="C116" t="str">
            <v>BQLDA</v>
          </cell>
          <cell r="D116">
            <v>1.25</v>
          </cell>
          <cell r="E116">
            <v>149</v>
          </cell>
          <cell r="F116">
            <v>1.4</v>
          </cell>
          <cell r="G116">
            <v>260.75</v>
          </cell>
          <cell r="H116">
            <v>6922.2616903403596</v>
          </cell>
          <cell r="I116">
            <v>1805000</v>
          </cell>
        </row>
        <row r="117">
          <cell r="B117" t="str">
            <v>Traàn Huy Thaïch</v>
          </cell>
          <cell r="C117" t="str">
            <v>BQLDA</v>
          </cell>
          <cell r="D117">
            <v>1.25</v>
          </cell>
          <cell r="E117">
            <v>151</v>
          </cell>
          <cell r="F117">
            <v>1.4</v>
          </cell>
          <cell r="G117">
            <v>264.25</v>
          </cell>
          <cell r="H117">
            <v>6922.2616903403596</v>
          </cell>
          <cell r="I117">
            <v>1829000</v>
          </cell>
        </row>
        <row r="118">
          <cell r="B118" t="str">
            <v>Vuõ Tieán Laõm</v>
          </cell>
          <cell r="C118" t="str">
            <v>BQLDA</v>
          </cell>
          <cell r="D118">
            <v>1.5</v>
          </cell>
          <cell r="E118">
            <v>153</v>
          </cell>
          <cell r="F118">
            <v>1.4</v>
          </cell>
          <cell r="G118">
            <v>321.29999999999995</v>
          </cell>
          <cell r="H118">
            <v>6922.2616903403596</v>
          </cell>
          <cell r="I118">
            <v>2224000</v>
          </cell>
        </row>
        <row r="119">
          <cell r="B119" t="str">
            <v>Nguyeãn Vaên Cöôøng</v>
          </cell>
          <cell r="C119" t="str">
            <v>Toå tröôûng</v>
          </cell>
          <cell r="D119">
            <v>1.5</v>
          </cell>
          <cell r="E119">
            <v>154</v>
          </cell>
          <cell r="F119">
            <v>1.4</v>
          </cell>
          <cell r="G119">
            <v>323.39999999999998</v>
          </cell>
          <cell r="H119">
            <v>6922.2616903403596</v>
          </cell>
          <cell r="I119">
            <v>2239000</v>
          </cell>
        </row>
        <row r="120">
          <cell r="B120" t="str">
            <v>Phan Vaên Hoàng</v>
          </cell>
          <cell r="C120" t="str">
            <v>Toå phoù</v>
          </cell>
          <cell r="D120">
            <v>1.3</v>
          </cell>
          <cell r="E120">
            <v>152</v>
          </cell>
          <cell r="F120">
            <v>1.4</v>
          </cell>
          <cell r="G120">
            <v>276.64</v>
          </cell>
          <cell r="H120">
            <v>6922.2616903403596</v>
          </cell>
          <cell r="I120">
            <v>1915000</v>
          </cell>
        </row>
        <row r="121">
          <cell r="B121" t="str">
            <v>Taï Quoác Quyønh</v>
          </cell>
          <cell r="C121" t="str">
            <v>CN</v>
          </cell>
          <cell r="D121">
            <v>1.25</v>
          </cell>
          <cell r="E121">
            <v>149</v>
          </cell>
          <cell r="F121">
            <v>1.6</v>
          </cell>
          <cell r="G121">
            <v>298</v>
          </cell>
          <cell r="H121">
            <v>6922.2616903403596</v>
          </cell>
          <cell r="I121">
            <v>2063000</v>
          </cell>
        </row>
        <row r="122">
          <cell r="B122" t="str">
            <v>Leâ Töï Thieän</v>
          </cell>
          <cell r="C122" t="str">
            <v>CN</v>
          </cell>
          <cell r="D122">
            <v>1.25</v>
          </cell>
          <cell r="E122">
            <v>148</v>
          </cell>
          <cell r="F122">
            <v>1.4</v>
          </cell>
          <cell r="G122">
            <v>259</v>
          </cell>
          <cell r="H122">
            <v>6922.2616903403596</v>
          </cell>
          <cell r="I122">
            <v>1793000</v>
          </cell>
        </row>
        <row r="123">
          <cell r="B123" t="str">
            <v>Phan Phöôùc Lôïi</v>
          </cell>
          <cell r="C123" t="str">
            <v>CN</v>
          </cell>
          <cell r="D123">
            <v>1.25</v>
          </cell>
          <cell r="E123">
            <v>149</v>
          </cell>
          <cell r="F123">
            <v>1.2</v>
          </cell>
          <cell r="G123">
            <v>223.5</v>
          </cell>
          <cell r="H123">
            <v>6922.2616903403596</v>
          </cell>
          <cell r="I123">
            <v>1547000</v>
          </cell>
        </row>
        <row r="124">
          <cell r="B124" t="str">
            <v>Nguyeãn Vaên Ñöông</v>
          </cell>
          <cell r="C124" t="str">
            <v>CN</v>
          </cell>
          <cell r="D124">
            <v>1.25</v>
          </cell>
          <cell r="E124">
            <v>154</v>
          </cell>
          <cell r="F124">
            <v>1.6</v>
          </cell>
          <cell r="G124">
            <v>308</v>
          </cell>
          <cell r="H124">
            <v>6922.2616903403596</v>
          </cell>
          <cell r="I124">
            <v>2132000</v>
          </cell>
        </row>
        <row r="125">
          <cell r="B125" t="str">
            <v>Phan Vaên Hieàn</v>
          </cell>
          <cell r="C125" t="str">
            <v>CN</v>
          </cell>
          <cell r="D125">
            <v>1.25</v>
          </cell>
          <cell r="E125">
            <v>153</v>
          </cell>
          <cell r="F125">
            <v>1.4</v>
          </cell>
          <cell r="G125">
            <v>267.75</v>
          </cell>
          <cell r="H125">
            <v>6922.2616903403596</v>
          </cell>
          <cell r="I125">
            <v>1853000</v>
          </cell>
        </row>
        <row r="126">
          <cell r="B126" t="str">
            <v>Phaïm Gia Bình</v>
          </cell>
          <cell r="C126" t="str">
            <v>CN</v>
          </cell>
          <cell r="D126">
            <v>1.25</v>
          </cell>
          <cell r="E126">
            <v>153</v>
          </cell>
          <cell r="F126">
            <v>1.4</v>
          </cell>
          <cell r="G126">
            <v>267.75</v>
          </cell>
          <cell r="H126">
            <v>6922.2616903403596</v>
          </cell>
          <cell r="I126">
            <v>1853000</v>
          </cell>
        </row>
        <row r="127">
          <cell r="B127" t="str">
            <v>Löõ Thanh Ñieàn</v>
          </cell>
          <cell r="C127" t="str">
            <v>CN</v>
          </cell>
          <cell r="D127">
            <v>1.1979166666666667</v>
          </cell>
          <cell r="E127">
            <v>153</v>
          </cell>
          <cell r="F127">
            <v>1.2</v>
          </cell>
          <cell r="G127">
            <v>219.9375</v>
          </cell>
          <cell r="H127">
            <v>6922.2616903403596</v>
          </cell>
          <cell r="I127">
            <v>1522000</v>
          </cell>
        </row>
        <row r="128">
          <cell r="B128" t="str">
            <v>Nguyeãn Ngoïc Sôn</v>
          </cell>
          <cell r="C128" t="str">
            <v>CN</v>
          </cell>
          <cell r="D128">
            <v>1.25</v>
          </cell>
          <cell r="E128">
            <v>147</v>
          </cell>
          <cell r="F128">
            <v>1.4</v>
          </cell>
          <cell r="G128">
            <v>257.25</v>
          </cell>
          <cell r="H128">
            <v>6922.2616903403596</v>
          </cell>
          <cell r="I128">
            <v>1781000</v>
          </cell>
        </row>
        <row r="129">
          <cell r="B129" t="str">
            <v>Nguyeãn Troïng Taøi</v>
          </cell>
          <cell r="C129" t="str">
            <v>CN</v>
          </cell>
          <cell r="D129">
            <v>1.25</v>
          </cell>
          <cell r="E129">
            <v>150</v>
          </cell>
          <cell r="F129">
            <v>1.4</v>
          </cell>
          <cell r="G129">
            <v>262.5</v>
          </cell>
          <cell r="H129">
            <v>6922.2616903403596</v>
          </cell>
          <cell r="I129">
            <v>1817000</v>
          </cell>
        </row>
        <row r="130">
          <cell r="B130" t="str">
            <v>Phan Vaên Loäc</v>
          </cell>
          <cell r="C130" t="str">
            <v>CN</v>
          </cell>
          <cell r="D130">
            <v>1.1979166666666667</v>
          </cell>
          <cell r="E130">
            <v>153</v>
          </cell>
          <cell r="F130">
            <v>1.4</v>
          </cell>
          <cell r="G130">
            <v>256.59375</v>
          </cell>
          <cell r="H130">
            <v>6922.2616903403596</v>
          </cell>
          <cell r="I130">
            <v>1776000</v>
          </cell>
        </row>
        <row r="131">
          <cell r="B131" t="str">
            <v>Traàn Thanh Sang</v>
          </cell>
          <cell r="C131" t="str">
            <v>CN</v>
          </cell>
          <cell r="D131">
            <v>1.09375</v>
          </cell>
          <cell r="E131">
            <v>153</v>
          </cell>
          <cell r="F131">
            <v>1.4</v>
          </cell>
          <cell r="G131">
            <v>234.28124999999997</v>
          </cell>
          <cell r="H131">
            <v>6922.2616903403596</v>
          </cell>
          <cell r="I131">
            <v>1622000</v>
          </cell>
        </row>
        <row r="132">
          <cell r="B132" t="str">
            <v>Ñaëng Quoác Trung</v>
          </cell>
          <cell r="C132" t="str">
            <v>Laùi xe</v>
          </cell>
          <cell r="D132">
            <v>1.2</v>
          </cell>
          <cell r="E132">
            <v>152</v>
          </cell>
          <cell r="F132">
            <v>1.2</v>
          </cell>
          <cell r="G132">
            <v>218.88</v>
          </cell>
          <cell r="H132">
            <v>6922.2616903403596</v>
          </cell>
          <cell r="I132">
            <v>1515000</v>
          </cell>
        </row>
        <row r="133">
          <cell r="B133" t="str">
            <v>Ñoã Vaên Loäc</v>
          </cell>
          <cell r="C133" t="str">
            <v>X.Naâng</v>
          </cell>
          <cell r="D133">
            <v>1.2</v>
          </cell>
          <cell r="E133">
            <v>149</v>
          </cell>
          <cell r="F133">
            <v>1</v>
          </cell>
          <cell r="G133">
            <v>178.79999999999998</v>
          </cell>
          <cell r="H133">
            <v>6922.2616903403596</v>
          </cell>
          <cell r="I133">
            <v>1238000</v>
          </cell>
        </row>
        <row r="134">
          <cell r="B134" t="str">
            <v>Ñaëng Quoác Duõng</v>
          </cell>
          <cell r="C134" t="str">
            <v>Laùi xe</v>
          </cell>
          <cell r="D134">
            <v>1.2</v>
          </cell>
          <cell r="E134">
            <v>152</v>
          </cell>
          <cell r="F134">
            <v>1.2</v>
          </cell>
          <cell r="G134">
            <v>218.88</v>
          </cell>
          <cell r="H134">
            <v>6922.2616903403596</v>
          </cell>
          <cell r="I134">
            <v>1515000</v>
          </cell>
        </row>
        <row r="135">
          <cell r="B135" t="str">
            <v>Nguyeãn Thanh Phong</v>
          </cell>
          <cell r="C135" t="str">
            <v>Laùi xe</v>
          </cell>
          <cell r="D135">
            <v>1.2</v>
          </cell>
          <cell r="E135">
            <v>152</v>
          </cell>
          <cell r="F135">
            <v>1.4</v>
          </cell>
          <cell r="G135">
            <v>255.35999999999999</v>
          </cell>
          <cell r="H135">
            <v>6922.2616903403596</v>
          </cell>
          <cell r="I135">
            <v>1768000</v>
          </cell>
        </row>
        <row r="136">
          <cell r="B136" t="str">
            <v>Nguyeãn Hoàng Hoøang</v>
          </cell>
          <cell r="C136" t="str">
            <v>Laùi xe</v>
          </cell>
          <cell r="D136">
            <v>1.2</v>
          </cell>
          <cell r="E136">
            <v>149</v>
          </cell>
          <cell r="F136">
            <v>1.4</v>
          </cell>
          <cell r="G136">
            <v>250.31999999999996</v>
          </cell>
          <cell r="H136">
            <v>6922.2616903403596</v>
          </cell>
          <cell r="I136">
            <v>1733000</v>
          </cell>
        </row>
        <row r="137">
          <cell r="B137" t="str">
            <v>Traàn Ngoïc Phöông</v>
          </cell>
          <cell r="C137" t="str">
            <v>Laùi xe</v>
          </cell>
          <cell r="D137">
            <v>1.2</v>
          </cell>
          <cell r="E137">
            <v>152</v>
          </cell>
          <cell r="F137">
            <v>1.4</v>
          </cell>
          <cell r="G137">
            <v>255.35999999999999</v>
          </cell>
          <cell r="H137">
            <v>6922.2616903403596</v>
          </cell>
          <cell r="I137">
            <v>1768000</v>
          </cell>
        </row>
        <row r="138">
          <cell r="B138" t="str">
            <v>Nguyeãn Thaønh Haûo</v>
          </cell>
          <cell r="C138" t="str">
            <v>Laùi xe</v>
          </cell>
          <cell r="D138">
            <v>1.2</v>
          </cell>
          <cell r="E138">
            <v>152</v>
          </cell>
          <cell r="F138">
            <v>1.4</v>
          </cell>
          <cell r="G138">
            <v>255.35999999999999</v>
          </cell>
          <cell r="H138">
            <v>6922.2616903403596</v>
          </cell>
          <cell r="I138">
            <v>1768000</v>
          </cell>
        </row>
        <row r="139">
          <cell r="B139" t="str">
            <v>Phaïm Quoác Huy</v>
          </cell>
          <cell r="C139" t="str">
            <v>Laùi xe</v>
          </cell>
          <cell r="D139">
            <v>1.2</v>
          </cell>
          <cell r="E139">
            <v>152</v>
          </cell>
          <cell r="F139">
            <v>1.6</v>
          </cell>
          <cell r="G139">
            <v>291.84000000000003</v>
          </cell>
          <cell r="H139">
            <v>6922.2616903403596</v>
          </cell>
          <cell r="I139">
            <v>2020000</v>
          </cell>
        </row>
        <row r="140">
          <cell r="B140" t="str">
            <v>Tröông Hoøai Phong</v>
          </cell>
          <cell r="C140" t="str">
            <v>Laùi xe</v>
          </cell>
          <cell r="D140">
            <v>1.2</v>
          </cell>
          <cell r="E140">
            <v>152</v>
          </cell>
          <cell r="F140">
            <v>1</v>
          </cell>
          <cell r="G140">
            <v>182.4</v>
          </cell>
          <cell r="H140">
            <v>6922.2616903403596</v>
          </cell>
          <cell r="I140">
            <v>1263000</v>
          </cell>
        </row>
        <row r="141">
          <cell r="B141" t="str">
            <v>Nguyeãn Vaên Yeân</v>
          </cell>
          <cell r="C141" t="str">
            <v>X.Naâng</v>
          </cell>
          <cell r="D141">
            <v>1.2</v>
          </cell>
          <cell r="E141">
            <v>150</v>
          </cell>
          <cell r="F141">
            <v>1</v>
          </cell>
          <cell r="G141">
            <v>180</v>
          </cell>
          <cell r="H141">
            <v>6922.2616903403596</v>
          </cell>
          <cell r="I141">
            <v>1246000</v>
          </cell>
        </row>
        <row r="142">
          <cell r="B142" t="str">
            <v>Laâm Hoàng Thu</v>
          </cell>
          <cell r="C142" t="str">
            <v>Laùi xe</v>
          </cell>
          <cell r="D142">
            <v>1.2</v>
          </cell>
          <cell r="E142">
            <v>152</v>
          </cell>
          <cell r="F142">
            <v>1.4</v>
          </cell>
          <cell r="G142">
            <v>255.35999999999999</v>
          </cell>
          <cell r="H142">
            <v>6922.2616903403596</v>
          </cell>
          <cell r="I142">
            <v>1768000</v>
          </cell>
        </row>
        <row r="143">
          <cell r="B143" t="str">
            <v>Nguyeãn Ñöùc Thaéng</v>
          </cell>
          <cell r="C143" t="str">
            <v>Laùi xe</v>
          </cell>
          <cell r="D143">
            <v>1.2</v>
          </cell>
          <cell r="E143">
            <v>147.5</v>
          </cell>
          <cell r="F143">
            <v>1.4</v>
          </cell>
          <cell r="G143">
            <v>247.79999999999998</v>
          </cell>
          <cell r="H143">
            <v>6922.2616903403596</v>
          </cell>
          <cell r="I143">
            <v>1715000</v>
          </cell>
        </row>
        <row r="144">
          <cell r="B144" t="str">
            <v>Phaïm Ñöùc Thieäp</v>
          </cell>
          <cell r="C144" t="str">
            <v>Laùi xe</v>
          </cell>
          <cell r="D144">
            <v>1.2</v>
          </cell>
          <cell r="E144">
            <v>116</v>
          </cell>
          <cell r="F144">
            <v>1.2</v>
          </cell>
          <cell r="G144">
            <v>167.04</v>
          </cell>
          <cell r="H144">
            <v>6922.2616903403596</v>
          </cell>
          <cell r="I144">
            <v>1156000</v>
          </cell>
        </row>
        <row r="145">
          <cell r="B145" t="str">
            <v>Nguyeãn Xuaân Thaønh</v>
          </cell>
          <cell r="C145" t="str">
            <v>Laùi xe</v>
          </cell>
          <cell r="D145">
            <v>1.2</v>
          </cell>
          <cell r="E145">
            <v>147</v>
          </cell>
          <cell r="F145">
            <v>1.6</v>
          </cell>
          <cell r="G145">
            <v>282.24</v>
          </cell>
          <cell r="H145">
            <v>6922.2616903403596</v>
          </cell>
          <cell r="I145">
            <v>1954000</v>
          </cell>
        </row>
        <row r="146">
          <cell r="B146" t="str">
            <v>Buøi Quang Laäp</v>
          </cell>
          <cell r="C146" t="str">
            <v>X.Naâng</v>
          </cell>
          <cell r="D146">
            <v>1.2</v>
          </cell>
          <cell r="E146">
            <v>144</v>
          </cell>
          <cell r="F146">
            <v>1</v>
          </cell>
          <cell r="G146">
            <v>172.79999999999998</v>
          </cell>
          <cell r="H146">
            <v>6922.2616903403596</v>
          </cell>
          <cell r="I146">
            <v>1196000</v>
          </cell>
        </row>
        <row r="147">
          <cell r="B147" t="str">
            <v>Nguyeãn Thaønh Thoaïi</v>
          </cell>
          <cell r="C147" t="str">
            <v>Laùi xe</v>
          </cell>
          <cell r="D147">
            <v>1.2</v>
          </cell>
          <cell r="E147">
            <v>155</v>
          </cell>
          <cell r="F147">
            <v>1.4</v>
          </cell>
          <cell r="G147">
            <v>260.39999999999998</v>
          </cell>
          <cell r="H147">
            <v>6922.2616903403596</v>
          </cell>
          <cell r="I147">
            <v>1803000</v>
          </cell>
        </row>
        <row r="148">
          <cell r="B148" t="str">
            <v>Ngoâ Vaên Taân</v>
          </cell>
          <cell r="C148" t="str">
            <v>Laùi xe</v>
          </cell>
          <cell r="D148">
            <v>1.2</v>
          </cell>
          <cell r="E148">
            <v>152</v>
          </cell>
          <cell r="F148">
            <v>1.6</v>
          </cell>
          <cell r="G148">
            <v>291.84000000000003</v>
          </cell>
          <cell r="H148">
            <v>6922.2616903403596</v>
          </cell>
          <cell r="I148">
            <v>2020000</v>
          </cell>
        </row>
        <row r="149">
          <cell r="B149" t="str">
            <v>Ñaøo Vaên Minh</v>
          </cell>
          <cell r="C149" t="str">
            <v>X.Cuoác</v>
          </cell>
          <cell r="D149">
            <v>1.3</v>
          </cell>
          <cell r="E149">
            <v>152</v>
          </cell>
          <cell r="F149">
            <v>1.6</v>
          </cell>
          <cell r="G149">
            <v>316.16000000000003</v>
          </cell>
          <cell r="H149">
            <v>6922.2616903403596</v>
          </cell>
          <cell r="I149">
            <v>2189000</v>
          </cell>
        </row>
        <row r="150">
          <cell r="B150" t="str">
            <v>Ngoâ Vaên Thaân</v>
          </cell>
          <cell r="C150" t="str">
            <v>X.Naâng</v>
          </cell>
          <cell r="D150">
            <v>1.2</v>
          </cell>
          <cell r="E150">
            <v>149</v>
          </cell>
          <cell r="F150">
            <v>1</v>
          </cell>
          <cell r="G150">
            <v>178.79999999999998</v>
          </cell>
          <cell r="H150">
            <v>6922.2616903403596</v>
          </cell>
          <cell r="I150">
            <v>1238000</v>
          </cell>
        </row>
        <row r="151">
          <cell r="B151" t="str">
            <v>Phan Thaønh Trung</v>
          </cell>
          <cell r="C151" t="str">
            <v>X.Naâng</v>
          </cell>
          <cell r="D151">
            <v>1.2</v>
          </cell>
          <cell r="E151">
            <v>150</v>
          </cell>
          <cell r="F151">
            <v>1</v>
          </cell>
          <cell r="G151">
            <v>180</v>
          </cell>
          <cell r="H151">
            <v>6922.2616903403596</v>
          </cell>
          <cell r="I151">
            <v>1246000</v>
          </cell>
        </row>
        <row r="152">
          <cell r="B152" t="str">
            <v>Buøi Quang Baèng</v>
          </cell>
          <cell r="C152" t="str">
            <v>X.Naâng</v>
          </cell>
          <cell r="D152">
            <v>1.2</v>
          </cell>
          <cell r="E152">
            <v>149</v>
          </cell>
          <cell r="F152">
            <v>1</v>
          </cell>
          <cell r="G152">
            <v>178.79999999999998</v>
          </cell>
          <cell r="H152">
            <v>6922.2616903403596</v>
          </cell>
          <cell r="I152">
            <v>1238000</v>
          </cell>
        </row>
        <row r="153">
          <cell r="B153" t="str">
            <v>Hoà Ngoïc Lôïi</v>
          </cell>
          <cell r="C153" t="str">
            <v>X.Naâng</v>
          </cell>
          <cell r="D153">
            <v>1.2</v>
          </cell>
          <cell r="E153">
            <v>150</v>
          </cell>
          <cell r="F153">
            <v>1</v>
          </cell>
          <cell r="G153">
            <v>180</v>
          </cell>
          <cell r="H153">
            <v>6922.2616903403596</v>
          </cell>
          <cell r="I153">
            <v>1246000</v>
          </cell>
        </row>
        <row r="154">
          <cell r="B154" t="str">
            <v>Nguyeãn Thanh Tuaán</v>
          </cell>
          <cell r="C154" t="str">
            <v>L.Caåu</v>
          </cell>
          <cell r="D154">
            <v>1.3</v>
          </cell>
          <cell r="E154">
            <v>152</v>
          </cell>
          <cell r="F154">
            <v>1.4</v>
          </cell>
          <cell r="G154">
            <v>276.64</v>
          </cell>
          <cell r="H154">
            <v>6922.2616903403596</v>
          </cell>
          <cell r="I154">
            <v>1915000</v>
          </cell>
        </row>
        <row r="155">
          <cell r="B155" t="str">
            <v>Traàn Vaên Sôn</v>
          </cell>
          <cell r="C155" t="str">
            <v>L.Caåu</v>
          </cell>
          <cell r="D155">
            <v>1.3</v>
          </cell>
          <cell r="E155">
            <v>152</v>
          </cell>
          <cell r="F155">
            <v>1.4</v>
          </cell>
          <cell r="G155">
            <v>276.64</v>
          </cell>
          <cell r="H155">
            <v>6922.2616903403596</v>
          </cell>
          <cell r="I155">
            <v>1915000</v>
          </cell>
        </row>
        <row r="156">
          <cell r="B156" t="str">
            <v>Coäng:</v>
          </cell>
          <cell r="G156">
            <v>15581.084166666664</v>
          </cell>
          <cell r="I156">
            <v>107857000</v>
          </cell>
        </row>
        <row r="158">
          <cell r="B158" t="e">
            <v>#NAME?</v>
          </cell>
        </row>
        <row r="159">
          <cell r="I159" t="str">
            <v xml:space="preserve"> Kieân Löông, ngaøy 02  thaùng 08 naêm 2002</v>
          </cell>
        </row>
        <row r="160">
          <cell r="B160" t="str">
            <v>Keá toaùn tröôûng</v>
          </cell>
          <cell r="F160" t="str">
            <v xml:space="preserve"> Phoøng Toå chöùc - Haønh chaùnh</v>
          </cell>
        </row>
        <row r="167">
          <cell r="D167" t="str">
            <v>DANH SAÙCH CHI BOÅ SUNG LÖÔNG 06 THAÙNG ÑAÀU NAÊM 2002</v>
          </cell>
        </row>
        <row r="169">
          <cell r="B169" t="str">
            <v>Hoï vaø Teân</v>
          </cell>
          <cell r="C169" t="str">
            <v>Chöùc vuï</v>
          </cell>
          <cell r="D169" t="str">
            <v>HSCV</v>
          </cell>
          <cell r="E169" t="str">
            <v>Ngaøy coâng</v>
          </cell>
          <cell r="F169" t="str">
            <v>Heä soá X.Loaïi</v>
          </cell>
          <cell r="G169" t="str">
            <v>HSQÑ</v>
          </cell>
          <cell r="H169" t="str">
            <v>Ñôn giaù</v>
          </cell>
          <cell r="I169" t="str">
            <v>Thaønh tieàn (ñ)</v>
          </cell>
        </row>
        <row r="171">
          <cell r="B171" t="str">
            <v>Phuøng Höõu Thònh</v>
          </cell>
          <cell r="C171" t="str">
            <v>Tr. phoøng</v>
          </cell>
          <cell r="D171">
            <v>2</v>
          </cell>
          <cell r="E171">
            <v>146</v>
          </cell>
          <cell r="F171">
            <v>1.6</v>
          </cell>
          <cell r="G171">
            <v>467.20000000000005</v>
          </cell>
          <cell r="H171">
            <v>6922.2616903403596</v>
          </cell>
          <cell r="I171">
            <v>3234000</v>
          </cell>
        </row>
        <row r="172">
          <cell r="B172" t="str">
            <v>Huyønh Quang Vöõng</v>
          </cell>
          <cell r="C172" t="str">
            <v>P. Phoøng</v>
          </cell>
          <cell r="D172">
            <v>1.85</v>
          </cell>
          <cell r="E172">
            <v>148</v>
          </cell>
          <cell r="F172">
            <v>1.6</v>
          </cell>
          <cell r="G172">
            <v>438.08000000000004</v>
          </cell>
          <cell r="H172">
            <v>6922.2616903403596</v>
          </cell>
          <cell r="I172">
            <v>3033000</v>
          </cell>
        </row>
        <row r="173">
          <cell r="B173" t="str">
            <v>Nguyeãn Thò Kim Anh</v>
          </cell>
          <cell r="C173" t="str">
            <v>Nhaân vieân</v>
          </cell>
          <cell r="D173">
            <v>1.3</v>
          </cell>
          <cell r="E173">
            <v>149</v>
          </cell>
          <cell r="F173">
            <v>1.6</v>
          </cell>
          <cell r="G173">
            <v>309.92000000000007</v>
          </cell>
          <cell r="H173">
            <v>6922.2616903403596</v>
          </cell>
          <cell r="I173">
            <v>2145000</v>
          </cell>
        </row>
        <row r="174">
          <cell r="B174" t="str">
            <v>Traàn Phuù Thuûy</v>
          </cell>
          <cell r="C174" t="str">
            <v>"</v>
          </cell>
          <cell r="D174">
            <v>1.3</v>
          </cell>
          <cell r="E174">
            <v>149</v>
          </cell>
          <cell r="F174">
            <v>1.6</v>
          </cell>
          <cell r="G174">
            <v>309.92000000000007</v>
          </cell>
          <cell r="H174">
            <v>6922.2616903403596</v>
          </cell>
          <cell r="I174">
            <v>2145000</v>
          </cell>
        </row>
        <row r="175">
          <cell r="B175" t="str">
            <v>Mai Thaønh Chính</v>
          </cell>
          <cell r="C175" t="str">
            <v>"</v>
          </cell>
          <cell r="D175">
            <v>1.25</v>
          </cell>
          <cell r="E175">
            <v>149</v>
          </cell>
          <cell r="F175">
            <v>1.4</v>
          </cell>
          <cell r="G175">
            <v>260.75</v>
          </cell>
          <cell r="H175">
            <v>6922.2616903403596</v>
          </cell>
          <cell r="I175">
            <v>1805000</v>
          </cell>
        </row>
        <row r="176">
          <cell r="B176" t="str">
            <v>Nguyeãn Xuaân Trieäu</v>
          </cell>
          <cell r="C176" t="str">
            <v>"</v>
          </cell>
          <cell r="D176">
            <v>1.1000000000000001</v>
          </cell>
          <cell r="E176">
            <v>149</v>
          </cell>
          <cell r="F176">
            <v>1.4</v>
          </cell>
          <cell r="G176">
            <v>229.45999999999998</v>
          </cell>
          <cell r="H176">
            <v>6922.2616903403596</v>
          </cell>
          <cell r="I176">
            <v>1588000</v>
          </cell>
        </row>
        <row r="177">
          <cell r="B177" t="str">
            <v>Nguyeãn Vaên Hoaøng</v>
          </cell>
          <cell r="C177" t="str">
            <v>"</v>
          </cell>
          <cell r="D177">
            <v>1.1000000000000001</v>
          </cell>
          <cell r="E177">
            <v>149</v>
          </cell>
          <cell r="F177">
            <v>1.4</v>
          </cell>
          <cell r="G177">
            <v>229.45999999999998</v>
          </cell>
          <cell r="H177">
            <v>6922.2616903403596</v>
          </cell>
          <cell r="I177">
            <v>1588000</v>
          </cell>
        </row>
        <row r="178">
          <cell r="B178" t="str">
            <v>Nguyeãn Quoác Maïnh</v>
          </cell>
          <cell r="C178" t="str">
            <v>"</v>
          </cell>
          <cell r="D178">
            <v>1.1000000000000001</v>
          </cell>
          <cell r="E178">
            <v>149</v>
          </cell>
          <cell r="F178">
            <v>1.6</v>
          </cell>
          <cell r="G178">
            <v>262.24</v>
          </cell>
          <cell r="H178">
            <v>6922.2616903403596</v>
          </cell>
          <cell r="I178">
            <v>1815000</v>
          </cell>
        </row>
        <row r="179">
          <cell r="B179" t="str">
            <v>Laâm Anh Duõng</v>
          </cell>
          <cell r="C179" t="str">
            <v>"</v>
          </cell>
          <cell r="D179">
            <v>1.1000000000000001</v>
          </cell>
          <cell r="E179">
            <v>149</v>
          </cell>
          <cell r="F179">
            <v>1.2</v>
          </cell>
          <cell r="G179">
            <v>196.68</v>
          </cell>
          <cell r="H179">
            <v>6922.2616903403596</v>
          </cell>
          <cell r="I179">
            <v>1361000</v>
          </cell>
        </row>
        <row r="180">
          <cell r="B180" t="str">
            <v>Tröông Thaønh Taâm</v>
          </cell>
          <cell r="C180" t="str">
            <v>"</v>
          </cell>
          <cell r="D180">
            <v>1.1000000000000001</v>
          </cell>
          <cell r="E180">
            <v>146</v>
          </cell>
          <cell r="F180">
            <v>1.2</v>
          </cell>
          <cell r="G180">
            <v>192.72000000000003</v>
          </cell>
          <cell r="H180">
            <v>6922.2616903403596</v>
          </cell>
          <cell r="I180">
            <v>1334000</v>
          </cell>
        </row>
        <row r="181">
          <cell r="B181" t="str">
            <v>Huøynh Vaên Bình</v>
          </cell>
          <cell r="C181" t="str">
            <v>"</v>
          </cell>
          <cell r="D181">
            <v>1.1000000000000001</v>
          </cell>
          <cell r="E181">
            <v>149</v>
          </cell>
          <cell r="F181">
            <v>1.4</v>
          </cell>
          <cell r="G181">
            <v>229.45999999999998</v>
          </cell>
          <cell r="H181">
            <v>6922.2616903403596</v>
          </cell>
          <cell r="I181">
            <v>1588000</v>
          </cell>
        </row>
        <row r="182">
          <cell r="B182" t="str">
            <v>Huøynh Thieän Phong</v>
          </cell>
          <cell r="C182" t="str">
            <v>"</v>
          </cell>
          <cell r="D182">
            <v>1.1000000000000001</v>
          </cell>
          <cell r="E182">
            <v>147</v>
          </cell>
          <cell r="F182">
            <v>1.4</v>
          </cell>
          <cell r="G182">
            <v>226.38</v>
          </cell>
          <cell r="H182">
            <v>6922.2616903403596</v>
          </cell>
          <cell r="I182">
            <v>1567000</v>
          </cell>
        </row>
        <row r="183">
          <cell r="B183" t="str">
            <v>Vuõ Quoác Vieät</v>
          </cell>
          <cell r="C183" t="str">
            <v>"</v>
          </cell>
          <cell r="D183">
            <v>1.1000000000000001</v>
          </cell>
          <cell r="E183">
            <v>149</v>
          </cell>
          <cell r="F183">
            <v>1.4</v>
          </cell>
          <cell r="G183">
            <v>229.45999999999998</v>
          </cell>
          <cell r="H183">
            <v>6922.2616903403596</v>
          </cell>
          <cell r="I183">
            <v>1588000</v>
          </cell>
        </row>
        <row r="184">
          <cell r="B184" t="str">
            <v>Traàn Vieát Khoâi</v>
          </cell>
          <cell r="C184" t="str">
            <v>"</v>
          </cell>
          <cell r="D184">
            <v>1.1979166666666667</v>
          </cell>
          <cell r="E184">
            <v>149</v>
          </cell>
          <cell r="F184">
            <v>1.4</v>
          </cell>
          <cell r="G184">
            <v>249.88541666666666</v>
          </cell>
          <cell r="H184">
            <v>6922.2616903403596</v>
          </cell>
          <cell r="I184">
            <v>1730000</v>
          </cell>
        </row>
        <row r="185">
          <cell r="B185" t="str">
            <v>Haø Vaên Khen</v>
          </cell>
          <cell r="C185" t="str">
            <v>"</v>
          </cell>
          <cell r="D185">
            <v>1.125</v>
          </cell>
          <cell r="E185">
            <v>135</v>
          </cell>
          <cell r="F185">
            <v>1.2</v>
          </cell>
          <cell r="G185">
            <v>182.25</v>
          </cell>
          <cell r="H185">
            <v>6922.2616903403596</v>
          </cell>
          <cell r="I185">
            <v>1262000</v>
          </cell>
        </row>
        <row r="186">
          <cell r="B186" t="str">
            <v>Laâm Minh Vöông</v>
          </cell>
          <cell r="C186" t="str">
            <v>P. Phoøng</v>
          </cell>
          <cell r="D186">
            <v>1.85</v>
          </cell>
          <cell r="E186">
            <v>150</v>
          </cell>
          <cell r="F186">
            <v>1.6</v>
          </cell>
          <cell r="G186">
            <v>444</v>
          </cell>
          <cell r="H186">
            <v>6922.2616903403596</v>
          </cell>
          <cell r="I186">
            <v>3073000</v>
          </cell>
        </row>
        <row r="187">
          <cell r="B187" t="str">
            <v>Leâ Thaønh Líp</v>
          </cell>
          <cell r="C187" t="str">
            <v>Phoù CN</v>
          </cell>
          <cell r="D187">
            <v>1.7</v>
          </cell>
          <cell r="E187">
            <v>152</v>
          </cell>
          <cell r="F187">
            <v>1.6</v>
          </cell>
          <cell r="G187">
            <v>413.44</v>
          </cell>
          <cell r="H187">
            <v>6922.2616903403596</v>
          </cell>
          <cell r="I187">
            <v>2862000</v>
          </cell>
        </row>
        <row r="188">
          <cell r="B188" t="str">
            <v>Voõ Hoàng Taâm</v>
          </cell>
          <cell r="C188" t="str">
            <v>Thuû quyõ</v>
          </cell>
          <cell r="D188">
            <v>1.2</v>
          </cell>
          <cell r="E188">
            <v>151</v>
          </cell>
          <cell r="F188">
            <v>1.6</v>
          </cell>
          <cell r="G188">
            <v>289.92</v>
          </cell>
          <cell r="H188">
            <v>6922.2616903403596</v>
          </cell>
          <cell r="I188">
            <v>2007000</v>
          </cell>
        </row>
        <row r="189">
          <cell r="B189" t="str">
            <v>Nguyeãn Thaønh Thaân</v>
          </cell>
          <cell r="C189" t="str">
            <v>K.Toaùn</v>
          </cell>
          <cell r="D189">
            <v>1.3</v>
          </cell>
          <cell r="E189">
            <v>149</v>
          </cell>
          <cell r="F189">
            <v>1.4</v>
          </cell>
          <cell r="G189">
            <v>271.18</v>
          </cell>
          <cell r="H189">
            <v>6922.2616903403596</v>
          </cell>
          <cell r="I189">
            <v>1877000</v>
          </cell>
        </row>
        <row r="190">
          <cell r="B190" t="str">
            <v>Voõ Hoaøng Trung</v>
          </cell>
          <cell r="C190" t="str">
            <v>Nhaân vieân</v>
          </cell>
          <cell r="D190">
            <v>1.25</v>
          </cell>
          <cell r="E190">
            <v>149</v>
          </cell>
          <cell r="F190">
            <v>1.4</v>
          </cell>
          <cell r="G190">
            <v>260.75</v>
          </cell>
          <cell r="H190">
            <v>6922.2616903403596</v>
          </cell>
          <cell r="I190">
            <v>1805000</v>
          </cell>
        </row>
        <row r="191">
          <cell r="B191" t="str">
            <v>Voõ Thoáng Nhaát</v>
          </cell>
          <cell r="C191" t="str">
            <v>"</v>
          </cell>
          <cell r="D191">
            <v>1.2</v>
          </cell>
          <cell r="E191">
            <v>149</v>
          </cell>
          <cell r="F191">
            <v>1.4</v>
          </cell>
          <cell r="G191">
            <v>250.31999999999996</v>
          </cell>
          <cell r="H191">
            <v>6922.2616903403596</v>
          </cell>
          <cell r="I191">
            <v>1733000</v>
          </cell>
        </row>
        <row r="192">
          <cell r="B192" t="str">
            <v>Nguyeãn Ñaêng Khoa</v>
          </cell>
          <cell r="C192" t="str">
            <v>"</v>
          </cell>
          <cell r="D192">
            <v>1.1833333333333333</v>
          </cell>
          <cell r="E192">
            <v>149</v>
          </cell>
          <cell r="F192">
            <v>1.4</v>
          </cell>
          <cell r="G192">
            <v>246.84333333333331</v>
          </cell>
          <cell r="H192">
            <v>6922.2616903403596</v>
          </cell>
          <cell r="I192">
            <v>1709000</v>
          </cell>
        </row>
        <row r="193">
          <cell r="B193" t="str">
            <v>Nguyeãn Phuù Quoác</v>
          </cell>
          <cell r="C193" t="str">
            <v>"</v>
          </cell>
          <cell r="D193">
            <v>1.1499999999999999</v>
          </cell>
          <cell r="E193">
            <v>149</v>
          </cell>
          <cell r="F193">
            <v>1.4</v>
          </cell>
          <cell r="G193">
            <v>239.89</v>
          </cell>
          <cell r="H193">
            <v>6922.2616903403596</v>
          </cell>
          <cell r="I193">
            <v>1661000</v>
          </cell>
        </row>
        <row r="194">
          <cell r="B194" t="str">
            <v>Ñinh Ñöùc Chính</v>
          </cell>
          <cell r="C194" t="str">
            <v>Laùi xe</v>
          </cell>
          <cell r="D194">
            <v>1.1000000000000001</v>
          </cell>
          <cell r="E194">
            <v>150</v>
          </cell>
          <cell r="F194">
            <v>1.4</v>
          </cell>
          <cell r="G194">
            <v>230.99999999999997</v>
          </cell>
          <cell r="H194">
            <v>6922.2616903403596</v>
          </cell>
          <cell r="I194">
            <v>1599000</v>
          </cell>
        </row>
        <row r="195">
          <cell r="B195" t="str">
            <v>Buøi Tieân Coâng</v>
          </cell>
          <cell r="C195" t="str">
            <v>"</v>
          </cell>
          <cell r="D195">
            <v>1.2</v>
          </cell>
          <cell r="E195">
            <v>149</v>
          </cell>
          <cell r="F195">
            <v>1.4</v>
          </cell>
          <cell r="G195">
            <v>250.31999999999996</v>
          </cell>
          <cell r="H195">
            <v>6922.2616903403596</v>
          </cell>
          <cell r="I195">
            <v>1733000</v>
          </cell>
        </row>
        <row r="196">
          <cell r="B196" t="str">
            <v>Phaïm Vaên Nhieàu</v>
          </cell>
          <cell r="C196" t="str">
            <v>Laùi xe</v>
          </cell>
          <cell r="D196">
            <v>1.2</v>
          </cell>
          <cell r="E196">
            <v>149</v>
          </cell>
          <cell r="F196">
            <v>1.4</v>
          </cell>
          <cell r="G196">
            <v>250.31999999999996</v>
          </cell>
          <cell r="H196">
            <v>6922.2616903403596</v>
          </cell>
          <cell r="I196">
            <v>1733000</v>
          </cell>
        </row>
        <row r="197">
          <cell r="B197" t="str">
            <v>Ñaøo Ngoïc Höông</v>
          </cell>
          <cell r="C197" t="str">
            <v>"</v>
          </cell>
          <cell r="D197">
            <v>1.2</v>
          </cell>
          <cell r="E197">
            <v>149</v>
          </cell>
          <cell r="F197">
            <v>1.6</v>
          </cell>
          <cell r="G197">
            <v>286.08</v>
          </cell>
          <cell r="H197">
            <v>6922.2616903403596</v>
          </cell>
          <cell r="I197">
            <v>1980000</v>
          </cell>
        </row>
        <row r="198">
          <cell r="B198" t="str">
            <v>Phaïm Anh Huøng</v>
          </cell>
          <cell r="C198" t="str">
            <v>"</v>
          </cell>
          <cell r="D198">
            <v>1.2</v>
          </cell>
          <cell r="E198">
            <v>149</v>
          </cell>
          <cell r="F198">
            <v>1.4</v>
          </cell>
          <cell r="G198">
            <v>250.31999999999996</v>
          </cell>
          <cell r="H198">
            <v>6922.2616903403596</v>
          </cell>
          <cell r="I198">
            <v>1733000</v>
          </cell>
        </row>
        <row r="199">
          <cell r="B199" t="str">
            <v>Huyønh Thò Xuyeán</v>
          </cell>
          <cell r="C199" t="str">
            <v>Nhaân vieân</v>
          </cell>
          <cell r="D199">
            <v>0.95</v>
          </cell>
          <cell r="E199">
            <v>129</v>
          </cell>
          <cell r="F199">
            <v>1.4</v>
          </cell>
          <cell r="G199">
            <v>171.57</v>
          </cell>
          <cell r="H199">
            <v>6922.2616903403596</v>
          </cell>
          <cell r="I199">
            <v>1188000</v>
          </cell>
        </row>
        <row r="200">
          <cell r="B200" t="str">
            <v>Voõ Thaønh Nhaân</v>
          </cell>
          <cell r="C200" t="str">
            <v>"</v>
          </cell>
          <cell r="D200">
            <v>1.2</v>
          </cell>
          <cell r="E200">
            <v>149</v>
          </cell>
          <cell r="F200">
            <v>1.4</v>
          </cell>
          <cell r="G200">
            <v>250.31999999999996</v>
          </cell>
          <cell r="H200">
            <v>6922.2616903403596</v>
          </cell>
          <cell r="I200">
            <v>1733000</v>
          </cell>
        </row>
        <row r="201">
          <cell r="B201" t="str">
            <v>Nguyeãn Thanh Sang</v>
          </cell>
          <cell r="C201" t="str">
            <v>"</v>
          </cell>
          <cell r="D201">
            <v>1.25</v>
          </cell>
          <cell r="E201">
            <v>149</v>
          </cell>
          <cell r="F201">
            <v>1.4</v>
          </cell>
          <cell r="G201">
            <v>260.75</v>
          </cell>
          <cell r="H201">
            <v>6922.2616903403596</v>
          </cell>
          <cell r="I201">
            <v>1805000</v>
          </cell>
        </row>
        <row r="202">
          <cell r="B202" t="str">
            <v>Huyønh Thò Kieån</v>
          </cell>
          <cell r="C202" t="str">
            <v>Caáp döôõng</v>
          </cell>
          <cell r="I202">
            <v>500000</v>
          </cell>
        </row>
        <row r="203">
          <cell r="B203" t="str">
            <v>Nguyeãn Thoaïi Oanh</v>
          </cell>
          <cell r="C203" t="str">
            <v>Tban</v>
          </cell>
          <cell r="D203">
            <v>1.9</v>
          </cell>
          <cell r="E203">
            <v>150</v>
          </cell>
          <cell r="F203">
            <v>1.6</v>
          </cell>
          <cell r="G203">
            <v>456</v>
          </cell>
          <cell r="H203">
            <v>6921.6239138546534</v>
          </cell>
          <cell r="I203">
            <v>3156000</v>
          </cell>
        </row>
        <row r="204">
          <cell r="B204" t="str">
            <v>Phaïm Vaên Haûi</v>
          </cell>
          <cell r="C204" t="str">
            <v>NV</v>
          </cell>
          <cell r="D204">
            <v>1.25</v>
          </cell>
          <cell r="E204">
            <v>149</v>
          </cell>
          <cell r="F204">
            <v>1.4</v>
          </cell>
          <cell r="G204">
            <v>260.75</v>
          </cell>
          <cell r="H204">
            <v>6921.6239138546534</v>
          </cell>
          <cell r="I204">
            <v>1805000</v>
          </cell>
        </row>
        <row r="205">
          <cell r="B205" t="str">
            <v>Nguyeãn Höõu Hieáu</v>
          </cell>
          <cell r="C205" t="str">
            <v>NV</v>
          </cell>
          <cell r="D205">
            <v>1.25</v>
          </cell>
          <cell r="E205">
            <v>145</v>
          </cell>
          <cell r="F205">
            <v>1.6</v>
          </cell>
          <cell r="G205">
            <v>290</v>
          </cell>
          <cell r="H205">
            <v>6921.6239138546534</v>
          </cell>
          <cell r="I205">
            <v>2007000</v>
          </cell>
        </row>
        <row r="206">
          <cell r="B206" t="str">
            <v>Coäng:</v>
          </cell>
          <cell r="G206">
            <v>1006.75</v>
          </cell>
          <cell r="I206">
            <v>65482000</v>
          </cell>
        </row>
        <row r="207">
          <cell r="B207" t="e">
            <v>#NAME?</v>
          </cell>
          <cell r="I207" t="str">
            <v xml:space="preserve"> Kieân Löông, ngaøy 02  thaùng 08 naêm 2002</v>
          </cell>
        </row>
        <row r="208">
          <cell r="B208" t="str">
            <v>Keá toaùn tröôûng</v>
          </cell>
          <cell r="F208" t="str">
            <v xml:space="preserve"> Phoøng Toå chöùc - Haønh chaùnh</v>
          </cell>
        </row>
        <row r="210">
          <cell r="E210" t="str">
            <v>DANH SAÙCH CHI BOÅ SUNG LÖÔNG 06 THAÙNG ÑAÀU NAÊM 2002</v>
          </cell>
        </row>
        <row r="212">
          <cell r="B212" t="str">
            <v>Hoï vaø Teân</v>
          </cell>
          <cell r="C212" t="str">
            <v>Chöùc vuï</v>
          </cell>
          <cell r="D212" t="str">
            <v>HSCV</v>
          </cell>
          <cell r="E212" t="str">
            <v>Ngaøy coâng</v>
          </cell>
          <cell r="F212" t="str">
            <v>Heä soá X.Loaïi</v>
          </cell>
          <cell r="G212" t="str">
            <v>HSQÑ</v>
          </cell>
          <cell r="H212" t="str">
            <v>Ñôn giaù</v>
          </cell>
          <cell r="I212" t="str">
            <v>Thaønh tieàn (ñ)</v>
          </cell>
        </row>
        <row r="214">
          <cell r="B214" t="str">
            <v>Phaïm Minh Taâm</v>
          </cell>
          <cell r="C214" t="str">
            <v>TP</v>
          </cell>
          <cell r="D214">
            <v>1.9</v>
          </cell>
          <cell r="E214">
            <v>153</v>
          </cell>
          <cell r="F214">
            <v>1.6</v>
          </cell>
          <cell r="G214">
            <v>465.12</v>
          </cell>
          <cell r="H214">
            <v>6922.2616903403596</v>
          </cell>
          <cell r="I214">
            <v>3220000</v>
          </cell>
        </row>
        <row r="215">
          <cell r="B215" t="str">
            <v>Traàn Thò Lan Höông</v>
          </cell>
          <cell r="C215" t="str">
            <v>PP</v>
          </cell>
          <cell r="D215">
            <v>1.75</v>
          </cell>
          <cell r="E215">
            <v>153</v>
          </cell>
          <cell r="F215">
            <v>1.6</v>
          </cell>
          <cell r="G215">
            <v>428.40000000000003</v>
          </cell>
          <cell r="H215">
            <v>6922.2616903403596</v>
          </cell>
          <cell r="I215">
            <v>2965000</v>
          </cell>
        </row>
        <row r="216">
          <cell r="B216" t="str">
            <v>Ñoã Phöôùc Hieáu</v>
          </cell>
          <cell r="C216" t="str">
            <v>TK</v>
          </cell>
          <cell r="D216">
            <v>1.3</v>
          </cell>
          <cell r="E216">
            <v>155</v>
          </cell>
          <cell r="F216">
            <v>1.6</v>
          </cell>
          <cell r="G216">
            <v>322.40000000000003</v>
          </cell>
          <cell r="H216">
            <v>6922.2616903403596</v>
          </cell>
          <cell r="I216">
            <v>2232000</v>
          </cell>
        </row>
        <row r="217">
          <cell r="B217" t="str">
            <v>Traàn Thò Thaïch</v>
          </cell>
          <cell r="C217" t="str">
            <v>NV</v>
          </cell>
          <cell r="D217">
            <v>1.321</v>
          </cell>
          <cell r="E217">
            <v>155</v>
          </cell>
          <cell r="F217">
            <v>1.4</v>
          </cell>
          <cell r="G217">
            <v>286.65699999999998</v>
          </cell>
          <cell r="H217">
            <v>6922.2616903403596</v>
          </cell>
          <cell r="I217">
            <v>1984000</v>
          </cell>
        </row>
        <row r="218">
          <cell r="B218" t="str">
            <v>Nguyeãn Thò Hoàng</v>
          </cell>
          <cell r="D218">
            <v>1.26</v>
          </cell>
          <cell r="E218">
            <v>155</v>
          </cell>
          <cell r="F218">
            <v>1.4</v>
          </cell>
          <cell r="G218">
            <v>273.42</v>
          </cell>
          <cell r="H218">
            <v>6922.2616903403596</v>
          </cell>
          <cell r="I218">
            <v>1893000</v>
          </cell>
        </row>
        <row r="219">
          <cell r="B219" t="str">
            <v xml:space="preserve">Taï Thò Hieàn </v>
          </cell>
          <cell r="D219">
            <v>1.26</v>
          </cell>
          <cell r="E219">
            <v>153</v>
          </cell>
          <cell r="F219">
            <v>1.4</v>
          </cell>
          <cell r="G219">
            <v>269.892</v>
          </cell>
          <cell r="H219">
            <v>6922.2616903403596</v>
          </cell>
          <cell r="I219">
            <v>1868000</v>
          </cell>
        </row>
        <row r="220">
          <cell r="B220" t="str">
            <v>Traàn Thò Hoàng Vaân</v>
          </cell>
          <cell r="D220">
            <v>1.26</v>
          </cell>
          <cell r="E220">
            <v>151</v>
          </cell>
          <cell r="F220">
            <v>1.4</v>
          </cell>
          <cell r="G220">
            <v>266.36399999999998</v>
          </cell>
          <cell r="H220">
            <v>6922.2616903403596</v>
          </cell>
          <cell r="I220">
            <v>1844000</v>
          </cell>
        </row>
        <row r="221">
          <cell r="B221" t="str">
            <v>Nguyeãn Thanh Laâm</v>
          </cell>
          <cell r="D221">
            <v>1.25</v>
          </cell>
          <cell r="E221">
            <v>151</v>
          </cell>
          <cell r="F221">
            <v>1.4</v>
          </cell>
          <cell r="G221">
            <v>264.25</v>
          </cell>
          <cell r="H221">
            <v>6922.2616903403596</v>
          </cell>
          <cell r="I221">
            <v>1829000</v>
          </cell>
        </row>
        <row r="222">
          <cell r="B222" t="str">
            <v>Leâ Vaên Theâm</v>
          </cell>
          <cell r="D222">
            <v>1.2529999999999999</v>
          </cell>
          <cell r="E222">
            <v>148</v>
          </cell>
          <cell r="F222">
            <v>1.4</v>
          </cell>
          <cell r="G222">
            <v>259.62159999999994</v>
          </cell>
          <cell r="H222">
            <v>6922.2616903403596</v>
          </cell>
          <cell r="I222">
            <v>1797000</v>
          </cell>
        </row>
        <row r="223">
          <cell r="B223" t="str">
            <v>Phan Hoàng Huyønh</v>
          </cell>
          <cell r="C223" t="str">
            <v>TT</v>
          </cell>
          <cell r="D223">
            <v>1.4</v>
          </cell>
          <cell r="E223">
            <v>145</v>
          </cell>
          <cell r="F223">
            <v>1.6</v>
          </cell>
          <cell r="G223">
            <v>324.8</v>
          </cell>
          <cell r="H223">
            <v>6922.2616903403596</v>
          </cell>
          <cell r="I223">
            <v>2248000</v>
          </cell>
        </row>
        <row r="224">
          <cell r="B224" t="str">
            <v>Ñinh Kieân Giang</v>
          </cell>
          <cell r="C224" t="str">
            <v>NV</v>
          </cell>
          <cell r="D224">
            <v>1.25</v>
          </cell>
          <cell r="E224">
            <v>154</v>
          </cell>
          <cell r="F224">
            <v>1.4</v>
          </cell>
          <cell r="G224">
            <v>269.5</v>
          </cell>
          <cell r="H224">
            <v>6922.2616903403596</v>
          </cell>
          <cell r="I224">
            <v>1866000</v>
          </cell>
        </row>
        <row r="225">
          <cell r="B225" t="str">
            <v xml:space="preserve">Phuøng Minh Lyù </v>
          </cell>
          <cell r="D225">
            <v>1.25</v>
          </cell>
          <cell r="E225">
            <v>154</v>
          </cell>
          <cell r="F225">
            <v>1.4</v>
          </cell>
          <cell r="G225">
            <v>269.5</v>
          </cell>
          <cell r="H225">
            <v>6922.2616903403596</v>
          </cell>
          <cell r="I225">
            <v>1866000</v>
          </cell>
        </row>
        <row r="226">
          <cell r="B226" t="str">
            <v xml:space="preserve">Trònh Myõ Trang </v>
          </cell>
          <cell r="D226">
            <v>1.25</v>
          </cell>
          <cell r="E226">
            <v>152</v>
          </cell>
          <cell r="F226">
            <v>1.4</v>
          </cell>
          <cell r="G226">
            <v>266</v>
          </cell>
          <cell r="H226">
            <v>6922.2616903403596</v>
          </cell>
          <cell r="I226">
            <v>1841000</v>
          </cell>
        </row>
        <row r="227">
          <cell r="B227" t="str">
            <v>Nguyeãn Thò Kim Hueä</v>
          </cell>
          <cell r="D227">
            <v>1.25</v>
          </cell>
          <cell r="E227">
            <v>152</v>
          </cell>
          <cell r="F227">
            <v>1.4</v>
          </cell>
          <cell r="G227">
            <v>266</v>
          </cell>
          <cell r="H227">
            <v>6922.2616903403596</v>
          </cell>
          <cell r="I227">
            <v>1841000</v>
          </cell>
        </row>
        <row r="228">
          <cell r="B228" t="str">
            <v>Vuõ Thanh Tuøng</v>
          </cell>
          <cell r="C228" t="str">
            <v>TT</v>
          </cell>
          <cell r="D228">
            <v>1.343</v>
          </cell>
          <cell r="E228">
            <v>155</v>
          </cell>
          <cell r="F228">
            <v>1.6</v>
          </cell>
          <cell r="G228">
            <v>333.06400000000002</v>
          </cell>
          <cell r="H228">
            <v>6922.2616903403596</v>
          </cell>
          <cell r="I228">
            <v>2306000</v>
          </cell>
        </row>
        <row r="229">
          <cell r="B229" t="str">
            <v>Phaïm Thò Löïu</v>
          </cell>
          <cell r="C229" t="str">
            <v>NV</v>
          </cell>
          <cell r="D229">
            <v>1.25</v>
          </cell>
          <cell r="E229">
            <v>154</v>
          </cell>
          <cell r="F229">
            <v>1.4</v>
          </cell>
          <cell r="G229">
            <v>269.5</v>
          </cell>
          <cell r="H229">
            <v>6922.2616903403596</v>
          </cell>
          <cell r="I229">
            <v>1866000</v>
          </cell>
        </row>
        <row r="230">
          <cell r="B230" t="str">
            <v>Nguyeãn Thò Hoàng Hueá</v>
          </cell>
          <cell r="D230">
            <v>1.25</v>
          </cell>
          <cell r="E230">
            <v>155</v>
          </cell>
          <cell r="F230">
            <v>1.4</v>
          </cell>
          <cell r="G230">
            <v>271.25</v>
          </cell>
          <cell r="H230">
            <v>6922.2616903403596</v>
          </cell>
          <cell r="I230">
            <v>1878000</v>
          </cell>
        </row>
        <row r="231">
          <cell r="B231" t="str">
            <v>Tröông Thò Myõ Tieân</v>
          </cell>
          <cell r="D231">
            <v>1.25</v>
          </cell>
          <cell r="E231">
            <v>149</v>
          </cell>
          <cell r="F231">
            <v>1.4</v>
          </cell>
          <cell r="G231">
            <v>260.75</v>
          </cell>
          <cell r="H231">
            <v>6922.2616903403596</v>
          </cell>
          <cell r="I231">
            <v>1805000</v>
          </cell>
        </row>
        <row r="232">
          <cell r="B232" t="str">
            <v>Buøi Anh Ñöùc</v>
          </cell>
          <cell r="C232" t="str">
            <v>TT</v>
          </cell>
          <cell r="D232">
            <v>1.4</v>
          </cell>
          <cell r="E232">
            <v>155</v>
          </cell>
          <cell r="F232">
            <v>1.6</v>
          </cell>
          <cell r="G232">
            <v>347.20000000000005</v>
          </cell>
          <cell r="H232">
            <v>6922.2616903403596</v>
          </cell>
          <cell r="I232">
            <v>2403000</v>
          </cell>
        </row>
        <row r="233">
          <cell r="B233" t="str">
            <v>Thaùi Hoaøng Heân</v>
          </cell>
          <cell r="C233" t="str">
            <v>NV</v>
          </cell>
          <cell r="D233">
            <v>1.25</v>
          </cell>
          <cell r="E233">
            <v>152</v>
          </cell>
          <cell r="F233">
            <v>1.6</v>
          </cell>
          <cell r="G233">
            <v>304</v>
          </cell>
          <cell r="H233">
            <v>6922.2616903403596</v>
          </cell>
          <cell r="I233">
            <v>2104000</v>
          </cell>
        </row>
        <row r="234">
          <cell r="B234" t="str">
            <v>Nguyeãn Thanh Ñieàn</v>
          </cell>
          <cell r="D234">
            <v>1.25</v>
          </cell>
          <cell r="E234">
            <v>148</v>
          </cell>
          <cell r="F234">
            <v>1.4</v>
          </cell>
          <cell r="G234">
            <v>259</v>
          </cell>
          <cell r="H234">
            <v>6922.2616903403596</v>
          </cell>
          <cell r="I234">
            <v>1793000</v>
          </cell>
        </row>
        <row r="235">
          <cell r="B235" t="str">
            <v>Ñinh Quang Sôn</v>
          </cell>
          <cell r="D235">
            <v>1.25</v>
          </cell>
          <cell r="E235">
            <v>148</v>
          </cell>
          <cell r="F235">
            <v>1.4</v>
          </cell>
          <cell r="G235">
            <v>259</v>
          </cell>
          <cell r="H235">
            <v>6922.2616903403596</v>
          </cell>
          <cell r="I235">
            <v>1793000</v>
          </cell>
        </row>
        <row r="236">
          <cell r="B236" t="str">
            <v>Traàn Thaùi Böûu</v>
          </cell>
          <cell r="D236">
            <v>1.1979166666666667</v>
          </cell>
          <cell r="E236">
            <v>155</v>
          </cell>
          <cell r="F236">
            <v>1.4</v>
          </cell>
          <cell r="G236">
            <v>259.94791666666669</v>
          </cell>
          <cell r="H236">
            <v>6922.2616903403596</v>
          </cell>
          <cell r="I236">
            <v>1799000</v>
          </cell>
        </row>
        <row r="237">
          <cell r="B237" t="str">
            <v>Traàn Vaên Uùt</v>
          </cell>
          <cell r="D237">
            <v>1.1979166666666667</v>
          </cell>
          <cell r="E237">
            <v>147</v>
          </cell>
          <cell r="F237">
            <v>1.4</v>
          </cell>
          <cell r="G237">
            <v>246.53124999999997</v>
          </cell>
          <cell r="H237">
            <v>6922.2616903403596</v>
          </cell>
          <cell r="I237">
            <v>1707000</v>
          </cell>
        </row>
        <row r="238">
          <cell r="B238" t="str">
            <v>Mai Vaên Haûi</v>
          </cell>
          <cell r="C238" t="str">
            <v>TT</v>
          </cell>
          <cell r="D238">
            <v>1.35</v>
          </cell>
          <cell r="E238">
            <v>150</v>
          </cell>
          <cell r="F238">
            <v>1.6</v>
          </cell>
          <cell r="G238">
            <v>324</v>
          </cell>
          <cell r="H238">
            <v>6922.2616903403596</v>
          </cell>
          <cell r="I238">
            <v>2243000</v>
          </cell>
        </row>
        <row r="239">
          <cell r="B239" t="str">
            <v>Nguyeãn Vaên Uùt</v>
          </cell>
          <cell r="C239" t="str">
            <v>NV</v>
          </cell>
          <cell r="D239">
            <v>1.1499999999999999</v>
          </cell>
          <cell r="E239">
            <v>147</v>
          </cell>
          <cell r="F239">
            <v>1.4</v>
          </cell>
          <cell r="G239">
            <v>236.66999999999996</v>
          </cell>
          <cell r="H239">
            <v>6922.2616903403596</v>
          </cell>
          <cell r="I239">
            <v>1638000</v>
          </cell>
        </row>
        <row r="240">
          <cell r="B240" t="str">
            <v>Nguyeãn Thaønh Thaéng A</v>
          </cell>
          <cell r="D240">
            <v>1.1499999999999999</v>
          </cell>
          <cell r="E240">
            <v>154</v>
          </cell>
          <cell r="F240">
            <v>1.4</v>
          </cell>
          <cell r="G240">
            <v>247.93999999999997</v>
          </cell>
          <cell r="H240">
            <v>6922.2616903403596</v>
          </cell>
          <cell r="I240">
            <v>1716000</v>
          </cell>
        </row>
        <row r="241">
          <cell r="B241" t="str">
            <v>Nguyeãn Thaønh Thaéng B</v>
          </cell>
          <cell r="D241">
            <v>1.1499999999999999</v>
          </cell>
          <cell r="E241">
            <v>155</v>
          </cell>
          <cell r="F241">
            <v>1.2</v>
          </cell>
          <cell r="G241">
            <v>213.9</v>
          </cell>
          <cell r="H241">
            <v>6922.2616903403596</v>
          </cell>
          <cell r="I241">
            <v>1481000</v>
          </cell>
        </row>
        <row r="242">
          <cell r="B242" t="str">
            <v>Hoà Hoaøng Taëng</v>
          </cell>
          <cell r="D242">
            <v>1.1020833333333333</v>
          </cell>
          <cell r="E242">
            <v>155</v>
          </cell>
          <cell r="F242">
            <v>1.2</v>
          </cell>
          <cell r="G242">
            <v>204.98749999999998</v>
          </cell>
          <cell r="H242">
            <v>6922.2616903403596</v>
          </cell>
          <cell r="I242">
            <v>1419000</v>
          </cell>
        </row>
        <row r="243">
          <cell r="B243" t="str">
            <v>Nguyeãn Thò Thu Vaân</v>
          </cell>
          <cell r="D243">
            <v>1.1499999999999999</v>
          </cell>
          <cell r="E243">
            <v>154</v>
          </cell>
          <cell r="F243">
            <v>1.4</v>
          </cell>
          <cell r="G243">
            <v>247.93999999999997</v>
          </cell>
          <cell r="H243">
            <v>6922.2616903403596</v>
          </cell>
          <cell r="I243">
            <v>1716000</v>
          </cell>
        </row>
        <row r="244">
          <cell r="B244" t="str">
            <v>Trònh Ngoïc Toaøn</v>
          </cell>
          <cell r="D244">
            <v>1.1499999999999999</v>
          </cell>
          <cell r="E244">
            <v>155</v>
          </cell>
          <cell r="F244">
            <v>1.4</v>
          </cell>
          <cell r="G244">
            <v>249.54999999999998</v>
          </cell>
          <cell r="H244">
            <v>6922.2616903403596</v>
          </cell>
          <cell r="I244">
            <v>1727000</v>
          </cell>
        </row>
        <row r="245">
          <cell r="B245" t="str">
            <v>Coäng:</v>
          </cell>
          <cell r="G245">
            <v>8767.1552666666666</v>
          </cell>
          <cell r="I245">
            <v>60688000</v>
          </cell>
        </row>
        <row r="247">
          <cell r="B247" t="e">
            <v>#NAME?</v>
          </cell>
          <cell r="I247" t="str">
            <v xml:space="preserve"> Kieân Löông, ngaøy 02  thaùng 08 naêm 2002</v>
          </cell>
        </row>
        <row r="248">
          <cell r="B248" t="str">
            <v>Keá toaùn tröôûng</v>
          </cell>
          <cell r="F248" t="str">
            <v xml:space="preserve"> Phoøng Toå chöùc - Haønh chaùnh</v>
          </cell>
        </row>
        <row r="253">
          <cell r="E253" t="str">
            <v>DANH SAÙCH CHI BOÅ SUNG LÖÔNG 06 THAÙNG ÑAÀU NAÊM 2002</v>
          </cell>
        </row>
        <row r="255">
          <cell r="B255" t="str">
            <v>Hoï vaø Teân</v>
          </cell>
          <cell r="C255" t="str">
            <v>Chöùc vuï</v>
          </cell>
          <cell r="D255" t="str">
            <v>HSCV</v>
          </cell>
          <cell r="E255" t="str">
            <v>Ngaøy coâng</v>
          </cell>
          <cell r="F255" t="str">
            <v>Heä soá X.Loaïi</v>
          </cell>
          <cell r="G255" t="str">
            <v>HSQÑ</v>
          </cell>
          <cell r="H255" t="str">
            <v>Ñôn giaù</v>
          </cell>
          <cell r="I255" t="str">
            <v>Thaønh tieàn (ñ)</v>
          </cell>
        </row>
        <row r="257">
          <cell r="B257" t="str">
            <v>Leâ Vaên Boán</v>
          </cell>
          <cell r="C257" t="str">
            <v>QÑPX</v>
          </cell>
          <cell r="D257">
            <v>1.9</v>
          </cell>
          <cell r="E257">
            <v>151</v>
          </cell>
          <cell r="F257">
            <v>1.4</v>
          </cell>
          <cell r="G257">
            <v>401.65999999999997</v>
          </cell>
          <cell r="H257">
            <v>6922.2616903403596</v>
          </cell>
          <cell r="I257">
            <v>2780000</v>
          </cell>
        </row>
        <row r="258">
          <cell r="B258" t="str">
            <v>Leâ Vieät Nam</v>
          </cell>
          <cell r="C258" t="str">
            <v>CBKT</v>
          </cell>
          <cell r="D258">
            <v>1.4333333333333333</v>
          </cell>
          <cell r="E258">
            <v>145</v>
          </cell>
          <cell r="F258">
            <v>1</v>
          </cell>
          <cell r="G258">
            <v>207.83333333333334</v>
          </cell>
          <cell r="H258">
            <v>6922.2616903403596</v>
          </cell>
          <cell r="I258">
            <v>1439000</v>
          </cell>
        </row>
        <row r="259">
          <cell r="B259" t="str">
            <v>Döông Kim Chi</v>
          </cell>
          <cell r="C259" t="str">
            <v>TK-PX</v>
          </cell>
          <cell r="D259">
            <v>1.2</v>
          </cell>
          <cell r="E259">
            <v>142</v>
          </cell>
          <cell r="F259">
            <v>1.6</v>
          </cell>
          <cell r="G259">
            <v>272.64000000000004</v>
          </cell>
          <cell r="H259">
            <v>6922.2616903403596</v>
          </cell>
          <cell r="I259">
            <v>1887000</v>
          </cell>
        </row>
        <row r="260">
          <cell r="B260" t="str">
            <v>Nguyeãn Khaéc Haûi</v>
          </cell>
          <cell r="C260" t="str">
            <v>CK.V/h</v>
          </cell>
          <cell r="D260">
            <v>1.25</v>
          </cell>
          <cell r="E260">
            <v>135</v>
          </cell>
          <cell r="F260">
            <v>1.4</v>
          </cell>
          <cell r="G260">
            <v>236.24999999999997</v>
          </cell>
          <cell r="H260">
            <v>6922.2616903403596</v>
          </cell>
          <cell r="I260">
            <v>1635000</v>
          </cell>
        </row>
        <row r="261">
          <cell r="B261" t="str">
            <v>Leâ Minh Ñöùc</v>
          </cell>
          <cell r="C261" t="str">
            <v>TT.Khoan</v>
          </cell>
          <cell r="D261">
            <v>1.45</v>
          </cell>
          <cell r="E261">
            <v>144</v>
          </cell>
          <cell r="F261">
            <v>1.4</v>
          </cell>
          <cell r="G261">
            <v>292.31999999999994</v>
          </cell>
          <cell r="H261">
            <v>6922.2616903403596</v>
          </cell>
          <cell r="I261">
            <v>2024000</v>
          </cell>
        </row>
        <row r="262">
          <cell r="B262" t="str">
            <v>Giang Vaên Tónh</v>
          </cell>
          <cell r="C262" t="str">
            <v>CN Pha boå</v>
          </cell>
          <cell r="D262">
            <v>1.2250000000000001</v>
          </cell>
          <cell r="E262">
            <v>148</v>
          </cell>
          <cell r="F262">
            <v>1.4</v>
          </cell>
          <cell r="G262">
            <v>253.82</v>
          </cell>
          <cell r="H262">
            <v>6922.2616903403596</v>
          </cell>
          <cell r="I262">
            <v>1757000</v>
          </cell>
        </row>
        <row r="263">
          <cell r="B263" t="str">
            <v>Trình Xuaân Baûng</v>
          </cell>
          <cell r="C263" t="str">
            <v>Thôï khoan</v>
          </cell>
          <cell r="D263">
            <v>1.3</v>
          </cell>
          <cell r="E263">
            <v>147</v>
          </cell>
          <cell r="F263">
            <v>1.4</v>
          </cell>
          <cell r="G263">
            <v>267.53999999999996</v>
          </cell>
          <cell r="H263">
            <v>6922.2616903403596</v>
          </cell>
          <cell r="I263">
            <v>1852000</v>
          </cell>
        </row>
        <row r="264">
          <cell r="B264" t="str">
            <v>Buøi Trung Tuaán</v>
          </cell>
          <cell r="C264" t="str">
            <v>"</v>
          </cell>
          <cell r="D264">
            <v>1.3</v>
          </cell>
          <cell r="E264">
            <v>149</v>
          </cell>
          <cell r="F264">
            <v>1.4</v>
          </cell>
          <cell r="G264">
            <v>271.18</v>
          </cell>
          <cell r="H264">
            <v>6922.2616903403596</v>
          </cell>
          <cell r="I264">
            <v>1877000</v>
          </cell>
        </row>
        <row r="265">
          <cell r="B265" t="str">
            <v>Phaïm Ngoïc Sôn</v>
          </cell>
          <cell r="C265" t="str">
            <v>"</v>
          </cell>
          <cell r="D265">
            <v>1.3</v>
          </cell>
          <cell r="E265">
            <v>147</v>
          </cell>
          <cell r="F265">
            <v>1.6</v>
          </cell>
          <cell r="G265">
            <v>305.76</v>
          </cell>
          <cell r="H265">
            <v>6922.2616903403596</v>
          </cell>
          <cell r="I265">
            <v>2117000</v>
          </cell>
        </row>
        <row r="266">
          <cell r="B266" t="str">
            <v>Ng. Ñình Nguyeân</v>
          </cell>
          <cell r="C266" t="str">
            <v>"</v>
          </cell>
          <cell r="D266">
            <v>1.3</v>
          </cell>
          <cell r="E266">
            <v>148</v>
          </cell>
          <cell r="F266">
            <v>1.4</v>
          </cell>
          <cell r="G266">
            <v>269.36</v>
          </cell>
          <cell r="H266">
            <v>6922.2616903403596</v>
          </cell>
          <cell r="I266">
            <v>1865000</v>
          </cell>
        </row>
        <row r="267">
          <cell r="B267" t="str">
            <v>Döông Vaên Tuaán</v>
          </cell>
          <cell r="C267" t="str">
            <v>"</v>
          </cell>
          <cell r="D267">
            <v>1.2250000000000001</v>
          </cell>
          <cell r="E267">
            <v>149</v>
          </cell>
          <cell r="F267">
            <v>1.4</v>
          </cell>
          <cell r="G267">
            <v>255.535</v>
          </cell>
          <cell r="H267">
            <v>6922.2616903403596</v>
          </cell>
          <cell r="I267">
            <v>1769000</v>
          </cell>
        </row>
        <row r="268">
          <cell r="B268" t="str">
            <v>Trònh Xuaân Tröôûng</v>
          </cell>
          <cell r="C268" t="str">
            <v>"</v>
          </cell>
          <cell r="D268">
            <v>1.2250000000000001</v>
          </cell>
          <cell r="E268">
            <v>149</v>
          </cell>
          <cell r="F268">
            <v>1.4</v>
          </cell>
          <cell r="G268">
            <v>255.535</v>
          </cell>
          <cell r="H268">
            <v>6922.2616903403596</v>
          </cell>
          <cell r="I268">
            <v>1769000</v>
          </cell>
        </row>
        <row r="269">
          <cell r="B269" t="str">
            <v>Laïi Vaên Huyeân</v>
          </cell>
          <cell r="C269" t="str">
            <v>TT Pha boå</v>
          </cell>
          <cell r="D269">
            <v>1.1499999999999999</v>
          </cell>
          <cell r="E269">
            <v>137</v>
          </cell>
          <cell r="F269">
            <v>1.6</v>
          </cell>
          <cell r="G269">
            <v>252.07999999999998</v>
          </cell>
          <cell r="H269">
            <v>6922.2616903403596</v>
          </cell>
          <cell r="I269">
            <v>1745000</v>
          </cell>
        </row>
        <row r="270">
          <cell r="B270" t="str">
            <v>Nguyeãn vaên Chaët</v>
          </cell>
          <cell r="C270" t="str">
            <v>CN Pha boå</v>
          </cell>
          <cell r="D270">
            <v>1.1499999999999999</v>
          </cell>
          <cell r="E270">
            <v>148</v>
          </cell>
          <cell r="F270">
            <v>1.4</v>
          </cell>
          <cell r="G270">
            <v>238.27999999999997</v>
          </cell>
          <cell r="H270">
            <v>6922.2616903403596</v>
          </cell>
          <cell r="I270">
            <v>1649000</v>
          </cell>
        </row>
        <row r="271">
          <cell r="B271" t="str">
            <v>Chaâu Thanh Lieâm</v>
          </cell>
          <cell r="C271" t="str">
            <v>"</v>
          </cell>
          <cell r="D271">
            <v>1.1499999999999999</v>
          </cell>
          <cell r="E271">
            <v>147</v>
          </cell>
          <cell r="F271">
            <v>1.6</v>
          </cell>
          <cell r="G271">
            <v>270.47999999999996</v>
          </cell>
          <cell r="H271">
            <v>6922.2616903403596</v>
          </cell>
          <cell r="I271">
            <v>1872000</v>
          </cell>
        </row>
        <row r="272">
          <cell r="B272" t="str">
            <v>Ong Döông Haûi</v>
          </cell>
          <cell r="C272" t="str">
            <v>"</v>
          </cell>
          <cell r="D272">
            <v>1.1499999999999999</v>
          </cell>
          <cell r="E272">
            <v>144</v>
          </cell>
          <cell r="F272">
            <v>1.2</v>
          </cell>
          <cell r="G272">
            <v>198.72</v>
          </cell>
          <cell r="H272">
            <v>6922.2616903403596</v>
          </cell>
          <cell r="I272">
            <v>1376000</v>
          </cell>
        </row>
        <row r="273">
          <cell r="B273" t="str">
            <v>Lyù Vaên Thaønh</v>
          </cell>
          <cell r="C273" t="str">
            <v>"</v>
          </cell>
          <cell r="D273">
            <v>1.1499999999999999</v>
          </cell>
          <cell r="E273">
            <v>147</v>
          </cell>
          <cell r="F273">
            <v>1.4</v>
          </cell>
          <cell r="G273">
            <v>236.66999999999996</v>
          </cell>
          <cell r="H273">
            <v>6922.2616903403596</v>
          </cell>
          <cell r="I273">
            <v>1638000</v>
          </cell>
        </row>
        <row r="274">
          <cell r="B274" t="str">
            <v>Danh Chung</v>
          </cell>
          <cell r="C274" t="str">
            <v>"</v>
          </cell>
          <cell r="D274">
            <v>1.1499999999999999</v>
          </cell>
          <cell r="E274">
            <v>148</v>
          </cell>
          <cell r="F274">
            <v>1.4</v>
          </cell>
          <cell r="G274">
            <v>238.27999999999997</v>
          </cell>
          <cell r="H274">
            <v>6922.2616903403596</v>
          </cell>
          <cell r="I274">
            <v>1649000</v>
          </cell>
        </row>
        <row r="275">
          <cell r="B275" t="str">
            <v>Laïi Vaên Tình</v>
          </cell>
          <cell r="C275" t="str">
            <v>"</v>
          </cell>
          <cell r="D275">
            <v>1.1499999999999999</v>
          </cell>
          <cell r="E275">
            <v>148</v>
          </cell>
          <cell r="F275">
            <v>1.4</v>
          </cell>
          <cell r="G275">
            <v>238.27999999999997</v>
          </cell>
          <cell r="H275">
            <v>6922.2616903403596</v>
          </cell>
          <cell r="I275">
            <v>1649000</v>
          </cell>
        </row>
        <row r="276">
          <cell r="B276" t="str">
            <v>Danh Xuaân</v>
          </cell>
          <cell r="C276" t="str">
            <v>"</v>
          </cell>
          <cell r="D276">
            <v>1.1499999999999999</v>
          </cell>
          <cell r="E276">
            <v>143</v>
          </cell>
          <cell r="F276">
            <v>1.4</v>
          </cell>
          <cell r="G276">
            <v>230.22999999999996</v>
          </cell>
          <cell r="H276">
            <v>6922.2616903403596</v>
          </cell>
          <cell r="I276">
            <v>1594000</v>
          </cell>
        </row>
        <row r="277">
          <cell r="B277" t="str">
            <v>Höùa Vaên Meán</v>
          </cell>
          <cell r="C277" t="str">
            <v>"</v>
          </cell>
          <cell r="D277">
            <v>1.1499999999999999</v>
          </cell>
          <cell r="E277">
            <v>145</v>
          </cell>
          <cell r="F277">
            <v>1.4</v>
          </cell>
          <cell r="G277">
            <v>233.45</v>
          </cell>
          <cell r="H277">
            <v>6922.2616903403596</v>
          </cell>
          <cell r="I277">
            <v>1616000</v>
          </cell>
        </row>
        <row r="278">
          <cell r="B278" t="str">
            <v>Du Kim Thaønh</v>
          </cell>
          <cell r="C278" t="str">
            <v>"</v>
          </cell>
          <cell r="D278">
            <v>1.1499999999999999</v>
          </cell>
          <cell r="E278">
            <v>147</v>
          </cell>
          <cell r="F278">
            <v>1.4</v>
          </cell>
          <cell r="G278">
            <v>236.66999999999996</v>
          </cell>
          <cell r="H278">
            <v>6922.2616903403596</v>
          </cell>
          <cell r="I278">
            <v>1638000</v>
          </cell>
        </row>
        <row r="279">
          <cell r="B279" t="str">
            <v>Hoà Vaên Em</v>
          </cell>
          <cell r="C279" t="str">
            <v>"</v>
          </cell>
          <cell r="D279">
            <v>1.1499999999999999</v>
          </cell>
          <cell r="E279">
            <v>149</v>
          </cell>
          <cell r="F279">
            <v>1.4</v>
          </cell>
          <cell r="G279">
            <v>239.89</v>
          </cell>
          <cell r="H279">
            <v>6922.2616903403596</v>
          </cell>
          <cell r="I279">
            <v>1661000</v>
          </cell>
        </row>
        <row r="280">
          <cell r="B280" t="str">
            <v>Cao Hoaøi Thanh</v>
          </cell>
          <cell r="C280" t="str">
            <v>"</v>
          </cell>
          <cell r="D280">
            <v>1.1499999999999999</v>
          </cell>
          <cell r="E280">
            <v>148</v>
          </cell>
          <cell r="F280">
            <v>1.4</v>
          </cell>
          <cell r="G280">
            <v>238.27999999999997</v>
          </cell>
          <cell r="H280">
            <v>6922.2616903403596</v>
          </cell>
          <cell r="I280">
            <v>1649000</v>
          </cell>
        </row>
        <row r="281">
          <cell r="B281" t="str">
            <v>Höùa Vaên Sao</v>
          </cell>
          <cell r="C281" t="str">
            <v>"</v>
          </cell>
          <cell r="D281">
            <v>1.1499999999999999</v>
          </cell>
          <cell r="E281">
            <v>147</v>
          </cell>
          <cell r="F281">
            <v>1.4</v>
          </cell>
          <cell r="G281">
            <v>236.66999999999996</v>
          </cell>
          <cell r="H281">
            <v>6922.2616903403596</v>
          </cell>
          <cell r="I281">
            <v>1638000</v>
          </cell>
        </row>
        <row r="282">
          <cell r="B282" t="str">
            <v>Döông Phuùc Ñaït</v>
          </cell>
          <cell r="C282" t="str">
            <v>Thôï khoan</v>
          </cell>
          <cell r="D282">
            <v>1.2250000000000001</v>
          </cell>
          <cell r="E282">
            <v>149</v>
          </cell>
          <cell r="F282">
            <v>1.6</v>
          </cell>
          <cell r="G282">
            <v>292.04000000000002</v>
          </cell>
          <cell r="H282">
            <v>6922.2616903403596</v>
          </cell>
          <cell r="I282">
            <v>2022000</v>
          </cell>
        </row>
        <row r="283">
          <cell r="B283" t="str">
            <v>Leâ Thò Loan</v>
          </cell>
          <cell r="C283" t="str">
            <v>P.Vuï</v>
          </cell>
          <cell r="D283">
            <v>0.95</v>
          </cell>
          <cell r="E283">
            <v>149</v>
          </cell>
          <cell r="F283">
            <v>1.4</v>
          </cell>
          <cell r="G283">
            <v>198.16999999999996</v>
          </cell>
          <cell r="H283">
            <v>6922.2616903403596</v>
          </cell>
          <cell r="I283">
            <v>1372000</v>
          </cell>
        </row>
        <row r="284">
          <cell r="B284" t="str">
            <v>Coäng:</v>
          </cell>
          <cell r="G284">
            <v>6867.6233333333321</v>
          </cell>
          <cell r="I284">
            <v>47539000</v>
          </cell>
        </row>
        <row r="285">
          <cell r="I285">
            <v>47539000</v>
          </cell>
        </row>
        <row r="286">
          <cell r="B286" t="e">
            <v>#NAME?</v>
          </cell>
        </row>
        <row r="287">
          <cell r="I287" t="str">
            <v xml:space="preserve"> Kieân Löông, ngaøy 02  thaùng 08 naêm 2002</v>
          </cell>
        </row>
        <row r="288">
          <cell r="B288" t="str">
            <v>Keá toaùn tröôûng</v>
          </cell>
          <cell r="F288" t="str">
            <v xml:space="preserve"> Phoøng Toå chöùc - Haønh chaùnh</v>
          </cell>
        </row>
        <row r="295">
          <cell r="E295" t="str">
            <v>DANH SAÙCH CHI BOÅ SUNG LÖÔNG 06 THAÙNG ÑAÀU NAÊM 2002</v>
          </cell>
        </row>
        <row r="297">
          <cell r="B297" t="str">
            <v>Hoï vaø Teân</v>
          </cell>
          <cell r="C297" t="str">
            <v>Chöùc vuï</v>
          </cell>
          <cell r="D297" t="str">
            <v>HSCV</v>
          </cell>
          <cell r="E297" t="str">
            <v>Ngaøy coâng</v>
          </cell>
          <cell r="F297" t="str">
            <v>Heä soá X.Loaïi</v>
          </cell>
          <cell r="G297" t="str">
            <v>HSQÑ</v>
          </cell>
          <cell r="H297" t="str">
            <v>Ñôn giaù</v>
          </cell>
          <cell r="I297" t="str">
            <v>Thaønh tieàn (ñ)</v>
          </cell>
        </row>
        <row r="299">
          <cell r="B299" t="str">
            <v>Traàn Vaên Naêm</v>
          </cell>
          <cell r="C299" t="str">
            <v>QÑ</v>
          </cell>
          <cell r="D299">
            <v>1.9</v>
          </cell>
          <cell r="E299">
            <v>154</v>
          </cell>
          <cell r="F299">
            <v>1.6</v>
          </cell>
          <cell r="G299">
            <v>468.15999999999997</v>
          </cell>
          <cell r="H299">
            <v>6922.2616903403596</v>
          </cell>
          <cell r="I299">
            <v>3241000</v>
          </cell>
        </row>
        <row r="300">
          <cell r="B300" t="str">
            <v>Traàn Tuaán Vieät</v>
          </cell>
          <cell r="C300" t="str">
            <v>PQÑ</v>
          </cell>
          <cell r="D300">
            <v>1.75</v>
          </cell>
          <cell r="E300">
            <v>153</v>
          </cell>
          <cell r="F300">
            <v>1.6</v>
          </cell>
          <cell r="G300">
            <v>428.40000000000003</v>
          </cell>
          <cell r="H300">
            <v>6922.2616903403596</v>
          </cell>
          <cell r="I300">
            <v>2965000</v>
          </cell>
        </row>
        <row r="301">
          <cell r="B301" t="str">
            <v>Döông Thanh Haø</v>
          </cell>
          <cell r="C301" t="str">
            <v>PQÑ</v>
          </cell>
          <cell r="D301">
            <v>1.75</v>
          </cell>
          <cell r="E301">
            <v>154</v>
          </cell>
          <cell r="F301">
            <v>1.6</v>
          </cell>
          <cell r="G301">
            <v>431.20000000000005</v>
          </cell>
          <cell r="H301">
            <v>6922.2616903403596</v>
          </cell>
          <cell r="I301">
            <v>2985000</v>
          </cell>
        </row>
        <row r="302">
          <cell r="B302" t="str">
            <v>Löu Ñöùc Hieán</v>
          </cell>
          <cell r="C302" t="str">
            <v>TK</v>
          </cell>
          <cell r="D302">
            <v>1.3</v>
          </cell>
          <cell r="E302">
            <v>149</v>
          </cell>
          <cell r="F302">
            <v>1.4</v>
          </cell>
          <cell r="G302">
            <v>271.18</v>
          </cell>
          <cell r="H302">
            <v>6922.2616903403596</v>
          </cell>
          <cell r="I302">
            <v>1877000</v>
          </cell>
        </row>
        <row r="303">
          <cell r="B303" t="str">
            <v>Nguyeãn Vaên Lyù</v>
          </cell>
          <cell r="C303" t="str">
            <v>TK</v>
          </cell>
          <cell r="D303">
            <v>1.3</v>
          </cell>
          <cell r="E303">
            <v>151</v>
          </cell>
          <cell r="F303">
            <v>1.6</v>
          </cell>
          <cell r="G303">
            <v>314.08000000000004</v>
          </cell>
          <cell r="H303">
            <v>6922.2616903403596</v>
          </cell>
          <cell r="I303">
            <v>2174000</v>
          </cell>
        </row>
        <row r="304">
          <cell r="B304" t="str">
            <v>Leâ Kim Chuyeån</v>
          </cell>
          <cell r="C304" t="str">
            <v>ÑC</v>
          </cell>
          <cell r="D304">
            <v>1.6</v>
          </cell>
          <cell r="E304">
            <v>150</v>
          </cell>
          <cell r="F304">
            <v>1.4</v>
          </cell>
          <cell r="G304">
            <v>336</v>
          </cell>
          <cell r="H304">
            <v>6922.2616903403596</v>
          </cell>
          <cell r="I304">
            <v>2326000</v>
          </cell>
        </row>
        <row r="305">
          <cell r="B305" t="str">
            <v>Cao Vaên Döông</v>
          </cell>
          <cell r="C305" t="str">
            <v>ÑC</v>
          </cell>
          <cell r="D305">
            <v>1.6</v>
          </cell>
          <cell r="E305">
            <v>153</v>
          </cell>
          <cell r="F305">
            <v>1.6</v>
          </cell>
          <cell r="G305">
            <v>391.68000000000006</v>
          </cell>
          <cell r="H305">
            <v>6922.2616903403596</v>
          </cell>
          <cell r="I305">
            <v>2711000</v>
          </cell>
        </row>
        <row r="306">
          <cell r="B306" t="str">
            <v>Ñoã Trung Thöï</v>
          </cell>
          <cell r="C306" t="str">
            <v>ÑC</v>
          </cell>
          <cell r="D306">
            <v>1.6</v>
          </cell>
          <cell r="E306">
            <v>153</v>
          </cell>
          <cell r="F306">
            <v>1.6</v>
          </cell>
          <cell r="G306">
            <v>391.68000000000006</v>
          </cell>
          <cell r="H306">
            <v>6922.2616903403596</v>
          </cell>
          <cell r="I306">
            <v>2711000</v>
          </cell>
        </row>
        <row r="307">
          <cell r="B307" t="str">
            <v>Phan Vaên Naâng</v>
          </cell>
          <cell r="C307" t="str">
            <v>ÑC</v>
          </cell>
          <cell r="D307">
            <v>1.6</v>
          </cell>
          <cell r="E307">
            <v>153</v>
          </cell>
          <cell r="F307">
            <v>1.4</v>
          </cell>
          <cell r="G307">
            <v>342.71999999999997</v>
          </cell>
          <cell r="H307">
            <v>6922.2616903403596</v>
          </cell>
          <cell r="I307">
            <v>2372000</v>
          </cell>
        </row>
        <row r="308">
          <cell r="B308" t="str">
            <v>Ñaøo Taát Ñaït</v>
          </cell>
          <cell r="D308">
            <v>1.1499999999999999</v>
          </cell>
          <cell r="E308">
            <v>149</v>
          </cell>
          <cell r="F308">
            <v>1</v>
          </cell>
          <cell r="G308">
            <v>171.35</v>
          </cell>
          <cell r="H308">
            <v>6922.2616903403596</v>
          </cell>
          <cell r="I308">
            <v>1186000</v>
          </cell>
        </row>
        <row r="309">
          <cell r="B309" t="str">
            <v>Trieäu Quang Thanh</v>
          </cell>
          <cell r="D309">
            <v>1.1499999999999999</v>
          </cell>
          <cell r="E309">
            <v>110</v>
          </cell>
          <cell r="F309">
            <v>1.4</v>
          </cell>
          <cell r="G309">
            <v>177.09999999999997</v>
          </cell>
          <cell r="H309">
            <v>6922.2616903403596</v>
          </cell>
          <cell r="I309">
            <v>1226000</v>
          </cell>
        </row>
        <row r="310">
          <cell r="B310" t="str">
            <v>Leâ Vaên Vuõ</v>
          </cell>
          <cell r="C310" t="str">
            <v>CT</v>
          </cell>
          <cell r="D310">
            <v>1.35</v>
          </cell>
          <cell r="E310">
            <v>154</v>
          </cell>
          <cell r="F310">
            <v>1.2</v>
          </cell>
          <cell r="G310">
            <v>249.48</v>
          </cell>
          <cell r="H310">
            <v>6922.2616903403596</v>
          </cell>
          <cell r="I310">
            <v>1727000</v>
          </cell>
        </row>
        <row r="311">
          <cell r="B311" t="str">
            <v>Haøng Vaên Taøo</v>
          </cell>
          <cell r="C311" t="str">
            <v>CT</v>
          </cell>
          <cell r="D311">
            <v>1.4326666666666668</v>
          </cell>
          <cell r="E311">
            <v>151</v>
          </cell>
          <cell r="F311">
            <v>1.4</v>
          </cell>
          <cell r="G311">
            <v>302.86573333333331</v>
          </cell>
          <cell r="H311">
            <v>6922.2616903403596</v>
          </cell>
          <cell r="I311">
            <v>2097000</v>
          </cell>
        </row>
        <row r="312">
          <cell r="B312" t="str">
            <v>Nguyeãn Ngoïc Bieân</v>
          </cell>
          <cell r="D312">
            <v>1.3155000000000001</v>
          </cell>
          <cell r="E312">
            <v>151</v>
          </cell>
          <cell r="F312">
            <v>1.4</v>
          </cell>
          <cell r="G312">
            <v>278.0967</v>
          </cell>
          <cell r="H312">
            <v>6922.2616903403596</v>
          </cell>
          <cell r="I312">
            <v>1925000</v>
          </cell>
        </row>
        <row r="313">
          <cell r="B313" t="str">
            <v>Trònh Hoaøi Phöông</v>
          </cell>
          <cell r="D313">
            <v>1.2816666666666665</v>
          </cell>
          <cell r="E313">
            <v>154</v>
          </cell>
          <cell r="F313">
            <v>1.4</v>
          </cell>
          <cell r="G313">
            <v>276.32733333333329</v>
          </cell>
          <cell r="H313">
            <v>6922.2616903403596</v>
          </cell>
          <cell r="I313">
            <v>1913000</v>
          </cell>
        </row>
        <row r="314">
          <cell r="B314" t="str">
            <v>Ñaøo Duy Haûi</v>
          </cell>
          <cell r="D314">
            <v>1.2816666666666665</v>
          </cell>
          <cell r="E314">
            <v>144</v>
          </cell>
          <cell r="F314">
            <v>1.4</v>
          </cell>
          <cell r="G314">
            <v>258.38399999999996</v>
          </cell>
          <cell r="H314">
            <v>6922.2616903403596</v>
          </cell>
          <cell r="I314">
            <v>1789000</v>
          </cell>
        </row>
        <row r="315">
          <cell r="B315" t="str">
            <v>Leâ Coâng Luaän</v>
          </cell>
          <cell r="D315">
            <v>1.2821666666666667</v>
          </cell>
          <cell r="E315">
            <v>146</v>
          </cell>
          <cell r="F315">
            <v>1</v>
          </cell>
          <cell r="G315">
            <v>187.19633333333334</v>
          </cell>
          <cell r="H315">
            <v>6922.2616903403596</v>
          </cell>
          <cell r="I315">
            <v>1296000</v>
          </cell>
        </row>
        <row r="316">
          <cell r="B316" t="str">
            <v>Nguyeãn Thanh sôn</v>
          </cell>
          <cell r="C316" t="str">
            <v>CT</v>
          </cell>
          <cell r="D316">
            <v>1.4326666666666668</v>
          </cell>
          <cell r="E316">
            <v>141</v>
          </cell>
          <cell r="F316">
            <v>1.2</v>
          </cell>
          <cell r="G316">
            <v>242.40719999999999</v>
          </cell>
          <cell r="H316">
            <v>6922.2616903403596</v>
          </cell>
          <cell r="I316">
            <v>1678000</v>
          </cell>
        </row>
        <row r="317">
          <cell r="B317" t="str">
            <v>Phaïm Vaên Beàn</v>
          </cell>
          <cell r="D317">
            <v>1.3155000000000001</v>
          </cell>
          <cell r="E317">
            <v>154</v>
          </cell>
          <cell r="F317">
            <v>1.4</v>
          </cell>
          <cell r="G317">
            <v>283.62180000000001</v>
          </cell>
          <cell r="H317">
            <v>6922.2616903403596</v>
          </cell>
          <cell r="I317">
            <v>1963000</v>
          </cell>
        </row>
        <row r="318">
          <cell r="B318" t="str">
            <v>Traàn Khaéc Ñieàu</v>
          </cell>
          <cell r="D318">
            <v>1.2696666666666667</v>
          </cell>
          <cell r="E318">
            <v>155</v>
          </cell>
          <cell r="F318">
            <v>1.4</v>
          </cell>
          <cell r="G318">
            <v>275.51766666666668</v>
          </cell>
          <cell r="H318">
            <v>6922.2616903403596</v>
          </cell>
          <cell r="I318">
            <v>1907000</v>
          </cell>
        </row>
        <row r="319">
          <cell r="B319" t="str">
            <v>Nguyeãn Thanh Hoàng</v>
          </cell>
          <cell r="D319">
            <v>1.2816666666666665</v>
          </cell>
          <cell r="E319">
            <v>148</v>
          </cell>
          <cell r="F319">
            <v>1.4</v>
          </cell>
          <cell r="G319">
            <v>265.56133333333327</v>
          </cell>
          <cell r="H319">
            <v>6922.2616903403596</v>
          </cell>
          <cell r="I319">
            <v>1838000</v>
          </cell>
        </row>
        <row r="320">
          <cell r="B320" t="str">
            <v>Hoà Minh Sôn</v>
          </cell>
          <cell r="D320">
            <v>1.2816666666666665</v>
          </cell>
          <cell r="E320">
            <v>150</v>
          </cell>
          <cell r="F320">
            <v>1.2</v>
          </cell>
          <cell r="G320">
            <v>230.69999999999996</v>
          </cell>
          <cell r="H320">
            <v>6922.2616903403596</v>
          </cell>
          <cell r="I320">
            <v>1597000</v>
          </cell>
        </row>
        <row r="321">
          <cell r="B321" t="str">
            <v>Nguyeãn Quang Vinh</v>
          </cell>
          <cell r="C321" t="str">
            <v>CT</v>
          </cell>
          <cell r="D321">
            <v>1.4326666666666668</v>
          </cell>
          <cell r="E321">
            <v>155</v>
          </cell>
          <cell r="F321">
            <v>1</v>
          </cell>
          <cell r="G321">
            <v>222.06333333333336</v>
          </cell>
          <cell r="H321">
            <v>6922.2616903403596</v>
          </cell>
          <cell r="I321">
            <v>1537000</v>
          </cell>
        </row>
        <row r="322">
          <cell r="B322" t="str">
            <v>Traàn Vieät Toaøn</v>
          </cell>
          <cell r="D322">
            <v>1.3017166666666666</v>
          </cell>
          <cell r="E322">
            <v>152</v>
          </cell>
          <cell r="F322">
            <v>1.2</v>
          </cell>
          <cell r="G322">
            <v>237.43311999999997</v>
          </cell>
          <cell r="H322">
            <v>6922.2616903403596</v>
          </cell>
          <cell r="I322">
            <v>1644000</v>
          </cell>
        </row>
        <row r="323">
          <cell r="B323" t="str">
            <v>Traàn Thanh Tuøng</v>
          </cell>
          <cell r="D323">
            <v>1.2816666666666665</v>
          </cell>
          <cell r="E323">
            <v>138</v>
          </cell>
          <cell r="F323">
            <v>1</v>
          </cell>
          <cell r="G323">
            <v>176.86999999999998</v>
          </cell>
          <cell r="H323">
            <v>6922.2616903403596</v>
          </cell>
          <cell r="I323">
            <v>1224000</v>
          </cell>
        </row>
        <row r="324">
          <cell r="B324" t="str">
            <v>Nguyeãn Höõu Taøi</v>
          </cell>
          <cell r="D324">
            <v>1.2816666666666665</v>
          </cell>
          <cell r="E324">
            <v>149</v>
          </cell>
          <cell r="F324">
            <v>1</v>
          </cell>
          <cell r="G324">
            <v>190.96833333333331</v>
          </cell>
          <cell r="H324">
            <v>6922.2616903403596</v>
          </cell>
          <cell r="I324">
            <v>1322000</v>
          </cell>
        </row>
        <row r="325">
          <cell r="B325" t="str">
            <v>Leâ Phaùt Ñaït</v>
          </cell>
          <cell r="D325">
            <v>1.2816666666666665</v>
          </cell>
          <cell r="E325">
            <v>153</v>
          </cell>
          <cell r="F325">
            <v>1.4</v>
          </cell>
          <cell r="G325">
            <v>274.53299999999996</v>
          </cell>
          <cell r="H325">
            <v>6922.2616903403596</v>
          </cell>
          <cell r="I325">
            <v>1900000</v>
          </cell>
        </row>
        <row r="326">
          <cell r="B326" t="str">
            <v>Nam Taán Löïc</v>
          </cell>
          <cell r="C326" t="str">
            <v>CT</v>
          </cell>
          <cell r="D326">
            <v>1.4</v>
          </cell>
          <cell r="E326">
            <v>154</v>
          </cell>
          <cell r="F326">
            <v>1</v>
          </cell>
          <cell r="G326">
            <v>215.6</v>
          </cell>
          <cell r="H326">
            <v>6922.2616903403596</v>
          </cell>
          <cell r="I326">
            <v>1492000</v>
          </cell>
        </row>
        <row r="327">
          <cell r="B327" t="str">
            <v>Huyønh Quoác Söû</v>
          </cell>
          <cell r="D327">
            <v>1.1499999999999999</v>
          </cell>
          <cell r="E327">
            <v>154</v>
          </cell>
          <cell r="F327">
            <v>1.4</v>
          </cell>
          <cell r="G327">
            <v>247.93999999999997</v>
          </cell>
          <cell r="H327">
            <v>6922.2616903403596</v>
          </cell>
          <cell r="I327">
            <v>1716000</v>
          </cell>
        </row>
        <row r="328">
          <cell r="B328" t="str">
            <v>Tröông Tieán Huøng</v>
          </cell>
          <cell r="D328">
            <v>1.1499999999999999</v>
          </cell>
          <cell r="E328">
            <v>151</v>
          </cell>
          <cell r="F328">
            <v>1.4</v>
          </cell>
          <cell r="G328">
            <v>243.10999999999996</v>
          </cell>
          <cell r="H328">
            <v>6922.2616903403596</v>
          </cell>
          <cell r="I328">
            <v>1683000</v>
          </cell>
        </row>
        <row r="329">
          <cell r="B329" t="str">
            <v>Leâ Tröôøng Sa</v>
          </cell>
          <cell r="D329">
            <v>1.1499999999999999</v>
          </cell>
          <cell r="E329">
            <v>154</v>
          </cell>
          <cell r="F329">
            <v>1.6</v>
          </cell>
          <cell r="G329">
            <v>283.36</v>
          </cell>
          <cell r="H329">
            <v>6922.2616903403596</v>
          </cell>
          <cell r="I329">
            <v>1961000</v>
          </cell>
        </row>
        <row r="330">
          <cell r="B330" t="str">
            <v>Leâ Kyø Maïnh</v>
          </cell>
          <cell r="D330">
            <v>1.1020833333333335</v>
          </cell>
          <cell r="E330">
            <v>141</v>
          </cell>
          <cell r="F330">
            <v>1</v>
          </cell>
          <cell r="G330">
            <v>155.39375000000004</v>
          </cell>
          <cell r="H330">
            <v>6922.2616903403596</v>
          </cell>
          <cell r="I330">
            <v>1076000</v>
          </cell>
        </row>
        <row r="331">
          <cell r="B331" t="str">
            <v>Traàn Vaên Tieån</v>
          </cell>
          <cell r="C331" t="str">
            <v>CT</v>
          </cell>
          <cell r="D331">
            <v>1.4</v>
          </cell>
          <cell r="E331">
            <v>153</v>
          </cell>
          <cell r="F331">
            <v>1.4</v>
          </cell>
          <cell r="G331">
            <v>299.87999999999994</v>
          </cell>
          <cell r="H331">
            <v>6922.2616903403596</v>
          </cell>
          <cell r="I331">
            <v>2076000</v>
          </cell>
        </row>
        <row r="332">
          <cell r="B332" t="str">
            <v>Trònh Xuaân Thaéng</v>
          </cell>
          <cell r="D332">
            <v>1.1499999999999999</v>
          </cell>
          <cell r="E332">
            <v>154</v>
          </cell>
          <cell r="F332">
            <v>1.4</v>
          </cell>
          <cell r="G332">
            <v>247.93999999999997</v>
          </cell>
          <cell r="H332">
            <v>6922.2616903403596</v>
          </cell>
          <cell r="I332">
            <v>1716000</v>
          </cell>
        </row>
        <row r="333">
          <cell r="B333" t="str">
            <v>Nguyeãn Vaên Thaém</v>
          </cell>
          <cell r="D333">
            <v>1.1499999999999999</v>
          </cell>
          <cell r="E333">
            <v>149</v>
          </cell>
          <cell r="F333">
            <v>1.4</v>
          </cell>
          <cell r="G333">
            <v>239.89</v>
          </cell>
          <cell r="H333">
            <v>6922.2616903403596</v>
          </cell>
          <cell r="I333">
            <v>1661000</v>
          </cell>
        </row>
        <row r="334">
          <cell r="B334" t="str">
            <v>Taøo Chis Sal</v>
          </cell>
          <cell r="D334">
            <v>1.1499999999999999</v>
          </cell>
          <cell r="E334">
            <v>143</v>
          </cell>
          <cell r="F334">
            <v>1</v>
          </cell>
          <cell r="G334">
            <v>164.45</v>
          </cell>
          <cell r="H334">
            <v>6922.2616903403596</v>
          </cell>
          <cell r="I334">
            <v>1138000</v>
          </cell>
        </row>
        <row r="335">
          <cell r="B335" t="str">
            <v>Nguyeãn Tuaán Kieät</v>
          </cell>
          <cell r="D335">
            <v>1.1020833333333335</v>
          </cell>
          <cell r="E335">
            <v>155</v>
          </cell>
          <cell r="F335">
            <v>1.4</v>
          </cell>
          <cell r="G335">
            <v>239.15208333333334</v>
          </cell>
          <cell r="H335">
            <v>6922.2616903403596</v>
          </cell>
          <cell r="I335">
            <v>1655000</v>
          </cell>
        </row>
        <row r="336">
          <cell r="B336" t="str">
            <v>Nguyeãn Khaéc Vuõ</v>
          </cell>
          <cell r="C336" t="str">
            <v>CT</v>
          </cell>
          <cell r="D336">
            <v>1.4</v>
          </cell>
          <cell r="E336">
            <v>155</v>
          </cell>
          <cell r="F336">
            <v>1.6</v>
          </cell>
          <cell r="G336">
            <v>347.20000000000005</v>
          </cell>
          <cell r="H336">
            <v>6922.2616903403596</v>
          </cell>
          <cell r="I336">
            <v>2403000</v>
          </cell>
        </row>
        <row r="337">
          <cell r="B337" t="str">
            <v>Traàn Vaên Tieán</v>
          </cell>
          <cell r="D337">
            <v>1.1499999999999999</v>
          </cell>
          <cell r="E337">
            <v>150</v>
          </cell>
          <cell r="F337">
            <v>1.2</v>
          </cell>
          <cell r="G337">
            <v>207</v>
          </cell>
          <cell r="H337">
            <v>6922.2616903403596</v>
          </cell>
          <cell r="I337">
            <v>1433000</v>
          </cell>
        </row>
        <row r="338">
          <cell r="B338" t="str">
            <v>Ngoâ Minh Taâm</v>
          </cell>
          <cell r="D338">
            <v>1.1499999999999999</v>
          </cell>
          <cell r="E338">
            <v>155</v>
          </cell>
          <cell r="F338">
            <v>1.4</v>
          </cell>
          <cell r="G338">
            <v>249.54999999999998</v>
          </cell>
          <cell r="H338">
            <v>6922.2616903403596</v>
          </cell>
          <cell r="I338">
            <v>1727000</v>
          </cell>
        </row>
        <row r="339">
          <cell r="B339" t="str">
            <v>Nguyeãn Vaên Loäc</v>
          </cell>
          <cell r="D339">
            <v>1.1499999999999999</v>
          </cell>
          <cell r="E339">
            <v>149</v>
          </cell>
          <cell r="F339">
            <v>1.2</v>
          </cell>
          <cell r="G339">
            <v>205.61999999999998</v>
          </cell>
          <cell r="H339">
            <v>6922.2616903403596</v>
          </cell>
          <cell r="I339">
            <v>1423000</v>
          </cell>
        </row>
        <row r="340">
          <cell r="B340" t="str">
            <v>Traàn Vaên Töôøng</v>
          </cell>
          <cell r="D340">
            <v>1.1499999999999999</v>
          </cell>
          <cell r="E340">
            <v>153</v>
          </cell>
          <cell r="F340">
            <v>1.4</v>
          </cell>
          <cell r="G340">
            <v>246.32999999999996</v>
          </cell>
          <cell r="H340">
            <v>6922.2616903403596</v>
          </cell>
          <cell r="I340">
            <v>1705000</v>
          </cell>
        </row>
        <row r="341">
          <cell r="B341" t="str">
            <v>Vuõ Duy Thaêng</v>
          </cell>
          <cell r="C341" t="str">
            <v>CT</v>
          </cell>
          <cell r="D341">
            <v>1.3487711213517664</v>
          </cell>
          <cell r="E341">
            <v>153</v>
          </cell>
          <cell r="F341">
            <v>1.4</v>
          </cell>
          <cell r="G341">
            <v>288.9067741935483</v>
          </cell>
          <cell r="H341">
            <v>6922.2616903403596</v>
          </cell>
          <cell r="I341">
            <v>2000000</v>
          </cell>
        </row>
        <row r="342">
          <cell r="B342" t="str">
            <v>Cao Vaên Thaønh</v>
          </cell>
          <cell r="D342">
            <v>1.2339029697900665</v>
          </cell>
          <cell r="E342">
            <v>154</v>
          </cell>
          <cell r="F342">
            <v>1.4</v>
          </cell>
          <cell r="G342">
            <v>266.02948028673836</v>
          </cell>
          <cell r="H342">
            <v>6922.2616903403596</v>
          </cell>
          <cell r="I342">
            <v>1842000</v>
          </cell>
        </row>
        <row r="343">
          <cell r="B343" t="str">
            <v>Löu Ñöùc ñònh</v>
          </cell>
          <cell r="C343" t="str">
            <v>CP</v>
          </cell>
          <cell r="D343">
            <v>1.2778533026113672</v>
          </cell>
          <cell r="E343">
            <v>150</v>
          </cell>
          <cell r="F343">
            <v>1.4</v>
          </cell>
          <cell r="G343">
            <v>268.34919354838712</v>
          </cell>
          <cell r="H343">
            <v>6922.2616903403596</v>
          </cell>
          <cell r="I343">
            <v>1858000</v>
          </cell>
        </row>
        <row r="344">
          <cell r="B344" t="str">
            <v>Phaïm Thaùi Hoaø</v>
          </cell>
          <cell r="D344">
            <v>1.2297251920122887</v>
          </cell>
          <cell r="E344">
            <v>153</v>
          </cell>
          <cell r="F344">
            <v>1.2</v>
          </cell>
          <cell r="G344">
            <v>225.77754525345622</v>
          </cell>
          <cell r="H344">
            <v>6922.2616903403596</v>
          </cell>
          <cell r="I344">
            <v>1563000</v>
          </cell>
        </row>
        <row r="345">
          <cell r="B345" t="str">
            <v>Dö Minh Taâm</v>
          </cell>
          <cell r="D345">
            <v>1.2036879160266256</v>
          </cell>
          <cell r="E345">
            <v>153</v>
          </cell>
          <cell r="F345">
            <v>1.4</v>
          </cell>
          <cell r="G345">
            <v>257.82995161290319</v>
          </cell>
          <cell r="H345">
            <v>6922.2616903403596</v>
          </cell>
          <cell r="I345">
            <v>1785000</v>
          </cell>
        </row>
        <row r="346">
          <cell r="B346" t="str">
            <v>Ng. Anh Tuaán (A)</v>
          </cell>
          <cell r="D346">
            <v>1.1497363031233998</v>
          </cell>
          <cell r="E346">
            <v>143</v>
          </cell>
          <cell r="F346">
            <v>1.4</v>
          </cell>
          <cell r="G346">
            <v>230.17720788530465</v>
          </cell>
          <cell r="H346">
            <v>6922.2616903403596</v>
          </cell>
          <cell r="I346">
            <v>1593000</v>
          </cell>
        </row>
        <row r="347">
          <cell r="B347" t="str">
            <v>Ngoâ Xuaân Tueä</v>
          </cell>
          <cell r="D347">
            <v>1.2721287762416795</v>
          </cell>
          <cell r="E347">
            <v>154</v>
          </cell>
          <cell r="F347">
            <v>1.4</v>
          </cell>
          <cell r="G347">
            <v>274.27096415770609</v>
          </cell>
          <cell r="H347">
            <v>6922.2616903403596</v>
          </cell>
          <cell r="I347">
            <v>1899000</v>
          </cell>
        </row>
        <row r="348">
          <cell r="B348" t="str">
            <v>Nguyeãn Tieán Duõng</v>
          </cell>
          <cell r="D348">
            <v>1.1847228622631849</v>
          </cell>
          <cell r="E348">
            <v>150</v>
          </cell>
          <cell r="F348">
            <v>1.4</v>
          </cell>
          <cell r="G348">
            <v>248.79180107526881</v>
          </cell>
          <cell r="H348">
            <v>6922.2616903403596</v>
          </cell>
          <cell r="I348">
            <v>1722000</v>
          </cell>
        </row>
        <row r="349">
          <cell r="B349" t="str">
            <v>Traàn Duõng Thaéng</v>
          </cell>
          <cell r="D349">
            <v>1.1449871991807477</v>
          </cell>
          <cell r="E349">
            <v>154</v>
          </cell>
          <cell r="F349">
            <v>1.4</v>
          </cell>
          <cell r="G349">
            <v>246.85924014336919</v>
          </cell>
          <cell r="H349">
            <v>6922.2616903403596</v>
          </cell>
          <cell r="I349">
            <v>1709000</v>
          </cell>
        </row>
        <row r="350">
          <cell r="B350" t="str">
            <v>Nguyeãn Coâng Danh</v>
          </cell>
          <cell r="D350">
            <v>1.2078353814644138</v>
          </cell>
          <cell r="E350">
            <v>151</v>
          </cell>
          <cell r="F350">
            <v>1.4</v>
          </cell>
          <cell r="G350">
            <v>255.33639964157706</v>
          </cell>
          <cell r="H350">
            <v>6922.2616903403596</v>
          </cell>
          <cell r="I350">
            <v>1768000</v>
          </cell>
        </row>
        <row r="351">
          <cell r="B351" t="str">
            <v>Nguyeãn Nhö Chöôøng</v>
          </cell>
          <cell r="C351" t="str">
            <v>CT</v>
          </cell>
          <cell r="D351">
            <v>1.2732711213517667</v>
          </cell>
          <cell r="E351">
            <v>151</v>
          </cell>
          <cell r="F351">
            <v>1.4</v>
          </cell>
          <cell r="G351">
            <v>269.16951505376346</v>
          </cell>
          <cell r="H351">
            <v>6922.2616903403596</v>
          </cell>
          <cell r="I351">
            <v>1863000</v>
          </cell>
        </row>
        <row r="352">
          <cell r="B352" t="str">
            <v>Hoaøng Minh Taân</v>
          </cell>
          <cell r="C352" t="str">
            <v>CP</v>
          </cell>
          <cell r="D352">
            <v>1.2556061187916026</v>
          </cell>
          <cell r="E352">
            <v>154</v>
          </cell>
          <cell r="F352">
            <v>1.6</v>
          </cell>
          <cell r="G352">
            <v>309.38134767025088</v>
          </cell>
          <cell r="H352">
            <v>6922.2616903403596</v>
          </cell>
          <cell r="I352">
            <v>2142000</v>
          </cell>
        </row>
        <row r="353">
          <cell r="B353" t="str">
            <v>Nguyeãn Tuaán Anh</v>
          </cell>
          <cell r="D353">
            <v>1.2106886840757809</v>
          </cell>
          <cell r="E353">
            <v>154</v>
          </cell>
          <cell r="F353">
            <v>1.4</v>
          </cell>
          <cell r="G353">
            <v>261.02448028673837</v>
          </cell>
          <cell r="H353">
            <v>6922.2616903403596</v>
          </cell>
          <cell r="I353">
            <v>1807000</v>
          </cell>
        </row>
        <row r="354">
          <cell r="B354" t="str">
            <v>Phan Sinh Ngaân</v>
          </cell>
          <cell r="D354">
            <v>1.2125135253456223</v>
          </cell>
          <cell r="E354">
            <v>153</v>
          </cell>
          <cell r="F354">
            <v>1.4</v>
          </cell>
          <cell r="G354">
            <v>259.72039712903228</v>
          </cell>
          <cell r="H354">
            <v>6922.2616903403596</v>
          </cell>
          <cell r="I354">
            <v>1798000</v>
          </cell>
        </row>
        <row r="355">
          <cell r="B355" t="str">
            <v>Vuõ Duy Theá</v>
          </cell>
          <cell r="D355">
            <v>1.2355696364567332</v>
          </cell>
          <cell r="E355">
            <v>155</v>
          </cell>
          <cell r="F355">
            <v>1.4</v>
          </cell>
          <cell r="G355">
            <v>268.11861111111108</v>
          </cell>
          <cell r="H355">
            <v>6922.2616903403596</v>
          </cell>
          <cell r="I355">
            <v>1856000</v>
          </cell>
        </row>
        <row r="356">
          <cell r="B356" t="str">
            <v>Huyønh Quoác Phuù</v>
          </cell>
          <cell r="D356">
            <v>1.2097363031233999</v>
          </cell>
          <cell r="E356">
            <v>154</v>
          </cell>
          <cell r="F356">
            <v>1.4</v>
          </cell>
          <cell r="G356">
            <v>260.81914695340498</v>
          </cell>
          <cell r="H356">
            <v>6922.2616903403596</v>
          </cell>
          <cell r="I356">
            <v>1805000</v>
          </cell>
        </row>
        <row r="357">
          <cell r="B357" t="str">
            <v>Danh Quang</v>
          </cell>
          <cell r="D357">
            <v>1.1879352278545827</v>
          </cell>
          <cell r="E357">
            <v>151</v>
          </cell>
          <cell r="F357">
            <v>1.4</v>
          </cell>
          <cell r="G357">
            <v>251.12950716845876</v>
          </cell>
          <cell r="H357">
            <v>6922.2616903403596</v>
          </cell>
          <cell r="I357">
            <v>1738000</v>
          </cell>
        </row>
        <row r="358">
          <cell r="B358" t="str">
            <v>Ñoã Minh Taâm</v>
          </cell>
          <cell r="D358">
            <v>1.1495848182283668</v>
          </cell>
          <cell r="E358">
            <v>149</v>
          </cell>
          <cell r="F358">
            <v>1.2</v>
          </cell>
          <cell r="G358">
            <v>205.54576549923198</v>
          </cell>
          <cell r="H358">
            <v>6922.2616903403596</v>
          </cell>
          <cell r="I358">
            <v>1423000</v>
          </cell>
        </row>
        <row r="359">
          <cell r="B359" t="str">
            <v>Huyønh Chí Trung</v>
          </cell>
          <cell r="D359">
            <v>1.1495903737839221</v>
          </cell>
          <cell r="E359">
            <v>155</v>
          </cell>
          <cell r="F359">
            <v>1.4</v>
          </cell>
          <cell r="G359">
            <v>249.46111111111108</v>
          </cell>
          <cell r="H359">
            <v>6922.2616903403596</v>
          </cell>
          <cell r="I359">
            <v>1727000</v>
          </cell>
        </row>
        <row r="360">
          <cell r="B360" t="str">
            <v>Nguyeãn Thaùi Vieät</v>
          </cell>
          <cell r="D360">
            <v>1.1567204301075267</v>
          </cell>
          <cell r="E360">
            <v>155</v>
          </cell>
          <cell r="F360">
            <v>1.4</v>
          </cell>
          <cell r="G360">
            <v>251.00833333333327</v>
          </cell>
          <cell r="H360">
            <v>6922.2616903403596</v>
          </cell>
          <cell r="I360">
            <v>1738000</v>
          </cell>
        </row>
        <row r="361">
          <cell r="B361" t="str">
            <v>Phan Taán Giaøu</v>
          </cell>
          <cell r="C361" t="str">
            <v>CT</v>
          </cell>
          <cell r="D361">
            <v>1.2912711213517667</v>
          </cell>
          <cell r="E361">
            <v>147</v>
          </cell>
          <cell r="F361">
            <v>1.6</v>
          </cell>
          <cell r="G361">
            <v>303.70696774193556</v>
          </cell>
          <cell r="H361">
            <v>6922.2616903403596</v>
          </cell>
          <cell r="I361">
            <v>2102000</v>
          </cell>
        </row>
        <row r="362">
          <cell r="B362" t="str">
            <v>Taï Vaên Beâ</v>
          </cell>
          <cell r="C362" t="str">
            <v>CP</v>
          </cell>
          <cell r="D362">
            <v>1.2438855606758834</v>
          </cell>
          <cell r="E362">
            <v>152</v>
          </cell>
          <cell r="F362">
            <v>1.4</v>
          </cell>
          <cell r="G362">
            <v>264.69884731182799</v>
          </cell>
          <cell r="H362">
            <v>6922.2616903403596</v>
          </cell>
          <cell r="I362">
            <v>1832000</v>
          </cell>
        </row>
        <row r="363">
          <cell r="B363" t="str">
            <v>Cao Chí Duõng</v>
          </cell>
          <cell r="D363">
            <v>1.2382021249359958</v>
          </cell>
          <cell r="E363">
            <v>153</v>
          </cell>
          <cell r="F363">
            <v>1.6</v>
          </cell>
          <cell r="G363">
            <v>303.11188018433177</v>
          </cell>
          <cell r="H363">
            <v>6922.2616903403596</v>
          </cell>
          <cell r="I363">
            <v>2098000</v>
          </cell>
        </row>
        <row r="364">
          <cell r="B364" t="str">
            <v>Söû Hoaøng Vinh</v>
          </cell>
          <cell r="D364">
            <v>1.2424852790578595</v>
          </cell>
          <cell r="E364">
            <v>144</v>
          </cell>
          <cell r="F364">
            <v>1.4</v>
          </cell>
          <cell r="G364">
            <v>250.48503225806448</v>
          </cell>
          <cell r="H364">
            <v>6922.2616903403596</v>
          </cell>
          <cell r="I364">
            <v>1734000</v>
          </cell>
        </row>
        <row r="365">
          <cell r="B365" t="str">
            <v>Nguyeãn Tuaán Höng</v>
          </cell>
          <cell r="D365">
            <v>1.1915463389656937</v>
          </cell>
          <cell r="E365">
            <v>150</v>
          </cell>
          <cell r="F365">
            <v>1.4</v>
          </cell>
          <cell r="G365">
            <v>250.22473118279567</v>
          </cell>
          <cell r="H365">
            <v>6922.2616903403596</v>
          </cell>
          <cell r="I365">
            <v>1732000</v>
          </cell>
        </row>
        <row r="366">
          <cell r="B366" t="str">
            <v>Cao Vaên Uùt</v>
          </cell>
          <cell r="D366">
            <v>1.2180696364567332</v>
          </cell>
          <cell r="E366">
            <v>151</v>
          </cell>
          <cell r="F366">
            <v>1.4</v>
          </cell>
          <cell r="G366">
            <v>257.4999211469534</v>
          </cell>
          <cell r="H366">
            <v>6922.2616903403596</v>
          </cell>
          <cell r="I366">
            <v>1782000</v>
          </cell>
        </row>
        <row r="367">
          <cell r="B367" t="str">
            <v>Nguyeãn Thanh Huøng</v>
          </cell>
          <cell r="D367">
            <v>1.2281634920634918</v>
          </cell>
          <cell r="E367">
            <v>154</v>
          </cell>
          <cell r="F367">
            <v>1.4</v>
          </cell>
          <cell r="G367">
            <v>264.79204888888881</v>
          </cell>
          <cell r="H367">
            <v>6922.2616903403596</v>
          </cell>
          <cell r="I367">
            <v>1833000</v>
          </cell>
        </row>
        <row r="368">
          <cell r="B368" t="str">
            <v>Traàn Ngoïc Ñoâng</v>
          </cell>
          <cell r="D368">
            <v>1.1429864311315925</v>
          </cell>
          <cell r="E368">
            <v>152</v>
          </cell>
          <cell r="F368">
            <v>1.6</v>
          </cell>
          <cell r="G368">
            <v>277.97430005120327</v>
          </cell>
          <cell r="H368">
            <v>6922.2616903403596</v>
          </cell>
          <cell r="I368">
            <v>1924000</v>
          </cell>
        </row>
        <row r="369">
          <cell r="B369" t="str">
            <v>Leâ Baù Vöông</v>
          </cell>
          <cell r="D369">
            <v>1.1737014848950331</v>
          </cell>
          <cell r="E369">
            <v>152</v>
          </cell>
          <cell r="F369">
            <v>1.4</v>
          </cell>
          <cell r="G369">
            <v>249.76367598566301</v>
          </cell>
          <cell r="H369">
            <v>6922.2616903403596</v>
          </cell>
          <cell r="I369">
            <v>1729000</v>
          </cell>
        </row>
        <row r="370">
          <cell r="B370" t="str">
            <v>Vaên minh Maät</v>
          </cell>
          <cell r="C370" t="str">
            <v>TT</v>
          </cell>
          <cell r="D370">
            <v>1.5</v>
          </cell>
          <cell r="E370">
            <v>151</v>
          </cell>
          <cell r="F370">
            <v>1.4</v>
          </cell>
          <cell r="G370">
            <v>317.09999999999997</v>
          </cell>
          <cell r="H370">
            <v>6922.2616903403596</v>
          </cell>
          <cell r="I370">
            <v>2195000</v>
          </cell>
        </row>
        <row r="371">
          <cell r="B371" t="str">
            <v>Döông Thanh Sôn</v>
          </cell>
          <cell r="D371">
            <v>1.3</v>
          </cell>
          <cell r="E371">
            <v>149</v>
          </cell>
          <cell r="F371">
            <v>1.4</v>
          </cell>
          <cell r="G371">
            <v>271.18</v>
          </cell>
          <cell r="H371">
            <v>6922.2616903403596</v>
          </cell>
          <cell r="I371">
            <v>1877000</v>
          </cell>
        </row>
        <row r="372">
          <cell r="B372" t="str">
            <v>Nguyeãn Vaên Hoaø</v>
          </cell>
          <cell r="C372" t="str">
            <v>TP</v>
          </cell>
          <cell r="D372">
            <v>1.3</v>
          </cell>
          <cell r="E372">
            <v>136</v>
          </cell>
          <cell r="F372">
            <v>1.6</v>
          </cell>
          <cell r="G372">
            <v>282.88000000000005</v>
          </cell>
          <cell r="H372">
            <v>6922.2616903403596</v>
          </cell>
          <cell r="I372">
            <v>1958000</v>
          </cell>
        </row>
        <row r="373">
          <cell r="B373" t="str">
            <v>Nguyeãn Taán Cöôøng</v>
          </cell>
          <cell r="D373">
            <v>1.25</v>
          </cell>
          <cell r="E373">
            <v>152</v>
          </cell>
          <cell r="F373">
            <v>1.4</v>
          </cell>
          <cell r="G373">
            <v>266</v>
          </cell>
          <cell r="H373">
            <v>6922.2616903403596</v>
          </cell>
          <cell r="I373">
            <v>1841000</v>
          </cell>
        </row>
        <row r="374">
          <cell r="B374" t="str">
            <v>Danh Höôøng</v>
          </cell>
          <cell r="D374">
            <v>1.25</v>
          </cell>
          <cell r="E374">
            <v>151</v>
          </cell>
          <cell r="F374">
            <v>1.6</v>
          </cell>
          <cell r="G374">
            <v>302</v>
          </cell>
          <cell r="H374">
            <v>6922.2616903403596</v>
          </cell>
          <cell r="I374">
            <v>2091000</v>
          </cell>
        </row>
        <row r="375">
          <cell r="B375" t="str">
            <v>Nguyeãn Phuùc Tuùc</v>
          </cell>
          <cell r="D375">
            <v>1.25</v>
          </cell>
          <cell r="E375">
            <v>152</v>
          </cell>
          <cell r="F375">
            <v>1.4</v>
          </cell>
          <cell r="G375">
            <v>266</v>
          </cell>
          <cell r="H375">
            <v>6922.2616903403596</v>
          </cell>
          <cell r="I375">
            <v>1841000</v>
          </cell>
        </row>
        <row r="376">
          <cell r="B376" t="str">
            <v>Thaùi Truyeàn Thoáng</v>
          </cell>
          <cell r="D376">
            <v>1.25</v>
          </cell>
          <cell r="E376">
            <v>154</v>
          </cell>
          <cell r="F376">
            <v>1.4</v>
          </cell>
          <cell r="G376">
            <v>269.5</v>
          </cell>
          <cell r="H376">
            <v>6922.2616903403596</v>
          </cell>
          <cell r="I376">
            <v>1866000</v>
          </cell>
        </row>
        <row r="377">
          <cell r="B377" t="str">
            <v>Phaïm Vaên Phuù</v>
          </cell>
          <cell r="D377">
            <v>1.25</v>
          </cell>
          <cell r="E377">
            <v>155</v>
          </cell>
          <cell r="F377">
            <v>1.2</v>
          </cell>
          <cell r="G377">
            <v>232.5</v>
          </cell>
          <cell r="H377">
            <v>6922.2616903403596</v>
          </cell>
          <cell r="I377">
            <v>1609000</v>
          </cell>
        </row>
        <row r="378">
          <cell r="B378" t="str">
            <v>Trieäu Quang Höng</v>
          </cell>
          <cell r="D378">
            <v>1.25</v>
          </cell>
          <cell r="E378">
            <v>145</v>
          </cell>
          <cell r="F378">
            <v>1.2</v>
          </cell>
          <cell r="G378">
            <v>217.5</v>
          </cell>
          <cell r="H378">
            <v>6922.2616903403596</v>
          </cell>
          <cell r="I378">
            <v>1506000</v>
          </cell>
        </row>
        <row r="379">
          <cell r="B379" t="str">
            <v>Leâ ngoïc Bieân</v>
          </cell>
          <cell r="D379">
            <v>1.25</v>
          </cell>
          <cell r="E379">
            <v>150</v>
          </cell>
          <cell r="F379">
            <v>1.2</v>
          </cell>
          <cell r="G379">
            <v>225</v>
          </cell>
          <cell r="H379">
            <v>6922.2616903403596</v>
          </cell>
          <cell r="I379">
            <v>1558000</v>
          </cell>
        </row>
        <row r="380">
          <cell r="B380" t="str">
            <v>Nguyeãn Vaên Laäp</v>
          </cell>
          <cell r="D380">
            <v>1.25</v>
          </cell>
          <cell r="E380">
            <v>154</v>
          </cell>
          <cell r="F380">
            <v>1.4</v>
          </cell>
          <cell r="G380">
            <v>269.5</v>
          </cell>
          <cell r="H380">
            <v>6922.2616903403596</v>
          </cell>
          <cell r="I380">
            <v>1866000</v>
          </cell>
        </row>
        <row r="381">
          <cell r="B381" t="str">
            <v>Voõ ngoïc Phöôùc</v>
          </cell>
          <cell r="D381">
            <v>1.25</v>
          </cell>
          <cell r="E381">
            <v>150</v>
          </cell>
          <cell r="F381">
            <v>1.4</v>
          </cell>
          <cell r="G381">
            <v>262.5</v>
          </cell>
          <cell r="H381">
            <v>6922.2616903403596</v>
          </cell>
          <cell r="I381">
            <v>1817000</v>
          </cell>
        </row>
        <row r="382">
          <cell r="B382" t="str">
            <v>Traàn ñình Long</v>
          </cell>
          <cell r="D382">
            <v>1.25</v>
          </cell>
          <cell r="E382">
            <v>140</v>
          </cell>
          <cell r="F382">
            <v>1.4</v>
          </cell>
          <cell r="G382">
            <v>244.99999999999997</v>
          </cell>
          <cell r="H382">
            <v>6922.2616903403596</v>
          </cell>
          <cell r="I382">
            <v>1696000</v>
          </cell>
        </row>
        <row r="383">
          <cell r="B383" t="str">
            <v>Toâ Ngoïc Mai</v>
          </cell>
          <cell r="D383">
            <v>1.3</v>
          </cell>
          <cell r="E383">
            <v>155</v>
          </cell>
          <cell r="F383">
            <v>1.6</v>
          </cell>
          <cell r="G383">
            <v>322.40000000000003</v>
          </cell>
          <cell r="H383">
            <v>6922.2616903403596</v>
          </cell>
          <cell r="I383">
            <v>2232000</v>
          </cell>
        </row>
        <row r="384">
          <cell r="B384" t="str">
            <v>Nguyeãn Coâng Laønh</v>
          </cell>
          <cell r="D384">
            <v>1.25</v>
          </cell>
          <cell r="E384">
            <v>142</v>
          </cell>
          <cell r="F384">
            <v>1.2</v>
          </cell>
          <cell r="G384">
            <v>213</v>
          </cell>
          <cell r="H384">
            <v>6922.2616903403596</v>
          </cell>
          <cell r="I384">
            <v>1474000</v>
          </cell>
        </row>
        <row r="385">
          <cell r="B385" t="str">
            <v>Ñaøm Ñöùc Minh</v>
          </cell>
          <cell r="D385">
            <v>1.25</v>
          </cell>
          <cell r="E385">
            <v>144</v>
          </cell>
          <cell r="F385">
            <v>1.4</v>
          </cell>
          <cell r="G385">
            <v>251.99999999999997</v>
          </cell>
          <cell r="H385">
            <v>6922.2616903403596</v>
          </cell>
          <cell r="I385">
            <v>1744000</v>
          </cell>
        </row>
        <row r="386">
          <cell r="B386" t="str">
            <v>Mai Vaên Tröïc</v>
          </cell>
          <cell r="D386">
            <v>1.25</v>
          </cell>
          <cell r="E386">
            <v>149</v>
          </cell>
          <cell r="F386">
            <v>1.4</v>
          </cell>
          <cell r="G386">
            <v>260.75</v>
          </cell>
          <cell r="H386">
            <v>6922.2616903403596</v>
          </cell>
          <cell r="I386">
            <v>1805000</v>
          </cell>
        </row>
        <row r="387">
          <cell r="B387" t="str">
            <v>Buøi Ñình Giaùp</v>
          </cell>
          <cell r="D387">
            <v>1.25</v>
          </cell>
          <cell r="E387">
            <v>152</v>
          </cell>
          <cell r="F387">
            <v>1.6</v>
          </cell>
          <cell r="G387">
            <v>304</v>
          </cell>
          <cell r="H387">
            <v>6922.2616903403596</v>
          </cell>
          <cell r="I387">
            <v>2104000</v>
          </cell>
        </row>
        <row r="388">
          <cell r="B388" t="str">
            <v>Laâm Vaên Giang</v>
          </cell>
          <cell r="D388">
            <v>1.25</v>
          </cell>
          <cell r="E388">
            <v>150</v>
          </cell>
          <cell r="F388">
            <v>1.6</v>
          </cell>
          <cell r="G388">
            <v>300</v>
          </cell>
          <cell r="H388">
            <v>6922.2616903403596</v>
          </cell>
          <cell r="I388">
            <v>2077000</v>
          </cell>
        </row>
        <row r="389">
          <cell r="B389" t="str">
            <v>Laâm Vaên Sang</v>
          </cell>
          <cell r="C389" t="str">
            <v>CT</v>
          </cell>
          <cell r="D389">
            <v>1.4058333333333335</v>
          </cell>
          <cell r="E389">
            <v>154</v>
          </cell>
          <cell r="F389">
            <v>1.4</v>
          </cell>
          <cell r="G389">
            <v>303.09766666666667</v>
          </cell>
          <cell r="H389">
            <v>6922.2616903403596</v>
          </cell>
          <cell r="I389">
            <v>2098000</v>
          </cell>
        </row>
        <row r="390">
          <cell r="B390" t="str">
            <v>Nguyeãn Höõu Thaïnh</v>
          </cell>
          <cell r="D390">
            <v>1.155</v>
          </cell>
          <cell r="E390">
            <v>153</v>
          </cell>
          <cell r="F390">
            <v>1.4</v>
          </cell>
          <cell r="G390">
            <v>247.40099999999998</v>
          </cell>
          <cell r="H390">
            <v>6922.2616903403596</v>
          </cell>
          <cell r="I390">
            <v>1713000</v>
          </cell>
        </row>
        <row r="391">
          <cell r="B391" t="str">
            <v>Nguyeãn Xuaân Möôøi</v>
          </cell>
          <cell r="D391">
            <v>1.155</v>
          </cell>
          <cell r="E391">
            <v>155</v>
          </cell>
          <cell r="F391">
            <v>1.4</v>
          </cell>
          <cell r="G391">
            <v>250.63499999999999</v>
          </cell>
          <cell r="H391">
            <v>6922.2616903403596</v>
          </cell>
          <cell r="I391">
            <v>1735000</v>
          </cell>
        </row>
        <row r="392">
          <cell r="B392" t="str">
            <v>Laâm Quang Sang</v>
          </cell>
          <cell r="D392">
            <v>1.1615188172043012</v>
          </cell>
          <cell r="E392">
            <v>155</v>
          </cell>
          <cell r="F392">
            <v>1.4</v>
          </cell>
          <cell r="G392">
            <v>252.04958333333335</v>
          </cell>
          <cell r="H392">
            <v>6922.2616903403596</v>
          </cell>
          <cell r="I392">
            <v>1745000</v>
          </cell>
        </row>
        <row r="393">
          <cell r="B393" t="str">
            <v>Trònh Vaên Thaùi</v>
          </cell>
          <cell r="D393">
            <v>1.10625</v>
          </cell>
          <cell r="E393">
            <v>152</v>
          </cell>
          <cell r="F393">
            <v>1.4</v>
          </cell>
          <cell r="G393">
            <v>235.41</v>
          </cell>
          <cell r="H393">
            <v>6922.2616903403596</v>
          </cell>
          <cell r="I393">
            <v>1630000</v>
          </cell>
        </row>
        <row r="394">
          <cell r="B394" t="str">
            <v>Nguyeãn Hoaøng Nam</v>
          </cell>
          <cell r="C394" t="str">
            <v>CT</v>
          </cell>
          <cell r="D394">
            <v>1.4</v>
          </cell>
          <cell r="E394">
            <v>152</v>
          </cell>
          <cell r="F394">
            <v>1.6</v>
          </cell>
          <cell r="G394">
            <v>340.48</v>
          </cell>
          <cell r="H394">
            <v>6922.2616903403596</v>
          </cell>
          <cell r="I394">
            <v>2357000</v>
          </cell>
        </row>
        <row r="395">
          <cell r="B395" t="str">
            <v>Ñoã Ñaêng Khoa</v>
          </cell>
          <cell r="D395">
            <v>1.1499999999999999</v>
          </cell>
          <cell r="E395">
            <v>144</v>
          </cell>
          <cell r="F395">
            <v>1.4</v>
          </cell>
          <cell r="G395">
            <v>231.83999999999997</v>
          </cell>
          <cell r="H395">
            <v>6922.2616903403596</v>
          </cell>
          <cell r="I395">
            <v>1605000</v>
          </cell>
        </row>
        <row r="396">
          <cell r="B396" t="str">
            <v>Ñaøo Vaên Phuùc</v>
          </cell>
          <cell r="D396">
            <v>1.1499999999999999</v>
          </cell>
          <cell r="E396">
            <v>149</v>
          </cell>
          <cell r="F396">
            <v>1.4</v>
          </cell>
          <cell r="G396">
            <v>239.89</v>
          </cell>
          <cell r="H396">
            <v>6922.2616903403596</v>
          </cell>
          <cell r="I396">
            <v>1661000</v>
          </cell>
        </row>
        <row r="397">
          <cell r="B397" t="str">
            <v>Nguyeãn Ngoïc Löôïng</v>
          </cell>
          <cell r="D397">
            <v>1.2</v>
          </cell>
          <cell r="E397">
            <v>153</v>
          </cell>
          <cell r="F397">
            <v>1.4</v>
          </cell>
          <cell r="G397">
            <v>257.03999999999996</v>
          </cell>
          <cell r="H397">
            <v>6922.2616903403596</v>
          </cell>
          <cell r="I397">
            <v>1779000</v>
          </cell>
        </row>
        <row r="398">
          <cell r="B398" t="str">
            <v>Laâm Nhaät Tröôøng</v>
          </cell>
          <cell r="D398">
            <v>1.1020833333333335</v>
          </cell>
          <cell r="E398">
            <v>155</v>
          </cell>
          <cell r="F398">
            <v>1.4</v>
          </cell>
          <cell r="G398">
            <v>239.15208333333334</v>
          </cell>
          <cell r="H398">
            <v>6922.2616903403596</v>
          </cell>
          <cell r="I398">
            <v>1655000</v>
          </cell>
        </row>
        <row r="399">
          <cell r="B399" t="str">
            <v>Traàn Vieät Quoác</v>
          </cell>
          <cell r="C399" t="str">
            <v>CT</v>
          </cell>
          <cell r="D399">
            <v>1.4</v>
          </cell>
          <cell r="E399">
            <v>146</v>
          </cell>
          <cell r="F399">
            <v>1.4</v>
          </cell>
          <cell r="G399">
            <v>286.15999999999997</v>
          </cell>
          <cell r="H399">
            <v>6922.2616903403596</v>
          </cell>
          <cell r="I399">
            <v>1981000</v>
          </cell>
        </row>
        <row r="400">
          <cell r="B400" t="str">
            <v>Trieäu Vaên Long</v>
          </cell>
          <cell r="D400">
            <v>1.1499999999999999</v>
          </cell>
          <cell r="E400">
            <v>154</v>
          </cell>
          <cell r="F400">
            <v>1.4</v>
          </cell>
          <cell r="G400">
            <v>247.93999999999997</v>
          </cell>
          <cell r="H400">
            <v>6922.2616903403596</v>
          </cell>
          <cell r="I400">
            <v>1716000</v>
          </cell>
        </row>
        <row r="401">
          <cell r="B401" t="str">
            <v>Ngoâ Quoác Maïnh</v>
          </cell>
          <cell r="D401">
            <v>1.1499999999999999</v>
          </cell>
          <cell r="E401">
            <v>154</v>
          </cell>
          <cell r="F401">
            <v>1.4</v>
          </cell>
          <cell r="G401">
            <v>247.93999999999997</v>
          </cell>
          <cell r="H401">
            <v>6922.2616903403596</v>
          </cell>
          <cell r="I401">
            <v>1716000</v>
          </cell>
        </row>
        <row r="402">
          <cell r="B402" t="str">
            <v>Huyønh Thieän Phuùc</v>
          </cell>
          <cell r="D402">
            <v>1.2</v>
          </cell>
          <cell r="E402">
            <v>151</v>
          </cell>
          <cell r="F402">
            <v>1.6</v>
          </cell>
          <cell r="G402">
            <v>289.92</v>
          </cell>
          <cell r="H402">
            <v>6922.2616903403596</v>
          </cell>
          <cell r="I402">
            <v>2007000</v>
          </cell>
        </row>
        <row r="403">
          <cell r="B403" t="str">
            <v>Laâm Thaùi Döông</v>
          </cell>
          <cell r="D403">
            <v>1.1021666666666665</v>
          </cell>
          <cell r="E403">
            <v>151</v>
          </cell>
          <cell r="F403">
            <v>1.2</v>
          </cell>
          <cell r="G403">
            <v>199.71259999999995</v>
          </cell>
          <cell r="H403">
            <v>6922.2616903403596</v>
          </cell>
          <cell r="I403">
            <v>1382000</v>
          </cell>
        </row>
        <row r="404">
          <cell r="B404" t="str">
            <v>Buøi Huy Chöông</v>
          </cell>
          <cell r="C404" t="str">
            <v>CT</v>
          </cell>
          <cell r="D404">
            <v>1.2164999999999999</v>
          </cell>
          <cell r="E404">
            <v>151</v>
          </cell>
          <cell r="F404">
            <v>1.6</v>
          </cell>
          <cell r="G404">
            <v>293.90640000000002</v>
          </cell>
          <cell r="H404">
            <v>6922.2616903403596</v>
          </cell>
          <cell r="I404">
            <v>2034000</v>
          </cell>
        </row>
        <row r="405">
          <cell r="B405" t="str">
            <v>Hoà Quoác Böõu</v>
          </cell>
          <cell r="D405">
            <v>1.1566666666666665</v>
          </cell>
          <cell r="E405">
            <v>153</v>
          </cell>
          <cell r="F405">
            <v>1.4</v>
          </cell>
          <cell r="G405">
            <v>247.75799999999995</v>
          </cell>
          <cell r="H405">
            <v>6922.2616903403596</v>
          </cell>
          <cell r="I405">
            <v>1715000</v>
          </cell>
        </row>
        <row r="406">
          <cell r="B406" t="str">
            <v>Traàn Anh Tuaán</v>
          </cell>
          <cell r="C406" t="str">
            <v>CT</v>
          </cell>
          <cell r="D406">
            <v>1.2131666666666667</v>
          </cell>
          <cell r="E406">
            <v>150</v>
          </cell>
          <cell r="F406">
            <v>1.6</v>
          </cell>
          <cell r="G406">
            <v>291.16000000000003</v>
          </cell>
          <cell r="H406">
            <v>6922.2616903403596</v>
          </cell>
          <cell r="I406">
            <v>2015000</v>
          </cell>
        </row>
        <row r="407">
          <cell r="B407" t="str">
            <v>Traàn Vaên Ñaït</v>
          </cell>
          <cell r="D407">
            <v>1.2776666666666667</v>
          </cell>
          <cell r="E407">
            <v>155</v>
          </cell>
          <cell r="F407">
            <v>1.4</v>
          </cell>
          <cell r="G407">
            <v>277.25366666666667</v>
          </cell>
          <cell r="H407">
            <v>6922.2616903403596</v>
          </cell>
          <cell r="I407">
            <v>1919000</v>
          </cell>
        </row>
        <row r="408">
          <cell r="B408" t="str">
            <v>Ng. Vaên Quoác Ñaèng</v>
          </cell>
          <cell r="D408">
            <v>1.1154999999999999</v>
          </cell>
          <cell r="E408">
            <v>142</v>
          </cell>
          <cell r="F408">
            <v>1.4</v>
          </cell>
          <cell r="G408">
            <v>221.76139999999995</v>
          </cell>
          <cell r="H408">
            <v>6922.2616903403596</v>
          </cell>
          <cell r="I408">
            <v>1535000</v>
          </cell>
        </row>
        <row r="409">
          <cell r="B409" t="str">
            <v>Huyønh Hoàng Ñöùc</v>
          </cell>
          <cell r="D409">
            <v>1.3346666666666664</v>
          </cell>
          <cell r="E409">
            <v>154</v>
          </cell>
          <cell r="F409">
            <v>1.4</v>
          </cell>
          <cell r="G409">
            <v>287.7541333333333</v>
          </cell>
          <cell r="H409">
            <v>6922.2616903403596</v>
          </cell>
          <cell r="I409">
            <v>1992000</v>
          </cell>
        </row>
        <row r="410">
          <cell r="B410" t="str">
            <v>Buøi Huy Trung</v>
          </cell>
          <cell r="D410">
            <v>1.1513333333333333</v>
          </cell>
          <cell r="E410">
            <v>146</v>
          </cell>
          <cell r="F410">
            <v>1.4</v>
          </cell>
          <cell r="G410">
            <v>235.33253333333329</v>
          </cell>
          <cell r="H410">
            <v>6922.2616903403596</v>
          </cell>
          <cell r="I410">
            <v>1629000</v>
          </cell>
        </row>
        <row r="411">
          <cell r="B411" t="str">
            <v>Nguyeãn Thanh Lieâm</v>
          </cell>
          <cell r="C411" t="str">
            <v>CT</v>
          </cell>
          <cell r="D411">
            <v>1.1513333333333333</v>
          </cell>
          <cell r="E411">
            <v>151</v>
          </cell>
          <cell r="F411">
            <v>1.6</v>
          </cell>
          <cell r="G411">
            <v>278.16213333333337</v>
          </cell>
          <cell r="H411">
            <v>6922.2616903403596</v>
          </cell>
          <cell r="I411">
            <v>1926000</v>
          </cell>
        </row>
        <row r="412">
          <cell r="B412" t="str">
            <v>Laâm Ngoïc Chuyeân</v>
          </cell>
          <cell r="D412">
            <v>1.1566666666666665</v>
          </cell>
          <cell r="E412">
            <v>154</v>
          </cell>
          <cell r="F412">
            <v>1.6</v>
          </cell>
          <cell r="G412">
            <v>285.00266666666664</v>
          </cell>
          <cell r="H412">
            <v>6922.2616903403596</v>
          </cell>
          <cell r="I412">
            <v>1973000</v>
          </cell>
        </row>
        <row r="413">
          <cell r="B413" t="str">
            <v>Huyønh Vaên Quyù</v>
          </cell>
          <cell r="C413" t="str">
            <v>CT</v>
          </cell>
          <cell r="D413">
            <v>1.45</v>
          </cell>
          <cell r="E413">
            <v>151</v>
          </cell>
          <cell r="F413">
            <v>1.2</v>
          </cell>
          <cell r="G413">
            <v>262.73999999999995</v>
          </cell>
          <cell r="H413">
            <v>6922.2616903403596</v>
          </cell>
          <cell r="I413">
            <v>1819000</v>
          </cell>
        </row>
        <row r="414">
          <cell r="B414" t="str">
            <v>Nguyeãn Duyeân Thuaán</v>
          </cell>
          <cell r="D414">
            <v>1.4</v>
          </cell>
          <cell r="E414">
            <v>140</v>
          </cell>
          <cell r="F414">
            <v>1.4</v>
          </cell>
          <cell r="G414">
            <v>274.39999999999998</v>
          </cell>
          <cell r="H414">
            <v>6922.2616903403596</v>
          </cell>
          <cell r="I414">
            <v>1899000</v>
          </cell>
        </row>
        <row r="415">
          <cell r="B415" t="str">
            <v>Phaïm Nhö Thuaàn</v>
          </cell>
          <cell r="D415">
            <v>1.4</v>
          </cell>
          <cell r="E415">
            <v>149</v>
          </cell>
          <cell r="F415">
            <v>1.4</v>
          </cell>
          <cell r="G415">
            <v>292.03999999999996</v>
          </cell>
          <cell r="H415">
            <v>6922.2616903403596</v>
          </cell>
          <cell r="I415">
            <v>2022000</v>
          </cell>
        </row>
        <row r="416">
          <cell r="B416" t="str">
            <v>Buøi Ñöùc Bieàn</v>
          </cell>
          <cell r="D416">
            <v>1.4</v>
          </cell>
          <cell r="E416">
            <v>150</v>
          </cell>
          <cell r="F416">
            <v>1.6</v>
          </cell>
          <cell r="G416">
            <v>336</v>
          </cell>
          <cell r="H416">
            <v>6922.2616903403596</v>
          </cell>
          <cell r="I416">
            <v>2326000</v>
          </cell>
        </row>
        <row r="417">
          <cell r="B417" t="str">
            <v>Traàn Phöông Anh</v>
          </cell>
          <cell r="D417">
            <v>1.4</v>
          </cell>
          <cell r="E417">
            <v>150</v>
          </cell>
          <cell r="F417">
            <v>1.4</v>
          </cell>
          <cell r="G417">
            <v>294</v>
          </cell>
          <cell r="H417">
            <v>6922.2616903403596</v>
          </cell>
          <cell r="I417">
            <v>2035000</v>
          </cell>
        </row>
        <row r="418">
          <cell r="B418" t="str">
            <v>Traàn Bình Trong</v>
          </cell>
          <cell r="D418">
            <v>1.4</v>
          </cell>
          <cell r="E418">
            <v>132</v>
          </cell>
          <cell r="F418">
            <v>1.4</v>
          </cell>
          <cell r="G418">
            <v>258.71999999999997</v>
          </cell>
          <cell r="H418">
            <v>6922.2616903403596</v>
          </cell>
          <cell r="I418">
            <v>1791000</v>
          </cell>
        </row>
        <row r="419">
          <cell r="B419" t="str">
            <v>Nguyeãn Phuùc Anh</v>
          </cell>
          <cell r="D419">
            <v>1.3416666666666668</v>
          </cell>
          <cell r="E419">
            <v>151</v>
          </cell>
          <cell r="F419">
            <v>1.4</v>
          </cell>
          <cell r="G419">
            <v>283.62833333333333</v>
          </cell>
          <cell r="H419">
            <v>6922.2616903403596</v>
          </cell>
          <cell r="I419">
            <v>1963000</v>
          </cell>
        </row>
        <row r="420">
          <cell r="B420" t="str">
            <v>Ng. Anh Tuaán (B)</v>
          </cell>
          <cell r="D420">
            <v>1.3333440860215056</v>
          </cell>
          <cell r="E420">
            <v>153</v>
          </cell>
          <cell r="F420">
            <v>1.2</v>
          </cell>
          <cell r="G420">
            <v>244.8019741935484</v>
          </cell>
          <cell r="H420">
            <v>6922.2616903403596</v>
          </cell>
          <cell r="I420">
            <v>1695000</v>
          </cell>
        </row>
        <row r="421">
          <cell r="B421" t="str">
            <v>Voõ Vaên Huøng</v>
          </cell>
          <cell r="D421">
            <v>1.0966666666666667</v>
          </cell>
          <cell r="E421">
            <v>155</v>
          </cell>
          <cell r="F421">
            <v>1.4</v>
          </cell>
          <cell r="G421">
            <v>237.97666666666666</v>
          </cell>
          <cell r="H421">
            <v>6922.2616903403596</v>
          </cell>
          <cell r="I421">
            <v>1647000</v>
          </cell>
        </row>
        <row r="422">
          <cell r="B422" t="str">
            <v>Nguyeãn Vaên Thanh</v>
          </cell>
          <cell r="C422" t="str">
            <v>VSCN</v>
          </cell>
          <cell r="D422">
            <v>1.0026666666666666</v>
          </cell>
          <cell r="E422">
            <v>149</v>
          </cell>
          <cell r="F422">
            <v>1.4</v>
          </cell>
          <cell r="G422">
            <v>209.15626666666665</v>
          </cell>
          <cell r="H422">
            <v>6922.2616903403596</v>
          </cell>
          <cell r="I422">
            <v>1448000</v>
          </cell>
        </row>
        <row r="423">
          <cell r="B423" t="str">
            <v>Traàn Quang Kheän</v>
          </cell>
          <cell r="C423" t="str">
            <v>VSCN</v>
          </cell>
          <cell r="D423">
            <v>1.1126</v>
          </cell>
          <cell r="E423">
            <v>89</v>
          </cell>
          <cell r="F423">
            <v>1</v>
          </cell>
          <cell r="G423">
            <v>99.0214</v>
          </cell>
          <cell r="H423">
            <v>6922.2616903403596</v>
          </cell>
          <cell r="I423">
            <v>685000</v>
          </cell>
        </row>
        <row r="424">
          <cell r="B424" t="str">
            <v>Trònh Vaên Luøng</v>
          </cell>
          <cell r="C424" t="str">
            <v>VSCN</v>
          </cell>
          <cell r="D424">
            <v>1</v>
          </cell>
          <cell r="E424">
            <v>150</v>
          </cell>
          <cell r="F424">
            <v>1.4</v>
          </cell>
          <cell r="G424">
            <v>210</v>
          </cell>
          <cell r="H424">
            <v>6922.2616903403596</v>
          </cell>
          <cell r="I424">
            <v>1454000</v>
          </cell>
        </row>
        <row r="425">
          <cell r="B425" t="str">
            <v>Phaïm Quoác Huøng</v>
          </cell>
          <cell r="C425" t="str">
            <v>VSCN</v>
          </cell>
          <cell r="D425">
            <v>1</v>
          </cell>
          <cell r="E425">
            <v>151</v>
          </cell>
          <cell r="F425">
            <v>1.4</v>
          </cell>
          <cell r="G425">
            <v>211.39999999999998</v>
          </cell>
          <cell r="H425">
            <v>6922.2616903403596</v>
          </cell>
          <cell r="I425">
            <v>1463000</v>
          </cell>
        </row>
        <row r="426">
          <cell r="B426" t="str">
            <v>Nguyeãn Vaên Ñoâng</v>
          </cell>
          <cell r="C426" t="str">
            <v>VSCN</v>
          </cell>
          <cell r="D426">
            <v>1.0608333333333333</v>
          </cell>
          <cell r="E426">
            <v>147</v>
          </cell>
          <cell r="F426">
            <v>1.2</v>
          </cell>
          <cell r="G426">
            <v>187.131</v>
          </cell>
          <cell r="H426">
            <v>6922.2616903403596</v>
          </cell>
          <cell r="I426">
            <v>1295000</v>
          </cell>
        </row>
        <row r="427">
          <cell r="B427" t="str">
            <v>Ng. Thanh Sang (B)</v>
          </cell>
          <cell r="C427" t="str">
            <v>ÑÑNT</v>
          </cell>
          <cell r="D427">
            <v>1.2</v>
          </cell>
          <cell r="E427">
            <v>89</v>
          </cell>
          <cell r="F427">
            <v>1</v>
          </cell>
          <cell r="G427">
            <v>106.8</v>
          </cell>
          <cell r="H427">
            <v>6922.2616903403596</v>
          </cell>
          <cell r="I427">
            <v>739000</v>
          </cell>
        </row>
        <row r="428">
          <cell r="B428" t="str">
            <v>Haø Chí Linh</v>
          </cell>
          <cell r="C428" t="str">
            <v>ÑÑNT</v>
          </cell>
          <cell r="D428">
            <v>1.1893644617380026</v>
          </cell>
          <cell r="E428">
            <v>146</v>
          </cell>
          <cell r="F428">
            <v>1</v>
          </cell>
          <cell r="G428">
            <v>173.64721141374838</v>
          </cell>
          <cell r="H428">
            <v>6922.2616903403596</v>
          </cell>
          <cell r="I428">
            <v>1202000</v>
          </cell>
        </row>
        <row r="429">
          <cell r="B429" t="str">
            <v>Leâ Hoaøng UÙt</v>
          </cell>
          <cell r="C429" t="str">
            <v>ÑÑNT</v>
          </cell>
          <cell r="D429">
            <v>1.1893644617380026</v>
          </cell>
          <cell r="E429">
            <v>149</v>
          </cell>
          <cell r="F429">
            <v>1</v>
          </cell>
          <cell r="G429">
            <v>177.21530479896239</v>
          </cell>
          <cell r="H429">
            <v>6922.2616903403596</v>
          </cell>
          <cell r="I429">
            <v>1227000</v>
          </cell>
        </row>
        <row r="430">
          <cell r="B430" t="str">
            <v>Nguyeãn Vaên Thaéng</v>
          </cell>
          <cell r="C430" t="str">
            <v>ÑÑNT</v>
          </cell>
          <cell r="D430">
            <v>1.2</v>
          </cell>
          <cell r="E430">
            <v>153</v>
          </cell>
          <cell r="F430">
            <v>1.4</v>
          </cell>
          <cell r="G430">
            <v>257.03999999999996</v>
          </cell>
          <cell r="H430">
            <v>6922.2616903403596</v>
          </cell>
          <cell r="I430">
            <v>1779000</v>
          </cell>
        </row>
        <row r="431">
          <cell r="B431" t="str">
            <v>Laâm Duy Khanh</v>
          </cell>
          <cell r="C431" t="str">
            <v>ÑÑNT</v>
          </cell>
          <cell r="D431">
            <v>1.1893333333333334</v>
          </cell>
          <cell r="E431">
            <v>136</v>
          </cell>
          <cell r="F431">
            <v>1</v>
          </cell>
          <cell r="G431">
            <v>161.74933333333334</v>
          </cell>
          <cell r="H431">
            <v>6922.2616903403596</v>
          </cell>
          <cell r="I431">
            <v>1120000</v>
          </cell>
        </row>
        <row r="432">
          <cell r="B432" t="str">
            <v>Phuø Thoï Loäc</v>
          </cell>
          <cell r="C432" t="str">
            <v>ÑÑNT</v>
          </cell>
          <cell r="D432">
            <v>1.1893644617380026</v>
          </cell>
          <cell r="E432">
            <v>150</v>
          </cell>
          <cell r="F432">
            <v>1.4</v>
          </cell>
          <cell r="G432">
            <v>249.76653696498053</v>
          </cell>
          <cell r="H432">
            <v>6922.2616903403596</v>
          </cell>
          <cell r="I432">
            <v>1729000</v>
          </cell>
        </row>
        <row r="433">
          <cell r="B433" t="str">
            <v>Phaïm Tieán Huøng</v>
          </cell>
          <cell r="C433" t="str">
            <v>ÑÑNT</v>
          </cell>
          <cell r="D433">
            <v>1.1856977950713359</v>
          </cell>
          <cell r="E433">
            <v>149</v>
          </cell>
          <cell r="F433">
            <v>1.4</v>
          </cell>
          <cell r="G433">
            <v>247.33656005188067</v>
          </cell>
          <cell r="H433">
            <v>6922.2616903403596</v>
          </cell>
          <cell r="I433">
            <v>1712000</v>
          </cell>
        </row>
        <row r="434">
          <cell r="B434" t="str">
            <v>Nguyeãn Thanh Hoaø</v>
          </cell>
          <cell r="C434" t="str">
            <v>ÑÑNT</v>
          </cell>
          <cell r="D434">
            <v>1.1856977950713359</v>
          </cell>
          <cell r="E434">
            <v>153</v>
          </cell>
          <cell r="F434">
            <v>1.4</v>
          </cell>
          <cell r="G434">
            <v>253.97646770428014</v>
          </cell>
          <cell r="H434">
            <v>6922.2616903403596</v>
          </cell>
          <cell r="I434">
            <v>1758000</v>
          </cell>
        </row>
        <row r="435">
          <cell r="B435" t="str">
            <v>Nguyeãn Vaên Uùt (B)</v>
          </cell>
          <cell r="C435" t="str">
            <v>ÑÑNT</v>
          </cell>
          <cell r="D435">
            <v>1.1860311284046692</v>
          </cell>
          <cell r="E435">
            <v>154</v>
          </cell>
          <cell r="F435">
            <v>1.2</v>
          </cell>
          <cell r="G435">
            <v>219.17855252918284</v>
          </cell>
          <cell r="H435">
            <v>6922.2616903403596</v>
          </cell>
          <cell r="I435">
            <v>1517000</v>
          </cell>
        </row>
        <row r="436">
          <cell r="B436" t="str">
            <v>Huyønh Chí Chaùnh</v>
          </cell>
          <cell r="C436" t="str">
            <v>oùm daøi haïn</v>
          </cell>
          <cell r="D436">
            <v>0</v>
          </cell>
          <cell r="E436">
            <v>0</v>
          </cell>
          <cell r="G436">
            <v>0</v>
          </cell>
          <cell r="H436">
            <v>6922.2616903403596</v>
          </cell>
          <cell r="I436">
            <v>1000000</v>
          </cell>
        </row>
        <row r="437">
          <cell r="B437" t="str">
            <v>Thaân Hoaøng Tieán</v>
          </cell>
          <cell r="C437" t="str">
            <v>G/q  NV</v>
          </cell>
          <cell r="D437">
            <v>1.2346342165898618</v>
          </cell>
          <cell r="E437">
            <v>98</v>
          </cell>
          <cell r="F437">
            <v>1</v>
          </cell>
          <cell r="G437">
            <v>120.99415322580646</v>
          </cell>
          <cell r="H437">
            <v>6922.2616903403596</v>
          </cell>
          <cell r="I437">
            <v>838000</v>
          </cell>
        </row>
        <row r="438">
          <cell r="B438" t="str">
            <v>Phaïm Thaønh Ñònh</v>
          </cell>
          <cell r="C438" t="str">
            <v>"</v>
          </cell>
          <cell r="D438">
            <v>1.1680933852140076</v>
          </cell>
          <cell r="E438">
            <v>48</v>
          </cell>
          <cell r="F438">
            <v>1</v>
          </cell>
          <cell r="G438">
            <v>56.068482490272366</v>
          </cell>
          <cell r="H438">
            <v>6922.2616903403596</v>
          </cell>
          <cell r="I438">
            <v>388000</v>
          </cell>
        </row>
        <row r="439">
          <cell r="B439" t="str">
            <v>Leâ Thaùi Bình</v>
          </cell>
          <cell r="C439" t="str">
            <v>"</v>
          </cell>
          <cell r="D439">
            <v>1.155</v>
          </cell>
          <cell r="E439">
            <v>56</v>
          </cell>
          <cell r="F439">
            <v>1</v>
          </cell>
          <cell r="G439">
            <v>64.680000000000007</v>
          </cell>
          <cell r="H439">
            <v>6922.2616903403596</v>
          </cell>
          <cell r="I439">
            <v>448000</v>
          </cell>
        </row>
        <row r="440">
          <cell r="B440" t="str">
            <v>Coäng:</v>
          </cell>
          <cell r="F440">
            <v>191.00000000000017</v>
          </cell>
          <cell r="G440">
            <v>35692.993007905709</v>
          </cell>
          <cell r="I440">
            <v>248072000</v>
          </cell>
        </row>
      </sheetData>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sheetName val="BTH (TVG) BO HAM"/>
      <sheetName val="BTH (TVG)"/>
      <sheetName val="Sheet2"/>
      <sheetName val="Sheet1"/>
      <sheetName val="BTH"/>
    </sheetNames>
    <sheetDataSet>
      <sheetData sheetId="0">
        <row r="3">
          <cell r="L3" t="str">
            <v>Đất trồng cây hàng năm-VT2-CĐN</v>
          </cell>
          <cell r="M3">
            <v>14390.8</v>
          </cell>
          <cell r="N3">
            <v>396000</v>
          </cell>
          <cell r="O3">
            <v>1053000</v>
          </cell>
        </row>
        <row r="4">
          <cell r="L4" t="str">
            <v>Đất trồng cây lâu năm-VT2-CĐN</v>
          </cell>
          <cell r="M4">
            <v>4611.3000000000011</v>
          </cell>
          <cell r="N4">
            <v>481000</v>
          </cell>
          <cell r="O4">
            <v>1278000</v>
          </cell>
        </row>
        <row r="5">
          <cell r="L5" t="str">
            <v>Đất xây dựng cơ sở giáo dục và đào tạo</v>
          </cell>
          <cell r="M5">
            <v>853.7</v>
          </cell>
        </row>
        <row r="6">
          <cell r="L6" t="str">
            <v>Đất trồng cây hàng năm-VT1(hiện trạng tiếp giáp đường số 07)</v>
          </cell>
          <cell r="N6">
            <v>1228000</v>
          </cell>
        </row>
        <row r="7">
          <cell r="L7" t="str">
            <v>Đất trồng cây hàng năm-VT1</v>
          </cell>
          <cell r="N7">
            <v>436000</v>
          </cell>
        </row>
        <row r="8">
          <cell r="L8" t="str">
            <v>Đất trồng cây lâu năm-VT1</v>
          </cell>
          <cell r="N8">
            <v>522000</v>
          </cell>
        </row>
        <row r="10">
          <cell r="L10" t="str">
            <v>Đất trồng cây hàng năm-VT1(hiện trạng tiếp giáp đường số 07)-CĐN</v>
          </cell>
          <cell r="N10">
            <v>1228000</v>
          </cell>
          <cell r="O10">
            <v>1513200</v>
          </cell>
        </row>
        <row r="11">
          <cell r="L11" t="str">
            <v>Đất trồng cây hàng năm-VT1-CĐN</v>
          </cell>
          <cell r="N11">
            <v>436000</v>
          </cell>
          <cell r="O11">
            <v>1164000</v>
          </cell>
        </row>
        <row r="12">
          <cell r="L12" t="str">
            <v>Đất trồng cây lâu năm-VT1-CĐN</v>
          </cell>
          <cell r="N12">
            <v>522000</v>
          </cell>
          <cell r="O12">
            <v>1386000</v>
          </cell>
        </row>
        <row r="13">
          <cell r="L13" t="str">
            <v>Đất trồng cây lâu năm-VT1-trừ VKT</v>
          </cell>
          <cell r="N13">
            <v>522000</v>
          </cell>
        </row>
        <row r="14">
          <cell r="L14" t="str">
            <v>Đất trồng cây lâu năm-VT1-giáp hẻm đường NTTrực độ rộng mặt đường từ 3,5 m đến dưới 6 m trong phạm vi 30 mét-trừ VKT</v>
          </cell>
          <cell r="N14">
            <v>1515000</v>
          </cell>
        </row>
        <row r="15">
          <cell r="L15" t="str">
            <v>Đất trồng cây lâu năm-VT1-giáp hẻm đường NTTrực độ rộng mặt đường từ 3,5 m đến dưới 6 m</v>
          </cell>
          <cell r="N15">
            <v>1515000</v>
          </cell>
        </row>
        <row r="16">
          <cell r="L16" t="str">
            <v>Đất trồng cây hàng năm-VT1-giáp hẻm đường NTTrực độ rộng mặt đường từ 3,5 m đến dưới 6 m trong phạm vi 30 mét</v>
          </cell>
          <cell r="N16">
            <v>1273000</v>
          </cell>
        </row>
        <row r="17">
          <cell r="L17" t="str">
            <v>Đất trồng cây hàng năm-VT1(hiện trạng tiếp giáp đường số 07)-trừ VKT</v>
          </cell>
          <cell r="N17">
            <v>1228000</v>
          </cell>
        </row>
        <row r="18">
          <cell r="L18" t="str">
            <v>Đất trồng cây hàng năm-VT1-trừ VKT</v>
          </cell>
          <cell r="N18">
            <v>436000</v>
          </cell>
        </row>
        <row r="19">
          <cell r="L19" t="str">
            <v>Đất trồng cây hàng năm-VT1-CĐN 02 nhân khẩu</v>
          </cell>
          <cell r="N19">
            <v>436000</v>
          </cell>
          <cell r="O19">
            <v>1164000</v>
          </cell>
        </row>
        <row r="21">
          <cell r="L21" t="str">
            <v>Đất trồng cây lâu năm-VT1-giáp hẻm đường NTTrực độ rộng mặt đường từ 3,5 m đến dưới 6 m trong phạm vi 30 mét-CĐN</v>
          </cell>
          <cell r="N21">
            <v>1515000</v>
          </cell>
          <cell r="O21">
            <v>1663200</v>
          </cell>
        </row>
        <row r="23">
          <cell r="L23" t="str">
            <v>Đất trồng cây hàng năm-VT1-CĐN 03 nhân khẩu</v>
          </cell>
          <cell r="N23">
            <v>436000</v>
          </cell>
          <cell r="O23">
            <v>1164000</v>
          </cell>
        </row>
      </sheetData>
      <sheetData sheetId="1" refreshError="1"/>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AN TRAN VAN GIAU (Van Don (3)"/>
      <sheetName val="DOAN TRAN VAN GIAU (Van Don (2)"/>
      <sheetName val="Sheet2"/>
      <sheetName val="DOAN TRAN VAN GIAU (Van Dong)"/>
      <sheetName val=" TH NAH TONG 2025"/>
      <sheetName val="GIA"/>
      <sheetName val="Sheet1"/>
      <sheetName val="Sheet3"/>
    </sheetNames>
    <sheetDataSet>
      <sheetData sheetId="0"/>
      <sheetData sheetId="1"/>
      <sheetData sheetId="2"/>
      <sheetData sheetId="3"/>
      <sheetData sheetId="4"/>
      <sheetData sheetId="5">
        <row r="2">
          <cell r="A2" t="str">
            <v>Bạch đàn A</v>
          </cell>
          <cell r="B2">
            <v>10</v>
          </cell>
          <cell r="C2">
            <v>85000</v>
          </cell>
          <cell r="F2" t="str">
            <v>Ao cá (461,4m2 x 2,0 m)</v>
          </cell>
          <cell r="G2">
            <v>922.8</v>
          </cell>
          <cell r="L2" t="str">
            <v>Grand</v>
          </cell>
          <cell r="M2">
            <v>19855.799999999996</v>
          </cell>
        </row>
        <row r="3">
          <cell r="A3" t="str">
            <v>Bạch đàn B</v>
          </cell>
          <cell r="B3">
            <v>14</v>
          </cell>
          <cell r="C3">
            <v>45000</v>
          </cell>
          <cell r="F3" t="str">
            <v>Chuồng gà tạm</v>
          </cell>
          <cell r="G3">
            <v>12.75</v>
          </cell>
          <cell r="L3" t="str">
            <v>Đất trồng cây hàng năm-VT2-CĐN</v>
          </cell>
          <cell r="M3">
            <v>14390.8</v>
          </cell>
          <cell r="N3">
            <v>396000</v>
          </cell>
          <cell r="O3">
            <v>1053000</v>
          </cell>
        </row>
        <row r="4">
          <cell r="A4" t="str">
            <v>Bạch đàn C</v>
          </cell>
          <cell r="B4">
            <v>10</v>
          </cell>
          <cell r="C4">
            <v>28000</v>
          </cell>
          <cell r="F4" t="str">
            <v>Chuồng heo xây</v>
          </cell>
          <cell r="G4">
            <v>24.6</v>
          </cell>
          <cell r="L4" t="str">
            <v>Đất trồng cây lâu năm-VT2-CĐN</v>
          </cell>
          <cell r="M4">
            <v>4611.3000000000011</v>
          </cell>
          <cell r="N4">
            <v>481000</v>
          </cell>
          <cell r="O4">
            <v>1278000</v>
          </cell>
        </row>
        <row r="5">
          <cell r="A5" t="str">
            <v>Bằng Lăng A</v>
          </cell>
          <cell r="B5">
            <v>1</v>
          </cell>
          <cell r="C5">
            <v>750000</v>
          </cell>
          <cell r="F5" t="str">
            <v>Đá hoa cương lót tam cấp</v>
          </cell>
          <cell r="G5">
            <v>12.58</v>
          </cell>
          <cell r="L5" t="str">
            <v>Đất xây dựng cơ sở giáo dục và đào tạo</v>
          </cell>
          <cell r="M5">
            <v>853.7</v>
          </cell>
        </row>
        <row r="6">
          <cell r="A6" t="str">
            <v>Bằng Lăng B</v>
          </cell>
          <cell r="B6">
            <v>1</v>
          </cell>
          <cell r="C6">
            <v>310000</v>
          </cell>
          <cell r="F6" t="str">
            <v>Đan BT</v>
          </cell>
          <cell r="G6">
            <v>0.08</v>
          </cell>
          <cell r="L6" t="str">
            <v>Đất trồng cây hàng năm-VT1(hiện trạng tiếp giáp đường số 07)</v>
          </cell>
          <cell r="N6">
            <v>1228000</v>
          </cell>
        </row>
        <row r="7">
          <cell r="A7" t="str">
            <v>Bằng Lăng D</v>
          </cell>
          <cell r="B7">
            <v>2</v>
          </cell>
          <cell r="C7">
            <v>70000</v>
          </cell>
          <cell r="F7" t="str">
            <v>Đường nội bộ BTCT đá 1x2 mác 250 ĐNB.02</v>
          </cell>
          <cell r="G7">
            <v>7.36</v>
          </cell>
          <cell r="H7">
            <v>777822</v>
          </cell>
          <cell r="L7" t="str">
            <v>Đất trồng cây hàng năm-VT1</v>
          </cell>
          <cell r="N7">
            <v>436000</v>
          </cell>
        </row>
        <row r="8">
          <cell r="A8" t="str">
            <v>Bình bát A</v>
          </cell>
          <cell r="B8">
            <v>53</v>
          </cell>
          <cell r="C8">
            <v>160000</v>
          </cell>
          <cell r="F8" t="str">
            <v xml:space="preserve">Gạch men ốp bếp </v>
          </cell>
          <cell r="G8">
            <v>2.16</v>
          </cell>
          <cell r="L8" t="str">
            <v>Đất trồng cây lâu năm-VT1</v>
          </cell>
          <cell r="N8">
            <v>522000</v>
          </cell>
        </row>
        <row r="9">
          <cell r="A9" t="str">
            <v>Bình bát B</v>
          </cell>
          <cell r="B9">
            <v>48</v>
          </cell>
          <cell r="C9">
            <v>150000</v>
          </cell>
          <cell r="F9" t="str">
            <v>Gạch men ốp tường</v>
          </cell>
          <cell r="G9">
            <v>391.79999999999995</v>
          </cell>
          <cell r="L9">
            <v>0</v>
          </cell>
          <cell r="N9">
            <v>0</v>
          </cell>
        </row>
        <row r="10">
          <cell r="A10" t="str">
            <v>Bình bát C</v>
          </cell>
          <cell r="B10">
            <v>37</v>
          </cell>
          <cell r="C10">
            <v>80000</v>
          </cell>
          <cell r="F10" t="str">
            <v>Giếng khoan không tay bơm</v>
          </cell>
          <cell r="G10">
            <v>1</v>
          </cell>
          <cell r="L10" t="str">
            <v>Đất trồng cây hàng năm-VT1(hiện trạng tiếp giáp đường số 07)-CĐN</v>
          </cell>
          <cell r="N10">
            <v>1228000</v>
          </cell>
          <cell r="O10">
            <v>1513200</v>
          </cell>
        </row>
        <row r="11">
          <cell r="A11" t="str">
            <v>Bình bát D</v>
          </cell>
          <cell r="B11">
            <v>10</v>
          </cell>
          <cell r="C11">
            <v>45000</v>
          </cell>
          <cell r="F11" t="str">
            <v>Hàng ba C2.01*80%</v>
          </cell>
          <cell r="G11">
            <v>9.6</v>
          </cell>
          <cell r="H11">
            <v>5145912</v>
          </cell>
          <cell r="L11" t="str">
            <v>Đất trồng cây hàng năm-VT1-CĐN</v>
          </cell>
          <cell r="N11">
            <v>436000</v>
          </cell>
          <cell r="O11">
            <v>1164000</v>
          </cell>
        </row>
        <row r="12">
          <cell r="A12" t="str">
            <v>Bình linh A</v>
          </cell>
          <cell r="B12">
            <v>2</v>
          </cell>
          <cell r="C12">
            <v>270000</v>
          </cell>
          <cell r="F12" t="str">
            <v>Hàng rào xây tường 20 tô 2 mặt, khung lưới B40, trụ BTCT, móng BTCT HR.10</v>
          </cell>
          <cell r="G12">
            <v>170.3</v>
          </cell>
          <cell r="H12">
            <v>1097805</v>
          </cell>
          <cell r="L12" t="str">
            <v>Đất trồng cây lâu năm-VT1-CĐN</v>
          </cell>
          <cell r="N12">
            <v>522000</v>
          </cell>
          <cell r="O12">
            <v>1386000</v>
          </cell>
        </row>
        <row r="13">
          <cell r="A13" t="str">
            <v>Cam D</v>
          </cell>
          <cell r="B13">
            <v>1</v>
          </cell>
          <cell r="C13">
            <v>150000</v>
          </cell>
          <cell r="F13" t="str">
            <v xml:space="preserve">HR lưới B40 + Trụ đá + Sắt </v>
          </cell>
          <cell r="G13">
            <v>53.55</v>
          </cell>
          <cell r="L13" t="str">
            <v>Đất trồng cây hàng năm-VT1-CĐN giáp hẻm đường NTTrực độ rộng mặt đường từ 3,5 m đến dưới 6 m</v>
          </cell>
          <cell r="N13">
            <v>1273000</v>
          </cell>
          <cell r="O13">
            <v>1396800</v>
          </cell>
        </row>
        <row r="14">
          <cell r="A14" t="str">
            <v>Cau D</v>
          </cell>
          <cell r="B14">
            <v>1</v>
          </cell>
          <cell r="C14">
            <v>70000</v>
          </cell>
          <cell r="F14" t="str">
            <v>HR song sắt +trụ Bt+ móng BT HR.13</v>
          </cell>
          <cell r="G14">
            <v>88.56</v>
          </cell>
          <cell r="H14">
            <v>1240031</v>
          </cell>
          <cell r="L14" t="str">
            <v>Đất trồng cây lâu năm-VT1-CĐN giáp hẻm đường NTTrực độ rộng mặt đường từ 3,5 m đến dưới 6 m</v>
          </cell>
          <cell r="N14">
            <v>1515000</v>
          </cell>
          <cell r="O14">
            <v>1663200</v>
          </cell>
        </row>
        <row r="15">
          <cell r="A15" t="str">
            <v>Cát bằng A (m2)</v>
          </cell>
          <cell r="B15">
            <v>1</v>
          </cell>
          <cell r="C15">
            <v>5000</v>
          </cell>
          <cell r="F15" t="str">
            <v>Mái che tol</v>
          </cell>
          <cell r="G15">
            <v>457.5</v>
          </cell>
          <cell r="L15" t="str">
            <v>Đất ở đô thị-VT3</v>
          </cell>
          <cell r="N15">
            <v>13201000</v>
          </cell>
        </row>
        <row r="16">
          <cell r="A16" t="str">
            <v>Cây bối A</v>
          </cell>
          <cell r="B16">
            <v>1</v>
          </cell>
          <cell r="C16">
            <v>0</v>
          </cell>
          <cell r="F16" t="str">
            <v>Nền xi măng SN.01</v>
          </cell>
          <cell r="G16">
            <v>485</v>
          </cell>
          <cell r="H16">
            <v>264764</v>
          </cell>
          <cell r="L16" t="str">
            <v>Đất ở đô thị-VT4</v>
          </cell>
          <cell r="M16">
            <v>0</v>
          </cell>
          <cell r="N16">
            <v>7920600</v>
          </cell>
          <cell r="O16">
            <v>0</v>
          </cell>
        </row>
        <row r="17">
          <cell r="A17" t="str">
            <v xml:space="preserve">Cây giấm A (m2) </v>
          </cell>
          <cell r="B17">
            <v>1</v>
          </cell>
          <cell r="C17">
            <v>5000</v>
          </cell>
          <cell r="F17" t="str">
            <v>Nền xi măng SN.02</v>
          </cell>
          <cell r="G17">
            <v>16.100000000000001</v>
          </cell>
          <cell r="H17">
            <v>295373</v>
          </cell>
          <cell r="L17" t="str">
            <v>Đất ở đô thị-VT5</v>
          </cell>
          <cell r="M17">
            <v>0</v>
          </cell>
          <cell r="N17">
            <v>4752000</v>
          </cell>
          <cell r="O17">
            <v>0</v>
          </cell>
        </row>
        <row r="18">
          <cell r="A18" t="str">
            <v>Cây xanh A</v>
          </cell>
          <cell r="B18">
            <v>1</v>
          </cell>
          <cell r="C18">
            <v>270000</v>
          </cell>
          <cell r="F18" t="str">
            <v>Nhà C2.07</v>
          </cell>
          <cell r="G18">
            <v>117.6</v>
          </cell>
          <cell r="H18">
            <v>6076737</v>
          </cell>
          <cell r="L18" t="str">
            <v>Đất trồng cây hàng năm-VT1-CĐN-trừ VKT</v>
          </cell>
          <cell r="N18">
            <v>436000</v>
          </cell>
        </row>
        <row r="19">
          <cell r="A19" t="str">
            <v>Trâm A</v>
          </cell>
          <cell r="B19">
            <v>2</v>
          </cell>
          <cell r="C19">
            <v>750000</v>
          </cell>
          <cell r="F19" t="str">
            <v>Nhà C3.05</v>
          </cell>
          <cell r="G19">
            <v>16.25</v>
          </cell>
          <cell r="H19">
            <v>5897406</v>
          </cell>
          <cell r="L19" t="str">
            <v>Đất trồng cây hàng năm-VT1(hiện trạng tiếp giáp đường số 07)-VKT</v>
          </cell>
          <cell r="N19">
            <v>1228000</v>
          </cell>
        </row>
        <row r="20">
          <cell r="A20" t="str">
            <v>Chanh C</v>
          </cell>
          <cell r="B20">
            <v>1</v>
          </cell>
          <cell r="C20">
            <v>134000</v>
          </cell>
          <cell r="F20" t="str">
            <v>Nhà C4.05</v>
          </cell>
          <cell r="G20">
            <v>94.800000000000011</v>
          </cell>
          <cell r="H20">
            <v>3945111</v>
          </cell>
          <cell r="L20" t="str">
            <v>Đất trồng cây lâu năm-VT1-trừ VKT</v>
          </cell>
          <cell r="N20">
            <v>522000</v>
          </cell>
        </row>
        <row r="21">
          <cell r="A21" t="str">
            <v>Chuối A</v>
          </cell>
          <cell r="B21">
            <v>5</v>
          </cell>
          <cell r="C21">
            <v>64000</v>
          </cell>
          <cell r="F21" t="str">
            <v>Nhà T.03</v>
          </cell>
          <cell r="G21">
            <v>58.5</v>
          </cell>
          <cell r="H21">
            <v>1748901</v>
          </cell>
          <cell r="L21" t="str">
            <v>Đất trồng cây lâu năm-VT1-CĐN giáp hẻm đường NTTrực độ rộng mặt đường từ 3,5 m đến dưới 6 m-trừ VKT</v>
          </cell>
          <cell r="N21">
            <v>1515000</v>
          </cell>
        </row>
        <row r="22">
          <cell r="A22" t="str">
            <v>Chuối B</v>
          </cell>
          <cell r="B22">
            <v>20</v>
          </cell>
          <cell r="C22">
            <v>50000</v>
          </cell>
          <cell r="F22" t="str">
            <v>Nhà tắm (WC.09)</v>
          </cell>
          <cell r="G22">
            <v>2.46</v>
          </cell>
          <cell r="H22">
            <v>2616451</v>
          </cell>
          <cell r="L22" t="str">
            <v>Đất trồng cây lâu năm-VT1-trừ VKT</v>
          </cell>
        </row>
        <row r="23">
          <cell r="A23" t="str">
            <v>Chuối C</v>
          </cell>
          <cell r="B23">
            <v>22</v>
          </cell>
          <cell r="C23">
            <v>25000</v>
          </cell>
          <cell r="F23" t="str">
            <v>Nhà tiền chế NTC.01</v>
          </cell>
          <cell r="G23">
            <v>394.72</v>
          </cell>
          <cell r="H23">
            <v>1230346</v>
          </cell>
          <cell r="L23" t="str">
            <v>Đất trồng cây hàng năm-VT1(hiện trạng tiếp giáp đường số 07)-trừ VKT</v>
          </cell>
          <cell r="N23">
            <v>1228000</v>
          </cell>
        </row>
        <row r="24">
          <cell r="A24" t="str">
            <v>Đu đủ C</v>
          </cell>
          <cell r="B24">
            <v>5</v>
          </cell>
          <cell r="C24">
            <v>37000</v>
          </cell>
          <cell r="F24" t="str">
            <v>Nhà tiền chế NTC.02</v>
          </cell>
          <cell r="G24">
            <v>513</v>
          </cell>
          <cell r="H24">
            <v>855633</v>
          </cell>
        </row>
        <row r="25">
          <cell r="A25" t="str">
            <v>Dừa A</v>
          </cell>
          <cell r="B25">
            <v>2</v>
          </cell>
          <cell r="C25">
            <v>1091000</v>
          </cell>
          <cell r="F25" t="str">
            <v>Nhà trọ tiền chế NTC.01</v>
          </cell>
          <cell r="G25">
            <v>1176.5</v>
          </cell>
          <cell r="H25">
            <v>1230346</v>
          </cell>
        </row>
        <row r="26">
          <cell r="A26" t="str">
            <v>Dừa B</v>
          </cell>
          <cell r="B26">
            <v>4</v>
          </cell>
          <cell r="C26">
            <v>783000</v>
          </cell>
          <cell r="F26" t="str">
            <v>Nhà WC    (Xí xổm) - Ngoài nhà</v>
          </cell>
          <cell r="G26">
            <v>4.5</v>
          </cell>
        </row>
        <row r="27">
          <cell r="A27" t="str">
            <v>Dừa C</v>
          </cell>
          <cell r="B27">
            <v>8</v>
          </cell>
          <cell r="C27">
            <v>494000</v>
          </cell>
          <cell r="F27" t="str">
            <v>Nhà WC.01 (xí bệt-trong nhà)</v>
          </cell>
          <cell r="G27">
            <v>12.68</v>
          </cell>
          <cell r="H27">
            <v>10386015</v>
          </cell>
        </row>
        <row r="28">
          <cell r="A28" t="str">
            <v>Dừa kiểng C</v>
          </cell>
          <cell r="B28">
            <v>2</v>
          </cell>
          <cell r="C28">
            <v>250000</v>
          </cell>
          <cell r="F28" t="str">
            <v>Nhà WC.03 (Xí xổm) - Trong nhà</v>
          </cell>
          <cell r="G28">
            <v>1.98</v>
          </cell>
          <cell r="H28">
            <v>10031697</v>
          </cell>
        </row>
        <row r="29">
          <cell r="A29" t="str">
            <v>Hạnh D</v>
          </cell>
          <cell r="B29">
            <v>1</v>
          </cell>
          <cell r="C29">
            <v>54000</v>
          </cell>
          <cell r="F29" t="str">
            <v>Nhà WC.04 (xí bệt-trong nhà)</v>
          </cell>
          <cell r="G29">
            <v>3.5</v>
          </cell>
          <cell r="H29">
            <v>9471786</v>
          </cell>
        </row>
        <row r="30">
          <cell r="A30" t="str">
            <v>Hoa Kiểng B (m2)</v>
          </cell>
          <cell r="B30">
            <v>1</v>
          </cell>
          <cell r="C30">
            <v>3000</v>
          </cell>
          <cell r="F30" t="str">
            <v>Sàn BTCT</v>
          </cell>
          <cell r="G30">
            <v>3.8</v>
          </cell>
        </row>
        <row r="31">
          <cell r="A31" t="str">
            <v>Lá dừa nước (m2)</v>
          </cell>
          <cell r="B31">
            <v>15</v>
          </cell>
          <cell r="C31">
            <v>25000</v>
          </cell>
          <cell r="F31" t="str">
            <v>Trần nhựa</v>
          </cell>
          <cell r="G31">
            <v>385.09000000000003</v>
          </cell>
        </row>
        <row r="32">
          <cell r="A32" t="str">
            <v>Cây liễu B</v>
          </cell>
          <cell r="B32">
            <v>1</v>
          </cell>
          <cell r="C32">
            <v>150000</v>
          </cell>
          <cell r="F32" t="str">
            <v>Trụ BTCT</v>
          </cell>
          <cell r="G32">
            <v>4.8</v>
          </cell>
          <cell r="H32">
            <v>0</v>
          </cell>
          <cell r="L32">
            <v>0</v>
          </cell>
          <cell r="M32">
            <v>0</v>
          </cell>
          <cell r="N32">
            <v>0</v>
          </cell>
          <cell r="O32">
            <v>0</v>
          </cell>
        </row>
        <row r="33">
          <cell r="A33" t="str">
            <v>Lộc vừng A</v>
          </cell>
          <cell r="B33">
            <v>1</v>
          </cell>
          <cell r="C33">
            <v>270000</v>
          </cell>
          <cell r="F33" t="str">
            <v>Trụ xây gạch</v>
          </cell>
          <cell r="G33">
            <v>0.14000000000000001</v>
          </cell>
        </row>
        <row r="34">
          <cell r="A34" t="str">
            <v>Lộc vừng B</v>
          </cell>
          <cell r="B34">
            <v>2</v>
          </cell>
          <cell r="C34">
            <v>165000</v>
          </cell>
          <cell r="F34" t="str">
            <v>Tường rào xây 20 tô 2 mặt, trụ BTCT, móng BTCT HR.02</v>
          </cell>
          <cell r="G34">
            <v>385.02000000000004</v>
          </cell>
          <cell r="H34">
            <v>1248814</v>
          </cell>
        </row>
        <row r="35">
          <cell r="A35" t="str">
            <v>Lộc vừng C</v>
          </cell>
          <cell r="B35">
            <v>62</v>
          </cell>
          <cell r="C35">
            <v>110000</v>
          </cell>
          <cell r="F35" t="str">
            <v xml:space="preserve">Tường xây 10 tô 1 mặt </v>
          </cell>
          <cell r="G35">
            <v>0.52</v>
          </cell>
        </row>
        <row r="36">
          <cell r="A36" t="str">
            <v>Lụa B</v>
          </cell>
          <cell r="B36">
            <v>3</v>
          </cell>
          <cell r="C36">
            <v>165000</v>
          </cell>
          <cell r="F36" t="str">
            <v xml:space="preserve">Tường xây 10 tô 2 mặt </v>
          </cell>
          <cell r="G36">
            <v>13.379999999999999</v>
          </cell>
        </row>
        <row r="37">
          <cell r="A37" t="str">
            <v>Lụa C</v>
          </cell>
          <cell r="B37">
            <v>2</v>
          </cell>
          <cell r="C37">
            <v>110000</v>
          </cell>
          <cell r="F37" t="str">
            <v>WC (trong nhà, xí bệt, 10 cái WC)</v>
          </cell>
          <cell r="G37">
            <v>2.4</v>
          </cell>
        </row>
        <row r="38">
          <cell r="A38" t="str">
            <v>Mai chiếu thủy C</v>
          </cell>
          <cell r="B38">
            <v>1</v>
          </cell>
          <cell r="C38">
            <v>250000</v>
          </cell>
          <cell r="F38" t="str">
            <v>WC (trong nhà, xí bệt, 11 cái WC)</v>
          </cell>
          <cell r="G38">
            <v>1.8</v>
          </cell>
          <cell r="H38">
            <v>0</v>
          </cell>
          <cell r="L38">
            <v>0</v>
          </cell>
          <cell r="M38">
            <v>0</v>
          </cell>
          <cell r="N38">
            <v>0</v>
          </cell>
          <cell r="O38">
            <v>0</v>
          </cell>
        </row>
        <row r="39">
          <cell r="A39" t="str">
            <v>Mai vàng C</v>
          </cell>
          <cell r="B39">
            <v>1</v>
          </cell>
          <cell r="C39">
            <v>250000</v>
          </cell>
          <cell r="F39" t="str">
            <v>WC (trong nhà, xí bệt, 18 cái WC)</v>
          </cell>
          <cell r="G39">
            <v>2.9</v>
          </cell>
        </row>
        <row r="40">
          <cell r="A40" t="str">
            <v>Mía A (m2)</v>
          </cell>
          <cell r="B40">
            <v>3</v>
          </cell>
          <cell r="C40">
            <v>8000</v>
          </cell>
          <cell r="F40" t="str">
            <v>WC (trong nhà, xí bệt, 2 cái WC)</v>
          </cell>
          <cell r="G40">
            <v>3.4</v>
          </cell>
        </row>
        <row r="41">
          <cell r="A41" t="str">
            <v>Nhàu C</v>
          </cell>
          <cell r="B41">
            <v>2</v>
          </cell>
          <cell r="C41">
            <v>80000</v>
          </cell>
          <cell r="F41" t="str">
            <v>WC (trong nhà, xí bệt, 4 cái WC)</v>
          </cell>
          <cell r="G41">
            <v>2.9</v>
          </cell>
        </row>
        <row r="42">
          <cell r="A42" t="str">
            <v>Nhàu D</v>
          </cell>
          <cell r="B42">
            <v>2</v>
          </cell>
          <cell r="C42">
            <v>45000</v>
          </cell>
          <cell r="F42" t="str">
            <v>WC (trong nhà, xí xỏm, 4 cái WC)</v>
          </cell>
          <cell r="G42">
            <v>3.2</v>
          </cell>
        </row>
        <row r="43">
          <cell r="A43" t="str">
            <v>Ổi C</v>
          </cell>
          <cell r="B43">
            <v>1</v>
          </cell>
          <cell r="C43">
            <v>123000</v>
          </cell>
          <cell r="F43" t="str">
            <v>Grand</v>
          </cell>
          <cell r="G43">
            <v>5861.5799999999972</v>
          </cell>
          <cell r="H43">
            <v>0</v>
          </cell>
        </row>
        <row r="44">
          <cell r="A44" t="str">
            <v>Ổi D</v>
          </cell>
          <cell r="B44">
            <v>1</v>
          </cell>
          <cell r="C44">
            <v>31000</v>
          </cell>
          <cell r="F44" t="str">
            <v xml:space="preserve">Gạch men ốp tường </v>
          </cell>
        </row>
        <row r="45">
          <cell r="A45" t="str">
            <v>Sao A</v>
          </cell>
          <cell r="B45">
            <v>15</v>
          </cell>
          <cell r="C45">
            <v>750000</v>
          </cell>
        </row>
        <row r="46">
          <cell r="A46" t="str">
            <v>Sao B</v>
          </cell>
          <cell r="B46">
            <v>11</v>
          </cell>
          <cell r="C46">
            <v>310000</v>
          </cell>
        </row>
        <row r="47">
          <cell r="A47" t="str">
            <v>Sao C</v>
          </cell>
          <cell r="B47">
            <v>10</v>
          </cell>
          <cell r="C47">
            <v>190000</v>
          </cell>
          <cell r="F47" t="str">
            <v xml:space="preserve">Đường nội bộ BTCT đá 1x2 mác 250 ĐNB.02 </v>
          </cell>
        </row>
        <row r="48">
          <cell r="A48" t="str">
            <v>Sao D</v>
          </cell>
          <cell r="B48">
            <v>15</v>
          </cell>
          <cell r="C48">
            <v>70000</v>
          </cell>
          <cell r="F48" t="str">
            <v xml:space="preserve">Ao cá (461,4m2 x 2,0 m) </v>
          </cell>
        </row>
        <row r="49">
          <cell r="A49" t="str">
            <v>Sộp A</v>
          </cell>
          <cell r="B49">
            <v>1</v>
          </cell>
          <cell r="C49">
            <v>160000</v>
          </cell>
          <cell r="F49" t="str">
            <v xml:space="preserve">Nhà trọ tiền chế NTC.01 </v>
          </cell>
        </row>
        <row r="50">
          <cell r="A50" t="str">
            <v>Sung A</v>
          </cell>
          <cell r="B50">
            <v>23</v>
          </cell>
          <cell r="C50">
            <v>270000</v>
          </cell>
          <cell r="F50" t="str">
            <v xml:space="preserve">WC (trong nhà, xí bệt, 10 cái WC) </v>
          </cell>
        </row>
        <row r="51">
          <cell r="A51" t="str">
            <v>Sung C</v>
          </cell>
          <cell r="B51">
            <v>2</v>
          </cell>
          <cell r="C51">
            <v>110000</v>
          </cell>
          <cell r="F51" t="str">
            <v xml:space="preserve">Nhà trọ tiền chế NTC.01 </v>
          </cell>
        </row>
        <row r="52">
          <cell r="A52" t="str">
            <v>Tràm A</v>
          </cell>
          <cell r="B52">
            <v>51</v>
          </cell>
          <cell r="C52">
            <v>60000</v>
          </cell>
          <cell r="F52" t="str">
            <v xml:space="preserve">WC (trong nhà, xí bệt, 11 cái WC) </v>
          </cell>
        </row>
        <row r="53">
          <cell r="A53" t="str">
            <v>Tràm B</v>
          </cell>
          <cell r="B53">
            <v>101</v>
          </cell>
          <cell r="C53">
            <v>40000</v>
          </cell>
          <cell r="F53" t="str">
            <v xml:space="preserve">Nhà trọ tiền chế NTC.01 </v>
          </cell>
        </row>
        <row r="54">
          <cell r="A54" t="str">
            <v>Tràm bông vàng A</v>
          </cell>
          <cell r="B54">
            <v>12</v>
          </cell>
          <cell r="C54">
            <v>115000</v>
          </cell>
          <cell r="F54" t="str">
            <v xml:space="preserve">WC (trong nhà, xí bệt, 18 cái WC) </v>
          </cell>
        </row>
        <row r="55">
          <cell r="A55" t="str">
            <v>Tràm bông vàng B</v>
          </cell>
          <cell r="B55">
            <v>18</v>
          </cell>
          <cell r="C55">
            <v>60000</v>
          </cell>
          <cell r="F55" t="str">
            <v xml:space="preserve">Nhà trọ tiền chế NTC.01 </v>
          </cell>
        </row>
        <row r="56">
          <cell r="A56" t="str">
            <v>Tràm C</v>
          </cell>
          <cell r="B56">
            <v>15</v>
          </cell>
          <cell r="C56">
            <v>21000</v>
          </cell>
          <cell r="F56" t="str">
            <v xml:space="preserve">WC (trong nhà, xí xỏm, 4 cái WC) </v>
          </cell>
        </row>
        <row r="57">
          <cell r="A57" t="str">
            <v>Tràm D</v>
          </cell>
          <cell r="B57">
            <v>10</v>
          </cell>
          <cell r="C57">
            <v>16000</v>
          </cell>
          <cell r="F57" t="str">
            <v xml:space="preserve">WC (trong nhà, xí bệt, 4 cái WC) </v>
          </cell>
        </row>
        <row r="58">
          <cell r="A58" t="str">
            <v>Trúc A (bụi)</v>
          </cell>
          <cell r="B58">
            <v>1</v>
          </cell>
          <cell r="C58">
            <v>220000</v>
          </cell>
          <cell r="F58" t="str">
            <v xml:space="preserve">Nhà trọ tiền chế NTC.01 </v>
          </cell>
        </row>
        <row r="59">
          <cell r="A59" t="str">
            <v>Vong nem D</v>
          </cell>
          <cell r="B59">
            <v>7</v>
          </cell>
          <cell r="C59">
            <v>45000</v>
          </cell>
          <cell r="F59" t="str">
            <v xml:space="preserve">WC (trong nhà, xí bệt, 2 cái WC) </v>
          </cell>
        </row>
        <row r="60">
          <cell r="A60" t="str">
            <v>Vú sữa B</v>
          </cell>
          <cell r="B60">
            <v>1</v>
          </cell>
          <cell r="C60">
            <v>1255000</v>
          </cell>
          <cell r="F60" t="str">
            <v xml:space="preserve">Gạch men ốp tường </v>
          </cell>
        </row>
        <row r="61">
          <cell r="A61" t="str">
            <v>Sả A (m2)</v>
          </cell>
          <cell r="B61">
            <v>4</v>
          </cell>
          <cell r="C61">
            <v>12000</v>
          </cell>
          <cell r="F61" t="str">
            <v xml:space="preserve">Nền xi măng SN.01 </v>
          </cell>
        </row>
        <row r="62">
          <cell r="A62" t="str">
            <v>Xà cừ A</v>
          </cell>
          <cell r="B62">
            <v>1</v>
          </cell>
          <cell r="C62">
            <v>270000</v>
          </cell>
          <cell r="F62" t="str">
            <v xml:space="preserve">Sàn BTCT </v>
          </cell>
        </row>
        <row r="63">
          <cell r="A63" t="str">
            <v>Xoài A</v>
          </cell>
          <cell r="B63">
            <v>2</v>
          </cell>
          <cell r="C63">
            <v>1835000</v>
          </cell>
          <cell r="F63" t="str">
            <v xml:space="preserve">Trụ BTCT </v>
          </cell>
        </row>
        <row r="64">
          <cell r="A64" t="str">
            <v>Xoài B</v>
          </cell>
          <cell r="B64">
            <v>37</v>
          </cell>
          <cell r="C64">
            <v>1146000</v>
          </cell>
          <cell r="F64" t="str">
            <v>HR lưới B40 + Trụ đá + Sắt</v>
          </cell>
        </row>
        <row r="65">
          <cell r="A65" t="str">
            <v>Xoài C</v>
          </cell>
          <cell r="B65">
            <v>3</v>
          </cell>
          <cell r="C65">
            <v>514000</v>
          </cell>
          <cell r="F65" t="str">
            <v xml:space="preserve">Mái che tol </v>
          </cell>
        </row>
        <row r="66">
          <cell r="B66">
            <v>704</v>
          </cell>
          <cell r="C66">
            <v>15479000</v>
          </cell>
        </row>
        <row r="67">
          <cell r="F67" t="str">
            <v xml:space="preserve">Hàng ba C2.01*80% </v>
          </cell>
        </row>
        <row r="68">
          <cell r="A68" t="str">
            <v>Bàng A</v>
          </cell>
          <cell r="B68">
            <v>1</v>
          </cell>
          <cell r="C68">
            <v>270000</v>
          </cell>
          <cell r="F68" t="str">
            <v xml:space="preserve">Nhà C2.07 </v>
          </cell>
        </row>
        <row r="69">
          <cell r="A69" t="str">
            <v>Bàng B</v>
          </cell>
          <cell r="B69">
            <v>4</v>
          </cell>
          <cell r="C69">
            <v>165000</v>
          </cell>
          <cell r="F69" t="str">
            <v xml:space="preserve">Nhà WC.01 (xí bệt-trong nhà) </v>
          </cell>
        </row>
        <row r="70">
          <cell r="A70" t="str">
            <v>Dầu B</v>
          </cell>
          <cell r="B70">
            <v>1</v>
          </cell>
          <cell r="C70">
            <v>310000</v>
          </cell>
          <cell r="F70" t="str">
            <v xml:space="preserve">Nhà WC.01 (xí bệt-trong nhà) </v>
          </cell>
        </row>
        <row r="71">
          <cell r="A71" t="str">
            <v>Đu đủ A</v>
          </cell>
          <cell r="B71">
            <v>2</v>
          </cell>
          <cell r="C71">
            <v>143000</v>
          </cell>
          <cell r="F71" t="str">
            <v xml:space="preserve">Nhà WC.01 (xí bệt-trong nhà) </v>
          </cell>
        </row>
        <row r="72">
          <cell r="A72" t="str">
            <v>Gòn A</v>
          </cell>
          <cell r="B72">
            <v>1</v>
          </cell>
          <cell r="C72">
            <v>160000</v>
          </cell>
          <cell r="F72" t="str">
            <v xml:space="preserve">Nhà C3.05 </v>
          </cell>
        </row>
        <row r="73">
          <cell r="A73" t="str">
            <v>Khế C</v>
          </cell>
          <cell r="B73">
            <v>1</v>
          </cell>
          <cell r="C73">
            <v>240000</v>
          </cell>
        </row>
        <row r="74">
          <cell r="A74" t="str">
            <v>Lá dừa nước A (m2)</v>
          </cell>
          <cell r="B74">
            <v>15</v>
          </cell>
          <cell r="C74">
            <v>25000</v>
          </cell>
        </row>
        <row r="75">
          <cell r="A75" t="str">
            <v>Me nước A</v>
          </cell>
          <cell r="B75">
            <v>1</v>
          </cell>
          <cell r="C75">
            <v>270000</v>
          </cell>
          <cell r="F75" t="str">
            <v>Bồn xây 10 tô 2 mặt, có nắp đan BTCT</v>
          </cell>
          <cell r="G75">
            <v>7.65</v>
          </cell>
          <cell r="H75">
            <v>0</v>
          </cell>
        </row>
        <row r="76">
          <cell r="A76" t="str">
            <v>Sộp C</v>
          </cell>
          <cell r="B76">
            <v>3</v>
          </cell>
          <cell r="C76">
            <v>80000</v>
          </cell>
          <cell r="F76" t="str">
            <v>Cát san lấp mặt bằng</v>
          </cell>
          <cell r="G76">
            <v>573.1</v>
          </cell>
          <cell r="H76">
            <v>0</v>
          </cell>
        </row>
        <row r="77">
          <cell r="A77" t="str">
            <v>Xả A (m2)</v>
          </cell>
          <cell r="B77">
            <v>4</v>
          </cell>
          <cell r="C77">
            <v>12000</v>
          </cell>
          <cell r="F77" t="str">
            <v>Đà kiềng BTCT</v>
          </cell>
          <cell r="G77">
            <v>0.41</v>
          </cell>
          <cell r="H77">
            <v>0</v>
          </cell>
        </row>
        <row r="78">
          <cell r="A78" t="str">
            <v>Xoài D</v>
          </cell>
          <cell r="B78">
            <v>1</v>
          </cell>
          <cell r="C78">
            <v>220000</v>
          </cell>
          <cell r="F78" t="str">
            <v>Đan bếp BTXM</v>
          </cell>
          <cell r="G78">
            <v>0.31</v>
          </cell>
          <cell r="H78">
            <v>0</v>
          </cell>
        </row>
        <row r="79">
          <cell r="A79" t="str">
            <v>Cây vối A</v>
          </cell>
          <cell r="B79">
            <v>1</v>
          </cell>
          <cell r="C79">
            <v>160000</v>
          </cell>
          <cell r="F79" t="str">
            <v>Đan BTCT</v>
          </cell>
          <cell r="G79">
            <v>0.2</v>
          </cell>
          <cell r="H79">
            <v>0</v>
          </cell>
        </row>
        <row r="80">
          <cell r="F80" t="str">
            <v>Đan BTCT (kè đất)</v>
          </cell>
          <cell r="G80">
            <v>1.97</v>
          </cell>
          <cell r="H80">
            <v>0</v>
          </cell>
        </row>
        <row r="81">
          <cell r="F81" t="str">
            <v>Đan BTCT bếp</v>
          </cell>
          <cell r="G81">
            <v>0.15</v>
          </cell>
          <cell r="H81">
            <v>0</v>
          </cell>
        </row>
        <row r="82">
          <cell r="F82" t="str">
            <v>Đan BTXM</v>
          </cell>
          <cell r="G82">
            <v>0.06</v>
          </cell>
          <cell r="H82">
            <v>0</v>
          </cell>
        </row>
        <row r="83">
          <cell r="F83" t="str">
            <v>Đường BTXM đá 1x2 có cốt thép ĐNB.02</v>
          </cell>
          <cell r="G83">
            <v>103</v>
          </cell>
          <cell r="H83">
            <v>777822</v>
          </cell>
        </row>
        <row r="84">
          <cell r="F84" t="str">
            <v>Hàng ba C3.05*80%</v>
          </cell>
          <cell r="G84">
            <v>10</v>
          </cell>
          <cell r="H84">
            <v>4717924.8</v>
          </cell>
        </row>
        <row r="85">
          <cell r="F85" t="str">
            <v>Hàng rào lưới B40 + trụ đá</v>
          </cell>
          <cell r="G85">
            <v>50.4</v>
          </cell>
          <cell r="H85">
            <v>0</v>
          </cell>
        </row>
        <row r="86">
          <cell r="F86" t="str">
            <v>Hàng rào trụ sắt + song sắt</v>
          </cell>
          <cell r="G86">
            <v>45.9</v>
          </cell>
          <cell r="H86">
            <v>0</v>
          </cell>
        </row>
        <row r="87">
          <cell r="F87" t="str">
            <v>Hầm bioga</v>
          </cell>
          <cell r="G87">
            <v>11</v>
          </cell>
          <cell r="H87">
            <v>0</v>
          </cell>
        </row>
        <row r="88">
          <cell r="F88" t="str">
            <v>Lò xây</v>
          </cell>
          <cell r="G88">
            <v>0.5</v>
          </cell>
          <cell r="H88">
            <v>0</v>
          </cell>
        </row>
        <row r="89">
          <cell r="F89" t="str">
            <v>Mái che bạt</v>
          </cell>
          <cell r="G89">
            <v>6.16</v>
          </cell>
          <cell r="H89">
            <v>0</v>
          </cell>
        </row>
        <row r="90">
          <cell r="F90" t="str">
            <v>Nền đá 0x4</v>
          </cell>
          <cell r="G90">
            <v>145.6</v>
          </cell>
          <cell r="H90">
            <v>0</v>
          </cell>
        </row>
        <row r="91">
          <cell r="F91" t="str">
            <v>Nền đá bụi</v>
          </cell>
          <cell r="G91">
            <v>4</v>
          </cell>
          <cell r="H91">
            <v>0</v>
          </cell>
        </row>
        <row r="92">
          <cell r="F92" t="str">
            <v>Nền đá hoa cương</v>
          </cell>
          <cell r="G92">
            <v>10.199999999999999</v>
          </cell>
          <cell r="H92">
            <v>0</v>
          </cell>
        </row>
        <row r="93">
          <cell r="F93" t="str">
            <v>Nền gạch tàu</v>
          </cell>
          <cell r="G93">
            <v>0.81</v>
          </cell>
          <cell r="H93">
            <v>0</v>
          </cell>
        </row>
        <row r="94">
          <cell r="F94" t="str">
            <v xml:space="preserve">Nhà bếp C4.05 </v>
          </cell>
          <cell r="G94">
            <v>4.96</v>
          </cell>
          <cell r="H94">
            <v>3945111</v>
          </cell>
        </row>
        <row r="95">
          <cell r="F95" t="str">
            <v xml:space="preserve">Nhà C (không mái)  </v>
          </cell>
          <cell r="G95">
            <v>17.5</v>
          </cell>
          <cell r="H95">
            <v>0</v>
          </cell>
        </row>
        <row r="96">
          <cell r="F96" t="str">
            <v>Nhà T.23</v>
          </cell>
          <cell r="G96">
            <v>47.099999999999994</v>
          </cell>
          <cell r="H96">
            <v>1823570</v>
          </cell>
        </row>
        <row r="97">
          <cell r="F97" t="str">
            <v>Nhà trọ C (không mái)</v>
          </cell>
          <cell r="G97">
            <v>86.4</v>
          </cell>
          <cell r="H97">
            <v>0</v>
          </cell>
        </row>
        <row r="98">
          <cell r="F98" t="str">
            <v>Nhà trọ C4.05</v>
          </cell>
          <cell r="G98">
            <v>133.30000000000001</v>
          </cell>
          <cell r="H98">
            <v>3945000</v>
          </cell>
        </row>
        <row r="99">
          <cell r="F99" t="str">
            <v>Sàn gỗ quy cách</v>
          </cell>
          <cell r="G99">
            <v>5.4</v>
          </cell>
          <cell r="H99">
            <v>0</v>
          </cell>
        </row>
        <row r="100">
          <cell r="F100" t="str">
            <v>Sàn gỗ tạp</v>
          </cell>
          <cell r="G100">
            <v>4</v>
          </cell>
          <cell r="H100">
            <v>0</v>
          </cell>
        </row>
        <row r="101">
          <cell r="F101" t="str">
            <v>Sân xi măng SN.01</v>
          </cell>
          <cell r="G101">
            <v>103.89999999999999</v>
          </cell>
          <cell r="H101">
            <v>264764</v>
          </cell>
        </row>
        <row r="102">
          <cell r="F102" t="str">
            <v>Sê nô (sàn BTCT)</v>
          </cell>
          <cell r="G102">
            <v>0.39</v>
          </cell>
          <cell r="H102">
            <v>0</v>
          </cell>
        </row>
        <row r="103">
          <cell r="F103" t="str">
            <v>Tường xây 10, không tô</v>
          </cell>
          <cell r="G103">
            <v>2.48</v>
          </cell>
          <cell r="H103">
            <v>0</v>
          </cell>
        </row>
        <row r="104">
          <cell r="F104" t="str">
            <v>Tường xây 10, tô 2 mặt</v>
          </cell>
          <cell r="G104">
            <v>114.97999999999999</v>
          </cell>
          <cell r="H104">
            <v>0</v>
          </cell>
        </row>
        <row r="105">
          <cell r="F105" t="str">
            <v>WC  (ngoài nhà, xí xỏm, không mái)</v>
          </cell>
          <cell r="G105">
            <v>2.2000000000000002</v>
          </cell>
          <cell r="H105">
            <v>0</v>
          </cell>
        </row>
        <row r="106">
          <cell r="F106" t="str">
            <v>WC (ngoài nhà, xí xỏm, không mái)</v>
          </cell>
          <cell r="G106">
            <v>23</v>
          </cell>
          <cell r="H106">
            <v>0</v>
          </cell>
        </row>
        <row r="107">
          <cell r="F107" t="str">
            <v>WC.01 (trong nhà, xí bệt)</v>
          </cell>
          <cell r="G107">
            <v>2.5</v>
          </cell>
          <cell r="H107">
            <v>10386015</v>
          </cell>
        </row>
        <row r="108">
          <cell r="F108" t="str">
            <v>WC.01 (trong nhà, xí bệt, ốp gạch men)</v>
          </cell>
          <cell r="G108">
            <v>2.4</v>
          </cell>
          <cell r="H108">
            <v>10386015</v>
          </cell>
        </row>
        <row r="109">
          <cell r="F109" t="str">
            <v>WC.04 (trong nhà, xí xỏm)</v>
          </cell>
          <cell r="G109">
            <v>3.4</v>
          </cell>
          <cell r="H109">
            <v>9471786</v>
          </cell>
        </row>
        <row r="110">
          <cell r="F110" t="str">
            <v>WC.04 (trong nhà, xí xỏm, không ốp gạch)</v>
          </cell>
          <cell r="G110">
            <v>2.2799999999999998</v>
          </cell>
          <cell r="H110">
            <v>9471786</v>
          </cell>
        </row>
        <row r="111">
          <cell r="F111" t="str">
            <v>WC.05.1 (ngoài nhà, xí xỏm)</v>
          </cell>
          <cell r="G111">
            <v>2.76</v>
          </cell>
          <cell r="H111">
            <v>10237047</v>
          </cell>
        </row>
        <row r="112">
          <cell r="F112" t="str">
            <v>WC.09 (trong nhà, xí xỏm)</v>
          </cell>
          <cell r="G112">
            <v>12.96</v>
          </cell>
          <cell r="H112">
            <v>2616451</v>
          </cell>
        </row>
        <row r="113">
          <cell r="F113" t="str">
            <v>WC.10 (ngoài nhà, xí xỏm)</v>
          </cell>
          <cell r="G113">
            <v>6.6000000000000005</v>
          </cell>
          <cell r="H113">
            <v>3490623</v>
          </cell>
        </row>
        <row r="114">
          <cell r="F114" t="str">
            <v>Tường xây 10, tô 2 mặt HR.17</v>
          </cell>
          <cell r="H114">
            <v>802830</v>
          </cell>
        </row>
        <row r="115">
          <cell r="F115" t="str">
            <v>Tường xây 20, tô 1 mặt HR.17</v>
          </cell>
          <cell r="H115">
            <v>802830</v>
          </cell>
        </row>
        <row r="116">
          <cell r="F116" t="str">
            <v>Nhà C4.05 (WC ngoài nhà, xí xỏm)</v>
          </cell>
          <cell r="H116">
            <v>3945111</v>
          </cell>
        </row>
        <row r="117">
          <cell r="F117" t="str">
            <v xml:space="preserve">Nhà C4.05 (không mái)  </v>
          </cell>
          <cell r="H117">
            <v>0</v>
          </cell>
        </row>
        <row r="118">
          <cell r="F118" t="str">
            <v>Nhà C4.05 (ngoài nhà, xí xỏm, không mái)</v>
          </cell>
          <cell r="H118">
            <v>0</v>
          </cell>
        </row>
        <row r="119">
          <cell r="F119" t="str">
            <v>Nhà trọ C4.05  (không mái)</v>
          </cell>
          <cell r="H119">
            <v>0</v>
          </cell>
        </row>
        <row r="120">
          <cell r="F120" t="str">
            <v>Nhà trọ C4.05 (WC ngoài nhà, xí xỏm, không mái)</v>
          </cell>
          <cell r="H120">
            <v>0</v>
          </cell>
        </row>
        <row r="121">
          <cell r="F121" t="str">
            <v>Nhà trọ C4.05 (WC ngoài nhà, xí xỏm, không mái)</v>
          </cell>
          <cell r="H121">
            <v>0</v>
          </cell>
        </row>
        <row r="122">
          <cell r="F122" t="str">
            <v>Nhà trọ C4.05 (WC ngoài nhà, xí xỏm, không mái)</v>
          </cell>
          <cell r="H122">
            <v>0</v>
          </cell>
        </row>
        <row r="123">
          <cell r="F123" t="str">
            <v>Nhà trọ C4.05 (WC ngoài nhà, xí xỏm, không mái)</v>
          </cell>
          <cell r="H123">
            <v>0</v>
          </cell>
        </row>
        <row r="124">
          <cell r="F124" t="str">
            <v>Nhà trọ C4.05 (WC ngoài nhà, xí xỏm, không mái)</v>
          </cell>
          <cell r="H124">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M2051"/>
  <sheetViews>
    <sheetView topLeftCell="A7" zoomScaleNormal="100" workbookViewId="0">
      <selection activeCell="H16" sqref="H16"/>
    </sheetView>
  </sheetViews>
  <sheetFormatPr defaultColWidth="9" defaultRowHeight="15" x14ac:dyDescent="0.2"/>
  <cols>
    <col min="1" max="1" width="5.75" style="38" customWidth="1"/>
    <col min="2" max="2" width="3.75" style="46" customWidth="1"/>
    <col min="3" max="3" width="17.5" style="117" customWidth="1"/>
    <col min="4" max="5" width="3.875" style="118" hidden="1" customWidth="1"/>
    <col min="6" max="6" width="6" style="118" hidden="1" customWidth="1"/>
    <col min="7" max="7" width="16.75" style="117" customWidth="1"/>
    <col min="8" max="8" width="9.875" style="61" customWidth="1"/>
    <col min="9" max="9" width="5.75" style="39" hidden="1" customWidth="1"/>
    <col min="10" max="13" width="9" style="39" hidden="1" customWidth="1"/>
    <col min="14" max="14" width="12.625" style="39" customWidth="1"/>
    <col min="15" max="15" width="7.625" style="39" customWidth="1"/>
    <col min="16" max="16" width="9" style="39" hidden="1" customWidth="1"/>
    <col min="17" max="17" width="11.75" style="39" hidden="1" customWidth="1"/>
    <col min="18" max="18" width="27.25" style="39" customWidth="1"/>
    <col min="19" max="19" width="5.125" style="39" customWidth="1"/>
    <col min="20" max="20" width="9" style="40" customWidth="1"/>
    <col min="21" max="21" width="8.375" style="39" customWidth="1"/>
    <col min="22" max="22" width="11.625" style="39" hidden="1" customWidth="1"/>
    <col min="23" max="23" width="9.25" style="41" hidden="1" customWidth="1"/>
    <col min="24" max="24" width="6.25" style="42" hidden="1" customWidth="1"/>
    <col min="25" max="25" width="6.125" style="42" hidden="1" customWidth="1"/>
    <col min="26" max="26" width="6.375" style="42" hidden="1" customWidth="1"/>
    <col min="27" max="27" width="6" style="42" hidden="1" customWidth="1"/>
    <col min="28" max="28" width="5.875" style="42" hidden="1" customWidth="1"/>
    <col min="29" max="29" width="7.125" style="42" hidden="1" customWidth="1"/>
    <col min="30" max="30" width="14.25" style="39" hidden="1" customWidth="1"/>
    <col min="31" max="31" width="28" style="39" customWidth="1"/>
    <col min="32" max="32" width="19.5" style="39" customWidth="1"/>
    <col min="33" max="33" width="24.875" style="39" hidden="1" customWidth="1"/>
    <col min="34" max="16384" width="9" style="39"/>
  </cols>
  <sheetData>
    <row r="2" spans="1:65" ht="16.5" x14ac:dyDescent="0.2">
      <c r="A2" s="1097" t="s">
        <v>622</v>
      </c>
      <c r="B2" s="1097"/>
      <c r="C2" s="1097"/>
      <c r="D2" s="1097"/>
      <c r="E2" s="1097"/>
      <c r="F2" s="1097"/>
      <c r="G2" s="1097"/>
      <c r="H2" s="1097"/>
      <c r="I2" s="1097"/>
      <c r="J2" s="1097"/>
      <c r="K2" s="1097"/>
      <c r="L2" s="1097"/>
      <c r="M2" s="1097"/>
      <c r="N2" s="1097"/>
      <c r="O2" s="1097"/>
      <c r="P2" s="1097"/>
      <c r="Q2" s="1097"/>
      <c r="R2" s="1097"/>
      <c r="S2" s="1097"/>
      <c r="T2" s="1097"/>
      <c r="U2" s="1097"/>
      <c r="V2" s="1097"/>
      <c r="W2" s="1097"/>
      <c r="X2" s="1097"/>
      <c r="Y2" s="1097"/>
      <c r="Z2" s="1097"/>
      <c r="AA2" s="1097"/>
      <c r="AB2" s="1097"/>
      <c r="AC2" s="1097"/>
      <c r="AD2" s="1097"/>
      <c r="AE2" s="1097"/>
      <c r="AF2" s="267"/>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row>
    <row r="3" spans="1:65" ht="16.5" x14ac:dyDescent="0.2">
      <c r="A3" s="1097" t="s">
        <v>623</v>
      </c>
      <c r="B3" s="1097"/>
      <c r="C3" s="1097"/>
      <c r="D3" s="1097"/>
      <c r="E3" s="1097"/>
      <c r="F3" s="1097"/>
      <c r="G3" s="1097"/>
      <c r="H3" s="1097"/>
      <c r="I3" s="1097"/>
      <c r="J3" s="1097"/>
      <c r="K3" s="1097"/>
      <c r="L3" s="1097"/>
      <c r="M3" s="1097"/>
      <c r="N3" s="1097"/>
      <c r="O3" s="1097"/>
      <c r="P3" s="1097"/>
      <c r="Q3" s="1097"/>
      <c r="R3" s="1097"/>
      <c r="S3" s="1097"/>
      <c r="T3" s="1097"/>
      <c r="U3" s="1097"/>
      <c r="V3" s="1097"/>
      <c r="W3" s="1097"/>
      <c r="X3" s="1097"/>
      <c r="Y3" s="1097"/>
      <c r="Z3" s="1097"/>
      <c r="AA3" s="1097"/>
      <c r="AB3" s="1097"/>
      <c r="AC3" s="1097"/>
      <c r="AD3" s="1097"/>
      <c r="AE3" s="1097"/>
      <c r="AF3" s="267"/>
      <c r="AG3" s="126"/>
      <c r="AH3" s="126"/>
      <c r="AI3" s="126"/>
      <c r="AJ3" s="126"/>
      <c r="AK3" s="126"/>
      <c r="AL3" s="126"/>
      <c r="AM3" s="126"/>
      <c r="AN3" s="126"/>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row>
    <row r="5" spans="1:65" s="36" customFormat="1" x14ac:dyDescent="0.25">
      <c r="A5" s="214"/>
      <c r="B5" s="43" t="s">
        <v>619</v>
      </c>
      <c r="C5" s="225" t="s">
        <v>0</v>
      </c>
      <c r="D5" s="197" t="s">
        <v>617</v>
      </c>
      <c r="E5" s="197" t="s">
        <v>619</v>
      </c>
      <c r="F5" s="197" t="s">
        <v>617</v>
      </c>
      <c r="G5" s="113" t="s">
        <v>1</v>
      </c>
      <c r="H5" s="213"/>
      <c r="I5" s="58"/>
      <c r="J5" s="196"/>
      <c r="K5" s="196"/>
      <c r="L5" s="196"/>
      <c r="M5" s="196"/>
      <c r="N5" s="55" t="s">
        <v>2</v>
      </c>
      <c r="O5" s="55"/>
      <c r="P5" s="43"/>
      <c r="Q5" s="43"/>
      <c r="R5" s="55" t="s">
        <v>3</v>
      </c>
      <c r="S5" s="55"/>
      <c r="T5" s="56"/>
      <c r="U5" s="55"/>
      <c r="V5" s="43"/>
      <c r="W5" s="43"/>
      <c r="X5" s="57" t="s">
        <v>395</v>
      </c>
      <c r="Y5" s="57"/>
      <c r="Z5" s="57"/>
      <c r="AA5" s="57"/>
      <c r="AB5" s="57"/>
      <c r="AC5" s="57"/>
      <c r="AD5" s="44" t="s">
        <v>4</v>
      </c>
      <c r="AE5" s="43" t="s">
        <v>412</v>
      </c>
      <c r="AF5" s="43" t="s">
        <v>1907</v>
      </c>
      <c r="AG5" s="43" t="s">
        <v>624</v>
      </c>
    </row>
    <row r="6" spans="1:65" s="36" customFormat="1" ht="16.5" x14ac:dyDescent="0.25">
      <c r="A6" s="224" t="s">
        <v>5</v>
      </c>
      <c r="B6" s="215" t="s">
        <v>1739</v>
      </c>
      <c r="C6" s="226"/>
      <c r="D6" s="216" t="s">
        <v>618</v>
      </c>
      <c r="E6" s="216" t="s">
        <v>620</v>
      </c>
      <c r="F6" s="216" t="s">
        <v>621</v>
      </c>
      <c r="G6" s="216" t="s">
        <v>6</v>
      </c>
      <c r="H6" s="217" t="s">
        <v>396</v>
      </c>
      <c r="I6" s="218" t="s">
        <v>8</v>
      </c>
      <c r="J6" s="218" t="s">
        <v>9</v>
      </c>
      <c r="K6" s="218" t="s">
        <v>10</v>
      </c>
      <c r="L6" s="218" t="s">
        <v>11</v>
      </c>
      <c r="M6" s="218" t="s">
        <v>12</v>
      </c>
      <c r="N6" s="219" t="s">
        <v>13</v>
      </c>
      <c r="O6" s="219" t="s">
        <v>14</v>
      </c>
      <c r="P6" s="218" t="s">
        <v>15</v>
      </c>
      <c r="Q6" s="218" t="s">
        <v>16</v>
      </c>
      <c r="R6" s="219" t="s">
        <v>17</v>
      </c>
      <c r="S6" s="219" t="s">
        <v>18</v>
      </c>
      <c r="T6" s="220" t="s">
        <v>7</v>
      </c>
      <c r="U6" s="218" t="s">
        <v>8</v>
      </c>
      <c r="V6" s="218" t="s">
        <v>15</v>
      </c>
      <c r="W6" s="221" t="s">
        <v>16</v>
      </c>
      <c r="X6" s="222" t="s">
        <v>19</v>
      </c>
      <c r="Y6" s="222" t="s">
        <v>20</v>
      </c>
      <c r="Z6" s="222" t="s">
        <v>21</v>
      </c>
      <c r="AA6" s="222" t="s">
        <v>22</v>
      </c>
      <c r="AB6" s="222" t="s">
        <v>23</v>
      </c>
      <c r="AC6" s="222" t="s">
        <v>24</v>
      </c>
      <c r="AD6" s="223" t="s">
        <v>16</v>
      </c>
      <c r="AE6" s="215" t="s">
        <v>411</v>
      </c>
      <c r="AF6" s="215" t="s">
        <v>1906</v>
      </c>
      <c r="AG6" s="215"/>
    </row>
    <row r="7" spans="1:65" s="37" customFormat="1" ht="111" customHeight="1" x14ac:dyDescent="0.2">
      <c r="A7" s="13">
        <f t="shared" ref="A7:A46" si="0">IF(B7&lt;&gt;0,B7,A6)</f>
        <v>1</v>
      </c>
      <c r="B7" s="198">
        <v>1</v>
      </c>
      <c r="C7" s="199" t="s">
        <v>413</v>
      </c>
      <c r="D7" s="200">
        <v>4</v>
      </c>
      <c r="E7" s="201"/>
      <c r="F7" s="201"/>
      <c r="G7" s="202" t="s">
        <v>2031</v>
      </c>
      <c r="H7" s="203">
        <v>10.5</v>
      </c>
      <c r="I7" s="201"/>
      <c r="J7" s="204"/>
      <c r="K7" s="204"/>
      <c r="L7" s="205"/>
      <c r="M7" s="205"/>
      <c r="N7" s="206"/>
      <c r="O7" s="204"/>
      <c r="P7" s="207"/>
      <c r="Q7" s="205"/>
      <c r="R7" s="208" t="s">
        <v>1763</v>
      </c>
      <c r="S7" s="201" t="s">
        <v>53</v>
      </c>
      <c r="T7" s="209">
        <v>15.3</v>
      </c>
      <c r="U7" s="201"/>
      <c r="V7" s="207"/>
      <c r="W7" s="205"/>
      <c r="X7" s="201" t="s">
        <v>54</v>
      </c>
      <c r="Y7" s="210" t="s">
        <v>55</v>
      </c>
      <c r="Z7" s="210" t="s">
        <v>56</v>
      </c>
      <c r="AA7" s="210" t="s">
        <v>57</v>
      </c>
      <c r="AB7" s="210" t="s">
        <v>54</v>
      </c>
      <c r="AC7" s="210" t="s">
        <v>414</v>
      </c>
      <c r="AD7" s="211"/>
      <c r="AE7" s="212" t="s">
        <v>1743</v>
      </c>
      <c r="AF7" s="212"/>
      <c r="AG7" s="1"/>
    </row>
    <row r="8" spans="1:65" s="37" customFormat="1" ht="41.25" customHeight="1" x14ac:dyDescent="0.2">
      <c r="A8" s="13">
        <f t="shared" si="0"/>
        <v>1</v>
      </c>
      <c r="B8" s="11"/>
      <c r="C8" s="1" t="s">
        <v>51</v>
      </c>
      <c r="D8" s="18"/>
      <c r="E8" s="18"/>
      <c r="F8" s="18"/>
      <c r="G8" s="84"/>
      <c r="H8" s="59"/>
      <c r="I8" s="167"/>
      <c r="J8" s="54"/>
      <c r="K8" s="54"/>
      <c r="L8" s="32"/>
      <c r="M8" s="32"/>
      <c r="N8" s="1"/>
      <c r="O8" s="54"/>
      <c r="P8" s="45"/>
      <c r="Q8" s="32"/>
      <c r="R8" s="47" t="s">
        <v>1767</v>
      </c>
      <c r="S8" s="18" t="s">
        <v>53</v>
      </c>
      <c r="T8" s="25">
        <v>5.85</v>
      </c>
      <c r="U8" s="18"/>
      <c r="V8" s="45"/>
      <c r="W8" s="32"/>
      <c r="X8" s="18"/>
      <c r="Y8" s="20"/>
      <c r="Z8" s="20"/>
      <c r="AA8" s="20"/>
      <c r="AB8" s="20"/>
      <c r="AC8" s="20"/>
      <c r="AD8" s="33"/>
      <c r="AE8" s="1" t="s">
        <v>371</v>
      </c>
      <c r="AF8" s="1"/>
      <c r="AG8" s="1"/>
    </row>
    <row r="9" spans="1:65" s="37" customFormat="1" ht="47.25" customHeight="1" x14ac:dyDescent="0.2">
      <c r="A9" s="13">
        <f t="shared" si="0"/>
        <v>1</v>
      </c>
      <c r="B9" s="14"/>
      <c r="C9" s="82" t="s">
        <v>625</v>
      </c>
      <c r="D9" s="18"/>
      <c r="E9" s="18"/>
      <c r="F9" s="18"/>
      <c r="G9" s="1"/>
      <c r="H9" s="59"/>
      <c r="I9" s="18"/>
      <c r="J9" s="54"/>
      <c r="K9" s="54"/>
      <c r="L9" s="32"/>
      <c r="M9" s="32"/>
      <c r="N9" s="1"/>
      <c r="O9" s="54"/>
      <c r="P9" s="45"/>
      <c r="Q9" s="32"/>
      <c r="R9" s="47" t="s">
        <v>1768</v>
      </c>
      <c r="S9" s="18" t="s">
        <v>53</v>
      </c>
      <c r="T9" s="25">
        <v>14.1</v>
      </c>
      <c r="U9" s="18"/>
      <c r="V9" s="45"/>
      <c r="W9" s="32"/>
      <c r="X9" s="18"/>
      <c r="Y9" s="20"/>
      <c r="Z9" s="20"/>
      <c r="AA9" s="20"/>
      <c r="AB9" s="20"/>
      <c r="AC9" s="20"/>
      <c r="AD9" s="33"/>
      <c r="AE9" s="1" t="s">
        <v>404</v>
      </c>
      <c r="AF9" s="1"/>
      <c r="AG9" s="2"/>
    </row>
    <row r="10" spans="1:65" s="37" customFormat="1" ht="45.75" customHeight="1" x14ac:dyDescent="0.2">
      <c r="A10" s="13">
        <f t="shared" si="0"/>
        <v>1</v>
      </c>
      <c r="B10" s="11"/>
      <c r="C10" s="1" t="s">
        <v>295</v>
      </c>
      <c r="D10" s="18"/>
      <c r="E10" s="18"/>
      <c r="F10" s="18"/>
      <c r="G10" s="1"/>
      <c r="H10" s="59"/>
      <c r="I10" s="18"/>
      <c r="J10" s="54"/>
      <c r="K10" s="54"/>
      <c r="L10" s="32"/>
      <c r="M10" s="32"/>
      <c r="N10" s="1"/>
      <c r="O10" s="54"/>
      <c r="P10" s="45"/>
      <c r="Q10" s="32"/>
      <c r="R10" s="47" t="s">
        <v>1826</v>
      </c>
      <c r="S10" s="18" t="s">
        <v>53</v>
      </c>
      <c r="T10" s="25">
        <v>15.3</v>
      </c>
      <c r="U10" s="18"/>
      <c r="V10" s="45"/>
      <c r="W10" s="32"/>
      <c r="X10" s="18"/>
      <c r="Y10" s="20"/>
      <c r="Z10" s="20"/>
      <c r="AA10" s="20"/>
      <c r="AB10" s="20"/>
      <c r="AC10" s="20"/>
      <c r="AD10" s="33"/>
      <c r="AE10" s="21" t="s">
        <v>415</v>
      </c>
      <c r="AF10" s="21"/>
      <c r="AG10" s="21"/>
      <c r="AH10" s="127"/>
    </row>
    <row r="11" spans="1:65" s="37" customFormat="1" ht="12.75" x14ac:dyDescent="0.2">
      <c r="A11" s="13">
        <f t="shared" si="0"/>
        <v>1</v>
      </c>
      <c r="B11" s="11"/>
      <c r="C11" s="1"/>
      <c r="D11" s="18"/>
      <c r="E11" s="18"/>
      <c r="F11" s="18"/>
      <c r="G11" s="1"/>
      <c r="H11" s="59"/>
      <c r="I11" s="18"/>
      <c r="J11" s="54"/>
      <c r="K11" s="54"/>
      <c r="L11" s="32"/>
      <c r="M11" s="32"/>
      <c r="N11" s="1"/>
      <c r="O11" s="54"/>
      <c r="P11" s="45"/>
      <c r="Q11" s="32"/>
      <c r="R11" s="47"/>
      <c r="S11" s="18"/>
      <c r="T11" s="25"/>
      <c r="U11" s="18"/>
      <c r="V11" s="45"/>
      <c r="W11" s="32"/>
      <c r="X11" s="18"/>
      <c r="Y11" s="20"/>
      <c r="Z11" s="20"/>
      <c r="AA11" s="20"/>
      <c r="AB11" s="20"/>
      <c r="AC11" s="20"/>
      <c r="AD11" s="33"/>
      <c r="AE11" s="1"/>
      <c r="AF11" s="1"/>
      <c r="AG11" s="1"/>
    </row>
    <row r="12" spans="1:65" s="37" customFormat="1" ht="12.75" x14ac:dyDescent="0.2">
      <c r="A12" s="13">
        <f t="shared" si="0"/>
        <v>1</v>
      </c>
      <c r="B12" s="11"/>
      <c r="C12" s="1"/>
      <c r="D12" s="2"/>
      <c r="E12" s="2"/>
      <c r="F12" s="2"/>
      <c r="G12" s="1"/>
      <c r="H12" s="13"/>
      <c r="I12" s="2"/>
      <c r="J12" s="2"/>
      <c r="K12" s="2"/>
      <c r="L12" s="2"/>
      <c r="M12" s="2"/>
      <c r="N12" s="2"/>
      <c r="O12" s="2"/>
      <c r="P12" s="2"/>
      <c r="Q12" s="2"/>
      <c r="R12" s="2"/>
      <c r="S12" s="2"/>
      <c r="T12" s="2"/>
      <c r="U12" s="2"/>
      <c r="V12" s="2"/>
      <c r="W12" s="2"/>
      <c r="X12" s="2"/>
      <c r="Y12" s="2"/>
      <c r="Z12" s="2"/>
      <c r="AA12" s="1"/>
      <c r="AB12" s="2"/>
      <c r="AC12" s="2"/>
      <c r="AD12" s="2"/>
      <c r="AE12" s="2"/>
      <c r="AF12" s="2"/>
      <c r="AG12" s="2"/>
    </row>
    <row r="13" spans="1:65" s="37" customFormat="1" ht="12.75" x14ac:dyDescent="0.2">
      <c r="A13" s="13">
        <f t="shared" si="0"/>
        <v>1</v>
      </c>
      <c r="B13" s="11"/>
      <c r="C13" s="1"/>
      <c r="D13" s="13"/>
      <c r="E13" s="13"/>
      <c r="F13" s="18"/>
      <c r="G13" s="1"/>
      <c r="H13" s="60"/>
      <c r="I13" s="13"/>
      <c r="J13" s="5"/>
      <c r="K13" s="5"/>
      <c r="L13" s="4"/>
      <c r="M13" s="4"/>
      <c r="N13" s="1"/>
      <c r="O13" s="5"/>
      <c r="P13" s="3"/>
      <c r="Q13" s="4"/>
      <c r="R13" s="47"/>
      <c r="S13" s="13"/>
      <c r="T13" s="6"/>
      <c r="U13" s="13"/>
      <c r="V13" s="3"/>
      <c r="W13" s="4"/>
      <c r="X13" s="13"/>
      <c r="Y13" s="48"/>
      <c r="Z13" s="48"/>
      <c r="AA13" s="20"/>
      <c r="AB13" s="48"/>
      <c r="AC13" s="48"/>
      <c r="AD13" s="7"/>
      <c r="AE13" s="2"/>
      <c r="AF13" s="2"/>
      <c r="AG13" s="2"/>
    </row>
    <row r="14" spans="1:65" s="37" customFormat="1" ht="12.75" x14ac:dyDescent="0.2">
      <c r="A14" s="13">
        <f t="shared" si="0"/>
        <v>1</v>
      </c>
      <c r="B14" s="11"/>
      <c r="C14" s="1"/>
      <c r="D14" s="13"/>
      <c r="E14" s="13"/>
      <c r="F14" s="18"/>
      <c r="G14" s="1"/>
      <c r="H14" s="60"/>
      <c r="I14" s="13"/>
      <c r="J14" s="5"/>
      <c r="K14" s="5"/>
      <c r="L14" s="4"/>
      <c r="M14" s="4"/>
      <c r="N14" s="1"/>
      <c r="O14" s="5"/>
      <c r="P14" s="3"/>
      <c r="Q14" s="4"/>
      <c r="R14" s="47"/>
      <c r="S14" s="13"/>
      <c r="T14" s="6"/>
      <c r="U14" s="13"/>
      <c r="V14" s="3"/>
      <c r="W14" s="4"/>
      <c r="X14" s="13"/>
      <c r="Y14" s="48"/>
      <c r="Z14" s="48"/>
      <c r="AA14" s="20"/>
      <c r="AB14" s="48"/>
      <c r="AC14" s="48"/>
      <c r="AD14" s="7"/>
      <c r="AE14" s="2"/>
      <c r="AF14" s="2"/>
      <c r="AG14" s="2"/>
    </row>
    <row r="15" spans="1:65" s="37" customFormat="1" ht="56.25" customHeight="1" x14ac:dyDescent="0.2">
      <c r="A15" s="13">
        <f t="shared" si="0"/>
        <v>2</v>
      </c>
      <c r="B15" s="11">
        <v>2</v>
      </c>
      <c r="C15" s="21" t="s">
        <v>59</v>
      </c>
      <c r="D15" s="114">
        <v>12</v>
      </c>
      <c r="E15" s="13">
        <v>85</v>
      </c>
      <c r="F15" s="18">
        <v>37</v>
      </c>
      <c r="G15" s="84" t="s">
        <v>2030</v>
      </c>
      <c r="H15" s="60">
        <v>181.7</v>
      </c>
      <c r="I15" s="13"/>
      <c r="J15" s="5"/>
      <c r="K15" s="5"/>
      <c r="L15" s="4"/>
      <c r="M15" s="4"/>
      <c r="N15" s="16" t="s">
        <v>61</v>
      </c>
      <c r="O15" s="5">
        <v>5</v>
      </c>
      <c r="P15" s="3"/>
      <c r="Q15" s="4"/>
      <c r="R15" s="47" t="s">
        <v>62</v>
      </c>
      <c r="S15" s="13" t="s">
        <v>53</v>
      </c>
      <c r="T15" s="6">
        <v>104.4</v>
      </c>
      <c r="U15" s="13"/>
      <c r="V15" s="3"/>
      <c r="W15" s="4"/>
      <c r="X15" s="18" t="s">
        <v>63</v>
      </c>
      <c r="Y15" s="48" t="s">
        <v>63</v>
      </c>
      <c r="Z15" s="48" t="s">
        <v>56</v>
      </c>
      <c r="AA15" s="20" t="s">
        <v>57</v>
      </c>
      <c r="AB15" s="48" t="s">
        <v>63</v>
      </c>
      <c r="AC15" s="49"/>
      <c r="AD15" s="7"/>
      <c r="AE15" s="84" t="s">
        <v>626</v>
      </c>
      <c r="AF15" s="84"/>
      <c r="AG15" s="84"/>
    </row>
    <row r="16" spans="1:65" s="37" customFormat="1" ht="56.25" customHeight="1" x14ac:dyDescent="0.2">
      <c r="A16" s="13">
        <f t="shared" si="0"/>
        <v>2</v>
      </c>
      <c r="B16" s="11"/>
      <c r="C16" s="1" t="s">
        <v>60</v>
      </c>
      <c r="D16" s="13"/>
      <c r="E16" s="13">
        <v>85</v>
      </c>
      <c r="F16" s="18">
        <v>37</v>
      </c>
      <c r="I16" s="17"/>
      <c r="J16" s="5"/>
      <c r="K16" s="5"/>
      <c r="L16" s="4"/>
      <c r="M16" s="4"/>
      <c r="N16" s="1" t="s">
        <v>64</v>
      </c>
      <c r="O16" s="5">
        <v>2</v>
      </c>
      <c r="P16" s="3"/>
      <c r="Q16" s="4"/>
      <c r="R16" s="47" t="s">
        <v>65</v>
      </c>
      <c r="S16" s="13" t="s">
        <v>53</v>
      </c>
      <c r="T16" s="6">
        <v>47.940000000000005</v>
      </c>
      <c r="U16" s="13"/>
      <c r="V16" s="3"/>
      <c r="W16" s="4"/>
      <c r="X16" s="13"/>
      <c r="Y16" s="48" t="s">
        <v>55</v>
      </c>
      <c r="Z16" s="48" t="s">
        <v>56</v>
      </c>
      <c r="AA16" s="20"/>
      <c r="AB16" s="48" t="s">
        <v>66</v>
      </c>
      <c r="AC16" s="48"/>
      <c r="AD16" s="7"/>
      <c r="AE16" s="1" t="s">
        <v>418</v>
      </c>
      <c r="AF16" s="1"/>
      <c r="AG16" s="1"/>
    </row>
    <row r="17" spans="1:33" s="37" customFormat="1" ht="74.25" customHeight="1" x14ac:dyDescent="0.2">
      <c r="A17" s="13">
        <f t="shared" si="0"/>
        <v>2</v>
      </c>
      <c r="B17" s="14"/>
      <c r="C17" s="82" t="s">
        <v>627</v>
      </c>
      <c r="D17" s="13"/>
      <c r="E17" s="13"/>
      <c r="F17" s="18"/>
      <c r="I17" s="13"/>
      <c r="J17" s="5"/>
      <c r="K17" s="5"/>
      <c r="L17" s="4"/>
      <c r="M17" s="4"/>
      <c r="N17" s="1" t="s">
        <v>67</v>
      </c>
      <c r="O17" s="5">
        <v>5</v>
      </c>
      <c r="P17" s="3"/>
      <c r="Q17" s="4"/>
      <c r="R17" s="47" t="s">
        <v>68</v>
      </c>
      <c r="S17" s="13" t="s">
        <v>53</v>
      </c>
      <c r="T17" s="6">
        <v>17.7</v>
      </c>
      <c r="U17" s="13">
        <v>12.7</v>
      </c>
      <c r="V17" s="3"/>
      <c r="W17" s="4"/>
      <c r="X17" s="13"/>
      <c r="Y17" s="48"/>
      <c r="Z17" s="48"/>
      <c r="AA17" s="20"/>
      <c r="AB17" s="48"/>
      <c r="AC17" s="48"/>
      <c r="AD17" s="7"/>
      <c r="AE17" s="1" t="s">
        <v>720</v>
      </c>
      <c r="AF17" s="1"/>
      <c r="AG17" s="1"/>
    </row>
    <row r="18" spans="1:33" s="37" customFormat="1" ht="25.5" x14ac:dyDescent="0.2">
      <c r="A18" s="13">
        <f t="shared" si="0"/>
        <v>2</v>
      </c>
      <c r="B18" s="11"/>
      <c r="C18" s="1" t="s">
        <v>306</v>
      </c>
      <c r="D18" s="13"/>
      <c r="E18" s="13"/>
      <c r="F18" s="18"/>
      <c r="G18" s="1" t="s">
        <v>417</v>
      </c>
      <c r="H18" s="60">
        <v>354.5</v>
      </c>
      <c r="I18" s="13"/>
      <c r="J18" s="5"/>
      <c r="K18" s="5"/>
      <c r="L18" s="4"/>
      <c r="M18" s="4"/>
      <c r="N18" s="16" t="s">
        <v>69</v>
      </c>
      <c r="O18" s="5">
        <v>6</v>
      </c>
      <c r="P18" s="3"/>
      <c r="Q18" s="4"/>
      <c r="R18" s="47" t="s">
        <v>241</v>
      </c>
      <c r="S18" s="13" t="s">
        <v>53</v>
      </c>
      <c r="T18" s="6">
        <v>17.899999999999999</v>
      </c>
      <c r="U18" s="17">
        <v>9.1</v>
      </c>
      <c r="V18" s="3"/>
      <c r="W18" s="4"/>
      <c r="X18" s="13"/>
      <c r="Y18" s="48"/>
      <c r="Z18" s="48"/>
      <c r="AA18" s="20"/>
      <c r="AB18" s="48"/>
      <c r="AC18" s="48"/>
      <c r="AD18" s="7"/>
      <c r="AE18" s="1" t="s">
        <v>721</v>
      </c>
      <c r="AF18" s="1"/>
      <c r="AG18" s="1"/>
    </row>
    <row r="19" spans="1:33" s="37" customFormat="1" ht="75" customHeight="1" x14ac:dyDescent="0.2">
      <c r="A19" s="13">
        <f t="shared" si="0"/>
        <v>2</v>
      </c>
      <c r="B19" s="11"/>
      <c r="C19" s="1"/>
      <c r="D19" s="14"/>
      <c r="E19" s="11"/>
      <c r="F19" s="15"/>
      <c r="G19" s="1" t="s">
        <v>2029</v>
      </c>
      <c r="H19" s="60">
        <v>30.8</v>
      </c>
      <c r="I19" s="11"/>
      <c r="J19" s="8"/>
      <c r="K19" s="8"/>
      <c r="L19" s="9"/>
      <c r="M19" s="9"/>
      <c r="N19" s="16" t="s">
        <v>70</v>
      </c>
      <c r="O19" s="5">
        <v>4</v>
      </c>
      <c r="P19" s="7"/>
      <c r="Q19" s="9"/>
      <c r="R19" s="47" t="s">
        <v>71</v>
      </c>
      <c r="S19" s="13" t="s">
        <v>53</v>
      </c>
      <c r="T19" s="6">
        <v>53.51</v>
      </c>
      <c r="U19" s="11"/>
      <c r="V19" s="7"/>
      <c r="W19" s="9"/>
      <c r="X19" s="15"/>
      <c r="Y19" s="49"/>
      <c r="Z19" s="49"/>
      <c r="AA19" s="256"/>
      <c r="AB19" s="49"/>
      <c r="AC19" s="48"/>
      <c r="AD19" s="7"/>
      <c r="AE19" s="1" t="s">
        <v>419</v>
      </c>
      <c r="AF19" s="1"/>
      <c r="AG19" s="1"/>
    </row>
    <row r="20" spans="1:33" s="37" customFormat="1" ht="24.75" customHeight="1" x14ac:dyDescent="0.2">
      <c r="A20" s="13">
        <f t="shared" si="0"/>
        <v>2</v>
      </c>
      <c r="B20" s="11"/>
      <c r="C20" s="92"/>
      <c r="D20" s="114"/>
      <c r="E20" s="13"/>
      <c r="F20" s="18"/>
      <c r="G20" s="84"/>
      <c r="H20" s="60"/>
      <c r="I20" s="13"/>
      <c r="J20" s="5"/>
      <c r="K20" s="5"/>
      <c r="L20" s="4"/>
      <c r="M20" s="4"/>
      <c r="N20" s="16" t="s">
        <v>72</v>
      </c>
      <c r="O20" s="5">
        <v>152</v>
      </c>
      <c r="P20" s="3"/>
      <c r="Q20" s="4"/>
      <c r="R20" s="47" t="s">
        <v>367</v>
      </c>
      <c r="S20" s="13" t="s">
        <v>53</v>
      </c>
      <c r="T20" s="6">
        <v>73.680000000000007</v>
      </c>
      <c r="U20" s="13"/>
      <c r="V20" s="3"/>
      <c r="W20" s="4"/>
      <c r="X20" s="18"/>
      <c r="Y20" s="48"/>
      <c r="Z20" s="48"/>
      <c r="AA20" s="20"/>
      <c r="AB20" s="48"/>
      <c r="AC20" s="49"/>
      <c r="AD20" s="7"/>
      <c r="AE20" s="2" t="s">
        <v>370</v>
      </c>
      <c r="AF20" s="2"/>
      <c r="AG20" s="2"/>
    </row>
    <row r="21" spans="1:33" s="37" customFormat="1" ht="30" customHeight="1" x14ac:dyDescent="0.2">
      <c r="A21" s="13">
        <f t="shared" si="0"/>
        <v>2</v>
      </c>
      <c r="B21" s="11"/>
      <c r="C21" s="1"/>
      <c r="D21" s="13"/>
      <c r="E21" s="13"/>
      <c r="F21" s="18"/>
      <c r="G21" s="84"/>
      <c r="H21" s="60"/>
      <c r="I21" s="17"/>
      <c r="J21" s="5"/>
      <c r="K21" s="5"/>
      <c r="L21" s="4"/>
      <c r="M21" s="4"/>
      <c r="N21" s="1" t="s">
        <v>73</v>
      </c>
      <c r="O21" s="5">
        <v>101</v>
      </c>
      <c r="P21" s="3"/>
      <c r="Q21" s="4"/>
      <c r="R21" s="47" t="s">
        <v>74</v>
      </c>
      <c r="S21" s="13" t="s">
        <v>53</v>
      </c>
      <c r="T21" s="6">
        <v>8.3000000000000007</v>
      </c>
      <c r="U21" s="13"/>
      <c r="V21" s="3"/>
      <c r="W21" s="4"/>
      <c r="X21" s="13" t="s">
        <v>63</v>
      </c>
      <c r="Y21" s="48" t="s">
        <v>63</v>
      </c>
      <c r="Z21" s="48" t="s">
        <v>56</v>
      </c>
      <c r="AA21" s="20" t="s">
        <v>57</v>
      </c>
      <c r="AB21" s="48" t="s">
        <v>63</v>
      </c>
      <c r="AC21" s="48"/>
      <c r="AD21" s="7"/>
      <c r="AE21" s="2" t="s">
        <v>420</v>
      </c>
      <c r="AF21" s="2"/>
      <c r="AG21" s="2"/>
    </row>
    <row r="22" spans="1:33" s="37" customFormat="1" ht="63.75" x14ac:dyDescent="0.2">
      <c r="A22" s="13">
        <f t="shared" si="0"/>
        <v>2</v>
      </c>
      <c r="B22" s="14"/>
      <c r="C22" s="82"/>
      <c r="D22" s="13"/>
      <c r="E22" s="13"/>
      <c r="F22" s="18"/>
      <c r="G22" s="1"/>
      <c r="H22" s="60"/>
      <c r="I22" s="13"/>
      <c r="J22" s="5"/>
      <c r="K22" s="5"/>
      <c r="L22" s="4"/>
      <c r="M22" s="4"/>
      <c r="N22" s="16" t="s">
        <v>75</v>
      </c>
      <c r="O22" s="5">
        <v>145</v>
      </c>
      <c r="P22" s="3"/>
      <c r="Q22" s="4"/>
      <c r="R22" s="47" t="s">
        <v>397</v>
      </c>
      <c r="S22" s="13" t="s">
        <v>53</v>
      </c>
      <c r="T22" s="6">
        <v>8.0500000000000007</v>
      </c>
      <c r="U22" s="17"/>
      <c r="V22" s="3"/>
      <c r="W22" s="4"/>
      <c r="X22" s="13"/>
      <c r="Y22" s="48"/>
      <c r="Z22" s="48"/>
      <c r="AA22" s="20"/>
      <c r="AB22" s="48"/>
      <c r="AC22" s="48"/>
      <c r="AD22" s="7"/>
      <c r="AE22" s="1" t="s">
        <v>1730</v>
      </c>
      <c r="AF22" s="1"/>
      <c r="AG22" s="1"/>
    </row>
    <row r="23" spans="1:33" s="37" customFormat="1" ht="18.75" customHeight="1" x14ac:dyDescent="0.2">
      <c r="A23" s="13">
        <f t="shared" si="0"/>
        <v>2</v>
      </c>
      <c r="B23" s="11"/>
      <c r="C23" s="21"/>
      <c r="D23" s="11"/>
      <c r="E23" s="11"/>
      <c r="F23" s="15"/>
      <c r="G23" s="21"/>
      <c r="H23" s="60"/>
      <c r="I23" s="13"/>
      <c r="J23" s="5"/>
      <c r="K23" s="5"/>
      <c r="L23" s="4"/>
      <c r="M23" s="4"/>
      <c r="N23" s="1" t="s">
        <v>76</v>
      </c>
      <c r="O23" s="5">
        <v>1</v>
      </c>
      <c r="P23" s="3"/>
      <c r="Q23" s="4"/>
      <c r="R23" s="47" t="s">
        <v>71</v>
      </c>
      <c r="S23" s="13" t="s">
        <v>53</v>
      </c>
      <c r="T23" s="6">
        <v>8.0500000000000007</v>
      </c>
      <c r="U23" s="168"/>
      <c r="V23" s="3"/>
      <c r="W23" s="4"/>
      <c r="X23" s="13"/>
      <c r="Y23" s="48"/>
      <c r="Z23" s="48"/>
      <c r="AA23" s="20"/>
      <c r="AB23" s="48"/>
      <c r="AC23" s="48"/>
      <c r="AD23" s="7"/>
      <c r="AE23" s="1"/>
      <c r="AF23" s="1"/>
      <c r="AG23" s="1"/>
    </row>
    <row r="24" spans="1:33" s="37" customFormat="1" ht="18.75" customHeight="1" x14ac:dyDescent="0.2">
      <c r="A24" s="13">
        <f t="shared" si="0"/>
        <v>2</v>
      </c>
      <c r="B24" s="11"/>
      <c r="C24" s="21"/>
      <c r="D24" s="11"/>
      <c r="E24" s="11"/>
      <c r="F24" s="15"/>
      <c r="G24" s="21"/>
      <c r="H24" s="60"/>
      <c r="I24" s="13"/>
      <c r="J24" s="5"/>
      <c r="K24" s="5"/>
      <c r="L24" s="4"/>
      <c r="M24" s="4"/>
      <c r="N24" s="1" t="s">
        <v>77</v>
      </c>
      <c r="O24" s="5">
        <v>2</v>
      </c>
      <c r="P24" s="3"/>
      <c r="Q24" s="4"/>
      <c r="R24" s="47" t="s">
        <v>421</v>
      </c>
      <c r="S24" s="13" t="s">
        <v>78</v>
      </c>
      <c r="T24" s="6">
        <v>20.13</v>
      </c>
      <c r="U24" s="168"/>
      <c r="V24" s="3"/>
      <c r="W24" s="4"/>
      <c r="X24" s="13"/>
      <c r="Y24" s="48"/>
      <c r="Z24" s="48"/>
      <c r="AA24" s="20"/>
      <c r="AB24" s="48"/>
      <c r="AC24" s="48"/>
      <c r="AD24" s="7"/>
      <c r="AE24" s="12"/>
      <c r="AF24" s="12"/>
      <c r="AG24" s="12"/>
    </row>
    <row r="25" spans="1:33" s="37" customFormat="1" ht="33.75" customHeight="1" x14ac:dyDescent="0.2">
      <c r="A25" s="13">
        <f t="shared" si="0"/>
        <v>2</v>
      </c>
      <c r="B25" s="11"/>
      <c r="C25" s="21"/>
      <c r="D25" s="14"/>
      <c r="E25" s="11"/>
      <c r="F25" s="15"/>
      <c r="G25" s="21"/>
      <c r="H25" s="60"/>
      <c r="I25" s="11"/>
      <c r="J25" s="8"/>
      <c r="K25" s="8"/>
      <c r="L25" s="9"/>
      <c r="M25" s="9"/>
      <c r="N25" s="16" t="s">
        <v>79</v>
      </c>
      <c r="O25" s="5">
        <v>1</v>
      </c>
      <c r="P25" s="7"/>
      <c r="Q25" s="9"/>
      <c r="R25" s="47" t="s">
        <v>422</v>
      </c>
      <c r="S25" s="13" t="s">
        <v>53</v>
      </c>
      <c r="T25" s="6">
        <v>23.45</v>
      </c>
      <c r="U25" s="11"/>
      <c r="V25" s="7"/>
      <c r="W25" s="9"/>
      <c r="X25" s="15"/>
      <c r="Y25" s="49"/>
      <c r="Z25" s="49"/>
      <c r="AA25" s="256"/>
      <c r="AB25" s="49"/>
      <c r="AC25" s="48"/>
      <c r="AD25" s="7"/>
      <c r="AE25" s="12"/>
      <c r="AF25" s="12"/>
      <c r="AG25" s="12"/>
    </row>
    <row r="26" spans="1:33" s="37" customFormat="1" ht="25.5" x14ac:dyDescent="0.2">
      <c r="A26" s="13">
        <f t="shared" si="0"/>
        <v>2</v>
      </c>
      <c r="B26" s="11"/>
      <c r="C26" s="92"/>
      <c r="D26" s="114"/>
      <c r="E26" s="13"/>
      <c r="F26" s="18"/>
      <c r="G26" s="1"/>
      <c r="H26" s="60"/>
      <c r="I26" s="13"/>
      <c r="J26" s="5"/>
      <c r="K26" s="5"/>
      <c r="L26" s="4"/>
      <c r="M26" s="4"/>
      <c r="N26" s="16" t="s">
        <v>80</v>
      </c>
      <c r="O26" s="5">
        <v>2</v>
      </c>
      <c r="P26" s="3"/>
      <c r="Q26" s="4"/>
      <c r="R26" s="47" t="s">
        <v>81</v>
      </c>
      <c r="S26" s="13" t="s">
        <v>53</v>
      </c>
      <c r="T26" s="6">
        <v>4.5999999999999996</v>
      </c>
      <c r="U26" s="13"/>
      <c r="V26" s="3"/>
      <c r="W26" s="4"/>
      <c r="X26" s="18"/>
      <c r="Y26" s="48" t="s">
        <v>55</v>
      </c>
      <c r="Z26" s="48" t="s">
        <v>82</v>
      </c>
      <c r="AA26" s="20" t="s">
        <v>83</v>
      </c>
      <c r="AB26" s="48" t="s">
        <v>66</v>
      </c>
      <c r="AC26" s="49"/>
      <c r="AD26" s="7"/>
      <c r="AE26" s="12"/>
      <c r="AF26" s="12"/>
      <c r="AG26" s="12"/>
    </row>
    <row r="27" spans="1:33" s="37" customFormat="1" ht="25.5" customHeight="1" x14ac:dyDescent="0.2">
      <c r="A27" s="13">
        <f t="shared" si="0"/>
        <v>2</v>
      </c>
      <c r="B27" s="11"/>
      <c r="C27" s="1"/>
      <c r="D27" s="13"/>
      <c r="E27" s="13"/>
      <c r="F27" s="18"/>
      <c r="G27" s="84"/>
      <c r="H27" s="60"/>
      <c r="I27" s="17"/>
      <c r="J27" s="5"/>
      <c r="K27" s="5"/>
      <c r="L27" s="4"/>
      <c r="M27" s="4"/>
      <c r="N27" s="1" t="s">
        <v>84</v>
      </c>
      <c r="O27" s="5">
        <v>1</v>
      </c>
      <c r="P27" s="3"/>
      <c r="Q27" s="4"/>
      <c r="R27" s="47" t="s">
        <v>368</v>
      </c>
      <c r="S27" s="13" t="s">
        <v>53</v>
      </c>
      <c r="T27" s="6">
        <v>1.2</v>
      </c>
      <c r="U27" s="13"/>
      <c r="V27" s="3"/>
      <c r="W27" s="4"/>
      <c r="X27" s="13"/>
      <c r="Y27" s="48" t="s">
        <v>85</v>
      </c>
      <c r="Z27" s="48" t="s">
        <v>56</v>
      </c>
      <c r="AA27" s="20" t="s">
        <v>57</v>
      </c>
      <c r="AB27" s="48" t="s">
        <v>54</v>
      </c>
      <c r="AC27" s="48"/>
      <c r="AD27" s="7"/>
      <c r="AE27" s="2"/>
      <c r="AF27" s="2"/>
      <c r="AG27" s="2"/>
    </row>
    <row r="28" spans="1:33" s="37" customFormat="1" ht="25.5" x14ac:dyDescent="0.2">
      <c r="A28" s="13">
        <f t="shared" si="0"/>
        <v>2</v>
      </c>
      <c r="B28" s="14"/>
      <c r="C28" s="82"/>
      <c r="D28" s="13"/>
      <c r="E28" s="13"/>
      <c r="F28" s="18"/>
      <c r="G28" s="1"/>
      <c r="H28" s="60"/>
      <c r="I28" s="13"/>
      <c r="J28" s="5"/>
      <c r="K28" s="5"/>
      <c r="L28" s="4"/>
      <c r="M28" s="4"/>
      <c r="N28" s="1" t="s">
        <v>725</v>
      </c>
      <c r="O28" s="5">
        <v>1</v>
      </c>
      <c r="P28" s="3"/>
      <c r="Q28" s="4"/>
      <c r="R28" s="47" t="s">
        <v>81</v>
      </c>
      <c r="S28" s="13" t="s">
        <v>53</v>
      </c>
      <c r="T28" s="6">
        <v>4.5599999999999996</v>
      </c>
      <c r="U28" s="13"/>
      <c r="V28" s="3"/>
      <c r="W28" s="4"/>
      <c r="X28" s="13"/>
      <c r="Y28" s="48" t="s">
        <v>86</v>
      </c>
      <c r="Z28" s="48" t="s">
        <v>87</v>
      </c>
      <c r="AA28" s="20" t="s">
        <v>83</v>
      </c>
      <c r="AB28" s="48" t="s">
        <v>88</v>
      </c>
      <c r="AC28" s="48"/>
      <c r="AD28" s="7"/>
      <c r="AE28" s="84"/>
      <c r="AF28" s="84"/>
      <c r="AG28" s="84"/>
    </row>
    <row r="29" spans="1:33" s="37" customFormat="1" ht="31.5" customHeight="1" x14ac:dyDescent="0.2">
      <c r="A29" s="13">
        <f t="shared" si="0"/>
        <v>2</v>
      </c>
      <c r="B29" s="11"/>
      <c r="C29" s="21"/>
      <c r="D29" s="13"/>
      <c r="E29" s="13"/>
      <c r="F29" s="18"/>
      <c r="G29" s="1"/>
      <c r="H29" s="60"/>
      <c r="I29" s="13"/>
      <c r="J29" s="5"/>
      <c r="K29" s="5"/>
      <c r="L29" s="4"/>
      <c r="M29" s="4"/>
      <c r="N29" s="1" t="s">
        <v>726</v>
      </c>
      <c r="O29" s="5">
        <v>1</v>
      </c>
      <c r="P29" s="3"/>
      <c r="Q29" s="4"/>
      <c r="R29" s="47" t="s">
        <v>423</v>
      </c>
      <c r="S29" s="13" t="s">
        <v>53</v>
      </c>
      <c r="T29" s="6">
        <v>74.16</v>
      </c>
      <c r="U29" s="13"/>
      <c r="V29" s="3"/>
      <c r="W29" s="4"/>
      <c r="X29" s="13"/>
      <c r="Y29" s="48"/>
      <c r="Z29" s="48"/>
      <c r="AA29" s="20"/>
      <c r="AB29" s="48"/>
      <c r="AC29" s="48"/>
      <c r="AD29" s="7"/>
      <c r="AE29" s="2"/>
      <c r="AF29" s="2"/>
      <c r="AG29" s="2"/>
    </row>
    <row r="30" spans="1:33" s="37" customFormat="1" ht="19.5" customHeight="1" x14ac:dyDescent="0.2">
      <c r="A30" s="13">
        <f t="shared" si="0"/>
        <v>2</v>
      </c>
      <c r="B30" s="11"/>
      <c r="C30" s="21"/>
      <c r="D30" s="13"/>
      <c r="E30" s="13"/>
      <c r="F30" s="18"/>
      <c r="G30" s="1"/>
      <c r="H30" s="60"/>
      <c r="I30" s="13"/>
      <c r="J30" s="5"/>
      <c r="K30" s="5"/>
      <c r="L30" s="4"/>
      <c r="M30" s="4"/>
      <c r="N30" s="1" t="s">
        <v>727</v>
      </c>
      <c r="O30" s="5">
        <v>1</v>
      </c>
      <c r="P30" s="3"/>
      <c r="Q30" s="4"/>
      <c r="R30" s="47" t="s">
        <v>424</v>
      </c>
      <c r="S30" s="13" t="s">
        <v>53</v>
      </c>
      <c r="T30" s="6">
        <v>15.08</v>
      </c>
      <c r="U30" s="13"/>
      <c r="V30" s="3"/>
      <c r="W30" s="4"/>
      <c r="X30" s="13"/>
      <c r="Y30" s="48" t="s">
        <v>63</v>
      </c>
      <c r="Z30" s="48" t="s">
        <v>56</v>
      </c>
      <c r="AA30" s="20"/>
      <c r="AB30" s="48" t="s">
        <v>63</v>
      </c>
      <c r="AC30" s="48"/>
      <c r="AD30" s="7"/>
      <c r="AE30" s="2"/>
      <c r="AF30" s="2"/>
      <c r="AG30" s="2"/>
    </row>
    <row r="31" spans="1:33" s="37" customFormat="1" ht="18.75" x14ac:dyDescent="0.2">
      <c r="A31" s="13">
        <f t="shared" si="0"/>
        <v>2</v>
      </c>
      <c r="B31" s="11"/>
      <c r="C31" s="21"/>
      <c r="D31" s="14"/>
      <c r="E31" s="11"/>
      <c r="F31" s="15"/>
      <c r="G31" s="21"/>
      <c r="H31" s="60"/>
      <c r="I31" s="169"/>
      <c r="J31" s="7"/>
      <c r="K31" s="7"/>
      <c r="L31" s="7"/>
      <c r="M31" s="7"/>
      <c r="N31" s="84" t="s">
        <v>728</v>
      </c>
      <c r="O31" s="5">
        <v>1</v>
      </c>
      <c r="P31" s="7"/>
      <c r="Q31" s="9"/>
      <c r="R31" s="84" t="s">
        <v>425</v>
      </c>
      <c r="S31" s="87" t="s">
        <v>53</v>
      </c>
      <c r="T31" s="6">
        <v>14.75</v>
      </c>
      <c r="U31" s="128"/>
      <c r="V31" s="7"/>
      <c r="W31" s="9"/>
      <c r="X31" s="15"/>
      <c r="Y31" s="48" t="s">
        <v>63</v>
      </c>
      <c r="Z31" s="48" t="s">
        <v>56</v>
      </c>
      <c r="AA31" s="20"/>
      <c r="AB31" s="48" t="s">
        <v>63</v>
      </c>
      <c r="AC31" s="48"/>
      <c r="AD31" s="7"/>
      <c r="AE31" s="2"/>
      <c r="AF31" s="2"/>
      <c r="AG31" s="2"/>
    </row>
    <row r="32" spans="1:33" s="37" customFormat="1" ht="18.75" x14ac:dyDescent="0.2">
      <c r="A32" s="13">
        <f t="shared" si="0"/>
        <v>2</v>
      </c>
      <c r="B32" s="11"/>
      <c r="C32" s="92"/>
      <c r="D32" s="114"/>
      <c r="E32" s="13"/>
      <c r="F32" s="18"/>
      <c r="G32" s="1"/>
      <c r="H32" s="60"/>
      <c r="I32" s="53"/>
      <c r="J32" s="3"/>
      <c r="K32" s="3"/>
      <c r="L32" s="3"/>
      <c r="M32" s="3"/>
      <c r="N32" s="84" t="s">
        <v>89</v>
      </c>
      <c r="O32" s="5">
        <v>1</v>
      </c>
      <c r="P32" s="3"/>
      <c r="Q32" s="4"/>
      <c r="R32" s="84" t="s">
        <v>426</v>
      </c>
      <c r="S32" s="87" t="s">
        <v>53</v>
      </c>
      <c r="T32" s="6">
        <v>88</v>
      </c>
      <c r="U32" s="129"/>
      <c r="V32" s="3"/>
      <c r="W32" s="4"/>
      <c r="X32" s="18"/>
      <c r="Y32" s="48" t="s">
        <v>90</v>
      </c>
      <c r="Z32" s="48" t="s">
        <v>56</v>
      </c>
      <c r="AA32" s="20" t="s">
        <v>57</v>
      </c>
      <c r="AB32" s="48" t="s">
        <v>63</v>
      </c>
      <c r="AC32" s="49"/>
      <c r="AD32" s="7"/>
      <c r="AE32" s="12"/>
      <c r="AF32" s="12"/>
      <c r="AG32" s="12"/>
    </row>
    <row r="33" spans="1:33" s="37" customFormat="1" ht="31.5" customHeight="1" x14ac:dyDescent="0.2">
      <c r="A33" s="13">
        <f t="shared" si="0"/>
        <v>2</v>
      </c>
      <c r="B33" s="11"/>
      <c r="C33" s="82"/>
      <c r="D33" s="87"/>
      <c r="E33" s="10"/>
      <c r="F33" s="133"/>
      <c r="G33" s="84"/>
      <c r="H33" s="60"/>
      <c r="I33" s="2"/>
      <c r="J33" s="3"/>
      <c r="K33" s="3"/>
      <c r="L33" s="3"/>
      <c r="M33" s="3"/>
      <c r="N33" s="84" t="s">
        <v>91</v>
      </c>
      <c r="O33" s="5">
        <v>1</v>
      </c>
      <c r="P33" s="3"/>
      <c r="Q33" s="4"/>
      <c r="R33" s="84" t="s">
        <v>92</v>
      </c>
      <c r="S33" s="87" t="s">
        <v>53</v>
      </c>
      <c r="T33" s="6">
        <v>2.66</v>
      </c>
      <c r="U33" s="129"/>
      <c r="V33" s="3"/>
      <c r="W33" s="4"/>
      <c r="X33" s="13"/>
      <c r="Y33" s="48" t="s">
        <v>63</v>
      </c>
      <c r="Z33" s="48" t="s">
        <v>56</v>
      </c>
      <c r="AA33" s="20" t="s">
        <v>57</v>
      </c>
      <c r="AB33" s="48" t="s">
        <v>63</v>
      </c>
      <c r="AC33" s="48" t="s">
        <v>58</v>
      </c>
      <c r="AD33" s="7"/>
      <c r="AE33" s="2"/>
      <c r="AF33" s="2"/>
      <c r="AG33" s="2"/>
    </row>
    <row r="34" spans="1:33" s="37" customFormat="1" ht="20.25" customHeight="1" x14ac:dyDescent="0.2">
      <c r="A34" s="13">
        <f t="shared" si="0"/>
        <v>2</v>
      </c>
      <c r="B34" s="14"/>
      <c r="C34" s="84"/>
      <c r="D34" s="87"/>
      <c r="E34" s="10"/>
      <c r="F34" s="18"/>
      <c r="G34" s="1"/>
      <c r="H34" s="60"/>
      <c r="I34" s="2"/>
      <c r="J34" s="3"/>
      <c r="K34" s="3"/>
      <c r="L34" s="3"/>
      <c r="M34" s="3"/>
      <c r="N34" s="84" t="s">
        <v>72</v>
      </c>
      <c r="O34" s="5">
        <v>63</v>
      </c>
      <c r="P34" s="3"/>
      <c r="Q34" s="4"/>
      <c r="R34" s="84" t="s">
        <v>369</v>
      </c>
      <c r="S34" s="87" t="s">
        <v>53</v>
      </c>
      <c r="T34" s="6">
        <v>4</v>
      </c>
      <c r="U34" s="129"/>
      <c r="V34" s="3"/>
      <c r="W34" s="4"/>
      <c r="X34" s="13"/>
      <c r="Y34" s="48" t="s">
        <v>63</v>
      </c>
      <c r="Z34" s="48" t="s">
        <v>56</v>
      </c>
      <c r="AA34" s="20" t="s">
        <v>57</v>
      </c>
      <c r="AB34" s="48" t="s">
        <v>63</v>
      </c>
      <c r="AC34" s="48"/>
      <c r="AD34" s="7"/>
      <c r="AE34" s="2"/>
      <c r="AF34" s="2"/>
      <c r="AG34" s="2"/>
    </row>
    <row r="35" spans="1:33" s="37" customFormat="1" ht="20.25" customHeight="1" x14ac:dyDescent="0.2">
      <c r="A35" s="13">
        <f t="shared" si="0"/>
        <v>2</v>
      </c>
      <c r="B35" s="11"/>
      <c r="C35" s="84"/>
      <c r="D35" s="13"/>
      <c r="E35" s="13"/>
      <c r="F35" s="18"/>
      <c r="G35" s="1"/>
      <c r="H35" s="60"/>
      <c r="I35" s="2"/>
      <c r="J35" s="3"/>
      <c r="K35" s="3"/>
      <c r="L35" s="3"/>
      <c r="M35" s="3"/>
      <c r="N35" s="84" t="s">
        <v>73</v>
      </c>
      <c r="O35" s="5">
        <v>44</v>
      </c>
      <c r="P35" s="3"/>
      <c r="Q35" s="4"/>
      <c r="R35" s="84" t="s">
        <v>427</v>
      </c>
      <c r="S35" s="87" t="s">
        <v>53</v>
      </c>
      <c r="T35" s="6">
        <v>47.940000000000005</v>
      </c>
      <c r="U35" s="129"/>
      <c r="V35" s="3"/>
      <c r="W35" s="4"/>
      <c r="X35" s="13"/>
      <c r="Y35" s="48"/>
      <c r="Z35" s="48"/>
      <c r="AA35" s="20"/>
      <c r="AB35" s="48"/>
      <c r="AC35" s="48"/>
      <c r="AD35" s="7"/>
      <c r="AE35" s="2"/>
      <c r="AF35" s="2"/>
      <c r="AG35" s="2"/>
    </row>
    <row r="36" spans="1:33" s="37" customFormat="1" ht="20.25" customHeight="1" x14ac:dyDescent="0.2">
      <c r="A36" s="13">
        <f t="shared" si="0"/>
        <v>2</v>
      </c>
      <c r="B36" s="11"/>
      <c r="C36" s="21"/>
      <c r="D36" s="13"/>
      <c r="E36" s="13"/>
      <c r="F36" s="18"/>
      <c r="G36" s="1"/>
      <c r="H36" s="60"/>
      <c r="I36" s="2"/>
      <c r="J36" s="3"/>
      <c r="K36" s="3"/>
      <c r="L36" s="3"/>
      <c r="M36" s="3"/>
      <c r="N36" s="84" t="s">
        <v>75</v>
      </c>
      <c r="O36" s="5">
        <v>43</v>
      </c>
      <c r="P36" s="3"/>
      <c r="Q36" s="4"/>
      <c r="R36" s="84" t="s">
        <v>428</v>
      </c>
      <c r="S36" s="87" t="s">
        <v>53</v>
      </c>
      <c r="T36" s="6">
        <v>15.84</v>
      </c>
      <c r="U36" s="129"/>
      <c r="V36" s="3"/>
      <c r="W36" s="4"/>
      <c r="X36" s="13"/>
      <c r="Y36" s="48"/>
      <c r="Z36" s="87"/>
      <c r="AA36" s="87"/>
      <c r="AB36" s="10"/>
      <c r="AC36" s="48"/>
      <c r="AD36" s="7"/>
      <c r="AE36" s="2"/>
      <c r="AF36" s="2"/>
      <c r="AG36" s="2"/>
    </row>
    <row r="37" spans="1:33" s="37" customFormat="1" ht="34.5" customHeight="1" x14ac:dyDescent="0.2">
      <c r="A37" s="13">
        <f t="shared" si="0"/>
        <v>2</v>
      </c>
      <c r="B37" s="11"/>
      <c r="C37" s="21"/>
      <c r="D37" s="13"/>
      <c r="E37" s="13"/>
      <c r="F37" s="18"/>
      <c r="G37" s="1"/>
      <c r="H37" s="60"/>
      <c r="I37" s="2"/>
      <c r="J37" s="3"/>
      <c r="K37" s="3"/>
      <c r="L37" s="3"/>
      <c r="M37" s="3"/>
      <c r="N37" s="84" t="s">
        <v>429</v>
      </c>
      <c r="O37" s="19">
        <v>22</v>
      </c>
      <c r="P37" s="3"/>
      <c r="Q37" s="4"/>
      <c r="R37" s="84" t="s">
        <v>71</v>
      </c>
      <c r="S37" s="87" t="s">
        <v>53</v>
      </c>
      <c r="T37" s="6">
        <v>14.3</v>
      </c>
      <c r="U37" s="129"/>
      <c r="V37" s="3"/>
      <c r="W37" s="4"/>
      <c r="X37" s="13"/>
      <c r="Y37" s="48"/>
      <c r="Z37" s="87"/>
      <c r="AA37" s="87"/>
      <c r="AB37" s="10"/>
      <c r="AC37" s="48"/>
      <c r="AD37" s="7"/>
      <c r="AE37" s="2"/>
      <c r="AF37" s="2"/>
      <c r="AG37" s="2"/>
    </row>
    <row r="38" spans="1:33" s="37" customFormat="1" ht="12.75" x14ac:dyDescent="0.2">
      <c r="A38" s="13">
        <f t="shared" si="0"/>
        <v>2</v>
      </c>
      <c r="B38" s="11"/>
      <c r="C38" s="21"/>
      <c r="D38" s="13"/>
      <c r="E38" s="13"/>
      <c r="F38" s="2"/>
      <c r="G38" s="1"/>
      <c r="H38" s="50"/>
      <c r="I38" s="51"/>
      <c r="J38" s="51"/>
      <c r="K38" s="51"/>
      <c r="L38" s="51"/>
      <c r="M38" s="51"/>
      <c r="N38" s="51"/>
      <c r="O38" s="51"/>
      <c r="P38" s="51"/>
      <c r="Q38" s="51"/>
      <c r="R38" s="2"/>
      <c r="S38" s="51"/>
      <c r="T38" s="51"/>
      <c r="U38" s="50"/>
      <c r="V38" s="51"/>
      <c r="W38" s="51"/>
      <c r="X38" s="50"/>
      <c r="Y38" s="50"/>
      <c r="Z38" s="50"/>
      <c r="AA38" s="257"/>
      <c r="AB38" s="50"/>
      <c r="AC38" s="48"/>
      <c r="AD38" s="7"/>
      <c r="AE38" s="2"/>
      <c r="AF38" s="2"/>
      <c r="AG38" s="2"/>
    </row>
    <row r="39" spans="1:33" s="37" customFormat="1" ht="12.75" x14ac:dyDescent="0.2">
      <c r="A39" s="13">
        <f t="shared" si="0"/>
        <v>2</v>
      </c>
      <c r="B39" s="11"/>
      <c r="C39" s="21"/>
      <c r="D39" s="13"/>
      <c r="E39" s="13"/>
      <c r="F39" s="18"/>
      <c r="G39" s="1"/>
      <c r="H39" s="60"/>
      <c r="I39" s="2"/>
      <c r="J39" s="3"/>
      <c r="K39" s="3"/>
      <c r="L39" s="3"/>
      <c r="M39" s="3"/>
      <c r="N39" s="84"/>
      <c r="O39" s="5"/>
      <c r="P39" s="3"/>
      <c r="Q39" s="4"/>
      <c r="R39" s="84"/>
      <c r="S39" s="87"/>
      <c r="T39" s="6"/>
      <c r="U39" s="129"/>
      <c r="V39" s="3"/>
      <c r="W39" s="4"/>
      <c r="X39" s="13"/>
      <c r="Y39" s="48"/>
      <c r="Z39" s="87"/>
      <c r="AA39" s="87"/>
      <c r="AB39" s="10"/>
      <c r="AC39" s="48"/>
      <c r="AD39" s="7"/>
      <c r="AE39" s="2"/>
      <c r="AF39" s="2"/>
      <c r="AG39" s="2"/>
    </row>
    <row r="40" spans="1:33" s="37" customFormat="1" ht="12.75" x14ac:dyDescent="0.2">
      <c r="A40" s="13">
        <f t="shared" si="0"/>
        <v>2</v>
      </c>
      <c r="B40" s="11"/>
      <c r="C40" s="21"/>
      <c r="D40" s="13"/>
      <c r="E40" s="13"/>
      <c r="F40" s="18"/>
      <c r="G40" s="1"/>
      <c r="H40" s="60"/>
      <c r="I40" s="2"/>
      <c r="J40" s="3"/>
      <c r="K40" s="3"/>
      <c r="L40" s="3"/>
      <c r="M40" s="3"/>
      <c r="N40" s="84"/>
      <c r="O40" s="5"/>
      <c r="P40" s="3"/>
      <c r="Q40" s="4"/>
      <c r="R40" s="84"/>
      <c r="S40" s="87"/>
      <c r="T40" s="6"/>
      <c r="U40" s="129"/>
      <c r="V40" s="3"/>
      <c r="W40" s="4"/>
      <c r="X40" s="13"/>
      <c r="Y40" s="48"/>
      <c r="Z40" s="48"/>
      <c r="AA40" s="20"/>
      <c r="AB40" s="48"/>
      <c r="AC40" s="48"/>
      <c r="AD40" s="7"/>
      <c r="AE40" s="2"/>
      <c r="AF40" s="2"/>
      <c r="AG40" s="2"/>
    </row>
    <row r="41" spans="1:33" s="37" customFormat="1" ht="102" x14ac:dyDescent="0.2">
      <c r="A41" s="13">
        <f t="shared" si="0"/>
        <v>3</v>
      </c>
      <c r="B41" s="11">
        <v>3</v>
      </c>
      <c r="C41" s="92" t="s">
        <v>94</v>
      </c>
      <c r="D41" s="114">
        <v>2</v>
      </c>
      <c r="E41" s="13">
        <v>85</v>
      </c>
      <c r="F41" s="18">
        <v>37</v>
      </c>
      <c r="G41" s="84" t="s">
        <v>416</v>
      </c>
      <c r="H41" s="60">
        <v>2.6</v>
      </c>
      <c r="I41" s="12"/>
      <c r="J41" s="7"/>
      <c r="K41" s="7"/>
      <c r="L41" s="7"/>
      <c r="M41" s="7"/>
      <c r="N41" s="130"/>
      <c r="O41" s="5"/>
      <c r="P41" s="7"/>
      <c r="Q41" s="9"/>
      <c r="R41" s="84" t="s">
        <v>1827</v>
      </c>
      <c r="S41" s="87" t="s">
        <v>53</v>
      </c>
      <c r="T41" s="6">
        <v>31.5</v>
      </c>
      <c r="U41" s="129"/>
      <c r="V41" s="3"/>
      <c r="W41" s="4"/>
      <c r="X41" s="18" t="s">
        <v>63</v>
      </c>
      <c r="Y41" s="48" t="s">
        <v>55</v>
      </c>
      <c r="Z41" s="48" t="s">
        <v>56</v>
      </c>
      <c r="AA41" s="20" t="s">
        <v>57</v>
      </c>
      <c r="AB41" s="48" t="s">
        <v>63</v>
      </c>
      <c r="AC41" s="20" t="s">
        <v>430</v>
      </c>
      <c r="AD41" s="7"/>
      <c r="AE41" s="1" t="s">
        <v>628</v>
      </c>
      <c r="AF41" s="1"/>
      <c r="AG41" s="1"/>
    </row>
    <row r="42" spans="1:33" s="37" customFormat="1" ht="34.5" customHeight="1" x14ac:dyDescent="0.2">
      <c r="A42" s="13">
        <f t="shared" si="0"/>
        <v>3</v>
      </c>
      <c r="B42" s="11"/>
      <c r="C42" s="82" t="s">
        <v>95</v>
      </c>
      <c r="D42" s="114"/>
      <c r="E42" s="13">
        <v>85</v>
      </c>
      <c r="F42" s="18">
        <v>37</v>
      </c>
      <c r="G42" s="84" t="s">
        <v>417</v>
      </c>
      <c r="H42" s="60">
        <v>33.1</v>
      </c>
      <c r="I42" s="2"/>
      <c r="J42" s="3"/>
      <c r="K42" s="3"/>
      <c r="L42" s="3"/>
      <c r="M42" s="3"/>
      <c r="N42" s="84"/>
      <c r="O42" s="5"/>
      <c r="P42" s="3"/>
      <c r="Q42" s="4"/>
      <c r="R42" s="84" t="s">
        <v>1768</v>
      </c>
      <c r="S42" s="87" t="s">
        <v>53</v>
      </c>
      <c r="T42" s="6">
        <v>5.4</v>
      </c>
      <c r="U42" s="129"/>
      <c r="V42" s="3"/>
      <c r="W42" s="4"/>
      <c r="X42" s="18"/>
      <c r="Y42" s="48"/>
      <c r="Z42" s="48"/>
      <c r="AA42" s="20"/>
      <c r="AB42" s="48"/>
      <c r="AC42" s="48"/>
      <c r="AD42" s="7"/>
      <c r="AE42" s="2" t="s">
        <v>431</v>
      </c>
      <c r="AF42" s="2"/>
      <c r="AG42" s="2"/>
    </row>
    <row r="43" spans="1:33" s="37" customFormat="1" ht="53.25" customHeight="1" x14ac:dyDescent="0.2">
      <c r="A43" s="13">
        <f t="shared" si="0"/>
        <v>3</v>
      </c>
      <c r="B43" s="11"/>
      <c r="C43" s="82" t="s">
        <v>629</v>
      </c>
      <c r="D43" s="114"/>
      <c r="E43" s="133"/>
      <c r="F43" s="133"/>
      <c r="G43" s="1"/>
      <c r="H43" s="60"/>
      <c r="I43" s="2"/>
      <c r="J43" s="3"/>
      <c r="K43" s="3"/>
      <c r="L43" s="3"/>
      <c r="M43" s="3"/>
      <c r="N43" s="84"/>
      <c r="O43" s="5"/>
      <c r="P43" s="3"/>
      <c r="Q43" s="4"/>
      <c r="R43" s="84" t="s">
        <v>1799</v>
      </c>
      <c r="S43" s="87" t="s">
        <v>53</v>
      </c>
      <c r="T43" s="6">
        <v>9.84</v>
      </c>
      <c r="U43" s="129"/>
      <c r="V43" s="3"/>
      <c r="W43" s="4"/>
      <c r="X43" s="18"/>
      <c r="Y43" s="48"/>
      <c r="Z43" s="48"/>
      <c r="AA43" s="20"/>
      <c r="AB43" s="48"/>
      <c r="AC43" s="48"/>
      <c r="AD43" s="7"/>
      <c r="AE43" s="34" t="s">
        <v>432</v>
      </c>
      <c r="AF43" s="34"/>
      <c r="AG43" s="34"/>
    </row>
    <row r="44" spans="1:33" s="37" customFormat="1" ht="33" customHeight="1" x14ac:dyDescent="0.2">
      <c r="A44" s="13">
        <f t="shared" si="0"/>
        <v>3</v>
      </c>
      <c r="B44" s="14"/>
      <c r="C44" s="82"/>
      <c r="D44" s="13"/>
      <c r="E44" s="13"/>
      <c r="F44" s="18"/>
      <c r="G44" s="1"/>
      <c r="H44" s="60"/>
      <c r="I44" s="2"/>
      <c r="J44" s="3"/>
      <c r="K44" s="3"/>
      <c r="L44" s="3"/>
      <c r="M44" s="3"/>
      <c r="N44" s="84"/>
      <c r="O44" s="5"/>
      <c r="P44" s="3"/>
      <c r="Q44" s="4"/>
      <c r="R44" s="84" t="s">
        <v>1828</v>
      </c>
      <c r="S44" s="87" t="s">
        <v>53</v>
      </c>
      <c r="T44" s="6">
        <v>9.2799999999999994</v>
      </c>
      <c r="U44" s="129"/>
      <c r="V44" s="3"/>
      <c r="W44" s="4"/>
      <c r="X44" s="13"/>
      <c r="Y44" s="48"/>
      <c r="Z44" s="48"/>
      <c r="AA44" s="20"/>
      <c r="AB44" s="48"/>
      <c r="AC44" s="48"/>
      <c r="AD44" s="7"/>
      <c r="AE44" s="51"/>
      <c r="AF44" s="51"/>
      <c r="AG44" s="2"/>
    </row>
    <row r="45" spans="1:33" s="37" customFormat="1" ht="24" customHeight="1" x14ac:dyDescent="0.2">
      <c r="A45" s="13">
        <f t="shared" si="0"/>
        <v>3</v>
      </c>
      <c r="B45" s="14"/>
      <c r="C45" s="82"/>
      <c r="D45" s="13"/>
      <c r="E45" s="13"/>
      <c r="F45" s="18"/>
      <c r="G45" s="1"/>
      <c r="H45" s="60"/>
      <c r="I45" s="2"/>
      <c r="J45" s="3"/>
      <c r="K45" s="3"/>
      <c r="L45" s="3"/>
      <c r="M45" s="3"/>
      <c r="N45" s="84"/>
      <c r="O45" s="5"/>
      <c r="P45" s="3"/>
      <c r="Q45" s="4"/>
      <c r="R45" s="84" t="s">
        <v>1829</v>
      </c>
      <c r="S45" s="87" t="s">
        <v>78</v>
      </c>
      <c r="T45" s="6">
        <v>0.01</v>
      </c>
      <c r="U45" s="129"/>
      <c r="V45" s="3"/>
      <c r="W45" s="4"/>
      <c r="X45" s="13"/>
      <c r="Y45" s="48"/>
      <c r="Z45" s="48"/>
      <c r="AA45" s="20"/>
      <c r="AB45" s="48"/>
      <c r="AC45" s="48"/>
      <c r="AD45" s="7"/>
      <c r="AE45" s="51"/>
      <c r="AF45" s="51"/>
      <c r="AG45" s="2"/>
    </row>
    <row r="46" spans="1:33" s="37" customFormat="1" ht="24" customHeight="1" x14ac:dyDescent="0.2">
      <c r="A46" s="13">
        <f t="shared" si="0"/>
        <v>3</v>
      </c>
      <c r="B46" s="11"/>
      <c r="C46" s="82"/>
      <c r="D46" s="13"/>
      <c r="E46" s="13"/>
      <c r="F46" s="18"/>
      <c r="G46" s="1"/>
      <c r="H46" s="60"/>
      <c r="I46" s="13"/>
      <c r="J46" s="5"/>
      <c r="K46" s="5"/>
      <c r="L46" s="4"/>
      <c r="M46" s="4"/>
      <c r="N46" s="1"/>
      <c r="O46" s="5"/>
      <c r="P46" s="3"/>
      <c r="Q46" s="4"/>
      <c r="R46" s="47" t="s">
        <v>1770</v>
      </c>
      <c r="S46" s="13" t="s">
        <v>78</v>
      </c>
      <c r="T46" s="6">
        <v>0.02</v>
      </c>
      <c r="U46" s="13"/>
      <c r="V46" s="3"/>
      <c r="W46" s="4"/>
      <c r="X46" s="13"/>
      <c r="Y46" s="48"/>
      <c r="Z46" s="48"/>
      <c r="AA46" s="20"/>
      <c r="AB46" s="48"/>
      <c r="AC46" s="48"/>
      <c r="AD46" s="7"/>
      <c r="AE46" s="2"/>
      <c r="AF46" s="2"/>
      <c r="AG46" s="2"/>
    </row>
    <row r="47" spans="1:33" s="37" customFormat="1" ht="12.75" x14ac:dyDescent="0.2">
      <c r="A47" s="13"/>
      <c r="B47" s="11"/>
      <c r="C47" s="82"/>
      <c r="D47" s="13"/>
      <c r="E47" s="13"/>
      <c r="F47" s="18"/>
      <c r="G47" s="1"/>
      <c r="H47" s="60"/>
      <c r="I47" s="13"/>
      <c r="J47" s="5"/>
      <c r="K47" s="5"/>
      <c r="L47" s="4"/>
      <c r="M47" s="4"/>
      <c r="N47" s="1"/>
      <c r="O47" s="5"/>
      <c r="P47" s="3"/>
      <c r="Q47" s="4"/>
      <c r="R47" s="47"/>
      <c r="S47" s="13"/>
      <c r="T47" s="6"/>
      <c r="U47" s="13"/>
      <c r="V47" s="3"/>
      <c r="W47" s="4"/>
      <c r="X47" s="13"/>
      <c r="Y47" s="48"/>
      <c r="Z47" s="48"/>
      <c r="AA47" s="20"/>
      <c r="AB47" s="48"/>
      <c r="AC47" s="48"/>
      <c r="AD47" s="7"/>
      <c r="AE47" s="2"/>
      <c r="AF47" s="2"/>
      <c r="AG47" s="2"/>
    </row>
    <row r="48" spans="1:33" s="37" customFormat="1" ht="12.75" x14ac:dyDescent="0.2">
      <c r="A48" s="13">
        <f>IF(B48&lt;&gt;0,B48,A46)</f>
        <v>3</v>
      </c>
      <c r="B48" s="11"/>
      <c r="C48" s="21"/>
      <c r="D48" s="13"/>
      <c r="E48" s="13"/>
      <c r="F48" s="2"/>
      <c r="G48" s="1"/>
      <c r="H48" s="50"/>
      <c r="I48" s="51"/>
      <c r="J48" s="51"/>
      <c r="K48" s="51"/>
      <c r="L48" s="51"/>
      <c r="M48" s="51"/>
      <c r="N48" s="51"/>
      <c r="O48" s="51"/>
      <c r="P48" s="51"/>
      <c r="Q48" s="51"/>
      <c r="R48" s="2"/>
      <c r="S48" s="51"/>
      <c r="T48" s="51"/>
      <c r="U48" s="50"/>
      <c r="V48" s="51"/>
      <c r="W48" s="51"/>
      <c r="X48" s="50"/>
      <c r="Y48" s="50"/>
      <c r="Z48" s="50"/>
      <c r="AA48" s="257"/>
      <c r="AB48" s="50"/>
      <c r="AC48" s="50"/>
      <c r="AD48" s="51"/>
      <c r="AE48" s="51"/>
      <c r="AF48" s="51"/>
      <c r="AG48" s="2"/>
    </row>
    <row r="49" spans="1:33" s="37" customFormat="1" ht="12.75" x14ac:dyDescent="0.2">
      <c r="A49" s="13">
        <f t="shared" ref="A49:A91" si="1">IF(B49&lt;&gt;0,B49,A48)</f>
        <v>3</v>
      </c>
      <c r="B49" s="11"/>
      <c r="C49" s="21"/>
      <c r="D49" s="13"/>
      <c r="E49" s="13"/>
      <c r="F49" s="18"/>
      <c r="G49" s="1"/>
      <c r="H49" s="60"/>
      <c r="I49" s="2"/>
      <c r="J49" s="3"/>
      <c r="K49" s="3"/>
      <c r="L49" s="3"/>
      <c r="M49" s="3"/>
      <c r="N49" s="84"/>
      <c r="O49" s="79"/>
      <c r="P49" s="3"/>
      <c r="Q49" s="4"/>
      <c r="R49" s="84"/>
      <c r="S49" s="87"/>
      <c r="T49" s="6"/>
      <c r="U49" s="129"/>
      <c r="V49" s="3"/>
      <c r="W49" s="4"/>
      <c r="X49" s="13"/>
      <c r="Y49" s="48"/>
      <c r="Z49" s="48"/>
      <c r="AA49" s="20"/>
      <c r="AB49" s="48"/>
      <c r="AC49" s="48"/>
      <c r="AD49" s="7"/>
      <c r="AE49" s="2"/>
      <c r="AF49" s="2"/>
      <c r="AG49" s="2"/>
    </row>
    <row r="50" spans="1:33" s="37" customFormat="1" ht="113.25" customHeight="1" x14ac:dyDescent="0.2">
      <c r="A50" s="13">
        <f t="shared" si="1"/>
        <v>4</v>
      </c>
      <c r="B50" s="11">
        <v>4</v>
      </c>
      <c r="C50" s="92" t="s">
        <v>97</v>
      </c>
      <c r="D50" s="13">
        <v>2</v>
      </c>
      <c r="E50" s="13">
        <v>85</v>
      </c>
      <c r="F50" s="18">
        <v>37</v>
      </c>
      <c r="G50" s="84" t="s">
        <v>417</v>
      </c>
      <c r="H50" s="60">
        <v>35.6</v>
      </c>
      <c r="I50" s="13"/>
      <c r="J50" s="5"/>
      <c r="K50" s="5"/>
      <c r="L50" s="4"/>
      <c r="M50" s="4"/>
      <c r="N50" s="1"/>
      <c r="O50" s="5"/>
      <c r="P50" s="3"/>
      <c r="Q50" s="4"/>
      <c r="R50" s="47" t="s">
        <v>1820</v>
      </c>
      <c r="S50" s="13" t="s">
        <v>53</v>
      </c>
      <c r="T50" s="6">
        <v>31.95</v>
      </c>
      <c r="U50" s="13"/>
      <c r="V50" s="3"/>
      <c r="W50" s="4"/>
      <c r="X50" s="13" t="s">
        <v>63</v>
      </c>
      <c r="Y50" s="48" t="s">
        <v>55</v>
      </c>
      <c r="Z50" s="48" t="s">
        <v>56</v>
      </c>
      <c r="AA50" s="20" t="s">
        <v>57</v>
      </c>
      <c r="AB50" s="48" t="s">
        <v>63</v>
      </c>
      <c r="AC50" s="20" t="s">
        <v>430</v>
      </c>
      <c r="AD50" s="7"/>
      <c r="AE50" s="1" t="s">
        <v>630</v>
      </c>
      <c r="AF50" s="1"/>
      <c r="AG50" s="1"/>
    </row>
    <row r="51" spans="1:33" s="37" customFormat="1" ht="21" customHeight="1" x14ac:dyDescent="0.2">
      <c r="A51" s="13">
        <f t="shared" si="1"/>
        <v>4</v>
      </c>
      <c r="B51" s="11"/>
      <c r="C51" s="82" t="s">
        <v>98</v>
      </c>
      <c r="D51" s="13"/>
      <c r="E51" s="13"/>
      <c r="F51" s="18"/>
      <c r="G51" s="1"/>
      <c r="H51" s="60"/>
      <c r="I51" s="13"/>
      <c r="J51" s="5"/>
      <c r="K51" s="5"/>
      <c r="L51" s="4"/>
      <c r="M51" s="4"/>
      <c r="N51" s="1"/>
      <c r="O51" s="5"/>
      <c r="P51" s="3"/>
      <c r="Q51" s="4"/>
      <c r="R51" s="47" t="s">
        <v>1768</v>
      </c>
      <c r="S51" s="13" t="s">
        <v>53</v>
      </c>
      <c r="T51" s="6">
        <v>7.2</v>
      </c>
      <c r="U51" s="13"/>
      <c r="V51" s="3"/>
      <c r="W51" s="4"/>
      <c r="X51" s="13"/>
      <c r="Y51" s="48"/>
      <c r="Z51" s="48"/>
      <c r="AA51" s="20"/>
      <c r="AB51" s="48"/>
      <c r="AC51" s="48"/>
      <c r="AD51" s="7"/>
      <c r="AE51" s="2" t="s">
        <v>372</v>
      </c>
      <c r="AF51" s="2"/>
      <c r="AG51" s="2"/>
    </row>
    <row r="52" spans="1:33" s="37" customFormat="1" ht="38.25" x14ac:dyDescent="0.2">
      <c r="A52" s="13">
        <f t="shared" si="1"/>
        <v>4</v>
      </c>
      <c r="B52" s="11"/>
      <c r="C52" s="82" t="s">
        <v>631</v>
      </c>
      <c r="D52" s="13"/>
      <c r="E52" s="13"/>
      <c r="F52" s="18"/>
      <c r="G52" s="1"/>
      <c r="H52" s="60"/>
      <c r="I52" s="13"/>
      <c r="J52" s="5"/>
      <c r="K52" s="5"/>
      <c r="L52" s="4"/>
      <c r="M52" s="4"/>
      <c r="N52" s="1"/>
      <c r="O52" s="5"/>
      <c r="P52" s="3"/>
      <c r="Q52" s="4"/>
      <c r="R52" s="47" t="s">
        <v>1768</v>
      </c>
      <c r="S52" s="13" t="s">
        <v>53</v>
      </c>
      <c r="T52" s="6">
        <v>10.44</v>
      </c>
      <c r="U52" s="13"/>
      <c r="V52" s="3"/>
      <c r="W52" s="4"/>
      <c r="X52" s="13"/>
      <c r="Y52" s="48" t="s">
        <v>63</v>
      </c>
      <c r="Z52" s="48" t="s">
        <v>56</v>
      </c>
      <c r="AA52" s="20" t="s">
        <v>57</v>
      </c>
      <c r="AB52" s="48" t="s">
        <v>63</v>
      </c>
      <c r="AC52" s="48"/>
      <c r="AD52" s="7"/>
      <c r="AE52" s="2" t="s">
        <v>1722</v>
      </c>
      <c r="AF52" s="2"/>
      <c r="AG52" s="2"/>
    </row>
    <row r="53" spans="1:33" s="37" customFormat="1" ht="23.25" customHeight="1" x14ac:dyDescent="0.2">
      <c r="A53" s="13">
        <f t="shared" si="1"/>
        <v>4</v>
      </c>
      <c r="B53" s="11"/>
      <c r="C53" s="1"/>
      <c r="D53" s="13"/>
      <c r="E53" s="13"/>
      <c r="F53" s="18"/>
      <c r="G53" s="1"/>
      <c r="H53" s="60"/>
      <c r="I53" s="13"/>
      <c r="J53" s="5"/>
      <c r="K53" s="5"/>
      <c r="L53" s="4"/>
      <c r="M53" s="4"/>
      <c r="N53" s="1"/>
      <c r="O53" s="5"/>
      <c r="P53" s="3"/>
      <c r="Q53" s="4"/>
      <c r="R53" s="47" t="s">
        <v>1767</v>
      </c>
      <c r="S53" s="13" t="s">
        <v>53</v>
      </c>
      <c r="T53" s="6">
        <v>8.1</v>
      </c>
      <c r="U53" s="13" t="s">
        <v>25</v>
      </c>
      <c r="V53" s="3"/>
      <c r="W53" s="4"/>
      <c r="X53" s="13"/>
      <c r="Y53" s="48"/>
      <c r="Z53" s="48"/>
      <c r="AA53" s="20"/>
      <c r="AB53" s="48"/>
      <c r="AC53" s="48"/>
      <c r="AD53" s="7"/>
      <c r="AE53" s="51"/>
      <c r="AF53" s="51"/>
      <c r="AG53" s="2"/>
    </row>
    <row r="54" spans="1:33" s="37" customFormat="1" ht="19.5" customHeight="1" x14ac:dyDescent="0.2">
      <c r="A54" s="13">
        <f t="shared" si="1"/>
        <v>4</v>
      </c>
      <c r="B54" s="11"/>
      <c r="C54" s="1"/>
      <c r="D54" s="13"/>
      <c r="E54" s="13"/>
      <c r="F54" s="2"/>
      <c r="G54" s="1"/>
      <c r="H54" s="50"/>
      <c r="I54" s="51"/>
      <c r="J54" s="51"/>
      <c r="K54" s="51"/>
      <c r="L54" s="51"/>
      <c r="M54" s="51"/>
      <c r="N54" s="51"/>
      <c r="O54" s="51"/>
      <c r="P54" s="51"/>
      <c r="Q54" s="51"/>
      <c r="R54" s="2" t="s">
        <v>1830</v>
      </c>
      <c r="S54" s="50" t="s">
        <v>78</v>
      </c>
      <c r="T54" s="6">
        <v>1.62</v>
      </c>
      <c r="U54" s="50"/>
      <c r="V54" s="51"/>
      <c r="W54" s="51"/>
      <c r="X54" s="50"/>
      <c r="Y54" s="50"/>
      <c r="Z54" s="50"/>
      <c r="AA54" s="257"/>
      <c r="AB54" s="50"/>
      <c r="AC54" s="50"/>
      <c r="AD54" s="51"/>
      <c r="AE54" s="51"/>
      <c r="AF54" s="51"/>
      <c r="AG54" s="2"/>
    </row>
    <row r="55" spans="1:33" s="37" customFormat="1" ht="19.5" customHeight="1" x14ac:dyDescent="0.2">
      <c r="A55" s="13">
        <f t="shared" si="1"/>
        <v>4</v>
      </c>
      <c r="B55" s="11"/>
      <c r="C55" s="1"/>
      <c r="D55" s="13"/>
      <c r="E55" s="13"/>
      <c r="F55" s="18"/>
      <c r="G55" s="1"/>
      <c r="H55" s="60"/>
      <c r="I55" s="13"/>
      <c r="J55" s="5"/>
      <c r="K55" s="5"/>
      <c r="L55" s="4"/>
      <c r="M55" s="4"/>
      <c r="N55" s="1"/>
      <c r="O55" s="5"/>
      <c r="P55" s="3"/>
      <c r="Q55" s="4"/>
      <c r="R55" s="47" t="s">
        <v>1831</v>
      </c>
      <c r="S55" s="13" t="s">
        <v>53</v>
      </c>
      <c r="T55" s="6">
        <v>0.16</v>
      </c>
      <c r="U55" s="13"/>
      <c r="V55" s="3"/>
      <c r="W55" s="4"/>
      <c r="X55" s="13"/>
      <c r="Y55" s="48"/>
      <c r="Z55" s="48"/>
      <c r="AA55" s="20"/>
      <c r="AB55" s="48"/>
      <c r="AC55" s="48"/>
      <c r="AD55" s="7"/>
      <c r="AE55" s="51"/>
      <c r="AF55" s="51"/>
      <c r="AG55" s="2"/>
    </row>
    <row r="56" spans="1:33" s="37" customFormat="1" ht="12.75" x14ac:dyDescent="0.2">
      <c r="A56" s="13">
        <f t="shared" si="1"/>
        <v>4</v>
      </c>
      <c r="B56" s="11"/>
      <c r="C56" s="1"/>
      <c r="D56" s="13"/>
      <c r="E56" s="13"/>
      <c r="F56" s="18"/>
      <c r="G56" s="1"/>
      <c r="H56" s="60"/>
      <c r="I56" s="13"/>
      <c r="J56" s="5"/>
      <c r="K56" s="5"/>
      <c r="L56" s="4"/>
      <c r="M56" s="4"/>
      <c r="N56" s="1"/>
      <c r="O56" s="5"/>
      <c r="P56" s="3"/>
      <c r="Q56" s="4"/>
      <c r="R56" s="47"/>
      <c r="S56" s="13"/>
      <c r="T56" s="6"/>
      <c r="U56" s="13"/>
      <c r="V56" s="3"/>
      <c r="W56" s="4"/>
      <c r="X56" s="13"/>
      <c r="Y56" s="48"/>
      <c r="Z56" s="48"/>
      <c r="AA56" s="20"/>
      <c r="AB56" s="48"/>
      <c r="AC56" s="48"/>
      <c r="AD56" s="7"/>
      <c r="AE56" s="51"/>
      <c r="AF56" s="51"/>
      <c r="AG56" s="2"/>
    </row>
    <row r="57" spans="1:33" s="37" customFormat="1" ht="12.75" x14ac:dyDescent="0.2">
      <c r="A57" s="13">
        <f t="shared" si="1"/>
        <v>4</v>
      </c>
      <c r="B57" s="11"/>
      <c r="C57" s="21"/>
      <c r="D57" s="13"/>
      <c r="E57" s="13"/>
      <c r="F57" s="18"/>
      <c r="G57" s="1"/>
      <c r="H57" s="60"/>
      <c r="I57" s="2"/>
      <c r="J57" s="3"/>
      <c r="K57" s="3"/>
      <c r="L57" s="3"/>
      <c r="M57" s="3"/>
      <c r="N57" s="84"/>
      <c r="O57" s="79"/>
      <c r="P57" s="3"/>
      <c r="Q57" s="4"/>
      <c r="R57" s="84"/>
      <c r="S57" s="87"/>
      <c r="T57" s="6"/>
      <c r="U57" s="129"/>
      <c r="V57" s="3"/>
      <c r="W57" s="4"/>
      <c r="X57" s="13"/>
      <c r="Y57" s="48"/>
      <c r="Z57" s="48"/>
      <c r="AA57" s="20"/>
      <c r="AB57" s="48"/>
      <c r="AC57" s="48"/>
      <c r="AD57" s="7"/>
      <c r="AE57" s="2"/>
      <c r="AF57" s="2"/>
      <c r="AG57" s="2"/>
    </row>
    <row r="58" spans="1:33" s="37" customFormat="1" ht="80.25" customHeight="1" x14ac:dyDescent="0.2">
      <c r="A58" s="13">
        <f t="shared" si="1"/>
        <v>5</v>
      </c>
      <c r="B58" s="11">
        <v>5</v>
      </c>
      <c r="C58" s="92" t="s">
        <v>99</v>
      </c>
      <c r="D58" s="13">
        <v>7</v>
      </c>
      <c r="E58" s="13">
        <v>86</v>
      </c>
      <c r="F58" s="18">
        <v>1582</v>
      </c>
      <c r="G58" s="1" t="s">
        <v>417</v>
      </c>
      <c r="H58" s="60">
        <v>24.6</v>
      </c>
      <c r="I58" s="13"/>
      <c r="J58" s="5"/>
      <c r="K58" s="5"/>
      <c r="L58" s="4"/>
      <c r="M58" s="4"/>
      <c r="N58" s="1" t="s">
        <v>61</v>
      </c>
      <c r="O58" s="5">
        <v>4</v>
      </c>
      <c r="P58" s="3"/>
      <c r="Q58" s="4"/>
      <c r="R58" s="47" t="s">
        <v>1832</v>
      </c>
      <c r="S58" s="13" t="s">
        <v>53</v>
      </c>
      <c r="T58" s="6">
        <v>29.2</v>
      </c>
      <c r="U58" s="13"/>
      <c r="V58" s="3"/>
      <c r="W58" s="4"/>
      <c r="X58" s="13"/>
      <c r="Y58" s="48"/>
      <c r="Z58" s="48"/>
      <c r="AA58" s="20"/>
      <c r="AB58" s="48"/>
      <c r="AC58" s="48"/>
      <c r="AD58" s="7"/>
      <c r="AE58" s="1" t="s">
        <v>632</v>
      </c>
      <c r="AF58" s="1"/>
      <c r="AG58" s="1"/>
    </row>
    <row r="59" spans="1:33" s="37" customFormat="1" ht="57" customHeight="1" x14ac:dyDescent="0.2">
      <c r="A59" s="13">
        <f t="shared" si="1"/>
        <v>5</v>
      </c>
      <c r="B59" s="11"/>
      <c r="C59" s="1" t="s">
        <v>100</v>
      </c>
      <c r="D59" s="13"/>
      <c r="E59" s="13"/>
      <c r="F59" s="18"/>
      <c r="G59" s="1"/>
      <c r="H59" s="60"/>
      <c r="I59" s="13"/>
      <c r="J59" s="5"/>
      <c r="K59" s="5"/>
      <c r="L59" s="4"/>
      <c r="M59" s="4"/>
      <c r="N59" s="1" t="s">
        <v>726</v>
      </c>
      <c r="O59" s="5">
        <v>1</v>
      </c>
      <c r="P59" s="3"/>
      <c r="Q59" s="4"/>
      <c r="R59" s="47" t="s">
        <v>1833</v>
      </c>
      <c r="S59" s="13" t="s">
        <v>53</v>
      </c>
      <c r="T59" s="6">
        <v>1.3</v>
      </c>
      <c r="U59" s="13"/>
      <c r="V59" s="3"/>
      <c r="W59" s="4"/>
      <c r="X59" s="13"/>
      <c r="Y59" s="48" t="s">
        <v>433</v>
      </c>
      <c r="Z59" s="48" t="s">
        <v>56</v>
      </c>
      <c r="AA59" s="20" t="s">
        <v>57</v>
      </c>
      <c r="AB59" s="48" t="s">
        <v>54</v>
      </c>
      <c r="AC59" s="48"/>
      <c r="AD59" s="7"/>
      <c r="AE59" s="1" t="s">
        <v>434</v>
      </c>
      <c r="AF59" s="1"/>
      <c r="AG59" s="1"/>
    </row>
    <row r="60" spans="1:33" s="37" customFormat="1" ht="45" customHeight="1" x14ac:dyDescent="0.2">
      <c r="A60" s="13">
        <f t="shared" si="1"/>
        <v>5</v>
      </c>
      <c r="B60" s="11"/>
      <c r="C60" s="82" t="s">
        <v>629</v>
      </c>
      <c r="D60" s="13"/>
      <c r="E60" s="13"/>
      <c r="F60" s="18"/>
      <c r="G60" s="1"/>
      <c r="H60" s="60"/>
      <c r="I60" s="13"/>
      <c r="J60" s="5"/>
      <c r="K60" s="5"/>
      <c r="L60" s="4"/>
      <c r="M60" s="4"/>
      <c r="N60" s="1" t="s">
        <v>352</v>
      </c>
      <c r="O60" s="5">
        <v>1</v>
      </c>
      <c r="P60" s="3"/>
      <c r="Q60" s="4"/>
      <c r="R60" s="47" t="s">
        <v>1834</v>
      </c>
      <c r="S60" s="13" t="s">
        <v>53</v>
      </c>
      <c r="T60" s="6">
        <v>22.88</v>
      </c>
      <c r="U60" s="13"/>
      <c r="V60" s="3"/>
      <c r="W60" s="4"/>
      <c r="X60" s="13"/>
      <c r="Y60" s="48"/>
      <c r="Z60" s="48"/>
      <c r="AA60" s="20"/>
      <c r="AB60" s="48"/>
      <c r="AC60" s="48"/>
      <c r="AD60" s="7"/>
      <c r="AE60" s="2" t="s">
        <v>435</v>
      </c>
      <c r="AF60" s="2"/>
      <c r="AG60" s="2"/>
    </row>
    <row r="61" spans="1:33" s="37" customFormat="1" ht="31.5" customHeight="1" x14ac:dyDescent="0.2">
      <c r="A61" s="13">
        <f t="shared" si="1"/>
        <v>5</v>
      </c>
      <c r="B61" s="11"/>
      <c r="C61" s="1" t="s">
        <v>307</v>
      </c>
      <c r="D61" s="13"/>
      <c r="E61" s="13"/>
      <c r="F61" s="18"/>
      <c r="G61" s="1"/>
      <c r="H61" s="60"/>
      <c r="I61" s="13"/>
      <c r="J61" s="5"/>
      <c r="K61" s="5"/>
      <c r="L61" s="4"/>
      <c r="M61" s="4"/>
      <c r="N61" s="1" t="s">
        <v>729</v>
      </c>
      <c r="O61" s="5">
        <v>1</v>
      </c>
      <c r="P61" s="3"/>
      <c r="Q61" s="4"/>
      <c r="R61" s="47" t="s">
        <v>1835</v>
      </c>
      <c r="S61" s="13" t="s">
        <v>101</v>
      </c>
      <c r="T61" s="6">
        <v>12</v>
      </c>
      <c r="U61" s="13"/>
      <c r="V61" s="3"/>
      <c r="W61" s="4"/>
      <c r="X61" s="13"/>
      <c r="Y61" s="48"/>
      <c r="Z61" s="48"/>
      <c r="AA61" s="20"/>
      <c r="AB61" s="48"/>
      <c r="AC61" s="48"/>
      <c r="AD61" s="7"/>
      <c r="AE61" s="2"/>
      <c r="AF61" s="2"/>
      <c r="AG61" s="2"/>
    </row>
    <row r="62" spans="1:33" s="37" customFormat="1" ht="24.75" customHeight="1" x14ac:dyDescent="0.2">
      <c r="A62" s="13">
        <f t="shared" si="1"/>
        <v>5</v>
      </c>
      <c r="B62" s="11"/>
      <c r="C62" s="1"/>
      <c r="D62" s="14"/>
      <c r="E62" s="11"/>
      <c r="F62" s="15"/>
      <c r="G62" s="21"/>
      <c r="H62" s="60"/>
      <c r="I62" s="12"/>
      <c r="J62" s="7"/>
      <c r="K62" s="7"/>
      <c r="L62" s="7"/>
      <c r="M62" s="7"/>
      <c r="N62" s="84" t="s">
        <v>400</v>
      </c>
      <c r="O62" s="5">
        <v>1</v>
      </c>
      <c r="P62" s="7"/>
      <c r="Q62" s="9"/>
      <c r="R62" s="84" t="s">
        <v>1836</v>
      </c>
      <c r="S62" s="13" t="s">
        <v>101</v>
      </c>
      <c r="T62" s="6">
        <v>6</v>
      </c>
      <c r="U62" s="11"/>
      <c r="V62" s="7"/>
      <c r="W62" s="9"/>
      <c r="X62" s="15"/>
      <c r="Y62" s="49"/>
      <c r="Z62" s="49"/>
      <c r="AA62" s="256"/>
      <c r="AB62" s="49"/>
      <c r="AC62" s="49"/>
      <c r="AD62" s="7"/>
      <c r="AE62" s="12"/>
      <c r="AF62" s="12"/>
      <c r="AG62" s="12"/>
    </row>
    <row r="63" spans="1:33" s="37" customFormat="1" ht="34.5" customHeight="1" x14ac:dyDescent="0.2">
      <c r="A63" s="13">
        <f t="shared" si="1"/>
        <v>5</v>
      </c>
      <c r="B63" s="11"/>
      <c r="C63" s="92"/>
      <c r="D63" s="14"/>
      <c r="E63" s="11"/>
      <c r="F63" s="15"/>
      <c r="G63" s="21"/>
      <c r="H63" s="60"/>
      <c r="I63" s="12"/>
      <c r="J63" s="7"/>
      <c r="K63" s="7"/>
      <c r="L63" s="7"/>
      <c r="M63" s="7"/>
      <c r="N63" s="84"/>
      <c r="O63" s="5"/>
      <c r="P63" s="7"/>
      <c r="Q63" s="9"/>
      <c r="R63" s="84" t="s">
        <v>1837</v>
      </c>
      <c r="S63" s="13" t="s">
        <v>53</v>
      </c>
      <c r="T63" s="6">
        <v>4.8</v>
      </c>
      <c r="U63" s="11"/>
      <c r="V63" s="7"/>
      <c r="W63" s="9"/>
      <c r="X63" s="15"/>
      <c r="Y63" s="49"/>
      <c r="Z63" s="49"/>
      <c r="AA63" s="256"/>
      <c r="AB63" s="49"/>
      <c r="AC63" s="49"/>
      <c r="AD63" s="7"/>
      <c r="AE63" s="12"/>
      <c r="AF63" s="12"/>
      <c r="AG63" s="12"/>
    </row>
    <row r="64" spans="1:33" s="37" customFormat="1" ht="24.75" customHeight="1" x14ac:dyDescent="0.2">
      <c r="A64" s="13">
        <f t="shared" si="1"/>
        <v>5</v>
      </c>
      <c r="B64" s="11"/>
      <c r="C64" s="92"/>
      <c r="D64" s="13"/>
      <c r="E64" s="13"/>
      <c r="F64" s="2"/>
      <c r="G64" s="1"/>
      <c r="H64" s="50"/>
      <c r="I64" s="51"/>
      <c r="J64" s="51"/>
      <c r="K64" s="51"/>
      <c r="L64" s="51"/>
      <c r="M64" s="51"/>
      <c r="N64" s="51"/>
      <c r="O64" s="51"/>
      <c r="P64" s="51"/>
      <c r="Q64" s="51"/>
      <c r="R64" s="2" t="s">
        <v>1770</v>
      </c>
      <c r="S64" s="13" t="s">
        <v>78</v>
      </c>
      <c r="T64" s="6">
        <v>0.1</v>
      </c>
      <c r="U64" s="50"/>
      <c r="V64" s="51"/>
      <c r="W64" s="51"/>
      <c r="X64" s="50"/>
      <c r="Y64" s="50"/>
      <c r="Z64" s="50"/>
      <c r="AA64" s="257"/>
      <c r="AB64" s="50"/>
      <c r="AC64" s="50"/>
      <c r="AD64" s="51"/>
      <c r="AE64" s="51"/>
      <c r="AF64" s="51"/>
      <c r="AG64" s="2"/>
    </row>
    <row r="65" spans="1:33" s="37" customFormat="1" ht="24.75" customHeight="1" x14ac:dyDescent="0.2">
      <c r="A65" s="13">
        <f t="shared" si="1"/>
        <v>5</v>
      </c>
      <c r="B65" s="11"/>
      <c r="C65" s="92"/>
      <c r="D65" s="13"/>
      <c r="E65" s="13"/>
      <c r="F65" s="2"/>
      <c r="G65" s="1"/>
      <c r="H65" s="50"/>
      <c r="I65" s="51"/>
      <c r="J65" s="51"/>
      <c r="K65" s="51"/>
      <c r="L65" s="51"/>
      <c r="M65" s="51"/>
      <c r="N65" s="51"/>
      <c r="O65" s="51"/>
      <c r="P65" s="51"/>
      <c r="Q65" s="51"/>
      <c r="R65" s="2" t="s">
        <v>1831</v>
      </c>
      <c r="S65" s="13" t="s">
        <v>53</v>
      </c>
      <c r="T65" s="6">
        <v>0.16</v>
      </c>
      <c r="U65" s="50"/>
      <c r="V65" s="51"/>
      <c r="W65" s="51"/>
      <c r="X65" s="50"/>
      <c r="Y65" s="50"/>
      <c r="Z65" s="50"/>
      <c r="AA65" s="257"/>
      <c r="AB65" s="50"/>
      <c r="AC65" s="50"/>
      <c r="AD65" s="51"/>
      <c r="AE65" s="51"/>
      <c r="AF65" s="51"/>
      <c r="AG65" s="2"/>
    </row>
    <row r="66" spans="1:33" s="37" customFormat="1" ht="12.75" x14ac:dyDescent="0.2">
      <c r="A66" s="13">
        <f t="shared" si="1"/>
        <v>5</v>
      </c>
      <c r="B66" s="11"/>
      <c r="C66" s="92"/>
      <c r="D66" s="13"/>
      <c r="E66" s="13"/>
      <c r="F66" s="2"/>
      <c r="G66" s="1"/>
      <c r="H66" s="50"/>
      <c r="I66" s="51"/>
      <c r="J66" s="51"/>
      <c r="K66" s="51"/>
      <c r="L66" s="51"/>
      <c r="M66" s="51"/>
      <c r="N66" s="51"/>
      <c r="O66" s="51"/>
      <c r="P66" s="51"/>
      <c r="Q66" s="51"/>
      <c r="R66" s="2"/>
      <c r="S66" s="13"/>
      <c r="T66" s="6"/>
      <c r="U66" s="50"/>
      <c r="V66" s="51"/>
      <c r="W66" s="51"/>
      <c r="X66" s="50"/>
      <c r="Y66" s="50"/>
      <c r="Z66" s="50"/>
      <c r="AA66" s="257"/>
      <c r="AB66" s="50"/>
      <c r="AC66" s="50"/>
      <c r="AD66" s="51"/>
      <c r="AE66" s="51"/>
      <c r="AF66" s="51"/>
      <c r="AG66" s="2"/>
    </row>
    <row r="67" spans="1:33" s="37" customFormat="1" ht="12.75" x14ac:dyDescent="0.2">
      <c r="A67" s="13">
        <f t="shared" si="1"/>
        <v>5</v>
      </c>
      <c r="B67" s="14"/>
      <c r="C67" s="82"/>
      <c r="D67" s="13"/>
      <c r="E67" s="13"/>
      <c r="F67" s="18"/>
      <c r="G67" s="1"/>
      <c r="H67" s="60"/>
      <c r="I67" s="2"/>
      <c r="J67" s="3"/>
      <c r="K67" s="3"/>
      <c r="L67" s="3"/>
      <c r="M67" s="3"/>
      <c r="N67" s="84"/>
      <c r="O67" s="79"/>
      <c r="P67" s="3"/>
      <c r="Q67" s="4"/>
      <c r="R67" s="84"/>
      <c r="S67" s="87"/>
      <c r="T67" s="6"/>
      <c r="U67" s="129"/>
      <c r="V67" s="3"/>
      <c r="W67" s="4"/>
      <c r="X67" s="13"/>
      <c r="Y67" s="48"/>
      <c r="Z67" s="48"/>
      <c r="AA67" s="20"/>
      <c r="AB67" s="48"/>
      <c r="AC67" s="48"/>
      <c r="AD67" s="7"/>
      <c r="AE67" s="2"/>
      <c r="AF67" s="2"/>
      <c r="AG67" s="2"/>
    </row>
    <row r="68" spans="1:33" s="37" customFormat="1" ht="90" customHeight="1" x14ac:dyDescent="0.2">
      <c r="A68" s="13">
        <f t="shared" si="1"/>
        <v>6</v>
      </c>
      <c r="B68" s="11">
        <v>6</v>
      </c>
      <c r="C68" s="92" t="s">
        <v>102</v>
      </c>
      <c r="D68" s="13">
        <v>2</v>
      </c>
      <c r="E68" s="13">
        <v>86</v>
      </c>
      <c r="F68" s="18">
        <v>1582</v>
      </c>
      <c r="G68" s="1" t="s">
        <v>417</v>
      </c>
      <c r="H68" s="60">
        <v>23.9</v>
      </c>
      <c r="I68" s="13"/>
      <c r="J68" s="5"/>
      <c r="K68" s="5"/>
      <c r="L68" s="4"/>
      <c r="M68" s="4"/>
      <c r="N68" s="16"/>
      <c r="O68" s="5"/>
      <c r="P68" s="3"/>
      <c r="Q68" s="4"/>
      <c r="R68" s="47" t="s">
        <v>1749</v>
      </c>
      <c r="S68" s="13" t="s">
        <v>53</v>
      </c>
      <c r="T68" s="6">
        <v>9.4</v>
      </c>
      <c r="U68" s="13"/>
      <c r="V68" s="3"/>
      <c r="W68" s="4"/>
      <c r="X68" s="13"/>
      <c r="Y68" s="48"/>
      <c r="Z68" s="48"/>
      <c r="AA68" s="20"/>
      <c r="AB68" s="48"/>
      <c r="AC68" s="48"/>
      <c r="AD68" s="7"/>
      <c r="AE68" s="1" t="s">
        <v>633</v>
      </c>
      <c r="AF68" s="1"/>
      <c r="AG68" s="1"/>
    </row>
    <row r="69" spans="1:33" s="37" customFormat="1" ht="60" customHeight="1" x14ac:dyDescent="0.2">
      <c r="A69" s="13">
        <f t="shared" si="1"/>
        <v>6</v>
      </c>
      <c r="B69" s="11"/>
      <c r="C69" s="1" t="s">
        <v>103</v>
      </c>
      <c r="D69" s="14"/>
      <c r="E69" s="11"/>
      <c r="F69" s="15"/>
      <c r="G69" s="21"/>
      <c r="H69" s="60"/>
      <c r="I69" s="12"/>
      <c r="J69" s="7"/>
      <c r="K69" s="7"/>
      <c r="L69" s="7"/>
      <c r="M69" s="7"/>
      <c r="N69" s="130"/>
      <c r="O69" s="5"/>
      <c r="P69" s="7"/>
      <c r="Q69" s="9"/>
      <c r="R69" s="130"/>
      <c r="S69" s="132"/>
      <c r="T69" s="6"/>
      <c r="U69" s="11"/>
      <c r="V69" s="7"/>
      <c r="W69" s="9"/>
      <c r="X69" s="11"/>
      <c r="Y69" s="49"/>
      <c r="Z69" s="49"/>
      <c r="AA69" s="256"/>
      <c r="AB69" s="49"/>
      <c r="AC69" s="49"/>
      <c r="AD69" s="7"/>
      <c r="AE69" s="1" t="s">
        <v>434</v>
      </c>
      <c r="AF69" s="1"/>
      <c r="AG69" s="1"/>
    </row>
    <row r="70" spans="1:33" s="37" customFormat="1" ht="39.75" customHeight="1" x14ac:dyDescent="0.2">
      <c r="A70" s="13">
        <f t="shared" si="1"/>
        <v>6</v>
      </c>
      <c r="B70" s="11"/>
      <c r="C70" s="82" t="s">
        <v>634</v>
      </c>
      <c r="D70" s="13"/>
      <c r="E70" s="13"/>
      <c r="F70" s="2"/>
      <c r="G70" s="1"/>
      <c r="H70" s="50"/>
      <c r="I70" s="51"/>
      <c r="J70" s="51"/>
      <c r="K70" s="51"/>
      <c r="L70" s="51"/>
      <c r="M70" s="51"/>
      <c r="N70" s="51"/>
      <c r="O70" s="51"/>
      <c r="P70" s="51"/>
      <c r="Q70" s="51"/>
      <c r="R70" s="2"/>
      <c r="S70" s="51"/>
      <c r="T70" s="51"/>
      <c r="U70" s="50"/>
      <c r="V70" s="51"/>
      <c r="W70" s="51"/>
      <c r="X70" s="50"/>
      <c r="Y70" s="50"/>
      <c r="Z70" s="50"/>
      <c r="AA70" s="257"/>
      <c r="AB70" s="50"/>
      <c r="AC70" s="50"/>
      <c r="AD70" s="51"/>
      <c r="AE70" s="237" t="s">
        <v>1741</v>
      </c>
      <c r="AF70" s="2"/>
      <c r="AG70" s="2"/>
    </row>
    <row r="71" spans="1:33" s="37" customFormat="1" ht="12.75" x14ac:dyDescent="0.2">
      <c r="A71" s="13">
        <f t="shared" si="1"/>
        <v>6</v>
      </c>
      <c r="B71" s="11"/>
      <c r="C71" s="82"/>
      <c r="D71" s="114"/>
      <c r="E71" s="13"/>
      <c r="F71" s="18"/>
      <c r="G71" s="1"/>
      <c r="H71" s="60"/>
      <c r="I71" s="2"/>
      <c r="J71" s="3"/>
      <c r="K71" s="3"/>
      <c r="L71" s="3"/>
      <c r="M71" s="3"/>
      <c r="N71" s="84"/>
      <c r="O71" s="5"/>
      <c r="P71" s="3"/>
      <c r="Q71" s="4"/>
      <c r="R71" s="84"/>
      <c r="S71" s="87"/>
      <c r="T71" s="6"/>
      <c r="U71" s="13"/>
      <c r="V71" s="3"/>
      <c r="W71" s="4"/>
      <c r="X71" s="13"/>
      <c r="Y71" s="48"/>
      <c r="Z71" s="48"/>
      <c r="AA71" s="20"/>
      <c r="AB71" s="48"/>
      <c r="AC71" s="48"/>
      <c r="AD71" s="7"/>
      <c r="AE71" s="51"/>
      <c r="AF71" s="51"/>
      <c r="AG71" s="2"/>
    </row>
    <row r="72" spans="1:33" s="37" customFormat="1" ht="12.75" x14ac:dyDescent="0.2">
      <c r="A72" s="13">
        <f t="shared" si="1"/>
        <v>6</v>
      </c>
      <c r="B72" s="14"/>
      <c r="C72" s="82"/>
      <c r="D72" s="13"/>
      <c r="E72" s="133"/>
      <c r="F72" s="133"/>
      <c r="G72" s="84"/>
      <c r="H72" s="60"/>
      <c r="I72" s="2"/>
      <c r="J72" s="3"/>
      <c r="K72" s="3"/>
      <c r="L72" s="3"/>
      <c r="M72" s="3"/>
      <c r="N72" s="84"/>
      <c r="O72" s="5"/>
      <c r="P72" s="3"/>
      <c r="Q72" s="4"/>
      <c r="R72" s="84"/>
      <c r="S72" s="87"/>
      <c r="T72" s="6"/>
      <c r="U72" s="13"/>
      <c r="V72" s="3"/>
      <c r="W72" s="4"/>
      <c r="X72" s="13"/>
      <c r="Y72" s="48"/>
      <c r="Z72" s="48"/>
      <c r="AA72" s="20"/>
      <c r="AB72" s="48"/>
      <c r="AC72" s="48"/>
      <c r="AD72" s="7"/>
      <c r="AE72" s="51"/>
      <c r="AF72" s="51"/>
      <c r="AG72" s="2"/>
    </row>
    <row r="73" spans="1:33" s="37" customFormat="1" ht="12.75" x14ac:dyDescent="0.2">
      <c r="A73" s="13">
        <f t="shared" si="1"/>
        <v>6</v>
      </c>
      <c r="B73" s="11"/>
      <c r="C73" s="1"/>
      <c r="D73" s="13"/>
      <c r="E73" s="13"/>
      <c r="F73" s="18"/>
      <c r="G73" s="1"/>
      <c r="H73" s="60"/>
      <c r="I73" s="13"/>
      <c r="J73" s="5"/>
      <c r="K73" s="5"/>
      <c r="L73" s="4"/>
      <c r="M73" s="4"/>
      <c r="N73" s="1"/>
      <c r="O73" s="5"/>
      <c r="P73" s="3"/>
      <c r="Q73" s="4"/>
      <c r="R73" s="47"/>
      <c r="S73" s="13"/>
      <c r="T73" s="6"/>
      <c r="U73" s="13"/>
      <c r="V73" s="3"/>
      <c r="W73" s="4"/>
      <c r="X73" s="13"/>
      <c r="Y73" s="48"/>
      <c r="Z73" s="48"/>
      <c r="AA73" s="20"/>
      <c r="AB73" s="48"/>
      <c r="AC73" s="48"/>
      <c r="AD73" s="7"/>
      <c r="AE73" s="2"/>
      <c r="AF73" s="2"/>
      <c r="AG73" s="2"/>
    </row>
    <row r="74" spans="1:33" s="37" customFormat="1" ht="89.25" customHeight="1" x14ac:dyDescent="0.2">
      <c r="A74" s="13">
        <f t="shared" si="1"/>
        <v>7</v>
      </c>
      <c r="B74" s="11">
        <v>7</v>
      </c>
      <c r="C74" s="92" t="s">
        <v>104</v>
      </c>
      <c r="D74" s="13">
        <v>1</v>
      </c>
      <c r="E74" s="13">
        <v>86</v>
      </c>
      <c r="F74" s="18">
        <v>1582</v>
      </c>
      <c r="G74" s="1" t="s">
        <v>417</v>
      </c>
      <c r="H74" s="60">
        <v>16.600000000000001</v>
      </c>
      <c r="I74" s="13"/>
      <c r="J74" s="5"/>
      <c r="K74" s="5"/>
      <c r="L74" s="4"/>
      <c r="M74" s="4"/>
      <c r="N74" s="16"/>
      <c r="O74" s="5"/>
      <c r="P74" s="3"/>
      <c r="Q74" s="4"/>
      <c r="R74" s="47" t="s">
        <v>1749</v>
      </c>
      <c r="S74" s="13" t="s">
        <v>53</v>
      </c>
      <c r="T74" s="6">
        <v>22.9</v>
      </c>
      <c r="U74" s="13"/>
      <c r="V74" s="3"/>
      <c r="W74" s="4"/>
      <c r="X74" s="13"/>
      <c r="Y74" s="48"/>
      <c r="Z74" s="48"/>
      <c r="AA74" s="20"/>
      <c r="AB74" s="48"/>
      <c r="AC74" s="48"/>
      <c r="AD74" s="7"/>
      <c r="AE74" s="1" t="s">
        <v>635</v>
      </c>
      <c r="AF74" s="1"/>
      <c r="AG74" s="1"/>
    </row>
    <row r="75" spans="1:33" s="37" customFormat="1" ht="54.75" customHeight="1" x14ac:dyDescent="0.2">
      <c r="A75" s="13">
        <f t="shared" si="1"/>
        <v>7</v>
      </c>
      <c r="B75" s="11"/>
      <c r="C75" s="1" t="s">
        <v>105</v>
      </c>
      <c r="D75" s="13"/>
      <c r="E75" s="13"/>
      <c r="F75" s="18"/>
      <c r="G75" s="1"/>
      <c r="H75" s="60"/>
      <c r="I75" s="13"/>
      <c r="J75" s="5"/>
      <c r="K75" s="5"/>
      <c r="L75" s="4"/>
      <c r="M75" s="4"/>
      <c r="N75" s="16"/>
      <c r="O75" s="5"/>
      <c r="P75" s="3"/>
      <c r="Q75" s="4"/>
      <c r="R75" s="47"/>
      <c r="S75" s="13"/>
      <c r="T75" s="6"/>
      <c r="U75" s="13"/>
      <c r="V75" s="3"/>
      <c r="W75" s="4"/>
      <c r="X75" s="13"/>
      <c r="Y75" s="48"/>
      <c r="Z75" s="48"/>
      <c r="AA75" s="20"/>
      <c r="AB75" s="48"/>
      <c r="AC75" s="48"/>
      <c r="AD75" s="7"/>
      <c r="AE75" s="1" t="s">
        <v>434</v>
      </c>
      <c r="AF75" s="1"/>
      <c r="AG75" s="1"/>
    </row>
    <row r="76" spans="1:33" s="37" customFormat="1" ht="38.25" x14ac:dyDescent="0.2">
      <c r="A76" s="13">
        <f t="shared" si="1"/>
        <v>7</v>
      </c>
      <c r="B76" s="11"/>
      <c r="C76" s="82" t="s">
        <v>636</v>
      </c>
      <c r="D76" s="13"/>
      <c r="E76" s="13"/>
      <c r="F76" s="2"/>
      <c r="G76" s="1"/>
      <c r="H76" s="50"/>
      <c r="I76" s="51"/>
      <c r="J76" s="51"/>
      <c r="K76" s="51"/>
      <c r="L76" s="51"/>
      <c r="M76" s="51"/>
      <c r="N76" s="51"/>
      <c r="O76" s="51"/>
      <c r="P76" s="51"/>
      <c r="Q76" s="51"/>
      <c r="R76" s="2"/>
      <c r="S76" s="51"/>
      <c r="T76" s="51"/>
      <c r="U76" s="50"/>
      <c r="V76" s="51"/>
      <c r="W76" s="51"/>
      <c r="X76" s="50"/>
      <c r="Y76" s="50"/>
      <c r="Z76" s="50"/>
      <c r="AA76" s="257"/>
      <c r="AB76" s="50"/>
      <c r="AC76" s="50"/>
      <c r="AD76" s="51"/>
      <c r="AE76" s="237" t="s">
        <v>572</v>
      </c>
      <c r="AF76" s="2"/>
      <c r="AG76" s="2"/>
    </row>
    <row r="77" spans="1:33" s="37" customFormat="1" ht="12.75" x14ac:dyDescent="0.2">
      <c r="A77" s="13">
        <f t="shared" si="1"/>
        <v>7</v>
      </c>
      <c r="B77" s="11"/>
      <c r="C77" s="1"/>
      <c r="D77" s="13"/>
      <c r="E77" s="13"/>
      <c r="F77" s="18"/>
      <c r="G77" s="1"/>
      <c r="H77" s="60"/>
      <c r="I77" s="13"/>
      <c r="J77" s="5"/>
      <c r="K77" s="5"/>
      <c r="L77" s="4"/>
      <c r="M77" s="4"/>
      <c r="N77" s="16"/>
      <c r="O77" s="5"/>
      <c r="P77" s="3"/>
      <c r="Q77" s="4"/>
      <c r="R77" s="47"/>
      <c r="S77" s="13"/>
      <c r="T77" s="6"/>
      <c r="U77" s="17"/>
      <c r="V77" s="3"/>
      <c r="W77" s="4"/>
      <c r="X77" s="13"/>
      <c r="Y77" s="48"/>
      <c r="Z77" s="48"/>
      <c r="AA77" s="20"/>
      <c r="AB77" s="48"/>
      <c r="AC77" s="48"/>
      <c r="AD77" s="7"/>
      <c r="AE77" s="51"/>
      <c r="AF77" s="51"/>
      <c r="AG77" s="2"/>
    </row>
    <row r="78" spans="1:33" s="37" customFormat="1" ht="12.75" x14ac:dyDescent="0.2">
      <c r="A78" s="13">
        <f t="shared" si="1"/>
        <v>7</v>
      </c>
      <c r="B78" s="11"/>
      <c r="C78" s="1"/>
      <c r="D78" s="13"/>
      <c r="E78" s="13"/>
      <c r="F78" s="18"/>
      <c r="G78" s="1"/>
      <c r="H78" s="60"/>
      <c r="I78" s="13"/>
      <c r="J78" s="5"/>
      <c r="K78" s="5"/>
      <c r="L78" s="4"/>
      <c r="M78" s="4"/>
      <c r="N78" s="1"/>
      <c r="O78" s="5"/>
      <c r="P78" s="3"/>
      <c r="Q78" s="4"/>
      <c r="R78" s="47"/>
      <c r="S78" s="13"/>
      <c r="T78" s="6"/>
      <c r="U78" s="17"/>
      <c r="V78" s="3"/>
      <c r="W78" s="4"/>
      <c r="X78" s="13"/>
      <c r="Y78" s="48"/>
      <c r="Z78" s="48"/>
      <c r="AA78" s="20"/>
      <c r="AB78" s="48"/>
      <c r="AC78" s="48"/>
      <c r="AD78" s="7"/>
      <c r="AE78" s="51"/>
      <c r="AF78" s="51"/>
      <c r="AG78" s="2"/>
    </row>
    <row r="79" spans="1:33" s="37" customFormat="1" ht="12.75" x14ac:dyDescent="0.2">
      <c r="A79" s="13">
        <f t="shared" si="1"/>
        <v>7</v>
      </c>
      <c r="B79" s="11"/>
      <c r="C79" s="1"/>
      <c r="D79" s="13"/>
      <c r="E79" s="13"/>
      <c r="F79" s="18"/>
      <c r="G79" s="1"/>
      <c r="H79" s="60"/>
      <c r="I79" s="13"/>
      <c r="J79" s="5"/>
      <c r="K79" s="5"/>
      <c r="L79" s="4"/>
      <c r="M79" s="4"/>
      <c r="N79" s="1"/>
      <c r="O79" s="5"/>
      <c r="P79" s="3"/>
      <c r="Q79" s="4"/>
      <c r="R79" s="47"/>
      <c r="S79" s="13"/>
      <c r="T79" s="6"/>
      <c r="U79" s="13"/>
      <c r="V79" s="3"/>
      <c r="W79" s="4"/>
      <c r="X79" s="13"/>
      <c r="Y79" s="48"/>
      <c r="Z79" s="48"/>
      <c r="AA79" s="20"/>
      <c r="AB79" s="48"/>
      <c r="AC79" s="48"/>
      <c r="AD79" s="7"/>
      <c r="AE79" s="2"/>
      <c r="AF79" s="2"/>
      <c r="AG79" s="2"/>
    </row>
    <row r="80" spans="1:33" s="37" customFormat="1" ht="90.75" customHeight="1" x14ac:dyDescent="0.2">
      <c r="A80" s="13">
        <f t="shared" si="1"/>
        <v>8</v>
      </c>
      <c r="B80" s="11">
        <v>8</v>
      </c>
      <c r="C80" s="92" t="s">
        <v>345</v>
      </c>
      <c r="D80" s="114">
        <v>3</v>
      </c>
      <c r="E80" s="13">
        <v>86</v>
      </c>
      <c r="F80" s="18">
        <v>1582</v>
      </c>
      <c r="G80" s="1" t="s">
        <v>417</v>
      </c>
      <c r="H80" s="60">
        <v>23.5</v>
      </c>
      <c r="I80" s="2"/>
      <c r="J80" s="3"/>
      <c r="K80" s="3"/>
      <c r="L80" s="3"/>
      <c r="M80" s="3"/>
      <c r="N80" s="84"/>
      <c r="O80" s="5"/>
      <c r="P80" s="3"/>
      <c r="Q80" s="4"/>
      <c r="R80" s="84" t="s">
        <v>1838</v>
      </c>
      <c r="S80" s="87" t="s">
        <v>53</v>
      </c>
      <c r="T80" s="6">
        <v>17.39</v>
      </c>
      <c r="U80" s="13"/>
      <c r="V80" s="3"/>
      <c r="W80" s="4"/>
      <c r="X80" s="18" t="s">
        <v>54</v>
      </c>
      <c r="Y80" s="48" t="s">
        <v>55</v>
      </c>
      <c r="Z80" s="48" t="s">
        <v>56</v>
      </c>
      <c r="AA80" s="20" t="s">
        <v>137</v>
      </c>
      <c r="AB80" s="48" t="s">
        <v>54</v>
      </c>
      <c r="AC80" s="48"/>
      <c r="AD80" s="7"/>
      <c r="AE80" s="1" t="s">
        <v>637</v>
      </c>
      <c r="AF80" s="1"/>
      <c r="AG80" s="1"/>
    </row>
    <row r="81" spans="1:33" s="37" customFormat="1" ht="67.5" customHeight="1" x14ac:dyDescent="0.2">
      <c r="A81" s="13">
        <f t="shared" si="1"/>
        <v>8</v>
      </c>
      <c r="B81" s="11"/>
      <c r="C81" s="82" t="s">
        <v>106</v>
      </c>
      <c r="D81" s="13"/>
      <c r="E81" s="133"/>
      <c r="F81" s="133"/>
      <c r="G81" s="84"/>
      <c r="H81" s="60"/>
      <c r="I81" s="2"/>
      <c r="J81" s="3"/>
      <c r="K81" s="3"/>
      <c r="L81" s="3"/>
      <c r="M81" s="3"/>
      <c r="N81" s="84"/>
      <c r="O81" s="5"/>
      <c r="P81" s="3"/>
      <c r="Q81" s="4"/>
      <c r="R81" s="84" t="s">
        <v>1839</v>
      </c>
      <c r="S81" s="87" t="s">
        <v>53</v>
      </c>
      <c r="T81" s="6">
        <v>10.8</v>
      </c>
      <c r="U81" s="13"/>
      <c r="V81" s="3"/>
      <c r="W81" s="4"/>
      <c r="X81" s="13"/>
      <c r="Y81" s="48"/>
      <c r="Z81" s="48"/>
      <c r="AA81" s="20"/>
      <c r="AB81" s="48"/>
      <c r="AC81" s="48"/>
      <c r="AD81" s="7"/>
      <c r="AE81" s="1" t="s">
        <v>434</v>
      </c>
      <c r="AF81" s="1"/>
      <c r="AG81" s="1"/>
    </row>
    <row r="82" spans="1:33" s="37" customFormat="1" ht="44.25" customHeight="1" x14ac:dyDescent="0.2">
      <c r="A82" s="13">
        <f t="shared" si="1"/>
        <v>8</v>
      </c>
      <c r="B82" s="14"/>
      <c r="C82" s="82" t="s">
        <v>638</v>
      </c>
      <c r="D82" s="13"/>
      <c r="E82" s="13"/>
      <c r="F82" s="18"/>
      <c r="G82" s="1"/>
      <c r="H82" s="60"/>
      <c r="I82" s="2"/>
      <c r="J82" s="3"/>
      <c r="K82" s="3"/>
      <c r="L82" s="3"/>
      <c r="M82" s="3"/>
      <c r="N82" s="84"/>
      <c r="O82" s="5"/>
      <c r="P82" s="3"/>
      <c r="Q82" s="4"/>
      <c r="R82" s="84"/>
      <c r="S82" s="87"/>
      <c r="T82" s="6"/>
      <c r="U82" s="13"/>
      <c r="V82" s="3"/>
      <c r="W82" s="4"/>
      <c r="X82" s="13"/>
      <c r="Y82" s="48"/>
      <c r="Z82" s="48"/>
      <c r="AA82" s="20"/>
      <c r="AB82" s="48"/>
      <c r="AC82" s="48"/>
      <c r="AD82" s="7"/>
      <c r="AE82" s="237" t="s">
        <v>1742</v>
      </c>
      <c r="AF82" s="2"/>
      <c r="AG82" s="2"/>
    </row>
    <row r="83" spans="1:33" s="37" customFormat="1" ht="21" customHeight="1" x14ac:dyDescent="0.2">
      <c r="A83" s="13">
        <f t="shared" si="1"/>
        <v>8</v>
      </c>
      <c r="B83" s="11"/>
      <c r="C83" s="21"/>
      <c r="D83" s="13"/>
      <c r="E83" s="13"/>
      <c r="F83" s="2"/>
      <c r="G83" s="1"/>
      <c r="H83" s="50"/>
      <c r="I83" s="51"/>
      <c r="J83" s="51"/>
      <c r="K83" s="51"/>
      <c r="L83" s="51"/>
      <c r="M83" s="51"/>
      <c r="N83" s="51"/>
      <c r="O83" s="51"/>
      <c r="P83" s="51"/>
      <c r="Q83" s="51"/>
      <c r="R83" s="2"/>
      <c r="S83" s="51"/>
      <c r="T83" s="51"/>
      <c r="U83" s="50"/>
      <c r="V83" s="51"/>
      <c r="W83" s="51"/>
      <c r="X83" s="50"/>
      <c r="Y83" s="50"/>
      <c r="Z83" s="50"/>
      <c r="AA83" s="257"/>
      <c r="AB83" s="50"/>
      <c r="AC83" s="50"/>
      <c r="AD83" s="51"/>
      <c r="AE83" s="51" t="s">
        <v>207</v>
      </c>
      <c r="AF83" s="51"/>
      <c r="AG83" s="2"/>
    </row>
    <row r="84" spans="1:33" s="37" customFormat="1" ht="12.75" x14ac:dyDescent="0.2">
      <c r="A84" s="13">
        <f t="shared" si="1"/>
        <v>8</v>
      </c>
      <c r="B84" s="11"/>
      <c r="C84" s="1"/>
      <c r="D84" s="13"/>
      <c r="E84" s="13"/>
      <c r="F84" s="18"/>
      <c r="G84" s="1"/>
      <c r="H84" s="60"/>
      <c r="I84" s="13"/>
      <c r="J84" s="5"/>
      <c r="K84" s="5"/>
      <c r="L84" s="4"/>
      <c r="M84" s="4"/>
      <c r="N84" s="1"/>
      <c r="O84" s="5"/>
      <c r="P84" s="3"/>
      <c r="Q84" s="4"/>
      <c r="R84" s="47"/>
      <c r="S84" s="13"/>
      <c r="T84" s="6"/>
      <c r="U84" s="17"/>
      <c r="V84" s="3"/>
      <c r="W84" s="4"/>
      <c r="X84" s="13"/>
      <c r="Y84" s="48"/>
      <c r="Z84" s="48"/>
      <c r="AA84" s="20"/>
      <c r="AB84" s="48"/>
      <c r="AC84" s="48"/>
      <c r="AD84" s="7"/>
      <c r="AE84" s="51"/>
      <c r="AF84" s="51"/>
      <c r="AG84" s="2"/>
    </row>
    <row r="85" spans="1:33" s="37" customFormat="1" ht="12.75" x14ac:dyDescent="0.2">
      <c r="A85" s="13">
        <f t="shared" si="1"/>
        <v>8</v>
      </c>
      <c r="B85" s="11"/>
      <c r="C85" s="1"/>
      <c r="D85" s="13"/>
      <c r="E85" s="13"/>
      <c r="F85" s="18"/>
      <c r="G85" s="1"/>
      <c r="H85" s="60"/>
      <c r="I85" s="13"/>
      <c r="J85" s="5"/>
      <c r="K85" s="5"/>
      <c r="L85" s="4"/>
      <c r="M85" s="4"/>
      <c r="N85" s="1"/>
      <c r="O85" s="5"/>
      <c r="P85" s="3"/>
      <c r="Q85" s="4"/>
      <c r="R85" s="47"/>
      <c r="S85" s="13"/>
      <c r="T85" s="6"/>
      <c r="U85" s="17"/>
      <c r="V85" s="3"/>
      <c r="W85" s="4"/>
      <c r="X85" s="13"/>
      <c r="Y85" s="48"/>
      <c r="Z85" s="48"/>
      <c r="AA85" s="20"/>
      <c r="AB85" s="48"/>
      <c r="AC85" s="48"/>
      <c r="AD85" s="7"/>
      <c r="AE85" s="51"/>
      <c r="AF85" s="51"/>
      <c r="AG85" s="2"/>
    </row>
    <row r="86" spans="1:33" s="37" customFormat="1" ht="12.75" x14ac:dyDescent="0.2">
      <c r="A86" s="13">
        <f t="shared" si="1"/>
        <v>8</v>
      </c>
      <c r="B86" s="11"/>
      <c r="C86" s="82"/>
      <c r="D86" s="13"/>
      <c r="E86" s="13"/>
      <c r="F86" s="18"/>
      <c r="G86" s="1"/>
      <c r="H86" s="60"/>
      <c r="I86" s="13"/>
      <c r="J86" s="5"/>
      <c r="K86" s="5"/>
      <c r="L86" s="4"/>
      <c r="M86" s="4"/>
      <c r="N86" s="1"/>
      <c r="O86" s="5"/>
      <c r="P86" s="3"/>
      <c r="Q86" s="4"/>
      <c r="R86" s="47"/>
      <c r="S86" s="13"/>
      <c r="T86" s="6"/>
      <c r="U86" s="13"/>
      <c r="V86" s="3"/>
      <c r="W86" s="4"/>
      <c r="X86" s="13"/>
      <c r="Y86" s="48"/>
      <c r="Z86" s="48"/>
      <c r="AA86" s="20"/>
      <c r="AB86" s="48"/>
      <c r="AC86" s="48"/>
      <c r="AD86" s="7"/>
      <c r="AE86" s="1"/>
      <c r="AF86" s="1"/>
      <c r="AG86" s="1"/>
    </row>
    <row r="87" spans="1:33" s="37" customFormat="1" ht="45.75" customHeight="1" x14ac:dyDescent="0.2">
      <c r="A87" s="13">
        <f t="shared" si="1"/>
        <v>9</v>
      </c>
      <c r="B87" s="11">
        <v>9</v>
      </c>
      <c r="C87" s="21" t="s">
        <v>107</v>
      </c>
      <c r="D87" s="13">
        <v>4</v>
      </c>
      <c r="E87" s="13">
        <v>86</v>
      </c>
      <c r="F87" s="18">
        <v>1581</v>
      </c>
      <c r="G87" s="1" t="s">
        <v>417</v>
      </c>
      <c r="H87" s="60">
        <v>98.6</v>
      </c>
      <c r="I87" s="13"/>
      <c r="J87" s="5"/>
      <c r="K87" s="5"/>
      <c r="L87" s="4"/>
      <c r="M87" s="4"/>
      <c r="N87" s="1"/>
      <c r="O87" s="5"/>
      <c r="P87" s="3"/>
      <c r="Q87" s="4"/>
      <c r="R87" s="47" t="s">
        <v>71</v>
      </c>
      <c r="S87" s="13" t="s">
        <v>53</v>
      </c>
      <c r="T87" s="6">
        <v>7.6</v>
      </c>
      <c r="U87" s="17"/>
      <c r="V87" s="3"/>
      <c r="W87" s="4"/>
      <c r="X87" s="13"/>
      <c r="Y87" s="48"/>
      <c r="Z87" s="48"/>
      <c r="AA87" s="20"/>
      <c r="AB87" s="48"/>
      <c r="AC87" s="48"/>
      <c r="AD87" s="7"/>
      <c r="AE87" s="1" t="s">
        <v>639</v>
      </c>
      <c r="AF87" s="1"/>
      <c r="AG87" s="1"/>
    </row>
    <row r="88" spans="1:33" s="37" customFormat="1" ht="44.25" customHeight="1" x14ac:dyDescent="0.2">
      <c r="A88" s="13">
        <f t="shared" si="1"/>
        <v>9</v>
      </c>
      <c r="B88" s="11"/>
      <c r="C88" s="1" t="s">
        <v>108</v>
      </c>
      <c r="D88" s="13"/>
      <c r="E88" s="13"/>
      <c r="F88" s="18"/>
      <c r="G88" s="1"/>
      <c r="H88" s="60"/>
      <c r="I88" s="13"/>
      <c r="J88" s="5"/>
      <c r="K88" s="5"/>
      <c r="L88" s="4"/>
      <c r="M88" s="4"/>
      <c r="N88" s="1"/>
      <c r="O88" s="5"/>
      <c r="P88" s="3"/>
      <c r="Q88" s="4"/>
      <c r="R88" s="47" t="s">
        <v>346</v>
      </c>
      <c r="S88" s="13"/>
      <c r="T88" s="6"/>
      <c r="U88" s="17"/>
      <c r="V88" s="3"/>
      <c r="W88" s="4"/>
      <c r="X88" s="13"/>
      <c r="Y88" s="48"/>
      <c r="Z88" s="48"/>
      <c r="AA88" s="20"/>
      <c r="AB88" s="48"/>
      <c r="AC88" s="48"/>
      <c r="AD88" s="7"/>
      <c r="AE88" s="1" t="s">
        <v>436</v>
      </c>
      <c r="AF88" s="1"/>
      <c r="AG88" s="1"/>
    </row>
    <row r="89" spans="1:33" s="37" customFormat="1" ht="45" customHeight="1" x14ac:dyDescent="0.2">
      <c r="A89" s="13">
        <f t="shared" si="1"/>
        <v>9</v>
      </c>
      <c r="B89" s="11"/>
      <c r="C89" s="21" t="s">
        <v>109</v>
      </c>
      <c r="D89" s="14"/>
      <c r="E89" s="13"/>
      <c r="F89" s="18"/>
      <c r="G89" s="1"/>
      <c r="H89" s="60"/>
      <c r="I89" s="12"/>
      <c r="J89" s="7"/>
      <c r="K89" s="7"/>
      <c r="L89" s="7"/>
      <c r="M89" s="7"/>
      <c r="N89" s="130"/>
      <c r="O89" s="5"/>
      <c r="P89" s="7"/>
      <c r="Q89" s="9"/>
      <c r="R89" s="130"/>
      <c r="S89" s="132"/>
      <c r="T89" s="6"/>
      <c r="U89" s="11"/>
      <c r="V89" s="7"/>
      <c r="W89" s="9"/>
      <c r="X89" s="15"/>
      <c r="Y89" s="49"/>
      <c r="Z89" s="49"/>
      <c r="AA89" s="256"/>
      <c r="AB89" s="49"/>
      <c r="AC89" s="49"/>
      <c r="AD89" s="7"/>
      <c r="AE89" s="2" t="s">
        <v>437</v>
      </c>
      <c r="AF89" s="2"/>
      <c r="AG89" s="2"/>
    </row>
    <row r="90" spans="1:33" s="37" customFormat="1" ht="45" customHeight="1" x14ac:dyDescent="0.2">
      <c r="A90" s="13">
        <f t="shared" si="1"/>
        <v>9</v>
      </c>
      <c r="B90" s="11"/>
      <c r="C90" s="82" t="s">
        <v>110</v>
      </c>
      <c r="D90" s="114"/>
      <c r="E90" s="13"/>
      <c r="F90" s="18"/>
      <c r="G90" s="1"/>
      <c r="H90" s="60"/>
      <c r="I90" s="2"/>
      <c r="J90" s="3"/>
      <c r="K90" s="3"/>
      <c r="L90" s="3"/>
      <c r="M90" s="3"/>
      <c r="N90" s="84"/>
      <c r="O90" s="5"/>
      <c r="P90" s="3"/>
      <c r="Q90" s="4"/>
      <c r="R90" s="84"/>
      <c r="S90" s="87"/>
      <c r="T90" s="6"/>
      <c r="U90" s="13"/>
      <c r="V90" s="3"/>
      <c r="W90" s="4"/>
      <c r="X90" s="18"/>
      <c r="Y90" s="48"/>
      <c r="Z90" s="48"/>
      <c r="AA90" s="20"/>
      <c r="AB90" s="48"/>
      <c r="AC90" s="48"/>
      <c r="AD90" s="7"/>
      <c r="AE90" s="12" t="s">
        <v>111</v>
      </c>
      <c r="AF90" s="12"/>
      <c r="AG90" s="12"/>
    </row>
    <row r="91" spans="1:33" s="37" customFormat="1" ht="45" customHeight="1" x14ac:dyDescent="0.2">
      <c r="A91" s="13">
        <f t="shared" si="1"/>
        <v>9</v>
      </c>
      <c r="B91" s="11"/>
      <c r="C91" s="34" t="s">
        <v>640</v>
      </c>
      <c r="D91" s="13"/>
      <c r="E91" s="13"/>
      <c r="F91" s="2"/>
      <c r="G91" s="1"/>
      <c r="H91" s="50"/>
      <c r="I91" s="51"/>
      <c r="J91" s="51"/>
      <c r="K91" s="51"/>
      <c r="L91" s="51"/>
      <c r="M91" s="51"/>
      <c r="N91" s="51"/>
      <c r="O91" s="51"/>
      <c r="P91" s="51"/>
      <c r="Q91" s="51"/>
      <c r="R91" s="2"/>
      <c r="S91" s="51"/>
      <c r="T91" s="51"/>
      <c r="U91" s="50"/>
      <c r="V91" s="51"/>
      <c r="W91" s="51"/>
      <c r="X91" s="50"/>
      <c r="Y91" s="50"/>
      <c r="Z91" s="50"/>
      <c r="AA91" s="257"/>
      <c r="AB91" s="50"/>
      <c r="AC91" s="50"/>
      <c r="AD91" s="51"/>
      <c r="AE91" s="51"/>
      <c r="AF91" s="51"/>
      <c r="AG91" s="2"/>
    </row>
    <row r="92" spans="1:33" s="37" customFormat="1" ht="12.75" x14ac:dyDescent="0.2">
      <c r="A92" s="13"/>
      <c r="B92" s="11"/>
      <c r="C92" s="34"/>
      <c r="D92" s="13"/>
      <c r="E92" s="13"/>
      <c r="F92" s="2"/>
      <c r="G92" s="1"/>
      <c r="H92" s="50"/>
      <c r="I92" s="51"/>
      <c r="J92" s="51"/>
      <c r="K92" s="51"/>
      <c r="L92" s="51"/>
      <c r="M92" s="51"/>
      <c r="N92" s="51"/>
      <c r="O92" s="51"/>
      <c r="P92" s="51"/>
      <c r="Q92" s="51"/>
      <c r="R92" s="2"/>
      <c r="S92" s="51"/>
      <c r="T92" s="51"/>
      <c r="U92" s="50"/>
      <c r="V92" s="51"/>
      <c r="W92" s="51"/>
      <c r="X92" s="50"/>
      <c r="Y92" s="50"/>
      <c r="Z92" s="50"/>
      <c r="AA92" s="257"/>
      <c r="AB92" s="50"/>
      <c r="AC92" s="50"/>
      <c r="AD92" s="51"/>
      <c r="AE92" s="51"/>
      <c r="AF92" s="51"/>
      <c r="AG92" s="2"/>
    </row>
    <row r="93" spans="1:33" s="37" customFormat="1" ht="12.75" x14ac:dyDescent="0.2">
      <c r="A93" s="13">
        <f>IF(B93&lt;&gt;0,B93,A91)</f>
        <v>9</v>
      </c>
      <c r="B93" s="11"/>
      <c r="C93" s="92"/>
      <c r="D93" s="14"/>
      <c r="E93" s="11"/>
      <c r="F93" s="15"/>
      <c r="G93" s="21"/>
      <c r="H93" s="60"/>
      <c r="I93" s="12"/>
      <c r="J93" s="7"/>
      <c r="K93" s="7"/>
      <c r="L93" s="7"/>
      <c r="M93" s="7"/>
      <c r="N93" s="130"/>
      <c r="O93" s="131"/>
      <c r="P93" s="7"/>
      <c r="Q93" s="9"/>
      <c r="R93" s="130"/>
      <c r="S93" s="132"/>
      <c r="T93" s="6"/>
      <c r="U93" s="11"/>
      <c r="V93" s="7"/>
      <c r="W93" s="9"/>
      <c r="X93" s="15"/>
      <c r="Y93" s="49"/>
      <c r="Z93" s="49"/>
      <c r="AA93" s="256"/>
      <c r="AB93" s="49"/>
      <c r="AC93" s="49"/>
      <c r="AD93" s="7"/>
      <c r="AE93" s="12"/>
      <c r="AF93" s="12"/>
      <c r="AG93" s="12"/>
    </row>
    <row r="94" spans="1:33" s="37" customFormat="1" ht="37.5" customHeight="1" x14ac:dyDescent="0.2">
      <c r="A94" s="13">
        <f t="shared" ref="A94:A100" si="2">IF(B94&lt;&gt;0,B94,A93)</f>
        <v>10</v>
      </c>
      <c r="B94" s="11">
        <v>10</v>
      </c>
      <c r="C94" s="21" t="s">
        <v>50</v>
      </c>
      <c r="D94" s="13">
        <v>1</v>
      </c>
      <c r="E94" s="13">
        <v>86</v>
      </c>
      <c r="F94" s="18">
        <v>198</v>
      </c>
      <c r="G94" s="1" t="s">
        <v>438</v>
      </c>
      <c r="H94" s="60">
        <v>79.400000000000006</v>
      </c>
      <c r="I94" s="2"/>
      <c r="J94" s="3"/>
      <c r="K94" s="3"/>
      <c r="L94" s="3"/>
      <c r="M94" s="3"/>
      <c r="N94" s="84"/>
      <c r="O94" s="5"/>
      <c r="P94" s="3"/>
      <c r="Q94" s="4"/>
      <c r="R94" s="47" t="s">
        <v>439</v>
      </c>
      <c r="S94" s="13" t="s">
        <v>53</v>
      </c>
      <c r="T94" s="6">
        <v>80</v>
      </c>
      <c r="U94" s="13"/>
      <c r="V94" s="3"/>
      <c r="W94" s="4"/>
      <c r="X94" s="13"/>
      <c r="Y94" s="48"/>
      <c r="Z94" s="48"/>
      <c r="AA94" s="20"/>
      <c r="AB94" s="48"/>
      <c r="AC94" s="48"/>
      <c r="AD94" s="7"/>
      <c r="AE94" s="1" t="s">
        <v>641</v>
      </c>
      <c r="AF94" s="1"/>
      <c r="AG94" s="1"/>
    </row>
    <row r="95" spans="1:33" s="37" customFormat="1" ht="43.5" customHeight="1" x14ac:dyDescent="0.2">
      <c r="A95" s="13">
        <f t="shared" si="2"/>
        <v>10</v>
      </c>
      <c r="B95" s="11"/>
      <c r="C95" s="1" t="s">
        <v>112</v>
      </c>
      <c r="D95" s="13"/>
      <c r="E95" s="13">
        <v>86</v>
      </c>
      <c r="F95" s="18">
        <v>198</v>
      </c>
      <c r="G95" s="1" t="s">
        <v>417</v>
      </c>
      <c r="H95" s="60">
        <v>44.1</v>
      </c>
      <c r="I95" s="13"/>
      <c r="J95" s="5"/>
      <c r="K95" s="5"/>
      <c r="L95" s="4"/>
      <c r="M95" s="4"/>
      <c r="N95" s="16"/>
      <c r="O95" s="5"/>
      <c r="P95" s="3"/>
      <c r="Q95" s="4"/>
      <c r="R95" s="47"/>
      <c r="S95" s="13"/>
      <c r="T95" s="6"/>
      <c r="U95" s="17"/>
      <c r="V95" s="3"/>
      <c r="W95" s="4"/>
      <c r="X95" s="13"/>
      <c r="Y95" s="48"/>
      <c r="Z95" s="48"/>
      <c r="AA95" s="20"/>
      <c r="AB95" s="48"/>
      <c r="AC95" s="48"/>
      <c r="AD95" s="7"/>
      <c r="AE95" s="1" t="s">
        <v>440</v>
      </c>
      <c r="AF95" s="1"/>
      <c r="AG95" s="1"/>
    </row>
    <row r="96" spans="1:33" s="37" customFormat="1" ht="45" customHeight="1" x14ac:dyDescent="0.2">
      <c r="A96" s="13">
        <f t="shared" si="2"/>
        <v>10</v>
      </c>
      <c r="B96" s="11"/>
      <c r="C96" s="34" t="s">
        <v>642</v>
      </c>
      <c r="D96" s="13"/>
      <c r="E96" s="13"/>
      <c r="F96" s="18"/>
      <c r="G96" s="1"/>
      <c r="H96" s="60"/>
      <c r="I96" s="13"/>
      <c r="J96" s="5"/>
      <c r="K96" s="5"/>
      <c r="L96" s="4"/>
      <c r="M96" s="4"/>
      <c r="N96" s="16"/>
      <c r="O96" s="5"/>
      <c r="P96" s="3"/>
      <c r="Q96" s="4"/>
      <c r="R96" s="47"/>
      <c r="S96" s="13"/>
      <c r="T96" s="6"/>
      <c r="U96" s="17"/>
      <c r="V96" s="3"/>
      <c r="W96" s="4"/>
      <c r="X96" s="13"/>
      <c r="Y96" s="48"/>
      <c r="Z96" s="48"/>
      <c r="AA96" s="20"/>
      <c r="AB96" s="48"/>
      <c r="AC96" s="48"/>
      <c r="AD96" s="7"/>
      <c r="AE96" s="2" t="s">
        <v>1562</v>
      </c>
      <c r="AF96" s="2"/>
      <c r="AG96" s="2"/>
    </row>
    <row r="97" spans="1:33" s="37" customFormat="1" ht="12.75" x14ac:dyDescent="0.2">
      <c r="A97" s="13">
        <f t="shared" si="2"/>
        <v>10</v>
      </c>
      <c r="B97" s="11"/>
      <c r="C97" s="31"/>
      <c r="D97" s="13"/>
      <c r="E97" s="13"/>
      <c r="F97" s="18"/>
      <c r="G97" s="1"/>
      <c r="H97" s="60"/>
      <c r="I97" s="13"/>
      <c r="J97" s="5"/>
      <c r="K97" s="5"/>
      <c r="L97" s="4"/>
      <c r="M97" s="4"/>
      <c r="N97" s="1"/>
      <c r="O97" s="5"/>
      <c r="P97" s="3"/>
      <c r="Q97" s="4"/>
      <c r="R97" s="47"/>
      <c r="S97" s="13"/>
      <c r="T97" s="6"/>
      <c r="U97" s="13"/>
      <c r="V97" s="3"/>
      <c r="W97" s="4"/>
      <c r="X97" s="13"/>
      <c r="Y97" s="48"/>
      <c r="Z97" s="48"/>
      <c r="AA97" s="20"/>
      <c r="AB97" s="48"/>
      <c r="AC97" s="48"/>
      <c r="AD97" s="7"/>
      <c r="AE97" s="12" t="s">
        <v>1561</v>
      </c>
      <c r="AF97" s="12"/>
      <c r="AG97" s="12"/>
    </row>
    <row r="98" spans="1:33" s="37" customFormat="1" ht="12.75" x14ac:dyDescent="0.2">
      <c r="A98" s="13">
        <f t="shared" si="2"/>
        <v>10</v>
      </c>
      <c r="B98" s="11"/>
      <c r="C98" s="1"/>
      <c r="D98" s="13"/>
      <c r="E98" s="13"/>
      <c r="F98" s="2"/>
      <c r="G98" s="1"/>
      <c r="H98" s="50"/>
      <c r="I98" s="51"/>
      <c r="J98" s="51"/>
      <c r="K98" s="51"/>
      <c r="L98" s="51"/>
      <c r="M98" s="51"/>
      <c r="N98" s="51"/>
      <c r="O98" s="51"/>
      <c r="P98" s="51"/>
      <c r="Q98" s="51"/>
      <c r="R98" s="2"/>
      <c r="S98" s="51"/>
      <c r="T98" s="51"/>
      <c r="U98" s="50"/>
      <c r="V98" s="51"/>
      <c r="W98" s="51"/>
      <c r="X98" s="50"/>
      <c r="Y98" s="50"/>
      <c r="Z98" s="50"/>
      <c r="AA98" s="257"/>
      <c r="AB98" s="50"/>
      <c r="AC98" s="50"/>
      <c r="AD98" s="51"/>
      <c r="AE98" s="51"/>
      <c r="AF98" s="51"/>
      <c r="AG98" s="2"/>
    </row>
    <row r="99" spans="1:33" s="37" customFormat="1" ht="12.75" x14ac:dyDescent="0.2">
      <c r="A99" s="13">
        <f t="shared" si="2"/>
        <v>10</v>
      </c>
      <c r="B99" s="11"/>
      <c r="C99" s="1"/>
      <c r="D99" s="13"/>
      <c r="E99" s="13"/>
      <c r="F99" s="2"/>
      <c r="G99" s="1"/>
      <c r="H99" s="50"/>
      <c r="I99" s="51"/>
      <c r="J99" s="51"/>
      <c r="K99" s="51"/>
      <c r="L99" s="51"/>
      <c r="M99" s="51"/>
      <c r="N99" s="51"/>
      <c r="O99" s="51"/>
      <c r="P99" s="51"/>
      <c r="Q99" s="51"/>
      <c r="R99" s="2"/>
      <c r="S99" s="51"/>
      <c r="T99" s="51"/>
      <c r="U99" s="50"/>
      <c r="V99" s="51"/>
      <c r="W99" s="51"/>
      <c r="X99" s="50"/>
      <c r="Y99" s="50"/>
      <c r="Z99" s="50"/>
      <c r="AA99" s="257"/>
      <c r="AB99" s="50"/>
      <c r="AC99" s="50"/>
      <c r="AD99" s="51"/>
      <c r="AE99" s="51"/>
      <c r="AF99" s="51"/>
      <c r="AG99" s="2"/>
    </row>
    <row r="100" spans="1:33" s="37" customFormat="1" ht="12.75" x14ac:dyDescent="0.2">
      <c r="A100" s="13">
        <f t="shared" si="2"/>
        <v>10</v>
      </c>
      <c r="B100" s="11"/>
      <c r="C100" s="1"/>
      <c r="D100" s="13"/>
      <c r="E100" s="13"/>
      <c r="F100" s="2"/>
      <c r="G100" s="1"/>
      <c r="H100" s="50"/>
      <c r="I100" s="51"/>
      <c r="J100" s="51"/>
      <c r="K100" s="51"/>
      <c r="L100" s="51"/>
      <c r="M100" s="51"/>
      <c r="N100" s="51"/>
      <c r="O100" s="51"/>
      <c r="P100" s="51"/>
      <c r="Q100" s="51"/>
      <c r="R100" s="2"/>
      <c r="S100" s="51"/>
      <c r="T100" s="51"/>
      <c r="U100" s="50"/>
      <c r="V100" s="51"/>
      <c r="W100" s="51"/>
      <c r="X100" s="50"/>
      <c r="Y100" s="50"/>
      <c r="Z100" s="50"/>
      <c r="AA100" s="257"/>
      <c r="AB100" s="50"/>
      <c r="AC100" s="50"/>
      <c r="AD100" s="51"/>
      <c r="AE100" s="51"/>
      <c r="AF100" s="51"/>
      <c r="AG100" s="2"/>
    </row>
    <row r="101" spans="1:33" s="37" customFormat="1" ht="33.75" customHeight="1" x14ac:dyDescent="0.2">
      <c r="A101" s="13">
        <f>IF(B101&lt;&gt;0,B101,A98)</f>
        <v>11</v>
      </c>
      <c r="B101" s="14">
        <v>11</v>
      </c>
      <c r="C101" s="92" t="s">
        <v>26</v>
      </c>
      <c r="D101" s="13">
        <v>7</v>
      </c>
      <c r="E101" s="13">
        <v>86</v>
      </c>
      <c r="F101" s="18">
        <v>318</v>
      </c>
      <c r="G101" s="1" t="s">
        <v>438</v>
      </c>
      <c r="H101" s="60">
        <v>21</v>
      </c>
      <c r="I101" s="2"/>
      <c r="J101" s="3"/>
      <c r="K101" s="3"/>
      <c r="L101" s="3"/>
      <c r="M101" s="3"/>
      <c r="N101" s="84"/>
      <c r="O101" s="5"/>
      <c r="P101" s="3"/>
      <c r="Q101" s="4"/>
      <c r="R101" s="84"/>
      <c r="S101" s="87"/>
      <c r="T101" s="6"/>
      <c r="U101" s="13"/>
      <c r="V101" s="3"/>
      <c r="W101" s="4"/>
      <c r="X101" s="13"/>
      <c r="Y101" s="48"/>
      <c r="Z101" s="48"/>
      <c r="AA101" s="20"/>
      <c r="AB101" s="48"/>
      <c r="AC101" s="48"/>
      <c r="AD101" s="7"/>
      <c r="AE101" s="1" t="s">
        <v>1687</v>
      </c>
      <c r="AF101" s="1"/>
      <c r="AG101" s="1"/>
    </row>
    <row r="102" spans="1:33" s="37" customFormat="1" ht="47.25" customHeight="1" x14ac:dyDescent="0.2">
      <c r="A102" s="13">
        <f t="shared" ref="A102:A165" si="3">IF(B102&lt;&gt;0,B102,A101)</f>
        <v>11</v>
      </c>
      <c r="B102" s="11"/>
      <c r="C102" s="1" t="s">
        <v>113</v>
      </c>
      <c r="D102" s="13"/>
      <c r="E102" s="13">
        <v>86</v>
      </c>
      <c r="F102" s="18">
        <v>318</v>
      </c>
      <c r="G102" s="1" t="s">
        <v>417</v>
      </c>
      <c r="H102" s="60">
        <v>8.8000000000000007</v>
      </c>
      <c r="I102" s="13"/>
      <c r="J102" s="5"/>
      <c r="K102" s="5"/>
      <c r="L102" s="4"/>
      <c r="M102" s="4"/>
      <c r="N102" s="1"/>
      <c r="O102" s="5"/>
      <c r="P102" s="3"/>
      <c r="Q102" s="4"/>
      <c r="R102" s="47"/>
      <c r="S102" s="13"/>
      <c r="T102" s="6"/>
      <c r="U102" s="13"/>
      <c r="V102" s="3"/>
      <c r="W102" s="4"/>
      <c r="X102" s="13"/>
      <c r="Y102" s="48"/>
      <c r="Z102" s="48"/>
      <c r="AA102" s="20"/>
      <c r="AB102" s="48"/>
      <c r="AC102" s="48"/>
      <c r="AD102" s="7"/>
      <c r="AE102" s="1" t="s">
        <v>441</v>
      </c>
      <c r="AF102" s="1"/>
      <c r="AG102" s="1"/>
    </row>
    <row r="103" spans="1:33" s="37" customFormat="1" ht="38.25" x14ac:dyDescent="0.2">
      <c r="A103" s="13">
        <f t="shared" si="3"/>
        <v>11</v>
      </c>
      <c r="B103" s="11"/>
      <c r="C103" s="1" t="s">
        <v>643</v>
      </c>
      <c r="D103" s="13"/>
      <c r="E103" s="13"/>
      <c r="F103" s="18"/>
      <c r="G103" s="1"/>
      <c r="H103" s="60"/>
      <c r="I103" s="13"/>
      <c r="J103" s="5"/>
      <c r="K103" s="5"/>
      <c r="L103" s="4"/>
      <c r="M103" s="4"/>
      <c r="N103" s="1"/>
      <c r="O103" s="5"/>
      <c r="P103" s="3"/>
      <c r="Q103" s="4"/>
      <c r="R103" s="47"/>
      <c r="S103" s="13"/>
      <c r="T103" s="6"/>
      <c r="U103" s="13"/>
      <c r="V103" s="3"/>
      <c r="W103" s="4"/>
      <c r="X103" s="13"/>
      <c r="Y103" s="48"/>
      <c r="Z103" s="48"/>
      <c r="AA103" s="20"/>
      <c r="AB103" s="48"/>
      <c r="AC103" s="48"/>
      <c r="AD103" s="7"/>
      <c r="AE103" s="2" t="s">
        <v>442</v>
      </c>
      <c r="AF103" s="2"/>
      <c r="AG103" s="2"/>
    </row>
    <row r="104" spans="1:33" s="37" customFormat="1" ht="25.5" x14ac:dyDescent="0.2">
      <c r="A104" s="13">
        <f t="shared" si="3"/>
        <v>11</v>
      </c>
      <c r="B104" s="11"/>
      <c r="C104" s="1" t="s">
        <v>443</v>
      </c>
      <c r="D104" s="13"/>
      <c r="E104" s="13"/>
      <c r="F104" s="2"/>
      <c r="G104" s="1"/>
      <c r="H104" s="50"/>
      <c r="I104" s="51"/>
      <c r="J104" s="51"/>
      <c r="K104" s="51"/>
      <c r="L104" s="51"/>
      <c r="M104" s="51"/>
      <c r="N104" s="51"/>
      <c r="O104" s="51"/>
      <c r="P104" s="51"/>
      <c r="Q104" s="51"/>
      <c r="R104" s="2"/>
      <c r="S104" s="51"/>
      <c r="T104" s="51"/>
      <c r="U104" s="50"/>
      <c r="V104" s="51"/>
      <c r="W104" s="51"/>
      <c r="X104" s="50"/>
      <c r="Y104" s="50"/>
      <c r="Z104" s="50"/>
      <c r="AA104" s="257"/>
      <c r="AB104" s="50"/>
      <c r="AC104" s="50"/>
      <c r="AD104" s="51"/>
      <c r="AE104" s="51"/>
      <c r="AF104" s="51"/>
      <c r="AG104" s="2"/>
    </row>
    <row r="105" spans="1:33" s="37" customFormat="1" ht="12.75" x14ac:dyDescent="0.2">
      <c r="A105" s="13">
        <f t="shared" si="3"/>
        <v>11</v>
      </c>
      <c r="B105" s="11"/>
      <c r="C105" s="1"/>
      <c r="D105" s="13"/>
      <c r="E105" s="13"/>
      <c r="F105" s="2"/>
      <c r="G105" s="1"/>
      <c r="H105" s="50"/>
      <c r="I105" s="51"/>
      <c r="J105" s="51"/>
      <c r="K105" s="51"/>
      <c r="L105" s="51"/>
      <c r="M105" s="51"/>
      <c r="N105" s="51"/>
      <c r="O105" s="51"/>
      <c r="P105" s="51"/>
      <c r="Q105" s="51"/>
      <c r="R105" s="2"/>
      <c r="S105" s="51"/>
      <c r="T105" s="51"/>
      <c r="U105" s="50"/>
      <c r="V105" s="51"/>
      <c r="W105" s="51"/>
      <c r="X105" s="50"/>
      <c r="Y105" s="50"/>
      <c r="Z105" s="50"/>
      <c r="AA105" s="257"/>
      <c r="AB105" s="50"/>
      <c r="AC105" s="50"/>
      <c r="AD105" s="51"/>
      <c r="AE105" s="51"/>
      <c r="AF105" s="51"/>
      <c r="AG105" s="2"/>
    </row>
    <row r="106" spans="1:33" s="37" customFormat="1" ht="12.75" x14ac:dyDescent="0.2">
      <c r="A106" s="13">
        <f t="shared" si="3"/>
        <v>11</v>
      </c>
      <c r="B106" s="11"/>
      <c r="C106" s="1"/>
      <c r="D106" s="13"/>
      <c r="E106" s="13"/>
      <c r="F106" s="2"/>
      <c r="G106" s="1"/>
      <c r="H106" s="50"/>
      <c r="I106" s="51"/>
      <c r="J106" s="51"/>
      <c r="K106" s="51"/>
      <c r="L106" s="51"/>
      <c r="M106" s="51"/>
      <c r="N106" s="51"/>
      <c r="O106" s="51"/>
      <c r="P106" s="51"/>
      <c r="Q106" s="51"/>
      <c r="R106" s="2"/>
      <c r="S106" s="51"/>
      <c r="T106" s="51"/>
      <c r="U106" s="50"/>
      <c r="V106" s="51"/>
      <c r="W106" s="51"/>
      <c r="X106" s="50"/>
      <c r="Y106" s="50"/>
      <c r="Z106" s="50"/>
      <c r="AA106" s="257"/>
      <c r="AB106" s="50"/>
      <c r="AC106" s="50"/>
      <c r="AD106" s="51"/>
      <c r="AE106" s="51"/>
      <c r="AF106" s="51"/>
      <c r="AG106" s="2"/>
    </row>
    <row r="107" spans="1:33" s="37" customFormat="1" ht="12.75" x14ac:dyDescent="0.2">
      <c r="A107" s="13">
        <f t="shared" si="3"/>
        <v>11</v>
      </c>
      <c r="B107" s="11"/>
      <c r="C107" s="92"/>
      <c r="D107" s="13"/>
      <c r="E107" s="13"/>
      <c r="F107" s="18"/>
      <c r="G107" s="1"/>
      <c r="H107" s="60"/>
      <c r="I107" s="2"/>
      <c r="J107" s="3"/>
      <c r="K107" s="3"/>
      <c r="L107" s="3"/>
      <c r="M107" s="3"/>
      <c r="N107" s="84"/>
      <c r="O107" s="79"/>
      <c r="P107" s="3"/>
      <c r="Q107" s="4"/>
      <c r="R107" s="84"/>
      <c r="S107" s="87"/>
      <c r="T107" s="6"/>
      <c r="U107" s="13"/>
      <c r="V107" s="3"/>
      <c r="W107" s="4"/>
      <c r="X107" s="13"/>
      <c r="Y107" s="48"/>
      <c r="Z107" s="48"/>
      <c r="AA107" s="20"/>
      <c r="AB107" s="48"/>
      <c r="AC107" s="48"/>
      <c r="AD107" s="7"/>
      <c r="AE107" s="2"/>
      <c r="AF107" s="2"/>
      <c r="AG107" s="2"/>
    </row>
    <row r="108" spans="1:33" s="37" customFormat="1" ht="36.75" customHeight="1" x14ac:dyDescent="0.2">
      <c r="A108" s="13">
        <f t="shared" si="3"/>
        <v>12</v>
      </c>
      <c r="B108" s="11">
        <v>12</v>
      </c>
      <c r="C108" s="21" t="s">
        <v>27</v>
      </c>
      <c r="D108" s="13">
        <v>2</v>
      </c>
      <c r="E108" s="13">
        <v>86</v>
      </c>
      <c r="F108" s="18">
        <v>706</v>
      </c>
      <c r="G108" s="1" t="s">
        <v>417</v>
      </c>
      <c r="H108" s="60">
        <v>31.1</v>
      </c>
      <c r="I108" s="13"/>
      <c r="J108" s="5"/>
      <c r="K108" s="5"/>
      <c r="L108" s="4"/>
      <c r="M108" s="4"/>
      <c r="N108" s="1"/>
      <c r="O108" s="5"/>
      <c r="P108" s="3"/>
      <c r="Q108" s="4"/>
      <c r="R108" s="47"/>
      <c r="S108" s="13"/>
      <c r="T108" s="6"/>
      <c r="U108" s="17"/>
      <c r="V108" s="3"/>
      <c r="W108" s="4"/>
      <c r="X108" s="13"/>
      <c r="Y108" s="48"/>
      <c r="Z108" s="48"/>
      <c r="AA108" s="20"/>
      <c r="AB108" s="48"/>
      <c r="AC108" s="48"/>
      <c r="AD108" s="7"/>
      <c r="AE108" s="1" t="s">
        <v>1688</v>
      </c>
      <c r="AF108" s="1"/>
      <c r="AG108" s="1"/>
    </row>
    <row r="109" spans="1:33" s="37" customFormat="1" ht="45" customHeight="1" x14ac:dyDescent="0.2">
      <c r="A109" s="13">
        <f t="shared" si="3"/>
        <v>12</v>
      </c>
      <c r="B109" s="11"/>
      <c r="C109" s="1" t="s">
        <v>114</v>
      </c>
      <c r="D109" s="13"/>
      <c r="E109" s="13"/>
      <c r="F109" s="18"/>
      <c r="G109" s="1"/>
      <c r="H109" s="60"/>
      <c r="I109" s="13"/>
      <c r="J109" s="5"/>
      <c r="K109" s="5"/>
      <c r="L109" s="4"/>
      <c r="M109" s="4"/>
      <c r="N109" s="1"/>
      <c r="O109" s="5"/>
      <c r="P109" s="3"/>
      <c r="Q109" s="4"/>
      <c r="R109" s="47"/>
      <c r="S109" s="13"/>
      <c r="T109" s="6"/>
      <c r="U109" s="17"/>
      <c r="V109" s="3"/>
      <c r="W109" s="4"/>
      <c r="X109" s="13"/>
      <c r="Y109" s="48"/>
      <c r="Z109" s="48"/>
      <c r="AA109" s="20"/>
      <c r="AB109" s="48"/>
      <c r="AC109" s="48"/>
      <c r="AD109" s="7"/>
      <c r="AE109" s="1" t="s">
        <v>444</v>
      </c>
      <c r="AF109" s="1"/>
      <c r="AG109" s="1"/>
    </row>
    <row r="110" spans="1:33" s="37" customFormat="1" ht="38.25" x14ac:dyDescent="0.2">
      <c r="A110" s="13">
        <f t="shared" si="3"/>
        <v>12</v>
      </c>
      <c r="B110" s="11"/>
      <c r="C110" s="1" t="s">
        <v>644</v>
      </c>
      <c r="D110" s="14"/>
      <c r="E110" s="11"/>
      <c r="F110" s="15"/>
      <c r="G110" s="21"/>
      <c r="H110" s="60"/>
      <c r="I110" s="12"/>
      <c r="J110" s="7"/>
      <c r="K110" s="7"/>
      <c r="L110" s="7"/>
      <c r="M110" s="7"/>
      <c r="N110" s="130"/>
      <c r="O110" s="5"/>
      <c r="P110" s="7"/>
      <c r="Q110" s="9"/>
      <c r="R110" s="130"/>
      <c r="S110" s="132"/>
      <c r="T110" s="6"/>
      <c r="U110" s="128"/>
      <c r="V110" s="7"/>
      <c r="W110" s="9"/>
      <c r="X110" s="15"/>
      <c r="Y110" s="49"/>
      <c r="Z110" s="49"/>
      <c r="AA110" s="256"/>
      <c r="AB110" s="49"/>
      <c r="AC110" s="49"/>
      <c r="AD110" s="7"/>
      <c r="AE110" s="2" t="s">
        <v>445</v>
      </c>
      <c r="AF110" s="2"/>
      <c r="AG110" s="2"/>
    </row>
    <row r="111" spans="1:33" s="37" customFormat="1" ht="12.75" x14ac:dyDescent="0.2">
      <c r="A111" s="13">
        <f t="shared" si="3"/>
        <v>12</v>
      </c>
      <c r="B111" s="11"/>
      <c r="C111" s="82" t="s">
        <v>322</v>
      </c>
      <c r="D111" s="13"/>
      <c r="E111" s="13"/>
      <c r="F111" s="2"/>
      <c r="G111" s="1"/>
      <c r="H111" s="50"/>
      <c r="I111" s="51"/>
      <c r="J111" s="51"/>
      <c r="K111" s="51"/>
      <c r="L111" s="51"/>
      <c r="M111" s="51"/>
      <c r="N111" s="51"/>
      <c r="O111" s="51"/>
      <c r="P111" s="51"/>
      <c r="Q111" s="51"/>
      <c r="R111" s="2"/>
      <c r="S111" s="51"/>
      <c r="T111" s="51"/>
      <c r="U111" s="50"/>
      <c r="V111" s="51"/>
      <c r="W111" s="51"/>
      <c r="X111" s="50"/>
      <c r="Y111" s="50"/>
      <c r="Z111" s="50"/>
      <c r="AA111" s="257"/>
      <c r="AB111" s="50"/>
      <c r="AC111" s="50"/>
      <c r="AD111" s="51"/>
      <c r="AE111" s="51"/>
      <c r="AF111" s="51"/>
      <c r="AG111" s="2"/>
    </row>
    <row r="112" spans="1:33" s="37" customFormat="1" ht="12.75" x14ac:dyDescent="0.2">
      <c r="A112" s="13">
        <f t="shared" si="3"/>
        <v>12</v>
      </c>
      <c r="B112" s="11"/>
      <c r="C112" s="82"/>
      <c r="D112" s="13"/>
      <c r="E112" s="13"/>
      <c r="F112" s="2"/>
      <c r="G112" s="1"/>
      <c r="H112" s="50"/>
      <c r="I112" s="51"/>
      <c r="J112" s="51"/>
      <c r="K112" s="51"/>
      <c r="L112" s="51"/>
      <c r="M112" s="51"/>
      <c r="N112" s="51"/>
      <c r="O112" s="51"/>
      <c r="P112" s="51"/>
      <c r="Q112" s="51"/>
      <c r="R112" s="2"/>
      <c r="S112" s="51"/>
      <c r="T112" s="51"/>
      <c r="U112" s="50"/>
      <c r="V112" s="51"/>
      <c r="W112" s="51"/>
      <c r="X112" s="50"/>
      <c r="Y112" s="50"/>
      <c r="Z112" s="50"/>
      <c r="AA112" s="257"/>
      <c r="AB112" s="50"/>
      <c r="AC112" s="50"/>
      <c r="AD112" s="51"/>
      <c r="AE112" s="51"/>
      <c r="AF112" s="51"/>
      <c r="AG112" s="2"/>
    </row>
    <row r="113" spans="1:33" s="37" customFormat="1" ht="12.75" x14ac:dyDescent="0.2">
      <c r="A113" s="13">
        <f t="shared" si="3"/>
        <v>12</v>
      </c>
      <c r="B113" s="11"/>
      <c r="C113" s="92"/>
      <c r="D113" s="14"/>
      <c r="E113" s="11"/>
      <c r="F113" s="15"/>
      <c r="G113" s="21"/>
      <c r="H113" s="60"/>
      <c r="I113" s="12"/>
      <c r="J113" s="7"/>
      <c r="K113" s="7"/>
      <c r="L113" s="7"/>
      <c r="M113" s="7"/>
      <c r="N113" s="130"/>
      <c r="O113" s="131"/>
      <c r="P113" s="7"/>
      <c r="Q113" s="9"/>
      <c r="R113" s="130"/>
      <c r="S113" s="132"/>
      <c r="T113" s="6"/>
      <c r="U113" s="11"/>
      <c r="V113" s="7"/>
      <c r="W113" s="9"/>
      <c r="X113" s="15"/>
      <c r="Y113" s="49"/>
      <c r="Z113" s="49"/>
      <c r="AA113" s="256"/>
      <c r="AB113" s="49"/>
      <c r="AC113" s="49"/>
      <c r="AD113" s="7"/>
      <c r="AE113" s="12"/>
      <c r="AF113" s="12"/>
      <c r="AG113" s="12"/>
    </row>
    <row r="114" spans="1:33" s="37" customFormat="1" ht="33" customHeight="1" x14ac:dyDescent="0.2">
      <c r="A114" s="13">
        <f t="shared" si="3"/>
        <v>13</v>
      </c>
      <c r="B114" s="14">
        <v>13</v>
      </c>
      <c r="C114" s="92" t="s">
        <v>28</v>
      </c>
      <c r="D114" s="13">
        <v>2</v>
      </c>
      <c r="E114" s="13">
        <v>86</v>
      </c>
      <c r="F114" s="18">
        <v>705</v>
      </c>
      <c r="G114" s="1" t="s">
        <v>417</v>
      </c>
      <c r="H114" s="60">
        <v>31.2</v>
      </c>
      <c r="I114" s="2"/>
      <c r="J114" s="3"/>
      <c r="K114" s="3"/>
      <c r="L114" s="3"/>
      <c r="M114" s="3"/>
      <c r="N114" s="84"/>
      <c r="O114" s="5"/>
      <c r="P114" s="3"/>
      <c r="Q114" s="4"/>
      <c r="R114" s="47"/>
      <c r="S114" s="13"/>
      <c r="T114" s="6"/>
      <c r="U114" s="129"/>
      <c r="V114" s="3"/>
      <c r="W114" s="4"/>
      <c r="X114" s="13"/>
      <c r="Y114" s="48"/>
      <c r="Z114" s="48"/>
      <c r="AA114" s="20"/>
      <c r="AB114" s="48"/>
      <c r="AC114" s="48"/>
      <c r="AD114" s="7"/>
      <c r="AE114" s="84" t="s">
        <v>1689</v>
      </c>
      <c r="AF114" s="84"/>
      <c r="AG114" s="84"/>
    </row>
    <row r="115" spans="1:33" s="37" customFormat="1" ht="44.25" customHeight="1" x14ac:dyDescent="0.2">
      <c r="A115" s="13">
        <f t="shared" si="3"/>
        <v>13</v>
      </c>
      <c r="B115" s="11"/>
      <c r="C115" s="1" t="s">
        <v>115</v>
      </c>
      <c r="D115" s="13"/>
      <c r="E115" s="13"/>
      <c r="F115" s="18"/>
      <c r="G115" s="1"/>
      <c r="H115" s="60"/>
      <c r="I115" s="2"/>
      <c r="J115" s="3"/>
      <c r="K115" s="3"/>
      <c r="L115" s="3"/>
      <c r="M115" s="3"/>
      <c r="N115" s="84"/>
      <c r="O115" s="5"/>
      <c r="P115" s="3"/>
      <c r="Q115" s="4"/>
      <c r="R115" s="84"/>
      <c r="S115" s="87"/>
      <c r="T115" s="6"/>
      <c r="U115" s="129"/>
      <c r="V115" s="3"/>
      <c r="W115" s="4"/>
      <c r="X115" s="13"/>
      <c r="Y115" s="48"/>
      <c r="Z115" s="48"/>
      <c r="AA115" s="20"/>
      <c r="AB115" s="48"/>
      <c r="AC115" s="48"/>
      <c r="AD115" s="7"/>
      <c r="AE115" s="1" t="s">
        <v>446</v>
      </c>
      <c r="AF115" s="1"/>
      <c r="AG115" s="1"/>
    </row>
    <row r="116" spans="1:33" s="37" customFormat="1" ht="17.25" customHeight="1" x14ac:dyDescent="0.2">
      <c r="A116" s="13">
        <f t="shared" si="3"/>
        <v>13</v>
      </c>
      <c r="B116" s="11"/>
      <c r="C116" s="21" t="s">
        <v>116</v>
      </c>
      <c r="D116" s="13"/>
      <c r="E116" s="13"/>
      <c r="F116" s="18"/>
      <c r="G116" s="1"/>
      <c r="H116" s="60"/>
      <c r="I116" s="2"/>
      <c r="J116" s="3"/>
      <c r="K116" s="3"/>
      <c r="L116" s="3"/>
      <c r="M116" s="3"/>
      <c r="N116" s="84"/>
      <c r="O116" s="5"/>
      <c r="P116" s="3"/>
      <c r="Q116" s="4"/>
      <c r="R116" s="84"/>
      <c r="S116" s="87"/>
      <c r="T116" s="6"/>
      <c r="U116" s="129"/>
      <c r="V116" s="3"/>
      <c r="W116" s="4"/>
      <c r="X116" s="13"/>
      <c r="Y116" s="48"/>
      <c r="Z116" s="48"/>
      <c r="AA116" s="20"/>
      <c r="AB116" s="48"/>
      <c r="AC116" s="48"/>
      <c r="AD116" s="7"/>
      <c r="AE116" s="2" t="s">
        <v>1673</v>
      </c>
      <c r="AF116" s="2"/>
      <c r="AG116" s="2"/>
    </row>
    <row r="117" spans="1:33" s="37" customFormat="1" ht="17.25" customHeight="1" x14ac:dyDescent="0.2">
      <c r="A117" s="13">
        <f t="shared" si="3"/>
        <v>13</v>
      </c>
      <c r="B117" s="11"/>
      <c r="C117" s="1" t="s">
        <v>117</v>
      </c>
      <c r="D117" s="13"/>
      <c r="E117" s="13"/>
      <c r="F117" s="18"/>
      <c r="G117" s="1"/>
      <c r="H117" s="60"/>
      <c r="I117" s="2"/>
      <c r="J117" s="3"/>
      <c r="K117" s="3"/>
      <c r="L117" s="3"/>
      <c r="M117" s="3"/>
      <c r="N117" s="84"/>
      <c r="O117" s="5"/>
      <c r="P117" s="3"/>
      <c r="Q117" s="4"/>
      <c r="R117" s="84"/>
      <c r="S117" s="87"/>
      <c r="T117" s="6"/>
      <c r="U117" s="129"/>
      <c r="V117" s="3"/>
      <c r="W117" s="4"/>
      <c r="X117" s="13"/>
      <c r="Y117" s="48"/>
      <c r="Z117" s="48"/>
      <c r="AA117" s="20"/>
      <c r="AB117" s="48"/>
      <c r="AC117" s="48"/>
      <c r="AD117" s="7"/>
      <c r="AE117" s="12" t="s">
        <v>111</v>
      </c>
      <c r="AF117" s="12"/>
      <c r="AG117" s="12"/>
    </row>
    <row r="118" spans="1:33" s="37" customFormat="1" ht="25.5" x14ac:dyDescent="0.2">
      <c r="A118" s="13">
        <f t="shared" si="3"/>
        <v>13</v>
      </c>
      <c r="B118" s="11"/>
      <c r="C118" s="1" t="s">
        <v>645</v>
      </c>
      <c r="D118" s="13"/>
      <c r="E118" s="13"/>
      <c r="F118" s="2"/>
      <c r="G118" s="1"/>
      <c r="H118" s="50"/>
      <c r="I118" s="51"/>
      <c r="J118" s="51"/>
      <c r="K118" s="51"/>
      <c r="L118" s="51"/>
      <c r="M118" s="51"/>
      <c r="N118" s="51"/>
      <c r="O118" s="51"/>
      <c r="P118" s="51"/>
      <c r="Q118" s="51"/>
      <c r="R118" s="2"/>
      <c r="S118" s="51"/>
      <c r="T118" s="51"/>
      <c r="U118" s="50"/>
      <c r="V118" s="51"/>
      <c r="W118" s="51"/>
      <c r="X118" s="50"/>
      <c r="Y118" s="50"/>
      <c r="Z118" s="50"/>
      <c r="AA118" s="257"/>
      <c r="AB118" s="50"/>
      <c r="AC118" s="50"/>
      <c r="AD118" s="51"/>
      <c r="AE118" s="51"/>
      <c r="AF118" s="51"/>
      <c r="AG118" s="2"/>
    </row>
    <row r="119" spans="1:33" s="37" customFormat="1" ht="12.75" x14ac:dyDescent="0.2">
      <c r="A119" s="13">
        <f t="shared" si="3"/>
        <v>13</v>
      </c>
      <c r="B119" s="11"/>
      <c r="C119" s="1"/>
      <c r="D119" s="13"/>
      <c r="E119" s="13"/>
      <c r="F119" s="2"/>
      <c r="G119" s="1"/>
      <c r="H119" s="50"/>
      <c r="I119" s="51"/>
      <c r="J119" s="51"/>
      <c r="K119" s="51"/>
      <c r="L119" s="51"/>
      <c r="M119" s="51"/>
      <c r="N119" s="51"/>
      <c r="O119" s="51"/>
      <c r="P119" s="51"/>
      <c r="Q119" s="51"/>
      <c r="R119" s="2"/>
      <c r="S119" s="51"/>
      <c r="T119" s="51"/>
      <c r="U119" s="50"/>
      <c r="V119" s="51"/>
      <c r="W119" s="51"/>
      <c r="X119" s="50"/>
      <c r="Y119" s="50"/>
      <c r="Z119" s="50"/>
      <c r="AA119" s="257"/>
      <c r="AB119" s="50"/>
      <c r="AC119" s="50"/>
      <c r="AD119" s="51"/>
      <c r="AE119" s="51"/>
      <c r="AF119" s="51"/>
      <c r="AG119" s="2"/>
    </row>
    <row r="120" spans="1:33" s="37" customFormat="1" ht="12.75" x14ac:dyDescent="0.2">
      <c r="A120" s="13">
        <f t="shared" si="3"/>
        <v>13</v>
      </c>
      <c r="B120" s="11"/>
      <c r="C120" s="1"/>
      <c r="D120" s="13"/>
      <c r="E120" s="13"/>
      <c r="F120" s="2"/>
      <c r="G120" s="1"/>
      <c r="H120" s="50"/>
      <c r="I120" s="51"/>
      <c r="J120" s="51"/>
      <c r="K120" s="51"/>
      <c r="L120" s="51"/>
      <c r="M120" s="51"/>
      <c r="N120" s="51"/>
      <c r="O120" s="51"/>
      <c r="P120" s="51"/>
      <c r="Q120" s="51"/>
      <c r="R120" s="2"/>
      <c r="S120" s="51"/>
      <c r="T120" s="51"/>
      <c r="U120" s="50"/>
      <c r="V120" s="51"/>
      <c r="W120" s="51"/>
      <c r="X120" s="50"/>
      <c r="Y120" s="50"/>
      <c r="Z120" s="50"/>
      <c r="AA120" s="257"/>
      <c r="AB120" s="50"/>
      <c r="AC120" s="50"/>
      <c r="AD120" s="51"/>
      <c r="AE120" s="51"/>
      <c r="AF120" s="51"/>
      <c r="AG120" s="2"/>
    </row>
    <row r="121" spans="1:33" s="37" customFormat="1" ht="12.75" x14ac:dyDescent="0.2">
      <c r="A121" s="13">
        <f t="shared" si="3"/>
        <v>13</v>
      </c>
      <c r="B121" s="11"/>
      <c r="C121" s="82"/>
      <c r="D121" s="14"/>
      <c r="E121" s="11"/>
      <c r="F121" s="15"/>
      <c r="G121" s="21"/>
      <c r="H121" s="60"/>
      <c r="I121" s="12"/>
      <c r="J121" s="7"/>
      <c r="K121" s="7"/>
      <c r="L121" s="7"/>
      <c r="M121" s="7"/>
      <c r="N121" s="130"/>
      <c r="O121" s="131"/>
      <c r="P121" s="7"/>
      <c r="Q121" s="9"/>
      <c r="R121" s="130"/>
      <c r="S121" s="132"/>
      <c r="T121" s="6"/>
      <c r="U121" s="11"/>
      <c r="V121" s="7"/>
      <c r="W121" s="9"/>
      <c r="X121" s="11"/>
      <c r="Y121" s="49"/>
      <c r="Z121" s="49"/>
      <c r="AA121" s="256"/>
      <c r="AB121" s="49"/>
      <c r="AC121" s="49"/>
      <c r="AD121" s="7"/>
      <c r="AE121" s="1"/>
      <c r="AF121" s="1"/>
      <c r="AG121" s="1"/>
    </row>
    <row r="122" spans="1:33" s="37" customFormat="1" ht="33" customHeight="1" x14ac:dyDescent="0.2">
      <c r="A122" s="13">
        <f t="shared" si="3"/>
        <v>14</v>
      </c>
      <c r="B122" s="11">
        <v>14</v>
      </c>
      <c r="C122" s="92" t="s">
        <v>28</v>
      </c>
      <c r="D122" s="14"/>
      <c r="E122" s="13">
        <v>86</v>
      </c>
      <c r="F122" s="18">
        <v>704</v>
      </c>
      <c r="G122" s="1" t="s">
        <v>417</v>
      </c>
      <c r="H122" s="60">
        <v>31.1</v>
      </c>
      <c r="I122" s="2"/>
      <c r="J122" s="3"/>
      <c r="K122" s="3"/>
      <c r="L122" s="3"/>
      <c r="M122" s="3"/>
      <c r="N122" s="84"/>
      <c r="O122" s="5"/>
      <c r="P122" s="3"/>
      <c r="Q122" s="4"/>
      <c r="R122" s="47"/>
      <c r="S122" s="13"/>
      <c r="T122" s="6"/>
      <c r="U122" s="129"/>
      <c r="V122" s="3"/>
      <c r="W122" s="4"/>
      <c r="X122" s="18"/>
      <c r="Y122" s="48"/>
      <c r="Z122" s="48"/>
      <c r="AA122" s="20"/>
      <c r="AB122" s="48"/>
      <c r="AC122" s="48"/>
      <c r="AD122" s="7"/>
      <c r="AE122" s="1" t="s">
        <v>1690</v>
      </c>
      <c r="AF122" s="1"/>
      <c r="AG122" s="1"/>
    </row>
    <row r="123" spans="1:33" s="37" customFormat="1" ht="42" customHeight="1" x14ac:dyDescent="0.2">
      <c r="A123" s="13">
        <f t="shared" si="3"/>
        <v>14</v>
      </c>
      <c r="B123" s="11"/>
      <c r="C123" s="1" t="s">
        <v>115</v>
      </c>
      <c r="D123" s="114"/>
      <c r="E123" s="133"/>
      <c r="F123" s="133"/>
      <c r="G123" s="84"/>
      <c r="H123" s="60"/>
      <c r="I123" s="2"/>
      <c r="J123" s="3"/>
      <c r="K123" s="3"/>
      <c r="L123" s="3"/>
      <c r="M123" s="3"/>
      <c r="N123" s="84"/>
      <c r="O123" s="5"/>
      <c r="P123" s="3"/>
      <c r="Q123" s="4"/>
      <c r="R123" s="84"/>
      <c r="S123" s="87"/>
      <c r="T123" s="6"/>
      <c r="U123" s="129"/>
      <c r="V123" s="3"/>
      <c r="W123" s="4"/>
      <c r="X123" s="13"/>
      <c r="Y123" s="48"/>
      <c r="Z123" s="48"/>
      <c r="AA123" s="20"/>
      <c r="AB123" s="48"/>
      <c r="AC123" s="48"/>
      <c r="AD123" s="7"/>
      <c r="AE123" s="1" t="s">
        <v>447</v>
      </c>
      <c r="AF123" s="1"/>
      <c r="AG123" s="1"/>
    </row>
    <row r="124" spans="1:33" s="37" customFormat="1" ht="25.5" x14ac:dyDescent="0.2">
      <c r="A124" s="13">
        <f t="shared" si="3"/>
        <v>14</v>
      </c>
      <c r="B124" s="14"/>
      <c r="C124" s="1" t="s">
        <v>645</v>
      </c>
      <c r="D124" s="13"/>
      <c r="E124" s="13"/>
      <c r="F124" s="18"/>
      <c r="G124" s="1"/>
      <c r="H124" s="60"/>
      <c r="I124" s="13"/>
      <c r="J124" s="5"/>
      <c r="K124" s="5"/>
      <c r="L124" s="4"/>
      <c r="M124" s="4"/>
      <c r="N124" s="16"/>
      <c r="O124" s="5"/>
      <c r="P124" s="3"/>
      <c r="Q124" s="4"/>
      <c r="R124" s="47"/>
      <c r="S124" s="13"/>
      <c r="T124" s="6"/>
      <c r="U124" s="13"/>
      <c r="V124" s="3"/>
      <c r="W124" s="4"/>
      <c r="X124" s="13"/>
      <c r="Y124" s="48"/>
      <c r="Z124" s="48"/>
      <c r="AA124" s="20"/>
      <c r="AB124" s="48"/>
      <c r="AC124" s="48"/>
      <c r="AD124" s="7"/>
      <c r="AE124" s="1" t="s">
        <v>1674</v>
      </c>
      <c r="AF124" s="1"/>
      <c r="AG124" s="1"/>
    </row>
    <row r="125" spans="1:33" s="37" customFormat="1" ht="25.5" x14ac:dyDescent="0.2">
      <c r="A125" s="13">
        <f t="shared" si="3"/>
        <v>14</v>
      </c>
      <c r="B125" s="11"/>
      <c r="C125" s="1" t="s">
        <v>323</v>
      </c>
      <c r="D125" s="13"/>
      <c r="E125" s="13"/>
      <c r="F125" s="2"/>
      <c r="G125" s="1"/>
      <c r="H125" s="50"/>
      <c r="I125" s="51"/>
      <c r="J125" s="51"/>
      <c r="K125" s="51"/>
      <c r="L125" s="51"/>
      <c r="M125" s="51"/>
      <c r="N125" s="51"/>
      <c r="O125" s="51"/>
      <c r="P125" s="51"/>
      <c r="Q125" s="51"/>
      <c r="R125" s="2"/>
      <c r="S125" s="51"/>
      <c r="T125" s="51"/>
      <c r="U125" s="50"/>
      <c r="V125" s="51"/>
      <c r="W125" s="51"/>
      <c r="X125" s="50"/>
      <c r="Y125" s="50"/>
      <c r="Z125" s="50"/>
      <c r="AA125" s="257"/>
      <c r="AB125" s="50"/>
      <c r="AC125" s="50"/>
      <c r="AD125" s="51"/>
      <c r="AE125" s="51"/>
      <c r="AF125" s="51"/>
      <c r="AG125" s="2"/>
    </row>
    <row r="126" spans="1:33" s="37" customFormat="1" ht="12.75" x14ac:dyDescent="0.2">
      <c r="A126" s="13">
        <f t="shared" si="3"/>
        <v>14</v>
      </c>
      <c r="B126" s="11"/>
      <c r="C126" s="82"/>
      <c r="D126" s="13"/>
      <c r="E126" s="13"/>
      <c r="F126" s="18"/>
      <c r="G126" s="1"/>
      <c r="H126" s="60"/>
      <c r="I126" s="13"/>
      <c r="J126" s="5"/>
      <c r="K126" s="5"/>
      <c r="L126" s="4"/>
      <c r="M126" s="4"/>
      <c r="N126" s="16"/>
      <c r="O126" s="5"/>
      <c r="P126" s="3"/>
      <c r="Q126" s="4"/>
      <c r="R126" s="47"/>
      <c r="S126" s="13"/>
      <c r="T126" s="6"/>
      <c r="U126" s="13"/>
      <c r="V126" s="3"/>
      <c r="W126" s="4"/>
      <c r="X126" s="13"/>
      <c r="Y126" s="48"/>
      <c r="Z126" s="48"/>
      <c r="AA126" s="20"/>
      <c r="AB126" s="48"/>
      <c r="AC126" s="48"/>
      <c r="AD126" s="7"/>
      <c r="AE126" s="51"/>
      <c r="AF126" s="51"/>
      <c r="AG126" s="2"/>
    </row>
    <row r="127" spans="1:33" s="37" customFormat="1" ht="12.75" x14ac:dyDescent="0.2">
      <c r="A127" s="13">
        <f t="shared" si="3"/>
        <v>14</v>
      </c>
      <c r="B127" s="11"/>
      <c r="C127" s="82"/>
      <c r="D127" s="13"/>
      <c r="E127" s="13"/>
      <c r="F127" s="18"/>
      <c r="G127" s="1"/>
      <c r="H127" s="60"/>
      <c r="I127" s="13"/>
      <c r="J127" s="5"/>
      <c r="K127" s="5"/>
      <c r="L127" s="4"/>
      <c r="M127" s="4"/>
      <c r="N127" s="16"/>
      <c r="O127" s="5"/>
      <c r="P127" s="3"/>
      <c r="Q127" s="4"/>
      <c r="R127" s="47"/>
      <c r="S127" s="13"/>
      <c r="T127" s="6"/>
      <c r="U127" s="13"/>
      <c r="V127" s="3"/>
      <c r="W127" s="4"/>
      <c r="X127" s="13"/>
      <c r="Y127" s="48"/>
      <c r="Z127" s="48"/>
      <c r="AA127" s="20"/>
      <c r="AB127" s="48"/>
      <c r="AC127" s="48"/>
      <c r="AD127" s="7"/>
      <c r="AE127" s="51"/>
      <c r="AF127" s="51"/>
      <c r="AG127" s="2"/>
    </row>
    <row r="128" spans="1:33" s="37" customFormat="1" ht="12.75" x14ac:dyDescent="0.2">
      <c r="A128" s="13">
        <f t="shared" si="3"/>
        <v>14</v>
      </c>
      <c r="B128" s="11"/>
      <c r="C128" s="82"/>
      <c r="D128" s="13"/>
      <c r="E128" s="13"/>
      <c r="F128" s="18"/>
      <c r="G128" s="1"/>
      <c r="H128" s="60"/>
      <c r="I128" s="13"/>
      <c r="J128" s="5"/>
      <c r="K128" s="5"/>
      <c r="L128" s="4"/>
      <c r="M128" s="4"/>
      <c r="N128" s="16"/>
      <c r="O128" s="5"/>
      <c r="P128" s="3"/>
      <c r="Q128" s="4"/>
      <c r="R128" s="47"/>
      <c r="S128" s="13"/>
      <c r="T128" s="6"/>
      <c r="U128" s="13"/>
      <c r="V128" s="3"/>
      <c r="W128" s="4"/>
      <c r="X128" s="13"/>
      <c r="Y128" s="48"/>
      <c r="Z128" s="48"/>
      <c r="AA128" s="20"/>
      <c r="AB128" s="48"/>
      <c r="AC128" s="48"/>
      <c r="AD128" s="7"/>
      <c r="AE128" s="51"/>
      <c r="AF128" s="51"/>
      <c r="AG128" s="2"/>
    </row>
    <row r="129" spans="1:33" s="37" customFormat="1" ht="12.75" x14ac:dyDescent="0.2">
      <c r="A129" s="13">
        <f t="shared" si="3"/>
        <v>14</v>
      </c>
      <c r="B129" s="11"/>
      <c r="C129" s="1"/>
      <c r="D129" s="13"/>
      <c r="E129" s="13"/>
      <c r="F129" s="18"/>
      <c r="G129" s="1"/>
      <c r="H129" s="60"/>
      <c r="I129" s="13"/>
      <c r="J129" s="5"/>
      <c r="K129" s="5"/>
      <c r="L129" s="4"/>
      <c r="M129" s="4"/>
      <c r="N129" s="16"/>
      <c r="O129" s="5"/>
      <c r="P129" s="3"/>
      <c r="Q129" s="4"/>
      <c r="R129" s="47"/>
      <c r="S129" s="13"/>
      <c r="T129" s="6"/>
      <c r="U129" s="17"/>
      <c r="V129" s="3"/>
      <c r="W129" s="4"/>
      <c r="X129" s="13"/>
      <c r="Y129" s="48"/>
      <c r="Z129" s="48"/>
      <c r="AA129" s="20"/>
      <c r="AB129" s="48"/>
      <c r="AC129" s="48"/>
      <c r="AD129" s="7"/>
      <c r="AE129" s="1"/>
      <c r="AF129" s="1"/>
      <c r="AG129" s="1"/>
    </row>
    <row r="130" spans="1:33" s="37" customFormat="1" ht="30" customHeight="1" x14ac:dyDescent="0.2">
      <c r="A130" s="13">
        <f t="shared" si="3"/>
        <v>15</v>
      </c>
      <c r="B130" s="11">
        <v>15</v>
      </c>
      <c r="C130" s="21" t="s">
        <v>118</v>
      </c>
      <c r="D130" s="13">
        <v>4</v>
      </c>
      <c r="E130" s="13">
        <v>86</v>
      </c>
      <c r="F130" s="18">
        <v>703</v>
      </c>
      <c r="G130" s="1" t="s">
        <v>417</v>
      </c>
      <c r="H130" s="60">
        <v>30.7</v>
      </c>
      <c r="I130" s="2"/>
      <c r="J130" s="3"/>
      <c r="K130" s="3"/>
      <c r="L130" s="3"/>
      <c r="M130" s="3"/>
      <c r="N130" s="84"/>
      <c r="O130" s="5"/>
      <c r="P130" s="3"/>
      <c r="Q130" s="4"/>
      <c r="R130" s="47"/>
      <c r="S130" s="13"/>
      <c r="T130" s="6"/>
      <c r="U130" s="129"/>
      <c r="V130" s="3"/>
      <c r="W130" s="4"/>
      <c r="X130" s="13"/>
      <c r="Y130" s="48"/>
      <c r="Z130" s="48"/>
      <c r="AA130" s="20"/>
      <c r="AB130" s="48"/>
      <c r="AC130" s="48"/>
      <c r="AD130" s="7"/>
      <c r="AE130" s="1" t="s">
        <v>1691</v>
      </c>
      <c r="AF130" s="1"/>
      <c r="AG130" s="1"/>
    </row>
    <row r="131" spans="1:33" s="37" customFormat="1" ht="45" customHeight="1" x14ac:dyDescent="0.2">
      <c r="A131" s="13">
        <f t="shared" si="3"/>
        <v>15</v>
      </c>
      <c r="B131" s="11"/>
      <c r="C131" s="1" t="s">
        <v>119</v>
      </c>
      <c r="D131" s="13"/>
      <c r="E131" s="13"/>
      <c r="F131" s="18"/>
      <c r="G131" s="1"/>
      <c r="H131" s="60"/>
      <c r="I131" s="2"/>
      <c r="J131" s="3"/>
      <c r="K131" s="3"/>
      <c r="L131" s="3"/>
      <c r="M131" s="3"/>
      <c r="N131" s="84"/>
      <c r="O131" s="5"/>
      <c r="P131" s="3"/>
      <c r="Q131" s="4"/>
      <c r="R131" s="84"/>
      <c r="S131" s="87"/>
      <c r="T131" s="6"/>
      <c r="U131" s="129"/>
      <c r="V131" s="3"/>
      <c r="W131" s="4"/>
      <c r="X131" s="13"/>
      <c r="Y131" s="48"/>
      <c r="Z131" s="48"/>
      <c r="AA131" s="20"/>
      <c r="AB131" s="48"/>
      <c r="AC131" s="48"/>
      <c r="AD131" s="7"/>
      <c r="AE131" s="1" t="s">
        <v>448</v>
      </c>
      <c r="AF131" s="1"/>
      <c r="AG131" s="1"/>
    </row>
    <row r="132" spans="1:33" s="37" customFormat="1" ht="12.75" x14ac:dyDescent="0.2">
      <c r="A132" s="13">
        <f t="shared" si="3"/>
        <v>15</v>
      </c>
      <c r="B132" s="11"/>
      <c r="C132" s="21" t="s">
        <v>120</v>
      </c>
      <c r="D132" s="13"/>
      <c r="E132" s="13"/>
      <c r="F132" s="18"/>
      <c r="G132" s="1"/>
      <c r="H132" s="60"/>
      <c r="I132" s="2"/>
      <c r="J132" s="3"/>
      <c r="K132" s="3"/>
      <c r="L132" s="3"/>
      <c r="M132" s="3"/>
      <c r="N132" s="84"/>
      <c r="O132" s="5"/>
      <c r="P132" s="3"/>
      <c r="Q132" s="4"/>
      <c r="R132" s="84"/>
      <c r="S132" s="87"/>
      <c r="T132" s="6"/>
      <c r="U132" s="129"/>
      <c r="V132" s="3"/>
      <c r="W132" s="4"/>
      <c r="X132" s="13"/>
      <c r="Y132" s="48"/>
      <c r="Z132" s="48"/>
      <c r="AA132" s="20"/>
      <c r="AB132" s="48"/>
      <c r="AC132" s="48"/>
      <c r="AD132" s="7"/>
      <c r="AE132" s="1" t="s">
        <v>449</v>
      </c>
      <c r="AF132" s="1"/>
      <c r="AG132" s="1"/>
    </row>
    <row r="133" spans="1:33" s="37" customFormat="1" ht="12.75" x14ac:dyDescent="0.2">
      <c r="A133" s="13">
        <f t="shared" si="3"/>
        <v>15</v>
      </c>
      <c r="B133" s="11"/>
      <c r="C133" s="1" t="s">
        <v>121</v>
      </c>
      <c r="D133" s="13"/>
      <c r="E133" s="13"/>
      <c r="F133" s="18"/>
      <c r="G133" s="1"/>
      <c r="H133" s="60"/>
      <c r="I133" s="2"/>
      <c r="J133" s="3"/>
      <c r="K133" s="3"/>
      <c r="L133" s="3"/>
      <c r="M133" s="3"/>
      <c r="N133" s="84"/>
      <c r="O133" s="5"/>
      <c r="P133" s="3"/>
      <c r="Q133" s="4"/>
      <c r="R133" s="84"/>
      <c r="S133" s="87"/>
      <c r="T133" s="6"/>
      <c r="U133" s="129"/>
      <c r="V133" s="3"/>
      <c r="W133" s="4"/>
      <c r="X133" s="13"/>
      <c r="Y133" s="48"/>
      <c r="Z133" s="48"/>
      <c r="AA133" s="20"/>
      <c r="AB133" s="48"/>
      <c r="AC133" s="48"/>
      <c r="AD133" s="7"/>
      <c r="AE133" s="12" t="s">
        <v>111</v>
      </c>
      <c r="AF133" s="12"/>
      <c r="AG133" s="12"/>
    </row>
    <row r="134" spans="1:33" s="37" customFormat="1" ht="38.25" x14ac:dyDescent="0.2">
      <c r="A134" s="13">
        <f t="shared" si="3"/>
        <v>15</v>
      </c>
      <c r="B134" s="11"/>
      <c r="C134" s="1" t="s">
        <v>646</v>
      </c>
      <c r="D134" s="14"/>
      <c r="E134" s="11"/>
      <c r="F134" s="15"/>
      <c r="G134" s="21"/>
      <c r="H134" s="60"/>
      <c r="I134" s="12"/>
      <c r="J134" s="7"/>
      <c r="K134" s="7"/>
      <c r="L134" s="7"/>
      <c r="M134" s="7"/>
      <c r="N134" s="130"/>
      <c r="O134" s="5"/>
      <c r="P134" s="7"/>
      <c r="Q134" s="9"/>
      <c r="R134" s="130"/>
      <c r="S134" s="132"/>
      <c r="T134" s="6"/>
      <c r="U134" s="129"/>
      <c r="V134" s="7"/>
      <c r="W134" s="9"/>
      <c r="X134" s="15"/>
      <c r="Y134" s="49"/>
      <c r="Z134" s="49"/>
      <c r="AA134" s="256"/>
      <c r="AB134" s="49"/>
      <c r="AC134" s="49"/>
      <c r="AD134" s="7"/>
      <c r="AE134" s="12"/>
      <c r="AF134" s="12"/>
      <c r="AG134" s="12"/>
    </row>
    <row r="135" spans="1:33" s="37" customFormat="1" ht="12.75" x14ac:dyDescent="0.2">
      <c r="A135" s="13">
        <f t="shared" si="3"/>
        <v>15</v>
      </c>
      <c r="B135" s="11"/>
      <c r="C135" s="1"/>
      <c r="D135" s="13"/>
      <c r="E135" s="13"/>
      <c r="F135" s="2"/>
      <c r="G135" s="1"/>
      <c r="H135" s="50"/>
      <c r="I135" s="51"/>
      <c r="J135" s="51"/>
      <c r="K135" s="51"/>
      <c r="L135" s="51"/>
      <c r="M135" s="51"/>
      <c r="N135" s="51"/>
      <c r="O135" s="51"/>
      <c r="P135" s="51"/>
      <c r="Q135" s="51"/>
      <c r="R135" s="2"/>
      <c r="S135" s="51"/>
      <c r="T135" s="51"/>
      <c r="U135" s="50"/>
      <c r="V135" s="51"/>
      <c r="W135" s="51"/>
      <c r="X135" s="50"/>
      <c r="Y135" s="50"/>
      <c r="Z135" s="50"/>
      <c r="AA135" s="257"/>
      <c r="AB135" s="50"/>
      <c r="AC135" s="50"/>
      <c r="AD135" s="51"/>
      <c r="AE135" s="51"/>
      <c r="AF135" s="51"/>
      <c r="AG135" s="2"/>
    </row>
    <row r="136" spans="1:33" s="37" customFormat="1" ht="12.75" x14ac:dyDescent="0.2">
      <c r="A136" s="13">
        <f t="shared" si="3"/>
        <v>15</v>
      </c>
      <c r="B136" s="11"/>
      <c r="C136" s="1"/>
      <c r="D136" s="13"/>
      <c r="E136" s="13"/>
      <c r="F136" s="2"/>
      <c r="G136" s="1"/>
      <c r="H136" s="50"/>
      <c r="I136" s="51"/>
      <c r="J136" s="51"/>
      <c r="K136" s="51"/>
      <c r="L136" s="51"/>
      <c r="M136" s="51"/>
      <c r="N136" s="51"/>
      <c r="O136" s="51"/>
      <c r="P136" s="51"/>
      <c r="Q136" s="51"/>
      <c r="R136" s="2"/>
      <c r="S136" s="51"/>
      <c r="T136" s="51"/>
      <c r="U136" s="50"/>
      <c r="V136" s="51"/>
      <c r="W136" s="51"/>
      <c r="X136" s="50"/>
      <c r="Y136" s="50"/>
      <c r="Z136" s="50"/>
      <c r="AA136" s="257"/>
      <c r="AB136" s="50"/>
      <c r="AC136" s="50"/>
      <c r="AD136" s="51"/>
      <c r="AE136" s="51"/>
      <c r="AF136" s="51"/>
      <c r="AG136" s="2"/>
    </row>
    <row r="137" spans="1:33" s="37" customFormat="1" ht="12.75" x14ac:dyDescent="0.2">
      <c r="A137" s="13">
        <f t="shared" si="3"/>
        <v>15</v>
      </c>
      <c r="B137" s="11"/>
      <c r="C137" s="1"/>
      <c r="D137" s="13"/>
      <c r="E137" s="13"/>
      <c r="F137" s="2"/>
      <c r="G137" s="1"/>
      <c r="H137" s="50"/>
      <c r="I137" s="51"/>
      <c r="J137" s="51"/>
      <c r="K137" s="51"/>
      <c r="L137" s="51"/>
      <c r="M137" s="51"/>
      <c r="N137" s="51"/>
      <c r="O137" s="51"/>
      <c r="P137" s="51"/>
      <c r="Q137" s="51"/>
      <c r="R137" s="2"/>
      <c r="S137" s="51"/>
      <c r="T137" s="51"/>
      <c r="U137" s="50"/>
      <c r="V137" s="51"/>
      <c r="W137" s="51"/>
      <c r="X137" s="50"/>
      <c r="Y137" s="50"/>
      <c r="Z137" s="50"/>
      <c r="AA137" s="257"/>
      <c r="AB137" s="50"/>
      <c r="AC137" s="50"/>
      <c r="AD137" s="51"/>
      <c r="AE137" s="51"/>
      <c r="AF137" s="51"/>
      <c r="AG137" s="2"/>
    </row>
    <row r="138" spans="1:33" s="37" customFormat="1" ht="12.75" x14ac:dyDescent="0.2">
      <c r="A138" s="13">
        <f t="shared" si="3"/>
        <v>15</v>
      </c>
      <c r="B138" s="11"/>
      <c r="C138" s="1"/>
      <c r="D138" s="13"/>
      <c r="E138" s="13"/>
      <c r="F138" s="18"/>
      <c r="G138" s="1"/>
      <c r="H138" s="60"/>
      <c r="I138" s="13"/>
      <c r="J138" s="5"/>
      <c r="K138" s="5"/>
      <c r="L138" s="4"/>
      <c r="M138" s="4"/>
      <c r="N138" s="1"/>
      <c r="O138" s="5"/>
      <c r="P138" s="3"/>
      <c r="Q138" s="4"/>
      <c r="R138" s="47"/>
      <c r="S138" s="13"/>
      <c r="T138" s="6"/>
      <c r="U138" s="17"/>
      <c r="V138" s="3"/>
      <c r="W138" s="4"/>
      <c r="X138" s="13"/>
      <c r="Y138" s="48"/>
      <c r="Z138" s="48"/>
      <c r="AA138" s="20"/>
      <c r="AB138" s="48"/>
      <c r="AC138" s="48"/>
      <c r="AD138" s="7"/>
      <c r="AE138" s="2"/>
      <c r="AF138" s="2"/>
      <c r="AG138" s="2"/>
    </row>
    <row r="139" spans="1:33" s="37" customFormat="1" ht="30.75" customHeight="1" x14ac:dyDescent="0.2">
      <c r="A139" s="13">
        <f t="shared" si="3"/>
        <v>16</v>
      </c>
      <c r="B139" s="11">
        <v>16</v>
      </c>
      <c r="C139" s="21" t="s">
        <v>29</v>
      </c>
      <c r="D139" s="13">
        <v>8</v>
      </c>
      <c r="E139" s="13">
        <v>86</v>
      </c>
      <c r="F139" s="115">
        <v>702</v>
      </c>
      <c r="G139" s="1" t="s">
        <v>417</v>
      </c>
      <c r="H139" s="60">
        <v>30.4</v>
      </c>
      <c r="I139" s="13"/>
      <c r="J139" s="5"/>
      <c r="K139" s="5"/>
      <c r="L139" s="4"/>
      <c r="M139" s="4"/>
      <c r="N139" s="1"/>
      <c r="O139" s="5"/>
      <c r="P139" s="3"/>
      <c r="Q139" s="4"/>
      <c r="R139" s="47"/>
      <c r="S139" s="13"/>
      <c r="T139" s="6"/>
      <c r="U139" s="17"/>
      <c r="V139" s="3"/>
      <c r="W139" s="4"/>
      <c r="X139" s="13"/>
      <c r="Y139" s="48"/>
      <c r="Z139" s="48"/>
      <c r="AA139" s="20"/>
      <c r="AB139" s="48"/>
      <c r="AC139" s="48"/>
      <c r="AD139" s="7"/>
      <c r="AE139" s="1" t="s">
        <v>1692</v>
      </c>
      <c r="AF139" s="1"/>
      <c r="AG139" s="1"/>
    </row>
    <row r="140" spans="1:33" s="37" customFormat="1" ht="38.25" x14ac:dyDescent="0.2">
      <c r="A140" s="13">
        <f t="shared" si="3"/>
        <v>16</v>
      </c>
      <c r="B140" s="11"/>
      <c r="C140" s="1" t="s">
        <v>122</v>
      </c>
      <c r="D140" s="14"/>
      <c r="E140" s="11"/>
      <c r="F140" s="15"/>
      <c r="G140" s="21"/>
      <c r="H140" s="60"/>
      <c r="I140" s="12"/>
      <c r="J140" s="7"/>
      <c r="K140" s="7"/>
      <c r="L140" s="7"/>
      <c r="M140" s="7"/>
      <c r="N140" s="130"/>
      <c r="O140" s="5"/>
      <c r="P140" s="7"/>
      <c r="Q140" s="9"/>
      <c r="R140" s="130"/>
      <c r="S140" s="132"/>
      <c r="T140" s="6"/>
      <c r="U140" s="11"/>
      <c r="V140" s="7"/>
      <c r="W140" s="9"/>
      <c r="X140" s="15"/>
      <c r="Y140" s="49"/>
      <c r="Z140" s="49"/>
      <c r="AA140" s="256"/>
      <c r="AB140" s="49"/>
      <c r="AC140" s="49"/>
      <c r="AD140" s="7"/>
      <c r="AE140" s="1" t="s">
        <v>450</v>
      </c>
      <c r="AF140" s="1"/>
      <c r="AG140" s="1"/>
    </row>
    <row r="141" spans="1:33" s="37" customFormat="1" ht="38.25" x14ac:dyDescent="0.2">
      <c r="A141" s="13">
        <f t="shared" si="3"/>
        <v>16</v>
      </c>
      <c r="B141" s="11"/>
      <c r="C141" s="1" t="s">
        <v>647</v>
      </c>
      <c r="D141" s="114"/>
      <c r="E141" s="13"/>
      <c r="F141" s="18"/>
      <c r="G141" s="1"/>
      <c r="H141" s="60"/>
      <c r="I141" s="2"/>
      <c r="J141" s="3"/>
      <c r="K141" s="3"/>
      <c r="L141" s="3"/>
      <c r="M141" s="3"/>
      <c r="N141" s="84"/>
      <c r="O141" s="5"/>
      <c r="P141" s="3"/>
      <c r="Q141" s="4"/>
      <c r="R141" s="84"/>
      <c r="S141" s="87"/>
      <c r="T141" s="6"/>
      <c r="U141" s="13"/>
      <c r="V141" s="3"/>
      <c r="W141" s="4"/>
      <c r="X141" s="18"/>
      <c r="Y141" s="48"/>
      <c r="Z141" s="48"/>
      <c r="AA141" s="20"/>
      <c r="AB141" s="48"/>
      <c r="AC141" s="48"/>
      <c r="AD141" s="7"/>
      <c r="AE141" s="2" t="s">
        <v>451</v>
      </c>
      <c r="AF141" s="2"/>
      <c r="AG141" s="2"/>
    </row>
    <row r="142" spans="1:33" s="37" customFormat="1" ht="12.75" x14ac:dyDescent="0.2">
      <c r="A142" s="13">
        <f t="shared" si="3"/>
        <v>16</v>
      </c>
      <c r="B142" s="11"/>
      <c r="C142" s="82" t="s">
        <v>308</v>
      </c>
      <c r="D142" s="13"/>
      <c r="E142" s="13"/>
      <c r="F142" s="2"/>
      <c r="G142" s="1"/>
      <c r="H142" s="50"/>
      <c r="I142" s="51"/>
      <c r="J142" s="51"/>
      <c r="K142" s="51"/>
      <c r="L142" s="51"/>
      <c r="M142" s="51"/>
      <c r="N142" s="51"/>
      <c r="O142" s="51"/>
      <c r="P142" s="51"/>
      <c r="Q142" s="51"/>
      <c r="R142" s="2"/>
      <c r="S142" s="51"/>
      <c r="T142" s="51"/>
      <c r="U142" s="50"/>
      <c r="V142" s="51"/>
      <c r="W142" s="51"/>
      <c r="X142" s="50"/>
      <c r="Y142" s="50"/>
      <c r="Z142" s="50"/>
      <c r="AA142" s="257"/>
      <c r="AB142" s="50"/>
      <c r="AC142" s="50"/>
      <c r="AD142" s="51"/>
      <c r="AE142" s="51"/>
      <c r="AF142" s="51"/>
      <c r="AG142" s="2"/>
    </row>
    <row r="143" spans="1:33" s="37" customFormat="1" ht="12.75" x14ac:dyDescent="0.2">
      <c r="A143" s="13">
        <f t="shared" si="3"/>
        <v>16</v>
      </c>
      <c r="B143" s="11"/>
      <c r="C143" s="82"/>
      <c r="D143" s="13"/>
      <c r="E143" s="13"/>
      <c r="F143" s="2"/>
      <c r="G143" s="1"/>
      <c r="H143" s="50"/>
      <c r="I143" s="51"/>
      <c r="J143" s="51"/>
      <c r="K143" s="51"/>
      <c r="L143" s="51"/>
      <c r="M143" s="51"/>
      <c r="N143" s="51"/>
      <c r="O143" s="51"/>
      <c r="P143" s="51"/>
      <c r="Q143" s="51"/>
      <c r="R143" s="2"/>
      <c r="S143" s="51"/>
      <c r="T143" s="51"/>
      <c r="U143" s="50"/>
      <c r="V143" s="51"/>
      <c r="W143" s="51"/>
      <c r="X143" s="50"/>
      <c r="Y143" s="50"/>
      <c r="Z143" s="50"/>
      <c r="AA143" s="257"/>
      <c r="AB143" s="50"/>
      <c r="AC143" s="50"/>
      <c r="AD143" s="51"/>
      <c r="AE143" s="51"/>
      <c r="AF143" s="51"/>
      <c r="AG143" s="2"/>
    </row>
    <row r="144" spans="1:33" s="37" customFormat="1" ht="12.75" x14ac:dyDescent="0.2">
      <c r="A144" s="13">
        <f t="shared" si="3"/>
        <v>16</v>
      </c>
      <c r="B144" s="11"/>
      <c r="C144" s="82"/>
      <c r="D144" s="13"/>
      <c r="E144" s="13"/>
      <c r="F144" s="2"/>
      <c r="G144" s="1"/>
      <c r="H144" s="50"/>
      <c r="I144" s="51"/>
      <c r="J144" s="51"/>
      <c r="K144" s="51"/>
      <c r="L144" s="51"/>
      <c r="M144" s="51"/>
      <c r="N144" s="51"/>
      <c r="O144" s="51"/>
      <c r="P144" s="51"/>
      <c r="Q144" s="51"/>
      <c r="R144" s="2"/>
      <c r="S144" s="51"/>
      <c r="T144" s="51"/>
      <c r="U144" s="50"/>
      <c r="V144" s="51"/>
      <c r="W144" s="51"/>
      <c r="X144" s="50"/>
      <c r="Y144" s="50"/>
      <c r="Z144" s="50"/>
      <c r="AA144" s="257"/>
      <c r="AB144" s="50"/>
      <c r="AC144" s="50"/>
      <c r="AD144" s="51"/>
      <c r="AE144" s="51"/>
      <c r="AF144" s="51"/>
      <c r="AG144" s="2"/>
    </row>
    <row r="145" spans="1:33" s="37" customFormat="1" ht="12.75" x14ac:dyDescent="0.2">
      <c r="A145" s="13">
        <f t="shared" si="3"/>
        <v>16</v>
      </c>
      <c r="B145" s="11"/>
      <c r="C145" s="82"/>
      <c r="D145" s="114"/>
      <c r="E145" s="13"/>
      <c r="F145" s="18"/>
      <c r="G145" s="1"/>
      <c r="H145" s="60"/>
      <c r="I145" s="2"/>
      <c r="J145" s="3"/>
      <c r="K145" s="3"/>
      <c r="L145" s="3"/>
      <c r="M145" s="3"/>
      <c r="N145" s="84"/>
      <c r="O145" s="79"/>
      <c r="P145" s="3"/>
      <c r="Q145" s="4"/>
      <c r="R145" s="84"/>
      <c r="S145" s="87"/>
      <c r="T145" s="6"/>
      <c r="U145" s="13"/>
      <c r="V145" s="3"/>
      <c r="W145" s="4"/>
      <c r="X145" s="18"/>
      <c r="Y145" s="48"/>
      <c r="Z145" s="48"/>
      <c r="AA145" s="20"/>
      <c r="AB145" s="48"/>
      <c r="AC145" s="48"/>
      <c r="AD145" s="7"/>
      <c r="AE145" s="2"/>
      <c r="AF145" s="2"/>
      <c r="AG145" s="2"/>
    </row>
    <row r="146" spans="1:33" s="37" customFormat="1" ht="45" customHeight="1" x14ac:dyDescent="0.2">
      <c r="A146" s="13">
        <f t="shared" si="3"/>
        <v>17</v>
      </c>
      <c r="B146" s="11">
        <v>17</v>
      </c>
      <c r="C146" s="21" t="s">
        <v>123</v>
      </c>
      <c r="D146" s="13">
        <v>4</v>
      </c>
      <c r="E146" s="13">
        <v>86</v>
      </c>
      <c r="F146" s="18">
        <v>1589</v>
      </c>
      <c r="G146" s="1" t="s">
        <v>416</v>
      </c>
      <c r="H146" s="60">
        <v>13.8</v>
      </c>
      <c r="I146" s="13"/>
      <c r="J146" s="5"/>
      <c r="K146" s="5"/>
      <c r="L146" s="4"/>
      <c r="M146" s="4"/>
      <c r="N146" s="16" t="s">
        <v>730</v>
      </c>
      <c r="O146" s="5">
        <v>2</v>
      </c>
      <c r="P146" s="3"/>
      <c r="Q146" s="4"/>
      <c r="R146" s="47" t="s">
        <v>96</v>
      </c>
      <c r="S146" s="13" t="s">
        <v>53</v>
      </c>
      <c r="T146" s="6">
        <v>33.32</v>
      </c>
      <c r="U146" s="13"/>
      <c r="V146" s="3"/>
      <c r="W146" s="4"/>
      <c r="X146" s="13" t="s">
        <v>63</v>
      </c>
      <c r="Y146" s="48" t="s">
        <v>55</v>
      </c>
      <c r="Z146" s="48" t="s">
        <v>56</v>
      </c>
      <c r="AA146" s="20" t="s">
        <v>57</v>
      </c>
      <c r="AB146" s="48" t="s">
        <v>63</v>
      </c>
      <c r="AC146" s="20" t="s">
        <v>430</v>
      </c>
      <c r="AD146" s="7"/>
      <c r="AE146" s="1" t="s">
        <v>648</v>
      </c>
      <c r="AF146" s="1"/>
      <c r="AG146" s="1"/>
    </row>
    <row r="147" spans="1:33" s="37" customFormat="1" ht="90" customHeight="1" x14ac:dyDescent="0.2">
      <c r="A147" s="13">
        <f t="shared" si="3"/>
        <v>17</v>
      </c>
      <c r="B147" s="11"/>
      <c r="C147" s="1" t="s">
        <v>124</v>
      </c>
      <c r="D147" s="13"/>
      <c r="E147" s="13">
        <v>86</v>
      </c>
      <c r="F147" s="18">
        <v>178</v>
      </c>
      <c r="G147" s="1" t="s">
        <v>417</v>
      </c>
      <c r="H147" s="60">
        <v>39.799999999999997</v>
      </c>
      <c r="I147" s="13"/>
      <c r="J147" s="5"/>
      <c r="K147" s="5" t="s">
        <v>25</v>
      </c>
      <c r="L147" s="4"/>
      <c r="M147" s="4"/>
      <c r="N147" s="16" t="s">
        <v>731</v>
      </c>
      <c r="O147" s="5">
        <v>1</v>
      </c>
      <c r="P147" s="3"/>
      <c r="Q147" s="4"/>
      <c r="R147" s="47" t="s">
        <v>318</v>
      </c>
      <c r="S147" s="13" t="s">
        <v>53</v>
      </c>
      <c r="T147" s="6">
        <v>10.7</v>
      </c>
      <c r="U147" s="17"/>
      <c r="V147" s="3"/>
      <c r="W147" s="4"/>
      <c r="X147" s="13"/>
      <c r="Y147" s="48"/>
      <c r="Z147" s="48"/>
      <c r="AA147" s="20"/>
      <c r="AB147" s="48"/>
      <c r="AC147" s="48"/>
      <c r="AD147" s="7"/>
      <c r="AE147" s="1" t="s">
        <v>452</v>
      </c>
      <c r="AF147" s="1"/>
      <c r="AG147" s="1"/>
    </row>
    <row r="148" spans="1:33" s="37" customFormat="1" ht="40.5" customHeight="1" x14ac:dyDescent="0.2">
      <c r="A148" s="13">
        <f t="shared" si="3"/>
        <v>17</v>
      </c>
      <c r="B148" s="11"/>
      <c r="C148" s="21" t="s">
        <v>125</v>
      </c>
      <c r="D148" s="13"/>
      <c r="E148" s="13"/>
      <c r="F148" s="18"/>
      <c r="G148" s="1" t="s">
        <v>453</v>
      </c>
      <c r="H148" s="60">
        <v>36.200000000000003</v>
      </c>
      <c r="I148" s="13"/>
      <c r="J148" s="5"/>
      <c r="K148" s="5"/>
      <c r="L148" s="4"/>
      <c r="M148" s="4"/>
      <c r="N148" s="1" t="s">
        <v>729</v>
      </c>
      <c r="O148" s="5">
        <v>1</v>
      </c>
      <c r="P148" s="3"/>
      <c r="Q148" s="4"/>
      <c r="R148" s="47" t="s">
        <v>71</v>
      </c>
      <c r="S148" s="13" t="s">
        <v>53</v>
      </c>
      <c r="T148" s="6">
        <v>7</v>
      </c>
      <c r="U148" s="17"/>
      <c r="V148" s="3"/>
      <c r="W148" s="4"/>
      <c r="X148" s="13"/>
      <c r="Y148" s="48"/>
      <c r="Z148" s="48"/>
      <c r="AA148" s="20"/>
      <c r="AB148" s="48"/>
      <c r="AC148" s="48"/>
      <c r="AD148" s="7"/>
      <c r="AE148" s="2" t="s">
        <v>1676</v>
      </c>
      <c r="AF148" s="2"/>
      <c r="AG148" s="2"/>
    </row>
    <row r="149" spans="1:33" s="37" customFormat="1" ht="33" customHeight="1" x14ac:dyDescent="0.2">
      <c r="A149" s="13">
        <f t="shared" si="3"/>
        <v>17</v>
      </c>
      <c r="B149" s="11"/>
      <c r="C149" s="1" t="s">
        <v>126</v>
      </c>
      <c r="D149" s="13"/>
      <c r="E149" s="13"/>
      <c r="F149" s="18"/>
      <c r="G149" s="1"/>
      <c r="H149" s="60"/>
      <c r="I149" s="13"/>
      <c r="J149" s="5"/>
      <c r="K149" s="5"/>
      <c r="L149" s="4"/>
      <c r="M149" s="4"/>
      <c r="N149" s="1" t="s">
        <v>732</v>
      </c>
      <c r="O149" s="5">
        <v>1</v>
      </c>
      <c r="P149" s="3"/>
      <c r="Q149" s="4"/>
      <c r="R149" s="47" t="s">
        <v>454</v>
      </c>
      <c r="S149" s="13" t="s">
        <v>53</v>
      </c>
      <c r="T149" s="6">
        <v>37.53</v>
      </c>
      <c r="U149" s="17"/>
      <c r="V149" s="3"/>
      <c r="W149" s="4"/>
      <c r="X149" s="13"/>
      <c r="Y149" s="48"/>
      <c r="Z149" s="48"/>
      <c r="AA149" s="20"/>
      <c r="AB149" s="48"/>
      <c r="AC149" s="48"/>
      <c r="AD149" s="7"/>
      <c r="AE149" s="12" t="s">
        <v>111</v>
      </c>
      <c r="AF149" s="12"/>
      <c r="AG149" s="12"/>
    </row>
    <row r="150" spans="1:33" s="37" customFormat="1" ht="63.75" x14ac:dyDescent="0.2">
      <c r="A150" s="13">
        <f t="shared" si="3"/>
        <v>17</v>
      </c>
      <c r="B150" s="11"/>
      <c r="C150" s="1" t="s">
        <v>649</v>
      </c>
      <c r="D150" s="13"/>
      <c r="E150" s="13"/>
      <c r="F150" s="18"/>
      <c r="G150" s="1"/>
      <c r="H150" s="60"/>
      <c r="I150" s="13"/>
      <c r="J150" s="5"/>
      <c r="K150" s="5"/>
      <c r="L150" s="4"/>
      <c r="M150" s="4"/>
      <c r="N150" s="1" t="s">
        <v>733</v>
      </c>
      <c r="O150" s="5">
        <v>1</v>
      </c>
      <c r="P150" s="3"/>
      <c r="Q150" s="4"/>
      <c r="R150" s="47" t="s">
        <v>455</v>
      </c>
      <c r="S150" s="13" t="s">
        <v>53</v>
      </c>
      <c r="T150" s="6">
        <v>49.55</v>
      </c>
      <c r="U150" s="17"/>
      <c r="V150" s="3"/>
      <c r="W150" s="4"/>
      <c r="X150" s="13"/>
      <c r="Y150" s="48"/>
      <c r="Z150" s="48"/>
      <c r="AA150" s="20"/>
      <c r="AB150" s="48"/>
      <c r="AC150" s="48"/>
      <c r="AD150" s="7"/>
      <c r="AE150" s="1" t="s">
        <v>456</v>
      </c>
      <c r="AF150" s="1"/>
      <c r="AG150" s="1"/>
    </row>
    <row r="151" spans="1:33" s="37" customFormat="1" ht="33.75" customHeight="1" x14ac:dyDescent="0.2">
      <c r="A151" s="13">
        <f t="shared" si="3"/>
        <v>17</v>
      </c>
      <c r="B151" s="11"/>
      <c r="C151" s="1"/>
      <c r="D151" s="14"/>
      <c r="E151" s="11"/>
      <c r="F151" s="15"/>
      <c r="G151" s="21"/>
      <c r="H151" s="60"/>
      <c r="I151" s="12"/>
      <c r="J151" s="7"/>
      <c r="K151" s="7"/>
      <c r="L151" s="7"/>
      <c r="M151" s="7"/>
      <c r="N151" s="84" t="s">
        <v>734</v>
      </c>
      <c r="O151" s="5">
        <v>1</v>
      </c>
      <c r="P151" s="7"/>
      <c r="Q151" s="9"/>
      <c r="R151" s="84" t="s">
        <v>374</v>
      </c>
      <c r="S151" s="87" t="s">
        <v>53</v>
      </c>
      <c r="T151" s="6">
        <v>46.3</v>
      </c>
      <c r="U151" s="11"/>
      <c r="V151" s="7"/>
      <c r="W151" s="9"/>
      <c r="X151" s="15"/>
      <c r="Y151" s="49"/>
      <c r="Z151" s="49"/>
      <c r="AA151" s="256"/>
      <c r="AB151" s="49"/>
      <c r="AC151" s="49"/>
      <c r="AD151" s="7"/>
      <c r="AE151" s="1" t="s">
        <v>457</v>
      </c>
      <c r="AF151" s="1"/>
      <c r="AG151" s="2"/>
    </row>
    <row r="152" spans="1:33" s="37" customFormat="1" ht="35.25" customHeight="1" x14ac:dyDescent="0.2">
      <c r="A152" s="13">
        <f t="shared" si="3"/>
        <v>17</v>
      </c>
      <c r="B152" s="11"/>
      <c r="C152" s="92"/>
      <c r="D152" s="114"/>
      <c r="E152" s="13"/>
      <c r="F152" s="18"/>
      <c r="G152" s="1"/>
      <c r="H152" s="60"/>
      <c r="I152" s="2"/>
      <c r="J152" s="3"/>
      <c r="K152" s="3"/>
      <c r="L152" s="3"/>
      <c r="M152" s="3"/>
      <c r="N152" s="84" t="s">
        <v>409</v>
      </c>
      <c r="O152" s="5">
        <v>8</v>
      </c>
      <c r="P152" s="3"/>
      <c r="Q152" s="4"/>
      <c r="R152" s="84" t="s">
        <v>458</v>
      </c>
      <c r="S152" s="87" t="s">
        <v>53</v>
      </c>
      <c r="T152" s="6">
        <v>1.44</v>
      </c>
      <c r="U152" s="13"/>
      <c r="V152" s="3"/>
      <c r="W152" s="4"/>
      <c r="X152" s="18"/>
      <c r="Y152" s="48"/>
      <c r="Z152" s="48"/>
      <c r="AA152" s="20"/>
      <c r="AB152" s="48"/>
      <c r="AC152" s="48"/>
      <c r="AD152" s="7"/>
      <c r="AE152" s="2"/>
      <c r="AF152" s="2"/>
      <c r="AG152" s="2"/>
    </row>
    <row r="153" spans="1:33" s="37" customFormat="1" ht="25.5" x14ac:dyDescent="0.2">
      <c r="A153" s="13">
        <f t="shared" si="3"/>
        <v>17</v>
      </c>
      <c r="B153" s="11"/>
      <c r="C153" s="82"/>
      <c r="D153" s="13"/>
      <c r="E153" s="133"/>
      <c r="F153" s="133"/>
      <c r="G153" s="84"/>
      <c r="H153" s="60"/>
      <c r="I153" s="2"/>
      <c r="J153" s="3"/>
      <c r="K153" s="3"/>
      <c r="L153" s="3"/>
      <c r="M153" s="3"/>
      <c r="N153" s="84" t="s">
        <v>719</v>
      </c>
      <c r="O153" s="19">
        <v>12</v>
      </c>
      <c r="P153" s="3"/>
      <c r="Q153" s="4"/>
      <c r="R153" s="84"/>
      <c r="S153" s="87"/>
      <c r="T153" s="6"/>
      <c r="U153" s="13"/>
      <c r="V153" s="3"/>
      <c r="W153" s="4"/>
      <c r="X153" s="13"/>
      <c r="Y153" s="48"/>
      <c r="Z153" s="48"/>
      <c r="AA153" s="20"/>
      <c r="AB153" s="48"/>
      <c r="AC153" s="48"/>
      <c r="AD153" s="7"/>
      <c r="AE153" s="2"/>
      <c r="AF153" s="2"/>
      <c r="AG153" s="2"/>
    </row>
    <row r="154" spans="1:33" s="37" customFormat="1" ht="12.75" x14ac:dyDescent="0.2">
      <c r="A154" s="13">
        <f t="shared" si="3"/>
        <v>17</v>
      </c>
      <c r="B154" s="14"/>
      <c r="C154" s="82"/>
      <c r="D154" s="13"/>
      <c r="E154" s="13"/>
      <c r="F154" s="2"/>
      <c r="G154" s="1"/>
      <c r="H154" s="50"/>
      <c r="I154" s="51"/>
      <c r="J154" s="51"/>
      <c r="K154" s="51"/>
      <c r="L154" s="51"/>
      <c r="M154" s="51"/>
      <c r="N154" s="51"/>
      <c r="O154" s="51"/>
      <c r="P154" s="51"/>
      <c r="Q154" s="51"/>
      <c r="R154" s="2"/>
      <c r="S154" s="51"/>
      <c r="T154" s="51"/>
      <c r="U154" s="50"/>
      <c r="V154" s="51"/>
      <c r="W154" s="51"/>
      <c r="X154" s="50"/>
      <c r="Y154" s="50"/>
      <c r="Z154" s="50"/>
      <c r="AA154" s="257"/>
      <c r="AB154" s="50"/>
      <c r="AC154" s="50"/>
      <c r="AD154" s="51"/>
      <c r="AE154" s="51"/>
      <c r="AF154" s="51"/>
      <c r="AG154" s="2"/>
    </row>
    <row r="155" spans="1:33" s="37" customFormat="1" ht="12.75" x14ac:dyDescent="0.2">
      <c r="A155" s="13">
        <f t="shared" si="3"/>
        <v>17</v>
      </c>
      <c r="B155" s="14"/>
      <c r="C155" s="82"/>
      <c r="D155" s="13"/>
      <c r="E155" s="133"/>
      <c r="F155" s="133"/>
      <c r="G155" s="84"/>
      <c r="H155" s="60"/>
      <c r="I155" s="2"/>
      <c r="J155" s="3"/>
      <c r="K155" s="3"/>
      <c r="L155" s="3"/>
      <c r="M155" s="3"/>
      <c r="N155" s="84"/>
      <c r="O155" s="5"/>
      <c r="P155" s="3"/>
      <c r="Q155" s="4"/>
      <c r="R155" s="84"/>
      <c r="S155" s="87"/>
      <c r="T155" s="6"/>
      <c r="U155" s="13"/>
      <c r="V155" s="3"/>
      <c r="W155" s="4"/>
      <c r="X155" s="13"/>
      <c r="Y155" s="48"/>
      <c r="Z155" s="48"/>
      <c r="AA155" s="20"/>
      <c r="AB155" s="48"/>
      <c r="AC155" s="48"/>
      <c r="AD155" s="7"/>
      <c r="AE155" s="2"/>
      <c r="AF155" s="2"/>
      <c r="AG155" s="2"/>
    </row>
    <row r="156" spans="1:33" s="37" customFormat="1" ht="12.75" x14ac:dyDescent="0.2">
      <c r="A156" s="13">
        <f t="shared" si="3"/>
        <v>17</v>
      </c>
      <c r="B156" s="11"/>
      <c r="C156" s="1"/>
      <c r="D156" s="13"/>
      <c r="E156" s="13"/>
      <c r="F156" s="18"/>
      <c r="G156" s="1"/>
      <c r="H156" s="60"/>
      <c r="I156" s="13"/>
      <c r="J156" s="5"/>
      <c r="K156" s="5"/>
      <c r="L156" s="4"/>
      <c r="M156" s="4"/>
      <c r="N156" s="16"/>
      <c r="O156" s="5"/>
      <c r="P156" s="3"/>
      <c r="Q156" s="4"/>
      <c r="R156" s="47"/>
      <c r="S156" s="13"/>
      <c r="T156" s="6"/>
      <c r="U156" s="17"/>
      <c r="V156" s="3"/>
      <c r="W156" s="4"/>
      <c r="X156" s="13"/>
      <c r="Y156" s="48"/>
      <c r="Z156" s="48"/>
      <c r="AA156" s="20"/>
      <c r="AB156" s="48"/>
      <c r="AC156" s="48"/>
      <c r="AD156" s="7"/>
      <c r="AE156" s="1"/>
      <c r="AF156" s="1"/>
      <c r="AG156" s="1"/>
    </row>
    <row r="157" spans="1:33" s="37" customFormat="1" ht="25.5" x14ac:dyDescent="0.2">
      <c r="A157" s="13">
        <f t="shared" si="3"/>
        <v>18</v>
      </c>
      <c r="B157" s="11">
        <v>18</v>
      </c>
      <c r="C157" s="21" t="s">
        <v>123</v>
      </c>
      <c r="D157" s="11"/>
      <c r="E157" s="13">
        <v>86</v>
      </c>
      <c r="F157" s="18" t="s">
        <v>459</v>
      </c>
      <c r="G157" s="1" t="s">
        <v>416</v>
      </c>
      <c r="H157" s="60">
        <v>25.9</v>
      </c>
      <c r="I157" s="2"/>
      <c r="J157" s="3"/>
      <c r="K157" s="3"/>
      <c r="L157" s="3"/>
      <c r="M157" s="3"/>
      <c r="N157" s="84"/>
      <c r="O157" s="5"/>
      <c r="P157" s="3"/>
      <c r="Q157" s="4"/>
      <c r="R157" s="84"/>
      <c r="S157" s="87"/>
      <c r="T157" s="6"/>
      <c r="U157" s="129"/>
      <c r="V157" s="3"/>
      <c r="W157" s="4"/>
      <c r="X157" s="18"/>
      <c r="Y157" s="48"/>
      <c r="Z157" s="48"/>
      <c r="AA157" s="20"/>
      <c r="AB157" s="48"/>
      <c r="AC157" s="48"/>
      <c r="AD157" s="7"/>
      <c r="AE157" s="84" t="s">
        <v>650</v>
      </c>
      <c r="AF157" s="84"/>
      <c r="AG157" s="84"/>
    </row>
    <row r="158" spans="1:33" s="37" customFormat="1" ht="38.25" x14ac:dyDescent="0.2">
      <c r="A158" s="13">
        <f t="shared" si="3"/>
        <v>18</v>
      </c>
      <c r="B158" s="11"/>
      <c r="C158" s="1" t="s">
        <v>124</v>
      </c>
      <c r="D158" s="114"/>
      <c r="E158" s="133"/>
      <c r="F158" s="133"/>
      <c r="G158" s="84"/>
      <c r="H158" s="60"/>
      <c r="I158" s="2"/>
      <c r="J158" s="3"/>
      <c r="K158" s="3"/>
      <c r="L158" s="3"/>
      <c r="M158" s="3"/>
      <c r="N158" s="84"/>
      <c r="O158" s="5"/>
      <c r="P158" s="3"/>
      <c r="Q158" s="4"/>
      <c r="R158" s="84"/>
      <c r="S158" s="87"/>
      <c r="T158" s="6"/>
      <c r="U158" s="129"/>
      <c r="V158" s="3"/>
      <c r="W158" s="4"/>
      <c r="X158" s="13"/>
      <c r="Y158" s="48"/>
      <c r="Z158" s="48"/>
      <c r="AA158" s="20"/>
      <c r="AB158" s="48"/>
      <c r="AC158" s="48"/>
      <c r="AD158" s="7"/>
      <c r="AE158" s="84" t="s">
        <v>460</v>
      </c>
      <c r="AF158" s="84"/>
      <c r="AG158" s="84"/>
    </row>
    <row r="159" spans="1:33" s="37" customFormat="1" ht="25.5" x14ac:dyDescent="0.2">
      <c r="A159" s="13">
        <f t="shared" si="3"/>
        <v>18</v>
      </c>
      <c r="B159" s="14"/>
      <c r="C159" s="1" t="s">
        <v>649</v>
      </c>
      <c r="D159" s="13"/>
      <c r="E159" s="13"/>
      <c r="F159" s="18"/>
      <c r="G159" s="1"/>
      <c r="H159" s="60"/>
      <c r="I159" s="2"/>
      <c r="J159" s="3"/>
      <c r="K159" s="3"/>
      <c r="L159" s="3"/>
      <c r="M159" s="3"/>
      <c r="N159" s="84"/>
      <c r="O159" s="5"/>
      <c r="P159" s="3"/>
      <c r="Q159" s="4"/>
      <c r="R159" s="84"/>
      <c r="S159" s="87"/>
      <c r="T159" s="6"/>
      <c r="U159" s="129"/>
      <c r="V159" s="3"/>
      <c r="W159" s="4"/>
      <c r="X159" s="13"/>
      <c r="Y159" s="48"/>
      <c r="Z159" s="48"/>
      <c r="AA159" s="20"/>
      <c r="AB159" s="48"/>
      <c r="AC159" s="48"/>
      <c r="AD159" s="7"/>
      <c r="AE159" s="1" t="s">
        <v>1675</v>
      </c>
      <c r="AF159" s="1"/>
      <c r="AG159" s="2"/>
    </row>
    <row r="160" spans="1:33" s="37" customFormat="1" ht="12.75" x14ac:dyDescent="0.2">
      <c r="A160" s="13">
        <f t="shared" si="3"/>
        <v>18</v>
      </c>
      <c r="B160" s="11"/>
      <c r="C160" s="1" t="s">
        <v>324</v>
      </c>
      <c r="D160" s="13"/>
      <c r="E160" s="13"/>
      <c r="F160" s="2"/>
      <c r="G160" s="1"/>
      <c r="H160" s="50"/>
      <c r="I160" s="51"/>
      <c r="J160" s="51"/>
      <c r="K160" s="51"/>
      <c r="L160" s="51"/>
      <c r="M160" s="51"/>
      <c r="N160" s="51"/>
      <c r="O160" s="51"/>
      <c r="P160" s="51"/>
      <c r="Q160" s="51"/>
      <c r="R160" s="2"/>
      <c r="S160" s="51"/>
      <c r="T160" s="51"/>
      <c r="U160" s="50"/>
      <c r="V160" s="51"/>
      <c r="W160" s="51"/>
      <c r="X160" s="50"/>
      <c r="Y160" s="50"/>
      <c r="Z160" s="50"/>
      <c r="AA160" s="257"/>
      <c r="AB160" s="50"/>
      <c r="AC160" s="50"/>
      <c r="AD160" s="51"/>
      <c r="AE160" s="51"/>
      <c r="AF160" s="51"/>
      <c r="AG160" s="2"/>
    </row>
    <row r="161" spans="1:33" s="37" customFormat="1" ht="12.75" x14ac:dyDescent="0.2">
      <c r="A161" s="13">
        <f t="shared" si="3"/>
        <v>18</v>
      </c>
      <c r="B161" s="11"/>
      <c r="C161" s="1"/>
      <c r="D161" s="13"/>
      <c r="E161" s="13"/>
      <c r="F161" s="18"/>
      <c r="G161" s="1"/>
      <c r="H161" s="60"/>
      <c r="I161" s="2"/>
      <c r="J161" s="3"/>
      <c r="K161" s="3"/>
      <c r="L161" s="3"/>
      <c r="M161" s="3"/>
      <c r="N161" s="84"/>
      <c r="O161" s="79"/>
      <c r="P161" s="3"/>
      <c r="Q161" s="4"/>
      <c r="R161" s="84"/>
      <c r="S161" s="87"/>
      <c r="T161" s="6"/>
      <c r="U161" s="13"/>
      <c r="V161" s="3"/>
      <c r="W161" s="4"/>
      <c r="X161" s="13"/>
      <c r="Y161" s="48"/>
      <c r="Z161" s="48"/>
      <c r="AA161" s="20"/>
      <c r="AB161" s="48"/>
      <c r="AC161" s="48"/>
      <c r="AD161" s="7"/>
      <c r="AE161" s="1"/>
      <c r="AF161" s="1"/>
      <c r="AG161" s="1"/>
    </row>
    <row r="162" spans="1:33" s="37" customFormat="1" ht="12.75" x14ac:dyDescent="0.2">
      <c r="A162" s="13">
        <f t="shared" si="3"/>
        <v>18</v>
      </c>
      <c r="B162" s="11"/>
      <c r="C162" s="1"/>
      <c r="D162" s="13"/>
      <c r="E162" s="13"/>
      <c r="F162" s="18"/>
      <c r="G162" s="1"/>
      <c r="H162" s="60"/>
      <c r="I162" s="2"/>
      <c r="J162" s="3"/>
      <c r="K162" s="3"/>
      <c r="L162" s="3"/>
      <c r="M162" s="3"/>
      <c r="N162" s="84"/>
      <c r="O162" s="79"/>
      <c r="P162" s="3"/>
      <c r="Q162" s="4"/>
      <c r="R162" s="84"/>
      <c r="S162" s="87"/>
      <c r="T162" s="6"/>
      <c r="U162" s="13"/>
      <c r="V162" s="3"/>
      <c r="W162" s="4"/>
      <c r="X162" s="13"/>
      <c r="Y162" s="48"/>
      <c r="Z162" s="48"/>
      <c r="AA162" s="20"/>
      <c r="AB162" s="48"/>
      <c r="AC162" s="48"/>
      <c r="AD162" s="7"/>
      <c r="AE162" s="1"/>
      <c r="AF162" s="1"/>
      <c r="AG162" s="1"/>
    </row>
    <row r="163" spans="1:33" s="37" customFormat="1" ht="12.75" x14ac:dyDescent="0.2">
      <c r="A163" s="13">
        <f t="shared" si="3"/>
        <v>18</v>
      </c>
      <c r="B163" s="11"/>
      <c r="C163" s="1"/>
      <c r="D163" s="13"/>
      <c r="E163" s="13"/>
      <c r="F163" s="18"/>
      <c r="G163" s="1"/>
      <c r="H163" s="60"/>
      <c r="I163" s="13"/>
      <c r="J163" s="5"/>
      <c r="K163" s="5"/>
      <c r="L163" s="4"/>
      <c r="M163" s="4"/>
      <c r="N163" s="1"/>
      <c r="O163" s="5"/>
      <c r="P163" s="3"/>
      <c r="Q163" s="4"/>
      <c r="R163" s="47"/>
      <c r="S163" s="13"/>
      <c r="T163" s="6"/>
      <c r="U163" s="13"/>
      <c r="V163" s="3"/>
      <c r="W163" s="4"/>
      <c r="X163" s="13"/>
      <c r="Y163" s="48"/>
      <c r="Z163" s="48"/>
      <c r="AA163" s="20"/>
      <c r="AB163" s="48"/>
      <c r="AC163" s="48"/>
      <c r="AD163" s="7"/>
      <c r="AE163" s="1"/>
      <c r="AF163" s="1"/>
      <c r="AG163" s="1"/>
    </row>
    <row r="164" spans="1:33" s="37" customFormat="1" ht="38.25" x14ac:dyDescent="0.2">
      <c r="A164" s="13">
        <f t="shared" si="3"/>
        <v>19</v>
      </c>
      <c r="B164" s="14">
        <v>19</v>
      </c>
      <c r="C164" s="92" t="s">
        <v>30</v>
      </c>
      <c r="D164" s="13"/>
      <c r="E164" s="13">
        <v>86</v>
      </c>
      <c r="F164" s="18">
        <v>17</v>
      </c>
      <c r="G164" s="1" t="s">
        <v>461</v>
      </c>
      <c r="H164" s="60">
        <v>153.1</v>
      </c>
      <c r="I164" s="2"/>
      <c r="J164" s="3"/>
      <c r="K164" s="3"/>
      <c r="L164" s="3"/>
      <c r="M164" s="3"/>
      <c r="N164" s="84" t="s">
        <v>401</v>
      </c>
      <c r="O164" s="5">
        <v>17</v>
      </c>
      <c r="P164" s="3"/>
      <c r="Q164" s="4"/>
      <c r="R164" s="84"/>
      <c r="S164" s="87"/>
      <c r="T164" s="6"/>
      <c r="U164" s="13"/>
      <c r="V164" s="3"/>
      <c r="W164" s="4"/>
      <c r="X164" s="13"/>
      <c r="Y164" s="48"/>
      <c r="Z164" s="48"/>
      <c r="AA164" s="20"/>
      <c r="AB164" s="48"/>
      <c r="AC164" s="48"/>
      <c r="AD164" s="7"/>
      <c r="AE164" s="1" t="s">
        <v>1693</v>
      </c>
      <c r="AF164" s="1"/>
      <c r="AG164" s="1"/>
    </row>
    <row r="165" spans="1:33" s="37" customFormat="1" ht="25.5" x14ac:dyDescent="0.2">
      <c r="A165" s="13">
        <f t="shared" si="3"/>
        <v>19</v>
      </c>
      <c r="B165" s="11"/>
      <c r="C165" s="1" t="s">
        <v>127</v>
      </c>
      <c r="D165" s="13"/>
      <c r="E165" s="13"/>
      <c r="F165" s="18"/>
      <c r="G165" s="1"/>
      <c r="H165" s="60"/>
      <c r="I165" s="2"/>
      <c r="J165" s="3"/>
      <c r="K165" s="3"/>
      <c r="L165" s="3"/>
      <c r="M165" s="3"/>
      <c r="N165" s="84" t="s">
        <v>462</v>
      </c>
      <c r="O165" s="5">
        <v>4</v>
      </c>
      <c r="P165" s="3"/>
      <c r="Q165" s="4"/>
      <c r="R165" s="84"/>
      <c r="S165" s="87"/>
      <c r="T165" s="6"/>
      <c r="U165" s="13"/>
      <c r="V165" s="3"/>
      <c r="W165" s="4"/>
      <c r="X165" s="13"/>
      <c r="Y165" s="48"/>
      <c r="Z165" s="48"/>
      <c r="AA165" s="20"/>
      <c r="AB165" s="48"/>
      <c r="AC165" s="48"/>
      <c r="AD165" s="7"/>
      <c r="AE165" s="1" t="s">
        <v>463</v>
      </c>
      <c r="AF165" s="1"/>
      <c r="AG165" s="1"/>
    </row>
    <row r="166" spans="1:33" s="37" customFormat="1" ht="25.5" x14ac:dyDescent="0.2">
      <c r="A166" s="13">
        <f t="shared" ref="A166:A229" si="4">IF(B166&lt;&gt;0,B166,A165)</f>
        <v>19</v>
      </c>
      <c r="B166" s="11"/>
      <c r="C166" s="1" t="s">
        <v>651</v>
      </c>
      <c r="D166" s="13"/>
      <c r="E166" s="13"/>
      <c r="F166" s="18"/>
      <c r="G166" s="1"/>
      <c r="H166" s="60"/>
      <c r="I166" s="2"/>
      <c r="J166" s="3"/>
      <c r="K166" s="3"/>
      <c r="L166" s="3"/>
      <c r="M166" s="3"/>
      <c r="N166" s="84"/>
      <c r="O166" s="5"/>
      <c r="P166" s="3"/>
      <c r="Q166" s="4"/>
      <c r="R166" s="84"/>
      <c r="S166" s="87"/>
      <c r="T166" s="6"/>
      <c r="U166" s="13"/>
      <c r="V166" s="3"/>
      <c r="W166" s="4"/>
      <c r="X166" s="13"/>
      <c r="Y166" s="48"/>
      <c r="Z166" s="48"/>
      <c r="AA166" s="20"/>
      <c r="AB166" s="48"/>
      <c r="AC166" s="48"/>
      <c r="AD166" s="7"/>
      <c r="AE166" s="12" t="s">
        <v>1679</v>
      </c>
      <c r="AF166" s="12"/>
      <c r="AG166" s="12"/>
    </row>
    <row r="167" spans="1:33" s="37" customFormat="1" ht="12.75" x14ac:dyDescent="0.2">
      <c r="A167" s="13">
        <f t="shared" si="4"/>
        <v>19</v>
      </c>
      <c r="B167" s="11"/>
      <c r="C167" s="1" t="s">
        <v>303</v>
      </c>
      <c r="D167" s="13"/>
      <c r="E167" s="13"/>
      <c r="F167" s="18"/>
      <c r="G167" s="1"/>
      <c r="H167" s="60"/>
      <c r="I167" s="13"/>
      <c r="J167" s="5"/>
      <c r="K167" s="5"/>
      <c r="L167" s="4"/>
      <c r="M167" s="4"/>
      <c r="N167" s="1"/>
      <c r="O167" s="5"/>
      <c r="P167" s="3"/>
      <c r="Q167" s="4"/>
      <c r="R167" s="47"/>
      <c r="S167" s="13"/>
      <c r="T167" s="6"/>
      <c r="U167" s="17"/>
      <c r="V167" s="3"/>
      <c r="W167" s="4"/>
      <c r="X167" s="13"/>
      <c r="Y167" s="48"/>
      <c r="Z167" s="48"/>
      <c r="AA167" s="20"/>
      <c r="AB167" s="48"/>
      <c r="AC167" s="48"/>
      <c r="AD167" s="7"/>
      <c r="AE167" s="2"/>
      <c r="AF167" s="2"/>
      <c r="AG167" s="2"/>
    </row>
    <row r="168" spans="1:33" s="37" customFormat="1" ht="12.75" x14ac:dyDescent="0.2">
      <c r="A168" s="13">
        <f t="shared" si="4"/>
        <v>19</v>
      </c>
      <c r="B168" s="11"/>
      <c r="C168" s="1"/>
      <c r="D168" s="13"/>
      <c r="E168" s="13"/>
      <c r="F168" s="2"/>
      <c r="G168" s="1"/>
      <c r="H168" s="50"/>
      <c r="I168" s="51"/>
      <c r="J168" s="51"/>
      <c r="K168" s="51"/>
      <c r="L168" s="51"/>
      <c r="M168" s="51"/>
      <c r="N168" s="51"/>
      <c r="O168" s="51"/>
      <c r="P168" s="51"/>
      <c r="Q168" s="51"/>
      <c r="R168" s="2"/>
      <c r="S168" s="51"/>
      <c r="T168" s="51"/>
      <c r="U168" s="50"/>
      <c r="V168" s="51"/>
      <c r="W168" s="51"/>
      <c r="X168" s="50"/>
      <c r="Y168" s="50"/>
      <c r="Z168" s="50"/>
      <c r="AA168" s="257"/>
      <c r="AB168" s="50"/>
      <c r="AC168" s="50"/>
      <c r="AD168" s="51"/>
      <c r="AE168" s="51"/>
      <c r="AF168" s="51"/>
      <c r="AG168" s="2"/>
    </row>
    <row r="169" spans="1:33" s="37" customFormat="1" ht="12.75" x14ac:dyDescent="0.2">
      <c r="A169" s="13">
        <f t="shared" si="4"/>
        <v>19</v>
      </c>
      <c r="B169" s="11"/>
      <c r="C169" s="1"/>
      <c r="D169" s="13"/>
      <c r="E169" s="13"/>
      <c r="F169" s="2"/>
      <c r="G169" s="1"/>
      <c r="H169" s="50"/>
      <c r="I169" s="51"/>
      <c r="J169" s="51"/>
      <c r="K169" s="51"/>
      <c r="L169" s="51"/>
      <c r="M169" s="51"/>
      <c r="N169" s="51"/>
      <c r="O169" s="51"/>
      <c r="P169" s="51"/>
      <c r="Q169" s="51"/>
      <c r="R169" s="2"/>
      <c r="S169" s="51"/>
      <c r="T169" s="51"/>
      <c r="U169" s="50"/>
      <c r="V169" s="51"/>
      <c r="W169" s="51"/>
      <c r="X169" s="50"/>
      <c r="Y169" s="50"/>
      <c r="Z169" s="50"/>
      <c r="AA169" s="257"/>
      <c r="AB169" s="50"/>
      <c r="AC169" s="50"/>
      <c r="AD169" s="51"/>
      <c r="AE169" s="51"/>
      <c r="AF169" s="51"/>
      <c r="AG169" s="2"/>
    </row>
    <row r="170" spans="1:33" s="37" customFormat="1" ht="12.75" x14ac:dyDescent="0.2">
      <c r="A170" s="13">
        <f t="shared" si="4"/>
        <v>19</v>
      </c>
      <c r="B170" s="11"/>
      <c r="C170" s="1"/>
      <c r="D170" s="13"/>
      <c r="E170" s="13"/>
      <c r="F170" s="18"/>
      <c r="G170" s="1"/>
      <c r="H170" s="60"/>
      <c r="I170" s="13"/>
      <c r="J170" s="5"/>
      <c r="K170" s="5"/>
      <c r="L170" s="4"/>
      <c r="M170" s="4"/>
      <c r="N170" s="1"/>
      <c r="O170" s="5"/>
      <c r="P170" s="3"/>
      <c r="Q170" s="4"/>
      <c r="R170" s="47"/>
      <c r="S170" s="13"/>
      <c r="T170" s="6"/>
      <c r="U170" s="17"/>
      <c r="V170" s="3"/>
      <c r="W170" s="4"/>
      <c r="X170" s="13"/>
      <c r="Y170" s="48"/>
      <c r="Z170" s="48"/>
      <c r="AA170" s="20"/>
      <c r="AB170" s="48"/>
      <c r="AC170" s="48"/>
      <c r="AD170" s="7"/>
      <c r="AE170" s="1"/>
      <c r="AF170" s="1"/>
      <c r="AG170" s="1"/>
    </row>
    <row r="171" spans="1:33" s="37" customFormat="1" ht="38.25" x14ac:dyDescent="0.2">
      <c r="A171" s="13">
        <f t="shared" si="4"/>
        <v>20</v>
      </c>
      <c r="B171" s="11">
        <v>20</v>
      </c>
      <c r="C171" s="143" t="s">
        <v>31</v>
      </c>
      <c r="D171" s="13">
        <v>2</v>
      </c>
      <c r="E171" s="13">
        <v>86</v>
      </c>
      <c r="F171" s="18">
        <v>34</v>
      </c>
      <c r="G171" s="1" t="s">
        <v>417</v>
      </c>
      <c r="H171" s="60">
        <v>76.099999999999994</v>
      </c>
      <c r="I171" s="13"/>
      <c r="J171" s="5"/>
      <c r="K171" s="5"/>
      <c r="L171" s="4"/>
      <c r="M171" s="4"/>
      <c r="N171" s="1" t="s">
        <v>176</v>
      </c>
      <c r="O171" s="5">
        <v>1</v>
      </c>
      <c r="P171" s="3"/>
      <c r="Q171" s="4"/>
      <c r="R171" s="47" t="s">
        <v>1840</v>
      </c>
      <c r="S171" s="13" t="s">
        <v>53</v>
      </c>
      <c r="T171" s="6">
        <v>37.4</v>
      </c>
      <c r="U171" s="17"/>
      <c r="V171" s="3"/>
      <c r="W171" s="4"/>
      <c r="X171" s="13"/>
      <c r="Y171" s="48" t="s">
        <v>55</v>
      </c>
      <c r="Z171" s="48" t="s">
        <v>56</v>
      </c>
      <c r="AA171" s="20" t="s">
        <v>137</v>
      </c>
      <c r="AB171" s="48" t="s">
        <v>66</v>
      </c>
      <c r="AC171" s="20" t="s">
        <v>138</v>
      </c>
      <c r="AD171" s="7"/>
      <c r="AE171" s="1" t="s">
        <v>652</v>
      </c>
      <c r="AF171" s="1"/>
      <c r="AG171" s="1"/>
    </row>
    <row r="172" spans="1:33" s="37" customFormat="1" ht="43.5" customHeight="1" x14ac:dyDescent="0.2">
      <c r="A172" s="13">
        <f t="shared" si="4"/>
        <v>20</v>
      </c>
      <c r="B172" s="11"/>
      <c r="C172" s="144" t="s">
        <v>130</v>
      </c>
      <c r="D172" s="13"/>
      <c r="E172" s="13">
        <v>86</v>
      </c>
      <c r="F172" s="18">
        <v>426</v>
      </c>
      <c r="G172" s="1" t="s">
        <v>464</v>
      </c>
      <c r="H172" s="60">
        <v>79.900000000000006</v>
      </c>
      <c r="I172" s="13"/>
      <c r="J172" s="5"/>
      <c r="K172" s="5"/>
      <c r="L172" s="4"/>
      <c r="M172" s="4"/>
      <c r="N172" s="1" t="s">
        <v>131</v>
      </c>
      <c r="O172" s="5">
        <v>1</v>
      </c>
      <c r="P172" s="3"/>
      <c r="Q172" s="4"/>
      <c r="R172" s="47" t="s">
        <v>1841</v>
      </c>
      <c r="S172" s="13" t="s">
        <v>53</v>
      </c>
      <c r="T172" s="6">
        <v>4.5</v>
      </c>
      <c r="U172" s="17"/>
      <c r="V172" s="3"/>
      <c r="W172" s="4"/>
      <c r="X172" s="13"/>
      <c r="Y172" s="48" t="s">
        <v>55</v>
      </c>
      <c r="Z172" s="48" t="s">
        <v>56</v>
      </c>
      <c r="AA172" s="20" t="s">
        <v>57</v>
      </c>
      <c r="AB172" s="48" t="s">
        <v>139</v>
      </c>
      <c r="AC172" s="48"/>
      <c r="AD172" s="7"/>
      <c r="AE172" s="1" t="s">
        <v>465</v>
      </c>
      <c r="AF172" s="1"/>
      <c r="AG172" s="1"/>
    </row>
    <row r="173" spans="1:33" s="37" customFormat="1" ht="43.5" customHeight="1" x14ac:dyDescent="0.2">
      <c r="A173" s="13">
        <f t="shared" si="4"/>
        <v>20</v>
      </c>
      <c r="B173" s="11"/>
      <c r="C173" s="34" t="s">
        <v>653</v>
      </c>
      <c r="D173" s="13"/>
      <c r="E173" s="13"/>
      <c r="F173" s="18"/>
      <c r="G173" s="1"/>
      <c r="H173" s="60"/>
      <c r="I173" s="13"/>
      <c r="J173" s="5"/>
      <c r="K173" s="5"/>
      <c r="L173" s="4"/>
      <c r="M173" s="4"/>
      <c r="N173" s="1" t="s">
        <v>132</v>
      </c>
      <c r="O173" s="5">
        <v>1</v>
      </c>
      <c r="P173" s="3"/>
      <c r="Q173" s="4"/>
      <c r="R173" s="47" t="s">
        <v>1767</v>
      </c>
      <c r="S173" s="13" t="s">
        <v>53</v>
      </c>
      <c r="T173" s="6">
        <v>15.6</v>
      </c>
      <c r="U173" s="17"/>
      <c r="V173" s="3"/>
      <c r="W173" s="4"/>
      <c r="X173" s="13"/>
      <c r="Y173" s="48"/>
      <c r="Z173" s="48"/>
      <c r="AA173" s="20"/>
      <c r="AB173" s="48"/>
      <c r="AC173" s="48"/>
      <c r="AD173" s="7"/>
      <c r="AE173" s="1" t="s">
        <v>466</v>
      </c>
      <c r="AF173" s="1"/>
      <c r="AG173" s="1"/>
    </row>
    <row r="174" spans="1:33" s="37" customFormat="1" ht="32.25" customHeight="1" x14ac:dyDescent="0.2">
      <c r="A174" s="13">
        <f t="shared" si="4"/>
        <v>20</v>
      </c>
      <c r="B174" s="11"/>
      <c r="C174" s="144" t="s">
        <v>298</v>
      </c>
      <c r="D174" s="13"/>
      <c r="E174" s="13"/>
      <c r="F174" s="18"/>
      <c r="G174" s="1"/>
      <c r="H174" s="60"/>
      <c r="I174" s="13"/>
      <c r="J174" s="5"/>
      <c r="K174" s="5"/>
      <c r="L174" s="4"/>
      <c r="M174" s="4"/>
      <c r="N174" s="1" t="s">
        <v>61</v>
      </c>
      <c r="O174" s="5">
        <v>1</v>
      </c>
      <c r="P174" s="3"/>
      <c r="Q174" s="4"/>
      <c r="R174" s="149" t="s">
        <v>1842</v>
      </c>
      <c r="S174" s="147" t="s">
        <v>53</v>
      </c>
      <c r="T174" s="6">
        <v>22.6</v>
      </c>
      <c r="U174" s="17"/>
      <c r="V174" s="3"/>
      <c r="W174" s="4"/>
      <c r="X174" s="13"/>
      <c r="Y174" s="48"/>
      <c r="Z174" s="48"/>
      <c r="AA174" s="20"/>
      <c r="AB174" s="48"/>
      <c r="AC174" s="48"/>
      <c r="AD174" s="7"/>
      <c r="AE174" s="2" t="s">
        <v>296</v>
      </c>
      <c r="AF174" s="2"/>
      <c r="AG174" s="2"/>
    </row>
    <row r="175" spans="1:33" s="37" customFormat="1" ht="25.5" x14ac:dyDescent="0.2">
      <c r="A175" s="13">
        <f t="shared" si="4"/>
        <v>20</v>
      </c>
      <c r="B175" s="11"/>
      <c r="C175" s="144"/>
      <c r="D175" s="13"/>
      <c r="E175" s="13"/>
      <c r="F175" s="18"/>
      <c r="G175" s="1"/>
      <c r="H175" s="60"/>
      <c r="I175" s="13"/>
      <c r="J175" s="5"/>
      <c r="K175" s="5"/>
      <c r="L175" s="4"/>
      <c r="M175" s="4"/>
      <c r="N175" s="1" t="s">
        <v>133</v>
      </c>
      <c r="O175" s="5">
        <v>1</v>
      </c>
      <c r="P175" s="3"/>
      <c r="Q175" s="4"/>
      <c r="R175" s="47" t="s">
        <v>1763</v>
      </c>
      <c r="S175" s="13" t="s">
        <v>53</v>
      </c>
      <c r="T175" s="6">
        <v>50.4</v>
      </c>
      <c r="U175" s="17"/>
      <c r="V175" s="3"/>
      <c r="W175" s="4"/>
      <c r="X175" s="13" t="s">
        <v>63</v>
      </c>
      <c r="Y175" s="48" t="s">
        <v>55</v>
      </c>
      <c r="Z175" s="48" t="s">
        <v>56</v>
      </c>
      <c r="AA175" s="20" t="s">
        <v>57</v>
      </c>
      <c r="AB175" s="48" t="s">
        <v>54</v>
      </c>
      <c r="AC175" s="20" t="s">
        <v>430</v>
      </c>
      <c r="AD175" s="7"/>
      <c r="AE175" s="2" t="s">
        <v>404</v>
      </c>
      <c r="AF175" s="2"/>
      <c r="AG175" s="2"/>
    </row>
    <row r="176" spans="1:33" s="37" customFormat="1" ht="68.25" customHeight="1" x14ac:dyDescent="0.2">
      <c r="A176" s="13">
        <f t="shared" si="4"/>
        <v>20</v>
      </c>
      <c r="B176" s="11"/>
      <c r="C176" s="144"/>
      <c r="D176" s="13"/>
      <c r="E176" s="13"/>
      <c r="F176" s="18"/>
      <c r="G176" s="1"/>
      <c r="H176" s="60"/>
      <c r="I176" s="13"/>
      <c r="J176" s="5"/>
      <c r="K176" s="5"/>
      <c r="L176" s="4"/>
      <c r="M176" s="4"/>
      <c r="N176" s="1" t="s">
        <v>134</v>
      </c>
      <c r="O176" s="5">
        <v>1</v>
      </c>
      <c r="P176" s="3"/>
      <c r="Q176" s="4"/>
      <c r="R176" s="47" t="s">
        <v>1840</v>
      </c>
      <c r="S176" s="13" t="s">
        <v>53</v>
      </c>
      <c r="T176" s="6">
        <v>15.54</v>
      </c>
      <c r="U176" s="17"/>
      <c r="V176" s="3"/>
      <c r="W176" s="4"/>
      <c r="X176" s="13"/>
      <c r="Y176" s="48" t="s">
        <v>55</v>
      </c>
      <c r="Z176" s="48" t="s">
        <v>56</v>
      </c>
      <c r="AA176" s="20" t="s">
        <v>137</v>
      </c>
      <c r="AB176" s="48" t="s">
        <v>66</v>
      </c>
      <c r="AC176" s="20" t="s">
        <v>430</v>
      </c>
      <c r="AD176" s="7"/>
      <c r="AE176" s="1" t="s">
        <v>467</v>
      </c>
      <c r="AF176" s="1"/>
      <c r="AG176" s="1"/>
    </row>
    <row r="177" spans="1:33" s="37" customFormat="1" ht="36" customHeight="1" x14ac:dyDescent="0.2">
      <c r="A177" s="13">
        <f t="shared" si="4"/>
        <v>20</v>
      </c>
      <c r="B177" s="11"/>
      <c r="C177" s="1"/>
      <c r="D177" s="13"/>
      <c r="E177" s="13"/>
      <c r="F177" s="18"/>
      <c r="G177" s="1"/>
      <c r="H177" s="60"/>
      <c r="I177" s="13"/>
      <c r="J177" s="5"/>
      <c r="K177" s="5"/>
      <c r="L177" s="4"/>
      <c r="M177" s="4"/>
      <c r="N177" s="1" t="s">
        <v>76</v>
      </c>
      <c r="O177" s="5">
        <v>1</v>
      </c>
      <c r="P177" s="3"/>
      <c r="Q177" s="4"/>
      <c r="R177" s="47" t="s">
        <v>1843</v>
      </c>
      <c r="S177" s="13" t="s">
        <v>53</v>
      </c>
      <c r="T177" s="6">
        <v>3.2</v>
      </c>
      <c r="U177" s="17"/>
      <c r="V177" s="3"/>
      <c r="W177" s="4"/>
      <c r="X177" s="13"/>
      <c r="Y177" s="48" t="s">
        <v>55</v>
      </c>
      <c r="Z177" s="48" t="s">
        <v>56</v>
      </c>
      <c r="AA177" s="20" t="s">
        <v>57</v>
      </c>
      <c r="AB177" s="48" t="s">
        <v>54</v>
      </c>
      <c r="AC177" s="20"/>
      <c r="AD177" s="7"/>
      <c r="AE177" s="2"/>
      <c r="AF177" s="2"/>
      <c r="AG177" s="2"/>
    </row>
    <row r="178" spans="1:33" s="37" customFormat="1" ht="38.25" x14ac:dyDescent="0.2">
      <c r="A178" s="13">
        <f t="shared" si="4"/>
        <v>20</v>
      </c>
      <c r="B178" s="11"/>
      <c r="C178" s="143"/>
      <c r="D178" s="13"/>
      <c r="E178" s="13"/>
      <c r="F178" s="18"/>
      <c r="G178" s="1"/>
      <c r="H178" s="60"/>
      <c r="I178" s="13"/>
      <c r="J178" s="5"/>
      <c r="K178" s="5"/>
      <c r="L178" s="4"/>
      <c r="M178" s="4"/>
      <c r="N178" s="145" t="s">
        <v>135</v>
      </c>
      <c r="O178" s="5">
        <v>1</v>
      </c>
      <c r="P178" s="146"/>
      <c r="Q178" s="146"/>
      <c r="R178" s="146" t="s">
        <v>1844</v>
      </c>
      <c r="S178" s="147" t="s">
        <v>53</v>
      </c>
      <c r="T178" s="6">
        <v>9.24</v>
      </c>
      <c r="U178" s="17"/>
      <c r="V178" s="3"/>
      <c r="W178" s="4"/>
      <c r="X178" s="13"/>
      <c r="Y178" s="48" t="s">
        <v>55</v>
      </c>
      <c r="Z178" s="48" t="s">
        <v>140</v>
      </c>
      <c r="AA178" s="20"/>
      <c r="AB178" s="48" t="s">
        <v>66</v>
      </c>
      <c r="AC178" s="20" t="s">
        <v>138</v>
      </c>
      <c r="AD178" s="7"/>
      <c r="AE178" s="2"/>
      <c r="AF178" s="2"/>
      <c r="AG178" s="2"/>
    </row>
    <row r="179" spans="1:33" s="37" customFormat="1" ht="29.25" customHeight="1" x14ac:dyDescent="0.2">
      <c r="A179" s="13">
        <f t="shared" si="4"/>
        <v>20</v>
      </c>
      <c r="B179" s="11"/>
      <c r="C179" s="144"/>
      <c r="D179" s="13"/>
      <c r="E179" s="13"/>
      <c r="F179" s="18"/>
      <c r="G179" s="1"/>
      <c r="H179" s="60"/>
      <c r="I179" s="13"/>
      <c r="J179" s="5"/>
      <c r="K179" s="5"/>
      <c r="L179" s="4"/>
      <c r="M179" s="4"/>
      <c r="N179" s="1" t="s">
        <v>409</v>
      </c>
      <c r="O179" s="5">
        <v>1</v>
      </c>
      <c r="P179" s="3"/>
      <c r="Q179" s="4"/>
      <c r="R179" s="47" t="s">
        <v>1844</v>
      </c>
      <c r="S179" s="13" t="s">
        <v>53</v>
      </c>
      <c r="T179" s="6">
        <v>3.52</v>
      </c>
      <c r="U179" s="17"/>
      <c r="V179" s="3"/>
      <c r="W179" s="4"/>
      <c r="X179" s="13"/>
      <c r="Y179" s="48" t="s">
        <v>55</v>
      </c>
      <c r="Z179" s="48" t="s">
        <v>141</v>
      </c>
      <c r="AA179" s="20"/>
      <c r="AB179" s="48" t="s">
        <v>66</v>
      </c>
      <c r="AC179" s="48"/>
      <c r="AD179" s="7"/>
      <c r="AE179" s="2"/>
      <c r="AF179" s="2"/>
      <c r="AG179" s="2"/>
    </row>
    <row r="180" spans="1:33" s="37" customFormat="1" ht="36.75" customHeight="1" x14ac:dyDescent="0.2">
      <c r="A180" s="13">
        <f t="shared" si="4"/>
        <v>20</v>
      </c>
      <c r="B180" s="11"/>
      <c r="C180" s="144"/>
      <c r="D180" s="13"/>
      <c r="E180" s="13"/>
      <c r="F180" s="18"/>
      <c r="G180" s="1"/>
      <c r="H180" s="60"/>
      <c r="I180" s="13"/>
      <c r="J180" s="5"/>
      <c r="K180" s="5"/>
      <c r="L180" s="4"/>
      <c r="M180" s="4"/>
      <c r="N180" s="1" t="s">
        <v>468</v>
      </c>
      <c r="O180" s="19">
        <v>4</v>
      </c>
      <c r="P180" s="3"/>
      <c r="Q180" s="4"/>
      <c r="R180" s="47" t="s">
        <v>1844</v>
      </c>
      <c r="S180" s="13" t="s">
        <v>53</v>
      </c>
      <c r="T180" s="6">
        <v>5.2</v>
      </c>
      <c r="U180" s="17"/>
      <c r="V180" s="3"/>
      <c r="W180" s="4"/>
      <c r="X180" s="13"/>
      <c r="Y180" s="48" t="s">
        <v>55</v>
      </c>
      <c r="Z180" s="48" t="s">
        <v>141</v>
      </c>
      <c r="AA180" s="20"/>
      <c r="AB180" s="48" t="s">
        <v>66</v>
      </c>
      <c r="AC180" s="48"/>
      <c r="AD180" s="7"/>
      <c r="AE180" s="2"/>
      <c r="AF180" s="2"/>
      <c r="AG180" s="2"/>
    </row>
    <row r="181" spans="1:33" s="37" customFormat="1" ht="25.5" customHeight="1" x14ac:dyDescent="0.2">
      <c r="A181" s="13">
        <f t="shared" si="4"/>
        <v>20</v>
      </c>
      <c r="B181" s="11"/>
      <c r="C181" s="1"/>
      <c r="D181" s="13"/>
      <c r="E181" s="133"/>
      <c r="F181" s="133"/>
      <c r="G181" s="84"/>
      <c r="H181" s="60"/>
      <c r="I181" s="2"/>
      <c r="J181" s="3"/>
      <c r="K181" s="3"/>
      <c r="L181" s="3"/>
      <c r="M181" s="3"/>
      <c r="N181" s="84"/>
      <c r="O181" s="79"/>
      <c r="P181" s="3"/>
      <c r="Q181" s="4"/>
      <c r="R181" s="84" t="s">
        <v>1845</v>
      </c>
      <c r="S181" s="87" t="s">
        <v>53</v>
      </c>
      <c r="T181" s="6">
        <v>9.2799999999999994</v>
      </c>
      <c r="U181" s="129"/>
      <c r="V181" s="3"/>
      <c r="W181" s="4"/>
      <c r="X181" s="13"/>
      <c r="Y181" s="48" t="s">
        <v>55</v>
      </c>
      <c r="Z181" s="48" t="s">
        <v>141</v>
      </c>
      <c r="AA181" s="20" t="s">
        <v>142</v>
      </c>
      <c r="AB181" s="48" t="s">
        <v>143</v>
      </c>
      <c r="AC181" s="48"/>
      <c r="AD181" s="7"/>
      <c r="AE181" s="2"/>
      <c r="AF181" s="2"/>
      <c r="AG181" s="2"/>
    </row>
    <row r="182" spans="1:33" s="37" customFormat="1" ht="25.5" customHeight="1" x14ac:dyDescent="0.2">
      <c r="A182" s="13">
        <f t="shared" si="4"/>
        <v>20</v>
      </c>
      <c r="B182" s="14"/>
      <c r="C182" s="1"/>
      <c r="D182" s="13"/>
      <c r="E182" s="13"/>
      <c r="F182" s="18"/>
      <c r="G182" s="1"/>
      <c r="H182" s="60"/>
      <c r="I182" s="2"/>
      <c r="J182" s="3"/>
      <c r="K182" s="3"/>
      <c r="L182" s="3"/>
      <c r="M182" s="3"/>
      <c r="N182" s="84"/>
      <c r="O182" s="79"/>
      <c r="P182" s="3"/>
      <c r="Q182" s="4"/>
      <c r="R182" s="84" t="s">
        <v>1846</v>
      </c>
      <c r="S182" s="87" t="s">
        <v>53</v>
      </c>
      <c r="T182" s="6">
        <v>7.34</v>
      </c>
      <c r="U182" s="129"/>
      <c r="V182" s="3"/>
      <c r="W182" s="4"/>
      <c r="X182" s="13"/>
      <c r="Y182" s="48"/>
      <c r="Z182" s="48"/>
      <c r="AA182" s="20"/>
      <c r="AB182" s="48"/>
      <c r="AC182" s="48"/>
      <c r="AD182" s="7"/>
      <c r="AE182" s="2"/>
      <c r="AF182" s="2"/>
      <c r="AG182" s="2"/>
    </row>
    <row r="183" spans="1:33" s="37" customFormat="1" ht="25.5" customHeight="1" x14ac:dyDescent="0.2">
      <c r="A183" s="13">
        <f t="shared" si="4"/>
        <v>20</v>
      </c>
      <c r="B183" s="11"/>
      <c r="C183" s="21"/>
      <c r="D183" s="13"/>
      <c r="E183" s="13"/>
      <c r="F183" s="18"/>
      <c r="G183" s="1"/>
      <c r="H183" s="60"/>
      <c r="I183" s="2"/>
      <c r="J183" s="3"/>
      <c r="K183" s="3"/>
      <c r="L183" s="3"/>
      <c r="M183" s="3"/>
      <c r="N183" s="84"/>
      <c r="O183" s="79"/>
      <c r="P183" s="3"/>
      <c r="Q183" s="4"/>
      <c r="R183" s="84" t="s">
        <v>1847</v>
      </c>
      <c r="S183" s="87" t="s">
        <v>53</v>
      </c>
      <c r="T183" s="6">
        <v>1.2</v>
      </c>
      <c r="U183" s="129"/>
      <c r="V183" s="3"/>
      <c r="W183" s="4"/>
      <c r="X183" s="13"/>
      <c r="Y183" s="48"/>
      <c r="Z183" s="48"/>
      <c r="AA183" s="20"/>
      <c r="AB183" s="48"/>
      <c r="AC183" s="48"/>
      <c r="AD183" s="7"/>
      <c r="AE183" s="2"/>
      <c r="AF183" s="2"/>
      <c r="AG183" s="2"/>
    </row>
    <row r="184" spans="1:33" s="37" customFormat="1" ht="25.5" customHeight="1" x14ac:dyDescent="0.2">
      <c r="A184" s="13">
        <f t="shared" si="4"/>
        <v>20</v>
      </c>
      <c r="B184" s="11"/>
      <c r="C184" s="1"/>
      <c r="D184" s="13"/>
      <c r="E184" s="13"/>
      <c r="F184" s="18"/>
      <c r="G184" s="1"/>
      <c r="H184" s="60"/>
      <c r="I184" s="2"/>
      <c r="J184" s="3"/>
      <c r="K184" s="3"/>
      <c r="L184" s="3"/>
      <c r="M184" s="3"/>
      <c r="N184" s="84"/>
      <c r="O184" s="79"/>
      <c r="P184" s="3"/>
      <c r="Q184" s="4"/>
      <c r="R184" s="84" t="s">
        <v>1848</v>
      </c>
      <c r="S184" s="87" t="s">
        <v>53</v>
      </c>
      <c r="T184" s="6">
        <v>2.2000000000000002</v>
      </c>
      <c r="U184" s="129"/>
      <c r="V184" s="3"/>
      <c r="W184" s="4"/>
      <c r="X184" s="13"/>
      <c r="Y184" s="48"/>
      <c r="Z184" s="48"/>
      <c r="AA184" s="20"/>
      <c r="AB184" s="48"/>
      <c r="AC184" s="48"/>
      <c r="AD184" s="7"/>
      <c r="AE184" s="2"/>
      <c r="AF184" s="2"/>
      <c r="AG184" s="2"/>
    </row>
    <row r="185" spans="1:33" s="37" customFormat="1" ht="25.5" customHeight="1" x14ac:dyDescent="0.2">
      <c r="A185" s="13">
        <f t="shared" si="4"/>
        <v>20</v>
      </c>
      <c r="B185" s="11"/>
      <c r="C185" s="1"/>
      <c r="D185" s="13"/>
      <c r="E185" s="13"/>
      <c r="F185" s="18"/>
      <c r="G185" s="1"/>
      <c r="H185" s="60"/>
      <c r="I185" s="2"/>
      <c r="J185" s="3"/>
      <c r="K185" s="3"/>
      <c r="L185" s="3"/>
      <c r="M185" s="3"/>
      <c r="N185" s="84"/>
      <c r="O185" s="79"/>
      <c r="P185" s="3"/>
      <c r="Q185" s="4"/>
      <c r="R185" s="2" t="s">
        <v>1848</v>
      </c>
      <c r="S185" s="87" t="s">
        <v>53</v>
      </c>
      <c r="T185" s="6">
        <v>1.6</v>
      </c>
      <c r="U185" s="129"/>
      <c r="V185" s="3"/>
      <c r="W185" s="4"/>
      <c r="X185" s="13"/>
      <c r="Y185" s="48"/>
      <c r="Z185" s="48"/>
      <c r="AA185" s="20"/>
      <c r="AB185" s="48"/>
      <c r="AC185" s="48"/>
      <c r="AD185" s="7"/>
      <c r="AE185" s="2"/>
      <c r="AF185" s="2"/>
      <c r="AG185" s="2"/>
    </row>
    <row r="186" spans="1:33" s="37" customFormat="1" ht="25.5" customHeight="1" x14ac:dyDescent="0.2">
      <c r="A186" s="13">
        <f t="shared" si="4"/>
        <v>20</v>
      </c>
      <c r="B186" s="11"/>
      <c r="C186" s="1"/>
      <c r="D186" s="13"/>
      <c r="E186" s="13"/>
      <c r="F186" s="18"/>
      <c r="G186" s="1"/>
      <c r="H186" s="60"/>
      <c r="I186" s="2"/>
      <c r="J186" s="3"/>
      <c r="K186" s="3"/>
      <c r="L186" s="3"/>
      <c r="M186" s="3"/>
      <c r="N186" s="84"/>
      <c r="O186" s="79"/>
      <c r="P186" s="3"/>
      <c r="Q186" s="4"/>
      <c r="R186" s="84" t="s">
        <v>1849</v>
      </c>
      <c r="S186" s="87" t="s">
        <v>53</v>
      </c>
      <c r="T186" s="6">
        <v>37.4</v>
      </c>
      <c r="U186" s="129"/>
      <c r="V186" s="3"/>
      <c r="W186" s="84"/>
      <c r="X186" s="87"/>
      <c r="Y186" s="134"/>
      <c r="Z186" s="48"/>
      <c r="AA186" s="20"/>
      <c r="AB186" s="48"/>
      <c r="AC186" s="48"/>
      <c r="AD186" s="7"/>
      <c r="AE186" s="2"/>
      <c r="AF186" s="2"/>
      <c r="AG186" s="2"/>
    </row>
    <row r="187" spans="1:33" s="37" customFormat="1" ht="25.5" customHeight="1" x14ac:dyDescent="0.2">
      <c r="A187" s="13">
        <f t="shared" si="4"/>
        <v>20</v>
      </c>
      <c r="B187" s="11"/>
      <c r="C187" s="1"/>
      <c r="D187" s="13"/>
      <c r="E187" s="13"/>
      <c r="F187" s="18"/>
      <c r="G187" s="1"/>
      <c r="H187" s="60"/>
      <c r="I187" s="2"/>
      <c r="J187" s="3"/>
      <c r="K187" s="3"/>
      <c r="L187" s="3"/>
      <c r="M187" s="3"/>
      <c r="N187" s="84"/>
      <c r="O187" s="79"/>
      <c r="P187" s="3"/>
      <c r="Q187" s="4"/>
      <c r="R187" s="84" t="s">
        <v>1850</v>
      </c>
      <c r="S187" s="87" t="s">
        <v>53</v>
      </c>
      <c r="T187" s="6">
        <v>50.4</v>
      </c>
      <c r="U187" s="129"/>
      <c r="V187" s="3"/>
      <c r="W187" s="84"/>
      <c r="X187" s="87"/>
      <c r="Y187" s="134"/>
      <c r="Z187" s="48"/>
      <c r="AA187" s="20"/>
      <c r="AB187" s="48"/>
      <c r="AC187" s="48"/>
      <c r="AD187" s="7"/>
      <c r="AE187" s="2"/>
      <c r="AF187" s="2"/>
      <c r="AG187" s="2"/>
    </row>
    <row r="188" spans="1:33" s="37" customFormat="1" ht="25.5" customHeight="1" x14ac:dyDescent="0.2">
      <c r="A188" s="13">
        <f t="shared" si="4"/>
        <v>20</v>
      </c>
      <c r="B188" s="11"/>
      <c r="C188" s="1"/>
      <c r="D188" s="13"/>
      <c r="E188" s="13"/>
      <c r="F188" s="18"/>
      <c r="G188" s="1"/>
      <c r="H188" s="60"/>
      <c r="I188" s="2"/>
      <c r="J188" s="3"/>
      <c r="K188" s="3"/>
      <c r="L188" s="3"/>
      <c r="M188" s="3"/>
      <c r="N188" s="84"/>
      <c r="O188" s="79"/>
      <c r="P188" s="3"/>
      <c r="Q188" s="4"/>
      <c r="R188" s="84" t="s">
        <v>1776</v>
      </c>
      <c r="S188" s="87" t="s">
        <v>53</v>
      </c>
      <c r="T188" s="6">
        <v>15.54</v>
      </c>
      <c r="U188" s="129"/>
      <c r="V188" s="3"/>
      <c r="W188" s="4"/>
      <c r="X188" s="13"/>
      <c r="Y188" s="48"/>
      <c r="Z188" s="48"/>
      <c r="AA188" s="20"/>
      <c r="AB188" s="48"/>
      <c r="AC188" s="48"/>
      <c r="AD188" s="7"/>
      <c r="AE188" s="2"/>
      <c r="AF188" s="2"/>
      <c r="AG188" s="2"/>
    </row>
    <row r="189" spans="1:33" s="37" customFormat="1" ht="25.5" customHeight="1" x14ac:dyDescent="0.2">
      <c r="A189" s="13">
        <f t="shared" si="4"/>
        <v>20</v>
      </c>
      <c r="B189" s="11"/>
      <c r="C189" s="1"/>
      <c r="D189" s="13"/>
      <c r="E189" s="13"/>
      <c r="F189" s="18"/>
      <c r="G189" s="1"/>
      <c r="H189" s="60"/>
      <c r="I189" s="2"/>
      <c r="J189" s="3"/>
      <c r="K189" s="3"/>
      <c r="L189" s="3"/>
      <c r="M189" s="3"/>
      <c r="N189" s="84"/>
      <c r="O189" s="79"/>
      <c r="P189" s="3"/>
      <c r="Q189" s="4"/>
      <c r="R189" s="84" t="s">
        <v>1849</v>
      </c>
      <c r="S189" s="87" t="s">
        <v>53</v>
      </c>
      <c r="T189" s="6">
        <v>9.24</v>
      </c>
      <c r="U189" s="129"/>
      <c r="V189" s="3"/>
      <c r="W189" s="4"/>
      <c r="X189" s="13"/>
      <c r="Y189" s="48"/>
      <c r="Z189" s="48"/>
      <c r="AA189" s="20"/>
      <c r="AB189" s="48"/>
      <c r="AC189" s="48"/>
      <c r="AD189" s="7"/>
      <c r="AE189" s="2"/>
      <c r="AF189" s="2"/>
      <c r="AG189" s="2"/>
    </row>
    <row r="190" spans="1:33" s="37" customFormat="1" ht="25.5" customHeight="1" x14ac:dyDescent="0.2">
      <c r="A190" s="13">
        <f t="shared" si="4"/>
        <v>20</v>
      </c>
      <c r="B190" s="11"/>
      <c r="C190" s="1"/>
      <c r="D190" s="13"/>
      <c r="E190" s="13"/>
      <c r="F190" s="18"/>
      <c r="G190" s="1"/>
      <c r="H190" s="60"/>
      <c r="I190" s="2"/>
      <c r="J190" s="3"/>
      <c r="K190" s="3"/>
      <c r="L190" s="3"/>
      <c r="M190" s="3"/>
      <c r="N190" s="84"/>
      <c r="O190" s="79"/>
      <c r="P190" s="3"/>
      <c r="Q190" s="4"/>
      <c r="R190" s="84" t="s">
        <v>1767</v>
      </c>
      <c r="S190" s="87" t="s">
        <v>53</v>
      </c>
      <c r="T190" s="6">
        <v>28.32</v>
      </c>
      <c r="U190" s="129"/>
      <c r="V190" s="3"/>
      <c r="W190" s="4"/>
      <c r="X190" s="13"/>
      <c r="Y190" s="48"/>
      <c r="Z190" s="48"/>
      <c r="AA190" s="20"/>
      <c r="AB190" s="48"/>
      <c r="AC190" s="48"/>
      <c r="AD190" s="7"/>
      <c r="AE190" s="2"/>
      <c r="AF190" s="2"/>
      <c r="AG190" s="2"/>
    </row>
    <row r="191" spans="1:33" s="37" customFormat="1" ht="25.5" customHeight="1" x14ac:dyDescent="0.2">
      <c r="A191" s="13">
        <f t="shared" si="4"/>
        <v>20</v>
      </c>
      <c r="B191" s="11"/>
      <c r="C191" s="1"/>
      <c r="D191" s="13"/>
      <c r="E191" s="13"/>
      <c r="F191" s="18"/>
      <c r="G191" s="1"/>
      <c r="H191" s="60"/>
      <c r="I191" s="2"/>
      <c r="J191" s="3"/>
      <c r="K191" s="3"/>
      <c r="L191" s="3"/>
      <c r="M191" s="3"/>
      <c r="N191" s="84"/>
      <c r="O191" s="79"/>
      <c r="P191" s="3"/>
      <c r="Q191" s="4"/>
      <c r="R191" s="84" t="s">
        <v>1768</v>
      </c>
      <c r="S191" s="87" t="s">
        <v>53</v>
      </c>
      <c r="T191" s="6">
        <v>28.32</v>
      </c>
      <c r="U191" s="129"/>
      <c r="V191" s="3"/>
      <c r="W191" s="4"/>
      <c r="X191" s="13"/>
      <c r="Y191" s="48"/>
      <c r="Z191" s="48"/>
      <c r="AA191" s="20"/>
      <c r="AB191" s="48"/>
      <c r="AC191" s="48"/>
      <c r="AD191" s="7"/>
      <c r="AE191" s="2"/>
      <c r="AF191" s="2"/>
      <c r="AG191" s="2"/>
    </row>
    <row r="192" spans="1:33" s="37" customFormat="1" ht="12.75" x14ac:dyDescent="0.2">
      <c r="A192" s="13">
        <f t="shared" si="4"/>
        <v>20</v>
      </c>
      <c r="B192" s="11"/>
      <c r="C192" s="1"/>
      <c r="D192" s="13"/>
      <c r="E192" s="13"/>
      <c r="F192" s="18"/>
      <c r="G192" s="1"/>
      <c r="H192" s="60"/>
      <c r="I192" s="2"/>
      <c r="J192" s="3"/>
      <c r="K192" s="3"/>
      <c r="L192" s="3"/>
      <c r="M192" s="3"/>
      <c r="N192" s="84"/>
      <c r="O192" s="79"/>
      <c r="P192" s="3"/>
      <c r="Q192" s="4"/>
      <c r="R192" s="84"/>
      <c r="S192" s="87"/>
      <c r="T192" s="6"/>
      <c r="U192" s="129"/>
      <c r="V192" s="3"/>
      <c r="W192" s="4"/>
      <c r="X192" s="13"/>
      <c r="Y192" s="48"/>
      <c r="Z192" s="48"/>
      <c r="AA192" s="20"/>
      <c r="AB192" s="48"/>
      <c r="AC192" s="48"/>
      <c r="AD192" s="7"/>
      <c r="AE192" s="2"/>
      <c r="AF192" s="2"/>
      <c r="AG192" s="2"/>
    </row>
    <row r="193" spans="1:33" s="37" customFormat="1" ht="12.75" x14ac:dyDescent="0.2">
      <c r="A193" s="13">
        <f t="shared" si="4"/>
        <v>20</v>
      </c>
      <c r="B193" s="11"/>
      <c r="C193" s="1"/>
      <c r="D193" s="13"/>
      <c r="E193" s="13"/>
      <c r="F193" s="2"/>
      <c r="G193" s="1"/>
      <c r="H193" s="50"/>
      <c r="I193" s="51"/>
      <c r="J193" s="51"/>
      <c r="K193" s="51"/>
      <c r="L193" s="51"/>
      <c r="M193" s="51"/>
      <c r="N193" s="51"/>
      <c r="O193" s="51"/>
      <c r="P193" s="51"/>
      <c r="Q193" s="51"/>
      <c r="R193" s="2"/>
      <c r="S193" s="51"/>
      <c r="T193" s="51"/>
      <c r="U193" s="50"/>
      <c r="V193" s="51"/>
      <c r="W193" s="51"/>
      <c r="X193" s="50"/>
      <c r="Y193" s="50"/>
      <c r="Z193" s="50"/>
      <c r="AA193" s="257"/>
      <c r="AB193" s="50"/>
      <c r="AC193" s="50"/>
      <c r="AD193" s="51"/>
      <c r="AE193" s="51"/>
      <c r="AF193" s="51"/>
      <c r="AG193" s="2"/>
    </row>
    <row r="194" spans="1:33" s="37" customFormat="1" ht="12.75" x14ac:dyDescent="0.2">
      <c r="A194" s="13">
        <f t="shared" si="4"/>
        <v>20</v>
      </c>
      <c r="B194" s="11"/>
      <c r="C194" s="1"/>
      <c r="D194" s="13"/>
      <c r="E194" s="13"/>
      <c r="F194" s="2"/>
      <c r="G194" s="1"/>
      <c r="H194" s="50"/>
      <c r="I194" s="51"/>
      <c r="J194" s="51"/>
      <c r="K194" s="51"/>
      <c r="L194" s="51"/>
      <c r="M194" s="51"/>
      <c r="N194" s="51"/>
      <c r="O194" s="51"/>
      <c r="P194" s="51"/>
      <c r="Q194" s="51"/>
      <c r="R194" s="2"/>
      <c r="S194" s="51"/>
      <c r="T194" s="51"/>
      <c r="U194" s="50"/>
      <c r="V194" s="51"/>
      <c r="W194" s="51"/>
      <c r="X194" s="50"/>
      <c r="Y194" s="50"/>
      <c r="Z194" s="50"/>
      <c r="AA194" s="257"/>
      <c r="AB194" s="50"/>
      <c r="AC194" s="50"/>
      <c r="AD194" s="51"/>
      <c r="AE194" s="51"/>
      <c r="AF194" s="51"/>
      <c r="AG194" s="2"/>
    </row>
    <row r="195" spans="1:33" s="37" customFormat="1" ht="12.75" x14ac:dyDescent="0.2">
      <c r="A195" s="13">
        <f t="shared" si="4"/>
        <v>20</v>
      </c>
      <c r="B195" s="11"/>
      <c r="C195" s="1"/>
      <c r="D195" s="13"/>
      <c r="E195" s="13"/>
      <c r="F195" s="18"/>
      <c r="G195" s="1"/>
      <c r="H195" s="60"/>
      <c r="I195" s="2"/>
      <c r="J195" s="3"/>
      <c r="K195" s="3"/>
      <c r="L195" s="3"/>
      <c r="M195" s="3"/>
      <c r="N195" s="84"/>
      <c r="O195" s="79"/>
      <c r="P195" s="3"/>
      <c r="Q195" s="4"/>
      <c r="R195" s="2"/>
      <c r="S195" s="51"/>
      <c r="T195" s="6"/>
      <c r="U195" s="129"/>
      <c r="V195" s="3"/>
      <c r="W195" s="4"/>
      <c r="X195" s="13"/>
      <c r="Y195" s="48"/>
      <c r="Z195" s="48"/>
      <c r="AA195" s="20"/>
      <c r="AB195" s="48"/>
      <c r="AC195" s="48"/>
      <c r="AD195" s="7"/>
      <c r="AE195" s="2"/>
      <c r="AF195" s="2"/>
      <c r="AG195" s="2"/>
    </row>
    <row r="196" spans="1:33" s="37" customFormat="1" ht="47.25" customHeight="1" x14ac:dyDescent="0.2">
      <c r="A196" s="13">
        <f t="shared" si="4"/>
        <v>21</v>
      </c>
      <c r="B196" s="11">
        <v>21</v>
      </c>
      <c r="C196" s="21" t="s">
        <v>654</v>
      </c>
      <c r="D196" s="13">
        <v>5</v>
      </c>
      <c r="E196" s="13">
        <v>86</v>
      </c>
      <c r="F196" s="18">
        <v>271</v>
      </c>
      <c r="G196" s="1" t="s">
        <v>417</v>
      </c>
      <c r="H196" s="60">
        <v>253.3</v>
      </c>
      <c r="I196" s="2"/>
      <c r="J196" s="3"/>
      <c r="K196" s="3"/>
      <c r="L196" s="3"/>
      <c r="M196" s="3"/>
      <c r="N196" s="84"/>
      <c r="O196" s="79"/>
      <c r="P196" s="3"/>
      <c r="Q196" s="4"/>
      <c r="R196" s="84" t="s">
        <v>1905</v>
      </c>
      <c r="S196" s="87" t="s">
        <v>53</v>
      </c>
      <c r="T196" s="6">
        <v>7.8</v>
      </c>
      <c r="U196" s="129"/>
      <c r="V196" s="3"/>
      <c r="W196" s="4"/>
      <c r="X196" s="13"/>
      <c r="Y196" s="48"/>
      <c r="Z196" s="48"/>
      <c r="AA196" s="20"/>
      <c r="AB196" s="48"/>
      <c r="AC196" s="48"/>
      <c r="AD196" s="7"/>
      <c r="AE196" s="1" t="s">
        <v>469</v>
      </c>
      <c r="AF196" s="1"/>
      <c r="AG196" s="1"/>
    </row>
    <row r="197" spans="1:33" s="37" customFormat="1" ht="35.25" customHeight="1" x14ac:dyDescent="0.2">
      <c r="A197" s="13">
        <f t="shared" si="4"/>
        <v>21</v>
      </c>
      <c r="B197" s="11"/>
      <c r="C197" s="1" t="s">
        <v>293</v>
      </c>
      <c r="D197" s="13"/>
      <c r="E197" s="13"/>
      <c r="F197" s="18"/>
      <c r="G197" s="1"/>
      <c r="H197" s="60"/>
      <c r="I197" s="2"/>
      <c r="J197" s="3"/>
      <c r="K197" s="3"/>
      <c r="L197" s="3"/>
      <c r="M197" s="3"/>
      <c r="N197" s="84"/>
      <c r="O197" s="79"/>
      <c r="P197" s="3"/>
      <c r="Q197" s="4"/>
      <c r="R197" s="84"/>
      <c r="S197" s="87"/>
      <c r="T197" s="6"/>
      <c r="U197" s="129"/>
      <c r="V197" s="3"/>
      <c r="W197" s="4"/>
      <c r="X197" s="13"/>
      <c r="Y197" s="48"/>
      <c r="Z197" s="48"/>
      <c r="AA197" s="20"/>
      <c r="AB197" s="48"/>
      <c r="AC197" s="48"/>
      <c r="AD197" s="7"/>
      <c r="AE197" s="1" t="s">
        <v>470</v>
      </c>
      <c r="AF197" s="1"/>
      <c r="AG197" s="1"/>
    </row>
    <row r="198" spans="1:33" s="37" customFormat="1" ht="42.75" customHeight="1" x14ac:dyDescent="0.2">
      <c r="A198" s="13">
        <f t="shared" si="4"/>
        <v>21</v>
      </c>
      <c r="B198" s="11"/>
      <c r="C198" s="34" t="s">
        <v>655</v>
      </c>
      <c r="D198" s="13"/>
      <c r="E198" s="13"/>
      <c r="F198" s="18"/>
      <c r="G198" s="1"/>
      <c r="H198" s="60"/>
      <c r="I198" s="2"/>
      <c r="J198" s="3"/>
      <c r="K198" s="3"/>
      <c r="L198" s="3"/>
      <c r="M198" s="3"/>
      <c r="N198" s="84"/>
      <c r="O198" s="79"/>
      <c r="P198" s="3"/>
      <c r="Q198" s="4"/>
      <c r="R198" s="84"/>
      <c r="S198" s="87"/>
      <c r="T198" s="6"/>
      <c r="U198" s="129"/>
      <c r="V198" s="3"/>
      <c r="W198" s="4"/>
      <c r="X198" s="13"/>
      <c r="Y198" s="48"/>
      <c r="Z198" s="48"/>
      <c r="AA198" s="20"/>
      <c r="AB198" s="48"/>
      <c r="AC198" s="48"/>
      <c r="AD198" s="7"/>
      <c r="AE198" s="1" t="s">
        <v>404</v>
      </c>
      <c r="AF198" s="1"/>
      <c r="AG198" s="1"/>
    </row>
    <row r="199" spans="1:33" s="37" customFormat="1" ht="33" customHeight="1" x14ac:dyDescent="0.2">
      <c r="A199" s="13">
        <f t="shared" si="4"/>
        <v>21</v>
      </c>
      <c r="B199" s="11"/>
      <c r="C199" s="1" t="s">
        <v>294</v>
      </c>
      <c r="D199" s="13"/>
      <c r="E199" s="13"/>
      <c r="F199" s="2"/>
      <c r="G199" s="1"/>
      <c r="H199" s="50"/>
      <c r="I199" s="51"/>
      <c r="J199" s="51"/>
      <c r="K199" s="51"/>
      <c r="L199" s="51"/>
      <c r="M199" s="51"/>
      <c r="N199" s="51"/>
      <c r="O199" s="51"/>
      <c r="P199" s="51"/>
      <c r="Q199" s="51"/>
      <c r="R199" s="2"/>
      <c r="S199" s="51"/>
      <c r="T199" s="51"/>
      <c r="U199" s="50"/>
      <c r="V199" s="51"/>
      <c r="W199" s="51"/>
      <c r="X199" s="50"/>
      <c r="Y199" s="50"/>
      <c r="Z199" s="50"/>
      <c r="AA199" s="257"/>
      <c r="AB199" s="50"/>
      <c r="AC199" s="50"/>
      <c r="AD199" s="51"/>
      <c r="AE199" s="51"/>
      <c r="AF199" s="51"/>
      <c r="AG199" s="2"/>
    </row>
    <row r="200" spans="1:33" s="37" customFormat="1" ht="12.75" x14ac:dyDescent="0.2">
      <c r="A200" s="13">
        <f t="shared" si="4"/>
        <v>21</v>
      </c>
      <c r="B200" s="11"/>
      <c r="C200" s="1"/>
      <c r="D200" s="13"/>
      <c r="E200" s="13"/>
      <c r="F200" s="18"/>
      <c r="G200" s="1"/>
      <c r="H200" s="60"/>
      <c r="I200" s="2"/>
      <c r="J200" s="3"/>
      <c r="K200" s="3"/>
      <c r="L200" s="3"/>
      <c r="M200" s="3"/>
      <c r="N200" s="84"/>
      <c r="O200" s="79"/>
      <c r="P200" s="3"/>
      <c r="Q200" s="4"/>
      <c r="R200" s="84"/>
      <c r="S200" s="87"/>
      <c r="T200" s="6"/>
      <c r="U200" s="129"/>
      <c r="V200" s="3"/>
      <c r="W200" s="4"/>
      <c r="X200" s="13"/>
      <c r="Y200" s="48"/>
      <c r="Z200" s="48"/>
      <c r="AA200" s="20"/>
      <c r="AB200" s="48"/>
      <c r="AC200" s="48"/>
      <c r="AD200" s="7"/>
      <c r="AE200" s="1"/>
      <c r="AF200" s="1"/>
      <c r="AG200" s="1"/>
    </row>
    <row r="201" spans="1:33" s="37" customFormat="1" ht="12.75" x14ac:dyDescent="0.2">
      <c r="A201" s="13">
        <f t="shared" si="4"/>
        <v>21</v>
      </c>
      <c r="B201" s="11"/>
      <c r="C201" s="21"/>
      <c r="D201" s="13"/>
      <c r="E201" s="13"/>
      <c r="F201" s="18"/>
      <c r="G201" s="1"/>
      <c r="H201" s="60"/>
      <c r="I201" s="2"/>
      <c r="J201" s="3"/>
      <c r="K201" s="3"/>
      <c r="L201" s="3"/>
      <c r="M201" s="3"/>
      <c r="N201" s="84"/>
      <c r="O201" s="79"/>
      <c r="P201" s="3"/>
      <c r="Q201" s="4"/>
      <c r="R201" s="84"/>
      <c r="S201" s="87"/>
      <c r="T201" s="6"/>
      <c r="U201" s="129"/>
      <c r="V201" s="3"/>
      <c r="W201" s="4"/>
      <c r="X201" s="13"/>
      <c r="Y201" s="48"/>
      <c r="Z201" s="48"/>
      <c r="AA201" s="20"/>
      <c r="AB201" s="48"/>
      <c r="AC201" s="48"/>
      <c r="AD201" s="7"/>
      <c r="AE201" s="2"/>
      <c r="AF201" s="2"/>
      <c r="AG201" s="2"/>
    </row>
    <row r="202" spans="1:33" s="37" customFormat="1" ht="12.75" x14ac:dyDescent="0.2">
      <c r="A202" s="13">
        <f t="shared" si="4"/>
        <v>21</v>
      </c>
      <c r="B202" s="11"/>
      <c r="C202" s="1"/>
      <c r="D202" s="13"/>
      <c r="E202" s="13"/>
      <c r="F202" s="18"/>
      <c r="G202" s="1"/>
      <c r="H202" s="60"/>
      <c r="I202" s="2"/>
      <c r="J202" s="3"/>
      <c r="K202" s="3"/>
      <c r="L202" s="3"/>
      <c r="M202" s="3"/>
      <c r="N202" s="84"/>
      <c r="O202" s="79"/>
      <c r="P202" s="3"/>
      <c r="Q202" s="4"/>
      <c r="R202" s="84"/>
      <c r="S202" s="87"/>
      <c r="T202" s="6"/>
      <c r="U202" s="129"/>
      <c r="V202" s="3"/>
      <c r="W202" s="4"/>
      <c r="X202" s="13"/>
      <c r="Y202" s="48"/>
      <c r="Z202" s="48"/>
      <c r="AA202" s="20"/>
      <c r="AB202" s="48"/>
      <c r="AC202" s="48"/>
      <c r="AD202" s="7"/>
      <c r="AE202" s="2"/>
      <c r="AF202" s="2"/>
      <c r="AG202" s="2"/>
    </row>
    <row r="203" spans="1:33" s="37" customFormat="1" ht="12.75" x14ac:dyDescent="0.2">
      <c r="A203" s="13">
        <f t="shared" si="4"/>
        <v>21</v>
      </c>
      <c r="B203" s="11"/>
      <c r="C203" s="1"/>
      <c r="D203" s="14"/>
      <c r="E203" s="11"/>
      <c r="F203" s="15"/>
      <c r="G203" s="21"/>
      <c r="H203" s="60"/>
      <c r="I203" s="12"/>
      <c r="J203" s="7"/>
      <c r="K203" s="7"/>
      <c r="L203" s="7"/>
      <c r="M203" s="7"/>
      <c r="N203" s="130"/>
      <c r="O203" s="131"/>
      <c r="P203" s="7"/>
      <c r="Q203" s="9"/>
      <c r="R203" s="130"/>
      <c r="S203" s="132"/>
      <c r="T203" s="6"/>
      <c r="U203" s="129"/>
      <c r="V203" s="7"/>
      <c r="W203" s="9"/>
      <c r="X203" s="15"/>
      <c r="Y203" s="49"/>
      <c r="Z203" s="49"/>
      <c r="AA203" s="256"/>
      <c r="AB203" s="49"/>
      <c r="AC203" s="49"/>
      <c r="AD203" s="7"/>
      <c r="AE203" s="12"/>
      <c r="AF203" s="12"/>
      <c r="AG203" s="12"/>
    </row>
    <row r="204" spans="1:33" s="37" customFormat="1" ht="45.75" customHeight="1" x14ac:dyDescent="0.2">
      <c r="A204" s="13">
        <f t="shared" si="4"/>
        <v>22</v>
      </c>
      <c r="B204" s="11">
        <v>22</v>
      </c>
      <c r="C204" s="92" t="s">
        <v>284</v>
      </c>
      <c r="D204" s="13">
        <v>7</v>
      </c>
      <c r="E204" s="135">
        <v>86</v>
      </c>
      <c r="F204" s="135">
        <v>270</v>
      </c>
      <c r="G204" s="84" t="s">
        <v>417</v>
      </c>
      <c r="H204" s="60">
        <v>251.6</v>
      </c>
      <c r="I204" s="2"/>
      <c r="J204" s="3"/>
      <c r="K204" s="3"/>
      <c r="L204" s="3"/>
      <c r="M204" s="3"/>
      <c r="N204" s="84" t="s">
        <v>344</v>
      </c>
      <c r="O204" s="79">
        <v>25</v>
      </c>
      <c r="P204" s="3"/>
      <c r="Q204" s="4"/>
      <c r="R204" s="84" t="s">
        <v>1851</v>
      </c>
      <c r="S204" s="87" t="s">
        <v>53</v>
      </c>
      <c r="T204" s="6">
        <v>7.8</v>
      </c>
      <c r="U204" s="129"/>
      <c r="V204" s="3"/>
      <c r="W204" s="4"/>
      <c r="X204" s="13"/>
      <c r="Y204" s="48"/>
      <c r="Z204" s="48"/>
      <c r="AA204" s="20"/>
      <c r="AB204" s="48"/>
      <c r="AC204" s="48"/>
      <c r="AD204" s="7"/>
      <c r="AE204" s="1" t="s">
        <v>471</v>
      </c>
      <c r="AF204" s="1"/>
      <c r="AG204" s="1"/>
    </row>
    <row r="205" spans="1:33" s="37" customFormat="1" ht="31.5" customHeight="1" x14ac:dyDescent="0.2">
      <c r="A205" s="13">
        <f t="shared" si="4"/>
        <v>22</v>
      </c>
      <c r="B205" s="14"/>
      <c r="C205" s="82" t="s">
        <v>285</v>
      </c>
      <c r="D205" s="13"/>
      <c r="E205" s="13"/>
      <c r="F205" s="18"/>
      <c r="G205" s="1"/>
      <c r="H205" s="60"/>
      <c r="I205" s="2"/>
      <c r="J205" s="3"/>
      <c r="K205" s="3"/>
      <c r="L205" s="3"/>
      <c r="M205" s="3"/>
      <c r="N205" s="84"/>
      <c r="O205" s="79"/>
      <c r="P205" s="3"/>
      <c r="Q205" s="4"/>
      <c r="R205" s="84"/>
      <c r="S205" s="87"/>
      <c r="T205" s="6"/>
      <c r="U205" s="129"/>
      <c r="V205" s="3"/>
      <c r="W205" s="4"/>
      <c r="X205" s="13"/>
      <c r="Y205" s="48"/>
      <c r="Z205" s="48"/>
      <c r="AA205" s="20"/>
      <c r="AB205" s="48"/>
      <c r="AC205" s="48"/>
      <c r="AD205" s="7"/>
      <c r="AE205" s="1" t="s">
        <v>472</v>
      </c>
      <c r="AF205" s="1"/>
      <c r="AG205" s="1"/>
    </row>
    <row r="206" spans="1:33" s="37" customFormat="1" ht="35.25" customHeight="1" x14ac:dyDescent="0.2">
      <c r="A206" s="13">
        <f t="shared" si="4"/>
        <v>22</v>
      </c>
      <c r="B206" s="11"/>
      <c r="C206" s="82" t="s">
        <v>656</v>
      </c>
      <c r="D206" s="13"/>
      <c r="E206" s="13"/>
      <c r="F206" s="18"/>
      <c r="G206" s="1"/>
      <c r="H206" s="60"/>
      <c r="I206" s="2"/>
      <c r="J206" s="3"/>
      <c r="K206" s="3"/>
      <c r="L206" s="3"/>
      <c r="M206" s="3"/>
      <c r="N206" s="84"/>
      <c r="O206" s="79"/>
      <c r="P206" s="3"/>
      <c r="Q206" s="4"/>
      <c r="R206" s="84"/>
      <c r="S206" s="87"/>
      <c r="T206" s="6"/>
      <c r="U206" s="129"/>
      <c r="V206" s="3"/>
      <c r="W206" s="4"/>
      <c r="X206" s="13"/>
      <c r="Y206" s="48"/>
      <c r="Z206" s="48"/>
      <c r="AA206" s="20"/>
      <c r="AB206" s="48"/>
      <c r="AC206" s="48"/>
      <c r="AD206" s="7"/>
      <c r="AE206" s="2" t="s">
        <v>404</v>
      </c>
      <c r="AF206" s="2"/>
      <c r="AG206" s="2"/>
    </row>
    <row r="207" spans="1:33" s="37" customFormat="1" ht="35.25" customHeight="1" x14ac:dyDescent="0.2">
      <c r="A207" s="13">
        <f t="shared" si="4"/>
        <v>22</v>
      </c>
      <c r="B207" s="11"/>
      <c r="C207" s="1" t="s">
        <v>286</v>
      </c>
      <c r="D207" s="13"/>
      <c r="E207" s="13"/>
      <c r="F207" s="2"/>
      <c r="G207" s="1"/>
      <c r="H207" s="50"/>
      <c r="I207" s="51"/>
      <c r="J207" s="51"/>
      <c r="K207" s="51"/>
      <c r="L207" s="51"/>
      <c r="M207" s="51"/>
      <c r="N207" s="51"/>
      <c r="O207" s="51"/>
      <c r="P207" s="51"/>
      <c r="Q207" s="51"/>
      <c r="R207" s="2"/>
      <c r="S207" s="51"/>
      <c r="T207" s="51"/>
      <c r="U207" s="50"/>
      <c r="V207" s="51"/>
      <c r="W207" s="51"/>
      <c r="X207" s="50"/>
      <c r="Y207" s="50"/>
      <c r="Z207" s="50"/>
      <c r="AA207" s="257"/>
      <c r="AB207" s="50"/>
      <c r="AC207" s="50"/>
      <c r="AD207" s="51"/>
      <c r="AE207" s="51"/>
      <c r="AF207" s="51"/>
      <c r="AG207" s="2"/>
    </row>
    <row r="208" spans="1:33" s="37" customFormat="1" ht="12.75" x14ac:dyDescent="0.2">
      <c r="A208" s="13">
        <f t="shared" si="4"/>
        <v>22</v>
      </c>
      <c r="B208" s="11"/>
      <c r="C208" s="21"/>
      <c r="D208" s="13"/>
      <c r="E208" s="13"/>
      <c r="F208" s="18"/>
      <c r="G208" s="1"/>
      <c r="H208" s="60"/>
      <c r="I208" s="2"/>
      <c r="J208" s="3"/>
      <c r="K208" s="3"/>
      <c r="L208" s="3"/>
      <c r="M208" s="3"/>
      <c r="N208" s="84"/>
      <c r="O208" s="79"/>
      <c r="P208" s="3"/>
      <c r="Q208" s="4"/>
      <c r="R208" s="84"/>
      <c r="S208" s="87"/>
      <c r="T208" s="6"/>
      <c r="U208" s="129"/>
      <c r="V208" s="3"/>
      <c r="W208" s="4"/>
      <c r="X208" s="13"/>
      <c r="Y208" s="48"/>
      <c r="Z208" s="48"/>
      <c r="AA208" s="20"/>
      <c r="AB208" s="48"/>
      <c r="AC208" s="48"/>
      <c r="AD208" s="7"/>
      <c r="AE208" s="2"/>
      <c r="AF208" s="2"/>
      <c r="AG208" s="2"/>
    </row>
    <row r="209" spans="1:33" s="37" customFormat="1" ht="12.75" x14ac:dyDescent="0.2">
      <c r="A209" s="13">
        <f t="shared" si="4"/>
        <v>22</v>
      </c>
      <c r="B209" s="11"/>
      <c r="C209" s="1"/>
      <c r="D209" s="13"/>
      <c r="E209" s="13"/>
      <c r="F209" s="115"/>
      <c r="G209" s="1"/>
      <c r="H209" s="60"/>
      <c r="I209" s="13"/>
      <c r="J209" s="5"/>
      <c r="K209" s="5"/>
      <c r="L209" s="4"/>
      <c r="M209" s="4"/>
      <c r="N209" s="1"/>
      <c r="O209" s="5"/>
      <c r="P209" s="3"/>
      <c r="Q209" s="4"/>
      <c r="R209" s="47"/>
      <c r="S209" s="13"/>
      <c r="T209" s="6"/>
      <c r="U209" s="17"/>
      <c r="V209" s="3"/>
      <c r="W209" s="4"/>
      <c r="X209" s="13"/>
      <c r="Y209" s="48"/>
      <c r="Z209" s="48"/>
      <c r="AA209" s="20"/>
      <c r="AB209" s="48"/>
      <c r="AC209" s="48"/>
      <c r="AD209" s="7"/>
      <c r="AE209" s="1"/>
      <c r="AF209" s="1"/>
      <c r="AG209" s="1"/>
    </row>
    <row r="210" spans="1:33" s="37" customFormat="1" ht="38.25" x14ac:dyDescent="0.2">
      <c r="A210" s="13">
        <f t="shared" si="4"/>
        <v>23</v>
      </c>
      <c r="B210" s="11">
        <v>23</v>
      </c>
      <c r="C210" s="154" t="s">
        <v>32</v>
      </c>
      <c r="D210" s="13">
        <v>4</v>
      </c>
      <c r="E210" s="13">
        <v>86</v>
      </c>
      <c r="F210" s="18">
        <v>269</v>
      </c>
      <c r="G210" s="1" t="s">
        <v>416</v>
      </c>
      <c r="H210" s="60">
        <v>249.6</v>
      </c>
      <c r="I210" s="13"/>
      <c r="J210" s="5"/>
      <c r="K210" s="5"/>
      <c r="L210" s="4"/>
      <c r="M210" s="4"/>
      <c r="N210" s="1" t="s">
        <v>145</v>
      </c>
      <c r="O210" s="5">
        <v>1</v>
      </c>
      <c r="P210" s="3"/>
      <c r="Q210" s="4"/>
      <c r="R210" s="140" t="s">
        <v>407</v>
      </c>
      <c r="S210" s="152" t="s">
        <v>53</v>
      </c>
      <c r="T210" s="6">
        <v>57</v>
      </c>
      <c r="U210" s="17"/>
      <c r="V210" s="3"/>
      <c r="W210" s="4"/>
      <c r="X210" s="13"/>
      <c r="Y210" s="48" t="s">
        <v>55</v>
      </c>
      <c r="Z210" s="48" t="s">
        <v>56</v>
      </c>
      <c r="AA210" s="20" t="s">
        <v>473</v>
      </c>
      <c r="AB210" s="48" t="s">
        <v>66</v>
      </c>
      <c r="AC210" s="20" t="s">
        <v>206</v>
      </c>
      <c r="AD210" s="7"/>
      <c r="AE210" s="1" t="s">
        <v>146</v>
      </c>
      <c r="AF210" s="1"/>
      <c r="AG210" s="1"/>
    </row>
    <row r="211" spans="1:33" s="37" customFormat="1" ht="38.25" x14ac:dyDescent="0.2">
      <c r="A211" s="13">
        <f t="shared" si="4"/>
        <v>23</v>
      </c>
      <c r="B211" s="11"/>
      <c r="C211" s="1" t="s">
        <v>144</v>
      </c>
      <c r="D211" s="13"/>
      <c r="E211" s="13"/>
      <c r="F211" s="18"/>
      <c r="G211" s="1"/>
      <c r="H211" s="60"/>
      <c r="I211" s="13"/>
      <c r="J211" s="5"/>
      <c r="K211" s="5"/>
      <c r="L211" s="4"/>
      <c r="M211" s="4"/>
      <c r="N211" s="1" t="s">
        <v>147</v>
      </c>
      <c r="O211" s="5">
        <v>1</v>
      </c>
      <c r="P211" s="3"/>
      <c r="Q211" s="4"/>
      <c r="R211" s="140" t="s">
        <v>302</v>
      </c>
      <c r="S211" s="152" t="s">
        <v>53</v>
      </c>
      <c r="T211" s="6">
        <v>75.5</v>
      </c>
      <c r="U211" s="17"/>
      <c r="V211" s="3"/>
      <c r="W211" s="4"/>
      <c r="X211" s="13" t="s">
        <v>63</v>
      </c>
      <c r="Y211" s="48" t="s">
        <v>55</v>
      </c>
      <c r="Z211" s="48" t="s">
        <v>56</v>
      </c>
      <c r="AA211" s="20" t="s">
        <v>57</v>
      </c>
      <c r="AB211" s="48" t="s">
        <v>63</v>
      </c>
      <c r="AC211" s="20" t="s">
        <v>206</v>
      </c>
      <c r="AD211" s="7"/>
      <c r="AE211" s="1" t="s">
        <v>474</v>
      </c>
      <c r="AF211" s="1"/>
      <c r="AG211" s="1"/>
    </row>
    <row r="212" spans="1:33" s="37" customFormat="1" ht="38.25" x14ac:dyDescent="0.2">
      <c r="A212" s="13">
        <f t="shared" si="4"/>
        <v>23</v>
      </c>
      <c r="B212" s="11"/>
      <c r="C212" s="34" t="s">
        <v>657</v>
      </c>
      <c r="D212" s="13"/>
      <c r="E212" s="13"/>
      <c r="F212" s="18"/>
      <c r="G212" s="1"/>
      <c r="H212" s="60"/>
      <c r="I212" s="13"/>
      <c r="J212" s="5"/>
      <c r="K212" s="5"/>
      <c r="L212" s="4"/>
      <c r="M212" s="4"/>
      <c r="N212" s="1" t="s">
        <v>735</v>
      </c>
      <c r="O212" s="5">
        <v>1</v>
      </c>
      <c r="P212" s="3"/>
      <c r="Q212" s="4"/>
      <c r="R212" s="140" t="s">
        <v>74</v>
      </c>
      <c r="S212" s="152" t="s">
        <v>53</v>
      </c>
      <c r="T212" s="6">
        <v>3.68</v>
      </c>
      <c r="U212" s="17"/>
      <c r="V212" s="3"/>
      <c r="W212" s="4"/>
      <c r="X212" s="13" t="s">
        <v>63</v>
      </c>
      <c r="Y212" s="48" t="s">
        <v>63</v>
      </c>
      <c r="Z212" s="48" t="s">
        <v>56</v>
      </c>
      <c r="AA212" s="20" t="s">
        <v>57</v>
      </c>
      <c r="AB212" s="48" t="s">
        <v>63</v>
      </c>
      <c r="AC212" s="48"/>
      <c r="AD212" s="7"/>
      <c r="AE212" s="1" t="s">
        <v>296</v>
      </c>
      <c r="AF212" s="1"/>
      <c r="AG212" s="1"/>
    </row>
    <row r="213" spans="1:33" s="37" customFormat="1" ht="27" customHeight="1" x14ac:dyDescent="0.2">
      <c r="A213" s="13">
        <f t="shared" si="4"/>
        <v>23</v>
      </c>
      <c r="B213" s="11"/>
      <c r="C213" s="1" t="s">
        <v>297</v>
      </c>
      <c r="D213" s="13"/>
      <c r="E213" s="13"/>
      <c r="F213" s="18"/>
      <c r="G213" s="1"/>
      <c r="H213" s="60"/>
      <c r="I213" s="13"/>
      <c r="J213" s="5"/>
      <c r="K213" s="5"/>
      <c r="L213" s="4"/>
      <c r="M213" s="4"/>
      <c r="N213" s="1" t="s">
        <v>736</v>
      </c>
      <c r="O213" s="5">
        <v>13</v>
      </c>
      <c r="P213" s="3"/>
      <c r="Q213" s="4"/>
      <c r="R213" s="47" t="s">
        <v>136</v>
      </c>
      <c r="S213" s="13" t="s">
        <v>53</v>
      </c>
      <c r="T213" s="6">
        <v>20.399999999999999</v>
      </c>
      <c r="U213" s="17"/>
      <c r="V213" s="3"/>
      <c r="W213" s="4"/>
      <c r="X213" s="13"/>
      <c r="Y213" s="48" t="s">
        <v>55</v>
      </c>
      <c r="Z213" s="48" t="s">
        <v>56</v>
      </c>
      <c r="AA213" s="20" t="s">
        <v>475</v>
      </c>
      <c r="AB213" s="48" t="s">
        <v>66</v>
      </c>
      <c r="AC213" s="48"/>
      <c r="AD213" s="7"/>
      <c r="AE213" s="21" t="s">
        <v>476</v>
      </c>
      <c r="AF213" s="21"/>
      <c r="AG213" s="21"/>
    </row>
    <row r="214" spans="1:33" s="37" customFormat="1" ht="33.75" customHeight="1" x14ac:dyDescent="0.2">
      <c r="A214" s="13">
        <f t="shared" si="4"/>
        <v>23</v>
      </c>
      <c r="B214" s="11"/>
      <c r="C214" s="1"/>
      <c r="D214" s="13"/>
      <c r="E214" s="13"/>
      <c r="F214" s="18"/>
      <c r="G214" s="1"/>
      <c r="H214" s="60"/>
      <c r="I214" s="13"/>
      <c r="J214" s="5"/>
      <c r="K214" s="5"/>
      <c r="L214" s="4"/>
      <c r="M214" s="4"/>
      <c r="N214" s="1" t="s">
        <v>737</v>
      </c>
      <c r="O214" s="5">
        <v>1</v>
      </c>
      <c r="P214" s="3"/>
      <c r="Q214" s="4"/>
      <c r="R214" s="47" t="s">
        <v>65</v>
      </c>
      <c r="S214" s="13" t="s">
        <v>53</v>
      </c>
      <c r="T214" s="6">
        <v>23.4</v>
      </c>
      <c r="U214" s="17"/>
      <c r="V214" s="3"/>
      <c r="W214" s="4"/>
      <c r="X214" s="13"/>
      <c r="Y214" s="48" t="s">
        <v>55</v>
      </c>
      <c r="Z214" s="48" t="s">
        <v>56</v>
      </c>
      <c r="AA214" s="20"/>
      <c r="AB214" s="48" t="s">
        <v>66</v>
      </c>
      <c r="AC214" s="48"/>
      <c r="AD214" s="7"/>
      <c r="AE214" s="21"/>
      <c r="AF214" s="21"/>
      <c r="AG214" s="21"/>
    </row>
    <row r="215" spans="1:33" s="37" customFormat="1" ht="33.75" customHeight="1" x14ac:dyDescent="0.2">
      <c r="A215" s="13">
        <f t="shared" si="4"/>
        <v>23</v>
      </c>
      <c r="B215" s="11"/>
      <c r="C215" s="154"/>
      <c r="D215" s="13"/>
      <c r="E215" s="13"/>
      <c r="F215" s="18"/>
      <c r="G215" s="1"/>
      <c r="H215" s="60"/>
      <c r="I215" s="13"/>
      <c r="J215" s="5"/>
      <c r="K215" s="5"/>
      <c r="L215" s="4"/>
      <c r="M215" s="4"/>
      <c r="N215" s="140" t="s">
        <v>148</v>
      </c>
      <c r="O215" s="5">
        <v>2</v>
      </c>
      <c r="P215" s="141"/>
      <c r="Q215" s="141"/>
      <c r="R215" s="140" t="s">
        <v>477</v>
      </c>
      <c r="S215" s="152" t="s">
        <v>53</v>
      </c>
      <c r="T215" s="6">
        <v>178.35</v>
      </c>
      <c r="U215" s="155"/>
      <c r="V215" s="3"/>
      <c r="W215" s="4"/>
      <c r="X215" s="13"/>
      <c r="Y215" s="48"/>
      <c r="Z215" s="48"/>
      <c r="AA215" s="20"/>
      <c r="AB215" s="48"/>
      <c r="AC215" s="48"/>
      <c r="AD215" s="7"/>
      <c r="AE215" s="1"/>
      <c r="AF215" s="1"/>
      <c r="AG215" s="1"/>
    </row>
    <row r="216" spans="1:33" s="37" customFormat="1" ht="33.75" customHeight="1" x14ac:dyDescent="0.2">
      <c r="A216" s="13">
        <f t="shared" si="4"/>
        <v>23</v>
      </c>
      <c r="B216" s="11"/>
      <c r="C216" s="153"/>
      <c r="D216" s="13"/>
      <c r="E216" s="13"/>
      <c r="F216" s="18"/>
      <c r="G216" s="1"/>
      <c r="H216" s="60"/>
      <c r="I216" s="13"/>
      <c r="J216" s="5"/>
      <c r="K216" s="5"/>
      <c r="L216" s="4"/>
      <c r="M216" s="4"/>
      <c r="N216" s="140" t="s">
        <v>149</v>
      </c>
      <c r="O216" s="5">
        <v>1</v>
      </c>
      <c r="P216" s="141"/>
      <c r="Q216" s="141"/>
      <c r="R216" s="140" t="s">
        <v>478</v>
      </c>
      <c r="S216" s="152" t="s">
        <v>53</v>
      </c>
      <c r="T216" s="6">
        <v>100.45</v>
      </c>
      <c r="U216" s="155"/>
      <c r="V216" s="3"/>
      <c r="W216" s="4"/>
      <c r="X216" s="13"/>
      <c r="Y216" s="48"/>
      <c r="Z216" s="48"/>
      <c r="AA216" s="20"/>
      <c r="AB216" s="48"/>
      <c r="AC216" s="48"/>
      <c r="AD216" s="7"/>
      <c r="AE216" s="2"/>
      <c r="AF216" s="2"/>
      <c r="AG216" s="2"/>
    </row>
    <row r="217" spans="1:33" s="37" customFormat="1" ht="21.75" customHeight="1" x14ac:dyDescent="0.2">
      <c r="A217" s="13">
        <f t="shared" si="4"/>
        <v>23</v>
      </c>
      <c r="B217" s="11"/>
      <c r="C217" s="138"/>
      <c r="D217" s="13"/>
      <c r="E217" s="13"/>
      <c r="F217" s="18"/>
      <c r="G217" s="1"/>
      <c r="H217" s="60"/>
      <c r="I217" s="13"/>
      <c r="J217" s="5"/>
      <c r="K217" s="5"/>
      <c r="L217" s="4"/>
      <c r="M217" s="4"/>
      <c r="N217" s="140" t="s">
        <v>76</v>
      </c>
      <c r="O217" s="5">
        <v>3</v>
      </c>
      <c r="P217" s="141"/>
      <c r="Q217" s="141"/>
      <c r="R217" s="140" t="s">
        <v>71</v>
      </c>
      <c r="S217" s="152" t="s">
        <v>53</v>
      </c>
      <c r="T217" s="6">
        <v>10.199999999999999</v>
      </c>
      <c r="U217" s="155"/>
      <c r="V217" s="3"/>
      <c r="W217" s="4"/>
      <c r="X217" s="13"/>
      <c r="Y217" s="48"/>
      <c r="Z217" s="48"/>
      <c r="AA217" s="20"/>
      <c r="AB217" s="48"/>
      <c r="AC217" s="48"/>
      <c r="AD217" s="7"/>
      <c r="AE217" s="2"/>
      <c r="AF217" s="2"/>
      <c r="AG217" s="2"/>
    </row>
    <row r="218" spans="1:33" s="37" customFormat="1" ht="21.75" customHeight="1" x14ac:dyDescent="0.2">
      <c r="A218" s="13">
        <f t="shared" si="4"/>
        <v>23</v>
      </c>
      <c r="B218" s="11"/>
      <c r="C218" s="1"/>
      <c r="D218" s="13"/>
      <c r="E218" s="13"/>
      <c r="F218" s="18"/>
      <c r="G218" s="1"/>
      <c r="H218" s="60"/>
      <c r="I218" s="13"/>
      <c r="J218" s="5"/>
      <c r="K218" s="5"/>
      <c r="L218" s="4"/>
      <c r="M218" s="4"/>
      <c r="N218" s="140" t="s">
        <v>738</v>
      </c>
      <c r="O218" s="5">
        <v>10</v>
      </c>
      <c r="P218" s="141"/>
      <c r="Q218" s="141"/>
      <c r="R218" s="140" t="s">
        <v>427</v>
      </c>
      <c r="S218" s="152" t="s">
        <v>53</v>
      </c>
      <c r="T218" s="6">
        <v>20.399999999999999</v>
      </c>
      <c r="U218" s="155"/>
      <c r="V218" s="3"/>
      <c r="W218" s="4"/>
      <c r="X218" s="13"/>
      <c r="Y218" s="48"/>
      <c r="Z218" s="48"/>
      <c r="AA218" s="20"/>
      <c r="AB218" s="48"/>
      <c r="AC218" s="48"/>
      <c r="AD218" s="7"/>
      <c r="AE218" s="2"/>
      <c r="AF218" s="2"/>
      <c r="AG218" s="2"/>
    </row>
    <row r="219" spans="1:33" s="37" customFormat="1" ht="21.75" customHeight="1" x14ac:dyDescent="0.2">
      <c r="A219" s="13">
        <f t="shared" si="4"/>
        <v>23</v>
      </c>
      <c r="B219" s="11"/>
      <c r="C219" s="1"/>
      <c r="D219" s="13"/>
      <c r="E219" s="13"/>
      <c r="F219" s="18"/>
      <c r="G219" s="1"/>
      <c r="H219" s="60"/>
      <c r="I219" s="13"/>
      <c r="J219" s="5"/>
      <c r="K219" s="5"/>
      <c r="L219" s="4"/>
      <c r="M219" s="4"/>
      <c r="N219" s="140" t="s">
        <v>401</v>
      </c>
      <c r="O219" s="5">
        <v>15</v>
      </c>
      <c r="P219" s="141"/>
      <c r="Q219" s="141"/>
      <c r="R219" s="140" t="s">
        <v>427</v>
      </c>
      <c r="S219" s="152" t="s">
        <v>53</v>
      </c>
      <c r="T219" s="6">
        <v>23.4</v>
      </c>
      <c r="U219" s="155"/>
      <c r="V219" s="3"/>
      <c r="W219" s="4"/>
      <c r="X219" s="13"/>
      <c r="Y219" s="48"/>
      <c r="Z219" s="48"/>
      <c r="AA219" s="20"/>
      <c r="AB219" s="48"/>
      <c r="AC219" s="48"/>
      <c r="AD219" s="7"/>
      <c r="AE219" s="2"/>
      <c r="AF219" s="2"/>
      <c r="AG219" s="2"/>
    </row>
    <row r="220" spans="1:33" s="37" customFormat="1" ht="21.75" customHeight="1" x14ac:dyDescent="0.2">
      <c r="A220" s="13">
        <f t="shared" si="4"/>
        <v>23</v>
      </c>
      <c r="B220" s="11"/>
      <c r="C220" s="1"/>
      <c r="D220" s="13"/>
      <c r="E220" s="13"/>
      <c r="F220" s="18"/>
      <c r="G220" s="1"/>
      <c r="H220" s="60"/>
      <c r="I220" s="13"/>
      <c r="J220" s="5"/>
      <c r="K220" s="5"/>
      <c r="L220" s="4"/>
      <c r="M220" s="4"/>
      <c r="N220" s="140" t="s">
        <v>739</v>
      </c>
      <c r="O220" s="5">
        <v>1</v>
      </c>
      <c r="P220" s="141"/>
      <c r="Q220" s="141"/>
      <c r="R220" s="140" t="s">
        <v>397</v>
      </c>
      <c r="S220" s="152" t="s">
        <v>53</v>
      </c>
      <c r="T220" s="6">
        <v>4.05</v>
      </c>
      <c r="U220" s="155"/>
      <c r="V220" s="3"/>
      <c r="W220" s="4"/>
      <c r="X220" s="13"/>
      <c r="Y220" s="48"/>
      <c r="Z220" s="48"/>
      <c r="AA220" s="20"/>
      <c r="AB220" s="48"/>
      <c r="AC220" s="48"/>
      <c r="AD220" s="7"/>
      <c r="AE220" s="2"/>
      <c r="AF220" s="2"/>
      <c r="AG220" s="2"/>
    </row>
    <row r="221" spans="1:33" s="37" customFormat="1" ht="21.75" customHeight="1" x14ac:dyDescent="0.2">
      <c r="A221" s="13">
        <f t="shared" si="4"/>
        <v>23</v>
      </c>
      <c r="B221" s="11"/>
      <c r="C221" s="1"/>
      <c r="D221" s="13"/>
      <c r="E221" s="13"/>
      <c r="F221" s="18"/>
      <c r="G221" s="1"/>
      <c r="H221" s="60"/>
      <c r="I221" s="13"/>
      <c r="J221" s="5"/>
      <c r="K221" s="5"/>
      <c r="L221" s="4"/>
      <c r="M221" s="4"/>
      <c r="N221" s="140" t="s">
        <v>731</v>
      </c>
      <c r="O221" s="5">
        <v>1</v>
      </c>
      <c r="P221" s="141"/>
      <c r="Q221" s="141"/>
      <c r="R221" s="84" t="s">
        <v>403</v>
      </c>
      <c r="S221" s="87" t="s">
        <v>78</v>
      </c>
      <c r="T221" s="6">
        <v>0.12</v>
      </c>
      <c r="U221" s="155"/>
      <c r="V221" s="3"/>
      <c r="W221" s="4"/>
      <c r="X221" s="13"/>
      <c r="Y221" s="48"/>
      <c r="Z221" s="48"/>
      <c r="AA221" s="20"/>
      <c r="AB221" s="48"/>
      <c r="AC221" s="48"/>
      <c r="AD221" s="7"/>
      <c r="AE221" s="2"/>
      <c r="AF221" s="2"/>
      <c r="AG221" s="2"/>
    </row>
    <row r="222" spans="1:33" s="37" customFormat="1" ht="21.75" customHeight="1" x14ac:dyDescent="0.2">
      <c r="A222" s="13">
        <f t="shared" si="4"/>
        <v>23</v>
      </c>
      <c r="B222" s="11"/>
      <c r="C222" s="1"/>
      <c r="D222" s="13"/>
      <c r="E222" s="13"/>
      <c r="F222" s="18"/>
      <c r="G222" s="1"/>
      <c r="H222" s="60"/>
      <c r="I222" s="13"/>
      <c r="J222" s="5"/>
      <c r="K222" s="5"/>
      <c r="L222" s="4"/>
      <c r="M222" s="4"/>
      <c r="N222" s="140" t="s">
        <v>740</v>
      </c>
      <c r="O222" s="5">
        <v>1</v>
      </c>
      <c r="P222" s="141"/>
      <c r="Q222" s="141"/>
      <c r="R222" s="84" t="s">
        <v>402</v>
      </c>
      <c r="S222" s="87" t="s">
        <v>78</v>
      </c>
      <c r="T222" s="6">
        <v>15.48</v>
      </c>
      <c r="U222" s="155"/>
      <c r="V222" s="3"/>
      <c r="W222" s="4"/>
      <c r="X222" s="13"/>
      <c r="Y222" s="48"/>
      <c r="Z222" s="48"/>
      <c r="AA222" s="20"/>
      <c r="AB222" s="48"/>
      <c r="AC222" s="48"/>
      <c r="AD222" s="7"/>
      <c r="AE222" s="2"/>
      <c r="AF222" s="2"/>
      <c r="AG222" s="2"/>
    </row>
    <row r="223" spans="1:33" s="37" customFormat="1" ht="21.75" customHeight="1" x14ac:dyDescent="0.2">
      <c r="A223" s="13">
        <f t="shared" si="4"/>
        <v>23</v>
      </c>
      <c r="B223" s="11"/>
      <c r="C223" s="1"/>
      <c r="D223" s="13"/>
      <c r="E223" s="13"/>
      <c r="F223" s="18"/>
      <c r="G223" s="1"/>
      <c r="H223" s="60"/>
      <c r="I223" s="13"/>
      <c r="J223" s="5"/>
      <c r="K223" s="5"/>
      <c r="L223" s="4"/>
      <c r="M223" s="4"/>
      <c r="N223" s="2"/>
      <c r="O223" s="2"/>
      <c r="P223" s="141"/>
      <c r="Q223" s="141"/>
      <c r="R223" s="84" t="s">
        <v>331</v>
      </c>
      <c r="S223" s="87" t="s">
        <v>78</v>
      </c>
      <c r="T223" s="6">
        <v>1.02</v>
      </c>
      <c r="U223" s="155"/>
      <c r="V223" s="3"/>
      <c r="W223" s="4"/>
      <c r="X223" s="13"/>
      <c r="Y223" s="48"/>
      <c r="Z223" s="48"/>
      <c r="AA223" s="20"/>
      <c r="AB223" s="48"/>
      <c r="AC223" s="48"/>
      <c r="AD223" s="7"/>
      <c r="AE223" s="2"/>
      <c r="AF223" s="2"/>
      <c r="AG223" s="2"/>
    </row>
    <row r="224" spans="1:33" s="37" customFormat="1" ht="21.75" customHeight="1" x14ac:dyDescent="0.2">
      <c r="A224" s="13">
        <f t="shared" si="4"/>
        <v>23</v>
      </c>
      <c r="B224" s="11"/>
      <c r="C224" s="1"/>
      <c r="D224" s="13"/>
      <c r="E224" s="13"/>
      <c r="F224" s="18"/>
      <c r="G224" s="1"/>
      <c r="H224" s="60"/>
      <c r="I224" s="2"/>
      <c r="J224" s="3"/>
      <c r="K224" s="3"/>
      <c r="L224" s="3"/>
      <c r="M224" s="3"/>
      <c r="N224" s="84"/>
      <c r="O224" s="79"/>
      <c r="P224" s="3"/>
      <c r="Q224" s="4"/>
      <c r="R224" s="84" t="s">
        <v>479</v>
      </c>
      <c r="S224" s="87" t="s">
        <v>78</v>
      </c>
      <c r="T224" s="6">
        <v>2.15</v>
      </c>
      <c r="U224" s="13"/>
      <c r="V224" s="3"/>
      <c r="W224" s="4"/>
      <c r="X224" s="13"/>
      <c r="Y224" s="48"/>
      <c r="Z224" s="48"/>
      <c r="AA224" s="20"/>
      <c r="AB224" s="48"/>
      <c r="AC224" s="48"/>
      <c r="AD224" s="7"/>
      <c r="AE224" s="2"/>
      <c r="AF224" s="2"/>
      <c r="AG224" s="2"/>
    </row>
    <row r="225" spans="1:33" s="37" customFormat="1" ht="21.75" customHeight="1" x14ac:dyDescent="0.2">
      <c r="A225" s="13">
        <f t="shared" si="4"/>
        <v>23</v>
      </c>
      <c r="B225" s="11"/>
      <c r="C225" s="1"/>
      <c r="D225" s="13"/>
      <c r="E225" s="13"/>
      <c r="F225" s="18"/>
      <c r="G225" s="1"/>
      <c r="H225" s="60"/>
      <c r="I225" s="2"/>
      <c r="J225" s="3"/>
      <c r="K225" s="3"/>
      <c r="L225" s="3"/>
      <c r="M225" s="3"/>
      <c r="N225" s="84"/>
      <c r="O225" s="79"/>
      <c r="P225" s="3"/>
      <c r="Q225" s="4"/>
      <c r="R225" s="84" t="s">
        <v>341</v>
      </c>
      <c r="S225" s="87" t="s">
        <v>101</v>
      </c>
      <c r="T225" s="6">
        <v>4</v>
      </c>
      <c r="U225" s="17"/>
      <c r="V225" s="3"/>
      <c r="W225" s="4"/>
      <c r="X225" s="13"/>
      <c r="Y225" s="48"/>
      <c r="Z225" s="48"/>
      <c r="AA225" s="20"/>
      <c r="AB225" s="48"/>
      <c r="AC225" s="48"/>
      <c r="AD225" s="7"/>
      <c r="AE225" s="2"/>
      <c r="AF225" s="2"/>
      <c r="AG225" s="2"/>
    </row>
    <row r="226" spans="1:33" s="37" customFormat="1" ht="21.75" customHeight="1" x14ac:dyDescent="0.2">
      <c r="A226" s="13">
        <f t="shared" si="4"/>
        <v>23</v>
      </c>
      <c r="B226" s="11"/>
      <c r="C226" s="1"/>
      <c r="D226" s="13"/>
      <c r="E226" s="13"/>
      <c r="F226" s="18"/>
      <c r="G226" s="1"/>
      <c r="H226" s="60"/>
      <c r="I226" s="2"/>
      <c r="J226" s="3"/>
      <c r="K226" s="3"/>
      <c r="L226" s="3"/>
      <c r="M226" s="3"/>
      <c r="N226" s="84"/>
      <c r="O226" s="79"/>
      <c r="P226" s="3"/>
      <c r="Q226" s="4"/>
      <c r="R226" s="84" t="s">
        <v>342</v>
      </c>
      <c r="S226" s="87" t="s">
        <v>101</v>
      </c>
      <c r="T226" s="6">
        <v>6</v>
      </c>
      <c r="U226" s="17"/>
      <c r="V226" s="3"/>
      <c r="W226" s="4"/>
      <c r="X226" s="13"/>
      <c r="Y226" s="48"/>
      <c r="Z226" s="48"/>
      <c r="AA226" s="20"/>
      <c r="AB226" s="48"/>
      <c r="AC226" s="48"/>
      <c r="AD226" s="7"/>
      <c r="AE226" s="2"/>
      <c r="AF226" s="2"/>
      <c r="AG226" s="2"/>
    </row>
    <row r="227" spans="1:33" s="37" customFormat="1" ht="21.75" customHeight="1" x14ac:dyDescent="0.2">
      <c r="A227" s="13">
        <f t="shared" si="4"/>
        <v>23</v>
      </c>
      <c r="B227" s="11"/>
      <c r="C227" s="21"/>
      <c r="D227" s="13"/>
      <c r="E227" s="13"/>
      <c r="F227" s="18"/>
      <c r="G227" s="1"/>
      <c r="H227" s="60"/>
      <c r="I227" s="2"/>
      <c r="J227" s="3"/>
      <c r="K227" s="3"/>
      <c r="L227" s="3"/>
      <c r="M227" s="3"/>
      <c r="N227" s="84"/>
      <c r="O227" s="79"/>
      <c r="P227" s="3"/>
      <c r="Q227" s="4"/>
      <c r="R227" s="84" t="s">
        <v>343</v>
      </c>
      <c r="S227" s="87" t="s">
        <v>53</v>
      </c>
      <c r="T227" s="6">
        <v>15.4</v>
      </c>
      <c r="U227" s="17"/>
      <c r="V227" s="3"/>
      <c r="W227" s="4"/>
      <c r="X227" s="13"/>
      <c r="Y227" s="48"/>
      <c r="Z227" s="48"/>
      <c r="AA227" s="20"/>
      <c r="AB227" s="48"/>
      <c r="AC227" s="48"/>
      <c r="AD227" s="7"/>
      <c r="AE227" s="2"/>
      <c r="AF227" s="2"/>
      <c r="AG227" s="2"/>
    </row>
    <row r="228" spans="1:33" s="37" customFormat="1" ht="21.75" customHeight="1" x14ac:dyDescent="0.2">
      <c r="A228" s="13">
        <f t="shared" si="4"/>
        <v>23</v>
      </c>
      <c r="B228" s="11"/>
      <c r="C228" s="21"/>
      <c r="D228" s="11"/>
      <c r="E228" s="14"/>
      <c r="F228" s="15"/>
      <c r="G228" s="21"/>
      <c r="H228" s="60"/>
      <c r="I228" s="12"/>
      <c r="J228" s="7"/>
      <c r="K228" s="7"/>
      <c r="L228" s="7"/>
      <c r="M228" s="7"/>
      <c r="N228" s="130"/>
      <c r="O228" s="131"/>
      <c r="P228" s="7"/>
      <c r="Q228" s="9"/>
      <c r="R228" s="84" t="s">
        <v>173</v>
      </c>
      <c r="S228" s="87" t="s">
        <v>93</v>
      </c>
      <c r="T228" s="6">
        <v>1</v>
      </c>
      <c r="U228" s="128"/>
      <c r="V228" s="12"/>
      <c r="W228" s="7"/>
      <c r="X228" s="52"/>
      <c r="Y228" s="15"/>
      <c r="Z228" s="49"/>
      <c r="AA228" s="256"/>
      <c r="AB228" s="49"/>
      <c r="AC228" s="49"/>
      <c r="AD228" s="7"/>
      <c r="AE228" s="7"/>
      <c r="AF228" s="7"/>
      <c r="AG228" s="7"/>
    </row>
    <row r="229" spans="1:33" s="37" customFormat="1" ht="21.75" customHeight="1" x14ac:dyDescent="0.2">
      <c r="A229" s="13">
        <f t="shared" si="4"/>
        <v>23</v>
      </c>
      <c r="B229" s="11"/>
      <c r="C229" s="21"/>
      <c r="D229" s="114"/>
      <c r="E229" s="13"/>
      <c r="F229" s="18"/>
      <c r="G229" s="1"/>
      <c r="H229" s="60"/>
      <c r="I229" s="2"/>
      <c r="J229" s="3"/>
      <c r="K229" s="3"/>
      <c r="L229" s="3"/>
      <c r="M229" s="3"/>
      <c r="N229" s="84"/>
      <c r="O229" s="79"/>
      <c r="P229" s="3"/>
      <c r="Q229" s="4"/>
      <c r="R229" s="84" t="s">
        <v>480</v>
      </c>
      <c r="S229" s="87" t="s">
        <v>53</v>
      </c>
      <c r="T229" s="6">
        <v>57</v>
      </c>
      <c r="U229" s="129"/>
      <c r="V229" s="3"/>
      <c r="W229" s="4"/>
      <c r="X229" s="18"/>
      <c r="Y229" s="48"/>
      <c r="Z229" s="48"/>
      <c r="AA229" s="20"/>
      <c r="AB229" s="48"/>
      <c r="AC229" s="48"/>
      <c r="AD229" s="7"/>
      <c r="AE229" s="84"/>
      <c r="AF229" s="84"/>
      <c r="AG229" s="84"/>
    </row>
    <row r="230" spans="1:33" s="37" customFormat="1" ht="12.75" x14ac:dyDescent="0.2">
      <c r="A230" s="13">
        <f t="shared" ref="A230:A293" si="5">IF(B230&lt;&gt;0,B230,A229)</f>
        <v>23</v>
      </c>
      <c r="B230" s="11"/>
      <c r="C230" s="1"/>
      <c r="D230" s="114"/>
      <c r="E230" s="13"/>
      <c r="F230" s="18"/>
      <c r="G230" s="1"/>
      <c r="H230" s="60"/>
      <c r="I230" s="2"/>
      <c r="J230" s="3"/>
      <c r="K230" s="3"/>
      <c r="L230" s="3"/>
      <c r="M230" s="3"/>
      <c r="N230" s="84"/>
      <c r="O230" s="79"/>
      <c r="P230" s="3"/>
      <c r="Q230" s="4"/>
      <c r="R230" s="2"/>
      <c r="S230" s="51"/>
      <c r="T230" s="51"/>
      <c r="U230" s="129"/>
      <c r="V230" s="3"/>
      <c r="W230" s="4"/>
      <c r="X230" s="18"/>
      <c r="Y230" s="48"/>
      <c r="Z230" s="48"/>
      <c r="AA230" s="20"/>
      <c r="AB230" s="48"/>
      <c r="AC230" s="48"/>
      <c r="AD230" s="7"/>
      <c r="AE230" s="84"/>
      <c r="AF230" s="84"/>
      <c r="AG230" s="84"/>
    </row>
    <row r="231" spans="1:33" s="37" customFormat="1" ht="12.75" x14ac:dyDescent="0.2">
      <c r="A231" s="13">
        <f t="shared" si="5"/>
        <v>23</v>
      </c>
      <c r="B231" s="11"/>
      <c r="C231" s="1"/>
      <c r="D231" s="114"/>
      <c r="E231" s="13"/>
      <c r="F231" s="18"/>
      <c r="G231" s="1"/>
      <c r="H231" s="60"/>
      <c r="I231" s="2"/>
      <c r="J231" s="3"/>
      <c r="K231" s="3"/>
      <c r="L231" s="3"/>
      <c r="M231" s="3"/>
      <c r="N231" s="84"/>
      <c r="O231" s="79"/>
      <c r="P231" s="3"/>
      <c r="Q231" s="4"/>
      <c r="R231" s="2"/>
      <c r="S231" s="51"/>
      <c r="T231" s="51"/>
      <c r="U231" s="129"/>
      <c r="V231" s="3"/>
      <c r="W231" s="4"/>
      <c r="X231" s="18"/>
      <c r="Y231" s="48"/>
      <c r="Z231" s="48"/>
      <c r="AA231" s="20"/>
      <c r="AB231" s="48"/>
      <c r="AC231" s="48"/>
      <c r="AD231" s="7"/>
      <c r="AE231" s="84"/>
      <c r="AF231" s="84"/>
      <c r="AG231" s="84"/>
    </row>
    <row r="232" spans="1:33" s="37" customFormat="1" ht="12.75" x14ac:dyDescent="0.2">
      <c r="A232" s="13">
        <f t="shared" si="5"/>
        <v>23</v>
      </c>
      <c r="B232" s="11"/>
      <c r="C232" s="1"/>
      <c r="D232" s="114"/>
      <c r="E232" s="13"/>
      <c r="F232" s="18"/>
      <c r="G232" s="1"/>
      <c r="H232" s="60"/>
      <c r="I232" s="2"/>
      <c r="J232" s="3"/>
      <c r="K232" s="3"/>
      <c r="L232" s="3"/>
      <c r="M232" s="3"/>
      <c r="N232" s="84"/>
      <c r="O232" s="79"/>
      <c r="P232" s="3"/>
      <c r="Q232" s="4"/>
      <c r="R232" s="2"/>
      <c r="S232" s="51"/>
      <c r="T232" s="51"/>
      <c r="U232" s="129"/>
      <c r="V232" s="3"/>
      <c r="W232" s="4"/>
      <c r="X232" s="18"/>
      <c r="Y232" s="48"/>
      <c r="Z232" s="48"/>
      <c r="AA232" s="20"/>
      <c r="AB232" s="48"/>
      <c r="AC232" s="48"/>
      <c r="AD232" s="7"/>
      <c r="AE232" s="84"/>
      <c r="AF232" s="84"/>
      <c r="AG232" s="84"/>
    </row>
    <row r="233" spans="1:33" s="37" customFormat="1" ht="12.75" x14ac:dyDescent="0.2">
      <c r="A233" s="13">
        <f t="shared" si="5"/>
        <v>23</v>
      </c>
      <c r="B233" s="11"/>
      <c r="C233" s="1"/>
      <c r="D233" s="114"/>
      <c r="E233" s="13"/>
      <c r="F233" s="18"/>
      <c r="G233" s="1"/>
      <c r="H233" s="60"/>
      <c r="I233" s="2"/>
      <c r="J233" s="3"/>
      <c r="K233" s="3"/>
      <c r="L233" s="3"/>
      <c r="M233" s="3"/>
      <c r="N233" s="84"/>
      <c r="O233" s="79"/>
      <c r="P233" s="3"/>
      <c r="Q233" s="4"/>
      <c r="R233" s="2"/>
      <c r="S233" s="51"/>
      <c r="T233" s="51"/>
      <c r="U233" s="129"/>
      <c r="V233" s="3"/>
      <c r="W233" s="4"/>
      <c r="X233" s="18"/>
      <c r="Y233" s="48"/>
      <c r="Z233" s="48"/>
      <c r="AA233" s="20"/>
      <c r="AB233" s="48"/>
      <c r="AC233" s="48"/>
      <c r="AD233" s="7"/>
      <c r="AE233" s="84"/>
      <c r="AF233" s="84"/>
      <c r="AG233" s="84"/>
    </row>
    <row r="234" spans="1:33" s="37" customFormat="1" ht="12.75" x14ac:dyDescent="0.2">
      <c r="A234" s="13">
        <f t="shared" si="5"/>
        <v>23</v>
      </c>
      <c r="B234" s="11"/>
      <c r="C234" s="1"/>
      <c r="D234" s="114"/>
      <c r="E234" s="13"/>
      <c r="F234" s="18"/>
      <c r="G234" s="1"/>
      <c r="H234" s="60"/>
      <c r="I234" s="2"/>
      <c r="J234" s="3"/>
      <c r="K234" s="3"/>
      <c r="L234" s="3"/>
      <c r="M234" s="3"/>
      <c r="N234" s="84"/>
      <c r="O234" s="79"/>
      <c r="P234" s="3"/>
      <c r="Q234" s="4"/>
      <c r="R234" s="2"/>
      <c r="S234" s="51"/>
      <c r="T234" s="51"/>
      <c r="U234" s="129"/>
      <c r="V234" s="3"/>
      <c r="W234" s="4"/>
      <c r="X234" s="18"/>
      <c r="Y234" s="48"/>
      <c r="Z234" s="48"/>
      <c r="AA234" s="20"/>
      <c r="AB234" s="48"/>
      <c r="AC234" s="48"/>
      <c r="AD234" s="7"/>
      <c r="AE234" s="84"/>
      <c r="AF234" s="84"/>
      <c r="AG234" s="84"/>
    </row>
    <row r="235" spans="1:33" s="37" customFormat="1" ht="12.75" x14ac:dyDescent="0.2">
      <c r="A235" s="13">
        <f t="shared" si="5"/>
        <v>23</v>
      </c>
      <c r="B235" s="11"/>
      <c r="C235" s="1"/>
      <c r="D235" s="13"/>
      <c r="E235" s="13"/>
      <c r="F235" s="2"/>
      <c r="G235" s="1"/>
      <c r="H235" s="50"/>
      <c r="I235" s="51"/>
      <c r="J235" s="51"/>
      <c r="K235" s="51"/>
      <c r="L235" s="51"/>
      <c r="M235" s="51"/>
      <c r="N235" s="51"/>
      <c r="O235" s="51"/>
      <c r="P235" s="51"/>
      <c r="Q235" s="51"/>
      <c r="R235" s="2"/>
      <c r="S235" s="51"/>
      <c r="T235" s="51"/>
      <c r="U235" s="50"/>
      <c r="V235" s="51"/>
      <c r="W235" s="51"/>
      <c r="X235" s="50"/>
      <c r="Y235" s="50"/>
      <c r="Z235" s="50"/>
      <c r="AA235" s="257"/>
      <c r="AB235" s="50"/>
      <c r="AC235" s="50"/>
      <c r="AD235" s="51"/>
      <c r="AE235" s="51"/>
      <c r="AF235" s="51"/>
      <c r="AG235" s="2"/>
    </row>
    <row r="236" spans="1:33" s="37" customFormat="1" ht="12.75" x14ac:dyDescent="0.2">
      <c r="A236" s="13">
        <f t="shared" si="5"/>
        <v>23</v>
      </c>
      <c r="B236" s="11"/>
      <c r="C236" s="1"/>
      <c r="D236" s="114"/>
      <c r="E236" s="13"/>
      <c r="F236" s="18"/>
      <c r="G236" s="1"/>
      <c r="H236" s="60"/>
      <c r="I236" s="2"/>
      <c r="J236" s="3"/>
      <c r="K236" s="3"/>
      <c r="L236" s="3"/>
      <c r="M236" s="3"/>
      <c r="N236" s="84"/>
      <c r="O236" s="79"/>
      <c r="P236" s="3"/>
      <c r="Q236" s="4"/>
      <c r="R236" s="84"/>
      <c r="S236" s="87"/>
      <c r="T236" s="6"/>
      <c r="U236" s="129"/>
      <c r="V236" s="3"/>
      <c r="W236" s="4"/>
      <c r="X236" s="18"/>
      <c r="Y236" s="48"/>
      <c r="Z236" s="48"/>
      <c r="AA236" s="20"/>
      <c r="AB236" s="48"/>
      <c r="AC236" s="48"/>
      <c r="AD236" s="7"/>
      <c r="AE236" s="84"/>
      <c r="AF236" s="84"/>
      <c r="AG236" s="84"/>
    </row>
    <row r="237" spans="1:33" s="37" customFormat="1" ht="12.75" x14ac:dyDescent="0.2">
      <c r="A237" s="13">
        <f t="shared" si="5"/>
        <v>23</v>
      </c>
      <c r="B237" s="11"/>
      <c r="C237" s="1"/>
      <c r="D237" s="114"/>
      <c r="E237" s="13"/>
      <c r="F237" s="18"/>
      <c r="G237" s="1"/>
      <c r="H237" s="60"/>
      <c r="I237" s="2"/>
      <c r="J237" s="3"/>
      <c r="K237" s="3"/>
      <c r="L237" s="3"/>
      <c r="M237" s="3"/>
      <c r="N237" s="84"/>
      <c r="O237" s="79"/>
      <c r="P237" s="3"/>
      <c r="Q237" s="4"/>
      <c r="R237" s="84"/>
      <c r="S237" s="87"/>
      <c r="T237" s="6"/>
      <c r="U237" s="129"/>
      <c r="V237" s="3"/>
      <c r="W237" s="4"/>
      <c r="X237" s="18"/>
      <c r="Y237" s="48"/>
      <c r="Z237" s="48"/>
      <c r="AA237" s="20"/>
      <c r="AB237" s="48"/>
      <c r="AC237" s="48"/>
      <c r="AD237" s="7"/>
      <c r="AE237" s="84"/>
      <c r="AF237" s="84"/>
      <c r="AG237" s="84"/>
    </row>
    <row r="238" spans="1:33" s="37" customFormat="1" ht="12.75" x14ac:dyDescent="0.2">
      <c r="A238" s="13">
        <f t="shared" si="5"/>
        <v>23</v>
      </c>
      <c r="B238" s="11"/>
      <c r="C238" s="1"/>
      <c r="D238" s="114"/>
      <c r="E238" s="13"/>
      <c r="F238" s="18"/>
      <c r="G238" s="1"/>
      <c r="H238" s="60"/>
      <c r="I238" s="2"/>
      <c r="J238" s="3"/>
      <c r="K238" s="3"/>
      <c r="L238" s="3"/>
      <c r="M238" s="3"/>
      <c r="N238" s="84"/>
      <c r="O238" s="79"/>
      <c r="P238" s="3"/>
      <c r="Q238" s="4"/>
      <c r="R238" s="84"/>
      <c r="S238" s="87"/>
      <c r="T238" s="6"/>
      <c r="U238" s="129"/>
      <c r="V238" s="3"/>
      <c r="W238" s="4"/>
      <c r="X238" s="18"/>
      <c r="Y238" s="48"/>
      <c r="Z238" s="48"/>
      <c r="AA238" s="20"/>
      <c r="AB238" s="48"/>
      <c r="AC238" s="48"/>
      <c r="AD238" s="7"/>
      <c r="AE238" s="84"/>
      <c r="AF238" s="84"/>
      <c r="AG238" s="84"/>
    </row>
    <row r="239" spans="1:33" s="37" customFormat="1" ht="30.75" customHeight="1" x14ac:dyDescent="0.2">
      <c r="A239" s="13">
        <f t="shared" si="5"/>
        <v>24</v>
      </c>
      <c r="B239" s="11">
        <v>24</v>
      </c>
      <c r="C239" s="154" t="s">
        <v>150</v>
      </c>
      <c r="D239" s="13">
        <v>4</v>
      </c>
      <c r="E239" s="13">
        <v>86</v>
      </c>
      <c r="F239" s="18">
        <v>268</v>
      </c>
      <c r="G239" s="1" t="s">
        <v>438</v>
      </c>
      <c r="H239" s="60">
        <v>236.5</v>
      </c>
      <c r="I239" s="13"/>
      <c r="J239" s="5"/>
      <c r="K239" s="5"/>
      <c r="L239" s="4"/>
      <c r="M239" s="4"/>
      <c r="N239" s="1" t="s">
        <v>145</v>
      </c>
      <c r="O239" s="5">
        <v>2</v>
      </c>
      <c r="P239" s="3"/>
      <c r="Q239" s="4"/>
      <c r="R239" s="47" t="s">
        <v>340</v>
      </c>
      <c r="S239" s="136" t="s">
        <v>53</v>
      </c>
      <c r="T239" s="6">
        <v>26</v>
      </c>
      <c r="U239" s="17"/>
      <c r="V239" s="3"/>
      <c r="W239" s="4"/>
      <c r="X239" s="13"/>
      <c r="Y239" s="48"/>
      <c r="Z239" s="48"/>
      <c r="AA239" s="20"/>
      <c r="AB239" s="48"/>
      <c r="AC239" s="48"/>
      <c r="AD239" s="7"/>
      <c r="AE239" s="1" t="s">
        <v>658</v>
      </c>
      <c r="AF239" s="1"/>
      <c r="AG239" s="1"/>
    </row>
    <row r="240" spans="1:33" s="37" customFormat="1" ht="38.25" x14ac:dyDescent="0.2">
      <c r="A240" s="13">
        <f t="shared" si="5"/>
        <v>24</v>
      </c>
      <c r="B240" s="11"/>
      <c r="C240" s="138" t="s">
        <v>151</v>
      </c>
      <c r="D240" s="13"/>
      <c r="E240" s="13"/>
      <c r="F240" s="18"/>
      <c r="G240" s="1" t="s">
        <v>453</v>
      </c>
      <c r="H240" s="60">
        <v>6.5</v>
      </c>
      <c r="I240" s="13"/>
      <c r="J240" s="5"/>
      <c r="K240" s="5"/>
      <c r="L240" s="4"/>
      <c r="M240" s="4"/>
      <c r="N240" s="1" t="s">
        <v>741</v>
      </c>
      <c r="O240" s="5">
        <v>1</v>
      </c>
      <c r="P240" s="3"/>
      <c r="Q240" s="4"/>
      <c r="R240" s="47" t="s">
        <v>96</v>
      </c>
      <c r="S240" s="136" t="s">
        <v>53</v>
      </c>
      <c r="T240" s="6">
        <v>37</v>
      </c>
      <c r="U240" s="17"/>
      <c r="V240" s="3"/>
      <c r="W240" s="4"/>
      <c r="X240" s="13" t="s">
        <v>63</v>
      </c>
      <c r="Y240" s="48" t="s">
        <v>55</v>
      </c>
      <c r="Z240" s="48" t="s">
        <v>56</v>
      </c>
      <c r="AA240" s="20" t="s">
        <v>57</v>
      </c>
      <c r="AB240" s="48" t="s">
        <v>63</v>
      </c>
      <c r="AC240" s="20" t="s">
        <v>206</v>
      </c>
      <c r="AD240" s="7"/>
      <c r="AE240" s="1" t="s">
        <v>481</v>
      </c>
      <c r="AF240" s="1"/>
      <c r="AG240" s="1"/>
    </row>
    <row r="241" spans="1:33" s="37" customFormat="1" ht="25.5" x14ac:dyDescent="0.2">
      <c r="A241" s="13">
        <f t="shared" si="5"/>
        <v>24</v>
      </c>
      <c r="B241" s="11"/>
      <c r="C241" s="21" t="s">
        <v>152</v>
      </c>
      <c r="D241" s="13"/>
      <c r="E241" s="13"/>
      <c r="F241" s="18"/>
      <c r="G241" s="1"/>
      <c r="H241" s="60"/>
      <c r="I241" s="13"/>
      <c r="J241" s="5"/>
      <c r="K241" s="5"/>
      <c r="L241" s="4"/>
      <c r="M241" s="4"/>
      <c r="N241" s="1" t="s">
        <v>740</v>
      </c>
      <c r="O241" s="5">
        <v>1</v>
      </c>
      <c r="P241" s="3"/>
      <c r="Q241" s="4"/>
      <c r="R241" s="47" t="s">
        <v>482</v>
      </c>
      <c r="S241" s="136" t="s">
        <v>53</v>
      </c>
      <c r="T241" s="6">
        <v>6.15</v>
      </c>
      <c r="U241" s="17"/>
      <c r="V241" s="3"/>
      <c r="W241" s="4"/>
      <c r="X241" s="13" t="s">
        <v>63</v>
      </c>
      <c r="Y241" s="48" t="s">
        <v>63</v>
      </c>
      <c r="Z241" s="48" t="s">
        <v>56</v>
      </c>
      <c r="AA241" s="20" t="s">
        <v>170</v>
      </c>
      <c r="AB241" s="48" t="s">
        <v>63</v>
      </c>
      <c r="AC241" s="48"/>
      <c r="AD241" s="7"/>
      <c r="AE241" s="2" t="s">
        <v>296</v>
      </c>
      <c r="AF241" s="2"/>
      <c r="AG241" s="2"/>
    </row>
    <row r="242" spans="1:33" s="37" customFormat="1" ht="25.5" x14ac:dyDescent="0.2">
      <c r="A242" s="13">
        <f t="shared" si="5"/>
        <v>24</v>
      </c>
      <c r="B242" s="11"/>
      <c r="C242" s="153" t="s">
        <v>153</v>
      </c>
      <c r="D242" s="13"/>
      <c r="E242" s="13"/>
      <c r="F242" s="18"/>
      <c r="G242" s="1"/>
      <c r="H242" s="60"/>
      <c r="I242" s="13"/>
      <c r="J242" s="5"/>
      <c r="K242" s="5"/>
      <c r="L242" s="140"/>
      <c r="M242" s="5"/>
      <c r="N242" s="140" t="s">
        <v>155</v>
      </c>
      <c r="O242" s="5">
        <v>1</v>
      </c>
      <c r="P242" s="141"/>
      <c r="Q242" s="141"/>
      <c r="R242" s="140" t="s">
        <v>302</v>
      </c>
      <c r="S242" s="136" t="s">
        <v>53</v>
      </c>
      <c r="T242" s="6">
        <v>87.1</v>
      </c>
      <c r="U242" s="17"/>
      <c r="V242" s="3"/>
      <c r="W242" s="4"/>
      <c r="X242" s="13" t="s">
        <v>63</v>
      </c>
      <c r="Y242" s="48" t="s">
        <v>55</v>
      </c>
      <c r="Z242" s="48" t="s">
        <v>56</v>
      </c>
      <c r="AA242" s="20" t="s">
        <v>57</v>
      </c>
      <c r="AB242" s="48" t="s">
        <v>63</v>
      </c>
      <c r="AC242" s="20" t="s">
        <v>338</v>
      </c>
      <c r="AD242" s="7"/>
      <c r="AE242" s="12" t="s">
        <v>111</v>
      </c>
      <c r="AF242" s="12"/>
      <c r="AG242" s="12"/>
    </row>
    <row r="243" spans="1:33" s="37" customFormat="1" ht="38.25" x14ac:dyDescent="0.2">
      <c r="A243" s="13">
        <f t="shared" si="5"/>
        <v>24</v>
      </c>
      <c r="B243" s="11"/>
      <c r="C243" s="153" t="s">
        <v>659</v>
      </c>
      <c r="D243" s="13"/>
      <c r="E243" s="13"/>
      <c r="F243" s="18"/>
      <c r="G243" s="1"/>
      <c r="H243" s="60"/>
      <c r="I243" s="13"/>
      <c r="J243" s="5"/>
      <c r="K243" s="5"/>
      <c r="L243" s="140"/>
      <c r="M243" s="5"/>
      <c r="N243" s="140" t="s">
        <v>156</v>
      </c>
      <c r="O243" s="5">
        <v>1</v>
      </c>
      <c r="P243" s="141"/>
      <c r="Q243" s="141"/>
      <c r="R243" s="140" t="s">
        <v>96</v>
      </c>
      <c r="S243" s="136" t="s">
        <v>53</v>
      </c>
      <c r="T243" s="6">
        <v>8.41</v>
      </c>
      <c r="U243" s="17"/>
      <c r="V243" s="3"/>
      <c r="W243" s="4"/>
      <c r="X243" s="13" t="s">
        <v>63</v>
      </c>
      <c r="Y243" s="48" t="s">
        <v>55</v>
      </c>
      <c r="Z243" s="48" t="s">
        <v>56</v>
      </c>
      <c r="AA243" s="20" t="s">
        <v>57</v>
      </c>
      <c r="AB243" s="48" t="s">
        <v>63</v>
      </c>
      <c r="AC243" s="20" t="s">
        <v>206</v>
      </c>
      <c r="AD243" s="7"/>
      <c r="AE243" s="21" t="s">
        <v>483</v>
      </c>
      <c r="AF243" s="21"/>
      <c r="AG243" s="21"/>
    </row>
    <row r="244" spans="1:33" s="37" customFormat="1" ht="63.75" x14ac:dyDescent="0.2">
      <c r="A244" s="13">
        <f t="shared" si="5"/>
        <v>24</v>
      </c>
      <c r="B244" s="11"/>
      <c r="C244" s="138"/>
      <c r="D244" s="13"/>
      <c r="E244" s="13"/>
      <c r="F244" s="18"/>
      <c r="G244" s="1"/>
      <c r="H244" s="60"/>
      <c r="I244" s="13"/>
      <c r="J244" s="140"/>
      <c r="K244" s="5"/>
      <c r="L244" s="4"/>
      <c r="M244" s="4"/>
      <c r="N244" s="140" t="s">
        <v>89</v>
      </c>
      <c r="O244" s="5">
        <v>1</v>
      </c>
      <c r="P244" s="141"/>
      <c r="Q244" s="141"/>
      <c r="R244" s="140" t="s">
        <v>52</v>
      </c>
      <c r="S244" s="136" t="s">
        <v>53</v>
      </c>
      <c r="T244" s="6">
        <v>10.199999999999999</v>
      </c>
      <c r="U244" s="17"/>
      <c r="V244" s="3"/>
      <c r="W244" s="4"/>
      <c r="X244" s="13" t="s">
        <v>63</v>
      </c>
      <c r="Y244" s="48" t="s">
        <v>55</v>
      </c>
      <c r="Z244" s="48" t="s">
        <v>56</v>
      </c>
      <c r="AA244" s="20" t="s">
        <v>57</v>
      </c>
      <c r="AB244" s="48" t="s">
        <v>63</v>
      </c>
      <c r="AC244" s="20" t="s">
        <v>206</v>
      </c>
      <c r="AD244" s="7"/>
      <c r="AE244" s="1" t="s">
        <v>484</v>
      </c>
      <c r="AF244" s="1"/>
      <c r="AG244" s="1"/>
    </row>
    <row r="245" spans="1:33" s="37" customFormat="1" ht="32.25" customHeight="1" x14ac:dyDescent="0.2">
      <c r="A245" s="13">
        <f t="shared" si="5"/>
        <v>24</v>
      </c>
      <c r="B245" s="11"/>
      <c r="C245" s="1"/>
      <c r="D245" s="13"/>
      <c r="E245" s="13"/>
      <c r="F245" s="18"/>
      <c r="G245" s="1"/>
      <c r="H245" s="60"/>
      <c r="I245" s="13"/>
      <c r="J245" s="5"/>
      <c r="K245" s="5"/>
      <c r="L245" s="4"/>
      <c r="M245" s="4"/>
      <c r="N245" s="140"/>
      <c r="O245" s="5"/>
      <c r="P245" s="141"/>
      <c r="Q245" s="141"/>
      <c r="R245" s="140" t="s">
        <v>329</v>
      </c>
      <c r="S245" s="136" t="s">
        <v>53</v>
      </c>
      <c r="T245" s="6">
        <v>6.09</v>
      </c>
      <c r="U245" s="17"/>
      <c r="V245" s="3"/>
      <c r="W245" s="4"/>
      <c r="X245" s="13" t="s">
        <v>63</v>
      </c>
      <c r="Y245" s="48" t="s">
        <v>63</v>
      </c>
      <c r="Z245" s="48" t="s">
        <v>56</v>
      </c>
      <c r="AA245" s="20" t="s">
        <v>57</v>
      </c>
      <c r="AB245" s="48" t="s">
        <v>63</v>
      </c>
      <c r="AC245" s="20"/>
      <c r="AD245" s="7"/>
      <c r="AE245" s="1"/>
      <c r="AF245" s="1"/>
      <c r="AG245" s="1"/>
    </row>
    <row r="246" spans="1:33" s="37" customFormat="1" ht="32.25" customHeight="1" x14ac:dyDescent="0.2">
      <c r="A246" s="13">
        <f t="shared" si="5"/>
        <v>24</v>
      </c>
      <c r="B246" s="11"/>
      <c r="C246" s="1"/>
      <c r="D246" s="13"/>
      <c r="E246" s="13"/>
      <c r="F246" s="18"/>
      <c r="G246" s="1"/>
      <c r="H246" s="60"/>
      <c r="I246" s="2"/>
      <c r="J246" s="3"/>
      <c r="K246" s="3"/>
      <c r="L246" s="3"/>
      <c r="M246" s="3"/>
      <c r="N246" s="84"/>
      <c r="O246" s="79"/>
      <c r="P246" s="3"/>
      <c r="Q246" s="4"/>
      <c r="R246" s="84" t="s">
        <v>74</v>
      </c>
      <c r="S246" s="136" t="s">
        <v>53</v>
      </c>
      <c r="T246" s="6">
        <v>4.8</v>
      </c>
      <c r="U246" s="13"/>
      <c r="V246" s="3"/>
      <c r="W246" s="4"/>
      <c r="X246" s="13"/>
      <c r="Y246" s="48"/>
      <c r="Z246" s="48" t="s">
        <v>56</v>
      </c>
      <c r="AA246" s="20" t="s">
        <v>57</v>
      </c>
      <c r="AB246" s="48" t="s">
        <v>63</v>
      </c>
      <c r="AC246" s="20" t="s">
        <v>338</v>
      </c>
      <c r="AD246" s="7"/>
      <c r="AE246" s="1"/>
      <c r="AF246" s="1"/>
      <c r="AG246" s="1"/>
    </row>
    <row r="247" spans="1:33" s="37" customFormat="1" ht="25.5" x14ac:dyDescent="0.2">
      <c r="A247" s="13">
        <f t="shared" si="5"/>
        <v>24</v>
      </c>
      <c r="B247" s="11"/>
      <c r="C247" s="1"/>
      <c r="D247" s="13"/>
      <c r="E247" s="13"/>
      <c r="F247" s="18"/>
      <c r="G247" s="1"/>
      <c r="H247" s="60"/>
      <c r="I247" s="2"/>
      <c r="J247" s="3"/>
      <c r="K247" s="3"/>
      <c r="L247" s="3"/>
      <c r="M247" s="3"/>
      <c r="N247" s="84"/>
      <c r="O247" s="79"/>
      <c r="P247" s="3"/>
      <c r="Q247" s="4"/>
      <c r="R247" s="84" t="s">
        <v>136</v>
      </c>
      <c r="S247" s="136" t="s">
        <v>53</v>
      </c>
      <c r="T247" s="6">
        <v>16.2</v>
      </c>
      <c r="U247" s="13"/>
      <c r="V247" s="3"/>
      <c r="W247" s="4"/>
      <c r="X247" s="13"/>
      <c r="Y247" s="48" t="s">
        <v>55</v>
      </c>
      <c r="Z247" s="48" t="s">
        <v>56</v>
      </c>
      <c r="AA247" s="20" t="s">
        <v>339</v>
      </c>
      <c r="AB247" s="48" t="s">
        <v>66</v>
      </c>
      <c r="AC247" s="48"/>
      <c r="AD247" s="7"/>
      <c r="AE247" s="2"/>
      <c r="AF247" s="2"/>
      <c r="AG247" s="2"/>
    </row>
    <row r="248" spans="1:33" s="37" customFormat="1" ht="32.25" customHeight="1" x14ac:dyDescent="0.2">
      <c r="A248" s="13">
        <f t="shared" si="5"/>
        <v>24</v>
      </c>
      <c r="B248" s="11"/>
      <c r="C248" s="1"/>
      <c r="D248" s="13"/>
      <c r="E248" s="13"/>
      <c r="F248" s="18"/>
      <c r="G248" s="1"/>
      <c r="H248" s="60"/>
      <c r="I248" s="2"/>
      <c r="J248" s="3"/>
      <c r="K248" s="3"/>
      <c r="L248" s="3"/>
      <c r="M248" s="3"/>
      <c r="N248" s="84"/>
      <c r="O248" s="79"/>
      <c r="P248" s="3"/>
      <c r="Q248" s="4"/>
      <c r="R248" s="84" t="s">
        <v>477</v>
      </c>
      <c r="S248" s="136" t="s">
        <v>53</v>
      </c>
      <c r="T248" s="6">
        <v>35.19</v>
      </c>
      <c r="U248" s="17"/>
      <c r="V248" s="3"/>
      <c r="W248" s="4"/>
      <c r="X248" s="13"/>
      <c r="Y248" s="48"/>
      <c r="Z248" s="48"/>
      <c r="AA248" s="20"/>
      <c r="AB248" s="48"/>
      <c r="AC248" s="48"/>
      <c r="AD248" s="7"/>
      <c r="AE248" s="2"/>
      <c r="AF248" s="2"/>
      <c r="AG248" s="2"/>
    </row>
    <row r="249" spans="1:33" s="37" customFormat="1" ht="21" customHeight="1" x14ac:dyDescent="0.2">
      <c r="A249" s="13">
        <f t="shared" si="5"/>
        <v>24</v>
      </c>
      <c r="B249" s="11"/>
      <c r="C249" s="1"/>
      <c r="D249" s="13"/>
      <c r="E249" s="13"/>
      <c r="F249" s="18"/>
      <c r="G249" s="1"/>
      <c r="H249" s="60"/>
      <c r="I249" s="2"/>
      <c r="J249" s="3"/>
      <c r="K249" s="3"/>
      <c r="L249" s="3"/>
      <c r="M249" s="3"/>
      <c r="N249" s="84"/>
      <c r="O249" s="79"/>
      <c r="P249" s="3"/>
      <c r="Q249" s="4"/>
      <c r="R249" s="84" t="s">
        <v>331</v>
      </c>
      <c r="S249" s="136" t="s">
        <v>78</v>
      </c>
      <c r="T249" s="6">
        <v>0.03</v>
      </c>
      <c r="U249" s="17"/>
      <c r="V249" s="3"/>
      <c r="W249" s="4"/>
      <c r="X249" s="13"/>
      <c r="Y249" s="48"/>
      <c r="Z249" s="48"/>
      <c r="AA249" s="20"/>
      <c r="AB249" s="48"/>
      <c r="AC249" s="48"/>
      <c r="AD249" s="7"/>
      <c r="AE249" s="2"/>
      <c r="AF249" s="2"/>
      <c r="AG249" s="2"/>
    </row>
    <row r="250" spans="1:33" s="37" customFormat="1" ht="24" customHeight="1" x14ac:dyDescent="0.2">
      <c r="A250" s="13">
        <f t="shared" si="5"/>
        <v>24</v>
      </c>
      <c r="B250" s="11"/>
      <c r="C250" s="21"/>
      <c r="D250" s="13"/>
      <c r="E250" s="13"/>
      <c r="F250" s="18"/>
      <c r="G250" s="1"/>
      <c r="H250" s="60"/>
      <c r="I250" s="2"/>
      <c r="J250" s="3"/>
      <c r="K250" s="3"/>
      <c r="L250" s="3"/>
      <c r="M250" s="3"/>
      <c r="N250" s="84"/>
      <c r="O250" s="79"/>
      <c r="P250" s="3"/>
      <c r="Q250" s="4"/>
      <c r="R250" s="84" t="s">
        <v>485</v>
      </c>
      <c r="S250" s="136" t="s">
        <v>78</v>
      </c>
      <c r="T250" s="6">
        <v>0.08</v>
      </c>
      <c r="U250" s="17"/>
      <c r="V250" s="3"/>
      <c r="W250" s="4"/>
      <c r="X250" s="13"/>
      <c r="Y250" s="48"/>
      <c r="Z250" s="48"/>
      <c r="AA250" s="20"/>
      <c r="AB250" s="48"/>
      <c r="AC250" s="48"/>
      <c r="AD250" s="7"/>
      <c r="AE250" s="1"/>
      <c r="AF250" s="1"/>
      <c r="AG250" s="1"/>
    </row>
    <row r="251" spans="1:33" s="37" customFormat="1" ht="30.75" customHeight="1" x14ac:dyDescent="0.2">
      <c r="A251" s="13">
        <f t="shared" si="5"/>
        <v>24</v>
      </c>
      <c r="B251" s="11"/>
      <c r="C251" s="1"/>
      <c r="D251" s="13"/>
      <c r="E251" s="13"/>
      <c r="F251" s="18"/>
      <c r="G251" s="1"/>
      <c r="H251" s="60"/>
      <c r="I251" s="2"/>
      <c r="J251" s="3"/>
      <c r="K251" s="3"/>
      <c r="L251" s="3"/>
      <c r="M251" s="3"/>
      <c r="N251" s="84"/>
      <c r="O251" s="79"/>
      <c r="P251" s="3"/>
      <c r="Q251" s="4"/>
      <c r="R251" s="84" t="s">
        <v>486</v>
      </c>
      <c r="S251" s="136" t="s">
        <v>53</v>
      </c>
      <c r="T251" s="6">
        <v>27.37</v>
      </c>
      <c r="U251" s="17"/>
      <c r="V251" s="3"/>
      <c r="W251" s="4"/>
      <c r="X251" s="13"/>
      <c r="Y251" s="48"/>
      <c r="Z251" s="48"/>
      <c r="AA251" s="20"/>
      <c r="AB251" s="48"/>
      <c r="AC251" s="48"/>
      <c r="AD251" s="7"/>
      <c r="AE251" s="1"/>
      <c r="AF251" s="1"/>
      <c r="AG251" s="1"/>
    </row>
    <row r="252" spans="1:33" s="37" customFormat="1" ht="30" customHeight="1" x14ac:dyDescent="0.2">
      <c r="A252" s="13">
        <f t="shared" si="5"/>
        <v>24</v>
      </c>
      <c r="B252" s="11"/>
      <c r="C252" s="1"/>
      <c r="D252" s="13"/>
      <c r="E252" s="13"/>
      <c r="F252" s="18"/>
      <c r="G252" s="1"/>
      <c r="H252" s="60"/>
      <c r="I252" s="2"/>
      <c r="J252" s="3"/>
      <c r="K252" s="3"/>
      <c r="L252" s="3"/>
      <c r="M252" s="3"/>
      <c r="N252" s="84"/>
      <c r="O252" s="79"/>
      <c r="P252" s="3"/>
      <c r="Q252" s="4"/>
      <c r="R252" s="84" t="s">
        <v>427</v>
      </c>
      <c r="S252" s="136" t="s">
        <v>53</v>
      </c>
      <c r="T252" s="6">
        <v>16.2</v>
      </c>
      <c r="U252" s="17"/>
      <c r="V252" s="3"/>
      <c r="W252" s="4"/>
      <c r="X252" s="13"/>
      <c r="Y252" s="48"/>
      <c r="Z252" s="48"/>
      <c r="AA252" s="20"/>
      <c r="AB252" s="48"/>
      <c r="AC252" s="48"/>
      <c r="AD252" s="7"/>
      <c r="AE252" s="1"/>
      <c r="AF252" s="1"/>
      <c r="AG252" s="1"/>
    </row>
    <row r="253" spans="1:33" s="37" customFormat="1" ht="12.75" x14ac:dyDescent="0.2">
      <c r="A253" s="13">
        <f t="shared" si="5"/>
        <v>24</v>
      </c>
      <c r="B253" s="11"/>
      <c r="C253" s="1"/>
      <c r="D253" s="13"/>
      <c r="E253" s="13"/>
      <c r="F253" s="18"/>
      <c r="G253" s="1"/>
      <c r="H253" s="60"/>
      <c r="I253" s="2"/>
      <c r="J253" s="3"/>
      <c r="K253" s="3"/>
      <c r="L253" s="3"/>
      <c r="M253" s="3"/>
      <c r="N253" s="84"/>
      <c r="O253" s="79"/>
      <c r="P253" s="3"/>
      <c r="Q253" s="4"/>
      <c r="R253" s="84"/>
      <c r="S253" s="136"/>
      <c r="T253" s="6"/>
      <c r="U253" s="17"/>
      <c r="V253" s="3"/>
      <c r="W253" s="4"/>
      <c r="X253" s="13"/>
      <c r="Y253" s="48"/>
      <c r="Z253" s="48"/>
      <c r="AA253" s="20"/>
      <c r="AB253" s="48"/>
      <c r="AC253" s="48"/>
      <c r="AD253" s="7"/>
      <c r="AE253" s="2"/>
      <c r="AF253" s="2"/>
      <c r="AG253" s="2"/>
    </row>
    <row r="254" spans="1:33" s="37" customFormat="1" ht="12.75" x14ac:dyDescent="0.2">
      <c r="A254" s="13">
        <f t="shared" si="5"/>
        <v>24</v>
      </c>
      <c r="B254" s="11"/>
      <c r="C254" s="1"/>
      <c r="D254" s="13"/>
      <c r="E254" s="13"/>
      <c r="F254" s="18"/>
      <c r="G254" s="1"/>
      <c r="H254" s="60"/>
      <c r="I254" s="2"/>
      <c r="J254" s="3"/>
      <c r="K254" s="3"/>
      <c r="L254" s="3"/>
      <c r="M254" s="3"/>
      <c r="N254" s="84"/>
      <c r="O254" s="79"/>
      <c r="P254" s="3"/>
      <c r="Q254" s="4"/>
      <c r="R254" s="84"/>
      <c r="S254" s="136"/>
      <c r="T254" s="6"/>
      <c r="U254" s="17"/>
      <c r="V254" s="3"/>
      <c r="W254" s="4"/>
      <c r="X254" s="13"/>
      <c r="Y254" s="48"/>
      <c r="Z254" s="48"/>
      <c r="AA254" s="20"/>
      <c r="AB254" s="48"/>
      <c r="AC254" s="48"/>
      <c r="AD254" s="7"/>
      <c r="AE254" s="2"/>
      <c r="AF254" s="2"/>
      <c r="AG254" s="2"/>
    </row>
    <row r="255" spans="1:33" s="37" customFormat="1" ht="12.75" x14ac:dyDescent="0.2">
      <c r="A255" s="13">
        <f t="shared" si="5"/>
        <v>24</v>
      </c>
      <c r="B255" s="11"/>
      <c r="C255" s="1"/>
      <c r="D255" s="13"/>
      <c r="E255" s="13"/>
      <c r="F255" s="18"/>
      <c r="G255" s="1"/>
      <c r="H255" s="60"/>
      <c r="I255" s="2"/>
      <c r="J255" s="3"/>
      <c r="K255" s="3"/>
      <c r="L255" s="3"/>
      <c r="M255" s="3"/>
      <c r="N255" s="84"/>
      <c r="O255" s="79"/>
      <c r="P255" s="3"/>
      <c r="Q255" s="4"/>
      <c r="R255" s="84"/>
      <c r="S255" s="136"/>
      <c r="T255" s="6"/>
      <c r="U255" s="17"/>
      <c r="V255" s="3"/>
      <c r="W255" s="4"/>
      <c r="X255" s="13"/>
      <c r="Y255" s="48"/>
      <c r="Z255" s="48"/>
      <c r="AA255" s="20"/>
      <c r="AB255" s="48"/>
      <c r="AC255" s="48"/>
      <c r="AD255" s="7"/>
      <c r="AE255" s="2"/>
      <c r="AF255" s="2"/>
      <c r="AG255" s="2"/>
    </row>
    <row r="256" spans="1:33" s="37" customFormat="1" ht="12.75" x14ac:dyDescent="0.2">
      <c r="A256" s="13">
        <f t="shared" si="5"/>
        <v>24</v>
      </c>
      <c r="B256" s="11"/>
      <c r="C256" s="1"/>
      <c r="D256" s="14"/>
      <c r="E256" s="11"/>
      <c r="F256" s="15"/>
      <c r="G256" s="21"/>
      <c r="H256" s="60"/>
      <c r="I256" s="2"/>
      <c r="J256" s="3"/>
      <c r="K256" s="3"/>
      <c r="L256" s="3"/>
      <c r="M256" s="3"/>
      <c r="N256" s="84"/>
      <c r="O256" s="79"/>
      <c r="P256" s="3"/>
      <c r="Q256" s="4"/>
      <c r="R256" s="84"/>
      <c r="S256" s="136"/>
      <c r="T256" s="6"/>
      <c r="U256" s="11"/>
      <c r="V256" s="7"/>
      <c r="W256" s="9"/>
      <c r="X256" s="15"/>
      <c r="Y256" s="49"/>
      <c r="Z256" s="49"/>
      <c r="AA256" s="256"/>
      <c r="AB256" s="49"/>
      <c r="AC256" s="49"/>
      <c r="AD256" s="7"/>
      <c r="AE256" s="12"/>
      <c r="AF256" s="12"/>
      <c r="AG256" s="12"/>
    </row>
    <row r="257" spans="1:33" s="37" customFormat="1" ht="12.75" x14ac:dyDescent="0.2">
      <c r="A257" s="13">
        <f t="shared" si="5"/>
        <v>24</v>
      </c>
      <c r="B257" s="11"/>
      <c r="C257" s="92"/>
      <c r="D257" s="114"/>
      <c r="E257" s="13"/>
      <c r="F257" s="18"/>
      <c r="G257" s="1"/>
      <c r="H257" s="60"/>
      <c r="I257" s="2"/>
      <c r="J257" s="3"/>
      <c r="K257" s="3"/>
      <c r="L257" s="3"/>
      <c r="M257" s="3"/>
      <c r="N257" s="84"/>
      <c r="O257" s="79"/>
      <c r="P257" s="3"/>
      <c r="Q257" s="4"/>
      <c r="R257" s="84"/>
      <c r="S257" s="136"/>
      <c r="T257" s="6"/>
      <c r="U257" s="129"/>
      <c r="V257" s="3"/>
      <c r="W257" s="4"/>
      <c r="X257" s="18"/>
      <c r="Y257" s="48"/>
      <c r="Z257" s="48"/>
      <c r="AA257" s="20"/>
      <c r="AB257" s="48"/>
      <c r="AC257" s="48"/>
      <c r="AD257" s="7"/>
      <c r="AE257" s="2"/>
      <c r="AF257" s="2"/>
      <c r="AG257" s="2"/>
    </row>
    <row r="258" spans="1:33" s="37" customFormat="1" ht="12.75" x14ac:dyDescent="0.2">
      <c r="A258" s="13">
        <f t="shared" si="5"/>
        <v>24</v>
      </c>
      <c r="B258" s="11"/>
      <c r="C258" s="82"/>
      <c r="D258" s="13"/>
      <c r="E258" s="13"/>
      <c r="F258" s="18"/>
      <c r="G258" s="84"/>
      <c r="H258" s="60"/>
      <c r="I258" s="2"/>
      <c r="J258" s="3"/>
      <c r="K258" s="3"/>
      <c r="L258" s="3"/>
      <c r="M258" s="3"/>
      <c r="N258" s="84"/>
      <c r="O258" s="79"/>
      <c r="P258" s="3"/>
      <c r="Q258" s="4"/>
      <c r="R258" s="84"/>
      <c r="S258" s="136"/>
      <c r="T258" s="6"/>
      <c r="U258" s="129"/>
      <c r="V258" s="3"/>
      <c r="W258" s="4"/>
      <c r="X258" s="13"/>
      <c r="Y258" s="48"/>
      <c r="Z258" s="48"/>
      <c r="AA258" s="20"/>
      <c r="AB258" s="48"/>
      <c r="AC258" s="48"/>
      <c r="AD258" s="7"/>
      <c r="AE258" s="2"/>
      <c r="AF258" s="2"/>
      <c r="AG258" s="2"/>
    </row>
    <row r="259" spans="1:33" s="37" customFormat="1" ht="12.75" x14ac:dyDescent="0.2">
      <c r="A259" s="13">
        <f t="shared" si="5"/>
        <v>24</v>
      </c>
      <c r="B259" s="14"/>
      <c r="C259" s="82"/>
      <c r="D259" s="13"/>
      <c r="E259" s="13"/>
      <c r="F259" s="2"/>
      <c r="G259" s="1"/>
      <c r="H259" s="50"/>
      <c r="I259" s="51"/>
      <c r="J259" s="51"/>
      <c r="K259" s="51"/>
      <c r="L259" s="51"/>
      <c r="M259" s="51"/>
      <c r="N259" s="51"/>
      <c r="O259" s="51"/>
      <c r="P259" s="51"/>
      <c r="Q259" s="51"/>
      <c r="R259" s="2"/>
      <c r="S259" s="51"/>
      <c r="T259" s="51"/>
      <c r="U259" s="50"/>
      <c r="V259" s="51"/>
      <c r="W259" s="51"/>
      <c r="X259" s="50"/>
      <c r="Y259" s="50"/>
      <c r="Z259" s="50"/>
      <c r="AA259" s="257"/>
      <c r="AB259" s="50"/>
      <c r="AC259" s="50"/>
      <c r="AD259" s="51"/>
      <c r="AE259" s="51"/>
      <c r="AF259" s="51"/>
      <c r="AG259" s="2"/>
    </row>
    <row r="260" spans="1:33" s="37" customFormat="1" ht="12.75" x14ac:dyDescent="0.2">
      <c r="A260" s="13">
        <f t="shared" si="5"/>
        <v>24</v>
      </c>
      <c r="B260" s="14"/>
      <c r="C260" s="82"/>
      <c r="D260" s="13"/>
      <c r="E260" s="13"/>
      <c r="F260" s="18"/>
      <c r="G260" s="84"/>
      <c r="H260" s="60"/>
      <c r="I260" s="2"/>
      <c r="J260" s="3"/>
      <c r="K260" s="3"/>
      <c r="L260" s="3"/>
      <c r="M260" s="3"/>
      <c r="N260" s="84"/>
      <c r="O260" s="79"/>
      <c r="P260" s="3"/>
      <c r="Q260" s="4"/>
      <c r="R260" s="84"/>
      <c r="S260" s="137"/>
      <c r="T260" s="6"/>
      <c r="U260" s="129"/>
      <c r="V260" s="3"/>
      <c r="W260" s="4"/>
      <c r="X260" s="13"/>
      <c r="Y260" s="48"/>
      <c r="Z260" s="48"/>
      <c r="AA260" s="20"/>
      <c r="AB260" s="48"/>
      <c r="AC260" s="48"/>
      <c r="AD260" s="7"/>
      <c r="AE260" s="2"/>
      <c r="AF260" s="2"/>
      <c r="AG260" s="2"/>
    </row>
    <row r="261" spans="1:33" s="37" customFormat="1" ht="12.75" x14ac:dyDescent="0.2">
      <c r="A261" s="13">
        <f t="shared" si="5"/>
        <v>24</v>
      </c>
      <c r="B261" s="14"/>
      <c r="C261" s="82"/>
      <c r="D261" s="13"/>
      <c r="E261" s="13"/>
      <c r="F261" s="18"/>
      <c r="G261" s="84"/>
      <c r="H261" s="60"/>
      <c r="I261" s="2"/>
      <c r="J261" s="3"/>
      <c r="K261" s="3"/>
      <c r="L261" s="3"/>
      <c r="M261" s="3"/>
      <c r="N261" s="84"/>
      <c r="O261" s="79"/>
      <c r="P261" s="3"/>
      <c r="Q261" s="4"/>
      <c r="R261" s="84"/>
      <c r="S261" s="137"/>
      <c r="T261" s="6"/>
      <c r="U261" s="129"/>
      <c r="V261" s="3"/>
      <c r="W261" s="4"/>
      <c r="X261" s="13"/>
      <c r="Y261" s="48"/>
      <c r="Z261" s="48"/>
      <c r="AA261" s="20"/>
      <c r="AB261" s="48"/>
      <c r="AC261" s="48"/>
      <c r="AD261" s="7"/>
      <c r="AE261" s="2"/>
      <c r="AF261" s="2"/>
      <c r="AG261" s="2"/>
    </row>
    <row r="262" spans="1:33" s="37" customFormat="1" ht="38.25" x14ac:dyDescent="0.2">
      <c r="A262" s="13">
        <f t="shared" si="5"/>
        <v>25</v>
      </c>
      <c r="B262" s="11">
        <v>25</v>
      </c>
      <c r="C262" s="154" t="s">
        <v>33</v>
      </c>
      <c r="D262" s="13">
        <v>4</v>
      </c>
      <c r="E262" s="13">
        <v>86</v>
      </c>
      <c r="F262" s="18">
        <v>266</v>
      </c>
      <c r="G262" s="1" t="s">
        <v>417</v>
      </c>
      <c r="H262" s="60">
        <v>338.2</v>
      </c>
      <c r="I262" s="13"/>
      <c r="J262" s="5"/>
      <c r="K262" s="5"/>
      <c r="L262" s="4"/>
      <c r="M262" s="4"/>
      <c r="N262" s="1"/>
      <c r="O262" s="5"/>
      <c r="P262" s="3"/>
      <c r="Q262" s="4"/>
      <c r="R262" s="140" t="s">
        <v>1852</v>
      </c>
      <c r="S262" s="155" t="s">
        <v>53</v>
      </c>
      <c r="T262" s="6">
        <v>28.2</v>
      </c>
      <c r="U262" s="17"/>
      <c r="V262" s="3"/>
      <c r="W262" s="4"/>
      <c r="X262" s="13" t="s">
        <v>54</v>
      </c>
      <c r="Y262" s="48" t="s">
        <v>55</v>
      </c>
      <c r="Z262" s="48" t="s">
        <v>56</v>
      </c>
      <c r="AA262" s="20" t="s">
        <v>137</v>
      </c>
      <c r="AB262" s="48" t="s">
        <v>66</v>
      </c>
      <c r="AC262" s="20" t="s">
        <v>430</v>
      </c>
      <c r="AD262" s="7"/>
      <c r="AE262" s="1" t="s">
        <v>660</v>
      </c>
      <c r="AF262" s="1"/>
      <c r="AG262" s="1"/>
    </row>
    <row r="263" spans="1:33" s="37" customFormat="1" ht="31.5" customHeight="1" x14ac:dyDescent="0.2">
      <c r="A263" s="13">
        <f t="shared" si="5"/>
        <v>25</v>
      </c>
      <c r="B263" s="11"/>
      <c r="C263" s="153" t="s">
        <v>157</v>
      </c>
      <c r="D263" s="13"/>
      <c r="E263" s="13"/>
      <c r="F263" s="18"/>
      <c r="G263" s="1" t="s">
        <v>453</v>
      </c>
      <c r="H263" s="60">
        <v>4.3</v>
      </c>
      <c r="I263" s="13"/>
      <c r="J263" s="5"/>
      <c r="K263" s="5"/>
      <c r="L263" s="4"/>
      <c r="M263" s="4"/>
      <c r="N263" s="1"/>
      <c r="O263" s="5"/>
      <c r="P263" s="3"/>
      <c r="Q263" s="4"/>
      <c r="R263" s="47" t="s">
        <v>1853</v>
      </c>
      <c r="S263" s="13" t="s">
        <v>53</v>
      </c>
      <c r="T263" s="6">
        <v>3</v>
      </c>
      <c r="U263" s="17"/>
      <c r="V263" s="3"/>
      <c r="W263" s="4"/>
      <c r="X263" s="13"/>
      <c r="Y263" s="48"/>
      <c r="Z263" s="48" t="s">
        <v>56</v>
      </c>
      <c r="AA263" s="20" t="s">
        <v>57</v>
      </c>
      <c r="AB263" s="48" t="s">
        <v>139</v>
      </c>
      <c r="AC263" s="48"/>
      <c r="AD263" s="7"/>
      <c r="AE263" s="1" t="s">
        <v>487</v>
      </c>
      <c r="AF263" s="1"/>
      <c r="AG263" s="1"/>
    </row>
    <row r="264" spans="1:33" s="37" customFormat="1" ht="48.75" customHeight="1" x14ac:dyDescent="0.2">
      <c r="A264" s="13">
        <f t="shared" si="5"/>
        <v>25</v>
      </c>
      <c r="B264" s="11"/>
      <c r="C264" s="138" t="s">
        <v>661</v>
      </c>
      <c r="D264" s="13"/>
      <c r="E264" s="13"/>
      <c r="F264" s="18"/>
      <c r="G264" s="1"/>
      <c r="H264" s="60"/>
      <c r="I264" s="13"/>
      <c r="J264" s="5"/>
      <c r="K264" s="5"/>
      <c r="L264" s="4"/>
      <c r="M264" s="4"/>
      <c r="N264" s="1"/>
      <c r="O264" s="5"/>
      <c r="P264" s="3"/>
      <c r="Q264" s="4"/>
      <c r="R264" s="47" t="s">
        <v>1839</v>
      </c>
      <c r="S264" s="13" t="s">
        <v>53</v>
      </c>
      <c r="T264" s="6">
        <v>4.8</v>
      </c>
      <c r="U264" s="17"/>
      <c r="V264" s="3"/>
      <c r="W264" s="4"/>
      <c r="X264" s="13"/>
      <c r="Y264" s="48"/>
      <c r="Z264" s="48"/>
      <c r="AA264" s="20"/>
      <c r="AB264" s="48"/>
      <c r="AC264" s="48"/>
      <c r="AD264" s="7"/>
      <c r="AE264" s="2" t="s">
        <v>488</v>
      </c>
      <c r="AF264" s="2"/>
      <c r="AG264" s="2"/>
    </row>
    <row r="265" spans="1:33" s="37" customFormat="1" ht="25.5" x14ac:dyDescent="0.2">
      <c r="A265" s="13">
        <f t="shared" si="5"/>
        <v>25</v>
      </c>
      <c r="B265" s="11"/>
      <c r="C265" s="1" t="s">
        <v>304</v>
      </c>
      <c r="D265" s="114"/>
      <c r="E265" s="13"/>
      <c r="F265" s="18"/>
      <c r="G265" s="1"/>
      <c r="H265" s="60"/>
      <c r="I265" s="2"/>
      <c r="J265" s="3"/>
      <c r="K265" s="3"/>
      <c r="L265" s="3"/>
      <c r="M265" s="3"/>
      <c r="N265" s="84"/>
      <c r="O265" s="79"/>
      <c r="P265" s="3"/>
      <c r="Q265" s="4"/>
      <c r="R265" s="84" t="s">
        <v>1748</v>
      </c>
      <c r="S265" s="87" t="s">
        <v>53</v>
      </c>
      <c r="T265" s="6">
        <v>4.8</v>
      </c>
      <c r="U265" s="13"/>
      <c r="V265" s="3"/>
      <c r="W265" s="4"/>
      <c r="X265" s="18"/>
      <c r="Y265" s="48"/>
      <c r="Z265" s="48"/>
      <c r="AA265" s="20"/>
      <c r="AB265" s="48"/>
      <c r="AC265" s="48"/>
      <c r="AD265" s="7"/>
      <c r="AE265" s="2" t="s">
        <v>1677</v>
      </c>
      <c r="AF265" s="2"/>
      <c r="AG265" s="2"/>
    </row>
    <row r="266" spans="1:33" s="37" customFormat="1" ht="67.5" customHeight="1" x14ac:dyDescent="0.2">
      <c r="A266" s="13">
        <f t="shared" si="5"/>
        <v>25</v>
      </c>
      <c r="B266" s="11"/>
      <c r="C266" s="82"/>
      <c r="D266" s="13"/>
      <c r="E266" s="133"/>
      <c r="F266" s="133"/>
      <c r="G266" s="84"/>
      <c r="H266" s="60"/>
      <c r="I266" s="2"/>
      <c r="J266" s="3"/>
      <c r="K266" s="3"/>
      <c r="L266" s="3"/>
      <c r="M266" s="3"/>
      <c r="N266" s="84"/>
      <c r="O266" s="79"/>
      <c r="P266" s="3"/>
      <c r="Q266" s="4"/>
      <c r="R266" s="84" t="s">
        <v>1748</v>
      </c>
      <c r="S266" s="87" t="s">
        <v>53</v>
      </c>
      <c r="T266" s="6">
        <v>6.8</v>
      </c>
      <c r="U266" s="13"/>
      <c r="V266" s="3"/>
      <c r="W266" s="4"/>
      <c r="X266" s="13"/>
      <c r="Y266" s="48"/>
      <c r="Z266" s="48"/>
      <c r="AA266" s="20"/>
      <c r="AB266" s="48"/>
      <c r="AC266" s="48"/>
      <c r="AD266" s="7"/>
      <c r="AE266" s="1" t="s">
        <v>662</v>
      </c>
      <c r="AF266" s="1"/>
      <c r="AG266" s="1"/>
    </row>
    <row r="267" spans="1:33" s="37" customFormat="1" ht="21.75" customHeight="1" x14ac:dyDescent="0.2">
      <c r="A267" s="13">
        <f t="shared" si="5"/>
        <v>25</v>
      </c>
      <c r="B267" s="14"/>
      <c r="C267" s="82"/>
      <c r="D267" s="13"/>
      <c r="E267" s="13"/>
      <c r="F267" s="18"/>
      <c r="G267" s="1"/>
      <c r="H267" s="60"/>
      <c r="I267" s="2"/>
      <c r="J267" s="3"/>
      <c r="K267" s="3"/>
      <c r="L267" s="3"/>
      <c r="M267" s="3"/>
      <c r="N267" s="84"/>
      <c r="O267" s="79"/>
      <c r="P267" s="3"/>
      <c r="Q267" s="4"/>
      <c r="R267" s="84" t="s">
        <v>1749</v>
      </c>
      <c r="S267" s="87" t="s">
        <v>53</v>
      </c>
      <c r="T267" s="6">
        <v>6.8</v>
      </c>
      <c r="U267" s="13"/>
      <c r="V267" s="3"/>
      <c r="W267" s="4"/>
      <c r="X267" s="13"/>
      <c r="Y267" s="48"/>
      <c r="Z267" s="48"/>
      <c r="AA267" s="20"/>
      <c r="AB267" s="48"/>
      <c r="AC267" s="48"/>
      <c r="AD267" s="7"/>
      <c r="AE267" s="2"/>
      <c r="AF267" s="2"/>
      <c r="AG267" s="2"/>
    </row>
    <row r="268" spans="1:33" s="37" customFormat="1" ht="42.75" customHeight="1" x14ac:dyDescent="0.2">
      <c r="A268" s="13">
        <f t="shared" si="5"/>
        <v>25</v>
      </c>
      <c r="B268" s="11"/>
      <c r="C268" s="21"/>
      <c r="D268" s="13"/>
      <c r="E268" s="13"/>
      <c r="F268" s="18"/>
      <c r="G268" s="1"/>
      <c r="H268" s="60"/>
      <c r="I268" s="2"/>
      <c r="J268" s="3"/>
      <c r="K268" s="3"/>
      <c r="L268" s="3"/>
      <c r="M268" s="3"/>
      <c r="N268" s="84"/>
      <c r="O268" s="79"/>
      <c r="P268" s="3"/>
      <c r="Q268" s="4"/>
      <c r="R268" s="84" t="s">
        <v>1854</v>
      </c>
      <c r="S268" s="87" t="s">
        <v>53</v>
      </c>
      <c r="T268" s="6">
        <v>3.57</v>
      </c>
      <c r="U268" s="13"/>
      <c r="V268" s="3"/>
      <c r="W268" s="4"/>
      <c r="X268" s="13"/>
      <c r="Y268" s="48" t="s">
        <v>55</v>
      </c>
      <c r="Z268" s="48" t="s">
        <v>56</v>
      </c>
      <c r="AA268" s="20" t="s">
        <v>57</v>
      </c>
      <c r="AB268" s="48" t="s">
        <v>54</v>
      </c>
      <c r="AC268" s="48"/>
      <c r="AD268" s="7"/>
      <c r="AE268" s="2"/>
      <c r="AF268" s="2"/>
      <c r="AG268" s="2"/>
    </row>
    <row r="269" spans="1:33" s="37" customFormat="1" ht="21.75" customHeight="1" x14ac:dyDescent="0.2">
      <c r="A269" s="13">
        <f t="shared" si="5"/>
        <v>25</v>
      </c>
      <c r="B269" s="11"/>
      <c r="C269" s="1"/>
      <c r="D269" s="13"/>
      <c r="E269" s="13"/>
      <c r="F269" s="18"/>
      <c r="G269" s="1"/>
      <c r="H269" s="60"/>
      <c r="I269" s="2"/>
      <c r="J269" s="3"/>
      <c r="K269" s="3"/>
      <c r="L269" s="3"/>
      <c r="M269" s="3"/>
      <c r="N269" s="84"/>
      <c r="O269" s="79"/>
      <c r="P269" s="3"/>
      <c r="Q269" s="4"/>
      <c r="R269" s="84" t="s">
        <v>1749</v>
      </c>
      <c r="S269" s="87" t="s">
        <v>53</v>
      </c>
      <c r="T269" s="6">
        <v>4.0999999999999996</v>
      </c>
      <c r="U269" s="13"/>
      <c r="V269" s="3"/>
      <c r="W269" s="4"/>
      <c r="X269" s="13"/>
      <c r="Y269" s="48"/>
      <c r="Z269" s="48"/>
      <c r="AA269" s="20"/>
      <c r="AB269" s="48"/>
      <c r="AC269" s="48"/>
      <c r="AD269" s="7"/>
      <c r="AE269" s="2"/>
      <c r="AF269" s="2"/>
      <c r="AG269" s="2"/>
    </row>
    <row r="270" spans="1:33" s="37" customFormat="1" ht="31.5" customHeight="1" x14ac:dyDescent="0.2">
      <c r="A270" s="13">
        <f t="shared" si="5"/>
        <v>25</v>
      </c>
      <c r="B270" s="11"/>
      <c r="C270" s="1"/>
      <c r="D270" s="13"/>
      <c r="E270" s="13"/>
      <c r="F270" s="18"/>
      <c r="G270" s="1"/>
      <c r="H270" s="60"/>
      <c r="I270" s="2"/>
      <c r="J270" s="3"/>
      <c r="K270" s="3"/>
      <c r="L270" s="3"/>
      <c r="M270" s="3"/>
      <c r="N270" s="84"/>
      <c r="O270" s="79"/>
      <c r="P270" s="3"/>
      <c r="Q270" s="4"/>
      <c r="R270" s="84" t="s">
        <v>1855</v>
      </c>
      <c r="S270" s="87" t="s">
        <v>53</v>
      </c>
      <c r="T270" s="6">
        <v>0.96</v>
      </c>
      <c r="U270" s="17"/>
      <c r="V270" s="3"/>
      <c r="W270" s="4"/>
      <c r="X270" s="13"/>
      <c r="Y270" s="48"/>
      <c r="Z270" s="48"/>
      <c r="AA270" s="20"/>
      <c r="AB270" s="48"/>
      <c r="AC270" s="48"/>
      <c r="AD270" s="7"/>
      <c r="AE270" s="2"/>
      <c r="AF270" s="2"/>
      <c r="AG270" s="2"/>
    </row>
    <row r="271" spans="1:33" s="37" customFormat="1" ht="21.75" customHeight="1" x14ac:dyDescent="0.2">
      <c r="A271" s="13">
        <f t="shared" si="5"/>
        <v>25</v>
      </c>
      <c r="B271" s="11"/>
      <c r="C271" s="1"/>
      <c r="D271" s="13"/>
      <c r="E271" s="13"/>
      <c r="F271" s="18"/>
      <c r="G271" s="1"/>
      <c r="H271" s="60"/>
      <c r="I271" s="2"/>
      <c r="J271" s="3"/>
      <c r="K271" s="3"/>
      <c r="L271" s="3"/>
      <c r="M271" s="3"/>
      <c r="N271" s="84"/>
      <c r="O271" s="79"/>
      <c r="P271" s="3"/>
      <c r="Q271" s="4"/>
      <c r="R271" s="84" t="s">
        <v>1856</v>
      </c>
      <c r="S271" s="136" t="s">
        <v>78</v>
      </c>
      <c r="T271" s="6">
        <v>0.36</v>
      </c>
      <c r="U271" s="17"/>
      <c r="V271" s="3"/>
      <c r="W271" s="4"/>
      <c r="X271" s="13"/>
      <c r="Y271" s="48"/>
      <c r="Z271" s="48"/>
      <c r="AA271" s="20"/>
      <c r="AB271" s="48"/>
      <c r="AC271" s="48"/>
      <c r="AD271" s="7"/>
      <c r="AE271" s="2"/>
      <c r="AF271" s="2"/>
      <c r="AG271" s="2"/>
    </row>
    <row r="272" spans="1:33" s="37" customFormat="1" ht="21.75" customHeight="1" x14ac:dyDescent="0.2">
      <c r="A272" s="13">
        <f t="shared" si="5"/>
        <v>25</v>
      </c>
      <c r="B272" s="11"/>
      <c r="C272" s="1"/>
      <c r="D272" s="13"/>
      <c r="E272" s="13"/>
      <c r="F272" s="18"/>
      <c r="G272" s="1"/>
      <c r="H272" s="60"/>
      <c r="I272" s="2"/>
      <c r="J272" s="3"/>
      <c r="K272" s="3"/>
      <c r="L272" s="3"/>
      <c r="M272" s="3"/>
      <c r="N272" s="84"/>
      <c r="O272" s="79"/>
      <c r="P272" s="3"/>
      <c r="Q272" s="4"/>
      <c r="R272" s="84" t="s">
        <v>1857</v>
      </c>
      <c r="S272" s="87" t="s">
        <v>53</v>
      </c>
      <c r="T272" s="6">
        <v>1.05</v>
      </c>
      <c r="U272" s="17"/>
      <c r="V272" s="3"/>
      <c r="W272" s="4"/>
      <c r="X272" s="13"/>
      <c r="Y272" s="48"/>
      <c r="Z272" s="48"/>
      <c r="AA272" s="20"/>
      <c r="AB272" s="48"/>
      <c r="AC272" s="48"/>
      <c r="AD272" s="7"/>
      <c r="AE272" s="2"/>
      <c r="AF272" s="2"/>
      <c r="AG272" s="2"/>
    </row>
    <row r="273" spans="1:33" s="37" customFormat="1" ht="21.75" customHeight="1" x14ac:dyDescent="0.2">
      <c r="A273" s="13">
        <f t="shared" si="5"/>
        <v>25</v>
      </c>
      <c r="B273" s="11"/>
      <c r="C273" s="1"/>
      <c r="D273" s="13"/>
      <c r="E273" s="13"/>
      <c r="F273" s="18"/>
      <c r="G273" s="1"/>
      <c r="H273" s="60"/>
      <c r="I273" s="2"/>
      <c r="J273" s="3"/>
      <c r="K273" s="3"/>
      <c r="L273" s="3"/>
      <c r="M273" s="3"/>
      <c r="N273" s="84"/>
      <c r="O273" s="79"/>
      <c r="P273" s="3"/>
      <c r="Q273" s="4"/>
      <c r="R273" s="84" t="s">
        <v>1757</v>
      </c>
      <c r="S273" s="87" t="s">
        <v>53</v>
      </c>
      <c r="T273" s="6">
        <v>28.2</v>
      </c>
      <c r="U273" s="17"/>
      <c r="V273" s="3"/>
      <c r="W273" s="4"/>
      <c r="X273" s="13"/>
      <c r="Y273" s="48"/>
      <c r="Z273" s="48"/>
      <c r="AA273" s="20"/>
      <c r="AB273" s="48"/>
      <c r="AC273" s="48"/>
      <c r="AD273" s="7"/>
      <c r="AE273" s="2"/>
      <c r="AF273" s="2"/>
      <c r="AG273" s="2"/>
    </row>
    <row r="274" spans="1:33" s="37" customFormat="1" ht="31.5" customHeight="1" x14ac:dyDescent="0.2">
      <c r="A274" s="13">
        <f t="shared" si="5"/>
        <v>25</v>
      </c>
      <c r="B274" s="11"/>
      <c r="C274" s="1"/>
      <c r="D274" s="13"/>
      <c r="E274" s="13"/>
      <c r="F274" s="18"/>
      <c r="G274" s="1"/>
      <c r="H274" s="60"/>
      <c r="I274" s="2"/>
      <c r="J274" s="3"/>
      <c r="K274" s="3"/>
      <c r="L274" s="3"/>
      <c r="M274" s="3"/>
      <c r="N274" s="84"/>
      <c r="O274" s="79"/>
      <c r="P274" s="3"/>
      <c r="Q274" s="4"/>
      <c r="R274" s="140" t="s">
        <v>1858</v>
      </c>
      <c r="S274" s="152" t="s">
        <v>53</v>
      </c>
      <c r="T274" s="6">
        <v>33.18</v>
      </c>
      <c r="U274" s="17"/>
      <c r="V274" s="3"/>
      <c r="W274" s="4"/>
      <c r="X274" s="13"/>
      <c r="Y274" s="48"/>
      <c r="Z274" s="48"/>
      <c r="AA274" s="20"/>
      <c r="AB274" s="48"/>
      <c r="AC274" s="48"/>
      <c r="AD274" s="7"/>
      <c r="AE274" s="2"/>
      <c r="AF274" s="2"/>
      <c r="AG274" s="2"/>
    </row>
    <row r="275" spans="1:33" s="37" customFormat="1" ht="12.75" x14ac:dyDescent="0.2">
      <c r="A275" s="13">
        <f t="shared" si="5"/>
        <v>25</v>
      </c>
      <c r="B275" s="11"/>
      <c r="C275" s="1"/>
      <c r="D275" s="13"/>
      <c r="E275" s="13"/>
      <c r="F275" s="18"/>
      <c r="G275" s="1"/>
      <c r="H275" s="60"/>
      <c r="I275" s="2"/>
      <c r="J275" s="3"/>
      <c r="K275" s="3"/>
      <c r="L275" s="3"/>
      <c r="M275" s="3"/>
      <c r="N275" s="84"/>
      <c r="O275" s="79"/>
      <c r="P275" s="3"/>
      <c r="Q275" s="4"/>
      <c r="R275" s="84"/>
      <c r="S275" s="87"/>
      <c r="T275" s="6"/>
      <c r="U275" s="17"/>
      <c r="V275" s="3"/>
      <c r="W275" s="4"/>
      <c r="X275" s="13"/>
      <c r="Y275" s="48"/>
      <c r="Z275" s="48"/>
      <c r="AA275" s="20"/>
      <c r="AB275" s="48"/>
      <c r="AC275" s="48"/>
      <c r="AD275" s="7"/>
      <c r="AE275" s="2"/>
      <c r="AF275" s="2"/>
      <c r="AG275" s="2"/>
    </row>
    <row r="276" spans="1:33" s="37" customFormat="1" ht="12.75" x14ac:dyDescent="0.2">
      <c r="A276" s="13">
        <f t="shared" si="5"/>
        <v>25</v>
      </c>
      <c r="B276" s="11"/>
      <c r="C276" s="1"/>
      <c r="D276" s="13"/>
      <c r="E276" s="13"/>
      <c r="F276" s="18"/>
      <c r="G276" s="1"/>
      <c r="H276" s="60"/>
      <c r="I276" s="2"/>
      <c r="J276" s="3"/>
      <c r="K276" s="3"/>
      <c r="L276" s="3"/>
      <c r="M276" s="3"/>
      <c r="N276" s="84"/>
      <c r="O276" s="79"/>
      <c r="P276" s="3"/>
      <c r="Q276" s="4"/>
      <c r="R276" s="84"/>
      <c r="S276" s="87"/>
      <c r="T276" s="6"/>
      <c r="U276" s="17"/>
      <c r="V276" s="3"/>
      <c r="W276" s="4"/>
      <c r="X276" s="13"/>
      <c r="Y276" s="48"/>
      <c r="Z276" s="48"/>
      <c r="AA276" s="20"/>
      <c r="AB276" s="48"/>
      <c r="AC276" s="48"/>
      <c r="AD276" s="7"/>
      <c r="AE276" s="2"/>
      <c r="AF276" s="2"/>
      <c r="AG276" s="2"/>
    </row>
    <row r="277" spans="1:33" s="37" customFormat="1" ht="12.75" x14ac:dyDescent="0.2">
      <c r="A277" s="13">
        <f t="shared" si="5"/>
        <v>25</v>
      </c>
      <c r="B277" s="11"/>
      <c r="C277" s="1"/>
      <c r="D277" s="13"/>
      <c r="E277" s="13"/>
      <c r="F277" s="2"/>
      <c r="G277" s="1"/>
      <c r="H277" s="50"/>
      <c r="I277" s="51"/>
      <c r="J277" s="51"/>
      <c r="K277" s="51"/>
      <c r="L277" s="51"/>
      <c r="M277" s="51"/>
      <c r="N277" s="51"/>
      <c r="O277" s="51"/>
      <c r="P277" s="51"/>
      <c r="Q277" s="51"/>
      <c r="R277" s="2"/>
      <c r="S277" s="51"/>
      <c r="T277" s="51"/>
      <c r="U277" s="50"/>
      <c r="V277" s="51"/>
      <c r="W277" s="51"/>
      <c r="X277" s="50"/>
      <c r="Y277" s="50"/>
      <c r="Z277" s="50"/>
      <c r="AA277" s="257"/>
      <c r="AB277" s="50"/>
      <c r="AC277" s="50"/>
      <c r="AD277" s="51"/>
      <c r="AE277" s="51"/>
      <c r="AF277" s="51"/>
      <c r="AG277" s="2"/>
    </row>
    <row r="278" spans="1:33" s="37" customFormat="1" ht="38.25" x14ac:dyDescent="0.2">
      <c r="A278" s="13">
        <f t="shared" si="5"/>
        <v>26</v>
      </c>
      <c r="B278" s="11">
        <v>26</v>
      </c>
      <c r="C278" s="154" t="s">
        <v>33</v>
      </c>
      <c r="D278" s="13"/>
      <c r="E278" s="13">
        <v>86</v>
      </c>
      <c r="F278" s="18">
        <v>257</v>
      </c>
      <c r="G278" s="1" t="s">
        <v>416</v>
      </c>
      <c r="H278" s="60">
        <v>201.5</v>
      </c>
      <c r="I278" s="13"/>
      <c r="J278" s="5"/>
      <c r="K278" s="5"/>
      <c r="L278" s="4"/>
      <c r="M278" s="4"/>
      <c r="N278" s="1" t="s">
        <v>145</v>
      </c>
      <c r="O278" s="5">
        <v>1</v>
      </c>
      <c r="P278" s="3"/>
      <c r="Q278" s="4"/>
      <c r="R278" s="47" t="s">
        <v>407</v>
      </c>
      <c r="S278" s="13" t="s">
        <v>53</v>
      </c>
      <c r="T278" s="6">
        <v>28.2</v>
      </c>
      <c r="U278" s="17"/>
      <c r="V278" s="3"/>
      <c r="W278" s="4"/>
      <c r="X278" s="13"/>
      <c r="Y278" s="48" t="s">
        <v>55</v>
      </c>
      <c r="Z278" s="48" t="s">
        <v>56</v>
      </c>
      <c r="AA278" s="20" t="s">
        <v>137</v>
      </c>
      <c r="AB278" s="48" t="s">
        <v>66</v>
      </c>
      <c r="AC278" s="20" t="s">
        <v>430</v>
      </c>
      <c r="AD278" s="7"/>
      <c r="AE278" s="1" t="s">
        <v>663</v>
      </c>
      <c r="AF278" s="1"/>
      <c r="AG278" s="1"/>
    </row>
    <row r="279" spans="1:33" s="37" customFormat="1" ht="37.5" customHeight="1" x14ac:dyDescent="0.2">
      <c r="A279" s="13">
        <f t="shared" si="5"/>
        <v>26</v>
      </c>
      <c r="B279" s="11"/>
      <c r="C279" s="153" t="s">
        <v>157</v>
      </c>
      <c r="D279" s="13"/>
      <c r="E279" s="13">
        <v>86</v>
      </c>
      <c r="F279" s="18">
        <v>257</v>
      </c>
      <c r="G279" s="1" t="s">
        <v>417</v>
      </c>
      <c r="H279" s="60">
        <v>205.5</v>
      </c>
      <c r="I279" s="13"/>
      <c r="J279" s="5"/>
      <c r="K279" s="5"/>
      <c r="L279" s="4"/>
      <c r="M279" s="4"/>
      <c r="N279" s="1" t="s">
        <v>77</v>
      </c>
      <c r="O279" s="5">
        <v>8</v>
      </c>
      <c r="P279" s="3"/>
      <c r="Q279" s="4"/>
      <c r="R279" s="47" t="s">
        <v>375</v>
      </c>
      <c r="S279" s="13" t="s">
        <v>53</v>
      </c>
      <c r="T279" s="6">
        <v>3</v>
      </c>
      <c r="U279" s="17"/>
      <c r="V279" s="3"/>
      <c r="W279" s="4"/>
      <c r="X279" s="13"/>
      <c r="Y279" s="48"/>
      <c r="Z279" s="48" t="s">
        <v>56</v>
      </c>
      <c r="AA279" s="20" t="s">
        <v>57</v>
      </c>
      <c r="AB279" s="48" t="s">
        <v>54</v>
      </c>
      <c r="AC279" s="48"/>
      <c r="AD279" s="7"/>
      <c r="AE279" s="1" t="s">
        <v>490</v>
      </c>
      <c r="AF279" s="1"/>
      <c r="AG279" s="1"/>
    </row>
    <row r="280" spans="1:33" s="37" customFormat="1" ht="38.25" x14ac:dyDescent="0.2">
      <c r="A280" s="13">
        <f t="shared" si="5"/>
        <v>26</v>
      </c>
      <c r="B280" s="11"/>
      <c r="C280" s="138" t="s">
        <v>661</v>
      </c>
      <c r="D280" s="13"/>
      <c r="E280" s="13"/>
      <c r="F280" s="18"/>
      <c r="G280" s="1" t="s">
        <v>453</v>
      </c>
      <c r="H280" s="60">
        <v>3.3</v>
      </c>
      <c r="I280" s="13"/>
      <c r="J280" s="5"/>
      <c r="K280" s="5"/>
      <c r="L280" s="4"/>
      <c r="M280" s="4"/>
      <c r="N280" s="140" t="s">
        <v>149</v>
      </c>
      <c r="O280" s="5">
        <v>1</v>
      </c>
      <c r="P280" s="141"/>
      <c r="Q280" s="141"/>
      <c r="R280" s="140" t="s">
        <v>71</v>
      </c>
      <c r="S280" s="155" t="s">
        <v>53</v>
      </c>
      <c r="T280" s="6">
        <v>4.8</v>
      </c>
      <c r="U280" s="17"/>
      <c r="V280" s="3"/>
      <c r="W280" s="4"/>
      <c r="X280" s="13"/>
      <c r="Y280" s="48"/>
      <c r="Z280" s="48"/>
      <c r="AA280" s="20"/>
      <c r="AB280" s="48"/>
      <c r="AC280" s="48"/>
      <c r="AD280" s="7"/>
      <c r="AE280" s="2" t="s">
        <v>488</v>
      </c>
      <c r="AF280" s="2"/>
      <c r="AG280" s="2"/>
    </row>
    <row r="281" spans="1:33" s="37" customFormat="1" ht="63.75" x14ac:dyDescent="0.2">
      <c r="A281" s="13">
        <f t="shared" si="5"/>
        <v>26</v>
      </c>
      <c r="B281" s="11"/>
      <c r="C281" s="1" t="s">
        <v>304</v>
      </c>
      <c r="D281" s="13"/>
      <c r="E281" s="13"/>
      <c r="F281" s="18"/>
      <c r="G281" s="1"/>
      <c r="H281" s="60"/>
      <c r="I281" s="13"/>
      <c r="J281" s="5"/>
      <c r="K281" s="5"/>
      <c r="L281" s="4"/>
      <c r="M281" s="4"/>
      <c r="N281" s="140" t="s">
        <v>76</v>
      </c>
      <c r="O281" s="5">
        <v>6</v>
      </c>
      <c r="P281" s="141"/>
      <c r="Q281" s="141"/>
      <c r="R281" s="84" t="s">
        <v>397</v>
      </c>
      <c r="S281" s="152" t="s">
        <v>53</v>
      </c>
      <c r="T281" s="6">
        <v>4.8</v>
      </c>
      <c r="U281" s="17"/>
      <c r="V281" s="3"/>
      <c r="W281" s="4"/>
      <c r="X281" s="13"/>
      <c r="Y281" s="48"/>
      <c r="Z281" s="48"/>
      <c r="AA281" s="20"/>
      <c r="AB281" s="48"/>
      <c r="AC281" s="48"/>
      <c r="AD281" s="7"/>
      <c r="AE281" s="1" t="s">
        <v>491</v>
      </c>
      <c r="AF281" s="1"/>
      <c r="AG281" s="2"/>
    </row>
    <row r="282" spans="1:33" s="37" customFormat="1" ht="25.5" x14ac:dyDescent="0.2">
      <c r="A282" s="13">
        <f t="shared" si="5"/>
        <v>26</v>
      </c>
      <c r="B282" s="11"/>
      <c r="C282" s="138"/>
      <c r="D282" s="13"/>
      <c r="E282" s="13"/>
      <c r="F282" s="18"/>
      <c r="G282" s="1"/>
      <c r="H282" s="60"/>
      <c r="I282" s="2"/>
      <c r="J282" s="3"/>
      <c r="K282" s="3"/>
      <c r="L282" s="3"/>
      <c r="M282" s="3"/>
      <c r="N282" s="84" t="s">
        <v>72</v>
      </c>
      <c r="O282" s="79">
        <v>4</v>
      </c>
      <c r="P282" s="3"/>
      <c r="Q282" s="4"/>
      <c r="R282" s="84" t="s">
        <v>397</v>
      </c>
      <c r="S282" s="87" t="s">
        <v>53</v>
      </c>
      <c r="T282" s="6">
        <v>6.8</v>
      </c>
      <c r="U282" s="17"/>
      <c r="V282" s="3"/>
      <c r="W282" s="4"/>
      <c r="X282" s="13"/>
      <c r="Y282" s="48"/>
      <c r="Z282" s="48"/>
      <c r="AA282" s="20"/>
      <c r="AB282" s="48"/>
      <c r="AC282" s="48"/>
      <c r="AD282" s="7"/>
      <c r="AE282" s="161" t="s">
        <v>1678</v>
      </c>
      <c r="AF282" s="161"/>
      <c r="AG282" s="1"/>
    </row>
    <row r="283" spans="1:33" s="37" customFormat="1" ht="24" customHeight="1" x14ac:dyDescent="0.2">
      <c r="A283" s="13">
        <f t="shared" si="5"/>
        <v>26</v>
      </c>
      <c r="B283" s="11"/>
      <c r="C283" s="1"/>
      <c r="D283" s="13"/>
      <c r="E283" s="13"/>
      <c r="F283" s="18"/>
      <c r="G283" s="1"/>
      <c r="H283" s="60"/>
      <c r="I283" s="2"/>
      <c r="J283" s="3"/>
      <c r="K283" s="3"/>
      <c r="L283" s="3"/>
      <c r="M283" s="3"/>
      <c r="N283" s="84" t="s">
        <v>73</v>
      </c>
      <c r="O283" s="79">
        <v>3</v>
      </c>
      <c r="P283" s="3"/>
      <c r="Q283" s="4"/>
      <c r="R283" s="84" t="s">
        <v>241</v>
      </c>
      <c r="S283" s="87" t="s">
        <v>53</v>
      </c>
      <c r="T283" s="6">
        <v>6.8</v>
      </c>
      <c r="U283" s="17"/>
      <c r="V283" s="3"/>
      <c r="W283" s="4"/>
      <c r="X283" s="13"/>
      <c r="Y283" s="48"/>
      <c r="Z283" s="48"/>
      <c r="AA283" s="20"/>
      <c r="AB283" s="48"/>
      <c r="AC283" s="48"/>
      <c r="AD283" s="7"/>
      <c r="AE283" s="2"/>
      <c r="AF283" s="2"/>
      <c r="AG283" s="2"/>
    </row>
    <row r="284" spans="1:33" s="37" customFormat="1" ht="24" customHeight="1" x14ac:dyDescent="0.2">
      <c r="A284" s="13">
        <f t="shared" si="5"/>
        <v>26</v>
      </c>
      <c r="B284" s="11"/>
      <c r="C284" s="1"/>
      <c r="D284" s="13"/>
      <c r="E284" s="13"/>
      <c r="F284" s="18"/>
      <c r="G284" s="1"/>
      <c r="H284" s="60"/>
      <c r="I284" s="2"/>
      <c r="J284" s="3"/>
      <c r="K284" s="3"/>
      <c r="L284" s="3"/>
      <c r="M284" s="3"/>
      <c r="N284" s="84" t="s">
        <v>75</v>
      </c>
      <c r="O284" s="79">
        <v>6</v>
      </c>
      <c r="P284" s="3"/>
      <c r="Q284" s="4"/>
      <c r="R284" s="84" t="s">
        <v>241</v>
      </c>
      <c r="S284" s="87" t="s">
        <v>53</v>
      </c>
      <c r="T284" s="6">
        <v>8.5</v>
      </c>
      <c r="U284" s="17"/>
      <c r="V284" s="3"/>
      <c r="W284" s="4"/>
      <c r="X284" s="13"/>
      <c r="Y284" s="48"/>
      <c r="Z284" s="48"/>
      <c r="AA284" s="20"/>
      <c r="AB284" s="48"/>
      <c r="AC284" s="48"/>
      <c r="AD284" s="7"/>
      <c r="AE284" s="2"/>
      <c r="AF284" s="2"/>
      <c r="AG284" s="2"/>
    </row>
    <row r="285" spans="1:33" s="37" customFormat="1" ht="24" customHeight="1" x14ac:dyDescent="0.2">
      <c r="A285" s="13">
        <f t="shared" si="5"/>
        <v>26</v>
      </c>
      <c r="B285" s="11"/>
      <c r="C285" s="1"/>
      <c r="D285" s="13"/>
      <c r="E285" s="13"/>
      <c r="F285" s="18"/>
      <c r="G285" s="1"/>
      <c r="H285" s="60"/>
      <c r="I285" s="2"/>
      <c r="J285" s="3"/>
      <c r="K285" s="3"/>
      <c r="L285" s="3"/>
      <c r="M285" s="3"/>
      <c r="N285" s="84" t="s">
        <v>70</v>
      </c>
      <c r="O285" s="79">
        <v>2</v>
      </c>
      <c r="P285" s="3"/>
      <c r="Q285" s="4"/>
      <c r="R285" s="84" t="s">
        <v>376</v>
      </c>
      <c r="S285" s="87" t="s">
        <v>53</v>
      </c>
      <c r="T285" s="6">
        <v>60.06</v>
      </c>
      <c r="U285" s="17"/>
      <c r="V285" s="3"/>
      <c r="W285" s="4"/>
      <c r="X285" s="13"/>
      <c r="Y285" s="48"/>
      <c r="Z285" s="48"/>
      <c r="AA285" s="20"/>
      <c r="AB285" s="48"/>
      <c r="AC285" s="48"/>
      <c r="AD285" s="7"/>
      <c r="AE285" s="2"/>
      <c r="AF285" s="2"/>
      <c r="AG285" s="2"/>
    </row>
    <row r="286" spans="1:33" s="37" customFormat="1" ht="25.5" x14ac:dyDescent="0.2">
      <c r="A286" s="13">
        <f t="shared" si="5"/>
        <v>26</v>
      </c>
      <c r="B286" s="11"/>
      <c r="C286" s="1"/>
      <c r="D286" s="13"/>
      <c r="E286" s="13"/>
      <c r="F286" s="18"/>
      <c r="G286" s="1"/>
      <c r="H286" s="60"/>
      <c r="I286" s="2"/>
      <c r="J286" s="3"/>
      <c r="K286" s="3"/>
      <c r="L286" s="3"/>
      <c r="M286" s="3"/>
      <c r="N286" s="84" t="s">
        <v>133</v>
      </c>
      <c r="O286" s="79">
        <v>1</v>
      </c>
      <c r="P286" s="3"/>
      <c r="Q286" s="4"/>
      <c r="R286" s="84" t="s">
        <v>407</v>
      </c>
      <c r="S286" s="87" t="s">
        <v>53</v>
      </c>
      <c r="T286" s="6">
        <v>36.049999999999997</v>
      </c>
      <c r="U286" s="17"/>
      <c r="V286" s="3"/>
      <c r="W286" s="4"/>
      <c r="X286" s="13"/>
      <c r="Y286" s="48" t="s">
        <v>55</v>
      </c>
      <c r="Z286" s="48" t="s">
        <v>56</v>
      </c>
      <c r="AA286" s="20" t="s">
        <v>137</v>
      </c>
      <c r="AB286" s="48" t="s">
        <v>66</v>
      </c>
      <c r="AC286" s="48"/>
      <c r="AD286" s="7"/>
      <c r="AE286" s="2" t="s">
        <v>492</v>
      </c>
      <c r="AF286" s="2"/>
      <c r="AG286" s="2"/>
    </row>
    <row r="287" spans="1:33" s="37" customFormat="1" ht="17.25" customHeight="1" x14ac:dyDescent="0.2">
      <c r="A287" s="13">
        <f t="shared" si="5"/>
        <v>26</v>
      </c>
      <c r="B287" s="11"/>
      <c r="C287" s="1"/>
      <c r="D287" s="13"/>
      <c r="E287" s="13"/>
      <c r="F287" s="18"/>
      <c r="G287" s="1"/>
      <c r="H287" s="60"/>
      <c r="I287" s="2"/>
      <c r="J287" s="3"/>
      <c r="K287" s="3"/>
      <c r="L287" s="3"/>
      <c r="M287" s="3"/>
      <c r="N287" s="84" t="s">
        <v>165</v>
      </c>
      <c r="O287" s="79">
        <v>3</v>
      </c>
      <c r="P287" s="3"/>
      <c r="Q287" s="4"/>
      <c r="R287" s="84" t="s">
        <v>65</v>
      </c>
      <c r="S287" s="87" t="s">
        <v>53</v>
      </c>
      <c r="T287" s="6">
        <v>17.600000000000001</v>
      </c>
      <c r="U287" s="17"/>
      <c r="V287" s="3"/>
      <c r="W287" s="4"/>
      <c r="X287" s="13"/>
      <c r="Y287" s="48" t="s">
        <v>55</v>
      </c>
      <c r="Z287" s="48" t="s">
        <v>141</v>
      </c>
      <c r="AA287" s="20"/>
      <c r="AB287" s="48" t="s">
        <v>66</v>
      </c>
      <c r="AC287" s="48"/>
      <c r="AD287" s="7"/>
      <c r="AE287" s="2"/>
      <c r="AF287" s="2"/>
      <c r="AG287" s="2"/>
    </row>
    <row r="288" spans="1:33" s="37" customFormat="1" ht="17.25" customHeight="1" x14ac:dyDescent="0.2">
      <c r="A288" s="13">
        <f t="shared" si="5"/>
        <v>26</v>
      </c>
      <c r="B288" s="11"/>
      <c r="C288" s="1"/>
      <c r="D288" s="13"/>
      <c r="E288" s="13"/>
      <c r="F288" s="18"/>
      <c r="G288" s="1"/>
      <c r="H288" s="60"/>
      <c r="I288" s="2"/>
      <c r="J288" s="3"/>
      <c r="K288" s="3"/>
      <c r="L288" s="3"/>
      <c r="M288" s="3"/>
      <c r="N288" s="84" t="s">
        <v>84</v>
      </c>
      <c r="O288" s="79">
        <v>3</v>
      </c>
      <c r="P288" s="3"/>
      <c r="Q288" s="4"/>
      <c r="R288" s="84" t="s">
        <v>65</v>
      </c>
      <c r="S288" s="87" t="s">
        <v>53</v>
      </c>
      <c r="T288" s="6">
        <v>7.2</v>
      </c>
      <c r="U288" s="17"/>
      <c r="V288" s="3"/>
      <c r="W288" s="4"/>
      <c r="X288" s="13"/>
      <c r="Y288" s="48" t="s">
        <v>55</v>
      </c>
      <c r="Z288" s="48" t="s">
        <v>141</v>
      </c>
      <c r="AA288" s="20"/>
      <c r="AB288" s="48" t="s">
        <v>66</v>
      </c>
      <c r="AC288" s="48"/>
      <c r="AD288" s="7"/>
      <c r="AE288" s="2"/>
      <c r="AF288" s="2"/>
      <c r="AG288" s="2"/>
    </row>
    <row r="289" spans="1:33" s="37" customFormat="1" ht="33.75" customHeight="1" x14ac:dyDescent="0.2">
      <c r="A289" s="13">
        <f t="shared" si="5"/>
        <v>26</v>
      </c>
      <c r="B289" s="11"/>
      <c r="C289" s="1"/>
      <c r="D289" s="13"/>
      <c r="E289" s="13"/>
      <c r="F289" s="18"/>
      <c r="G289" s="1"/>
      <c r="H289" s="60"/>
      <c r="I289" s="2"/>
      <c r="J289" s="3"/>
      <c r="K289" s="3"/>
      <c r="L289" s="3"/>
      <c r="M289" s="3"/>
      <c r="N289" s="84" t="s">
        <v>67</v>
      </c>
      <c r="O289" s="79">
        <v>1</v>
      </c>
      <c r="P289" s="3"/>
      <c r="Q289" s="4"/>
      <c r="R289" s="84" t="s">
        <v>282</v>
      </c>
      <c r="S289" s="87" t="s">
        <v>53</v>
      </c>
      <c r="T289" s="6">
        <v>3.15</v>
      </c>
      <c r="U289" s="17"/>
      <c r="V289" s="3"/>
      <c r="W289" s="4"/>
      <c r="X289" s="13"/>
      <c r="Y289" s="48"/>
      <c r="Z289" s="48" t="s">
        <v>56</v>
      </c>
      <c r="AA289" s="20" t="s">
        <v>57</v>
      </c>
      <c r="AB289" s="48" t="s">
        <v>54</v>
      </c>
      <c r="AC289" s="48"/>
      <c r="AD289" s="7"/>
      <c r="AE289" s="2"/>
      <c r="AF289" s="2"/>
      <c r="AG289" s="2"/>
    </row>
    <row r="290" spans="1:33" s="37" customFormat="1" ht="29.25" customHeight="1" x14ac:dyDescent="0.2">
      <c r="A290" s="13">
        <f t="shared" si="5"/>
        <v>26</v>
      </c>
      <c r="B290" s="11"/>
      <c r="C290" s="1"/>
      <c r="D290" s="13"/>
      <c r="E290" s="13"/>
      <c r="F290" s="18"/>
      <c r="G290" s="1"/>
      <c r="H290" s="60"/>
      <c r="I290" s="13"/>
      <c r="J290" s="5"/>
      <c r="K290" s="5"/>
      <c r="L290" s="4"/>
      <c r="M290" s="4"/>
      <c r="N290" s="16" t="s">
        <v>429</v>
      </c>
      <c r="O290" s="19">
        <v>5</v>
      </c>
      <c r="P290" s="3"/>
      <c r="Q290" s="4"/>
      <c r="R290" s="47" t="s">
        <v>241</v>
      </c>
      <c r="S290" s="13" t="s">
        <v>53</v>
      </c>
      <c r="T290" s="6">
        <v>20.8</v>
      </c>
      <c r="U290" s="17"/>
      <c r="V290" s="3"/>
      <c r="W290" s="4"/>
      <c r="X290" s="13"/>
      <c r="Y290" s="48"/>
      <c r="Z290" s="48"/>
      <c r="AA290" s="20"/>
      <c r="AB290" s="48"/>
      <c r="AC290" s="48"/>
      <c r="AD290" s="7"/>
      <c r="AE290" s="2"/>
      <c r="AF290" s="2"/>
      <c r="AG290" s="2"/>
    </row>
    <row r="291" spans="1:33" s="37" customFormat="1" ht="18" customHeight="1" x14ac:dyDescent="0.2">
      <c r="A291" s="13">
        <f t="shared" si="5"/>
        <v>26</v>
      </c>
      <c r="B291" s="11"/>
      <c r="C291" s="1"/>
      <c r="D291" s="13"/>
      <c r="E291" s="11"/>
      <c r="F291" s="15"/>
      <c r="G291" s="21"/>
      <c r="H291" s="60"/>
      <c r="I291" s="12"/>
      <c r="J291" s="7"/>
      <c r="K291" s="7"/>
      <c r="L291" s="7"/>
      <c r="M291" s="7"/>
      <c r="N291" s="84" t="s">
        <v>166</v>
      </c>
      <c r="O291" s="79">
        <v>1</v>
      </c>
      <c r="P291" s="7"/>
      <c r="Q291" s="9"/>
      <c r="R291" s="84" t="s">
        <v>241</v>
      </c>
      <c r="S291" s="87" t="s">
        <v>53</v>
      </c>
      <c r="T291" s="6">
        <v>13.18</v>
      </c>
      <c r="U291" s="128"/>
      <c r="V291" s="7"/>
      <c r="W291" s="9"/>
      <c r="X291" s="15"/>
      <c r="Y291" s="49"/>
      <c r="Z291" s="49"/>
      <c r="AA291" s="256"/>
      <c r="AB291" s="49"/>
      <c r="AC291" s="49"/>
      <c r="AD291" s="7"/>
      <c r="AE291" s="12"/>
      <c r="AF291" s="12"/>
      <c r="AG291" s="12"/>
    </row>
    <row r="292" spans="1:33" s="37" customFormat="1" ht="18" customHeight="1" x14ac:dyDescent="0.2">
      <c r="A292" s="13">
        <f t="shared" si="5"/>
        <v>26</v>
      </c>
      <c r="B292" s="11"/>
      <c r="C292" s="92"/>
      <c r="D292" s="14"/>
      <c r="E292" s="13"/>
      <c r="F292" s="18"/>
      <c r="G292" s="1"/>
      <c r="H292" s="60"/>
      <c r="I292" s="2"/>
      <c r="J292" s="3"/>
      <c r="K292" s="3"/>
      <c r="L292" s="3"/>
      <c r="M292" s="3"/>
      <c r="N292" s="84" t="s">
        <v>167</v>
      </c>
      <c r="O292" s="79">
        <v>1</v>
      </c>
      <c r="P292" s="3"/>
      <c r="Q292" s="4"/>
      <c r="R292" s="84" t="s">
        <v>241</v>
      </c>
      <c r="S292" s="87" t="s">
        <v>53</v>
      </c>
      <c r="T292" s="6">
        <v>5.5</v>
      </c>
      <c r="U292" s="129"/>
      <c r="V292" s="3"/>
      <c r="W292" s="4"/>
      <c r="X292" s="18"/>
      <c r="Y292" s="48"/>
      <c r="Z292" s="48"/>
      <c r="AA292" s="20"/>
      <c r="AB292" s="48"/>
      <c r="AC292" s="48"/>
      <c r="AD292" s="7"/>
      <c r="AE292" s="2"/>
      <c r="AF292" s="2"/>
      <c r="AG292" s="2"/>
    </row>
    <row r="293" spans="1:33" s="37" customFormat="1" ht="18" customHeight="1" x14ac:dyDescent="0.2">
      <c r="A293" s="13">
        <f t="shared" si="5"/>
        <v>26</v>
      </c>
      <c r="B293" s="11"/>
      <c r="C293" s="82"/>
      <c r="D293" s="114"/>
      <c r="E293" s="133"/>
      <c r="F293" s="133"/>
      <c r="G293" s="84"/>
      <c r="H293" s="60"/>
      <c r="I293" s="2"/>
      <c r="J293" s="3"/>
      <c r="K293" s="3"/>
      <c r="L293" s="3"/>
      <c r="M293" s="3"/>
      <c r="N293" s="84" t="s">
        <v>91</v>
      </c>
      <c r="O293" s="79">
        <v>1</v>
      </c>
      <c r="P293" s="3"/>
      <c r="Q293" s="4"/>
      <c r="R293" s="84" t="s">
        <v>65</v>
      </c>
      <c r="S293" s="87" t="s">
        <v>53</v>
      </c>
      <c r="T293" s="6">
        <v>15.81</v>
      </c>
      <c r="U293" s="129"/>
      <c r="V293" s="3"/>
      <c r="W293" s="4"/>
      <c r="X293" s="13"/>
      <c r="Y293" s="48"/>
      <c r="Z293" s="48"/>
      <c r="AA293" s="20"/>
      <c r="AB293" s="48"/>
      <c r="AC293" s="48"/>
      <c r="AD293" s="7"/>
      <c r="AE293" s="2"/>
      <c r="AF293" s="2"/>
      <c r="AG293" s="2"/>
    </row>
    <row r="294" spans="1:33" s="37" customFormat="1" ht="18" customHeight="1" x14ac:dyDescent="0.2">
      <c r="A294" s="13">
        <f t="shared" ref="A294:A357" si="6">IF(B294&lt;&gt;0,B294,A293)</f>
        <v>26</v>
      </c>
      <c r="B294" s="14"/>
      <c r="C294" s="82"/>
      <c r="D294" s="13"/>
      <c r="E294" s="13"/>
      <c r="F294" s="18"/>
      <c r="G294" s="1"/>
      <c r="H294" s="60"/>
      <c r="I294" s="2"/>
      <c r="J294" s="3"/>
      <c r="K294" s="3"/>
      <c r="L294" s="3"/>
      <c r="M294" s="3"/>
      <c r="N294" s="84" t="s">
        <v>131</v>
      </c>
      <c r="O294" s="79">
        <v>1</v>
      </c>
      <c r="P294" s="3"/>
      <c r="Q294" s="4"/>
      <c r="R294" s="84" t="s">
        <v>241</v>
      </c>
      <c r="S294" s="87" t="s">
        <v>53</v>
      </c>
      <c r="T294" s="6">
        <v>3.6</v>
      </c>
      <c r="U294" s="129"/>
      <c r="V294" s="3"/>
      <c r="W294" s="4"/>
      <c r="X294" s="13"/>
      <c r="Y294" s="48"/>
      <c r="Z294" s="48"/>
      <c r="AA294" s="20"/>
      <c r="AB294" s="48"/>
      <c r="AC294" s="48"/>
      <c r="AD294" s="7"/>
      <c r="AE294" s="2"/>
      <c r="AF294" s="2"/>
      <c r="AG294" s="2"/>
    </row>
    <row r="295" spans="1:33" s="37" customFormat="1" ht="18" customHeight="1" x14ac:dyDescent="0.2">
      <c r="A295" s="13">
        <f t="shared" si="6"/>
        <v>26</v>
      </c>
      <c r="B295" s="11"/>
      <c r="C295" s="82"/>
      <c r="D295" s="13"/>
      <c r="E295" s="13"/>
      <c r="F295" s="18"/>
      <c r="G295" s="1"/>
      <c r="H295" s="60"/>
      <c r="I295" s="2"/>
      <c r="J295" s="3"/>
      <c r="K295" s="3"/>
      <c r="L295" s="3"/>
      <c r="M295" s="3"/>
      <c r="N295" s="84" t="s">
        <v>168</v>
      </c>
      <c r="O295" s="79">
        <v>1</v>
      </c>
      <c r="P295" s="3"/>
      <c r="Q295" s="4"/>
      <c r="R295" s="84" t="s">
        <v>397</v>
      </c>
      <c r="S295" s="87" t="s">
        <v>53</v>
      </c>
      <c r="T295" s="6">
        <v>1.76</v>
      </c>
      <c r="U295" s="129"/>
      <c r="V295" s="3"/>
      <c r="W295" s="4"/>
      <c r="X295" s="13"/>
      <c r="Y295" s="48"/>
      <c r="Z295" s="48"/>
      <c r="AA295" s="20"/>
      <c r="AB295" s="48"/>
      <c r="AC295" s="48"/>
      <c r="AD295" s="7"/>
      <c r="AE295" s="2"/>
      <c r="AF295" s="2"/>
      <c r="AG295" s="2"/>
    </row>
    <row r="296" spans="1:33" s="37" customFormat="1" ht="18" customHeight="1" x14ac:dyDescent="0.2">
      <c r="A296" s="13">
        <f t="shared" si="6"/>
        <v>26</v>
      </c>
      <c r="B296" s="11"/>
      <c r="C296" s="1"/>
      <c r="D296" s="13"/>
      <c r="E296" s="13"/>
      <c r="F296" s="18"/>
      <c r="G296" s="1"/>
      <c r="H296" s="60"/>
      <c r="I296" s="2"/>
      <c r="J296" s="3"/>
      <c r="K296" s="3"/>
      <c r="L296" s="3"/>
      <c r="M296" s="3"/>
      <c r="N296" s="84"/>
      <c r="O296" s="79"/>
      <c r="P296" s="3"/>
      <c r="Q296" s="4"/>
      <c r="R296" s="84" t="s">
        <v>241</v>
      </c>
      <c r="S296" s="87" t="s">
        <v>53</v>
      </c>
      <c r="T296" s="6">
        <v>1.76</v>
      </c>
      <c r="U296" s="129"/>
      <c r="V296" s="3"/>
      <c r="W296" s="4"/>
      <c r="X296" s="13"/>
      <c r="Y296" s="48"/>
      <c r="Z296" s="48"/>
      <c r="AA296" s="20"/>
      <c r="AB296" s="48"/>
      <c r="AC296" s="48"/>
      <c r="AD296" s="7"/>
      <c r="AE296" s="2"/>
      <c r="AF296" s="2"/>
      <c r="AG296" s="2"/>
    </row>
    <row r="297" spans="1:33" s="37" customFormat="1" ht="18" customHeight="1" x14ac:dyDescent="0.2">
      <c r="A297" s="13">
        <f t="shared" si="6"/>
        <v>26</v>
      </c>
      <c r="B297" s="11"/>
      <c r="C297" s="1"/>
      <c r="D297" s="13"/>
      <c r="E297" s="13"/>
      <c r="F297" s="18"/>
      <c r="G297" s="1"/>
      <c r="H297" s="60"/>
      <c r="I297" s="2"/>
      <c r="J297" s="3"/>
      <c r="K297" s="3"/>
      <c r="L297" s="3"/>
      <c r="M297" s="3"/>
      <c r="N297" s="84"/>
      <c r="O297" s="79"/>
      <c r="P297" s="3"/>
      <c r="Q297" s="4"/>
      <c r="R297" s="84" t="s">
        <v>493</v>
      </c>
      <c r="S297" s="87" t="s">
        <v>78</v>
      </c>
      <c r="T297" s="6">
        <v>0.03</v>
      </c>
      <c r="U297" s="129"/>
      <c r="V297" s="3"/>
      <c r="W297" s="4"/>
      <c r="X297" s="13"/>
      <c r="Y297" s="48"/>
      <c r="Z297" s="48"/>
      <c r="AA297" s="20"/>
      <c r="AB297" s="48"/>
      <c r="AC297" s="48"/>
      <c r="AD297" s="7"/>
      <c r="AE297" s="2"/>
      <c r="AF297" s="2"/>
      <c r="AG297" s="2"/>
    </row>
    <row r="298" spans="1:33" s="37" customFormat="1" ht="18" customHeight="1" x14ac:dyDescent="0.2">
      <c r="A298" s="13">
        <f t="shared" si="6"/>
        <v>26</v>
      </c>
      <c r="B298" s="11"/>
      <c r="C298" s="1"/>
      <c r="D298" s="13"/>
      <c r="E298" s="13"/>
      <c r="F298" s="18"/>
      <c r="G298" s="1"/>
      <c r="H298" s="60"/>
      <c r="I298" s="2"/>
      <c r="J298" s="3"/>
      <c r="K298" s="3"/>
      <c r="L298" s="3"/>
      <c r="M298" s="3"/>
      <c r="N298" s="84"/>
      <c r="O298" s="79"/>
      <c r="P298" s="3"/>
      <c r="Q298" s="4"/>
      <c r="R298" s="84" t="s">
        <v>160</v>
      </c>
      <c r="S298" s="87" t="s">
        <v>53</v>
      </c>
      <c r="T298" s="6">
        <v>0.8</v>
      </c>
      <c r="U298" s="129"/>
      <c r="V298" s="3"/>
      <c r="W298" s="4"/>
      <c r="X298" s="13"/>
      <c r="Y298" s="48"/>
      <c r="Z298" s="48"/>
      <c r="AA298" s="20"/>
      <c r="AB298" s="48"/>
      <c r="AC298" s="48"/>
      <c r="AD298" s="7"/>
      <c r="AE298" s="2"/>
      <c r="AF298" s="2"/>
      <c r="AG298" s="2"/>
    </row>
    <row r="299" spans="1:33" s="37" customFormat="1" ht="18" customHeight="1" x14ac:dyDescent="0.2">
      <c r="A299" s="13">
        <f t="shared" si="6"/>
        <v>26</v>
      </c>
      <c r="B299" s="11"/>
      <c r="C299" s="1"/>
      <c r="D299" s="13"/>
      <c r="E299" s="13"/>
      <c r="F299" s="18"/>
      <c r="G299" s="1"/>
      <c r="H299" s="60"/>
      <c r="I299" s="2"/>
      <c r="J299" s="3"/>
      <c r="K299" s="3"/>
      <c r="L299" s="3"/>
      <c r="M299" s="3"/>
      <c r="N299" s="84"/>
      <c r="O299" s="79"/>
      <c r="P299" s="3"/>
      <c r="Q299" s="4"/>
      <c r="R299" s="84" t="s">
        <v>161</v>
      </c>
      <c r="S299" s="87" t="s">
        <v>53</v>
      </c>
      <c r="T299" s="6">
        <v>0.5</v>
      </c>
      <c r="U299" s="129"/>
      <c r="V299" s="3"/>
      <c r="W299" s="4"/>
      <c r="X299" s="13"/>
      <c r="Y299" s="48"/>
      <c r="Z299" s="48"/>
      <c r="AA299" s="20"/>
      <c r="AB299" s="48"/>
      <c r="AC299" s="48"/>
      <c r="AD299" s="7"/>
      <c r="AE299" s="2"/>
      <c r="AF299" s="2"/>
      <c r="AG299" s="2"/>
    </row>
    <row r="300" spans="1:33" s="37" customFormat="1" ht="18" customHeight="1" x14ac:dyDescent="0.2">
      <c r="A300" s="13">
        <f t="shared" si="6"/>
        <v>26</v>
      </c>
      <c r="B300" s="11"/>
      <c r="C300" s="1"/>
      <c r="D300" s="13"/>
      <c r="E300" s="13"/>
      <c r="F300" s="18"/>
      <c r="G300" s="1"/>
      <c r="H300" s="60"/>
      <c r="I300" s="2"/>
      <c r="J300" s="3"/>
      <c r="K300" s="3"/>
      <c r="L300" s="3"/>
      <c r="M300" s="3"/>
      <c r="N300" s="84"/>
      <c r="O300" s="79"/>
      <c r="P300" s="3"/>
      <c r="Q300" s="4"/>
      <c r="R300" s="84" t="s">
        <v>397</v>
      </c>
      <c r="S300" s="87" t="s">
        <v>53</v>
      </c>
      <c r="T300" s="6">
        <v>2.66</v>
      </c>
      <c r="U300" s="134"/>
      <c r="V300" s="3"/>
      <c r="W300" s="4"/>
      <c r="X300" s="13"/>
      <c r="Y300" s="48"/>
      <c r="Z300" s="48"/>
      <c r="AA300" s="20"/>
      <c r="AB300" s="48"/>
      <c r="AC300" s="48"/>
      <c r="AD300" s="7"/>
      <c r="AE300" s="2"/>
      <c r="AF300" s="2"/>
      <c r="AG300" s="2"/>
    </row>
    <row r="301" spans="1:33" s="37" customFormat="1" ht="18" customHeight="1" x14ac:dyDescent="0.2">
      <c r="A301" s="13">
        <f t="shared" si="6"/>
        <v>26</v>
      </c>
      <c r="B301" s="11"/>
      <c r="C301" s="21"/>
      <c r="D301" s="13"/>
      <c r="E301" s="13"/>
      <c r="F301" s="18"/>
      <c r="G301" s="1"/>
      <c r="H301" s="60"/>
      <c r="I301" s="2"/>
      <c r="J301" s="3"/>
      <c r="K301" s="3"/>
      <c r="L301" s="3"/>
      <c r="M301" s="3"/>
      <c r="N301" s="84"/>
      <c r="O301" s="79"/>
      <c r="P301" s="3"/>
      <c r="Q301" s="4"/>
      <c r="R301" s="84" t="s">
        <v>71</v>
      </c>
      <c r="S301" s="87" t="s">
        <v>53</v>
      </c>
      <c r="T301" s="6">
        <v>4.8</v>
      </c>
      <c r="U301" s="134"/>
      <c r="V301" s="3"/>
      <c r="W301" s="4"/>
      <c r="X301" s="13"/>
      <c r="Y301" s="48"/>
      <c r="Z301" s="48"/>
      <c r="AA301" s="20"/>
      <c r="AB301" s="48"/>
      <c r="AC301" s="48"/>
      <c r="AD301" s="7"/>
      <c r="AE301" s="2"/>
      <c r="AF301" s="2"/>
      <c r="AG301" s="2"/>
    </row>
    <row r="302" spans="1:33" s="37" customFormat="1" ht="18" customHeight="1" x14ac:dyDescent="0.2">
      <c r="A302" s="13">
        <f t="shared" si="6"/>
        <v>26</v>
      </c>
      <c r="B302" s="11"/>
      <c r="C302" s="21"/>
      <c r="D302" s="13"/>
      <c r="E302" s="13"/>
      <c r="F302" s="18"/>
      <c r="G302" s="1"/>
      <c r="H302" s="60"/>
      <c r="I302" s="2"/>
      <c r="J302" s="3"/>
      <c r="K302" s="3"/>
      <c r="L302" s="3"/>
      <c r="M302" s="3"/>
      <c r="N302" s="84"/>
      <c r="O302" s="79"/>
      <c r="P302" s="3"/>
      <c r="Q302" s="4"/>
      <c r="R302" s="84" t="s">
        <v>494</v>
      </c>
      <c r="S302" s="87" t="s">
        <v>53</v>
      </c>
      <c r="T302" s="6">
        <v>0.45</v>
      </c>
      <c r="U302" s="134"/>
      <c r="V302" s="3"/>
      <c r="W302" s="4"/>
      <c r="X302" s="13"/>
      <c r="Y302" s="48"/>
      <c r="Z302" s="48"/>
      <c r="AA302" s="20"/>
      <c r="AB302" s="48"/>
      <c r="AC302" s="48"/>
      <c r="AD302" s="7"/>
      <c r="AE302" s="2"/>
      <c r="AF302" s="2"/>
      <c r="AG302" s="2"/>
    </row>
    <row r="303" spans="1:33" s="37" customFormat="1" ht="18" customHeight="1" x14ac:dyDescent="0.2">
      <c r="A303" s="13">
        <f t="shared" si="6"/>
        <v>26</v>
      </c>
      <c r="B303" s="11"/>
      <c r="C303" s="21"/>
      <c r="D303" s="13"/>
      <c r="E303" s="13"/>
      <c r="F303" s="18"/>
      <c r="G303" s="1"/>
      <c r="H303" s="60"/>
      <c r="I303" s="2"/>
      <c r="J303" s="3"/>
      <c r="K303" s="3"/>
      <c r="L303" s="3"/>
      <c r="M303" s="3"/>
      <c r="N303" s="84"/>
      <c r="O303" s="79"/>
      <c r="P303" s="3"/>
      <c r="Q303" s="4"/>
      <c r="R303" s="84" t="s">
        <v>489</v>
      </c>
      <c r="S303" s="87" t="s">
        <v>53</v>
      </c>
      <c r="T303" s="6">
        <v>2.2000000000000002</v>
      </c>
      <c r="U303" s="134"/>
      <c r="V303" s="3"/>
      <c r="W303" s="4"/>
      <c r="X303" s="13"/>
      <c r="Y303" s="48"/>
      <c r="Z303" s="48"/>
      <c r="AA303" s="20"/>
      <c r="AB303" s="48"/>
      <c r="AC303" s="48"/>
      <c r="AD303" s="7"/>
      <c r="AE303" s="2"/>
      <c r="AF303" s="2"/>
      <c r="AG303" s="2"/>
    </row>
    <row r="304" spans="1:33" s="37" customFormat="1" ht="18" customHeight="1" x14ac:dyDescent="0.2">
      <c r="A304" s="13">
        <f t="shared" si="6"/>
        <v>26</v>
      </c>
      <c r="B304" s="11"/>
      <c r="C304" s="21"/>
      <c r="D304" s="13"/>
      <c r="E304" s="13"/>
      <c r="F304" s="18"/>
      <c r="G304" s="1"/>
      <c r="H304" s="60"/>
      <c r="I304" s="13"/>
      <c r="J304" s="5"/>
      <c r="K304" s="5"/>
      <c r="L304" s="4"/>
      <c r="M304" s="4"/>
      <c r="N304" s="140"/>
      <c r="O304" s="5"/>
      <c r="P304" s="141"/>
      <c r="Q304" s="141"/>
      <c r="R304" s="140" t="s">
        <v>495</v>
      </c>
      <c r="S304" s="152" t="s">
        <v>53</v>
      </c>
      <c r="T304" s="6">
        <v>1.05</v>
      </c>
      <c r="U304" s="17"/>
      <c r="V304" s="3"/>
      <c r="W304" s="4"/>
      <c r="X304" s="13"/>
      <c r="Y304" s="48"/>
      <c r="Z304" s="48"/>
      <c r="AA304" s="20"/>
      <c r="AB304" s="48"/>
      <c r="AC304" s="48"/>
      <c r="AD304" s="7"/>
      <c r="AE304" s="2"/>
      <c r="AF304" s="2"/>
      <c r="AG304" s="2"/>
    </row>
    <row r="305" spans="1:33" s="37" customFormat="1" ht="18" customHeight="1" x14ac:dyDescent="0.2">
      <c r="A305" s="13">
        <f t="shared" si="6"/>
        <v>26</v>
      </c>
      <c r="B305" s="11"/>
      <c r="C305" s="21"/>
      <c r="D305" s="13"/>
      <c r="E305" s="13"/>
      <c r="F305" s="18"/>
      <c r="G305" s="1"/>
      <c r="H305" s="60"/>
      <c r="I305" s="13"/>
      <c r="J305" s="5"/>
      <c r="K305" s="5"/>
      <c r="L305" s="4"/>
      <c r="M305" s="4"/>
      <c r="N305" s="1"/>
      <c r="O305" s="5"/>
      <c r="P305" s="3"/>
      <c r="Q305" s="4"/>
      <c r="R305" s="47" t="s">
        <v>164</v>
      </c>
      <c r="S305" s="13" t="s">
        <v>53</v>
      </c>
      <c r="T305" s="6">
        <v>0.96</v>
      </c>
      <c r="U305" s="17"/>
      <c r="V305" s="3"/>
      <c r="W305" s="4"/>
      <c r="X305" s="13"/>
      <c r="Y305" s="48"/>
      <c r="Z305" s="48"/>
      <c r="AA305" s="20"/>
      <c r="AB305" s="48"/>
      <c r="AC305" s="48"/>
      <c r="AD305" s="7"/>
      <c r="AE305" s="1"/>
      <c r="AF305" s="1"/>
      <c r="AG305" s="1"/>
    </row>
    <row r="306" spans="1:33" s="37" customFormat="1" ht="18" customHeight="1" x14ac:dyDescent="0.2">
      <c r="A306" s="13">
        <f t="shared" si="6"/>
        <v>26</v>
      </c>
      <c r="B306" s="11"/>
      <c r="C306" s="1"/>
      <c r="D306" s="13"/>
      <c r="E306" s="13"/>
      <c r="F306" s="18"/>
      <c r="G306" s="1"/>
      <c r="H306" s="60"/>
      <c r="I306" s="13"/>
      <c r="J306" s="5"/>
      <c r="K306" s="5"/>
      <c r="L306" s="4"/>
      <c r="M306" s="4"/>
      <c r="N306" s="1"/>
      <c r="O306" s="5"/>
      <c r="P306" s="3"/>
      <c r="Q306" s="4"/>
      <c r="R306" s="47" t="s">
        <v>158</v>
      </c>
      <c r="S306" s="13" t="s">
        <v>78</v>
      </c>
      <c r="T306" s="6">
        <v>0.36</v>
      </c>
      <c r="U306" s="17"/>
      <c r="V306" s="3"/>
      <c r="W306" s="4"/>
      <c r="X306" s="13"/>
      <c r="Y306" s="48"/>
      <c r="Z306" s="48"/>
      <c r="AA306" s="20"/>
      <c r="AB306" s="48"/>
      <c r="AC306" s="48"/>
      <c r="AD306" s="7"/>
      <c r="AE306" s="1"/>
      <c r="AF306" s="1"/>
      <c r="AG306" s="1"/>
    </row>
    <row r="307" spans="1:33" s="37" customFormat="1" ht="18" customHeight="1" x14ac:dyDescent="0.2">
      <c r="A307" s="13">
        <f t="shared" si="6"/>
        <v>26</v>
      </c>
      <c r="B307" s="11"/>
      <c r="C307" s="153"/>
      <c r="D307" s="13"/>
      <c r="E307" s="13"/>
      <c r="F307" s="18"/>
      <c r="G307" s="1"/>
      <c r="H307" s="60"/>
      <c r="I307" s="13"/>
      <c r="J307" s="5"/>
      <c r="K307" s="5"/>
      <c r="L307" s="4"/>
      <c r="M307" s="4"/>
      <c r="N307" s="140"/>
      <c r="O307" s="5"/>
      <c r="P307" s="141"/>
      <c r="Q307" s="141"/>
      <c r="R307" s="84" t="s">
        <v>430</v>
      </c>
      <c r="S307" s="87" t="s">
        <v>53</v>
      </c>
      <c r="T307" s="6">
        <v>28.2</v>
      </c>
      <c r="U307" s="17"/>
      <c r="V307" s="3"/>
      <c r="W307" s="4"/>
      <c r="X307" s="13"/>
      <c r="Y307" s="48"/>
      <c r="Z307" s="48"/>
      <c r="AA307" s="20"/>
      <c r="AB307" s="48"/>
      <c r="AC307" s="48"/>
      <c r="AD307" s="7"/>
      <c r="AE307" s="2"/>
      <c r="AF307" s="2"/>
      <c r="AG307" s="2"/>
    </row>
    <row r="308" spans="1:33" s="37" customFormat="1" ht="12.75" x14ac:dyDescent="0.2">
      <c r="A308" s="13">
        <f t="shared" si="6"/>
        <v>26</v>
      </c>
      <c r="B308" s="11"/>
      <c r="C308" s="153"/>
      <c r="D308" s="13"/>
      <c r="E308" s="13"/>
      <c r="F308" s="18"/>
      <c r="G308" s="1"/>
      <c r="H308" s="60"/>
      <c r="I308" s="2"/>
      <c r="J308" s="3"/>
      <c r="K308" s="3"/>
      <c r="L308" s="3"/>
      <c r="M308" s="3"/>
      <c r="N308" s="84"/>
      <c r="O308" s="79"/>
      <c r="P308" s="3"/>
      <c r="Q308" s="4"/>
      <c r="R308" s="2"/>
      <c r="S308" s="51"/>
      <c r="T308" s="51"/>
      <c r="U308" s="129"/>
      <c r="V308" s="3"/>
      <c r="W308" s="4"/>
      <c r="X308" s="18"/>
      <c r="Y308" s="48"/>
      <c r="Z308" s="48"/>
      <c r="AA308" s="20"/>
      <c r="AB308" s="48"/>
      <c r="AC308" s="48"/>
      <c r="AD308" s="7"/>
      <c r="AE308" s="1"/>
      <c r="AF308" s="1"/>
      <c r="AG308" s="1"/>
    </row>
    <row r="309" spans="1:33" s="37" customFormat="1" ht="12.75" x14ac:dyDescent="0.2">
      <c r="A309" s="13">
        <f t="shared" si="6"/>
        <v>26</v>
      </c>
      <c r="B309" s="11"/>
      <c r="C309" s="82"/>
      <c r="D309" s="114"/>
      <c r="E309" s="13"/>
      <c r="F309" s="18"/>
      <c r="G309" s="1"/>
      <c r="H309" s="60"/>
      <c r="I309" s="2"/>
      <c r="J309" s="3"/>
      <c r="K309" s="3"/>
      <c r="L309" s="3"/>
      <c r="M309" s="3"/>
      <c r="N309" s="84"/>
      <c r="O309" s="79"/>
      <c r="P309" s="3"/>
      <c r="Q309" s="4"/>
      <c r="R309" s="84"/>
      <c r="S309" s="87"/>
      <c r="T309" s="6"/>
      <c r="U309" s="129"/>
      <c r="V309" s="3"/>
      <c r="W309" s="4"/>
      <c r="X309" s="18"/>
      <c r="Y309" s="48"/>
      <c r="Z309" s="48"/>
      <c r="AA309" s="20"/>
      <c r="AB309" s="48"/>
      <c r="AC309" s="48"/>
      <c r="AD309" s="7"/>
      <c r="AE309" s="1"/>
      <c r="AF309" s="1"/>
      <c r="AG309" s="1"/>
    </row>
    <row r="310" spans="1:33" s="37" customFormat="1" ht="12.75" x14ac:dyDescent="0.2">
      <c r="A310" s="13">
        <f t="shared" si="6"/>
        <v>26</v>
      </c>
      <c r="B310" s="11"/>
      <c r="C310" s="82"/>
      <c r="D310" s="114"/>
      <c r="E310" s="13"/>
      <c r="F310" s="2"/>
      <c r="G310" s="1"/>
      <c r="H310" s="50"/>
      <c r="I310" s="51"/>
      <c r="J310" s="51"/>
      <c r="K310" s="51"/>
      <c r="L310" s="51"/>
      <c r="M310" s="51"/>
      <c r="N310" s="51"/>
      <c r="O310" s="51"/>
      <c r="P310" s="51"/>
      <c r="Q310" s="51"/>
      <c r="R310" s="2"/>
      <c r="S310" s="51"/>
      <c r="T310" s="51"/>
      <c r="U310" s="50"/>
      <c r="V310" s="51"/>
      <c r="W310" s="51"/>
      <c r="X310" s="50"/>
      <c r="Y310" s="50"/>
      <c r="Z310" s="50"/>
      <c r="AA310" s="257"/>
      <c r="AB310" s="50"/>
      <c r="AC310" s="50"/>
      <c r="AD310" s="51"/>
      <c r="AE310" s="51"/>
      <c r="AF310" s="51"/>
      <c r="AG310" s="2"/>
    </row>
    <row r="311" spans="1:33" s="37" customFormat="1" ht="12.75" x14ac:dyDescent="0.2">
      <c r="A311" s="13">
        <f t="shared" si="6"/>
        <v>26</v>
      </c>
      <c r="B311" s="11"/>
      <c r="C311" s="82"/>
      <c r="D311" s="114"/>
      <c r="E311" s="13"/>
      <c r="F311" s="2"/>
      <c r="G311" s="1"/>
      <c r="H311" s="50"/>
      <c r="I311" s="51"/>
      <c r="J311" s="51"/>
      <c r="K311" s="51"/>
      <c r="L311" s="51"/>
      <c r="M311" s="51"/>
      <c r="N311" s="51"/>
      <c r="O311" s="51"/>
      <c r="P311" s="51"/>
      <c r="Q311" s="51"/>
      <c r="R311" s="2"/>
      <c r="S311" s="51"/>
      <c r="T311" s="51"/>
      <c r="U311" s="50"/>
      <c r="V311" s="51"/>
      <c r="W311" s="51"/>
      <c r="X311" s="50"/>
      <c r="Y311" s="50"/>
      <c r="Z311" s="50"/>
      <c r="AA311" s="257"/>
      <c r="AB311" s="50"/>
      <c r="AC311" s="50"/>
      <c r="AD311" s="51"/>
      <c r="AE311" s="51"/>
      <c r="AF311" s="51"/>
      <c r="AG311" s="2"/>
    </row>
    <row r="312" spans="1:33" s="37" customFormat="1" ht="12.75" x14ac:dyDescent="0.2">
      <c r="A312" s="13">
        <f t="shared" si="6"/>
        <v>26</v>
      </c>
      <c r="B312" s="14"/>
      <c r="C312" s="82"/>
      <c r="D312" s="13"/>
      <c r="E312" s="133"/>
      <c r="F312" s="133"/>
      <c r="G312" s="84"/>
      <c r="H312" s="60"/>
      <c r="I312" s="2"/>
      <c r="J312" s="3"/>
      <c r="K312" s="3"/>
      <c r="L312" s="3"/>
      <c r="M312" s="3"/>
      <c r="N312" s="84"/>
      <c r="O312" s="79"/>
      <c r="P312" s="3"/>
      <c r="Q312" s="4"/>
      <c r="R312" s="84"/>
      <c r="S312" s="87"/>
      <c r="T312" s="6"/>
      <c r="U312" s="129"/>
      <c r="V312" s="3"/>
      <c r="W312" s="4"/>
      <c r="X312" s="13"/>
      <c r="Y312" s="48"/>
      <c r="Z312" s="48"/>
      <c r="AA312" s="20"/>
      <c r="AB312" s="48"/>
      <c r="AC312" s="48"/>
      <c r="AD312" s="7"/>
      <c r="AE312" s="1"/>
      <c r="AF312" s="1"/>
      <c r="AG312" s="1"/>
    </row>
    <row r="313" spans="1:33" s="37" customFormat="1" ht="37.5" customHeight="1" x14ac:dyDescent="0.2">
      <c r="A313" s="13">
        <f t="shared" si="6"/>
        <v>27</v>
      </c>
      <c r="B313" s="11">
        <v>27</v>
      </c>
      <c r="C313" s="21" t="s">
        <v>34</v>
      </c>
      <c r="D313" s="13">
        <v>3</v>
      </c>
      <c r="E313" s="13">
        <v>86</v>
      </c>
      <c r="F313" s="18">
        <v>263</v>
      </c>
      <c r="G313" s="1" t="s">
        <v>416</v>
      </c>
      <c r="H313" s="60">
        <v>150</v>
      </c>
      <c r="I313" s="13"/>
      <c r="J313" s="5"/>
      <c r="K313" s="5"/>
      <c r="L313" s="4"/>
      <c r="M313" s="4"/>
      <c r="N313" s="1" t="s">
        <v>175</v>
      </c>
      <c r="O313" s="5">
        <v>1</v>
      </c>
      <c r="P313" s="3"/>
      <c r="Q313" s="4"/>
      <c r="R313" s="47" t="s">
        <v>482</v>
      </c>
      <c r="S313" s="13" t="s">
        <v>53</v>
      </c>
      <c r="T313" s="6">
        <v>8.5500000000000007</v>
      </c>
      <c r="U313" s="17"/>
      <c r="V313" s="3"/>
      <c r="W313" s="4"/>
      <c r="X313" s="13" t="s">
        <v>63</v>
      </c>
      <c r="Y313" s="48" t="s">
        <v>63</v>
      </c>
      <c r="Z313" s="48" t="s">
        <v>56</v>
      </c>
      <c r="AA313" s="20"/>
      <c r="AB313" s="48" t="s">
        <v>63</v>
      </c>
      <c r="AC313" s="48"/>
      <c r="AD313" s="7"/>
      <c r="AE313" s="1" t="s">
        <v>664</v>
      </c>
      <c r="AF313" s="1"/>
      <c r="AG313" s="1"/>
    </row>
    <row r="314" spans="1:33" s="37" customFormat="1" ht="38.25" x14ac:dyDescent="0.2">
      <c r="A314" s="13">
        <f t="shared" si="6"/>
        <v>27</v>
      </c>
      <c r="B314" s="11"/>
      <c r="C314" s="1" t="s">
        <v>162</v>
      </c>
      <c r="D314" s="13"/>
      <c r="E314" s="13">
        <v>86</v>
      </c>
      <c r="F314" s="18">
        <v>263</v>
      </c>
      <c r="G314" s="1" t="s">
        <v>417</v>
      </c>
      <c r="H314" s="60">
        <v>169.4</v>
      </c>
      <c r="I314" s="13"/>
      <c r="J314" s="5"/>
      <c r="K314" s="5"/>
      <c r="L314" s="4"/>
      <c r="M314" s="4"/>
      <c r="N314" s="1" t="s">
        <v>742</v>
      </c>
      <c r="O314" s="5">
        <v>3</v>
      </c>
      <c r="P314" s="3"/>
      <c r="Q314" s="4"/>
      <c r="R314" s="47" t="s">
        <v>302</v>
      </c>
      <c r="S314" s="13" t="s">
        <v>53</v>
      </c>
      <c r="T314" s="6">
        <v>87.9</v>
      </c>
      <c r="U314" s="17"/>
      <c r="V314" s="3"/>
      <c r="W314" s="4"/>
      <c r="X314" s="13" t="s">
        <v>63</v>
      </c>
      <c r="Y314" s="48" t="s">
        <v>55</v>
      </c>
      <c r="Z314" s="48" t="s">
        <v>56</v>
      </c>
      <c r="AA314" s="20" t="s">
        <v>57</v>
      </c>
      <c r="AB314" s="48" t="s">
        <v>63</v>
      </c>
      <c r="AC314" s="20" t="s">
        <v>430</v>
      </c>
      <c r="AD314" s="7"/>
      <c r="AE314" s="1" t="s">
        <v>496</v>
      </c>
      <c r="AF314" s="1"/>
      <c r="AG314" s="1"/>
    </row>
    <row r="315" spans="1:33" s="37" customFormat="1" ht="38.25" x14ac:dyDescent="0.2">
      <c r="A315" s="13">
        <f t="shared" si="6"/>
        <v>27</v>
      </c>
      <c r="B315" s="11"/>
      <c r="C315" s="153" t="s">
        <v>665</v>
      </c>
      <c r="D315" s="13"/>
      <c r="E315" s="13"/>
      <c r="F315" s="18"/>
      <c r="G315" s="1" t="s">
        <v>453</v>
      </c>
      <c r="H315" s="60">
        <v>4.4000000000000004</v>
      </c>
      <c r="I315" s="13"/>
      <c r="J315" s="5"/>
      <c r="K315" s="5"/>
      <c r="L315" s="4"/>
      <c r="M315" s="4"/>
      <c r="N315" s="84" t="s">
        <v>741</v>
      </c>
      <c r="O315" s="79">
        <v>3</v>
      </c>
      <c r="P315" s="141"/>
      <c r="Q315" s="141"/>
      <c r="R315" s="140" t="s">
        <v>65</v>
      </c>
      <c r="S315" s="155" t="s">
        <v>53</v>
      </c>
      <c r="T315" s="6">
        <v>22</v>
      </c>
      <c r="U315" s="17"/>
      <c r="V315" s="3"/>
      <c r="W315" s="4"/>
      <c r="X315" s="13"/>
      <c r="Y315" s="48" t="s">
        <v>55</v>
      </c>
      <c r="Z315" s="48" t="s">
        <v>141</v>
      </c>
      <c r="AA315" s="20"/>
      <c r="AB315" s="48" t="s">
        <v>66</v>
      </c>
      <c r="AC315" s="20"/>
      <c r="AD315" s="7"/>
      <c r="AE315" s="2" t="s">
        <v>169</v>
      </c>
      <c r="AF315" s="2"/>
      <c r="AG315" s="2"/>
    </row>
    <row r="316" spans="1:33" s="37" customFormat="1" ht="12.75" x14ac:dyDescent="0.2">
      <c r="A316" s="13">
        <f t="shared" si="6"/>
        <v>27</v>
      </c>
      <c r="B316" s="11"/>
      <c r="C316" s="153" t="s">
        <v>305</v>
      </c>
      <c r="D316" s="114"/>
      <c r="E316" s="13"/>
      <c r="F316" s="18"/>
      <c r="G316" s="1"/>
      <c r="H316" s="60"/>
      <c r="I316" s="2"/>
      <c r="J316" s="3"/>
      <c r="K316" s="3"/>
      <c r="L316" s="3"/>
      <c r="M316" s="3"/>
      <c r="N316" s="84" t="s">
        <v>743</v>
      </c>
      <c r="O316" s="79">
        <v>5</v>
      </c>
      <c r="P316" s="3"/>
      <c r="Q316" s="4"/>
      <c r="R316" s="84" t="s">
        <v>65</v>
      </c>
      <c r="S316" s="87" t="s">
        <v>53</v>
      </c>
      <c r="T316" s="6">
        <v>17.7</v>
      </c>
      <c r="U316" s="13"/>
      <c r="V316" s="3"/>
      <c r="W316" s="4"/>
      <c r="X316" s="18"/>
      <c r="Y316" s="48" t="s">
        <v>55</v>
      </c>
      <c r="Z316" s="48" t="s">
        <v>56</v>
      </c>
      <c r="AA316" s="20"/>
      <c r="AB316" s="48" t="s">
        <v>66</v>
      </c>
      <c r="AC316" s="20"/>
      <c r="AD316" s="7"/>
      <c r="AE316" s="2" t="s">
        <v>404</v>
      </c>
      <c r="AF316" s="2"/>
      <c r="AG316" s="2"/>
    </row>
    <row r="317" spans="1:33" s="37" customFormat="1" ht="51" x14ac:dyDescent="0.2">
      <c r="A317" s="13">
        <f t="shared" si="6"/>
        <v>27</v>
      </c>
      <c r="B317" s="11"/>
      <c r="C317" s="82"/>
      <c r="D317" s="13"/>
      <c r="E317" s="133"/>
      <c r="F317" s="133"/>
      <c r="G317" s="84"/>
      <c r="H317" s="60"/>
      <c r="I317" s="2"/>
      <c r="J317" s="3"/>
      <c r="K317" s="3"/>
      <c r="L317" s="3"/>
      <c r="M317" s="3"/>
      <c r="N317" s="84" t="s">
        <v>149</v>
      </c>
      <c r="O317" s="79">
        <v>1</v>
      </c>
      <c r="P317" s="3"/>
      <c r="Q317" s="4"/>
      <c r="R317" s="84" t="s">
        <v>497</v>
      </c>
      <c r="S317" s="87" t="s">
        <v>53</v>
      </c>
      <c r="T317" s="6">
        <v>3.92</v>
      </c>
      <c r="U317" s="13"/>
      <c r="V317" s="3"/>
      <c r="W317" s="4"/>
      <c r="X317" s="13"/>
      <c r="Y317" s="48" t="s">
        <v>55</v>
      </c>
      <c r="Z317" s="48" t="s">
        <v>140</v>
      </c>
      <c r="AA317" s="20" t="s">
        <v>170</v>
      </c>
      <c r="AB317" s="48" t="s">
        <v>66</v>
      </c>
      <c r="AC317" s="20"/>
      <c r="AD317" s="7"/>
      <c r="AE317" s="1" t="s">
        <v>498</v>
      </c>
      <c r="AF317" s="1"/>
      <c r="AG317" s="1"/>
    </row>
    <row r="318" spans="1:33" s="37" customFormat="1" ht="25.5" x14ac:dyDescent="0.2">
      <c r="A318" s="13">
        <f t="shared" si="6"/>
        <v>27</v>
      </c>
      <c r="B318" s="14"/>
      <c r="C318" s="82"/>
      <c r="D318" s="13"/>
      <c r="E318" s="13"/>
      <c r="F318" s="18"/>
      <c r="G318" s="1"/>
      <c r="H318" s="60"/>
      <c r="I318" s="2"/>
      <c r="J318" s="3"/>
      <c r="K318" s="3"/>
      <c r="L318" s="3"/>
      <c r="M318" s="3"/>
      <c r="N318" s="84" t="s">
        <v>177</v>
      </c>
      <c r="O318" s="79">
        <v>1</v>
      </c>
      <c r="P318" s="3"/>
      <c r="Q318" s="4"/>
      <c r="R318" s="84" t="s">
        <v>74</v>
      </c>
      <c r="S318" s="87" t="s">
        <v>53</v>
      </c>
      <c r="T318" s="6">
        <v>3.08</v>
      </c>
      <c r="U318" s="13"/>
      <c r="V318" s="3"/>
      <c r="W318" s="4"/>
      <c r="X318" s="13"/>
      <c r="Y318" s="48" t="s">
        <v>55</v>
      </c>
      <c r="Z318" s="48" t="s">
        <v>56</v>
      </c>
      <c r="AA318" s="20" t="s">
        <v>57</v>
      </c>
      <c r="AB318" s="48" t="s">
        <v>54</v>
      </c>
      <c r="AC318" s="20" t="s">
        <v>430</v>
      </c>
      <c r="AD318" s="7"/>
      <c r="AE318" s="2"/>
      <c r="AF318" s="2"/>
      <c r="AG318" s="2"/>
    </row>
    <row r="319" spans="1:33" s="37" customFormat="1" ht="22.5" customHeight="1" x14ac:dyDescent="0.2">
      <c r="A319" s="13">
        <f t="shared" si="6"/>
        <v>27</v>
      </c>
      <c r="B319" s="11"/>
      <c r="C319" s="21"/>
      <c r="D319" s="13"/>
      <c r="E319" s="13"/>
      <c r="F319" s="18"/>
      <c r="G319" s="1"/>
      <c r="H319" s="60"/>
      <c r="I319" s="2"/>
      <c r="J319" s="3"/>
      <c r="K319" s="3"/>
      <c r="L319" s="3"/>
      <c r="M319" s="3"/>
      <c r="N319" s="84" t="s">
        <v>744</v>
      </c>
      <c r="O319" s="79">
        <v>1</v>
      </c>
      <c r="P319" s="3"/>
      <c r="Q319" s="4"/>
      <c r="R319" s="84" t="s">
        <v>377</v>
      </c>
      <c r="S319" s="87" t="s">
        <v>53</v>
      </c>
      <c r="T319" s="6">
        <v>6.3</v>
      </c>
      <c r="U319" s="13"/>
      <c r="V319" s="3"/>
      <c r="W319" s="4"/>
      <c r="X319" s="13"/>
      <c r="Y319" s="48" t="s">
        <v>63</v>
      </c>
      <c r="Z319" s="48" t="s">
        <v>56</v>
      </c>
      <c r="AA319" s="20" t="s">
        <v>57</v>
      </c>
      <c r="AB319" s="48" t="s">
        <v>63</v>
      </c>
      <c r="AC319" s="48"/>
      <c r="AD319" s="7"/>
      <c r="AE319" s="2"/>
      <c r="AF319" s="2"/>
      <c r="AG319" s="2"/>
    </row>
    <row r="320" spans="1:33" s="37" customFormat="1" ht="22.5" customHeight="1" x14ac:dyDescent="0.2">
      <c r="A320" s="13">
        <f t="shared" si="6"/>
        <v>27</v>
      </c>
      <c r="B320" s="11"/>
      <c r="C320" s="1"/>
      <c r="D320" s="13"/>
      <c r="E320" s="13"/>
      <c r="F320" s="18"/>
      <c r="G320" s="1"/>
      <c r="H320" s="60"/>
      <c r="I320" s="2"/>
      <c r="J320" s="3"/>
      <c r="K320" s="3"/>
      <c r="L320" s="3"/>
      <c r="M320" s="3"/>
      <c r="N320" s="84" t="s">
        <v>178</v>
      </c>
      <c r="O320" s="79">
        <v>1</v>
      </c>
      <c r="P320" s="3"/>
      <c r="Q320" s="4"/>
      <c r="R320" s="84" t="s">
        <v>330</v>
      </c>
      <c r="S320" s="87" t="s">
        <v>53</v>
      </c>
      <c r="T320" s="6">
        <v>43.2</v>
      </c>
      <c r="U320" s="13"/>
      <c r="V320" s="3"/>
      <c r="W320" s="4"/>
      <c r="X320" s="13"/>
      <c r="Y320" s="48" t="s">
        <v>55</v>
      </c>
      <c r="Z320" s="48" t="s">
        <v>141</v>
      </c>
      <c r="AA320" s="20" t="s">
        <v>171</v>
      </c>
      <c r="AB320" s="48" t="s">
        <v>88</v>
      </c>
      <c r="AC320" s="48"/>
      <c r="AD320" s="7"/>
      <c r="AE320" s="2"/>
      <c r="AF320" s="2"/>
      <c r="AG320" s="2"/>
    </row>
    <row r="321" spans="1:33" s="37" customFormat="1" ht="25.5" x14ac:dyDescent="0.2">
      <c r="A321" s="13">
        <f t="shared" si="6"/>
        <v>27</v>
      </c>
      <c r="B321" s="11"/>
      <c r="C321" s="31"/>
      <c r="D321" s="13"/>
      <c r="E321" s="13"/>
      <c r="F321" s="18"/>
      <c r="G321" s="1"/>
      <c r="H321" s="60"/>
      <c r="I321" s="2"/>
      <c r="J321" s="3"/>
      <c r="K321" s="3"/>
      <c r="L321" s="3"/>
      <c r="M321" s="3"/>
      <c r="N321" s="84" t="s">
        <v>179</v>
      </c>
      <c r="O321" s="79">
        <v>1</v>
      </c>
      <c r="P321" s="3"/>
      <c r="Q321" s="4"/>
      <c r="R321" s="84" t="s">
        <v>330</v>
      </c>
      <c r="S321" s="87" t="s">
        <v>53</v>
      </c>
      <c r="T321" s="6">
        <v>20.8</v>
      </c>
      <c r="U321" s="13"/>
      <c r="V321" s="3"/>
      <c r="W321" s="4"/>
      <c r="X321" s="13"/>
      <c r="Y321" s="48" t="s">
        <v>55</v>
      </c>
      <c r="Z321" s="48" t="s">
        <v>140</v>
      </c>
      <c r="AA321" s="20" t="s">
        <v>172</v>
      </c>
      <c r="AB321" s="48" t="s">
        <v>143</v>
      </c>
      <c r="AC321" s="48"/>
      <c r="AD321" s="7"/>
      <c r="AE321" s="2"/>
      <c r="AF321" s="2"/>
      <c r="AG321" s="2"/>
    </row>
    <row r="322" spans="1:33" s="37" customFormat="1" ht="21.75" customHeight="1" x14ac:dyDescent="0.2">
      <c r="A322" s="13">
        <f t="shared" si="6"/>
        <v>27</v>
      </c>
      <c r="B322" s="11"/>
      <c r="C322" s="1"/>
      <c r="D322" s="13"/>
      <c r="E322" s="13"/>
      <c r="F322" s="18"/>
      <c r="G322" s="1"/>
      <c r="H322" s="60"/>
      <c r="I322" s="2"/>
      <c r="J322" s="3"/>
      <c r="K322" s="3"/>
      <c r="L322" s="3"/>
      <c r="M322" s="3"/>
      <c r="N322" s="2"/>
      <c r="O322" s="2"/>
      <c r="P322" s="3"/>
      <c r="Q322" s="4"/>
      <c r="R322" s="84" t="s">
        <v>340</v>
      </c>
      <c r="S322" s="87" t="s">
        <v>53</v>
      </c>
      <c r="T322" s="6">
        <v>44.9</v>
      </c>
      <c r="U322" s="17"/>
      <c r="V322" s="3"/>
      <c r="W322" s="4"/>
      <c r="X322" s="13"/>
      <c r="Y322" s="48"/>
      <c r="Z322" s="48"/>
      <c r="AA322" s="20"/>
      <c r="AB322" s="48"/>
      <c r="AC322" s="48"/>
      <c r="AD322" s="7"/>
      <c r="AE322" s="2"/>
      <c r="AF322" s="2"/>
      <c r="AG322" s="2"/>
    </row>
    <row r="323" spans="1:33" s="37" customFormat="1" ht="33.75" customHeight="1" x14ac:dyDescent="0.2">
      <c r="A323" s="13">
        <f t="shared" si="6"/>
        <v>27</v>
      </c>
      <c r="B323" s="11"/>
      <c r="C323" s="1"/>
      <c r="D323" s="13"/>
      <c r="E323" s="13"/>
      <c r="F323" s="18"/>
      <c r="G323" s="1"/>
      <c r="H323" s="60"/>
      <c r="I323" s="2"/>
      <c r="J323" s="3"/>
      <c r="K323" s="3"/>
      <c r="L323" s="3"/>
      <c r="M323" s="3"/>
      <c r="N323" s="84"/>
      <c r="O323" s="79"/>
      <c r="P323" s="3"/>
      <c r="Q323" s="4"/>
      <c r="R323" s="47" t="s">
        <v>477</v>
      </c>
      <c r="S323" s="13" t="s">
        <v>53</v>
      </c>
      <c r="T323" s="6">
        <v>16.8</v>
      </c>
      <c r="U323" s="17"/>
      <c r="V323" s="3"/>
      <c r="W323" s="4"/>
      <c r="X323" s="13"/>
      <c r="Y323" s="48"/>
      <c r="Z323" s="48"/>
      <c r="AA323" s="20"/>
      <c r="AB323" s="48"/>
      <c r="AC323" s="48"/>
      <c r="AD323" s="7"/>
      <c r="AE323" s="2"/>
      <c r="AF323" s="2"/>
      <c r="AG323" s="2"/>
    </row>
    <row r="324" spans="1:33" s="37" customFormat="1" ht="33.75" customHeight="1" x14ac:dyDescent="0.2">
      <c r="A324" s="13">
        <f t="shared" si="6"/>
        <v>27</v>
      </c>
      <c r="B324" s="11"/>
      <c r="C324" s="1"/>
      <c r="D324" s="13"/>
      <c r="E324" s="13"/>
      <c r="F324" s="18"/>
      <c r="G324" s="1"/>
      <c r="H324" s="60"/>
      <c r="I324" s="13"/>
      <c r="J324" s="5"/>
      <c r="K324" s="5"/>
      <c r="L324" s="4"/>
      <c r="M324" s="4"/>
      <c r="N324" s="1"/>
      <c r="O324" s="5"/>
      <c r="P324" s="3"/>
      <c r="Q324" s="4"/>
      <c r="R324" s="47" t="s">
        <v>499</v>
      </c>
      <c r="S324" s="13" t="s">
        <v>53</v>
      </c>
      <c r="T324" s="6">
        <v>43.68</v>
      </c>
      <c r="U324" s="17"/>
      <c r="V324" s="3"/>
      <c r="W324" s="2"/>
      <c r="X324" s="50"/>
      <c r="Y324" s="48"/>
      <c r="Z324" s="48"/>
      <c r="AA324" s="20"/>
      <c r="AB324" s="48"/>
      <c r="AC324" s="48"/>
      <c r="AD324" s="7"/>
      <c r="AE324" s="2"/>
      <c r="AF324" s="2"/>
      <c r="AG324" s="2"/>
    </row>
    <row r="325" spans="1:33" s="37" customFormat="1" ht="21" customHeight="1" x14ac:dyDescent="0.2">
      <c r="A325" s="13">
        <f t="shared" si="6"/>
        <v>27</v>
      </c>
      <c r="B325" s="11"/>
      <c r="C325" s="1"/>
      <c r="D325" s="13"/>
      <c r="E325" s="13"/>
      <c r="F325" s="18"/>
      <c r="G325" s="1"/>
      <c r="H325" s="60"/>
      <c r="I325" s="13"/>
      <c r="J325" s="5"/>
      <c r="K325" s="5"/>
      <c r="L325" s="4"/>
      <c r="M325" s="4"/>
      <c r="N325" s="1"/>
      <c r="O325" s="5"/>
      <c r="P325" s="3"/>
      <c r="Q325" s="4"/>
      <c r="R325" s="84" t="s">
        <v>378</v>
      </c>
      <c r="S325" s="87" t="s">
        <v>53</v>
      </c>
      <c r="T325" s="6">
        <v>3.36</v>
      </c>
      <c r="U325" s="17"/>
      <c r="V325" s="3"/>
      <c r="W325" s="4"/>
      <c r="X325" s="13"/>
      <c r="Y325" s="48"/>
      <c r="Z325" s="48"/>
      <c r="AA325" s="20"/>
      <c r="AB325" s="48"/>
      <c r="AC325" s="48"/>
      <c r="AD325" s="7"/>
      <c r="AE325" s="2"/>
      <c r="AF325" s="2"/>
      <c r="AG325" s="2"/>
    </row>
    <row r="326" spans="1:33" s="37" customFormat="1" ht="21" customHeight="1" x14ac:dyDescent="0.2">
      <c r="A326" s="13">
        <f t="shared" si="6"/>
        <v>27</v>
      </c>
      <c r="B326" s="11"/>
      <c r="C326" s="21"/>
      <c r="D326" s="14"/>
      <c r="E326" s="11"/>
      <c r="F326" s="15"/>
      <c r="G326" s="21"/>
      <c r="H326" s="60"/>
      <c r="I326" s="12"/>
      <c r="J326" s="7"/>
      <c r="K326" s="7"/>
      <c r="L326" s="7"/>
      <c r="M326" s="7"/>
      <c r="N326" s="130"/>
      <c r="O326" s="131"/>
      <c r="P326" s="7"/>
      <c r="Q326" s="9"/>
      <c r="R326" s="84" t="s">
        <v>500</v>
      </c>
      <c r="S326" s="87" t="s">
        <v>53</v>
      </c>
      <c r="T326" s="6">
        <v>4.63</v>
      </c>
      <c r="U326" s="11"/>
      <c r="V326" s="7"/>
      <c r="W326" s="9"/>
      <c r="X326" s="15"/>
      <c r="Y326" s="49"/>
      <c r="Z326" s="49"/>
      <c r="AA326" s="256"/>
      <c r="AB326" s="49"/>
      <c r="AC326" s="49"/>
      <c r="AD326" s="7"/>
      <c r="AE326" s="12"/>
      <c r="AF326" s="12"/>
      <c r="AG326" s="12"/>
    </row>
    <row r="327" spans="1:33" s="37" customFormat="1" ht="20.25" customHeight="1" x14ac:dyDescent="0.2">
      <c r="A327" s="13">
        <f t="shared" si="6"/>
        <v>27</v>
      </c>
      <c r="B327" s="11"/>
      <c r="C327" s="92"/>
      <c r="D327" s="114"/>
      <c r="E327" s="13"/>
      <c r="F327" s="18"/>
      <c r="G327" s="1"/>
      <c r="H327" s="60"/>
      <c r="I327" s="2"/>
      <c r="J327" s="3"/>
      <c r="K327" s="3"/>
      <c r="L327" s="3"/>
      <c r="M327" s="3"/>
      <c r="N327" s="84"/>
      <c r="O327" s="79"/>
      <c r="P327" s="3"/>
      <c r="Q327" s="4"/>
      <c r="R327" s="84" t="s">
        <v>373</v>
      </c>
      <c r="S327" s="87" t="s">
        <v>53</v>
      </c>
      <c r="T327" s="6">
        <v>11.76</v>
      </c>
      <c r="U327" s="13"/>
      <c r="V327" s="3"/>
      <c r="W327" s="4"/>
      <c r="X327" s="18"/>
      <c r="Y327" s="48"/>
      <c r="Z327" s="48"/>
      <c r="AA327" s="20"/>
      <c r="AB327" s="48"/>
      <c r="AC327" s="48"/>
      <c r="AD327" s="7"/>
      <c r="AE327" s="1"/>
      <c r="AF327" s="1"/>
      <c r="AG327" s="1"/>
    </row>
    <row r="328" spans="1:33" s="37" customFormat="1" ht="25.5" x14ac:dyDescent="0.2">
      <c r="A328" s="13">
        <f t="shared" si="6"/>
        <v>27</v>
      </c>
      <c r="B328" s="11"/>
      <c r="C328" s="82"/>
      <c r="D328" s="13"/>
      <c r="E328" s="13"/>
      <c r="F328" s="18"/>
      <c r="G328" s="84"/>
      <c r="H328" s="60"/>
      <c r="I328" s="2"/>
      <c r="J328" s="3"/>
      <c r="K328" s="3"/>
      <c r="L328" s="3"/>
      <c r="M328" s="3"/>
      <c r="N328" s="84"/>
      <c r="O328" s="79"/>
      <c r="P328" s="3"/>
      <c r="Q328" s="4"/>
      <c r="R328" s="47" t="s">
        <v>501</v>
      </c>
      <c r="S328" s="13" t="s">
        <v>53</v>
      </c>
      <c r="T328" s="6">
        <v>79.599999999999994</v>
      </c>
      <c r="U328" s="13"/>
      <c r="V328" s="3"/>
      <c r="W328" s="4"/>
      <c r="X328" s="13"/>
      <c r="Y328" s="48"/>
      <c r="Z328" s="48"/>
      <c r="AA328" s="20"/>
      <c r="AB328" s="48"/>
      <c r="AC328" s="48"/>
      <c r="AD328" s="7"/>
      <c r="AE328" s="1"/>
      <c r="AF328" s="1"/>
      <c r="AG328" s="1"/>
    </row>
    <row r="329" spans="1:33" s="37" customFormat="1" ht="24.75" customHeight="1" x14ac:dyDescent="0.2">
      <c r="A329" s="13">
        <f t="shared" si="6"/>
        <v>27</v>
      </c>
      <c r="B329" s="14"/>
      <c r="C329" s="82"/>
      <c r="D329" s="13"/>
      <c r="E329" s="13"/>
      <c r="F329" s="18"/>
      <c r="G329" s="1"/>
      <c r="H329" s="60"/>
      <c r="I329" s="13"/>
      <c r="J329" s="5"/>
      <c r="K329" s="5"/>
      <c r="L329" s="4"/>
      <c r="M329" s="4"/>
      <c r="N329" s="1"/>
      <c r="O329" s="5"/>
      <c r="P329" s="3"/>
      <c r="Q329" s="4"/>
      <c r="R329" s="140" t="s">
        <v>173</v>
      </c>
      <c r="S329" s="155" t="s">
        <v>174</v>
      </c>
      <c r="T329" s="6">
        <v>1</v>
      </c>
      <c r="U329" s="17"/>
      <c r="V329" s="3"/>
      <c r="W329" s="4"/>
      <c r="X329" s="13"/>
      <c r="Y329" s="48"/>
      <c r="Z329" s="48"/>
      <c r="AA329" s="20"/>
      <c r="AB329" s="48"/>
      <c r="AC329" s="48"/>
      <c r="AD329" s="7"/>
      <c r="AE329" s="2"/>
      <c r="AF329" s="2"/>
      <c r="AG329" s="2"/>
    </row>
    <row r="330" spans="1:33" s="37" customFormat="1" ht="20.25" customHeight="1" x14ac:dyDescent="0.2">
      <c r="A330" s="13">
        <f t="shared" si="6"/>
        <v>27</v>
      </c>
      <c r="B330" s="11"/>
      <c r="C330" s="154"/>
      <c r="D330" s="13"/>
      <c r="E330" s="13"/>
      <c r="F330" s="18"/>
      <c r="G330" s="1"/>
      <c r="H330" s="60"/>
      <c r="I330" s="13"/>
      <c r="J330" s="5"/>
      <c r="K330" s="5"/>
      <c r="L330" s="4"/>
      <c r="M330" s="4"/>
      <c r="N330" s="140"/>
      <c r="O330" s="5"/>
      <c r="P330" s="141"/>
      <c r="Q330" s="141"/>
      <c r="R330" s="140" t="s">
        <v>427</v>
      </c>
      <c r="S330" s="152" t="s">
        <v>53</v>
      </c>
      <c r="T330" s="6">
        <v>17.7</v>
      </c>
      <c r="U330" s="17"/>
      <c r="V330" s="3"/>
      <c r="W330" s="4"/>
      <c r="X330" s="13"/>
      <c r="Y330" s="48"/>
      <c r="Z330" s="48"/>
      <c r="AA330" s="20"/>
      <c r="AB330" s="48"/>
      <c r="AC330" s="48"/>
      <c r="AD330" s="7"/>
      <c r="AE330" s="1"/>
      <c r="AF330" s="1"/>
      <c r="AG330" s="1"/>
    </row>
    <row r="331" spans="1:33" s="37" customFormat="1" ht="12.75" x14ac:dyDescent="0.2">
      <c r="A331" s="13">
        <f t="shared" si="6"/>
        <v>27</v>
      </c>
      <c r="B331" s="11"/>
      <c r="C331" s="153"/>
      <c r="D331" s="13"/>
      <c r="E331" s="13"/>
      <c r="F331" s="2"/>
      <c r="G331" s="1"/>
      <c r="H331" s="50"/>
      <c r="I331" s="51"/>
      <c r="J331" s="51"/>
      <c r="K331" s="51"/>
      <c r="L331" s="51"/>
      <c r="M331" s="51"/>
      <c r="N331" s="51"/>
      <c r="O331" s="51"/>
      <c r="P331" s="51"/>
      <c r="Q331" s="51"/>
      <c r="R331" s="2"/>
      <c r="S331" s="51"/>
      <c r="T331" s="51"/>
      <c r="U331" s="50"/>
      <c r="V331" s="51"/>
      <c r="W331" s="51"/>
      <c r="X331" s="50"/>
      <c r="Y331" s="50"/>
      <c r="Z331" s="50"/>
      <c r="AA331" s="257"/>
      <c r="AB331" s="50"/>
      <c r="AC331" s="50"/>
      <c r="AD331" s="51"/>
      <c r="AE331" s="51"/>
      <c r="AF331" s="51"/>
      <c r="AG331" s="2"/>
    </row>
    <row r="332" spans="1:33" s="37" customFormat="1" ht="12.75" x14ac:dyDescent="0.2">
      <c r="A332" s="13">
        <f t="shared" si="6"/>
        <v>27</v>
      </c>
      <c r="B332" s="11"/>
      <c r="C332" s="138"/>
      <c r="D332" s="13"/>
      <c r="E332" s="13"/>
      <c r="F332" s="18"/>
      <c r="G332" s="1"/>
      <c r="H332" s="60"/>
      <c r="I332" s="13"/>
      <c r="J332" s="5"/>
      <c r="K332" s="5"/>
      <c r="L332" s="4"/>
      <c r="M332" s="4"/>
      <c r="N332" s="140"/>
      <c r="O332" s="5"/>
      <c r="P332" s="141"/>
      <c r="Q332" s="141"/>
      <c r="R332" s="2"/>
      <c r="S332" s="51"/>
      <c r="T332" s="51"/>
      <c r="U332" s="17"/>
      <c r="V332" s="3"/>
      <c r="W332" s="4"/>
      <c r="X332" s="13"/>
      <c r="Y332" s="48"/>
      <c r="Z332" s="48"/>
      <c r="AA332" s="20"/>
      <c r="AB332" s="48"/>
      <c r="AC332" s="48"/>
      <c r="AD332" s="7"/>
      <c r="AE332" s="1"/>
      <c r="AF332" s="1"/>
      <c r="AG332" s="1"/>
    </row>
    <row r="333" spans="1:33" s="37" customFormat="1" ht="12.75" x14ac:dyDescent="0.2">
      <c r="A333" s="13">
        <f t="shared" si="6"/>
        <v>27</v>
      </c>
      <c r="B333" s="11"/>
      <c r="C333" s="1"/>
      <c r="D333" s="13"/>
      <c r="E333" s="13"/>
      <c r="F333" s="18"/>
      <c r="G333" s="1"/>
      <c r="H333" s="60"/>
      <c r="I333" s="13"/>
      <c r="J333" s="5"/>
      <c r="K333" s="5"/>
      <c r="L333" s="4"/>
      <c r="M333" s="4"/>
      <c r="N333" s="140"/>
      <c r="O333" s="5"/>
      <c r="P333" s="141"/>
      <c r="Q333" s="141"/>
      <c r="R333" s="140"/>
      <c r="S333" s="152"/>
      <c r="T333" s="6"/>
      <c r="U333" s="17"/>
      <c r="V333" s="3"/>
      <c r="W333" s="4"/>
      <c r="X333" s="13"/>
      <c r="Y333" s="48"/>
      <c r="Z333" s="48"/>
      <c r="AA333" s="20"/>
      <c r="AB333" s="48"/>
      <c r="AC333" s="48"/>
      <c r="AD333" s="7"/>
      <c r="AE333" s="1"/>
      <c r="AF333" s="1"/>
      <c r="AG333" s="1"/>
    </row>
    <row r="334" spans="1:33" s="37" customFormat="1" ht="12.75" x14ac:dyDescent="0.2">
      <c r="A334" s="13">
        <f t="shared" si="6"/>
        <v>27</v>
      </c>
      <c r="B334" s="11"/>
      <c r="C334" s="92"/>
      <c r="D334" s="14"/>
      <c r="E334" s="11"/>
      <c r="F334" s="15"/>
      <c r="G334" s="21"/>
      <c r="H334" s="60"/>
      <c r="I334" s="11"/>
      <c r="J334" s="8"/>
      <c r="K334" s="8"/>
      <c r="L334" s="9"/>
      <c r="M334" s="9"/>
      <c r="N334" s="22"/>
      <c r="O334" s="8"/>
      <c r="P334" s="7"/>
      <c r="Q334" s="9"/>
      <c r="R334" s="23"/>
      <c r="S334" s="11"/>
      <c r="T334" s="6"/>
      <c r="U334" s="11"/>
      <c r="V334" s="7"/>
      <c r="W334" s="9"/>
      <c r="X334" s="13"/>
      <c r="Y334" s="48"/>
      <c r="Z334" s="48"/>
      <c r="AA334" s="20"/>
      <c r="AB334" s="48"/>
      <c r="AC334" s="48"/>
      <c r="AD334" s="7"/>
      <c r="AE334" s="2"/>
      <c r="AF334" s="2"/>
      <c r="AG334" s="2"/>
    </row>
    <row r="335" spans="1:33" s="37" customFormat="1" ht="116.25" customHeight="1" x14ac:dyDescent="0.2">
      <c r="A335" s="13">
        <f t="shared" si="6"/>
        <v>28</v>
      </c>
      <c r="B335" s="11">
        <v>28</v>
      </c>
      <c r="C335" s="154" t="s">
        <v>180</v>
      </c>
      <c r="D335" s="13">
        <v>4</v>
      </c>
      <c r="E335" s="13">
        <v>86</v>
      </c>
      <c r="F335" s="18">
        <v>263</v>
      </c>
      <c r="G335" s="1" t="s">
        <v>417</v>
      </c>
      <c r="H335" s="60">
        <v>65</v>
      </c>
      <c r="I335" s="13"/>
      <c r="J335" s="5"/>
      <c r="K335" s="5"/>
      <c r="L335" s="4"/>
      <c r="M335" s="4"/>
      <c r="N335" s="140" t="s">
        <v>145</v>
      </c>
      <c r="O335" s="5">
        <v>2</v>
      </c>
      <c r="P335" s="141"/>
      <c r="Q335" s="141"/>
      <c r="R335" s="140" t="s">
        <v>1754</v>
      </c>
      <c r="S335" s="155" t="s">
        <v>53</v>
      </c>
      <c r="T335" s="6">
        <v>42.7</v>
      </c>
      <c r="U335" s="17"/>
      <c r="V335" s="3"/>
      <c r="W335" s="4"/>
      <c r="X335" s="13" t="s">
        <v>63</v>
      </c>
      <c r="Y335" s="48" t="s">
        <v>55</v>
      </c>
      <c r="Z335" s="48" t="s">
        <v>56</v>
      </c>
      <c r="AA335" s="20" t="s">
        <v>57</v>
      </c>
      <c r="AB335" s="48" t="s">
        <v>63</v>
      </c>
      <c r="AC335" s="20" t="s">
        <v>430</v>
      </c>
      <c r="AD335" s="7"/>
      <c r="AE335" s="1" t="s">
        <v>666</v>
      </c>
      <c r="AF335" s="1"/>
      <c r="AG335" s="1"/>
    </row>
    <row r="336" spans="1:33" s="37" customFormat="1" ht="30.75" customHeight="1" x14ac:dyDescent="0.2">
      <c r="A336" s="13">
        <f t="shared" si="6"/>
        <v>28</v>
      </c>
      <c r="B336" s="11"/>
      <c r="C336" s="153" t="s">
        <v>181</v>
      </c>
      <c r="D336" s="13"/>
      <c r="E336" s="13"/>
      <c r="F336" s="18"/>
      <c r="G336" s="1" t="s">
        <v>453</v>
      </c>
      <c r="H336" s="60">
        <v>2.1</v>
      </c>
      <c r="I336" s="13"/>
      <c r="J336" s="5"/>
      <c r="K336" s="5"/>
      <c r="L336" s="4"/>
      <c r="M336" s="4"/>
      <c r="N336" s="140" t="s">
        <v>183</v>
      </c>
      <c r="O336" s="5">
        <v>1</v>
      </c>
      <c r="P336" s="141"/>
      <c r="Q336" s="141"/>
      <c r="R336" s="84" t="s">
        <v>1859</v>
      </c>
      <c r="S336" s="152" t="s">
        <v>53</v>
      </c>
      <c r="T336" s="6">
        <v>18.350000000000001</v>
      </c>
      <c r="U336" s="17"/>
      <c r="V336" s="3"/>
      <c r="W336" s="4"/>
      <c r="X336" s="13"/>
      <c r="Y336" s="48"/>
      <c r="Z336" s="48"/>
      <c r="AA336" s="20"/>
      <c r="AB336" s="48"/>
      <c r="AC336" s="48"/>
      <c r="AD336" s="7"/>
      <c r="AE336" s="2" t="s">
        <v>182</v>
      </c>
      <c r="AF336" s="2"/>
      <c r="AG336" s="2"/>
    </row>
    <row r="337" spans="1:33" s="37" customFormat="1" ht="35.25" customHeight="1" x14ac:dyDescent="0.2">
      <c r="A337" s="13">
        <f t="shared" si="6"/>
        <v>28</v>
      </c>
      <c r="B337" s="11"/>
      <c r="C337" s="138" t="s">
        <v>667</v>
      </c>
      <c r="D337" s="13"/>
      <c r="E337" s="13"/>
      <c r="F337" s="18"/>
      <c r="G337" s="1"/>
      <c r="H337" s="60"/>
      <c r="I337" s="13"/>
      <c r="J337" s="5"/>
      <c r="K337" s="5"/>
      <c r="L337" s="4"/>
      <c r="M337" s="4"/>
      <c r="N337" s="140" t="s">
        <v>184</v>
      </c>
      <c r="O337" s="5">
        <v>1</v>
      </c>
      <c r="P337" s="141"/>
      <c r="Q337" s="141"/>
      <c r="R337" s="140" t="s">
        <v>1860</v>
      </c>
      <c r="S337" s="152" t="s">
        <v>53</v>
      </c>
      <c r="T337" s="6">
        <v>27.8</v>
      </c>
      <c r="U337" s="17"/>
      <c r="V337" s="3"/>
      <c r="W337" s="4"/>
      <c r="X337" s="13"/>
      <c r="Y337" s="48"/>
      <c r="Z337" s="48"/>
      <c r="AA337" s="20"/>
      <c r="AB337" s="48"/>
      <c r="AC337" s="48"/>
      <c r="AD337" s="7"/>
      <c r="AE337" s="2" t="s">
        <v>404</v>
      </c>
      <c r="AF337" s="2"/>
      <c r="AG337" s="2"/>
    </row>
    <row r="338" spans="1:33" s="37" customFormat="1" ht="63" customHeight="1" x14ac:dyDescent="0.2">
      <c r="A338" s="13">
        <f t="shared" si="6"/>
        <v>28</v>
      </c>
      <c r="B338" s="11"/>
      <c r="C338" s="1"/>
      <c r="D338" s="13"/>
      <c r="E338" s="13"/>
      <c r="F338" s="18"/>
      <c r="G338" s="1"/>
      <c r="H338" s="60"/>
      <c r="I338" s="13"/>
      <c r="J338" s="5"/>
      <c r="K338" s="5"/>
      <c r="L338" s="4"/>
      <c r="M338" s="4"/>
      <c r="N338" s="1" t="s">
        <v>185</v>
      </c>
      <c r="O338" s="5">
        <v>1</v>
      </c>
      <c r="P338" s="3"/>
      <c r="Q338" s="4"/>
      <c r="R338" s="47"/>
      <c r="S338" s="13"/>
      <c r="T338" s="6"/>
      <c r="U338" s="13"/>
      <c r="V338" s="3"/>
      <c r="W338" s="4"/>
      <c r="X338" s="13"/>
      <c r="Y338" s="48"/>
      <c r="Z338" s="48"/>
      <c r="AA338" s="20"/>
      <c r="AB338" s="48"/>
      <c r="AC338" s="48"/>
      <c r="AD338" s="7"/>
      <c r="AE338" s="1" t="s">
        <v>1908</v>
      </c>
      <c r="AF338" s="1"/>
      <c r="AG338" s="1"/>
    </row>
    <row r="339" spans="1:33" s="37" customFormat="1" ht="29.25" customHeight="1" x14ac:dyDescent="0.2">
      <c r="A339" s="13">
        <f t="shared" si="6"/>
        <v>28</v>
      </c>
      <c r="B339" s="11"/>
      <c r="C339" s="31"/>
      <c r="D339" s="13"/>
      <c r="E339" s="13"/>
      <c r="F339" s="18"/>
      <c r="G339" s="1"/>
      <c r="H339" s="60"/>
      <c r="I339" s="13"/>
      <c r="J339" s="5"/>
      <c r="K339" s="5"/>
      <c r="L339" s="4"/>
      <c r="M339" s="4"/>
      <c r="N339" s="1" t="s">
        <v>745</v>
      </c>
      <c r="O339" s="5">
        <v>1</v>
      </c>
      <c r="P339" s="3"/>
      <c r="Q339" s="4"/>
      <c r="R339" s="47"/>
      <c r="S339" s="13"/>
      <c r="T339" s="6"/>
      <c r="U339" s="13"/>
      <c r="V339" s="3"/>
      <c r="W339" s="4"/>
      <c r="X339" s="13"/>
      <c r="Y339" s="48"/>
      <c r="Z339" s="48"/>
      <c r="AA339" s="20"/>
      <c r="AB339" s="48"/>
      <c r="AC339" s="48"/>
      <c r="AD339" s="7"/>
      <c r="AE339" s="2"/>
      <c r="AF339" s="2"/>
      <c r="AG339" s="2"/>
    </row>
    <row r="340" spans="1:33" s="37" customFormat="1" ht="12.75" x14ac:dyDescent="0.2">
      <c r="A340" s="13">
        <f t="shared" si="6"/>
        <v>28</v>
      </c>
      <c r="B340" s="11"/>
      <c r="C340" s="1"/>
      <c r="D340" s="13"/>
      <c r="E340" s="13"/>
      <c r="F340" s="18"/>
      <c r="G340" s="1"/>
      <c r="H340" s="60"/>
      <c r="I340" s="13"/>
      <c r="J340" s="5"/>
      <c r="K340" s="5"/>
      <c r="L340" s="4"/>
      <c r="M340" s="4"/>
      <c r="N340" s="1"/>
      <c r="O340" s="5"/>
      <c r="P340" s="3"/>
      <c r="Q340" s="4"/>
      <c r="R340" s="47"/>
      <c r="S340" s="13"/>
      <c r="T340" s="6"/>
      <c r="U340" s="17"/>
      <c r="V340" s="3"/>
      <c r="W340" s="4"/>
      <c r="X340" s="13"/>
      <c r="Y340" s="48"/>
      <c r="Z340" s="48"/>
      <c r="AA340" s="20"/>
      <c r="AB340" s="48"/>
      <c r="AC340" s="48"/>
      <c r="AD340" s="7"/>
      <c r="AE340" s="2"/>
      <c r="AF340" s="2"/>
      <c r="AG340" s="2"/>
    </row>
    <row r="341" spans="1:33" s="37" customFormat="1" ht="12.75" x14ac:dyDescent="0.2">
      <c r="A341" s="13">
        <f t="shared" si="6"/>
        <v>28</v>
      </c>
      <c r="B341" s="11"/>
      <c r="C341" s="1"/>
      <c r="D341" s="14"/>
      <c r="E341" s="11"/>
      <c r="F341" s="15"/>
      <c r="G341" s="21"/>
      <c r="H341" s="60"/>
      <c r="I341" s="11"/>
      <c r="J341" s="8"/>
      <c r="K341" s="8"/>
      <c r="L341" s="9"/>
      <c r="M341" s="9"/>
      <c r="N341" s="22"/>
      <c r="O341" s="8"/>
      <c r="P341" s="7"/>
      <c r="Q341" s="9"/>
      <c r="R341" s="23"/>
      <c r="S341" s="11"/>
      <c r="T341" s="6"/>
      <c r="U341" s="11"/>
      <c r="V341" s="7"/>
      <c r="W341" s="9"/>
      <c r="X341" s="13"/>
      <c r="Y341" s="48"/>
      <c r="Z341" s="48"/>
      <c r="AA341" s="20"/>
      <c r="AB341" s="48"/>
      <c r="AC341" s="48"/>
      <c r="AD341" s="7"/>
      <c r="AE341" s="2"/>
      <c r="AF341" s="2"/>
      <c r="AG341" s="2"/>
    </row>
    <row r="342" spans="1:33" s="37" customFormat="1" ht="12.75" x14ac:dyDescent="0.2">
      <c r="A342" s="13">
        <f t="shared" si="6"/>
        <v>28</v>
      </c>
      <c r="B342" s="11"/>
      <c r="C342" s="92"/>
      <c r="D342" s="13"/>
      <c r="E342" s="13"/>
      <c r="F342" s="2"/>
      <c r="G342" s="1"/>
      <c r="H342" s="50"/>
      <c r="I342" s="51"/>
      <c r="J342" s="51"/>
      <c r="K342" s="51"/>
      <c r="L342" s="51"/>
      <c r="M342" s="51"/>
      <c r="N342" s="51"/>
      <c r="O342" s="51"/>
      <c r="P342" s="51"/>
      <c r="Q342" s="51"/>
      <c r="R342" s="2"/>
      <c r="S342" s="51"/>
      <c r="T342" s="51"/>
      <c r="U342" s="50"/>
      <c r="V342" s="51"/>
      <c r="W342" s="51"/>
      <c r="X342" s="50"/>
      <c r="Y342" s="50"/>
      <c r="Z342" s="50"/>
      <c r="AA342" s="257"/>
      <c r="AB342" s="50"/>
      <c r="AC342" s="50"/>
      <c r="AD342" s="51"/>
      <c r="AE342" s="51"/>
      <c r="AF342" s="51"/>
      <c r="AG342" s="2"/>
    </row>
    <row r="343" spans="1:33" s="37" customFormat="1" ht="115.5" customHeight="1" x14ac:dyDescent="0.2">
      <c r="A343" s="13">
        <f t="shared" si="6"/>
        <v>29</v>
      </c>
      <c r="B343" s="11">
        <v>29</v>
      </c>
      <c r="C343" s="21" t="s">
        <v>128</v>
      </c>
      <c r="D343" s="13">
        <v>1</v>
      </c>
      <c r="E343" s="13">
        <v>86</v>
      </c>
      <c r="F343" s="18">
        <v>259</v>
      </c>
      <c r="G343" s="1" t="s">
        <v>416</v>
      </c>
      <c r="H343" s="60">
        <v>79.900000000000006</v>
      </c>
      <c r="I343" s="2"/>
      <c r="J343" s="3"/>
      <c r="K343" s="3"/>
      <c r="L343" s="3"/>
      <c r="M343" s="3"/>
      <c r="N343" s="84" t="s">
        <v>145</v>
      </c>
      <c r="O343" s="5">
        <v>1</v>
      </c>
      <c r="P343" s="3"/>
      <c r="Q343" s="4"/>
      <c r="R343" s="84" t="s">
        <v>407</v>
      </c>
      <c r="S343" s="87" t="s">
        <v>53</v>
      </c>
      <c r="T343" s="6">
        <v>28.9</v>
      </c>
      <c r="U343" s="17"/>
      <c r="V343" s="3"/>
      <c r="W343" s="4"/>
      <c r="X343" s="13" t="s">
        <v>54</v>
      </c>
      <c r="Y343" s="48" t="s">
        <v>55</v>
      </c>
      <c r="Z343" s="48" t="s">
        <v>56</v>
      </c>
      <c r="AA343" s="20" t="s">
        <v>186</v>
      </c>
      <c r="AB343" s="48" t="s">
        <v>66</v>
      </c>
      <c r="AC343" s="48"/>
      <c r="AD343" s="7"/>
      <c r="AE343" s="1" t="s">
        <v>668</v>
      </c>
      <c r="AF343" s="1"/>
      <c r="AG343" s="1"/>
    </row>
    <row r="344" spans="1:33" s="37" customFormat="1" ht="36" customHeight="1" x14ac:dyDescent="0.2">
      <c r="A344" s="13">
        <f t="shared" si="6"/>
        <v>29</v>
      </c>
      <c r="B344" s="11"/>
      <c r="C344" s="1" t="s">
        <v>129</v>
      </c>
      <c r="D344" s="13"/>
      <c r="E344" s="13">
        <v>86</v>
      </c>
      <c r="F344" s="18">
        <v>259</v>
      </c>
      <c r="G344" s="1" t="s">
        <v>417</v>
      </c>
      <c r="H344" s="60">
        <v>111.7</v>
      </c>
      <c r="I344" s="2"/>
      <c r="J344" s="3"/>
      <c r="K344" s="3"/>
      <c r="L344" s="3"/>
      <c r="M344" s="3"/>
      <c r="N344" s="84" t="s">
        <v>77</v>
      </c>
      <c r="O344" s="5">
        <v>1</v>
      </c>
      <c r="P344" s="3"/>
      <c r="Q344" s="4"/>
      <c r="R344" s="84" t="s">
        <v>379</v>
      </c>
      <c r="S344" s="87" t="s">
        <v>53</v>
      </c>
      <c r="T344" s="6">
        <v>2.6</v>
      </c>
      <c r="U344" s="17"/>
      <c r="V344" s="3"/>
      <c r="W344" s="4"/>
      <c r="X344" s="13"/>
      <c r="Y344" s="48"/>
      <c r="Z344" s="48" t="s">
        <v>56</v>
      </c>
      <c r="AA344" s="20" t="s">
        <v>57</v>
      </c>
      <c r="AB344" s="48" t="s">
        <v>139</v>
      </c>
      <c r="AC344" s="48"/>
      <c r="AD344" s="7"/>
      <c r="AE344" s="2" t="s">
        <v>488</v>
      </c>
      <c r="AF344" s="2"/>
      <c r="AG344" s="2"/>
    </row>
    <row r="345" spans="1:33" s="37" customFormat="1" ht="38.25" x14ac:dyDescent="0.2">
      <c r="A345" s="13">
        <f t="shared" si="6"/>
        <v>29</v>
      </c>
      <c r="B345" s="11"/>
      <c r="C345" s="34" t="s">
        <v>669</v>
      </c>
      <c r="D345" s="13"/>
      <c r="E345" s="13"/>
      <c r="F345" s="18"/>
      <c r="G345" s="1" t="s">
        <v>453</v>
      </c>
      <c r="H345" s="60">
        <v>3.8</v>
      </c>
      <c r="I345" s="2"/>
      <c r="J345" s="3"/>
      <c r="K345" s="3"/>
      <c r="L345" s="3"/>
      <c r="M345" s="3"/>
      <c r="N345" s="84" t="s">
        <v>61</v>
      </c>
      <c r="O345" s="5">
        <v>1</v>
      </c>
      <c r="P345" s="3"/>
      <c r="Q345" s="4"/>
      <c r="R345" s="84" t="s">
        <v>397</v>
      </c>
      <c r="S345" s="87" t="s">
        <v>53</v>
      </c>
      <c r="T345" s="6">
        <v>6.65</v>
      </c>
      <c r="U345" s="17"/>
      <c r="V345" s="3"/>
      <c r="W345" s="4"/>
      <c r="X345" s="13"/>
      <c r="Y345" s="48"/>
      <c r="Z345" s="48"/>
      <c r="AA345" s="20"/>
      <c r="AB345" s="48"/>
      <c r="AC345" s="48"/>
      <c r="AD345" s="7"/>
      <c r="AE345" s="2" t="s">
        <v>404</v>
      </c>
      <c r="AF345" s="2"/>
      <c r="AG345" s="2"/>
    </row>
    <row r="346" spans="1:33" s="37" customFormat="1" ht="63.75" x14ac:dyDescent="0.2">
      <c r="A346" s="13">
        <f t="shared" si="6"/>
        <v>29</v>
      </c>
      <c r="B346" s="11"/>
      <c r="C346" s="1"/>
      <c r="D346" s="13"/>
      <c r="E346" s="13"/>
      <c r="F346" s="18"/>
      <c r="G346" s="1"/>
      <c r="H346" s="60"/>
      <c r="I346" s="2"/>
      <c r="J346" s="3"/>
      <c r="K346" s="3"/>
      <c r="L346" s="3"/>
      <c r="M346" s="3"/>
      <c r="N346" s="84" t="s">
        <v>64</v>
      </c>
      <c r="O346" s="5">
        <v>1</v>
      </c>
      <c r="P346" s="3"/>
      <c r="Q346" s="4"/>
      <c r="R346" s="84" t="s">
        <v>71</v>
      </c>
      <c r="S346" s="87" t="s">
        <v>53</v>
      </c>
      <c r="T346" s="6">
        <v>5.25</v>
      </c>
      <c r="U346" s="17"/>
      <c r="V346" s="3"/>
      <c r="W346" s="4"/>
      <c r="X346" s="13"/>
      <c r="Y346" s="48"/>
      <c r="Z346" s="48"/>
      <c r="AA346" s="20"/>
      <c r="AB346" s="48"/>
      <c r="AC346" s="48"/>
      <c r="AD346" s="7"/>
      <c r="AE346" s="1" t="s">
        <v>502</v>
      </c>
      <c r="AF346" s="1"/>
      <c r="AG346" s="1"/>
    </row>
    <row r="347" spans="1:33" s="37" customFormat="1" ht="24.75" customHeight="1" x14ac:dyDescent="0.2">
      <c r="A347" s="13">
        <f t="shared" si="6"/>
        <v>29</v>
      </c>
      <c r="B347" s="11"/>
      <c r="C347" s="1"/>
      <c r="D347" s="114"/>
      <c r="E347" s="116"/>
      <c r="F347" s="18"/>
      <c r="G347" s="1"/>
      <c r="H347" s="60"/>
      <c r="I347" s="13"/>
      <c r="J347" s="5"/>
      <c r="K347" s="5"/>
      <c r="L347" s="4"/>
      <c r="M347" s="4"/>
      <c r="N347" s="16" t="s">
        <v>746</v>
      </c>
      <c r="O347" s="5">
        <v>1</v>
      </c>
      <c r="P347" s="3"/>
      <c r="Q347" s="4"/>
      <c r="R347" s="47" t="s">
        <v>173</v>
      </c>
      <c r="S347" s="13" t="s">
        <v>93</v>
      </c>
      <c r="T347" s="6">
        <v>1</v>
      </c>
      <c r="U347" s="13"/>
      <c r="V347" s="4"/>
      <c r="W347" s="4"/>
      <c r="X347" s="13"/>
      <c r="Y347" s="48"/>
      <c r="Z347" s="48"/>
      <c r="AA347" s="20"/>
      <c r="AB347" s="48"/>
      <c r="AC347" s="48"/>
      <c r="AD347" s="7"/>
      <c r="AE347" s="2"/>
      <c r="AF347" s="2"/>
      <c r="AG347" s="2"/>
    </row>
    <row r="348" spans="1:33" s="37" customFormat="1" ht="21.75" customHeight="1" x14ac:dyDescent="0.2">
      <c r="A348" s="13">
        <f t="shared" si="6"/>
        <v>29</v>
      </c>
      <c r="B348" s="11"/>
      <c r="C348" s="82"/>
      <c r="D348" s="13"/>
      <c r="E348" s="133"/>
      <c r="F348" s="133"/>
      <c r="G348" s="84"/>
      <c r="H348" s="60"/>
      <c r="I348" s="2"/>
      <c r="J348" s="3"/>
      <c r="K348" s="3"/>
      <c r="L348" s="3"/>
      <c r="M348" s="3"/>
      <c r="N348" s="84" t="s">
        <v>187</v>
      </c>
      <c r="O348" s="79">
        <v>1</v>
      </c>
      <c r="P348" s="3"/>
      <c r="Q348" s="4"/>
      <c r="R348" s="47"/>
      <c r="S348" s="13"/>
      <c r="T348" s="6"/>
      <c r="U348" s="13"/>
      <c r="V348" s="4"/>
      <c r="W348" s="4"/>
      <c r="X348" s="13"/>
      <c r="Y348" s="48"/>
      <c r="Z348" s="48"/>
      <c r="AA348" s="20"/>
      <c r="AB348" s="48"/>
      <c r="AC348" s="48"/>
      <c r="AD348" s="7"/>
      <c r="AE348" s="2"/>
      <c r="AF348" s="2"/>
      <c r="AG348" s="2"/>
    </row>
    <row r="349" spans="1:33" s="37" customFormat="1" ht="21.75" customHeight="1" x14ac:dyDescent="0.2">
      <c r="A349" s="13">
        <f t="shared" si="6"/>
        <v>29</v>
      </c>
      <c r="B349" s="11"/>
      <c r="C349" s="82"/>
      <c r="D349" s="13"/>
      <c r="E349" s="13"/>
      <c r="F349" s="18"/>
      <c r="G349" s="1"/>
      <c r="H349" s="60"/>
      <c r="I349" s="2"/>
      <c r="J349" s="3"/>
      <c r="K349" s="3"/>
      <c r="L349" s="3"/>
      <c r="M349" s="3"/>
      <c r="N349" s="84" t="s">
        <v>747</v>
      </c>
      <c r="O349" s="79">
        <v>1</v>
      </c>
      <c r="P349" s="3"/>
      <c r="Q349" s="4"/>
      <c r="R349" s="84"/>
      <c r="S349" s="87"/>
      <c r="T349" s="6"/>
      <c r="U349" s="13"/>
      <c r="V349" s="4"/>
      <c r="W349" s="4"/>
      <c r="X349" s="13"/>
      <c r="Y349" s="48"/>
      <c r="Z349" s="48"/>
      <c r="AA349" s="20"/>
      <c r="AB349" s="48"/>
      <c r="AC349" s="48"/>
      <c r="AD349" s="7"/>
      <c r="AE349" s="2"/>
      <c r="AF349" s="2"/>
      <c r="AG349" s="2"/>
    </row>
    <row r="350" spans="1:33" s="37" customFormat="1" ht="21.75" customHeight="1" x14ac:dyDescent="0.2">
      <c r="A350" s="13">
        <f t="shared" si="6"/>
        <v>29</v>
      </c>
      <c r="B350" s="11"/>
      <c r="C350" s="1"/>
      <c r="D350" s="13"/>
      <c r="E350" s="13"/>
      <c r="F350" s="18"/>
      <c r="G350" s="1"/>
      <c r="H350" s="60"/>
      <c r="I350" s="13"/>
      <c r="J350" s="5"/>
      <c r="K350" s="5"/>
      <c r="L350" s="4"/>
      <c r="M350" s="4"/>
      <c r="N350" s="1" t="s">
        <v>72</v>
      </c>
      <c r="O350" s="5">
        <v>5</v>
      </c>
      <c r="P350" s="3"/>
      <c r="Q350" s="4"/>
      <c r="R350" s="47"/>
      <c r="S350" s="13"/>
      <c r="T350" s="6"/>
      <c r="U350" s="13"/>
      <c r="V350" s="4"/>
      <c r="W350" s="4"/>
      <c r="X350" s="13"/>
      <c r="Y350" s="48"/>
      <c r="Z350" s="48"/>
      <c r="AA350" s="20"/>
      <c r="AB350" s="48"/>
      <c r="AC350" s="48"/>
      <c r="AD350" s="7"/>
      <c r="AE350" s="2"/>
      <c r="AF350" s="2"/>
      <c r="AG350" s="2"/>
    </row>
    <row r="351" spans="1:33" s="37" customFormat="1" ht="21.75" customHeight="1" x14ac:dyDescent="0.2">
      <c r="A351" s="13">
        <f t="shared" si="6"/>
        <v>29</v>
      </c>
      <c r="B351" s="11"/>
      <c r="C351" s="1"/>
      <c r="D351" s="13"/>
      <c r="E351" s="13"/>
      <c r="F351" s="18"/>
      <c r="G351" s="1"/>
      <c r="H351" s="60"/>
      <c r="I351" s="13"/>
      <c r="J351" s="5"/>
      <c r="K351" s="5"/>
      <c r="L351" s="4"/>
      <c r="M351" s="4"/>
      <c r="N351" s="1" t="s">
        <v>73</v>
      </c>
      <c r="O351" s="5">
        <v>5</v>
      </c>
      <c r="P351" s="3"/>
      <c r="Q351" s="4"/>
      <c r="R351" s="47"/>
      <c r="S351" s="13"/>
      <c r="T351" s="6"/>
      <c r="U351" s="13"/>
      <c r="V351" s="3"/>
      <c r="W351" s="4"/>
      <c r="X351" s="13"/>
      <c r="Y351" s="48"/>
      <c r="Z351" s="48"/>
      <c r="AA351" s="20"/>
      <c r="AB351" s="48"/>
      <c r="AC351" s="48"/>
      <c r="AD351" s="7"/>
      <c r="AE351" s="2"/>
      <c r="AF351" s="2"/>
      <c r="AG351" s="2"/>
    </row>
    <row r="352" spans="1:33" s="37" customFormat="1" ht="21.75" customHeight="1" x14ac:dyDescent="0.2">
      <c r="A352" s="13">
        <f t="shared" si="6"/>
        <v>29</v>
      </c>
      <c r="B352" s="11"/>
      <c r="C352" s="1"/>
      <c r="D352" s="13"/>
      <c r="E352" s="13"/>
      <c r="F352" s="18"/>
      <c r="G352" s="1"/>
      <c r="H352" s="60"/>
      <c r="I352" s="13"/>
      <c r="J352" s="5"/>
      <c r="K352" s="5"/>
      <c r="L352" s="4"/>
      <c r="M352" s="4"/>
      <c r="N352" s="1" t="s">
        <v>75</v>
      </c>
      <c r="O352" s="5">
        <v>4</v>
      </c>
      <c r="P352" s="3"/>
      <c r="Q352" s="4"/>
      <c r="R352" s="47"/>
      <c r="S352" s="13"/>
      <c r="T352" s="6"/>
      <c r="U352" s="13"/>
      <c r="V352" s="3"/>
      <c r="W352" s="4"/>
      <c r="X352" s="13"/>
      <c r="Y352" s="48"/>
      <c r="Z352" s="48"/>
      <c r="AA352" s="20"/>
      <c r="AB352" s="48"/>
      <c r="AC352" s="48"/>
      <c r="AD352" s="7"/>
      <c r="AE352" s="2"/>
      <c r="AF352" s="2"/>
      <c r="AG352" s="2"/>
    </row>
    <row r="353" spans="1:33" s="37" customFormat="1" ht="12.75" x14ac:dyDescent="0.2">
      <c r="A353" s="13">
        <f t="shared" si="6"/>
        <v>29</v>
      </c>
      <c r="B353" s="11"/>
      <c r="C353" s="1"/>
      <c r="D353" s="13"/>
      <c r="E353" s="13"/>
      <c r="F353" s="2"/>
      <c r="G353" s="1"/>
      <c r="H353" s="50"/>
      <c r="I353" s="51"/>
      <c r="J353" s="51"/>
      <c r="K353" s="51"/>
      <c r="L353" s="51"/>
      <c r="M353" s="51"/>
      <c r="N353" s="51"/>
      <c r="O353" s="51"/>
      <c r="P353" s="51"/>
      <c r="Q353" s="51"/>
      <c r="R353" s="2"/>
      <c r="S353" s="51"/>
      <c r="T353" s="51"/>
      <c r="U353" s="50"/>
      <c r="V353" s="51"/>
      <c r="W353" s="51"/>
      <c r="X353" s="50"/>
      <c r="Y353" s="50"/>
      <c r="Z353" s="50"/>
      <c r="AA353" s="257"/>
      <c r="AB353" s="50"/>
      <c r="AC353" s="50"/>
      <c r="AD353" s="51"/>
      <c r="AE353" s="51"/>
      <c r="AF353" s="51"/>
      <c r="AG353" s="2"/>
    </row>
    <row r="354" spans="1:33" s="37" customFormat="1" ht="12.75" x14ac:dyDescent="0.2">
      <c r="A354" s="13">
        <f t="shared" si="6"/>
        <v>29</v>
      </c>
      <c r="B354" s="11"/>
      <c r="C354" s="1"/>
      <c r="D354" s="13"/>
      <c r="E354" s="13"/>
      <c r="F354" s="18"/>
      <c r="G354" s="1"/>
      <c r="H354" s="60"/>
      <c r="I354" s="13"/>
      <c r="J354" s="5"/>
      <c r="K354" s="5"/>
      <c r="L354" s="4"/>
      <c r="M354" s="4"/>
      <c r="N354" s="1"/>
      <c r="O354" s="5"/>
      <c r="P354" s="3"/>
      <c r="Q354" s="4"/>
      <c r="R354" s="47"/>
      <c r="S354" s="13"/>
      <c r="T354" s="6"/>
      <c r="U354" s="13"/>
      <c r="V354" s="3"/>
      <c r="W354" s="4"/>
      <c r="X354" s="13"/>
      <c r="Y354" s="48"/>
      <c r="Z354" s="48"/>
      <c r="AA354" s="20"/>
      <c r="AB354" s="48"/>
      <c r="AC354" s="48"/>
      <c r="AD354" s="7"/>
      <c r="AE354" s="2"/>
      <c r="AF354" s="2"/>
      <c r="AG354" s="2"/>
    </row>
    <row r="355" spans="1:33" s="37" customFormat="1" ht="102" x14ac:dyDescent="0.2">
      <c r="A355" s="13">
        <f t="shared" si="6"/>
        <v>30</v>
      </c>
      <c r="B355" s="11">
        <v>30</v>
      </c>
      <c r="C355" s="21" t="s">
        <v>188</v>
      </c>
      <c r="D355" s="13">
        <v>1</v>
      </c>
      <c r="E355" s="13">
        <v>86</v>
      </c>
      <c r="F355" s="18">
        <v>259</v>
      </c>
      <c r="G355" s="1" t="s">
        <v>416</v>
      </c>
      <c r="H355" s="60">
        <v>80</v>
      </c>
      <c r="I355" s="2"/>
      <c r="J355" s="3"/>
      <c r="K355" s="3"/>
      <c r="L355" s="3"/>
      <c r="M355" s="3"/>
      <c r="N355" s="84"/>
      <c r="O355" s="5"/>
      <c r="P355" s="3"/>
      <c r="Q355" s="4"/>
      <c r="R355" s="84" t="s">
        <v>407</v>
      </c>
      <c r="S355" s="87" t="s">
        <v>53</v>
      </c>
      <c r="T355" s="6">
        <v>28.9</v>
      </c>
      <c r="U355" s="17"/>
      <c r="V355" s="3"/>
      <c r="W355" s="4"/>
      <c r="X355" s="13" t="s">
        <v>54</v>
      </c>
      <c r="Y355" s="48" t="s">
        <v>55</v>
      </c>
      <c r="Z355" s="48" t="s">
        <v>56</v>
      </c>
      <c r="AA355" s="20" t="s">
        <v>186</v>
      </c>
      <c r="AB355" s="48" t="s">
        <v>66</v>
      </c>
      <c r="AC355" s="48"/>
      <c r="AD355" s="7"/>
      <c r="AE355" s="1" t="s">
        <v>670</v>
      </c>
      <c r="AF355" s="1"/>
      <c r="AG355" s="1"/>
    </row>
    <row r="356" spans="1:33" s="37" customFormat="1" ht="34.5" customHeight="1" x14ac:dyDescent="0.2">
      <c r="A356" s="13">
        <f t="shared" si="6"/>
        <v>30</v>
      </c>
      <c r="B356" s="11"/>
      <c r="C356" s="1" t="s">
        <v>189</v>
      </c>
      <c r="D356" s="14"/>
      <c r="E356" s="13">
        <v>86</v>
      </c>
      <c r="F356" s="18">
        <v>259</v>
      </c>
      <c r="G356" s="1" t="s">
        <v>417</v>
      </c>
      <c r="H356" s="60">
        <v>111.7</v>
      </c>
      <c r="I356" s="12"/>
      <c r="J356" s="7"/>
      <c r="K356" s="7"/>
      <c r="L356" s="7"/>
      <c r="M356" s="7"/>
      <c r="N356" s="130"/>
      <c r="O356" s="5"/>
      <c r="P356" s="7"/>
      <c r="Q356" s="9"/>
      <c r="R356" s="84" t="s">
        <v>241</v>
      </c>
      <c r="S356" s="87" t="s">
        <v>53</v>
      </c>
      <c r="T356" s="6">
        <v>14.6</v>
      </c>
      <c r="U356" s="11"/>
      <c r="V356" s="7"/>
      <c r="W356" s="9"/>
      <c r="X356" s="15"/>
      <c r="Y356" s="49"/>
      <c r="Z356" s="49"/>
      <c r="AA356" s="256"/>
      <c r="AB356" s="49"/>
      <c r="AC356" s="49"/>
      <c r="AD356" s="7"/>
      <c r="AE356" s="2" t="s">
        <v>488</v>
      </c>
      <c r="AF356" s="2"/>
      <c r="AG356" s="2"/>
    </row>
    <row r="357" spans="1:33" s="37" customFormat="1" ht="46.5" customHeight="1" x14ac:dyDescent="0.2">
      <c r="A357" s="13">
        <f t="shared" si="6"/>
        <v>30</v>
      </c>
      <c r="B357" s="11"/>
      <c r="C357" s="34" t="s">
        <v>671</v>
      </c>
      <c r="D357" s="114"/>
      <c r="E357" s="13"/>
      <c r="F357" s="18"/>
      <c r="G357" s="1" t="s">
        <v>453</v>
      </c>
      <c r="H357" s="60">
        <v>4.0999999999999996</v>
      </c>
      <c r="I357" s="2"/>
      <c r="J357" s="3"/>
      <c r="K357" s="3"/>
      <c r="L357" s="3"/>
      <c r="M357" s="3"/>
      <c r="N357" s="84"/>
      <c r="O357" s="5"/>
      <c r="P357" s="3"/>
      <c r="Q357" s="4"/>
      <c r="R357" s="84" t="s">
        <v>373</v>
      </c>
      <c r="S357" s="87" t="s">
        <v>53</v>
      </c>
      <c r="T357" s="6">
        <v>15.2</v>
      </c>
      <c r="U357" s="13"/>
      <c r="V357" s="3"/>
      <c r="W357" s="4"/>
      <c r="X357" s="18"/>
      <c r="Y357" s="48"/>
      <c r="Z357" s="48"/>
      <c r="AA357" s="20"/>
      <c r="AB357" s="48"/>
      <c r="AC357" s="48"/>
      <c r="AD357" s="7"/>
      <c r="AE357" s="2" t="s">
        <v>404</v>
      </c>
      <c r="AF357" s="2"/>
      <c r="AG357" s="2"/>
    </row>
    <row r="358" spans="1:33" s="37" customFormat="1" ht="63.75" x14ac:dyDescent="0.2">
      <c r="A358" s="13">
        <f t="shared" ref="A358:A421" si="7">IF(B358&lt;&gt;0,B358,A357)</f>
        <v>30</v>
      </c>
      <c r="B358" s="11"/>
      <c r="C358" s="82"/>
      <c r="D358" s="13"/>
      <c r="E358" s="133"/>
      <c r="F358" s="133"/>
      <c r="G358" s="84"/>
      <c r="H358" s="60"/>
      <c r="I358" s="2"/>
      <c r="J358" s="3"/>
      <c r="K358" s="3"/>
      <c r="L358" s="3"/>
      <c r="M358" s="3"/>
      <c r="N358" s="84"/>
      <c r="O358" s="5"/>
      <c r="P358" s="3"/>
      <c r="Q358" s="4"/>
      <c r="R358" s="84" t="s">
        <v>379</v>
      </c>
      <c r="S358" s="87" t="s">
        <v>53</v>
      </c>
      <c r="T358" s="6">
        <v>2.6</v>
      </c>
      <c r="U358" s="13"/>
      <c r="V358" s="3"/>
      <c r="W358" s="4"/>
      <c r="X358" s="13"/>
      <c r="Y358" s="48"/>
      <c r="Z358" s="48" t="s">
        <v>56</v>
      </c>
      <c r="AA358" s="20" t="s">
        <v>57</v>
      </c>
      <c r="AB358" s="48" t="s">
        <v>54</v>
      </c>
      <c r="AC358" s="48"/>
      <c r="AD358" s="7"/>
      <c r="AE358" s="1" t="s">
        <v>503</v>
      </c>
      <c r="AF358" s="1"/>
      <c r="AG358" s="1"/>
    </row>
    <row r="359" spans="1:33" s="37" customFormat="1" ht="20.25" customHeight="1" x14ac:dyDescent="0.2">
      <c r="A359" s="13">
        <f t="shared" si="7"/>
        <v>30</v>
      </c>
      <c r="B359" s="14"/>
      <c r="C359" s="82"/>
      <c r="D359" s="13"/>
      <c r="E359" s="13"/>
      <c r="F359" s="18"/>
      <c r="G359" s="1"/>
      <c r="H359" s="60"/>
      <c r="I359" s="13"/>
      <c r="J359" s="5"/>
      <c r="K359" s="5"/>
      <c r="L359" s="4"/>
      <c r="M359" s="4"/>
      <c r="N359" s="1"/>
      <c r="O359" s="5"/>
      <c r="P359" s="3"/>
      <c r="Q359" s="4"/>
      <c r="R359" s="84" t="s">
        <v>397</v>
      </c>
      <c r="S359" s="13" t="s">
        <v>53</v>
      </c>
      <c r="T359" s="6">
        <v>6.65</v>
      </c>
      <c r="U359" s="13"/>
      <c r="V359" s="3"/>
      <c r="W359" s="4"/>
      <c r="X359" s="13"/>
      <c r="Y359" s="48"/>
      <c r="Z359" s="48"/>
      <c r="AA359" s="20"/>
      <c r="AB359" s="48"/>
      <c r="AC359" s="48"/>
      <c r="AD359" s="7"/>
      <c r="AE359" s="2"/>
      <c r="AF359" s="2"/>
      <c r="AG359" s="2"/>
    </row>
    <row r="360" spans="1:33" s="37" customFormat="1" ht="20.25" customHeight="1" x14ac:dyDescent="0.2">
      <c r="A360" s="13">
        <f t="shared" si="7"/>
        <v>30</v>
      </c>
      <c r="B360" s="11"/>
      <c r="C360" s="21"/>
      <c r="D360" s="14"/>
      <c r="E360" s="11"/>
      <c r="F360" s="15"/>
      <c r="G360" s="21"/>
      <c r="H360" s="60"/>
      <c r="I360" s="11"/>
      <c r="J360" s="8"/>
      <c r="K360" s="8"/>
      <c r="L360" s="9"/>
      <c r="M360" s="9"/>
      <c r="N360" s="22"/>
      <c r="O360" s="8"/>
      <c r="P360" s="7"/>
      <c r="Q360" s="9"/>
      <c r="R360" s="47" t="s">
        <v>71</v>
      </c>
      <c r="S360" s="13" t="s">
        <v>53</v>
      </c>
      <c r="T360" s="6">
        <v>5.25</v>
      </c>
      <c r="U360" s="11"/>
      <c r="V360" s="7"/>
      <c r="W360" s="9"/>
      <c r="X360" s="13"/>
      <c r="Y360" s="48"/>
      <c r="Z360" s="48"/>
      <c r="AA360" s="20"/>
      <c r="AB360" s="48"/>
      <c r="AC360" s="48"/>
      <c r="AD360" s="7"/>
      <c r="AE360" s="2"/>
      <c r="AF360" s="2"/>
      <c r="AG360" s="2"/>
    </row>
    <row r="361" spans="1:33" s="37" customFormat="1" ht="12.75" x14ac:dyDescent="0.2">
      <c r="A361" s="13">
        <f t="shared" si="7"/>
        <v>30</v>
      </c>
      <c r="B361" s="11"/>
      <c r="C361" s="138"/>
      <c r="D361" s="114"/>
      <c r="E361" s="13"/>
      <c r="F361" s="18"/>
      <c r="G361" s="1"/>
      <c r="H361" s="60"/>
      <c r="I361" s="13"/>
      <c r="J361" s="5"/>
      <c r="K361" s="5"/>
      <c r="L361" s="4"/>
      <c r="M361" s="4"/>
      <c r="N361" s="16"/>
      <c r="O361" s="5"/>
      <c r="P361" s="3"/>
      <c r="Q361" s="4"/>
      <c r="R361" s="47"/>
      <c r="S361" s="13"/>
      <c r="T361" s="6"/>
      <c r="U361" s="13"/>
      <c r="V361" s="3"/>
      <c r="W361" s="4"/>
      <c r="X361" s="15"/>
      <c r="Y361" s="49"/>
      <c r="Z361" s="49"/>
      <c r="AA361" s="256"/>
      <c r="AB361" s="49"/>
      <c r="AC361" s="49"/>
      <c r="AD361" s="7"/>
      <c r="AE361" s="1"/>
      <c r="AF361" s="1"/>
      <c r="AG361" s="1"/>
    </row>
    <row r="362" spans="1:33" s="37" customFormat="1" ht="12.75" x14ac:dyDescent="0.2">
      <c r="A362" s="13">
        <f t="shared" si="7"/>
        <v>30</v>
      </c>
      <c r="B362" s="11"/>
      <c r="C362" s="82"/>
      <c r="D362" s="13"/>
      <c r="E362" s="13"/>
      <c r="F362" s="2"/>
      <c r="G362" s="1"/>
      <c r="H362" s="50"/>
      <c r="I362" s="51"/>
      <c r="J362" s="51"/>
      <c r="K362" s="51"/>
      <c r="L362" s="51"/>
      <c r="M362" s="51"/>
      <c r="N362" s="51"/>
      <c r="O362" s="51"/>
      <c r="P362" s="51"/>
      <c r="Q362" s="51"/>
      <c r="R362" s="2"/>
      <c r="S362" s="51"/>
      <c r="T362" s="51"/>
      <c r="U362" s="50"/>
      <c r="V362" s="51"/>
      <c r="W362" s="51"/>
      <c r="X362" s="50"/>
      <c r="Y362" s="50"/>
      <c r="Z362" s="50"/>
      <c r="AA362" s="257"/>
      <c r="AB362" s="50"/>
      <c r="AC362" s="50"/>
      <c r="AD362" s="51"/>
      <c r="AE362" s="51"/>
      <c r="AF362" s="51"/>
      <c r="AG362" s="2"/>
    </row>
    <row r="363" spans="1:33" s="37" customFormat="1" ht="12.75" x14ac:dyDescent="0.2">
      <c r="A363" s="13">
        <f t="shared" si="7"/>
        <v>30</v>
      </c>
      <c r="B363" s="11"/>
      <c r="C363" s="82"/>
      <c r="D363" s="13"/>
      <c r="E363" s="139"/>
      <c r="F363" s="139"/>
      <c r="G363" s="84"/>
      <c r="H363" s="60"/>
      <c r="I363" s="2"/>
      <c r="J363" s="3"/>
      <c r="K363" s="3"/>
      <c r="L363" s="3"/>
      <c r="M363" s="3"/>
      <c r="N363" s="140"/>
      <c r="O363" s="141"/>
      <c r="P363" s="3"/>
      <c r="Q363" s="4"/>
      <c r="R363" s="84"/>
      <c r="S363" s="87"/>
      <c r="T363" s="6"/>
      <c r="U363" s="13"/>
      <c r="V363" s="3"/>
      <c r="W363" s="4"/>
      <c r="X363" s="18"/>
      <c r="Y363" s="48"/>
      <c r="Z363" s="48"/>
      <c r="AA363" s="20"/>
      <c r="AB363" s="48"/>
      <c r="AC363" s="48"/>
      <c r="AD363" s="7"/>
      <c r="AE363" s="2"/>
      <c r="AF363" s="2"/>
      <c r="AG363" s="2"/>
    </row>
    <row r="364" spans="1:33" s="37" customFormat="1" ht="38.25" x14ac:dyDescent="0.2">
      <c r="A364" s="13">
        <f t="shared" si="7"/>
        <v>31</v>
      </c>
      <c r="B364" s="11">
        <v>31</v>
      </c>
      <c r="C364" s="21" t="s">
        <v>35</v>
      </c>
      <c r="D364" s="13">
        <v>9</v>
      </c>
      <c r="E364" s="13">
        <v>86</v>
      </c>
      <c r="F364" s="18">
        <v>256</v>
      </c>
      <c r="G364" s="1" t="s">
        <v>416</v>
      </c>
      <c r="H364" s="60">
        <v>116.4</v>
      </c>
      <c r="I364" s="2"/>
      <c r="J364" s="3"/>
      <c r="K364" s="3"/>
      <c r="L364" s="3"/>
      <c r="M364" s="3"/>
      <c r="N364" s="84" t="s">
        <v>72</v>
      </c>
      <c r="O364" s="5">
        <v>19</v>
      </c>
      <c r="P364" s="3"/>
      <c r="Q364" s="4"/>
      <c r="R364" s="84" t="s">
        <v>52</v>
      </c>
      <c r="S364" s="87" t="s">
        <v>53</v>
      </c>
      <c r="T364" s="6">
        <v>79.430000000000007</v>
      </c>
      <c r="U364" s="17"/>
      <c r="V364" s="3"/>
      <c r="W364" s="4"/>
      <c r="X364" s="13" t="s">
        <v>63</v>
      </c>
      <c r="Y364" s="48" t="s">
        <v>55</v>
      </c>
      <c r="Z364" s="48" t="s">
        <v>56</v>
      </c>
      <c r="AA364" s="20" t="s">
        <v>186</v>
      </c>
      <c r="AB364" s="48" t="s">
        <v>63</v>
      </c>
      <c r="AC364" s="20" t="s">
        <v>206</v>
      </c>
      <c r="AD364" s="7"/>
      <c r="AE364" s="1" t="s">
        <v>672</v>
      </c>
      <c r="AF364" s="1"/>
      <c r="AG364" s="1"/>
    </row>
    <row r="365" spans="1:33" s="37" customFormat="1" ht="38.25" x14ac:dyDescent="0.2">
      <c r="A365" s="13">
        <f t="shared" si="7"/>
        <v>31</v>
      </c>
      <c r="B365" s="11"/>
      <c r="C365" s="1" t="s">
        <v>190</v>
      </c>
      <c r="D365" s="13"/>
      <c r="E365" s="13">
        <v>86</v>
      </c>
      <c r="F365" s="18">
        <v>256</v>
      </c>
      <c r="G365" s="1" t="s">
        <v>417</v>
      </c>
      <c r="H365" s="60">
        <v>72</v>
      </c>
      <c r="I365" s="2"/>
      <c r="J365" s="3"/>
      <c r="K365" s="3"/>
      <c r="L365" s="3"/>
      <c r="M365" s="3"/>
      <c r="N365" s="84" t="s">
        <v>73</v>
      </c>
      <c r="O365" s="5">
        <v>20</v>
      </c>
      <c r="P365" s="3"/>
      <c r="Q365" s="4"/>
      <c r="R365" s="84" t="s">
        <v>136</v>
      </c>
      <c r="S365" s="87" t="s">
        <v>53</v>
      </c>
      <c r="T365" s="6">
        <v>23.5</v>
      </c>
      <c r="U365" s="17"/>
      <c r="V365" s="3"/>
      <c r="W365" s="4"/>
      <c r="X365" s="13"/>
      <c r="Y365" s="48" t="s">
        <v>55</v>
      </c>
      <c r="Z365" s="48" t="s">
        <v>56</v>
      </c>
      <c r="AA365" s="20" t="s">
        <v>186</v>
      </c>
      <c r="AB365" s="48" t="s">
        <v>66</v>
      </c>
      <c r="AC365" s="48"/>
      <c r="AD365" s="7"/>
      <c r="AE365" s="1" t="s">
        <v>504</v>
      </c>
      <c r="AF365" s="1"/>
      <c r="AG365" s="1"/>
    </row>
    <row r="366" spans="1:33" s="37" customFormat="1" ht="38.25" x14ac:dyDescent="0.2">
      <c r="A366" s="13">
        <f t="shared" si="7"/>
        <v>31</v>
      </c>
      <c r="B366" s="11"/>
      <c r="C366" s="34" t="s">
        <v>673</v>
      </c>
      <c r="D366" s="13"/>
      <c r="E366" s="13"/>
      <c r="F366" s="18"/>
      <c r="G366" s="1" t="s">
        <v>453</v>
      </c>
      <c r="H366" s="60">
        <v>7.1</v>
      </c>
      <c r="I366" s="2"/>
      <c r="J366" s="3"/>
      <c r="K366" s="3"/>
      <c r="L366" s="3"/>
      <c r="M366" s="3"/>
      <c r="N366" s="84" t="s">
        <v>75</v>
      </c>
      <c r="O366" s="5">
        <v>29</v>
      </c>
      <c r="P366" s="3"/>
      <c r="Q366" s="4"/>
      <c r="R366" s="84" t="s">
        <v>136</v>
      </c>
      <c r="S366" s="87" t="s">
        <v>53</v>
      </c>
      <c r="T366" s="6">
        <v>13.3</v>
      </c>
      <c r="U366" s="17"/>
      <c r="V366" s="3"/>
      <c r="W366" s="4"/>
      <c r="X366" s="13"/>
      <c r="Y366" s="48" t="s">
        <v>55</v>
      </c>
      <c r="Z366" s="48" t="s">
        <v>56</v>
      </c>
      <c r="AA366" s="20" t="s">
        <v>186</v>
      </c>
      <c r="AB366" s="48" t="s">
        <v>66</v>
      </c>
      <c r="AC366" s="48"/>
      <c r="AD366" s="7"/>
      <c r="AE366" s="2" t="s">
        <v>207</v>
      </c>
      <c r="AF366" s="2"/>
      <c r="AG366" s="2"/>
    </row>
    <row r="367" spans="1:33" s="37" customFormat="1" ht="25.5" x14ac:dyDescent="0.2">
      <c r="A367" s="13">
        <f t="shared" si="7"/>
        <v>31</v>
      </c>
      <c r="B367" s="11"/>
      <c r="C367" s="1" t="s">
        <v>309</v>
      </c>
      <c r="D367" s="13"/>
      <c r="E367" s="13"/>
      <c r="F367" s="18"/>
      <c r="G367" s="1"/>
      <c r="H367" s="60"/>
      <c r="I367" s="2"/>
      <c r="J367" s="3"/>
      <c r="K367" s="3"/>
      <c r="L367" s="3"/>
      <c r="M367" s="3"/>
      <c r="N367" s="84" t="s">
        <v>748</v>
      </c>
      <c r="O367" s="5">
        <v>1</v>
      </c>
      <c r="P367" s="3"/>
      <c r="Q367" s="4"/>
      <c r="R367" s="84" t="s">
        <v>282</v>
      </c>
      <c r="S367" s="87" t="s">
        <v>53</v>
      </c>
      <c r="T367" s="6">
        <v>4.5599999999999996</v>
      </c>
      <c r="U367" s="17"/>
      <c r="V367" s="3"/>
      <c r="W367" s="4"/>
      <c r="X367" s="13"/>
      <c r="Y367" s="48"/>
      <c r="Z367" s="48" t="s">
        <v>56</v>
      </c>
      <c r="AA367" s="20" t="s">
        <v>57</v>
      </c>
      <c r="AB367" s="48" t="s">
        <v>54</v>
      </c>
      <c r="AC367" s="48"/>
      <c r="AD367" s="7"/>
      <c r="AE367" s="2" t="s">
        <v>404</v>
      </c>
      <c r="AF367" s="2"/>
      <c r="AG367" s="2"/>
    </row>
    <row r="368" spans="1:33" s="37" customFormat="1" ht="51" x14ac:dyDescent="0.2">
      <c r="A368" s="13">
        <f t="shared" si="7"/>
        <v>31</v>
      </c>
      <c r="B368" s="11"/>
      <c r="C368" s="1"/>
      <c r="D368" s="13"/>
      <c r="E368" s="13"/>
      <c r="F368" s="18"/>
      <c r="G368" s="1"/>
      <c r="H368" s="60"/>
      <c r="I368" s="2"/>
      <c r="J368" s="3"/>
      <c r="K368" s="3"/>
      <c r="L368" s="3"/>
      <c r="M368" s="3"/>
      <c r="N368" s="84" t="s">
        <v>352</v>
      </c>
      <c r="O368" s="5">
        <v>1</v>
      </c>
      <c r="P368" s="3"/>
      <c r="Q368" s="4"/>
      <c r="R368" s="84" t="s">
        <v>505</v>
      </c>
      <c r="S368" s="87" t="s">
        <v>53</v>
      </c>
      <c r="T368" s="6">
        <v>32.9</v>
      </c>
      <c r="U368" s="17"/>
      <c r="V368" s="3"/>
      <c r="W368" s="4"/>
      <c r="X368" s="13"/>
      <c r="Y368" s="48"/>
      <c r="Z368" s="48"/>
      <c r="AA368" s="20"/>
      <c r="AB368" s="48"/>
      <c r="AC368" s="48"/>
      <c r="AD368" s="7"/>
      <c r="AE368" s="1" t="s">
        <v>506</v>
      </c>
      <c r="AF368" s="1"/>
      <c r="AG368" s="1"/>
    </row>
    <row r="369" spans="1:33" s="37" customFormat="1" ht="21" customHeight="1" x14ac:dyDescent="0.2">
      <c r="A369" s="13">
        <f t="shared" si="7"/>
        <v>31</v>
      </c>
      <c r="B369" s="11"/>
      <c r="C369" s="1"/>
      <c r="D369" s="13"/>
      <c r="E369" s="13"/>
      <c r="F369" s="18"/>
      <c r="G369" s="1"/>
      <c r="H369" s="60"/>
      <c r="I369" s="2"/>
      <c r="J369" s="3"/>
      <c r="K369" s="3"/>
      <c r="L369" s="3"/>
      <c r="M369" s="3"/>
      <c r="N369" s="84" t="s">
        <v>191</v>
      </c>
      <c r="O369" s="19">
        <v>16</v>
      </c>
      <c r="P369" s="3"/>
      <c r="Q369" s="4"/>
      <c r="R369" s="84" t="s">
        <v>241</v>
      </c>
      <c r="S369" s="87" t="s">
        <v>53</v>
      </c>
      <c r="T369" s="6">
        <v>32.9</v>
      </c>
      <c r="U369" s="17"/>
      <c r="V369" s="3"/>
      <c r="W369" s="4"/>
      <c r="X369" s="13"/>
      <c r="Y369" s="48"/>
      <c r="Z369" s="48"/>
      <c r="AA369" s="20"/>
      <c r="AB369" s="48"/>
      <c r="AC369" s="48"/>
      <c r="AD369" s="7"/>
      <c r="AE369" s="2"/>
      <c r="AF369" s="2"/>
      <c r="AG369" s="2"/>
    </row>
    <row r="370" spans="1:33" s="37" customFormat="1" ht="21" customHeight="1" x14ac:dyDescent="0.2">
      <c r="A370" s="13">
        <f t="shared" si="7"/>
        <v>31</v>
      </c>
      <c r="B370" s="11"/>
      <c r="C370" s="1"/>
      <c r="D370" s="13"/>
      <c r="E370" s="13"/>
      <c r="F370" s="18"/>
      <c r="G370" s="1"/>
      <c r="H370" s="60"/>
      <c r="I370" s="2"/>
      <c r="J370" s="3"/>
      <c r="K370" s="3"/>
      <c r="L370" s="3"/>
      <c r="M370" s="3"/>
      <c r="N370" s="84" t="s">
        <v>192</v>
      </c>
      <c r="O370" s="19">
        <v>5</v>
      </c>
      <c r="P370" s="3"/>
      <c r="Q370" s="4"/>
      <c r="R370" s="84" t="s">
        <v>241</v>
      </c>
      <c r="S370" s="87" t="s">
        <v>53</v>
      </c>
      <c r="T370" s="6">
        <v>26.91</v>
      </c>
      <c r="U370" s="17"/>
      <c r="V370" s="3"/>
      <c r="W370" s="4"/>
      <c r="X370" s="13"/>
      <c r="Y370" s="48"/>
      <c r="Z370" s="48"/>
      <c r="AA370" s="20"/>
      <c r="AB370" s="48"/>
      <c r="AC370" s="48"/>
      <c r="AD370" s="7"/>
      <c r="AE370" s="2"/>
      <c r="AF370" s="2"/>
      <c r="AG370" s="2"/>
    </row>
    <row r="371" spans="1:33" s="37" customFormat="1" ht="21" customHeight="1" x14ac:dyDescent="0.2">
      <c r="A371" s="13">
        <f t="shared" si="7"/>
        <v>31</v>
      </c>
      <c r="B371" s="11"/>
      <c r="C371" s="1"/>
      <c r="D371" s="13"/>
      <c r="E371" s="13"/>
      <c r="F371" s="18"/>
      <c r="G371" s="1"/>
      <c r="H371" s="60"/>
      <c r="I371" s="2"/>
      <c r="J371" s="3"/>
      <c r="K371" s="3"/>
      <c r="L371" s="3"/>
      <c r="M371" s="3"/>
      <c r="N371" s="84" t="s">
        <v>154</v>
      </c>
      <c r="O371" s="5">
        <v>5</v>
      </c>
      <c r="P371" s="3"/>
      <c r="Q371" s="4"/>
      <c r="R371" s="84" t="s">
        <v>241</v>
      </c>
      <c r="S371" s="87" t="s">
        <v>53</v>
      </c>
      <c r="T371" s="6">
        <v>3.7</v>
      </c>
      <c r="U371" s="17"/>
      <c r="V371" s="3"/>
      <c r="W371" s="4"/>
      <c r="X371" s="13"/>
      <c r="Y371" s="48"/>
      <c r="Z371" s="48"/>
      <c r="AA371" s="20"/>
      <c r="AB371" s="48"/>
      <c r="AC371" s="48"/>
      <c r="AD371" s="7"/>
      <c r="AE371" s="2"/>
      <c r="AF371" s="2"/>
      <c r="AG371" s="2"/>
    </row>
    <row r="372" spans="1:33" s="37" customFormat="1" ht="21" customHeight="1" x14ac:dyDescent="0.2">
      <c r="A372" s="13">
        <f t="shared" si="7"/>
        <v>31</v>
      </c>
      <c r="B372" s="11"/>
      <c r="C372" s="1"/>
      <c r="D372" s="13"/>
      <c r="E372" s="13"/>
      <c r="F372" s="18"/>
      <c r="G372" s="1"/>
      <c r="H372" s="60"/>
      <c r="I372" s="2"/>
      <c r="J372" s="3"/>
      <c r="K372" s="3"/>
      <c r="L372" s="3"/>
      <c r="M372" s="3"/>
      <c r="N372" s="84" t="s">
        <v>149</v>
      </c>
      <c r="O372" s="5">
        <v>7</v>
      </c>
      <c r="P372" s="3"/>
      <c r="Q372" s="4"/>
      <c r="R372" s="84" t="s">
        <v>493</v>
      </c>
      <c r="S372" s="87" t="s">
        <v>78</v>
      </c>
      <c r="T372" s="6">
        <v>7.0000000000000007E-2</v>
      </c>
      <c r="U372" s="17"/>
      <c r="V372" s="3"/>
      <c r="W372" s="4"/>
      <c r="X372" s="13"/>
      <c r="Y372" s="48"/>
      <c r="Z372" s="48"/>
      <c r="AA372" s="20"/>
      <c r="AB372" s="48"/>
      <c r="AC372" s="48"/>
      <c r="AD372" s="7"/>
      <c r="AE372" s="2"/>
      <c r="AF372" s="2"/>
      <c r="AG372" s="2"/>
    </row>
    <row r="373" spans="1:33" s="37" customFormat="1" ht="21" customHeight="1" x14ac:dyDescent="0.2">
      <c r="A373" s="13">
        <f t="shared" si="7"/>
        <v>31</v>
      </c>
      <c r="B373" s="11"/>
      <c r="C373" s="1"/>
      <c r="D373" s="13"/>
      <c r="E373" s="13"/>
      <c r="F373" s="18"/>
      <c r="G373" s="1"/>
      <c r="H373" s="60"/>
      <c r="I373" s="2"/>
      <c r="J373" s="3"/>
      <c r="K373" s="3"/>
      <c r="L373" s="3"/>
      <c r="M373" s="3"/>
      <c r="N373" s="84" t="s">
        <v>193</v>
      </c>
      <c r="O373" s="5">
        <v>1</v>
      </c>
      <c r="P373" s="3"/>
      <c r="Q373" s="4"/>
      <c r="R373" s="84" t="s">
        <v>161</v>
      </c>
      <c r="S373" s="87" t="s">
        <v>53</v>
      </c>
      <c r="T373" s="6">
        <v>0.9</v>
      </c>
      <c r="U373" s="17"/>
      <c r="V373" s="3"/>
      <c r="W373" s="4"/>
      <c r="X373" s="13"/>
      <c r="Y373" s="48"/>
      <c r="Z373" s="48"/>
      <c r="AA373" s="20"/>
      <c r="AB373" s="48"/>
      <c r="AC373" s="48"/>
      <c r="AD373" s="7"/>
      <c r="AE373" s="2"/>
      <c r="AF373" s="2"/>
      <c r="AG373" s="2"/>
    </row>
    <row r="374" spans="1:33" s="37" customFormat="1" ht="21" customHeight="1" x14ac:dyDescent="0.2">
      <c r="A374" s="13">
        <f t="shared" si="7"/>
        <v>31</v>
      </c>
      <c r="B374" s="11"/>
      <c r="C374" s="1"/>
      <c r="D374" s="13"/>
      <c r="E374" s="13"/>
      <c r="F374" s="18"/>
      <c r="G374" s="1"/>
      <c r="H374" s="60"/>
      <c r="I374" s="2"/>
      <c r="J374" s="3"/>
      <c r="K374" s="3"/>
      <c r="L374" s="3"/>
      <c r="M374" s="3"/>
      <c r="N374" s="84" t="s">
        <v>194</v>
      </c>
      <c r="O374" s="19">
        <v>15</v>
      </c>
      <c r="P374" s="3"/>
      <c r="Q374" s="4"/>
      <c r="R374" s="84" t="s">
        <v>160</v>
      </c>
      <c r="S374" s="87" t="s">
        <v>53</v>
      </c>
      <c r="T374" s="6">
        <v>0.9</v>
      </c>
      <c r="U374" s="17"/>
      <c r="V374" s="3"/>
      <c r="W374" s="4"/>
      <c r="X374" s="13"/>
      <c r="Y374" s="48"/>
      <c r="Z374" s="48"/>
      <c r="AA374" s="20"/>
      <c r="AB374" s="48"/>
      <c r="AC374" s="48"/>
      <c r="AD374" s="7"/>
      <c r="AE374" s="2"/>
      <c r="AF374" s="2"/>
      <c r="AG374" s="2"/>
    </row>
    <row r="375" spans="1:33" s="37" customFormat="1" ht="21" customHeight="1" x14ac:dyDescent="0.2">
      <c r="A375" s="13">
        <f t="shared" si="7"/>
        <v>31</v>
      </c>
      <c r="B375" s="11"/>
      <c r="C375" s="1"/>
      <c r="D375" s="13"/>
      <c r="E375" s="13"/>
      <c r="F375" s="18"/>
      <c r="G375" s="1"/>
      <c r="H375" s="60"/>
      <c r="I375" s="2"/>
      <c r="J375" s="3"/>
      <c r="K375" s="3"/>
      <c r="L375" s="3"/>
      <c r="M375" s="3"/>
      <c r="N375" s="140"/>
      <c r="O375" s="141"/>
      <c r="P375" s="3"/>
      <c r="Q375" s="4"/>
      <c r="R375" s="84" t="s">
        <v>507</v>
      </c>
      <c r="S375" s="87" t="s">
        <v>53</v>
      </c>
      <c r="T375" s="6">
        <v>5.2</v>
      </c>
      <c r="U375" s="13"/>
      <c r="V375" s="3"/>
      <c r="W375" s="4"/>
      <c r="X375" s="13"/>
      <c r="Y375" s="48"/>
      <c r="Z375" s="48"/>
      <c r="AA375" s="20"/>
      <c r="AB375" s="48"/>
      <c r="AC375" s="48"/>
      <c r="AD375" s="7"/>
      <c r="AE375" s="2"/>
      <c r="AF375" s="2"/>
      <c r="AG375" s="2"/>
    </row>
    <row r="376" spans="1:33" s="37" customFormat="1" ht="32.25" customHeight="1" x14ac:dyDescent="0.2">
      <c r="A376" s="13">
        <f t="shared" si="7"/>
        <v>31</v>
      </c>
      <c r="B376" s="11"/>
      <c r="C376" s="21"/>
      <c r="D376" s="13"/>
      <c r="E376" s="13"/>
      <c r="F376" s="18"/>
      <c r="G376" s="1"/>
      <c r="H376" s="60"/>
      <c r="I376" s="2"/>
      <c r="J376" s="3"/>
      <c r="K376" s="3"/>
      <c r="L376" s="3"/>
      <c r="M376" s="3"/>
      <c r="N376" s="140"/>
      <c r="O376" s="142"/>
      <c r="P376" s="3"/>
      <c r="Q376" s="4"/>
      <c r="R376" s="84" t="s">
        <v>508</v>
      </c>
      <c r="S376" s="87" t="s">
        <v>53</v>
      </c>
      <c r="T376" s="6">
        <v>18.63</v>
      </c>
      <c r="U376" s="13"/>
      <c r="V376" s="3"/>
      <c r="W376" s="4"/>
      <c r="X376" s="13"/>
      <c r="Y376" s="48"/>
      <c r="Z376" s="48"/>
      <c r="AA376" s="20"/>
      <c r="AB376" s="48"/>
      <c r="AC376" s="48"/>
      <c r="AD376" s="7"/>
      <c r="AE376" s="2"/>
      <c r="AF376" s="2"/>
      <c r="AG376" s="2"/>
    </row>
    <row r="377" spans="1:33" s="37" customFormat="1" ht="21" customHeight="1" x14ac:dyDescent="0.2">
      <c r="A377" s="13">
        <f t="shared" si="7"/>
        <v>31</v>
      </c>
      <c r="B377" s="11"/>
      <c r="C377" s="1"/>
      <c r="D377" s="13"/>
      <c r="E377" s="13"/>
      <c r="F377" s="18"/>
      <c r="G377" s="1"/>
      <c r="H377" s="60"/>
      <c r="I377" s="2"/>
      <c r="J377" s="3"/>
      <c r="K377" s="3"/>
      <c r="L377" s="3"/>
      <c r="M377" s="3"/>
      <c r="N377" s="140"/>
      <c r="O377" s="141"/>
      <c r="P377" s="3"/>
      <c r="Q377" s="4"/>
      <c r="R377" s="84" t="s">
        <v>509</v>
      </c>
      <c r="S377" s="87" t="s">
        <v>53</v>
      </c>
      <c r="T377" s="6">
        <v>8.2799999999999994</v>
      </c>
      <c r="U377" s="13"/>
      <c r="V377" s="3"/>
      <c r="W377" s="4"/>
      <c r="X377" s="13"/>
      <c r="Y377" s="48"/>
      <c r="Z377" s="48"/>
      <c r="AA377" s="20"/>
      <c r="AB377" s="48"/>
      <c r="AC377" s="48"/>
      <c r="AD377" s="7"/>
      <c r="AE377" s="2"/>
      <c r="AF377" s="2"/>
      <c r="AG377" s="2"/>
    </row>
    <row r="378" spans="1:33" s="37" customFormat="1" ht="21" customHeight="1" x14ac:dyDescent="0.2">
      <c r="A378" s="13">
        <f t="shared" si="7"/>
        <v>31</v>
      </c>
      <c r="B378" s="11"/>
      <c r="C378" s="31"/>
      <c r="D378" s="13"/>
      <c r="E378" s="13"/>
      <c r="F378" s="18"/>
      <c r="G378" s="1"/>
      <c r="H378" s="60"/>
      <c r="I378" s="13"/>
      <c r="J378" s="5"/>
      <c r="K378" s="5"/>
      <c r="L378" s="4"/>
      <c r="M378" s="4"/>
      <c r="N378" s="1"/>
      <c r="O378" s="5"/>
      <c r="P378" s="3"/>
      <c r="Q378" s="4"/>
      <c r="R378" s="47" t="s">
        <v>208</v>
      </c>
      <c r="S378" s="13" t="s">
        <v>101</v>
      </c>
      <c r="T378" s="6">
        <v>50</v>
      </c>
      <c r="U378" s="13"/>
      <c r="V378" s="3"/>
      <c r="W378" s="4"/>
      <c r="X378" s="13"/>
      <c r="Y378" s="48"/>
      <c r="Z378" s="48"/>
      <c r="AA378" s="20"/>
      <c r="AB378" s="48"/>
      <c r="AC378" s="48"/>
      <c r="AD378" s="7"/>
      <c r="AE378" s="24"/>
      <c r="AF378" s="24"/>
      <c r="AG378" s="24"/>
    </row>
    <row r="379" spans="1:33" s="37" customFormat="1" ht="21" customHeight="1" x14ac:dyDescent="0.2">
      <c r="A379" s="13">
        <f t="shared" si="7"/>
        <v>31</v>
      </c>
      <c r="B379" s="11"/>
      <c r="C379" s="1"/>
      <c r="D379" s="13"/>
      <c r="E379" s="13"/>
      <c r="F379" s="18"/>
      <c r="G379" s="1"/>
      <c r="H379" s="60"/>
      <c r="I379" s="13"/>
      <c r="J379" s="5"/>
      <c r="K379" s="5"/>
      <c r="L379" s="4"/>
      <c r="M379" s="4"/>
      <c r="N379" s="1"/>
      <c r="O379" s="5"/>
      <c r="P379" s="3"/>
      <c r="Q379" s="4"/>
      <c r="R379" s="84" t="s">
        <v>397</v>
      </c>
      <c r="S379" s="13" t="s">
        <v>53</v>
      </c>
      <c r="T379" s="6">
        <v>5.88</v>
      </c>
      <c r="U379" s="13"/>
      <c r="V379" s="3"/>
      <c r="W379" s="4"/>
      <c r="X379" s="13"/>
      <c r="Y379" s="48"/>
      <c r="Z379" s="48"/>
      <c r="AA379" s="20"/>
      <c r="AB379" s="48"/>
      <c r="AC379" s="48"/>
      <c r="AD379" s="7"/>
      <c r="AE379" s="2"/>
      <c r="AF379" s="2"/>
      <c r="AG379" s="2"/>
    </row>
    <row r="380" spans="1:33" s="37" customFormat="1" ht="21" customHeight="1" x14ac:dyDescent="0.2">
      <c r="A380" s="13">
        <f t="shared" si="7"/>
        <v>31</v>
      </c>
      <c r="B380" s="11"/>
      <c r="C380" s="1"/>
      <c r="D380" s="13"/>
      <c r="E380" s="13"/>
      <c r="F380" s="18"/>
      <c r="G380" s="1"/>
      <c r="H380" s="60"/>
      <c r="I380" s="13"/>
      <c r="J380" s="5"/>
      <c r="K380" s="5"/>
      <c r="L380" s="4"/>
      <c r="M380" s="4"/>
      <c r="N380" s="1"/>
      <c r="O380" s="5"/>
      <c r="P380" s="3"/>
      <c r="Q380" s="4"/>
      <c r="R380" s="47" t="s">
        <v>241</v>
      </c>
      <c r="S380" s="13" t="s">
        <v>53</v>
      </c>
      <c r="T380" s="6">
        <v>5.88</v>
      </c>
      <c r="U380" s="17"/>
      <c r="V380" s="3"/>
      <c r="W380" s="4"/>
      <c r="X380" s="13"/>
      <c r="Y380" s="48"/>
      <c r="Z380" s="48"/>
      <c r="AA380" s="20"/>
      <c r="AB380" s="48"/>
      <c r="AC380" s="48"/>
      <c r="AD380" s="7"/>
      <c r="AE380" s="2"/>
      <c r="AF380" s="2"/>
      <c r="AG380" s="2"/>
    </row>
    <row r="381" spans="1:33" s="37" customFormat="1" ht="21" customHeight="1" x14ac:dyDescent="0.2">
      <c r="A381" s="13">
        <f t="shared" si="7"/>
        <v>31</v>
      </c>
      <c r="B381" s="11"/>
      <c r="C381" s="92"/>
      <c r="D381" s="13"/>
      <c r="E381" s="133"/>
      <c r="F381" s="133"/>
      <c r="G381" s="84"/>
      <c r="H381" s="60"/>
      <c r="I381" s="13"/>
      <c r="J381" s="5"/>
      <c r="K381" s="5"/>
      <c r="L381" s="4"/>
      <c r="M381" s="4"/>
      <c r="N381" s="1"/>
      <c r="O381" s="5"/>
      <c r="P381" s="3"/>
      <c r="Q381" s="4"/>
      <c r="R381" s="47" t="s">
        <v>427</v>
      </c>
      <c r="S381" s="87" t="s">
        <v>53</v>
      </c>
      <c r="T381" s="6">
        <v>36.799999999999997</v>
      </c>
      <c r="U381" s="17"/>
      <c r="V381" s="3"/>
      <c r="W381" s="4"/>
      <c r="X381" s="13"/>
      <c r="Y381" s="48"/>
      <c r="Z381" s="48"/>
      <c r="AA381" s="20"/>
      <c r="AB381" s="48"/>
      <c r="AC381" s="48"/>
      <c r="AD381" s="7"/>
      <c r="AE381" s="2"/>
      <c r="AF381" s="2"/>
      <c r="AG381" s="2"/>
    </row>
    <row r="382" spans="1:33" s="37" customFormat="1" ht="32.25" customHeight="1" x14ac:dyDescent="0.2">
      <c r="A382" s="13">
        <f t="shared" si="7"/>
        <v>31</v>
      </c>
      <c r="B382" s="11"/>
      <c r="C382" s="1"/>
      <c r="D382" s="13"/>
      <c r="E382" s="133"/>
      <c r="F382" s="133"/>
      <c r="G382" s="84"/>
      <c r="H382" s="60"/>
      <c r="I382" s="2"/>
      <c r="J382" s="3"/>
      <c r="K382" s="3"/>
      <c r="L382" s="3"/>
      <c r="M382" s="3"/>
      <c r="N382" s="140"/>
      <c r="O382" s="141"/>
      <c r="P382" s="3"/>
      <c r="Q382" s="4"/>
      <c r="R382" s="47" t="s">
        <v>510</v>
      </c>
      <c r="S382" s="87" t="s">
        <v>93</v>
      </c>
      <c r="T382" s="6">
        <v>1</v>
      </c>
      <c r="U382" s="17"/>
      <c r="V382" s="3"/>
      <c r="W382" s="4"/>
      <c r="X382" s="13"/>
      <c r="Y382" s="48"/>
      <c r="Z382" s="48"/>
      <c r="AA382" s="20"/>
      <c r="AB382" s="48"/>
      <c r="AC382" s="48"/>
      <c r="AD382" s="7"/>
      <c r="AE382" s="2"/>
      <c r="AF382" s="2"/>
      <c r="AG382" s="2"/>
    </row>
    <row r="383" spans="1:33" s="37" customFormat="1" ht="21.75" customHeight="1" x14ac:dyDescent="0.2">
      <c r="A383" s="13">
        <f t="shared" si="7"/>
        <v>31</v>
      </c>
      <c r="B383" s="11"/>
      <c r="C383" s="82"/>
      <c r="D383" s="13"/>
      <c r="E383" s="13"/>
      <c r="F383" s="2"/>
      <c r="G383" s="1"/>
      <c r="H383" s="50"/>
      <c r="I383" s="51"/>
      <c r="J383" s="51"/>
      <c r="K383" s="51"/>
      <c r="L383" s="51"/>
      <c r="M383" s="51"/>
      <c r="N383" s="51"/>
      <c r="O383" s="51"/>
      <c r="P383" s="51"/>
      <c r="Q383" s="51"/>
      <c r="R383" s="1" t="s">
        <v>163</v>
      </c>
      <c r="S383" s="87" t="s">
        <v>53</v>
      </c>
      <c r="T383" s="6">
        <v>6.54</v>
      </c>
      <c r="U383" s="50"/>
      <c r="V383" s="51"/>
      <c r="W383" s="51"/>
      <c r="X383" s="50"/>
      <c r="Y383" s="50"/>
      <c r="Z383" s="50"/>
      <c r="AA383" s="257"/>
      <c r="AB383" s="50"/>
      <c r="AC383" s="50"/>
      <c r="AD383" s="51"/>
      <c r="AE383" s="51"/>
      <c r="AF383" s="51"/>
      <c r="AG383" s="2"/>
    </row>
    <row r="384" spans="1:33" s="37" customFormat="1" ht="12.75" x14ac:dyDescent="0.2">
      <c r="A384" s="13">
        <f t="shared" si="7"/>
        <v>31</v>
      </c>
      <c r="B384" s="11"/>
      <c r="C384" s="21"/>
      <c r="D384" s="13"/>
      <c r="E384" s="133"/>
      <c r="F384" s="133"/>
      <c r="G384" s="84"/>
      <c r="H384" s="60"/>
      <c r="I384" s="2"/>
      <c r="J384" s="3"/>
      <c r="K384" s="3"/>
      <c r="L384" s="3"/>
      <c r="M384" s="3"/>
      <c r="N384" s="140"/>
      <c r="O384" s="141"/>
      <c r="P384" s="3"/>
      <c r="Q384" s="4"/>
      <c r="R384" s="84"/>
      <c r="S384" s="87"/>
      <c r="T384" s="6"/>
      <c r="U384" s="17"/>
      <c r="V384" s="3"/>
      <c r="W384" s="4"/>
      <c r="X384" s="13"/>
      <c r="Y384" s="48"/>
      <c r="Z384" s="48"/>
      <c r="AA384" s="20"/>
      <c r="AB384" s="48"/>
      <c r="AC384" s="48"/>
      <c r="AD384" s="7"/>
      <c r="AE384" s="2"/>
      <c r="AF384" s="2"/>
      <c r="AG384" s="2"/>
    </row>
    <row r="385" spans="1:33" s="37" customFormat="1" ht="12.75" x14ac:dyDescent="0.2">
      <c r="A385" s="13">
        <f t="shared" si="7"/>
        <v>31</v>
      </c>
      <c r="B385" s="11"/>
      <c r="C385" s="1"/>
      <c r="D385" s="13"/>
      <c r="E385" s="13"/>
      <c r="F385" s="18"/>
      <c r="G385" s="1"/>
      <c r="H385" s="60"/>
      <c r="I385" s="13"/>
      <c r="J385" s="5"/>
      <c r="K385" s="5"/>
      <c r="L385" s="4"/>
      <c r="M385" s="4"/>
      <c r="N385" s="1"/>
      <c r="O385" s="5"/>
      <c r="P385" s="3"/>
      <c r="Q385" s="4"/>
      <c r="R385" s="47"/>
      <c r="S385" s="13"/>
      <c r="T385" s="6"/>
      <c r="U385" s="17"/>
      <c r="V385" s="3"/>
      <c r="W385" s="4"/>
      <c r="X385" s="13"/>
      <c r="Y385" s="48"/>
      <c r="Z385" s="48"/>
      <c r="AA385" s="20"/>
      <c r="AB385" s="48"/>
      <c r="AC385" s="48"/>
      <c r="AD385" s="7"/>
      <c r="AE385" s="2"/>
      <c r="AF385" s="2"/>
      <c r="AG385" s="2"/>
    </row>
    <row r="386" spans="1:33" s="37" customFormat="1" ht="102" x14ac:dyDescent="0.2">
      <c r="A386" s="13">
        <f t="shared" si="7"/>
        <v>32</v>
      </c>
      <c r="B386" s="11">
        <v>32</v>
      </c>
      <c r="C386" s="92" t="s">
        <v>195</v>
      </c>
      <c r="D386" s="114">
        <v>3</v>
      </c>
      <c r="E386" s="13">
        <v>86</v>
      </c>
      <c r="F386" s="18">
        <v>256</v>
      </c>
      <c r="G386" s="1" t="s">
        <v>159</v>
      </c>
      <c r="H386" s="60">
        <v>49.2</v>
      </c>
      <c r="I386" s="2"/>
      <c r="J386" s="3"/>
      <c r="K386" s="3"/>
      <c r="L386" s="3"/>
      <c r="M386" s="3"/>
      <c r="N386" s="84"/>
      <c r="O386" s="5"/>
      <c r="P386" s="3"/>
      <c r="Q386" s="4"/>
      <c r="R386" s="84" t="s">
        <v>52</v>
      </c>
      <c r="S386" s="87" t="s">
        <v>53</v>
      </c>
      <c r="T386" s="6">
        <v>15.3</v>
      </c>
      <c r="U386" s="129"/>
      <c r="V386" s="3"/>
      <c r="W386" s="4"/>
      <c r="X386" s="18" t="s">
        <v>63</v>
      </c>
      <c r="Y386" s="48" t="s">
        <v>55</v>
      </c>
      <c r="Z386" s="48" t="s">
        <v>56</v>
      </c>
      <c r="AA386" s="20" t="s">
        <v>57</v>
      </c>
      <c r="AB386" s="48" t="s">
        <v>54</v>
      </c>
      <c r="AC386" s="20" t="s">
        <v>430</v>
      </c>
      <c r="AD386" s="7"/>
      <c r="AE386" s="1" t="s">
        <v>674</v>
      </c>
      <c r="AF386" s="1"/>
      <c r="AG386" s="1"/>
    </row>
    <row r="387" spans="1:33" s="37" customFormat="1" ht="38.25" x14ac:dyDescent="0.2">
      <c r="A387" s="13">
        <f t="shared" si="7"/>
        <v>32</v>
      </c>
      <c r="B387" s="11"/>
      <c r="C387" s="82" t="s">
        <v>196</v>
      </c>
      <c r="D387" s="13"/>
      <c r="E387" s="133"/>
      <c r="F387" s="133"/>
      <c r="G387" s="84"/>
      <c r="H387" s="60"/>
      <c r="I387" s="2"/>
      <c r="J387" s="3"/>
      <c r="K387" s="3"/>
      <c r="L387" s="3"/>
      <c r="M387" s="3"/>
      <c r="N387" s="84"/>
      <c r="O387" s="5"/>
      <c r="P387" s="3"/>
      <c r="Q387" s="4"/>
      <c r="R387" s="84" t="s">
        <v>52</v>
      </c>
      <c r="S387" s="87" t="s">
        <v>53</v>
      </c>
      <c r="T387" s="6">
        <v>15.3</v>
      </c>
      <c r="U387" s="129"/>
      <c r="V387" s="3"/>
      <c r="W387" s="4"/>
      <c r="X387" s="13" t="s">
        <v>63</v>
      </c>
      <c r="Y387" s="48" t="s">
        <v>55</v>
      </c>
      <c r="Z387" s="48" t="s">
        <v>56</v>
      </c>
      <c r="AA387" s="20" t="s">
        <v>57</v>
      </c>
      <c r="AB387" s="48" t="s">
        <v>54</v>
      </c>
      <c r="AC387" s="20" t="s">
        <v>206</v>
      </c>
      <c r="AD387" s="7"/>
      <c r="AE387" s="2" t="s">
        <v>207</v>
      </c>
      <c r="AF387" s="2"/>
      <c r="AG387" s="2"/>
    </row>
    <row r="388" spans="1:33" s="37" customFormat="1" ht="30.75" customHeight="1" x14ac:dyDescent="0.2">
      <c r="A388" s="13">
        <f t="shared" si="7"/>
        <v>32</v>
      </c>
      <c r="B388" s="14"/>
      <c r="C388" s="82" t="s">
        <v>675</v>
      </c>
      <c r="D388" s="13"/>
      <c r="E388" s="13"/>
      <c r="F388" s="18"/>
      <c r="G388" s="1"/>
      <c r="H388" s="60"/>
      <c r="I388" s="2"/>
      <c r="J388" s="3"/>
      <c r="K388" s="3"/>
      <c r="L388" s="3"/>
      <c r="M388" s="3"/>
      <c r="N388" s="84"/>
      <c r="O388" s="5"/>
      <c r="P388" s="3"/>
      <c r="Q388" s="4"/>
      <c r="R388" s="84" t="s">
        <v>379</v>
      </c>
      <c r="S388" s="87" t="s">
        <v>53</v>
      </c>
      <c r="T388" s="6">
        <v>1.92</v>
      </c>
      <c r="U388" s="129"/>
      <c r="V388" s="3"/>
      <c r="W388" s="4"/>
      <c r="X388" s="13"/>
      <c r="Y388" s="48"/>
      <c r="Z388" s="48" t="s">
        <v>56</v>
      </c>
      <c r="AA388" s="20" t="s">
        <v>57</v>
      </c>
      <c r="AB388" s="48" t="s">
        <v>54</v>
      </c>
      <c r="AC388" s="48"/>
      <c r="AD388" s="7"/>
      <c r="AE388" s="2"/>
      <c r="AF388" s="2"/>
      <c r="AG388" s="2"/>
    </row>
    <row r="389" spans="1:33" s="37" customFormat="1" ht="27.75" customHeight="1" x14ac:dyDescent="0.2">
      <c r="A389" s="13">
        <f t="shared" si="7"/>
        <v>32</v>
      </c>
      <c r="B389" s="11"/>
      <c r="C389" s="1" t="s">
        <v>310</v>
      </c>
      <c r="D389" s="13"/>
      <c r="E389" s="13"/>
      <c r="F389" s="18"/>
      <c r="G389" s="1"/>
      <c r="H389" s="60"/>
      <c r="I389" s="2"/>
      <c r="J389" s="3"/>
      <c r="K389" s="3"/>
      <c r="L389" s="3"/>
      <c r="M389" s="3"/>
      <c r="N389" s="84"/>
      <c r="O389" s="79"/>
      <c r="P389" s="3"/>
      <c r="Q389" s="4"/>
      <c r="R389" s="84" t="s">
        <v>379</v>
      </c>
      <c r="S389" s="87" t="s">
        <v>53</v>
      </c>
      <c r="T389" s="6">
        <v>1.92</v>
      </c>
      <c r="U389" s="13"/>
      <c r="V389" s="3"/>
      <c r="W389" s="4"/>
      <c r="X389" s="13"/>
      <c r="Y389" s="48"/>
      <c r="Z389" s="48" t="s">
        <v>56</v>
      </c>
      <c r="AA389" s="20" t="s">
        <v>57</v>
      </c>
      <c r="AB389" s="48" t="s">
        <v>54</v>
      </c>
      <c r="AC389" s="48"/>
      <c r="AD389" s="7"/>
      <c r="AE389" s="2"/>
      <c r="AF389" s="2"/>
      <c r="AG389" s="2"/>
    </row>
    <row r="390" spans="1:33" s="37" customFormat="1" ht="17.25" customHeight="1" x14ac:dyDescent="0.2">
      <c r="A390" s="13">
        <f t="shared" si="7"/>
        <v>32</v>
      </c>
      <c r="B390" s="11"/>
      <c r="C390" s="31"/>
      <c r="D390" s="13"/>
      <c r="E390" s="13"/>
      <c r="F390" s="18"/>
      <c r="G390" s="1"/>
      <c r="H390" s="60"/>
      <c r="I390" s="13"/>
      <c r="J390" s="5"/>
      <c r="K390" s="5"/>
      <c r="L390" s="4"/>
      <c r="M390" s="4"/>
      <c r="N390" s="1"/>
      <c r="O390" s="5"/>
      <c r="P390" s="3"/>
      <c r="Q390" s="4"/>
      <c r="R390" s="84" t="s">
        <v>397</v>
      </c>
      <c r="S390" s="13" t="s">
        <v>53</v>
      </c>
      <c r="T390" s="6">
        <v>14.76</v>
      </c>
      <c r="U390" s="13"/>
      <c r="V390" s="3"/>
      <c r="W390" s="4"/>
      <c r="X390" s="13"/>
      <c r="Y390" s="48"/>
      <c r="Z390" s="48"/>
      <c r="AA390" s="20"/>
      <c r="AB390" s="48"/>
      <c r="AC390" s="48"/>
      <c r="AD390" s="7"/>
      <c r="AE390" s="1"/>
      <c r="AF390" s="1"/>
      <c r="AG390" s="1"/>
    </row>
    <row r="391" spans="1:33" s="37" customFormat="1" ht="17.25" customHeight="1" x14ac:dyDescent="0.2">
      <c r="A391" s="13">
        <f t="shared" si="7"/>
        <v>32</v>
      </c>
      <c r="B391" s="11"/>
      <c r="C391" s="21"/>
      <c r="D391" s="13"/>
      <c r="E391" s="13"/>
      <c r="F391" s="18"/>
      <c r="G391" s="1"/>
      <c r="H391" s="60"/>
      <c r="I391" s="13"/>
      <c r="J391" s="5"/>
      <c r="K391" s="5"/>
      <c r="L391" s="4"/>
      <c r="M391" s="4"/>
      <c r="N391" s="1"/>
      <c r="O391" s="5"/>
      <c r="P391" s="3"/>
      <c r="Q391" s="4"/>
      <c r="R391" s="47" t="s">
        <v>241</v>
      </c>
      <c r="S391" s="13" t="s">
        <v>53</v>
      </c>
      <c r="T391" s="6">
        <v>14.76</v>
      </c>
      <c r="U391" s="13"/>
      <c r="V391" s="3"/>
      <c r="W391" s="4"/>
      <c r="X391" s="13"/>
      <c r="Y391" s="48"/>
      <c r="Z391" s="48"/>
      <c r="AA391" s="20"/>
      <c r="AB391" s="48"/>
      <c r="AC391" s="48"/>
      <c r="AD391" s="7"/>
      <c r="AE391" s="2"/>
      <c r="AF391" s="2"/>
      <c r="AG391" s="2"/>
    </row>
    <row r="392" spans="1:33" s="37" customFormat="1" ht="17.25" customHeight="1" x14ac:dyDescent="0.2">
      <c r="A392" s="13">
        <f t="shared" si="7"/>
        <v>32</v>
      </c>
      <c r="B392" s="11"/>
      <c r="C392" s="21"/>
      <c r="D392" s="13"/>
      <c r="E392" s="13"/>
      <c r="F392" s="18"/>
      <c r="G392" s="1"/>
      <c r="H392" s="60"/>
      <c r="I392" s="13"/>
      <c r="J392" s="5"/>
      <c r="K392" s="5"/>
      <c r="L392" s="4"/>
      <c r="M392" s="4"/>
      <c r="N392" s="1"/>
      <c r="O392" s="5"/>
      <c r="P392" s="3"/>
      <c r="Q392" s="4"/>
      <c r="R392" s="47" t="s">
        <v>493</v>
      </c>
      <c r="S392" s="13" t="s">
        <v>78</v>
      </c>
      <c r="T392" s="6">
        <v>0.02</v>
      </c>
      <c r="U392" s="13"/>
      <c r="V392" s="3"/>
      <c r="W392" s="4"/>
      <c r="X392" s="13"/>
      <c r="Y392" s="48"/>
      <c r="Z392" s="48"/>
      <c r="AA392" s="20"/>
      <c r="AB392" s="48"/>
      <c r="AC392" s="48"/>
      <c r="AD392" s="7"/>
      <c r="AE392" s="2"/>
      <c r="AF392" s="2"/>
      <c r="AG392" s="2"/>
    </row>
    <row r="393" spans="1:33" s="37" customFormat="1" ht="17.25" customHeight="1" x14ac:dyDescent="0.2">
      <c r="A393" s="13">
        <f t="shared" si="7"/>
        <v>32</v>
      </c>
      <c r="B393" s="11"/>
      <c r="C393" s="21"/>
      <c r="D393" s="13"/>
      <c r="E393" s="13"/>
      <c r="F393" s="18"/>
      <c r="G393" s="1"/>
      <c r="H393" s="60"/>
      <c r="I393" s="13"/>
      <c r="J393" s="5"/>
      <c r="K393" s="5"/>
      <c r="L393" s="4"/>
      <c r="M393" s="4"/>
      <c r="N393" s="1"/>
      <c r="O393" s="5"/>
      <c r="P393" s="3"/>
      <c r="Q393" s="4"/>
      <c r="R393" s="47" t="s">
        <v>161</v>
      </c>
      <c r="S393" s="13" t="s">
        <v>53</v>
      </c>
      <c r="T393" s="6">
        <v>0.5</v>
      </c>
      <c r="U393" s="13"/>
      <c r="V393" s="3"/>
      <c r="W393" s="4"/>
      <c r="X393" s="13"/>
      <c r="Y393" s="48"/>
      <c r="Z393" s="48"/>
      <c r="AA393" s="20"/>
      <c r="AB393" s="48"/>
      <c r="AC393" s="48"/>
      <c r="AD393" s="7"/>
      <c r="AE393" s="2"/>
      <c r="AF393" s="2"/>
      <c r="AG393" s="2"/>
    </row>
    <row r="394" spans="1:33" s="37" customFormat="1" ht="17.25" customHeight="1" x14ac:dyDescent="0.2">
      <c r="A394" s="13">
        <f t="shared" si="7"/>
        <v>32</v>
      </c>
      <c r="B394" s="11"/>
      <c r="C394" s="21"/>
      <c r="D394" s="13"/>
      <c r="E394" s="13"/>
      <c r="F394" s="18"/>
      <c r="G394" s="1"/>
      <c r="H394" s="60"/>
      <c r="I394" s="13"/>
      <c r="J394" s="5"/>
      <c r="K394" s="5"/>
      <c r="L394" s="4"/>
      <c r="M394" s="4"/>
      <c r="N394" s="1"/>
      <c r="O394" s="5"/>
      <c r="P394" s="3"/>
      <c r="Q394" s="4"/>
      <c r="R394" s="47" t="s">
        <v>209</v>
      </c>
      <c r="S394" s="13" t="s">
        <v>53</v>
      </c>
      <c r="T394" s="6">
        <v>0.2</v>
      </c>
      <c r="U394" s="13"/>
      <c r="V394" s="3"/>
      <c r="W394" s="4"/>
      <c r="X394" s="13"/>
      <c r="Y394" s="48"/>
      <c r="Z394" s="48"/>
      <c r="AA394" s="20"/>
      <c r="AB394" s="48"/>
      <c r="AC394" s="48"/>
      <c r="AD394" s="7"/>
      <c r="AE394" s="2"/>
      <c r="AF394" s="2"/>
      <c r="AG394" s="2"/>
    </row>
    <row r="395" spans="1:33" s="37" customFormat="1" ht="31.5" customHeight="1" x14ac:dyDescent="0.2">
      <c r="A395" s="13">
        <f t="shared" si="7"/>
        <v>32</v>
      </c>
      <c r="B395" s="11"/>
      <c r="C395" s="21"/>
      <c r="D395" s="13"/>
      <c r="E395" s="13"/>
      <c r="F395" s="18"/>
      <c r="G395" s="1"/>
      <c r="H395" s="60"/>
      <c r="I395" s="13"/>
      <c r="J395" s="5"/>
      <c r="K395" s="5"/>
      <c r="L395" s="4"/>
      <c r="M395" s="4"/>
      <c r="N395" s="1"/>
      <c r="O395" s="5"/>
      <c r="P395" s="3"/>
      <c r="Q395" s="4"/>
      <c r="R395" s="47" t="s">
        <v>511</v>
      </c>
      <c r="S395" s="13" t="s">
        <v>53</v>
      </c>
      <c r="T395" s="6">
        <v>4.92</v>
      </c>
      <c r="U395" s="13"/>
      <c r="V395" s="3"/>
      <c r="W395" s="4"/>
      <c r="X395" s="13"/>
      <c r="Y395" s="48"/>
      <c r="Z395" s="48"/>
      <c r="AA395" s="20"/>
      <c r="AB395" s="48"/>
      <c r="AC395" s="48"/>
      <c r="AD395" s="7"/>
      <c r="AE395" s="2"/>
      <c r="AF395" s="2"/>
      <c r="AG395" s="2"/>
    </row>
    <row r="396" spans="1:33" s="37" customFormat="1" ht="21" customHeight="1" x14ac:dyDescent="0.2">
      <c r="A396" s="13">
        <f t="shared" si="7"/>
        <v>32</v>
      </c>
      <c r="B396" s="11"/>
      <c r="C396" s="21"/>
      <c r="D396" s="13"/>
      <c r="E396" s="13"/>
      <c r="F396" s="18"/>
      <c r="G396" s="1"/>
      <c r="H396" s="60"/>
      <c r="I396" s="13"/>
      <c r="J396" s="5"/>
      <c r="K396" s="5"/>
      <c r="L396" s="4"/>
      <c r="M396" s="4"/>
      <c r="N396" s="1"/>
      <c r="O396" s="5"/>
      <c r="P396" s="3"/>
      <c r="Q396" s="4"/>
      <c r="R396" s="47" t="s">
        <v>430</v>
      </c>
      <c r="S396" s="13" t="s">
        <v>53</v>
      </c>
      <c r="T396" s="6">
        <v>15.3</v>
      </c>
      <c r="U396" s="13"/>
      <c r="V396" s="3"/>
      <c r="W396" s="4"/>
      <c r="X396" s="13"/>
      <c r="Y396" s="48"/>
      <c r="Z396" s="48"/>
      <c r="AA396" s="20"/>
      <c r="AB396" s="48"/>
      <c r="AC396" s="48"/>
      <c r="AD396" s="7"/>
      <c r="AE396" s="2"/>
      <c r="AF396" s="2"/>
      <c r="AG396" s="2"/>
    </row>
    <row r="397" spans="1:33" s="37" customFormat="1" ht="21" customHeight="1" x14ac:dyDescent="0.2">
      <c r="A397" s="13">
        <f t="shared" si="7"/>
        <v>32</v>
      </c>
      <c r="B397" s="11"/>
      <c r="C397" s="21"/>
      <c r="D397" s="13"/>
      <c r="E397" s="13"/>
      <c r="F397" s="18"/>
      <c r="G397" s="1"/>
      <c r="H397" s="60"/>
      <c r="I397" s="13"/>
      <c r="J397" s="5"/>
      <c r="K397" s="5"/>
      <c r="L397" s="4"/>
      <c r="M397" s="4"/>
      <c r="N397" s="1"/>
      <c r="O397" s="5"/>
      <c r="P397" s="3"/>
      <c r="Q397" s="4"/>
      <c r="R397" s="47" t="s">
        <v>380</v>
      </c>
      <c r="S397" s="13" t="s">
        <v>53</v>
      </c>
      <c r="T397" s="6">
        <v>15.3</v>
      </c>
      <c r="U397" s="13"/>
      <c r="V397" s="3"/>
      <c r="W397" s="4"/>
      <c r="X397" s="13"/>
      <c r="Y397" s="48"/>
      <c r="Z397" s="48"/>
      <c r="AA397" s="20"/>
      <c r="AB397" s="48"/>
      <c r="AC397" s="48"/>
      <c r="AD397" s="7"/>
      <c r="AE397" s="2"/>
      <c r="AF397" s="2"/>
      <c r="AG397" s="2"/>
    </row>
    <row r="398" spans="1:33" s="37" customFormat="1" ht="12.75" x14ac:dyDescent="0.2">
      <c r="A398" s="13">
        <f t="shared" si="7"/>
        <v>32</v>
      </c>
      <c r="B398" s="11"/>
      <c r="C398" s="21"/>
      <c r="D398" s="13"/>
      <c r="E398" s="13"/>
      <c r="F398" s="2"/>
      <c r="G398" s="1"/>
      <c r="H398" s="50"/>
      <c r="I398" s="51"/>
      <c r="J398" s="51"/>
      <c r="K398" s="51"/>
      <c r="L398" s="51"/>
      <c r="M398" s="51"/>
      <c r="N398" s="51"/>
      <c r="O398" s="51"/>
      <c r="P398" s="51"/>
      <c r="Q398" s="51"/>
      <c r="R398" s="2"/>
      <c r="S398" s="51"/>
      <c r="T398" s="51"/>
      <c r="U398" s="50"/>
      <c r="V398" s="51"/>
      <c r="W398" s="51"/>
      <c r="X398" s="50"/>
      <c r="Y398" s="50"/>
      <c r="Z398" s="50"/>
      <c r="AA398" s="257"/>
      <c r="AB398" s="50"/>
      <c r="AC398" s="50"/>
      <c r="AD398" s="51"/>
      <c r="AE398" s="51"/>
      <c r="AF398" s="51"/>
      <c r="AG398" s="2"/>
    </row>
    <row r="399" spans="1:33" s="37" customFormat="1" ht="12.75" x14ac:dyDescent="0.2">
      <c r="A399" s="13">
        <f t="shared" si="7"/>
        <v>32</v>
      </c>
      <c r="B399" s="11"/>
      <c r="C399" s="21"/>
      <c r="D399" s="13"/>
      <c r="E399" s="13"/>
      <c r="F399" s="18"/>
      <c r="G399" s="1"/>
      <c r="H399" s="60"/>
      <c r="I399" s="13"/>
      <c r="J399" s="5"/>
      <c r="K399" s="5"/>
      <c r="L399" s="4"/>
      <c r="M399" s="4"/>
      <c r="N399" s="1"/>
      <c r="O399" s="5"/>
      <c r="P399" s="3"/>
      <c r="Q399" s="4"/>
      <c r="R399" s="47"/>
      <c r="S399" s="13"/>
      <c r="T399" s="6"/>
      <c r="U399" s="13"/>
      <c r="V399" s="3"/>
      <c r="W399" s="4"/>
      <c r="X399" s="13"/>
      <c r="Y399" s="48"/>
      <c r="Z399" s="48"/>
      <c r="AA399" s="20"/>
      <c r="AB399" s="48"/>
      <c r="AC399" s="48"/>
      <c r="AD399" s="7"/>
      <c r="AE399" s="2"/>
      <c r="AF399" s="2"/>
      <c r="AG399" s="2"/>
    </row>
    <row r="400" spans="1:33" s="37" customFormat="1" ht="102" x14ac:dyDescent="0.2">
      <c r="A400" s="13">
        <f t="shared" si="7"/>
        <v>33</v>
      </c>
      <c r="B400" s="11">
        <v>33</v>
      </c>
      <c r="C400" s="92" t="s">
        <v>197</v>
      </c>
      <c r="D400" s="14"/>
      <c r="E400" s="13">
        <v>86</v>
      </c>
      <c r="F400" s="18">
        <v>256</v>
      </c>
      <c r="G400" s="1" t="s">
        <v>416</v>
      </c>
      <c r="H400" s="60">
        <v>49.2</v>
      </c>
      <c r="I400" s="13"/>
      <c r="J400" s="5"/>
      <c r="K400" s="5"/>
      <c r="L400" s="4"/>
      <c r="M400" s="4"/>
      <c r="N400" s="16"/>
      <c r="O400" s="5"/>
      <c r="P400" s="3"/>
      <c r="Q400" s="4"/>
      <c r="R400" s="47" t="s">
        <v>52</v>
      </c>
      <c r="S400" s="13" t="s">
        <v>53</v>
      </c>
      <c r="T400" s="6">
        <v>15.3</v>
      </c>
      <c r="U400" s="13"/>
      <c r="V400" s="3"/>
      <c r="W400" s="4"/>
      <c r="X400" s="13" t="s">
        <v>63</v>
      </c>
      <c r="Y400" s="48" t="s">
        <v>55</v>
      </c>
      <c r="Z400" s="48" t="s">
        <v>56</v>
      </c>
      <c r="AA400" s="20" t="s">
        <v>57</v>
      </c>
      <c r="AB400" s="48" t="s">
        <v>54</v>
      </c>
      <c r="AC400" s="20" t="s">
        <v>206</v>
      </c>
      <c r="AD400" s="7"/>
      <c r="AE400" s="1" t="s">
        <v>676</v>
      </c>
      <c r="AF400" s="1"/>
      <c r="AG400" s="1"/>
    </row>
    <row r="401" spans="1:33" s="37" customFormat="1" ht="38.25" x14ac:dyDescent="0.2">
      <c r="A401" s="13">
        <f t="shared" si="7"/>
        <v>33</v>
      </c>
      <c r="B401" s="11"/>
      <c r="C401" s="82" t="s">
        <v>198</v>
      </c>
      <c r="D401" s="114"/>
      <c r="E401" s="133"/>
      <c r="F401" s="133"/>
      <c r="G401" s="84"/>
      <c r="H401" s="60"/>
      <c r="I401" s="17"/>
      <c r="J401" s="5"/>
      <c r="K401" s="5"/>
      <c r="L401" s="4"/>
      <c r="M401" s="4"/>
      <c r="N401" s="1"/>
      <c r="O401" s="5"/>
      <c r="P401" s="3"/>
      <c r="Q401" s="4"/>
      <c r="R401" s="84" t="s">
        <v>52</v>
      </c>
      <c r="S401" s="87" t="s">
        <v>53</v>
      </c>
      <c r="T401" s="6">
        <v>15.3</v>
      </c>
      <c r="U401" s="13"/>
      <c r="V401" s="3"/>
      <c r="W401" s="4"/>
      <c r="X401" s="13" t="s">
        <v>63</v>
      </c>
      <c r="Y401" s="48" t="s">
        <v>55</v>
      </c>
      <c r="Z401" s="48" t="s">
        <v>56</v>
      </c>
      <c r="AA401" s="20" t="s">
        <v>57</v>
      </c>
      <c r="AB401" s="48" t="s">
        <v>54</v>
      </c>
      <c r="AC401" s="20" t="s">
        <v>206</v>
      </c>
      <c r="AD401" s="7"/>
      <c r="AE401" s="2" t="s">
        <v>207</v>
      </c>
      <c r="AF401" s="2"/>
      <c r="AG401" s="2"/>
    </row>
    <row r="402" spans="1:33" s="37" customFormat="1" ht="38.25" x14ac:dyDescent="0.2">
      <c r="A402" s="13">
        <f t="shared" si="7"/>
        <v>33</v>
      </c>
      <c r="B402" s="11"/>
      <c r="C402" s="34" t="s">
        <v>673</v>
      </c>
      <c r="D402" s="13"/>
      <c r="E402" s="13"/>
      <c r="F402" s="18"/>
      <c r="G402" s="1"/>
      <c r="H402" s="60"/>
      <c r="I402" s="13"/>
      <c r="J402" s="5"/>
      <c r="K402" s="5"/>
      <c r="L402" s="4"/>
      <c r="M402" s="4"/>
      <c r="N402" s="1"/>
      <c r="O402" s="5"/>
      <c r="P402" s="3"/>
      <c r="Q402" s="4"/>
      <c r="R402" s="47" t="s">
        <v>379</v>
      </c>
      <c r="S402" s="13" t="s">
        <v>53</v>
      </c>
      <c r="T402" s="6">
        <v>1.92</v>
      </c>
      <c r="U402" s="13"/>
      <c r="V402" s="3"/>
      <c r="W402" s="4"/>
      <c r="X402" s="13"/>
      <c r="Y402" s="48"/>
      <c r="Z402" s="48" t="s">
        <v>56</v>
      </c>
      <c r="AA402" s="20" t="s">
        <v>57</v>
      </c>
      <c r="AB402" s="48" t="s">
        <v>54</v>
      </c>
      <c r="AC402" s="48"/>
      <c r="AD402" s="7"/>
      <c r="AE402" s="21" t="s">
        <v>1731</v>
      </c>
      <c r="AF402" s="21"/>
      <c r="AG402" s="21"/>
    </row>
    <row r="403" spans="1:33" s="37" customFormat="1" ht="25.5" x14ac:dyDescent="0.2">
      <c r="A403" s="13">
        <f t="shared" si="7"/>
        <v>33</v>
      </c>
      <c r="B403" s="11"/>
      <c r="C403" s="1"/>
      <c r="D403" s="13"/>
      <c r="E403" s="13"/>
      <c r="F403" s="18"/>
      <c r="G403" s="1"/>
      <c r="H403" s="60"/>
      <c r="I403" s="2"/>
      <c r="J403" s="3"/>
      <c r="K403" s="3"/>
      <c r="L403" s="3"/>
      <c r="M403" s="3"/>
      <c r="N403" s="84"/>
      <c r="O403" s="79"/>
      <c r="P403" s="3"/>
      <c r="Q403" s="4"/>
      <c r="R403" s="47" t="s">
        <v>379</v>
      </c>
      <c r="S403" s="87" t="s">
        <v>53</v>
      </c>
      <c r="T403" s="6">
        <v>1.92</v>
      </c>
      <c r="U403" s="13"/>
      <c r="V403" s="3"/>
      <c r="W403" s="4"/>
      <c r="X403" s="13"/>
      <c r="Y403" s="48"/>
      <c r="Z403" s="48" t="s">
        <v>56</v>
      </c>
      <c r="AA403" s="20" t="s">
        <v>57</v>
      </c>
      <c r="AB403" s="48" t="s">
        <v>54</v>
      </c>
      <c r="AC403" s="48"/>
      <c r="AD403" s="7"/>
      <c r="AE403" s="21"/>
      <c r="AF403" s="21"/>
      <c r="AG403" s="21"/>
    </row>
    <row r="404" spans="1:33" s="37" customFormat="1" ht="19.5" customHeight="1" x14ac:dyDescent="0.2">
      <c r="A404" s="13">
        <f t="shared" si="7"/>
        <v>33</v>
      </c>
      <c r="B404" s="11"/>
      <c r="C404" s="1"/>
      <c r="D404" s="13"/>
      <c r="E404" s="13"/>
      <c r="F404" s="18"/>
      <c r="G404" s="1"/>
      <c r="H404" s="60"/>
      <c r="I404" s="13"/>
      <c r="J404" s="5"/>
      <c r="K404" s="5"/>
      <c r="L404" s="4"/>
      <c r="M404" s="4"/>
      <c r="N404" s="1"/>
      <c r="O404" s="5"/>
      <c r="P404" s="3"/>
      <c r="Q404" s="4"/>
      <c r="R404" s="84" t="s">
        <v>397</v>
      </c>
      <c r="S404" s="13" t="s">
        <v>53</v>
      </c>
      <c r="T404" s="6">
        <v>14.76</v>
      </c>
      <c r="U404" s="13"/>
      <c r="V404" s="3"/>
      <c r="W404" s="4"/>
      <c r="X404" s="13"/>
      <c r="Y404" s="48"/>
      <c r="Z404" s="48"/>
      <c r="AA404" s="20"/>
      <c r="AB404" s="48"/>
      <c r="AC404" s="48"/>
      <c r="AD404" s="7"/>
      <c r="AE404" s="1"/>
      <c r="AF404" s="1"/>
      <c r="AG404" s="1"/>
    </row>
    <row r="405" spans="1:33" s="37" customFormat="1" ht="19.5" customHeight="1" x14ac:dyDescent="0.2">
      <c r="A405" s="13">
        <f t="shared" si="7"/>
        <v>33</v>
      </c>
      <c r="B405" s="11"/>
      <c r="C405" s="1"/>
      <c r="D405" s="13"/>
      <c r="E405" s="13"/>
      <c r="F405" s="18"/>
      <c r="G405" s="1"/>
      <c r="H405" s="60"/>
      <c r="I405" s="13"/>
      <c r="J405" s="5"/>
      <c r="K405" s="5"/>
      <c r="L405" s="4"/>
      <c r="M405" s="4"/>
      <c r="N405" s="1"/>
      <c r="O405" s="5"/>
      <c r="P405" s="3"/>
      <c r="Q405" s="4"/>
      <c r="R405" s="47" t="s">
        <v>241</v>
      </c>
      <c r="S405" s="13" t="s">
        <v>53</v>
      </c>
      <c r="T405" s="6">
        <v>14.76</v>
      </c>
      <c r="U405" s="13"/>
      <c r="V405" s="3"/>
      <c r="W405" s="4"/>
      <c r="X405" s="13"/>
      <c r="Y405" s="48"/>
      <c r="Z405" s="48"/>
      <c r="AA405" s="20"/>
      <c r="AB405" s="48"/>
      <c r="AC405" s="48"/>
      <c r="AD405" s="7"/>
      <c r="AE405" s="1"/>
      <c r="AF405" s="1"/>
      <c r="AG405" s="1"/>
    </row>
    <row r="406" spans="1:33" s="37" customFormat="1" ht="19.5" customHeight="1" x14ac:dyDescent="0.2">
      <c r="A406" s="13">
        <f t="shared" si="7"/>
        <v>33</v>
      </c>
      <c r="B406" s="11"/>
      <c r="C406" s="21"/>
      <c r="D406" s="13"/>
      <c r="E406" s="13"/>
      <c r="F406" s="18"/>
      <c r="G406" s="1"/>
      <c r="H406" s="60"/>
      <c r="I406" s="13"/>
      <c r="J406" s="5"/>
      <c r="K406" s="5"/>
      <c r="L406" s="4"/>
      <c r="M406" s="4"/>
      <c r="N406" s="1"/>
      <c r="O406" s="5"/>
      <c r="P406" s="3"/>
      <c r="Q406" s="4"/>
      <c r="R406" s="47" t="s">
        <v>493</v>
      </c>
      <c r="S406" s="13" t="s">
        <v>78</v>
      </c>
      <c r="T406" s="6">
        <v>0.06</v>
      </c>
      <c r="U406" s="13"/>
      <c r="V406" s="3"/>
      <c r="W406" s="4"/>
      <c r="X406" s="13"/>
      <c r="Y406" s="48"/>
      <c r="Z406" s="48"/>
      <c r="AA406" s="20"/>
      <c r="AB406" s="48"/>
      <c r="AC406" s="48"/>
      <c r="AD406" s="7"/>
      <c r="AE406" s="2"/>
      <c r="AF406" s="2"/>
      <c r="AG406" s="2"/>
    </row>
    <row r="407" spans="1:33" s="37" customFormat="1" ht="19.5" customHeight="1" x14ac:dyDescent="0.2">
      <c r="A407" s="13">
        <f t="shared" si="7"/>
        <v>33</v>
      </c>
      <c r="B407" s="11"/>
      <c r="C407" s="1"/>
      <c r="D407" s="13"/>
      <c r="E407" s="11"/>
      <c r="F407" s="15"/>
      <c r="G407" s="21"/>
      <c r="H407" s="60"/>
      <c r="I407" s="11"/>
      <c r="J407" s="8"/>
      <c r="K407" s="8"/>
      <c r="L407" s="9"/>
      <c r="M407" s="9"/>
      <c r="N407" s="22"/>
      <c r="O407" s="8"/>
      <c r="P407" s="7"/>
      <c r="Q407" s="9"/>
      <c r="R407" s="47" t="s">
        <v>210</v>
      </c>
      <c r="S407" s="13" t="s">
        <v>53</v>
      </c>
      <c r="T407" s="6">
        <v>0.9</v>
      </c>
      <c r="U407" s="11"/>
      <c r="V407" s="7"/>
      <c r="W407" s="9"/>
      <c r="X407" s="15"/>
      <c r="Y407" s="49"/>
      <c r="Z407" s="49"/>
      <c r="AA407" s="256"/>
      <c r="AB407" s="49"/>
      <c r="AC407" s="49"/>
      <c r="AD407" s="7"/>
      <c r="AE407" s="12"/>
      <c r="AF407" s="12"/>
      <c r="AG407" s="12"/>
    </row>
    <row r="408" spans="1:33" s="37" customFormat="1" ht="19.5" customHeight="1" x14ac:dyDescent="0.2">
      <c r="A408" s="13">
        <f t="shared" si="7"/>
        <v>33</v>
      </c>
      <c r="B408" s="11"/>
      <c r="C408" s="82"/>
      <c r="D408" s="14"/>
      <c r="E408" s="13"/>
      <c r="F408" s="18"/>
      <c r="G408" s="1"/>
      <c r="H408" s="60"/>
      <c r="I408" s="13"/>
      <c r="J408" s="5"/>
      <c r="K408" s="5"/>
      <c r="L408" s="4"/>
      <c r="M408" s="4"/>
      <c r="N408" s="16"/>
      <c r="O408" s="5"/>
      <c r="P408" s="3"/>
      <c r="Q408" s="4"/>
      <c r="R408" s="47" t="s">
        <v>160</v>
      </c>
      <c r="S408" s="13" t="s">
        <v>53</v>
      </c>
      <c r="T408" s="6">
        <v>0.5</v>
      </c>
      <c r="U408" s="13"/>
      <c r="V408" s="3"/>
      <c r="W408" s="4"/>
      <c r="X408" s="18"/>
      <c r="Y408" s="48"/>
      <c r="Z408" s="48"/>
      <c r="AA408" s="20"/>
      <c r="AB408" s="48"/>
      <c r="AC408" s="48"/>
      <c r="AD408" s="7"/>
      <c r="AE408" s="2"/>
      <c r="AF408" s="2"/>
      <c r="AG408" s="2"/>
    </row>
    <row r="409" spans="1:33" s="37" customFormat="1" ht="19.5" customHeight="1" x14ac:dyDescent="0.2">
      <c r="A409" s="13">
        <f t="shared" si="7"/>
        <v>33</v>
      </c>
      <c r="B409" s="11"/>
      <c r="C409" s="82"/>
      <c r="D409" s="114"/>
      <c r="E409" s="133"/>
      <c r="F409" s="133"/>
      <c r="G409" s="84"/>
      <c r="H409" s="60"/>
      <c r="I409" s="2"/>
      <c r="J409" s="3"/>
      <c r="K409" s="3"/>
      <c r="L409" s="3"/>
      <c r="M409" s="3"/>
      <c r="N409" s="84"/>
      <c r="O409" s="79"/>
      <c r="P409" s="3"/>
      <c r="Q409" s="4"/>
      <c r="R409" s="84" t="s">
        <v>211</v>
      </c>
      <c r="S409" s="87" t="s">
        <v>53</v>
      </c>
      <c r="T409" s="6">
        <v>1.08</v>
      </c>
      <c r="U409" s="13"/>
      <c r="V409" s="3"/>
      <c r="W409" s="4"/>
      <c r="X409" s="13"/>
      <c r="Y409" s="48"/>
      <c r="Z409" s="48"/>
      <c r="AA409" s="20"/>
      <c r="AB409" s="48"/>
      <c r="AC409" s="48"/>
      <c r="AD409" s="7"/>
      <c r="AE409" s="2"/>
      <c r="AF409" s="2"/>
      <c r="AG409" s="2"/>
    </row>
    <row r="410" spans="1:33" s="37" customFormat="1" ht="29.25" customHeight="1" x14ac:dyDescent="0.2">
      <c r="A410" s="13">
        <f t="shared" si="7"/>
        <v>33</v>
      </c>
      <c r="B410" s="14"/>
      <c r="C410" s="82"/>
      <c r="D410" s="13"/>
      <c r="E410" s="13"/>
      <c r="F410" s="18"/>
      <c r="G410" s="1"/>
      <c r="H410" s="60"/>
      <c r="I410" s="2"/>
      <c r="J410" s="3"/>
      <c r="K410" s="3"/>
      <c r="L410" s="3"/>
      <c r="M410" s="3"/>
      <c r="N410" s="84"/>
      <c r="O410" s="79"/>
      <c r="P410" s="3"/>
      <c r="Q410" s="4"/>
      <c r="R410" s="84" t="s">
        <v>512</v>
      </c>
      <c r="S410" s="87" t="s">
        <v>53</v>
      </c>
      <c r="T410" s="6">
        <v>4.92</v>
      </c>
      <c r="U410" s="13"/>
      <c r="V410" s="3"/>
      <c r="W410" s="4"/>
      <c r="X410" s="13"/>
      <c r="Y410" s="48"/>
      <c r="Z410" s="48"/>
      <c r="AA410" s="20"/>
      <c r="AB410" s="48"/>
      <c r="AC410" s="48"/>
      <c r="AD410" s="7"/>
      <c r="AE410" s="2"/>
      <c r="AF410" s="2"/>
      <c r="AG410" s="2"/>
    </row>
    <row r="411" spans="1:33" s="37" customFormat="1" ht="15.75" customHeight="1" x14ac:dyDescent="0.2">
      <c r="A411" s="13">
        <f t="shared" si="7"/>
        <v>33</v>
      </c>
      <c r="B411" s="11"/>
      <c r="C411" s="21"/>
      <c r="D411" s="13"/>
      <c r="E411" s="13"/>
      <c r="F411" s="18"/>
      <c r="G411" s="1"/>
      <c r="H411" s="60"/>
      <c r="I411" s="2"/>
      <c r="J411" s="3"/>
      <c r="K411" s="3"/>
      <c r="L411" s="3"/>
      <c r="M411" s="3"/>
      <c r="N411" s="84"/>
      <c r="O411" s="79"/>
      <c r="P411" s="3"/>
      <c r="Q411" s="4"/>
      <c r="R411" s="84" t="s">
        <v>376</v>
      </c>
      <c r="S411" s="87" t="s">
        <v>53</v>
      </c>
      <c r="T411" s="6">
        <v>10.14</v>
      </c>
      <c r="U411" s="13"/>
      <c r="V411" s="3"/>
      <c r="W411" s="4"/>
      <c r="X411" s="13"/>
      <c r="Y411" s="48"/>
      <c r="Z411" s="48"/>
      <c r="AA411" s="20"/>
      <c r="AB411" s="48"/>
      <c r="AC411" s="48"/>
      <c r="AD411" s="7"/>
      <c r="AE411" s="2"/>
      <c r="AF411" s="2"/>
      <c r="AG411" s="2"/>
    </row>
    <row r="412" spans="1:33" s="37" customFormat="1" ht="15.75" customHeight="1" x14ac:dyDescent="0.2">
      <c r="A412" s="13">
        <f t="shared" si="7"/>
        <v>33</v>
      </c>
      <c r="B412" s="11"/>
      <c r="C412" s="21"/>
      <c r="D412" s="13"/>
      <c r="E412" s="13"/>
      <c r="F412" s="18"/>
      <c r="G412" s="1"/>
      <c r="H412" s="60"/>
      <c r="I412" s="2"/>
      <c r="J412" s="3"/>
      <c r="K412" s="3"/>
      <c r="L412" s="3"/>
      <c r="M412" s="3"/>
      <c r="N412" s="84"/>
      <c r="O412" s="79"/>
      <c r="P412" s="3"/>
      <c r="Q412" s="4"/>
      <c r="R412" s="84" t="s">
        <v>380</v>
      </c>
      <c r="S412" s="87" t="s">
        <v>53</v>
      </c>
      <c r="T412" s="6">
        <v>30.6</v>
      </c>
      <c r="U412" s="13"/>
      <c r="V412" s="3"/>
      <c r="W412" s="4"/>
      <c r="X412" s="13"/>
      <c r="Y412" s="48"/>
      <c r="Z412" s="48"/>
      <c r="AA412" s="20"/>
      <c r="AB412" s="48"/>
      <c r="AC412" s="48"/>
      <c r="AD412" s="7"/>
      <c r="AE412" s="2"/>
      <c r="AF412" s="2"/>
      <c r="AG412" s="2"/>
    </row>
    <row r="413" spans="1:33" s="37" customFormat="1" ht="12.75" x14ac:dyDescent="0.2">
      <c r="A413" s="13">
        <f t="shared" si="7"/>
        <v>33</v>
      </c>
      <c r="B413" s="11"/>
      <c r="C413" s="21"/>
      <c r="D413" s="13"/>
      <c r="E413" s="13"/>
      <c r="F413" s="18"/>
      <c r="G413" s="1"/>
      <c r="H413" s="60"/>
      <c r="I413" s="2"/>
      <c r="J413" s="3"/>
      <c r="K413" s="3"/>
      <c r="L413" s="3"/>
      <c r="M413" s="3"/>
      <c r="N413" s="84"/>
      <c r="O413" s="79"/>
      <c r="P413" s="3"/>
      <c r="Q413" s="4"/>
      <c r="R413" s="2"/>
      <c r="S413" s="51"/>
      <c r="T413" s="51"/>
      <c r="U413" s="13"/>
      <c r="V413" s="3"/>
      <c r="W413" s="4"/>
      <c r="X413" s="13"/>
      <c r="Y413" s="48"/>
      <c r="Z413" s="48"/>
      <c r="AA413" s="20"/>
      <c r="AB413" s="48"/>
      <c r="AC413" s="48"/>
      <c r="AD413" s="7"/>
      <c r="AE413" s="2"/>
      <c r="AF413" s="2"/>
      <c r="AG413" s="2"/>
    </row>
    <row r="414" spans="1:33" s="37" customFormat="1" ht="12.75" x14ac:dyDescent="0.2">
      <c r="A414" s="13">
        <f t="shared" si="7"/>
        <v>33</v>
      </c>
      <c r="B414" s="11"/>
      <c r="C414" s="21"/>
      <c r="D414" s="13"/>
      <c r="E414" s="13"/>
      <c r="F414" s="2"/>
      <c r="G414" s="1"/>
      <c r="H414" s="50"/>
      <c r="I414" s="51"/>
      <c r="J414" s="51"/>
      <c r="K414" s="51"/>
      <c r="L414" s="51"/>
      <c r="M414" s="51"/>
      <c r="N414" s="51"/>
      <c r="O414" s="51"/>
      <c r="P414" s="51"/>
      <c r="Q414" s="51"/>
      <c r="R414" s="2"/>
      <c r="S414" s="51"/>
      <c r="T414" s="51"/>
      <c r="U414" s="50"/>
      <c r="V414" s="51"/>
      <c r="W414" s="51"/>
      <c r="X414" s="50"/>
      <c r="Y414" s="50"/>
      <c r="Z414" s="50"/>
      <c r="AA414" s="257"/>
      <c r="AB414" s="50"/>
      <c r="AC414" s="50"/>
      <c r="AD414" s="51"/>
      <c r="AE414" s="51"/>
      <c r="AF414" s="51"/>
      <c r="AG414" s="2"/>
    </row>
    <row r="415" spans="1:33" s="37" customFormat="1" ht="12.75" x14ac:dyDescent="0.2">
      <c r="A415" s="13">
        <f t="shared" si="7"/>
        <v>33</v>
      </c>
      <c r="B415" s="11"/>
      <c r="C415" s="1"/>
      <c r="D415" s="13"/>
      <c r="E415" s="13"/>
      <c r="F415" s="18"/>
      <c r="G415" s="1"/>
      <c r="H415" s="60"/>
      <c r="I415" s="13"/>
      <c r="J415" s="5"/>
      <c r="K415" s="5"/>
      <c r="L415" s="4"/>
      <c r="M415" s="4"/>
      <c r="N415" s="1"/>
      <c r="O415" s="5"/>
      <c r="P415" s="3"/>
      <c r="Q415" s="4"/>
      <c r="R415" s="47"/>
      <c r="S415" s="87"/>
      <c r="T415" s="6"/>
      <c r="U415" s="13"/>
      <c r="V415" s="3"/>
      <c r="W415" s="4"/>
      <c r="X415" s="13"/>
      <c r="Y415" s="48"/>
      <c r="Z415" s="48"/>
      <c r="AA415" s="20"/>
      <c r="AB415" s="48"/>
      <c r="AC415" s="48"/>
      <c r="AD415" s="7"/>
      <c r="AE415" s="2"/>
      <c r="AF415" s="2"/>
      <c r="AG415" s="2"/>
    </row>
    <row r="416" spans="1:33" s="37" customFormat="1" ht="12.75" x14ac:dyDescent="0.2">
      <c r="A416" s="13">
        <f t="shared" si="7"/>
        <v>33</v>
      </c>
      <c r="B416" s="11"/>
      <c r="C416" s="1"/>
      <c r="D416" s="13"/>
      <c r="E416" s="13"/>
      <c r="F416" s="18"/>
      <c r="G416" s="1"/>
      <c r="H416" s="60"/>
      <c r="I416" s="13"/>
      <c r="J416" s="5"/>
      <c r="K416" s="5"/>
      <c r="L416" s="4"/>
      <c r="M416" s="4"/>
      <c r="N416" s="1"/>
      <c r="O416" s="5"/>
      <c r="P416" s="3"/>
      <c r="Q416" s="4"/>
      <c r="R416" s="47"/>
      <c r="S416" s="13"/>
      <c r="T416" s="6"/>
      <c r="U416" s="13"/>
      <c r="V416" s="3"/>
      <c r="W416" s="4"/>
      <c r="X416" s="13"/>
      <c r="Y416" s="48"/>
      <c r="Z416" s="48"/>
      <c r="AA416" s="20"/>
      <c r="AB416" s="48"/>
      <c r="AC416" s="48"/>
      <c r="AD416" s="7"/>
      <c r="AE416" s="2"/>
      <c r="AF416" s="2"/>
      <c r="AG416" s="2"/>
    </row>
    <row r="417" spans="1:33" s="37" customFormat="1" ht="25.5" x14ac:dyDescent="0.2">
      <c r="A417" s="13">
        <f t="shared" si="7"/>
        <v>34</v>
      </c>
      <c r="B417" s="11">
        <v>34</v>
      </c>
      <c r="C417" s="92" t="s">
        <v>199</v>
      </c>
      <c r="D417" s="13">
        <v>3</v>
      </c>
      <c r="E417" s="13">
        <v>86</v>
      </c>
      <c r="F417" s="18">
        <v>255</v>
      </c>
      <c r="G417" s="1" t="s">
        <v>416</v>
      </c>
      <c r="H417" s="60">
        <v>99.9</v>
      </c>
      <c r="I417" s="2"/>
      <c r="J417" s="3"/>
      <c r="K417" s="3"/>
      <c r="L417" s="3"/>
      <c r="M417" s="3"/>
      <c r="N417" s="84"/>
      <c r="O417" s="5"/>
      <c r="P417" s="3"/>
      <c r="Q417" s="4"/>
      <c r="R417" s="84"/>
      <c r="S417" s="87"/>
      <c r="T417" s="6"/>
      <c r="U417" s="13"/>
      <c r="V417" s="3"/>
      <c r="W417" s="4"/>
      <c r="X417" s="13"/>
      <c r="Y417" s="48"/>
      <c r="Z417" s="48"/>
      <c r="AA417" s="20"/>
      <c r="AB417" s="48"/>
      <c r="AC417" s="48"/>
      <c r="AD417" s="7"/>
      <c r="AE417" s="1" t="s">
        <v>1694</v>
      </c>
      <c r="AF417" s="1"/>
      <c r="AG417" s="1"/>
    </row>
    <row r="418" spans="1:33" s="37" customFormat="1" ht="38.25" x14ac:dyDescent="0.2">
      <c r="A418" s="13">
        <f t="shared" si="7"/>
        <v>34</v>
      </c>
      <c r="B418" s="11"/>
      <c r="C418" s="1" t="s">
        <v>200</v>
      </c>
      <c r="D418" s="13"/>
      <c r="E418" s="13">
        <v>86</v>
      </c>
      <c r="F418" s="18">
        <v>255</v>
      </c>
      <c r="G418" s="1" t="s">
        <v>417</v>
      </c>
      <c r="H418" s="60">
        <v>138.6</v>
      </c>
      <c r="I418" s="13"/>
      <c r="J418" s="5"/>
      <c r="K418" s="5"/>
      <c r="L418" s="4"/>
      <c r="M418" s="4"/>
      <c r="N418" s="1"/>
      <c r="O418" s="5"/>
      <c r="P418" s="3"/>
      <c r="Q418" s="4"/>
      <c r="R418" s="47"/>
      <c r="S418" s="13"/>
      <c r="T418" s="6"/>
      <c r="U418" s="13"/>
      <c r="V418" s="3"/>
      <c r="W418" s="4"/>
      <c r="X418" s="13"/>
      <c r="Y418" s="48"/>
      <c r="Z418" s="48"/>
      <c r="AA418" s="20"/>
      <c r="AB418" s="48"/>
      <c r="AC418" s="48"/>
      <c r="AD418" s="7"/>
      <c r="AE418" s="1" t="s">
        <v>513</v>
      </c>
      <c r="AF418" s="1"/>
      <c r="AG418" s="1"/>
    </row>
    <row r="419" spans="1:33" s="37" customFormat="1" ht="45.75" customHeight="1" x14ac:dyDescent="0.2">
      <c r="A419" s="13">
        <f t="shared" si="7"/>
        <v>34</v>
      </c>
      <c r="B419" s="11"/>
      <c r="C419" s="1" t="s">
        <v>677</v>
      </c>
      <c r="D419" s="13"/>
      <c r="E419" s="13"/>
      <c r="F419" s="18"/>
      <c r="G419" s="1" t="s">
        <v>453</v>
      </c>
      <c r="H419" s="60">
        <v>6.5</v>
      </c>
      <c r="I419" s="13"/>
      <c r="J419" s="5"/>
      <c r="K419" s="5"/>
      <c r="L419" s="4"/>
      <c r="M419" s="4"/>
      <c r="N419" s="1"/>
      <c r="O419" s="5"/>
      <c r="P419" s="3"/>
      <c r="Q419" s="4"/>
      <c r="R419" s="47"/>
      <c r="S419" s="13"/>
      <c r="T419" s="6"/>
      <c r="U419" s="13"/>
      <c r="V419" s="3"/>
      <c r="W419" s="4"/>
      <c r="X419" s="13"/>
      <c r="Y419" s="48"/>
      <c r="Z419" s="48"/>
      <c r="AA419" s="20"/>
      <c r="AB419" s="48"/>
      <c r="AC419" s="48"/>
      <c r="AD419" s="7"/>
      <c r="AE419" s="2" t="s">
        <v>404</v>
      </c>
      <c r="AF419" s="2"/>
      <c r="AG419" s="2"/>
    </row>
    <row r="420" spans="1:33" s="37" customFormat="1" ht="21.75" customHeight="1" x14ac:dyDescent="0.2">
      <c r="A420" s="13">
        <f t="shared" si="7"/>
        <v>34</v>
      </c>
      <c r="B420" s="11"/>
      <c r="C420" s="21" t="s">
        <v>201</v>
      </c>
      <c r="D420" s="114">
        <v>1</v>
      </c>
      <c r="E420" s="11"/>
      <c r="F420" s="15"/>
      <c r="G420" s="21"/>
      <c r="H420" s="60"/>
      <c r="I420" s="11"/>
      <c r="J420" s="8"/>
      <c r="K420" s="8"/>
      <c r="L420" s="9"/>
      <c r="M420" s="9"/>
      <c r="N420" s="22"/>
      <c r="O420" s="5"/>
      <c r="P420" s="7"/>
      <c r="Q420" s="9"/>
      <c r="R420" s="23"/>
      <c r="S420" s="11"/>
      <c r="T420" s="6"/>
      <c r="U420" s="11"/>
      <c r="V420" s="7"/>
      <c r="W420" s="9"/>
      <c r="X420" s="13"/>
      <c r="Y420" s="48"/>
      <c r="Z420" s="48"/>
      <c r="AA420" s="20"/>
      <c r="AB420" s="48"/>
      <c r="AC420" s="48"/>
      <c r="AD420" s="7"/>
      <c r="AE420" s="12" t="s">
        <v>111</v>
      </c>
      <c r="AF420" s="12"/>
      <c r="AG420" s="12"/>
    </row>
    <row r="421" spans="1:33" s="37" customFormat="1" ht="63.75" x14ac:dyDescent="0.2">
      <c r="A421" s="13">
        <f t="shared" si="7"/>
        <v>34</v>
      </c>
      <c r="B421" s="11"/>
      <c r="C421" s="138" t="s">
        <v>202</v>
      </c>
      <c r="D421" s="114"/>
      <c r="E421" s="13"/>
      <c r="F421" s="18"/>
      <c r="G421" s="1"/>
      <c r="H421" s="60"/>
      <c r="I421" s="13"/>
      <c r="J421" s="5"/>
      <c r="K421" s="5"/>
      <c r="L421" s="4"/>
      <c r="M421" s="4"/>
      <c r="N421" s="16"/>
      <c r="O421" s="5"/>
      <c r="P421" s="3"/>
      <c r="Q421" s="4"/>
      <c r="R421" s="47"/>
      <c r="S421" s="13"/>
      <c r="T421" s="6"/>
      <c r="U421" s="13"/>
      <c r="V421" s="3"/>
      <c r="W421" s="4"/>
      <c r="X421" s="15"/>
      <c r="Y421" s="49"/>
      <c r="Z421" s="49"/>
      <c r="AA421" s="256"/>
      <c r="AB421" s="49"/>
      <c r="AC421" s="49"/>
      <c r="AD421" s="7"/>
      <c r="AE421" s="1" t="s">
        <v>1695</v>
      </c>
      <c r="AF421" s="1"/>
      <c r="AG421" s="1"/>
    </row>
    <row r="422" spans="1:33" s="37" customFormat="1" ht="38.25" x14ac:dyDescent="0.2">
      <c r="A422" s="13">
        <f t="shared" ref="A422:A480" si="8">IF(B422&lt;&gt;0,B422,A421)</f>
        <v>34</v>
      </c>
      <c r="B422" s="11"/>
      <c r="C422" s="82" t="s">
        <v>678</v>
      </c>
      <c r="D422" s="13"/>
      <c r="E422" s="13"/>
      <c r="F422" s="2"/>
      <c r="G422" s="1"/>
      <c r="H422" s="50"/>
      <c r="I422" s="51"/>
      <c r="J422" s="51"/>
      <c r="K422" s="51"/>
      <c r="L422" s="51"/>
      <c r="M422" s="51"/>
      <c r="N422" s="51"/>
      <c r="O422" s="51"/>
      <c r="P422" s="51"/>
      <c r="Q422" s="51"/>
      <c r="R422" s="2"/>
      <c r="S422" s="51"/>
      <c r="T422" s="51"/>
      <c r="U422" s="50"/>
      <c r="V422" s="51"/>
      <c r="W422" s="51"/>
      <c r="X422" s="50"/>
      <c r="Y422" s="50"/>
      <c r="Z422" s="50"/>
      <c r="AA422" s="257"/>
      <c r="AB422" s="50"/>
      <c r="AC422" s="50"/>
      <c r="AD422" s="51"/>
      <c r="AE422" s="51"/>
      <c r="AF422" s="51"/>
      <c r="AG422" s="2"/>
    </row>
    <row r="423" spans="1:33" s="37" customFormat="1" ht="12.75" x14ac:dyDescent="0.2">
      <c r="A423" s="13">
        <f t="shared" si="8"/>
        <v>34</v>
      </c>
      <c r="B423" s="11"/>
      <c r="C423" s="82"/>
      <c r="D423" s="13"/>
      <c r="E423" s="13"/>
      <c r="F423" s="2"/>
      <c r="G423" s="1"/>
      <c r="H423" s="50"/>
      <c r="I423" s="51"/>
      <c r="J423" s="51"/>
      <c r="K423" s="51"/>
      <c r="L423" s="51"/>
      <c r="M423" s="51"/>
      <c r="N423" s="51"/>
      <c r="O423" s="51"/>
      <c r="P423" s="51"/>
      <c r="Q423" s="51"/>
      <c r="R423" s="2"/>
      <c r="S423" s="51"/>
      <c r="T423" s="51"/>
      <c r="U423" s="50"/>
      <c r="V423" s="51"/>
      <c r="W423" s="51"/>
      <c r="X423" s="50"/>
      <c r="Y423" s="50"/>
      <c r="Z423" s="50"/>
      <c r="AA423" s="257"/>
      <c r="AB423" s="50"/>
      <c r="AC423" s="50"/>
      <c r="AD423" s="51"/>
      <c r="AE423" s="51"/>
      <c r="AF423" s="51"/>
      <c r="AG423" s="2"/>
    </row>
    <row r="424" spans="1:33" s="37" customFormat="1" ht="12.75" x14ac:dyDescent="0.2">
      <c r="A424" s="13">
        <f t="shared" si="8"/>
        <v>34</v>
      </c>
      <c r="B424" s="11"/>
      <c r="C424" s="82"/>
      <c r="D424" s="13"/>
      <c r="E424" s="13"/>
      <c r="F424" s="2"/>
      <c r="G424" s="1"/>
      <c r="H424" s="50"/>
      <c r="I424" s="51"/>
      <c r="J424" s="51"/>
      <c r="K424" s="51"/>
      <c r="L424" s="51"/>
      <c r="M424" s="51"/>
      <c r="N424" s="51"/>
      <c r="O424" s="51"/>
      <c r="P424" s="51"/>
      <c r="Q424" s="51"/>
      <c r="R424" s="2"/>
      <c r="S424" s="51"/>
      <c r="T424" s="51"/>
      <c r="U424" s="50"/>
      <c r="V424" s="51"/>
      <c r="W424" s="51"/>
      <c r="X424" s="50"/>
      <c r="Y424" s="50"/>
      <c r="Z424" s="50"/>
      <c r="AA424" s="257"/>
      <c r="AB424" s="50"/>
      <c r="AC424" s="50"/>
      <c r="AD424" s="51"/>
      <c r="AE424" s="51"/>
      <c r="AF424" s="51"/>
      <c r="AG424" s="2"/>
    </row>
    <row r="425" spans="1:33" s="37" customFormat="1" ht="12.75" x14ac:dyDescent="0.2">
      <c r="A425" s="13">
        <f t="shared" si="8"/>
        <v>34</v>
      </c>
      <c r="B425" s="11"/>
      <c r="C425" s="92"/>
      <c r="D425" s="13"/>
      <c r="E425" s="13"/>
      <c r="F425" s="18"/>
      <c r="G425" s="1"/>
      <c r="H425" s="60"/>
      <c r="I425" s="13"/>
      <c r="J425" s="5"/>
      <c r="K425" s="5"/>
      <c r="L425" s="4"/>
      <c r="M425" s="4"/>
      <c r="N425" s="1"/>
      <c r="O425" s="5"/>
      <c r="P425" s="3"/>
      <c r="Q425" s="4"/>
      <c r="R425" s="47"/>
      <c r="S425" s="13"/>
      <c r="T425" s="6"/>
      <c r="U425" s="13"/>
      <c r="V425" s="3"/>
      <c r="W425" s="4"/>
      <c r="X425" s="13"/>
      <c r="Y425" s="48"/>
      <c r="Z425" s="48"/>
      <c r="AA425" s="20"/>
      <c r="AB425" s="48"/>
      <c r="AC425" s="48"/>
      <c r="AD425" s="7"/>
      <c r="AE425" s="24"/>
      <c r="AF425" s="24"/>
      <c r="AG425" s="24"/>
    </row>
    <row r="426" spans="1:33" s="37" customFormat="1" ht="25.5" x14ac:dyDescent="0.2">
      <c r="A426" s="13">
        <f t="shared" si="8"/>
        <v>35</v>
      </c>
      <c r="B426" s="11">
        <v>35</v>
      </c>
      <c r="C426" s="92" t="s">
        <v>30</v>
      </c>
      <c r="D426" s="114">
        <v>7</v>
      </c>
      <c r="E426" s="13">
        <v>86</v>
      </c>
      <c r="F426" s="18">
        <v>151</v>
      </c>
      <c r="G426" s="1" t="s">
        <v>416</v>
      </c>
      <c r="H426" s="60">
        <v>1086.5999999999999</v>
      </c>
      <c r="I426" s="13"/>
      <c r="J426" s="5"/>
      <c r="K426" s="5"/>
      <c r="L426" s="4"/>
      <c r="M426" s="4"/>
      <c r="N426" s="16"/>
      <c r="O426" s="5"/>
      <c r="P426" s="3"/>
      <c r="Q426" s="4"/>
      <c r="R426" s="47"/>
      <c r="S426" s="13"/>
      <c r="T426" s="6"/>
      <c r="U426" s="13"/>
      <c r="V426" s="3"/>
      <c r="W426" s="4"/>
      <c r="X426" s="13"/>
      <c r="Y426" s="48"/>
      <c r="Z426" s="48"/>
      <c r="AA426" s="20"/>
      <c r="AB426" s="48"/>
      <c r="AC426" s="48"/>
      <c r="AD426" s="7"/>
      <c r="AE426" s="1" t="s">
        <v>514</v>
      </c>
      <c r="AF426" s="1"/>
      <c r="AG426" s="1"/>
    </row>
    <row r="427" spans="1:33" s="37" customFormat="1" ht="25.5" x14ac:dyDescent="0.2">
      <c r="A427" s="13">
        <f t="shared" si="8"/>
        <v>35</v>
      </c>
      <c r="B427" s="11"/>
      <c r="C427" s="1" t="s">
        <v>127</v>
      </c>
      <c r="D427" s="13"/>
      <c r="E427" s="133"/>
      <c r="F427" s="133"/>
      <c r="G427" s="84" t="s">
        <v>515</v>
      </c>
      <c r="H427" s="60">
        <v>493.9</v>
      </c>
      <c r="I427" s="2"/>
      <c r="J427" s="3"/>
      <c r="K427" s="3"/>
      <c r="L427" s="3"/>
      <c r="M427" s="3"/>
      <c r="N427" s="84"/>
      <c r="O427" s="5"/>
      <c r="P427" s="3"/>
      <c r="Q427" s="4"/>
      <c r="R427" s="84"/>
      <c r="S427" s="87"/>
      <c r="T427" s="6"/>
      <c r="U427" s="13"/>
      <c r="V427" s="3"/>
      <c r="W427" s="4"/>
      <c r="X427" s="13"/>
      <c r="Y427" s="48"/>
      <c r="Z427" s="48"/>
      <c r="AA427" s="20"/>
      <c r="AB427" s="48"/>
      <c r="AC427" s="48"/>
      <c r="AD427" s="7"/>
      <c r="AE427" s="1" t="s">
        <v>516</v>
      </c>
      <c r="AF427" s="1"/>
      <c r="AG427" s="1"/>
    </row>
    <row r="428" spans="1:33" s="37" customFormat="1" ht="33" customHeight="1" x14ac:dyDescent="0.2">
      <c r="A428" s="13">
        <f t="shared" si="8"/>
        <v>35</v>
      </c>
      <c r="B428" s="11"/>
      <c r="C428" s="1" t="s">
        <v>651</v>
      </c>
      <c r="D428" s="13"/>
      <c r="E428" s="13"/>
      <c r="F428" s="18"/>
      <c r="G428" s="1"/>
      <c r="H428" s="60"/>
      <c r="I428" s="2"/>
      <c r="J428" s="3"/>
      <c r="K428" s="3"/>
      <c r="L428" s="3"/>
      <c r="M428" s="3"/>
      <c r="N428" s="84"/>
      <c r="O428" s="5"/>
      <c r="P428" s="3"/>
      <c r="Q428" s="4"/>
      <c r="R428" s="84"/>
      <c r="S428" s="87"/>
      <c r="T428" s="6"/>
      <c r="U428" s="13"/>
      <c r="V428" s="3"/>
      <c r="W428" s="4"/>
      <c r="X428" s="13"/>
      <c r="Y428" s="48"/>
      <c r="Z428" s="48"/>
      <c r="AA428" s="20"/>
      <c r="AB428" s="48"/>
      <c r="AC428" s="48"/>
      <c r="AD428" s="7"/>
      <c r="AE428" s="2" t="s">
        <v>1686</v>
      </c>
      <c r="AF428" s="2"/>
      <c r="AG428" s="2"/>
    </row>
    <row r="429" spans="1:33" s="37" customFormat="1" ht="23.25" customHeight="1" x14ac:dyDescent="0.2">
      <c r="A429" s="13">
        <f t="shared" si="8"/>
        <v>35</v>
      </c>
      <c r="B429" s="11"/>
      <c r="C429" s="21" t="s">
        <v>203</v>
      </c>
      <c r="D429" s="13">
        <v>1</v>
      </c>
      <c r="E429" s="13"/>
      <c r="F429" s="18"/>
      <c r="G429" s="1"/>
      <c r="H429" s="60"/>
      <c r="I429" s="13"/>
      <c r="J429" s="5"/>
      <c r="K429" s="5"/>
      <c r="L429" s="4"/>
      <c r="M429" s="4"/>
      <c r="N429" s="1"/>
      <c r="O429" s="5"/>
      <c r="P429" s="3"/>
      <c r="Q429" s="4"/>
      <c r="R429" s="47"/>
      <c r="S429" s="13"/>
      <c r="T429" s="6"/>
      <c r="U429" s="13"/>
      <c r="V429" s="3"/>
      <c r="W429" s="4"/>
      <c r="X429" s="13"/>
      <c r="Y429" s="48"/>
      <c r="Z429" s="48"/>
      <c r="AA429" s="20"/>
      <c r="AB429" s="48"/>
      <c r="AC429" s="48"/>
      <c r="AD429" s="7"/>
      <c r="AE429" s="35" t="s">
        <v>111</v>
      </c>
      <c r="AF429" s="35"/>
      <c r="AG429" s="35"/>
    </row>
    <row r="430" spans="1:33" s="37" customFormat="1" ht="16.5" customHeight="1" x14ac:dyDescent="0.2">
      <c r="A430" s="13">
        <f t="shared" si="8"/>
        <v>35</v>
      </c>
      <c r="B430" s="11"/>
      <c r="C430" s="1" t="s">
        <v>204</v>
      </c>
      <c r="D430" s="14"/>
      <c r="E430" s="11"/>
      <c r="F430" s="15"/>
      <c r="G430" s="21"/>
      <c r="H430" s="60"/>
      <c r="I430" s="11"/>
      <c r="J430" s="8"/>
      <c r="K430" s="8"/>
      <c r="L430" s="9"/>
      <c r="M430" s="9"/>
      <c r="N430" s="22"/>
      <c r="O430" s="5"/>
      <c r="P430" s="7"/>
      <c r="Q430" s="9"/>
      <c r="R430" s="23"/>
      <c r="S430" s="11"/>
      <c r="T430" s="6"/>
      <c r="U430" s="11"/>
      <c r="V430" s="7"/>
      <c r="W430" s="9"/>
      <c r="X430" s="15"/>
      <c r="Y430" s="49"/>
      <c r="Z430" s="49"/>
      <c r="AA430" s="256"/>
      <c r="AB430" s="49"/>
      <c r="AC430" s="49"/>
      <c r="AD430" s="7"/>
      <c r="AE430" s="12"/>
      <c r="AF430" s="12"/>
      <c r="AG430" s="12"/>
    </row>
    <row r="431" spans="1:33" s="37" customFormat="1" ht="32.25" customHeight="1" x14ac:dyDescent="0.2">
      <c r="A431" s="13">
        <f t="shared" si="8"/>
        <v>35</v>
      </c>
      <c r="B431" s="11"/>
      <c r="C431" s="82" t="s">
        <v>679</v>
      </c>
      <c r="D431" s="13"/>
      <c r="E431" s="13"/>
      <c r="F431" s="2"/>
      <c r="G431" s="1"/>
      <c r="H431" s="50"/>
      <c r="I431" s="51"/>
      <c r="J431" s="51"/>
      <c r="K431" s="51"/>
      <c r="L431" s="51"/>
      <c r="M431" s="51"/>
      <c r="N431" s="51"/>
      <c r="O431" s="51"/>
      <c r="P431" s="51"/>
      <c r="Q431" s="51"/>
      <c r="R431" s="2"/>
      <c r="S431" s="51"/>
      <c r="T431" s="51"/>
      <c r="U431" s="50"/>
      <c r="V431" s="51"/>
      <c r="W431" s="51"/>
      <c r="X431" s="50"/>
      <c r="Y431" s="50"/>
      <c r="Z431" s="50"/>
      <c r="AA431" s="257"/>
      <c r="AB431" s="50"/>
      <c r="AC431" s="50"/>
      <c r="AD431" s="51"/>
      <c r="AE431" s="51"/>
      <c r="AF431" s="51"/>
      <c r="AG431" s="2"/>
    </row>
    <row r="432" spans="1:33" s="37" customFormat="1" ht="12.75" x14ac:dyDescent="0.2">
      <c r="A432" s="13">
        <f t="shared" si="8"/>
        <v>35</v>
      </c>
      <c r="B432" s="11"/>
      <c r="C432" s="82"/>
      <c r="D432" s="13"/>
      <c r="E432" s="13"/>
      <c r="F432" s="2"/>
      <c r="G432" s="1"/>
      <c r="H432" s="50"/>
      <c r="I432" s="51"/>
      <c r="J432" s="51"/>
      <c r="K432" s="51"/>
      <c r="L432" s="51"/>
      <c r="M432" s="51"/>
      <c r="N432" s="51"/>
      <c r="O432" s="51"/>
      <c r="P432" s="51"/>
      <c r="Q432" s="51"/>
      <c r="R432" s="2"/>
      <c r="S432" s="51"/>
      <c r="T432" s="51"/>
      <c r="U432" s="50"/>
      <c r="V432" s="51"/>
      <c r="W432" s="51"/>
      <c r="X432" s="50"/>
      <c r="Y432" s="50"/>
      <c r="Z432" s="50"/>
      <c r="AA432" s="257"/>
      <c r="AB432" s="50"/>
      <c r="AC432" s="50"/>
      <c r="AD432" s="51"/>
      <c r="AE432" s="51"/>
      <c r="AF432" s="51"/>
      <c r="AG432" s="2"/>
    </row>
    <row r="433" spans="1:33" s="37" customFormat="1" ht="12.75" x14ac:dyDescent="0.2">
      <c r="A433" s="13">
        <f t="shared" si="8"/>
        <v>35</v>
      </c>
      <c r="B433" s="11"/>
      <c r="C433" s="82"/>
      <c r="D433" s="13"/>
      <c r="E433" s="13"/>
      <c r="F433" s="2"/>
      <c r="G433" s="1"/>
      <c r="H433" s="50"/>
      <c r="I433" s="51"/>
      <c r="J433" s="51"/>
      <c r="K433" s="51"/>
      <c r="L433" s="51"/>
      <c r="M433" s="51"/>
      <c r="N433" s="51"/>
      <c r="O433" s="51"/>
      <c r="P433" s="51"/>
      <c r="Q433" s="51"/>
      <c r="R433" s="2"/>
      <c r="S433" s="51"/>
      <c r="T433" s="51"/>
      <c r="U433" s="50"/>
      <c r="V433" s="51"/>
      <c r="W433" s="51"/>
      <c r="X433" s="50"/>
      <c r="Y433" s="50"/>
      <c r="Z433" s="50"/>
      <c r="AA433" s="257"/>
      <c r="AB433" s="50"/>
      <c r="AC433" s="50"/>
      <c r="AD433" s="51"/>
      <c r="AE433" s="51"/>
      <c r="AF433" s="51"/>
      <c r="AG433" s="2"/>
    </row>
    <row r="434" spans="1:33" s="37" customFormat="1" ht="12.75" x14ac:dyDescent="0.2">
      <c r="A434" s="13">
        <f t="shared" si="8"/>
        <v>35</v>
      </c>
      <c r="B434" s="11"/>
      <c r="C434" s="1"/>
      <c r="D434" s="13"/>
      <c r="E434" s="13"/>
      <c r="F434" s="18"/>
      <c r="G434" s="1"/>
      <c r="H434" s="60"/>
      <c r="I434" s="2"/>
      <c r="J434" s="3"/>
      <c r="K434" s="3"/>
      <c r="L434" s="3"/>
      <c r="M434" s="3"/>
      <c r="N434" s="84"/>
      <c r="O434" s="79"/>
      <c r="P434" s="3"/>
      <c r="Q434" s="4"/>
      <c r="R434" s="79"/>
      <c r="S434" s="87"/>
      <c r="T434" s="6"/>
      <c r="U434" s="13"/>
      <c r="V434" s="3"/>
      <c r="W434" s="4"/>
      <c r="X434" s="13"/>
      <c r="Y434" s="48"/>
      <c r="Z434" s="48"/>
      <c r="AA434" s="20"/>
      <c r="AB434" s="48"/>
      <c r="AC434" s="48"/>
      <c r="AD434" s="7"/>
      <c r="AE434" s="2"/>
      <c r="AF434" s="2"/>
      <c r="AG434" s="2"/>
    </row>
    <row r="435" spans="1:33" s="37" customFormat="1" ht="25.5" x14ac:dyDescent="0.2">
      <c r="A435" s="13">
        <f t="shared" si="8"/>
        <v>36</v>
      </c>
      <c r="B435" s="11">
        <v>36</v>
      </c>
      <c r="C435" s="21" t="s">
        <v>36</v>
      </c>
      <c r="D435" s="13">
        <v>4</v>
      </c>
      <c r="E435" s="13">
        <v>86</v>
      </c>
      <c r="F435" s="18">
        <v>370</v>
      </c>
      <c r="G435" s="1" t="s">
        <v>416</v>
      </c>
      <c r="H435" s="60">
        <v>209.4</v>
      </c>
      <c r="I435" s="13"/>
      <c r="J435" s="5"/>
      <c r="K435" s="5"/>
      <c r="L435" s="4"/>
      <c r="M435" s="4"/>
      <c r="N435" s="1" t="s">
        <v>319</v>
      </c>
      <c r="O435" s="5">
        <v>71</v>
      </c>
      <c r="P435" s="3"/>
      <c r="Q435" s="4"/>
      <c r="R435" s="47"/>
      <c r="S435" s="13"/>
      <c r="T435" s="6"/>
      <c r="U435" s="17"/>
      <c r="V435" s="3"/>
      <c r="W435" s="4"/>
      <c r="X435" s="13"/>
      <c r="Y435" s="48"/>
      <c r="Z435" s="48"/>
      <c r="AA435" s="20"/>
      <c r="AB435" s="48"/>
      <c r="AC435" s="48"/>
      <c r="AD435" s="7"/>
      <c r="AE435" s="1" t="s">
        <v>680</v>
      </c>
      <c r="AF435" s="1"/>
      <c r="AG435" s="1"/>
    </row>
    <row r="436" spans="1:33" s="37" customFormat="1" ht="38.25" x14ac:dyDescent="0.2">
      <c r="A436" s="13">
        <f t="shared" si="8"/>
        <v>36</v>
      </c>
      <c r="B436" s="11"/>
      <c r="C436" s="153" t="s">
        <v>205</v>
      </c>
      <c r="D436" s="13"/>
      <c r="E436" s="13">
        <v>86</v>
      </c>
      <c r="F436" s="18">
        <v>370</v>
      </c>
      <c r="G436" s="1" t="s">
        <v>417</v>
      </c>
      <c r="H436" s="60">
        <v>35.1</v>
      </c>
      <c r="I436" s="13"/>
      <c r="J436" s="5"/>
      <c r="K436" s="5"/>
      <c r="L436" s="4"/>
      <c r="M436" s="4"/>
      <c r="N436" s="140" t="s">
        <v>73</v>
      </c>
      <c r="O436" s="5">
        <v>11</v>
      </c>
      <c r="P436" s="141"/>
      <c r="Q436" s="141"/>
      <c r="R436" s="140"/>
      <c r="S436" s="141"/>
      <c r="T436" s="6"/>
      <c r="U436" s="17"/>
      <c r="V436" s="3"/>
      <c r="W436" s="4"/>
      <c r="X436" s="13"/>
      <c r="Y436" s="48"/>
      <c r="Z436" s="48"/>
      <c r="AA436" s="20"/>
      <c r="AB436" s="48"/>
      <c r="AC436" s="48"/>
      <c r="AD436" s="7"/>
      <c r="AE436" s="1" t="s">
        <v>517</v>
      </c>
      <c r="AF436" s="1"/>
      <c r="AG436" s="1"/>
    </row>
    <row r="437" spans="1:33" s="37" customFormat="1" ht="42.75" customHeight="1" x14ac:dyDescent="0.2">
      <c r="A437" s="13">
        <f t="shared" si="8"/>
        <v>36</v>
      </c>
      <c r="B437" s="170"/>
      <c r="C437" s="153" t="s">
        <v>681</v>
      </c>
      <c r="D437" s="13"/>
      <c r="E437" s="13"/>
      <c r="F437" s="18"/>
      <c r="G437" s="1" t="s">
        <v>453</v>
      </c>
      <c r="H437" s="60">
        <v>2</v>
      </c>
      <c r="I437" s="13"/>
      <c r="J437" s="5"/>
      <c r="K437" s="5"/>
      <c r="L437" s="4"/>
      <c r="M437" s="4"/>
      <c r="N437" s="1" t="s">
        <v>75</v>
      </c>
      <c r="O437" s="5">
        <v>9</v>
      </c>
      <c r="P437" s="3"/>
      <c r="Q437" s="4"/>
      <c r="R437" s="47"/>
      <c r="S437" s="13"/>
      <c r="T437" s="6"/>
      <c r="U437" s="17"/>
      <c r="V437" s="3"/>
      <c r="W437" s="4"/>
      <c r="X437" s="13"/>
      <c r="Y437" s="48"/>
      <c r="Z437" s="48"/>
      <c r="AA437" s="20"/>
      <c r="AB437" s="48"/>
      <c r="AC437" s="48"/>
      <c r="AD437" s="7"/>
      <c r="AE437" s="2" t="s">
        <v>1732</v>
      </c>
      <c r="AF437" s="2"/>
      <c r="AG437" s="2"/>
    </row>
    <row r="438" spans="1:33" s="37" customFormat="1" ht="63.75" x14ac:dyDescent="0.2">
      <c r="A438" s="13">
        <f t="shared" si="8"/>
        <v>36</v>
      </c>
      <c r="B438" s="11"/>
      <c r="C438" s="138" t="s">
        <v>311</v>
      </c>
      <c r="D438" s="13"/>
      <c r="E438" s="13"/>
      <c r="F438" s="18"/>
      <c r="G438" s="1"/>
      <c r="H438" s="60"/>
      <c r="I438" s="2"/>
      <c r="J438" s="3"/>
      <c r="K438" s="3"/>
      <c r="L438" s="3"/>
      <c r="M438" s="3"/>
      <c r="N438" s="84" t="s">
        <v>69</v>
      </c>
      <c r="O438" s="79">
        <v>3</v>
      </c>
      <c r="P438" s="3"/>
      <c r="Q438" s="4"/>
      <c r="R438" s="84"/>
      <c r="S438" s="87"/>
      <c r="T438" s="6"/>
      <c r="U438" s="13"/>
      <c r="V438" s="3"/>
      <c r="W438" s="4"/>
      <c r="X438" s="13"/>
      <c r="Y438" s="48"/>
      <c r="Z438" s="48"/>
      <c r="AA438" s="20"/>
      <c r="AB438" s="48"/>
      <c r="AC438" s="48"/>
      <c r="AD438" s="7"/>
      <c r="AE438" s="1" t="s">
        <v>518</v>
      </c>
      <c r="AF438" s="1"/>
      <c r="AG438" s="1"/>
    </row>
    <row r="439" spans="1:33" s="37" customFormat="1" ht="12.75" x14ac:dyDescent="0.2">
      <c r="A439" s="13">
        <f t="shared" si="8"/>
        <v>36</v>
      </c>
      <c r="B439" s="11"/>
      <c r="C439" s="1"/>
      <c r="D439" s="13"/>
      <c r="E439" s="13"/>
      <c r="F439" s="18"/>
      <c r="G439" s="1"/>
      <c r="H439" s="60"/>
      <c r="I439" s="13"/>
      <c r="J439" s="5"/>
      <c r="K439" s="5"/>
      <c r="L439" s="4"/>
      <c r="M439" s="4"/>
      <c r="N439" s="1" t="s">
        <v>749</v>
      </c>
      <c r="O439" s="5">
        <v>1</v>
      </c>
      <c r="P439" s="3"/>
      <c r="Q439" s="4"/>
      <c r="R439" s="47"/>
      <c r="S439" s="13"/>
      <c r="T439" s="6"/>
      <c r="U439" s="13"/>
      <c r="V439" s="3"/>
      <c r="W439" s="4"/>
      <c r="X439" s="13"/>
      <c r="Y439" s="48"/>
      <c r="Z439" s="48"/>
      <c r="AA439" s="20"/>
      <c r="AB439" s="48"/>
      <c r="AC439" s="48"/>
      <c r="AD439" s="7"/>
      <c r="AE439" s="2"/>
      <c r="AF439" s="2"/>
      <c r="AG439" s="2"/>
    </row>
    <row r="440" spans="1:33" s="37" customFormat="1" ht="12.75" x14ac:dyDescent="0.2">
      <c r="A440" s="13">
        <f t="shared" si="8"/>
        <v>36</v>
      </c>
      <c r="B440" s="11"/>
      <c r="C440" s="1"/>
      <c r="D440" s="13"/>
      <c r="E440" s="13"/>
      <c r="F440" s="2"/>
      <c r="G440" s="1"/>
      <c r="H440" s="50"/>
      <c r="I440" s="51"/>
      <c r="J440" s="51"/>
      <c r="K440" s="51"/>
      <c r="L440" s="51"/>
      <c r="M440" s="51"/>
      <c r="N440" s="51"/>
      <c r="O440" s="51"/>
      <c r="P440" s="51"/>
      <c r="Q440" s="51"/>
      <c r="R440" s="2"/>
      <c r="S440" s="51"/>
      <c r="T440" s="51"/>
      <c r="U440" s="50"/>
      <c r="V440" s="51"/>
      <c r="W440" s="51"/>
      <c r="X440" s="50"/>
      <c r="Y440" s="50"/>
      <c r="Z440" s="50"/>
      <c r="AA440" s="257"/>
      <c r="AB440" s="50"/>
      <c r="AC440" s="50"/>
      <c r="AD440" s="51"/>
      <c r="AE440" s="51"/>
      <c r="AF440" s="51"/>
      <c r="AG440" s="2"/>
    </row>
    <row r="441" spans="1:33" s="37" customFormat="1" ht="12.75" x14ac:dyDescent="0.2">
      <c r="A441" s="13">
        <f t="shared" si="8"/>
        <v>36</v>
      </c>
      <c r="B441" s="11"/>
      <c r="C441" s="92"/>
      <c r="D441" s="13"/>
      <c r="E441" s="13"/>
      <c r="F441" s="18"/>
      <c r="G441" s="1"/>
      <c r="H441" s="60"/>
      <c r="I441" s="13"/>
      <c r="J441" s="5"/>
      <c r="K441" s="5"/>
      <c r="L441" s="4"/>
      <c r="M441" s="4"/>
      <c r="N441" s="1"/>
      <c r="O441" s="5"/>
      <c r="P441" s="3"/>
      <c r="Q441" s="4"/>
      <c r="R441" s="47"/>
      <c r="S441" s="13"/>
      <c r="T441" s="6"/>
      <c r="U441" s="13"/>
      <c r="V441" s="3"/>
      <c r="W441" s="4"/>
      <c r="X441" s="13"/>
      <c r="Y441" s="48"/>
      <c r="Z441" s="48"/>
      <c r="AA441" s="20"/>
      <c r="AB441" s="48"/>
      <c r="AC441" s="48"/>
      <c r="AD441" s="7"/>
      <c r="AE441" s="2"/>
      <c r="AF441" s="2"/>
      <c r="AG441" s="2"/>
    </row>
    <row r="442" spans="1:33" s="37" customFormat="1" ht="38.25" x14ac:dyDescent="0.2">
      <c r="A442" s="13">
        <f t="shared" si="8"/>
        <v>37</v>
      </c>
      <c r="B442" s="11">
        <v>37</v>
      </c>
      <c r="C442" s="21" t="s">
        <v>36</v>
      </c>
      <c r="D442" s="13"/>
      <c r="E442" s="13">
        <v>86</v>
      </c>
      <c r="F442" s="18">
        <v>695</v>
      </c>
      <c r="G442" s="1" t="s">
        <v>519</v>
      </c>
      <c r="H442" s="60">
        <v>209.6</v>
      </c>
      <c r="I442" s="13"/>
      <c r="J442" s="5"/>
      <c r="K442" s="5"/>
      <c r="L442" s="4"/>
      <c r="M442" s="4"/>
      <c r="N442" s="140" t="s">
        <v>154</v>
      </c>
      <c r="O442" s="5">
        <v>1</v>
      </c>
      <c r="P442" s="141"/>
      <c r="Q442" s="141"/>
      <c r="R442" s="140" t="s">
        <v>96</v>
      </c>
      <c r="S442" s="152" t="s">
        <v>53</v>
      </c>
      <c r="T442" s="6">
        <v>43.1</v>
      </c>
      <c r="U442" s="17"/>
      <c r="V442" s="3"/>
      <c r="W442" s="4"/>
      <c r="X442" s="13" t="s">
        <v>63</v>
      </c>
      <c r="Y442" s="48" t="s">
        <v>55</v>
      </c>
      <c r="Z442" s="48" t="s">
        <v>56</v>
      </c>
      <c r="AA442" s="20" t="s">
        <v>57</v>
      </c>
      <c r="AB442" s="48" t="s">
        <v>63</v>
      </c>
      <c r="AC442" s="20" t="s">
        <v>206</v>
      </c>
      <c r="AD442" s="7"/>
      <c r="AE442" s="1" t="s">
        <v>1696</v>
      </c>
      <c r="AF442" s="1"/>
      <c r="AG442" s="1"/>
    </row>
    <row r="443" spans="1:33" s="37" customFormat="1" ht="38.25" x14ac:dyDescent="0.2">
      <c r="A443" s="13">
        <f t="shared" si="8"/>
        <v>37</v>
      </c>
      <c r="B443" s="11"/>
      <c r="C443" s="153" t="s">
        <v>205</v>
      </c>
      <c r="D443" s="13"/>
      <c r="E443" s="13">
        <v>86</v>
      </c>
      <c r="F443" s="18">
        <v>695</v>
      </c>
      <c r="G443" s="1" t="s">
        <v>417</v>
      </c>
      <c r="H443" s="60">
        <v>34.9</v>
      </c>
      <c r="I443" s="13"/>
      <c r="J443" s="5"/>
      <c r="K443" s="5"/>
      <c r="L443" s="4"/>
      <c r="M443" s="4"/>
      <c r="N443" s="140" t="s">
        <v>750</v>
      </c>
      <c r="O443" s="5">
        <v>1</v>
      </c>
      <c r="P443" s="141"/>
      <c r="Q443" s="141"/>
      <c r="R443" s="140" t="s">
        <v>520</v>
      </c>
      <c r="S443" s="152" t="s">
        <v>53</v>
      </c>
      <c r="T443" s="6">
        <v>8.4</v>
      </c>
      <c r="U443" s="17"/>
      <c r="V443" s="3"/>
      <c r="W443" s="4"/>
      <c r="X443" s="13" t="s">
        <v>63</v>
      </c>
      <c r="Y443" s="48" t="s">
        <v>55</v>
      </c>
      <c r="Z443" s="48" t="s">
        <v>56</v>
      </c>
      <c r="AA443" s="20"/>
      <c r="AB443" s="48" t="s">
        <v>63</v>
      </c>
      <c r="AC443" s="48"/>
      <c r="AD443" s="7"/>
      <c r="AE443" s="1" t="s">
        <v>521</v>
      </c>
      <c r="AF443" s="1"/>
      <c r="AG443" s="1"/>
    </row>
    <row r="444" spans="1:33" s="37" customFormat="1" ht="38.25" x14ac:dyDescent="0.2">
      <c r="A444" s="13">
        <f t="shared" si="8"/>
        <v>37</v>
      </c>
      <c r="B444" s="11"/>
      <c r="C444" s="153" t="s">
        <v>681</v>
      </c>
      <c r="D444" s="13"/>
      <c r="E444" s="13"/>
      <c r="F444" s="18"/>
      <c r="G444" s="1" t="s">
        <v>453</v>
      </c>
      <c r="H444" s="60">
        <v>1.6</v>
      </c>
      <c r="I444" s="13"/>
      <c r="J444" s="5"/>
      <c r="K444" s="5"/>
      <c r="L444" s="4"/>
      <c r="M444" s="4"/>
      <c r="N444" s="140"/>
      <c r="O444" s="5"/>
      <c r="P444" s="141"/>
      <c r="Q444" s="141"/>
      <c r="R444" s="140" t="s">
        <v>74</v>
      </c>
      <c r="S444" s="152" t="s">
        <v>53</v>
      </c>
      <c r="T444" s="6">
        <v>3.08</v>
      </c>
      <c r="U444" s="17"/>
      <c r="V444" s="3"/>
      <c r="W444" s="4"/>
      <c r="X444" s="13"/>
      <c r="Y444" s="48"/>
      <c r="Z444" s="48" t="s">
        <v>56</v>
      </c>
      <c r="AA444" s="20" t="s">
        <v>57</v>
      </c>
      <c r="AB444" s="48" t="s">
        <v>54</v>
      </c>
      <c r="AC444" s="48"/>
      <c r="AD444" s="7"/>
      <c r="AE444" s="2" t="s">
        <v>250</v>
      </c>
      <c r="AF444" s="2"/>
      <c r="AG444" s="2"/>
    </row>
    <row r="445" spans="1:33" s="37" customFormat="1" ht="63.75" x14ac:dyDescent="0.2">
      <c r="A445" s="13">
        <f t="shared" si="8"/>
        <v>37</v>
      </c>
      <c r="B445" s="11"/>
      <c r="C445" s="138" t="s">
        <v>311</v>
      </c>
      <c r="D445" s="13"/>
      <c r="E445" s="13"/>
      <c r="F445" s="18"/>
      <c r="G445" s="1"/>
      <c r="H445" s="60"/>
      <c r="I445" s="13"/>
      <c r="J445" s="5"/>
      <c r="K445" s="5"/>
      <c r="L445" s="4"/>
      <c r="M445" s="4"/>
      <c r="N445" s="140"/>
      <c r="O445" s="5"/>
      <c r="P445" s="141"/>
      <c r="Q445" s="141"/>
      <c r="R445" s="140" t="s">
        <v>65</v>
      </c>
      <c r="S445" s="152" t="s">
        <v>53</v>
      </c>
      <c r="T445" s="6">
        <v>22</v>
      </c>
      <c r="U445" s="17"/>
      <c r="V445" s="3"/>
      <c r="W445" s="4"/>
      <c r="X445" s="13"/>
      <c r="Y445" s="48" t="s">
        <v>55</v>
      </c>
      <c r="Z445" s="48" t="s">
        <v>141</v>
      </c>
      <c r="AA445" s="20"/>
      <c r="AB445" s="48" t="s">
        <v>66</v>
      </c>
      <c r="AC445" s="48"/>
      <c r="AD445" s="7"/>
      <c r="AE445" s="1" t="s">
        <v>1697</v>
      </c>
      <c r="AF445" s="1"/>
      <c r="AG445" s="2"/>
    </row>
    <row r="446" spans="1:33" s="37" customFormat="1" ht="38.25" x14ac:dyDescent="0.2">
      <c r="A446" s="13">
        <f t="shared" si="8"/>
        <v>37</v>
      </c>
      <c r="B446" s="11"/>
      <c r="C446" s="153"/>
      <c r="D446" s="13"/>
      <c r="E446" s="13"/>
      <c r="F446" s="18"/>
      <c r="G446" s="1"/>
      <c r="H446" s="60"/>
      <c r="I446" s="13"/>
      <c r="J446" s="5"/>
      <c r="K446" s="5"/>
      <c r="L446" s="4"/>
      <c r="M446" s="4"/>
      <c r="N446" s="140"/>
      <c r="O446" s="5"/>
      <c r="P446" s="141"/>
      <c r="Q446" s="141"/>
      <c r="R446" s="140" t="s">
        <v>407</v>
      </c>
      <c r="S446" s="152" t="s">
        <v>53</v>
      </c>
      <c r="T446" s="6">
        <v>25</v>
      </c>
      <c r="U446" s="17"/>
      <c r="V446" s="3"/>
      <c r="W446" s="4"/>
      <c r="X446" s="13"/>
      <c r="Y446" s="48" t="s">
        <v>55</v>
      </c>
      <c r="Z446" s="48" t="s">
        <v>56</v>
      </c>
      <c r="AA446" s="20" t="s">
        <v>320</v>
      </c>
      <c r="AB446" s="48" t="s">
        <v>66</v>
      </c>
      <c r="AC446" s="48"/>
      <c r="AD446" s="7"/>
      <c r="AE446" s="161" t="s">
        <v>1680</v>
      </c>
      <c r="AF446" s="161"/>
      <c r="AG446" s="1"/>
    </row>
    <row r="447" spans="1:33" s="37" customFormat="1" ht="21.75" customHeight="1" x14ac:dyDescent="0.2">
      <c r="A447" s="13">
        <f t="shared" si="8"/>
        <v>37</v>
      </c>
      <c r="B447" s="11"/>
      <c r="C447" s="153"/>
      <c r="D447" s="13"/>
      <c r="E447" s="13"/>
      <c r="F447" s="18"/>
      <c r="G447" s="1"/>
      <c r="H447" s="60"/>
      <c r="I447" s="13"/>
      <c r="J447" s="5"/>
      <c r="K447" s="5"/>
      <c r="L447" s="4"/>
      <c r="M447" s="4"/>
      <c r="N447" s="140"/>
      <c r="O447" s="5"/>
      <c r="P447" s="141"/>
      <c r="Q447" s="141"/>
      <c r="R447" s="140" t="s">
        <v>68</v>
      </c>
      <c r="S447" s="152" t="s">
        <v>53</v>
      </c>
      <c r="T447" s="6">
        <v>13</v>
      </c>
      <c r="U447" s="17"/>
      <c r="V447" s="3"/>
      <c r="W447" s="4"/>
      <c r="X447" s="13"/>
      <c r="Y447" s="48"/>
      <c r="Z447" s="48"/>
      <c r="AA447" s="20"/>
      <c r="AB447" s="48"/>
      <c r="AC447" s="48"/>
      <c r="AD447" s="7"/>
      <c r="AE447" s="1"/>
      <c r="AF447" s="1"/>
      <c r="AG447" s="1"/>
    </row>
    <row r="448" spans="1:33" s="37" customFormat="1" ht="21.75" customHeight="1" x14ac:dyDescent="0.2">
      <c r="A448" s="13">
        <f t="shared" si="8"/>
        <v>37</v>
      </c>
      <c r="B448" s="11"/>
      <c r="C448" s="153"/>
      <c r="D448" s="13"/>
      <c r="E448" s="13"/>
      <c r="F448" s="18"/>
      <c r="G448" s="1"/>
      <c r="H448" s="60"/>
      <c r="I448" s="13"/>
      <c r="J448" s="5"/>
      <c r="K448" s="5"/>
      <c r="L448" s="4"/>
      <c r="M448" s="4"/>
      <c r="N448" s="140"/>
      <c r="O448" s="5"/>
      <c r="P448" s="141"/>
      <c r="Q448" s="141"/>
      <c r="R448" s="140" t="s">
        <v>241</v>
      </c>
      <c r="S448" s="152" t="s">
        <v>53</v>
      </c>
      <c r="T448" s="6">
        <v>8.8000000000000007</v>
      </c>
      <c r="U448" s="17"/>
      <c r="V448" s="3"/>
      <c r="W448" s="4"/>
      <c r="X448" s="13"/>
      <c r="Y448" s="48"/>
      <c r="Z448" s="48"/>
      <c r="AA448" s="20"/>
      <c r="AB448" s="48"/>
      <c r="AC448" s="48"/>
      <c r="AD448" s="7"/>
      <c r="AE448" s="1"/>
      <c r="AF448" s="1"/>
      <c r="AG448" s="1"/>
    </row>
    <row r="449" spans="1:33" s="37" customFormat="1" ht="30.75" customHeight="1" x14ac:dyDescent="0.2">
      <c r="A449" s="13">
        <f t="shared" si="8"/>
        <v>37</v>
      </c>
      <c r="B449" s="11"/>
      <c r="C449" s="153"/>
      <c r="D449" s="13"/>
      <c r="E449" s="13"/>
      <c r="F449" s="18"/>
      <c r="G449" s="1"/>
      <c r="H449" s="60"/>
      <c r="I449" s="13"/>
      <c r="J449" s="5"/>
      <c r="K449" s="5"/>
      <c r="L449" s="4"/>
      <c r="M449" s="4"/>
      <c r="N449" s="140"/>
      <c r="O449" s="5"/>
      <c r="P449" s="141"/>
      <c r="Q449" s="141"/>
      <c r="R449" s="140" t="s">
        <v>383</v>
      </c>
      <c r="S449" s="152" t="s">
        <v>53</v>
      </c>
      <c r="T449" s="6">
        <v>14</v>
      </c>
      <c r="U449" s="17"/>
      <c r="V449" s="3"/>
      <c r="W449" s="4"/>
      <c r="X449" s="13"/>
      <c r="Y449" s="48"/>
      <c r="Z449" s="48"/>
      <c r="AA449" s="20"/>
      <c r="AB449" s="48"/>
      <c r="AC449" s="48"/>
      <c r="AD449" s="7"/>
      <c r="AE449" s="1"/>
      <c r="AF449" s="1"/>
      <c r="AG449" s="1"/>
    </row>
    <row r="450" spans="1:33" s="37" customFormat="1" ht="22.5" customHeight="1" x14ac:dyDescent="0.2">
      <c r="A450" s="13">
        <f t="shared" si="8"/>
        <v>37</v>
      </c>
      <c r="B450" s="11"/>
      <c r="C450" s="153"/>
      <c r="D450" s="13"/>
      <c r="E450" s="13"/>
      <c r="F450" s="18"/>
      <c r="G450" s="1"/>
      <c r="H450" s="60"/>
      <c r="I450" s="13"/>
      <c r="J450" s="5"/>
      <c r="K450" s="5"/>
      <c r="L450" s="4"/>
      <c r="M450" s="4"/>
      <c r="N450" s="140"/>
      <c r="O450" s="5"/>
      <c r="P450" s="141"/>
      <c r="Q450" s="141"/>
      <c r="R450" s="140" t="s">
        <v>493</v>
      </c>
      <c r="S450" s="152" t="s">
        <v>78</v>
      </c>
      <c r="T450" s="6">
        <v>0.11</v>
      </c>
      <c r="U450" s="17"/>
      <c r="V450" s="3"/>
      <c r="W450" s="4"/>
      <c r="X450" s="13"/>
      <c r="Y450" s="48"/>
      <c r="Z450" s="48"/>
      <c r="AA450" s="20"/>
      <c r="AB450" s="48"/>
      <c r="AC450" s="48"/>
      <c r="AD450" s="7"/>
      <c r="AE450" s="1"/>
      <c r="AF450" s="1"/>
      <c r="AG450" s="1"/>
    </row>
    <row r="451" spans="1:33" s="37" customFormat="1" ht="22.5" customHeight="1" x14ac:dyDescent="0.2">
      <c r="A451" s="13">
        <f t="shared" si="8"/>
        <v>37</v>
      </c>
      <c r="B451" s="11"/>
      <c r="C451" s="153"/>
      <c r="D451" s="13"/>
      <c r="E451" s="13"/>
      <c r="F451" s="18"/>
      <c r="G451" s="1"/>
      <c r="H451" s="60"/>
      <c r="I451" s="13"/>
      <c r="J451" s="5"/>
      <c r="K451" s="5"/>
      <c r="L451" s="4"/>
      <c r="M451" s="4"/>
      <c r="N451" s="140"/>
      <c r="O451" s="5"/>
      <c r="P451" s="141"/>
      <c r="Q451" s="141"/>
      <c r="R451" s="140" t="s">
        <v>210</v>
      </c>
      <c r="S451" s="152" t="s">
        <v>53</v>
      </c>
      <c r="T451" s="6">
        <v>1.86</v>
      </c>
      <c r="U451" s="17"/>
      <c r="V451" s="3"/>
      <c r="W451" s="4"/>
      <c r="X451" s="13"/>
      <c r="Y451" s="48"/>
      <c r="Z451" s="48"/>
      <c r="AA451" s="20"/>
      <c r="AB451" s="48"/>
      <c r="AC451" s="48"/>
      <c r="AD451" s="7"/>
      <c r="AE451" s="1"/>
      <c r="AF451" s="1"/>
      <c r="AG451" s="1"/>
    </row>
    <row r="452" spans="1:33" s="37" customFormat="1" ht="22.5" customHeight="1" x14ac:dyDescent="0.2">
      <c r="A452" s="13">
        <f t="shared" si="8"/>
        <v>37</v>
      </c>
      <c r="B452" s="11"/>
      <c r="C452" s="153"/>
      <c r="D452" s="13"/>
      <c r="E452" s="13"/>
      <c r="F452" s="18"/>
      <c r="G452" s="1"/>
      <c r="H452" s="60"/>
      <c r="I452" s="13"/>
      <c r="J452" s="5"/>
      <c r="K452" s="5"/>
      <c r="L452" s="4"/>
      <c r="M452" s="4"/>
      <c r="N452" s="140"/>
      <c r="O452" s="5"/>
      <c r="P452" s="141"/>
      <c r="Q452" s="141"/>
      <c r="R452" s="140" t="s">
        <v>160</v>
      </c>
      <c r="S452" s="152" t="s">
        <v>53</v>
      </c>
      <c r="T452" s="6">
        <v>1.26</v>
      </c>
      <c r="U452" s="17"/>
      <c r="V452" s="3"/>
      <c r="W452" s="4"/>
      <c r="X452" s="13"/>
      <c r="Y452" s="48"/>
      <c r="Z452" s="48"/>
      <c r="AA452" s="20"/>
      <c r="AB452" s="48"/>
      <c r="AC452" s="48"/>
      <c r="AD452" s="7"/>
      <c r="AE452" s="1"/>
      <c r="AF452" s="1"/>
      <c r="AG452" s="1"/>
    </row>
    <row r="453" spans="1:33" s="37" customFormat="1" ht="22.5" customHeight="1" x14ac:dyDescent="0.2">
      <c r="A453" s="13">
        <f t="shared" si="8"/>
        <v>37</v>
      </c>
      <c r="B453" s="11"/>
      <c r="C453" s="153"/>
      <c r="D453" s="13"/>
      <c r="E453" s="13"/>
      <c r="F453" s="18"/>
      <c r="G453" s="1"/>
      <c r="H453" s="60"/>
      <c r="I453" s="13"/>
      <c r="J453" s="5"/>
      <c r="K453" s="5"/>
      <c r="L453" s="4"/>
      <c r="M453" s="4"/>
      <c r="N453" s="140"/>
      <c r="O453" s="5"/>
      <c r="P453" s="141"/>
      <c r="Q453" s="141"/>
      <c r="R453" s="140" t="s">
        <v>321</v>
      </c>
      <c r="S453" s="152" t="s">
        <v>53</v>
      </c>
      <c r="T453" s="6">
        <v>1.84</v>
      </c>
      <c r="U453" s="17"/>
      <c r="V453" s="3"/>
      <c r="W453" s="4"/>
      <c r="X453" s="13"/>
      <c r="Y453" s="48"/>
      <c r="Z453" s="48"/>
      <c r="AA453" s="20"/>
      <c r="AB453" s="48"/>
      <c r="AC453" s="48"/>
      <c r="AD453" s="7"/>
      <c r="AE453" s="1"/>
      <c r="AF453" s="1"/>
      <c r="AG453" s="1"/>
    </row>
    <row r="454" spans="1:33" s="37" customFormat="1" ht="22.5" customHeight="1" x14ac:dyDescent="0.2">
      <c r="A454" s="13">
        <f t="shared" si="8"/>
        <v>37</v>
      </c>
      <c r="B454" s="11"/>
      <c r="C454" s="153"/>
      <c r="D454" s="13"/>
      <c r="E454" s="13"/>
      <c r="F454" s="18"/>
      <c r="G454" s="1"/>
      <c r="H454" s="60"/>
      <c r="I454" s="13"/>
      <c r="J454" s="5"/>
      <c r="K454" s="5"/>
      <c r="L454" s="4"/>
      <c r="M454" s="4"/>
      <c r="N454" s="140"/>
      <c r="O454" s="5"/>
      <c r="P454" s="141"/>
      <c r="Q454" s="141"/>
      <c r="R454" s="140" t="s">
        <v>381</v>
      </c>
      <c r="S454" s="152" t="s">
        <v>53</v>
      </c>
      <c r="T454" s="6">
        <v>4.76</v>
      </c>
      <c r="U454" s="17"/>
      <c r="V454" s="3"/>
      <c r="W454" s="4"/>
      <c r="X454" s="13"/>
      <c r="Y454" s="48"/>
      <c r="Z454" s="48"/>
      <c r="AA454" s="20"/>
      <c r="AB454" s="48"/>
      <c r="AC454" s="48"/>
      <c r="AD454" s="7"/>
      <c r="AE454" s="1"/>
      <c r="AF454" s="1"/>
      <c r="AG454" s="1"/>
    </row>
    <row r="455" spans="1:33" s="37" customFormat="1" ht="22.5" customHeight="1" x14ac:dyDescent="0.2">
      <c r="A455" s="13">
        <f t="shared" si="8"/>
        <v>37</v>
      </c>
      <c r="B455" s="11"/>
      <c r="C455" s="153"/>
      <c r="D455" s="13"/>
      <c r="E455" s="13"/>
      <c r="F455" s="18"/>
      <c r="G455" s="1"/>
      <c r="H455" s="60"/>
      <c r="I455" s="13"/>
      <c r="J455" s="5"/>
      <c r="K455" s="5"/>
      <c r="L455" s="4"/>
      <c r="M455" s="4"/>
      <c r="N455" s="140"/>
      <c r="O455" s="5"/>
      <c r="P455" s="141"/>
      <c r="Q455" s="141"/>
      <c r="R455" s="140" t="s">
        <v>382</v>
      </c>
      <c r="S455" s="152" t="s">
        <v>53</v>
      </c>
      <c r="T455" s="6">
        <v>6.34</v>
      </c>
      <c r="U455" s="17"/>
      <c r="V455" s="3"/>
      <c r="W455" s="4"/>
      <c r="X455" s="13"/>
      <c r="Y455" s="48"/>
      <c r="Z455" s="48"/>
      <c r="AA455" s="20"/>
      <c r="AB455" s="48"/>
      <c r="AC455" s="48"/>
      <c r="AD455" s="7"/>
      <c r="AE455" s="1"/>
      <c r="AF455" s="1"/>
      <c r="AG455" s="1"/>
    </row>
    <row r="456" spans="1:33" s="37" customFormat="1" ht="12.75" x14ac:dyDescent="0.2">
      <c r="A456" s="13">
        <f t="shared" si="8"/>
        <v>37</v>
      </c>
      <c r="B456" s="11"/>
      <c r="C456" s="153"/>
      <c r="D456" s="13"/>
      <c r="E456" s="13"/>
      <c r="F456" s="18"/>
      <c r="G456" s="1"/>
      <c r="H456" s="60"/>
      <c r="I456" s="13"/>
      <c r="J456" s="5"/>
      <c r="K456" s="5"/>
      <c r="L456" s="4"/>
      <c r="M456" s="4"/>
      <c r="N456" s="140"/>
      <c r="O456" s="5"/>
      <c r="P456" s="141"/>
      <c r="Q456" s="141"/>
      <c r="R456" s="140"/>
      <c r="S456" s="152"/>
      <c r="T456" s="6"/>
      <c r="U456" s="17"/>
      <c r="V456" s="3"/>
      <c r="W456" s="4"/>
      <c r="X456" s="13"/>
      <c r="Y456" s="48"/>
      <c r="Z456" s="48"/>
      <c r="AA456" s="20"/>
      <c r="AB456" s="48"/>
      <c r="AC456" s="48"/>
      <c r="AD456" s="7"/>
      <c r="AE456" s="1"/>
      <c r="AF456" s="1"/>
      <c r="AG456" s="1"/>
    </row>
    <row r="457" spans="1:33" s="37" customFormat="1" ht="12.75" x14ac:dyDescent="0.2">
      <c r="A457" s="13">
        <f t="shared" si="8"/>
        <v>37</v>
      </c>
      <c r="B457" s="11"/>
      <c r="C457" s="153"/>
      <c r="D457" s="13"/>
      <c r="E457" s="13"/>
      <c r="F457" s="2"/>
      <c r="G457" s="1"/>
      <c r="H457" s="50"/>
      <c r="I457" s="51"/>
      <c r="J457" s="51"/>
      <c r="K457" s="51"/>
      <c r="L457" s="51"/>
      <c r="M457" s="51"/>
      <c r="N457" s="51"/>
      <c r="O457" s="51"/>
      <c r="P457" s="51"/>
      <c r="Q457" s="51"/>
      <c r="R457" s="2"/>
      <c r="S457" s="51"/>
      <c r="T457" s="51"/>
      <c r="U457" s="50"/>
      <c r="V457" s="51"/>
      <c r="W457" s="51"/>
      <c r="X457" s="50"/>
      <c r="Y457" s="50"/>
      <c r="Z457" s="50"/>
      <c r="AA457" s="257"/>
      <c r="AB457" s="50"/>
      <c r="AC457" s="50"/>
      <c r="AD457" s="51"/>
      <c r="AE457" s="51"/>
      <c r="AF457" s="51"/>
      <c r="AG457" s="2"/>
    </row>
    <row r="458" spans="1:33" s="37" customFormat="1" ht="12.75" x14ac:dyDescent="0.2">
      <c r="A458" s="13">
        <f t="shared" si="8"/>
        <v>37</v>
      </c>
      <c r="B458" s="11"/>
      <c r="C458" s="153"/>
      <c r="D458" s="13"/>
      <c r="E458" s="13"/>
      <c r="F458" s="18"/>
      <c r="G458" s="1"/>
      <c r="H458" s="60"/>
      <c r="I458" s="13"/>
      <c r="J458" s="5"/>
      <c r="K458" s="5"/>
      <c r="L458" s="4"/>
      <c r="M458" s="4"/>
      <c r="N458" s="140"/>
      <c r="O458" s="5"/>
      <c r="P458" s="141"/>
      <c r="Q458" s="141"/>
      <c r="R458" s="140"/>
      <c r="S458" s="152"/>
      <c r="T458" s="6"/>
      <c r="U458" s="17"/>
      <c r="V458" s="3"/>
      <c r="W458" s="4"/>
      <c r="X458" s="13"/>
      <c r="Y458" s="48"/>
      <c r="Z458" s="48"/>
      <c r="AA458" s="20"/>
      <c r="AB458" s="48"/>
      <c r="AC458" s="48"/>
      <c r="AD458" s="7"/>
      <c r="AE458" s="1"/>
      <c r="AF458" s="1"/>
      <c r="AG458" s="1"/>
    </row>
    <row r="459" spans="1:33" s="37" customFormat="1" ht="33" customHeight="1" x14ac:dyDescent="0.2">
      <c r="A459" s="13">
        <f t="shared" si="8"/>
        <v>38</v>
      </c>
      <c r="B459" s="11">
        <v>38</v>
      </c>
      <c r="C459" s="21" t="s">
        <v>37</v>
      </c>
      <c r="D459" s="13">
        <v>6</v>
      </c>
      <c r="E459" s="13">
        <v>86</v>
      </c>
      <c r="F459" s="18">
        <v>506</v>
      </c>
      <c r="G459" s="1" t="s">
        <v>416</v>
      </c>
      <c r="H459" s="60">
        <v>172.2</v>
      </c>
      <c r="I459" s="13"/>
      <c r="J459" s="5"/>
      <c r="K459" s="5"/>
      <c r="L459" s="4"/>
      <c r="M459" s="4"/>
      <c r="N459" s="1" t="s">
        <v>72</v>
      </c>
      <c r="O459" s="5">
        <v>5</v>
      </c>
      <c r="P459" s="3"/>
      <c r="Q459" s="4"/>
      <c r="R459" s="47" t="s">
        <v>520</v>
      </c>
      <c r="S459" s="13" t="s">
        <v>53</v>
      </c>
      <c r="T459" s="6">
        <v>10.4</v>
      </c>
      <c r="U459" s="17"/>
      <c r="V459" s="3"/>
      <c r="W459" s="4"/>
      <c r="X459" s="13" t="s">
        <v>63</v>
      </c>
      <c r="Y459" s="48" t="s">
        <v>55</v>
      </c>
      <c r="Z459" s="48" t="s">
        <v>56</v>
      </c>
      <c r="AA459" s="20"/>
      <c r="AB459" s="48" t="s">
        <v>63</v>
      </c>
      <c r="AC459" s="48"/>
      <c r="AD459" s="7"/>
      <c r="AE459" s="1" t="s">
        <v>1698</v>
      </c>
      <c r="AF459" s="1"/>
      <c r="AG459" s="2"/>
    </row>
    <row r="460" spans="1:33" s="37" customFormat="1" ht="45.75" customHeight="1" x14ac:dyDescent="0.2">
      <c r="A460" s="13">
        <f t="shared" si="8"/>
        <v>38</v>
      </c>
      <c r="B460" s="11"/>
      <c r="C460" s="1" t="s">
        <v>300</v>
      </c>
      <c r="D460" s="13"/>
      <c r="E460" s="13">
        <v>86</v>
      </c>
      <c r="F460" s="18">
        <v>506</v>
      </c>
      <c r="G460" s="1" t="s">
        <v>417</v>
      </c>
      <c r="H460" s="60">
        <v>332.1</v>
      </c>
      <c r="I460" s="13"/>
      <c r="J460" s="5"/>
      <c r="K460" s="5"/>
      <c r="L460" s="4"/>
      <c r="M460" s="4"/>
      <c r="N460" s="1" t="s">
        <v>73</v>
      </c>
      <c r="O460" s="5">
        <v>4</v>
      </c>
      <c r="P460" s="7"/>
      <c r="Q460" s="9"/>
      <c r="R460" s="47" t="s">
        <v>96</v>
      </c>
      <c r="S460" s="13" t="s">
        <v>53</v>
      </c>
      <c r="T460" s="6">
        <v>68.2</v>
      </c>
      <c r="U460" s="11"/>
      <c r="V460" s="7"/>
      <c r="W460" s="9"/>
      <c r="X460" s="13" t="s">
        <v>63</v>
      </c>
      <c r="Y460" s="48" t="s">
        <v>55</v>
      </c>
      <c r="Z460" s="48" t="s">
        <v>56</v>
      </c>
      <c r="AA460" s="20" t="s">
        <v>57</v>
      </c>
      <c r="AB460" s="48" t="s">
        <v>63</v>
      </c>
      <c r="AC460" s="20" t="s">
        <v>430</v>
      </c>
      <c r="AD460" s="7"/>
      <c r="AE460" s="1" t="s">
        <v>522</v>
      </c>
      <c r="AF460" s="1"/>
      <c r="AG460" s="1"/>
    </row>
    <row r="461" spans="1:33" s="37" customFormat="1" ht="48.75" customHeight="1" x14ac:dyDescent="0.2">
      <c r="A461" s="13">
        <f t="shared" si="8"/>
        <v>38</v>
      </c>
      <c r="B461" s="11"/>
      <c r="C461" s="82" t="s">
        <v>682</v>
      </c>
      <c r="D461" s="114"/>
      <c r="E461" s="13"/>
      <c r="F461" s="18"/>
      <c r="G461" s="1" t="s">
        <v>523</v>
      </c>
      <c r="H461" s="60">
        <v>1</v>
      </c>
      <c r="I461" s="11"/>
      <c r="J461" s="8"/>
      <c r="K461" s="8"/>
      <c r="L461" s="9"/>
      <c r="M461" s="9"/>
      <c r="N461" s="16" t="s">
        <v>75</v>
      </c>
      <c r="O461" s="5">
        <v>6</v>
      </c>
      <c r="P461" s="3"/>
      <c r="Q461" s="4"/>
      <c r="R461" s="47" t="s">
        <v>384</v>
      </c>
      <c r="S461" s="13" t="s">
        <v>53</v>
      </c>
      <c r="T461" s="6">
        <v>5.04</v>
      </c>
      <c r="U461" s="13"/>
      <c r="V461" s="3"/>
      <c r="W461" s="4"/>
      <c r="X461" s="13"/>
      <c r="Y461" s="48"/>
      <c r="Z461" s="48" t="s">
        <v>56</v>
      </c>
      <c r="AA461" s="20" t="s">
        <v>57</v>
      </c>
      <c r="AB461" s="48" t="s">
        <v>139</v>
      </c>
      <c r="AC461" s="48"/>
      <c r="AD461" s="7"/>
      <c r="AE461" s="1" t="s">
        <v>524</v>
      </c>
      <c r="AF461" s="1"/>
      <c r="AG461" s="1"/>
    </row>
    <row r="462" spans="1:33" s="37" customFormat="1" ht="33" customHeight="1" x14ac:dyDescent="0.2">
      <c r="A462" s="13">
        <f t="shared" si="8"/>
        <v>38</v>
      </c>
      <c r="B462" s="11"/>
      <c r="C462" s="82" t="s">
        <v>312</v>
      </c>
      <c r="D462" s="13"/>
      <c r="E462" s="133"/>
      <c r="F462" s="133"/>
      <c r="G462" s="84" t="s">
        <v>453</v>
      </c>
      <c r="H462" s="60">
        <v>6</v>
      </c>
      <c r="I462" s="13"/>
      <c r="J462" s="5"/>
      <c r="K462" s="5"/>
      <c r="L462" s="4"/>
      <c r="M462" s="4"/>
      <c r="N462" s="84" t="s">
        <v>301</v>
      </c>
      <c r="O462" s="5">
        <v>1</v>
      </c>
      <c r="P462" s="3"/>
      <c r="Q462" s="4"/>
      <c r="R462" s="84" t="s">
        <v>241</v>
      </c>
      <c r="S462" s="87" t="s">
        <v>53</v>
      </c>
      <c r="T462" s="6">
        <v>33.15</v>
      </c>
      <c r="U462" s="13"/>
      <c r="V462" s="3"/>
      <c r="W462" s="4"/>
      <c r="X462" s="18"/>
      <c r="Y462" s="48"/>
      <c r="Z462" s="48"/>
      <c r="AA462" s="20"/>
      <c r="AB462" s="48"/>
      <c r="AC462" s="48"/>
      <c r="AD462" s="7"/>
      <c r="AE462" s="2" t="s">
        <v>250</v>
      </c>
      <c r="AF462" s="2"/>
      <c r="AG462" s="1"/>
    </row>
    <row r="463" spans="1:33" s="37" customFormat="1" ht="37.5" customHeight="1" x14ac:dyDescent="0.2">
      <c r="A463" s="13">
        <f t="shared" si="8"/>
        <v>38</v>
      </c>
      <c r="B463" s="14"/>
      <c r="C463" s="82"/>
      <c r="D463" s="13"/>
      <c r="E463" s="13"/>
      <c r="F463" s="18"/>
      <c r="G463" s="1"/>
      <c r="H463" s="60"/>
      <c r="I463" s="13"/>
      <c r="J463" s="3"/>
      <c r="K463" s="3"/>
      <c r="L463" s="3"/>
      <c r="M463" s="3"/>
      <c r="N463" s="84" t="s">
        <v>133</v>
      </c>
      <c r="O463" s="5">
        <v>2</v>
      </c>
      <c r="P463" s="3"/>
      <c r="Q463" s="4"/>
      <c r="R463" s="84" t="s">
        <v>241</v>
      </c>
      <c r="S463" s="87" t="s">
        <v>53</v>
      </c>
      <c r="T463" s="6">
        <v>45.9</v>
      </c>
      <c r="U463" s="13"/>
      <c r="V463" s="3"/>
      <c r="W463" s="4"/>
      <c r="X463" s="13"/>
      <c r="Y463" s="48"/>
      <c r="Z463" s="48"/>
      <c r="AA463" s="20"/>
      <c r="AB463" s="48"/>
      <c r="AC463" s="48"/>
      <c r="AD463" s="7"/>
      <c r="AE463" s="2" t="s">
        <v>404</v>
      </c>
      <c r="AF463" s="2"/>
      <c r="AG463" s="2"/>
    </row>
    <row r="464" spans="1:33" s="37" customFormat="1" ht="63.75" x14ac:dyDescent="0.2">
      <c r="A464" s="13">
        <f t="shared" si="8"/>
        <v>38</v>
      </c>
      <c r="B464" s="11"/>
      <c r="C464" s="21"/>
      <c r="D464" s="13"/>
      <c r="E464" s="13"/>
      <c r="F464" s="18"/>
      <c r="G464" s="1"/>
      <c r="H464" s="60"/>
      <c r="I464" s="2"/>
      <c r="J464" s="3"/>
      <c r="K464" s="3"/>
      <c r="L464" s="3"/>
      <c r="M464" s="3"/>
      <c r="N464" s="84" t="s">
        <v>751</v>
      </c>
      <c r="O464" s="5">
        <v>1</v>
      </c>
      <c r="P464" s="3"/>
      <c r="Q464" s="4"/>
      <c r="R464" s="84" t="s">
        <v>283</v>
      </c>
      <c r="S464" s="87" t="s">
        <v>53</v>
      </c>
      <c r="T464" s="6">
        <v>51.1</v>
      </c>
      <c r="U464" s="13"/>
      <c r="V464" s="3"/>
      <c r="W464" s="4"/>
      <c r="X464" s="13" t="s">
        <v>54</v>
      </c>
      <c r="Y464" s="48" t="s">
        <v>55</v>
      </c>
      <c r="Z464" s="48" t="s">
        <v>325</v>
      </c>
      <c r="AA464" s="20" t="s">
        <v>326</v>
      </c>
      <c r="AB464" s="48" t="s">
        <v>327</v>
      </c>
      <c r="AC464" s="48"/>
      <c r="AD464" s="7"/>
      <c r="AE464" s="1" t="s">
        <v>1699</v>
      </c>
      <c r="AF464" s="1"/>
      <c r="AG464" s="2"/>
    </row>
    <row r="465" spans="1:33" s="37" customFormat="1" ht="19.5" customHeight="1" x14ac:dyDescent="0.2">
      <c r="A465" s="13">
        <f t="shared" si="8"/>
        <v>38</v>
      </c>
      <c r="B465" s="11"/>
      <c r="C465" s="1"/>
      <c r="D465" s="13"/>
      <c r="E465" s="13"/>
      <c r="F465" s="18"/>
      <c r="G465" s="1"/>
      <c r="H465" s="60"/>
      <c r="I465" s="2"/>
      <c r="J465" s="3"/>
      <c r="K465" s="3"/>
      <c r="L465" s="3"/>
      <c r="M465" s="3"/>
      <c r="N465" s="84" t="s">
        <v>741</v>
      </c>
      <c r="O465" s="5">
        <v>1</v>
      </c>
      <c r="P465" s="3"/>
      <c r="Q465" s="4"/>
      <c r="R465" s="84" t="s">
        <v>385</v>
      </c>
      <c r="S465" s="87" t="s">
        <v>53</v>
      </c>
      <c r="T465" s="6">
        <v>2.2400000000000002</v>
      </c>
      <c r="U465" s="13"/>
      <c r="V465" s="3"/>
      <c r="W465" s="4"/>
      <c r="X465" s="13"/>
      <c r="Y465" s="48"/>
      <c r="Z465" s="48" t="s">
        <v>141</v>
      </c>
      <c r="AA465" s="20" t="s">
        <v>57</v>
      </c>
      <c r="AB465" s="48" t="s">
        <v>328</v>
      </c>
      <c r="AC465" s="48"/>
      <c r="AD465" s="7"/>
      <c r="AE465" s="2"/>
      <c r="AF465" s="2"/>
      <c r="AG465" s="1"/>
    </row>
    <row r="466" spans="1:33" s="37" customFormat="1" ht="19.5" customHeight="1" x14ac:dyDescent="0.2">
      <c r="A466" s="13">
        <f t="shared" si="8"/>
        <v>38</v>
      </c>
      <c r="B466" s="11"/>
      <c r="C466" s="31"/>
      <c r="D466" s="13"/>
      <c r="E466" s="13"/>
      <c r="F466" s="18"/>
      <c r="G466" s="1"/>
      <c r="H466" s="60"/>
      <c r="I466" s="2"/>
      <c r="J466" s="3"/>
      <c r="K466" s="3"/>
      <c r="L466" s="3"/>
      <c r="M466" s="3"/>
      <c r="N466" s="84"/>
      <c r="O466" s="5"/>
      <c r="P466" s="3"/>
      <c r="Q466" s="4"/>
      <c r="R466" s="84" t="s">
        <v>330</v>
      </c>
      <c r="S466" s="87" t="s">
        <v>53</v>
      </c>
      <c r="T466" s="6">
        <v>28.7</v>
      </c>
      <c r="U466" s="13"/>
      <c r="V466" s="3"/>
      <c r="W466" s="4"/>
      <c r="X466" s="13" t="s">
        <v>54</v>
      </c>
      <c r="Y466" s="48" t="s">
        <v>55</v>
      </c>
      <c r="Z466" s="48" t="s">
        <v>141</v>
      </c>
      <c r="AA466" s="20" t="s">
        <v>326</v>
      </c>
      <c r="AB466" s="48" t="s">
        <v>143</v>
      </c>
      <c r="AC466" s="48"/>
      <c r="AD466" s="7"/>
      <c r="AE466" s="2"/>
      <c r="AF466" s="2"/>
      <c r="AG466" s="2"/>
    </row>
    <row r="467" spans="1:33" s="37" customFormat="1" ht="19.5" customHeight="1" x14ac:dyDescent="0.2">
      <c r="A467" s="13">
        <f t="shared" si="8"/>
        <v>38</v>
      </c>
      <c r="B467" s="11"/>
      <c r="C467" s="31"/>
      <c r="D467" s="13"/>
      <c r="E467" s="13"/>
      <c r="F467" s="18"/>
      <c r="G467" s="1"/>
      <c r="H467" s="60"/>
      <c r="I467" s="2"/>
      <c r="J467" s="3"/>
      <c r="K467" s="3"/>
      <c r="L467" s="3"/>
      <c r="M467" s="3"/>
      <c r="N467" s="84"/>
      <c r="O467" s="5"/>
      <c r="P467" s="3"/>
      <c r="Q467" s="4"/>
      <c r="R467" s="84" t="s">
        <v>397</v>
      </c>
      <c r="S467" s="87" t="s">
        <v>53</v>
      </c>
      <c r="T467" s="6">
        <v>13.12</v>
      </c>
      <c r="U467" s="13"/>
      <c r="V467" s="3"/>
      <c r="W467" s="4"/>
      <c r="X467" s="13"/>
      <c r="Y467" s="48" t="s">
        <v>55</v>
      </c>
      <c r="Z467" s="48" t="s">
        <v>87</v>
      </c>
      <c r="AA467" s="20" t="s">
        <v>171</v>
      </c>
      <c r="AB467" s="48" t="s">
        <v>143</v>
      </c>
      <c r="AC467" s="48"/>
      <c r="AD467" s="7"/>
      <c r="AE467" s="2"/>
      <c r="AF467" s="2"/>
      <c r="AG467" s="2"/>
    </row>
    <row r="468" spans="1:33" s="37" customFormat="1" ht="19.5" customHeight="1" x14ac:dyDescent="0.2">
      <c r="A468" s="13">
        <f t="shared" si="8"/>
        <v>38</v>
      </c>
      <c r="B468" s="11"/>
      <c r="C468" s="31"/>
      <c r="D468" s="13"/>
      <c r="E468" s="13"/>
      <c r="F468" s="18"/>
      <c r="G468" s="1"/>
      <c r="H468" s="60"/>
      <c r="I468" s="2"/>
      <c r="J468" s="3"/>
      <c r="K468" s="3"/>
      <c r="L468" s="3"/>
      <c r="M468" s="3"/>
      <c r="N468" s="84"/>
      <c r="O468" s="5"/>
      <c r="P468" s="3"/>
      <c r="Q468" s="4"/>
      <c r="R468" s="84" t="s">
        <v>241</v>
      </c>
      <c r="S468" s="87" t="s">
        <v>53</v>
      </c>
      <c r="T468" s="6">
        <v>13.12</v>
      </c>
      <c r="U468" s="13"/>
      <c r="V468" s="3"/>
      <c r="W468" s="4"/>
      <c r="X468" s="13"/>
      <c r="Y468" s="48"/>
      <c r="Z468" s="48"/>
      <c r="AA468" s="20"/>
      <c r="AB468" s="48"/>
      <c r="AC468" s="48"/>
      <c r="AD468" s="7"/>
      <c r="AE468" s="2"/>
      <c r="AF468" s="2"/>
      <c r="AG468" s="2"/>
    </row>
    <row r="469" spans="1:33" s="37" customFormat="1" ht="19.5" customHeight="1" x14ac:dyDescent="0.2">
      <c r="A469" s="13">
        <f t="shared" si="8"/>
        <v>38</v>
      </c>
      <c r="B469" s="11"/>
      <c r="C469" s="31"/>
      <c r="D469" s="13"/>
      <c r="E469" s="13"/>
      <c r="F469" s="18"/>
      <c r="G469" s="1"/>
      <c r="H469" s="60"/>
      <c r="I469" s="2"/>
      <c r="J469" s="3"/>
      <c r="K469" s="3"/>
      <c r="L469" s="3"/>
      <c r="M469" s="3"/>
      <c r="N469" s="84"/>
      <c r="O469" s="5"/>
      <c r="P469" s="3"/>
      <c r="Q469" s="4"/>
      <c r="R469" s="84" t="s">
        <v>68</v>
      </c>
      <c r="S469" s="87" t="s">
        <v>53</v>
      </c>
      <c r="T469" s="6">
        <v>91.5</v>
      </c>
      <c r="U469" s="13"/>
      <c r="V469" s="3"/>
      <c r="W469" s="4"/>
      <c r="X469" s="13"/>
      <c r="Y469" s="48"/>
      <c r="Z469" s="48"/>
      <c r="AA469" s="20"/>
      <c r="AB469" s="48"/>
      <c r="AC469" s="48"/>
      <c r="AD469" s="7"/>
      <c r="AE469" s="2"/>
      <c r="AF469" s="2"/>
      <c r="AG469" s="2"/>
    </row>
    <row r="470" spans="1:33" s="37" customFormat="1" ht="19.5" customHeight="1" x14ac:dyDescent="0.2">
      <c r="A470" s="13">
        <f t="shared" si="8"/>
        <v>38</v>
      </c>
      <c r="B470" s="11"/>
      <c r="C470" s="31"/>
      <c r="D470" s="13"/>
      <c r="E470" s="13"/>
      <c r="F470" s="18"/>
      <c r="G470" s="1"/>
      <c r="H470" s="60"/>
      <c r="I470" s="2"/>
      <c r="J470" s="3"/>
      <c r="K470" s="3"/>
      <c r="L470" s="3"/>
      <c r="M470" s="3"/>
      <c r="N470" s="84"/>
      <c r="O470" s="5"/>
      <c r="P470" s="3"/>
      <c r="Q470" s="4"/>
      <c r="R470" s="84" t="s">
        <v>525</v>
      </c>
      <c r="S470" s="87" t="s">
        <v>53</v>
      </c>
      <c r="T470" s="6">
        <v>9.57</v>
      </c>
      <c r="U470" s="13"/>
      <c r="V470" s="3"/>
      <c r="W470" s="4"/>
      <c r="X470" s="13"/>
      <c r="Y470" s="48"/>
      <c r="Z470" s="48"/>
      <c r="AA470" s="20"/>
      <c r="AB470" s="48"/>
      <c r="AC470" s="48"/>
      <c r="AD470" s="7"/>
      <c r="AE470" s="2"/>
      <c r="AF470" s="2"/>
      <c r="AG470" s="2"/>
    </row>
    <row r="471" spans="1:33" s="37" customFormat="1" ht="36.75" customHeight="1" x14ac:dyDescent="0.2">
      <c r="A471" s="13">
        <f t="shared" si="8"/>
        <v>38</v>
      </c>
      <c r="B471" s="11"/>
      <c r="C471" s="31"/>
      <c r="D471" s="13"/>
      <c r="E471" s="13"/>
      <c r="F471" s="18"/>
      <c r="G471" s="1"/>
      <c r="H471" s="60"/>
      <c r="I471" s="2"/>
      <c r="J471" s="3"/>
      <c r="K471" s="3"/>
      <c r="L471" s="3"/>
      <c r="M471" s="3"/>
      <c r="N471" s="84"/>
      <c r="O471" s="5"/>
      <c r="P471" s="3"/>
      <c r="Q471" s="4"/>
      <c r="R471" s="84" t="s">
        <v>526</v>
      </c>
      <c r="S471" s="87" t="s">
        <v>53</v>
      </c>
      <c r="T471" s="6">
        <v>24.66</v>
      </c>
      <c r="U471" s="13"/>
      <c r="V471" s="3"/>
      <c r="W471" s="4"/>
      <c r="X471" s="13"/>
      <c r="Y471" s="48"/>
      <c r="Z471" s="48"/>
      <c r="AA471" s="20"/>
      <c r="AB471" s="48"/>
      <c r="AC471" s="48"/>
      <c r="AD471" s="7"/>
      <c r="AE471" s="2"/>
      <c r="AF471" s="2"/>
      <c r="AG471" s="2"/>
    </row>
    <row r="472" spans="1:33" s="37" customFormat="1" ht="19.5" customHeight="1" x14ac:dyDescent="0.2">
      <c r="A472" s="13">
        <f t="shared" si="8"/>
        <v>38</v>
      </c>
      <c r="B472" s="11"/>
      <c r="C472" s="31"/>
      <c r="D472" s="13"/>
      <c r="E472" s="13"/>
      <c r="F472" s="18"/>
      <c r="G472" s="1"/>
      <c r="H472" s="60"/>
      <c r="I472" s="2"/>
      <c r="J472" s="3"/>
      <c r="K472" s="3"/>
      <c r="L472" s="3"/>
      <c r="M472" s="3"/>
      <c r="N472" s="84"/>
      <c r="O472" s="5"/>
      <c r="P472" s="3"/>
      <c r="Q472" s="4"/>
      <c r="R472" s="84" t="s">
        <v>403</v>
      </c>
      <c r="S472" s="87" t="s">
        <v>78</v>
      </c>
      <c r="T472" s="6">
        <v>0.52</v>
      </c>
      <c r="U472" s="13"/>
      <c r="V472" s="3"/>
      <c r="W472" s="4"/>
      <c r="X472" s="13"/>
      <c r="Y472" s="48"/>
      <c r="Z472" s="48"/>
      <c r="AA472" s="20"/>
      <c r="AB472" s="48"/>
      <c r="AC472" s="48"/>
      <c r="AD472" s="7"/>
      <c r="AE472" s="2"/>
      <c r="AF472" s="2"/>
      <c r="AG472" s="2"/>
    </row>
    <row r="473" spans="1:33" s="37" customFormat="1" ht="19.5" customHeight="1" x14ac:dyDescent="0.2">
      <c r="A473" s="13">
        <f t="shared" si="8"/>
        <v>38</v>
      </c>
      <c r="B473" s="11"/>
      <c r="C473" s="31"/>
      <c r="D473" s="13"/>
      <c r="E473" s="13"/>
      <c r="F473" s="18"/>
      <c r="G473" s="1"/>
      <c r="H473" s="60"/>
      <c r="I473" s="2"/>
      <c r="J473" s="3"/>
      <c r="K473" s="3"/>
      <c r="L473" s="3"/>
      <c r="M473" s="3"/>
      <c r="N473" s="84"/>
      <c r="O473" s="5"/>
      <c r="P473" s="3"/>
      <c r="Q473" s="4"/>
      <c r="R473" s="84" t="s">
        <v>493</v>
      </c>
      <c r="S473" s="87" t="s">
        <v>78</v>
      </c>
      <c r="T473" s="6">
        <v>0.25</v>
      </c>
      <c r="U473" s="13"/>
      <c r="V473" s="3"/>
      <c r="W473" s="4"/>
      <c r="X473" s="13"/>
      <c r="Y473" s="48"/>
      <c r="Z473" s="48"/>
      <c r="AA473" s="20"/>
      <c r="AB473" s="48"/>
      <c r="AC473" s="48"/>
      <c r="AD473" s="7"/>
      <c r="AE473" s="2"/>
      <c r="AF473" s="2"/>
      <c r="AG473" s="2"/>
    </row>
    <row r="474" spans="1:33" s="37" customFormat="1" ht="19.5" customHeight="1" x14ac:dyDescent="0.2">
      <c r="A474" s="13">
        <f t="shared" si="8"/>
        <v>38</v>
      </c>
      <c r="B474" s="11"/>
      <c r="C474" s="31"/>
      <c r="D474" s="13"/>
      <c r="E474" s="13"/>
      <c r="F474" s="18"/>
      <c r="G474" s="1"/>
      <c r="H474" s="60"/>
      <c r="I474" s="2"/>
      <c r="J474" s="3"/>
      <c r="K474" s="3"/>
      <c r="L474" s="3"/>
      <c r="M474" s="3"/>
      <c r="N474" s="84"/>
      <c r="O474" s="5"/>
      <c r="P474" s="3"/>
      <c r="Q474" s="4"/>
      <c r="R474" s="84" t="s">
        <v>161</v>
      </c>
      <c r="S474" s="87" t="s">
        <v>53</v>
      </c>
      <c r="T474" s="6">
        <v>1.68</v>
      </c>
      <c r="U474" s="13"/>
      <c r="V474" s="3"/>
      <c r="W474" s="4"/>
      <c r="X474" s="13"/>
      <c r="Y474" s="48"/>
      <c r="Z474" s="48"/>
      <c r="AA474" s="20"/>
      <c r="AB474" s="48"/>
      <c r="AC474" s="48"/>
      <c r="AD474" s="7"/>
      <c r="AE474" s="2"/>
      <c r="AF474" s="2"/>
      <c r="AG474" s="2"/>
    </row>
    <row r="475" spans="1:33" s="37" customFormat="1" ht="19.5" customHeight="1" x14ac:dyDescent="0.2">
      <c r="A475" s="13">
        <f t="shared" si="8"/>
        <v>38</v>
      </c>
      <c r="B475" s="11"/>
      <c r="C475" s="31"/>
      <c r="D475" s="13"/>
      <c r="E475" s="13"/>
      <c r="F475" s="18"/>
      <c r="G475" s="1"/>
      <c r="H475" s="60"/>
      <c r="I475" s="2"/>
      <c r="J475" s="3"/>
      <c r="K475" s="3"/>
      <c r="L475" s="3"/>
      <c r="M475" s="3"/>
      <c r="N475" s="84"/>
      <c r="O475" s="5"/>
      <c r="P475" s="3"/>
      <c r="Q475" s="4"/>
      <c r="R475" s="84" t="s">
        <v>160</v>
      </c>
      <c r="S475" s="87" t="s">
        <v>53</v>
      </c>
      <c r="T475" s="6">
        <v>1.4</v>
      </c>
      <c r="U475" s="13"/>
      <c r="V475" s="3"/>
      <c r="W475" s="4"/>
      <c r="X475" s="13"/>
      <c r="Y475" s="48"/>
      <c r="Z475" s="48"/>
      <c r="AA475" s="20"/>
      <c r="AB475" s="48"/>
      <c r="AC475" s="48"/>
      <c r="AD475" s="7"/>
      <c r="AE475" s="2"/>
      <c r="AF475" s="2"/>
      <c r="AG475" s="2"/>
    </row>
    <row r="476" spans="1:33" s="37" customFormat="1" ht="19.5" customHeight="1" x14ac:dyDescent="0.2">
      <c r="A476" s="13">
        <f t="shared" si="8"/>
        <v>38</v>
      </c>
      <c r="B476" s="11"/>
      <c r="C476" s="31"/>
      <c r="D476" s="13"/>
      <c r="E476" s="13"/>
      <c r="F476" s="18"/>
      <c r="G476" s="1"/>
      <c r="H476" s="60"/>
      <c r="I476" s="2"/>
      <c r="J476" s="3"/>
      <c r="K476" s="3"/>
      <c r="L476" s="3"/>
      <c r="M476" s="3"/>
      <c r="N476" s="84"/>
      <c r="O476" s="5"/>
      <c r="P476" s="3"/>
      <c r="Q476" s="4"/>
      <c r="R476" s="84" t="s">
        <v>386</v>
      </c>
      <c r="S476" s="87" t="s">
        <v>53</v>
      </c>
      <c r="T476" s="6">
        <v>144.96</v>
      </c>
      <c r="U476" s="13"/>
      <c r="V476" s="3"/>
      <c r="W476" s="4"/>
      <c r="X476" s="13"/>
      <c r="Y476" s="48"/>
      <c r="Z476" s="48"/>
      <c r="AA476" s="20"/>
      <c r="AB476" s="48"/>
      <c r="AC476" s="48"/>
      <c r="AD476" s="7"/>
      <c r="AE476" s="2"/>
      <c r="AF476" s="2"/>
      <c r="AG476" s="2"/>
    </row>
    <row r="477" spans="1:33" s="37" customFormat="1" ht="19.5" customHeight="1" x14ac:dyDescent="0.2">
      <c r="A477" s="13">
        <f t="shared" si="8"/>
        <v>38</v>
      </c>
      <c r="B477" s="11"/>
      <c r="C477" s="31"/>
      <c r="D477" s="13"/>
      <c r="E477" s="13"/>
      <c r="F477" s="18"/>
      <c r="G477" s="1"/>
      <c r="H477" s="60"/>
      <c r="I477" s="2"/>
      <c r="J477" s="3"/>
      <c r="K477" s="3"/>
      <c r="L477" s="3"/>
      <c r="M477" s="3"/>
      <c r="N477" s="84"/>
      <c r="O477" s="5"/>
      <c r="P477" s="3"/>
      <c r="Q477" s="4"/>
      <c r="R477" s="84" t="s">
        <v>527</v>
      </c>
      <c r="S477" s="87" t="s">
        <v>78</v>
      </c>
      <c r="T477" s="6">
        <v>3.74</v>
      </c>
      <c r="U477" s="13"/>
      <c r="V477" s="3"/>
      <c r="W477" s="4"/>
      <c r="X477" s="13"/>
      <c r="Y477" s="48"/>
      <c r="Z477" s="48"/>
      <c r="AA477" s="20"/>
      <c r="AB477" s="48"/>
      <c r="AC477" s="48"/>
      <c r="AD477" s="7"/>
      <c r="AE477" s="2"/>
      <c r="AF477" s="2"/>
      <c r="AG477" s="2"/>
    </row>
    <row r="478" spans="1:33" s="37" customFormat="1" ht="12.75" x14ac:dyDescent="0.2">
      <c r="A478" s="13">
        <f t="shared" si="8"/>
        <v>38</v>
      </c>
      <c r="B478" s="11"/>
      <c r="C478" s="31"/>
      <c r="D478" s="13"/>
      <c r="E478" s="13"/>
      <c r="F478" s="18"/>
      <c r="G478" s="1"/>
      <c r="H478" s="60"/>
      <c r="I478" s="2"/>
      <c r="J478" s="3"/>
      <c r="K478" s="3"/>
      <c r="L478" s="3"/>
      <c r="M478" s="3"/>
      <c r="N478" s="84"/>
      <c r="O478" s="5"/>
      <c r="P478" s="3"/>
      <c r="Q478" s="4"/>
      <c r="R478" s="2"/>
      <c r="S478" s="2"/>
      <c r="T478" s="2"/>
      <c r="U478" s="13"/>
      <c r="V478" s="3"/>
      <c r="W478" s="4"/>
      <c r="X478" s="13"/>
      <c r="Y478" s="48"/>
      <c r="Z478" s="48"/>
      <c r="AA478" s="20"/>
      <c r="AB478" s="48"/>
      <c r="AC478" s="48"/>
      <c r="AD478" s="7"/>
      <c r="AE478" s="2"/>
      <c r="AF478" s="2"/>
      <c r="AG478" s="2"/>
    </row>
    <row r="479" spans="1:33" s="37" customFormat="1" ht="12.75" x14ac:dyDescent="0.2">
      <c r="A479" s="13">
        <f t="shared" si="8"/>
        <v>38</v>
      </c>
      <c r="B479" s="11"/>
      <c r="C479" s="31"/>
      <c r="D479" s="13"/>
      <c r="E479" s="13"/>
      <c r="F479" s="18"/>
      <c r="G479" s="1"/>
      <c r="H479" s="60"/>
      <c r="I479" s="2"/>
      <c r="J479" s="3"/>
      <c r="K479" s="3"/>
      <c r="L479" s="3"/>
      <c r="M479" s="3"/>
      <c r="N479" s="2"/>
      <c r="O479" s="2"/>
      <c r="P479" s="2"/>
      <c r="Q479" s="2"/>
      <c r="R479" s="2"/>
      <c r="S479" s="2"/>
      <c r="T479" s="2"/>
      <c r="U479" s="2"/>
      <c r="V479" s="2"/>
      <c r="W479" s="2"/>
      <c r="X479" s="2"/>
      <c r="Y479" s="2"/>
      <c r="Z479" s="2"/>
      <c r="AA479" s="1"/>
      <c r="AB479" s="2"/>
      <c r="AC479" s="2"/>
      <c r="AD479" s="2"/>
      <c r="AE479" s="2"/>
      <c r="AF479" s="2"/>
      <c r="AG479" s="2"/>
    </row>
    <row r="480" spans="1:33" s="37" customFormat="1" ht="12.75" x14ac:dyDescent="0.2">
      <c r="A480" s="13">
        <f t="shared" si="8"/>
        <v>38</v>
      </c>
      <c r="B480" s="11"/>
      <c r="C480" s="31"/>
      <c r="D480" s="13"/>
      <c r="E480" s="13"/>
      <c r="F480" s="18"/>
      <c r="G480" s="1" t="s">
        <v>25</v>
      </c>
      <c r="H480" s="60"/>
      <c r="I480" s="2"/>
      <c r="J480" s="3"/>
      <c r="K480" s="3"/>
      <c r="L480" s="3"/>
      <c r="M480" s="3"/>
      <c r="N480" s="84"/>
      <c r="O480" s="5"/>
      <c r="P480" s="3"/>
      <c r="Q480" s="4"/>
      <c r="R480" s="2"/>
      <c r="S480" s="51"/>
      <c r="T480" s="51"/>
      <c r="U480" s="50"/>
      <c r="V480" s="51"/>
      <c r="W480" s="51"/>
      <c r="X480" s="50"/>
      <c r="Y480" s="50"/>
      <c r="Z480" s="50"/>
      <c r="AA480" s="257"/>
      <c r="AB480" s="50"/>
      <c r="AC480" s="50"/>
      <c r="AD480" s="7"/>
      <c r="AE480" s="2"/>
      <c r="AF480" s="2"/>
      <c r="AG480" s="2"/>
    </row>
    <row r="481" spans="1:33" s="37" customFormat="1" ht="33.75" customHeight="1" x14ac:dyDescent="0.2">
      <c r="A481" s="13">
        <f>IF(B481&lt;&gt;0,B481,#REF!)</f>
        <v>39</v>
      </c>
      <c r="B481" s="14">
        <v>39</v>
      </c>
      <c r="C481" s="92" t="s">
        <v>212</v>
      </c>
      <c r="D481" s="13">
        <v>4</v>
      </c>
      <c r="E481" s="13">
        <v>86</v>
      </c>
      <c r="F481" s="18">
        <v>632</v>
      </c>
      <c r="G481" s="1" t="s">
        <v>416</v>
      </c>
      <c r="H481" s="60">
        <v>293.5</v>
      </c>
      <c r="I481" s="2"/>
      <c r="J481" s="3"/>
      <c r="K481" s="3"/>
      <c r="L481" s="3"/>
      <c r="M481" s="3"/>
      <c r="N481" s="84" t="s">
        <v>72</v>
      </c>
      <c r="O481" s="5">
        <v>25</v>
      </c>
      <c r="P481" s="3"/>
      <c r="Q481" s="4"/>
      <c r="R481" s="84"/>
      <c r="S481" s="87"/>
      <c r="T481" s="6"/>
      <c r="U481" s="13"/>
      <c r="V481" s="3"/>
      <c r="W481" s="4"/>
      <c r="X481" s="13"/>
      <c r="Y481" s="48"/>
      <c r="Z481" s="48"/>
      <c r="AA481" s="20"/>
      <c r="AB481" s="48"/>
      <c r="AC481" s="48"/>
      <c r="AD481" s="7"/>
      <c r="AE481" s="1" t="s">
        <v>1700</v>
      </c>
      <c r="AF481" s="1"/>
      <c r="AG481" s="1"/>
    </row>
    <row r="482" spans="1:33" s="37" customFormat="1" ht="45" customHeight="1" x14ac:dyDescent="0.2">
      <c r="A482" s="13">
        <f t="shared" ref="A482:A513" si="9">IF(B482&lt;&gt;0,B482,A481)</f>
        <v>39</v>
      </c>
      <c r="B482" s="11"/>
      <c r="C482" s="1" t="s">
        <v>213</v>
      </c>
      <c r="D482" s="13"/>
      <c r="E482" s="13">
        <v>86</v>
      </c>
      <c r="F482" s="18">
        <v>632</v>
      </c>
      <c r="G482" s="1" t="s">
        <v>417</v>
      </c>
      <c r="H482" s="60">
        <v>452.4</v>
      </c>
      <c r="I482" s="13"/>
      <c r="J482" s="5"/>
      <c r="K482" s="5"/>
      <c r="L482" s="4"/>
      <c r="M482" s="4"/>
      <c r="N482" s="1" t="s">
        <v>73</v>
      </c>
      <c r="O482" s="5">
        <v>12</v>
      </c>
      <c r="P482" s="3"/>
      <c r="Q482" s="4"/>
      <c r="R482" s="47"/>
      <c r="S482" s="13"/>
      <c r="T482" s="6"/>
      <c r="U482" s="13"/>
      <c r="V482" s="3"/>
      <c r="W482" s="4"/>
      <c r="X482" s="13"/>
      <c r="Y482" s="48"/>
      <c r="Z482" s="48"/>
      <c r="AA482" s="20"/>
      <c r="AB482" s="48"/>
      <c r="AC482" s="48"/>
      <c r="AD482" s="7"/>
      <c r="AE482" s="1" t="s">
        <v>528</v>
      </c>
      <c r="AF482" s="1"/>
      <c r="AG482" s="1"/>
    </row>
    <row r="483" spans="1:33" s="37" customFormat="1" ht="44.25" customHeight="1" x14ac:dyDescent="0.2">
      <c r="A483" s="13">
        <f t="shared" si="9"/>
        <v>39</v>
      </c>
      <c r="B483" s="11"/>
      <c r="C483" s="1" t="s">
        <v>678</v>
      </c>
      <c r="D483" s="13"/>
      <c r="E483" s="13"/>
      <c r="F483" s="18"/>
      <c r="G483" s="1"/>
      <c r="H483" s="60"/>
      <c r="I483" s="13"/>
      <c r="J483" s="5"/>
      <c r="K483" s="5"/>
      <c r="L483" s="4"/>
      <c r="M483" s="4"/>
      <c r="N483" s="1" t="s">
        <v>75</v>
      </c>
      <c r="O483" s="5">
        <v>9</v>
      </c>
      <c r="P483" s="3"/>
      <c r="Q483" s="4"/>
      <c r="R483" s="47"/>
      <c r="S483" s="13"/>
      <c r="T483" s="6"/>
      <c r="U483" s="13"/>
      <c r="V483" s="3"/>
      <c r="W483" s="4"/>
      <c r="X483" s="13"/>
      <c r="Y483" s="48"/>
      <c r="Z483" s="48"/>
      <c r="AA483" s="20"/>
      <c r="AB483" s="48"/>
      <c r="AC483" s="48"/>
      <c r="AD483" s="7"/>
      <c r="AE483" s="2" t="s">
        <v>529</v>
      </c>
      <c r="AF483" s="2"/>
      <c r="AG483" s="2"/>
    </row>
    <row r="484" spans="1:33" s="37" customFormat="1" ht="25.5" customHeight="1" x14ac:dyDescent="0.2">
      <c r="A484" s="13">
        <f t="shared" si="9"/>
        <v>39</v>
      </c>
      <c r="B484" s="11"/>
      <c r="C484" s="21" t="s">
        <v>214</v>
      </c>
      <c r="D484" s="13"/>
      <c r="E484" s="13"/>
      <c r="F484" s="18"/>
      <c r="G484" s="1"/>
      <c r="H484" s="60"/>
      <c r="I484" s="13"/>
      <c r="J484" s="5"/>
      <c r="K484" s="5"/>
      <c r="L484" s="4"/>
      <c r="M484" s="4"/>
      <c r="N484" s="1"/>
      <c r="O484" s="5"/>
      <c r="P484" s="3"/>
      <c r="Q484" s="4"/>
      <c r="R484" s="47"/>
      <c r="S484" s="13"/>
      <c r="T484" s="6"/>
      <c r="U484" s="13"/>
      <c r="V484" s="3"/>
      <c r="W484" s="4"/>
      <c r="X484" s="13"/>
      <c r="Y484" s="48"/>
      <c r="Z484" s="48"/>
      <c r="AA484" s="20"/>
      <c r="AB484" s="48"/>
      <c r="AC484" s="48"/>
      <c r="AD484" s="7"/>
      <c r="AE484" s="12" t="s">
        <v>111</v>
      </c>
      <c r="AF484" s="12"/>
      <c r="AG484" s="12"/>
    </row>
    <row r="485" spans="1:33" s="37" customFormat="1" ht="23.25" customHeight="1" x14ac:dyDescent="0.2">
      <c r="A485" s="13">
        <f t="shared" si="9"/>
        <v>39</v>
      </c>
      <c r="B485" s="11"/>
      <c r="C485" s="1" t="s">
        <v>215</v>
      </c>
      <c r="D485" s="14"/>
      <c r="E485" s="11"/>
      <c r="F485" s="15"/>
      <c r="G485" s="21"/>
      <c r="H485" s="60"/>
      <c r="I485" s="11"/>
      <c r="J485" s="8"/>
      <c r="K485" s="8"/>
      <c r="L485" s="9"/>
      <c r="M485" s="9"/>
      <c r="N485" s="22"/>
      <c r="O485" s="5"/>
      <c r="P485" s="7"/>
      <c r="Q485" s="9"/>
      <c r="R485" s="23"/>
      <c r="S485" s="11"/>
      <c r="T485" s="6"/>
      <c r="U485" s="11"/>
      <c r="V485" s="7"/>
      <c r="W485" s="9"/>
      <c r="X485" s="15"/>
      <c r="Y485" s="49"/>
      <c r="Z485" s="49"/>
      <c r="AA485" s="256"/>
      <c r="AB485" s="49"/>
      <c r="AC485" s="49"/>
      <c r="AD485" s="7"/>
      <c r="AE485" s="12"/>
      <c r="AF485" s="12"/>
      <c r="AG485" s="12"/>
    </row>
    <row r="486" spans="1:33" s="37" customFormat="1" ht="42" customHeight="1" x14ac:dyDescent="0.2">
      <c r="A486" s="13">
        <f t="shared" si="9"/>
        <v>39</v>
      </c>
      <c r="B486" s="11"/>
      <c r="C486" s="82" t="s">
        <v>683</v>
      </c>
      <c r="D486" s="13"/>
      <c r="E486" s="13"/>
      <c r="F486" s="2"/>
      <c r="G486" s="1"/>
      <c r="H486" s="50"/>
      <c r="I486" s="51"/>
      <c r="J486" s="51"/>
      <c r="K486" s="51"/>
      <c r="L486" s="51"/>
      <c r="M486" s="51"/>
      <c r="N486" s="51"/>
      <c r="O486" s="51"/>
      <c r="P486" s="51"/>
      <c r="Q486" s="51"/>
      <c r="R486" s="2"/>
      <c r="S486" s="51"/>
      <c r="T486" s="51"/>
      <c r="U486" s="50"/>
      <c r="V486" s="51"/>
      <c r="W486" s="51"/>
      <c r="X486" s="50"/>
      <c r="Y486" s="50"/>
      <c r="Z486" s="50"/>
      <c r="AA486" s="257"/>
      <c r="AB486" s="50"/>
      <c r="AC486" s="50"/>
      <c r="AD486" s="51"/>
      <c r="AE486" s="51"/>
      <c r="AF486" s="51"/>
      <c r="AG486" s="2"/>
    </row>
    <row r="487" spans="1:33" s="37" customFormat="1" ht="12.75" x14ac:dyDescent="0.2">
      <c r="A487" s="13">
        <f t="shared" si="9"/>
        <v>39</v>
      </c>
      <c r="B487" s="11"/>
      <c r="C487" s="82"/>
      <c r="D487" s="13"/>
      <c r="E487" s="13"/>
      <c r="F487" s="2"/>
      <c r="G487" s="1"/>
      <c r="H487" s="50"/>
      <c r="I487" s="51"/>
      <c r="J487" s="51"/>
      <c r="K487" s="51"/>
      <c r="L487" s="51"/>
      <c r="M487" s="51"/>
      <c r="N487" s="51"/>
      <c r="O487" s="51"/>
      <c r="P487" s="51"/>
      <c r="Q487" s="51"/>
      <c r="R487" s="2"/>
      <c r="S487" s="51"/>
      <c r="T487" s="51"/>
      <c r="U487" s="50"/>
      <c r="V487" s="51"/>
      <c r="W487" s="51"/>
      <c r="X487" s="50"/>
      <c r="Y487" s="50"/>
      <c r="Z487" s="50"/>
      <c r="AA487" s="257"/>
      <c r="AB487" s="50"/>
      <c r="AC487" s="50"/>
      <c r="AD487" s="51"/>
      <c r="AE487" s="51"/>
      <c r="AF487" s="51"/>
      <c r="AG487" s="2"/>
    </row>
    <row r="488" spans="1:33" s="37" customFormat="1" ht="12.75" x14ac:dyDescent="0.2">
      <c r="A488" s="13">
        <f t="shared" si="9"/>
        <v>39</v>
      </c>
      <c r="B488" s="11"/>
      <c r="C488" s="82"/>
      <c r="D488" s="13"/>
      <c r="E488" s="13"/>
      <c r="F488" s="2"/>
      <c r="G488" s="1"/>
      <c r="H488" s="50"/>
      <c r="I488" s="51"/>
      <c r="J488" s="51"/>
      <c r="K488" s="51"/>
      <c r="L488" s="51"/>
      <c r="M488" s="51"/>
      <c r="N488" s="51"/>
      <c r="O488" s="51"/>
      <c r="P488" s="51"/>
      <c r="Q488" s="51"/>
      <c r="R488" s="2"/>
      <c r="S488" s="51"/>
      <c r="T488" s="51"/>
      <c r="U488" s="50"/>
      <c r="V488" s="51"/>
      <c r="W488" s="51"/>
      <c r="X488" s="50"/>
      <c r="Y488" s="50"/>
      <c r="Z488" s="50"/>
      <c r="AA488" s="257"/>
      <c r="AB488" s="50"/>
      <c r="AC488" s="50"/>
      <c r="AD488" s="51"/>
      <c r="AE488" s="51"/>
      <c r="AF488" s="51"/>
      <c r="AG488" s="2"/>
    </row>
    <row r="489" spans="1:33" s="37" customFormat="1" ht="12.75" x14ac:dyDescent="0.2">
      <c r="A489" s="13">
        <f t="shared" si="9"/>
        <v>39</v>
      </c>
      <c r="B489" s="11"/>
      <c r="C489" s="82"/>
      <c r="D489" s="13"/>
      <c r="E489" s="13"/>
      <c r="F489" s="2"/>
      <c r="G489" s="1"/>
      <c r="H489" s="50"/>
      <c r="I489" s="51"/>
      <c r="J489" s="51"/>
      <c r="K489" s="51"/>
      <c r="L489" s="51"/>
      <c r="M489" s="51"/>
      <c r="N489" s="51"/>
      <c r="O489" s="51"/>
      <c r="P489" s="51"/>
      <c r="Q489" s="51"/>
      <c r="R489" s="2"/>
      <c r="S489" s="51"/>
      <c r="T489" s="51"/>
      <c r="U489" s="50"/>
      <c r="V489" s="51"/>
      <c r="W489" s="51"/>
      <c r="X489" s="50"/>
      <c r="Y489" s="50"/>
      <c r="Z489" s="50"/>
      <c r="AA489" s="257"/>
      <c r="AB489" s="50"/>
      <c r="AC489" s="50"/>
      <c r="AD489" s="51"/>
      <c r="AE489" s="51"/>
      <c r="AF489" s="51"/>
      <c r="AG489" s="2"/>
    </row>
    <row r="490" spans="1:33" s="37" customFormat="1" ht="12.75" x14ac:dyDescent="0.2">
      <c r="A490" s="13">
        <f t="shared" si="9"/>
        <v>39</v>
      </c>
      <c r="B490" s="11"/>
      <c r="C490" s="82"/>
      <c r="D490" s="13"/>
      <c r="E490" s="13"/>
      <c r="F490" s="18"/>
      <c r="G490" s="1"/>
      <c r="H490" s="60"/>
      <c r="I490" s="13"/>
      <c r="J490" s="5"/>
      <c r="K490" s="5"/>
      <c r="L490" s="4"/>
      <c r="M490" s="4"/>
      <c r="N490" s="1"/>
      <c r="O490" s="5"/>
      <c r="P490" s="3"/>
      <c r="Q490" s="4"/>
      <c r="R490" s="47"/>
      <c r="S490" s="13"/>
      <c r="T490" s="6"/>
      <c r="U490" s="17"/>
      <c r="V490" s="3"/>
      <c r="W490" s="4"/>
      <c r="X490" s="13"/>
      <c r="Y490" s="48"/>
      <c r="Z490" s="48"/>
      <c r="AA490" s="20"/>
      <c r="AB490" s="48"/>
      <c r="AC490" s="48"/>
      <c r="AD490" s="7"/>
      <c r="AE490" s="1"/>
      <c r="AF490" s="1"/>
      <c r="AG490" s="1"/>
    </row>
    <row r="491" spans="1:33" s="37" customFormat="1" ht="25.5" x14ac:dyDescent="0.2">
      <c r="A491" s="13">
        <f t="shared" si="9"/>
        <v>40</v>
      </c>
      <c r="B491" s="11">
        <v>40</v>
      </c>
      <c r="C491" s="21" t="s">
        <v>216</v>
      </c>
      <c r="D491" s="13">
        <v>4</v>
      </c>
      <c r="E491" s="13">
        <v>86</v>
      </c>
      <c r="F491" s="18">
        <v>342</v>
      </c>
      <c r="G491" s="1" t="s">
        <v>416</v>
      </c>
      <c r="H491" s="60">
        <v>0.8</v>
      </c>
      <c r="I491" s="2"/>
      <c r="J491" s="3"/>
      <c r="K491" s="3"/>
      <c r="L491" s="3"/>
      <c r="M491" s="3"/>
      <c r="N491" s="84"/>
      <c r="O491" s="5"/>
      <c r="P491" s="3"/>
      <c r="Q491" s="4"/>
      <c r="R491" s="79" t="s">
        <v>96</v>
      </c>
      <c r="S491" s="87" t="s">
        <v>53</v>
      </c>
      <c r="T491" s="6">
        <v>4.9000000000000004</v>
      </c>
      <c r="U491" s="13">
        <v>16.100000000000001</v>
      </c>
      <c r="V491" s="3"/>
      <c r="W491" s="4"/>
      <c r="X491" s="13" t="s">
        <v>63</v>
      </c>
      <c r="Y491" s="48" t="s">
        <v>55</v>
      </c>
      <c r="Z491" s="48" t="s">
        <v>56</v>
      </c>
      <c r="AA491" s="20" t="s">
        <v>57</v>
      </c>
      <c r="AB491" s="48" t="s">
        <v>63</v>
      </c>
      <c r="AC491" s="48" t="s">
        <v>206</v>
      </c>
      <c r="AD491" s="7"/>
      <c r="AE491" s="1" t="s">
        <v>684</v>
      </c>
      <c r="AF491" s="1"/>
      <c r="AG491" s="1"/>
    </row>
    <row r="492" spans="1:33" s="37" customFormat="1" ht="38.25" x14ac:dyDescent="0.2">
      <c r="A492" s="13">
        <f t="shared" si="9"/>
        <v>40</v>
      </c>
      <c r="B492" s="11"/>
      <c r="C492" s="1" t="s">
        <v>217</v>
      </c>
      <c r="D492" s="13"/>
      <c r="E492" s="13">
        <v>86</v>
      </c>
      <c r="F492" s="18">
        <v>342</v>
      </c>
      <c r="G492" s="1" t="s">
        <v>417</v>
      </c>
      <c r="H492" s="60">
        <v>30.6</v>
      </c>
      <c r="I492" s="2"/>
      <c r="J492" s="3"/>
      <c r="K492" s="3"/>
      <c r="L492" s="3"/>
      <c r="M492" s="3"/>
      <c r="N492" s="84"/>
      <c r="O492" s="5"/>
      <c r="P492" s="3"/>
      <c r="Q492" s="4"/>
      <c r="R492" s="79" t="s">
        <v>407</v>
      </c>
      <c r="S492" s="87" t="s">
        <v>53</v>
      </c>
      <c r="T492" s="6">
        <v>26.5</v>
      </c>
      <c r="U492" s="13"/>
      <c r="V492" s="3"/>
      <c r="W492" s="4"/>
      <c r="X492" s="13"/>
      <c r="Y492" s="48" t="s">
        <v>55</v>
      </c>
      <c r="Z492" s="48" t="s">
        <v>56</v>
      </c>
      <c r="AA492" s="20" t="s">
        <v>137</v>
      </c>
      <c r="AB492" s="48" t="s">
        <v>66</v>
      </c>
      <c r="AC492" s="48" t="s">
        <v>206</v>
      </c>
      <c r="AD492" s="7"/>
      <c r="AE492" s="1" t="s">
        <v>530</v>
      </c>
      <c r="AF492" s="1"/>
      <c r="AG492" s="1"/>
    </row>
    <row r="493" spans="1:33" s="37" customFormat="1" ht="36" customHeight="1" x14ac:dyDescent="0.2">
      <c r="A493" s="13">
        <f t="shared" si="9"/>
        <v>40</v>
      </c>
      <c r="B493" s="11"/>
      <c r="C493" s="21" t="s">
        <v>218</v>
      </c>
      <c r="D493" s="13"/>
      <c r="E493" s="13"/>
      <c r="F493" s="18"/>
      <c r="G493" s="1" t="s">
        <v>453</v>
      </c>
      <c r="H493" s="60">
        <v>4.5</v>
      </c>
      <c r="I493" s="2"/>
      <c r="J493" s="3"/>
      <c r="K493" s="3"/>
      <c r="L493" s="3"/>
      <c r="M493" s="3"/>
      <c r="N493" s="84"/>
      <c r="O493" s="5"/>
      <c r="P493" s="3"/>
      <c r="Q493" s="4"/>
      <c r="R493" s="171" t="s">
        <v>241</v>
      </c>
      <c r="S493" s="87" t="s">
        <v>53</v>
      </c>
      <c r="T493" s="6">
        <v>3.9</v>
      </c>
      <c r="U493" s="13"/>
      <c r="V493" s="3"/>
      <c r="W493" s="4"/>
      <c r="X493" s="13"/>
      <c r="Y493" s="48"/>
      <c r="Z493" s="48"/>
      <c r="AA493" s="20"/>
      <c r="AB493" s="48"/>
      <c r="AC493" s="48"/>
      <c r="AD493" s="7"/>
      <c r="AE493" s="2" t="s">
        <v>169</v>
      </c>
      <c r="AF493" s="2"/>
      <c r="AG493" s="2"/>
    </row>
    <row r="494" spans="1:33" s="37" customFormat="1" ht="24.75" customHeight="1" x14ac:dyDescent="0.2">
      <c r="A494" s="13">
        <f t="shared" si="9"/>
        <v>40</v>
      </c>
      <c r="B494" s="11"/>
      <c r="C494" s="1" t="s">
        <v>219</v>
      </c>
      <c r="D494" s="13"/>
      <c r="E494" s="13"/>
      <c r="F494" s="18"/>
      <c r="G494" s="1"/>
      <c r="H494" s="60"/>
      <c r="I494" s="2"/>
      <c r="J494" s="3"/>
      <c r="K494" s="3"/>
      <c r="L494" s="3"/>
      <c r="M494" s="3"/>
      <c r="N494" s="84"/>
      <c r="O494" s="5"/>
      <c r="P494" s="3"/>
      <c r="Q494" s="4"/>
      <c r="R494" s="84" t="s">
        <v>331</v>
      </c>
      <c r="S494" s="87" t="s">
        <v>78</v>
      </c>
      <c r="T494" s="6">
        <v>0.2</v>
      </c>
      <c r="U494" s="13"/>
      <c r="V494" s="3"/>
      <c r="W494" s="4"/>
      <c r="X494" s="13"/>
      <c r="Y494" s="48"/>
      <c r="Z494" s="48"/>
      <c r="AA494" s="20"/>
      <c r="AB494" s="48"/>
      <c r="AC494" s="48"/>
      <c r="AD494" s="7"/>
      <c r="AE494" s="12" t="s">
        <v>111</v>
      </c>
      <c r="AF494" s="12"/>
      <c r="AG494" s="12"/>
    </row>
    <row r="495" spans="1:33" s="37" customFormat="1" ht="38.25" x14ac:dyDescent="0.2">
      <c r="A495" s="13">
        <f t="shared" si="9"/>
        <v>40</v>
      </c>
      <c r="B495" s="11"/>
      <c r="C495" s="34" t="s">
        <v>685</v>
      </c>
      <c r="D495" s="13"/>
      <c r="E495" s="13"/>
      <c r="F495" s="18"/>
      <c r="G495" s="1"/>
      <c r="H495" s="60"/>
      <c r="I495" s="2"/>
      <c r="J495" s="3"/>
      <c r="K495" s="3"/>
      <c r="L495" s="3"/>
      <c r="M495" s="3"/>
      <c r="N495" s="84"/>
      <c r="O495" s="5"/>
      <c r="P495" s="3"/>
      <c r="Q495" s="4"/>
      <c r="R495" s="47" t="s">
        <v>399</v>
      </c>
      <c r="S495" s="13" t="s">
        <v>53</v>
      </c>
      <c r="T495" s="6">
        <v>26.5</v>
      </c>
      <c r="U495" s="17"/>
      <c r="V495" s="3"/>
      <c r="W495" s="4"/>
      <c r="X495" s="13"/>
      <c r="Y495" s="48"/>
      <c r="Z495" s="48"/>
      <c r="AA495" s="20"/>
      <c r="AB495" s="48"/>
      <c r="AC495" s="48"/>
      <c r="AD495" s="7"/>
      <c r="AE495" s="2" t="s">
        <v>531</v>
      </c>
      <c r="AF495" s="2"/>
      <c r="AG495" s="2"/>
    </row>
    <row r="496" spans="1:33" s="37" customFormat="1" ht="65.25" customHeight="1" x14ac:dyDescent="0.2">
      <c r="A496" s="13">
        <f t="shared" si="9"/>
        <v>40</v>
      </c>
      <c r="B496" s="11"/>
      <c r="C496" s="1"/>
      <c r="D496" s="13"/>
      <c r="E496" s="13"/>
      <c r="F496" s="18"/>
      <c r="G496" s="1"/>
      <c r="H496" s="60"/>
      <c r="I496" s="2"/>
      <c r="J496" s="3"/>
      <c r="K496" s="3"/>
      <c r="L496" s="3"/>
      <c r="M496" s="3"/>
      <c r="N496" s="84"/>
      <c r="O496" s="79"/>
      <c r="P496" s="3"/>
      <c r="Q496" s="4"/>
      <c r="R496" s="47"/>
      <c r="S496" s="13"/>
      <c r="T496" s="6"/>
      <c r="U496" s="17"/>
      <c r="V496" s="3"/>
      <c r="W496" s="4"/>
      <c r="X496" s="13"/>
      <c r="Y496" s="48"/>
      <c r="Z496" s="48"/>
      <c r="AA496" s="20"/>
      <c r="AB496" s="48"/>
      <c r="AC496" s="48"/>
      <c r="AD496" s="7"/>
      <c r="AE496" s="1" t="s">
        <v>532</v>
      </c>
      <c r="AF496" s="1"/>
      <c r="AG496" s="1"/>
    </row>
    <row r="497" spans="1:33" s="37" customFormat="1" ht="12.75" x14ac:dyDescent="0.2">
      <c r="A497" s="13">
        <f t="shared" si="9"/>
        <v>40</v>
      </c>
      <c r="B497" s="11"/>
      <c r="C497" s="1"/>
      <c r="D497" s="13"/>
      <c r="E497" s="13"/>
      <c r="F497" s="18"/>
      <c r="G497" s="1"/>
      <c r="H497" s="60"/>
      <c r="I497" s="2"/>
      <c r="J497" s="3"/>
      <c r="K497" s="3"/>
      <c r="L497" s="3"/>
      <c r="M497" s="3"/>
      <c r="N497" s="84"/>
      <c r="O497" s="79"/>
      <c r="P497" s="3"/>
      <c r="Q497" s="4"/>
      <c r="R497" s="47"/>
      <c r="S497" s="13"/>
      <c r="T497" s="6"/>
      <c r="U497" s="17"/>
      <c r="V497" s="3"/>
      <c r="W497" s="4"/>
      <c r="X497" s="13"/>
      <c r="Y497" s="48"/>
      <c r="Z497" s="48"/>
      <c r="AA497" s="20"/>
      <c r="AB497" s="48"/>
      <c r="AC497" s="48"/>
      <c r="AD497" s="7"/>
      <c r="AE497" s="1"/>
      <c r="AF497" s="1"/>
      <c r="AG497" s="1"/>
    </row>
    <row r="498" spans="1:33" s="37" customFormat="1" ht="12.75" x14ac:dyDescent="0.2">
      <c r="A498" s="13">
        <f t="shared" si="9"/>
        <v>40</v>
      </c>
      <c r="B498" s="11"/>
      <c r="C498" s="92"/>
      <c r="D498" s="13"/>
      <c r="E498" s="13"/>
      <c r="F498" s="18"/>
      <c r="G498" s="1"/>
      <c r="H498" s="60"/>
      <c r="I498" s="13"/>
      <c r="J498" s="5"/>
      <c r="K498" s="5"/>
      <c r="L498" s="4"/>
      <c r="M498" s="4"/>
      <c r="N498" s="1"/>
      <c r="O498" s="5"/>
      <c r="P498" s="3"/>
      <c r="Q498" s="4"/>
      <c r="R498" s="47"/>
      <c r="S498" s="13"/>
      <c r="T498" s="6"/>
      <c r="U498" s="17"/>
      <c r="V498" s="3"/>
      <c r="W498" s="4"/>
      <c r="X498" s="13"/>
      <c r="Y498" s="48"/>
      <c r="Z498" s="48"/>
      <c r="AA498" s="20"/>
      <c r="AB498" s="48"/>
      <c r="AC498" s="48"/>
      <c r="AD498" s="7"/>
      <c r="AE498" s="2"/>
      <c r="AF498" s="2"/>
      <c r="AG498" s="2"/>
    </row>
    <row r="499" spans="1:33" s="37" customFormat="1" ht="12.75" x14ac:dyDescent="0.2">
      <c r="A499" s="13">
        <f t="shared" si="9"/>
        <v>40</v>
      </c>
      <c r="B499" s="11"/>
      <c r="C499" s="1"/>
      <c r="D499" s="13"/>
      <c r="E499" s="13"/>
      <c r="F499" s="18"/>
      <c r="G499" s="1"/>
      <c r="H499" s="60"/>
      <c r="I499" s="13"/>
      <c r="J499" s="5"/>
      <c r="K499" s="5"/>
      <c r="L499" s="4"/>
      <c r="M499" s="4"/>
      <c r="N499" s="84"/>
      <c r="O499" s="79"/>
      <c r="P499" s="3"/>
      <c r="Q499" s="4"/>
      <c r="R499" s="84"/>
      <c r="S499" s="87"/>
      <c r="T499" s="6"/>
      <c r="U499" s="17"/>
      <c r="V499" s="3"/>
      <c r="W499" s="4"/>
      <c r="X499" s="13"/>
      <c r="Y499" s="48"/>
      <c r="Z499" s="48"/>
      <c r="AA499" s="20"/>
      <c r="AB499" s="48"/>
      <c r="AC499" s="48"/>
      <c r="AD499" s="7"/>
      <c r="AE499" s="1"/>
      <c r="AF499" s="1"/>
      <c r="AG499" s="1"/>
    </row>
    <row r="500" spans="1:33" s="37" customFormat="1" ht="45" customHeight="1" x14ac:dyDescent="0.2">
      <c r="A500" s="13">
        <f t="shared" si="9"/>
        <v>41</v>
      </c>
      <c r="B500" s="11">
        <v>41</v>
      </c>
      <c r="C500" s="92" t="s">
        <v>38</v>
      </c>
      <c r="D500" s="13">
        <v>5</v>
      </c>
      <c r="E500" s="13">
        <v>86</v>
      </c>
      <c r="F500" s="18">
        <v>327</v>
      </c>
      <c r="G500" s="1" t="s">
        <v>416</v>
      </c>
      <c r="H500" s="60">
        <v>0.4</v>
      </c>
      <c r="I500" s="2"/>
      <c r="J500" s="3"/>
      <c r="K500" s="3"/>
      <c r="L500" s="3"/>
      <c r="M500" s="3"/>
      <c r="N500" s="84"/>
      <c r="O500" s="5"/>
      <c r="P500" s="3"/>
      <c r="Q500" s="4"/>
      <c r="R500" s="84" t="s">
        <v>96</v>
      </c>
      <c r="S500" s="87" t="s">
        <v>53</v>
      </c>
      <c r="T500" s="6">
        <v>3.6</v>
      </c>
      <c r="U500" s="17">
        <v>14.4</v>
      </c>
      <c r="V500" s="3"/>
      <c r="W500" s="4"/>
      <c r="X500" s="13" t="s">
        <v>63</v>
      </c>
      <c r="Y500" s="48" t="s">
        <v>55</v>
      </c>
      <c r="Z500" s="48" t="s">
        <v>56</v>
      </c>
      <c r="AA500" s="20" t="s">
        <v>57</v>
      </c>
      <c r="AB500" s="48" t="s">
        <v>63</v>
      </c>
      <c r="AC500" s="48" t="s">
        <v>206</v>
      </c>
      <c r="AD500" s="7"/>
      <c r="AE500" s="1" t="s">
        <v>686</v>
      </c>
      <c r="AF500" s="1"/>
      <c r="AG500" s="1"/>
    </row>
    <row r="501" spans="1:33" s="37" customFormat="1" ht="45" customHeight="1" x14ac:dyDescent="0.2">
      <c r="A501" s="13">
        <f t="shared" si="9"/>
        <v>41</v>
      </c>
      <c r="B501" s="11"/>
      <c r="C501" s="82" t="s">
        <v>220</v>
      </c>
      <c r="D501" s="13"/>
      <c r="E501" s="13">
        <v>86</v>
      </c>
      <c r="F501" s="18">
        <v>327</v>
      </c>
      <c r="G501" s="1" t="s">
        <v>417</v>
      </c>
      <c r="H501" s="60">
        <v>42.1</v>
      </c>
      <c r="I501" s="2"/>
      <c r="J501" s="3"/>
      <c r="K501" s="3"/>
      <c r="L501" s="3"/>
      <c r="M501" s="3"/>
      <c r="N501" s="84"/>
      <c r="O501" s="5"/>
      <c r="P501" s="3"/>
      <c r="Q501" s="4"/>
      <c r="R501" s="84" t="s">
        <v>136</v>
      </c>
      <c r="S501" s="87" t="s">
        <v>53</v>
      </c>
      <c r="T501" s="6">
        <v>16.5</v>
      </c>
      <c r="U501" s="17"/>
      <c r="V501" s="3"/>
      <c r="W501" s="4"/>
      <c r="X501" s="13"/>
      <c r="Y501" s="48" t="s">
        <v>55</v>
      </c>
      <c r="Z501" s="48" t="s">
        <v>56</v>
      </c>
      <c r="AA501" s="20" t="s">
        <v>332</v>
      </c>
      <c r="AB501" s="48" t="s">
        <v>66</v>
      </c>
      <c r="AC501" s="48"/>
      <c r="AD501" s="7"/>
      <c r="AE501" s="1" t="s">
        <v>533</v>
      </c>
      <c r="AF501" s="1"/>
      <c r="AG501" s="1"/>
    </row>
    <row r="502" spans="1:33" s="37" customFormat="1" ht="33.75" customHeight="1" x14ac:dyDescent="0.2">
      <c r="A502" s="13">
        <f t="shared" si="9"/>
        <v>41</v>
      </c>
      <c r="B502" s="11"/>
      <c r="C502" s="21" t="s">
        <v>393</v>
      </c>
      <c r="D502" s="13"/>
      <c r="E502" s="13"/>
      <c r="F502" s="18"/>
      <c r="G502" s="1" t="s">
        <v>453</v>
      </c>
      <c r="H502" s="60">
        <v>6.4</v>
      </c>
      <c r="I502" s="13"/>
      <c r="J502" s="5"/>
      <c r="K502" s="5"/>
      <c r="L502" s="4"/>
      <c r="M502" s="4"/>
      <c r="N502" s="1"/>
      <c r="O502" s="5"/>
      <c r="P502" s="3"/>
      <c r="Q502" s="4"/>
      <c r="R502" s="47" t="s">
        <v>367</v>
      </c>
      <c r="S502" s="13" t="s">
        <v>53</v>
      </c>
      <c r="T502" s="6">
        <v>11.5</v>
      </c>
      <c r="U502" s="17"/>
      <c r="V502" s="3"/>
      <c r="W502" s="4"/>
      <c r="X502" s="13"/>
      <c r="Y502" s="48"/>
      <c r="Z502" s="48"/>
      <c r="AA502" s="20"/>
      <c r="AB502" s="48"/>
      <c r="AC502" s="48"/>
      <c r="AD502" s="7"/>
      <c r="AE502" s="2" t="s">
        <v>296</v>
      </c>
      <c r="AF502" s="2"/>
      <c r="AG502" s="2"/>
    </row>
    <row r="503" spans="1:33" s="37" customFormat="1" ht="21.75" customHeight="1" x14ac:dyDescent="0.2">
      <c r="A503" s="13">
        <f t="shared" si="9"/>
        <v>41</v>
      </c>
      <c r="B503" s="11"/>
      <c r="C503" s="1" t="s">
        <v>394</v>
      </c>
      <c r="D503" s="13"/>
      <c r="E503" s="13"/>
      <c r="F503" s="18"/>
      <c r="G503" s="1"/>
      <c r="H503" s="60"/>
      <c r="I503" s="13"/>
      <c r="J503" s="5"/>
      <c r="K503" s="5"/>
      <c r="L503" s="4"/>
      <c r="M503" s="4"/>
      <c r="N503" s="1"/>
      <c r="O503" s="5"/>
      <c r="P503" s="3"/>
      <c r="Q503" s="4"/>
      <c r="R503" s="47" t="s">
        <v>241</v>
      </c>
      <c r="S503" s="13" t="s">
        <v>53</v>
      </c>
      <c r="T503" s="6">
        <v>3.2</v>
      </c>
      <c r="U503" s="17"/>
      <c r="V503" s="3"/>
      <c r="W503" s="4"/>
      <c r="X503" s="13"/>
      <c r="Y503" s="48"/>
      <c r="Z503" s="48"/>
      <c r="AA503" s="20"/>
      <c r="AB503" s="48"/>
      <c r="AC503" s="48"/>
      <c r="AD503" s="7"/>
      <c r="AE503" s="2" t="s">
        <v>534</v>
      </c>
      <c r="AF503" s="2"/>
      <c r="AG503" s="2"/>
    </row>
    <row r="504" spans="1:33" s="37" customFormat="1" ht="48" customHeight="1" x14ac:dyDescent="0.2">
      <c r="A504" s="13">
        <f t="shared" si="9"/>
        <v>41</v>
      </c>
      <c r="B504" s="11"/>
      <c r="C504" s="34" t="s">
        <v>687</v>
      </c>
      <c r="D504" s="13"/>
      <c r="E504" s="13"/>
      <c r="F504" s="18"/>
      <c r="G504" s="1"/>
      <c r="H504" s="60"/>
      <c r="I504" s="13"/>
      <c r="J504" s="5"/>
      <c r="K504" s="5"/>
      <c r="L504" s="4"/>
      <c r="M504" s="4"/>
      <c r="N504" s="1"/>
      <c r="O504" s="5"/>
      <c r="P504" s="3"/>
      <c r="Q504" s="4"/>
      <c r="R504" s="47" t="s">
        <v>241</v>
      </c>
      <c r="S504" s="13" t="s">
        <v>53</v>
      </c>
      <c r="T504" s="6">
        <v>14</v>
      </c>
      <c r="U504" s="17"/>
      <c r="V504" s="3"/>
      <c r="W504" s="4"/>
      <c r="X504" s="13"/>
      <c r="Y504" s="48"/>
      <c r="Z504" s="48"/>
      <c r="AA504" s="20"/>
      <c r="AB504" s="48"/>
      <c r="AC504" s="48"/>
      <c r="AD504" s="7"/>
      <c r="AE504" s="12" t="s">
        <v>111</v>
      </c>
      <c r="AF504" s="12"/>
      <c r="AG504" s="12"/>
    </row>
    <row r="505" spans="1:33" s="37" customFormat="1" ht="70.5" customHeight="1" x14ac:dyDescent="0.2">
      <c r="A505" s="13">
        <f t="shared" si="9"/>
        <v>41</v>
      </c>
      <c r="B505" s="11"/>
      <c r="C505" s="1"/>
      <c r="D505" s="13"/>
      <c r="E505" s="13"/>
      <c r="F505" s="18"/>
      <c r="G505" s="1"/>
      <c r="H505" s="60"/>
      <c r="I505" s="13"/>
      <c r="J505" s="5"/>
      <c r="K505" s="5"/>
      <c r="L505" s="4"/>
      <c r="M505" s="4"/>
      <c r="N505" s="1"/>
      <c r="O505" s="5"/>
      <c r="P505" s="3"/>
      <c r="Q505" s="4"/>
      <c r="R505" s="47" t="s">
        <v>387</v>
      </c>
      <c r="S505" s="13" t="s">
        <v>53</v>
      </c>
      <c r="T505" s="6">
        <v>13.5</v>
      </c>
      <c r="U505" s="17"/>
      <c r="V505" s="3"/>
      <c r="W505" s="4"/>
      <c r="X505" s="13"/>
      <c r="Y505" s="48"/>
      <c r="Z505" s="48"/>
      <c r="AA505" s="20"/>
      <c r="AB505" s="48"/>
      <c r="AC505" s="48"/>
      <c r="AD505" s="7"/>
      <c r="AE505" s="1" t="s">
        <v>535</v>
      </c>
      <c r="AF505" s="1"/>
      <c r="AG505" s="1"/>
    </row>
    <row r="506" spans="1:33" s="37" customFormat="1" ht="25.5" customHeight="1" x14ac:dyDescent="0.2">
      <c r="A506" s="13">
        <f t="shared" si="9"/>
        <v>41</v>
      </c>
      <c r="B506" s="11"/>
      <c r="C506" s="92"/>
      <c r="D506" s="13"/>
      <c r="E506" s="13"/>
      <c r="F506" s="18"/>
      <c r="G506" s="1"/>
      <c r="H506" s="60"/>
      <c r="I506" s="13"/>
      <c r="J506" s="5"/>
      <c r="K506" s="5"/>
      <c r="L506" s="4"/>
      <c r="M506" s="4"/>
      <c r="N506" s="1"/>
      <c r="O506" s="5"/>
      <c r="P506" s="3"/>
      <c r="Q506" s="4"/>
      <c r="R506" s="47" t="s">
        <v>427</v>
      </c>
      <c r="S506" s="13" t="s">
        <v>53</v>
      </c>
      <c r="T506" s="6">
        <v>16.5</v>
      </c>
      <c r="U506" s="17"/>
      <c r="V506" s="3"/>
      <c r="W506" s="4"/>
      <c r="X506" s="13"/>
      <c r="Y506" s="48"/>
      <c r="Z506" s="48"/>
      <c r="AA506" s="20"/>
      <c r="AB506" s="48"/>
      <c r="AC506" s="48"/>
      <c r="AD506" s="7"/>
      <c r="AE506" s="2"/>
      <c r="AF506" s="2"/>
      <c r="AG506" s="2"/>
    </row>
    <row r="507" spans="1:33" s="37" customFormat="1" ht="12.75" x14ac:dyDescent="0.2">
      <c r="A507" s="13">
        <f t="shared" si="9"/>
        <v>41</v>
      </c>
      <c r="B507" s="11"/>
      <c r="C507" s="82"/>
      <c r="D507" s="13"/>
      <c r="E507" s="13"/>
      <c r="F507" s="2"/>
      <c r="G507" s="1"/>
      <c r="H507" s="50"/>
      <c r="I507" s="51"/>
      <c r="J507" s="51"/>
      <c r="K507" s="51"/>
      <c r="L507" s="51"/>
      <c r="M507" s="51"/>
      <c r="N507" s="51"/>
      <c r="O507" s="51"/>
      <c r="P507" s="51"/>
      <c r="Q507" s="51"/>
      <c r="R507" s="2"/>
      <c r="S507" s="51"/>
      <c r="T507" s="51"/>
      <c r="U507" s="50"/>
      <c r="V507" s="51"/>
      <c r="W507" s="51"/>
      <c r="X507" s="50"/>
      <c r="Y507" s="50"/>
      <c r="Z507" s="50"/>
      <c r="AA507" s="257"/>
      <c r="AB507" s="50"/>
      <c r="AC507" s="50"/>
      <c r="AD507" s="51"/>
      <c r="AE507" s="51"/>
      <c r="AF507" s="51"/>
      <c r="AG507" s="2"/>
    </row>
    <row r="508" spans="1:33" s="37" customFormat="1" ht="12.75" x14ac:dyDescent="0.2">
      <c r="A508" s="13">
        <f t="shared" si="9"/>
        <v>41</v>
      </c>
      <c r="B508" s="11"/>
      <c r="C508" s="82"/>
      <c r="D508" s="13"/>
      <c r="E508" s="13"/>
      <c r="F508" s="2"/>
      <c r="G508" s="1"/>
      <c r="H508" s="50"/>
      <c r="I508" s="51"/>
      <c r="J508" s="51"/>
      <c r="K508" s="51"/>
      <c r="L508" s="51"/>
      <c r="M508" s="51"/>
      <c r="N508" s="51"/>
      <c r="O508" s="51"/>
      <c r="P508" s="51"/>
      <c r="Q508" s="51"/>
      <c r="R508" s="2"/>
      <c r="S508" s="51"/>
      <c r="T508" s="51"/>
      <c r="U508" s="50"/>
      <c r="V508" s="51"/>
      <c r="W508" s="51"/>
      <c r="X508" s="50"/>
      <c r="Y508" s="50"/>
      <c r="Z508" s="50"/>
      <c r="AA508" s="257"/>
      <c r="AB508" s="50"/>
      <c r="AC508" s="50"/>
      <c r="AD508" s="51"/>
      <c r="AE508" s="51"/>
      <c r="AF508" s="51"/>
      <c r="AG508" s="2"/>
    </row>
    <row r="509" spans="1:33" s="37" customFormat="1" ht="12.75" x14ac:dyDescent="0.2">
      <c r="A509" s="13">
        <f t="shared" si="9"/>
        <v>41</v>
      </c>
      <c r="B509" s="11"/>
      <c r="C509" s="82"/>
      <c r="D509" s="13"/>
      <c r="E509" s="133"/>
      <c r="F509" s="133"/>
      <c r="G509" s="84"/>
      <c r="H509" s="60"/>
      <c r="I509" s="2"/>
      <c r="J509" s="3"/>
      <c r="K509" s="3"/>
      <c r="L509" s="3"/>
      <c r="M509" s="3"/>
      <c r="N509" s="84"/>
      <c r="O509" s="79"/>
      <c r="P509" s="3"/>
      <c r="Q509" s="4"/>
      <c r="R509" s="84"/>
      <c r="S509" s="87"/>
      <c r="T509" s="6"/>
      <c r="U509" s="17"/>
      <c r="V509" s="3"/>
      <c r="W509" s="4"/>
      <c r="X509" s="13"/>
      <c r="Y509" s="48"/>
      <c r="Z509" s="48"/>
      <c r="AA509" s="20"/>
      <c r="AB509" s="48"/>
      <c r="AC509" s="48"/>
      <c r="AD509" s="7"/>
      <c r="AE509" s="2"/>
      <c r="AF509" s="2"/>
      <c r="AG509" s="2"/>
    </row>
    <row r="510" spans="1:33" s="37" customFormat="1" ht="47.25" customHeight="1" x14ac:dyDescent="0.2">
      <c r="A510" s="13">
        <f t="shared" si="9"/>
        <v>42</v>
      </c>
      <c r="B510" s="11">
        <v>42</v>
      </c>
      <c r="C510" s="21" t="s">
        <v>39</v>
      </c>
      <c r="D510" s="13">
        <v>5</v>
      </c>
      <c r="E510" s="13">
        <v>86</v>
      </c>
      <c r="F510" s="18">
        <v>1574</v>
      </c>
      <c r="G510" s="1" t="s">
        <v>417</v>
      </c>
      <c r="H510" s="60">
        <v>48.8</v>
      </c>
      <c r="I510" s="13"/>
      <c r="J510" s="5"/>
      <c r="K510" s="5"/>
      <c r="L510" s="4"/>
      <c r="M510" s="4"/>
      <c r="N510" s="1" t="s">
        <v>408</v>
      </c>
      <c r="O510" s="5">
        <v>1</v>
      </c>
      <c r="P510" s="3"/>
      <c r="Q510" s="4"/>
      <c r="R510" s="47" t="s">
        <v>1903</v>
      </c>
      <c r="S510" s="13" t="s">
        <v>53</v>
      </c>
      <c r="T510" s="6">
        <v>17.82</v>
      </c>
      <c r="U510" s="17"/>
      <c r="V510" s="3"/>
      <c r="W510" s="4"/>
      <c r="X510" s="13"/>
      <c r="Y510" s="48" t="s">
        <v>55</v>
      </c>
      <c r="Z510" s="48" t="s">
        <v>141</v>
      </c>
      <c r="AA510" s="20"/>
      <c r="AB510" s="48" t="s">
        <v>66</v>
      </c>
      <c r="AC510" s="48"/>
      <c r="AD510" s="7"/>
      <c r="AE510" s="1" t="s">
        <v>1701</v>
      </c>
      <c r="AF510" s="1"/>
      <c r="AG510" s="1"/>
    </row>
    <row r="511" spans="1:33" s="37" customFormat="1" ht="46.5" customHeight="1" x14ac:dyDescent="0.2">
      <c r="A511" s="13">
        <f t="shared" si="9"/>
        <v>42</v>
      </c>
      <c r="B511" s="11"/>
      <c r="C511" s="82" t="s">
        <v>221</v>
      </c>
      <c r="D511" s="13"/>
      <c r="E511" s="13"/>
      <c r="F511" s="18"/>
      <c r="G511" s="1" t="s">
        <v>453</v>
      </c>
      <c r="H511" s="60">
        <v>6.3</v>
      </c>
      <c r="I511" s="13"/>
      <c r="J511" s="5"/>
      <c r="K511" s="5"/>
      <c r="L511" s="4"/>
      <c r="M511" s="4"/>
      <c r="N511" s="1" t="s">
        <v>352</v>
      </c>
      <c r="O511" s="5">
        <v>5</v>
      </c>
      <c r="P511" s="3"/>
      <c r="Q511" s="4"/>
      <c r="R511" s="47" t="s">
        <v>241</v>
      </c>
      <c r="S511" s="13" t="s">
        <v>53</v>
      </c>
      <c r="T511" s="6">
        <v>12.9</v>
      </c>
      <c r="U511" s="17"/>
      <c r="V511" s="3"/>
      <c r="W511" s="4"/>
      <c r="X511" s="13"/>
      <c r="Y511" s="48"/>
      <c r="Z511" s="48"/>
      <c r="AA511" s="20"/>
      <c r="AB511" s="48"/>
      <c r="AC511" s="48"/>
      <c r="AD511" s="7"/>
      <c r="AE511" s="1" t="s">
        <v>536</v>
      </c>
      <c r="AF511" s="1"/>
      <c r="AG511" s="1"/>
    </row>
    <row r="512" spans="1:33" s="37" customFormat="1" ht="47.25" customHeight="1" x14ac:dyDescent="0.2">
      <c r="A512" s="13">
        <f t="shared" si="9"/>
        <v>42</v>
      </c>
      <c r="B512" s="11"/>
      <c r="C512" s="82" t="s">
        <v>688</v>
      </c>
      <c r="D512" s="13"/>
      <c r="E512" s="133"/>
      <c r="F512" s="133"/>
      <c r="G512" s="1"/>
      <c r="H512" s="60"/>
      <c r="I512" s="13"/>
      <c r="J512" s="5"/>
      <c r="K512" s="5"/>
      <c r="L512" s="4"/>
      <c r="M512" s="4"/>
      <c r="N512" s="1"/>
      <c r="O512" s="5"/>
      <c r="P512" s="3"/>
      <c r="Q512" s="4"/>
      <c r="R512" s="84" t="s">
        <v>1904</v>
      </c>
      <c r="S512" s="87" t="s">
        <v>53</v>
      </c>
      <c r="T512" s="6">
        <v>25.5</v>
      </c>
      <c r="U512" s="17"/>
      <c r="V512" s="3"/>
      <c r="W512" s="4"/>
      <c r="X512" s="13"/>
      <c r="Y512" s="48"/>
      <c r="Z512" s="48"/>
      <c r="AA512" s="20"/>
      <c r="AB512" s="48"/>
      <c r="AC512" s="48"/>
      <c r="AD512" s="7"/>
      <c r="AE512" s="2" t="s">
        <v>537</v>
      </c>
      <c r="AF512" s="2"/>
      <c r="AG512" s="2"/>
    </row>
    <row r="513" spans="1:33" s="37" customFormat="1" ht="75.75" customHeight="1" x14ac:dyDescent="0.2">
      <c r="A513" s="13">
        <f t="shared" si="9"/>
        <v>42</v>
      </c>
      <c r="B513" s="11"/>
      <c r="C513" s="82" t="s">
        <v>313</v>
      </c>
      <c r="D513" s="13"/>
      <c r="E513" s="13"/>
      <c r="F513" s="2"/>
      <c r="G513" s="1"/>
      <c r="H513" s="50"/>
      <c r="I513" s="51"/>
      <c r="J513" s="51"/>
      <c r="K513" s="51"/>
      <c r="L513" s="51"/>
      <c r="M513" s="51"/>
      <c r="N513" s="51"/>
      <c r="O513" s="51"/>
      <c r="P513" s="51"/>
      <c r="Q513" s="51"/>
      <c r="R513" s="2"/>
      <c r="S513" s="51"/>
      <c r="T513" s="51"/>
      <c r="U513" s="50"/>
      <c r="V513" s="51"/>
      <c r="W513" s="51"/>
      <c r="X513" s="50"/>
      <c r="Y513" s="50"/>
      <c r="Z513" s="50"/>
      <c r="AA513" s="257"/>
      <c r="AB513" s="50"/>
      <c r="AC513" s="50"/>
      <c r="AD513" s="51"/>
      <c r="AE513" s="1" t="s">
        <v>1702</v>
      </c>
      <c r="AF513" s="1"/>
      <c r="AG513" s="1"/>
    </row>
    <row r="514" spans="1:33" s="37" customFormat="1" ht="22.5" customHeight="1" x14ac:dyDescent="0.2">
      <c r="A514" s="13"/>
      <c r="B514" s="11"/>
      <c r="C514" s="82"/>
      <c r="D514" s="13"/>
      <c r="E514" s="13"/>
      <c r="F514" s="2"/>
      <c r="G514" s="1"/>
      <c r="H514" s="50"/>
      <c r="I514" s="51"/>
      <c r="J514" s="51"/>
      <c r="K514" s="51"/>
      <c r="L514" s="51"/>
      <c r="M514" s="51"/>
      <c r="N514" s="51"/>
      <c r="O514" s="51"/>
      <c r="P514" s="51"/>
      <c r="Q514" s="51"/>
      <c r="R514" s="2"/>
      <c r="S514" s="51"/>
      <c r="T514" s="51"/>
      <c r="U514" s="50"/>
      <c r="V514" s="51"/>
      <c r="W514" s="51"/>
      <c r="X514" s="50"/>
      <c r="Y514" s="50"/>
      <c r="Z514" s="50"/>
      <c r="AA514" s="257"/>
      <c r="AB514" s="50"/>
      <c r="AC514" s="50"/>
      <c r="AD514" s="51"/>
      <c r="AE514" s="1"/>
      <c r="AF514" s="1"/>
      <c r="AG514" s="1"/>
    </row>
    <row r="515" spans="1:33" s="37" customFormat="1" ht="12.75" x14ac:dyDescent="0.2">
      <c r="A515" s="13"/>
      <c r="B515" s="11"/>
      <c r="C515" s="82"/>
      <c r="D515" s="13"/>
      <c r="E515" s="13"/>
      <c r="F515" s="2"/>
      <c r="G515" s="1"/>
      <c r="H515" s="50"/>
      <c r="I515" s="51"/>
      <c r="J515" s="51"/>
      <c r="K515" s="51"/>
      <c r="L515" s="51"/>
      <c r="M515" s="51"/>
      <c r="N515" s="51"/>
      <c r="O515" s="51"/>
      <c r="P515" s="51"/>
      <c r="Q515" s="51"/>
      <c r="R515" s="2"/>
      <c r="S515" s="51"/>
      <c r="T515" s="51"/>
      <c r="U515" s="50"/>
      <c r="V515" s="51"/>
      <c r="W515" s="51"/>
      <c r="X515" s="50"/>
      <c r="Y515" s="50"/>
      <c r="Z515" s="50"/>
      <c r="AA515" s="257"/>
      <c r="AB515" s="50"/>
      <c r="AC515" s="50"/>
      <c r="AD515" s="51"/>
      <c r="AE515" s="1"/>
      <c r="AF515" s="1"/>
      <c r="AG515" s="1"/>
    </row>
    <row r="516" spans="1:33" s="37" customFormat="1" ht="12.75" x14ac:dyDescent="0.2">
      <c r="A516" s="13">
        <f>IF(B516&lt;&gt;0,B516,A513)</f>
        <v>42</v>
      </c>
      <c r="B516" s="11"/>
      <c r="C516" s="143"/>
      <c r="D516" s="13"/>
      <c r="E516" s="13"/>
      <c r="F516" s="18"/>
      <c r="G516" s="144"/>
      <c r="H516" s="60"/>
      <c r="I516" s="13"/>
      <c r="J516" s="5"/>
      <c r="K516" s="5"/>
      <c r="L516" s="4"/>
      <c r="M516" s="4"/>
      <c r="N516" s="1"/>
      <c r="O516" s="5"/>
      <c r="P516" s="3"/>
      <c r="Q516" s="4"/>
      <c r="R516" s="47"/>
      <c r="S516" s="13"/>
      <c r="T516" s="6"/>
      <c r="U516" s="17"/>
      <c r="V516" s="3"/>
      <c r="W516" s="4"/>
      <c r="X516" s="13"/>
      <c r="Y516" s="48"/>
      <c r="Z516" s="48"/>
      <c r="AA516" s="20"/>
      <c r="AB516" s="48"/>
      <c r="AC516" s="48"/>
      <c r="AD516" s="7"/>
      <c r="AE516" s="1"/>
      <c r="AF516" s="1"/>
      <c r="AG516" s="1"/>
    </row>
    <row r="517" spans="1:33" s="37" customFormat="1" ht="12.75" x14ac:dyDescent="0.2">
      <c r="A517" s="13">
        <f t="shared" ref="A517:A522" si="10">IF(B517&lt;&gt;0,B517,A516)</f>
        <v>42</v>
      </c>
      <c r="B517" s="11"/>
      <c r="C517" s="1"/>
      <c r="D517" s="13"/>
      <c r="E517" s="13"/>
      <c r="F517" s="18"/>
      <c r="G517" s="1"/>
      <c r="H517" s="60"/>
      <c r="I517" s="13"/>
      <c r="J517" s="5"/>
      <c r="K517" s="5"/>
      <c r="L517" s="4"/>
      <c r="M517" s="4"/>
      <c r="N517" s="1"/>
      <c r="O517" s="5"/>
      <c r="P517" s="3"/>
      <c r="Q517" s="4"/>
      <c r="R517" s="47"/>
      <c r="S517" s="13"/>
      <c r="T517" s="6"/>
      <c r="U517" s="17"/>
      <c r="V517" s="3"/>
      <c r="W517" s="4"/>
      <c r="X517" s="13"/>
      <c r="Y517" s="48"/>
      <c r="Z517" s="48"/>
      <c r="AA517" s="20"/>
      <c r="AB517" s="48"/>
      <c r="AC517" s="48"/>
      <c r="AD517" s="7"/>
      <c r="AE517" s="2"/>
      <c r="AF517" s="2"/>
      <c r="AG517" s="2"/>
    </row>
    <row r="518" spans="1:33" s="37" customFormat="1" ht="38.25" x14ac:dyDescent="0.2">
      <c r="A518" s="13">
        <f t="shared" si="10"/>
        <v>43</v>
      </c>
      <c r="B518" s="11">
        <v>43</v>
      </c>
      <c r="C518" s="21" t="s">
        <v>40</v>
      </c>
      <c r="D518" s="13">
        <v>11</v>
      </c>
      <c r="E518" s="13">
        <v>86</v>
      </c>
      <c r="F518" s="18">
        <v>1573</v>
      </c>
      <c r="G518" s="1" t="s">
        <v>416</v>
      </c>
      <c r="H518" s="255">
        <f>6.3-0.3</f>
        <v>6</v>
      </c>
      <c r="I518" s="13"/>
      <c r="J518" s="5"/>
      <c r="K518" s="5"/>
      <c r="L518" s="4"/>
      <c r="M518" s="4"/>
      <c r="N518" s="84"/>
      <c r="O518" s="5"/>
      <c r="P518" s="3"/>
      <c r="Q518" s="4"/>
      <c r="R518" s="47" t="s">
        <v>136</v>
      </c>
      <c r="S518" s="13" t="s">
        <v>53</v>
      </c>
      <c r="T518" s="6">
        <v>57.8</v>
      </c>
      <c r="U518" s="17">
        <v>14.4</v>
      </c>
      <c r="V518" s="3"/>
      <c r="W518" s="4"/>
      <c r="X518" s="13" t="s">
        <v>63</v>
      </c>
      <c r="Y518" s="48" t="s">
        <v>55</v>
      </c>
      <c r="Z518" s="48" t="s">
        <v>56</v>
      </c>
      <c r="AA518" s="20" t="s">
        <v>57</v>
      </c>
      <c r="AB518" s="48" t="s">
        <v>63</v>
      </c>
      <c r="AC518" s="48" t="s">
        <v>430</v>
      </c>
      <c r="AD518" s="7"/>
      <c r="AE518" s="1" t="s">
        <v>1703</v>
      </c>
      <c r="AF518" s="1"/>
      <c r="AG518" s="1"/>
    </row>
    <row r="519" spans="1:33" s="37" customFormat="1" ht="38.25" x14ac:dyDescent="0.2">
      <c r="A519" s="13">
        <f t="shared" si="10"/>
        <v>43</v>
      </c>
      <c r="B519" s="11"/>
      <c r="C519" s="1" t="s">
        <v>222</v>
      </c>
      <c r="D519" s="13"/>
      <c r="E519" s="13">
        <v>86</v>
      </c>
      <c r="F519" s="18">
        <v>1573</v>
      </c>
      <c r="G519" s="1" t="s">
        <v>417</v>
      </c>
      <c r="H519" s="255">
        <f>46.7-0.4</f>
        <v>46.300000000000004</v>
      </c>
      <c r="I519" s="13"/>
      <c r="J519" s="5"/>
      <c r="K519" s="5"/>
      <c r="L519" s="4"/>
      <c r="M519" s="4"/>
      <c r="N519" s="1"/>
      <c r="O519" s="5"/>
      <c r="P519" s="3"/>
      <c r="Q519" s="4"/>
      <c r="R519" s="145" t="s">
        <v>71</v>
      </c>
      <c r="S519" s="147" t="s">
        <v>53</v>
      </c>
      <c r="T519" s="6">
        <v>9.9</v>
      </c>
      <c r="U519" s="17">
        <v>14.7</v>
      </c>
      <c r="V519" s="3"/>
      <c r="W519" s="4"/>
      <c r="X519" s="13" t="s">
        <v>63</v>
      </c>
      <c r="Y519" s="48" t="s">
        <v>55</v>
      </c>
      <c r="Z519" s="48" t="s">
        <v>56</v>
      </c>
      <c r="AA519" s="20" t="s">
        <v>57</v>
      </c>
      <c r="AB519" s="48" t="s">
        <v>63</v>
      </c>
      <c r="AC519" s="48" t="s">
        <v>430</v>
      </c>
      <c r="AD519" s="7"/>
      <c r="AE519" s="1" t="s">
        <v>538</v>
      </c>
      <c r="AF519" s="1"/>
      <c r="AG519" s="1"/>
    </row>
    <row r="520" spans="1:33" s="37" customFormat="1" ht="44.25" customHeight="1" x14ac:dyDescent="0.2">
      <c r="A520" s="13">
        <f t="shared" si="10"/>
        <v>43</v>
      </c>
      <c r="B520" s="11"/>
      <c r="C520" s="34" t="s">
        <v>689</v>
      </c>
      <c r="D520" s="13"/>
      <c r="E520" s="13"/>
      <c r="F520" s="18"/>
      <c r="G520" s="1" t="s">
        <v>1737</v>
      </c>
      <c r="H520" s="60">
        <v>10.4</v>
      </c>
      <c r="I520" s="13"/>
      <c r="J520" s="5"/>
      <c r="K520" s="5"/>
      <c r="L520" s="4"/>
      <c r="M520" s="4"/>
      <c r="N520" s="1"/>
      <c r="O520" s="5"/>
      <c r="P520" s="3"/>
      <c r="Q520" s="4"/>
      <c r="R520" s="47" t="s">
        <v>331</v>
      </c>
      <c r="S520" s="13" t="s">
        <v>78</v>
      </c>
      <c r="T520" s="6">
        <v>1.08</v>
      </c>
      <c r="U520" s="17"/>
      <c r="V520" s="3"/>
      <c r="W520" s="4"/>
      <c r="X520" s="13"/>
      <c r="Y520" s="48" t="s">
        <v>55</v>
      </c>
      <c r="Z520" s="48" t="s">
        <v>141</v>
      </c>
      <c r="AA520" s="20" t="s">
        <v>332</v>
      </c>
      <c r="AB520" s="48" t="s">
        <v>66</v>
      </c>
      <c r="AC520" s="48"/>
      <c r="AD520" s="7"/>
      <c r="AE520" s="2" t="s">
        <v>333</v>
      </c>
      <c r="AF520" s="2"/>
      <c r="AG520" s="2"/>
    </row>
    <row r="521" spans="1:33" s="37" customFormat="1" ht="24" customHeight="1" x14ac:dyDescent="0.2">
      <c r="A521" s="13">
        <f t="shared" si="10"/>
        <v>43</v>
      </c>
      <c r="B521" s="11"/>
      <c r="C521" s="92"/>
      <c r="D521" s="13"/>
      <c r="E521" s="13"/>
      <c r="F521" s="18"/>
      <c r="G521" s="1"/>
      <c r="H521" s="60"/>
      <c r="I521" s="13"/>
      <c r="J521" s="5"/>
      <c r="K521" s="5"/>
      <c r="L521" s="4"/>
      <c r="M521" s="4"/>
      <c r="N521" s="145"/>
      <c r="O521" s="146"/>
      <c r="P521" s="3"/>
      <c r="Q521" s="4"/>
      <c r="R521" s="47" t="s">
        <v>334</v>
      </c>
      <c r="S521" s="13" t="s">
        <v>53</v>
      </c>
      <c r="T521" s="6">
        <v>3.64</v>
      </c>
      <c r="U521" s="17"/>
      <c r="V521" s="3"/>
      <c r="W521" s="4"/>
      <c r="X521" s="13"/>
      <c r="Y521" s="48"/>
      <c r="Z521" s="48"/>
      <c r="AA521" s="20"/>
      <c r="AB521" s="48"/>
      <c r="AC521" s="48"/>
      <c r="AD521" s="7"/>
      <c r="AE521" s="2" t="s">
        <v>539</v>
      </c>
      <c r="AF521" s="2"/>
      <c r="AG521" s="2"/>
    </row>
    <row r="522" spans="1:33" s="37" customFormat="1" ht="63.75" x14ac:dyDescent="0.2">
      <c r="A522" s="13">
        <f t="shared" si="10"/>
        <v>43</v>
      </c>
      <c r="B522" s="11"/>
      <c r="C522" s="144"/>
      <c r="D522" s="13"/>
      <c r="E522" s="13"/>
      <c r="F522" s="18"/>
      <c r="G522" s="1"/>
      <c r="H522" s="60"/>
      <c r="I522" s="13"/>
      <c r="J522" s="5"/>
      <c r="K522" s="5"/>
      <c r="L522" s="4"/>
      <c r="M522" s="4"/>
      <c r="N522" s="145"/>
      <c r="O522" s="146"/>
      <c r="P522" s="3"/>
      <c r="Q522" s="4"/>
      <c r="R522" s="2"/>
      <c r="S522" s="51"/>
      <c r="T522" s="51"/>
      <c r="U522" s="50"/>
      <c r="V522" s="3"/>
      <c r="W522" s="4"/>
      <c r="X522" s="13"/>
      <c r="Y522" s="48"/>
      <c r="Z522" s="48"/>
      <c r="AA522" s="20"/>
      <c r="AB522" s="48"/>
      <c r="AC522" s="48"/>
      <c r="AD522" s="7"/>
      <c r="AE522" s="1" t="s">
        <v>1738</v>
      </c>
      <c r="AF522" s="1"/>
      <c r="AG522" s="1"/>
    </row>
    <row r="523" spans="1:33" s="37" customFormat="1" ht="42.75" customHeight="1" x14ac:dyDescent="0.2">
      <c r="A523" s="13"/>
      <c r="B523" s="11"/>
      <c r="C523" s="144"/>
      <c r="D523" s="13"/>
      <c r="E523" s="13"/>
      <c r="F523" s="18"/>
      <c r="G523" s="1"/>
      <c r="H523" s="60"/>
      <c r="I523" s="13"/>
      <c r="J523" s="5"/>
      <c r="K523" s="5"/>
      <c r="L523" s="4"/>
      <c r="M523" s="4"/>
      <c r="N523" s="145"/>
      <c r="O523" s="146"/>
      <c r="P523" s="3"/>
      <c r="Q523" s="4"/>
      <c r="R523" s="2"/>
      <c r="S523" s="51"/>
      <c r="T523" s="51"/>
      <c r="U523" s="50"/>
      <c r="V523" s="3"/>
      <c r="W523" s="4"/>
      <c r="X523" s="13"/>
      <c r="Y523" s="48"/>
      <c r="Z523" s="48"/>
      <c r="AA523" s="20"/>
      <c r="AB523" s="48"/>
      <c r="AC523" s="48"/>
      <c r="AD523" s="7"/>
      <c r="AE523" s="238" t="s">
        <v>1745</v>
      </c>
      <c r="AF523" s="1"/>
      <c r="AG523" s="1"/>
    </row>
    <row r="524" spans="1:33" s="37" customFormat="1" ht="12.75" x14ac:dyDescent="0.2">
      <c r="A524" s="13"/>
      <c r="B524" s="11"/>
      <c r="C524" s="144"/>
      <c r="D524" s="13"/>
      <c r="E524" s="13"/>
      <c r="F524" s="18"/>
      <c r="G524" s="1"/>
      <c r="H524" s="60"/>
      <c r="I524" s="13"/>
      <c r="J524" s="5"/>
      <c r="K524" s="5"/>
      <c r="L524" s="4"/>
      <c r="M524" s="4"/>
      <c r="N524" s="145"/>
      <c r="O524" s="146"/>
      <c r="P524" s="3"/>
      <c r="Q524" s="4"/>
      <c r="R524" s="2"/>
      <c r="S524" s="51"/>
      <c r="T524" s="51"/>
      <c r="U524" s="50"/>
      <c r="V524" s="3"/>
      <c r="W524" s="4"/>
      <c r="X524" s="13"/>
      <c r="Y524" s="48"/>
      <c r="Z524" s="48"/>
      <c r="AA524" s="20"/>
      <c r="AB524" s="48"/>
      <c r="AC524" s="48"/>
      <c r="AD524" s="7"/>
      <c r="AE524" s="1"/>
      <c r="AF524" s="1"/>
      <c r="AG524" s="1"/>
    </row>
    <row r="525" spans="1:33" s="37" customFormat="1" ht="12.75" x14ac:dyDescent="0.2">
      <c r="A525" s="13">
        <f>IF(B525&lt;&gt;0,B525,A522)</f>
        <v>43</v>
      </c>
      <c r="B525" s="11"/>
      <c r="C525" s="144"/>
      <c r="D525" s="13"/>
      <c r="E525" s="13"/>
      <c r="F525" s="18"/>
      <c r="G525" s="1"/>
      <c r="H525" s="60"/>
      <c r="I525" s="13"/>
      <c r="J525" s="5"/>
      <c r="K525" s="5"/>
      <c r="L525" s="4"/>
      <c r="M525" s="4"/>
      <c r="N525" s="1"/>
      <c r="O525" s="5"/>
      <c r="P525" s="3"/>
      <c r="Q525" s="4"/>
      <c r="R525" s="2"/>
      <c r="S525" s="51"/>
      <c r="T525" s="51"/>
      <c r="U525" s="50"/>
      <c r="V525" s="3"/>
      <c r="W525" s="4"/>
      <c r="X525" s="13"/>
      <c r="Y525" s="48"/>
      <c r="Z525" s="48"/>
      <c r="AA525" s="20"/>
      <c r="AB525" s="48"/>
      <c r="AC525" s="48"/>
      <c r="AD525" s="7"/>
      <c r="AE525" s="2"/>
      <c r="AF525" s="2"/>
      <c r="AG525" s="2"/>
    </row>
    <row r="526" spans="1:33" s="37" customFormat="1" ht="12.75" x14ac:dyDescent="0.2">
      <c r="A526" s="13">
        <f t="shared" ref="A526:A533" si="11">IF(B526&lt;&gt;0,B526,A525)</f>
        <v>43</v>
      </c>
      <c r="B526" s="11"/>
      <c r="C526" s="21"/>
      <c r="D526" s="13"/>
      <c r="E526" s="13"/>
      <c r="F526" s="2"/>
      <c r="G526" s="1"/>
      <c r="H526" s="50"/>
      <c r="I526" s="51"/>
      <c r="J526" s="51"/>
      <c r="K526" s="51"/>
      <c r="L526" s="51"/>
      <c r="M526" s="51"/>
      <c r="N526" s="51"/>
      <c r="O526" s="51"/>
      <c r="P526" s="51"/>
      <c r="Q526" s="51"/>
      <c r="R526" s="2"/>
      <c r="S526" s="51"/>
      <c r="T526" s="51"/>
      <c r="U526" s="50"/>
      <c r="V526" s="51"/>
      <c r="W526" s="51"/>
      <c r="X526" s="50"/>
      <c r="Y526" s="50"/>
      <c r="Z526" s="50"/>
      <c r="AA526" s="257"/>
      <c r="AB526" s="50"/>
      <c r="AC526" s="50"/>
      <c r="AD526" s="51"/>
      <c r="AE526" s="51"/>
      <c r="AF526" s="51"/>
      <c r="AG526" s="2"/>
    </row>
    <row r="527" spans="1:33" s="37" customFormat="1" ht="12.75" x14ac:dyDescent="0.2">
      <c r="A527" s="13">
        <f t="shared" si="11"/>
        <v>43</v>
      </c>
      <c r="B527" s="11"/>
      <c r="C527" s="144"/>
      <c r="D527" s="13"/>
      <c r="E527" s="13"/>
      <c r="F527" s="18"/>
      <c r="G527" s="1"/>
      <c r="H527" s="60"/>
      <c r="I527" s="13"/>
      <c r="J527" s="5"/>
      <c r="K527" s="5"/>
      <c r="L527" s="4"/>
      <c r="M527" s="4"/>
      <c r="N527" s="1"/>
      <c r="O527" s="5"/>
      <c r="P527" s="3"/>
      <c r="Q527" s="4"/>
      <c r="R527" s="47"/>
      <c r="S527" s="13"/>
      <c r="T527" s="6"/>
      <c r="U527" s="17"/>
      <c r="V527" s="3"/>
      <c r="W527" s="4"/>
      <c r="X527" s="13"/>
      <c r="Y527" s="48"/>
      <c r="Z527" s="48"/>
      <c r="AA527" s="20"/>
      <c r="AB527" s="48"/>
      <c r="AC527" s="48"/>
      <c r="AD527" s="7"/>
      <c r="AE527" s="1"/>
      <c r="AF527" s="1"/>
      <c r="AG527" s="1"/>
    </row>
    <row r="528" spans="1:33" s="37" customFormat="1" ht="12.75" x14ac:dyDescent="0.2">
      <c r="A528" s="13">
        <f t="shared" si="11"/>
        <v>43</v>
      </c>
      <c r="B528" s="11"/>
      <c r="C528" s="144"/>
      <c r="D528" s="13"/>
      <c r="E528" s="13"/>
      <c r="F528" s="18"/>
      <c r="G528" s="1"/>
      <c r="H528" s="60"/>
      <c r="I528" s="13"/>
      <c r="J528" s="5"/>
      <c r="K528" s="5"/>
      <c r="L528" s="4"/>
      <c r="M528" s="4"/>
      <c r="N528" s="1"/>
      <c r="O528" s="5"/>
      <c r="P528" s="3"/>
      <c r="Q528" s="4"/>
      <c r="R528" s="145"/>
      <c r="S528" s="147"/>
      <c r="T528" s="6"/>
      <c r="U528" s="17"/>
      <c r="V528" s="3"/>
      <c r="W528" s="4"/>
      <c r="X528" s="13"/>
      <c r="Y528" s="48"/>
      <c r="Z528" s="48"/>
      <c r="AA528" s="20"/>
      <c r="AB528" s="48"/>
      <c r="AC528" s="48"/>
      <c r="AD528" s="7"/>
      <c r="AE528" s="1"/>
      <c r="AF528" s="1"/>
      <c r="AG528" s="1"/>
    </row>
    <row r="529" spans="1:33" s="37" customFormat="1" ht="33.75" customHeight="1" x14ac:dyDescent="0.2">
      <c r="A529" s="13">
        <f t="shared" si="11"/>
        <v>44</v>
      </c>
      <c r="B529" s="11">
        <v>44</v>
      </c>
      <c r="C529" s="143" t="s">
        <v>223</v>
      </c>
      <c r="D529" s="13">
        <v>8</v>
      </c>
      <c r="E529" s="13">
        <v>86</v>
      </c>
      <c r="F529" s="18">
        <v>37</v>
      </c>
      <c r="G529" s="1" t="s">
        <v>417</v>
      </c>
      <c r="H529" s="60">
        <v>53.5</v>
      </c>
      <c r="I529" s="13"/>
      <c r="J529" s="5"/>
      <c r="K529" s="5"/>
      <c r="L529" s="4"/>
      <c r="M529" s="4"/>
      <c r="N529" s="145"/>
      <c r="O529" s="5"/>
      <c r="P529" s="3"/>
      <c r="Q529" s="4"/>
      <c r="R529" s="145" t="s">
        <v>65</v>
      </c>
      <c r="S529" s="147" t="s">
        <v>53</v>
      </c>
      <c r="T529" s="6">
        <v>16.170000000000002</v>
      </c>
      <c r="U529" s="17"/>
      <c r="V529" s="3"/>
      <c r="W529" s="4"/>
      <c r="X529" s="13"/>
      <c r="Y529" s="48" t="s">
        <v>55</v>
      </c>
      <c r="Z529" s="48" t="s">
        <v>141</v>
      </c>
      <c r="AA529" s="20"/>
      <c r="AB529" s="48" t="s">
        <v>66</v>
      </c>
      <c r="AC529" s="48"/>
      <c r="AD529" s="7"/>
      <c r="AE529" s="1" t="s">
        <v>690</v>
      </c>
      <c r="AF529" s="1"/>
      <c r="AG529" s="1"/>
    </row>
    <row r="530" spans="1:33" s="37" customFormat="1" ht="35.25" customHeight="1" x14ac:dyDescent="0.2">
      <c r="A530" s="13">
        <f t="shared" si="11"/>
        <v>44</v>
      </c>
      <c r="B530" s="11"/>
      <c r="C530" s="144" t="s">
        <v>224</v>
      </c>
      <c r="D530" s="13"/>
      <c r="E530" s="13"/>
      <c r="F530" s="18"/>
      <c r="G530" s="144"/>
      <c r="H530" s="60"/>
      <c r="I530" s="13"/>
      <c r="J530" s="5"/>
      <c r="K530" s="5"/>
      <c r="L530" s="4"/>
      <c r="M530" s="4"/>
      <c r="N530" s="1"/>
      <c r="O530" s="5"/>
      <c r="P530" s="3"/>
      <c r="Q530" s="4"/>
      <c r="R530" s="47" t="s">
        <v>68</v>
      </c>
      <c r="S530" s="13" t="s">
        <v>53</v>
      </c>
      <c r="T530" s="6">
        <v>24.64</v>
      </c>
      <c r="U530" s="17"/>
      <c r="V530" s="3"/>
      <c r="W530" s="4"/>
      <c r="X530" s="13"/>
      <c r="Y530" s="48"/>
      <c r="Z530" s="48"/>
      <c r="AA530" s="20"/>
      <c r="AB530" s="48"/>
      <c r="AC530" s="48"/>
      <c r="AD530" s="7"/>
      <c r="AE530" s="1" t="s">
        <v>540</v>
      </c>
      <c r="AF530" s="1"/>
      <c r="AG530" s="1"/>
    </row>
    <row r="531" spans="1:33" s="37" customFormat="1" ht="35.25" customHeight="1" x14ac:dyDescent="0.2">
      <c r="A531" s="13">
        <f t="shared" si="11"/>
        <v>44</v>
      </c>
      <c r="B531" s="11"/>
      <c r="C531" s="143" t="s">
        <v>225</v>
      </c>
      <c r="D531" s="13"/>
      <c r="E531" s="13"/>
      <c r="F531" s="18"/>
      <c r="G531" s="1"/>
      <c r="H531" s="60"/>
      <c r="I531" s="13"/>
      <c r="J531" s="5"/>
      <c r="K531" s="5"/>
      <c r="L531" s="4"/>
      <c r="M531" s="4"/>
      <c r="N531" s="1"/>
      <c r="O531" s="5"/>
      <c r="P531" s="3"/>
      <c r="Q531" s="4"/>
      <c r="R531" s="47" t="s">
        <v>541</v>
      </c>
      <c r="S531" s="13" t="s">
        <v>53</v>
      </c>
      <c r="T531" s="6">
        <v>16.940000000000001</v>
      </c>
      <c r="U531" s="17"/>
      <c r="V531" s="3"/>
      <c r="W531" s="4"/>
      <c r="X531" s="13"/>
      <c r="Y531" s="48"/>
      <c r="Z531" s="48"/>
      <c r="AA531" s="20"/>
      <c r="AB531" s="48"/>
      <c r="AC531" s="48"/>
      <c r="AD531" s="7"/>
      <c r="AE531" s="2" t="s">
        <v>534</v>
      </c>
      <c r="AF531" s="2"/>
      <c r="AG531" s="2"/>
    </row>
    <row r="532" spans="1:33" s="37" customFormat="1" ht="27" customHeight="1" x14ac:dyDescent="0.2">
      <c r="A532" s="13">
        <f t="shared" si="11"/>
        <v>44</v>
      </c>
      <c r="B532" s="11"/>
      <c r="C532" s="1" t="s">
        <v>226</v>
      </c>
      <c r="D532" s="13"/>
      <c r="E532" s="13"/>
      <c r="F532" s="18"/>
      <c r="G532" s="1"/>
      <c r="H532" s="60"/>
      <c r="I532" s="13"/>
      <c r="J532" s="5"/>
      <c r="K532" s="5"/>
      <c r="L532" s="4"/>
      <c r="M532" s="4"/>
      <c r="N532" s="1"/>
      <c r="O532" s="5"/>
      <c r="P532" s="3"/>
      <c r="Q532" s="4"/>
      <c r="R532" s="47" t="s">
        <v>542</v>
      </c>
      <c r="S532" s="13" t="s">
        <v>53</v>
      </c>
      <c r="T532" s="6">
        <v>13.78</v>
      </c>
      <c r="U532" s="17"/>
      <c r="V532" s="3"/>
      <c r="W532" s="4"/>
      <c r="X532" s="13"/>
      <c r="Y532" s="48"/>
      <c r="Z532" s="48"/>
      <c r="AA532" s="20"/>
      <c r="AB532" s="48"/>
      <c r="AC532" s="48"/>
      <c r="AD532" s="7"/>
      <c r="AE532" s="12" t="s">
        <v>111</v>
      </c>
      <c r="AF532" s="12"/>
      <c r="AG532" s="12"/>
    </row>
    <row r="533" spans="1:33" s="37" customFormat="1" ht="47.25" customHeight="1" x14ac:dyDescent="0.2">
      <c r="A533" s="13">
        <f t="shared" si="11"/>
        <v>44</v>
      </c>
      <c r="B533" s="11"/>
      <c r="C533" s="144" t="s">
        <v>691</v>
      </c>
      <c r="D533" s="13"/>
      <c r="E533" s="13"/>
      <c r="F533" s="2"/>
      <c r="G533" s="1"/>
      <c r="H533" s="50"/>
      <c r="I533" s="51"/>
      <c r="J533" s="51"/>
      <c r="K533" s="51"/>
      <c r="L533" s="51"/>
      <c r="M533" s="51"/>
      <c r="N533" s="51"/>
      <c r="O533" s="51"/>
      <c r="P533" s="51"/>
      <c r="Q533" s="51"/>
      <c r="R533" s="2"/>
      <c r="S533" s="51"/>
      <c r="T533" s="51"/>
      <c r="U533" s="50"/>
      <c r="V533" s="51"/>
      <c r="W533" s="51"/>
      <c r="X533" s="50"/>
      <c r="Y533" s="50"/>
      <c r="Z533" s="50"/>
      <c r="AA533" s="257"/>
      <c r="AB533" s="50"/>
      <c r="AC533" s="50"/>
      <c r="AD533" s="51"/>
      <c r="AE533" s="51"/>
      <c r="AF533" s="51"/>
      <c r="AG533" s="2"/>
    </row>
    <row r="534" spans="1:33" s="37" customFormat="1" ht="12.75" x14ac:dyDescent="0.2">
      <c r="A534" s="13"/>
      <c r="B534" s="11"/>
      <c r="C534" s="144"/>
      <c r="D534" s="13"/>
      <c r="E534" s="13"/>
      <c r="F534" s="2"/>
      <c r="G534" s="1"/>
      <c r="H534" s="50"/>
      <c r="I534" s="51"/>
      <c r="J534" s="51"/>
      <c r="K534" s="51"/>
      <c r="L534" s="51"/>
      <c r="M534" s="51"/>
      <c r="N534" s="51"/>
      <c r="O534" s="51"/>
      <c r="P534" s="51"/>
      <c r="Q534" s="51"/>
      <c r="R534" s="2"/>
      <c r="S534" s="51"/>
      <c r="T534" s="51"/>
      <c r="U534" s="50"/>
      <c r="V534" s="51"/>
      <c r="W534" s="51"/>
      <c r="X534" s="50"/>
      <c r="Y534" s="50"/>
      <c r="Z534" s="50"/>
      <c r="AA534" s="257"/>
      <c r="AB534" s="50"/>
      <c r="AC534" s="50"/>
      <c r="AD534" s="51"/>
      <c r="AE534" s="51"/>
      <c r="AF534" s="51"/>
      <c r="AG534" s="2"/>
    </row>
    <row r="535" spans="1:33" s="37" customFormat="1" ht="12.75" x14ac:dyDescent="0.2">
      <c r="A535" s="13">
        <f>IF(B535&lt;&gt;0,B535,A533)</f>
        <v>44</v>
      </c>
      <c r="B535" s="11"/>
      <c r="C535" s="144"/>
      <c r="D535" s="13"/>
      <c r="E535" s="13"/>
      <c r="F535" s="18"/>
      <c r="G535" s="1"/>
      <c r="H535" s="60"/>
      <c r="I535" s="13"/>
      <c r="J535" s="5"/>
      <c r="K535" s="5"/>
      <c r="L535" s="4"/>
      <c r="M535" s="4"/>
      <c r="N535" s="1"/>
      <c r="O535" s="5"/>
      <c r="P535" s="3"/>
      <c r="Q535" s="4"/>
      <c r="R535" s="47"/>
      <c r="S535" s="13"/>
      <c r="T535" s="6"/>
      <c r="U535" s="17"/>
      <c r="V535" s="3"/>
      <c r="W535" s="4"/>
      <c r="X535" s="13"/>
      <c r="Y535" s="48"/>
      <c r="Z535" s="48"/>
      <c r="AA535" s="20"/>
      <c r="AB535" s="48"/>
      <c r="AC535" s="48"/>
      <c r="AD535" s="7"/>
      <c r="AE535" s="2"/>
      <c r="AF535" s="2"/>
      <c r="AG535" s="2"/>
    </row>
    <row r="536" spans="1:33" s="37" customFormat="1" ht="12.75" x14ac:dyDescent="0.2">
      <c r="A536" s="13">
        <f t="shared" ref="A536:A542" si="12">IF(B536&lt;&gt;0,B536,A535)</f>
        <v>44</v>
      </c>
      <c r="B536" s="11"/>
      <c r="C536" s="21"/>
      <c r="D536" s="13"/>
      <c r="E536" s="13"/>
      <c r="F536" s="18"/>
      <c r="G536" s="1"/>
      <c r="H536" s="60"/>
      <c r="I536" s="13"/>
      <c r="J536" s="5"/>
      <c r="K536" s="5"/>
      <c r="L536" s="4"/>
      <c r="M536" s="4"/>
      <c r="N536" s="1"/>
      <c r="O536" s="5"/>
      <c r="P536" s="3"/>
      <c r="Q536" s="4"/>
      <c r="R536" s="47"/>
      <c r="S536" s="13"/>
      <c r="T536" s="6"/>
      <c r="U536" s="17"/>
      <c r="V536" s="3"/>
      <c r="W536" s="4"/>
      <c r="X536" s="13"/>
      <c r="Y536" s="48"/>
      <c r="Z536" s="48"/>
      <c r="AA536" s="20"/>
      <c r="AB536" s="48"/>
      <c r="AC536" s="48"/>
      <c r="AD536" s="7"/>
      <c r="AE536" s="2"/>
      <c r="AF536" s="2"/>
      <c r="AG536" s="2"/>
    </row>
    <row r="537" spans="1:33" s="37" customFormat="1" ht="36" customHeight="1" x14ac:dyDescent="0.2">
      <c r="A537" s="13">
        <f t="shared" si="12"/>
        <v>45</v>
      </c>
      <c r="B537" s="11">
        <v>45</v>
      </c>
      <c r="C537" s="143" t="s">
        <v>41</v>
      </c>
      <c r="D537" s="13">
        <v>6</v>
      </c>
      <c r="E537" s="13">
        <v>227</v>
      </c>
      <c r="F537" s="18">
        <v>86</v>
      </c>
      <c r="G537" s="1" t="s">
        <v>416</v>
      </c>
      <c r="H537" s="60">
        <v>25</v>
      </c>
      <c r="I537" s="13"/>
      <c r="J537" s="5"/>
      <c r="K537" s="5"/>
      <c r="L537" s="4"/>
      <c r="M537" s="4"/>
      <c r="N537" s="145"/>
      <c r="O537" s="146"/>
      <c r="P537" s="3"/>
      <c r="Q537" s="4"/>
      <c r="R537" s="47" t="s">
        <v>388</v>
      </c>
      <c r="S537" s="13" t="s">
        <v>53</v>
      </c>
      <c r="T537" s="6">
        <v>15.75</v>
      </c>
      <c r="U537" s="17"/>
      <c r="V537" s="3"/>
      <c r="W537" s="4"/>
      <c r="X537" s="13" t="s">
        <v>63</v>
      </c>
      <c r="Y537" s="48" t="s">
        <v>55</v>
      </c>
      <c r="Z537" s="48" t="s">
        <v>141</v>
      </c>
      <c r="AA537" s="20" t="s">
        <v>57</v>
      </c>
      <c r="AB537" s="48" t="s">
        <v>54</v>
      </c>
      <c r="AC537" s="48"/>
      <c r="AD537" s="7"/>
      <c r="AE537" s="1" t="s">
        <v>228</v>
      </c>
      <c r="AF537" s="1"/>
      <c r="AG537" s="1"/>
    </row>
    <row r="538" spans="1:33" s="37" customFormat="1" ht="51" customHeight="1" x14ac:dyDescent="0.2">
      <c r="A538" s="13">
        <f t="shared" si="12"/>
        <v>45</v>
      </c>
      <c r="B538" s="11"/>
      <c r="C538" s="144" t="s">
        <v>227</v>
      </c>
      <c r="D538" s="13"/>
      <c r="E538" s="13">
        <v>227</v>
      </c>
      <c r="F538" s="18">
        <v>86</v>
      </c>
      <c r="G538" s="1" t="s">
        <v>417</v>
      </c>
      <c r="H538" s="60">
        <v>20.8</v>
      </c>
      <c r="I538" s="13"/>
      <c r="J538" s="5"/>
      <c r="K538" s="5"/>
      <c r="L538" s="4"/>
      <c r="M538" s="4"/>
      <c r="N538" s="145"/>
      <c r="O538" s="146"/>
      <c r="P538" s="3"/>
      <c r="Q538" s="4"/>
      <c r="R538" s="47" t="s">
        <v>68</v>
      </c>
      <c r="S538" s="13" t="s">
        <v>53</v>
      </c>
      <c r="T538" s="6">
        <v>15.3</v>
      </c>
      <c r="U538" s="17"/>
      <c r="V538" s="3"/>
      <c r="W538" s="4"/>
      <c r="X538" s="13"/>
      <c r="Y538" s="48"/>
      <c r="Z538" s="48"/>
      <c r="AA538" s="20"/>
      <c r="AB538" s="48"/>
      <c r="AC538" s="48"/>
      <c r="AD538" s="7"/>
      <c r="AE538" s="1" t="s">
        <v>543</v>
      </c>
      <c r="AF538" s="1"/>
      <c r="AG538" s="1"/>
    </row>
    <row r="539" spans="1:33" s="37" customFormat="1" ht="38.25" x14ac:dyDescent="0.2">
      <c r="A539" s="13">
        <f t="shared" si="12"/>
        <v>45</v>
      </c>
      <c r="B539" s="11"/>
      <c r="C539" s="144" t="s">
        <v>692</v>
      </c>
      <c r="D539" s="13"/>
      <c r="E539" s="13"/>
      <c r="F539" s="18"/>
      <c r="G539" s="1"/>
      <c r="H539" s="60"/>
      <c r="I539" s="13"/>
      <c r="J539" s="5"/>
      <c r="K539" s="5"/>
      <c r="L539" s="4"/>
      <c r="M539" s="4"/>
      <c r="N539" s="145"/>
      <c r="O539" s="146"/>
      <c r="P539" s="3"/>
      <c r="Q539" s="4"/>
      <c r="R539" s="47" t="s">
        <v>241</v>
      </c>
      <c r="S539" s="13" t="s">
        <v>53</v>
      </c>
      <c r="T539" s="6">
        <v>11.5</v>
      </c>
      <c r="U539" s="17"/>
      <c r="V539" s="3"/>
      <c r="W539" s="4"/>
      <c r="X539" s="13"/>
      <c r="Y539" s="48"/>
      <c r="Z539" s="48"/>
      <c r="AA539" s="20"/>
      <c r="AB539" s="48"/>
      <c r="AC539" s="48"/>
      <c r="AD539" s="7"/>
      <c r="AE539" s="2" t="s">
        <v>335</v>
      </c>
      <c r="AF539" s="2"/>
      <c r="AG539" s="2"/>
    </row>
    <row r="540" spans="1:33" s="37" customFormat="1" ht="25.5" x14ac:dyDescent="0.2">
      <c r="A540" s="13">
        <f t="shared" si="12"/>
        <v>45</v>
      </c>
      <c r="B540" s="11"/>
      <c r="C540" s="1" t="s">
        <v>314</v>
      </c>
      <c r="D540" s="13"/>
      <c r="E540" s="13"/>
      <c r="F540" s="18"/>
      <c r="G540" s="1"/>
      <c r="H540" s="60"/>
      <c r="I540" s="13"/>
      <c r="J540" s="5"/>
      <c r="K540" s="5"/>
      <c r="L540" s="4"/>
      <c r="M540" s="4"/>
      <c r="N540" s="145"/>
      <c r="O540" s="146"/>
      <c r="P540" s="3"/>
      <c r="Q540" s="4"/>
      <c r="R540" s="47" t="s">
        <v>397</v>
      </c>
      <c r="S540" s="13" t="s">
        <v>53</v>
      </c>
      <c r="T540" s="6">
        <v>8.5500000000000007</v>
      </c>
      <c r="U540" s="17"/>
      <c r="V540" s="3"/>
      <c r="W540" s="4"/>
      <c r="X540" s="13"/>
      <c r="Y540" s="48"/>
      <c r="Z540" s="48"/>
      <c r="AA540" s="20"/>
      <c r="AB540" s="48"/>
      <c r="AC540" s="48"/>
      <c r="AD540" s="7"/>
      <c r="AE540" s="2" t="s">
        <v>544</v>
      </c>
      <c r="AF540" s="2"/>
      <c r="AG540" s="2"/>
    </row>
    <row r="541" spans="1:33" s="37" customFormat="1" ht="34.5" customHeight="1" x14ac:dyDescent="0.2">
      <c r="A541" s="13">
        <f t="shared" si="12"/>
        <v>45</v>
      </c>
      <c r="B541" s="11"/>
      <c r="C541" s="1"/>
      <c r="D541" s="13"/>
      <c r="E541" s="13"/>
      <c r="F541" s="2"/>
      <c r="G541" s="1"/>
      <c r="H541" s="50"/>
      <c r="I541" s="51"/>
      <c r="J541" s="51"/>
      <c r="K541" s="51"/>
      <c r="L541" s="51"/>
      <c r="M541" s="51"/>
      <c r="N541" s="51"/>
      <c r="O541" s="51"/>
      <c r="P541" s="51"/>
      <c r="Q541" s="51"/>
      <c r="R541" s="1" t="s">
        <v>545</v>
      </c>
      <c r="S541" s="13" t="s">
        <v>53</v>
      </c>
      <c r="T541" s="6">
        <v>17.68</v>
      </c>
      <c r="U541" s="50"/>
      <c r="V541" s="51"/>
      <c r="W541" s="51"/>
      <c r="X541" s="50"/>
      <c r="Y541" s="50"/>
      <c r="Z541" s="50"/>
      <c r="AA541" s="257"/>
      <c r="AB541" s="50"/>
      <c r="AC541" s="50"/>
      <c r="AD541" s="51"/>
      <c r="AE541" s="51"/>
      <c r="AF541" s="51"/>
      <c r="AG541" s="2"/>
    </row>
    <row r="542" spans="1:33" s="37" customFormat="1" ht="27" customHeight="1" x14ac:dyDescent="0.2">
      <c r="A542" s="13">
        <f t="shared" si="12"/>
        <v>45</v>
      </c>
      <c r="B542" s="11"/>
      <c r="C542" s="145"/>
      <c r="D542" s="13"/>
      <c r="E542" s="13"/>
      <c r="F542" s="18"/>
      <c r="G542" s="1"/>
      <c r="H542" s="60"/>
      <c r="I542" s="13"/>
      <c r="J542" s="5"/>
      <c r="K542" s="5"/>
      <c r="L542" s="4"/>
      <c r="M542" s="4"/>
      <c r="N542" s="145"/>
      <c r="O542" s="146"/>
      <c r="P542" s="3"/>
      <c r="Q542" s="4"/>
      <c r="R542" s="47" t="s">
        <v>546</v>
      </c>
      <c r="S542" s="13" t="s">
        <v>53</v>
      </c>
      <c r="T542" s="6">
        <v>25.43</v>
      </c>
      <c r="U542" s="17"/>
      <c r="V542" s="3"/>
      <c r="W542" s="4"/>
      <c r="X542" s="13"/>
      <c r="Y542" s="48"/>
      <c r="Z542" s="48"/>
      <c r="AA542" s="20"/>
      <c r="AB542" s="48"/>
      <c r="AC542" s="48"/>
      <c r="AD542" s="7"/>
      <c r="AE542" s="1"/>
      <c r="AF542" s="1"/>
      <c r="AG542" s="1"/>
    </row>
    <row r="543" spans="1:33" s="37" customFormat="1" ht="12.75" x14ac:dyDescent="0.2">
      <c r="A543" s="13"/>
      <c r="B543" s="11"/>
      <c r="C543" s="145"/>
      <c r="D543" s="13"/>
      <c r="E543" s="13"/>
      <c r="F543" s="18"/>
      <c r="G543" s="1"/>
      <c r="H543" s="60"/>
      <c r="I543" s="13"/>
      <c r="J543" s="5"/>
      <c r="K543" s="5"/>
      <c r="L543" s="4"/>
      <c r="M543" s="4"/>
      <c r="N543" s="145"/>
      <c r="O543" s="146"/>
      <c r="P543" s="3"/>
      <c r="Q543" s="4"/>
      <c r="R543" s="47"/>
      <c r="S543" s="13"/>
      <c r="T543" s="6"/>
      <c r="U543" s="17"/>
      <c r="V543" s="3"/>
      <c r="W543" s="4"/>
      <c r="X543" s="13"/>
      <c r="Y543" s="48"/>
      <c r="Z543" s="48"/>
      <c r="AA543" s="20"/>
      <c r="AB543" s="48"/>
      <c r="AC543" s="48"/>
      <c r="AD543" s="7"/>
      <c r="AE543" s="1"/>
      <c r="AF543" s="1"/>
      <c r="AG543" s="1"/>
    </row>
    <row r="544" spans="1:33" s="37" customFormat="1" ht="12.75" x14ac:dyDescent="0.2">
      <c r="A544" s="13"/>
      <c r="B544" s="11"/>
      <c r="C544" s="145"/>
      <c r="D544" s="13"/>
      <c r="E544" s="13"/>
      <c r="F544" s="18"/>
      <c r="G544" s="1"/>
      <c r="H544" s="60"/>
      <c r="I544" s="13"/>
      <c r="J544" s="5"/>
      <c r="K544" s="5"/>
      <c r="L544" s="4"/>
      <c r="M544" s="4"/>
      <c r="N544" s="145"/>
      <c r="O544" s="146"/>
      <c r="P544" s="3"/>
      <c r="Q544" s="4"/>
      <c r="R544" s="47"/>
      <c r="S544" s="13"/>
      <c r="T544" s="6"/>
      <c r="U544" s="17"/>
      <c r="V544" s="3"/>
      <c r="W544" s="4"/>
      <c r="X544" s="13"/>
      <c r="Y544" s="48"/>
      <c r="Z544" s="48"/>
      <c r="AA544" s="20"/>
      <c r="AB544" s="48"/>
      <c r="AC544" s="48"/>
      <c r="AD544" s="7"/>
      <c r="AE544" s="1"/>
      <c r="AF544" s="1"/>
      <c r="AG544" s="1"/>
    </row>
    <row r="545" spans="1:33" s="37" customFormat="1" ht="12.75" x14ac:dyDescent="0.2">
      <c r="A545" s="13">
        <f>IF(B545&lt;&gt;0,B545,A542)</f>
        <v>45</v>
      </c>
      <c r="B545" s="11"/>
      <c r="C545" s="1"/>
      <c r="D545" s="13"/>
      <c r="E545" s="13"/>
      <c r="F545" s="18"/>
      <c r="G545" s="1"/>
      <c r="H545" s="60"/>
      <c r="I545" s="13"/>
      <c r="J545" s="5"/>
      <c r="K545" s="5"/>
      <c r="L545" s="4"/>
      <c r="M545" s="4"/>
      <c r="N545" s="145"/>
      <c r="O545" s="146"/>
      <c r="P545" s="3"/>
      <c r="Q545" s="4"/>
      <c r="R545" s="47"/>
      <c r="S545" s="13"/>
      <c r="T545" s="6"/>
      <c r="U545" s="17"/>
      <c r="V545" s="3"/>
      <c r="W545" s="4"/>
      <c r="X545" s="13"/>
      <c r="Y545" s="48"/>
      <c r="Z545" s="48"/>
      <c r="AA545" s="20"/>
      <c r="AB545" s="48"/>
      <c r="AC545" s="48"/>
      <c r="AD545" s="7"/>
      <c r="AE545" s="2"/>
      <c r="AF545" s="2"/>
      <c r="AG545" s="2"/>
    </row>
    <row r="546" spans="1:33" s="37" customFormat="1" ht="25.5" x14ac:dyDescent="0.2">
      <c r="A546" s="13">
        <f t="shared" ref="A546:A608" si="13">IF(B546&lt;&gt;0,B546,A545)</f>
        <v>46</v>
      </c>
      <c r="B546" s="11">
        <v>46</v>
      </c>
      <c r="C546" s="143" t="s">
        <v>287</v>
      </c>
      <c r="D546" s="13">
        <v>4</v>
      </c>
      <c r="E546" s="13">
        <v>86</v>
      </c>
      <c r="F546" s="18">
        <v>133</v>
      </c>
      <c r="G546" s="1" t="s">
        <v>547</v>
      </c>
      <c r="H546" s="60">
        <v>64.3</v>
      </c>
      <c r="I546" s="13"/>
      <c r="J546" s="5"/>
      <c r="K546" s="5"/>
      <c r="L546" s="4"/>
      <c r="M546" s="4"/>
      <c r="N546" s="145"/>
      <c r="O546" s="148"/>
      <c r="P546" s="146"/>
      <c r="Q546" s="146"/>
      <c r="R546" s="145" t="s">
        <v>71</v>
      </c>
      <c r="S546" s="147" t="s">
        <v>53</v>
      </c>
      <c r="T546" s="6">
        <v>39.299999999999997</v>
      </c>
      <c r="U546" s="17"/>
      <c r="V546" s="3"/>
      <c r="W546" s="4"/>
      <c r="X546" s="13"/>
      <c r="Y546" s="48"/>
      <c r="Z546" s="48"/>
      <c r="AA546" s="20"/>
      <c r="AB546" s="48"/>
      <c r="AC546" s="48"/>
      <c r="AD546" s="7"/>
      <c r="AE546" s="1" t="s">
        <v>289</v>
      </c>
      <c r="AF546" s="1"/>
      <c r="AG546" s="1"/>
    </row>
    <row r="547" spans="1:33" s="37" customFormat="1" ht="35.25" customHeight="1" x14ac:dyDescent="0.2">
      <c r="A547" s="13">
        <f t="shared" si="13"/>
        <v>46</v>
      </c>
      <c r="B547" s="11"/>
      <c r="C547" s="144" t="s">
        <v>288</v>
      </c>
      <c r="D547" s="13"/>
      <c r="E547" s="13"/>
      <c r="F547" s="18"/>
      <c r="G547" s="1"/>
      <c r="H547" s="60"/>
      <c r="I547" s="13"/>
      <c r="J547" s="5"/>
      <c r="K547" s="5"/>
      <c r="L547" s="4"/>
      <c r="M547" s="4"/>
      <c r="N547" s="145"/>
      <c r="O547" s="146"/>
      <c r="P547" s="146"/>
      <c r="Q547" s="146"/>
      <c r="R547" s="145" t="s">
        <v>241</v>
      </c>
      <c r="S547" s="147" t="s">
        <v>53</v>
      </c>
      <c r="T547" s="6">
        <v>14.5</v>
      </c>
      <c r="U547" s="17"/>
      <c r="V547" s="3"/>
      <c r="W547" s="4"/>
      <c r="X547" s="13"/>
      <c r="Y547" s="48"/>
      <c r="Z547" s="48"/>
      <c r="AA547" s="20"/>
      <c r="AB547" s="48"/>
      <c r="AC547" s="48"/>
      <c r="AD547" s="7"/>
      <c r="AE547" s="1" t="s">
        <v>548</v>
      </c>
      <c r="AF547" s="1"/>
      <c r="AG547" s="1"/>
    </row>
    <row r="548" spans="1:33" s="37" customFormat="1" ht="41.25" customHeight="1" x14ac:dyDescent="0.2">
      <c r="A548" s="13">
        <f t="shared" si="13"/>
        <v>46</v>
      </c>
      <c r="B548" s="11"/>
      <c r="C548" s="144" t="s">
        <v>693</v>
      </c>
      <c r="D548" s="13"/>
      <c r="E548" s="13"/>
      <c r="F548" s="18"/>
      <c r="G548" s="1"/>
      <c r="H548" s="60"/>
      <c r="I548" s="13"/>
      <c r="J548" s="5"/>
      <c r="K548" s="5"/>
      <c r="L548" s="4"/>
      <c r="M548" s="4"/>
      <c r="N548" s="145"/>
      <c r="O548" s="146"/>
      <c r="P548" s="146"/>
      <c r="Q548" s="146"/>
      <c r="R548" s="145" t="s">
        <v>336</v>
      </c>
      <c r="S548" s="147" t="s">
        <v>53</v>
      </c>
      <c r="T548" s="6">
        <v>19</v>
      </c>
      <c r="U548" s="17"/>
      <c r="V548" s="3"/>
      <c r="W548" s="4"/>
      <c r="X548" s="13"/>
      <c r="Y548" s="48"/>
      <c r="Z548" s="48"/>
      <c r="AA548" s="20"/>
      <c r="AB548" s="48"/>
      <c r="AC548" s="48"/>
      <c r="AD548" s="7"/>
      <c r="AE548" s="2" t="s">
        <v>549</v>
      </c>
      <c r="AF548" s="2"/>
      <c r="AG548" s="2"/>
    </row>
    <row r="549" spans="1:33" s="37" customFormat="1" ht="27" customHeight="1" x14ac:dyDescent="0.2">
      <c r="A549" s="13">
        <f t="shared" si="13"/>
        <v>46</v>
      </c>
      <c r="B549" s="11"/>
      <c r="C549" s="1" t="s">
        <v>299</v>
      </c>
      <c r="D549" s="13"/>
      <c r="E549" s="13"/>
      <c r="F549" s="18"/>
      <c r="G549" s="1"/>
      <c r="H549" s="60"/>
      <c r="I549" s="13"/>
      <c r="J549" s="5"/>
      <c r="K549" s="5"/>
      <c r="L549" s="4"/>
      <c r="M549" s="4"/>
      <c r="N549" s="145"/>
      <c r="O549" s="146"/>
      <c r="P549" s="146"/>
      <c r="Q549" s="146"/>
      <c r="R549" s="145" t="s">
        <v>550</v>
      </c>
      <c r="S549" s="147" t="s">
        <v>53</v>
      </c>
      <c r="T549" s="6">
        <v>15.12</v>
      </c>
      <c r="U549" s="17"/>
      <c r="V549" s="3"/>
      <c r="W549" s="4"/>
      <c r="X549" s="13"/>
      <c r="Y549" s="48"/>
      <c r="Z549" s="48"/>
      <c r="AA549" s="20"/>
      <c r="AB549" s="48"/>
      <c r="AC549" s="48"/>
      <c r="AD549" s="7"/>
      <c r="AE549" s="2"/>
      <c r="AF549" s="2"/>
      <c r="AG549" s="2"/>
    </row>
    <row r="550" spans="1:33" s="37" customFormat="1" ht="12.75" x14ac:dyDescent="0.2">
      <c r="A550" s="13">
        <f t="shared" si="13"/>
        <v>46</v>
      </c>
      <c r="B550" s="11"/>
      <c r="C550" s="1"/>
      <c r="D550" s="13"/>
      <c r="E550" s="13"/>
      <c r="F550" s="2"/>
      <c r="G550" s="1"/>
      <c r="H550" s="50"/>
      <c r="I550" s="51"/>
      <c r="J550" s="51"/>
      <c r="K550" s="51"/>
      <c r="L550" s="51"/>
      <c r="M550" s="51"/>
      <c r="N550" s="51"/>
      <c r="O550" s="51"/>
      <c r="P550" s="51"/>
      <c r="Q550" s="51"/>
      <c r="R550" s="2"/>
      <c r="S550" s="51"/>
      <c r="T550" s="51"/>
      <c r="U550" s="50"/>
      <c r="V550" s="51"/>
      <c r="W550" s="51"/>
      <c r="X550" s="50"/>
      <c r="Y550" s="50"/>
      <c r="Z550" s="50"/>
      <c r="AA550" s="257"/>
      <c r="AB550" s="50"/>
      <c r="AC550" s="50"/>
      <c r="AD550" s="51"/>
      <c r="AE550" s="51"/>
      <c r="AF550" s="51"/>
      <c r="AG550" s="2"/>
    </row>
    <row r="551" spans="1:33" s="37" customFormat="1" ht="12.75" x14ac:dyDescent="0.2">
      <c r="A551" s="13">
        <f t="shared" si="13"/>
        <v>46</v>
      </c>
      <c r="B551" s="11"/>
      <c r="C551" s="1"/>
      <c r="D551" s="13"/>
      <c r="E551" s="13"/>
      <c r="F551" s="18"/>
      <c r="G551" s="1"/>
      <c r="H551" s="60"/>
      <c r="I551" s="13"/>
      <c r="J551" s="5"/>
      <c r="K551" s="5"/>
      <c r="L551" s="4"/>
      <c r="M551" s="4"/>
      <c r="N551" s="145"/>
      <c r="O551" s="146"/>
      <c r="P551" s="146"/>
      <c r="Q551" s="146"/>
      <c r="R551" s="145"/>
      <c r="S551" s="147"/>
      <c r="T551" s="6"/>
      <c r="U551" s="17"/>
      <c r="V551" s="3"/>
      <c r="W551" s="4"/>
      <c r="X551" s="13"/>
      <c r="Y551" s="48"/>
      <c r="Z551" s="48"/>
      <c r="AA551" s="20"/>
      <c r="AB551" s="48"/>
      <c r="AC551" s="48"/>
      <c r="AD551" s="7"/>
      <c r="AE551" s="2"/>
      <c r="AF551" s="2"/>
      <c r="AG551" s="2"/>
    </row>
    <row r="552" spans="1:33" s="37" customFormat="1" ht="12.75" x14ac:dyDescent="0.2">
      <c r="A552" s="13">
        <f t="shared" si="13"/>
        <v>46</v>
      </c>
      <c r="B552" s="11"/>
      <c r="C552" s="21"/>
      <c r="D552" s="13"/>
      <c r="E552" s="13"/>
      <c r="F552" s="18"/>
      <c r="G552" s="1"/>
      <c r="H552" s="60"/>
      <c r="I552" s="13"/>
      <c r="J552" s="5"/>
      <c r="K552" s="5"/>
      <c r="L552" s="4"/>
      <c r="M552" s="4"/>
      <c r="N552" s="145"/>
      <c r="O552" s="146"/>
      <c r="P552" s="146"/>
      <c r="Q552" s="146"/>
      <c r="R552" s="145"/>
      <c r="S552" s="147"/>
      <c r="T552" s="6"/>
      <c r="U552" s="17"/>
      <c r="V552" s="3"/>
      <c r="W552" s="4"/>
      <c r="X552" s="13"/>
      <c r="Y552" s="48"/>
      <c r="Z552" s="48"/>
      <c r="AA552" s="20"/>
      <c r="AB552" s="48"/>
      <c r="AC552" s="48"/>
      <c r="AD552" s="7"/>
      <c r="AE552" s="2"/>
      <c r="AF552" s="2"/>
      <c r="AG552" s="2"/>
    </row>
    <row r="553" spans="1:33" s="37" customFormat="1" ht="32.25" customHeight="1" x14ac:dyDescent="0.2">
      <c r="A553" s="13">
        <f t="shared" si="13"/>
        <v>47</v>
      </c>
      <c r="B553" s="11">
        <v>47</v>
      </c>
      <c r="C553" s="21" t="s">
        <v>290</v>
      </c>
      <c r="D553" s="13">
        <v>4</v>
      </c>
      <c r="E553" s="13">
        <v>86</v>
      </c>
      <c r="F553" s="18">
        <v>132</v>
      </c>
      <c r="G553" s="1" t="s">
        <v>551</v>
      </c>
      <c r="H553" s="60">
        <v>25.6</v>
      </c>
      <c r="I553" s="13"/>
      <c r="J553" s="5"/>
      <c r="K553" s="5"/>
      <c r="L553" s="4"/>
      <c r="M553" s="4"/>
      <c r="N553" s="145"/>
      <c r="O553" s="146"/>
      <c r="P553" s="146"/>
      <c r="Q553" s="146"/>
      <c r="R553" s="145"/>
      <c r="S553" s="147"/>
      <c r="T553" s="6"/>
      <c r="U553" s="17"/>
      <c r="V553" s="3"/>
      <c r="W553" s="4"/>
      <c r="X553" s="13"/>
      <c r="Y553" s="48"/>
      <c r="Z553" s="48"/>
      <c r="AA553" s="20"/>
      <c r="AB553" s="48"/>
      <c r="AC553" s="48"/>
      <c r="AD553" s="7"/>
      <c r="AE553" s="1" t="s">
        <v>1704</v>
      </c>
      <c r="AF553" s="1"/>
      <c r="AG553" s="1"/>
    </row>
    <row r="554" spans="1:33" s="37" customFormat="1" ht="31.5" customHeight="1" x14ac:dyDescent="0.2">
      <c r="A554" s="13">
        <f t="shared" si="13"/>
        <v>47</v>
      </c>
      <c r="B554" s="11"/>
      <c r="C554" s="1" t="s">
        <v>291</v>
      </c>
      <c r="D554" s="13"/>
      <c r="E554" s="13"/>
      <c r="F554" s="18"/>
      <c r="G554" s="1" t="s">
        <v>552</v>
      </c>
      <c r="H554" s="60">
        <v>6</v>
      </c>
      <c r="I554" s="13"/>
      <c r="J554" s="5"/>
      <c r="K554" s="5"/>
      <c r="L554" s="4"/>
      <c r="M554" s="4"/>
      <c r="N554" s="145"/>
      <c r="O554" s="146"/>
      <c r="P554" s="146"/>
      <c r="Q554" s="146"/>
      <c r="R554" s="145"/>
      <c r="S554" s="147"/>
      <c r="T554" s="6"/>
      <c r="U554" s="17"/>
      <c r="V554" s="3"/>
      <c r="W554" s="4"/>
      <c r="X554" s="13"/>
      <c r="Y554" s="48"/>
      <c r="Z554" s="48"/>
      <c r="AA554" s="20"/>
      <c r="AB554" s="48"/>
      <c r="AC554" s="48"/>
      <c r="AD554" s="7"/>
      <c r="AE554" s="1" t="s">
        <v>553</v>
      </c>
      <c r="AF554" s="1"/>
      <c r="AG554" s="1"/>
    </row>
    <row r="555" spans="1:33" s="37" customFormat="1" ht="25.5" x14ac:dyDescent="0.2">
      <c r="A555" s="13">
        <f t="shared" si="13"/>
        <v>47</v>
      </c>
      <c r="B555" s="11"/>
      <c r="C555" s="1" t="s">
        <v>694</v>
      </c>
      <c r="D555" s="13"/>
      <c r="E555" s="13"/>
      <c r="F555" s="18"/>
      <c r="G555" s="1"/>
      <c r="H555" s="60"/>
      <c r="I555" s="13"/>
      <c r="J555" s="5"/>
      <c r="K555" s="5"/>
      <c r="L555" s="4"/>
      <c r="M555" s="4"/>
      <c r="N555" s="145"/>
      <c r="O555" s="146"/>
      <c r="P555" s="146"/>
      <c r="Q555" s="146"/>
      <c r="R555" s="145"/>
      <c r="S555" s="147"/>
      <c r="T555" s="6"/>
      <c r="U555" s="17"/>
      <c r="V555" s="3"/>
      <c r="W555" s="4"/>
      <c r="X555" s="13"/>
      <c r="Y555" s="48"/>
      <c r="Z555" s="48"/>
      <c r="AA555" s="20"/>
      <c r="AB555" s="48"/>
      <c r="AC555" s="48"/>
      <c r="AD555" s="7"/>
      <c r="AE555" s="2" t="s">
        <v>1733</v>
      </c>
      <c r="AF555" s="2"/>
      <c r="AG555" s="2"/>
    </row>
    <row r="556" spans="1:33" s="37" customFormat="1" ht="63.75" x14ac:dyDescent="0.2">
      <c r="A556" s="13">
        <f t="shared" si="13"/>
        <v>47</v>
      </c>
      <c r="B556" s="11"/>
      <c r="C556" s="1" t="s">
        <v>315</v>
      </c>
      <c r="D556" s="13"/>
      <c r="E556" s="13"/>
      <c r="F556" s="2"/>
      <c r="G556" s="1"/>
      <c r="H556" s="50"/>
      <c r="I556" s="51"/>
      <c r="J556" s="51"/>
      <c r="K556" s="51"/>
      <c r="L556" s="51"/>
      <c r="M556" s="51"/>
      <c r="N556" s="51"/>
      <c r="O556" s="51"/>
      <c r="P556" s="51"/>
      <c r="Q556" s="51"/>
      <c r="R556" s="2"/>
      <c r="S556" s="51"/>
      <c r="T556" s="51"/>
      <c r="U556" s="50"/>
      <c r="V556" s="51"/>
      <c r="W556" s="51"/>
      <c r="X556" s="50"/>
      <c r="Y556" s="50"/>
      <c r="Z556" s="50"/>
      <c r="AA556" s="257"/>
      <c r="AB556" s="50"/>
      <c r="AC556" s="50"/>
      <c r="AD556" s="51"/>
      <c r="AE556" s="1" t="s">
        <v>1705</v>
      </c>
      <c r="AF556" s="1"/>
      <c r="AG556" s="1"/>
    </row>
    <row r="557" spans="1:33" s="37" customFormat="1" ht="12.75" x14ac:dyDescent="0.2">
      <c r="A557" s="13">
        <f t="shared" si="13"/>
        <v>47</v>
      </c>
      <c r="B557" s="11"/>
      <c r="C557" s="1"/>
      <c r="D557" s="13"/>
      <c r="E557" s="13"/>
      <c r="F557" s="18"/>
      <c r="G557" s="1"/>
      <c r="H557" s="60"/>
      <c r="I557" s="13"/>
      <c r="J557" s="5"/>
      <c r="K557" s="5"/>
      <c r="L557" s="4"/>
      <c r="M557" s="4"/>
      <c r="N557" s="145"/>
      <c r="O557" s="146"/>
      <c r="P557" s="146"/>
      <c r="Q557" s="146"/>
      <c r="R557" s="145"/>
      <c r="S557" s="147"/>
      <c r="T557" s="6"/>
      <c r="U557" s="17"/>
      <c r="V557" s="3"/>
      <c r="W557" s="4"/>
      <c r="X557" s="13"/>
      <c r="Y557" s="48"/>
      <c r="Z557" s="48"/>
      <c r="AA557" s="20"/>
      <c r="AB557" s="48"/>
      <c r="AC557" s="48"/>
      <c r="AD557" s="7"/>
      <c r="AE557" s="2"/>
      <c r="AF557" s="2"/>
      <c r="AG557" s="2"/>
    </row>
    <row r="558" spans="1:33" s="37" customFormat="1" ht="12.75" x14ac:dyDescent="0.2">
      <c r="A558" s="13">
        <f t="shared" si="13"/>
        <v>47</v>
      </c>
      <c r="B558" s="11"/>
      <c r="C558" s="1"/>
      <c r="D558" s="13"/>
      <c r="E558" s="13"/>
      <c r="F558" s="18"/>
      <c r="G558" s="1"/>
      <c r="H558" s="60"/>
      <c r="I558" s="13"/>
      <c r="J558" s="5"/>
      <c r="K558" s="5"/>
      <c r="L558" s="4"/>
      <c r="M558" s="4"/>
      <c r="N558" s="145"/>
      <c r="O558" s="146"/>
      <c r="P558" s="146"/>
      <c r="Q558" s="146"/>
      <c r="R558" s="162"/>
      <c r="S558" s="147"/>
      <c r="T558" s="6"/>
      <c r="U558" s="17"/>
      <c r="V558" s="3"/>
      <c r="W558" s="4"/>
      <c r="X558" s="13"/>
      <c r="Y558" s="48"/>
      <c r="Z558" s="48"/>
      <c r="AA558" s="20"/>
      <c r="AB558" s="48"/>
      <c r="AC558" s="48"/>
      <c r="AD558" s="7"/>
      <c r="AE558" s="2"/>
      <c r="AF558" s="2"/>
      <c r="AG558" s="2"/>
    </row>
    <row r="559" spans="1:33" s="37" customFormat="1" ht="12.75" x14ac:dyDescent="0.2">
      <c r="A559" s="13">
        <f t="shared" si="13"/>
        <v>47</v>
      </c>
      <c r="B559" s="11"/>
      <c r="C559" s="1"/>
      <c r="D559" s="13"/>
      <c r="E559" s="13"/>
      <c r="F559" s="18"/>
      <c r="G559" s="1"/>
      <c r="H559" s="60"/>
      <c r="I559" s="13"/>
      <c r="J559" s="5"/>
      <c r="K559" s="5"/>
      <c r="L559" s="4"/>
      <c r="M559" s="4"/>
      <c r="N559" s="145"/>
      <c r="O559" s="146"/>
      <c r="P559" s="146"/>
      <c r="Q559" s="146"/>
      <c r="R559" s="145"/>
      <c r="S559" s="147"/>
      <c r="T559" s="6"/>
      <c r="U559" s="17"/>
      <c r="V559" s="3"/>
      <c r="W559" s="4"/>
      <c r="X559" s="13"/>
      <c r="Y559" s="48"/>
      <c r="Z559" s="48"/>
      <c r="AA559" s="20"/>
      <c r="AB559" s="48"/>
      <c r="AC559" s="48"/>
      <c r="AD559" s="7"/>
      <c r="AE559" s="2"/>
      <c r="AF559" s="2"/>
      <c r="AG559" s="2"/>
    </row>
    <row r="560" spans="1:33" s="37" customFormat="1" ht="35.25" customHeight="1" x14ac:dyDescent="0.2">
      <c r="A560" s="13">
        <f t="shared" si="13"/>
        <v>48</v>
      </c>
      <c r="B560" s="11">
        <v>48</v>
      </c>
      <c r="C560" s="21" t="s">
        <v>290</v>
      </c>
      <c r="D560" s="13"/>
      <c r="E560" s="13">
        <v>86</v>
      </c>
      <c r="F560" s="18">
        <v>131</v>
      </c>
      <c r="G560" s="1" t="s">
        <v>554</v>
      </c>
      <c r="H560" s="60">
        <v>30.1</v>
      </c>
      <c r="I560" s="13"/>
      <c r="J560" s="5"/>
      <c r="K560" s="5"/>
      <c r="L560" s="4"/>
      <c r="M560" s="4"/>
      <c r="N560" s="145" t="s">
        <v>462</v>
      </c>
      <c r="O560" s="146">
        <v>5</v>
      </c>
      <c r="P560" s="146"/>
      <c r="Q560" s="146"/>
      <c r="R560" s="162"/>
      <c r="S560" s="147"/>
      <c r="T560" s="6"/>
      <c r="U560" s="17"/>
      <c r="V560" s="3"/>
      <c r="W560" s="4"/>
      <c r="X560" s="13"/>
      <c r="Y560" s="48"/>
      <c r="Z560" s="48"/>
      <c r="AA560" s="20"/>
      <c r="AB560" s="48"/>
      <c r="AC560" s="48"/>
      <c r="AD560" s="7"/>
      <c r="AE560" s="1" t="s">
        <v>1706</v>
      </c>
      <c r="AF560" s="1"/>
      <c r="AG560" s="1"/>
    </row>
    <row r="561" spans="1:33" s="37" customFormat="1" ht="33.75" customHeight="1" x14ac:dyDescent="0.2">
      <c r="A561" s="13">
        <f t="shared" si="13"/>
        <v>48</v>
      </c>
      <c r="B561" s="11"/>
      <c r="C561" s="1" t="s">
        <v>291</v>
      </c>
      <c r="D561" s="13"/>
      <c r="E561" s="13">
        <v>86</v>
      </c>
      <c r="F561" s="18">
        <v>131</v>
      </c>
      <c r="G561" s="1" t="s">
        <v>722</v>
      </c>
      <c r="H561" s="60">
        <v>1.2</v>
      </c>
      <c r="I561" s="13"/>
      <c r="J561" s="5"/>
      <c r="K561" s="5"/>
      <c r="L561" s="4"/>
      <c r="M561" s="4"/>
      <c r="N561" s="145"/>
      <c r="O561" s="146"/>
      <c r="P561" s="146"/>
      <c r="Q561" s="146"/>
      <c r="R561" s="145"/>
      <c r="S561" s="147"/>
      <c r="T561" s="6"/>
      <c r="U561" s="17"/>
      <c r="V561" s="3"/>
      <c r="W561" s="4"/>
      <c r="X561" s="13"/>
      <c r="Y561" s="48"/>
      <c r="Z561" s="48"/>
      <c r="AA561" s="20"/>
      <c r="AB561" s="48"/>
      <c r="AC561" s="48"/>
      <c r="AD561" s="7"/>
      <c r="AE561" s="1" t="s">
        <v>555</v>
      </c>
      <c r="AF561" s="1"/>
      <c r="AG561" s="1"/>
    </row>
    <row r="562" spans="1:33" s="37" customFormat="1" ht="28.5" customHeight="1" x14ac:dyDescent="0.2">
      <c r="A562" s="13">
        <f t="shared" si="13"/>
        <v>48</v>
      </c>
      <c r="B562" s="11"/>
      <c r="C562" s="1" t="s">
        <v>694</v>
      </c>
      <c r="D562" s="13"/>
      <c r="E562" s="13"/>
      <c r="F562" s="18"/>
      <c r="G562" s="1"/>
      <c r="H562" s="60"/>
      <c r="I562" s="13"/>
      <c r="J562" s="5"/>
      <c r="K562" s="5"/>
      <c r="L562" s="4"/>
      <c r="M562" s="4"/>
      <c r="N562" s="145"/>
      <c r="O562" s="146"/>
      <c r="P562" s="146"/>
      <c r="Q562" s="146"/>
      <c r="R562" s="145"/>
      <c r="S562" s="147"/>
      <c r="T562" s="6"/>
      <c r="U562" s="17"/>
      <c r="V562" s="3"/>
      <c r="W562" s="4"/>
      <c r="X562" s="13"/>
      <c r="Y562" s="48"/>
      <c r="Z562" s="48"/>
      <c r="AA562" s="20"/>
      <c r="AB562" s="48"/>
      <c r="AC562" s="48"/>
      <c r="AD562" s="7"/>
      <c r="AE562" s="1" t="s">
        <v>556</v>
      </c>
      <c r="AF562" s="1"/>
      <c r="AG562" s="1"/>
    </row>
    <row r="563" spans="1:33" s="37" customFormat="1" ht="24" customHeight="1" x14ac:dyDescent="0.2">
      <c r="A563" s="13">
        <f t="shared" si="13"/>
        <v>48</v>
      </c>
      <c r="B563" s="11"/>
      <c r="C563" s="1" t="s">
        <v>315</v>
      </c>
      <c r="D563" s="13"/>
      <c r="E563" s="13"/>
      <c r="F563" s="18"/>
      <c r="G563" s="1"/>
      <c r="H563" s="60"/>
      <c r="I563" s="13"/>
      <c r="J563" s="5"/>
      <c r="K563" s="5"/>
      <c r="L563" s="4"/>
      <c r="M563" s="4"/>
      <c r="N563" s="145"/>
      <c r="O563" s="146"/>
      <c r="P563" s="146"/>
      <c r="Q563" s="146"/>
      <c r="R563" s="145"/>
      <c r="S563" s="147"/>
      <c r="T563" s="6"/>
      <c r="U563" s="17"/>
      <c r="V563" s="3"/>
      <c r="W563" s="4"/>
      <c r="X563" s="13"/>
      <c r="Y563" s="48"/>
      <c r="Z563" s="48"/>
      <c r="AA563" s="20"/>
      <c r="AB563" s="48"/>
      <c r="AC563" s="48"/>
      <c r="AD563" s="7"/>
      <c r="AE563" s="1" t="s">
        <v>1681</v>
      </c>
      <c r="AF563" s="1"/>
      <c r="AG563" s="1"/>
    </row>
    <row r="564" spans="1:33" s="37" customFormat="1" ht="12.75" x14ac:dyDescent="0.2">
      <c r="A564" s="13">
        <f t="shared" si="13"/>
        <v>48</v>
      </c>
      <c r="B564" s="11"/>
      <c r="C564" s="1"/>
      <c r="D564" s="13"/>
      <c r="E564" s="13"/>
      <c r="F564" s="2"/>
      <c r="G564" s="1"/>
      <c r="H564" s="50"/>
      <c r="I564" s="51"/>
      <c r="J564" s="51"/>
      <c r="K564" s="51"/>
      <c r="L564" s="51"/>
      <c r="M564" s="51"/>
      <c r="N564" s="51"/>
      <c r="O564" s="51"/>
      <c r="P564" s="51"/>
      <c r="Q564" s="51"/>
      <c r="R564" s="2"/>
      <c r="S564" s="51"/>
      <c r="T564" s="51"/>
      <c r="U564" s="50"/>
      <c r="V564" s="51"/>
      <c r="W564" s="51"/>
      <c r="X564" s="50"/>
      <c r="Y564" s="50"/>
      <c r="Z564" s="50"/>
      <c r="AA564" s="257"/>
      <c r="AB564" s="50"/>
      <c r="AC564" s="50"/>
      <c r="AD564" s="51"/>
      <c r="AE564" s="51"/>
      <c r="AF564" s="51"/>
      <c r="AG564" s="2"/>
    </row>
    <row r="565" spans="1:33" s="37" customFormat="1" ht="12.75" x14ac:dyDescent="0.2">
      <c r="A565" s="13">
        <f t="shared" si="13"/>
        <v>48</v>
      </c>
      <c r="B565" s="11"/>
      <c r="C565" s="1"/>
      <c r="D565" s="13"/>
      <c r="E565" s="13"/>
      <c r="F565" s="2"/>
      <c r="G565" s="1"/>
      <c r="H565" s="50"/>
      <c r="I565" s="51"/>
      <c r="J565" s="51"/>
      <c r="K565" s="51"/>
      <c r="L565" s="51"/>
      <c r="M565" s="51"/>
      <c r="N565" s="51"/>
      <c r="O565" s="51"/>
      <c r="P565" s="51"/>
      <c r="Q565" s="51"/>
      <c r="R565" s="2"/>
      <c r="S565" s="51"/>
      <c r="T565" s="51"/>
      <c r="U565" s="50"/>
      <c r="V565" s="51"/>
      <c r="W565" s="51"/>
      <c r="X565" s="50"/>
      <c r="Y565" s="50"/>
      <c r="Z565" s="50"/>
      <c r="AA565" s="257"/>
      <c r="AB565" s="50"/>
      <c r="AC565" s="50"/>
      <c r="AD565" s="51"/>
      <c r="AE565" s="51"/>
      <c r="AF565" s="51"/>
      <c r="AG565" s="2"/>
    </row>
    <row r="566" spans="1:33" s="37" customFormat="1" ht="12.75" x14ac:dyDescent="0.2">
      <c r="A566" s="13">
        <f t="shared" si="13"/>
        <v>48</v>
      </c>
      <c r="B566" s="11"/>
      <c r="C566" s="1"/>
      <c r="D566" s="13"/>
      <c r="E566" s="13"/>
      <c r="F566" s="18"/>
      <c r="G566" s="1"/>
      <c r="H566" s="60"/>
      <c r="I566" s="13"/>
      <c r="J566" s="5"/>
      <c r="K566" s="5"/>
      <c r="L566" s="4"/>
      <c r="M566" s="4"/>
      <c r="N566" s="145"/>
      <c r="O566" s="146"/>
      <c r="P566" s="146"/>
      <c r="Q566" s="146"/>
      <c r="R566" s="162"/>
      <c r="S566" s="147"/>
      <c r="T566" s="6"/>
      <c r="U566" s="17"/>
      <c r="V566" s="3"/>
      <c r="W566" s="4"/>
      <c r="X566" s="13"/>
      <c r="Y566" s="48"/>
      <c r="Z566" s="48"/>
      <c r="AA566" s="20"/>
      <c r="AB566" s="48"/>
      <c r="AC566" s="48"/>
      <c r="AD566" s="7"/>
      <c r="AE566" s="2"/>
      <c r="AF566" s="2"/>
      <c r="AG566" s="2"/>
    </row>
    <row r="567" spans="1:33" s="37" customFormat="1" ht="38.25" customHeight="1" x14ac:dyDescent="0.2">
      <c r="A567" s="13">
        <f t="shared" si="13"/>
        <v>49</v>
      </c>
      <c r="B567" s="11">
        <v>49</v>
      </c>
      <c r="C567" s="154" t="s">
        <v>229</v>
      </c>
      <c r="D567" s="13">
        <v>5</v>
      </c>
      <c r="E567" s="13">
        <v>85</v>
      </c>
      <c r="F567" s="18" t="s">
        <v>231</v>
      </c>
      <c r="G567" s="1" t="s">
        <v>416</v>
      </c>
      <c r="H567" s="60">
        <v>10.9</v>
      </c>
      <c r="I567" s="13"/>
      <c r="J567" s="5"/>
      <c r="K567" s="5"/>
      <c r="L567" s="4"/>
      <c r="M567" s="4"/>
      <c r="N567" s="1" t="s">
        <v>351</v>
      </c>
      <c r="O567" s="5">
        <v>1</v>
      </c>
      <c r="P567" s="3"/>
      <c r="Q567" s="4"/>
      <c r="R567" s="47" t="s">
        <v>374</v>
      </c>
      <c r="S567" s="13" t="s">
        <v>53</v>
      </c>
      <c r="T567" s="6">
        <v>108.7</v>
      </c>
      <c r="U567" s="17">
        <v>285</v>
      </c>
      <c r="V567" s="3"/>
      <c r="W567" s="4"/>
      <c r="X567" s="13"/>
      <c r="Y567" s="48"/>
      <c r="Z567" s="48"/>
      <c r="AA567" s="20"/>
      <c r="AB567" s="48"/>
      <c r="AC567" s="48"/>
      <c r="AD567" s="7"/>
      <c r="AE567" s="1" t="s">
        <v>695</v>
      </c>
      <c r="AF567" s="1"/>
      <c r="AG567" s="1"/>
    </row>
    <row r="568" spans="1:33" s="37" customFormat="1" ht="47.25" customHeight="1" x14ac:dyDescent="0.2">
      <c r="A568" s="13">
        <f t="shared" si="13"/>
        <v>49</v>
      </c>
      <c r="B568" s="11"/>
      <c r="C568" s="138" t="s">
        <v>230</v>
      </c>
      <c r="D568" s="13"/>
      <c r="E568" s="13">
        <v>85</v>
      </c>
      <c r="F568" s="18" t="s">
        <v>231</v>
      </c>
      <c r="G568" s="1" t="s">
        <v>551</v>
      </c>
      <c r="H568" s="60">
        <v>304.3</v>
      </c>
      <c r="I568" s="13"/>
      <c r="J568" s="5"/>
      <c r="K568" s="5"/>
      <c r="L568" s="4"/>
      <c r="M568" s="4"/>
      <c r="N568" s="1" t="s">
        <v>752</v>
      </c>
      <c r="O568" s="5">
        <v>1</v>
      </c>
      <c r="P568" s="3"/>
      <c r="Q568" s="4"/>
      <c r="R568" s="47" t="s">
        <v>359</v>
      </c>
      <c r="S568" s="13" t="s">
        <v>53</v>
      </c>
      <c r="T568" s="6">
        <v>21.28</v>
      </c>
      <c r="U568" s="17">
        <v>24.64</v>
      </c>
      <c r="V568" s="3"/>
      <c r="W568" s="4"/>
      <c r="X568" s="13"/>
      <c r="Y568" s="48" t="s">
        <v>55</v>
      </c>
      <c r="Z568" s="48" t="s">
        <v>141</v>
      </c>
      <c r="AA568" s="20"/>
      <c r="AB568" s="48" t="s">
        <v>66</v>
      </c>
      <c r="AC568" s="48"/>
      <c r="AD568" s="7"/>
      <c r="AE568" s="1" t="s">
        <v>557</v>
      </c>
      <c r="AF568" s="1"/>
      <c r="AG568" s="1"/>
    </row>
    <row r="569" spans="1:33" s="37" customFormat="1" ht="34.5" customHeight="1" x14ac:dyDescent="0.2">
      <c r="A569" s="13">
        <f t="shared" si="13"/>
        <v>49</v>
      </c>
      <c r="B569" s="11"/>
      <c r="C569" s="21" t="s">
        <v>232</v>
      </c>
      <c r="D569" s="13"/>
      <c r="E569" s="13"/>
      <c r="F569" s="18"/>
      <c r="G569" s="1" t="s">
        <v>558</v>
      </c>
      <c r="H569" s="60">
        <v>43.6</v>
      </c>
      <c r="I569" s="13"/>
      <c r="J569" s="5"/>
      <c r="K569" s="5"/>
      <c r="L569" s="4"/>
      <c r="M569" s="4"/>
      <c r="N569" s="1" t="s">
        <v>753</v>
      </c>
      <c r="O569" s="5">
        <v>1</v>
      </c>
      <c r="P569" s="3"/>
      <c r="Q569" s="4"/>
      <c r="R569" s="47" t="s">
        <v>136</v>
      </c>
      <c r="S569" s="13" t="s">
        <v>53</v>
      </c>
      <c r="T569" s="6">
        <v>10.199999999999999</v>
      </c>
      <c r="U569" s="17">
        <v>217.69</v>
      </c>
      <c r="V569" s="3"/>
      <c r="W569" s="4"/>
      <c r="X569" s="13"/>
      <c r="Y569" s="48" t="s">
        <v>55</v>
      </c>
      <c r="Z569" s="48" t="s">
        <v>56</v>
      </c>
      <c r="AA569" s="20" t="s">
        <v>186</v>
      </c>
      <c r="AB569" s="48" t="s">
        <v>66</v>
      </c>
      <c r="AC569" s="48"/>
      <c r="AD569" s="7"/>
      <c r="AE569" s="2" t="s">
        <v>169</v>
      </c>
      <c r="AF569" s="2"/>
      <c r="AG569" s="2"/>
    </row>
    <row r="570" spans="1:33" s="37" customFormat="1" ht="34.5" customHeight="1" x14ac:dyDescent="0.2">
      <c r="A570" s="13">
        <f t="shared" si="13"/>
        <v>49</v>
      </c>
      <c r="B570" s="11"/>
      <c r="C570" s="153" t="s">
        <v>233</v>
      </c>
      <c r="D570" s="13"/>
      <c r="E570" s="13"/>
      <c r="F570" s="18"/>
      <c r="G570" s="1" t="s">
        <v>723</v>
      </c>
      <c r="H570" s="60">
        <v>13.9</v>
      </c>
      <c r="I570" s="13"/>
      <c r="J570" s="5"/>
      <c r="K570" s="5"/>
      <c r="L570" s="4"/>
      <c r="M570" s="4"/>
      <c r="N570" s="140" t="s">
        <v>746</v>
      </c>
      <c r="O570" s="5">
        <v>14</v>
      </c>
      <c r="P570" s="141"/>
      <c r="Q570" s="141"/>
      <c r="R570" s="140" t="s">
        <v>71</v>
      </c>
      <c r="S570" s="155" t="s">
        <v>53</v>
      </c>
      <c r="T570" s="6">
        <v>10.199999999999999</v>
      </c>
      <c r="U570" s="17">
        <v>217.69</v>
      </c>
      <c r="V570" s="3"/>
      <c r="W570" s="4"/>
      <c r="X570" s="13"/>
      <c r="Y570" s="48"/>
      <c r="Z570" s="48"/>
      <c r="AA570" s="20"/>
      <c r="AB570" s="48"/>
      <c r="AC570" s="48"/>
      <c r="AD570" s="7"/>
      <c r="AE570" s="2" t="s">
        <v>1723</v>
      </c>
      <c r="AF570" s="2"/>
      <c r="AG570" s="2"/>
    </row>
    <row r="571" spans="1:33" s="37" customFormat="1" ht="38.25" x14ac:dyDescent="0.2">
      <c r="A571" s="13">
        <f t="shared" si="13"/>
        <v>49</v>
      </c>
      <c r="B571" s="11"/>
      <c r="C571" s="153" t="s">
        <v>696</v>
      </c>
      <c r="D571" s="13"/>
      <c r="E571" s="13"/>
      <c r="F571" s="18"/>
      <c r="G571" s="1"/>
      <c r="H571" s="60"/>
      <c r="I571" s="13"/>
      <c r="J571" s="5"/>
      <c r="K571" s="5"/>
      <c r="L571" s="4"/>
      <c r="M571" s="4"/>
      <c r="N571" s="1" t="s">
        <v>61</v>
      </c>
      <c r="O571" s="5">
        <v>1</v>
      </c>
      <c r="P571" s="3"/>
      <c r="Q571" s="4"/>
      <c r="R571" s="47" t="s">
        <v>52</v>
      </c>
      <c r="S571" s="13" t="s">
        <v>53</v>
      </c>
      <c r="T571" s="6">
        <v>13.8</v>
      </c>
      <c r="U571" s="17"/>
      <c r="V571" s="3"/>
      <c r="W571" s="4"/>
      <c r="X571" s="13" t="s">
        <v>63</v>
      </c>
      <c r="Y571" s="48" t="s">
        <v>55</v>
      </c>
      <c r="Z571" s="48" t="s">
        <v>56</v>
      </c>
      <c r="AA571" s="20" t="s">
        <v>57</v>
      </c>
      <c r="AB571" s="48" t="s">
        <v>54</v>
      </c>
      <c r="AC571" s="48"/>
      <c r="AD571" s="7"/>
      <c r="AE571" s="12" t="s">
        <v>111</v>
      </c>
      <c r="AF571" s="12"/>
      <c r="AG571" s="12"/>
    </row>
    <row r="572" spans="1:33" s="37" customFormat="1" ht="39.75" customHeight="1" x14ac:dyDescent="0.2">
      <c r="A572" s="13">
        <f t="shared" si="13"/>
        <v>49</v>
      </c>
      <c r="B572" s="11"/>
      <c r="C572" s="144"/>
      <c r="D572" s="13"/>
      <c r="E572" s="13"/>
      <c r="F572" s="18"/>
      <c r="G572" s="1"/>
      <c r="H572" s="60"/>
      <c r="I572" s="13"/>
      <c r="J572" s="5"/>
      <c r="K572" s="5"/>
      <c r="L572" s="4"/>
      <c r="M572" s="4"/>
      <c r="N572" s="2"/>
      <c r="O572" s="2"/>
      <c r="P572" s="3"/>
      <c r="Q572" s="4"/>
      <c r="R572" s="47" t="s">
        <v>52</v>
      </c>
      <c r="S572" s="13" t="s">
        <v>53</v>
      </c>
      <c r="T572" s="6">
        <v>11.46</v>
      </c>
      <c r="U572" s="17"/>
      <c r="V572" s="3"/>
      <c r="W572" s="4"/>
      <c r="X572" s="13" t="s">
        <v>63</v>
      </c>
      <c r="Y572" s="48" t="s">
        <v>55</v>
      </c>
      <c r="Z572" s="48" t="s">
        <v>56</v>
      </c>
      <c r="AA572" s="20" t="s">
        <v>57</v>
      </c>
      <c r="AB572" s="48" t="s">
        <v>54</v>
      </c>
      <c r="AC572" s="48"/>
      <c r="AD572" s="7"/>
      <c r="AE572" s="21" t="s">
        <v>559</v>
      </c>
      <c r="AF572" s="21"/>
      <c r="AG572" s="21"/>
    </row>
    <row r="573" spans="1:33" s="37" customFormat="1" ht="80.25" customHeight="1" x14ac:dyDescent="0.2">
      <c r="A573" s="13">
        <f t="shared" si="13"/>
        <v>49</v>
      </c>
      <c r="B573" s="11"/>
      <c r="C573" s="144"/>
      <c r="D573" s="13"/>
      <c r="E573" s="13"/>
      <c r="F573" s="18"/>
      <c r="G573" s="1"/>
      <c r="H573" s="60"/>
      <c r="I573" s="13"/>
      <c r="J573" s="5"/>
      <c r="K573" s="5"/>
      <c r="L573" s="4"/>
      <c r="M573" s="4"/>
      <c r="N573" s="1"/>
      <c r="O573" s="5"/>
      <c r="P573" s="3"/>
      <c r="Q573" s="4"/>
      <c r="R573" s="47" t="s">
        <v>366</v>
      </c>
      <c r="S573" s="13" t="s">
        <v>53</v>
      </c>
      <c r="T573" s="6">
        <v>2.34</v>
      </c>
      <c r="U573" s="17"/>
      <c r="V573" s="3"/>
      <c r="W573" s="4"/>
      <c r="X573" s="13"/>
      <c r="Y573" s="48"/>
      <c r="Z573" s="48" t="s">
        <v>56</v>
      </c>
      <c r="AA573" s="20" t="s">
        <v>57</v>
      </c>
      <c r="AB573" s="48" t="s">
        <v>54</v>
      </c>
      <c r="AC573" s="48"/>
      <c r="AD573" s="7"/>
      <c r="AE573" s="1" t="s">
        <v>560</v>
      </c>
      <c r="AF573" s="1"/>
      <c r="AG573" s="1"/>
    </row>
    <row r="574" spans="1:33" s="37" customFormat="1" ht="21.75" customHeight="1" x14ac:dyDescent="0.2">
      <c r="A574" s="13">
        <f t="shared" si="13"/>
        <v>49</v>
      </c>
      <c r="B574" s="11"/>
      <c r="C574" s="1"/>
      <c r="D574" s="13"/>
      <c r="E574" s="13"/>
      <c r="F574" s="18"/>
      <c r="G574" s="1"/>
      <c r="H574" s="60"/>
      <c r="I574" s="13"/>
      <c r="J574" s="5"/>
      <c r="K574" s="5"/>
      <c r="L574" s="4"/>
      <c r="M574" s="4"/>
      <c r="N574" s="1"/>
      <c r="O574" s="5"/>
      <c r="P574" s="3"/>
      <c r="Q574" s="4"/>
      <c r="R574" s="47" t="s">
        <v>52</v>
      </c>
      <c r="S574" s="13" t="s">
        <v>53</v>
      </c>
      <c r="T574" s="6">
        <v>11.46</v>
      </c>
      <c r="U574" s="17"/>
      <c r="V574" s="3"/>
      <c r="W574" s="4"/>
      <c r="X574" s="13" t="s">
        <v>63</v>
      </c>
      <c r="Y574" s="48" t="s">
        <v>55</v>
      </c>
      <c r="Z574" s="48" t="s">
        <v>56</v>
      </c>
      <c r="AA574" s="20" t="s">
        <v>57</v>
      </c>
      <c r="AB574" s="48" t="s">
        <v>54</v>
      </c>
      <c r="AC574" s="48"/>
      <c r="AD574" s="7"/>
      <c r="AE574" s="2"/>
      <c r="AF574" s="2"/>
      <c r="AG574" s="2"/>
    </row>
    <row r="575" spans="1:33" s="37" customFormat="1" ht="28.5" customHeight="1" x14ac:dyDescent="0.2">
      <c r="A575" s="13">
        <f t="shared" si="13"/>
        <v>49</v>
      </c>
      <c r="B575" s="11"/>
      <c r="C575" s="143"/>
      <c r="D575" s="13"/>
      <c r="E575" s="13"/>
      <c r="F575" s="18"/>
      <c r="G575" s="1"/>
      <c r="H575" s="60"/>
      <c r="I575" s="13"/>
      <c r="J575" s="5"/>
      <c r="K575" s="5"/>
      <c r="L575" s="4"/>
      <c r="M575" s="4"/>
      <c r="N575" s="145"/>
      <c r="O575" s="146"/>
      <c r="P575" s="146"/>
      <c r="Q575" s="146"/>
      <c r="R575" s="145" t="s">
        <v>366</v>
      </c>
      <c r="S575" s="147" t="s">
        <v>53</v>
      </c>
      <c r="T575" s="6">
        <v>2.34</v>
      </c>
      <c r="U575" s="17"/>
      <c r="V575" s="3"/>
      <c r="W575" s="4"/>
      <c r="X575" s="13"/>
      <c r="Y575" s="48"/>
      <c r="Z575" s="48" t="s">
        <v>56</v>
      </c>
      <c r="AA575" s="20" t="s">
        <v>57</v>
      </c>
      <c r="AB575" s="48" t="s">
        <v>54</v>
      </c>
      <c r="AC575" s="48"/>
      <c r="AD575" s="7"/>
      <c r="AE575" s="2"/>
      <c r="AF575" s="2"/>
      <c r="AG575" s="2"/>
    </row>
    <row r="576" spans="1:33" s="37" customFormat="1" ht="18.75" customHeight="1" x14ac:dyDescent="0.2">
      <c r="A576" s="13">
        <f t="shared" si="13"/>
        <v>49</v>
      </c>
      <c r="B576" s="11"/>
      <c r="C576" s="144"/>
      <c r="D576" s="13"/>
      <c r="E576" s="13"/>
      <c r="F576" s="18"/>
      <c r="G576" s="1"/>
      <c r="H576" s="60"/>
      <c r="I576" s="13"/>
      <c r="J576" s="5"/>
      <c r="K576" s="5"/>
      <c r="L576" s="4"/>
      <c r="M576" s="4"/>
      <c r="N576" s="1"/>
      <c r="O576" s="5"/>
      <c r="P576" s="3"/>
      <c r="Q576" s="4"/>
      <c r="R576" s="47" t="s">
        <v>52</v>
      </c>
      <c r="S576" s="13" t="s">
        <v>53</v>
      </c>
      <c r="T576" s="6">
        <v>13.8</v>
      </c>
      <c r="U576" s="17"/>
      <c r="V576" s="3"/>
      <c r="W576" s="4"/>
      <c r="X576" s="13" t="s">
        <v>63</v>
      </c>
      <c r="Y576" s="48" t="s">
        <v>55</v>
      </c>
      <c r="Z576" s="48" t="s">
        <v>56</v>
      </c>
      <c r="AA576" s="20" t="s">
        <v>360</v>
      </c>
      <c r="AB576" s="48" t="s">
        <v>54</v>
      </c>
      <c r="AC576" s="48"/>
      <c r="AD576" s="7"/>
      <c r="AE576" s="2"/>
      <c r="AF576" s="2"/>
      <c r="AG576" s="2"/>
    </row>
    <row r="577" spans="1:33" s="37" customFormat="1" ht="29.25" customHeight="1" x14ac:dyDescent="0.2">
      <c r="A577" s="13">
        <f t="shared" si="13"/>
        <v>49</v>
      </c>
      <c r="B577" s="11"/>
      <c r="C577" s="144"/>
      <c r="D577" s="13"/>
      <c r="E577" s="13"/>
      <c r="F577" s="18"/>
      <c r="G577" s="1"/>
      <c r="H577" s="60"/>
      <c r="I577" s="13"/>
      <c r="J577" s="5"/>
      <c r="K577" s="5"/>
      <c r="L577" s="4"/>
      <c r="M577" s="4"/>
      <c r="N577" s="1"/>
      <c r="O577" s="5"/>
      <c r="P577" s="3"/>
      <c r="Q577" s="4"/>
      <c r="R577" s="47" t="s">
        <v>329</v>
      </c>
      <c r="S577" s="13" t="s">
        <v>53</v>
      </c>
      <c r="T577" s="6">
        <v>4.8099999999999996</v>
      </c>
      <c r="U577" s="17"/>
      <c r="V577" s="3"/>
      <c r="W577" s="4"/>
      <c r="X577" s="13"/>
      <c r="Y577" s="48"/>
      <c r="Z577" s="48" t="s">
        <v>56</v>
      </c>
      <c r="AA577" s="20" t="s">
        <v>57</v>
      </c>
      <c r="AB577" s="48" t="s">
        <v>54</v>
      </c>
      <c r="AC577" s="48"/>
      <c r="AD577" s="7"/>
      <c r="AE577" s="2"/>
      <c r="AF577" s="2"/>
      <c r="AG577" s="2"/>
    </row>
    <row r="578" spans="1:33" s="37" customFormat="1" ht="25.5" x14ac:dyDescent="0.2">
      <c r="A578" s="13">
        <f t="shared" si="13"/>
        <v>49</v>
      </c>
      <c r="B578" s="11"/>
      <c r="C578" s="1"/>
      <c r="D578" s="13"/>
      <c r="E578" s="13"/>
      <c r="F578" s="18"/>
      <c r="G578" s="1"/>
      <c r="H578" s="60"/>
      <c r="I578" s="13"/>
      <c r="J578" s="5"/>
      <c r="K578" s="5"/>
      <c r="L578" s="4"/>
      <c r="M578" s="4"/>
      <c r="N578" s="1"/>
      <c r="O578" s="5"/>
      <c r="P578" s="3"/>
      <c r="Q578" s="4"/>
      <c r="R578" s="47" t="s">
        <v>389</v>
      </c>
      <c r="S578" s="13" t="s">
        <v>53</v>
      </c>
      <c r="T578" s="6">
        <v>68.2</v>
      </c>
      <c r="U578" s="17">
        <v>189.2</v>
      </c>
      <c r="V578" s="3"/>
      <c r="W578" s="4"/>
      <c r="X578" s="13" t="s">
        <v>63</v>
      </c>
      <c r="Y578" s="48" t="s">
        <v>55</v>
      </c>
      <c r="Z578" s="48" t="s">
        <v>56</v>
      </c>
      <c r="AA578" s="20" t="s">
        <v>57</v>
      </c>
      <c r="AB578" s="48" t="s">
        <v>66</v>
      </c>
      <c r="AC578" s="20" t="s">
        <v>430</v>
      </c>
      <c r="AD578" s="7"/>
      <c r="AE578" s="2"/>
      <c r="AF578" s="2"/>
      <c r="AG578" s="2"/>
    </row>
    <row r="579" spans="1:33" s="37" customFormat="1" ht="21" customHeight="1" x14ac:dyDescent="0.2">
      <c r="A579" s="13">
        <f t="shared" si="13"/>
        <v>49</v>
      </c>
      <c r="B579" s="11"/>
      <c r="C579" s="143"/>
      <c r="D579" s="13"/>
      <c r="E579" s="13"/>
      <c r="F579" s="18"/>
      <c r="G579" s="1"/>
      <c r="H579" s="60"/>
      <c r="I579" s="13"/>
      <c r="J579" s="5"/>
      <c r="K579" s="5"/>
      <c r="L579" s="4"/>
      <c r="M579" s="4"/>
      <c r="N579" s="145"/>
      <c r="O579" s="146"/>
      <c r="P579" s="146"/>
      <c r="Q579" s="146"/>
      <c r="R579" s="149" t="s">
        <v>390</v>
      </c>
      <c r="S579" s="147" t="s">
        <v>53</v>
      </c>
      <c r="T579" s="6"/>
      <c r="U579" s="17">
        <v>163.68</v>
      </c>
      <c r="V579" s="3"/>
      <c r="W579" s="4"/>
      <c r="X579" s="13" t="s">
        <v>63</v>
      </c>
      <c r="Y579" s="48" t="s">
        <v>55</v>
      </c>
      <c r="Z579" s="48" t="s">
        <v>141</v>
      </c>
      <c r="AA579" s="20" t="s">
        <v>57</v>
      </c>
      <c r="AB579" s="48" t="s">
        <v>54</v>
      </c>
      <c r="AC579" s="48"/>
      <c r="AD579" s="7"/>
      <c r="AE579" s="2"/>
      <c r="AF579" s="2"/>
      <c r="AG579" s="2"/>
    </row>
    <row r="580" spans="1:33" s="37" customFormat="1" ht="30.75" customHeight="1" x14ac:dyDescent="0.2">
      <c r="A580" s="13">
        <f t="shared" si="13"/>
        <v>49</v>
      </c>
      <c r="B580" s="11"/>
      <c r="C580" s="144"/>
      <c r="D580" s="13"/>
      <c r="E580" s="13"/>
      <c r="F580" s="18"/>
      <c r="G580" s="1"/>
      <c r="H580" s="60"/>
      <c r="I580" s="13"/>
      <c r="J580" s="5"/>
      <c r="K580" s="5"/>
      <c r="L580" s="4"/>
      <c r="M580" s="4"/>
      <c r="N580" s="145"/>
      <c r="O580" s="146"/>
      <c r="P580" s="146"/>
      <c r="Q580" s="146"/>
      <c r="R580" s="145" t="s">
        <v>265</v>
      </c>
      <c r="S580" s="147" t="s">
        <v>53</v>
      </c>
      <c r="T580" s="6">
        <v>7.03</v>
      </c>
      <c r="U580" s="17"/>
      <c r="V580" s="3"/>
      <c r="W580" s="4"/>
      <c r="X580" s="13"/>
      <c r="Y580" s="48"/>
      <c r="Z580" s="48" t="s">
        <v>56</v>
      </c>
      <c r="AA580" s="20" t="s">
        <v>57</v>
      </c>
      <c r="AB580" s="48" t="s">
        <v>54</v>
      </c>
      <c r="AC580" s="48"/>
      <c r="AD580" s="7"/>
      <c r="AE580" s="2"/>
      <c r="AF580" s="2"/>
      <c r="AG580" s="2"/>
    </row>
    <row r="581" spans="1:33" s="37" customFormat="1" ht="21" customHeight="1" x14ac:dyDescent="0.2">
      <c r="A581" s="13">
        <f t="shared" si="13"/>
        <v>49</v>
      </c>
      <c r="B581" s="11"/>
      <c r="C581" s="143"/>
      <c r="D581" s="13"/>
      <c r="E581" s="13"/>
      <c r="F581" s="18"/>
      <c r="G581" s="1"/>
      <c r="H581" s="60"/>
      <c r="I581" s="13"/>
      <c r="J581" s="5"/>
      <c r="K581" s="5"/>
      <c r="L581" s="4"/>
      <c r="M581" s="4"/>
      <c r="N581" s="1"/>
      <c r="O581" s="5"/>
      <c r="P581" s="3"/>
      <c r="Q581" s="4"/>
      <c r="R581" s="84" t="s">
        <v>397</v>
      </c>
      <c r="S581" s="13" t="s">
        <v>53</v>
      </c>
      <c r="T581" s="6">
        <v>72.239999999999995</v>
      </c>
      <c r="U581" s="17"/>
      <c r="V581" s="3"/>
      <c r="W581" s="4"/>
      <c r="X581" s="13"/>
      <c r="Y581" s="48"/>
      <c r="Z581" s="48"/>
      <c r="AA581" s="20"/>
      <c r="AB581" s="48"/>
      <c r="AC581" s="48"/>
      <c r="AD581" s="7"/>
      <c r="AE581" s="2"/>
      <c r="AF581" s="2"/>
      <c r="AG581" s="2"/>
    </row>
    <row r="582" spans="1:33" s="37" customFormat="1" ht="21" customHeight="1" x14ac:dyDescent="0.2">
      <c r="A582" s="13">
        <f t="shared" si="13"/>
        <v>49</v>
      </c>
      <c r="B582" s="11"/>
      <c r="C582" s="143"/>
      <c r="D582" s="13"/>
      <c r="E582" s="13"/>
      <c r="F582" s="18"/>
      <c r="G582" s="1"/>
      <c r="H582" s="60"/>
      <c r="I582" s="13"/>
      <c r="J582" s="5"/>
      <c r="K582" s="5"/>
      <c r="L582" s="4"/>
      <c r="M582" s="4"/>
      <c r="N582" s="1"/>
      <c r="O582" s="5"/>
      <c r="P582" s="3"/>
      <c r="Q582" s="4"/>
      <c r="R582" s="84" t="s">
        <v>397</v>
      </c>
      <c r="S582" s="13" t="s">
        <v>53</v>
      </c>
      <c r="T582" s="6">
        <v>11.5</v>
      </c>
      <c r="U582" s="17"/>
      <c r="V582" s="3"/>
      <c r="W582" s="4"/>
      <c r="X582" s="13"/>
      <c r="Y582" s="48"/>
      <c r="Z582" s="48"/>
      <c r="AA582" s="20"/>
      <c r="AB582" s="48"/>
      <c r="AC582" s="48"/>
      <c r="AD582" s="7"/>
      <c r="AE582" s="1"/>
      <c r="AF582" s="1"/>
      <c r="AG582" s="1"/>
    </row>
    <row r="583" spans="1:33" s="37" customFormat="1" ht="21" customHeight="1" x14ac:dyDescent="0.2">
      <c r="A583" s="13">
        <f t="shared" si="13"/>
        <v>49</v>
      </c>
      <c r="B583" s="11"/>
      <c r="C583" s="144"/>
      <c r="D583" s="13"/>
      <c r="E583" s="13"/>
      <c r="F583" s="18"/>
      <c r="G583" s="1"/>
      <c r="H583" s="60"/>
      <c r="I583" s="13"/>
      <c r="J583" s="5"/>
      <c r="K583" s="5"/>
      <c r="L583" s="4"/>
      <c r="M583" s="4"/>
      <c r="N583" s="1"/>
      <c r="O583" s="5"/>
      <c r="P583" s="3"/>
      <c r="Q583" s="4"/>
      <c r="R583" s="47" t="s">
        <v>367</v>
      </c>
      <c r="S583" s="13" t="s">
        <v>53</v>
      </c>
      <c r="T583" s="6">
        <v>72.239999999999995</v>
      </c>
      <c r="U583" s="17"/>
      <c r="V583" s="3"/>
      <c r="W583" s="4"/>
      <c r="X583" s="13"/>
      <c r="Y583" s="48"/>
      <c r="Z583" s="48"/>
      <c r="AA583" s="20"/>
      <c r="AB583" s="48"/>
      <c r="AC583" s="48"/>
      <c r="AD583" s="7"/>
      <c r="AE583" s="1"/>
      <c r="AF583" s="1"/>
      <c r="AG583" s="1"/>
    </row>
    <row r="584" spans="1:33" s="37" customFormat="1" ht="21" customHeight="1" x14ac:dyDescent="0.2">
      <c r="A584" s="13">
        <f t="shared" si="13"/>
        <v>49</v>
      </c>
      <c r="B584" s="11"/>
      <c r="C584" s="1"/>
      <c r="D584" s="13"/>
      <c r="E584" s="13"/>
      <c r="F584" s="18"/>
      <c r="G584" s="1"/>
      <c r="H584" s="60"/>
      <c r="I584" s="13"/>
      <c r="J584" s="5"/>
      <c r="K584" s="5"/>
      <c r="L584" s="4"/>
      <c r="M584" s="4"/>
      <c r="N584" s="1"/>
      <c r="O584" s="5"/>
      <c r="P584" s="3"/>
      <c r="Q584" s="4"/>
      <c r="R584" s="47" t="s">
        <v>241</v>
      </c>
      <c r="S584" s="13" t="s">
        <v>53</v>
      </c>
      <c r="T584" s="6">
        <v>11.5</v>
      </c>
      <c r="U584" s="17"/>
      <c r="V584" s="3"/>
      <c r="W584" s="4"/>
      <c r="X584" s="13"/>
      <c r="Y584" s="48"/>
      <c r="Z584" s="48"/>
      <c r="AA584" s="20"/>
      <c r="AB584" s="48"/>
      <c r="AC584" s="48"/>
      <c r="AD584" s="7"/>
      <c r="AE584" s="2"/>
      <c r="AF584" s="2"/>
      <c r="AG584" s="2"/>
    </row>
    <row r="585" spans="1:33" s="37" customFormat="1" ht="21" customHeight="1" x14ac:dyDescent="0.2">
      <c r="A585" s="13">
        <f t="shared" si="13"/>
        <v>49</v>
      </c>
      <c r="B585" s="11"/>
      <c r="C585" s="143"/>
      <c r="D585" s="13"/>
      <c r="E585" s="13"/>
      <c r="F585" s="18"/>
      <c r="G585" s="1"/>
      <c r="H585" s="60"/>
      <c r="I585" s="13"/>
      <c r="J585" s="5"/>
      <c r="K585" s="5"/>
      <c r="L585" s="4"/>
      <c r="M585" s="4"/>
      <c r="N585" s="1"/>
      <c r="O585" s="5"/>
      <c r="P585" s="3"/>
      <c r="Q585" s="4"/>
      <c r="R585" s="149" t="s">
        <v>367</v>
      </c>
      <c r="S585" s="147" t="s">
        <v>53</v>
      </c>
      <c r="T585" s="6"/>
      <c r="U585" s="17">
        <v>1.9</v>
      </c>
      <c r="V585" s="3"/>
      <c r="W585" s="4"/>
      <c r="X585" s="13"/>
      <c r="Y585" s="48"/>
      <c r="Z585" s="48"/>
      <c r="AA585" s="20"/>
      <c r="AB585" s="48"/>
      <c r="AC585" s="48"/>
      <c r="AD585" s="7"/>
      <c r="AE585" s="2"/>
      <c r="AF585" s="2"/>
      <c r="AG585" s="2"/>
    </row>
    <row r="586" spans="1:33" s="37" customFormat="1" ht="21" customHeight="1" x14ac:dyDescent="0.2">
      <c r="A586" s="13">
        <f t="shared" si="13"/>
        <v>49</v>
      </c>
      <c r="B586" s="11"/>
      <c r="C586" s="144"/>
      <c r="D586" s="13"/>
      <c r="E586" s="13"/>
      <c r="F586" s="18"/>
      <c r="G586" s="1"/>
      <c r="H586" s="60"/>
      <c r="I586" s="13"/>
      <c r="J586" s="5"/>
      <c r="K586" s="5"/>
      <c r="L586" s="4"/>
      <c r="M586" s="4"/>
      <c r="N586" s="1"/>
      <c r="O586" s="5"/>
      <c r="P586" s="3"/>
      <c r="Q586" s="4"/>
      <c r="R586" s="84" t="s">
        <v>397</v>
      </c>
      <c r="S586" s="13" t="s">
        <v>53</v>
      </c>
      <c r="T586" s="6">
        <v>19.399999999999999</v>
      </c>
      <c r="U586" s="17"/>
      <c r="V586" s="3"/>
      <c r="W586" s="4"/>
      <c r="X586" s="13"/>
      <c r="Y586" s="48"/>
      <c r="Z586" s="48"/>
      <c r="AA586" s="20"/>
      <c r="AB586" s="48"/>
      <c r="AC586" s="48"/>
      <c r="AD586" s="7"/>
      <c r="AE586" s="2"/>
      <c r="AF586" s="2"/>
      <c r="AG586" s="2"/>
    </row>
    <row r="587" spans="1:33" s="37" customFormat="1" ht="21" customHeight="1" x14ac:dyDescent="0.2">
      <c r="A587" s="13">
        <f t="shared" si="13"/>
        <v>49</v>
      </c>
      <c r="B587" s="11"/>
      <c r="C587" s="144"/>
      <c r="D587" s="13"/>
      <c r="E587" s="13"/>
      <c r="F587" s="18"/>
      <c r="G587" s="1"/>
      <c r="H587" s="60"/>
      <c r="I587" s="13"/>
      <c r="J587" s="5"/>
      <c r="K587" s="5"/>
      <c r="L587" s="4"/>
      <c r="M587" s="4"/>
      <c r="N587" s="1"/>
      <c r="O587" s="5"/>
      <c r="P587" s="3"/>
      <c r="Q587" s="4"/>
      <c r="R587" s="47" t="s">
        <v>493</v>
      </c>
      <c r="S587" s="13" t="s">
        <v>78</v>
      </c>
      <c r="T587" s="6">
        <v>0.23</v>
      </c>
      <c r="U587" s="17"/>
      <c r="V587" s="3"/>
      <c r="W587" s="4"/>
      <c r="X587" s="13"/>
      <c r="Y587" s="48"/>
      <c r="Z587" s="48"/>
      <c r="AA587" s="20"/>
      <c r="AB587" s="48"/>
      <c r="AC587" s="48"/>
      <c r="AD587" s="7"/>
      <c r="AE587" s="2"/>
      <c r="AF587" s="2"/>
      <c r="AG587" s="2"/>
    </row>
    <row r="588" spans="1:33" s="37" customFormat="1" ht="21" customHeight="1" x14ac:dyDescent="0.2">
      <c r="A588" s="13">
        <f t="shared" si="13"/>
        <v>49</v>
      </c>
      <c r="B588" s="11"/>
      <c r="C588" s="1"/>
      <c r="D588" s="13"/>
      <c r="E588" s="13"/>
      <c r="F588" s="18"/>
      <c r="G588" s="1"/>
      <c r="H588" s="60"/>
      <c r="I588" s="13"/>
      <c r="J588" s="5"/>
      <c r="K588" s="5"/>
      <c r="L588" s="4"/>
      <c r="M588" s="4"/>
      <c r="N588" s="1"/>
      <c r="O588" s="5"/>
      <c r="P588" s="3"/>
      <c r="Q588" s="4"/>
      <c r="R588" s="47" t="s">
        <v>210</v>
      </c>
      <c r="S588" s="13" t="s">
        <v>53</v>
      </c>
      <c r="T588" s="6">
        <v>2.88</v>
      </c>
      <c r="U588" s="17"/>
      <c r="V588" s="3"/>
      <c r="W588" s="4"/>
      <c r="X588" s="13"/>
      <c r="Y588" s="48"/>
      <c r="Z588" s="48"/>
      <c r="AA588" s="20"/>
      <c r="AB588" s="48"/>
      <c r="AC588" s="48"/>
      <c r="AD588" s="7"/>
      <c r="AE588" s="2"/>
      <c r="AF588" s="2"/>
      <c r="AG588" s="2"/>
    </row>
    <row r="589" spans="1:33" s="37" customFormat="1" ht="21" customHeight="1" x14ac:dyDescent="0.2">
      <c r="A589" s="13">
        <f t="shared" si="13"/>
        <v>49</v>
      </c>
      <c r="B589" s="11"/>
      <c r="C589" s="143"/>
      <c r="D589" s="13"/>
      <c r="E589" s="13"/>
      <c r="F589" s="18"/>
      <c r="G589" s="1"/>
      <c r="H589" s="60"/>
      <c r="I589" s="13"/>
      <c r="J589" s="5"/>
      <c r="K589" s="5"/>
      <c r="L589" s="4"/>
      <c r="M589" s="4"/>
      <c r="N589" s="145"/>
      <c r="O589" s="146"/>
      <c r="P589" s="146"/>
      <c r="Q589" s="146"/>
      <c r="R589" s="149" t="s">
        <v>164</v>
      </c>
      <c r="S589" s="147" t="s">
        <v>53</v>
      </c>
      <c r="T589" s="6">
        <v>1.28</v>
      </c>
      <c r="U589" s="17"/>
      <c r="V589" s="3"/>
      <c r="W589" s="4"/>
      <c r="X589" s="13"/>
      <c r="Y589" s="48"/>
      <c r="Z589" s="48"/>
      <c r="AA589" s="20"/>
      <c r="AB589" s="48"/>
      <c r="AC589" s="48"/>
      <c r="AD589" s="7"/>
      <c r="AE589" s="2"/>
      <c r="AF589" s="2"/>
      <c r="AG589" s="2"/>
    </row>
    <row r="590" spans="1:33" s="37" customFormat="1" ht="31.5" customHeight="1" x14ac:dyDescent="0.2">
      <c r="A590" s="13">
        <f t="shared" si="13"/>
        <v>49</v>
      </c>
      <c r="B590" s="11"/>
      <c r="C590" s="144"/>
      <c r="D590" s="13"/>
      <c r="E590" s="13"/>
      <c r="F590" s="18"/>
      <c r="G590" s="1"/>
      <c r="H590" s="60"/>
      <c r="I590" s="13"/>
      <c r="J590" s="5"/>
      <c r="K590" s="5"/>
      <c r="L590" s="4"/>
      <c r="M590" s="4"/>
      <c r="N590" s="1"/>
      <c r="O590" s="5"/>
      <c r="P590" s="3"/>
      <c r="Q590" s="4"/>
      <c r="R590" s="47" t="s">
        <v>477</v>
      </c>
      <c r="S590" s="13" t="s">
        <v>53</v>
      </c>
      <c r="T590" s="17">
        <v>19.04</v>
      </c>
      <c r="U590" s="17">
        <v>48.16</v>
      </c>
      <c r="V590" s="3"/>
      <c r="W590" s="4"/>
      <c r="X590" s="13"/>
      <c r="Y590" s="48"/>
      <c r="Z590" s="48"/>
      <c r="AA590" s="20"/>
      <c r="AB590" s="48"/>
      <c r="AC590" s="48"/>
      <c r="AD590" s="7"/>
      <c r="AE590" s="2"/>
      <c r="AF590" s="2"/>
      <c r="AG590" s="2"/>
    </row>
    <row r="591" spans="1:33" s="37" customFormat="1" ht="20.25" customHeight="1" x14ac:dyDescent="0.2">
      <c r="A591" s="13">
        <f t="shared" si="13"/>
        <v>49</v>
      </c>
      <c r="B591" s="11"/>
      <c r="C591" s="144"/>
      <c r="D591" s="13"/>
      <c r="E591" s="13"/>
      <c r="F591" s="18"/>
      <c r="G591" s="1"/>
      <c r="H591" s="60"/>
      <c r="I591" s="13"/>
      <c r="J591" s="5"/>
      <c r="K591" s="5"/>
      <c r="L591" s="4"/>
      <c r="M591" s="4"/>
      <c r="N591" s="1"/>
      <c r="O591" s="5"/>
      <c r="P591" s="3"/>
      <c r="Q591" s="4"/>
      <c r="R591" s="47" t="s">
        <v>386</v>
      </c>
      <c r="S591" s="13" t="s">
        <v>53</v>
      </c>
      <c r="T591" s="6">
        <v>105.3</v>
      </c>
      <c r="U591" s="17"/>
      <c r="V591" s="3"/>
      <c r="W591" s="4"/>
      <c r="X591" s="13"/>
      <c r="Y591" s="48"/>
      <c r="Z591" s="48"/>
      <c r="AA591" s="20"/>
      <c r="AB591" s="48"/>
      <c r="AC591" s="48"/>
      <c r="AD591" s="7"/>
      <c r="AE591" s="2"/>
      <c r="AF591" s="2"/>
      <c r="AG591" s="2"/>
    </row>
    <row r="592" spans="1:33" s="37" customFormat="1" ht="20.25" customHeight="1" x14ac:dyDescent="0.2">
      <c r="A592" s="13">
        <f t="shared" si="13"/>
        <v>49</v>
      </c>
      <c r="B592" s="11"/>
      <c r="C592" s="1"/>
      <c r="D592" s="13"/>
      <c r="E592" s="13"/>
      <c r="F592" s="18"/>
      <c r="G592" s="1"/>
      <c r="H592" s="60"/>
      <c r="I592" s="13"/>
      <c r="J592" s="5"/>
      <c r="K592" s="5"/>
      <c r="L592" s="4"/>
      <c r="M592" s="4"/>
      <c r="N592" s="1"/>
      <c r="O592" s="5"/>
      <c r="P592" s="3"/>
      <c r="Q592" s="4"/>
      <c r="R592" s="47" t="s">
        <v>361</v>
      </c>
      <c r="S592" s="13" t="s">
        <v>53</v>
      </c>
      <c r="T592" s="6">
        <v>2.64</v>
      </c>
      <c r="U592" s="17"/>
      <c r="V592" s="3"/>
      <c r="W592" s="4"/>
      <c r="X592" s="13"/>
      <c r="Y592" s="48"/>
      <c r="Z592" s="48"/>
      <c r="AA592" s="20"/>
      <c r="AB592" s="48"/>
      <c r="AC592" s="48"/>
      <c r="AD592" s="7"/>
      <c r="AE592" s="2"/>
      <c r="AF592" s="2"/>
      <c r="AG592" s="2"/>
    </row>
    <row r="593" spans="1:33" s="37" customFormat="1" ht="20.25" customHeight="1" x14ac:dyDescent="0.2">
      <c r="A593" s="13">
        <f t="shared" si="13"/>
        <v>49</v>
      </c>
      <c r="B593" s="11"/>
      <c r="C593" s="143"/>
      <c r="D593" s="13"/>
      <c r="E593" s="13"/>
      <c r="F593" s="18"/>
      <c r="G593" s="1"/>
      <c r="H593" s="60"/>
      <c r="I593" s="13"/>
      <c r="J593" s="5"/>
      <c r="K593" s="5"/>
      <c r="L593" s="4"/>
      <c r="M593" s="4"/>
      <c r="N593" s="1"/>
      <c r="O593" s="5"/>
      <c r="P593" s="3"/>
      <c r="Q593" s="4"/>
      <c r="R593" s="146" t="s">
        <v>71</v>
      </c>
      <c r="S593" s="147" t="s">
        <v>53</v>
      </c>
      <c r="T593" s="6">
        <v>5.88</v>
      </c>
      <c r="U593" s="17">
        <v>13.44</v>
      </c>
      <c r="V593" s="3"/>
      <c r="W593" s="4"/>
      <c r="X593" s="13"/>
      <c r="Y593" s="48"/>
      <c r="Z593" s="48"/>
      <c r="AA593" s="20"/>
      <c r="AB593" s="48"/>
      <c r="AC593" s="48"/>
      <c r="AD593" s="7"/>
      <c r="AE593" s="2"/>
      <c r="AF593" s="2"/>
      <c r="AG593" s="2"/>
    </row>
    <row r="594" spans="1:33" s="37" customFormat="1" ht="20.25" customHeight="1" x14ac:dyDescent="0.2">
      <c r="A594" s="13">
        <f t="shared" si="13"/>
        <v>49</v>
      </c>
      <c r="B594" s="11"/>
      <c r="C594" s="144"/>
      <c r="D594" s="13"/>
      <c r="E594" s="13"/>
      <c r="F594" s="18"/>
      <c r="G594" s="1"/>
      <c r="H594" s="60"/>
      <c r="I594" s="13"/>
      <c r="J594" s="5"/>
      <c r="K594" s="5"/>
      <c r="L594" s="4"/>
      <c r="M594" s="4"/>
      <c r="N594" s="1"/>
      <c r="O594" s="5"/>
      <c r="P594" s="3"/>
      <c r="Q594" s="4"/>
      <c r="R594" s="47" t="s">
        <v>362</v>
      </c>
      <c r="S594" s="13" t="s">
        <v>53</v>
      </c>
      <c r="T594" s="6">
        <v>33.840000000000003</v>
      </c>
      <c r="U594" s="17">
        <v>65.52</v>
      </c>
      <c r="V594" s="3"/>
      <c r="W594" s="4"/>
      <c r="X594" s="13"/>
      <c r="Y594" s="48"/>
      <c r="Z594" s="48"/>
      <c r="AA594" s="20"/>
      <c r="AB594" s="48"/>
      <c r="AC594" s="48"/>
      <c r="AD594" s="7"/>
      <c r="AE594" s="2"/>
      <c r="AF594" s="2"/>
      <c r="AG594" s="2"/>
    </row>
    <row r="595" spans="1:33" s="37" customFormat="1" ht="25.5" x14ac:dyDescent="0.2">
      <c r="A595" s="13">
        <f t="shared" si="13"/>
        <v>49</v>
      </c>
      <c r="B595" s="11"/>
      <c r="C595" s="144"/>
      <c r="D595" s="13"/>
      <c r="E595" s="13"/>
      <c r="F595" s="18"/>
      <c r="G595" s="1"/>
      <c r="H595" s="60"/>
      <c r="I595" s="13"/>
      <c r="J595" s="5"/>
      <c r="K595" s="5"/>
      <c r="L595" s="4"/>
      <c r="M595" s="4"/>
      <c r="N595" s="1"/>
      <c r="O595" s="5"/>
      <c r="P595" s="3"/>
      <c r="Q595" s="4"/>
      <c r="R595" s="47" t="s">
        <v>363</v>
      </c>
      <c r="S595" s="13" t="s">
        <v>53</v>
      </c>
      <c r="T595" s="25"/>
      <c r="U595" s="26" t="s">
        <v>364</v>
      </c>
      <c r="V595" s="3"/>
      <c r="W595" s="4"/>
      <c r="X595" s="13"/>
      <c r="Y595" s="48"/>
      <c r="Z595" s="48"/>
      <c r="AA595" s="20"/>
      <c r="AB595" s="48"/>
      <c r="AC595" s="48"/>
      <c r="AD595" s="7"/>
      <c r="AE595" s="2"/>
      <c r="AF595" s="2"/>
      <c r="AG595" s="2"/>
    </row>
    <row r="596" spans="1:33" s="37" customFormat="1" ht="25.5" x14ac:dyDescent="0.2">
      <c r="A596" s="13">
        <f t="shared" si="13"/>
        <v>49</v>
      </c>
      <c r="B596" s="11"/>
      <c r="C596" s="1"/>
      <c r="D596" s="13"/>
      <c r="E596" s="13"/>
      <c r="F596" s="18"/>
      <c r="G596" s="1"/>
      <c r="H596" s="60"/>
      <c r="I596" s="13"/>
      <c r="J596" s="5"/>
      <c r="K596" s="5"/>
      <c r="L596" s="4"/>
      <c r="M596" s="4"/>
      <c r="N596" s="1"/>
      <c r="O596" s="5"/>
      <c r="P596" s="3"/>
      <c r="Q596" s="4"/>
      <c r="R596" s="47" t="s">
        <v>363</v>
      </c>
      <c r="S596" s="13" t="s">
        <v>53</v>
      </c>
      <c r="T596" s="25"/>
      <c r="U596" s="262" t="s">
        <v>365</v>
      </c>
      <c r="V596" s="3"/>
      <c r="W596" s="4"/>
      <c r="X596" s="13"/>
      <c r="Y596" s="48"/>
      <c r="Z596" s="48"/>
      <c r="AA596" s="20"/>
      <c r="AB596" s="48"/>
      <c r="AC596" s="48"/>
      <c r="AD596" s="7"/>
      <c r="AE596" s="2"/>
      <c r="AF596" s="2"/>
      <c r="AG596" s="2"/>
    </row>
    <row r="597" spans="1:33" s="37" customFormat="1" ht="21" customHeight="1" x14ac:dyDescent="0.2">
      <c r="A597" s="13">
        <f t="shared" si="13"/>
        <v>49</v>
      </c>
      <c r="B597" s="11"/>
      <c r="C597" s="143"/>
      <c r="D597" s="13"/>
      <c r="E597" s="13"/>
      <c r="F597" s="18"/>
      <c r="G597" s="1"/>
      <c r="H597" s="60"/>
      <c r="I597" s="13"/>
      <c r="J597" s="5"/>
      <c r="K597" s="5"/>
      <c r="L597" s="4"/>
      <c r="M597" s="4"/>
      <c r="N597" s="145"/>
      <c r="O597" s="146"/>
      <c r="P597" s="146"/>
      <c r="Q597" s="146"/>
      <c r="R597" s="149" t="s">
        <v>427</v>
      </c>
      <c r="S597" s="150" t="s">
        <v>53</v>
      </c>
      <c r="T597" s="6">
        <v>10.199999999999999</v>
      </c>
      <c r="U597" s="17">
        <v>217.69</v>
      </c>
      <c r="V597" s="3"/>
      <c r="W597" s="4"/>
      <c r="X597" s="13"/>
      <c r="Y597" s="48"/>
      <c r="Z597" s="48"/>
      <c r="AA597" s="20"/>
      <c r="AB597" s="48"/>
      <c r="AC597" s="48"/>
      <c r="AD597" s="7"/>
      <c r="AE597" s="2"/>
      <c r="AF597" s="2"/>
      <c r="AG597" s="2"/>
    </row>
    <row r="598" spans="1:33" s="37" customFormat="1" ht="21" customHeight="1" x14ac:dyDescent="0.2">
      <c r="A598" s="13">
        <f t="shared" si="13"/>
        <v>49</v>
      </c>
      <c r="B598" s="11"/>
      <c r="C598" s="144"/>
      <c r="D598" s="13"/>
      <c r="E598" s="13"/>
      <c r="F598" s="18"/>
      <c r="G598" s="1"/>
      <c r="H598" s="60"/>
      <c r="I598" s="13"/>
      <c r="J598" s="5"/>
      <c r="K598" s="5"/>
      <c r="L598" s="4"/>
      <c r="M598" s="4"/>
      <c r="N598" s="145"/>
      <c r="O598" s="146"/>
      <c r="P598" s="146"/>
      <c r="Q598" s="146"/>
      <c r="R598" s="146" t="s">
        <v>399</v>
      </c>
      <c r="S598" s="147" t="s">
        <v>53</v>
      </c>
      <c r="T598" s="6">
        <v>68.2</v>
      </c>
      <c r="U598" s="17">
        <v>189.2</v>
      </c>
      <c r="V598" s="3"/>
      <c r="W598" s="4"/>
      <c r="X598" s="13"/>
      <c r="Y598" s="48"/>
      <c r="Z598" s="48"/>
      <c r="AA598" s="20"/>
      <c r="AB598" s="48"/>
      <c r="AC598" s="48"/>
      <c r="AD598" s="7"/>
      <c r="AE598" s="2"/>
      <c r="AF598" s="2"/>
      <c r="AG598" s="2"/>
    </row>
    <row r="599" spans="1:33" s="37" customFormat="1" ht="12.75" x14ac:dyDescent="0.2">
      <c r="A599" s="13">
        <f t="shared" si="13"/>
        <v>49</v>
      </c>
      <c r="B599" s="11"/>
      <c r="C599" s="144"/>
      <c r="D599" s="13"/>
      <c r="E599" s="13"/>
      <c r="F599" s="2"/>
      <c r="G599" s="1"/>
      <c r="H599" s="50"/>
      <c r="I599" s="51"/>
      <c r="J599" s="51"/>
      <c r="K599" s="51"/>
      <c r="L599" s="51"/>
      <c r="M599" s="51"/>
      <c r="N599" s="51"/>
      <c r="O599" s="51"/>
      <c r="P599" s="51"/>
      <c r="Q599" s="51"/>
      <c r="R599" s="2"/>
      <c r="S599" s="51"/>
      <c r="T599" s="51"/>
      <c r="U599" s="50"/>
      <c r="V599" s="51"/>
      <c r="W599" s="51"/>
      <c r="X599" s="50"/>
      <c r="Y599" s="50"/>
      <c r="Z599" s="50"/>
      <c r="AA599" s="257"/>
      <c r="AB599" s="50"/>
      <c r="AC599" s="50"/>
      <c r="AD599" s="51"/>
      <c r="AE599" s="51"/>
      <c r="AF599" s="51"/>
      <c r="AG599" s="2"/>
    </row>
    <row r="600" spans="1:33" s="37" customFormat="1" ht="12.75" x14ac:dyDescent="0.2">
      <c r="A600" s="13">
        <f t="shared" si="13"/>
        <v>49</v>
      </c>
      <c r="B600" s="11"/>
      <c r="C600" s="1"/>
      <c r="D600" s="13"/>
      <c r="E600" s="13"/>
      <c r="F600" s="18"/>
      <c r="G600" s="1"/>
      <c r="H600" s="60"/>
      <c r="I600" s="13"/>
      <c r="J600" s="5"/>
      <c r="K600" s="5"/>
      <c r="L600" s="4"/>
      <c r="M600" s="4"/>
      <c r="N600" s="1"/>
      <c r="O600" s="5"/>
      <c r="P600" s="3"/>
      <c r="Q600" s="4"/>
      <c r="R600" s="47"/>
      <c r="S600" s="13"/>
      <c r="T600" s="6"/>
      <c r="U600" s="17"/>
      <c r="V600" s="3"/>
      <c r="W600" s="4"/>
      <c r="X600" s="13"/>
      <c r="Y600" s="48"/>
      <c r="Z600" s="48"/>
      <c r="AA600" s="20"/>
      <c r="AB600" s="48"/>
      <c r="AC600" s="48"/>
      <c r="AD600" s="7"/>
      <c r="AE600" s="2"/>
      <c r="AF600" s="2"/>
      <c r="AG600" s="2"/>
    </row>
    <row r="601" spans="1:33" s="37" customFormat="1" ht="12.75" x14ac:dyDescent="0.2">
      <c r="A601" s="13">
        <f t="shared" si="13"/>
        <v>49</v>
      </c>
      <c r="B601" s="11"/>
      <c r="C601" s="143"/>
      <c r="D601" s="13"/>
      <c r="E601" s="13"/>
      <c r="F601" s="18"/>
      <c r="G601" s="1"/>
      <c r="H601" s="60"/>
      <c r="I601" s="13"/>
      <c r="J601" s="5"/>
      <c r="K601" s="5"/>
      <c r="L601" s="4"/>
      <c r="M601" s="4"/>
      <c r="N601" s="1"/>
      <c r="O601" s="5"/>
      <c r="P601" s="3"/>
      <c r="Q601" s="4"/>
      <c r="R601" s="47"/>
      <c r="S601" s="13"/>
      <c r="T601" s="6"/>
      <c r="U601" s="17"/>
      <c r="V601" s="3"/>
      <c r="W601" s="4"/>
      <c r="X601" s="13"/>
      <c r="Y601" s="48"/>
      <c r="Z601" s="48"/>
      <c r="AA601" s="20"/>
      <c r="AB601" s="48"/>
      <c r="AC601" s="48"/>
      <c r="AD601" s="7"/>
      <c r="AE601" s="2"/>
      <c r="AF601" s="2"/>
      <c r="AG601" s="2"/>
    </row>
    <row r="602" spans="1:33" s="37" customFormat="1" ht="12.75" x14ac:dyDescent="0.2">
      <c r="A602" s="13">
        <f t="shared" si="13"/>
        <v>49</v>
      </c>
      <c r="B602" s="11"/>
      <c r="C602" s="144"/>
      <c r="D602" s="13"/>
      <c r="E602" s="13"/>
      <c r="F602" s="18"/>
      <c r="G602" s="1"/>
      <c r="H602" s="60"/>
      <c r="I602" s="13"/>
      <c r="J602" s="5"/>
      <c r="K602" s="5"/>
      <c r="L602" s="4"/>
      <c r="M602" s="4"/>
      <c r="N602" s="145"/>
      <c r="O602" s="146"/>
      <c r="P602" s="146"/>
      <c r="Q602" s="146"/>
      <c r="R602" s="146"/>
      <c r="S602" s="147"/>
      <c r="T602" s="6"/>
      <c r="U602" s="17"/>
      <c r="V602" s="3"/>
      <c r="W602" s="4"/>
      <c r="X602" s="13"/>
      <c r="Y602" s="48"/>
      <c r="Z602" s="48"/>
      <c r="AA602" s="20"/>
      <c r="AB602" s="48"/>
      <c r="AC602" s="48"/>
      <c r="AD602" s="7"/>
      <c r="AE602" s="2"/>
      <c r="AF602" s="2"/>
      <c r="AG602" s="2"/>
    </row>
    <row r="603" spans="1:33" s="37" customFormat="1" ht="31.5" customHeight="1" x14ac:dyDescent="0.2">
      <c r="A603" s="13">
        <f t="shared" si="13"/>
        <v>50</v>
      </c>
      <c r="B603" s="11">
        <v>50</v>
      </c>
      <c r="C603" s="143" t="s">
        <v>561</v>
      </c>
      <c r="D603" s="13"/>
      <c r="E603" s="13">
        <v>86</v>
      </c>
      <c r="F603" s="18">
        <v>708</v>
      </c>
      <c r="G603" s="1" t="s">
        <v>551</v>
      </c>
      <c r="H603" s="60">
        <v>1088.2</v>
      </c>
      <c r="I603" s="13"/>
      <c r="J603" s="5"/>
      <c r="K603" s="5"/>
      <c r="L603" s="4"/>
      <c r="M603" s="4"/>
      <c r="N603" s="1"/>
      <c r="O603" s="5"/>
      <c r="P603" s="3"/>
      <c r="Q603" s="4"/>
      <c r="R603" s="47"/>
      <c r="S603" s="13"/>
      <c r="T603" s="6"/>
      <c r="U603" s="17"/>
      <c r="V603" s="3"/>
      <c r="W603" s="4"/>
      <c r="X603" s="13"/>
      <c r="Y603" s="48"/>
      <c r="Z603" s="48"/>
      <c r="AA603" s="20"/>
      <c r="AB603" s="48"/>
      <c r="AC603" s="48"/>
      <c r="AD603" s="7"/>
      <c r="AE603" s="1" t="s">
        <v>1707</v>
      </c>
      <c r="AF603" s="1"/>
      <c r="AG603" s="1"/>
    </row>
    <row r="604" spans="1:33" s="37" customFormat="1" ht="37.5" customHeight="1" x14ac:dyDescent="0.2">
      <c r="A604" s="13">
        <f t="shared" si="13"/>
        <v>50</v>
      </c>
      <c r="B604" s="11"/>
      <c r="C604" s="1" t="s">
        <v>234</v>
      </c>
      <c r="D604" s="13"/>
      <c r="E604" s="13"/>
      <c r="F604" s="18"/>
      <c r="G604" s="1" t="s">
        <v>562</v>
      </c>
      <c r="H604" s="60">
        <v>87.2</v>
      </c>
      <c r="I604" s="13"/>
      <c r="J604" s="5"/>
      <c r="K604" s="5"/>
      <c r="L604" s="4"/>
      <c r="M604" s="4"/>
      <c r="N604" s="1"/>
      <c r="O604" s="5"/>
      <c r="P604" s="3"/>
      <c r="Q604" s="4"/>
      <c r="R604" s="47"/>
      <c r="S604" s="13"/>
      <c r="T604" s="6"/>
      <c r="U604" s="17"/>
      <c r="V604" s="3"/>
      <c r="W604" s="4"/>
      <c r="X604" s="13"/>
      <c r="Y604" s="48"/>
      <c r="Z604" s="48"/>
      <c r="AA604" s="20"/>
      <c r="AB604" s="48"/>
      <c r="AC604" s="48"/>
      <c r="AD604" s="7"/>
      <c r="AE604" s="1" t="s">
        <v>563</v>
      </c>
      <c r="AF604" s="1"/>
      <c r="AG604" s="1"/>
    </row>
    <row r="605" spans="1:33" s="37" customFormat="1" ht="36" customHeight="1" x14ac:dyDescent="0.2">
      <c r="A605" s="13">
        <f t="shared" si="13"/>
        <v>50</v>
      </c>
      <c r="B605" s="11"/>
      <c r="C605" s="144" t="s">
        <v>697</v>
      </c>
      <c r="D605" s="13"/>
      <c r="E605" s="13"/>
      <c r="F605" s="18"/>
      <c r="G605" s="1" t="s">
        <v>564</v>
      </c>
      <c r="H605" s="60">
        <v>7.8</v>
      </c>
      <c r="I605" s="13"/>
      <c r="J605" s="5"/>
      <c r="K605" s="5"/>
      <c r="L605" s="4"/>
      <c r="M605" s="4"/>
      <c r="N605" s="145"/>
      <c r="O605" s="5"/>
      <c r="P605" s="3"/>
      <c r="Q605" s="4"/>
      <c r="R605" s="145"/>
      <c r="S605" s="147"/>
      <c r="T605" s="6"/>
      <c r="U605" s="17"/>
      <c r="V605" s="3"/>
      <c r="W605" s="4"/>
      <c r="X605" s="13"/>
      <c r="Y605" s="48"/>
      <c r="Z605" s="48"/>
      <c r="AA605" s="20"/>
      <c r="AB605" s="48"/>
      <c r="AC605" s="48"/>
      <c r="AD605" s="7"/>
      <c r="AE605" s="2" t="s">
        <v>565</v>
      </c>
      <c r="AF605" s="2"/>
      <c r="AG605" s="2"/>
    </row>
    <row r="606" spans="1:33" s="37" customFormat="1" ht="22.5" customHeight="1" x14ac:dyDescent="0.2">
      <c r="A606" s="13">
        <f t="shared" si="13"/>
        <v>50</v>
      </c>
      <c r="B606" s="11"/>
      <c r="C606" s="144"/>
      <c r="D606" s="13"/>
      <c r="E606" s="13"/>
      <c r="F606" s="18"/>
      <c r="G606" s="1"/>
      <c r="H606" s="60"/>
      <c r="I606" s="13"/>
      <c r="J606" s="5"/>
      <c r="K606" s="5"/>
      <c r="L606" s="4"/>
      <c r="M606" s="4"/>
      <c r="N606" s="145"/>
      <c r="O606" s="146"/>
      <c r="P606" s="146"/>
      <c r="Q606" s="146"/>
      <c r="R606" s="149"/>
      <c r="S606" s="146"/>
      <c r="T606" s="6"/>
      <c r="U606" s="17"/>
      <c r="V606" s="3"/>
      <c r="W606" s="4"/>
      <c r="X606" s="13"/>
      <c r="Y606" s="48"/>
      <c r="Z606" s="48"/>
      <c r="AA606" s="20"/>
      <c r="AB606" s="48"/>
      <c r="AC606" s="48"/>
      <c r="AD606" s="7"/>
      <c r="AE606" s="21" t="s">
        <v>292</v>
      </c>
      <c r="AF606" s="21"/>
      <c r="AG606" s="21"/>
    </row>
    <row r="607" spans="1:33" s="37" customFormat="1" ht="74.25" customHeight="1" x14ac:dyDescent="0.2">
      <c r="A607" s="13">
        <f t="shared" si="13"/>
        <v>50</v>
      </c>
      <c r="B607" s="11"/>
      <c r="C607" s="144"/>
      <c r="D607" s="13"/>
      <c r="E607" s="13"/>
      <c r="F607" s="2"/>
      <c r="G607" s="1"/>
      <c r="H607" s="50"/>
      <c r="I607" s="51"/>
      <c r="J607" s="51"/>
      <c r="K607" s="51"/>
      <c r="L607" s="51"/>
      <c r="M607" s="51"/>
      <c r="N607" s="51"/>
      <c r="O607" s="51"/>
      <c r="P607" s="51"/>
      <c r="Q607" s="51"/>
      <c r="R607" s="2"/>
      <c r="S607" s="51"/>
      <c r="T607" s="51"/>
      <c r="U607" s="50"/>
      <c r="V607" s="51"/>
      <c r="W607" s="51"/>
      <c r="X607" s="50"/>
      <c r="Y607" s="50"/>
      <c r="Z607" s="50"/>
      <c r="AA607" s="257"/>
      <c r="AB607" s="50"/>
      <c r="AC607" s="50"/>
      <c r="AD607" s="51"/>
      <c r="AE607" s="1" t="s">
        <v>1708</v>
      </c>
      <c r="AF607" s="1"/>
      <c r="AG607" s="1"/>
    </row>
    <row r="608" spans="1:33" s="37" customFormat="1" ht="70.5" customHeight="1" x14ac:dyDescent="0.2">
      <c r="A608" s="13">
        <f t="shared" si="13"/>
        <v>50</v>
      </c>
      <c r="B608" s="11"/>
      <c r="C608" s="1"/>
      <c r="D608" s="13"/>
      <c r="E608" s="13"/>
      <c r="F608" s="18"/>
      <c r="G608" s="1"/>
      <c r="H608" s="60"/>
      <c r="I608" s="13"/>
      <c r="J608" s="5"/>
      <c r="K608" s="5"/>
      <c r="L608" s="4"/>
      <c r="M608" s="4"/>
      <c r="N608" s="145"/>
      <c r="O608" s="146"/>
      <c r="P608" s="146"/>
      <c r="Q608" s="146"/>
      <c r="R608" s="146"/>
      <c r="S608" s="146"/>
      <c r="T608" s="6"/>
      <c r="U608" s="17"/>
      <c r="V608" s="3"/>
      <c r="W608" s="4"/>
      <c r="X608" s="13"/>
      <c r="Y608" s="48"/>
      <c r="Z608" s="48"/>
      <c r="AA608" s="20"/>
      <c r="AB608" s="48"/>
      <c r="AC608" s="48"/>
      <c r="AD608" s="7"/>
      <c r="AE608" s="1" t="s">
        <v>1709</v>
      </c>
      <c r="AF608" s="1"/>
      <c r="AG608" s="1"/>
    </row>
    <row r="609" spans="1:33" s="37" customFormat="1" ht="12.75" x14ac:dyDescent="0.2">
      <c r="A609" s="13"/>
      <c r="B609" s="11"/>
      <c r="C609" s="1"/>
      <c r="D609" s="13"/>
      <c r="E609" s="13"/>
      <c r="F609" s="18"/>
      <c r="G609" s="1"/>
      <c r="H609" s="60"/>
      <c r="I609" s="13"/>
      <c r="J609" s="5"/>
      <c r="K609" s="5"/>
      <c r="L609" s="4"/>
      <c r="M609" s="4"/>
      <c r="N609" s="145"/>
      <c r="O609" s="146"/>
      <c r="P609" s="146"/>
      <c r="Q609" s="146"/>
      <c r="R609" s="146"/>
      <c r="S609" s="146"/>
      <c r="T609" s="6"/>
      <c r="U609" s="17"/>
      <c r="V609" s="3"/>
      <c r="W609" s="4"/>
      <c r="X609" s="13"/>
      <c r="Y609" s="48"/>
      <c r="Z609" s="48"/>
      <c r="AA609" s="20"/>
      <c r="AB609" s="48"/>
      <c r="AC609" s="48"/>
      <c r="AD609" s="7"/>
      <c r="AE609" s="1"/>
      <c r="AF609" s="1"/>
      <c r="AG609" s="1"/>
    </row>
    <row r="610" spans="1:33" s="37" customFormat="1" ht="12.75" x14ac:dyDescent="0.2">
      <c r="A610" s="13">
        <f>IF(B610&lt;&gt;0,B610,A608)</f>
        <v>50</v>
      </c>
      <c r="B610" s="11"/>
      <c r="C610" s="1"/>
      <c r="D610" s="13"/>
      <c r="E610" s="13"/>
      <c r="F610" s="18"/>
      <c r="G610" s="1"/>
      <c r="H610" s="60"/>
      <c r="I610" s="13"/>
      <c r="J610" s="5"/>
      <c r="K610" s="5"/>
      <c r="L610" s="4"/>
      <c r="M610" s="4"/>
      <c r="N610" s="145"/>
      <c r="O610" s="146"/>
      <c r="P610" s="146"/>
      <c r="Q610" s="146"/>
      <c r="R610" s="146"/>
      <c r="S610" s="146"/>
      <c r="T610" s="6"/>
      <c r="U610" s="17"/>
      <c r="V610" s="3"/>
      <c r="W610" s="4"/>
      <c r="X610" s="13"/>
      <c r="Y610" s="48"/>
      <c r="Z610" s="48"/>
      <c r="AA610" s="20"/>
      <c r="AB610" s="48"/>
      <c r="AC610" s="48"/>
      <c r="AD610" s="7"/>
      <c r="AE610" s="2"/>
      <c r="AF610" s="2"/>
      <c r="AG610" s="2"/>
    </row>
    <row r="611" spans="1:33" s="37" customFormat="1" ht="12.75" x14ac:dyDescent="0.2">
      <c r="A611" s="13">
        <f t="shared" ref="A611:A628" si="14">IF(B611&lt;&gt;0,B611,A610)</f>
        <v>50</v>
      </c>
      <c r="B611" s="11"/>
      <c r="C611" s="1"/>
      <c r="D611" s="13"/>
      <c r="E611" s="13"/>
      <c r="F611" s="18"/>
      <c r="G611" s="1"/>
      <c r="H611" s="60"/>
      <c r="I611" s="13"/>
      <c r="J611" s="5"/>
      <c r="K611" s="5"/>
      <c r="L611" s="4"/>
      <c r="M611" s="4"/>
      <c r="N611" s="145"/>
      <c r="O611" s="146"/>
      <c r="P611" s="146"/>
      <c r="Q611" s="146"/>
      <c r="R611" s="146"/>
      <c r="S611" s="147"/>
      <c r="T611" s="6"/>
      <c r="U611" s="17"/>
      <c r="V611" s="3"/>
      <c r="W611" s="4"/>
      <c r="X611" s="13"/>
      <c r="Y611" s="48"/>
      <c r="Z611" s="48"/>
      <c r="AA611" s="20"/>
      <c r="AB611" s="48"/>
      <c r="AC611" s="48"/>
      <c r="AD611" s="7"/>
      <c r="AE611" s="2"/>
      <c r="AF611" s="2"/>
      <c r="AG611" s="2"/>
    </row>
    <row r="612" spans="1:33" s="37" customFormat="1" ht="29.25" customHeight="1" x14ac:dyDescent="0.2">
      <c r="A612" s="13">
        <f t="shared" si="14"/>
        <v>51</v>
      </c>
      <c r="B612" s="11">
        <v>51</v>
      </c>
      <c r="C612" s="21" t="s">
        <v>42</v>
      </c>
      <c r="D612" s="13">
        <v>7</v>
      </c>
      <c r="E612" s="13">
        <v>86</v>
      </c>
      <c r="F612" s="18">
        <v>709</v>
      </c>
      <c r="G612" s="1" t="s">
        <v>551</v>
      </c>
      <c r="H612" s="60">
        <v>1092.8</v>
      </c>
      <c r="I612" s="13"/>
      <c r="J612" s="5"/>
      <c r="K612" s="5"/>
      <c r="L612" s="4"/>
      <c r="M612" s="4"/>
      <c r="N612" s="1"/>
      <c r="O612" s="5"/>
      <c r="P612" s="3"/>
      <c r="Q612" s="4"/>
      <c r="R612" s="47"/>
      <c r="S612" s="13"/>
      <c r="T612" s="6"/>
      <c r="U612" s="17"/>
      <c r="V612" s="3"/>
      <c r="W612" s="4"/>
      <c r="X612" s="13"/>
      <c r="Y612" s="48"/>
      <c r="Z612" s="48"/>
      <c r="AA612" s="20"/>
      <c r="AB612" s="48"/>
      <c r="AC612" s="48"/>
      <c r="AD612" s="7"/>
      <c r="AE612" s="1" t="s">
        <v>1710</v>
      </c>
      <c r="AF612" s="1"/>
      <c r="AG612" s="1"/>
    </row>
    <row r="613" spans="1:33" s="37" customFormat="1" ht="36.75" customHeight="1" x14ac:dyDescent="0.2">
      <c r="A613" s="13">
        <f t="shared" si="14"/>
        <v>51</v>
      </c>
      <c r="B613" s="11"/>
      <c r="C613" s="144" t="s">
        <v>235</v>
      </c>
      <c r="D613" s="13"/>
      <c r="E613" s="13"/>
      <c r="F613" s="18"/>
      <c r="G613" s="1" t="s">
        <v>564</v>
      </c>
      <c r="H613" s="60">
        <v>7.4</v>
      </c>
      <c r="I613" s="13"/>
      <c r="J613" s="5"/>
      <c r="K613" s="5"/>
      <c r="L613" s="4"/>
      <c r="M613" s="4"/>
      <c r="N613" s="1"/>
      <c r="O613" s="5"/>
      <c r="P613" s="3"/>
      <c r="Q613" s="4"/>
      <c r="R613" s="145"/>
      <c r="S613" s="147"/>
      <c r="T613" s="6"/>
      <c r="U613" s="17"/>
      <c r="V613" s="3"/>
      <c r="W613" s="4"/>
      <c r="X613" s="13"/>
      <c r="Y613" s="48"/>
      <c r="Z613" s="48"/>
      <c r="AA613" s="20"/>
      <c r="AB613" s="48"/>
      <c r="AC613" s="48"/>
      <c r="AD613" s="7"/>
      <c r="AE613" s="1" t="s">
        <v>566</v>
      </c>
      <c r="AF613" s="1"/>
      <c r="AG613" s="1"/>
    </row>
    <row r="614" spans="1:33" s="37" customFormat="1" ht="42" customHeight="1" x14ac:dyDescent="0.2">
      <c r="A614" s="13">
        <f t="shared" si="14"/>
        <v>51</v>
      </c>
      <c r="B614" s="11"/>
      <c r="C614" s="144" t="s">
        <v>697</v>
      </c>
      <c r="D614" s="13"/>
      <c r="E614" s="13"/>
      <c r="F614" s="18"/>
      <c r="G614" s="1"/>
      <c r="H614" s="60"/>
      <c r="I614" s="13"/>
      <c r="J614" s="5"/>
      <c r="K614" s="5"/>
      <c r="L614" s="4"/>
      <c r="M614" s="4"/>
      <c r="N614" s="1"/>
      <c r="O614" s="5"/>
      <c r="P614" s="3"/>
      <c r="Q614" s="4"/>
      <c r="R614" s="47"/>
      <c r="S614" s="13"/>
      <c r="T614" s="6"/>
      <c r="U614" s="17"/>
      <c r="V614" s="3"/>
      <c r="W614" s="4"/>
      <c r="X614" s="13"/>
      <c r="Y614" s="48"/>
      <c r="Z614" s="48"/>
      <c r="AA614" s="20"/>
      <c r="AB614" s="48"/>
      <c r="AC614" s="48"/>
      <c r="AD614" s="7"/>
      <c r="AE614" s="2" t="s">
        <v>567</v>
      </c>
      <c r="AF614" s="2"/>
      <c r="AG614" s="2"/>
    </row>
    <row r="615" spans="1:33" s="37" customFormat="1" ht="63.75" x14ac:dyDescent="0.2">
      <c r="A615" s="13">
        <f t="shared" si="14"/>
        <v>51</v>
      </c>
      <c r="B615" s="11"/>
      <c r="C615" s="144"/>
      <c r="D615" s="13"/>
      <c r="E615" s="13"/>
      <c r="F615" s="2"/>
      <c r="G615" s="1"/>
      <c r="H615" s="50"/>
      <c r="I615" s="51"/>
      <c r="J615" s="51"/>
      <c r="K615" s="51"/>
      <c r="L615" s="51"/>
      <c r="M615" s="51"/>
      <c r="N615" s="51"/>
      <c r="O615" s="51"/>
      <c r="P615" s="51"/>
      <c r="Q615" s="51"/>
      <c r="R615" s="2"/>
      <c r="S615" s="51"/>
      <c r="T615" s="51"/>
      <c r="U615" s="50"/>
      <c r="V615" s="51"/>
      <c r="W615" s="51"/>
      <c r="X615" s="50"/>
      <c r="Y615" s="50"/>
      <c r="Z615" s="50"/>
      <c r="AA615" s="257"/>
      <c r="AB615" s="50"/>
      <c r="AC615" s="50"/>
      <c r="AD615" s="51"/>
      <c r="AE615" s="1" t="s">
        <v>1711</v>
      </c>
      <c r="AF615" s="1"/>
      <c r="AG615" s="1"/>
    </row>
    <row r="616" spans="1:33" s="37" customFormat="1" ht="12.75" x14ac:dyDescent="0.2">
      <c r="A616" s="13">
        <f t="shared" si="14"/>
        <v>51</v>
      </c>
      <c r="B616" s="11"/>
      <c r="C616" s="1"/>
      <c r="D616" s="13"/>
      <c r="E616" s="13"/>
      <c r="F616" s="18"/>
      <c r="G616" s="1"/>
      <c r="H616" s="60"/>
      <c r="I616" s="13"/>
      <c r="J616" s="5"/>
      <c r="K616" s="5"/>
      <c r="L616" s="4"/>
      <c r="M616" s="4"/>
      <c r="N616" s="1"/>
      <c r="O616" s="5"/>
      <c r="P616" s="3"/>
      <c r="Q616" s="4"/>
      <c r="R616" s="47"/>
      <c r="S616" s="13"/>
      <c r="T616" s="6"/>
      <c r="U616" s="17"/>
      <c r="V616" s="3"/>
      <c r="W616" s="4"/>
      <c r="X616" s="13"/>
      <c r="Y616" s="48"/>
      <c r="Z616" s="48"/>
      <c r="AA616" s="20"/>
      <c r="AB616" s="48"/>
      <c r="AC616" s="48"/>
      <c r="AD616" s="7"/>
      <c r="AE616" s="1"/>
      <c r="AF616" s="1"/>
      <c r="AG616" s="1"/>
    </row>
    <row r="617" spans="1:33" s="37" customFormat="1" ht="12.75" x14ac:dyDescent="0.2">
      <c r="A617" s="13">
        <f t="shared" si="14"/>
        <v>51</v>
      </c>
      <c r="B617" s="11"/>
      <c r="C617" s="144"/>
      <c r="D617" s="13"/>
      <c r="E617" s="13"/>
      <c r="F617" s="18"/>
      <c r="G617" s="1"/>
      <c r="H617" s="60"/>
      <c r="I617" s="13"/>
      <c r="J617" s="5"/>
      <c r="K617" s="5"/>
      <c r="L617" s="4"/>
      <c r="M617" s="4"/>
      <c r="N617" s="1"/>
      <c r="O617" s="5"/>
      <c r="P617" s="3"/>
      <c r="Q617" s="4"/>
      <c r="R617" s="47"/>
      <c r="S617" s="13"/>
      <c r="T617" s="6"/>
      <c r="U617" s="17"/>
      <c r="V617" s="3"/>
      <c r="W617" s="4"/>
      <c r="X617" s="13"/>
      <c r="Y617" s="48"/>
      <c r="Z617" s="48"/>
      <c r="AA617" s="20"/>
      <c r="AB617" s="48"/>
      <c r="AC617" s="48"/>
      <c r="AD617" s="7"/>
      <c r="AE617" s="1"/>
      <c r="AF617" s="1"/>
      <c r="AG617" s="1"/>
    </row>
    <row r="618" spans="1:33" s="37" customFormat="1" ht="12.75" x14ac:dyDescent="0.2">
      <c r="A618" s="13">
        <f t="shared" si="14"/>
        <v>51</v>
      </c>
      <c r="B618" s="11"/>
      <c r="C618" s="144"/>
      <c r="D618" s="13"/>
      <c r="E618" s="13"/>
      <c r="F618" s="18"/>
      <c r="G618" s="1"/>
      <c r="H618" s="60"/>
      <c r="I618" s="13"/>
      <c r="J618" s="5"/>
      <c r="K618" s="5"/>
      <c r="L618" s="4"/>
      <c r="M618" s="4"/>
      <c r="N618" s="1"/>
      <c r="O618" s="5"/>
      <c r="P618" s="3"/>
      <c r="Q618" s="4"/>
      <c r="R618" s="146"/>
      <c r="S618" s="147"/>
      <c r="T618" s="6"/>
      <c r="U618" s="17"/>
      <c r="V618" s="3"/>
      <c r="W618" s="4"/>
      <c r="X618" s="13"/>
      <c r="Y618" s="48"/>
      <c r="Z618" s="48"/>
      <c r="AA618" s="20"/>
      <c r="AB618" s="48"/>
      <c r="AC618" s="48"/>
      <c r="AD618" s="7"/>
      <c r="AE618" s="2"/>
      <c r="AF618" s="2"/>
      <c r="AG618" s="2"/>
    </row>
    <row r="619" spans="1:33" s="37" customFormat="1" ht="12.75" x14ac:dyDescent="0.2">
      <c r="A619" s="13">
        <f t="shared" si="14"/>
        <v>51</v>
      </c>
      <c r="B619" s="11"/>
      <c r="C619" s="144"/>
      <c r="D619" s="13"/>
      <c r="E619" s="13"/>
      <c r="F619" s="18"/>
      <c r="G619" s="1"/>
      <c r="H619" s="60"/>
      <c r="I619" s="13"/>
      <c r="J619" s="5"/>
      <c r="K619" s="5"/>
      <c r="L619" s="4"/>
      <c r="M619" s="4"/>
      <c r="N619" s="1"/>
      <c r="O619" s="5"/>
      <c r="P619" s="3"/>
      <c r="Q619" s="4"/>
      <c r="R619" s="145"/>
      <c r="S619" s="147"/>
      <c r="T619" s="6"/>
      <c r="U619" s="17"/>
      <c r="V619" s="3"/>
      <c r="W619" s="4"/>
      <c r="X619" s="13"/>
      <c r="Y619" s="48"/>
      <c r="Z619" s="48"/>
      <c r="AA619" s="20"/>
      <c r="AB619" s="48"/>
      <c r="AC619" s="48"/>
      <c r="AD619" s="7"/>
      <c r="AE619" s="2"/>
      <c r="AF619" s="2"/>
      <c r="AG619" s="2"/>
    </row>
    <row r="620" spans="1:33" s="37" customFormat="1" ht="25.5" x14ac:dyDescent="0.2">
      <c r="A620" s="13">
        <f t="shared" si="14"/>
        <v>52</v>
      </c>
      <c r="B620" s="11">
        <v>52</v>
      </c>
      <c r="C620" s="143" t="s">
        <v>43</v>
      </c>
      <c r="D620" s="13">
        <v>3</v>
      </c>
      <c r="E620" s="13">
        <v>86</v>
      </c>
      <c r="F620" s="18">
        <v>710</v>
      </c>
      <c r="G620" s="1" t="s">
        <v>551</v>
      </c>
      <c r="H620" s="60">
        <v>2017.1</v>
      </c>
      <c r="I620" s="13"/>
      <c r="J620" s="5"/>
      <c r="K620" s="5"/>
      <c r="L620" s="4"/>
      <c r="M620" s="4"/>
      <c r="N620" s="1"/>
      <c r="O620" s="5"/>
      <c r="P620" s="3"/>
      <c r="Q620" s="4"/>
      <c r="R620" s="47"/>
      <c r="S620" s="13"/>
      <c r="T620" s="6"/>
      <c r="U620" s="17"/>
      <c r="V620" s="3"/>
      <c r="W620" s="4"/>
      <c r="X620" s="13"/>
      <c r="Y620" s="48"/>
      <c r="Z620" s="48"/>
      <c r="AA620" s="20"/>
      <c r="AB620" s="48"/>
      <c r="AC620" s="48"/>
      <c r="AD620" s="7"/>
      <c r="AE620" s="1" t="s">
        <v>1712</v>
      </c>
      <c r="AF620" s="1"/>
      <c r="AG620" s="1"/>
    </row>
    <row r="621" spans="1:33" s="37" customFormat="1" ht="39.75" customHeight="1" x14ac:dyDescent="0.2">
      <c r="A621" s="13">
        <f t="shared" si="14"/>
        <v>52</v>
      </c>
      <c r="B621" s="11"/>
      <c r="C621" s="144" t="s">
        <v>236</v>
      </c>
      <c r="D621" s="13"/>
      <c r="E621" s="13"/>
      <c r="F621" s="18"/>
      <c r="G621" s="1" t="s">
        <v>564</v>
      </c>
      <c r="H621" s="60">
        <v>13.9</v>
      </c>
      <c r="I621" s="13"/>
      <c r="J621" s="5"/>
      <c r="K621" s="5"/>
      <c r="L621" s="4"/>
      <c r="M621" s="4"/>
      <c r="N621" s="1"/>
      <c r="O621" s="5"/>
      <c r="P621" s="3"/>
      <c r="Q621" s="4"/>
      <c r="R621" s="47"/>
      <c r="S621" s="13"/>
      <c r="T621" s="6"/>
      <c r="U621" s="17"/>
      <c r="V621" s="3"/>
      <c r="W621" s="4"/>
      <c r="X621" s="13"/>
      <c r="Y621" s="48"/>
      <c r="Z621" s="48"/>
      <c r="AA621" s="20"/>
      <c r="AB621" s="48"/>
      <c r="AC621" s="48"/>
      <c r="AD621" s="7"/>
      <c r="AE621" s="1" t="s">
        <v>568</v>
      </c>
      <c r="AF621" s="1"/>
      <c r="AG621" s="1"/>
    </row>
    <row r="622" spans="1:33" s="37" customFormat="1" ht="38.25" x14ac:dyDescent="0.2">
      <c r="A622" s="13">
        <f t="shared" si="14"/>
        <v>52</v>
      </c>
      <c r="B622" s="11"/>
      <c r="C622" s="1" t="s">
        <v>698</v>
      </c>
      <c r="D622" s="13"/>
      <c r="E622" s="13"/>
      <c r="F622" s="18"/>
      <c r="G622" s="1"/>
      <c r="H622" s="60"/>
      <c r="I622" s="13"/>
      <c r="J622" s="5"/>
      <c r="K622" s="5"/>
      <c r="L622" s="4"/>
      <c r="M622" s="4"/>
      <c r="N622" s="1"/>
      <c r="O622" s="5"/>
      <c r="P622" s="3"/>
      <c r="Q622" s="4"/>
      <c r="R622" s="47"/>
      <c r="S622" s="13"/>
      <c r="T622" s="6"/>
      <c r="U622" s="17"/>
      <c r="V622" s="3"/>
      <c r="W622" s="4"/>
      <c r="X622" s="13"/>
      <c r="Y622" s="48"/>
      <c r="Z622" s="48"/>
      <c r="AA622" s="20"/>
      <c r="AB622" s="48"/>
      <c r="AC622" s="48"/>
      <c r="AD622" s="7"/>
      <c r="AE622" s="2" t="s">
        <v>569</v>
      </c>
      <c r="AF622" s="2"/>
      <c r="AG622" s="2"/>
    </row>
    <row r="623" spans="1:33" s="37" customFormat="1" ht="63.75" x14ac:dyDescent="0.2">
      <c r="A623" s="13">
        <f t="shared" si="14"/>
        <v>52</v>
      </c>
      <c r="B623" s="11"/>
      <c r="C623" s="143"/>
      <c r="D623" s="13"/>
      <c r="E623" s="13"/>
      <c r="F623" s="2"/>
      <c r="G623" s="1"/>
      <c r="H623" s="50"/>
      <c r="I623" s="51"/>
      <c r="J623" s="51"/>
      <c r="K623" s="51"/>
      <c r="L623" s="51"/>
      <c r="M623" s="51"/>
      <c r="N623" s="51"/>
      <c r="O623" s="51"/>
      <c r="P623" s="51"/>
      <c r="Q623" s="51"/>
      <c r="R623" s="2"/>
      <c r="S623" s="51"/>
      <c r="T623" s="51"/>
      <c r="U623" s="50"/>
      <c r="V623" s="51"/>
      <c r="W623" s="51"/>
      <c r="X623" s="50"/>
      <c r="Y623" s="50"/>
      <c r="Z623" s="50"/>
      <c r="AA623" s="257"/>
      <c r="AB623" s="50"/>
      <c r="AC623" s="50"/>
      <c r="AD623" s="51"/>
      <c r="AE623" s="1" t="s">
        <v>1713</v>
      </c>
      <c r="AF623" s="1"/>
      <c r="AG623" s="1"/>
    </row>
    <row r="624" spans="1:33" s="37" customFormat="1" ht="12.75" x14ac:dyDescent="0.2">
      <c r="A624" s="13">
        <f t="shared" si="14"/>
        <v>52</v>
      </c>
      <c r="B624" s="11"/>
      <c r="C624" s="1"/>
      <c r="D624" s="13"/>
      <c r="E624" s="13"/>
      <c r="F624" s="18"/>
      <c r="G624" s="1"/>
      <c r="H624" s="60"/>
      <c r="I624" s="13"/>
      <c r="J624" s="5"/>
      <c r="K624" s="5"/>
      <c r="L624" s="4"/>
      <c r="M624" s="4"/>
      <c r="N624" s="145"/>
      <c r="O624" s="146"/>
      <c r="P624" s="146"/>
      <c r="Q624" s="146"/>
      <c r="R624" s="145"/>
      <c r="S624" s="147"/>
      <c r="T624" s="6"/>
      <c r="U624" s="17"/>
      <c r="V624" s="3"/>
      <c r="W624" s="4"/>
      <c r="X624" s="13"/>
      <c r="Y624" s="48"/>
      <c r="Z624" s="48"/>
      <c r="AA624" s="20"/>
      <c r="AB624" s="48"/>
      <c r="AC624" s="48"/>
      <c r="AD624" s="7"/>
      <c r="AE624" s="2"/>
      <c r="AF624" s="2"/>
      <c r="AG624" s="2"/>
    </row>
    <row r="625" spans="1:33" s="37" customFormat="1" ht="12.75" x14ac:dyDescent="0.2">
      <c r="A625" s="13">
        <f t="shared" si="14"/>
        <v>52</v>
      </c>
      <c r="B625" s="11"/>
      <c r="C625" s="1"/>
      <c r="D625" s="13"/>
      <c r="E625" s="13"/>
      <c r="F625" s="18"/>
      <c r="G625" s="1"/>
      <c r="H625" s="60"/>
      <c r="I625" s="13"/>
      <c r="J625" s="5"/>
      <c r="K625" s="5"/>
      <c r="L625" s="4"/>
      <c r="M625" s="4"/>
      <c r="N625" s="145"/>
      <c r="O625" s="146"/>
      <c r="P625" s="146"/>
      <c r="Q625" s="146"/>
      <c r="R625" s="145"/>
      <c r="S625" s="147"/>
      <c r="T625" s="6"/>
      <c r="U625" s="17"/>
      <c r="V625" s="3"/>
      <c r="W625" s="4"/>
      <c r="X625" s="13"/>
      <c r="Y625" s="48"/>
      <c r="Z625" s="48"/>
      <c r="AA625" s="20"/>
      <c r="AB625" s="48"/>
      <c r="AC625" s="48"/>
      <c r="AD625" s="7"/>
      <c r="AE625" s="2"/>
      <c r="AF625" s="2"/>
      <c r="AG625" s="2"/>
    </row>
    <row r="626" spans="1:33" s="37" customFormat="1" ht="114.75" x14ac:dyDescent="0.2">
      <c r="A626" s="13">
        <f t="shared" si="14"/>
        <v>53</v>
      </c>
      <c r="B626" s="11">
        <v>53</v>
      </c>
      <c r="C626" s="21" t="s">
        <v>391</v>
      </c>
      <c r="D626" s="13">
        <v>4</v>
      </c>
      <c r="E626" s="13">
        <v>86</v>
      </c>
      <c r="F626" s="18" t="s">
        <v>570</v>
      </c>
      <c r="G626" s="1" t="s">
        <v>1747</v>
      </c>
      <c r="H626" s="60">
        <v>15.3</v>
      </c>
      <c r="I626" s="13"/>
      <c r="J626" s="5"/>
      <c r="K626" s="5"/>
      <c r="L626" s="4"/>
      <c r="M626" s="4"/>
      <c r="N626" s="1"/>
      <c r="O626" s="5"/>
      <c r="P626" s="3"/>
      <c r="Q626" s="4"/>
      <c r="R626" s="47"/>
      <c r="S626" s="13"/>
      <c r="T626" s="6"/>
      <c r="U626" s="17"/>
      <c r="V626" s="3"/>
      <c r="W626" s="4"/>
      <c r="X626" s="13"/>
      <c r="Y626" s="48"/>
      <c r="Z626" s="48"/>
      <c r="AA626" s="20"/>
      <c r="AB626" s="48"/>
      <c r="AC626" s="48"/>
      <c r="AD626" s="7"/>
      <c r="AE626" s="1" t="s">
        <v>571</v>
      </c>
      <c r="AF626" s="1"/>
      <c r="AG626" s="1"/>
    </row>
    <row r="627" spans="1:33" s="37" customFormat="1" ht="12.75" x14ac:dyDescent="0.2">
      <c r="A627" s="13">
        <f t="shared" si="14"/>
        <v>53</v>
      </c>
      <c r="B627" s="11"/>
      <c r="C627" s="1" t="s">
        <v>392</v>
      </c>
      <c r="D627" s="13"/>
      <c r="E627" s="13"/>
      <c r="F627" s="18"/>
      <c r="G627" s="1"/>
      <c r="H627" s="60"/>
      <c r="I627" s="13"/>
      <c r="J627" s="5"/>
      <c r="K627" s="5"/>
      <c r="L627" s="4"/>
      <c r="M627" s="4"/>
      <c r="N627" s="1"/>
      <c r="O627" s="5"/>
      <c r="P627" s="3"/>
      <c r="Q627" s="4"/>
      <c r="R627" s="47"/>
      <c r="S627" s="13"/>
      <c r="T627" s="6"/>
      <c r="U627" s="17"/>
      <c r="V627" s="3"/>
      <c r="W627" s="4"/>
      <c r="X627" s="13"/>
      <c r="Y627" s="48"/>
      <c r="Z627" s="48"/>
      <c r="AA627" s="20"/>
      <c r="AB627" s="48"/>
      <c r="AC627" s="48"/>
      <c r="AD627" s="7"/>
      <c r="AE627" s="2" t="s">
        <v>572</v>
      </c>
      <c r="AF627" s="2"/>
      <c r="AG627" s="2"/>
    </row>
    <row r="628" spans="1:33" s="37" customFormat="1" ht="38.25" x14ac:dyDescent="0.2">
      <c r="A628" s="13">
        <f t="shared" si="14"/>
        <v>53</v>
      </c>
      <c r="B628" s="11"/>
      <c r="C628" s="1" t="s">
        <v>699</v>
      </c>
      <c r="D628" s="13"/>
      <c r="E628" s="13"/>
      <c r="F628" s="18"/>
      <c r="G628" s="1"/>
      <c r="H628" s="60"/>
      <c r="I628" s="13"/>
      <c r="J628" s="5"/>
      <c r="K628" s="5"/>
      <c r="L628" s="4"/>
      <c r="M628" s="4"/>
      <c r="N628" s="1"/>
      <c r="O628" s="5"/>
      <c r="P628" s="3"/>
      <c r="Q628" s="4"/>
      <c r="R628" s="47"/>
      <c r="S628" s="13"/>
      <c r="T628" s="6"/>
      <c r="U628" s="17"/>
      <c r="V628" s="3"/>
      <c r="W628" s="4"/>
      <c r="X628" s="13"/>
      <c r="Y628" s="48"/>
      <c r="Z628" s="48"/>
      <c r="AA628" s="20"/>
      <c r="AB628" s="48"/>
      <c r="AC628" s="48"/>
      <c r="AD628" s="7"/>
      <c r="AE628" s="238" t="s">
        <v>1745</v>
      </c>
      <c r="AF628" s="2"/>
      <c r="AG628" s="2"/>
    </row>
    <row r="629" spans="1:33" s="37" customFormat="1" ht="12.75" x14ac:dyDescent="0.2">
      <c r="A629" s="13"/>
      <c r="B629" s="11"/>
      <c r="C629" s="1"/>
      <c r="D629" s="13"/>
      <c r="E629" s="13"/>
      <c r="F629" s="18"/>
      <c r="G629" s="1"/>
      <c r="H629" s="60"/>
      <c r="I629" s="13"/>
      <c r="J629" s="5"/>
      <c r="K629" s="5"/>
      <c r="L629" s="4"/>
      <c r="M629" s="4"/>
      <c r="N629" s="1"/>
      <c r="O629" s="5"/>
      <c r="P629" s="3"/>
      <c r="Q629" s="4"/>
      <c r="R629" s="47"/>
      <c r="S629" s="13"/>
      <c r="T629" s="6"/>
      <c r="U629" s="17"/>
      <c r="V629" s="3"/>
      <c r="W629" s="4"/>
      <c r="X629" s="13"/>
      <c r="Y629" s="48"/>
      <c r="Z629" s="48"/>
      <c r="AA629" s="20"/>
      <c r="AB629" s="48"/>
      <c r="AC629" s="48"/>
      <c r="AD629" s="7"/>
      <c r="AE629" s="238"/>
      <c r="AF629" s="2"/>
      <c r="AG629" s="2"/>
    </row>
    <row r="630" spans="1:33" s="37" customFormat="1" ht="12.75" x14ac:dyDescent="0.2">
      <c r="A630" s="13">
        <f>IF(B630&lt;&gt;0,B630,A628)</f>
        <v>53</v>
      </c>
      <c r="B630" s="11"/>
      <c r="C630" s="1"/>
      <c r="D630" s="13"/>
      <c r="E630" s="13"/>
      <c r="F630" s="18"/>
      <c r="G630" s="1"/>
      <c r="H630" s="60"/>
      <c r="I630" s="13"/>
      <c r="J630" s="5"/>
      <c r="K630" s="5"/>
      <c r="L630" s="4"/>
      <c r="M630" s="4"/>
      <c r="N630" s="1"/>
      <c r="O630" s="5"/>
      <c r="P630" s="3"/>
      <c r="Q630" s="4"/>
      <c r="R630" s="47"/>
      <c r="S630" s="13"/>
      <c r="T630" s="6"/>
      <c r="U630" s="17"/>
      <c r="V630" s="3"/>
      <c r="W630" s="4"/>
      <c r="X630" s="13"/>
      <c r="Y630" s="48"/>
      <c r="Z630" s="48"/>
      <c r="AA630" s="20"/>
      <c r="AB630" s="48"/>
      <c r="AC630" s="48"/>
      <c r="AD630" s="7"/>
      <c r="AE630" s="2"/>
      <c r="AF630" s="2"/>
      <c r="AG630" s="2"/>
    </row>
    <row r="631" spans="1:33" s="37" customFormat="1" ht="12.75" x14ac:dyDescent="0.2">
      <c r="A631" s="13">
        <f t="shared" ref="A631:A694" si="15">IF(B631&lt;&gt;0,B631,A630)</f>
        <v>53</v>
      </c>
      <c r="B631" s="11"/>
      <c r="C631" s="143"/>
      <c r="D631" s="13"/>
      <c r="E631" s="13"/>
      <c r="F631" s="18"/>
      <c r="G631" s="1"/>
      <c r="H631" s="60"/>
      <c r="I631" s="13"/>
      <c r="J631" s="5"/>
      <c r="K631" s="5"/>
      <c r="L631" s="4"/>
      <c r="M631" s="4"/>
      <c r="N631" s="1"/>
      <c r="O631" s="5"/>
      <c r="P631" s="3"/>
      <c r="Q631" s="4"/>
      <c r="R631" s="47"/>
      <c r="S631" s="13"/>
      <c r="T631" s="6"/>
      <c r="U631" s="17"/>
      <c r="V631" s="3"/>
      <c r="W631" s="4"/>
      <c r="X631" s="13"/>
      <c r="Y631" s="48"/>
      <c r="Z631" s="48"/>
      <c r="AA631" s="20"/>
      <c r="AB631" s="48"/>
      <c r="AC631" s="48"/>
      <c r="AD631" s="7"/>
      <c r="AE631" s="2"/>
      <c r="AF631" s="2"/>
      <c r="AG631" s="2"/>
    </row>
    <row r="632" spans="1:33" s="37" customFormat="1" ht="34.5" customHeight="1" x14ac:dyDescent="0.2">
      <c r="A632" s="13">
        <f t="shared" si="15"/>
        <v>54</v>
      </c>
      <c r="B632" s="11">
        <v>54</v>
      </c>
      <c r="C632" s="21" t="s">
        <v>237</v>
      </c>
      <c r="D632" s="13">
        <v>3</v>
      </c>
      <c r="E632" s="13">
        <v>86</v>
      </c>
      <c r="F632" s="18">
        <v>43</v>
      </c>
      <c r="G632" s="1" t="s">
        <v>551</v>
      </c>
      <c r="H632" s="60">
        <v>2593.9</v>
      </c>
      <c r="I632" s="13"/>
      <c r="J632" s="5"/>
      <c r="K632" s="5"/>
      <c r="L632" s="4"/>
      <c r="M632" s="4"/>
      <c r="N632" s="145" t="s">
        <v>61</v>
      </c>
      <c r="O632" s="5">
        <v>31</v>
      </c>
      <c r="P632" s="146"/>
      <c r="Q632" s="146"/>
      <c r="R632" s="145" t="s">
        <v>1763</v>
      </c>
      <c r="S632" s="150" t="s">
        <v>53</v>
      </c>
      <c r="T632" s="10">
        <v>23.92</v>
      </c>
      <c r="U632" s="150"/>
      <c r="V632" s="3"/>
      <c r="W632" s="4"/>
      <c r="X632" s="13" t="s">
        <v>54</v>
      </c>
      <c r="Y632" s="48" t="s">
        <v>55</v>
      </c>
      <c r="Z632" s="48" t="s">
        <v>56</v>
      </c>
      <c r="AA632" s="20" t="s">
        <v>57</v>
      </c>
      <c r="AB632" s="48" t="s">
        <v>54</v>
      </c>
      <c r="AC632" s="20" t="s">
        <v>430</v>
      </c>
      <c r="AD632" s="7"/>
      <c r="AE632" s="1" t="s">
        <v>573</v>
      </c>
      <c r="AF632" s="1"/>
      <c r="AG632" s="1"/>
    </row>
    <row r="633" spans="1:33" s="37" customFormat="1" ht="38.25" x14ac:dyDescent="0.2">
      <c r="A633" s="13">
        <f t="shared" si="15"/>
        <v>54</v>
      </c>
      <c r="B633" s="11"/>
      <c r="C633" s="1" t="s">
        <v>238</v>
      </c>
      <c r="D633" s="13"/>
      <c r="E633" s="13">
        <v>86</v>
      </c>
      <c r="F633" s="18">
        <v>64</v>
      </c>
      <c r="G633" s="1" t="s">
        <v>574</v>
      </c>
      <c r="H633" s="60">
        <v>1547.9</v>
      </c>
      <c r="I633" s="13"/>
      <c r="J633" s="5"/>
      <c r="K633" s="5"/>
      <c r="L633" s="4"/>
      <c r="M633" s="4"/>
      <c r="N633" s="145" t="s">
        <v>64</v>
      </c>
      <c r="O633" s="5">
        <v>9</v>
      </c>
      <c r="P633" s="146"/>
      <c r="Q633" s="146"/>
      <c r="R633" s="145" t="s">
        <v>1763</v>
      </c>
      <c r="S633" s="150" t="s">
        <v>53</v>
      </c>
      <c r="T633" s="10">
        <v>23.92</v>
      </c>
      <c r="U633" s="150"/>
      <c r="V633" s="3"/>
      <c r="W633" s="4"/>
      <c r="X633" s="13" t="s">
        <v>54</v>
      </c>
      <c r="Y633" s="48" t="s">
        <v>55</v>
      </c>
      <c r="Z633" s="48" t="s">
        <v>56</v>
      </c>
      <c r="AA633" s="20" t="s">
        <v>57</v>
      </c>
      <c r="AB633" s="48" t="s">
        <v>54</v>
      </c>
      <c r="AC633" s="20" t="s">
        <v>430</v>
      </c>
      <c r="AD633" s="7"/>
      <c r="AE633" s="1" t="s">
        <v>575</v>
      </c>
      <c r="AF633" s="1"/>
      <c r="AG633" s="1"/>
    </row>
    <row r="634" spans="1:33" s="37" customFormat="1" ht="35.25" customHeight="1" x14ac:dyDescent="0.2">
      <c r="A634" s="13">
        <f t="shared" si="15"/>
        <v>54</v>
      </c>
      <c r="B634" s="11"/>
      <c r="C634" s="21" t="s">
        <v>239</v>
      </c>
      <c r="D634" s="13"/>
      <c r="E634" s="13"/>
      <c r="F634" s="18"/>
      <c r="G634" s="1" t="s">
        <v>576</v>
      </c>
      <c r="H634" s="60">
        <v>20.5</v>
      </c>
      <c r="I634" s="13"/>
      <c r="J634" s="5"/>
      <c r="K634" s="5"/>
      <c r="L634" s="4"/>
      <c r="M634" s="4"/>
      <c r="N634" s="145" t="s">
        <v>67</v>
      </c>
      <c r="O634" s="5">
        <v>11</v>
      </c>
      <c r="P634" s="146"/>
      <c r="Q634" s="146"/>
      <c r="R634" s="149" t="s">
        <v>1864</v>
      </c>
      <c r="S634" s="150" t="s">
        <v>53</v>
      </c>
      <c r="T634" s="10">
        <v>2.6</v>
      </c>
      <c r="U634" s="150"/>
      <c r="V634" s="3"/>
      <c r="W634" s="4"/>
      <c r="X634" s="13"/>
      <c r="Y634" s="48"/>
      <c r="Z634" s="48" t="s">
        <v>56</v>
      </c>
      <c r="AA634" s="20" t="s">
        <v>57</v>
      </c>
      <c r="AB634" s="48" t="s">
        <v>54</v>
      </c>
      <c r="AC634" s="48"/>
      <c r="AD634" s="7"/>
      <c r="AE634" s="1" t="s">
        <v>577</v>
      </c>
      <c r="AF634" s="1"/>
      <c r="AG634" s="1"/>
    </row>
    <row r="635" spans="1:33" s="37" customFormat="1" ht="35.25" customHeight="1" x14ac:dyDescent="0.2">
      <c r="A635" s="13">
        <f t="shared" si="15"/>
        <v>54</v>
      </c>
      <c r="B635" s="11"/>
      <c r="C635" s="1" t="s">
        <v>240</v>
      </c>
      <c r="D635" s="13"/>
      <c r="E635" s="13"/>
      <c r="F635" s="18"/>
      <c r="G635" s="1" t="s">
        <v>578</v>
      </c>
      <c r="H635" s="60">
        <v>27.5</v>
      </c>
      <c r="I635" s="13"/>
      <c r="J635" s="5"/>
      <c r="K635" s="5"/>
      <c r="L635" s="4"/>
      <c r="M635" s="4"/>
      <c r="N635" s="145" t="s">
        <v>72</v>
      </c>
      <c r="O635" s="5">
        <v>243</v>
      </c>
      <c r="P635" s="146"/>
      <c r="Q635" s="146"/>
      <c r="R635" s="145" t="s">
        <v>1864</v>
      </c>
      <c r="S635" s="150" t="s">
        <v>53</v>
      </c>
      <c r="T635" s="10">
        <v>2.6</v>
      </c>
      <c r="U635" s="150"/>
      <c r="V635" s="3"/>
      <c r="W635" s="4"/>
      <c r="X635" s="13"/>
      <c r="Y635" s="48"/>
      <c r="Z635" s="48" t="s">
        <v>56</v>
      </c>
      <c r="AA635" s="20" t="s">
        <v>57</v>
      </c>
      <c r="AB635" s="48" t="s">
        <v>139</v>
      </c>
      <c r="AC635" s="48"/>
      <c r="AD635" s="7"/>
      <c r="AE635" s="2" t="s">
        <v>579</v>
      </c>
      <c r="AF635" s="2"/>
      <c r="AG635" s="2"/>
    </row>
    <row r="636" spans="1:33" s="37" customFormat="1" ht="38.25" x14ac:dyDescent="0.2">
      <c r="A636" s="13">
        <f t="shared" si="15"/>
        <v>54</v>
      </c>
      <c r="B636" s="11"/>
      <c r="C636" s="34" t="s">
        <v>700</v>
      </c>
      <c r="D636" s="13"/>
      <c r="E636" s="13"/>
      <c r="F636" s="18"/>
      <c r="G636" s="1"/>
      <c r="H636" s="60"/>
      <c r="I636" s="13"/>
      <c r="J636" s="5"/>
      <c r="K636" s="5"/>
      <c r="L636" s="4"/>
      <c r="M636" s="4"/>
      <c r="N636" s="145" t="s">
        <v>73</v>
      </c>
      <c r="O636" s="5">
        <v>312</v>
      </c>
      <c r="P636" s="146"/>
      <c r="Q636" s="146"/>
      <c r="R636" s="145" t="s">
        <v>1844</v>
      </c>
      <c r="S636" s="150" t="s">
        <v>53</v>
      </c>
      <c r="T636" s="10">
        <v>21.42</v>
      </c>
      <c r="U636" s="150"/>
      <c r="V636" s="3"/>
      <c r="W636" s="4"/>
      <c r="X636" s="13"/>
      <c r="Y636" s="48" t="s">
        <v>55</v>
      </c>
      <c r="Z636" s="48" t="s">
        <v>141</v>
      </c>
      <c r="AA636" s="20"/>
      <c r="AB636" s="48" t="s">
        <v>66</v>
      </c>
      <c r="AC636" s="48"/>
      <c r="AD636" s="7"/>
      <c r="AE636" s="12" t="s">
        <v>111</v>
      </c>
      <c r="AF636" s="12"/>
      <c r="AG636" s="12"/>
    </row>
    <row r="637" spans="1:33" s="37" customFormat="1" ht="53.25" customHeight="1" x14ac:dyDescent="0.2">
      <c r="A637" s="13">
        <f t="shared" si="15"/>
        <v>54</v>
      </c>
      <c r="B637" s="11"/>
      <c r="C637" s="1"/>
      <c r="D637" s="13"/>
      <c r="E637" s="13"/>
      <c r="F637" s="18"/>
      <c r="G637" s="1"/>
      <c r="H637" s="60"/>
      <c r="I637" s="13"/>
      <c r="J637" s="5"/>
      <c r="K637" s="5"/>
      <c r="L637" s="4"/>
      <c r="M637" s="4"/>
      <c r="N637" s="145" t="s">
        <v>75</v>
      </c>
      <c r="O637" s="5">
        <v>198</v>
      </c>
      <c r="P637" s="146"/>
      <c r="Q637" s="146"/>
      <c r="R637" s="84" t="s">
        <v>1767</v>
      </c>
      <c r="S637" s="150" t="s">
        <v>53</v>
      </c>
      <c r="T637" s="10">
        <v>15.3</v>
      </c>
      <c r="U637" s="150"/>
      <c r="V637" s="3"/>
      <c r="W637" s="4"/>
      <c r="X637" s="13"/>
      <c r="Y637" s="48"/>
      <c r="Z637" s="48"/>
      <c r="AA637" s="20"/>
      <c r="AB637" s="48"/>
      <c r="AC637" s="48"/>
      <c r="AD637" s="7"/>
      <c r="AE637" s="1" t="s">
        <v>580</v>
      </c>
      <c r="AF637" s="1"/>
      <c r="AG637" s="1"/>
    </row>
    <row r="638" spans="1:33" s="37" customFormat="1" ht="76.5" customHeight="1" x14ac:dyDescent="0.2">
      <c r="A638" s="13">
        <f t="shared" si="15"/>
        <v>54</v>
      </c>
      <c r="B638" s="11"/>
      <c r="C638" s="1"/>
      <c r="D638" s="13"/>
      <c r="E638" s="13"/>
      <c r="F638" s="18"/>
      <c r="G638" s="1"/>
      <c r="H638" s="60"/>
      <c r="I638" s="13"/>
      <c r="J638" s="5"/>
      <c r="K638" s="5"/>
      <c r="L638" s="4"/>
      <c r="M638" s="4"/>
      <c r="N638" s="1" t="s">
        <v>183</v>
      </c>
      <c r="O638" s="5">
        <v>8</v>
      </c>
      <c r="P638" s="3"/>
      <c r="Q638" s="4"/>
      <c r="R638" s="47" t="s">
        <v>1768</v>
      </c>
      <c r="S638" s="150" t="s">
        <v>53</v>
      </c>
      <c r="T638" s="10">
        <v>15.3</v>
      </c>
      <c r="U638" s="17"/>
      <c r="V638" s="3"/>
      <c r="W638" s="4"/>
      <c r="X638" s="13"/>
      <c r="Y638" s="48"/>
      <c r="Z638" s="48"/>
      <c r="AA638" s="20"/>
      <c r="AB638" s="48"/>
      <c r="AC638" s="48"/>
      <c r="AD638" s="7"/>
      <c r="AE638" s="1" t="s">
        <v>581</v>
      </c>
      <c r="AF638" s="1"/>
      <c r="AG638" s="1"/>
    </row>
    <row r="639" spans="1:33" s="37" customFormat="1" ht="21" customHeight="1" x14ac:dyDescent="0.2">
      <c r="A639" s="13">
        <f t="shared" si="15"/>
        <v>54</v>
      </c>
      <c r="B639" s="11"/>
      <c r="C639" s="1"/>
      <c r="D639" s="13"/>
      <c r="E639" s="13"/>
      <c r="F639" s="18"/>
      <c r="G639" s="1"/>
      <c r="H639" s="60"/>
      <c r="I639" s="13"/>
      <c r="J639" s="5"/>
      <c r="K639" s="5"/>
      <c r="L639" s="4"/>
      <c r="M639" s="4"/>
      <c r="N639" s="1" t="s">
        <v>70</v>
      </c>
      <c r="O639" s="5">
        <v>20</v>
      </c>
      <c r="P639" s="3"/>
      <c r="Q639" s="4"/>
      <c r="R639" s="84" t="s">
        <v>1844</v>
      </c>
      <c r="S639" s="150" t="s">
        <v>53</v>
      </c>
      <c r="T639" s="10">
        <v>7.28</v>
      </c>
      <c r="U639" s="17"/>
      <c r="V639" s="3"/>
      <c r="W639" s="4"/>
      <c r="X639" s="13"/>
      <c r="Y639" s="48"/>
      <c r="Z639" s="48"/>
      <c r="AA639" s="20"/>
      <c r="AB639" s="48"/>
      <c r="AC639" s="48"/>
      <c r="AD639" s="7"/>
      <c r="AE639" s="2"/>
      <c r="AF639" s="2"/>
      <c r="AG639" s="2"/>
    </row>
    <row r="640" spans="1:33" s="37" customFormat="1" ht="21" customHeight="1" x14ac:dyDescent="0.2">
      <c r="A640" s="13">
        <f t="shared" si="15"/>
        <v>54</v>
      </c>
      <c r="B640" s="11"/>
      <c r="C640" s="143"/>
      <c r="D640" s="13"/>
      <c r="E640" s="13"/>
      <c r="F640" s="18"/>
      <c r="G640" s="1"/>
      <c r="H640" s="60"/>
      <c r="I640" s="13"/>
      <c r="J640" s="5"/>
      <c r="K640" s="5"/>
      <c r="L640" s="4"/>
      <c r="M640" s="4"/>
      <c r="N640" s="1" t="s">
        <v>133</v>
      </c>
      <c r="O640" s="5">
        <v>5</v>
      </c>
      <c r="P640" s="3"/>
      <c r="Q640" s="4"/>
      <c r="R640" s="47" t="s">
        <v>1768</v>
      </c>
      <c r="S640" s="150" t="s">
        <v>53</v>
      </c>
      <c r="T640" s="10">
        <v>17.5</v>
      </c>
      <c r="U640" s="17"/>
      <c r="V640" s="3"/>
      <c r="W640" s="4"/>
      <c r="X640" s="147"/>
      <c r="Y640" s="150"/>
      <c r="Z640" s="136"/>
      <c r="AA640" s="20"/>
      <c r="AB640" s="48"/>
      <c r="AC640" s="48"/>
      <c r="AD640" s="7"/>
      <c r="AE640" s="2"/>
      <c r="AF640" s="2"/>
      <c r="AG640" s="2"/>
    </row>
    <row r="641" spans="1:33" s="37" customFormat="1" ht="27.75" customHeight="1" x14ac:dyDescent="0.2">
      <c r="A641" s="13">
        <f t="shared" si="15"/>
        <v>54</v>
      </c>
      <c r="B641" s="11"/>
      <c r="C641" s="144"/>
      <c r="D641" s="13"/>
      <c r="E641" s="13"/>
      <c r="F641" s="18"/>
      <c r="G641" s="1"/>
      <c r="H641" s="60"/>
      <c r="I641" s="13"/>
      <c r="J641" s="5"/>
      <c r="K641" s="5"/>
      <c r="L641" s="4"/>
      <c r="M641" s="4"/>
      <c r="N641" s="1" t="s">
        <v>145</v>
      </c>
      <c r="O641" s="5">
        <v>5</v>
      </c>
      <c r="P641" s="3"/>
      <c r="Q641" s="4"/>
      <c r="R641" s="47" t="s">
        <v>1865</v>
      </c>
      <c r="S641" s="150" t="s">
        <v>53</v>
      </c>
      <c r="T641" s="10">
        <v>371.04</v>
      </c>
      <c r="U641" s="17"/>
      <c r="V641" s="3"/>
      <c r="W641" s="4"/>
      <c r="X641" s="18"/>
      <c r="Y641" s="150"/>
      <c r="Z641" s="10"/>
      <c r="AA641" s="20"/>
      <c r="AB641" s="48"/>
      <c r="AC641" s="48"/>
      <c r="AD641" s="7"/>
      <c r="AE641" s="2"/>
      <c r="AF641" s="2"/>
      <c r="AG641" s="2"/>
    </row>
    <row r="642" spans="1:33" s="37" customFormat="1" ht="31.5" customHeight="1" x14ac:dyDescent="0.2">
      <c r="A642" s="13">
        <f t="shared" si="15"/>
        <v>54</v>
      </c>
      <c r="B642" s="11"/>
      <c r="C642" s="144"/>
      <c r="D642" s="13"/>
      <c r="E642" s="13"/>
      <c r="F642" s="18"/>
      <c r="G642" s="1"/>
      <c r="H642" s="60"/>
      <c r="I642" s="13"/>
      <c r="J642" s="5"/>
      <c r="K642" s="5"/>
      <c r="L642" s="4"/>
      <c r="M642" s="4"/>
      <c r="N642" s="1" t="s">
        <v>77</v>
      </c>
      <c r="O642" s="5">
        <v>15</v>
      </c>
      <c r="P642" s="3"/>
      <c r="Q642" s="4"/>
      <c r="R642" s="47" t="s">
        <v>1866</v>
      </c>
      <c r="S642" s="150" t="s">
        <v>53</v>
      </c>
      <c r="T642" s="10">
        <v>17.64</v>
      </c>
      <c r="U642" s="17"/>
      <c r="V642" s="3"/>
      <c r="W642" s="4"/>
      <c r="X642" s="18"/>
      <c r="Y642" s="150"/>
      <c r="Z642" s="10"/>
      <c r="AA642" s="20"/>
      <c r="AB642" s="48"/>
      <c r="AC642" s="48"/>
      <c r="AD642" s="7"/>
      <c r="AE642" s="2"/>
      <c r="AF642" s="2"/>
      <c r="AG642" s="2"/>
    </row>
    <row r="643" spans="1:33" s="37" customFormat="1" ht="21" customHeight="1" x14ac:dyDescent="0.2">
      <c r="A643" s="13">
        <f t="shared" si="15"/>
        <v>54</v>
      </c>
      <c r="B643" s="11"/>
      <c r="C643" s="1"/>
      <c r="D643" s="13"/>
      <c r="E643" s="13"/>
      <c r="F643" s="18"/>
      <c r="G643" s="1"/>
      <c r="H643" s="60"/>
      <c r="I643" s="13"/>
      <c r="J643" s="5"/>
      <c r="K643" s="5"/>
      <c r="L643" s="4"/>
      <c r="M643" s="4"/>
      <c r="N643" s="1" t="s">
        <v>79</v>
      </c>
      <c r="O643" s="5">
        <v>13</v>
      </c>
      <c r="P643" s="3"/>
      <c r="Q643" s="4"/>
      <c r="R643" s="84" t="s">
        <v>1844</v>
      </c>
      <c r="S643" s="150" t="s">
        <v>53</v>
      </c>
      <c r="T643" s="10">
        <v>6.4</v>
      </c>
      <c r="U643" s="17"/>
      <c r="V643" s="3"/>
      <c r="W643" s="4"/>
      <c r="X643" s="18"/>
      <c r="Y643" s="150"/>
      <c r="Z643" s="10"/>
      <c r="AA643" s="20"/>
      <c r="AB643" s="48"/>
      <c r="AC643" s="48"/>
      <c r="AD643" s="7"/>
      <c r="AE643" s="2"/>
      <c r="AF643" s="2"/>
      <c r="AG643" s="2"/>
    </row>
    <row r="644" spans="1:33" s="37" customFormat="1" ht="35.25" customHeight="1" x14ac:dyDescent="0.2">
      <c r="A644" s="13">
        <f t="shared" si="15"/>
        <v>54</v>
      </c>
      <c r="B644" s="11"/>
      <c r="C644" s="1"/>
      <c r="D644" s="13"/>
      <c r="E644" s="13"/>
      <c r="F644" s="18"/>
      <c r="G644" s="1"/>
      <c r="H644" s="60"/>
      <c r="I644" s="13"/>
      <c r="J644" s="5"/>
      <c r="K644" s="5"/>
      <c r="L644" s="4"/>
      <c r="M644" s="4"/>
      <c r="N644" s="1" t="s">
        <v>410</v>
      </c>
      <c r="O644" s="5">
        <v>3</v>
      </c>
      <c r="P644" s="3"/>
      <c r="Q644" s="4"/>
      <c r="R644" s="47" t="s">
        <v>1867</v>
      </c>
      <c r="S644" s="150" t="s">
        <v>53</v>
      </c>
      <c r="T644" s="10">
        <v>7.77</v>
      </c>
      <c r="U644" s="17"/>
      <c r="V644" s="3"/>
      <c r="W644" s="4"/>
      <c r="X644" s="18"/>
      <c r="Y644" s="150"/>
      <c r="Z644" s="10"/>
      <c r="AA644" s="20"/>
      <c r="AB644" s="48"/>
      <c r="AC644" s="48"/>
      <c r="AD644" s="7"/>
      <c r="AE644" s="2"/>
      <c r="AF644" s="2"/>
      <c r="AG644" s="2"/>
    </row>
    <row r="645" spans="1:33" s="37" customFormat="1" ht="21" customHeight="1" x14ac:dyDescent="0.2">
      <c r="A645" s="13">
        <f t="shared" si="15"/>
        <v>54</v>
      </c>
      <c r="B645" s="11"/>
      <c r="C645" s="1"/>
      <c r="D645" s="13"/>
      <c r="E645" s="13"/>
      <c r="F645" s="18"/>
      <c r="G645" s="1"/>
      <c r="H645" s="60"/>
      <c r="I645" s="13"/>
      <c r="J645" s="5"/>
      <c r="K645" s="5"/>
      <c r="L645" s="4"/>
      <c r="M645" s="4"/>
      <c r="N645" s="1" t="s">
        <v>754</v>
      </c>
      <c r="O645" s="5">
        <v>2</v>
      </c>
      <c r="P645" s="3"/>
      <c r="Q645" s="4"/>
      <c r="R645" s="3" t="s">
        <v>1776</v>
      </c>
      <c r="S645" s="150" t="s">
        <v>53</v>
      </c>
      <c r="T645" s="6">
        <v>47.84</v>
      </c>
      <c r="U645" s="17"/>
      <c r="V645" s="3"/>
      <c r="W645" s="4"/>
      <c r="X645" s="18"/>
      <c r="Y645" s="150"/>
      <c r="Z645" s="10"/>
      <c r="AA645" s="20"/>
      <c r="AB645" s="48"/>
      <c r="AC645" s="48"/>
      <c r="AD645" s="7"/>
      <c r="AE645" s="2"/>
      <c r="AF645" s="2"/>
      <c r="AG645" s="2"/>
    </row>
    <row r="646" spans="1:33" s="37" customFormat="1" ht="21.75" customHeight="1" x14ac:dyDescent="0.2">
      <c r="A646" s="13">
        <f t="shared" si="15"/>
        <v>54</v>
      </c>
      <c r="B646" s="11"/>
      <c r="C646" s="1"/>
      <c r="D646" s="13"/>
      <c r="E646" s="13"/>
      <c r="F646" s="18"/>
      <c r="G646" s="1"/>
      <c r="H646" s="60"/>
      <c r="I646" s="13"/>
      <c r="J646" s="5"/>
      <c r="K646" s="5"/>
      <c r="L646" s="4"/>
      <c r="M646" s="4"/>
      <c r="N646" s="1" t="s">
        <v>750</v>
      </c>
      <c r="O646" s="5">
        <v>5</v>
      </c>
      <c r="P646" s="3"/>
      <c r="Q646" s="4"/>
      <c r="R646" s="3"/>
      <c r="S646" s="150"/>
      <c r="T646" s="6"/>
      <c r="U646" s="17"/>
      <c r="V646" s="3"/>
      <c r="W646" s="4"/>
      <c r="X646" s="13"/>
      <c r="Y646" s="48"/>
      <c r="Z646" s="48"/>
      <c r="AA646" s="20"/>
      <c r="AB646" s="48"/>
      <c r="AC646" s="48"/>
      <c r="AD646" s="7"/>
      <c r="AE646" s="2"/>
      <c r="AF646" s="2"/>
      <c r="AG646" s="2"/>
    </row>
    <row r="647" spans="1:33" s="37" customFormat="1" ht="21.75" customHeight="1" x14ac:dyDescent="0.2">
      <c r="A647" s="13">
        <f t="shared" si="15"/>
        <v>54</v>
      </c>
      <c r="B647" s="11"/>
      <c r="C647" s="1"/>
      <c r="D647" s="13"/>
      <c r="E647" s="13"/>
      <c r="F647" s="18"/>
      <c r="G647" s="1"/>
      <c r="H647" s="60"/>
      <c r="I647" s="13"/>
      <c r="J647" s="5"/>
      <c r="K647" s="5"/>
      <c r="L647" s="4"/>
      <c r="M647" s="4"/>
      <c r="N647" s="1" t="s">
        <v>242</v>
      </c>
      <c r="O647" s="19">
        <v>32</v>
      </c>
      <c r="P647" s="3"/>
      <c r="Q647" s="4"/>
      <c r="R647" s="47"/>
      <c r="S647" s="13"/>
      <c r="T647" s="6"/>
      <c r="U647" s="17"/>
      <c r="V647" s="3"/>
      <c r="W647" s="4"/>
      <c r="X647" s="13"/>
      <c r="Y647" s="48"/>
      <c r="Z647" s="48"/>
      <c r="AA647" s="20"/>
      <c r="AB647" s="48"/>
      <c r="AC647" s="48"/>
      <c r="AD647" s="7"/>
      <c r="AE647" s="2"/>
      <c r="AF647" s="2"/>
      <c r="AG647" s="2"/>
    </row>
    <row r="648" spans="1:33" s="37" customFormat="1" ht="12.75" x14ac:dyDescent="0.2">
      <c r="A648" s="13">
        <f t="shared" si="15"/>
        <v>54</v>
      </c>
      <c r="B648" s="11"/>
      <c r="C648" s="21"/>
      <c r="D648" s="13"/>
      <c r="E648" s="13"/>
      <c r="F648" s="2"/>
      <c r="G648" s="1"/>
      <c r="H648" s="50"/>
      <c r="I648" s="51"/>
      <c r="J648" s="51"/>
      <c r="K648" s="51"/>
      <c r="L648" s="51"/>
      <c r="M648" s="51"/>
      <c r="N648" s="51"/>
      <c r="O648" s="51"/>
      <c r="P648" s="51"/>
      <c r="Q648" s="51"/>
      <c r="R648" s="2"/>
      <c r="S648" s="51"/>
      <c r="T648" s="51"/>
      <c r="U648" s="50"/>
      <c r="V648" s="51"/>
      <c r="W648" s="51"/>
      <c r="X648" s="50"/>
      <c r="Y648" s="50"/>
      <c r="Z648" s="50"/>
      <c r="AA648" s="257"/>
      <c r="AB648" s="50"/>
      <c r="AC648" s="50"/>
      <c r="AD648" s="51"/>
      <c r="AE648" s="51"/>
      <c r="AF648" s="51"/>
      <c r="AG648" s="2"/>
    </row>
    <row r="649" spans="1:33" s="37" customFormat="1" ht="12.75" x14ac:dyDescent="0.2">
      <c r="A649" s="13">
        <f t="shared" si="15"/>
        <v>54</v>
      </c>
      <c r="B649" s="11"/>
      <c r="C649" s="144"/>
      <c r="D649" s="13"/>
      <c r="E649" s="13"/>
      <c r="F649" s="18"/>
      <c r="G649" s="1"/>
      <c r="H649" s="60"/>
      <c r="I649" s="13"/>
      <c r="J649" s="5"/>
      <c r="K649" s="5"/>
      <c r="L649" s="4"/>
      <c r="M649" s="4"/>
      <c r="N649" s="1"/>
      <c r="O649" s="5"/>
      <c r="P649" s="3"/>
      <c r="Q649" s="4"/>
      <c r="R649" s="47"/>
      <c r="S649" s="13"/>
      <c r="T649" s="6"/>
      <c r="U649" s="17"/>
      <c r="V649" s="3"/>
      <c r="W649" s="4"/>
      <c r="X649" s="13"/>
      <c r="Y649" s="48"/>
      <c r="Z649" s="48"/>
      <c r="AA649" s="20"/>
      <c r="AB649" s="48"/>
      <c r="AC649" s="48"/>
      <c r="AD649" s="7"/>
      <c r="AE649" s="2"/>
      <c r="AF649" s="2"/>
      <c r="AG649" s="2"/>
    </row>
    <row r="650" spans="1:33" s="37" customFormat="1" ht="12.75" x14ac:dyDescent="0.2">
      <c r="A650" s="13">
        <f t="shared" si="15"/>
        <v>54</v>
      </c>
      <c r="B650" s="11"/>
      <c r="C650" s="143"/>
      <c r="D650" s="13"/>
      <c r="E650" s="13"/>
      <c r="F650" s="18"/>
      <c r="G650" s="1"/>
      <c r="H650" s="60"/>
      <c r="I650" s="13"/>
      <c r="J650" s="5"/>
      <c r="K650" s="5"/>
      <c r="L650" s="4"/>
      <c r="M650" s="4"/>
      <c r="N650" s="1"/>
      <c r="O650" s="5"/>
      <c r="P650" s="3"/>
      <c r="Q650" s="4"/>
      <c r="R650" s="47"/>
      <c r="S650" s="13"/>
      <c r="T650" s="6"/>
      <c r="U650" s="17"/>
      <c r="V650" s="3"/>
      <c r="W650" s="4"/>
      <c r="X650" s="13"/>
      <c r="Y650" s="48"/>
      <c r="Z650" s="48"/>
      <c r="AA650" s="20"/>
      <c r="AB650" s="48"/>
      <c r="AC650" s="48"/>
      <c r="AD650" s="7"/>
      <c r="AE650" s="2"/>
      <c r="AF650" s="2"/>
      <c r="AG650" s="2"/>
    </row>
    <row r="651" spans="1:33" s="37" customFormat="1" ht="30.75" customHeight="1" x14ac:dyDescent="0.2">
      <c r="A651" s="13">
        <f t="shared" si="15"/>
        <v>55</v>
      </c>
      <c r="B651" s="11">
        <v>55</v>
      </c>
      <c r="C651" s="143" t="s">
        <v>243</v>
      </c>
      <c r="D651" s="13"/>
      <c r="E651" s="13"/>
      <c r="F651" s="18"/>
      <c r="G651" s="1" t="s">
        <v>582</v>
      </c>
      <c r="H651" s="60">
        <v>21.4</v>
      </c>
      <c r="I651" s="13"/>
      <c r="J651" s="5"/>
      <c r="K651" s="5"/>
      <c r="L651" s="4"/>
      <c r="M651" s="4"/>
      <c r="N651" s="1"/>
      <c r="O651" s="5"/>
      <c r="P651" s="3"/>
      <c r="Q651" s="4"/>
      <c r="R651" s="47" t="s">
        <v>583</v>
      </c>
      <c r="S651" s="13" t="s">
        <v>53</v>
      </c>
      <c r="T651" s="6">
        <v>87.42</v>
      </c>
      <c r="U651" s="17"/>
      <c r="V651" s="3"/>
      <c r="W651" s="4"/>
      <c r="X651" s="13"/>
      <c r="Y651" s="48"/>
      <c r="Z651" s="48"/>
      <c r="AA651" s="20"/>
      <c r="AB651" s="48"/>
      <c r="AC651" s="48"/>
      <c r="AD651" s="7"/>
      <c r="AE651" s="2"/>
      <c r="AF651" s="2"/>
      <c r="AG651" s="2"/>
    </row>
    <row r="652" spans="1:33" s="37" customFormat="1" ht="48" customHeight="1" x14ac:dyDescent="0.2">
      <c r="A652" s="13">
        <f t="shared" si="15"/>
        <v>55</v>
      </c>
      <c r="B652" s="11"/>
      <c r="C652" s="144" t="s">
        <v>584</v>
      </c>
      <c r="D652" s="13"/>
      <c r="E652" s="13"/>
      <c r="F652" s="18"/>
      <c r="G652" s="1"/>
      <c r="H652" s="60"/>
      <c r="I652" s="13"/>
      <c r="J652" s="5"/>
      <c r="K652" s="5"/>
      <c r="L652" s="4"/>
      <c r="M652" s="4"/>
      <c r="N652" s="1"/>
      <c r="O652" s="5"/>
      <c r="P652" s="3"/>
      <c r="Q652" s="4"/>
      <c r="R652" s="47" t="s">
        <v>374</v>
      </c>
      <c r="S652" s="13" t="s">
        <v>53</v>
      </c>
      <c r="T652" s="6">
        <v>19.3</v>
      </c>
      <c r="U652" s="17"/>
      <c r="V652" s="3"/>
      <c r="W652" s="4"/>
      <c r="X652" s="13"/>
      <c r="Y652" s="48"/>
      <c r="Z652" s="48"/>
      <c r="AA652" s="20"/>
      <c r="AB652" s="48"/>
      <c r="AC652" s="48"/>
      <c r="AD652" s="7"/>
      <c r="AE652" s="2"/>
      <c r="AF652" s="2"/>
      <c r="AG652" s="2"/>
    </row>
    <row r="653" spans="1:33" s="37" customFormat="1" ht="12.75" x14ac:dyDescent="0.2">
      <c r="A653" s="13">
        <f t="shared" si="15"/>
        <v>55</v>
      </c>
      <c r="B653" s="11"/>
      <c r="C653" s="144"/>
      <c r="D653" s="13"/>
      <c r="E653" s="13"/>
      <c r="F653" s="18"/>
      <c r="G653" s="1"/>
      <c r="H653" s="60"/>
      <c r="I653" s="13"/>
      <c r="J653" s="5"/>
      <c r="K653" s="5"/>
      <c r="L653" s="4"/>
      <c r="M653" s="4"/>
      <c r="N653" s="1"/>
      <c r="O653" s="5"/>
      <c r="P653" s="3"/>
      <c r="Q653" s="4"/>
      <c r="R653" s="2"/>
      <c r="S653" s="51"/>
      <c r="T653" s="51"/>
      <c r="U653" s="17"/>
      <c r="V653" s="3"/>
      <c r="W653" s="4"/>
      <c r="X653" s="13"/>
      <c r="Y653" s="48"/>
      <c r="Z653" s="48"/>
      <c r="AA653" s="20"/>
      <c r="AB653" s="48"/>
      <c r="AC653" s="48"/>
      <c r="AD653" s="7"/>
      <c r="AE653" s="2"/>
      <c r="AF653" s="2"/>
      <c r="AG653" s="2"/>
    </row>
    <row r="654" spans="1:33" s="37" customFormat="1" ht="12.75" x14ac:dyDescent="0.2">
      <c r="A654" s="13">
        <f t="shared" si="15"/>
        <v>55</v>
      </c>
      <c r="B654" s="11"/>
      <c r="C654" s="144"/>
      <c r="D654" s="13"/>
      <c r="E654" s="13"/>
      <c r="F654" s="18"/>
      <c r="G654" s="1"/>
      <c r="H654" s="60"/>
      <c r="I654" s="13"/>
      <c r="J654" s="5"/>
      <c r="K654" s="5"/>
      <c r="L654" s="4"/>
      <c r="M654" s="4"/>
      <c r="N654" s="145"/>
      <c r="O654" s="146"/>
      <c r="P654" s="146"/>
      <c r="Q654" s="146"/>
      <c r="R654" s="145"/>
      <c r="S654" s="147"/>
      <c r="T654" s="6"/>
      <c r="U654" s="150"/>
      <c r="V654" s="3"/>
      <c r="W654" s="4"/>
      <c r="X654" s="13"/>
      <c r="Y654" s="48"/>
      <c r="Z654" s="48"/>
      <c r="AA654" s="20"/>
      <c r="AB654" s="48"/>
      <c r="AC654" s="48"/>
      <c r="AD654" s="7"/>
      <c r="AE654" s="2"/>
      <c r="AF654" s="2"/>
      <c r="AG654" s="2"/>
    </row>
    <row r="655" spans="1:33" s="37" customFormat="1" ht="12.75" x14ac:dyDescent="0.2">
      <c r="A655" s="13">
        <f t="shared" si="15"/>
        <v>55</v>
      </c>
      <c r="B655" s="11"/>
      <c r="C655" s="144"/>
      <c r="D655" s="13"/>
      <c r="E655" s="13"/>
      <c r="F655" s="18"/>
      <c r="G655" s="1"/>
      <c r="H655" s="60"/>
      <c r="I655" s="13"/>
      <c r="J655" s="5"/>
      <c r="K655" s="5"/>
      <c r="L655" s="4"/>
      <c r="M655" s="4"/>
      <c r="N655" s="145"/>
      <c r="O655" s="146"/>
      <c r="P655" s="146"/>
      <c r="Q655" s="146"/>
      <c r="R655" s="145"/>
      <c r="S655" s="147"/>
      <c r="T655" s="6"/>
      <c r="U655" s="151"/>
      <c r="V655" s="3"/>
      <c r="W655" s="4"/>
      <c r="X655" s="13"/>
      <c r="Y655" s="48"/>
      <c r="Z655" s="48"/>
      <c r="AA655" s="20"/>
      <c r="AB655" s="48"/>
      <c r="AC655" s="48"/>
      <c r="AD655" s="7"/>
      <c r="AE655" s="2"/>
      <c r="AF655" s="2"/>
      <c r="AG655" s="2"/>
    </row>
    <row r="656" spans="1:33" s="37" customFormat="1" ht="12.75" x14ac:dyDescent="0.2">
      <c r="A656" s="13">
        <f t="shared" si="15"/>
        <v>55</v>
      </c>
      <c r="B656" s="11"/>
      <c r="C656" s="1"/>
      <c r="D656" s="13"/>
      <c r="E656" s="13"/>
      <c r="F656" s="18"/>
      <c r="G656" s="1"/>
      <c r="H656" s="60"/>
      <c r="I656" s="13"/>
      <c r="J656" s="5"/>
      <c r="K656" s="5"/>
      <c r="L656" s="4"/>
      <c r="M656" s="4"/>
      <c r="N656" s="145"/>
      <c r="O656" s="146"/>
      <c r="P656" s="146"/>
      <c r="Q656" s="146"/>
      <c r="R656" s="145"/>
      <c r="S656" s="147"/>
      <c r="T656" s="6"/>
      <c r="U656" s="150"/>
      <c r="V656" s="3"/>
      <c r="W656" s="4"/>
      <c r="X656" s="13"/>
      <c r="Y656" s="48"/>
      <c r="Z656" s="48"/>
      <c r="AA656" s="20"/>
      <c r="AB656" s="48"/>
      <c r="AC656" s="48"/>
      <c r="AD656" s="7"/>
      <c r="AE656" s="2"/>
      <c r="AF656" s="2"/>
      <c r="AG656" s="2"/>
    </row>
    <row r="657" spans="1:33" s="37" customFormat="1" ht="40.5" customHeight="1" x14ac:dyDescent="0.2">
      <c r="A657" s="13">
        <f t="shared" si="15"/>
        <v>56</v>
      </c>
      <c r="B657" s="11">
        <v>56</v>
      </c>
      <c r="C657" s="143" t="s">
        <v>44</v>
      </c>
      <c r="D657" s="13">
        <v>2</v>
      </c>
      <c r="E657" s="13">
        <v>86</v>
      </c>
      <c r="F657" s="18">
        <v>387</v>
      </c>
      <c r="G657" s="1" t="s">
        <v>417</v>
      </c>
      <c r="H657" s="60">
        <v>103.4</v>
      </c>
      <c r="I657" s="13"/>
      <c r="J657" s="5"/>
      <c r="K657" s="5"/>
      <c r="L657" s="4"/>
      <c r="M657" s="4"/>
      <c r="N657" s="1" t="s">
        <v>72</v>
      </c>
      <c r="O657" s="5">
        <v>22</v>
      </c>
      <c r="P657" s="3"/>
      <c r="Q657" s="4"/>
      <c r="R657" s="47" t="s">
        <v>1820</v>
      </c>
      <c r="S657" s="13" t="s">
        <v>53</v>
      </c>
      <c r="T657" s="6">
        <v>60</v>
      </c>
      <c r="U657" s="17"/>
      <c r="V657" s="3"/>
      <c r="W657" s="4"/>
      <c r="X657" s="13" t="s">
        <v>63</v>
      </c>
      <c r="Y657" s="48" t="s">
        <v>55</v>
      </c>
      <c r="Z657" s="48" t="s">
        <v>56</v>
      </c>
      <c r="AA657" s="20" t="s">
        <v>57</v>
      </c>
      <c r="AB657" s="48" t="s">
        <v>63</v>
      </c>
      <c r="AC657" s="20" t="s">
        <v>430</v>
      </c>
      <c r="AD657" s="7"/>
      <c r="AE657" s="1" t="s">
        <v>1714</v>
      </c>
      <c r="AF657" s="1"/>
      <c r="AG657" s="1"/>
    </row>
    <row r="658" spans="1:33" s="37" customFormat="1" ht="36.75" customHeight="1" x14ac:dyDescent="0.2">
      <c r="A658" s="13">
        <f t="shared" si="15"/>
        <v>56</v>
      </c>
      <c r="B658" s="11"/>
      <c r="C658" s="1" t="s">
        <v>244</v>
      </c>
      <c r="D658" s="13"/>
      <c r="E658" s="13"/>
      <c r="F658" s="18"/>
      <c r="G658" s="1" t="s">
        <v>724</v>
      </c>
      <c r="H658" s="60">
        <v>0.5</v>
      </c>
      <c r="I658" s="13"/>
      <c r="J658" s="5"/>
      <c r="K658" s="5"/>
      <c r="L658" s="4"/>
      <c r="M658" s="4"/>
      <c r="N658" s="1" t="s">
        <v>73</v>
      </c>
      <c r="O658" s="5">
        <v>19</v>
      </c>
      <c r="P658" s="3"/>
      <c r="Q658" s="4"/>
      <c r="R658" s="47" t="s">
        <v>1868</v>
      </c>
      <c r="S658" s="13" t="s">
        <v>53</v>
      </c>
      <c r="T658" s="6">
        <v>4.68</v>
      </c>
      <c r="U658" s="17"/>
      <c r="V658" s="3"/>
      <c r="W658" s="4"/>
      <c r="X658" s="13" t="s">
        <v>63</v>
      </c>
      <c r="Y658" s="48" t="s">
        <v>63</v>
      </c>
      <c r="Z658" s="48" t="s">
        <v>56</v>
      </c>
      <c r="AA658" s="20"/>
      <c r="AB658" s="48" t="s">
        <v>63</v>
      </c>
      <c r="AC658" s="20"/>
      <c r="AD658" s="7"/>
      <c r="AE658" s="1" t="s">
        <v>586</v>
      </c>
      <c r="AF658" s="1"/>
      <c r="AG658" s="1"/>
    </row>
    <row r="659" spans="1:33" s="37" customFormat="1" ht="57" customHeight="1" x14ac:dyDescent="0.2">
      <c r="A659" s="13">
        <f t="shared" si="15"/>
        <v>56</v>
      </c>
      <c r="B659" s="11"/>
      <c r="C659" s="144" t="s">
        <v>701</v>
      </c>
      <c r="D659" s="13"/>
      <c r="E659" s="13"/>
      <c r="F659" s="18"/>
      <c r="G659" s="1" t="s">
        <v>585</v>
      </c>
      <c r="H659" s="60">
        <v>40.200000000000003</v>
      </c>
      <c r="I659" s="13"/>
      <c r="J659" s="5"/>
      <c r="K659" s="5"/>
      <c r="L659" s="4"/>
      <c r="M659" s="4"/>
      <c r="N659" s="1" t="s">
        <v>75</v>
      </c>
      <c r="O659" s="5">
        <v>33</v>
      </c>
      <c r="P659" s="3"/>
      <c r="Q659" s="4"/>
      <c r="R659" s="146" t="s">
        <v>1844</v>
      </c>
      <c r="S659" s="13" t="s">
        <v>53</v>
      </c>
      <c r="T659" s="6">
        <v>30</v>
      </c>
      <c r="U659" s="17"/>
      <c r="V659" s="3"/>
      <c r="W659" s="4"/>
      <c r="X659" s="13"/>
      <c r="Y659" s="48" t="s">
        <v>55</v>
      </c>
      <c r="Z659" s="48" t="s">
        <v>56</v>
      </c>
      <c r="AA659" s="20"/>
      <c r="AB659" s="48" t="s">
        <v>66</v>
      </c>
      <c r="AC659" s="20" t="s">
        <v>246</v>
      </c>
      <c r="AD659" s="7"/>
      <c r="AE659" s="2" t="s">
        <v>247</v>
      </c>
      <c r="AF659" s="2"/>
      <c r="AG659" s="2"/>
    </row>
    <row r="660" spans="1:33" s="37" customFormat="1" ht="41.25" customHeight="1" x14ac:dyDescent="0.2">
      <c r="A660" s="13">
        <f t="shared" si="15"/>
        <v>56</v>
      </c>
      <c r="B660" s="11"/>
      <c r="C660" s="144" t="s">
        <v>245</v>
      </c>
      <c r="D660" s="13"/>
      <c r="E660" s="13"/>
      <c r="F660" s="18"/>
      <c r="G660" s="1"/>
      <c r="H660" s="60"/>
      <c r="I660" s="13"/>
      <c r="J660" s="5"/>
      <c r="K660" s="5"/>
      <c r="L660" s="4"/>
      <c r="M660" s="4"/>
      <c r="N660" s="1" t="s">
        <v>745</v>
      </c>
      <c r="O660" s="5">
        <v>1</v>
      </c>
      <c r="P660" s="3"/>
      <c r="Q660" s="4"/>
      <c r="R660" s="145" t="s">
        <v>1869</v>
      </c>
      <c r="S660" s="13" t="s">
        <v>53</v>
      </c>
      <c r="T660" s="6">
        <v>3.2</v>
      </c>
      <c r="U660" s="17"/>
      <c r="V660" s="3"/>
      <c r="W660" s="4"/>
      <c r="X660" s="13"/>
      <c r="Y660" s="48"/>
      <c r="Z660" s="48" t="s">
        <v>56</v>
      </c>
      <c r="AA660" s="20" t="s">
        <v>57</v>
      </c>
      <c r="AB660" s="48" t="s">
        <v>63</v>
      </c>
      <c r="AC660" s="48"/>
      <c r="AD660" s="7"/>
      <c r="AE660" s="2" t="s">
        <v>404</v>
      </c>
      <c r="AF660" s="2"/>
      <c r="AG660" s="2"/>
    </row>
    <row r="661" spans="1:33" s="37" customFormat="1" ht="72.75" customHeight="1" x14ac:dyDescent="0.2">
      <c r="A661" s="13">
        <f t="shared" si="15"/>
        <v>56</v>
      </c>
      <c r="B661" s="11"/>
      <c r="C661" s="144"/>
      <c r="D661" s="13"/>
      <c r="E661" s="13"/>
      <c r="F661" s="18"/>
      <c r="G661" s="1"/>
      <c r="H661" s="60"/>
      <c r="I661" s="13"/>
      <c r="J661" s="5"/>
      <c r="K661" s="5"/>
      <c r="L661" s="4"/>
      <c r="M661" s="4"/>
      <c r="N661" s="1" t="s">
        <v>154</v>
      </c>
      <c r="O661" s="5">
        <v>1</v>
      </c>
      <c r="P661" s="3"/>
      <c r="Q661" s="4"/>
      <c r="R661" s="47" t="s">
        <v>1870</v>
      </c>
      <c r="S661" s="13" t="s">
        <v>53</v>
      </c>
      <c r="T661" s="6">
        <v>11.6</v>
      </c>
      <c r="U661" s="17"/>
      <c r="V661" s="3"/>
      <c r="W661" s="4"/>
      <c r="X661" s="13"/>
      <c r="Y661" s="48"/>
      <c r="Z661" s="48"/>
      <c r="AA661" s="20"/>
      <c r="AB661" s="48"/>
      <c r="AC661" s="48"/>
      <c r="AD661" s="7"/>
      <c r="AE661" s="1" t="s">
        <v>1715</v>
      </c>
      <c r="AF661" s="1"/>
      <c r="AG661" s="1"/>
    </row>
    <row r="662" spans="1:33" s="37" customFormat="1" ht="33" customHeight="1" x14ac:dyDescent="0.2">
      <c r="A662" s="13">
        <f t="shared" si="15"/>
        <v>56</v>
      </c>
      <c r="B662" s="11"/>
      <c r="C662" s="1"/>
      <c r="D662" s="13"/>
      <c r="E662" s="13"/>
      <c r="F662" s="18"/>
      <c r="G662" s="1"/>
      <c r="H662" s="60"/>
      <c r="I662" s="13"/>
      <c r="J662" s="5"/>
      <c r="K662" s="5"/>
      <c r="L662" s="4"/>
      <c r="M662" s="4"/>
      <c r="N662" s="1" t="s">
        <v>149</v>
      </c>
      <c r="O662" s="5">
        <v>1</v>
      </c>
      <c r="P662" s="3"/>
      <c r="Q662" s="4"/>
      <c r="R662" s="47" t="s">
        <v>1871</v>
      </c>
      <c r="S662" s="13" t="s">
        <v>53</v>
      </c>
      <c r="T662" s="6">
        <v>33.799999999999997</v>
      </c>
      <c r="U662" s="17"/>
      <c r="V662" s="3"/>
      <c r="W662" s="4"/>
      <c r="X662" s="13"/>
      <c r="Y662" s="48"/>
      <c r="Z662" s="48"/>
      <c r="AA662" s="20"/>
      <c r="AB662" s="48"/>
      <c r="AC662" s="48"/>
      <c r="AD662" s="7"/>
      <c r="AE662" s="2"/>
      <c r="AF662" s="2"/>
      <c r="AG662" s="2"/>
    </row>
    <row r="663" spans="1:33" s="37" customFormat="1" ht="21.75" customHeight="1" x14ac:dyDescent="0.2">
      <c r="A663" s="13">
        <f t="shared" si="15"/>
        <v>56</v>
      </c>
      <c r="B663" s="11"/>
      <c r="C663" s="143"/>
      <c r="D663" s="13"/>
      <c r="E663" s="13"/>
      <c r="F663" s="18"/>
      <c r="G663" s="1"/>
      <c r="H663" s="60"/>
      <c r="I663" s="13"/>
      <c r="J663" s="5"/>
      <c r="K663" s="5"/>
      <c r="L663" s="4"/>
      <c r="M663" s="4"/>
      <c r="N663" s="1" t="s">
        <v>76</v>
      </c>
      <c r="O663" s="5">
        <v>6</v>
      </c>
      <c r="P663" s="146"/>
      <c r="Q663" s="146"/>
      <c r="R663" s="145" t="s">
        <v>1872</v>
      </c>
      <c r="S663" s="13" t="s">
        <v>78</v>
      </c>
      <c r="T663" s="6">
        <v>0.1</v>
      </c>
      <c r="U663" s="17"/>
      <c r="V663" s="3"/>
      <c r="W663" s="4"/>
      <c r="X663" s="13"/>
      <c r="Y663" s="48"/>
      <c r="Z663" s="48"/>
      <c r="AA663" s="20"/>
      <c r="AB663" s="48"/>
      <c r="AC663" s="48"/>
      <c r="AD663" s="7"/>
      <c r="AE663" s="2"/>
      <c r="AF663" s="2"/>
      <c r="AG663" s="2"/>
    </row>
    <row r="664" spans="1:33" s="37" customFormat="1" ht="21.75" customHeight="1" x14ac:dyDescent="0.2">
      <c r="A664" s="13">
        <f t="shared" si="15"/>
        <v>56</v>
      </c>
      <c r="B664" s="11"/>
      <c r="C664" s="144"/>
      <c r="D664" s="13"/>
      <c r="E664" s="13"/>
      <c r="F664" s="18"/>
      <c r="G664" s="1"/>
      <c r="H664" s="60"/>
      <c r="I664" s="13"/>
      <c r="J664" s="5"/>
      <c r="K664" s="5"/>
      <c r="L664" s="4"/>
      <c r="M664" s="4"/>
      <c r="N664" s="145" t="s">
        <v>248</v>
      </c>
      <c r="O664" s="19">
        <v>4</v>
      </c>
      <c r="P664" s="146"/>
      <c r="Q664" s="146"/>
      <c r="R664" s="145" t="s">
        <v>1771</v>
      </c>
      <c r="S664" s="13" t="s">
        <v>53</v>
      </c>
      <c r="T664" s="6">
        <v>1.44</v>
      </c>
      <c r="U664" s="17"/>
      <c r="V664" s="3"/>
      <c r="W664" s="4"/>
      <c r="X664" s="13"/>
      <c r="Y664" s="48"/>
      <c r="Z664" s="48"/>
      <c r="AA664" s="20"/>
      <c r="AB664" s="48"/>
      <c r="AC664" s="48"/>
      <c r="AD664" s="7"/>
      <c r="AE664" s="2"/>
      <c r="AF664" s="2"/>
      <c r="AG664" s="2"/>
    </row>
    <row r="665" spans="1:33" s="37" customFormat="1" ht="36.75" customHeight="1" x14ac:dyDescent="0.2">
      <c r="A665" s="13">
        <f t="shared" si="15"/>
        <v>56</v>
      </c>
      <c r="B665" s="11"/>
      <c r="C665" s="144"/>
      <c r="D665" s="13"/>
      <c r="E665" s="13"/>
      <c r="F665" s="18"/>
      <c r="G665" s="1"/>
      <c r="H665" s="60"/>
      <c r="I665" s="13"/>
      <c r="J665" s="5"/>
      <c r="K665" s="5"/>
      <c r="L665" s="4"/>
      <c r="M665" s="4"/>
      <c r="N665" s="145" t="s">
        <v>755</v>
      </c>
      <c r="O665" s="5">
        <v>3</v>
      </c>
      <c r="P665" s="146"/>
      <c r="Q665" s="146"/>
      <c r="R665" s="145" t="s">
        <v>1873</v>
      </c>
      <c r="S665" s="13" t="s">
        <v>53</v>
      </c>
      <c r="T665" s="6">
        <v>5.6</v>
      </c>
      <c r="U665" s="17"/>
      <c r="V665" s="3"/>
      <c r="W665" s="4"/>
      <c r="X665" s="13"/>
      <c r="Y665" s="48"/>
      <c r="Z665" s="48"/>
      <c r="AA665" s="20"/>
      <c r="AB665" s="48"/>
      <c r="AC665" s="48"/>
      <c r="AD665" s="7"/>
      <c r="AE665" s="2"/>
      <c r="AF665" s="2"/>
      <c r="AG665" s="2"/>
    </row>
    <row r="666" spans="1:33" s="37" customFormat="1" ht="21.75" customHeight="1" x14ac:dyDescent="0.2">
      <c r="A666" s="13">
        <f t="shared" si="15"/>
        <v>56</v>
      </c>
      <c r="B666" s="11"/>
      <c r="C666" s="1"/>
      <c r="D666" s="13"/>
      <c r="E666" s="13"/>
      <c r="F666" s="18"/>
      <c r="G666" s="1"/>
      <c r="H666" s="60"/>
      <c r="I666" s="13"/>
      <c r="J666" s="5"/>
      <c r="K666" s="5"/>
      <c r="L666" s="4"/>
      <c r="M666" s="4"/>
      <c r="N666" s="1" t="s">
        <v>756</v>
      </c>
      <c r="O666" s="5">
        <v>3</v>
      </c>
      <c r="P666" s="146"/>
      <c r="Q666" s="146"/>
      <c r="R666" s="47" t="s">
        <v>1799</v>
      </c>
      <c r="S666" s="13" t="s">
        <v>53</v>
      </c>
      <c r="T666" s="6">
        <v>24.9</v>
      </c>
      <c r="U666" s="17"/>
      <c r="V666" s="3"/>
      <c r="W666" s="4"/>
      <c r="X666" s="13"/>
      <c r="Y666" s="48"/>
      <c r="Z666" s="48"/>
      <c r="AA666" s="20"/>
      <c r="AB666" s="48"/>
      <c r="AC666" s="48"/>
      <c r="AD666" s="7"/>
      <c r="AE666" s="2"/>
      <c r="AF666" s="2"/>
      <c r="AG666" s="2"/>
    </row>
    <row r="667" spans="1:33" s="37" customFormat="1" ht="21.75" customHeight="1" x14ac:dyDescent="0.2">
      <c r="A667" s="13">
        <f t="shared" si="15"/>
        <v>56</v>
      </c>
      <c r="B667" s="11"/>
      <c r="C667" s="1"/>
      <c r="D667" s="13"/>
      <c r="E667" s="13"/>
      <c r="F667" s="18"/>
      <c r="G667" s="1"/>
      <c r="H667" s="60"/>
      <c r="I667" s="13"/>
      <c r="J667" s="5"/>
      <c r="K667" s="5"/>
      <c r="L667" s="4"/>
      <c r="M667" s="4"/>
      <c r="N667" s="1" t="s">
        <v>405</v>
      </c>
      <c r="O667" s="5">
        <v>7</v>
      </c>
      <c r="P667" s="3"/>
      <c r="Q667" s="4"/>
      <c r="R667" s="146" t="s">
        <v>1863</v>
      </c>
      <c r="S667" s="147" t="s">
        <v>53</v>
      </c>
      <c r="T667" s="6">
        <v>13.59</v>
      </c>
      <c r="U667" s="17"/>
      <c r="V667" s="3"/>
      <c r="W667" s="4"/>
      <c r="X667" s="13"/>
      <c r="Y667" s="48"/>
      <c r="Z667" s="48"/>
      <c r="AA667" s="20"/>
      <c r="AB667" s="48"/>
      <c r="AC667" s="48"/>
      <c r="AD667" s="7"/>
      <c r="AE667" s="2"/>
      <c r="AF667" s="2"/>
      <c r="AG667" s="2"/>
    </row>
    <row r="668" spans="1:33" s="37" customFormat="1" ht="19.5" customHeight="1" x14ac:dyDescent="0.2">
      <c r="A668" s="13">
        <f t="shared" si="15"/>
        <v>56</v>
      </c>
      <c r="B668" s="11"/>
      <c r="C668" s="1"/>
      <c r="D668" s="13"/>
      <c r="E668" s="13"/>
      <c r="F668" s="18"/>
      <c r="G668" s="1"/>
      <c r="H668" s="60"/>
      <c r="I668" s="13"/>
      <c r="J668" s="5"/>
      <c r="K668" s="5"/>
      <c r="L668" s="4"/>
      <c r="M668" s="4"/>
      <c r="N668" s="1" t="s">
        <v>133</v>
      </c>
      <c r="O668" s="5">
        <v>1</v>
      </c>
      <c r="P668" s="3"/>
      <c r="Q668" s="4"/>
      <c r="R668" s="47"/>
      <c r="S668" s="13"/>
      <c r="T668" s="6"/>
      <c r="U668" s="17"/>
      <c r="V668" s="3"/>
      <c r="W668" s="4"/>
      <c r="X668" s="13"/>
      <c r="Y668" s="48"/>
      <c r="Z668" s="48"/>
      <c r="AA668" s="20"/>
      <c r="AB668" s="48"/>
      <c r="AC668" s="48"/>
      <c r="AD668" s="7"/>
      <c r="AE668" s="2"/>
      <c r="AF668" s="2"/>
      <c r="AG668" s="2"/>
    </row>
    <row r="669" spans="1:33" s="37" customFormat="1" ht="31.5" customHeight="1" x14ac:dyDescent="0.2">
      <c r="A669" s="13">
        <f t="shared" si="15"/>
        <v>56</v>
      </c>
      <c r="B669" s="11"/>
      <c r="C669" s="143"/>
      <c r="D669" s="13"/>
      <c r="E669" s="13"/>
      <c r="F669" s="18"/>
      <c r="G669" s="1"/>
      <c r="H669" s="60"/>
      <c r="I669" s="13"/>
      <c r="J669" s="5"/>
      <c r="K669" s="5"/>
      <c r="L669" s="4"/>
      <c r="M669" s="4"/>
      <c r="N669" s="1" t="s">
        <v>429</v>
      </c>
      <c r="O669" s="19">
        <v>3</v>
      </c>
      <c r="P669" s="3"/>
      <c r="Q669" s="4"/>
      <c r="R669" s="146"/>
      <c r="S669" s="147"/>
      <c r="T669" s="6"/>
      <c r="U669" s="17"/>
      <c r="V669" s="3"/>
      <c r="W669" s="4"/>
      <c r="X669" s="13"/>
      <c r="Y669" s="48"/>
      <c r="Z669" s="48"/>
      <c r="AA669" s="20"/>
      <c r="AB669" s="48"/>
      <c r="AC669" s="48"/>
      <c r="AD669" s="7"/>
      <c r="AE669" s="2"/>
      <c r="AF669" s="2"/>
      <c r="AG669" s="2"/>
    </row>
    <row r="670" spans="1:33" s="37" customFormat="1" ht="12.75" x14ac:dyDescent="0.2">
      <c r="A670" s="13">
        <f t="shared" si="15"/>
        <v>56</v>
      </c>
      <c r="B670" s="11"/>
      <c r="C670" s="1"/>
      <c r="D670" s="13"/>
      <c r="E670" s="13"/>
      <c r="F670" s="18"/>
      <c r="G670" s="1"/>
      <c r="H670" s="60"/>
      <c r="I670" s="13"/>
      <c r="J670" s="5"/>
      <c r="K670" s="5"/>
      <c r="L670" s="4"/>
      <c r="M670" s="4"/>
      <c r="N670" s="2"/>
      <c r="O670" s="2"/>
      <c r="P670" s="3"/>
      <c r="Q670" s="4"/>
      <c r="R670" s="146"/>
      <c r="S670" s="147"/>
      <c r="T670" s="6"/>
      <c r="U670" s="17"/>
      <c r="V670" s="3"/>
      <c r="W670" s="4"/>
      <c r="X670" s="13"/>
      <c r="Y670" s="48"/>
      <c r="Z670" s="48"/>
      <c r="AA670" s="20"/>
      <c r="AB670" s="48"/>
      <c r="AC670" s="48"/>
      <c r="AD670" s="7"/>
      <c r="AE670" s="2"/>
      <c r="AF670" s="2"/>
      <c r="AG670" s="2"/>
    </row>
    <row r="671" spans="1:33" s="37" customFormat="1" ht="12.75" x14ac:dyDescent="0.2">
      <c r="A671" s="13">
        <f t="shared" si="15"/>
        <v>56</v>
      </c>
      <c r="B671" s="11"/>
      <c r="C671" s="1"/>
      <c r="D671" s="13"/>
      <c r="E671" s="13"/>
      <c r="F671" s="2"/>
      <c r="G671" s="1"/>
      <c r="H671" s="50"/>
      <c r="I671" s="51"/>
      <c r="J671" s="51"/>
      <c r="K671" s="51"/>
      <c r="L671" s="51"/>
      <c r="M671" s="51"/>
      <c r="N671" s="51"/>
      <c r="O671" s="51"/>
      <c r="P671" s="51"/>
      <c r="Q671" s="51"/>
      <c r="R671" s="2"/>
      <c r="S671" s="51"/>
      <c r="T671" s="51"/>
      <c r="U671" s="50"/>
      <c r="V671" s="51"/>
      <c r="W671" s="51"/>
      <c r="X671" s="50"/>
      <c r="Y671" s="50"/>
      <c r="Z671" s="50"/>
      <c r="AA671" s="257"/>
      <c r="AB671" s="50"/>
      <c r="AC671" s="50"/>
      <c r="AD671" s="51"/>
      <c r="AE671" s="51"/>
      <c r="AF671" s="51"/>
      <c r="AG671" s="2"/>
    </row>
    <row r="672" spans="1:33" s="37" customFormat="1" ht="12.75" x14ac:dyDescent="0.2">
      <c r="A672" s="13">
        <f t="shared" si="15"/>
        <v>56</v>
      </c>
      <c r="B672" s="11"/>
      <c r="C672" s="143"/>
      <c r="D672" s="13"/>
      <c r="E672" s="13"/>
      <c r="F672" s="18"/>
      <c r="G672" s="1"/>
      <c r="H672" s="60"/>
      <c r="I672" s="13"/>
      <c r="J672" s="5"/>
      <c r="K672" s="5"/>
      <c r="L672" s="4"/>
      <c r="M672" s="4"/>
      <c r="N672" s="1"/>
      <c r="O672" s="5"/>
      <c r="P672" s="3"/>
      <c r="Q672" s="4"/>
      <c r="R672" s="47"/>
      <c r="S672" s="13"/>
      <c r="T672" s="6"/>
      <c r="U672" s="17"/>
      <c r="V672" s="3"/>
      <c r="W672" s="4"/>
      <c r="X672" s="13"/>
      <c r="Y672" s="48"/>
      <c r="Z672" s="48"/>
      <c r="AA672" s="20"/>
      <c r="AB672" s="48"/>
      <c r="AC672" s="48"/>
      <c r="AD672" s="7"/>
      <c r="AE672" s="2"/>
      <c r="AF672" s="2"/>
      <c r="AG672" s="2"/>
    </row>
    <row r="673" spans="1:33" s="37" customFormat="1" ht="12.75" x14ac:dyDescent="0.2">
      <c r="A673" s="13">
        <f t="shared" si="15"/>
        <v>56</v>
      </c>
      <c r="B673" s="11"/>
      <c r="C673" s="144"/>
      <c r="D673" s="13"/>
      <c r="E673" s="13"/>
      <c r="F673" s="18"/>
      <c r="G673" s="1"/>
      <c r="H673" s="60"/>
      <c r="I673" s="13"/>
      <c r="J673" s="5"/>
      <c r="K673" s="5"/>
      <c r="L673" s="4"/>
      <c r="M673" s="4"/>
      <c r="N673" s="145"/>
      <c r="O673" s="146"/>
      <c r="P673" s="146"/>
      <c r="Q673" s="146"/>
      <c r="R673" s="145"/>
      <c r="S673" s="146"/>
      <c r="T673" s="6"/>
      <c r="U673" s="150"/>
      <c r="V673" s="3"/>
      <c r="W673" s="4"/>
      <c r="X673" s="13"/>
      <c r="Y673" s="48"/>
      <c r="Z673" s="48"/>
      <c r="AA673" s="20"/>
      <c r="AB673" s="48"/>
      <c r="AC673" s="48"/>
      <c r="AD673" s="7"/>
      <c r="AE673" s="2"/>
      <c r="AF673" s="2"/>
      <c r="AG673" s="2"/>
    </row>
    <row r="674" spans="1:33" s="37" customFormat="1" ht="12.75" x14ac:dyDescent="0.2">
      <c r="A674" s="13">
        <f t="shared" si="15"/>
        <v>56</v>
      </c>
      <c r="B674" s="11"/>
      <c r="C674" s="144"/>
      <c r="D674" s="13"/>
      <c r="E674" s="13"/>
      <c r="F674" s="18"/>
      <c r="G674" s="1"/>
      <c r="H674" s="60"/>
      <c r="I674" s="13"/>
      <c r="J674" s="5"/>
      <c r="K674" s="5"/>
      <c r="L674" s="4"/>
      <c r="M674" s="4"/>
      <c r="N674" s="145"/>
      <c r="O674" s="146"/>
      <c r="P674" s="146"/>
      <c r="Q674" s="146"/>
      <c r="R674" s="145"/>
      <c r="S674" s="146"/>
      <c r="T674" s="6"/>
      <c r="U674" s="150"/>
      <c r="V674" s="3"/>
      <c r="W674" s="4"/>
      <c r="X674" s="13"/>
      <c r="Y674" s="48"/>
      <c r="Z674" s="48"/>
      <c r="AA674" s="20"/>
      <c r="AB674" s="48"/>
      <c r="AC674" s="48"/>
      <c r="AD674" s="7"/>
      <c r="AE674" s="2"/>
      <c r="AF674" s="2"/>
      <c r="AG674" s="2"/>
    </row>
    <row r="675" spans="1:33" s="37" customFormat="1" ht="35.25" customHeight="1" x14ac:dyDescent="0.2">
      <c r="A675" s="13">
        <f t="shared" si="15"/>
        <v>57</v>
      </c>
      <c r="B675" s="11">
        <v>57</v>
      </c>
      <c r="C675" s="143" t="s">
        <v>45</v>
      </c>
      <c r="D675" s="13">
        <v>4</v>
      </c>
      <c r="E675" s="13">
        <v>86</v>
      </c>
      <c r="F675" s="18">
        <v>388</v>
      </c>
      <c r="G675" s="1" t="s">
        <v>417</v>
      </c>
      <c r="H675" s="60">
        <v>21.3</v>
      </c>
      <c r="I675" s="13"/>
      <c r="J675" s="5"/>
      <c r="K675" s="5"/>
      <c r="L675" s="4"/>
      <c r="M675" s="4"/>
      <c r="N675" s="1"/>
      <c r="O675" s="5"/>
      <c r="P675" s="3"/>
      <c r="Q675" s="4"/>
      <c r="R675" s="145" t="s">
        <v>1820</v>
      </c>
      <c r="S675" s="147" t="s">
        <v>53</v>
      </c>
      <c r="T675" s="6">
        <v>15.2</v>
      </c>
      <c r="U675" s="151">
        <v>35.5</v>
      </c>
      <c r="V675" s="3"/>
      <c r="W675" s="4"/>
      <c r="X675" s="13" t="s">
        <v>63</v>
      </c>
      <c r="Y675" s="48" t="s">
        <v>55</v>
      </c>
      <c r="Z675" s="48" t="s">
        <v>56</v>
      </c>
      <c r="AA675" s="20" t="s">
        <v>57</v>
      </c>
      <c r="AB675" s="48" t="s">
        <v>63</v>
      </c>
      <c r="AC675" s="20" t="s">
        <v>430</v>
      </c>
      <c r="AD675" s="7"/>
      <c r="AE675" s="1" t="s">
        <v>1716</v>
      </c>
      <c r="AF675" s="1"/>
      <c r="AG675" s="1"/>
    </row>
    <row r="676" spans="1:33" s="37" customFormat="1" ht="34.5" customHeight="1" x14ac:dyDescent="0.2">
      <c r="A676" s="13">
        <f t="shared" si="15"/>
        <v>57</v>
      </c>
      <c r="B676" s="11"/>
      <c r="C676" s="144" t="s">
        <v>249</v>
      </c>
      <c r="D676" s="13"/>
      <c r="E676" s="13"/>
      <c r="F676" s="18"/>
      <c r="G676" s="1"/>
      <c r="H676" s="60"/>
      <c r="I676" s="13"/>
      <c r="J676" s="5"/>
      <c r="K676" s="5"/>
      <c r="L676" s="4"/>
      <c r="M676" s="4"/>
      <c r="N676" s="1"/>
      <c r="O676" s="5"/>
      <c r="P676" s="3"/>
      <c r="Q676" s="4"/>
      <c r="R676" s="145" t="s">
        <v>1844</v>
      </c>
      <c r="S676" s="147" t="s">
        <v>53</v>
      </c>
      <c r="T676" s="6"/>
      <c r="U676" s="6">
        <v>16.5</v>
      </c>
      <c r="V676" s="3"/>
      <c r="W676" s="4"/>
      <c r="X676" s="13"/>
      <c r="Y676" s="48" t="s">
        <v>55</v>
      </c>
      <c r="Z676" s="48" t="s">
        <v>141</v>
      </c>
      <c r="AA676" s="20"/>
      <c r="AB676" s="48" t="s">
        <v>66</v>
      </c>
      <c r="AC676" s="48"/>
      <c r="AD676" s="7"/>
      <c r="AE676" s="1" t="s">
        <v>587</v>
      </c>
      <c r="AF676" s="1"/>
      <c r="AG676" s="1"/>
    </row>
    <row r="677" spans="1:33" s="37" customFormat="1" ht="45" customHeight="1" x14ac:dyDescent="0.2">
      <c r="A677" s="13">
        <f t="shared" si="15"/>
        <v>57</v>
      </c>
      <c r="B677" s="11"/>
      <c r="C677" s="144" t="s">
        <v>702</v>
      </c>
      <c r="D677" s="13"/>
      <c r="E677" s="13"/>
      <c r="F677" s="18"/>
      <c r="G677" s="1"/>
      <c r="H677" s="60"/>
      <c r="I677" s="13"/>
      <c r="J677" s="5"/>
      <c r="K677" s="5"/>
      <c r="L677" s="4"/>
      <c r="M677" s="4"/>
      <c r="N677" s="1"/>
      <c r="O677" s="5"/>
      <c r="P677" s="3"/>
      <c r="Q677" s="4"/>
      <c r="R677" s="145" t="s">
        <v>1844</v>
      </c>
      <c r="S677" s="147" t="s">
        <v>53</v>
      </c>
      <c r="T677" s="6"/>
      <c r="U677" s="6">
        <v>7.8</v>
      </c>
      <c r="V677" s="3"/>
      <c r="W677" s="4"/>
      <c r="X677" s="13"/>
      <c r="Y677" s="48" t="s">
        <v>55</v>
      </c>
      <c r="Z677" s="48" t="s">
        <v>141</v>
      </c>
      <c r="AA677" s="20"/>
      <c r="AB677" s="48" t="s">
        <v>66</v>
      </c>
      <c r="AC677" s="48"/>
      <c r="AD677" s="7"/>
      <c r="AE677" s="2" t="s">
        <v>250</v>
      </c>
      <c r="AF677" s="2"/>
      <c r="AG677" s="2"/>
    </row>
    <row r="678" spans="1:33" s="37" customFormat="1" ht="34.5" customHeight="1" x14ac:dyDescent="0.2">
      <c r="A678" s="13">
        <f t="shared" si="15"/>
        <v>57</v>
      </c>
      <c r="B678" s="11"/>
      <c r="C678" s="1" t="s">
        <v>316</v>
      </c>
      <c r="D678" s="13"/>
      <c r="E678" s="13"/>
      <c r="F678" s="18"/>
      <c r="G678" s="1"/>
      <c r="H678" s="60"/>
      <c r="I678" s="13"/>
      <c r="J678" s="5"/>
      <c r="K678" s="5"/>
      <c r="L678" s="4"/>
      <c r="M678" s="4"/>
      <c r="N678" s="1"/>
      <c r="O678" s="5"/>
      <c r="P678" s="3"/>
      <c r="Q678" s="4"/>
      <c r="R678" s="145" t="s">
        <v>1874</v>
      </c>
      <c r="S678" s="147" t="s">
        <v>53</v>
      </c>
      <c r="T678" s="6">
        <v>3.6</v>
      </c>
      <c r="U678" s="151"/>
      <c r="V678" s="3"/>
      <c r="W678" s="4"/>
      <c r="X678" s="13"/>
      <c r="Y678" s="48" t="s">
        <v>63</v>
      </c>
      <c r="Z678" s="48" t="s">
        <v>56</v>
      </c>
      <c r="AA678" s="20" t="s">
        <v>57</v>
      </c>
      <c r="AB678" s="48" t="s">
        <v>63</v>
      </c>
      <c r="AC678" s="48"/>
      <c r="AD678" s="7"/>
      <c r="AE678" s="2" t="s">
        <v>431</v>
      </c>
      <c r="AF678" s="2"/>
      <c r="AG678" s="2"/>
    </row>
    <row r="679" spans="1:33" s="37" customFormat="1" ht="17.25" customHeight="1" x14ac:dyDescent="0.2">
      <c r="A679" s="13">
        <f t="shared" si="15"/>
        <v>57</v>
      </c>
      <c r="B679" s="11"/>
      <c r="C679" s="1"/>
      <c r="D679" s="13"/>
      <c r="E679" s="13"/>
      <c r="F679" s="18"/>
      <c r="G679" s="1"/>
      <c r="H679" s="60"/>
      <c r="I679" s="13"/>
      <c r="J679" s="5"/>
      <c r="K679" s="5"/>
      <c r="L679" s="4"/>
      <c r="M679" s="4"/>
      <c r="N679" s="1"/>
      <c r="O679" s="5"/>
      <c r="P679" s="3"/>
      <c r="Q679" s="4"/>
      <c r="R679" s="47" t="s">
        <v>1767</v>
      </c>
      <c r="S679" s="147" t="s">
        <v>53</v>
      </c>
      <c r="T679" s="6">
        <v>2.16</v>
      </c>
      <c r="U679" s="151"/>
      <c r="V679" s="3"/>
      <c r="W679" s="4"/>
      <c r="X679" s="13"/>
      <c r="Y679" s="48"/>
      <c r="Z679" s="48"/>
      <c r="AA679" s="20"/>
      <c r="AB679" s="48"/>
      <c r="AC679" s="48"/>
      <c r="AD679" s="7"/>
      <c r="AE679" s="2"/>
      <c r="AF679" s="2"/>
      <c r="AG679" s="2"/>
    </row>
    <row r="680" spans="1:33" s="37" customFormat="1" ht="25.5" customHeight="1" x14ac:dyDescent="0.2">
      <c r="A680" s="13">
        <f t="shared" si="15"/>
        <v>57</v>
      </c>
      <c r="B680" s="11"/>
      <c r="C680" s="1"/>
      <c r="D680" s="13"/>
      <c r="E680" s="13"/>
      <c r="F680" s="18"/>
      <c r="G680" s="1"/>
      <c r="H680" s="60"/>
      <c r="I680" s="13"/>
      <c r="J680" s="5"/>
      <c r="K680" s="5"/>
      <c r="L680" s="4"/>
      <c r="M680" s="4"/>
      <c r="N680" s="1"/>
      <c r="O680" s="5"/>
      <c r="P680" s="3"/>
      <c r="Q680" s="4"/>
      <c r="R680" s="145" t="s">
        <v>1875</v>
      </c>
      <c r="S680" s="147" t="s">
        <v>53</v>
      </c>
      <c r="T680" s="6">
        <v>4.96</v>
      </c>
      <c r="U680" s="17"/>
      <c r="V680" s="3"/>
      <c r="W680" s="4"/>
      <c r="X680" s="13"/>
      <c r="Y680" s="48"/>
      <c r="Z680" s="48"/>
      <c r="AA680" s="20"/>
      <c r="AB680" s="48"/>
      <c r="AC680" s="48"/>
      <c r="AD680" s="7"/>
      <c r="AE680" s="2"/>
      <c r="AF680" s="2"/>
      <c r="AG680" s="2"/>
    </row>
    <row r="681" spans="1:33" s="37" customFormat="1" ht="17.25" customHeight="1" x14ac:dyDescent="0.2">
      <c r="A681" s="13">
        <f t="shared" si="15"/>
        <v>57</v>
      </c>
      <c r="B681" s="11"/>
      <c r="C681" s="1"/>
      <c r="D681" s="13"/>
      <c r="E681" s="13"/>
      <c r="F681" s="18"/>
      <c r="G681" s="1"/>
      <c r="H681" s="60"/>
      <c r="I681" s="13"/>
      <c r="J681" s="5"/>
      <c r="K681" s="5"/>
      <c r="L681" s="4"/>
      <c r="M681" s="4"/>
      <c r="N681" s="1"/>
      <c r="O681" s="5"/>
      <c r="P681" s="3"/>
      <c r="Q681" s="4"/>
      <c r="R681" s="145" t="s">
        <v>1876</v>
      </c>
      <c r="S681" s="147" t="s">
        <v>53</v>
      </c>
      <c r="T681" s="6">
        <v>15.9</v>
      </c>
      <c r="U681" s="17"/>
      <c r="V681" s="3"/>
      <c r="W681" s="4"/>
      <c r="X681" s="13"/>
      <c r="Y681" s="48"/>
      <c r="Z681" s="48"/>
      <c r="AA681" s="20"/>
      <c r="AB681" s="48"/>
      <c r="AC681" s="48"/>
      <c r="AD681" s="7"/>
      <c r="AE681" s="2"/>
      <c r="AF681" s="2"/>
      <c r="AG681" s="2"/>
    </row>
    <row r="682" spans="1:33" s="37" customFormat="1" ht="17.25" customHeight="1" x14ac:dyDescent="0.2">
      <c r="A682" s="13">
        <f t="shared" si="15"/>
        <v>57</v>
      </c>
      <c r="B682" s="11"/>
      <c r="C682" s="143"/>
      <c r="D682" s="13"/>
      <c r="E682" s="13"/>
      <c r="F682" s="18"/>
      <c r="G682" s="1"/>
      <c r="H682" s="60"/>
      <c r="I682" s="13"/>
      <c r="J682" s="5"/>
      <c r="K682" s="5"/>
      <c r="L682" s="4"/>
      <c r="M682" s="4"/>
      <c r="N682" s="145"/>
      <c r="O682" s="5"/>
      <c r="P682" s="146"/>
      <c r="Q682" s="146"/>
      <c r="R682" s="145" t="s">
        <v>1877</v>
      </c>
      <c r="S682" s="147" t="s">
        <v>78</v>
      </c>
      <c r="T682" s="6">
        <v>1.27</v>
      </c>
      <c r="U682" s="151"/>
      <c r="V682" s="3"/>
      <c r="W682" s="4"/>
      <c r="X682" s="13"/>
      <c r="Y682" s="48"/>
      <c r="Z682" s="48"/>
      <c r="AA682" s="20"/>
      <c r="AB682" s="48"/>
      <c r="AC682" s="48"/>
      <c r="AD682" s="7"/>
      <c r="AE682" s="2"/>
      <c r="AF682" s="2"/>
      <c r="AG682" s="2"/>
    </row>
    <row r="683" spans="1:33" s="37" customFormat="1" ht="30.75" customHeight="1" x14ac:dyDescent="0.2">
      <c r="A683" s="13">
        <f t="shared" si="15"/>
        <v>57</v>
      </c>
      <c r="B683" s="11"/>
      <c r="C683" s="144"/>
      <c r="D683" s="13"/>
      <c r="E683" s="13"/>
      <c r="F683" s="18"/>
      <c r="G683" s="1"/>
      <c r="H683" s="60"/>
      <c r="I683" s="13"/>
      <c r="J683" s="5"/>
      <c r="K683" s="5"/>
      <c r="L683" s="4"/>
      <c r="M683" s="4"/>
      <c r="N683" s="145"/>
      <c r="O683" s="5"/>
      <c r="P683" s="146"/>
      <c r="Q683" s="146"/>
      <c r="R683" s="145" t="s">
        <v>1878</v>
      </c>
      <c r="S683" s="147" t="s">
        <v>78</v>
      </c>
      <c r="T683" s="6">
        <v>3.38</v>
      </c>
      <c r="U683" s="150"/>
      <c r="V683" s="3"/>
      <c r="W683" s="4"/>
      <c r="X683" s="13"/>
      <c r="Y683" s="48"/>
      <c r="Z683" s="48"/>
      <c r="AA683" s="20"/>
      <c r="AB683" s="48"/>
      <c r="AC683" s="48"/>
      <c r="AD683" s="7"/>
      <c r="AE683" s="2"/>
      <c r="AF683" s="2"/>
      <c r="AG683" s="2"/>
    </row>
    <row r="684" spans="1:33" s="37" customFormat="1" ht="37.5" customHeight="1" x14ac:dyDescent="0.2">
      <c r="A684" s="13">
        <f t="shared" si="15"/>
        <v>57</v>
      </c>
      <c r="B684" s="11"/>
      <c r="C684" s="144"/>
      <c r="D684" s="13"/>
      <c r="E684" s="13"/>
      <c r="F684" s="18"/>
      <c r="G684" s="1"/>
      <c r="H684" s="60"/>
      <c r="I684" s="13"/>
      <c r="J684" s="5"/>
      <c r="K684" s="5"/>
      <c r="L684" s="4"/>
      <c r="M684" s="4"/>
      <c r="N684" s="145"/>
      <c r="O684" s="5"/>
      <c r="P684" s="146"/>
      <c r="Q684" s="146"/>
      <c r="R684" s="47" t="s">
        <v>1879</v>
      </c>
      <c r="S684" s="147" t="s">
        <v>53</v>
      </c>
      <c r="T684" s="6">
        <v>10.75</v>
      </c>
      <c r="U684" s="150"/>
      <c r="V684" s="3"/>
      <c r="W684" s="4"/>
      <c r="X684" s="13"/>
      <c r="Y684" s="48"/>
      <c r="Z684" s="48"/>
      <c r="AA684" s="20"/>
      <c r="AB684" s="48"/>
      <c r="AC684" s="48"/>
      <c r="AD684" s="7"/>
      <c r="AE684" s="2"/>
      <c r="AF684" s="2"/>
      <c r="AG684" s="2"/>
    </row>
    <row r="685" spans="1:33" s="37" customFormat="1" ht="17.25" customHeight="1" x14ac:dyDescent="0.2">
      <c r="A685" s="13">
        <f t="shared" si="15"/>
        <v>57</v>
      </c>
      <c r="B685" s="11"/>
      <c r="C685" s="1"/>
      <c r="D685" s="13"/>
      <c r="E685" s="13"/>
      <c r="F685" s="18"/>
      <c r="G685" s="1"/>
      <c r="H685" s="60"/>
      <c r="I685" s="13"/>
      <c r="J685" s="5"/>
      <c r="K685" s="5"/>
      <c r="L685" s="4"/>
      <c r="M685" s="4"/>
      <c r="N685" s="145"/>
      <c r="O685" s="5"/>
      <c r="P685" s="146"/>
      <c r="Q685" s="146"/>
      <c r="R685" s="47" t="s">
        <v>1799</v>
      </c>
      <c r="S685" s="147" t="s">
        <v>53</v>
      </c>
      <c r="T685" s="6">
        <v>2.72</v>
      </c>
      <c r="U685" s="150"/>
      <c r="V685" s="3"/>
      <c r="W685" s="4"/>
      <c r="X685" s="13"/>
      <c r="Y685" s="48"/>
      <c r="Z685" s="48"/>
      <c r="AA685" s="20"/>
      <c r="AB685" s="48"/>
      <c r="AC685" s="48"/>
      <c r="AD685" s="7"/>
      <c r="AE685" s="2"/>
      <c r="AF685" s="2"/>
      <c r="AG685" s="2"/>
    </row>
    <row r="686" spans="1:33" s="37" customFormat="1" ht="17.25" customHeight="1" x14ac:dyDescent="0.2">
      <c r="A686" s="13">
        <f t="shared" si="15"/>
        <v>57</v>
      </c>
      <c r="B686" s="11"/>
      <c r="C686" s="1"/>
      <c r="D686" s="13"/>
      <c r="E686" s="13"/>
      <c r="F686" s="18"/>
      <c r="G686" s="1"/>
      <c r="H686" s="60"/>
      <c r="I686" s="13"/>
      <c r="J686" s="5"/>
      <c r="K686" s="5"/>
      <c r="L686" s="4"/>
      <c r="M686" s="4"/>
      <c r="N686" s="1"/>
      <c r="O686" s="5"/>
      <c r="P686" s="3"/>
      <c r="Q686" s="4"/>
      <c r="R686" s="47" t="s">
        <v>1880</v>
      </c>
      <c r="S686" s="147" t="s">
        <v>78</v>
      </c>
      <c r="T686" s="6">
        <v>7.0000000000000007E-2</v>
      </c>
      <c r="U686" s="17"/>
      <c r="V686" s="3"/>
      <c r="W686" s="4"/>
      <c r="X686" s="13"/>
      <c r="Y686" s="48"/>
      <c r="Z686" s="48"/>
      <c r="AA686" s="20"/>
      <c r="AB686" s="48"/>
      <c r="AC686" s="48"/>
      <c r="AD686" s="7"/>
      <c r="AE686" s="2"/>
      <c r="AF686" s="2"/>
      <c r="AG686" s="2"/>
    </row>
    <row r="687" spans="1:33" s="37" customFormat="1" ht="17.25" customHeight="1" x14ac:dyDescent="0.2">
      <c r="A687" s="13">
        <f t="shared" si="15"/>
        <v>57</v>
      </c>
      <c r="B687" s="11"/>
      <c r="C687" s="1"/>
      <c r="D687" s="13"/>
      <c r="E687" s="13"/>
      <c r="F687" s="18"/>
      <c r="G687" s="1"/>
      <c r="H687" s="60"/>
      <c r="I687" s="13"/>
      <c r="J687" s="5"/>
      <c r="K687" s="5"/>
      <c r="L687" s="4"/>
      <c r="M687" s="4"/>
      <c r="N687" s="1"/>
      <c r="O687" s="5"/>
      <c r="P687" s="3"/>
      <c r="Q687" s="4"/>
      <c r="R687" s="47" t="s">
        <v>1847</v>
      </c>
      <c r="S687" s="147" t="s">
        <v>53</v>
      </c>
      <c r="T687" s="6">
        <v>1.38</v>
      </c>
      <c r="U687" s="17"/>
      <c r="V687" s="3"/>
      <c r="W687" s="4"/>
      <c r="X687" s="13"/>
      <c r="Y687" s="48"/>
      <c r="Z687" s="48"/>
      <c r="AA687" s="20"/>
      <c r="AB687" s="48"/>
      <c r="AC687" s="48"/>
      <c r="AD687" s="7"/>
      <c r="AE687" s="2"/>
      <c r="AF687" s="2"/>
      <c r="AG687" s="2"/>
    </row>
    <row r="688" spans="1:33" s="37" customFormat="1" ht="17.25" customHeight="1" x14ac:dyDescent="0.2">
      <c r="A688" s="13">
        <f t="shared" si="15"/>
        <v>57</v>
      </c>
      <c r="B688" s="11"/>
      <c r="C688" s="143"/>
      <c r="D688" s="13"/>
      <c r="E688" s="13"/>
      <c r="F688" s="18"/>
      <c r="G688" s="1"/>
      <c r="H688" s="60"/>
      <c r="I688" s="13"/>
      <c r="J688" s="5"/>
      <c r="K688" s="5"/>
      <c r="L688" s="4"/>
      <c r="M688" s="4"/>
      <c r="N688" s="1"/>
      <c r="O688" s="5"/>
      <c r="P688" s="3"/>
      <c r="Q688" s="4"/>
      <c r="R688" s="47" t="s">
        <v>1881</v>
      </c>
      <c r="S688" s="147" t="s">
        <v>53</v>
      </c>
      <c r="T688" s="6">
        <v>2.04</v>
      </c>
      <c r="U688" s="17"/>
      <c r="V688" s="3"/>
      <c r="W688" s="4"/>
      <c r="X688" s="13"/>
      <c r="Y688" s="48"/>
      <c r="Z688" s="48"/>
      <c r="AA688" s="20"/>
      <c r="AB688" s="48"/>
      <c r="AC688" s="48"/>
      <c r="AD688" s="7"/>
      <c r="AE688" s="2"/>
      <c r="AF688" s="2"/>
      <c r="AG688" s="2"/>
    </row>
    <row r="689" spans="1:33" s="37" customFormat="1" ht="33" customHeight="1" x14ac:dyDescent="0.2">
      <c r="A689" s="13">
        <f t="shared" si="15"/>
        <v>57</v>
      </c>
      <c r="B689" s="11"/>
      <c r="C689" s="144"/>
      <c r="D689" s="13"/>
      <c r="E689" s="13"/>
      <c r="F689" s="18"/>
      <c r="G689" s="1"/>
      <c r="H689" s="60"/>
      <c r="I689" s="13"/>
      <c r="J689" s="5"/>
      <c r="K689" s="5"/>
      <c r="L689" s="4"/>
      <c r="M689" s="4"/>
      <c r="N689" s="1"/>
      <c r="O689" s="5"/>
      <c r="P689" s="3"/>
      <c r="Q689" s="4"/>
      <c r="R689" s="47" t="s">
        <v>1882</v>
      </c>
      <c r="S689" s="147" t="s">
        <v>53</v>
      </c>
      <c r="T689" s="6">
        <v>0.42</v>
      </c>
      <c r="U689" s="17"/>
      <c r="V689" s="3"/>
      <c r="W689" s="4"/>
      <c r="X689" s="13"/>
      <c r="Y689" s="48"/>
      <c r="Z689" s="48"/>
      <c r="AA689" s="20"/>
      <c r="AB689" s="48"/>
      <c r="AC689" s="48"/>
      <c r="AD689" s="7"/>
      <c r="AE689" s="2"/>
      <c r="AF689" s="2"/>
      <c r="AG689" s="2"/>
    </row>
    <row r="690" spans="1:33" s="37" customFormat="1" ht="33.75" customHeight="1" x14ac:dyDescent="0.2">
      <c r="A690" s="13">
        <f t="shared" si="15"/>
        <v>57</v>
      </c>
      <c r="B690" s="11"/>
      <c r="C690" s="143"/>
      <c r="D690" s="13"/>
      <c r="E690" s="13"/>
      <c r="F690" s="18"/>
      <c r="G690" s="1"/>
      <c r="H690" s="60"/>
      <c r="I690" s="13"/>
      <c r="J690" s="5"/>
      <c r="K690" s="5"/>
      <c r="L690" s="4"/>
      <c r="M690" s="4"/>
      <c r="N690" s="1"/>
      <c r="O690" s="5"/>
      <c r="P690" s="3"/>
      <c r="Q690" s="4"/>
      <c r="R690" s="47" t="s">
        <v>1883</v>
      </c>
      <c r="S690" s="147" t="s">
        <v>53</v>
      </c>
      <c r="T690" s="6">
        <v>0.42</v>
      </c>
      <c r="U690" s="17"/>
      <c r="V690" s="3"/>
      <c r="W690" s="4"/>
      <c r="X690" s="13"/>
      <c r="Y690" s="48"/>
      <c r="Z690" s="48"/>
      <c r="AA690" s="20"/>
      <c r="AB690" s="48"/>
      <c r="AC690" s="48"/>
      <c r="AD690" s="7"/>
      <c r="AE690" s="2"/>
      <c r="AF690" s="2"/>
      <c r="AG690" s="2"/>
    </row>
    <row r="691" spans="1:33" s="37" customFormat="1" ht="12.75" x14ac:dyDescent="0.2">
      <c r="A691" s="13">
        <f t="shared" si="15"/>
        <v>57</v>
      </c>
      <c r="B691" s="11"/>
      <c r="C691" s="1"/>
      <c r="D691" s="13"/>
      <c r="E691" s="13"/>
      <c r="F691" s="18"/>
      <c r="G691" s="1"/>
      <c r="H691" s="60"/>
      <c r="I691" s="13"/>
      <c r="J691" s="5"/>
      <c r="K691" s="5"/>
      <c r="L691" s="4"/>
      <c r="M691" s="4"/>
      <c r="N691" s="1"/>
      <c r="O691" s="5"/>
      <c r="P691" s="3"/>
      <c r="Q691" s="4"/>
      <c r="R691" s="2"/>
      <c r="S691" s="51"/>
      <c r="T691" s="51"/>
      <c r="U691" s="17"/>
      <c r="V691" s="3"/>
      <c r="W691" s="4"/>
      <c r="X691" s="13"/>
      <c r="Y691" s="48"/>
      <c r="Z691" s="48"/>
      <c r="AA691" s="20"/>
      <c r="AB691" s="48"/>
      <c r="AC691" s="48"/>
      <c r="AD691" s="7"/>
      <c r="AE691" s="2"/>
      <c r="AF691" s="2"/>
      <c r="AG691" s="2"/>
    </row>
    <row r="692" spans="1:33" s="37" customFormat="1" ht="12.75" x14ac:dyDescent="0.2">
      <c r="A692" s="13">
        <f t="shared" si="15"/>
        <v>57</v>
      </c>
      <c r="B692" s="11"/>
      <c r="C692" s="1"/>
      <c r="D692" s="13"/>
      <c r="E692" s="13"/>
      <c r="F692" s="18"/>
      <c r="G692" s="1"/>
      <c r="H692" s="60"/>
      <c r="I692" s="13"/>
      <c r="J692" s="5"/>
      <c r="K692" s="5"/>
      <c r="L692" s="4"/>
      <c r="M692" s="4"/>
      <c r="N692" s="1"/>
      <c r="O692" s="5"/>
      <c r="P692" s="3"/>
      <c r="Q692" s="4"/>
      <c r="R692" s="2"/>
      <c r="S692" s="51"/>
      <c r="T692" s="51"/>
      <c r="U692" s="17"/>
      <c r="V692" s="3"/>
      <c r="W692" s="4"/>
      <c r="X692" s="13"/>
      <c r="Y692" s="48"/>
      <c r="Z692" s="48"/>
      <c r="AA692" s="20"/>
      <c r="AB692" s="48"/>
      <c r="AC692" s="48"/>
      <c r="AD692" s="7"/>
      <c r="AE692" s="2"/>
      <c r="AF692" s="2"/>
      <c r="AG692" s="2"/>
    </row>
    <row r="693" spans="1:33" s="37" customFormat="1" ht="12.75" x14ac:dyDescent="0.2">
      <c r="A693" s="13">
        <f t="shared" si="15"/>
        <v>57</v>
      </c>
      <c r="B693" s="11"/>
      <c r="C693" s="143"/>
      <c r="D693" s="13"/>
      <c r="E693" s="13"/>
      <c r="F693" s="2"/>
      <c r="G693" s="1"/>
      <c r="H693" s="50"/>
      <c r="I693" s="51"/>
      <c r="J693" s="51"/>
      <c r="K693" s="51"/>
      <c r="L693" s="51"/>
      <c r="M693" s="51"/>
      <c r="N693" s="51"/>
      <c r="O693" s="51"/>
      <c r="P693" s="51"/>
      <c r="Q693" s="51"/>
      <c r="R693" s="2"/>
      <c r="S693" s="51"/>
      <c r="T693" s="51"/>
      <c r="U693" s="50"/>
      <c r="V693" s="51"/>
      <c r="W693" s="51"/>
      <c r="X693" s="50"/>
      <c r="Y693" s="50"/>
      <c r="Z693" s="50"/>
      <c r="AA693" s="257"/>
      <c r="AB693" s="50"/>
      <c r="AC693" s="50"/>
      <c r="AD693" s="51"/>
      <c r="AE693" s="51"/>
      <c r="AF693" s="51"/>
      <c r="AG693" s="2"/>
    </row>
    <row r="694" spans="1:33" s="37" customFormat="1" ht="12.75" x14ac:dyDescent="0.2">
      <c r="A694" s="13">
        <f t="shared" si="15"/>
        <v>57</v>
      </c>
      <c r="B694" s="11"/>
      <c r="C694" s="144"/>
      <c r="D694" s="13"/>
      <c r="E694" s="13"/>
      <c r="F694" s="18"/>
      <c r="G694" s="1"/>
      <c r="H694" s="60"/>
      <c r="I694" s="13"/>
      <c r="J694" s="5"/>
      <c r="K694" s="5"/>
      <c r="L694" s="4"/>
      <c r="M694" s="4"/>
      <c r="N694" s="1"/>
      <c r="O694" s="5"/>
      <c r="P694" s="3"/>
      <c r="Q694" s="4"/>
      <c r="R694" s="145"/>
      <c r="S694" s="147"/>
      <c r="T694" s="6"/>
      <c r="U694" s="17"/>
      <c r="V694" s="3"/>
      <c r="W694" s="4"/>
      <c r="X694" s="13"/>
      <c r="Y694" s="48"/>
      <c r="Z694" s="48"/>
      <c r="AA694" s="20"/>
      <c r="AB694" s="48"/>
      <c r="AC694" s="48"/>
      <c r="AD694" s="7"/>
      <c r="AE694" s="2"/>
      <c r="AF694" s="2"/>
      <c r="AG694" s="2"/>
    </row>
    <row r="695" spans="1:33" s="37" customFormat="1" ht="12.75" x14ac:dyDescent="0.2">
      <c r="A695" s="13">
        <f t="shared" ref="A695:A758" si="16">IF(B695&lt;&gt;0,B695,A694)</f>
        <v>57</v>
      </c>
      <c r="B695" s="11"/>
      <c r="C695" s="144"/>
      <c r="D695" s="13"/>
      <c r="E695" s="13"/>
      <c r="F695" s="18"/>
      <c r="G695" s="1"/>
      <c r="H695" s="60"/>
      <c r="I695" s="13"/>
      <c r="J695" s="5"/>
      <c r="K695" s="5"/>
      <c r="L695" s="4"/>
      <c r="M695" s="4"/>
      <c r="N695" s="1"/>
      <c r="O695" s="5"/>
      <c r="P695" s="3"/>
      <c r="Q695" s="4"/>
      <c r="R695" s="47"/>
      <c r="S695" s="13"/>
      <c r="T695" s="6"/>
      <c r="U695" s="17"/>
      <c r="V695" s="3"/>
      <c r="W695" s="4"/>
      <c r="X695" s="13"/>
      <c r="Y695" s="48"/>
      <c r="Z695" s="48"/>
      <c r="AA695" s="20"/>
      <c r="AB695" s="48"/>
      <c r="AC695" s="48"/>
      <c r="AD695" s="7"/>
      <c r="AE695" s="2"/>
      <c r="AF695" s="2"/>
      <c r="AG695" s="2"/>
    </row>
    <row r="696" spans="1:33" s="37" customFormat="1" ht="12.75" x14ac:dyDescent="0.2">
      <c r="A696" s="13">
        <f t="shared" si="16"/>
        <v>57</v>
      </c>
      <c r="B696" s="11"/>
      <c r="C696" s="1"/>
      <c r="D696" s="13"/>
      <c r="E696" s="13"/>
      <c r="F696" s="18"/>
      <c r="G696" s="1"/>
      <c r="H696" s="60"/>
      <c r="I696" s="13"/>
      <c r="J696" s="5"/>
      <c r="K696" s="5"/>
      <c r="L696" s="4"/>
      <c r="M696" s="4"/>
      <c r="N696" s="1"/>
      <c r="O696" s="5"/>
      <c r="P696" s="3"/>
      <c r="Q696" s="4"/>
      <c r="R696" s="47"/>
      <c r="S696" s="13"/>
      <c r="T696" s="6"/>
      <c r="U696" s="17"/>
      <c r="V696" s="3"/>
      <c r="W696" s="4"/>
      <c r="X696" s="13"/>
      <c r="Y696" s="48"/>
      <c r="Z696" s="48"/>
      <c r="AA696" s="20"/>
      <c r="AB696" s="48"/>
      <c r="AC696" s="48"/>
      <c r="AD696" s="7"/>
      <c r="AE696" s="2"/>
      <c r="AF696" s="2"/>
      <c r="AG696" s="2"/>
    </row>
    <row r="697" spans="1:33" s="37" customFormat="1" ht="25.5" x14ac:dyDescent="0.2">
      <c r="A697" s="13">
        <f t="shared" si="16"/>
        <v>58</v>
      </c>
      <c r="B697" s="11">
        <v>58</v>
      </c>
      <c r="C697" s="143" t="s">
        <v>251</v>
      </c>
      <c r="D697" s="13">
        <v>3</v>
      </c>
      <c r="E697" s="13">
        <v>86</v>
      </c>
      <c r="F697" s="18">
        <v>87</v>
      </c>
      <c r="G697" s="1" t="s">
        <v>574</v>
      </c>
      <c r="H697" s="60">
        <v>46.6</v>
      </c>
      <c r="I697" s="13"/>
      <c r="J697" s="5"/>
      <c r="K697" s="5"/>
      <c r="L697" s="4"/>
      <c r="M697" s="4"/>
      <c r="N697" s="1" t="s">
        <v>72</v>
      </c>
      <c r="O697" s="5">
        <v>1</v>
      </c>
      <c r="P697" s="3"/>
      <c r="Q697" s="4"/>
      <c r="R697" s="146"/>
      <c r="S697" s="147"/>
      <c r="T697" s="6"/>
      <c r="U697" s="17"/>
      <c r="V697" s="3"/>
      <c r="W697" s="4"/>
      <c r="X697" s="13"/>
      <c r="Y697" s="48"/>
      <c r="Z697" s="48"/>
      <c r="AA697" s="20"/>
      <c r="AB697" s="48"/>
      <c r="AC697" s="48"/>
      <c r="AD697" s="7"/>
      <c r="AE697" s="1" t="s">
        <v>253</v>
      </c>
      <c r="AF697" s="1"/>
      <c r="AG697" s="1"/>
    </row>
    <row r="698" spans="1:33" s="37" customFormat="1" ht="25.5" x14ac:dyDescent="0.2">
      <c r="A698" s="13">
        <f t="shared" si="16"/>
        <v>58</v>
      </c>
      <c r="B698" s="11"/>
      <c r="C698" s="144" t="s">
        <v>252</v>
      </c>
      <c r="D698" s="13"/>
      <c r="E698" s="13"/>
      <c r="F698" s="18"/>
      <c r="G698" s="1" t="s">
        <v>576</v>
      </c>
      <c r="H698" s="60">
        <v>5</v>
      </c>
      <c r="I698" s="13"/>
      <c r="J698" s="5"/>
      <c r="K698" s="5"/>
      <c r="L698" s="4"/>
      <c r="M698" s="4"/>
      <c r="N698" s="1" t="s">
        <v>73</v>
      </c>
      <c r="O698" s="5">
        <v>3</v>
      </c>
      <c r="P698" s="3"/>
      <c r="Q698" s="4"/>
      <c r="R698" s="47"/>
      <c r="S698" s="13"/>
      <c r="T698" s="6"/>
      <c r="U698" s="17"/>
      <c r="V698" s="3"/>
      <c r="W698" s="4"/>
      <c r="X698" s="13"/>
      <c r="Y698" s="48"/>
      <c r="Z698" s="48"/>
      <c r="AA698" s="20"/>
      <c r="AB698" s="48"/>
      <c r="AC698" s="48"/>
      <c r="AD698" s="7"/>
      <c r="AE698" s="1" t="s">
        <v>588</v>
      </c>
      <c r="AF698" s="1"/>
      <c r="AG698" s="1"/>
    </row>
    <row r="699" spans="1:33" s="37" customFormat="1" ht="59.25" customHeight="1" x14ac:dyDescent="0.2">
      <c r="A699" s="13">
        <f t="shared" si="16"/>
        <v>58</v>
      </c>
      <c r="B699" s="11"/>
      <c r="C699" s="144" t="s">
        <v>589</v>
      </c>
      <c r="D699" s="13"/>
      <c r="E699" s="13"/>
      <c r="F699" s="18"/>
      <c r="G699" s="1"/>
      <c r="H699" s="60"/>
      <c r="I699" s="13"/>
      <c r="J699" s="5"/>
      <c r="K699" s="5"/>
      <c r="L699" s="4"/>
      <c r="M699" s="4"/>
      <c r="N699" s="1" t="s">
        <v>75</v>
      </c>
      <c r="O699" s="5">
        <v>4</v>
      </c>
      <c r="P699" s="3"/>
      <c r="Q699" s="4"/>
      <c r="R699" s="47"/>
      <c r="S699" s="13"/>
      <c r="T699" s="6"/>
      <c r="U699" s="17"/>
      <c r="V699" s="3"/>
      <c r="W699" s="4"/>
      <c r="X699" s="13"/>
      <c r="Y699" s="48"/>
      <c r="Z699" s="48"/>
      <c r="AA699" s="20"/>
      <c r="AB699" s="48"/>
      <c r="AC699" s="48"/>
      <c r="AD699" s="7"/>
      <c r="AE699" s="2" t="s">
        <v>590</v>
      </c>
      <c r="AF699" s="2"/>
      <c r="AG699" s="2"/>
    </row>
    <row r="700" spans="1:33" s="37" customFormat="1" ht="29.25" customHeight="1" x14ac:dyDescent="0.2">
      <c r="A700" s="13">
        <f t="shared" si="16"/>
        <v>58</v>
      </c>
      <c r="B700" s="11"/>
      <c r="C700" s="21" t="s">
        <v>254</v>
      </c>
      <c r="D700" s="13"/>
      <c r="E700" s="13"/>
      <c r="F700" s="18"/>
      <c r="G700" s="1"/>
      <c r="H700" s="60"/>
      <c r="I700" s="13"/>
      <c r="J700" s="5"/>
      <c r="K700" s="5"/>
      <c r="L700" s="4"/>
      <c r="M700" s="4"/>
      <c r="N700" s="1" t="s">
        <v>256</v>
      </c>
      <c r="O700" s="5">
        <v>1</v>
      </c>
      <c r="P700" s="3"/>
      <c r="Q700" s="4"/>
      <c r="R700" s="47"/>
      <c r="S700" s="13"/>
      <c r="T700" s="6"/>
      <c r="U700" s="17"/>
      <c r="V700" s="3"/>
      <c r="W700" s="4"/>
      <c r="X700" s="13"/>
      <c r="Y700" s="48"/>
      <c r="Z700" s="48"/>
      <c r="AA700" s="20"/>
      <c r="AB700" s="48"/>
      <c r="AC700" s="48"/>
      <c r="AD700" s="7"/>
      <c r="AE700" s="12" t="s">
        <v>111</v>
      </c>
      <c r="AF700" s="12"/>
      <c r="AG700" s="12"/>
    </row>
    <row r="701" spans="1:33" s="37" customFormat="1" ht="51" x14ac:dyDescent="0.2">
      <c r="A701" s="13">
        <f t="shared" si="16"/>
        <v>58</v>
      </c>
      <c r="B701" s="11"/>
      <c r="C701" s="144" t="s">
        <v>255</v>
      </c>
      <c r="D701" s="13"/>
      <c r="E701" s="13"/>
      <c r="F701" s="18"/>
      <c r="G701" s="1"/>
      <c r="H701" s="60"/>
      <c r="I701" s="13"/>
      <c r="J701" s="5"/>
      <c r="K701" s="5"/>
      <c r="L701" s="4"/>
      <c r="M701" s="4"/>
      <c r="N701" s="1" t="s">
        <v>257</v>
      </c>
      <c r="O701" s="5">
        <v>2</v>
      </c>
      <c r="P701" s="3"/>
      <c r="Q701" s="4"/>
      <c r="R701" s="146"/>
      <c r="S701" s="147"/>
      <c r="T701" s="6"/>
      <c r="U701" s="17"/>
      <c r="V701" s="3"/>
      <c r="W701" s="4"/>
      <c r="X701" s="13"/>
      <c r="Y701" s="48"/>
      <c r="Z701" s="48"/>
      <c r="AA701" s="20"/>
      <c r="AB701" s="48"/>
      <c r="AC701" s="48"/>
      <c r="AD701" s="7"/>
      <c r="AE701" s="1" t="s">
        <v>591</v>
      </c>
      <c r="AF701" s="1"/>
      <c r="AG701" s="1"/>
    </row>
    <row r="702" spans="1:33" s="37" customFormat="1" ht="48" customHeight="1" x14ac:dyDescent="0.2">
      <c r="A702" s="13">
        <f t="shared" si="16"/>
        <v>58</v>
      </c>
      <c r="B702" s="11"/>
      <c r="C702" s="144" t="s">
        <v>703</v>
      </c>
      <c r="D702" s="13"/>
      <c r="E702" s="13"/>
      <c r="F702" s="18"/>
      <c r="G702" s="1"/>
      <c r="H702" s="60"/>
      <c r="I702" s="13"/>
      <c r="J702" s="5"/>
      <c r="K702" s="5"/>
      <c r="L702" s="4"/>
      <c r="M702" s="4"/>
      <c r="N702" s="1" t="s">
        <v>258</v>
      </c>
      <c r="O702" s="5">
        <v>1</v>
      </c>
      <c r="P702" s="3"/>
      <c r="Q702" s="4"/>
      <c r="R702" s="47"/>
      <c r="S702" s="13"/>
      <c r="T702" s="6"/>
      <c r="U702" s="17"/>
      <c r="V702" s="3"/>
      <c r="W702" s="4"/>
      <c r="X702" s="13"/>
      <c r="Y702" s="48"/>
      <c r="Z702" s="48"/>
      <c r="AA702" s="20"/>
      <c r="AB702" s="48"/>
      <c r="AC702" s="48"/>
      <c r="AD702" s="7"/>
      <c r="AE702" s="2"/>
      <c r="AF702" s="2"/>
      <c r="AG702" s="2"/>
    </row>
    <row r="703" spans="1:33" s="37" customFormat="1" ht="25.5" customHeight="1" x14ac:dyDescent="0.2">
      <c r="A703" s="13">
        <f t="shared" si="16"/>
        <v>58</v>
      </c>
      <c r="B703" s="11"/>
      <c r="C703" s="144"/>
      <c r="D703" s="13"/>
      <c r="E703" s="13"/>
      <c r="F703" s="18"/>
      <c r="G703" s="1"/>
      <c r="H703" s="60"/>
      <c r="I703" s="13"/>
      <c r="J703" s="5"/>
      <c r="K703" s="5"/>
      <c r="L703" s="4"/>
      <c r="M703" s="4"/>
      <c r="N703" s="1" t="s">
        <v>757</v>
      </c>
      <c r="O703" s="5">
        <v>1</v>
      </c>
      <c r="P703" s="3"/>
      <c r="Q703" s="4"/>
      <c r="R703" s="47"/>
      <c r="S703" s="13"/>
      <c r="T703" s="6"/>
      <c r="U703" s="17"/>
      <c r="V703" s="3"/>
      <c r="W703" s="4"/>
      <c r="X703" s="13"/>
      <c r="Y703" s="48"/>
      <c r="Z703" s="48"/>
      <c r="AA703" s="20"/>
      <c r="AB703" s="48"/>
      <c r="AC703" s="48"/>
      <c r="AD703" s="7"/>
      <c r="AE703" s="2"/>
      <c r="AF703" s="2"/>
      <c r="AG703" s="2"/>
    </row>
    <row r="704" spans="1:33" s="37" customFormat="1" ht="25.5" customHeight="1" x14ac:dyDescent="0.2">
      <c r="A704" s="13">
        <f t="shared" si="16"/>
        <v>58</v>
      </c>
      <c r="B704" s="11"/>
      <c r="C704" s="1"/>
      <c r="D704" s="13"/>
      <c r="E704" s="13"/>
      <c r="F704" s="18"/>
      <c r="G704" s="1"/>
      <c r="H704" s="60"/>
      <c r="I704" s="13"/>
      <c r="J704" s="5"/>
      <c r="K704" s="5"/>
      <c r="L704" s="4"/>
      <c r="M704" s="4"/>
      <c r="N704" s="1" t="s">
        <v>758</v>
      </c>
      <c r="O704" s="5">
        <v>1</v>
      </c>
      <c r="P704" s="3"/>
      <c r="Q704" s="4"/>
      <c r="R704" s="47"/>
      <c r="S704" s="13"/>
      <c r="T704" s="6"/>
      <c r="U704" s="17"/>
      <c r="V704" s="3"/>
      <c r="W704" s="4"/>
      <c r="X704" s="13"/>
      <c r="Y704" s="48"/>
      <c r="Z704" s="48"/>
      <c r="AA704" s="20"/>
      <c r="AB704" s="48"/>
      <c r="AC704" s="48"/>
      <c r="AD704" s="7"/>
      <c r="AE704" s="2"/>
      <c r="AF704" s="2"/>
      <c r="AG704" s="2"/>
    </row>
    <row r="705" spans="1:33" s="37" customFormat="1" ht="33" customHeight="1" x14ac:dyDescent="0.2">
      <c r="A705" s="13">
        <f t="shared" si="16"/>
        <v>58</v>
      </c>
      <c r="B705" s="11"/>
      <c r="C705" s="143"/>
      <c r="D705" s="13"/>
      <c r="E705" s="13"/>
      <c r="F705" s="18"/>
      <c r="G705" s="1"/>
      <c r="H705" s="60"/>
      <c r="I705" s="13"/>
      <c r="J705" s="5"/>
      <c r="K705" s="5"/>
      <c r="L705" s="4"/>
      <c r="M705" s="4"/>
      <c r="N705" s="1" t="s">
        <v>429</v>
      </c>
      <c r="O705" s="19">
        <v>6</v>
      </c>
      <c r="P705" s="3"/>
      <c r="Q705" s="4"/>
      <c r="R705" s="146"/>
      <c r="S705" s="147"/>
      <c r="T705" s="6"/>
      <c r="U705" s="17"/>
      <c r="V705" s="3"/>
      <c r="W705" s="4"/>
      <c r="X705" s="13"/>
      <c r="Y705" s="48"/>
      <c r="Z705" s="48"/>
      <c r="AA705" s="20"/>
      <c r="AB705" s="48"/>
      <c r="AC705" s="48"/>
      <c r="AD705" s="7"/>
      <c r="AE705" s="2"/>
      <c r="AF705" s="2"/>
      <c r="AG705" s="2"/>
    </row>
    <row r="706" spans="1:33" s="37" customFormat="1" ht="33" customHeight="1" x14ac:dyDescent="0.2">
      <c r="A706" s="13">
        <f t="shared" si="16"/>
        <v>58</v>
      </c>
      <c r="B706" s="11"/>
      <c r="C706" s="144"/>
      <c r="D706" s="13"/>
      <c r="E706" s="13"/>
      <c r="F706" s="18"/>
      <c r="G706" s="1"/>
      <c r="H706" s="60"/>
      <c r="I706" s="13"/>
      <c r="J706" s="5"/>
      <c r="K706" s="5"/>
      <c r="L706" s="4"/>
      <c r="M706" s="4"/>
      <c r="N706" s="1" t="s">
        <v>759</v>
      </c>
      <c r="O706" s="5">
        <v>2</v>
      </c>
      <c r="P706" s="3"/>
      <c r="Q706" s="4"/>
      <c r="R706" s="47"/>
      <c r="S706" s="13"/>
      <c r="T706" s="6"/>
      <c r="U706" s="17"/>
      <c r="V706" s="3"/>
      <c r="W706" s="4"/>
      <c r="X706" s="13"/>
      <c r="Y706" s="48"/>
      <c r="Z706" s="48"/>
      <c r="AA706" s="20"/>
      <c r="AB706" s="48"/>
      <c r="AC706" s="48"/>
      <c r="AD706" s="7"/>
      <c r="AE706" s="2"/>
      <c r="AF706" s="2"/>
      <c r="AG706" s="2"/>
    </row>
    <row r="707" spans="1:33" s="37" customFormat="1" ht="12.75" x14ac:dyDescent="0.2">
      <c r="A707" s="13">
        <f t="shared" si="16"/>
        <v>58</v>
      </c>
      <c r="B707" s="11"/>
      <c r="C707" s="144"/>
      <c r="D707" s="13"/>
      <c r="E707" s="13"/>
      <c r="F707" s="2"/>
      <c r="G707" s="1"/>
      <c r="H707" s="50"/>
      <c r="I707" s="51"/>
      <c r="J707" s="51"/>
      <c r="K707" s="51"/>
      <c r="L707" s="51"/>
      <c r="M707" s="51"/>
      <c r="N707" s="51"/>
      <c r="O707" s="51"/>
      <c r="P707" s="51"/>
      <c r="Q707" s="51"/>
      <c r="R707" s="2"/>
      <c r="S707" s="51"/>
      <c r="T707" s="51"/>
      <c r="U707" s="50"/>
      <c r="V707" s="51"/>
      <c r="W707" s="51"/>
      <c r="X707" s="50"/>
      <c r="Y707" s="50"/>
      <c r="Z707" s="50"/>
      <c r="AA707" s="257"/>
      <c r="AB707" s="50"/>
      <c r="AC707" s="50"/>
      <c r="AD707" s="51"/>
      <c r="AE707" s="51"/>
      <c r="AF707" s="51"/>
      <c r="AG707" s="2"/>
    </row>
    <row r="708" spans="1:33" s="37" customFormat="1" ht="12.75" x14ac:dyDescent="0.2">
      <c r="A708" s="13">
        <f t="shared" si="16"/>
        <v>58</v>
      </c>
      <c r="B708" s="11"/>
      <c r="C708" s="138"/>
      <c r="D708" s="13"/>
      <c r="E708" s="13"/>
      <c r="F708" s="18"/>
      <c r="G708" s="1"/>
      <c r="H708" s="60"/>
      <c r="I708" s="13"/>
      <c r="J708" s="5"/>
      <c r="K708" s="5"/>
      <c r="L708" s="4"/>
      <c r="M708" s="4"/>
      <c r="N708" s="140"/>
      <c r="O708" s="141"/>
      <c r="P708" s="141"/>
      <c r="Q708" s="141"/>
      <c r="R708" s="140"/>
      <c r="S708" s="152"/>
      <c r="T708" s="6"/>
      <c r="U708" s="17"/>
      <c r="V708" s="3"/>
      <c r="W708" s="4"/>
      <c r="X708" s="13"/>
      <c r="Y708" s="48"/>
      <c r="Z708" s="48"/>
      <c r="AA708" s="20"/>
      <c r="AB708" s="48"/>
      <c r="AC708" s="48"/>
      <c r="AD708" s="7"/>
      <c r="AE708" s="2"/>
      <c r="AF708" s="2"/>
      <c r="AG708" s="2"/>
    </row>
    <row r="709" spans="1:33" s="37" customFormat="1" ht="12.75" x14ac:dyDescent="0.2">
      <c r="A709" s="13">
        <f t="shared" si="16"/>
        <v>58</v>
      </c>
      <c r="B709" s="11"/>
      <c r="C709" s="1"/>
      <c r="D709" s="13"/>
      <c r="E709" s="13"/>
      <c r="F709" s="18"/>
      <c r="G709" s="1"/>
      <c r="H709" s="60"/>
      <c r="I709" s="13"/>
      <c r="J709" s="5"/>
      <c r="K709" s="5"/>
      <c r="L709" s="4"/>
      <c r="M709" s="4"/>
      <c r="N709" s="140"/>
      <c r="O709" s="141"/>
      <c r="P709" s="141"/>
      <c r="Q709" s="141"/>
      <c r="R709" s="140"/>
      <c r="S709" s="152"/>
      <c r="T709" s="6"/>
      <c r="U709" s="17"/>
      <c r="V709" s="3"/>
      <c r="W709" s="4"/>
      <c r="X709" s="13"/>
      <c r="Y709" s="48"/>
      <c r="Z709" s="48"/>
      <c r="AA709" s="20"/>
      <c r="AB709" s="48"/>
      <c r="AC709" s="48"/>
      <c r="AD709" s="7"/>
      <c r="AE709" s="2"/>
      <c r="AF709" s="2"/>
      <c r="AG709" s="2"/>
    </row>
    <row r="710" spans="1:33" s="37" customFormat="1" ht="12.75" x14ac:dyDescent="0.2">
      <c r="A710" s="13">
        <f t="shared" si="16"/>
        <v>58</v>
      </c>
      <c r="B710" s="11"/>
      <c r="C710" s="21"/>
      <c r="D710" s="13"/>
      <c r="E710" s="13"/>
      <c r="F710" s="18"/>
      <c r="G710" s="1"/>
      <c r="H710" s="60"/>
      <c r="I710" s="13"/>
      <c r="J710" s="5"/>
      <c r="K710" s="5"/>
      <c r="L710" s="4"/>
      <c r="M710" s="4"/>
      <c r="N710" s="140"/>
      <c r="O710" s="141"/>
      <c r="P710" s="141"/>
      <c r="Q710" s="141"/>
      <c r="R710" s="140"/>
      <c r="S710" s="152"/>
      <c r="T710" s="6"/>
      <c r="U710" s="17"/>
      <c r="V710" s="3"/>
      <c r="W710" s="4"/>
      <c r="X710" s="13"/>
      <c r="Y710" s="48"/>
      <c r="Z710" s="48"/>
      <c r="AA710" s="20"/>
      <c r="AB710" s="48"/>
      <c r="AC710" s="48"/>
      <c r="AD710" s="7"/>
      <c r="AE710" s="2"/>
      <c r="AF710" s="2"/>
      <c r="AG710" s="2"/>
    </row>
    <row r="711" spans="1:33" s="37" customFormat="1" ht="12.75" x14ac:dyDescent="0.2">
      <c r="A711" s="13">
        <f t="shared" si="16"/>
        <v>58</v>
      </c>
      <c r="B711" s="11"/>
      <c r="C711" s="1"/>
      <c r="D711" s="13"/>
      <c r="E711" s="13"/>
      <c r="F711" s="18"/>
      <c r="G711" s="1"/>
      <c r="H711" s="60"/>
      <c r="I711" s="13"/>
      <c r="J711" s="5"/>
      <c r="K711" s="5"/>
      <c r="L711" s="4"/>
      <c r="M711" s="4"/>
      <c r="N711" s="140"/>
      <c r="O711" s="141"/>
      <c r="P711" s="141"/>
      <c r="Q711" s="141"/>
      <c r="R711" s="140"/>
      <c r="S711" s="152"/>
      <c r="T711" s="6"/>
      <c r="U711" s="17"/>
      <c r="V711" s="3"/>
      <c r="W711" s="4"/>
      <c r="X711" s="13"/>
      <c r="Y711" s="48"/>
      <c r="Z711" s="48"/>
      <c r="AA711" s="20"/>
      <c r="AB711" s="48"/>
      <c r="AC711" s="48"/>
      <c r="AD711" s="7"/>
      <c r="AE711" s="1"/>
      <c r="AF711" s="1"/>
      <c r="AG711" s="1"/>
    </row>
    <row r="712" spans="1:33" s="37" customFormat="1" ht="36.75" customHeight="1" x14ac:dyDescent="0.2">
      <c r="A712" s="13">
        <f t="shared" si="16"/>
        <v>59</v>
      </c>
      <c r="B712" s="11">
        <v>59</v>
      </c>
      <c r="C712" s="143" t="s">
        <v>259</v>
      </c>
      <c r="D712" s="13"/>
      <c r="E712" s="13"/>
      <c r="F712" s="18"/>
      <c r="G712" s="1"/>
      <c r="H712" s="60"/>
      <c r="I712" s="13"/>
      <c r="J712" s="5"/>
      <c r="K712" s="5"/>
      <c r="L712" s="4"/>
      <c r="M712" s="4"/>
      <c r="N712" s="1"/>
      <c r="O712" s="5"/>
      <c r="P712" s="3"/>
      <c r="Q712" s="4"/>
      <c r="R712" s="47" t="s">
        <v>1884</v>
      </c>
      <c r="S712" s="13" t="s">
        <v>53</v>
      </c>
      <c r="T712" s="6">
        <v>6.8</v>
      </c>
      <c r="U712" s="17">
        <v>40.200000000000003</v>
      </c>
      <c r="V712" s="3"/>
      <c r="W712" s="4"/>
      <c r="X712" s="13"/>
      <c r="Y712" s="48" t="s">
        <v>55</v>
      </c>
      <c r="Z712" s="48" t="s">
        <v>87</v>
      </c>
      <c r="AA712" s="20" t="s">
        <v>55</v>
      </c>
      <c r="AB712" s="48" t="s">
        <v>66</v>
      </c>
      <c r="AC712" s="48"/>
      <c r="AD712" s="7"/>
      <c r="AE712" s="1" t="s">
        <v>261</v>
      </c>
      <c r="AF712" s="1"/>
      <c r="AG712" s="1"/>
    </row>
    <row r="713" spans="1:33" s="37" customFormat="1" ht="21" customHeight="1" x14ac:dyDescent="0.2">
      <c r="A713" s="13">
        <f t="shared" si="16"/>
        <v>59</v>
      </c>
      <c r="B713" s="11"/>
      <c r="C713" s="1" t="s">
        <v>260</v>
      </c>
      <c r="D713" s="13"/>
      <c r="E713" s="13"/>
      <c r="F713" s="18"/>
      <c r="G713" s="1"/>
      <c r="H713" s="60"/>
      <c r="I713" s="13"/>
      <c r="J713" s="5"/>
      <c r="K713" s="5"/>
      <c r="L713" s="4"/>
      <c r="M713" s="4"/>
      <c r="N713" s="1"/>
      <c r="O713" s="5"/>
      <c r="P713" s="3"/>
      <c r="Q713" s="4"/>
      <c r="R713" s="84" t="s">
        <v>1748</v>
      </c>
      <c r="S713" s="13" t="s">
        <v>53</v>
      </c>
      <c r="T713" s="6">
        <v>6</v>
      </c>
      <c r="U713" s="17"/>
      <c r="V713" s="3"/>
      <c r="W713" s="4"/>
      <c r="X713" s="13"/>
      <c r="Y713" s="48"/>
      <c r="Z713" s="48"/>
      <c r="AA713" s="20"/>
      <c r="AB713" s="48"/>
      <c r="AC713" s="48"/>
      <c r="AD713" s="7"/>
      <c r="AE713" s="2" t="s">
        <v>592</v>
      </c>
      <c r="AF713" s="2"/>
      <c r="AG713" s="2"/>
    </row>
    <row r="714" spans="1:33" s="37" customFormat="1" ht="38.25" x14ac:dyDescent="0.2">
      <c r="A714" s="13">
        <f t="shared" si="16"/>
        <v>59</v>
      </c>
      <c r="B714" s="11"/>
      <c r="C714" s="144" t="s">
        <v>704</v>
      </c>
      <c r="D714" s="13"/>
      <c r="E714" s="13"/>
      <c r="F714" s="18"/>
      <c r="G714" s="1"/>
      <c r="H714" s="60"/>
      <c r="I714" s="13"/>
      <c r="J714" s="5"/>
      <c r="K714" s="5"/>
      <c r="L714" s="4"/>
      <c r="M714" s="4"/>
      <c r="N714" s="1"/>
      <c r="O714" s="5"/>
      <c r="P714" s="3"/>
      <c r="Q714" s="4"/>
      <c r="R714" s="2"/>
      <c r="S714" s="51"/>
      <c r="T714" s="51"/>
      <c r="U714" s="50"/>
      <c r="V714" s="51"/>
      <c r="W714" s="51"/>
      <c r="X714" s="50"/>
      <c r="Y714" s="50"/>
      <c r="Z714" s="50"/>
      <c r="AA714" s="257"/>
      <c r="AB714" s="50"/>
      <c r="AC714" s="50"/>
      <c r="AD714" s="51"/>
      <c r="AE714" s="51"/>
      <c r="AF714" s="51"/>
      <c r="AG714" s="2"/>
    </row>
    <row r="715" spans="1:33" s="37" customFormat="1" ht="12.75" x14ac:dyDescent="0.2">
      <c r="A715" s="13">
        <f t="shared" si="16"/>
        <v>59</v>
      </c>
      <c r="B715" s="11"/>
      <c r="C715" s="1" t="s">
        <v>337</v>
      </c>
      <c r="D715" s="13"/>
      <c r="E715" s="13"/>
      <c r="F715" s="18"/>
      <c r="G715" s="1"/>
      <c r="H715" s="60"/>
      <c r="I715" s="13"/>
      <c r="J715" s="5"/>
      <c r="K715" s="5"/>
      <c r="L715" s="4"/>
      <c r="M715" s="4"/>
      <c r="N715" s="1"/>
      <c r="O715" s="5"/>
      <c r="P715" s="3"/>
      <c r="Q715" s="4"/>
      <c r="R715" s="47"/>
      <c r="S715" s="13"/>
      <c r="T715" s="6"/>
      <c r="U715" s="17"/>
      <c r="V715" s="3"/>
      <c r="W715" s="4"/>
      <c r="X715" s="13"/>
      <c r="Y715" s="48"/>
      <c r="Z715" s="48"/>
      <c r="AA715" s="20"/>
      <c r="AB715" s="48"/>
      <c r="AC715" s="48"/>
      <c r="AD715" s="7"/>
      <c r="AE715" s="2"/>
      <c r="AF715" s="2"/>
      <c r="AG715" s="2"/>
    </row>
    <row r="716" spans="1:33" s="37" customFormat="1" ht="12.75" x14ac:dyDescent="0.2">
      <c r="A716" s="13">
        <f t="shared" si="16"/>
        <v>59</v>
      </c>
      <c r="B716" s="11"/>
      <c r="C716" s="1"/>
      <c r="D716" s="13"/>
      <c r="E716" s="13"/>
      <c r="F716" s="18"/>
      <c r="G716" s="1"/>
      <c r="H716" s="60"/>
      <c r="I716" s="13"/>
      <c r="J716" s="5"/>
      <c r="K716" s="5"/>
      <c r="L716" s="4"/>
      <c r="M716" s="4"/>
      <c r="N716" s="1"/>
      <c r="O716" s="5"/>
      <c r="P716" s="3"/>
      <c r="Q716" s="4"/>
      <c r="R716" s="47"/>
      <c r="S716" s="13"/>
      <c r="T716" s="6"/>
      <c r="U716" s="17"/>
      <c r="V716" s="3"/>
      <c r="W716" s="4"/>
      <c r="X716" s="13"/>
      <c r="Y716" s="48"/>
      <c r="Z716" s="48"/>
      <c r="AA716" s="20"/>
      <c r="AB716" s="48"/>
      <c r="AC716" s="48"/>
      <c r="AD716" s="7"/>
      <c r="AE716" s="1"/>
      <c r="AF716" s="1"/>
      <c r="AG716" s="1"/>
    </row>
    <row r="717" spans="1:33" s="37" customFormat="1" ht="12.75" x14ac:dyDescent="0.2">
      <c r="A717" s="13">
        <f t="shared" si="16"/>
        <v>59</v>
      </c>
      <c r="B717" s="11"/>
      <c r="C717" s="153"/>
      <c r="D717" s="13"/>
      <c r="E717" s="13"/>
      <c r="F717" s="18"/>
      <c r="G717" s="1"/>
      <c r="H717" s="60"/>
      <c r="I717" s="13"/>
      <c r="J717" s="5"/>
      <c r="K717" s="5"/>
      <c r="L717" s="4"/>
      <c r="M717" s="4"/>
      <c r="N717" s="1"/>
      <c r="O717" s="5"/>
      <c r="P717" s="3"/>
      <c r="Q717" s="4"/>
      <c r="R717" s="140"/>
      <c r="S717" s="141"/>
      <c r="T717" s="6"/>
      <c r="U717" s="17"/>
      <c r="V717" s="3"/>
      <c r="W717" s="4"/>
      <c r="X717" s="13"/>
      <c r="Y717" s="48"/>
      <c r="Z717" s="48"/>
      <c r="AA717" s="20"/>
      <c r="AB717" s="48"/>
      <c r="AC717" s="48"/>
      <c r="AD717" s="7"/>
      <c r="AE717" s="1"/>
      <c r="AF717" s="1"/>
      <c r="AG717" s="1"/>
    </row>
    <row r="718" spans="1:33" s="37" customFormat="1" ht="12.75" x14ac:dyDescent="0.2">
      <c r="A718" s="13">
        <f t="shared" si="16"/>
        <v>59</v>
      </c>
      <c r="B718" s="11"/>
      <c r="C718" s="138"/>
      <c r="D718" s="13"/>
      <c r="E718" s="13"/>
      <c r="F718" s="18"/>
      <c r="G718" s="1"/>
      <c r="H718" s="60"/>
      <c r="I718" s="13"/>
      <c r="J718" s="5"/>
      <c r="K718" s="5"/>
      <c r="L718" s="4"/>
      <c r="M718" s="4"/>
      <c r="N718" s="1"/>
      <c r="O718" s="5"/>
      <c r="P718" s="3"/>
      <c r="Q718" s="4"/>
      <c r="R718" s="47"/>
      <c r="S718" s="13"/>
      <c r="T718" s="6"/>
      <c r="U718" s="17"/>
      <c r="V718" s="3"/>
      <c r="W718" s="4" t="s">
        <v>593</v>
      </c>
      <c r="X718" s="13"/>
      <c r="Y718" s="48"/>
      <c r="Z718" s="48"/>
      <c r="AA718" s="20"/>
      <c r="AB718" s="48"/>
      <c r="AC718" s="48"/>
      <c r="AD718" s="7"/>
      <c r="AE718" s="2"/>
      <c r="AF718" s="2"/>
      <c r="AG718" s="2"/>
    </row>
    <row r="719" spans="1:33" s="37" customFormat="1" ht="32.25" customHeight="1" x14ac:dyDescent="0.2">
      <c r="A719" s="13">
        <f t="shared" si="16"/>
        <v>60</v>
      </c>
      <c r="B719" s="11">
        <v>60</v>
      </c>
      <c r="C719" s="21" t="s">
        <v>594</v>
      </c>
      <c r="D719" s="13"/>
      <c r="E719" s="13"/>
      <c r="F719" s="18"/>
      <c r="G719" s="1" t="s">
        <v>595</v>
      </c>
      <c r="H719" s="60">
        <v>6.4</v>
      </c>
      <c r="I719" s="13"/>
      <c r="J719" s="5"/>
      <c r="K719" s="5"/>
      <c r="L719" s="4"/>
      <c r="M719" s="4"/>
      <c r="N719" s="1"/>
      <c r="O719" s="5"/>
      <c r="P719" s="3"/>
      <c r="Q719" s="4"/>
      <c r="R719" s="47" t="s">
        <v>386</v>
      </c>
      <c r="S719" s="13" t="s">
        <v>53</v>
      </c>
      <c r="T719" s="6">
        <v>7.65</v>
      </c>
      <c r="U719" s="17"/>
      <c r="V719" s="3"/>
      <c r="W719" s="4"/>
      <c r="X719" s="13"/>
      <c r="Y719" s="48"/>
      <c r="Z719" s="48"/>
      <c r="AA719" s="20"/>
      <c r="AB719" s="48"/>
      <c r="AC719" s="48"/>
      <c r="AD719" s="7"/>
      <c r="AE719" s="2"/>
      <c r="AF719" s="2"/>
      <c r="AG719" s="2"/>
    </row>
    <row r="720" spans="1:33" s="37" customFormat="1" ht="50.25" customHeight="1" x14ac:dyDescent="0.2">
      <c r="A720" s="13">
        <f t="shared" si="16"/>
        <v>60</v>
      </c>
      <c r="B720" s="11"/>
      <c r="C720" s="34" t="s">
        <v>589</v>
      </c>
      <c r="D720" s="13"/>
      <c r="E720" s="13"/>
      <c r="F720" s="18"/>
      <c r="G720" s="1"/>
      <c r="H720" s="60"/>
      <c r="I720" s="13"/>
      <c r="J720" s="5"/>
      <c r="K720" s="5"/>
      <c r="L720" s="4"/>
      <c r="M720" s="4"/>
      <c r="N720" s="1"/>
      <c r="O720" s="5"/>
      <c r="P720" s="3"/>
      <c r="Q720" s="4"/>
      <c r="R720" s="47" t="s">
        <v>478</v>
      </c>
      <c r="S720" s="13" t="s">
        <v>53</v>
      </c>
      <c r="T720" s="6">
        <v>33.32</v>
      </c>
      <c r="U720" s="17"/>
      <c r="V720" s="3"/>
      <c r="W720" s="4"/>
      <c r="X720" s="13"/>
      <c r="Y720" s="48"/>
      <c r="Z720" s="48"/>
      <c r="AA720" s="20"/>
      <c r="AB720" s="48"/>
      <c r="AC720" s="48"/>
      <c r="AD720" s="7"/>
      <c r="AE720" s="2"/>
      <c r="AF720" s="2"/>
      <c r="AG720" s="2"/>
    </row>
    <row r="721" spans="1:33" s="37" customFormat="1" ht="20.25" customHeight="1" x14ac:dyDescent="0.2">
      <c r="A721" s="13">
        <f t="shared" si="16"/>
        <v>60</v>
      </c>
      <c r="B721" s="11"/>
      <c r="C721" s="34"/>
      <c r="D721" s="13"/>
      <c r="E721" s="13"/>
      <c r="F721" s="18"/>
      <c r="G721" s="1"/>
      <c r="H721" s="60"/>
      <c r="I721" s="13"/>
      <c r="J721" s="5"/>
      <c r="K721" s="5"/>
      <c r="L721" s="4"/>
      <c r="M721" s="4"/>
      <c r="N721" s="1"/>
      <c r="O721" s="5"/>
      <c r="P721" s="3"/>
      <c r="Q721" s="4"/>
      <c r="R721" s="47" t="s">
        <v>374</v>
      </c>
      <c r="S721" s="13" t="s">
        <v>53</v>
      </c>
      <c r="T721" s="6">
        <v>6.5</v>
      </c>
      <c r="U721" s="17"/>
      <c r="V721" s="3"/>
      <c r="W721" s="4"/>
      <c r="X721" s="13"/>
      <c r="Y721" s="48"/>
      <c r="Z721" s="48"/>
      <c r="AA721" s="20"/>
      <c r="AB721" s="48"/>
      <c r="AC721" s="48"/>
      <c r="AD721" s="7"/>
      <c r="AE721" s="2"/>
      <c r="AF721" s="2"/>
      <c r="AG721" s="2"/>
    </row>
    <row r="722" spans="1:33" s="37" customFormat="1" ht="36" customHeight="1" x14ac:dyDescent="0.2">
      <c r="A722" s="13">
        <f t="shared" si="16"/>
        <v>60</v>
      </c>
      <c r="B722" s="11"/>
      <c r="C722" s="21"/>
      <c r="D722" s="13"/>
      <c r="E722" s="13"/>
      <c r="F722" s="18"/>
      <c r="G722" s="1"/>
      <c r="H722" s="60"/>
      <c r="I722" s="13"/>
      <c r="J722" s="5"/>
      <c r="K722" s="5"/>
      <c r="L722" s="4"/>
      <c r="M722" s="4"/>
      <c r="N722" s="1"/>
      <c r="O722" s="5"/>
      <c r="P722" s="3"/>
      <c r="Q722" s="4"/>
      <c r="R722" s="47" t="s">
        <v>596</v>
      </c>
      <c r="S722" s="13" t="s">
        <v>53</v>
      </c>
      <c r="T722" s="6">
        <v>13.3</v>
      </c>
      <c r="U722" s="17"/>
      <c r="V722" s="3"/>
      <c r="W722" s="4"/>
      <c r="X722" s="13"/>
      <c r="Y722" s="48"/>
      <c r="Z722" s="48"/>
      <c r="AA722" s="20"/>
      <c r="AB722" s="48"/>
      <c r="AC722" s="48"/>
      <c r="AD722" s="7"/>
      <c r="AE722" s="2"/>
      <c r="AF722" s="2"/>
      <c r="AG722" s="2"/>
    </row>
    <row r="723" spans="1:33" s="37" customFormat="1" ht="12.75" x14ac:dyDescent="0.2">
      <c r="A723" s="13">
        <f t="shared" si="16"/>
        <v>60</v>
      </c>
      <c r="B723" s="11"/>
      <c r="C723" s="21"/>
      <c r="D723" s="13"/>
      <c r="E723" s="13"/>
      <c r="F723" s="18"/>
      <c r="G723" s="1"/>
      <c r="H723" s="60"/>
      <c r="I723" s="13"/>
      <c r="J723" s="5"/>
      <c r="K723" s="5"/>
      <c r="L723" s="4"/>
      <c r="M723" s="4"/>
      <c r="N723" s="1"/>
      <c r="O723" s="5"/>
      <c r="P723" s="3"/>
      <c r="Q723" s="4"/>
      <c r="R723" s="2"/>
      <c r="S723" s="51"/>
      <c r="T723" s="51"/>
      <c r="U723" s="17"/>
      <c r="V723" s="3"/>
      <c r="W723" s="4"/>
      <c r="X723" s="13"/>
      <c r="Y723" s="48"/>
      <c r="Z723" s="48"/>
      <c r="AA723" s="20"/>
      <c r="AB723" s="48"/>
      <c r="AC723" s="48"/>
      <c r="AD723" s="7"/>
      <c r="AE723" s="2"/>
      <c r="AF723" s="2"/>
      <c r="AG723" s="2"/>
    </row>
    <row r="724" spans="1:33" s="37" customFormat="1" ht="12.75" x14ac:dyDescent="0.2">
      <c r="A724" s="13">
        <f t="shared" si="16"/>
        <v>60</v>
      </c>
      <c r="B724" s="11"/>
      <c r="C724" s="21"/>
      <c r="D724" s="13"/>
      <c r="E724" s="13"/>
      <c r="F724" s="18"/>
      <c r="G724" s="1"/>
      <c r="H724" s="60"/>
      <c r="I724" s="13"/>
      <c r="J724" s="5"/>
      <c r="K724" s="5"/>
      <c r="L724" s="4"/>
      <c r="M724" s="4"/>
      <c r="N724" s="1"/>
      <c r="O724" s="5"/>
      <c r="P724" s="3"/>
      <c r="Q724" s="4"/>
      <c r="R724" s="47"/>
      <c r="S724" s="13"/>
      <c r="T724" s="6"/>
      <c r="U724" s="17"/>
      <c r="V724" s="3"/>
      <c r="W724" s="4"/>
      <c r="X724" s="13"/>
      <c r="Y724" s="48"/>
      <c r="Z724" s="48"/>
      <c r="AA724" s="20"/>
      <c r="AB724" s="48"/>
      <c r="AC724" s="48"/>
      <c r="AD724" s="7"/>
      <c r="AE724" s="2"/>
      <c r="AF724" s="2"/>
      <c r="AG724" s="2"/>
    </row>
    <row r="725" spans="1:33" s="37" customFormat="1" ht="12.75" x14ac:dyDescent="0.2">
      <c r="A725" s="13">
        <f t="shared" si="16"/>
        <v>60</v>
      </c>
      <c r="B725" s="11"/>
      <c r="C725" s="154"/>
      <c r="D725" s="13"/>
      <c r="E725" s="13"/>
      <c r="F725" s="18"/>
      <c r="G725" s="1"/>
      <c r="H725" s="60"/>
      <c r="I725" s="13"/>
      <c r="J725" s="5"/>
      <c r="K725" s="5"/>
      <c r="L725" s="4"/>
      <c r="M725" s="4"/>
      <c r="N725" s="1"/>
      <c r="O725" s="5"/>
      <c r="P725" s="3"/>
      <c r="Q725" s="4"/>
      <c r="R725" s="47"/>
      <c r="S725" s="13"/>
      <c r="T725" s="6"/>
      <c r="U725" s="17"/>
      <c r="V725" s="3"/>
      <c r="W725" s="4"/>
      <c r="X725" s="13"/>
      <c r="Y725" s="48"/>
      <c r="Z725" s="48"/>
      <c r="AA725" s="20"/>
      <c r="AB725" s="48"/>
      <c r="AC725" s="48"/>
      <c r="AD725" s="7"/>
      <c r="AE725" s="2"/>
      <c r="AF725" s="2"/>
      <c r="AG725" s="2"/>
    </row>
    <row r="726" spans="1:33" s="37" customFormat="1" ht="12.75" x14ac:dyDescent="0.2">
      <c r="A726" s="13">
        <f t="shared" si="16"/>
        <v>60</v>
      </c>
      <c r="B726" s="11"/>
      <c r="C726" s="21"/>
      <c r="D726" s="13"/>
      <c r="E726" s="13"/>
      <c r="F726" s="18"/>
      <c r="G726" s="1"/>
      <c r="H726" s="60"/>
      <c r="I726" s="27"/>
      <c r="J726" s="5"/>
      <c r="K726" s="5"/>
      <c r="L726" s="5"/>
      <c r="M726" s="5"/>
      <c r="N726" s="28"/>
      <c r="O726" s="5"/>
      <c r="P726" s="3"/>
      <c r="Q726" s="4"/>
      <c r="R726" s="140"/>
      <c r="S726" s="141"/>
      <c r="T726" s="6"/>
      <c r="U726" s="17"/>
      <c r="V726" s="3"/>
      <c r="W726" s="4"/>
      <c r="X726" s="13"/>
      <c r="Y726" s="48"/>
      <c r="Z726" s="48"/>
      <c r="AA726" s="20"/>
      <c r="AB726" s="48"/>
      <c r="AC726" s="48"/>
      <c r="AD726" s="7"/>
      <c r="AE726" s="2"/>
      <c r="AF726" s="2"/>
      <c r="AG726" s="2"/>
    </row>
    <row r="727" spans="1:33" s="37" customFormat="1" ht="12.75" x14ac:dyDescent="0.2">
      <c r="A727" s="13">
        <f t="shared" si="16"/>
        <v>60</v>
      </c>
      <c r="B727" s="11"/>
      <c r="C727" s="1"/>
      <c r="D727" s="13"/>
      <c r="E727" s="13"/>
      <c r="F727" s="18"/>
      <c r="G727" s="1"/>
      <c r="H727" s="60"/>
      <c r="I727" s="13"/>
      <c r="J727" s="5"/>
      <c r="K727" s="5"/>
      <c r="L727" s="4"/>
      <c r="M727" s="4"/>
      <c r="N727" s="1"/>
      <c r="O727" s="5"/>
      <c r="P727" s="3"/>
      <c r="Q727" s="4"/>
      <c r="R727" s="47"/>
      <c r="S727" s="13"/>
      <c r="T727" s="6"/>
      <c r="U727" s="17"/>
      <c r="V727" s="3"/>
      <c r="W727" s="4"/>
      <c r="X727" s="13"/>
      <c r="Y727" s="48"/>
      <c r="Z727" s="48"/>
      <c r="AA727" s="20"/>
      <c r="AB727" s="48"/>
      <c r="AC727" s="48"/>
      <c r="AD727" s="7"/>
      <c r="AE727" s="1"/>
      <c r="AF727" s="1"/>
      <c r="AG727" s="1"/>
    </row>
    <row r="728" spans="1:33" s="37" customFormat="1" ht="39.75" customHeight="1" x14ac:dyDescent="0.2">
      <c r="A728" s="13">
        <f t="shared" si="16"/>
        <v>61</v>
      </c>
      <c r="B728" s="11">
        <v>61</v>
      </c>
      <c r="C728" s="21" t="s">
        <v>46</v>
      </c>
      <c r="D728" s="13">
        <v>3</v>
      </c>
      <c r="E728" s="13">
        <v>86</v>
      </c>
      <c r="F728" s="18" t="s">
        <v>263</v>
      </c>
      <c r="G728" s="1" t="s">
        <v>417</v>
      </c>
      <c r="H728" s="60">
        <v>2192.1999999999998</v>
      </c>
      <c r="I728" s="13"/>
      <c r="J728" s="5"/>
      <c r="K728" s="5"/>
      <c r="L728" s="4"/>
      <c r="M728" s="4"/>
      <c r="N728" s="145" t="s">
        <v>760</v>
      </c>
      <c r="O728" s="5">
        <v>1</v>
      </c>
      <c r="P728" s="146"/>
      <c r="Q728" s="146"/>
      <c r="R728" s="145" t="s">
        <v>1763</v>
      </c>
      <c r="S728" s="147" t="s">
        <v>53</v>
      </c>
      <c r="T728" s="6">
        <v>34.92</v>
      </c>
      <c r="U728" s="151"/>
      <c r="V728" s="3"/>
      <c r="W728" s="4"/>
      <c r="X728" s="13" t="s">
        <v>63</v>
      </c>
      <c r="Y728" s="48" t="s">
        <v>55</v>
      </c>
      <c r="Z728" s="48" t="s">
        <v>56</v>
      </c>
      <c r="AA728" s="20" t="s">
        <v>57</v>
      </c>
      <c r="AB728" s="48" t="s">
        <v>63</v>
      </c>
      <c r="AC728" s="20" t="s">
        <v>430</v>
      </c>
      <c r="AD728" s="7"/>
      <c r="AE728" s="1" t="s">
        <v>705</v>
      </c>
      <c r="AF728" s="1"/>
      <c r="AG728" s="1"/>
    </row>
    <row r="729" spans="1:33" s="37" customFormat="1" ht="36" customHeight="1" x14ac:dyDescent="0.2">
      <c r="A729" s="13">
        <f t="shared" si="16"/>
        <v>61</v>
      </c>
      <c r="B729" s="11"/>
      <c r="C729" s="1" t="s">
        <v>262</v>
      </c>
      <c r="D729" s="13"/>
      <c r="E729" s="13"/>
      <c r="F729" s="18"/>
      <c r="G729" s="1"/>
      <c r="H729" s="60"/>
      <c r="I729" s="13"/>
      <c r="J729" s="5"/>
      <c r="K729" s="5"/>
      <c r="L729" s="4"/>
      <c r="M729" s="4"/>
      <c r="N729" s="145" t="s">
        <v>761</v>
      </c>
      <c r="O729" s="5">
        <v>1</v>
      </c>
      <c r="P729" s="146"/>
      <c r="Q729" s="146"/>
      <c r="R729" s="145" t="s">
        <v>1763</v>
      </c>
      <c r="S729" s="147" t="s">
        <v>53</v>
      </c>
      <c r="T729" s="6">
        <v>11.04</v>
      </c>
      <c r="U729" s="150"/>
      <c r="V729" s="3"/>
      <c r="W729" s="4"/>
      <c r="X729" s="13" t="s">
        <v>54</v>
      </c>
      <c r="Y729" s="48" t="s">
        <v>55</v>
      </c>
      <c r="Z729" s="48" t="s">
        <v>56</v>
      </c>
      <c r="AA729" s="20" t="s">
        <v>57</v>
      </c>
      <c r="AB729" s="48" t="s">
        <v>139</v>
      </c>
      <c r="AC729" s="48"/>
      <c r="AD729" s="7"/>
      <c r="AE729" s="1" t="s">
        <v>597</v>
      </c>
      <c r="AF729" s="1"/>
      <c r="AG729" s="1"/>
    </row>
    <row r="730" spans="1:33" s="37" customFormat="1" ht="38.25" x14ac:dyDescent="0.2">
      <c r="A730" s="13">
        <f t="shared" si="16"/>
        <v>61</v>
      </c>
      <c r="B730" s="11"/>
      <c r="C730" s="34" t="s">
        <v>706</v>
      </c>
      <c r="D730" s="13"/>
      <c r="E730" s="13"/>
      <c r="F730" s="18"/>
      <c r="G730" s="1"/>
      <c r="H730" s="60"/>
      <c r="I730" s="13"/>
      <c r="J730" s="5"/>
      <c r="K730" s="5"/>
      <c r="L730" s="4"/>
      <c r="M730" s="4"/>
      <c r="N730" s="145" t="s">
        <v>762</v>
      </c>
      <c r="O730" s="5">
        <v>1</v>
      </c>
      <c r="P730" s="146"/>
      <c r="Q730" s="146"/>
      <c r="R730" s="145" t="s">
        <v>1885</v>
      </c>
      <c r="S730" s="147" t="s">
        <v>53</v>
      </c>
      <c r="T730" s="6">
        <v>9.6</v>
      </c>
      <c r="U730" s="150"/>
      <c r="V730" s="3"/>
      <c r="W730" s="4"/>
      <c r="X730" s="13" t="s">
        <v>54</v>
      </c>
      <c r="Y730" s="48" t="s">
        <v>55</v>
      </c>
      <c r="Z730" s="48" t="s">
        <v>141</v>
      </c>
      <c r="AA730" s="20" t="s">
        <v>57</v>
      </c>
      <c r="AB730" s="48" t="s">
        <v>139</v>
      </c>
      <c r="AC730" s="48"/>
      <c r="AD730" s="7"/>
      <c r="AE730" s="2" t="s">
        <v>264</v>
      </c>
      <c r="AF730" s="2"/>
      <c r="AG730" s="2"/>
    </row>
    <row r="731" spans="1:33" s="37" customFormat="1" ht="33.75" customHeight="1" x14ac:dyDescent="0.2">
      <c r="A731" s="13">
        <f t="shared" si="16"/>
        <v>61</v>
      </c>
      <c r="B731" s="11"/>
      <c r="C731" s="34"/>
      <c r="D731" s="13"/>
      <c r="E731" s="13"/>
      <c r="F731" s="18"/>
      <c r="G731" s="1"/>
      <c r="H731" s="60"/>
      <c r="I731" s="13"/>
      <c r="J731" s="5"/>
      <c r="K731" s="5"/>
      <c r="L731" s="4"/>
      <c r="M731" s="4"/>
      <c r="N731" s="145" t="s">
        <v>763</v>
      </c>
      <c r="O731" s="5">
        <v>1</v>
      </c>
      <c r="P731" s="146"/>
      <c r="Q731" s="146"/>
      <c r="R731" s="145" t="s">
        <v>1886</v>
      </c>
      <c r="S731" s="147" t="s">
        <v>53</v>
      </c>
      <c r="T731" s="6">
        <v>2.99</v>
      </c>
      <c r="U731" s="150"/>
      <c r="V731" s="3"/>
      <c r="W731" s="4"/>
      <c r="X731" s="13"/>
      <c r="Y731" s="48"/>
      <c r="Z731" s="48" t="s">
        <v>56</v>
      </c>
      <c r="AA731" s="20" t="s">
        <v>57</v>
      </c>
      <c r="AB731" s="48" t="s">
        <v>139</v>
      </c>
      <c r="AC731" s="48"/>
      <c r="AD731" s="7"/>
      <c r="AE731" s="2" t="s">
        <v>1724</v>
      </c>
      <c r="AF731" s="2"/>
      <c r="AG731" s="2"/>
    </row>
    <row r="732" spans="1:33" s="37" customFormat="1" ht="36" customHeight="1" x14ac:dyDescent="0.2">
      <c r="A732" s="13">
        <f t="shared" si="16"/>
        <v>61</v>
      </c>
      <c r="B732" s="11"/>
      <c r="C732" s="1"/>
      <c r="D732" s="13"/>
      <c r="E732" s="13"/>
      <c r="F732" s="18"/>
      <c r="G732" s="1"/>
      <c r="H732" s="60"/>
      <c r="I732" s="13"/>
      <c r="J732" s="5"/>
      <c r="K732" s="5"/>
      <c r="L732" s="4"/>
      <c r="M732" s="4"/>
      <c r="N732" s="145" t="s">
        <v>409</v>
      </c>
      <c r="O732" s="5">
        <v>6</v>
      </c>
      <c r="P732" s="146"/>
      <c r="Q732" s="146"/>
      <c r="R732" s="145" t="s">
        <v>1887</v>
      </c>
      <c r="S732" s="147" t="s">
        <v>53</v>
      </c>
      <c r="T732" s="6">
        <v>1.69</v>
      </c>
      <c r="U732" s="150"/>
      <c r="V732" s="3"/>
      <c r="W732" s="4"/>
      <c r="X732" s="13"/>
      <c r="Y732" s="48"/>
      <c r="Z732" s="48" t="s">
        <v>56</v>
      </c>
      <c r="AA732" s="20" t="s">
        <v>57</v>
      </c>
      <c r="AB732" s="48" t="s">
        <v>139</v>
      </c>
      <c r="AC732" s="48"/>
      <c r="AD732" s="7"/>
      <c r="AE732" s="2"/>
      <c r="AF732" s="2"/>
      <c r="AG732" s="2"/>
    </row>
    <row r="733" spans="1:33" s="37" customFormat="1" ht="22.5" customHeight="1" x14ac:dyDescent="0.2">
      <c r="A733" s="13">
        <f t="shared" si="16"/>
        <v>61</v>
      </c>
      <c r="B733" s="11"/>
      <c r="C733" s="1"/>
      <c r="D733" s="13"/>
      <c r="E733" s="13"/>
      <c r="F733" s="18"/>
      <c r="G733" s="1"/>
      <c r="H733" s="60"/>
      <c r="I733" s="13"/>
      <c r="J733" s="5"/>
      <c r="K733" s="5"/>
      <c r="L733" s="4"/>
      <c r="M733" s="4"/>
      <c r="N733" s="145" t="s">
        <v>764</v>
      </c>
      <c r="O733" s="5">
        <v>2</v>
      </c>
      <c r="P733" s="146"/>
      <c r="Q733" s="146"/>
      <c r="R733" s="145" t="s">
        <v>1844</v>
      </c>
      <c r="S733" s="147" t="s">
        <v>53</v>
      </c>
      <c r="T733" s="6">
        <v>30</v>
      </c>
      <c r="U733" s="150"/>
      <c r="V733" s="3"/>
      <c r="W733" s="4"/>
      <c r="X733" s="13"/>
      <c r="Y733" s="48" t="s">
        <v>55</v>
      </c>
      <c r="Z733" s="48" t="s">
        <v>56</v>
      </c>
      <c r="AA733" s="20"/>
      <c r="AB733" s="48" t="s">
        <v>66</v>
      </c>
      <c r="AC733" s="48"/>
      <c r="AD733" s="7"/>
      <c r="AE733" s="2"/>
      <c r="AF733" s="2"/>
      <c r="AG733" s="2"/>
    </row>
    <row r="734" spans="1:33" s="37" customFormat="1" ht="22.5" customHeight="1" x14ac:dyDescent="0.2">
      <c r="A734" s="13">
        <f t="shared" si="16"/>
        <v>61</v>
      </c>
      <c r="B734" s="11"/>
      <c r="C734" s="1"/>
      <c r="D734" s="13"/>
      <c r="E734" s="13"/>
      <c r="F734" s="18"/>
      <c r="G734" s="1"/>
      <c r="H734" s="60"/>
      <c r="I734" s="13"/>
      <c r="J734" s="5"/>
      <c r="K734" s="5"/>
      <c r="L734" s="4"/>
      <c r="M734" s="4"/>
      <c r="N734" s="145" t="s">
        <v>765</v>
      </c>
      <c r="O734" s="5">
        <v>3</v>
      </c>
      <c r="P734" s="146"/>
      <c r="Q734" s="146"/>
      <c r="R734" s="145" t="s">
        <v>1888</v>
      </c>
      <c r="S734" s="147" t="s">
        <v>53</v>
      </c>
      <c r="T734" s="6">
        <v>3.96</v>
      </c>
      <c r="U734" s="150"/>
      <c r="V734" s="3"/>
      <c r="W734" s="4"/>
      <c r="X734" s="13"/>
      <c r="Y734" s="48" t="s">
        <v>55</v>
      </c>
      <c r="Z734" s="48" t="s">
        <v>141</v>
      </c>
      <c r="AA734" s="20" t="s">
        <v>266</v>
      </c>
      <c r="AB734" s="48" t="s">
        <v>267</v>
      </c>
      <c r="AC734" s="48"/>
      <c r="AD734" s="7"/>
      <c r="AE734" s="2"/>
      <c r="AF734" s="2"/>
      <c r="AG734" s="2"/>
    </row>
    <row r="735" spans="1:33" s="37" customFormat="1" ht="22.5" customHeight="1" x14ac:dyDescent="0.2">
      <c r="A735" s="13">
        <f t="shared" si="16"/>
        <v>61</v>
      </c>
      <c r="B735" s="11"/>
      <c r="C735" s="1"/>
      <c r="D735" s="13"/>
      <c r="E735" s="13"/>
      <c r="F735" s="18"/>
      <c r="G735" s="1"/>
      <c r="H735" s="60"/>
      <c r="I735" s="13"/>
      <c r="J735" s="5"/>
      <c r="K735" s="5"/>
      <c r="L735" s="4"/>
      <c r="M735" s="4"/>
      <c r="N735" s="1" t="s">
        <v>766</v>
      </c>
      <c r="O735" s="5">
        <v>1</v>
      </c>
      <c r="P735" s="146"/>
      <c r="Q735" s="146"/>
      <c r="R735" s="145" t="s">
        <v>1844</v>
      </c>
      <c r="S735" s="147" t="s">
        <v>53</v>
      </c>
      <c r="T735" s="6">
        <v>32.4</v>
      </c>
      <c r="U735" s="150"/>
      <c r="V735" s="3"/>
      <c r="W735" s="4"/>
      <c r="X735" s="13"/>
      <c r="Y735" s="48" t="s">
        <v>55</v>
      </c>
      <c r="Z735" s="48" t="s">
        <v>56</v>
      </c>
      <c r="AA735" s="20"/>
      <c r="AB735" s="48" t="s">
        <v>267</v>
      </c>
      <c r="AC735" s="48"/>
      <c r="AD735" s="7"/>
      <c r="AE735" s="2"/>
      <c r="AF735" s="2"/>
      <c r="AG735" s="2"/>
    </row>
    <row r="736" spans="1:33" s="37" customFormat="1" ht="22.5" customHeight="1" x14ac:dyDescent="0.2">
      <c r="A736" s="13">
        <f t="shared" si="16"/>
        <v>61</v>
      </c>
      <c r="B736" s="11"/>
      <c r="C736" s="1"/>
      <c r="D736" s="13"/>
      <c r="E736" s="13"/>
      <c r="F736" s="18"/>
      <c r="G736" s="1"/>
      <c r="H736" s="60"/>
      <c r="I736" s="13"/>
      <c r="J736" s="5"/>
      <c r="K736" s="5"/>
      <c r="L736" s="4"/>
      <c r="M736" s="4"/>
      <c r="N736" s="1" t="s">
        <v>767</v>
      </c>
      <c r="O736" s="5">
        <v>78</v>
      </c>
      <c r="P736" s="146"/>
      <c r="Q736" s="146"/>
      <c r="R736" s="145" t="s">
        <v>1840</v>
      </c>
      <c r="S736" s="147" t="s">
        <v>53</v>
      </c>
      <c r="T736" s="6">
        <v>74.2</v>
      </c>
      <c r="U736" s="150"/>
      <c r="V736" s="3"/>
      <c r="W736" s="4"/>
      <c r="X736" s="13"/>
      <c r="Y736" s="48" t="s">
        <v>55</v>
      </c>
      <c r="Z736" s="48" t="s">
        <v>56</v>
      </c>
      <c r="AA736" s="20" t="s">
        <v>57</v>
      </c>
      <c r="AB736" s="48" t="s">
        <v>267</v>
      </c>
      <c r="AC736" s="48"/>
      <c r="AD736" s="7"/>
      <c r="AE736" s="2"/>
      <c r="AF736" s="2"/>
      <c r="AG736" s="2"/>
    </row>
    <row r="737" spans="1:33" s="37" customFormat="1" ht="22.5" customHeight="1" x14ac:dyDescent="0.2">
      <c r="A737" s="13">
        <f t="shared" si="16"/>
        <v>61</v>
      </c>
      <c r="B737" s="11"/>
      <c r="C737" s="1"/>
      <c r="D737" s="13"/>
      <c r="E737" s="13"/>
      <c r="F737" s="18"/>
      <c r="G737" s="1"/>
      <c r="H737" s="60"/>
      <c r="I737" s="13"/>
      <c r="J737" s="5"/>
      <c r="K737" s="5"/>
      <c r="L737" s="4"/>
      <c r="M737" s="4"/>
      <c r="N737" s="145" t="s">
        <v>768</v>
      </c>
      <c r="O737" s="5">
        <v>1</v>
      </c>
      <c r="P737" s="3"/>
      <c r="Q737" s="4"/>
      <c r="R737" s="47" t="s">
        <v>1844</v>
      </c>
      <c r="S737" s="147" t="s">
        <v>53</v>
      </c>
      <c r="T737" s="6">
        <v>74.400000000000006</v>
      </c>
      <c r="U737" s="17"/>
      <c r="V737" s="3"/>
      <c r="W737" s="4"/>
      <c r="X737" s="13"/>
      <c r="Y737" s="48" t="s">
        <v>55</v>
      </c>
      <c r="Z737" s="48" t="s">
        <v>141</v>
      </c>
      <c r="AA737" s="20"/>
      <c r="AB737" s="48" t="s">
        <v>267</v>
      </c>
      <c r="AC737" s="48"/>
      <c r="AD737" s="7"/>
      <c r="AE737" s="2"/>
      <c r="AF737" s="2"/>
      <c r="AG737" s="2"/>
    </row>
    <row r="738" spans="1:33" s="37" customFormat="1" ht="22.5" customHeight="1" x14ac:dyDescent="0.2">
      <c r="A738" s="13">
        <f t="shared" si="16"/>
        <v>61</v>
      </c>
      <c r="B738" s="11"/>
      <c r="C738" s="1"/>
      <c r="D738" s="13"/>
      <c r="E738" s="13"/>
      <c r="F738" s="18"/>
      <c r="G738" s="1"/>
      <c r="H738" s="60"/>
      <c r="I738" s="13"/>
      <c r="J738" s="5"/>
      <c r="K738" s="5"/>
      <c r="L738" s="4"/>
      <c r="M738" s="4"/>
      <c r="N738" s="145" t="s">
        <v>769</v>
      </c>
      <c r="O738" s="5">
        <v>3</v>
      </c>
      <c r="P738" s="3"/>
      <c r="Q738" s="4"/>
      <c r="R738" s="47" t="s">
        <v>1889</v>
      </c>
      <c r="S738" s="147" t="s">
        <v>53</v>
      </c>
      <c r="T738" s="6">
        <v>8.26</v>
      </c>
      <c r="U738" s="17"/>
      <c r="V738" s="3"/>
      <c r="W738" s="4"/>
      <c r="X738" s="13"/>
      <c r="Y738" s="48" t="s">
        <v>55</v>
      </c>
      <c r="Z738" s="48" t="s">
        <v>141</v>
      </c>
      <c r="AA738" s="20" t="s">
        <v>57</v>
      </c>
      <c r="AB738" s="48" t="s">
        <v>139</v>
      </c>
      <c r="AC738" s="48"/>
      <c r="AD738" s="7"/>
      <c r="AE738" s="2"/>
      <c r="AF738" s="2"/>
      <c r="AG738" s="2"/>
    </row>
    <row r="739" spans="1:33" s="37" customFormat="1" ht="22.5" customHeight="1" x14ac:dyDescent="0.2">
      <c r="A739" s="13">
        <f t="shared" si="16"/>
        <v>61</v>
      </c>
      <c r="B739" s="11"/>
      <c r="C739" s="143"/>
      <c r="D739" s="13"/>
      <c r="E739" s="13"/>
      <c r="F739" s="18"/>
      <c r="G739" s="1"/>
      <c r="H739" s="60"/>
      <c r="I739" s="13"/>
      <c r="J739" s="5"/>
      <c r="K739" s="5"/>
      <c r="L739" s="4"/>
      <c r="M739" s="4"/>
      <c r="N739" s="145" t="s">
        <v>770</v>
      </c>
      <c r="O739" s="5">
        <v>2</v>
      </c>
      <c r="P739" s="146"/>
      <c r="Q739" s="146"/>
      <c r="R739" s="145" t="s">
        <v>1890</v>
      </c>
      <c r="S739" s="147" t="s">
        <v>53</v>
      </c>
      <c r="T739" s="6">
        <v>28</v>
      </c>
      <c r="U739" s="150"/>
      <c r="V739" s="3"/>
      <c r="W739" s="4"/>
      <c r="X739" s="13"/>
      <c r="Y739" s="48" t="s">
        <v>55</v>
      </c>
      <c r="Z739" s="48" t="s">
        <v>141</v>
      </c>
      <c r="AA739" s="20" t="s">
        <v>266</v>
      </c>
      <c r="AB739" s="48" t="s">
        <v>267</v>
      </c>
      <c r="AC739" s="48"/>
      <c r="AD739" s="7"/>
      <c r="AE739" s="2"/>
      <c r="AF739" s="2"/>
      <c r="AG739" s="2"/>
    </row>
    <row r="740" spans="1:33" s="37" customFormat="1" ht="22.5" customHeight="1" x14ac:dyDescent="0.2">
      <c r="A740" s="13">
        <f t="shared" si="16"/>
        <v>61</v>
      </c>
      <c r="B740" s="11"/>
      <c r="C740" s="144"/>
      <c r="D740" s="13"/>
      <c r="E740" s="13"/>
      <c r="F740" s="18"/>
      <c r="G740" s="1"/>
      <c r="H740" s="60"/>
      <c r="I740" s="13"/>
      <c r="J740" s="5"/>
      <c r="K740" s="5"/>
      <c r="L740" s="4"/>
      <c r="M740" s="4"/>
      <c r="N740" s="145" t="s">
        <v>756</v>
      </c>
      <c r="O740" s="5">
        <v>3</v>
      </c>
      <c r="P740" s="146"/>
      <c r="Q740" s="146"/>
      <c r="R740" s="145" t="s">
        <v>1889</v>
      </c>
      <c r="S740" s="147" t="s">
        <v>53</v>
      </c>
      <c r="T740" s="6">
        <v>2.86</v>
      </c>
      <c r="U740" s="150"/>
      <c r="V740" s="3"/>
      <c r="W740" s="4"/>
      <c r="X740" s="13"/>
      <c r="Y740" s="48" t="s">
        <v>268</v>
      </c>
      <c r="Z740" s="48" t="s">
        <v>141</v>
      </c>
      <c r="AA740" s="20" t="s">
        <v>269</v>
      </c>
      <c r="AB740" s="48" t="s">
        <v>139</v>
      </c>
      <c r="AC740" s="48"/>
      <c r="AD740" s="7"/>
      <c r="AE740" s="2"/>
      <c r="AF740" s="2"/>
      <c r="AG740" s="2"/>
    </row>
    <row r="741" spans="1:33" s="37" customFormat="1" ht="22.5" customHeight="1" x14ac:dyDescent="0.2">
      <c r="A741" s="13">
        <f t="shared" si="16"/>
        <v>61</v>
      </c>
      <c r="B741" s="11"/>
      <c r="C741" s="144"/>
      <c r="D741" s="13"/>
      <c r="E741" s="13"/>
      <c r="F741" s="18"/>
      <c r="G741" s="1"/>
      <c r="H741" s="60"/>
      <c r="I741" s="13"/>
      <c r="J741" s="5"/>
      <c r="K741" s="5"/>
      <c r="L741" s="4"/>
      <c r="M741" s="4"/>
      <c r="N741" s="145" t="s">
        <v>405</v>
      </c>
      <c r="O741" s="5">
        <v>10</v>
      </c>
      <c r="P741" s="146"/>
      <c r="Q741" s="146"/>
      <c r="R741" s="145" t="s">
        <v>1844</v>
      </c>
      <c r="S741" s="150" t="s">
        <v>53</v>
      </c>
      <c r="T741" s="6">
        <v>26.01</v>
      </c>
      <c r="U741" s="150"/>
      <c r="V741" s="3"/>
      <c r="W741" s="4"/>
      <c r="X741" s="13"/>
      <c r="Y741" s="48" t="s">
        <v>55</v>
      </c>
      <c r="Z741" s="48" t="s">
        <v>270</v>
      </c>
      <c r="AA741" s="20"/>
      <c r="AB741" s="48" t="s">
        <v>66</v>
      </c>
      <c r="AC741" s="48"/>
      <c r="AD741" s="7"/>
      <c r="AE741" s="2"/>
      <c r="AF741" s="2"/>
      <c r="AG741" s="2"/>
    </row>
    <row r="742" spans="1:33" s="37" customFormat="1" ht="38.25" customHeight="1" x14ac:dyDescent="0.2">
      <c r="A742" s="13">
        <f t="shared" si="16"/>
        <v>61</v>
      </c>
      <c r="B742" s="11"/>
      <c r="C742" s="1"/>
      <c r="D742" s="13"/>
      <c r="E742" s="13"/>
      <c r="F742" s="18"/>
      <c r="G742" s="1"/>
      <c r="H742" s="60"/>
      <c r="I742" s="13"/>
      <c r="J742" s="5"/>
      <c r="K742" s="5"/>
      <c r="L742" s="4"/>
      <c r="M742" s="4"/>
      <c r="N742" s="145" t="s">
        <v>771</v>
      </c>
      <c r="O742" s="5">
        <v>1</v>
      </c>
      <c r="P742" s="146"/>
      <c r="Q742" s="146"/>
      <c r="R742" s="145" t="s">
        <v>1891</v>
      </c>
      <c r="S742" s="150" t="s">
        <v>53</v>
      </c>
      <c r="T742" s="6">
        <v>13.8</v>
      </c>
      <c r="U742" s="150"/>
      <c r="V742" s="3"/>
      <c r="W742" s="4"/>
      <c r="X742" s="13"/>
      <c r="Y742" s="48"/>
      <c r="Z742" s="48"/>
      <c r="AA742" s="20"/>
      <c r="AB742" s="48"/>
      <c r="AC742" s="48"/>
      <c r="AD742" s="7"/>
      <c r="AE742" s="2"/>
      <c r="AF742" s="2"/>
      <c r="AG742" s="2"/>
    </row>
    <row r="743" spans="1:33" s="37" customFormat="1" ht="31.5" customHeight="1" x14ac:dyDescent="0.2">
      <c r="A743" s="13">
        <f t="shared" si="16"/>
        <v>61</v>
      </c>
      <c r="B743" s="11"/>
      <c r="C743" s="1"/>
      <c r="D743" s="13"/>
      <c r="E743" s="13"/>
      <c r="F743" s="18"/>
      <c r="G743" s="1"/>
      <c r="H743" s="60"/>
      <c r="I743" s="13"/>
      <c r="J743" s="5"/>
      <c r="K743" s="5"/>
      <c r="L743" s="4"/>
      <c r="M743" s="4"/>
      <c r="N743" s="145" t="s">
        <v>772</v>
      </c>
      <c r="O743" s="5">
        <v>3</v>
      </c>
      <c r="P743" s="146"/>
      <c r="Q743" s="146"/>
      <c r="R743" s="145" t="s">
        <v>1862</v>
      </c>
      <c r="S743" s="150" t="s">
        <v>53</v>
      </c>
      <c r="T743" s="6">
        <v>38.42</v>
      </c>
      <c r="U743" s="150"/>
      <c r="V743" s="3"/>
      <c r="W743" s="4"/>
      <c r="X743" s="13"/>
      <c r="Y743" s="48"/>
      <c r="Z743" s="48"/>
      <c r="AA743" s="20"/>
      <c r="AB743" s="48"/>
      <c r="AC743" s="48"/>
      <c r="AD743" s="7"/>
      <c r="AE743" s="2"/>
      <c r="AF743" s="2"/>
      <c r="AG743" s="2"/>
    </row>
    <row r="744" spans="1:33" s="37" customFormat="1" ht="27.75" customHeight="1" x14ac:dyDescent="0.2">
      <c r="A744" s="13">
        <f t="shared" si="16"/>
        <v>61</v>
      </c>
      <c r="B744" s="11"/>
      <c r="C744" s="1"/>
      <c r="D744" s="13"/>
      <c r="E744" s="13"/>
      <c r="F744" s="18"/>
      <c r="G744" s="1"/>
      <c r="H744" s="60"/>
      <c r="I744" s="13"/>
      <c r="J744" s="5"/>
      <c r="K744" s="5"/>
      <c r="L744" s="4"/>
      <c r="M744" s="4"/>
      <c r="N744" s="145" t="s">
        <v>774</v>
      </c>
      <c r="O744" s="5">
        <v>2</v>
      </c>
      <c r="P744" s="146"/>
      <c r="Q744" s="146"/>
      <c r="R744" s="145" t="s">
        <v>1892</v>
      </c>
      <c r="S744" s="150" t="s">
        <v>53</v>
      </c>
      <c r="T744" s="6">
        <v>47.26</v>
      </c>
      <c r="U744" s="150"/>
      <c r="V744" s="3"/>
      <c r="W744" s="4"/>
      <c r="X744" s="13"/>
      <c r="Y744" s="48"/>
      <c r="Z744" s="48"/>
      <c r="AA744" s="20"/>
      <c r="AB744" s="48"/>
      <c r="AC744" s="48"/>
      <c r="AD744" s="7"/>
      <c r="AE744" s="2"/>
      <c r="AF744" s="2"/>
      <c r="AG744" s="2"/>
    </row>
    <row r="745" spans="1:33" s="37" customFormat="1" ht="22.5" customHeight="1" x14ac:dyDescent="0.2">
      <c r="A745" s="13">
        <f t="shared" si="16"/>
        <v>61</v>
      </c>
      <c r="B745" s="11"/>
      <c r="C745" s="1"/>
      <c r="D745" s="13"/>
      <c r="E745" s="13"/>
      <c r="F745" s="18"/>
      <c r="G745" s="1"/>
      <c r="H745" s="60"/>
      <c r="I745" s="13"/>
      <c r="J745" s="5"/>
      <c r="K745" s="5"/>
      <c r="L745" s="4"/>
      <c r="M745" s="4"/>
      <c r="N745" s="145" t="s">
        <v>773</v>
      </c>
      <c r="O745" s="5">
        <v>9</v>
      </c>
      <c r="P745" s="146"/>
      <c r="Q745" s="146"/>
      <c r="R745" s="145" t="s">
        <v>1893</v>
      </c>
      <c r="S745" s="150" t="s">
        <v>53</v>
      </c>
      <c r="T745" s="6">
        <v>237.93</v>
      </c>
      <c r="U745" s="150"/>
      <c r="V745" s="3"/>
      <c r="W745" s="4"/>
      <c r="X745" s="13"/>
      <c r="Y745" s="48"/>
      <c r="Z745" s="48"/>
      <c r="AA745" s="20"/>
      <c r="AB745" s="48"/>
      <c r="AC745" s="48"/>
      <c r="AD745" s="7"/>
      <c r="AE745" s="2"/>
      <c r="AF745" s="2"/>
      <c r="AG745" s="2"/>
    </row>
    <row r="746" spans="1:33" s="37" customFormat="1" ht="22.5" customHeight="1" x14ac:dyDescent="0.2">
      <c r="A746" s="13">
        <f t="shared" si="16"/>
        <v>61</v>
      </c>
      <c r="B746" s="11"/>
      <c r="C746" s="1"/>
      <c r="D746" s="13"/>
      <c r="E746" s="13"/>
      <c r="F746" s="18"/>
      <c r="G746" s="1"/>
      <c r="H746" s="60"/>
      <c r="I746" s="13"/>
      <c r="J746" s="5"/>
      <c r="K746" s="5"/>
      <c r="L746" s="4"/>
      <c r="M746" s="4"/>
      <c r="N746" s="145" t="s">
        <v>183</v>
      </c>
      <c r="O746" s="5">
        <v>2</v>
      </c>
      <c r="P746" s="146"/>
      <c r="Q746" s="146"/>
      <c r="R746" s="145" t="s">
        <v>1880</v>
      </c>
      <c r="S746" s="150" t="s">
        <v>78</v>
      </c>
      <c r="T746" s="6">
        <v>0.12</v>
      </c>
      <c r="U746" s="150"/>
      <c r="V746" s="3"/>
      <c r="W746" s="4"/>
      <c r="X746" s="13"/>
      <c r="Y746" s="48"/>
      <c r="Z746" s="48"/>
      <c r="AA746" s="20"/>
      <c r="AB746" s="48"/>
      <c r="AC746" s="48"/>
      <c r="AD746" s="7"/>
      <c r="AE746" s="2"/>
      <c r="AF746" s="2"/>
      <c r="AG746" s="2"/>
    </row>
    <row r="747" spans="1:33" s="37" customFormat="1" ht="22.5" customHeight="1" x14ac:dyDescent="0.2">
      <c r="A747" s="13">
        <f t="shared" si="16"/>
        <v>61</v>
      </c>
      <c r="B747" s="11"/>
      <c r="C747" s="1"/>
      <c r="D747" s="13"/>
      <c r="E747" s="13"/>
      <c r="F747" s="18"/>
      <c r="G747" s="1"/>
      <c r="H747" s="60"/>
      <c r="I747" s="13"/>
      <c r="J747" s="5"/>
      <c r="K747" s="5"/>
      <c r="L747" s="4"/>
      <c r="M747" s="4"/>
      <c r="N747" s="145" t="s">
        <v>70</v>
      </c>
      <c r="O747" s="5">
        <v>3</v>
      </c>
      <c r="P747" s="146"/>
      <c r="Q747" s="146"/>
      <c r="R747" s="84" t="s">
        <v>1767</v>
      </c>
      <c r="S747" s="150" t="s">
        <v>53</v>
      </c>
      <c r="T747" s="6">
        <v>20.11</v>
      </c>
      <c r="U747" s="150"/>
      <c r="V747" s="3"/>
      <c r="W747" s="4"/>
      <c r="X747" s="13"/>
      <c r="Y747" s="48"/>
      <c r="Z747" s="48"/>
      <c r="AA747" s="20"/>
      <c r="AB747" s="48"/>
      <c r="AC747" s="48"/>
      <c r="AD747" s="7"/>
      <c r="AE747" s="2"/>
      <c r="AF747" s="2"/>
      <c r="AG747" s="2"/>
    </row>
    <row r="748" spans="1:33" s="37" customFormat="1" ht="22.5" customHeight="1" x14ac:dyDescent="0.2">
      <c r="A748" s="13">
        <f t="shared" si="16"/>
        <v>61</v>
      </c>
      <c r="B748" s="11"/>
      <c r="C748" s="1"/>
      <c r="D748" s="13"/>
      <c r="E748" s="13"/>
      <c r="F748" s="18"/>
      <c r="G748" s="1"/>
      <c r="H748" s="60"/>
      <c r="I748" s="13"/>
      <c r="J748" s="5"/>
      <c r="K748" s="5"/>
      <c r="L748" s="4"/>
      <c r="M748" s="4"/>
      <c r="N748" s="145" t="s">
        <v>145</v>
      </c>
      <c r="O748" s="5">
        <v>2</v>
      </c>
      <c r="P748" s="146"/>
      <c r="Q748" s="146"/>
      <c r="R748" s="145" t="s">
        <v>1771</v>
      </c>
      <c r="S748" s="150" t="s">
        <v>53</v>
      </c>
      <c r="T748" s="6">
        <v>0.4</v>
      </c>
      <c r="U748" s="150"/>
      <c r="V748" s="3"/>
      <c r="W748" s="4"/>
      <c r="X748" s="13"/>
      <c r="Y748" s="48"/>
      <c r="Z748" s="48"/>
      <c r="AA748" s="20"/>
      <c r="AB748" s="48"/>
      <c r="AC748" s="48"/>
      <c r="AD748" s="7"/>
      <c r="AE748" s="2"/>
      <c r="AF748" s="2"/>
      <c r="AG748" s="2"/>
    </row>
    <row r="749" spans="1:33" s="37" customFormat="1" ht="22.5" customHeight="1" x14ac:dyDescent="0.2">
      <c r="A749" s="13">
        <f t="shared" si="16"/>
        <v>61</v>
      </c>
      <c r="B749" s="11"/>
      <c r="C749" s="1"/>
      <c r="D749" s="13"/>
      <c r="E749" s="13"/>
      <c r="F749" s="18"/>
      <c r="G749" s="1"/>
      <c r="H749" s="60"/>
      <c r="I749" s="13"/>
      <c r="J749" s="5"/>
      <c r="K749" s="5"/>
      <c r="L749" s="4"/>
      <c r="M749" s="4"/>
      <c r="N749" s="145" t="s">
        <v>77</v>
      </c>
      <c r="O749" s="5">
        <v>4</v>
      </c>
      <c r="P749" s="146"/>
      <c r="Q749" s="146"/>
      <c r="R749" s="145" t="s">
        <v>1774</v>
      </c>
      <c r="S749" s="150" t="s">
        <v>53</v>
      </c>
      <c r="T749" s="6">
        <v>3</v>
      </c>
      <c r="U749" s="150"/>
      <c r="V749" s="3"/>
      <c r="W749" s="4"/>
      <c r="X749" s="13"/>
      <c r="Y749" s="48"/>
      <c r="Z749" s="48"/>
      <c r="AA749" s="20"/>
      <c r="AB749" s="48"/>
      <c r="AC749" s="48"/>
      <c r="AD749" s="7"/>
      <c r="AE749" s="2"/>
      <c r="AF749" s="2"/>
      <c r="AG749" s="2"/>
    </row>
    <row r="750" spans="1:33" s="37" customFormat="1" ht="22.5" customHeight="1" x14ac:dyDescent="0.2">
      <c r="A750" s="13">
        <f t="shared" si="16"/>
        <v>61</v>
      </c>
      <c r="B750" s="11"/>
      <c r="C750" s="1"/>
      <c r="D750" s="13"/>
      <c r="E750" s="13"/>
      <c r="F750" s="18"/>
      <c r="G750" s="1"/>
      <c r="H750" s="60"/>
      <c r="I750" s="13"/>
      <c r="J750" s="5"/>
      <c r="K750" s="5"/>
      <c r="L750" s="4"/>
      <c r="M750" s="4"/>
      <c r="N750" s="145" t="s">
        <v>775</v>
      </c>
      <c r="O750" s="5">
        <v>1</v>
      </c>
      <c r="P750" s="146"/>
      <c r="Q750" s="146"/>
      <c r="R750" s="145" t="s">
        <v>1768</v>
      </c>
      <c r="S750" s="150" t="s">
        <v>53</v>
      </c>
      <c r="T750" s="6">
        <v>14.04</v>
      </c>
      <c r="U750" s="150"/>
      <c r="V750" s="3"/>
      <c r="W750" s="4"/>
      <c r="X750" s="13"/>
      <c r="Y750" s="48"/>
      <c r="Z750" s="48"/>
      <c r="AA750" s="20"/>
      <c r="AB750" s="48"/>
      <c r="AC750" s="48"/>
      <c r="AD750" s="7"/>
      <c r="AE750" s="2"/>
      <c r="AF750" s="2"/>
      <c r="AG750" s="2"/>
    </row>
    <row r="751" spans="1:33" s="37" customFormat="1" ht="22.5" customHeight="1" x14ac:dyDescent="0.2">
      <c r="A751" s="13">
        <f t="shared" si="16"/>
        <v>61</v>
      </c>
      <c r="B751" s="11"/>
      <c r="C751" s="1"/>
      <c r="D751" s="13"/>
      <c r="E751" s="13"/>
      <c r="F751" s="18"/>
      <c r="G751" s="1"/>
      <c r="H751" s="60"/>
      <c r="I751" s="13"/>
      <c r="J751" s="5"/>
      <c r="K751" s="5"/>
      <c r="L751" s="4"/>
      <c r="M751" s="4"/>
      <c r="N751" s="145" t="s">
        <v>271</v>
      </c>
      <c r="O751" s="5">
        <v>1</v>
      </c>
      <c r="P751" s="146"/>
      <c r="Q751" s="146"/>
      <c r="R751" s="145" t="s">
        <v>1894</v>
      </c>
      <c r="S751" s="150" t="s">
        <v>53</v>
      </c>
      <c r="T751" s="6">
        <v>16.14</v>
      </c>
      <c r="U751" s="150"/>
      <c r="V751" s="3"/>
      <c r="W751" s="4"/>
      <c r="X751" s="13"/>
      <c r="Y751" s="48"/>
      <c r="Z751" s="48"/>
      <c r="AA751" s="20"/>
      <c r="AB751" s="48"/>
      <c r="AC751" s="48"/>
      <c r="AD751" s="7"/>
      <c r="AE751" s="2"/>
      <c r="AF751" s="2"/>
      <c r="AG751" s="2"/>
    </row>
    <row r="752" spans="1:33" s="37" customFormat="1" ht="31.5" customHeight="1" x14ac:dyDescent="0.2">
      <c r="A752" s="13">
        <f t="shared" si="16"/>
        <v>61</v>
      </c>
      <c r="B752" s="11"/>
      <c r="C752" s="1"/>
      <c r="D752" s="13"/>
      <c r="E752" s="13"/>
      <c r="F752" s="18"/>
      <c r="G752" s="1"/>
      <c r="H752" s="60"/>
      <c r="I752" s="13"/>
      <c r="J752" s="5"/>
      <c r="K752" s="5"/>
      <c r="L752" s="4"/>
      <c r="M752" s="4"/>
      <c r="N752" s="145" t="s">
        <v>135</v>
      </c>
      <c r="O752" s="5">
        <v>1</v>
      </c>
      <c r="P752" s="146"/>
      <c r="Q752" s="146"/>
      <c r="R752" s="145" t="s">
        <v>1895</v>
      </c>
      <c r="S752" s="150" t="s">
        <v>53</v>
      </c>
      <c r="T752" s="6">
        <v>16.059999999999999</v>
      </c>
      <c r="U752" s="150"/>
      <c r="V752" s="3"/>
      <c r="W752" s="4"/>
      <c r="X752" s="13"/>
      <c r="Y752" s="48"/>
      <c r="Z752" s="48"/>
      <c r="AA752" s="20"/>
      <c r="AB752" s="48"/>
      <c r="AC752" s="48"/>
      <c r="AD752" s="7"/>
      <c r="AE752" s="2"/>
      <c r="AF752" s="2"/>
      <c r="AG752" s="2"/>
    </row>
    <row r="753" spans="1:33" s="37" customFormat="1" ht="37.5" customHeight="1" x14ac:dyDescent="0.2">
      <c r="A753" s="13">
        <f t="shared" si="16"/>
        <v>61</v>
      </c>
      <c r="B753" s="11"/>
      <c r="C753" s="1"/>
      <c r="D753" s="13"/>
      <c r="E753" s="13"/>
      <c r="F753" s="18"/>
      <c r="G753" s="1"/>
      <c r="H753" s="60"/>
      <c r="I753" s="13"/>
      <c r="J753" s="5"/>
      <c r="K753" s="5"/>
      <c r="L753" s="4"/>
      <c r="M753" s="4"/>
      <c r="N753" s="145" t="s">
        <v>272</v>
      </c>
      <c r="O753" s="19">
        <v>13.5</v>
      </c>
      <c r="P753" s="146"/>
      <c r="Q753" s="146"/>
      <c r="R753" s="145" t="s">
        <v>1896</v>
      </c>
      <c r="S753" s="150" t="s">
        <v>53</v>
      </c>
      <c r="T753" s="6">
        <v>9.4499999999999993</v>
      </c>
      <c r="U753" s="150"/>
      <c r="V753" s="3"/>
      <c r="W753" s="4"/>
      <c r="X753" s="13"/>
      <c r="Y753" s="48"/>
      <c r="Z753" s="48"/>
      <c r="AA753" s="20"/>
      <c r="AB753" s="48"/>
      <c r="AC753" s="48"/>
      <c r="AD753" s="7"/>
      <c r="AE753" s="2"/>
      <c r="AF753" s="2"/>
      <c r="AG753" s="2"/>
    </row>
    <row r="754" spans="1:33" s="37" customFormat="1" ht="22.5" customHeight="1" x14ac:dyDescent="0.2">
      <c r="A754" s="13">
        <f t="shared" si="16"/>
        <v>61</v>
      </c>
      <c r="B754" s="11"/>
      <c r="C754" s="1"/>
      <c r="D754" s="13"/>
      <c r="E754" s="13"/>
      <c r="F754" s="18"/>
      <c r="G754" s="1"/>
      <c r="H754" s="60"/>
      <c r="I754" s="13"/>
      <c r="J754" s="5"/>
      <c r="K754" s="5"/>
      <c r="L754" s="4"/>
      <c r="M754" s="4"/>
      <c r="N754" s="145" t="s">
        <v>733</v>
      </c>
      <c r="O754" s="5">
        <v>6</v>
      </c>
      <c r="P754" s="146"/>
      <c r="Q754" s="146"/>
      <c r="R754" s="145" t="s">
        <v>1880</v>
      </c>
      <c r="S754" s="150" t="s">
        <v>78</v>
      </c>
      <c r="T754" s="6">
        <v>1.44</v>
      </c>
      <c r="U754" s="150"/>
      <c r="V754" s="3"/>
      <c r="W754" s="4"/>
      <c r="X754" s="13"/>
      <c r="Y754" s="48"/>
      <c r="Z754" s="48"/>
      <c r="AA754" s="20"/>
      <c r="AB754" s="48"/>
      <c r="AC754" s="48"/>
      <c r="AD754" s="7"/>
      <c r="AE754" s="2"/>
      <c r="AF754" s="2"/>
      <c r="AG754" s="2"/>
    </row>
    <row r="755" spans="1:33" s="37" customFormat="1" ht="30" customHeight="1" x14ac:dyDescent="0.2">
      <c r="A755" s="13">
        <f t="shared" si="16"/>
        <v>61</v>
      </c>
      <c r="B755" s="11"/>
      <c r="C755" s="1"/>
      <c r="D755" s="13"/>
      <c r="E755" s="13"/>
      <c r="F755" s="18"/>
      <c r="G755" s="1"/>
      <c r="H755" s="60"/>
      <c r="I755" s="13"/>
      <c r="J755" s="5"/>
      <c r="K755" s="5"/>
      <c r="L755" s="4"/>
      <c r="M755" s="4"/>
      <c r="N755" s="145" t="s">
        <v>273</v>
      </c>
      <c r="O755" s="19">
        <v>5.8</v>
      </c>
      <c r="P755" s="146"/>
      <c r="Q755" s="146"/>
      <c r="R755" s="145" t="s">
        <v>1768</v>
      </c>
      <c r="S755" s="150" t="s">
        <v>53</v>
      </c>
      <c r="T755" s="6">
        <v>58.78</v>
      </c>
      <c r="U755" s="150"/>
      <c r="V755" s="3"/>
      <c r="W755" s="4"/>
      <c r="X755" s="13"/>
      <c r="Y755" s="48"/>
      <c r="Z755" s="48"/>
      <c r="AA755" s="20"/>
      <c r="AB755" s="48"/>
      <c r="AC755" s="48"/>
      <c r="AD755" s="7"/>
      <c r="AE755" s="2"/>
      <c r="AF755" s="2"/>
      <c r="AG755" s="2"/>
    </row>
    <row r="756" spans="1:33" s="37" customFormat="1" ht="22.5" customHeight="1" x14ac:dyDescent="0.2">
      <c r="A756" s="13">
        <f t="shared" si="16"/>
        <v>61</v>
      </c>
      <c r="B756" s="11"/>
      <c r="C756" s="1"/>
      <c r="D756" s="13"/>
      <c r="E756" s="13"/>
      <c r="F756" s="18"/>
      <c r="G756" s="1"/>
      <c r="H756" s="60"/>
      <c r="I756" s="13"/>
      <c r="J756" s="5"/>
      <c r="K756" s="5"/>
      <c r="L756" s="4"/>
      <c r="M756" s="4"/>
      <c r="N756" s="145" t="s">
        <v>274</v>
      </c>
      <c r="O756" s="5">
        <v>2</v>
      </c>
      <c r="P756" s="146"/>
      <c r="Q756" s="146"/>
      <c r="R756" s="84" t="s">
        <v>1844</v>
      </c>
      <c r="S756" s="150" t="s">
        <v>53</v>
      </c>
      <c r="T756" s="6">
        <v>26.32</v>
      </c>
      <c r="U756" s="150"/>
      <c r="V756" s="3"/>
      <c r="W756" s="4"/>
      <c r="X756" s="13"/>
      <c r="Y756" s="48"/>
      <c r="Z756" s="48"/>
      <c r="AA756" s="20"/>
      <c r="AB756" s="48"/>
      <c r="AC756" s="48"/>
      <c r="AD756" s="7"/>
      <c r="AE756" s="2"/>
      <c r="AF756" s="2"/>
      <c r="AG756" s="2"/>
    </row>
    <row r="757" spans="1:33" s="37" customFormat="1" ht="22.5" customHeight="1" x14ac:dyDescent="0.2">
      <c r="A757" s="13">
        <f t="shared" si="16"/>
        <v>61</v>
      </c>
      <c r="B757" s="11"/>
      <c r="C757" s="1"/>
      <c r="D757" s="13"/>
      <c r="E757" s="13"/>
      <c r="F757" s="18"/>
      <c r="G757" s="1"/>
      <c r="H757" s="60"/>
      <c r="I757" s="13"/>
      <c r="J757" s="5"/>
      <c r="K757" s="5"/>
      <c r="L757" s="4"/>
      <c r="M757" s="4"/>
      <c r="N757" s="145" t="s">
        <v>154</v>
      </c>
      <c r="O757" s="5">
        <v>1</v>
      </c>
      <c r="P757" s="146"/>
      <c r="Q757" s="146"/>
      <c r="R757" s="145" t="s">
        <v>1893</v>
      </c>
      <c r="S757" s="150" t="s">
        <v>53</v>
      </c>
      <c r="T757" s="6">
        <v>37.520000000000003</v>
      </c>
      <c r="U757" s="150"/>
      <c r="V757" s="3"/>
      <c r="W757" s="4"/>
      <c r="X757" s="13"/>
      <c r="Y757" s="48"/>
      <c r="Z757" s="48"/>
      <c r="AA757" s="20"/>
      <c r="AB757" s="48"/>
      <c r="AC757" s="48"/>
      <c r="AD757" s="7"/>
      <c r="AE757" s="2"/>
      <c r="AF757" s="2"/>
      <c r="AG757" s="2"/>
    </row>
    <row r="758" spans="1:33" s="37" customFormat="1" ht="22.5" customHeight="1" x14ac:dyDescent="0.2">
      <c r="A758" s="13">
        <f t="shared" si="16"/>
        <v>61</v>
      </c>
      <c r="B758" s="11"/>
      <c r="C758" s="1"/>
      <c r="D758" s="13"/>
      <c r="E758" s="13"/>
      <c r="F758" s="18"/>
      <c r="G758" s="1"/>
      <c r="H758" s="60"/>
      <c r="I758" s="13"/>
      <c r="J758" s="5"/>
      <c r="K758" s="5"/>
      <c r="L758" s="4"/>
      <c r="M758" s="4"/>
      <c r="N758" s="145" t="s">
        <v>76</v>
      </c>
      <c r="O758" s="5">
        <v>3</v>
      </c>
      <c r="P758" s="146"/>
      <c r="Q758" s="146"/>
      <c r="R758" s="145" t="s">
        <v>1799</v>
      </c>
      <c r="S758" s="150" t="s">
        <v>53</v>
      </c>
      <c r="T758" s="6">
        <v>30</v>
      </c>
      <c r="U758" s="150"/>
      <c r="V758" s="3"/>
      <c r="W758" s="4"/>
      <c r="X758" s="13"/>
      <c r="Y758" s="48"/>
      <c r="Z758" s="48"/>
      <c r="AA758" s="20"/>
      <c r="AB758" s="48"/>
      <c r="AC758" s="48"/>
      <c r="AD758" s="7"/>
      <c r="AE758" s="2"/>
      <c r="AF758" s="2"/>
      <c r="AG758" s="2"/>
    </row>
    <row r="759" spans="1:33" s="37" customFormat="1" ht="22.5" customHeight="1" x14ac:dyDescent="0.2">
      <c r="A759" s="13">
        <f t="shared" ref="A759:A791" si="17">IF(B759&lt;&gt;0,B759,A758)</f>
        <v>61</v>
      </c>
      <c r="B759" s="11"/>
      <c r="C759" s="1"/>
      <c r="D759" s="13"/>
      <c r="E759" s="13"/>
      <c r="F759" s="18"/>
      <c r="G759" s="1"/>
      <c r="H759" s="60"/>
      <c r="I759" s="13"/>
      <c r="J759" s="5"/>
      <c r="K759" s="5"/>
      <c r="L759" s="4"/>
      <c r="M759" s="4"/>
      <c r="N759" s="145" t="s">
        <v>776</v>
      </c>
      <c r="O759" s="5">
        <v>1</v>
      </c>
      <c r="P759" s="146"/>
      <c r="Q759" s="146"/>
      <c r="R759" s="145" t="s">
        <v>1799</v>
      </c>
      <c r="S759" s="150" t="s">
        <v>53</v>
      </c>
      <c r="T759" s="6">
        <v>32.4</v>
      </c>
      <c r="U759" s="150"/>
      <c r="V759" s="3"/>
      <c r="W759" s="4"/>
      <c r="X759" s="13"/>
      <c r="Y759" s="48"/>
      <c r="Z759" s="48"/>
      <c r="AA759" s="20"/>
      <c r="AB759" s="48"/>
      <c r="AC759" s="48"/>
      <c r="AD759" s="7"/>
      <c r="AE759" s="2"/>
      <c r="AF759" s="2"/>
      <c r="AG759" s="2"/>
    </row>
    <row r="760" spans="1:33" s="37" customFormat="1" ht="22.5" customHeight="1" x14ac:dyDescent="0.2">
      <c r="A760" s="13">
        <f t="shared" si="17"/>
        <v>61</v>
      </c>
      <c r="B760" s="11"/>
      <c r="C760" s="1"/>
      <c r="D760" s="13"/>
      <c r="E760" s="13"/>
      <c r="F760" s="18"/>
      <c r="G760" s="1"/>
      <c r="H760" s="60"/>
      <c r="I760" s="13"/>
      <c r="J760" s="5"/>
      <c r="K760" s="5"/>
      <c r="L760" s="4"/>
      <c r="M760" s="4"/>
      <c r="N760" s="145" t="s">
        <v>275</v>
      </c>
      <c r="O760" s="5">
        <v>3</v>
      </c>
      <c r="P760" s="146"/>
      <c r="Q760" s="146"/>
      <c r="R760" s="145" t="s">
        <v>1897</v>
      </c>
      <c r="S760" s="146" t="s">
        <v>53</v>
      </c>
      <c r="T760" s="6">
        <v>5</v>
      </c>
      <c r="U760" s="150"/>
      <c r="V760" s="3"/>
      <c r="W760" s="4"/>
      <c r="X760" s="13"/>
      <c r="Y760" s="48"/>
      <c r="Z760" s="48"/>
      <c r="AA760" s="20"/>
      <c r="AB760" s="48"/>
      <c r="AC760" s="48"/>
      <c r="AD760" s="7"/>
      <c r="AE760" s="2"/>
      <c r="AF760" s="2"/>
      <c r="AG760" s="2"/>
    </row>
    <row r="761" spans="1:33" s="37" customFormat="1" ht="22.5" customHeight="1" x14ac:dyDescent="0.2">
      <c r="A761" s="13">
        <f t="shared" si="17"/>
        <v>61</v>
      </c>
      <c r="B761" s="11"/>
      <c r="C761" s="1"/>
      <c r="D761" s="13"/>
      <c r="E761" s="13"/>
      <c r="F761" s="18"/>
      <c r="G761" s="1"/>
      <c r="H761" s="60"/>
      <c r="I761" s="13"/>
      <c r="J761" s="5"/>
      <c r="K761" s="5"/>
      <c r="L761" s="4"/>
      <c r="M761" s="4"/>
      <c r="N761" s="145" t="s">
        <v>276</v>
      </c>
      <c r="O761" s="5">
        <v>1</v>
      </c>
      <c r="P761" s="146"/>
      <c r="Q761" s="146"/>
      <c r="R761" s="145"/>
      <c r="S761" s="146"/>
      <c r="T761" s="6"/>
      <c r="U761" s="150"/>
      <c r="V761" s="3"/>
      <c r="W761" s="4"/>
      <c r="X761" s="13"/>
      <c r="Y761" s="48"/>
      <c r="Z761" s="48"/>
      <c r="AA761" s="20"/>
      <c r="AB761" s="48"/>
      <c r="AC761" s="48"/>
      <c r="AD761" s="7"/>
      <c r="AE761" s="2"/>
      <c r="AF761" s="2"/>
      <c r="AG761" s="2"/>
    </row>
    <row r="762" spans="1:33" s="37" customFormat="1" ht="22.5" customHeight="1" x14ac:dyDescent="0.2">
      <c r="A762" s="13">
        <f t="shared" si="17"/>
        <v>61</v>
      </c>
      <c r="B762" s="11"/>
      <c r="C762" s="1"/>
      <c r="D762" s="13"/>
      <c r="E762" s="13"/>
      <c r="F762" s="18"/>
      <c r="G762" s="1"/>
      <c r="H762" s="60"/>
      <c r="I762" s="13"/>
      <c r="J762" s="5"/>
      <c r="K762" s="5"/>
      <c r="L762" s="4"/>
      <c r="M762" s="4"/>
      <c r="N762" s="145" t="s">
        <v>728</v>
      </c>
      <c r="O762" s="5">
        <v>1</v>
      </c>
      <c r="P762" s="146"/>
      <c r="Q762" s="146"/>
      <c r="R762" s="145"/>
      <c r="S762" s="146"/>
      <c r="T762" s="6"/>
      <c r="U762" s="150"/>
      <c r="V762" s="3"/>
      <c r="W762" s="4"/>
      <c r="X762" s="13"/>
      <c r="Y762" s="48"/>
      <c r="Z762" s="48"/>
      <c r="AA762" s="20"/>
      <c r="AB762" s="48"/>
      <c r="AC762" s="48"/>
      <c r="AD762" s="7"/>
      <c r="AE762" s="2"/>
      <c r="AF762" s="2"/>
      <c r="AG762" s="2"/>
    </row>
    <row r="763" spans="1:33" s="37" customFormat="1" ht="22.5" customHeight="1" x14ac:dyDescent="0.2">
      <c r="A763" s="13">
        <f t="shared" si="17"/>
        <v>61</v>
      </c>
      <c r="B763" s="11"/>
      <c r="C763" s="1"/>
      <c r="D763" s="13"/>
      <c r="E763" s="13"/>
      <c r="F763" s="18"/>
      <c r="G763" s="1"/>
      <c r="H763" s="60"/>
      <c r="I763" s="13"/>
      <c r="J763" s="5"/>
      <c r="K763" s="5"/>
      <c r="L763" s="4"/>
      <c r="M763" s="4"/>
      <c r="N763" s="145" t="s">
        <v>736</v>
      </c>
      <c r="O763" s="5">
        <v>8</v>
      </c>
      <c r="P763" s="146"/>
      <c r="Q763" s="146"/>
      <c r="R763" s="145"/>
      <c r="S763" s="146"/>
      <c r="T763" s="6"/>
      <c r="U763" s="150"/>
      <c r="V763" s="3"/>
      <c r="W763" s="4"/>
      <c r="X763" s="13"/>
      <c r="Y763" s="48"/>
      <c r="Z763" s="48"/>
      <c r="AA763" s="20"/>
      <c r="AB763" s="48"/>
      <c r="AC763" s="48"/>
      <c r="AD763" s="7"/>
      <c r="AE763" s="2"/>
      <c r="AF763" s="2"/>
      <c r="AG763" s="2"/>
    </row>
    <row r="764" spans="1:33" s="37" customFormat="1" ht="22.5" customHeight="1" x14ac:dyDescent="0.2">
      <c r="A764" s="13">
        <f t="shared" si="17"/>
        <v>61</v>
      </c>
      <c r="B764" s="11"/>
      <c r="C764" s="1"/>
      <c r="D764" s="13"/>
      <c r="E764" s="13"/>
      <c r="F764" s="18"/>
      <c r="G764" s="1"/>
      <c r="H764" s="60"/>
      <c r="I764" s="13"/>
      <c r="J764" s="5"/>
      <c r="K764" s="5"/>
      <c r="L764" s="4"/>
      <c r="M764" s="4"/>
      <c r="N764" s="145" t="s">
        <v>777</v>
      </c>
      <c r="O764" s="5">
        <v>1</v>
      </c>
      <c r="P764" s="146"/>
      <c r="Q764" s="146"/>
      <c r="R764" s="145"/>
      <c r="S764" s="146"/>
      <c r="T764" s="6"/>
      <c r="U764" s="150"/>
      <c r="V764" s="3"/>
      <c r="W764" s="4"/>
      <c r="X764" s="13"/>
      <c r="Y764" s="48"/>
      <c r="Z764" s="48"/>
      <c r="AA764" s="20"/>
      <c r="AB764" s="48"/>
      <c r="AC764" s="48"/>
      <c r="AD764" s="7"/>
      <c r="AE764" s="2"/>
      <c r="AF764" s="2"/>
      <c r="AG764" s="2"/>
    </row>
    <row r="765" spans="1:33" s="37" customFormat="1" ht="22.5" customHeight="1" x14ac:dyDescent="0.2">
      <c r="A765" s="13">
        <f t="shared" si="17"/>
        <v>61</v>
      </c>
      <c r="B765" s="11"/>
      <c r="C765" s="1"/>
      <c r="D765" s="13"/>
      <c r="E765" s="13"/>
      <c r="F765" s="18"/>
      <c r="G765" s="1"/>
      <c r="H765" s="60"/>
      <c r="I765" s="13"/>
      <c r="J765" s="5"/>
      <c r="K765" s="5"/>
      <c r="L765" s="4"/>
      <c r="M765" s="4"/>
      <c r="N765" s="145" t="s">
        <v>352</v>
      </c>
      <c r="O765" s="5">
        <v>1</v>
      </c>
      <c r="P765" s="146"/>
      <c r="Q765" s="146"/>
      <c r="R765" s="145"/>
      <c r="S765" s="146"/>
      <c r="T765" s="6"/>
      <c r="U765" s="150"/>
      <c r="V765" s="3"/>
      <c r="W765" s="4"/>
      <c r="X765" s="13"/>
      <c r="Y765" s="48"/>
      <c r="Z765" s="48"/>
      <c r="AA765" s="20"/>
      <c r="AB765" s="48"/>
      <c r="AC765" s="48"/>
      <c r="AD765" s="7"/>
      <c r="AE765" s="2"/>
      <c r="AF765" s="2"/>
      <c r="AG765" s="2"/>
    </row>
    <row r="766" spans="1:33" s="37" customFormat="1" ht="22.5" customHeight="1" x14ac:dyDescent="0.2">
      <c r="A766" s="13">
        <f t="shared" si="17"/>
        <v>61</v>
      </c>
      <c r="B766" s="11"/>
      <c r="C766" s="1"/>
      <c r="D766" s="13"/>
      <c r="E766" s="13"/>
      <c r="F766" s="18"/>
      <c r="G766" s="1"/>
      <c r="H766" s="60"/>
      <c r="I766" s="13"/>
      <c r="J766" s="5"/>
      <c r="K766" s="5"/>
      <c r="L766" s="4"/>
      <c r="M766" s="4"/>
      <c r="N766" s="145" t="s">
        <v>89</v>
      </c>
      <c r="O766" s="5">
        <v>2</v>
      </c>
      <c r="P766" s="146"/>
      <c r="Q766" s="146"/>
      <c r="R766" s="145"/>
      <c r="S766" s="146"/>
      <c r="T766" s="6"/>
      <c r="U766" s="150"/>
      <c r="V766" s="3"/>
      <c r="W766" s="4"/>
      <c r="X766" s="13"/>
      <c r="Y766" s="48"/>
      <c r="Z766" s="48"/>
      <c r="AA766" s="20"/>
      <c r="AB766" s="48"/>
      <c r="AC766" s="48"/>
      <c r="AD766" s="7"/>
      <c r="AE766" s="2"/>
      <c r="AF766" s="2"/>
      <c r="AG766" s="2"/>
    </row>
    <row r="767" spans="1:33" s="37" customFormat="1" ht="22.5" customHeight="1" x14ac:dyDescent="0.2">
      <c r="A767" s="13">
        <f t="shared" si="17"/>
        <v>61</v>
      </c>
      <c r="B767" s="11"/>
      <c r="C767" s="1"/>
      <c r="D767" s="13"/>
      <c r="E767" s="13"/>
      <c r="F767" s="18"/>
      <c r="G767" s="1"/>
      <c r="H767" s="60"/>
      <c r="I767" s="13"/>
      <c r="J767" s="5"/>
      <c r="K767" s="5"/>
      <c r="L767" s="4"/>
      <c r="M767" s="4"/>
      <c r="N767" s="145" t="s">
        <v>732</v>
      </c>
      <c r="O767" s="5">
        <v>2</v>
      </c>
      <c r="P767" s="146"/>
      <c r="Q767" s="146"/>
      <c r="R767" s="145"/>
      <c r="S767" s="146"/>
      <c r="T767" s="6"/>
      <c r="U767" s="150"/>
      <c r="V767" s="3"/>
      <c r="W767" s="4"/>
      <c r="X767" s="13"/>
      <c r="Y767" s="48"/>
      <c r="Z767" s="48"/>
      <c r="AA767" s="20"/>
      <c r="AB767" s="48"/>
      <c r="AC767" s="48"/>
      <c r="AD767" s="7"/>
      <c r="AE767" s="2"/>
      <c r="AF767" s="2"/>
      <c r="AG767" s="2"/>
    </row>
    <row r="768" spans="1:33" s="37" customFormat="1" ht="22.5" customHeight="1" x14ac:dyDescent="0.2">
      <c r="A768" s="13">
        <f t="shared" si="17"/>
        <v>61</v>
      </c>
      <c r="B768" s="11"/>
      <c r="C768" s="1"/>
      <c r="D768" s="13"/>
      <c r="E768" s="13"/>
      <c r="F768" s="18"/>
      <c r="G768" s="1"/>
      <c r="H768" s="60"/>
      <c r="I768" s="13"/>
      <c r="J768" s="5"/>
      <c r="K768" s="5"/>
      <c r="L768" s="4"/>
      <c r="M768" s="4"/>
      <c r="N768" s="145" t="s">
        <v>61</v>
      </c>
      <c r="O768" s="5">
        <v>9</v>
      </c>
      <c r="P768" s="146"/>
      <c r="Q768" s="146"/>
      <c r="R768" s="145"/>
      <c r="S768" s="146"/>
      <c r="T768" s="6"/>
      <c r="U768" s="150"/>
      <c r="V768" s="3"/>
      <c r="W768" s="4"/>
      <c r="X768" s="13"/>
      <c r="Y768" s="48"/>
      <c r="Z768" s="48"/>
      <c r="AA768" s="20"/>
      <c r="AB768" s="48"/>
      <c r="AC768" s="48"/>
      <c r="AD768" s="7"/>
      <c r="AE768" s="2"/>
      <c r="AF768" s="2"/>
      <c r="AG768" s="2"/>
    </row>
    <row r="769" spans="1:33" s="37" customFormat="1" ht="22.5" customHeight="1" x14ac:dyDescent="0.2">
      <c r="A769" s="13">
        <f t="shared" si="17"/>
        <v>61</v>
      </c>
      <c r="B769" s="11"/>
      <c r="C769" s="1"/>
      <c r="D769" s="13"/>
      <c r="E769" s="13"/>
      <c r="F769" s="18"/>
      <c r="G769" s="1"/>
      <c r="H769" s="60"/>
      <c r="I769" s="13"/>
      <c r="J769" s="5"/>
      <c r="K769" s="5"/>
      <c r="L769" s="4"/>
      <c r="M769" s="4"/>
      <c r="N769" s="145" t="s">
        <v>64</v>
      </c>
      <c r="O769" s="5">
        <v>11</v>
      </c>
      <c r="P769" s="146"/>
      <c r="Q769" s="146"/>
      <c r="R769" s="145"/>
      <c r="S769" s="146"/>
      <c r="T769" s="6"/>
      <c r="U769" s="150"/>
      <c r="V769" s="3"/>
      <c r="W769" s="4"/>
      <c r="X769" s="13"/>
      <c r="Y769" s="48"/>
      <c r="Z769" s="48"/>
      <c r="AA769" s="20"/>
      <c r="AB769" s="48"/>
      <c r="AC769" s="48"/>
      <c r="AD769" s="7"/>
      <c r="AE769" s="2"/>
      <c r="AF769" s="2"/>
      <c r="AG769" s="2"/>
    </row>
    <row r="770" spans="1:33" s="37" customFormat="1" ht="22.5" customHeight="1" x14ac:dyDescent="0.2">
      <c r="A770" s="13">
        <f t="shared" si="17"/>
        <v>61</v>
      </c>
      <c r="B770" s="11"/>
      <c r="C770" s="1"/>
      <c r="D770" s="13"/>
      <c r="E770" s="13"/>
      <c r="F770" s="18"/>
      <c r="G770" s="1"/>
      <c r="H770" s="60"/>
      <c r="I770" s="13"/>
      <c r="J770" s="5"/>
      <c r="K770" s="5"/>
      <c r="L770" s="4"/>
      <c r="M770" s="4"/>
      <c r="N770" s="145" t="s">
        <v>67</v>
      </c>
      <c r="O770" s="5">
        <v>38</v>
      </c>
      <c r="P770" s="146"/>
      <c r="Q770" s="146"/>
      <c r="R770" s="145"/>
      <c r="S770" s="146"/>
      <c r="T770" s="6"/>
      <c r="U770" s="150"/>
      <c r="V770" s="3"/>
      <c r="W770" s="4"/>
      <c r="X770" s="13"/>
      <c r="Y770" s="48"/>
      <c r="Z770" s="48"/>
      <c r="AA770" s="20"/>
      <c r="AB770" s="48"/>
      <c r="AC770" s="48"/>
      <c r="AD770" s="7"/>
      <c r="AE770" s="2"/>
      <c r="AF770" s="2"/>
      <c r="AG770" s="2"/>
    </row>
    <row r="771" spans="1:33" s="37" customFormat="1" ht="22.5" customHeight="1" x14ac:dyDescent="0.2">
      <c r="A771" s="13">
        <f t="shared" si="17"/>
        <v>61</v>
      </c>
      <c r="B771" s="11"/>
      <c r="C771" s="1"/>
      <c r="D771" s="13"/>
      <c r="E771" s="13"/>
      <c r="F771" s="18"/>
      <c r="G771" s="1"/>
      <c r="H771" s="60"/>
      <c r="I771" s="13"/>
      <c r="J771" s="5"/>
      <c r="K771" s="5"/>
      <c r="L771" s="4"/>
      <c r="M771" s="4"/>
      <c r="N771" s="145" t="s">
        <v>69</v>
      </c>
      <c r="O771" s="5">
        <v>11</v>
      </c>
      <c r="P771" s="146"/>
      <c r="Q771" s="146"/>
      <c r="R771" s="145"/>
      <c r="S771" s="146"/>
      <c r="T771" s="6"/>
      <c r="U771" s="150"/>
      <c r="V771" s="3"/>
      <c r="W771" s="4"/>
      <c r="X771" s="13"/>
      <c r="Y771" s="48"/>
      <c r="Z771" s="48"/>
      <c r="AA771" s="20"/>
      <c r="AB771" s="48"/>
      <c r="AC771" s="48"/>
      <c r="AD771" s="7"/>
      <c r="AE771" s="2"/>
      <c r="AF771" s="2"/>
      <c r="AG771" s="2"/>
    </row>
    <row r="772" spans="1:33" s="37" customFormat="1" ht="22.5" customHeight="1" x14ac:dyDescent="0.2">
      <c r="A772" s="13">
        <f t="shared" si="17"/>
        <v>61</v>
      </c>
      <c r="B772" s="11"/>
      <c r="C772" s="1"/>
      <c r="D772" s="13"/>
      <c r="E772" s="13"/>
      <c r="F772" s="18"/>
      <c r="G772" s="1"/>
      <c r="H772" s="60"/>
      <c r="I772" s="13"/>
      <c r="J772" s="5"/>
      <c r="K772" s="5"/>
      <c r="L772" s="4"/>
      <c r="M772" s="4"/>
      <c r="N772" s="145" t="s">
        <v>72</v>
      </c>
      <c r="O772" s="5">
        <v>36</v>
      </c>
      <c r="P772" s="146"/>
      <c r="Q772" s="146"/>
      <c r="R772" s="145"/>
      <c r="S772" s="146"/>
      <c r="T772" s="6"/>
      <c r="U772" s="150"/>
      <c r="V772" s="3"/>
      <c r="W772" s="4"/>
      <c r="X772" s="13"/>
      <c r="Y772" s="48"/>
      <c r="Z772" s="48"/>
      <c r="AA772" s="20"/>
      <c r="AB772" s="48"/>
      <c r="AC772" s="48"/>
      <c r="AD772" s="7"/>
      <c r="AE772" s="2"/>
      <c r="AF772" s="2"/>
      <c r="AG772" s="2"/>
    </row>
    <row r="773" spans="1:33" s="37" customFormat="1" ht="22.5" customHeight="1" x14ac:dyDescent="0.2">
      <c r="A773" s="13">
        <f t="shared" si="17"/>
        <v>61</v>
      </c>
      <c r="B773" s="11"/>
      <c r="C773" s="1"/>
      <c r="D773" s="13"/>
      <c r="E773" s="13"/>
      <c r="F773" s="18"/>
      <c r="G773" s="1"/>
      <c r="H773" s="60"/>
      <c r="I773" s="13"/>
      <c r="J773" s="5"/>
      <c r="K773" s="5"/>
      <c r="L773" s="4"/>
      <c r="M773" s="4"/>
      <c r="N773" s="145" t="s">
        <v>73</v>
      </c>
      <c r="O773" s="5">
        <v>39</v>
      </c>
      <c r="P773" s="146"/>
      <c r="Q773" s="146"/>
      <c r="R773" s="145"/>
      <c r="S773" s="146"/>
      <c r="T773" s="6"/>
      <c r="U773" s="150"/>
      <c r="V773" s="3"/>
      <c r="W773" s="4"/>
      <c r="X773" s="13"/>
      <c r="Y773" s="48"/>
      <c r="Z773" s="48"/>
      <c r="AA773" s="20"/>
      <c r="AB773" s="48"/>
      <c r="AC773" s="48"/>
      <c r="AD773" s="7"/>
      <c r="AE773" s="2"/>
      <c r="AF773" s="2"/>
      <c r="AG773" s="2"/>
    </row>
    <row r="774" spans="1:33" s="37" customFormat="1" ht="22.5" customHeight="1" x14ac:dyDescent="0.2">
      <c r="A774" s="13">
        <f t="shared" si="17"/>
        <v>61</v>
      </c>
      <c r="B774" s="11"/>
      <c r="C774" s="1"/>
      <c r="D774" s="13"/>
      <c r="E774" s="13"/>
      <c r="F774" s="18"/>
      <c r="G774" s="1"/>
      <c r="H774" s="60"/>
      <c r="I774" s="13"/>
      <c r="J774" s="5"/>
      <c r="K774" s="5"/>
      <c r="L774" s="4"/>
      <c r="M774" s="4"/>
      <c r="N774" s="145" t="s">
        <v>75</v>
      </c>
      <c r="O774" s="5">
        <v>52</v>
      </c>
      <c r="P774" s="146"/>
      <c r="Q774" s="146"/>
      <c r="R774" s="145"/>
      <c r="S774" s="146"/>
      <c r="T774" s="6"/>
      <c r="U774" s="150"/>
      <c r="V774" s="3"/>
      <c r="W774" s="4"/>
      <c r="X774" s="13"/>
      <c r="Y774" s="48"/>
      <c r="Z774" s="48"/>
      <c r="AA774" s="20"/>
      <c r="AB774" s="48"/>
      <c r="AC774" s="48"/>
      <c r="AD774" s="7"/>
      <c r="AE774" s="2"/>
      <c r="AF774" s="2"/>
      <c r="AG774" s="2"/>
    </row>
    <row r="775" spans="1:33" s="37" customFormat="1" ht="22.5" customHeight="1" x14ac:dyDescent="0.2">
      <c r="A775" s="13">
        <f t="shared" si="17"/>
        <v>61</v>
      </c>
      <c r="B775" s="11"/>
      <c r="C775" s="1"/>
      <c r="D775" s="13"/>
      <c r="E775" s="13"/>
      <c r="F775" s="18"/>
      <c r="G775" s="1"/>
      <c r="H775" s="60"/>
      <c r="I775" s="13"/>
      <c r="J775" s="5"/>
      <c r="K775" s="5"/>
      <c r="L775" s="4"/>
      <c r="M775" s="4"/>
      <c r="N775" s="145" t="s">
        <v>242</v>
      </c>
      <c r="O775" s="19">
        <v>3</v>
      </c>
      <c r="P775" s="146"/>
      <c r="Q775" s="146"/>
      <c r="R775" s="145"/>
      <c r="S775" s="146"/>
      <c r="T775" s="6"/>
      <c r="U775" s="150"/>
      <c r="V775" s="3"/>
      <c r="W775" s="4"/>
      <c r="X775" s="13"/>
      <c r="Y775" s="48"/>
      <c r="Z775" s="48"/>
      <c r="AA775" s="20"/>
      <c r="AB775" s="48"/>
      <c r="AC775" s="48"/>
      <c r="AD775" s="7"/>
      <c r="AE775" s="2"/>
      <c r="AF775" s="2"/>
      <c r="AG775" s="2"/>
    </row>
    <row r="776" spans="1:33" s="37" customFormat="1" ht="22.5" customHeight="1" x14ac:dyDescent="0.2">
      <c r="A776" s="13">
        <f t="shared" si="17"/>
        <v>61</v>
      </c>
      <c r="B776" s="11"/>
      <c r="C776" s="1"/>
      <c r="D776" s="13"/>
      <c r="E776" s="13"/>
      <c r="F776" s="18"/>
      <c r="G776" s="1"/>
      <c r="H776" s="60"/>
      <c r="I776" s="13"/>
      <c r="J776" s="5"/>
      <c r="K776" s="5"/>
      <c r="L776" s="4"/>
      <c r="M776" s="4"/>
      <c r="N776" s="145" t="s">
        <v>750</v>
      </c>
      <c r="O776" s="5">
        <v>2</v>
      </c>
      <c r="P776" s="146"/>
      <c r="Q776" s="146"/>
      <c r="R776" s="145"/>
      <c r="S776" s="146"/>
      <c r="T776" s="6"/>
      <c r="U776" s="150"/>
      <c r="V776" s="3"/>
      <c r="W776" s="4"/>
      <c r="X776" s="13"/>
      <c r="Y776" s="48"/>
      <c r="Z776" s="48"/>
      <c r="AA776" s="20"/>
      <c r="AB776" s="48"/>
      <c r="AC776" s="48"/>
      <c r="AD776" s="7"/>
      <c r="AE776" s="2"/>
      <c r="AF776" s="2"/>
      <c r="AG776" s="2"/>
    </row>
    <row r="777" spans="1:33" s="37" customFormat="1" ht="22.5" customHeight="1" x14ac:dyDescent="0.2">
      <c r="A777" s="13">
        <f t="shared" si="17"/>
        <v>61</v>
      </c>
      <c r="B777" s="11"/>
      <c r="C777" s="1"/>
      <c r="D777" s="13"/>
      <c r="E777" s="13"/>
      <c r="F777" s="18"/>
      <c r="G777" s="1"/>
      <c r="H777" s="60"/>
      <c r="I777" s="13"/>
      <c r="J777" s="5"/>
      <c r="K777" s="5"/>
      <c r="L777" s="4"/>
      <c r="M777" s="4"/>
      <c r="N777" s="145" t="s">
        <v>778</v>
      </c>
      <c r="O777" s="5">
        <v>4</v>
      </c>
      <c r="P777" s="146"/>
      <c r="Q777" s="146"/>
      <c r="R777" s="145"/>
      <c r="S777" s="146"/>
      <c r="T777" s="6"/>
      <c r="U777" s="150"/>
      <c r="V777" s="3"/>
      <c r="W777" s="4"/>
      <c r="X777" s="13"/>
      <c r="Y777" s="48"/>
      <c r="Z777" s="48"/>
      <c r="AA777" s="20"/>
      <c r="AB777" s="48"/>
      <c r="AC777" s="48"/>
      <c r="AD777" s="7"/>
      <c r="AE777" s="2"/>
      <c r="AF777" s="2"/>
      <c r="AG777" s="2"/>
    </row>
    <row r="778" spans="1:33" s="37" customFormat="1" ht="22.5" customHeight="1" x14ac:dyDescent="0.2">
      <c r="A778" s="13">
        <f t="shared" si="17"/>
        <v>61</v>
      </c>
      <c r="B778" s="11"/>
      <c r="C778" s="1"/>
      <c r="D778" s="13"/>
      <c r="E778" s="13"/>
      <c r="F778" s="18"/>
      <c r="G778" s="1"/>
      <c r="H778" s="60"/>
      <c r="I778" s="13"/>
      <c r="J778" s="5"/>
      <c r="K778" s="5"/>
      <c r="L778" s="4"/>
      <c r="M778" s="4"/>
      <c r="N778" s="145" t="s">
        <v>779</v>
      </c>
      <c r="O778" s="5">
        <v>3</v>
      </c>
      <c r="P778" s="146"/>
      <c r="Q778" s="146"/>
      <c r="R778" s="145"/>
      <c r="S778" s="146"/>
      <c r="T778" s="6"/>
      <c r="U778" s="150"/>
      <c r="V778" s="3"/>
      <c r="W778" s="4"/>
      <c r="X778" s="13"/>
      <c r="Y778" s="48"/>
      <c r="Z778" s="48"/>
      <c r="AA778" s="20"/>
      <c r="AB778" s="48"/>
      <c r="AC778" s="48"/>
      <c r="AD778" s="7"/>
      <c r="AE778" s="2"/>
      <c r="AF778" s="2"/>
      <c r="AG778" s="2"/>
    </row>
    <row r="779" spans="1:33" s="37" customFormat="1" ht="22.5" customHeight="1" x14ac:dyDescent="0.2">
      <c r="A779" s="13">
        <f t="shared" si="17"/>
        <v>61</v>
      </c>
      <c r="B779" s="11"/>
      <c r="C779" s="1"/>
      <c r="D779" s="13"/>
      <c r="E779" s="13"/>
      <c r="F779" s="18"/>
      <c r="G779" s="1"/>
      <c r="H779" s="60"/>
      <c r="I779" s="13"/>
      <c r="J779" s="5"/>
      <c r="K779" s="5"/>
      <c r="L779" s="4"/>
      <c r="M779" s="4"/>
      <c r="N779" s="145" t="s">
        <v>780</v>
      </c>
      <c r="O779" s="5">
        <v>11</v>
      </c>
      <c r="P779" s="146"/>
      <c r="Q779" s="146"/>
      <c r="R779" s="145"/>
      <c r="S779" s="146"/>
      <c r="T779" s="6"/>
      <c r="U779" s="150"/>
      <c r="V779" s="3"/>
      <c r="W779" s="4"/>
      <c r="X779" s="13"/>
      <c r="Y779" s="48"/>
      <c r="Z779" s="48"/>
      <c r="AA779" s="20"/>
      <c r="AB779" s="48"/>
      <c r="AC779" s="48"/>
      <c r="AD779" s="7"/>
      <c r="AE779" s="2"/>
      <c r="AF779" s="2"/>
      <c r="AG779" s="2"/>
    </row>
    <row r="780" spans="1:33" s="37" customFormat="1" ht="22.5" customHeight="1" x14ac:dyDescent="0.2">
      <c r="A780" s="13">
        <f t="shared" si="17"/>
        <v>61</v>
      </c>
      <c r="B780" s="11"/>
      <c r="C780" s="1"/>
      <c r="D780" s="13"/>
      <c r="E780" s="13"/>
      <c r="F780" s="18"/>
      <c r="G780" s="1"/>
      <c r="H780" s="60"/>
      <c r="I780" s="13"/>
      <c r="J780" s="5"/>
      <c r="K780" s="5"/>
      <c r="L780" s="4"/>
      <c r="M780" s="4"/>
      <c r="N780" s="145" t="s">
        <v>781</v>
      </c>
      <c r="O780" s="5">
        <v>1</v>
      </c>
      <c r="P780" s="146"/>
      <c r="Q780" s="146"/>
      <c r="R780" s="145"/>
      <c r="S780" s="146"/>
      <c r="T780" s="6"/>
      <c r="U780" s="150"/>
      <c r="V780" s="3"/>
      <c r="W780" s="4"/>
      <c r="X780" s="13"/>
      <c r="Y780" s="48"/>
      <c r="Z780" s="48"/>
      <c r="AA780" s="20"/>
      <c r="AB780" s="48"/>
      <c r="AC780" s="48"/>
      <c r="AD780" s="7"/>
      <c r="AE780" s="2"/>
      <c r="AF780" s="2"/>
      <c r="AG780" s="2"/>
    </row>
    <row r="781" spans="1:33" s="37" customFormat="1" ht="22.5" customHeight="1" x14ac:dyDescent="0.2">
      <c r="A781" s="13">
        <f t="shared" si="17"/>
        <v>61</v>
      </c>
      <c r="B781" s="11"/>
      <c r="C781" s="1"/>
      <c r="D781" s="13"/>
      <c r="E781" s="13"/>
      <c r="F781" s="18"/>
      <c r="G781" s="1"/>
      <c r="H781" s="60"/>
      <c r="I781" s="13"/>
      <c r="J781" s="5"/>
      <c r="K781" s="5"/>
      <c r="L781" s="4"/>
      <c r="M781" s="4"/>
      <c r="N781" s="145" t="s">
        <v>782</v>
      </c>
      <c r="O781" s="5">
        <v>20</v>
      </c>
      <c r="P781" s="146"/>
      <c r="Q781" s="146"/>
      <c r="R781" s="145"/>
      <c r="S781" s="146"/>
      <c r="T781" s="6"/>
      <c r="U781" s="150"/>
      <c r="V781" s="3"/>
      <c r="W781" s="4"/>
      <c r="X781" s="13"/>
      <c r="Y781" s="48"/>
      <c r="Z781" s="48"/>
      <c r="AA781" s="20"/>
      <c r="AB781" s="48"/>
      <c r="AC781" s="48"/>
      <c r="AD781" s="7"/>
      <c r="AE781" s="2"/>
      <c r="AF781" s="2"/>
      <c r="AG781" s="2"/>
    </row>
    <row r="782" spans="1:33" s="37" customFormat="1" ht="22.5" customHeight="1" x14ac:dyDescent="0.2">
      <c r="A782" s="13">
        <f t="shared" si="17"/>
        <v>61</v>
      </c>
      <c r="B782" s="11"/>
      <c r="C782" s="1"/>
      <c r="D782" s="13"/>
      <c r="E782" s="13"/>
      <c r="F782" s="18"/>
      <c r="G782" s="1"/>
      <c r="H782" s="60"/>
      <c r="I782" s="13"/>
      <c r="J782" s="5"/>
      <c r="K782" s="5"/>
      <c r="L782" s="4"/>
      <c r="M782" s="4"/>
      <c r="N782" s="145" t="s">
        <v>277</v>
      </c>
      <c r="O782" s="5">
        <v>2</v>
      </c>
      <c r="P782" s="146"/>
      <c r="Q782" s="146"/>
      <c r="R782" s="145"/>
      <c r="S782" s="146"/>
      <c r="T782" s="6"/>
      <c r="U782" s="150"/>
      <c r="V782" s="3"/>
      <c r="W782" s="4"/>
      <c r="X782" s="13"/>
      <c r="Y782" s="48"/>
      <c r="Z782" s="48"/>
      <c r="AA782" s="20"/>
      <c r="AB782" s="48"/>
      <c r="AC782" s="48"/>
      <c r="AD782" s="7"/>
      <c r="AE782" s="2"/>
      <c r="AF782" s="2"/>
      <c r="AG782" s="2"/>
    </row>
    <row r="783" spans="1:33" s="37" customFormat="1" ht="22.5" customHeight="1" x14ac:dyDescent="0.2">
      <c r="A783" s="13">
        <f t="shared" si="17"/>
        <v>61</v>
      </c>
      <c r="B783" s="11"/>
      <c r="C783" s="1"/>
      <c r="D783" s="13"/>
      <c r="E783" s="13"/>
      <c r="F783" s="18"/>
      <c r="G783" s="1"/>
      <c r="H783" s="60"/>
      <c r="I783" s="13"/>
      <c r="J783" s="5"/>
      <c r="K783" s="5"/>
      <c r="L783" s="4"/>
      <c r="M783" s="4"/>
      <c r="N783" s="145" t="s">
        <v>738</v>
      </c>
      <c r="O783" s="5">
        <v>3</v>
      </c>
      <c r="P783" s="146"/>
      <c r="Q783" s="146"/>
      <c r="R783" s="145"/>
      <c r="S783" s="146"/>
      <c r="T783" s="6"/>
      <c r="U783" s="150"/>
      <c r="V783" s="3"/>
      <c r="W783" s="4"/>
      <c r="X783" s="13"/>
      <c r="Y783" s="48"/>
      <c r="Z783" s="48"/>
      <c r="AA783" s="20"/>
      <c r="AB783" s="48"/>
      <c r="AC783" s="48"/>
      <c r="AD783" s="7"/>
      <c r="AE783" s="2"/>
      <c r="AF783" s="2"/>
      <c r="AG783" s="2"/>
    </row>
    <row r="784" spans="1:33" s="37" customFormat="1" ht="22.5" customHeight="1" x14ac:dyDescent="0.2">
      <c r="A784" s="13">
        <f t="shared" si="17"/>
        <v>61</v>
      </c>
      <c r="B784" s="11"/>
      <c r="C784" s="1"/>
      <c r="D784" s="13"/>
      <c r="E784" s="13"/>
      <c r="F784" s="18"/>
      <c r="G784" s="1"/>
      <c r="H784" s="60"/>
      <c r="I784" s="13"/>
      <c r="J784" s="5"/>
      <c r="K784" s="5"/>
      <c r="L784" s="4"/>
      <c r="M784" s="4"/>
      <c r="N784" s="145" t="s">
        <v>783</v>
      </c>
      <c r="O784" s="5">
        <v>1</v>
      </c>
      <c r="P784" s="146"/>
      <c r="Q784" s="146"/>
      <c r="R784" s="145"/>
      <c r="S784" s="146"/>
      <c r="T784" s="6"/>
      <c r="U784" s="150"/>
      <c r="V784" s="3"/>
      <c r="W784" s="4"/>
      <c r="X784" s="13"/>
      <c r="Y784" s="48"/>
      <c r="Z784" s="48"/>
      <c r="AA784" s="20"/>
      <c r="AB784" s="48"/>
      <c r="AC784" s="48"/>
      <c r="AD784" s="7"/>
      <c r="AE784" s="2"/>
      <c r="AF784" s="2"/>
      <c r="AG784" s="2"/>
    </row>
    <row r="785" spans="1:33" s="37" customFormat="1" ht="22.5" customHeight="1" x14ac:dyDescent="0.2">
      <c r="A785" s="13">
        <f t="shared" si="17"/>
        <v>61</v>
      </c>
      <c r="B785" s="11"/>
      <c r="C785" s="1"/>
      <c r="D785" s="13"/>
      <c r="E785" s="13"/>
      <c r="F785" s="18"/>
      <c r="G785" s="1"/>
      <c r="H785" s="60"/>
      <c r="I785" s="13"/>
      <c r="J785" s="5"/>
      <c r="K785" s="5"/>
      <c r="L785" s="4"/>
      <c r="M785" s="4"/>
      <c r="N785" s="145" t="s">
        <v>168</v>
      </c>
      <c r="O785" s="5">
        <v>5</v>
      </c>
      <c r="P785" s="146"/>
      <c r="Q785" s="146"/>
      <c r="R785" s="145"/>
      <c r="S785" s="146"/>
      <c r="T785" s="6"/>
      <c r="U785" s="150"/>
      <c r="V785" s="3"/>
      <c r="W785" s="4"/>
      <c r="X785" s="13"/>
      <c r="Y785" s="48"/>
      <c r="Z785" s="48"/>
      <c r="AA785" s="20"/>
      <c r="AB785" s="48"/>
      <c r="AC785" s="48"/>
      <c r="AD785" s="7"/>
      <c r="AE785" s="2"/>
      <c r="AF785" s="2"/>
      <c r="AG785" s="2"/>
    </row>
    <row r="786" spans="1:33" s="37" customFormat="1" ht="22.5" customHeight="1" x14ac:dyDescent="0.2">
      <c r="A786" s="13">
        <f t="shared" si="17"/>
        <v>61</v>
      </c>
      <c r="B786" s="11"/>
      <c r="C786" s="1"/>
      <c r="D786" s="13"/>
      <c r="E786" s="13"/>
      <c r="F786" s="18"/>
      <c r="G786" s="1"/>
      <c r="H786" s="60"/>
      <c r="I786" s="13"/>
      <c r="J786" s="5"/>
      <c r="K786" s="5"/>
      <c r="L786" s="4"/>
      <c r="M786" s="4"/>
      <c r="N786" s="145" t="s">
        <v>278</v>
      </c>
      <c r="O786" s="5">
        <v>1</v>
      </c>
      <c r="P786" s="146"/>
      <c r="Q786" s="146"/>
      <c r="R786" s="145"/>
      <c r="S786" s="146"/>
      <c r="T786" s="6"/>
      <c r="U786" s="150"/>
      <c r="V786" s="3"/>
      <c r="W786" s="4"/>
      <c r="X786" s="13"/>
      <c r="Y786" s="48"/>
      <c r="Z786" s="48"/>
      <c r="AA786" s="20"/>
      <c r="AB786" s="48"/>
      <c r="AC786" s="48"/>
      <c r="AD786" s="7"/>
      <c r="AE786" s="2"/>
      <c r="AF786" s="2"/>
      <c r="AG786" s="2"/>
    </row>
    <row r="787" spans="1:33" s="37" customFormat="1" ht="22.5" customHeight="1" x14ac:dyDescent="0.2">
      <c r="A787" s="13">
        <f t="shared" si="17"/>
        <v>61</v>
      </c>
      <c r="B787" s="11"/>
      <c r="C787" s="1"/>
      <c r="D787" s="13"/>
      <c r="E787" s="13"/>
      <c r="F787" s="18"/>
      <c r="G787" s="1"/>
      <c r="H787" s="60"/>
      <c r="I787" s="13"/>
      <c r="J787" s="5"/>
      <c r="K787" s="5"/>
      <c r="L787" s="4"/>
      <c r="M787" s="4"/>
      <c r="N787" s="145" t="s">
        <v>726</v>
      </c>
      <c r="O787" s="5">
        <v>1</v>
      </c>
      <c r="P787" s="146"/>
      <c r="Q787" s="146"/>
      <c r="R787" s="145"/>
      <c r="S787" s="146"/>
      <c r="T787" s="6"/>
      <c r="U787" s="150"/>
      <c r="V787" s="3"/>
      <c r="W787" s="4"/>
      <c r="X787" s="13"/>
      <c r="Y787" s="48"/>
      <c r="Z787" s="48"/>
      <c r="AA787" s="20"/>
      <c r="AB787" s="48"/>
      <c r="AC787" s="48"/>
      <c r="AD787" s="7"/>
      <c r="AE787" s="2"/>
      <c r="AF787" s="2"/>
      <c r="AG787" s="2"/>
    </row>
    <row r="788" spans="1:33" s="37" customFormat="1" ht="31.5" customHeight="1" x14ac:dyDescent="0.2">
      <c r="A788" s="13">
        <f t="shared" si="17"/>
        <v>61</v>
      </c>
      <c r="B788" s="11"/>
      <c r="C788" s="1"/>
      <c r="D788" s="13"/>
      <c r="E788" s="13"/>
      <c r="F788" s="18"/>
      <c r="G788" s="1"/>
      <c r="H788" s="60"/>
      <c r="I788" s="13"/>
      <c r="J788" s="5"/>
      <c r="K788" s="5"/>
      <c r="L788" s="4"/>
      <c r="M788" s="4"/>
      <c r="N788" s="145" t="s">
        <v>788</v>
      </c>
      <c r="O788" s="5">
        <v>172</v>
      </c>
      <c r="P788" s="146"/>
      <c r="Q788" s="146"/>
      <c r="R788" s="145"/>
      <c r="S788" s="146"/>
      <c r="T788" s="6"/>
      <c r="U788" s="150"/>
      <c r="V788" s="3"/>
      <c r="W788" s="4"/>
      <c r="X788" s="13"/>
      <c r="Y788" s="48"/>
      <c r="Z788" s="48"/>
      <c r="AA788" s="20"/>
      <c r="AB788" s="48"/>
      <c r="AC788" s="48"/>
      <c r="AD788" s="7"/>
      <c r="AE788" s="2"/>
      <c r="AF788" s="2"/>
      <c r="AG788" s="2"/>
    </row>
    <row r="789" spans="1:33" s="37" customFormat="1" ht="31.5" customHeight="1" x14ac:dyDescent="0.2">
      <c r="A789" s="13">
        <f t="shared" si="17"/>
        <v>61</v>
      </c>
      <c r="B789" s="11"/>
      <c r="C789" s="1"/>
      <c r="D789" s="13"/>
      <c r="E789" s="13"/>
      <c r="F789" s="18"/>
      <c r="G789" s="1"/>
      <c r="H789" s="60"/>
      <c r="I789" s="13"/>
      <c r="J789" s="5"/>
      <c r="K789" s="5"/>
      <c r="L789" s="4"/>
      <c r="M789" s="4"/>
      <c r="N789" s="145" t="s">
        <v>789</v>
      </c>
      <c r="O789" s="5">
        <v>39</v>
      </c>
      <c r="P789" s="146"/>
      <c r="Q789" s="146"/>
      <c r="R789" s="145"/>
      <c r="S789" s="146"/>
      <c r="T789" s="6"/>
      <c r="U789" s="150"/>
      <c r="V789" s="3"/>
      <c r="W789" s="4"/>
      <c r="X789" s="13"/>
      <c r="Y789" s="48"/>
      <c r="Z789" s="48"/>
      <c r="AA789" s="20"/>
      <c r="AB789" s="48"/>
      <c r="AC789" s="48"/>
      <c r="AD789" s="7"/>
      <c r="AE789" s="2"/>
      <c r="AF789" s="2"/>
      <c r="AG789" s="2"/>
    </row>
    <row r="790" spans="1:33" s="37" customFormat="1" ht="22.5" customHeight="1" x14ac:dyDescent="0.2">
      <c r="A790" s="13">
        <f t="shared" si="17"/>
        <v>61</v>
      </c>
      <c r="B790" s="11"/>
      <c r="C790" s="1"/>
      <c r="D790" s="13"/>
      <c r="E790" s="13"/>
      <c r="F790" s="18"/>
      <c r="G790" s="1"/>
      <c r="H790" s="60"/>
      <c r="I790" s="13"/>
      <c r="J790" s="5"/>
      <c r="K790" s="5"/>
      <c r="L790" s="4"/>
      <c r="M790" s="4"/>
      <c r="N790" s="145" t="s">
        <v>347</v>
      </c>
      <c r="O790" s="19">
        <v>675</v>
      </c>
      <c r="P790" s="146"/>
      <c r="Q790" s="146"/>
      <c r="R790" s="145"/>
      <c r="S790" s="146"/>
      <c r="T790" s="6"/>
      <c r="U790" s="150"/>
      <c r="V790" s="3"/>
      <c r="W790" s="4"/>
      <c r="X790" s="13"/>
      <c r="Y790" s="48"/>
      <c r="Z790" s="48"/>
      <c r="AA790" s="20"/>
      <c r="AB790" s="48"/>
      <c r="AC790" s="48"/>
      <c r="AD790" s="7"/>
      <c r="AE790" s="2"/>
      <c r="AF790" s="2"/>
      <c r="AG790" s="2"/>
    </row>
    <row r="791" spans="1:33" s="37" customFormat="1" ht="12.75" x14ac:dyDescent="0.2">
      <c r="A791" s="13">
        <f t="shared" si="17"/>
        <v>61</v>
      </c>
      <c r="B791" s="11"/>
      <c r="C791" s="1"/>
      <c r="D791" s="13"/>
      <c r="E791" s="13"/>
      <c r="F791" s="18"/>
      <c r="G791" s="1"/>
      <c r="H791" s="60"/>
      <c r="I791" s="13"/>
      <c r="J791" s="5"/>
      <c r="K791" s="5"/>
      <c r="L791" s="4"/>
      <c r="M791" s="4"/>
      <c r="N791" s="2"/>
      <c r="O791" s="2"/>
      <c r="P791" s="146"/>
      <c r="Q791" s="146"/>
      <c r="R791" s="145"/>
      <c r="S791" s="146"/>
      <c r="T791" s="6"/>
      <c r="U791" s="150"/>
      <c r="V791" s="3"/>
      <c r="W791" s="4"/>
      <c r="X791" s="13"/>
      <c r="Y791" s="48"/>
      <c r="Z791" s="48"/>
      <c r="AA791" s="20"/>
      <c r="AB791" s="48"/>
      <c r="AC791" s="48"/>
      <c r="AD791" s="7"/>
      <c r="AE791" s="2"/>
      <c r="AF791" s="2"/>
      <c r="AG791" s="2"/>
    </row>
    <row r="792" spans="1:33" s="37" customFormat="1" ht="12.75" x14ac:dyDescent="0.2">
      <c r="A792" s="13" t="e">
        <f>IF(B792&lt;&gt;0,B792,#REF!)</f>
        <v>#REF!</v>
      </c>
      <c r="B792" s="11"/>
      <c r="C792" s="1"/>
      <c r="D792" s="13"/>
      <c r="E792" s="13"/>
      <c r="F792" s="18"/>
      <c r="G792" s="1"/>
      <c r="H792" s="60"/>
      <c r="I792" s="13"/>
      <c r="J792" s="5"/>
      <c r="K792" s="5"/>
      <c r="L792" s="4"/>
      <c r="M792" s="4"/>
      <c r="N792" s="2"/>
      <c r="O792" s="2"/>
      <c r="P792" s="146"/>
      <c r="Q792" s="146"/>
      <c r="R792" s="145"/>
      <c r="S792" s="146"/>
      <c r="T792" s="6"/>
      <c r="U792" s="150"/>
      <c r="V792" s="3"/>
      <c r="W792" s="4"/>
      <c r="X792" s="13"/>
      <c r="Y792" s="48"/>
      <c r="Z792" s="48"/>
      <c r="AA792" s="20"/>
      <c r="AB792" s="48"/>
      <c r="AC792" s="48"/>
      <c r="AD792" s="7"/>
      <c r="AE792" s="2"/>
      <c r="AF792" s="2"/>
      <c r="AG792" s="2"/>
    </row>
    <row r="793" spans="1:33" s="37" customFormat="1" ht="12.75" x14ac:dyDescent="0.2">
      <c r="A793" s="13" t="e">
        <f t="shared" ref="A793:A804" si="18">IF(B793&lt;&gt;0,B793,A792)</f>
        <v>#REF!</v>
      </c>
      <c r="B793" s="11"/>
      <c r="C793" s="1"/>
      <c r="D793" s="13"/>
      <c r="E793" s="13"/>
      <c r="F793" s="2"/>
      <c r="G793" s="1"/>
      <c r="H793" s="50"/>
      <c r="I793" s="51"/>
      <c r="J793" s="51"/>
      <c r="K793" s="51"/>
      <c r="L793" s="51"/>
      <c r="M793" s="51"/>
      <c r="N793" s="51"/>
      <c r="O793" s="51"/>
      <c r="P793" s="51"/>
      <c r="Q793" s="51"/>
      <c r="R793" s="2"/>
      <c r="S793" s="51"/>
      <c r="T793" s="51"/>
      <c r="U793" s="50"/>
      <c r="V793" s="51"/>
      <c r="W793" s="51"/>
      <c r="X793" s="50"/>
      <c r="Y793" s="50"/>
      <c r="Z793" s="50"/>
      <c r="AA793" s="257"/>
      <c r="AB793" s="50"/>
      <c r="AC793" s="50"/>
      <c r="AD793" s="51"/>
      <c r="AE793" s="51"/>
      <c r="AF793" s="51"/>
      <c r="AG793" s="2"/>
    </row>
    <row r="794" spans="1:33" s="37" customFormat="1" ht="12.75" x14ac:dyDescent="0.2">
      <c r="A794" s="13" t="e">
        <f t="shared" si="18"/>
        <v>#REF!</v>
      </c>
      <c r="B794" s="11"/>
      <c r="C794" s="1"/>
      <c r="D794" s="13"/>
      <c r="E794" s="13"/>
      <c r="F794" s="18"/>
      <c r="G794" s="1"/>
      <c r="H794" s="60"/>
      <c r="I794" s="13"/>
      <c r="J794" s="5"/>
      <c r="K794" s="5"/>
      <c r="L794" s="4"/>
      <c r="M794" s="4"/>
      <c r="N794" s="145"/>
      <c r="O794" s="5"/>
      <c r="P794" s="146"/>
      <c r="Q794" s="146"/>
      <c r="R794" s="145"/>
      <c r="S794" s="146"/>
      <c r="T794" s="6"/>
      <c r="U794" s="150"/>
      <c r="V794" s="3"/>
      <c r="W794" s="4"/>
      <c r="X794" s="13"/>
      <c r="Y794" s="48"/>
      <c r="Z794" s="48"/>
      <c r="AA794" s="20"/>
      <c r="AB794" s="48"/>
      <c r="AC794" s="48"/>
      <c r="AD794" s="7"/>
      <c r="AE794" s="2"/>
      <c r="AF794" s="2"/>
      <c r="AG794" s="2"/>
    </row>
    <row r="795" spans="1:33" s="37" customFormat="1" ht="33" customHeight="1" x14ac:dyDescent="0.2">
      <c r="A795" s="13">
        <f t="shared" si="18"/>
        <v>62</v>
      </c>
      <c r="B795" s="11">
        <v>62</v>
      </c>
      <c r="C795" s="21" t="s">
        <v>47</v>
      </c>
      <c r="D795" s="13">
        <v>2</v>
      </c>
      <c r="E795" s="13">
        <v>86</v>
      </c>
      <c r="F795" s="18">
        <v>346</v>
      </c>
      <c r="G795" s="1" t="s">
        <v>417</v>
      </c>
      <c r="H795" s="60">
        <v>652.6</v>
      </c>
      <c r="I795" s="13"/>
      <c r="J795" s="5"/>
      <c r="K795" s="5"/>
      <c r="L795" s="4"/>
      <c r="M795" s="4"/>
      <c r="N795" s="145"/>
      <c r="O795" s="5"/>
      <c r="P795" s="146"/>
      <c r="Q795" s="146"/>
      <c r="R795" s="145"/>
      <c r="S795" s="146"/>
      <c r="T795" s="6"/>
      <c r="U795" s="150"/>
      <c r="V795" s="3"/>
      <c r="W795" s="4"/>
      <c r="X795" s="13"/>
      <c r="Y795" s="48"/>
      <c r="Z795" s="48"/>
      <c r="AA795" s="20"/>
      <c r="AB795" s="48"/>
      <c r="AC795" s="48"/>
      <c r="AD795" s="7"/>
      <c r="AE795" s="1" t="s">
        <v>598</v>
      </c>
      <c r="AF795" s="1"/>
      <c r="AG795" s="1"/>
    </row>
    <row r="796" spans="1:33" s="37" customFormat="1" ht="33" customHeight="1" x14ac:dyDescent="0.2">
      <c r="A796" s="13">
        <f t="shared" si="18"/>
        <v>62</v>
      </c>
      <c r="B796" s="11"/>
      <c r="C796" s="1" t="s">
        <v>279</v>
      </c>
      <c r="D796" s="13"/>
      <c r="E796" s="13"/>
      <c r="F796" s="18"/>
      <c r="G796" s="1"/>
      <c r="H796" s="60"/>
      <c r="I796" s="13"/>
      <c r="J796" s="5"/>
      <c r="K796" s="5"/>
      <c r="L796" s="4"/>
      <c r="M796" s="4"/>
      <c r="N796" s="140"/>
      <c r="O796" s="141"/>
      <c r="P796" s="141"/>
      <c r="Q796" s="141"/>
      <c r="R796" s="140"/>
      <c r="S796" s="152"/>
      <c r="T796" s="6"/>
      <c r="U796" s="155"/>
      <c r="V796" s="3"/>
      <c r="W796" s="4"/>
      <c r="X796" s="13"/>
      <c r="Y796" s="48"/>
      <c r="Z796" s="48"/>
      <c r="AA796" s="20"/>
      <c r="AB796" s="48"/>
      <c r="AC796" s="48"/>
      <c r="AD796" s="7"/>
      <c r="AE796" s="1" t="s">
        <v>599</v>
      </c>
      <c r="AF796" s="1"/>
      <c r="AG796" s="1"/>
    </row>
    <row r="797" spans="1:33" s="37" customFormat="1" ht="33" customHeight="1" x14ac:dyDescent="0.2">
      <c r="A797" s="13">
        <f t="shared" si="18"/>
        <v>62</v>
      </c>
      <c r="B797" s="11"/>
      <c r="C797" s="34" t="s">
        <v>707</v>
      </c>
      <c r="D797" s="13"/>
      <c r="E797" s="13"/>
      <c r="F797" s="18"/>
      <c r="G797" s="1"/>
      <c r="H797" s="60"/>
      <c r="I797" s="13"/>
      <c r="J797" s="5"/>
      <c r="K797" s="5"/>
      <c r="L797" s="4"/>
      <c r="M797" s="4"/>
      <c r="N797" s="140"/>
      <c r="O797" s="141"/>
      <c r="P797" s="141"/>
      <c r="Q797" s="141"/>
      <c r="R797" s="140"/>
      <c r="S797" s="152"/>
      <c r="T797" s="6"/>
      <c r="U797" s="155"/>
      <c r="V797" s="3"/>
      <c r="W797" s="4"/>
      <c r="X797" s="13"/>
      <c r="Y797" s="48"/>
      <c r="Z797" s="48"/>
      <c r="AA797" s="20"/>
      <c r="AB797" s="48"/>
      <c r="AC797" s="48"/>
      <c r="AD797" s="7"/>
      <c r="AE797" s="1" t="s">
        <v>1682</v>
      </c>
      <c r="AF797" s="1"/>
      <c r="AG797" s="2"/>
    </row>
    <row r="798" spans="1:33" s="37" customFormat="1" ht="70.5" customHeight="1" x14ac:dyDescent="0.2">
      <c r="A798" s="13">
        <f t="shared" si="18"/>
        <v>62</v>
      </c>
      <c r="B798" s="11"/>
      <c r="C798" s="138" t="s">
        <v>317</v>
      </c>
      <c r="D798" s="13"/>
      <c r="E798" s="13"/>
      <c r="F798" s="2"/>
      <c r="G798" s="1"/>
      <c r="H798" s="50"/>
      <c r="I798" s="51"/>
      <c r="J798" s="51"/>
      <c r="K798" s="51"/>
      <c r="L798" s="51"/>
      <c r="M798" s="51"/>
      <c r="N798" s="51"/>
      <c r="O798" s="51"/>
      <c r="P798" s="51"/>
      <c r="Q798" s="51"/>
      <c r="R798" s="2"/>
      <c r="S798" s="51"/>
      <c r="T798" s="51"/>
      <c r="U798" s="50"/>
      <c r="V798" s="51"/>
      <c r="W798" s="51"/>
      <c r="X798" s="50"/>
      <c r="Y798" s="50"/>
      <c r="Z798" s="50"/>
      <c r="AA798" s="257"/>
      <c r="AB798" s="50"/>
      <c r="AC798" s="50"/>
      <c r="AD798" s="51"/>
      <c r="AE798" s="1" t="s">
        <v>600</v>
      </c>
      <c r="AF798" s="1"/>
      <c r="AG798" s="1"/>
    </row>
    <row r="799" spans="1:33" s="37" customFormat="1" ht="12.75" x14ac:dyDescent="0.2">
      <c r="A799" s="13">
        <f t="shared" si="18"/>
        <v>62</v>
      </c>
      <c r="B799" s="11"/>
      <c r="C799" s="138"/>
      <c r="D799" s="13"/>
      <c r="E799" s="13"/>
      <c r="F799" s="2"/>
      <c r="G799" s="1"/>
      <c r="H799" s="50"/>
      <c r="I799" s="51"/>
      <c r="J799" s="51"/>
      <c r="K799" s="51"/>
      <c r="L799" s="51"/>
      <c r="M799" s="51"/>
      <c r="N799" s="51"/>
      <c r="O799" s="51"/>
      <c r="P799" s="51"/>
      <c r="Q799" s="51"/>
      <c r="R799" s="2"/>
      <c r="S799" s="51"/>
      <c r="T799" s="51"/>
      <c r="U799" s="50"/>
      <c r="V799" s="51"/>
      <c r="W799" s="51"/>
      <c r="X799" s="50"/>
      <c r="Y799" s="50"/>
      <c r="Z799" s="50"/>
      <c r="AA799" s="257"/>
      <c r="AB799" s="50"/>
      <c r="AC799" s="50"/>
      <c r="AD799" s="51"/>
      <c r="AE799" s="1"/>
      <c r="AF799" s="1"/>
      <c r="AG799" s="1"/>
    </row>
    <row r="800" spans="1:33" s="37" customFormat="1" ht="12.75" x14ac:dyDescent="0.2">
      <c r="A800" s="13">
        <f t="shared" si="18"/>
        <v>62</v>
      </c>
      <c r="B800" s="11"/>
      <c r="C800" s="1"/>
      <c r="D800" s="13"/>
      <c r="E800" s="13"/>
      <c r="F800" s="18"/>
      <c r="G800" s="1"/>
      <c r="H800" s="60"/>
      <c r="I800" s="13"/>
      <c r="J800" s="5"/>
      <c r="K800" s="5"/>
      <c r="L800" s="4"/>
      <c r="M800" s="4"/>
      <c r="N800" s="140"/>
      <c r="O800" s="141"/>
      <c r="P800" s="141"/>
      <c r="Q800" s="141"/>
      <c r="R800" s="140"/>
      <c r="S800" s="152"/>
      <c r="T800" s="6"/>
      <c r="U800" s="155"/>
      <c r="V800" s="3"/>
      <c r="W800" s="4"/>
      <c r="X800" s="13"/>
      <c r="Y800" s="48"/>
      <c r="Z800" s="48"/>
      <c r="AA800" s="20"/>
      <c r="AB800" s="48"/>
      <c r="AC800" s="48"/>
      <c r="AD800" s="7"/>
      <c r="AE800" s="2"/>
      <c r="AF800" s="2"/>
      <c r="AG800" s="2"/>
    </row>
    <row r="801" spans="1:33" s="37" customFormat="1" ht="33.75" customHeight="1" x14ac:dyDescent="0.2">
      <c r="A801" s="13">
        <f t="shared" si="18"/>
        <v>63</v>
      </c>
      <c r="B801" s="11">
        <v>63</v>
      </c>
      <c r="C801" s="21" t="s">
        <v>47</v>
      </c>
      <c r="D801" s="13"/>
      <c r="E801" s="13">
        <v>86</v>
      </c>
      <c r="F801" s="18">
        <v>344</v>
      </c>
      <c r="G801" s="1" t="s">
        <v>417</v>
      </c>
      <c r="H801" s="60">
        <v>673.3</v>
      </c>
      <c r="I801" s="13"/>
      <c r="J801" s="5"/>
      <c r="K801" s="5"/>
      <c r="L801" s="4"/>
      <c r="M801" s="4"/>
      <c r="N801" s="1"/>
      <c r="O801" s="5"/>
      <c r="P801" s="3"/>
      <c r="Q801" s="4"/>
      <c r="R801" s="47"/>
      <c r="S801" s="13"/>
      <c r="T801" s="6"/>
      <c r="U801" s="17"/>
      <c r="V801" s="3"/>
      <c r="W801" s="4"/>
      <c r="X801" s="13"/>
      <c r="Y801" s="48"/>
      <c r="Z801" s="48"/>
      <c r="AA801" s="20"/>
      <c r="AB801" s="48"/>
      <c r="AC801" s="48"/>
      <c r="AD801" s="7"/>
      <c r="AE801" s="1" t="s">
        <v>708</v>
      </c>
      <c r="AF801" s="1"/>
      <c r="AG801" s="1"/>
    </row>
    <row r="802" spans="1:33" s="37" customFormat="1" ht="33.75" customHeight="1" x14ac:dyDescent="0.2">
      <c r="A802" s="13">
        <f t="shared" si="18"/>
        <v>63</v>
      </c>
      <c r="B802" s="11"/>
      <c r="C802" s="1" t="s">
        <v>279</v>
      </c>
      <c r="D802" s="13"/>
      <c r="E802" s="13"/>
      <c r="F802" s="18"/>
      <c r="G802" s="1"/>
      <c r="H802" s="60"/>
      <c r="I802" s="13"/>
      <c r="J802" s="5"/>
      <c r="K802" s="5"/>
      <c r="L802" s="4"/>
      <c r="M802" s="4"/>
      <c r="N802" s="140"/>
      <c r="O802" s="5"/>
      <c r="P802" s="141"/>
      <c r="Q802" s="141"/>
      <c r="R802" s="140"/>
      <c r="S802" s="141"/>
      <c r="T802" s="6"/>
      <c r="U802" s="17"/>
      <c r="V802" s="3"/>
      <c r="W802" s="4"/>
      <c r="X802" s="13"/>
      <c r="Y802" s="48"/>
      <c r="Z802" s="48"/>
      <c r="AA802" s="20"/>
      <c r="AB802" s="48"/>
      <c r="AC802" s="48"/>
      <c r="AD802" s="7"/>
      <c r="AE802" s="1" t="s">
        <v>601</v>
      </c>
      <c r="AF802" s="1"/>
      <c r="AG802" s="1"/>
    </row>
    <row r="803" spans="1:33" s="37" customFormat="1" ht="71.25" customHeight="1" x14ac:dyDescent="0.2">
      <c r="A803" s="13">
        <f t="shared" si="18"/>
        <v>63</v>
      </c>
      <c r="B803" s="11"/>
      <c r="C803" s="34" t="s">
        <v>707</v>
      </c>
      <c r="D803" s="13"/>
      <c r="E803" s="13"/>
      <c r="F803" s="18"/>
      <c r="G803" s="1"/>
      <c r="H803" s="60"/>
      <c r="I803" s="13"/>
      <c r="J803" s="5"/>
      <c r="K803" s="5"/>
      <c r="L803" s="4"/>
      <c r="M803" s="4"/>
      <c r="N803" s="140"/>
      <c r="O803" s="5"/>
      <c r="P803" s="141"/>
      <c r="Q803" s="141"/>
      <c r="R803" s="140"/>
      <c r="S803" s="152"/>
      <c r="T803" s="6"/>
      <c r="U803" s="17"/>
      <c r="V803" s="3"/>
      <c r="W803" s="4"/>
      <c r="X803" s="13"/>
      <c r="Y803" s="48"/>
      <c r="Z803" s="48"/>
      <c r="AA803" s="20"/>
      <c r="AB803" s="48"/>
      <c r="AC803" s="48"/>
      <c r="AD803" s="7"/>
      <c r="AE803" s="1" t="s">
        <v>602</v>
      </c>
      <c r="AF803" s="1"/>
      <c r="AG803" s="1"/>
    </row>
    <row r="804" spans="1:33" s="37" customFormat="1" ht="18" customHeight="1" x14ac:dyDescent="0.2">
      <c r="A804" s="13">
        <f t="shared" si="18"/>
        <v>63</v>
      </c>
      <c r="B804" s="11"/>
      <c r="C804" s="138" t="s">
        <v>317</v>
      </c>
      <c r="D804" s="13"/>
      <c r="E804" s="13"/>
      <c r="F804" s="2"/>
      <c r="G804" s="1"/>
      <c r="H804" s="50"/>
      <c r="I804" s="51"/>
      <c r="J804" s="51"/>
      <c r="K804" s="51"/>
      <c r="L804" s="51"/>
      <c r="M804" s="51"/>
      <c r="N804" s="51"/>
      <c r="O804" s="51"/>
      <c r="P804" s="51"/>
      <c r="Q804" s="51"/>
      <c r="R804" s="2"/>
      <c r="S804" s="51"/>
      <c r="T804" s="51"/>
      <c r="U804" s="50"/>
      <c r="V804" s="51"/>
      <c r="W804" s="51"/>
      <c r="X804" s="50"/>
      <c r="Y804" s="50"/>
      <c r="Z804" s="50"/>
      <c r="AA804" s="257"/>
      <c r="AB804" s="50"/>
      <c r="AC804" s="50"/>
      <c r="AD804" s="51"/>
      <c r="AE804" s="1" t="s">
        <v>1683</v>
      </c>
      <c r="AF804" s="1"/>
      <c r="AG804" s="1"/>
    </row>
    <row r="805" spans="1:33" s="37" customFormat="1" ht="12.75" x14ac:dyDescent="0.2">
      <c r="A805" s="13"/>
      <c r="B805" s="11"/>
      <c r="C805" s="138"/>
      <c r="D805" s="13"/>
      <c r="E805" s="13"/>
      <c r="F805" s="2"/>
      <c r="G805" s="1"/>
      <c r="H805" s="50"/>
      <c r="I805" s="51"/>
      <c r="J805" s="51"/>
      <c r="K805" s="51"/>
      <c r="L805" s="51"/>
      <c r="M805" s="51"/>
      <c r="N805" s="51"/>
      <c r="O805" s="51"/>
      <c r="P805" s="51"/>
      <c r="Q805" s="51"/>
      <c r="R805" s="2"/>
      <c r="S805" s="51"/>
      <c r="T805" s="51"/>
      <c r="U805" s="50"/>
      <c r="V805" s="51"/>
      <c r="W805" s="51"/>
      <c r="X805" s="50"/>
      <c r="Y805" s="50"/>
      <c r="Z805" s="50"/>
      <c r="AA805" s="257"/>
      <c r="AB805" s="50"/>
      <c r="AC805" s="50"/>
      <c r="AD805" s="51"/>
      <c r="AE805" s="1"/>
      <c r="AF805" s="1"/>
      <c r="AG805" s="1"/>
    </row>
    <row r="806" spans="1:33" s="37" customFormat="1" ht="12.75" x14ac:dyDescent="0.2">
      <c r="A806" s="13"/>
      <c r="B806" s="11"/>
      <c r="C806" s="138"/>
      <c r="D806" s="13"/>
      <c r="E806" s="13"/>
      <c r="F806" s="2"/>
      <c r="G806" s="1"/>
      <c r="H806" s="50"/>
      <c r="I806" s="51"/>
      <c r="J806" s="51"/>
      <c r="K806" s="51"/>
      <c r="L806" s="51"/>
      <c r="M806" s="51"/>
      <c r="N806" s="51"/>
      <c r="O806" s="51"/>
      <c r="P806" s="51"/>
      <c r="Q806" s="51"/>
      <c r="R806" s="2"/>
      <c r="S806" s="51"/>
      <c r="T806" s="51"/>
      <c r="U806" s="50"/>
      <c r="V806" s="51"/>
      <c r="W806" s="51"/>
      <c r="X806" s="50"/>
      <c r="Y806" s="50"/>
      <c r="Z806" s="50"/>
      <c r="AA806" s="257"/>
      <c r="AB806" s="50"/>
      <c r="AC806" s="50"/>
      <c r="AD806" s="51"/>
      <c r="AE806" s="1"/>
      <c r="AF806" s="1"/>
      <c r="AG806" s="1"/>
    </row>
    <row r="807" spans="1:33" s="37" customFormat="1" ht="12.75" x14ac:dyDescent="0.2">
      <c r="A807" s="13">
        <f>IF(B807&lt;&gt;0,B807,A804)</f>
        <v>63</v>
      </c>
      <c r="B807" s="11"/>
      <c r="C807" s="1"/>
      <c r="D807" s="13"/>
      <c r="E807" s="13"/>
      <c r="F807" s="18"/>
      <c r="G807" s="1" t="s">
        <v>25</v>
      </c>
      <c r="H807" s="60"/>
      <c r="I807" s="13"/>
      <c r="J807" s="5"/>
      <c r="K807" s="5"/>
      <c r="L807" s="4"/>
      <c r="M807" s="4"/>
      <c r="N807" s="140"/>
      <c r="O807" s="5"/>
      <c r="P807" s="141"/>
      <c r="Q807" s="141"/>
      <c r="R807" s="140"/>
      <c r="S807" s="152"/>
      <c r="T807" s="6"/>
      <c r="U807" s="17"/>
      <c r="V807" s="3"/>
      <c r="W807" s="4"/>
      <c r="X807" s="13"/>
      <c r="Y807" s="48"/>
      <c r="Z807" s="48"/>
      <c r="AA807" s="20"/>
      <c r="AB807" s="48"/>
      <c r="AC807" s="48"/>
      <c r="AD807" s="7"/>
      <c r="AE807" s="2"/>
      <c r="AF807" s="2"/>
      <c r="AG807" s="2"/>
    </row>
    <row r="808" spans="1:33" s="37" customFormat="1" ht="30" customHeight="1" x14ac:dyDescent="0.2">
      <c r="A808" s="13">
        <f>IF(B808&lt;&gt;0,B808,A807)</f>
        <v>64</v>
      </c>
      <c r="B808" s="11">
        <v>64</v>
      </c>
      <c r="C808" s="21" t="s">
        <v>47</v>
      </c>
      <c r="D808" s="13"/>
      <c r="E808" s="13">
        <v>86</v>
      </c>
      <c r="F808" s="18">
        <v>343</v>
      </c>
      <c r="G808" s="1" t="s">
        <v>417</v>
      </c>
      <c r="H808" s="60">
        <v>660.9</v>
      </c>
      <c r="I808" s="13"/>
      <c r="J808" s="5"/>
      <c r="K808" s="5"/>
      <c r="L808" s="4"/>
      <c r="M808" s="4"/>
      <c r="N808" s="140"/>
      <c r="O808" s="5"/>
      <c r="P808" s="141"/>
      <c r="Q808" s="141"/>
      <c r="R808" s="140"/>
      <c r="S808" s="152"/>
      <c r="T808" s="6"/>
      <c r="U808" s="17"/>
      <c r="V808" s="3"/>
      <c r="W808" s="4"/>
      <c r="X808" s="13"/>
      <c r="Y808" s="48"/>
      <c r="Z808" s="48"/>
      <c r="AA808" s="20"/>
      <c r="AB808" s="48"/>
      <c r="AC808" s="48"/>
      <c r="AD808" s="7"/>
      <c r="AE808" s="1" t="s">
        <v>709</v>
      </c>
      <c r="AF808" s="1"/>
      <c r="AG808" s="1"/>
    </row>
    <row r="809" spans="1:33" s="37" customFormat="1" ht="30" customHeight="1" x14ac:dyDescent="0.2">
      <c r="A809" s="13">
        <f>IF(B809&lt;&gt;0,B809,A808)</f>
        <v>64</v>
      </c>
      <c r="B809" s="11"/>
      <c r="C809" s="1" t="s">
        <v>279</v>
      </c>
      <c r="D809" s="13"/>
      <c r="E809" s="13"/>
      <c r="F809" s="18"/>
      <c r="G809" s="1"/>
      <c r="H809" s="60"/>
      <c r="I809" s="13"/>
      <c r="J809" s="5"/>
      <c r="K809" s="5"/>
      <c r="L809" s="4"/>
      <c r="M809" s="4"/>
      <c r="N809" s="140"/>
      <c r="O809" s="5"/>
      <c r="P809" s="141"/>
      <c r="Q809" s="141"/>
      <c r="R809" s="140"/>
      <c r="S809" s="152"/>
      <c r="T809" s="6"/>
      <c r="U809" s="17"/>
      <c r="V809" s="3"/>
      <c r="W809" s="4"/>
      <c r="X809" s="13"/>
      <c r="Y809" s="48"/>
      <c r="Z809" s="48"/>
      <c r="AA809" s="20"/>
      <c r="AB809" s="48"/>
      <c r="AC809" s="48"/>
      <c r="AD809" s="7"/>
      <c r="AE809" s="1" t="s">
        <v>603</v>
      </c>
      <c r="AF809" s="1"/>
      <c r="AG809" s="1"/>
    </row>
    <row r="810" spans="1:33" s="37" customFormat="1" ht="68.25" customHeight="1" x14ac:dyDescent="0.2">
      <c r="A810" s="13">
        <f>IF(B810&lt;&gt;0,B810,A809)</f>
        <v>64</v>
      </c>
      <c r="B810" s="11"/>
      <c r="C810" s="34" t="s">
        <v>707</v>
      </c>
      <c r="D810" s="13"/>
      <c r="E810" s="13"/>
      <c r="F810" s="18"/>
      <c r="G810" s="1"/>
      <c r="H810" s="60"/>
      <c r="I810" s="13"/>
      <c r="J810" s="5"/>
      <c r="K810" s="5"/>
      <c r="L810" s="4"/>
      <c r="M810" s="4"/>
      <c r="N810" s="140"/>
      <c r="O810" s="5"/>
      <c r="P810" s="141"/>
      <c r="Q810" s="141"/>
      <c r="R810" s="140"/>
      <c r="S810" s="152"/>
      <c r="T810" s="6"/>
      <c r="U810" s="17"/>
      <c r="V810" s="3"/>
      <c r="W810" s="4"/>
      <c r="X810" s="13"/>
      <c r="Y810" s="48"/>
      <c r="Z810" s="48"/>
      <c r="AA810" s="20"/>
      <c r="AB810" s="48"/>
      <c r="AC810" s="48"/>
      <c r="AD810" s="7"/>
      <c r="AE810" s="1" t="s">
        <v>604</v>
      </c>
      <c r="AF810" s="1"/>
      <c r="AG810" s="1"/>
    </row>
    <row r="811" spans="1:33" s="37" customFormat="1" ht="21" customHeight="1" x14ac:dyDescent="0.2">
      <c r="A811" s="13">
        <f>IF(B811&lt;&gt;0,B811,A810)</f>
        <v>64</v>
      </c>
      <c r="B811" s="11"/>
      <c r="C811" s="138" t="s">
        <v>317</v>
      </c>
      <c r="D811" s="13"/>
      <c r="E811" s="13"/>
      <c r="F811" s="2"/>
      <c r="G811" s="1"/>
      <c r="H811" s="50"/>
      <c r="I811" s="51"/>
      <c r="J811" s="51"/>
      <c r="K811" s="51"/>
      <c r="L811" s="51"/>
      <c r="M811" s="51"/>
      <c r="N811" s="51"/>
      <c r="O811" s="51"/>
      <c r="P811" s="51"/>
      <c r="Q811" s="51"/>
      <c r="R811" s="2"/>
      <c r="S811" s="51"/>
      <c r="T811" s="51"/>
      <c r="U811" s="50"/>
      <c r="V811" s="51"/>
      <c r="W811" s="51"/>
      <c r="X811" s="50"/>
      <c r="Y811" s="50"/>
      <c r="Z811" s="50"/>
      <c r="AA811" s="257"/>
      <c r="AB811" s="50"/>
      <c r="AC811" s="50"/>
      <c r="AD811" s="51"/>
      <c r="AE811" s="1" t="s">
        <v>1683</v>
      </c>
      <c r="AF811" s="1"/>
      <c r="AG811" s="1"/>
    </row>
    <row r="812" spans="1:33" s="37" customFormat="1" ht="12.75" x14ac:dyDescent="0.2">
      <c r="A812" s="13"/>
      <c r="B812" s="11"/>
      <c r="C812" s="138"/>
      <c r="D812" s="13"/>
      <c r="E812" s="13"/>
      <c r="F812" s="2"/>
      <c r="G812" s="1"/>
      <c r="H812" s="50"/>
      <c r="I812" s="51"/>
      <c r="J812" s="51"/>
      <c r="K812" s="51"/>
      <c r="L812" s="51"/>
      <c r="M812" s="51"/>
      <c r="N812" s="51"/>
      <c r="O812" s="51"/>
      <c r="P812" s="51"/>
      <c r="Q812" s="51"/>
      <c r="R812" s="2"/>
      <c r="S812" s="51"/>
      <c r="T812" s="51"/>
      <c r="U812" s="50"/>
      <c r="V812" s="51"/>
      <c r="W812" s="51"/>
      <c r="X812" s="50"/>
      <c r="Y812" s="50"/>
      <c r="Z812" s="50"/>
      <c r="AA812" s="257"/>
      <c r="AB812" s="50"/>
      <c r="AC812" s="50"/>
      <c r="AD812" s="51"/>
      <c r="AE812" s="1"/>
      <c r="AF812" s="1"/>
      <c r="AG812" s="1"/>
    </row>
    <row r="813" spans="1:33" s="37" customFormat="1" ht="12.75" x14ac:dyDescent="0.2">
      <c r="A813" s="13"/>
      <c r="B813" s="11"/>
      <c r="C813" s="138"/>
      <c r="D813" s="13"/>
      <c r="E813" s="13"/>
      <c r="F813" s="2"/>
      <c r="G813" s="1"/>
      <c r="H813" s="50"/>
      <c r="I813" s="51"/>
      <c r="J813" s="51"/>
      <c r="K813" s="51"/>
      <c r="L813" s="51"/>
      <c r="M813" s="51"/>
      <c r="N813" s="51"/>
      <c r="O813" s="51"/>
      <c r="P813" s="51"/>
      <c r="Q813" s="51"/>
      <c r="R813" s="2"/>
      <c r="S813" s="51"/>
      <c r="T813" s="51"/>
      <c r="U813" s="50"/>
      <c r="V813" s="51"/>
      <c r="W813" s="51"/>
      <c r="X813" s="50"/>
      <c r="Y813" s="50"/>
      <c r="Z813" s="50"/>
      <c r="AA813" s="257"/>
      <c r="AB813" s="50"/>
      <c r="AC813" s="50"/>
      <c r="AD813" s="51"/>
      <c r="AE813" s="1"/>
      <c r="AF813" s="1"/>
      <c r="AG813" s="1"/>
    </row>
    <row r="814" spans="1:33" s="37" customFormat="1" ht="12.75" x14ac:dyDescent="0.2">
      <c r="A814" s="13">
        <f>IF(B814&lt;&gt;0,B814,A811)</f>
        <v>64</v>
      </c>
      <c r="B814" s="11"/>
      <c r="C814" s="1"/>
      <c r="D814" s="13"/>
      <c r="E814" s="13"/>
      <c r="F814" s="18"/>
      <c r="G814" s="1"/>
      <c r="H814" s="60"/>
      <c r="I814" s="13"/>
      <c r="J814" s="5"/>
      <c r="K814" s="5"/>
      <c r="L814" s="4"/>
      <c r="M814" s="4"/>
      <c r="N814" s="140"/>
      <c r="O814" s="5"/>
      <c r="P814" s="141"/>
      <c r="Q814" s="141"/>
      <c r="R814" s="140"/>
      <c r="S814" s="152"/>
      <c r="T814" s="6"/>
      <c r="U814" s="17"/>
      <c r="V814" s="3"/>
      <c r="W814" s="4"/>
      <c r="X814" s="13"/>
      <c r="Y814" s="48"/>
      <c r="Z814" s="48"/>
      <c r="AA814" s="20"/>
      <c r="AB814" s="48"/>
      <c r="AC814" s="48"/>
      <c r="AD814" s="7"/>
      <c r="AE814" s="2"/>
      <c r="AF814" s="2"/>
      <c r="AG814" s="2"/>
    </row>
    <row r="815" spans="1:33" s="37" customFormat="1" ht="36" customHeight="1" x14ac:dyDescent="0.2">
      <c r="A815" s="13">
        <f>IF(B815&lt;&gt;0,B815,A814)</f>
        <v>65</v>
      </c>
      <c r="B815" s="11">
        <v>65</v>
      </c>
      <c r="C815" s="21" t="s">
        <v>47</v>
      </c>
      <c r="D815" s="13"/>
      <c r="E815" s="13">
        <v>86</v>
      </c>
      <c r="F815" s="18">
        <v>347</v>
      </c>
      <c r="G815" s="1" t="s">
        <v>417</v>
      </c>
      <c r="H815" s="60">
        <v>398.3</v>
      </c>
      <c r="I815" s="13"/>
      <c r="J815" s="5"/>
      <c r="K815" s="5"/>
      <c r="L815" s="4"/>
      <c r="M815" s="4"/>
      <c r="N815" s="1"/>
      <c r="O815" s="5"/>
      <c r="P815" s="3"/>
      <c r="Q815" s="4"/>
      <c r="R815" s="47"/>
      <c r="S815" s="13"/>
      <c r="T815" s="6"/>
      <c r="U815" s="17"/>
      <c r="V815" s="3"/>
      <c r="W815" s="4"/>
      <c r="X815" s="13"/>
      <c r="Y815" s="48"/>
      <c r="Z815" s="48"/>
      <c r="AA815" s="20"/>
      <c r="AB815" s="48"/>
      <c r="AC815" s="48"/>
      <c r="AD815" s="7"/>
      <c r="AE815" s="1" t="s">
        <v>710</v>
      </c>
      <c r="AF815" s="1"/>
      <c r="AG815" s="1"/>
    </row>
    <row r="816" spans="1:33" s="37" customFormat="1" ht="35.25" customHeight="1" x14ac:dyDescent="0.2">
      <c r="A816" s="13">
        <f>IF(B816&lt;&gt;0,B816,A815)</f>
        <v>65</v>
      </c>
      <c r="B816" s="11"/>
      <c r="C816" s="1" t="s">
        <v>279</v>
      </c>
      <c r="D816" s="13"/>
      <c r="E816" s="13"/>
      <c r="F816" s="18"/>
      <c r="G816" s="1"/>
      <c r="H816" s="60"/>
      <c r="I816" s="13"/>
      <c r="J816" s="5"/>
      <c r="K816" s="5"/>
      <c r="L816" s="4"/>
      <c r="M816" s="4"/>
      <c r="N816" s="1"/>
      <c r="O816" s="5"/>
      <c r="P816" s="3"/>
      <c r="Q816" s="4"/>
      <c r="R816" s="140"/>
      <c r="S816" s="141"/>
      <c r="T816" s="6"/>
      <c r="U816" s="17"/>
      <c r="V816" s="3"/>
      <c r="W816" s="4"/>
      <c r="X816" s="13"/>
      <c r="Y816" s="48"/>
      <c r="Z816" s="48"/>
      <c r="AA816" s="20"/>
      <c r="AB816" s="48"/>
      <c r="AC816" s="48"/>
      <c r="AD816" s="7"/>
      <c r="AE816" s="1" t="s">
        <v>605</v>
      </c>
      <c r="AF816" s="1"/>
      <c r="AG816" s="1"/>
    </row>
    <row r="817" spans="1:33" s="37" customFormat="1" ht="70.5" customHeight="1" x14ac:dyDescent="0.2">
      <c r="A817" s="13">
        <f>IF(B817&lt;&gt;0,B817,A816)</f>
        <v>65</v>
      </c>
      <c r="B817" s="11"/>
      <c r="C817" s="34" t="s">
        <v>707</v>
      </c>
      <c r="D817" s="13"/>
      <c r="E817" s="13"/>
      <c r="F817" s="18"/>
      <c r="G817" s="1"/>
      <c r="H817" s="60"/>
      <c r="I817" s="13"/>
      <c r="J817" s="5"/>
      <c r="K817" s="5"/>
      <c r="L817" s="4"/>
      <c r="M817" s="4"/>
      <c r="N817" s="1"/>
      <c r="O817" s="5"/>
      <c r="P817" s="3"/>
      <c r="Q817" s="4"/>
      <c r="R817" s="47"/>
      <c r="S817" s="13"/>
      <c r="T817" s="6"/>
      <c r="U817" s="17"/>
      <c r="V817" s="3"/>
      <c r="W817" s="4"/>
      <c r="X817" s="13"/>
      <c r="Y817" s="48"/>
      <c r="Z817" s="48"/>
      <c r="AA817" s="20"/>
      <c r="AB817" s="48"/>
      <c r="AC817" s="48"/>
      <c r="AD817" s="7"/>
      <c r="AE817" s="1" t="s">
        <v>606</v>
      </c>
      <c r="AF817" s="1"/>
      <c r="AG817" s="1"/>
    </row>
    <row r="818" spans="1:33" s="37" customFormat="1" ht="18.75" customHeight="1" x14ac:dyDescent="0.2">
      <c r="A818" s="13">
        <f>IF(B818&lt;&gt;0,B818,A817)</f>
        <v>65</v>
      </c>
      <c r="B818" s="11"/>
      <c r="C818" s="138" t="s">
        <v>317</v>
      </c>
      <c r="D818" s="13"/>
      <c r="E818" s="13"/>
      <c r="F818" s="2"/>
      <c r="G818" s="1"/>
      <c r="H818" s="50"/>
      <c r="I818" s="51"/>
      <c r="J818" s="51"/>
      <c r="K818" s="51"/>
      <c r="L818" s="51"/>
      <c r="M818" s="51"/>
      <c r="N818" s="51"/>
      <c r="O818" s="51"/>
      <c r="P818" s="51"/>
      <c r="Q818" s="51"/>
      <c r="R818" s="2"/>
      <c r="S818" s="51"/>
      <c r="T818" s="51"/>
      <c r="U818" s="50"/>
      <c r="V818" s="51"/>
      <c r="W818" s="51"/>
      <c r="X818" s="50"/>
      <c r="Y818" s="50"/>
      <c r="Z818" s="50"/>
      <c r="AA818" s="257"/>
      <c r="AB818" s="50"/>
      <c r="AC818" s="50"/>
      <c r="AD818" s="51"/>
      <c r="AE818" s="1" t="s">
        <v>1683</v>
      </c>
      <c r="AF818" s="1"/>
      <c r="AG818" s="1"/>
    </row>
    <row r="819" spans="1:33" s="37" customFormat="1" ht="18.75" customHeight="1" x14ac:dyDescent="0.2">
      <c r="A819" s="13"/>
      <c r="B819" s="11"/>
      <c r="C819" s="138"/>
      <c r="D819" s="13"/>
      <c r="E819" s="13"/>
      <c r="F819" s="2"/>
      <c r="G819" s="1"/>
      <c r="H819" s="50"/>
      <c r="I819" s="51"/>
      <c r="J819" s="51"/>
      <c r="K819" s="51"/>
      <c r="L819" s="51"/>
      <c r="M819" s="51"/>
      <c r="N819" s="51"/>
      <c r="O819" s="51"/>
      <c r="P819" s="51"/>
      <c r="Q819" s="51"/>
      <c r="R819" s="2"/>
      <c r="S819" s="51"/>
      <c r="T819" s="51"/>
      <c r="U819" s="50"/>
      <c r="V819" s="51"/>
      <c r="W819" s="51"/>
      <c r="X819" s="50"/>
      <c r="Y819" s="50"/>
      <c r="Z819" s="50"/>
      <c r="AA819" s="257"/>
      <c r="AB819" s="50"/>
      <c r="AC819" s="50"/>
      <c r="AD819" s="51"/>
      <c r="AE819" s="1"/>
      <c r="AF819" s="1"/>
      <c r="AG819" s="1"/>
    </row>
    <row r="820" spans="1:33" s="37" customFormat="1" ht="12.75" x14ac:dyDescent="0.2">
      <c r="A820" s="13">
        <f>IF(B820&lt;&gt;0,B820,A818)</f>
        <v>65</v>
      </c>
      <c r="B820" s="11"/>
      <c r="C820" s="1"/>
      <c r="D820" s="13"/>
      <c r="E820" s="13"/>
      <c r="F820" s="18"/>
      <c r="G820" s="1"/>
      <c r="H820" s="60"/>
      <c r="I820" s="13"/>
      <c r="J820" s="5"/>
      <c r="K820" s="5"/>
      <c r="L820" s="4"/>
      <c r="M820" s="4"/>
      <c r="N820" s="1"/>
      <c r="O820" s="5"/>
      <c r="P820" s="3"/>
      <c r="Q820" s="4"/>
      <c r="R820" s="47"/>
      <c r="S820" s="13"/>
      <c r="T820" s="6"/>
      <c r="U820" s="17"/>
      <c r="V820" s="3"/>
      <c r="W820" s="4"/>
      <c r="X820" s="13"/>
      <c r="Y820" s="48"/>
      <c r="Z820" s="48"/>
      <c r="AA820" s="20"/>
      <c r="AB820" s="48"/>
      <c r="AC820" s="48"/>
      <c r="AD820" s="7"/>
      <c r="AE820" s="2"/>
      <c r="AF820" s="2"/>
      <c r="AG820" s="2"/>
    </row>
    <row r="821" spans="1:33" s="37" customFormat="1" ht="12.75" x14ac:dyDescent="0.2">
      <c r="A821" s="13">
        <f>IF(B821&lt;&gt;0,B821,A820)</f>
        <v>65</v>
      </c>
      <c r="B821" s="11"/>
      <c r="C821" s="154"/>
      <c r="D821" s="13"/>
      <c r="E821" s="13"/>
      <c r="F821" s="18"/>
      <c r="G821" s="1"/>
      <c r="H821" s="60"/>
      <c r="I821" s="13"/>
      <c r="J821" s="5"/>
      <c r="K821" s="5"/>
      <c r="L821" s="4"/>
      <c r="M821" s="4"/>
      <c r="N821" s="1"/>
      <c r="O821" s="5"/>
      <c r="P821" s="3"/>
      <c r="Q821" s="4"/>
      <c r="R821" s="47"/>
      <c r="S821" s="13"/>
      <c r="T821" s="6"/>
      <c r="U821" s="17"/>
      <c r="V821" s="3"/>
      <c r="W821" s="4"/>
      <c r="X821" s="13"/>
      <c r="Y821" s="48"/>
      <c r="Z821" s="48"/>
      <c r="AA821" s="20"/>
      <c r="AB821" s="48"/>
      <c r="AC821" s="48"/>
      <c r="AD821" s="7"/>
      <c r="AE821" s="2"/>
      <c r="AF821" s="2"/>
      <c r="AG821" s="2"/>
    </row>
    <row r="822" spans="1:33" s="37" customFormat="1" ht="29.25" customHeight="1" x14ac:dyDescent="0.2">
      <c r="A822" s="13">
        <f>IF(B822&lt;&gt;0,B822,A821)</f>
        <v>66</v>
      </c>
      <c r="B822" s="11">
        <v>66</v>
      </c>
      <c r="C822" s="21" t="s">
        <v>47</v>
      </c>
      <c r="D822" s="13"/>
      <c r="E822" s="13">
        <v>86</v>
      </c>
      <c r="F822" s="18">
        <v>401</v>
      </c>
      <c r="G822" s="1" t="s">
        <v>417</v>
      </c>
      <c r="H822" s="60">
        <v>266.60000000000002</v>
      </c>
      <c r="I822" s="13"/>
      <c r="J822" s="5"/>
      <c r="K822" s="5"/>
      <c r="L822" s="4"/>
      <c r="M822" s="4"/>
      <c r="N822" s="1"/>
      <c r="O822" s="5"/>
      <c r="P822" s="3"/>
      <c r="Q822" s="4"/>
      <c r="R822" s="47"/>
      <c r="S822" s="13"/>
      <c r="T822" s="6"/>
      <c r="U822" s="17"/>
      <c r="V822" s="3"/>
      <c r="W822" s="4"/>
      <c r="X822" s="13"/>
      <c r="Y822" s="48"/>
      <c r="Z822" s="48"/>
      <c r="AA822" s="20"/>
      <c r="AB822" s="48"/>
      <c r="AC822" s="48"/>
      <c r="AD822" s="7"/>
      <c r="AE822" s="1" t="s">
        <v>1717</v>
      </c>
      <c r="AF822" s="1"/>
      <c r="AG822" s="1"/>
    </row>
    <row r="823" spans="1:33" s="37" customFormat="1" ht="30.75" customHeight="1" x14ac:dyDescent="0.2">
      <c r="A823" s="13">
        <f>IF(B823&lt;&gt;0,B823,A822)</f>
        <v>66</v>
      </c>
      <c r="B823" s="11"/>
      <c r="C823" s="1" t="s">
        <v>279</v>
      </c>
      <c r="D823" s="13"/>
      <c r="E823" s="13"/>
      <c r="F823" s="18"/>
      <c r="G823" s="1"/>
      <c r="H823" s="60"/>
      <c r="I823" s="13"/>
      <c r="J823" s="5"/>
      <c r="K823" s="5"/>
      <c r="L823" s="4"/>
      <c r="M823" s="4"/>
      <c r="N823" s="1"/>
      <c r="O823" s="5"/>
      <c r="P823" s="3"/>
      <c r="Q823" s="4"/>
      <c r="R823" s="47"/>
      <c r="S823" s="13"/>
      <c r="T823" s="6"/>
      <c r="U823" s="17"/>
      <c r="V823" s="3"/>
      <c r="W823" s="4"/>
      <c r="X823" s="13"/>
      <c r="Y823" s="48"/>
      <c r="Z823" s="48"/>
      <c r="AA823" s="20"/>
      <c r="AB823" s="48"/>
      <c r="AC823" s="48"/>
      <c r="AD823" s="7"/>
      <c r="AE823" s="1" t="s">
        <v>607</v>
      </c>
      <c r="AF823" s="1"/>
      <c r="AG823" s="1"/>
    </row>
    <row r="824" spans="1:33" s="37" customFormat="1" ht="72" customHeight="1" x14ac:dyDescent="0.2">
      <c r="A824" s="13">
        <f>IF(B824&lt;&gt;0,B824,A823)</f>
        <v>66</v>
      </c>
      <c r="B824" s="11"/>
      <c r="C824" s="34" t="s">
        <v>707</v>
      </c>
      <c r="D824" s="13"/>
      <c r="E824" s="13"/>
      <c r="F824" s="18"/>
      <c r="G824" s="1"/>
      <c r="H824" s="50"/>
      <c r="I824" s="13"/>
      <c r="J824" s="5"/>
      <c r="K824" s="5"/>
      <c r="L824" s="4"/>
      <c r="M824" s="4"/>
      <c r="N824" s="1"/>
      <c r="O824" s="5"/>
      <c r="P824" s="3"/>
      <c r="Q824" s="4"/>
      <c r="R824" s="47"/>
      <c r="S824" s="13"/>
      <c r="T824" s="6"/>
      <c r="U824" s="17"/>
      <c r="V824" s="3"/>
      <c r="W824" s="4"/>
      <c r="X824" s="13"/>
      <c r="Y824" s="48"/>
      <c r="Z824" s="48"/>
      <c r="AA824" s="20"/>
      <c r="AB824" s="48"/>
      <c r="AC824" s="48"/>
      <c r="AD824" s="7"/>
      <c r="AE824" s="1" t="s">
        <v>1718</v>
      </c>
      <c r="AF824" s="1"/>
      <c r="AG824" s="1"/>
    </row>
    <row r="825" spans="1:33" s="37" customFormat="1" ht="18.75" customHeight="1" x14ac:dyDescent="0.2">
      <c r="A825" s="13">
        <f>IF(B825&lt;&gt;0,B825,A824)</f>
        <v>66</v>
      </c>
      <c r="B825" s="11"/>
      <c r="C825" s="138" t="s">
        <v>317</v>
      </c>
      <c r="D825" s="13"/>
      <c r="E825" s="13"/>
      <c r="F825" s="2"/>
      <c r="G825" s="1"/>
      <c r="H825" s="50"/>
      <c r="I825" s="51"/>
      <c r="J825" s="51"/>
      <c r="K825" s="51"/>
      <c r="L825" s="51"/>
      <c r="M825" s="51"/>
      <c r="N825" s="51"/>
      <c r="O825" s="51"/>
      <c r="P825" s="51"/>
      <c r="Q825" s="51"/>
      <c r="R825" s="2"/>
      <c r="S825" s="51"/>
      <c r="T825" s="51"/>
      <c r="U825" s="50"/>
      <c r="V825" s="51"/>
      <c r="W825" s="51"/>
      <c r="X825" s="50"/>
      <c r="Y825" s="50"/>
      <c r="Z825" s="50"/>
      <c r="AA825" s="257"/>
      <c r="AB825" s="50"/>
      <c r="AC825" s="50"/>
      <c r="AD825" s="51"/>
      <c r="AE825" s="1" t="s">
        <v>1683</v>
      </c>
      <c r="AF825" s="1"/>
      <c r="AG825" s="1"/>
    </row>
    <row r="826" spans="1:33" s="37" customFormat="1" ht="12.75" x14ac:dyDescent="0.2">
      <c r="A826" s="13"/>
      <c r="B826" s="11"/>
      <c r="C826" s="138"/>
      <c r="D826" s="13"/>
      <c r="E826" s="13"/>
      <c r="F826" s="2"/>
      <c r="G826" s="1"/>
      <c r="H826" s="50"/>
      <c r="I826" s="51"/>
      <c r="J826" s="51"/>
      <c r="K826" s="51"/>
      <c r="L826" s="51"/>
      <c r="M826" s="51"/>
      <c r="N826" s="51"/>
      <c r="O826" s="51"/>
      <c r="P826" s="51"/>
      <c r="Q826" s="51"/>
      <c r="R826" s="2"/>
      <c r="S826" s="51"/>
      <c r="T826" s="51"/>
      <c r="U826" s="50"/>
      <c r="V826" s="51"/>
      <c r="W826" s="51"/>
      <c r="X826" s="50"/>
      <c r="Y826" s="50"/>
      <c r="Z826" s="50"/>
      <c r="AA826" s="257"/>
      <c r="AB826" s="50"/>
      <c r="AC826" s="50"/>
      <c r="AD826" s="51"/>
      <c r="AE826" s="1"/>
      <c r="AF826" s="1"/>
      <c r="AG826" s="1"/>
    </row>
    <row r="827" spans="1:33" s="37" customFormat="1" ht="12.75" x14ac:dyDescent="0.2">
      <c r="A827" s="13">
        <f>IF(B827&lt;&gt;0,B827,A825)</f>
        <v>66</v>
      </c>
      <c r="B827" s="11"/>
      <c r="C827" s="153"/>
      <c r="D827" s="13"/>
      <c r="E827" s="13"/>
      <c r="F827" s="18"/>
      <c r="G827" s="1"/>
      <c r="H827" s="60"/>
      <c r="I827" s="13"/>
      <c r="J827" s="5"/>
      <c r="K827" s="5"/>
      <c r="L827" s="4"/>
      <c r="M827" s="4"/>
      <c r="N827" s="1"/>
      <c r="O827" s="5"/>
      <c r="P827" s="3"/>
      <c r="Q827" s="4"/>
      <c r="R827" s="140"/>
      <c r="S827" s="141"/>
      <c r="T827" s="6"/>
      <c r="U827" s="17"/>
      <c r="V827" s="3"/>
      <c r="W827" s="4"/>
      <c r="X827" s="13"/>
      <c r="Y827" s="48"/>
      <c r="Z827" s="48"/>
      <c r="AA827" s="20"/>
      <c r="AB827" s="48"/>
      <c r="AC827" s="48"/>
      <c r="AD827" s="7"/>
      <c r="AE827" s="2"/>
      <c r="AF827" s="2"/>
      <c r="AG827" s="2"/>
    </row>
    <row r="828" spans="1:33" s="37" customFormat="1" ht="12.75" x14ac:dyDescent="0.2">
      <c r="A828" s="13">
        <f t="shared" ref="A828:A891" si="19">IF(B828&lt;&gt;0,B828,A827)</f>
        <v>66</v>
      </c>
      <c r="B828" s="11"/>
      <c r="C828" s="138"/>
      <c r="D828" s="13"/>
      <c r="E828" s="13"/>
      <c r="F828" s="18"/>
      <c r="G828" s="1"/>
      <c r="H828" s="60"/>
      <c r="I828" s="13"/>
      <c r="J828" s="5"/>
      <c r="K828" s="5"/>
      <c r="L828" s="4"/>
      <c r="M828" s="4"/>
      <c r="N828" s="1"/>
      <c r="O828" s="5"/>
      <c r="P828" s="3"/>
      <c r="Q828" s="4"/>
      <c r="R828" s="47"/>
      <c r="S828" s="13"/>
      <c r="T828" s="6"/>
      <c r="U828" s="17"/>
      <c r="V828" s="3"/>
      <c r="W828" s="4"/>
      <c r="X828" s="13"/>
      <c r="Y828" s="48"/>
      <c r="Z828" s="48"/>
      <c r="AA828" s="20"/>
      <c r="AB828" s="48"/>
      <c r="AC828" s="48"/>
      <c r="AD828" s="7"/>
      <c r="AE828" s="2"/>
      <c r="AF828" s="2"/>
      <c r="AG828" s="2"/>
    </row>
    <row r="829" spans="1:33" s="37" customFormat="1" ht="32.25" customHeight="1" x14ac:dyDescent="0.2">
      <c r="A829" s="13">
        <f t="shared" si="19"/>
        <v>67</v>
      </c>
      <c r="B829" s="11">
        <v>67</v>
      </c>
      <c r="C829" s="21" t="s">
        <v>47</v>
      </c>
      <c r="D829" s="13"/>
      <c r="E829" s="13">
        <v>86</v>
      </c>
      <c r="F829" s="18">
        <v>137</v>
      </c>
      <c r="G829" s="1" t="s">
        <v>417</v>
      </c>
      <c r="H829" s="60">
        <v>552</v>
      </c>
      <c r="I829" s="13"/>
      <c r="J829" s="5"/>
      <c r="K829" s="5"/>
      <c r="L829" s="4"/>
      <c r="M829" s="4"/>
      <c r="N829" s="1" t="s">
        <v>347</v>
      </c>
      <c r="O829" s="29" t="s">
        <v>348</v>
      </c>
      <c r="P829" s="3"/>
      <c r="Q829" s="4"/>
      <c r="R829" s="84" t="s">
        <v>1767</v>
      </c>
      <c r="S829" s="13" t="s">
        <v>53</v>
      </c>
      <c r="T829" s="6">
        <v>8.8000000000000007</v>
      </c>
      <c r="U829" s="17"/>
      <c r="V829" s="3"/>
      <c r="W829" s="4"/>
      <c r="X829" s="13"/>
      <c r="Y829" s="48"/>
      <c r="Z829" s="48"/>
      <c r="AA829" s="20"/>
      <c r="AB829" s="48"/>
      <c r="AC829" s="48"/>
      <c r="AD829" s="7"/>
      <c r="AE829" s="1" t="s">
        <v>711</v>
      </c>
      <c r="AF829" s="1"/>
      <c r="AG829" s="1"/>
    </row>
    <row r="830" spans="1:33" s="37" customFormat="1" ht="31.5" customHeight="1" x14ac:dyDescent="0.2">
      <c r="A830" s="13">
        <f t="shared" si="19"/>
        <v>67</v>
      </c>
      <c r="B830" s="11"/>
      <c r="C830" s="1" t="s">
        <v>279</v>
      </c>
      <c r="D830" s="13"/>
      <c r="E830" s="13"/>
      <c r="F830" s="18"/>
      <c r="G830" s="1"/>
      <c r="H830" s="60"/>
      <c r="I830" s="13"/>
      <c r="J830" s="5"/>
      <c r="K830" s="5"/>
      <c r="L830" s="4"/>
      <c r="M830" s="4"/>
      <c r="N830" s="1" t="s">
        <v>64</v>
      </c>
      <c r="O830" s="5">
        <v>19</v>
      </c>
      <c r="P830" s="3"/>
      <c r="Q830" s="4"/>
      <c r="R830" s="140" t="s">
        <v>1863</v>
      </c>
      <c r="S830" s="155" t="s">
        <v>53</v>
      </c>
      <c r="T830" s="6">
        <v>21.12</v>
      </c>
      <c r="U830" s="17"/>
      <c r="V830" s="3"/>
      <c r="W830" s="4"/>
      <c r="X830" s="13"/>
      <c r="Y830" s="48" t="s">
        <v>55</v>
      </c>
      <c r="Z830" s="48" t="s">
        <v>87</v>
      </c>
      <c r="AA830" s="20" t="s">
        <v>171</v>
      </c>
      <c r="AB830" s="48" t="s">
        <v>88</v>
      </c>
      <c r="AC830" s="48"/>
      <c r="AD830" s="7"/>
      <c r="AE830" s="1" t="s">
        <v>608</v>
      </c>
      <c r="AF830" s="1"/>
      <c r="AG830" s="1"/>
    </row>
    <row r="831" spans="1:33" s="37" customFormat="1" ht="32.25" customHeight="1" x14ac:dyDescent="0.2">
      <c r="A831" s="13">
        <f t="shared" si="19"/>
        <v>67</v>
      </c>
      <c r="B831" s="11"/>
      <c r="C831" s="34" t="s">
        <v>707</v>
      </c>
      <c r="D831" s="13"/>
      <c r="E831" s="13"/>
      <c r="F831" s="18"/>
      <c r="G831" s="1"/>
      <c r="H831" s="60"/>
      <c r="I831" s="13"/>
      <c r="J831" s="5"/>
      <c r="K831" s="5"/>
      <c r="L831" s="4"/>
      <c r="M831" s="4"/>
      <c r="N831" s="1" t="s">
        <v>67</v>
      </c>
      <c r="O831" s="5">
        <v>10</v>
      </c>
      <c r="P831" s="3"/>
      <c r="Q831" s="4"/>
      <c r="R831" s="47" t="s">
        <v>1898</v>
      </c>
      <c r="S831" s="13" t="s">
        <v>53</v>
      </c>
      <c r="T831" s="6">
        <v>14.52</v>
      </c>
      <c r="U831" s="17"/>
      <c r="V831" s="3"/>
      <c r="W831" s="4"/>
      <c r="X831" s="13"/>
      <c r="Y831" s="48" t="s">
        <v>55</v>
      </c>
      <c r="Z831" s="48" t="s">
        <v>87</v>
      </c>
      <c r="AA831" s="20" t="s">
        <v>171</v>
      </c>
      <c r="AB831" s="48" t="s">
        <v>88</v>
      </c>
      <c r="AC831" s="48"/>
      <c r="AD831" s="7"/>
      <c r="AE831" s="2" t="s">
        <v>609</v>
      </c>
      <c r="AF831" s="2"/>
      <c r="AG831" s="2"/>
    </row>
    <row r="832" spans="1:33" s="37" customFormat="1" ht="68.25" customHeight="1" x14ac:dyDescent="0.2">
      <c r="A832" s="13">
        <f t="shared" si="19"/>
        <v>67</v>
      </c>
      <c r="B832" s="11"/>
      <c r="C832" s="138" t="s">
        <v>317</v>
      </c>
      <c r="D832" s="13"/>
      <c r="E832" s="13"/>
      <c r="F832" s="18"/>
      <c r="G832" s="1"/>
      <c r="H832" s="60"/>
      <c r="I832" s="13"/>
      <c r="J832" s="5"/>
      <c r="K832" s="5"/>
      <c r="L832" s="4"/>
      <c r="M832" s="4"/>
      <c r="N832" s="1" t="s">
        <v>145</v>
      </c>
      <c r="O832" s="5">
        <v>1</v>
      </c>
      <c r="P832" s="3"/>
      <c r="Q832" s="4"/>
      <c r="R832" s="47" t="s">
        <v>1767</v>
      </c>
      <c r="S832" s="13" t="s">
        <v>53</v>
      </c>
      <c r="T832" s="6">
        <v>4.4000000000000004</v>
      </c>
      <c r="U832" s="17"/>
      <c r="V832" s="3"/>
      <c r="W832" s="4"/>
      <c r="X832" s="13"/>
      <c r="Y832" s="48"/>
      <c r="Z832" s="48"/>
      <c r="AA832" s="20"/>
      <c r="AB832" s="48"/>
      <c r="AC832" s="48"/>
      <c r="AD832" s="7"/>
      <c r="AE832" s="1" t="s">
        <v>610</v>
      </c>
      <c r="AF832" s="1"/>
      <c r="AG832" s="1"/>
    </row>
    <row r="833" spans="1:33" s="37" customFormat="1" ht="17.25" customHeight="1" x14ac:dyDescent="0.2">
      <c r="A833" s="13">
        <f t="shared" si="19"/>
        <v>67</v>
      </c>
      <c r="B833" s="11"/>
      <c r="C833" s="138"/>
      <c r="D833" s="13"/>
      <c r="E833" s="13"/>
      <c r="F833" s="18"/>
      <c r="G833" s="1"/>
      <c r="H833" s="60"/>
      <c r="I833" s="13"/>
      <c r="J833" s="5"/>
      <c r="K833" s="5"/>
      <c r="L833" s="4"/>
      <c r="M833" s="4"/>
      <c r="N833" s="1" t="s">
        <v>725</v>
      </c>
      <c r="O833" s="5">
        <v>38</v>
      </c>
      <c r="P833" s="3"/>
      <c r="Q833" s="4"/>
      <c r="R833" s="47" t="s">
        <v>1899</v>
      </c>
      <c r="S833" s="13" t="s">
        <v>53</v>
      </c>
      <c r="T833" s="6">
        <v>4.75</v>
      </c>
      <c r="U833" s="17"/>
      <c r="V833" s="3"/>
      <c r="W833" s="4"/>
      <c r="X833" s="13"/>
      <c r="Y833" s="48" t="s">
        <v>55</v>
      </c>
      <c r="Z833" s="48" t="s">
        <v>87</v>
      </c>
      <c r="AA833" s="20" t="s">
        <v>357</v>
      </c>
      <c r="AB833" s="48" t="s">
        <v>88</v>
      </c>
      <c r="AC833" s="48"/>
      <c r="AD833" s="7"/>
      <c r="AE833" s="1" t="s">
        <v>1683</v>
      </c>
      <c r="AF833" s="1"/>
      <c r="AG833" s="1"/>
    </row>
    <row r="834" spans="1:33" s="37" customFormat="1" ht="17.25" customHeight="1" x14ac:dyDescent="0.2">
      <c r="A834" s="13">
        <f t="shared" si="19"/>
        <v>67</v>
      </c>
      <c r="B834" s="11"/>
      <c r="C834" s="138"/>
      <c r="D834" s="13"/>
      <c r="E834" s="13"/>
      <c r="F834" s="18"/>
      <c r="G834" s="1"/>
      <c r="H834" s="60"/>
      <c r="I834" s="13"/>
      <c r="J834" s="5"/>
      <c r="K834" s="5"/>
      <c r="L834" s="4"/>
      <c r="M834" s="4"/>
      <c r="N834" s="1" t="s">
        <v>744</v>
      </c>
      <c r="O834" s="5">
        <v>1</v>
      </c>
      <c r="P834" s="3"/>
      <c r="Q834" s="4"/>
      <c r="R834" s="47" t="s">
        <v>1899</v>
      </c>
      <c r="S834" s="13" t="s">
        <v>53</v>
      </c>
      <c r="T834" s="6">
        <v>6.3</v>
      </c>
      <c r="U834" s="17"/>
      <c r="V834" s="3"/>
      <c r="W834" s="4"/>
      <c r="X834" s="13"/>
      <c r="Y834" s="48" t="s">
        <v>55</v>
      </c>
      <c r="Z834" s="48" t="s">
        <v>87</v>
      </c>
      <c r="AA834" s="20" t="s">
        <v>358</v>
      </c>
      <c r="AB834" s="48" t="s">
        <v>88</v>
      </c>
      <c r="AC834" s="48"/>
      <c r="AD834" s="7"/>
      <c r="AE834" s="2"/>
      <c r="AF834" s="2"/>
      <c r="AG834" s="2"/>
    </row>
    <row r="835" spans="1:33" s="37" customFormat="1" ht="17.25" customHeight="1" x14ac:dyDescent="0.2">
      <c r="A835" s="13">
        <f t="shared" si="19"/>
        <v>67</v>
      </c>
      <c r="B835" s="11"/>
      <c r="C835" s="138"/>
      <c r="D835" s="13"/>
      <c r="E835" s="13"/>
      <c r="F835" s="18"/>
      <c r="G835" s="1"/>
      <c r="H835" s="60"/>
      <c r="I835" s="13"/>
      <c r="J835" s="5"/>
      <c r="K835" s="5"/>
      <c r="L835" s="4"/>
      <c r="M835" s="4"/>
      <c r="N835" s="1" t="s">
        <v>738</v>
      </c>
      <c r="O835" s="5">
        <v>2</v>
      </c>
      <c r="P835" s="3"/>
      <c r="Q835" s="4"/>
      <c r="R835" s="47" t="s">
        <v>1900</v>
      </c>
      <c r="S835" s="13" t="s">
        <v>53</v>
      </c>
      <c r="T835" s="6">
        <v>4.08</v>
      </c>
      <c r="U835" s="17"/>
      <c r="V835" s="3"/>
      <c r="W835" s="4"/>
      <c r="X835" s="13"/>
      <c r="Y835" s="48"/>
      <c r="Z835" s="48"/>
      <c r="AA835" s="20"/>
      <c r="AB835" s="48"/>
      <c r="AC835" s="48"/>
      <c r="AD835" s="7"/>
      <c r="AE835" s="2"/>
      <c r="AF835" s="2"/>
      <c r="AG835" s="2"/>
    </row>
    <row r="836" spans="1:33" s="37" customFormat="1" ht="17.25" customHeight="1" x14ac:dyDescent="0.2">
      <c r="A836" s="13">
        <f t="shared" si="19"/>
        <v>67</v>
      </c>
      <c r="B836" s="11"/>
      <c r="C836" s="138"/>
      <c r="D836" s="13"/>
      <c r="E836" s="13"/>
      <c r="F836" s="18"/>
      <c r="G836" s="1"/>
      <c r="H836" s="60"/>
      <c r="I836" s="13"/>
      <c r="J836" s="5"/>
      <c r="K836" s="5"/>
      <c r="L836" s="4"/>
      <c r="M836" s="4"/>
      <c r="N836" s="1" t="s">
        <v>352</v>
      </c>
      <c r="O836" s="5">
        <v>1</v>
      </c>
      <c r="P836" s="3"/>
      <c r="Q836" s="4"/>
      <c r="R836" s="84" t="s">
        <v>1767</v>
      </c>
      <c r="S836" s="13" t="s">
        <v>53</v>
      </c>
      <c r="T836" s="6">
        <v>17.28</v>
      </c>
      <c r="U836" s="17"/>
      <c r="V836" s="3"/>
      <c r="W836" s="4"/>
      <c r="X836" s="13"/>
      <c r="Y836" s="48"/>
      <c r="Z836" s="48"/>
      <c r="AA836" s="20"/>
      <c r="AB836" s="48"/>
      <c r="AC836" s="48"/>
      <c r="AD836" s="7"/>
      <c r="AE836" s="2"/>
      <c r="AF836" s="2"/>
      <c r="AG836" s="2"/>
    </row>
    <row r="837" spans="1:33" s="37" customFormat="1" ht="17.25" customHeight="1" x14ac:dyDescent="0.2">
      <c r="A837" s="13">
        <f t="shared" si="19"/>
        <v>67</v>
      </c>
      <c r="B837" s="11"/>
      <c r="C837" s="138"/>
      <c r="D837" s="13"/>
      <c r="E837" s="13"/>
      <c r="F837" s="18"/>
      <c r="G837" s="1"/>
      <c r="H837" s="60"/>
      <c r="I837" s="13"/>
      <c r="J837" s="5"/>
      <c r="K837" s="5"/>
      <c r="L837" s="4"/>
      <c r="M837" s="4"/>
      <c r="N837" s="1" t="s">
        <v>72</v>
      </c>
      <c r="O837" s="5">
        <v>18</v>
      </c>
      <c r="P837" s="3"/>
      <c r="Q837" s="4"/>
      <c r="R837" s="47" t="s">
        <v>1767</v>
      </c>
      <c r="S837" s="13" t="s">
        <v>53</v>
      </c>
      <c r="T837" s="6">
        <v>3.36</v>
      </c>
      <c r="U837" s="17"/>
      <c r="V837" s="3"/>
      <c r="W837" s="4"/>
      <c r="X837" s="13"/>
      <c r="Y837" s="48"/>
      <c r="Z837" s="48"/>
      <c r="AA837" s="20"/>
      <c r="AB837" s="48"/>
      <c r="AC837" s="48"/>
      <c r="AD837" s="7"/>
      <c r="AE837" s="2"/>
      <c r="AF837" s="2"/>
      <c r="AG837" s="2"/>
    </row>
    <row r="838" spans="1:33" s="37" customFormat="1" ht="17.25" customHeight="1" x14ac:dyDescent="0.2">
      <c r="A838" s="13">
        <f t="shared" si="19"/>
        <v>67</v>
      </c>
      <c r="B838" s="11"/>
      <c r="C838" s="138"/>
      <c r="D838" s="13"/>
      <c r="E838" s="13"/>
      <c r="F838" s="18"/>
      <c r="G838" s="1"/>
      <c r="H838" s="60"/>
      <c r="I838" s="13"/>
      <c r="J838" s="5"/>
      <c r="K838" s="5"/>
      <c r="L838" s="4"/>
      <c r="M838" s="4"/>
      <c r="N838" s="1" t="s">
        <v>73</v>
      </c>
      <c r="O838" s="5">
        <v>76</v>
      </c>
      <c r="P838" s="3"/>
      <c r="Q838" s="4"/>
      <c r="R838" s="47" t="s">
        <v>1818</v>
      </c>
      <c r="S838" s="13" t="s">
        <v>53</v>
      </c>
      <c r="T838" s="6">
        <v>5.36</v>
      </c>
      <c r="U838" s="17"/>
      <c r="V838" s="3"/>
      <c r="W838" s="4"/>
      <c r="X838" s="13"/>
      <c r="Y838" s="48"/>
      <c r="Z838" s="48"/>
      <c r="AA838" s="20"/>
      <c r="AB838" s="48"/>
      <c r="AC838" s="48"/>
      <c r="AD838" s="7"/>
      <c r="AE838" s="2"/>
      <c r="AF838" s="2"/>
      <c r="AG838" s="2"/>
    </row>
    <row r="839" spans="1:33" s="37" customFormat="1" ht="18.75" customHeight="1" x14ac:dyDescent="0.2">
      <c r="A839" s="13">
        <f t="shared" si="19"/>
        <v>67</v>
      </c>
      <c r="B839" s="11"/>
      <c r="C839" s="138"/>
      <c r="D839" s="13"/>
      <c r="E839" s="13"/>
      <c r="F839" s="18"/>
      <c r="G839" s="1"/>
      <c r="H839" s="60"/>
      <c r="I839" s="13"/>
      <c r="J839" s="5"/>
      <c r="K839" s="5"/>
      <c r="L839" s="4"/>
      <c r="M839" s="4"/>
      <c r="N839" s="1" t="s">
        <v>75</v>
      </c>
      <c r="O839" s="5">
        <v>66</v>
      </c>
      <c r="P839" s="3"/>
      <c r="Q839" s="4"/>
      <c r="R839" s="47"/>
      <c r="S839" s="13"/>
      <c r="T839" s="6"/>
      <c r="U839" s="17"/>
      <c r="V839" s="3"/>
      <c r="W839" s="4"/>
      <c r="X839" s="13"/>
      <c r="Y839" s="48"/>
      <c r="Z839" s="48"/>
      <c r="AA839" s="20"/>
      <c r="AB839" s="48"/>
      <c r="AC839" s="48"/>
      <c r="AD839" s="7"/>
      <c r="AE839" s="2"/>
      <c r="AF839" s="2"/>
      <c r="AG839" s="2"/>
    </row>
    <row r="840" spans="1:33" s="37" customFormat="1" ht="18.75" customHeight="1" x14ac:dyDescent="0.2">
      <c r="A840" s="13">
        <f t="shared" si="19"/>
        <v>67</v>
      </c>
      <c r="B840" s="11"/>
      <c r="C840" s="138"/>
      <c r="D840" s="13"/>
      <c r="E840" s="13"/>
      <c r="F840" s="18"/>
      <c r="G840" s="1"/>
      <c r="H840" s="60"/>
      <c r="I840" s="13"/>
      <c r="J840" s="5"/>
      <c r="K840" s="5"/>
      <c r="L840" s="4"/>
      <c r="M840" s="4"/>
      <c r="N840" s="1" t="s">
        <v>784</v>
      </c>
      <c r="O840" s="5">
        <v>23</v>
      </c>
      <c r="P840" s="3"/>
      <c r="Q840" s="4"/>
      <c r="R840" s="47"/>
      <c r="S840" s="13"/>
      <c r="T840" s="6"/>
      <c r="U840" s="17"/>
      <c r="V840" s="3"/>
      <c r="W840" s="4"/>
      <c r="X840" s="13"/>
      <c r="Y840" s="48"/>
      <c r="Z840" s="48"/>
      <c r="AA840" s="20"/>
      <c r="AB840" s="48"/>
      <c r="AC840" s="48"/>
      <c r="AD840" s="7"/>
      <c r="AE840" s="2"/>
      <c r="AF840" s="2"/>
      <c r="AG840" s="2"/>
    </row>
    <row r="841" spans="1:33" s="37" customFormat="1" ht="18.75" customHeight="1" x14ac:dyDescent="0.2">
      <c r="A841" s="13">
        <f t="shared" si="19"/>
        <v>67</v>
      </c>
      <c r="B841" s="11"/>
      <c r="C841" s="138"/>
      <c r="D841" s="13"/>
      <c r="E841" s="13"/>
      <c r="F841" s="18"/>
      <c r="G841" s="1"/>
      <c r="H841" s="60"/>
      <c r="I841" s="13"/>
      <c r="J841" s="5"/>
      <c r="K841" s="5"/>
      <c r="L841" s="4"/>
      <c r="M841" s="4"/>
      <c r="N841" s="1" t="s">
        <v>785</v>
      </c>
      <c r="O841" s="5">
        <v>5</v>
      </c>
      <c r="P841" s="3"/>
      <c r="Q841" s="4"/>
      <c r="R841" s="47"/>
      <c r="S841" s="13"/>
      <c r="T841" s="6"/>
      <c r="U841" s="17"/>
      <c r="V841" s="3"/>
      <c r="W841" s="4"/>
      <c r="X841" s="13"/>
      <c r="Y841" s="48"/>
      <c r="Z841" s="48"/>
      <c r="AA841" s="20"/>
      <c r="AB841" s="48"/>
      <c r="AC841" s="48"/>
      <c r="AD841" s="7"/>
      <c r="AE841" s="2"/>
      <c r="AF841" s="2"/>
      <c r="AG841" s="2"/>
    </row>
    <row r="842" spans="1:33" s="37" customFormat="1" ht="18.75" customHeight="1" x14ac:dyDescent="0.2">
      <c r="A842" s="13">
        <f t="shared" si="19"/>
        <v>67</v>
      </c>
      <c r="B842" s="11"/>
      <c r="C842" s="138"/>
      <c r="D842" s="13"/>
      <c r="E842" s="13"/>
      <c r="F842" s="18"/>
      <c r="G842" s="1"/>
      <c r="H842" s="60"/>
      <c r="I842" s="13"/>
      <c r="J842" s="5"/>
      <c r="K842" s="5"/>
      <c r="L842" s="4"/>
      <c r="M842" s="4"/>
      <c r="N842" s="1" t="s">
        <v>248</v>
      </c>
      <c r="O842" s="19">
        <v>5</v>
      </c>
      <c r="P842" s="3"/>
      <c r="Q842" s="4"/>
      <c r="R842" s="47"/>
      <c r="S842" s="13"/>
      <c r="T842" s="6"/>
      <c r="U842" s="17"/>
      <c r="V842" s="3"/>
      <c r="W842" s="4"/>
      <c r="X842" s="13"/>
      <c r="Y842" s="48"/>
      <c r="Z842" s="48"/>
      <c r="AA842" s="20"/>
      <c r="AB842" s="48"/>
      <c r="AC842" s="48"/>
      <c r="AD842" s="7"/>
      <c r="AE842" s="2"/>
      <c r="AF842" s="2"/>
      <c r="AG842" s="2"/>
    </row>
    <row r="843" spans="1:33" s="37" customFormat="1" ht="18.75" customHeight="1" x14ac:dyDescent="0.2">
      <c r="A843" s="13">
        <f t="shared" si="19"/>
        <v>67</v>
      </c>
      <c r="B843" s="11"/>
      <c r="C843" s="138"/>
      <c r="D843" s="13"/>
      <c r="E843" s="13"/>
      <c r="F843" s="18"/>
      <c r="G843" s="1"/>
      <c r="H843" s="60"/>
      <c r="I843" s="13"/>
      <c r="J843" s="5"/>
      <c r="K843" s="5"/>
      <c r="L843" s="4"/>
      <c r="M843" s="4"/>
      <c r="N843" s="1" t="s">
        <v>354</v>
      </c>
      <c r="O843" s="19">
        <v>15</v>
      </c>
      <c r="P843" s="3"/>
      <c r="Q843" s="4"/>
      <c r="R843" s="47"/>
      <c r="S843" s="13"/>
      <c r="T843" s="6"/>
      <c r="U843" s="17"/>
      <c r="V843" s="3"/>
      <c r="W843" s="4"/>
      <c r="X843" s="13"/>
      <c r="Y843" s="48"/>
      <c r="Z843" s="48"/>
      <c r="AA843" s="20"/>
      <c r="AB843" s="48"/>
      <c r="AC843" s="48"/>
      <c r="AD843" s="7"/>
      <c r="AE843" s="2"/>
      <c r="AF843" s="2"/>
      <c r="AG843" s="2"/>
    </row>
    <row r="844" spans="1:33" s="37" customFormat="1" ht="18.75" customHeight="1" x14ac:dyDescent="0.2">
      <c r="A844" s="13">
        <f t="shared" si="19"/>
        <v>67</v>
      </c>
      <c r="B844" s="11"/>
      <c r="C844" s="138"/>
      <c r="D844" s="13"/>
      <c r="E844" s="13"/>
      <c r="F844" s="18"/>
      <c r="G844" s="1"/>
      <c r="H844" s="60"/>
      <c r="I844" s="13"/>
      <c r="J844" s="5"/>
      <c r="K844" s="5"/>
      <c r="L844" s="4"/>
      <c r="M844" s="4"/>
      <c r="N844" s="1" t="s">
        <v>786</v>
      </c>
      <c r="O844" s="5">
        <v>1</v>
      </c>
      <c r="P844" s="3"/>
      <c r="Q844" s="4"/>
      <c r="R844" s="47"/>
      <c r="S844" s="13"/>
      <c r="T844" s="6"/>
      <c r="U844" s="17"/>
      <c r="V844" s="3"/>
      <c r="W844" s="4"/>
      <c r="X844" s="13"/>
      <c r="Y844" s="48"/>
      <c r="Z844" s="48"/>
      <c r="AA844" s="20"/>
      <c r="AB844" s="48"/>
      <c r="AC844" s="48"/>
      <c r="AD844" s="7"/>
      <c r="AE844" s="2"/>
      <c r="AF844" s="2"/>
      <c r="AG844" s="2"/>
    </row>
    <row r="845" spans="1:33" s="37" customFormat="1" ht="18.75" customHeight="1" x14ac:dyDescent="0.2">
      <c r="A845" s="13">
        <f t="shared" si="19"/>
        <v>67</v>
      </c>
      <c r="B845" s="11"/>
      <c r="C845" s="138"/>
      <c r="D845" s="13"/>
      <c r="E845" s="13"/>
      <c r="F845" s="18"/>
      <c r="G845" s="1"/>
      <c r="H845" s="60"/>
      <c r="I845" s="13"/>
      <c r="J845" s="5"/>
      <c r="K845" s="5"/>
      <c r="L845" s="4"/>
      <c r="M845" s="4"/>
      <c r="N845" s="1" t="s">
        <v>355</v>
      </c>
      <c r="O845" s="5">
        <v>1</v>
      </c>
      <c r="P845" s="3"/>
      <c r="Q845" s="4"/>
      <c r="R845" s="47"/>
      <c r="S845" s="13"/>
      <c r="T845" s="6"/>
      <c r="U845" s="17"/>
      <c r="V845" s="3"/>
      <c r="W845" s="4"/>
      <c r="X845" s="13"/>
      <c r="Y845" s="48"/>
      <c r="Z845" s="48"/>
      <c r="AA845" s="20"/>
      <c r="AB845" s="48"/>
      <c r="AC845" s="48"/>
      <c r="AD845" s="7"/>
      <c r="AE845" s="2"/>
      <c r="AF845" s="2"/>
      <c r="AG845" s="2"/>
    </row>
    <row r="846" spans="1:33" s="37" customFormat="1" ht="18.75" customHeight="1" x14ac:dyDescent="0.2">
      <c r="A846" s="13">
        <f t="shared" si="19"/>
        <v>67</v>
      </c>
      <c r="B846" s="11"/>
      <c r="C846" s="138"/>
      <c r="D846" s="13"/>
      <c r="E846" s="13"/>
      <c r="F846" s="18"/>
      <c r="G846" s="1"/>
      <c r="H846" s="60"/>
      <c r="I846" s="13"/>
      <c r="J846" s="5"/>
      <c r="K846" s="5"/>
      <c r="L846" s="4"/>
      <c r="M846" s="4"/>
      <c r="N846" s="1" t="s">
        <v>154</v>
      </c>
      <c r="O846" s="5">
        <v>2</v>
      </c>
      <c r="P846" s="3"/>
      <c r="Q846" s="4"/>
      <c r="R846" s="47"/>
      <c r="S846" s="13"/>
      <c r="T846" s="6"/>
      <c r="U846" s="17"/>
      <c r="V846" s="3"/>
      <c r="W846" s="4"/>
      <c r="X846" s="13"/>
      <c r="Y846" s="48"/>
      <c r="Z846" s="48"/>
      <c r="AA846" s="20"/>
      <c r="AB846" s="48"/>
      <c r="AC846" s="48"/>
      <c r="AD846" s="7"/>
      <c r="AE846" s="2"/>
      <c r="AF846" s="2"/>
      <c r="AG846" s="2"/>
    </row>
    <row r="847" spans="1:33" s="37" customFormat="1" ht="18.75" customHeight="1" x14ac:dyDescent="0.2">
      <c r="A847" s="13">
        <f t="shared" si="19"/>
        <v>67</v>
      </c>
      <c r="B847" s="11"/>
      <c r="C847" s="138"/>
      <c r="D847" s="13"/>
      <c r="E847" s="13"/>
      <c r="F847" s="18"/>
      <c r="G847" s="1"/>
      <c r="H847" s="60"/>
      <c r="I847" s="13"/>
      <c r="J847" s="5"/>
      <c r="K847" s="5"/>
      <c r="L847" s="4"/>
      <c r="M847" s="4"/>
      <c r="N847" s="1" t="s">
        <v>178</v>
      </c>
      <c r="O847" s="5">
        <v>1</v>
      </c>
      <c r="P847" s="3"/>
      <c r="Q847" s="4"/>
      <c r="R847" s="47"/>
      <c r="S847" s="13"/>
      <c r="T847" s="6"/>
      <c r="U847" s="17"/>
      <c r="V847" s="3"/>
      <c r="W847" s="4"/>
      <c r="X847" s="13"/>
      <c r="Y847" s="48"/>
      <c r="Z847" s="48"/>
      <c r="AA847" s="20"/>
      <c r="AB847" s="48"/>
      <c r="AC847" s="48"/>
      <c r="AD847" s="7"/>
      <c r="AE847" s="2"/>
      <c r="AF847" s="2"/>
      <c r="AG847" s="2"/>
    </row>
    <row r="848" spans="1:33" s="37" customFormat="1" ht="31.5" customHeight="1" x14ac:dyDescent="0.2">
      <c r="A848" s="13">
        <f t="shared" si="19"/>
        <v>67</v>
      </c>
      <c r="B848" s="11"/>
      <c r="C848" s="138"/>
      <c r="D848" s="13"/>
      <c r="E848" s="13"/>
      <c r="F848" s="18"/>
      <c r="G848" s="1"/>
      <c r="H848" s="60"/>
      <c r="I848" s="13"/>
      <c r="J848" s="5"/>
      <c r="K848" s="5"/>
      <c r="L848" s="4"/>
      <c r="M848" s="4"/>
      <c r="N848" s="1" t="s">
        <v>406</v>
      </c>
      <c r="O848" s="5">
        <v>1</v>
      </c>
      <c r="P848" s="3"/>
      <c r="Q848" s="4"/>
      <c r="R848" s="47"/>
      <c r="S848" s="13"/>
      <c r="T848" s="6"/>
      <c r="U848" s="17"/>
      <c r="V848" s="3"/>
      <c r="W848" s="4"/>
      <c r="X848" s="13"/>
      <c r="Y848" s="48"/>
      <c r="Z848" s="48"/>
      <c r="AA848" s="20"/>
      <c r="AB848" s="48"/>
      <c r="AC848" s="48"/>
      <c r="AD848" s="7"/>
      <c r="AE848" s="2"/>
      <c r="AF848" s="2"/>
      <c r="AG848" s="2"/>
    </row>
    <row r="849" spans="1:33" s="37" customFormat="1" ht="18.75" customHeight="1" x14ac:dyDescent="0.2">
      <c r="A849" s="13">
        <f t="shared" si="19"/>
        <v>67</v>
      </c>
      <c r="B849" s="11"/>
      <c r="C849" s="138"/>
      <c r="D849" s="13"/>
      <c r="E849" s="13"/>
      <c r="F849" s="18"/>
      <c r="G849" s="1"/>
      <c r="H849" s="60"/>
      <c r="I849" s="13"/>
      <c r="J849" s="5"/>
      <c r="K849" s="5"/>
      <c r="L849" s="4"/>
      <c r="M849" s="4"/>
      <c r="N849" s="1" t="s">
        <v>787</v>
      </c>
      <c r="O849" s="5">
        <v>12</v>
      </c>
      <c r="P849" s="3"/>
      <c r="Q849" s="4"/>
      <c r="R849" s="47"/>
      <c r="S849" s="13"/>
      <c r="T849" s="6"/>
      <c r="U849" s="17"/>
      <c r="V849" s="3"/>
      <c r="W849" s="4"/>
      <c r="X849" s="13"/>
      <c r="Y849" s="48"/>
      <c r="Z849" s="48"/>
      <c r="AA849" s="20"/>
      <c r="AB849" s="48"/>
      <c r="AC849" s="48"/>
      <c r="AD849" s="7"/>
      <c r="AE849" s="2"/>
      <c r="AF849" s="2"/>
      <c r="AG849" s="2"/>
    </row>
    <row r="850" spans="1:33" s="37" customFormat="1" ht="18.75" customHeight="1" x14ac:dyDescent="0.2">
      <c r="A850" s="13">
        <f t="shared" si="19"/>
        <v>67</v>
      </c>
      <c r="B850" s="11"/>
      <c r="C850" s="138"/>
      <c r="D850" s="13"/>
      <c r="E850" s="13"/>
      <c r="F850" s="18"/>
      <c r="G850" s="1"/>
      <c r="H850" s="60"/>
      <c r="I850" s="13"/>
      <c r="J850" s="5"/>
      <c r="K850" s="5"/>
      <c r="L850" s="4"/>
      <c r="M850" s="4"/>
      <c r="N850" s="1" t="s">
        <v>356</v>
      </c>
      <c r="O850" s="19">
        <v>3</v>
      </c>
      <c r="P850" s="3"/>
      <c r="Q850" s="4"/>
      <c r="R850" s="47"/>
      <c r="S850" s="13"/>
      <c r="T850" s="6"/>
      <c r="U850" s="17"/>
      <c r="V850" s="3"/>
      <c r="W850" s="4"/>
      <c r="X850" s="13"/>
      <c r="Y850" s="48"/>
      <c r="Z850" s="48"/>
      <c r="AA850" s="20"/>
      <c r="AB850" s="48"/>
      <c r="AC850" s="48"/>
      <c r="AD850" s="7"/>
      <c r="AE850" s="2"/>
      <c r="AF850" s="2"/>
      <c r="AG850" s="2"/>
    </row>
    <row r="851" spans="1:33" s="37" customFormat="1" ht="12.75" x14ac:dyDescent="0.2">
      <c r="A851" s="13">
        <f t="shared" si="19"/>
        <v>67</v>
      </c>
      <c r="B851" s="11"/>
      <c r="C851" s="138"/>
      <c r="D851" s="13"/>
      <c r="E851" s="13"/>
      <c r="F851" s="18"/>
      <c r="G851" s="1"/>
      <c r="H851" s="60"/>
      <c r="I851" s="13"/>
      <c r="J851" s="5"/>
      <c r="K851" s="5"/>
      <c r="L851" s="4"/>
      <c r="M851" s="4"/>
      <c r="N851" s="2"/>
      <c r="O851" s="2"/>
      <c r="P851" s="3"/>
      <c r="Q851" s="4"/>
      <c r="R851" s="47"/>
      <c r="S851" s="13"/>
      <c r="T851" s="6"/>
      <c r="U851" s="17"/>
      <c r="V851" s="3"/>
      <c r="W851" s="4"/>
      <c r="X851" s="13"/>
      <c r="Y851" s="48"/>
      <c r="Z851" s="48"/>
      <c r="AA851" s="20"/>
      <c r="AB851" s="48"/>
      <c r="AC851" s="48"/>
      <c r="AD851" s="7"/>
      <c r="AE851" s="2"/>
      <c r="AF851" s="2"/>
      <c r="AG851" s="2"/>
    </row>
    <row r="852" spans="1:33" s="37" customFormat="1" ht="12.75" x14ac:dyDescent="0.2">
      <c r="A852" s="13">
        <f t="shared" si="19"/>
        <v>67</v>
      </c>
      <c r="B852" s="11"/>
      <c r="C852" s="138"/>
      <c r="D852" s="13"/>
      <c r="E852" s="13"/>
      <c r="F852" s="18"/>
      <c r="G852" s="1"/>
      <c r="H852" s="60"/>
      <c r="I852" s="13"/>
      <c r="J852" s="5"/>
      <c r="K852" s="5"/>
      <c r="L852" s="4"/>
      <c r="M852" s="4"/>
      <c r="N852" s="2"/>
      <c r="O852" s="2"/>
      <c r="P852" s="3"/>
      <c r="Q852" s="4"/>
      <c r="R852" s="47"/>
      <c r="S852" s="13"/>
      <c r="T852" s="6"/>
      <c r="U852" s="17"/>
      <c r="V852" s="3"/>
      <c r="W852" s="4"/>
      <c r="X852" s="13"/>
      <c r="Y852" s="48"/>
      <c r="Z852" s="48"/>
      <c r="AA852" s="20"/>
      <c r="AB852" s="48"/>
      <c r="AC852" s="48"/>
      <c r="AD852" s="7"/>
      <c r="AE852" s="2"/>
      <c r="AF852" s="2"/>
      <c r="AG852" s="2"/>
    </row>
    <row r="853" spans="1:33" s="37" customFormat="1" ht="12.75" x14ac:dyDescent="0.2">
      <c r="A853" s="13">
        <f t="shared" si="19"/>
        <v>67</v>
      </c>
      <c r="B853" s="11"/>
      <c r="C853" s="138"/>
      <c r="D853" s="13"/>
      <c r="E853" s="13"/>
      <c r="F853" s="18"/>
      <c r="G853" s="1"/>
      <c r="H853" s="60"/>
      <c r="I853" s="13"/>
      <c r="J853" s="5"/>
      <c r="K853" s="5"/>
      <c r="L853" s="4"/>
      <c r="M853" s="4"/>
      <c r="N853" s="2"/>
      <c r="O853" s="2"/>
      <c r="P853" s="3"/>
      <c r="Q853" s="4"/>
      <c r="R853" s="47"/>
      <c r="S853" s="13"/>
      <c r="T853" s="6"/>
      <c r="U853" s="17"/>
      <c r="V853" s="3"/>
      <c r="W853" s="4"/>
      <c r="X853" s="13"/>
      <c r="Y853" s="48"/>
      <c r="Z853" s="48"/>
      <c r="AA853" s="20"/>
      <c r="AB853" s="48"/>
      <c r="AC853" s="48"/>
      <c r="AD853" s="7"/>
      <c r="AE853" s="2"/>
      <c r="AF853" s="2"/>
      <c r="AG853" s="2"/>
    </row>
    <row r="854" spans="1:33" s="37" customFormat="1" ht="12.75" x14ac:dyDescent="0.2">
      <c r="A854" s="13">
        <f t="shared" si="19"/>
        <v>67</v>
      </c>
      <c r="B854" s="11"/>
      <c r="C854" s="138"/>
      <c r="D854" s="13"/>
      <c r="E854" s="13"/>
      <c r="F854" s="18"/>
      <c r="G854" s="1"/>
      <c r="H854" s="60"/>
      <c r="I854" s="13"/>
      <c r="J854" s="5"/>
      <c r="K854" s="5"/>
      <c r="L854" s="4"/>
      <c r="M854" s="4"/>
      <c r="N854" s="2"/>
      <c r="O854" s="2"/>
      <c r="P854" s="3"/>
      <c r="Q854" s="4"/>
      <c r="R854" s="47"/>
      <c r="S854" s="13"/>
      <c r="T854" s="6"/>
      <c r="U854" s="17"/>
      <c r="V854" s="3"/>
      <c r="W854" s="4"/>
      <c r="X854" s="13"/>
      <c r="Y854" s="48"/>
      <c r="Z854" s="48"/>
      <c r="AA854" s="20"/>
      <c r="AB854" s="48"/>
      <c r="AC854" s="48"/>
      <c r="AD854" s="7"/>
      <c r="AE854" s="2"/>
      <c r="AF854" s="2"/>
      <c r="AG854" s="2"/>
    </row>
    <row r="855" spans="1:33" s="37" customFormat="1" ht="12.75" x14ac:dyDescent="0.2">
      <c r="A855" s="13">
        <f t="shared" si="19"/>
        <v>67</v>
      </c>
      <c r="B855" s="11"/>
      <c r="C855" s="138"/>
      <c r="D855" s="13"/>
      <c r="E855" s="13"/>
      <c r="F855" s="2"/>
      <c r="G855" s="1"/>
      <c r="H855" s="50"/>
      <c r="I855" s="51"/>
      <c r="J855" s="51"/>
      <c r="K855" s="51"/>
      <c r="L855" s="51"/>
      <c r="M855" s="51"/>
      <c r="N855" s="51"/>
      <c r="O855" s="51"/>
      <c r="P855" s="51"/>
      <c r="Q855" s="51"/>
      <c r="R855" s="2"/>
      <c r="S855" s="51"/>
      <c r="T855" s="51"/>
      <c r="U855" s="50"/>
      <c r="V855" s="51"/>
      <c r="W855" s="51"/>
      <c r="X855" s="50"/>
      <c r="Y855" s="50"/>
      <c r="Z855" s="50"/>
      <c r="AA855" s="257"/>
      <c r="AB855" s="50"/>
      <c r="AC855" s="50"/>
      <c r="AD855" s="51"/>
      <c r="AE855" s="51"/>
      <c r="AF855" s="51"/>
      <c r="AG855" s="2"/>
    </row>
    <row r="856" spans="1:33" s="37" customFormat="1" ht="12.75" x14ac:dyDescent="0.2">
      <c r="A856" s="13">
        <f t="shared" si="19"/>
        <v>67</v>
      </c>
      <c r="B856" s="11"/>
      <c r="C856" s="138"/>
      <c r="D856" s="13"/>
      <c r="E856" s="13"/>
      <c r="F856" s="18"/>
      <c r="G856" s="1"/>
      <c r="H856" s="60"/>
      <c r="I856" s="13"/>
      <c r="J856" s="5"/>
      <c r="K856" s="5"/>
      <c r="L856" s="4"/>
      <c r="M856" s="4"/>
      <c r="N856" s="1"/>
      <c r="O856" s="5"/>
      <c r="P856" s="3"/>
      <c r="Q856" s="4"/>
      <c r="R856" s="47"/>
      <c r="S856" s="13"/>
      <c r="T856" s="6"/>
      <c r="U856" s="17"/>
      <c r="V856" s="3"/>
      <c r="W856" s="4"/>
      <c r="X856" s="13"/>
      <c r="Y856" s="48"/>
      <c r="Z856" s="48"/>
      <c r="AA856" s="20"/>
      <c r="AB856" s="48"/>
      <c r="AC856" s="48"/>
      <c r="AD856" s="7"/>
      <c r="AE856" s="2"/>
      <c r="AF856" s="2"/>
      <c r="AG856" s="2"/>
    </row>
    <row r="857" spans="1:33" s="37" customFormat="1" ht="12.75" x14ac:dyDescent="0.2">
      <c r="A857" s="13">
        <f t="shared" si="19"/>
        <v>67</v>
      </c>
      <c r="B857" s="11"/>
      <c r="C857" s="138"/>
      <c r="D857" s="13"/>
      <c r="E857" s="13"/>
      <c r="F857" s="18"/>
      <c r="G857" s="1"/>
      <c r="H857" s="60"/>
      <c r="I857" s="13"/>
      <c r="J857" s="5"/>
      <c r="K857" s="5"/>
      <c r="L857" s="4"/>
      <c r="M857" s="4"/>
      <c r="N857" s="1"/>
      <c r="O857" s="5"/>
      <c r="P857" s="3"/>
      <c r="Q857" s="4"/>
      <c r="R857" s="47"/>
      <c r="S857" s="13"/>
      <c r="T857" s="6"/>
      <c r="U857" s="17"/>
      <c r="V857" s="3"/>
      <c r="W857" s="4"/>
      <c r="X857" s="13"/>
      <c r="Y857" s="48"/>
      <c r="Z857" s="48"/>
      <c r="AA857" s="20"/>
      <c r="AB857" s="48"/>
      <c r="AC857" s="48"/>
      <c r="AD857" s="7"/>
      <c r="AE857" s="2"/>
      <c r="AF857" s="2"/>
      <c r="AG857" s="2"/>
    </row>
    <row r="858" spans="1:33" s="37" customFormat="1" ht="12.75" x14ac:dyDescent="0.2">
      <c r="A858" s="13">
        <f t="shared" si="19"/>
        <v>67</v>
      </c>
      <c r="B858" s="11"/>
      <c r="C858" s="138"/>
      <c r="D858" s="13"/>
      <c r="E858" s="13"/>
      <c r="F858" s="18"/>
      <c r="G858" s="1"/>
      <c r="H858" s="60"/>
      <c r="I858" s="13"/>
      <c r="J858" s="5"/>
      <c r="K858" s="5"/>
      <c r="L858" s="4"/>
      <c r="M858" s="4"/>
      <c r="N858" s="1"/>
      <c r="O858" s="5"/>
      <c r="P858" s="3"/>
      <c r="Q858" s="4"/>
      <c r="R858" s="47"/>
      <c r="S858" s="13"/>
      <c r="T858" s="6"/>
      <c r="U858" s="17"/>
      <c r="V858" s="3"/>
      <c r="W858" s="4"/>
      <c r="X858" s="13"/>
      <c r="Y858" s="48"/>
      <c r="Z858" s="48"/>
      <c r="AA858" s="20"/>
      <c r="AB858" s="48"/>
      <c r="AC858" s="48"/>
      <c r="AD858" s="7"/>
      <c r="AE858" s="2"/>
      <c r="AF858" s="2"/>
      <c r="AG858" s="2"/>
    </row>
    <row r="859" spans="1:33" s="37" customFormat="1" ht="12.75" x14ac:dyDescent="0.2">
      <c r="A859" s="13">
        <f t="shared" si="19"/>
        <v>67</v>
      </c>
      <c r="B859" s="11"/>
      <c r="C859" s="1"/>
      <c r="D859" s="13"/>
      <c r="E859" s="13"/>
      <c r="F859" s="18"/>
      <c r="G859" s="1"/>
      <c r="H859" s="60"/>
      <c r="I859" s="13"/>
      <c r="J859" s="5"/>
      <c r="K859" s="5"/>
      <c r="L859" s="4"/>
      <c r="M859" s="4"/>
      <c r="N859" s="1"/>
      <c r="O859" s="5"/>
      <c r="P859" s="3"/>
      <c r="Q859" s="4"/>
      <c r="R859" s="47"/>
      <c r="S859" s="13"/>
      <c r="T859" s="6"/>
      <c r="U859" s="17"/>
      <c r="V859" s="3"/>
      <c r="W859" s="4"/>
      <c r="X859" s="13"/>
      <c r="Y859" s="48"/>
      <c r="Z859" s="48"/>
      <c r="AA859" s="20"/>
      <c r="AB859" s="48"/>
      <c r="AC859" s="48"/>
      <c r="AD859" s="7"/>
      <c r="AE859" s="2"/>
      <c r="AF859" s="2"/>
      <c r="AG859" s="2"/>
    </row>
    <row r="860" spans="1:33" s="37" customFormat="1" ht="30.75" customHeight="1" x14ac:dyDescent="0.2">
      <c r="A860" s="13">
        <f t="shared" si="19"/>
        <v>68</v>
      </c>
      <c r="B860" s="11">
        <v>68</v>
      </c>
      <c r="C860" s="21" t="s">
        <v>48</v>
      </c>
      <c r="D860" s="13">
        <v>1</v>
      </c>
      <c r="E860" s="13">
        <v>86</v>
      </c>
      <c r="F860" s="18">
        <v>62</v>
      </c>
      <c r="G860" s="1" t="s">
        <v>417</v>
      </c>
      <c r="H860" s="60">
        <v>1077.0999999999999</v>
      </c>
      <c r="I860" s="13"/>
      <c r="J860" s="5"/>
      <c r="K860" s="5"/>
      <c r="L860" s="4"/>
      <c r="M860" s="4"/>
      <c r="N860" s="145" t="s">
        <v>145</v>
      </c>
      <c r="O860" s="5">
        <v>2</v>
      </c>
      <c r="P860" s="3"/>
      <c r="Q860" s="4"/>
      <c r="R860" s="47" t="s">
        <v>1884</v>
      </c>
      <c r="S860" s="13" t="s">
        <v>53</v>
      </c>
      <c r="T860" s="6">
        <v>26.4</v>
      </c>
      <c r="U860" s="17"/>
      <c r="V860" s="3"/>
      <c r="W860" s="4"/>
      <c r="X860" s="13"/>
      <c r="Y860" s="48" t="s">
        <v>55</v>
      </c>
      <c r="Z860" s="48" t="s">
        <v>141</v>
      </c>
      <c r="AA860" s="20" t="s">
        <v>171</v>
      </c>
      <c r="AB860" s="48" t="s">
        <v>66</v>
      </c>
      <c r="AC860" s="48"/>
      <c r="AD860" s="7"/>
      <c r="AE860" s="1" t="s">
        <v>712</v>
      </c>
      <c r="AF860" s="1"/>
      <c r="AG860" s="1"/>
    </row>
    <row r="861" spans="1:33" s="37" customFormat="1" ht="30.75" customHeight="1" x14ac:dyDescent="0.2">
      <c r="A861" s="13">
        <f t="shared" si="19"/>
        <v>68</v>
      </c>
      <c r="B861" s="11"/>
      <c r="C861" s="1" t="s">
        <v>280</v>
      </c>
      <c r="D861" s="13"/>
      <c r="E861" s="13"/>
      <c r="F861" s="18"/>
      <c r="G861" s="1"/>
      <c r="H861" s="60"/>
      <c r="I861" s="13"/>
      <c r="J861" s="5"/>
      <c r="K861" s="5"/>
      <c r="L861" s="4"/>
      <c r="M861" s="4"/>
      <c r="N861" s="145" t="s">
        <v>77</v>
      </c>
      <c r="O861" s="5">
        <v>2</v>
      </c>
      <c r="P861" s="3"/>
      <c r="Q861" s="4"/>
      <c r="R861" s="47" t="s">
        <v>1748</v>
      </c>
      <c r="S861" s="13" t="s">
        <v>53</v>
      </c>
      <c r="T861" s="6">
        <v>7.2</v>
      </c>
      <c r="U861" s="17"/>
      <c r="V861" s="3"/>
      <c r="W861" s="4"/>
      <c r="X861" s="13"/>
      <c r="Y861" s="48"/>
      <c r="Z861" s="48"/>
      <c r="AA861" s="20"/>
      <c r="AB861" s="48"/>
      <c r="AC861" s="48"/>
      <c r="AD861" s="7"/>
      <c r="AE861" s="1" t="s">
        <v>611</v>
      </c>
      <c r="AF861" s="1"/>
      <c r="AG861" s="1"/>
    </row>
    <row r="862" spans="1:33" s="37" customFormat="1" ht="51.75" customHeight="1" x14ac:dyDescent="0.2">
      <c r="A862" s="13">
        <f t="shared" si="19"/>
        <v>68</v>
      </c>
      <c r="B862" s="11"/>
      <c r="C862" s="145" t="s">
        <v>713</v>
      </c>
      <c r="D862" s="13"/>
      <c r="E862" s="13"/>
      <c r="F862" s="18"/>
      <c r="G862" s="1"/>
      <c r="H862" s="60"/>
      <c r="I862" s="13"/>
      <c r="J862" s="5"/>
      <c r="K862" s="5"/>
      <c r="L862" s="4"/>
      <c r="M862" s="4"/>
      <c r="N862" s="145" t="s">
        <v>79</v>
      </c>
      <c r="O862" s="5">
        <v>1</v>
      </c>
      <c r="P862" s="3"/>
      <c r="Q862" s="4"/>
      <c r="R862" s="47" t="s">
        <v>1901</v>
      </c>
      <c r="S862" s="13" t="s">
        <v>53</v>
      </c>
      <c r="T862" s="6">
        <v>50.22</v>
      </c>
      <c r="U862" s="17"/>
      <c r="V862" s="3"/>
      <c r="W862" s="4"/>
      <c r="X862" s="13"/>
      <c r="Y862" s="48"/>
      <c r="Z862" s="48"/>
      <c r="AA862" s="20"/>
      <c r="AB862" s="48"/>
      <c r="AC862" s="48"/>
      <c r="AD862" s="7"/>
      <c r="AE862" s="2" t="s">
        <v>398</v>
      </c>
      <c r="AF862" s="2"/>
      <c r="AG862" s="2"/>
    </row>
    <row r="863" spans="1:33" s="37" customFormat="1" ht="33" customHeight="1" x14ac:dyDescent="0.2">
      <c r="A863" s="13">
        <f t="shared" si="19"/>
        <v>68</v>
      </c>
      <c r="B863" s="11"/>
      <c r="C863" s="1"/>
      <c r="D863" s="13"/>
      <c r="E863" s="133"/>
      <c r="F863" s="133"/>
      <c r="G863" s="84"/>
      <c r="H863" s="60"/>
      <c r="I863" s="13"/>
      <c r="J863" s="3"/>
      <c r="K863" s="3"/>
      <c r="L863" s="3"/>
      <c r="M863" s="3"/>
      <c r="N863" s="82" t="s">
        <v>67</v>
      </c>
      <c r="O863" s="156">
        <v>1</v>
      </c>
      <c r="P863" s="3"/>
      <c r="Q863" s="4"/>
      <c r="R863" s="82"/>
      <c r="S863" s="87"/>
      <c r="T863" s="6"/>
      <c r="U863" s="17"/>
      <c r="V863" s="3"/>
      <c r="W863" s="4"/>
      <c r="X863" s="13"/>
      <c r="Y863" s="48"/>
      <c r="Z863" s="48"/>
      <c r="AA863" s="20"/>
      <c r="AB863" s="48"/>
      <c r="AC863" s="48"/>
      <c r="AD863" s="7"/>
      <c r="AE863" s="1" t="s">
        <v>1684</v>
      </c>
      <c r="AF863" s="1"/>
      <c r="AG863" s="2"/>
    </row>
    <row r="864" spans="1:33" s="37" customFormat="1" ht="18.75" customHeight="1" x14ac:dyDescent="0.2">
      <c r="A864" s="13">
        <f t="shared" si="19"/>
        <v>68</v>
      </c>
      <c r="B864" s="11"/>
      <c r="C864" s="1"/>
      <c r="D864" s="13"/>
      <c r="E864" s="13"/>
      <c r="F864" s="18"/>
      <c r="G864" s="1"/>
      <c r="H864" s="60"/>
      <c r="I864" s="13"/>
      <c r="J864" s="5"/>
      <c r="K864" s="5"/>
      <c r="L864" s="4"/>
      <c r="M864" s="4"/>
      <c r="N864" s="1" t="s">
        <v>738</v>
      </c>
      <c r="O864" s="5">
        <v>2</v>
      </c>
      <c r="P864" s="3"/>
      <c r="Q864" s="4"/>
      <c r="R864" s="47"/>
      <c r="S864" s="13"/>
      <c r="T864" s="6"/>
      <c r="U864" s="17"/>
      <c r="V864" s="3"/>
      <c r="W864" s="4"/>
      <c r="X864" s="13"/>
      <c r="Y864" s="48"/>
      <c r="Z864" s="48"/>
      <c r="AA864" s="20"/>
      <c r="AB864" s="48"/>
      <c r="AC864" s="48"/>
      <c r="AD864" s="7"/>
      <c r="AE864" s="2"/>
      <c r="AF864" s="2"/>
      <c r="AG864" s="2"/>
    </row>
    <row r="865" spans="1:33" s="37" customFormat="1" ht="18.75" customHeight="1" x14ac:dyDescent="0.2">
      <c r="A865" s="13">
        <f t="shared" si="19"/>
        <v>68</v>
      </c>
      <c r="B865" s="11"/>
      <c r="C865" s="1"/>
      <c r="D865" s="13"/>
      <c r="E865" s="13"/>
      <c r="F865" s="18"/>
      <c r="G865" s="1"/>
      <c r="H865" s="60"/>
      <c r="I865" s="13"/>
      <c r="J865" s="5"/>
      <c r="K865" s="5"/>
      <c r="L865" s="4"/>
      <c r="M865" s="4"/>
      <c r="N865" s="1" t="s">
        <v>401</v>
      </c>
      <c r="O865" s="5">
        <v>39</v>
      </c>
      <c r="P865" s="3"/>
      <c r="Q865" s="4"/>
      <c r="R865" s="47"/>
      <c r="S865" s="13"/>
      <c r="T865" s="6"/>
      <c r="U865" s="17"/>
      <c r="V865" s="3"/>
      <c r="W865" s="4"/>
      <c r="X865" s="13"/>
      <c r="Y865" s="48"/>
      <c r="Z865" s="48"/>
      <c r="AA865" s="20"/>
      <c r="AB865" s="48"/>
      <c r="AC865" s="48"/>
      <c r="AD865" s="7"/>
      <c r="AE865" s="2"/>
      <c r="AF865" s="2"/>
      <c r="AG865" s="2"/>
    </row>
    <row r="866" spans="1:33" s="37" customFormat="1" ht="18.75" customHeight="1" x14ac:dyDescent="0.2">
      <c r="A866" s="13">
        <f t="shared" si="19"/>
        <v>68</v>
      </c>
      <c r="B866" s="11"/>
      <c r="C866" s="92"/>
      <c r="D866" s="13"/>
      <c r="E866" s="133"/>
      <c r="F866" s="133"/>
      <c r="G866" s="84"/>
      <c r="H866" s="60"/>
      <c r="I866" s="13"/>
      <c r="J866" s="3"/>
      <c r="K866" s="3"/>
      <c r="L866" s="3"/>
      <c r="M866" s="3"/>
      <c r="N866" s="82" t="s">
        <v>72</v>
      </c>
      <c r="O866" s="156">
        <v>19</v>
      </c>
      <c r="P866" s="3"/>
      <c r="Q866" s="4"/>
      <c r="R866" s="47"/>
      <c r="S866" s="87"/>
      <c r="T866" s="6"/>
      <c r="U866" s="17"/>
      <c r="V866" s="3"/>
      <c r="W866" s="4"/>
      <c r="X866" s="13"/>
      <c r="Y866" s="48"/>
      <c r="Z866" s="48"/>
      <c r="AA866" s="20"/>
      <c r="AB866" s="48"/>
      <c r="AC866" s="48"/>
      <c r="AD866" s="7"/>
      <c r="AE866" s="2"/>
      <c r="AF866" s="2"/>
      <c r="AG866" s="2"/>
    </row>
    <row r="867" spans="1:33" s="37" customFormat="1" ht="18.75" customHeight="1" x14ac:dyDescent="0.2">
      <c r="A867" s="13">
        <f t="shared" si="19"/>
        <v>68</v>
      </c>
      <c r="B867" s="11"/>
      <c r="C867" s="82"/>
      <c r="D867" s="13"/>
      <c r="E867" s="87"/>
      <c r="F867" s="87"/>
      <c r="G867" s="84"/>
      <c r="H867" s="60"/>
      <c r="I867" s="13"/>
      <c r="J867" s="3"/>
      <c r="K867" s="3"/>
      <c r="L867" s="3"/>
      <c r="M867" s="3"/>
      <c r="N867" s="82" t="s">
        <v>75</v>
      </c>
      <c r="O867" s="156">
        <v>15</v>
      </c>
      <c r="P867" s="3"/>
      <c r="Q867" s="4"/>
      <c r="R867" s="47"/>
      <c r="S867" s="87"/>
      <c r="T867" s="6"/>
      <c r="U867" s="17"/>
      <c r="V867" s="3"/>
      <c r="W867" s="4"/>
      <c r="X867" s="13"/>
      <c r="Y867" s="48"/>
      <c r="Z867" s="48"/>
      <c r="AA867" s="20"/>
      <c r="AB867" s="48"/>
      <c r="AC867" s="48"/>
      <c r="AD867" s="7"/>
      <c r="AE867" s="2"/>
      <c r="AF867" s="2"/>
      <c r="AG867" s="2"/>
    </row>
    <row r="868" spans="1:33" s="37" customFormat="1" ht="18.75" customHeight="1" x14ac:dyDescent="0.2">
      <c r="A868" s="13">
        <f t="shared" si="19"/>
        <v>68</v>
      </c>
      <c r="B868" s="11"/>
      <c r="C868" s="82"/>
      <c r="D868" s="13"/>
      <c r="E868" s="133"/>
      <c r="F868" s="133"/>
      <c r="G868" s="84"/>
      <c r="H868" s="60"/>
      <c r="I868" s="13"/>
      <c r="J868" s="3"/>
      <c r="K868" s="3"/>
      <c r="L868" s="3"/>
      <c r="M868" s="3"/>
      <c r="N868" s="82" t="s">
        <v>187</v>
      </c>
      <c r="O868" s="156">
        <v>97</v>
      </c>
      <c r="P868" s="3"/>
      <c r="Q868" s="4"/>
      <c r="R868" s="47"/>
      <c r="S868" s="87"/>
      <c r="T868" s="6"/>
      <c r="U868" s="17"/>
      <c r="V868" s="3"/>
      <c r="W868" s="4"/>
      <c r="X868" s="13"/>
      <c r="Y868" s="48"/>
      <c r="Z868" s="48"/>
      <c r="AA868" s="20"/>
      <c r="AB868" s="48"/>
      <c r="AC868" s="48"/>
      <c r="AD868" s="7"/>
      <c r="AE868" s="2"/>
      <c r="AF868" s="2"/>
      <c r="AG868" s="2"/>
    </row>
    <row r="869" spans="1:33" s="37" customFormat="1" ht="18.75" customHeight="1" x14ac:dyDescent="0.2">
      <c r="A869" s="13">
        <f t="shared" si="19"/>
        <v>68</v>
      </c>
      <c r="B869" s="11"/>
      <c r="C869" s="1"/>
      <c r="D869" s="13"/>
      <c r="E869" s="133"/>
      <c r="F869" s="133"/>
      <c r="G869" s="84"/>
      <c r="H869" s="60"/>
      <c r="I869" s="13"/>
      <c r="J869" s="3"/>
      <c r="K869" s="3"/>
      <c r="L869" s="3"/>
      <c r="M869" s="3"/>
      <c r="N869" s="82" t="s">
        <v>353</v>
      </c>
      <c r="O869" s="156">
        <v>149</v>
      </c>
      <c r="P869" s="3"/>
      <c r="Q869" s="4"/>
      <c r="R869" s="47"/>
      <c r="S869" s="87"/>
      <c r="T869" s="6"/>
      <c r="U869" s="17"/>
      <c r="V869" s="3"/>
      <c r="W869" s="4"/>
      <c r="X869" s="13"/>
      <c r="Y869" s="48"/>
      <c r="Z869" s="48"/>
      <c r="AA869" s="20"/>
      <c r="AB869" s="48"/>
      <c r="AC869" s="48"/>
      <c r="AD869" s="7"/>
      <c r="AE869" s="2"/>
      <c r="AF869" s="2"/>
      <c r="AG869" s="2"/>
    </row>
    <row r="870" spans="1:33" s="37" customFormat="1" ht="18.75" customHeight="1" x14ac:dyDescent="0.2">
      <c r="A870" s="13">
        <f t="shared" si="19"/>
        <v>68</v>
      </c>
      <c r="B870" s="11"/>
      <c r="C870" s="1"/>
      <c r="D870" s="13"/>
      <c r="E870" s="13"/>
      <c r="F870" s="18"/>
      <c r="G870" s="1"/>
      <c r="H870" s="60"/>
      <c r="I870" s="13"/>
      <c r="J870" s="5"/>
      <c r="K870" s="5"/>
      <c r="L870" s="4"/>
      <c r="M870" s="4"/>
      <c r="N870" s="1" t="s">
        <v>785</v>
      </c>
      <c r="O870" s="4">
        <v>227</v>
      </c>
      <c r="P870" s="3"/>
      <c r="Q870" s="4"/>
      <c r="R870" s="47"/>
      <c r="S870" s="13"/>
      <c r="T870" s="6"/>
      <c r="U870" s="17"/>
      <c r="V870" s="3"/>
      <c r="W870" s="4"/>
      <c r="X870" s="13"/>
      <c r="Y870" s="48"/>
      <c r="Z870" s="48"/>
      <c r="AA870" s="20"/>
      <c r="AB870" s="48"/>
      <c r="AC870" s="48"/>
      <c r="AD870" s="7"/>
      <c r="AE870" s="2"/>
      <c r="AF870" s="2"/>
      <c r="AG870" s="2"/>
    </row>
    <row r="871" spans="1:33" s="37" customFormat="1" ht="12.75" x14ac:dyDescent="0.2">
      <c r="A871" s="13">
        <f t="shared" si="19"/>
        <v>68</v>
      </c>
      <c r="B871" s="11"/>
      <c r="C871" s="1"/>
      <c r="D871" s="13"/>
      <c r="E871" s="13"/>
      <c r="F871" s="2"/>
      <c r="G871" s="1"/>
      <c r="H871" s="50"/>
      <c r="I871" s="51"/>
      <c r="J871" s="51"/>
      <c r="K871" s="51"/>
      <c r="L871" s="51"/>
      <c r="M871" s="51"/>
      <c r="N871" s="51"/>
      <c r="O871" s="51"/>
      <c r="P871" s="51"/>
      <c r="Q871" s="51"/>
      <c r="R871" s="2"/>
      <c r="S871" s="51"/>
      <c r="T871" s="51"/>
      <c r="U871" s="50"/>
      <c r="V871" s="51"/>
      <c r="W871" s="51"/>
      <c r="X871" s="50"/>
      <c r="Y871" s="50"/>
      <c r="Z871" s="50"/>
      <c r="AA871" s="257"/>
      <c r="AB871" s="50"/>
      <c r="AC871" s="50"/>
      <c r="AD871" s="51"/>
      <c r="AE871" s="51"/>
      <c r="AF871" s="51"/>
      <c r="AG871" s="2"/>
    </row>
    <row r="872" spans="1:33" s="37" customFormat="1" ht="12.75" x14ac:dyDescent="0.2">
      <c r="A872" s="13">
        <f t="shared" si="19"/>
        <v>68</v>
      </c>
      <c r="B872" s="11"/>
      <c r="C872" s="92"/>
      <c r="D872" s="13"/>
      <c r="E872" s="13"/>
      <c r="F872" s="18"/>
      <c r="G872" s="1"/>
      <c r="H872" s="60"/>
      <c r="I872" s="13"/>
      <c r="J872" s="5"/>
      <c r="K872" s="5"/>
      <c r="L872" s="4"/>
      <c r="M872" s="4"/>
      <c r="N872" s="1"/>
      <c r="O872" s="5"/>
      <c r="P872" s="3"/>
      <c r="Q872" s="4"/>
      <c r="R872" s="47"/>
      <c r="S872" s="13"/>
      <c r="T872" s="6"/>
      <c r="U872" s="17"/>
      <c r="V872" s="3"/>
      <c r="W872" s="4"/>
      <c r="X872" s="13"/>
      <c r="Y872" s="48"/>
      <c r="Z872" s="48"/>
      <c r="AA872" s="20"/>
      <c r="AB872" s="48"/>
      <c r="AC872" s="48"/>
      <c r="AD872" s="7"/>
      <c r="AE872" s="2"/>
      <c r="AF872" s="2"/>
      <c r="AG872" s="2"/>
    </row>
    <row r="873" spans="1:33" s="37" customFormat="1" ht="12.75" x14ac:dyDescent="0.2">
      <c r="A873" s="13">
        <f t="shared" si="19"/>
        <v>68</v>
      </c>
      <c r="B873" s="11"/>
      <c r="C873" s="82"/>
      <c r="D873" s="13"/>
      <c r="E873" s="133"/>
      <c r="F873" s="133"/>
      <c r="G873" s="84"/>
      <c r="H873" s="60"/>
      <c r="I873" s="50"/>
      <c r="J873" s="3"/>
      <c r="K873" s="3"/>
      <c r="L873" s="3"/>
      <c r="M873" s="3"/>
      <c r="N873" s="82"/>
      <c r="O873" s="157"/>
      <c r="P873" s="3"/>
      <c r="Q873" s="4"/>
      <c r="R873" s="47"/>
      <c r="S873" s="87"/>
      <c r="T873" s="6"/>
      <c r="U873" s="129"/>
      <c r="V873" s="3"/>
      <c r="W873" s="4"/>
      <c r="X873" s="13"/>
      <c r="Y873" s="48"/>
      <c r="Z873" s="48"/>
      <c r="AA873" s="20"/>
      <c r="AB873" s="48"/>
      <c r="AC873" s="48"/>
      <c r="AD873" s="7"/>
      <c r="AE873" s="2"/>
      <c r="AF873" s="2"/>
      <c r="AG873" s="2"/>
    </row>
    <row r="874" spans="1:33" s="37" customFormat="1" ht="12.75" x14ac:dyDescent="0.2">
      <c r="A874" s="13">
        <f t="shared" si="19"/>
        <v>68</v>
      </c>
      <c r="B874" s="11"/>
      <c r="C874" s="82"/>
      <c r="D874" s="13"/>
      <c r="E874" s="87"/>
      <c r="F874" s="87"/>
      <c r="G874" s="47"/>
      <c r="H874" s="60"/>
      <c r="I874" s="50"/>
      <c r="J874" s="3"/>
      <c r="K874" s="3"/>
      <c r="L874" s="3"/>
      <c r="M874" s="3"/>
      <c r="N874" s="82"/>
      <c r="O874" s="157"/>
      <c r="P874" s="3"/>
      <c r="Q874" s="4"/>
      <c r="R874" s="47"/>
      <c r="S874" s="87"/>
      <c r="T874" s="6"/>
      <c r="U874" s="129"/>
      <c r="V874" s="3"/>
      <c r="W874" s="4"/>
      <c r="X874" s="13"/>
      <c r="Y874" s="48"/>
      <c r="Z874" s="48"/>
      <c r="AA874" s="20"/>
      <c r="AB874" s="48"/>
      <c r="AC874" s="48"/>
      <c r="AD874" s="7"/>
      <c r="AE874" s="2"/>
      <c r="AF874" s="2"/>
      <c r="AG874" s="2"/>
    </row>
    <row r="875" spans="1:33" s="37" customFormat="1" ht="12.75" x14ac:dyDescent="0.2">
      <c r="A875" s="13">
        <f t="shared" si="19"/>
        <v>68</v>
      </c>
      <c r="B875" s="11"/>
      <c r="C875" s="1"/>
      <c r="D875" s="13"/>
      <c r="E875" s="133"/>
      <c r="F875" s="133"/>
      <c r="G875" s="84"/>
      <c r="H875" s="60"/>
      <c r="I875" s="50"/>
      <c r="J875" s="3"/>
      <c r="K875" s="3"/>
      <c r="L875" s="3"/>
      <c r="M875" s="3"/>
      <c r="N875" s="82"/>
      <c r="O875" s="157"/>
      <c r="P875" s="3"/>
      <c r="Q875" s="4"/>
      <c r="R875" s="47"/>
      <c r="S875" s="87"/>
      <c r="T875" s="6"/>
      <c r="U875" s="129"/>
      <c r="V875" s="3"/>
      <c r="W875" s="4"/>
      <c r="X875" s="13"/>
      <c r="Y875" s="48"/>
      <c r="Z875" s="48"/>
      <c r="AA875" s="20"/>
      <c r="AB875" s="48"/>
      <c r="AC875" s="48"/>
      <c r="AD875" s="7"/>
      <c r="AE875" s="2"/>
      <c r="AF875" s="2"/>
      <c r="AG875" s="2"/>
    </row>
    <row r="876" spans="1:33" s="37" customFormat="1" ht="32.25" customHeight="1" x14ac:dyDescent="0.2">
      <c r="A876" s="13">
        <f t="shared" si="19"/>
        <v>69</v>
      </c>
      <c r="B876" s="11">
        <v>69</v>
      </c>
      <c r="C876" s="21" t="s">
        <v>49</v>
      </c>
      <c r="D876" s="13">
        <v>1</v>
      </c>
      <c r="E876" s="13">
        <v>86</v>
      </c>
      <c r="F876" s="18">
        <v>633</v>
      </c>
      <c r="G876" s="1" t="s">
        <v>417</v>
      </c>
      <c r="H876" s="60">
        <v>500.7</v>
      </c>
      <c r="I876" s="13"/>
      <c r="J876" s="5"/>
      <c r="K876" s="5"/>
      <c r="L876" s="4"/>
      <c r="M876" s="4"/>
      <c r="N876" s="1"/>
      <c r="O876" s="5"/>
      <c r="P876" s="3"/>
      <c r="Q876" s="4"/>
      <c r="R876" s="47" t="s">
        <v>1884</v>
      </c>
      <c r="S876" s="13" t="s">
        <v>53</v>
      </c>
      <c r="T876" s="6">
        <v>26.4</v>
      </c>
      <c r="U876" s="17"/>
      <c r="V876" s="3"/>
      <c r="W876" s="4"/>
      <c r="X876" s="13"/>
      <c r="Y876" s="48" t="s">
        <v>55</v>
      </c>
      <c r="Z876" s="48" t="s">
        <v>141</v>
      </c>
      <c r="AA876" s="20" t="s">
        <v>171</v>
      </c>
      <c r="AB876" s="48" t="s">
        <v>66</v>
      </c>
      <c r="AC876" s="48"/>
      <c r="AD876" s="7"/>
      <c r="AE876" s="1" t="s">
        <v>1719</v>
      </c>
      <c r="AF876" s="1"/>
      <c r="AG876" s="1"/>
    </row>
    <row r="877" spans="1:33" s="37" customFormat="1" ht="40.5" customHeight="1" x14ac:dyDescent="0.2">
      <c r="A877" s="13">
        <f t="shared" si="19"/>
        <v>69</v>
      </c>
      <c r="B877" s="11"/>
      <c r="C877" s="144" t="s">
        <v>281</v>
      </c>
      <c r="D877" s="13"/>
      <c r="E877" s="13"/>
      <c r="F877" s="18"/>
      <c r="G877" s="1"/>
      <c r="H877" s="60"/>
      <c r="I877" s="13"/>
      <c r="J877" s="5"/>
      <c r="K877" s="5"/>
      <c r="L877" s="4"/>
      <c r="M877" s="4"/>
      <c r="N877" s="145"/>
      <c r="O877" s="5"/>
      <c r="P877" s="146"/>
      <c r="Q877" s="146"/>
      <c r="R877" s="47" t="s">
        <v>1748</v>
      </c>
      <c r="S877" s="147" t="s">
        <v>53</v>
      </c>
      <c r="T877" s="6">
        <v>7.2</v>
      </c>
      <c r="U877" s="17"/>
      <c r="V877" s="3"/>
      <c r="W877" s="4"/>
      <c r="X877" s="13"/>
      <c r="Y877" s="48"/>
      <c r="Z877" s="48"/>
      <c r="AA877" s="20"/>
      <c r="AB877" s="48"/>
      <c r="AC877" s="48"/>
      <c r="AD877" s="7"/>
      <c r="AE877" s="1" t="s">
        <v>612</v>
      </c>
      <c r="AF877" s="1"/>
      <c r="AG877" s="1"/>
    </row>
    <row r="878" spans="1:33" s="37" customFormat="1" ht="49.5" customHeight="1" x14ac:dyDescent="0.2">
      <c r="A878" s="13">
        <f t="shared" si="19"/>
        <v>69</v>
      </c>
      <c r="B878" s="11"/>
      <c r="C878" s="145" t="s">
        <v>714</v>
      </c>
      <c r="D878" s="13"/>
      <c r="E878" s="13"/>
      <c r="F878" s="18"/>
      <c r="G878" s="1"/>
      <c r="H878" s="60"/>
      <c r="I878" s="13"/>
      <c r="J878" s="5"/>
      <c r="K878" s="5"/>
      <c r="L878" s="4"/>
      <c r="M878" s="4"/>
      <c r="N878" s="145"/>
      <c r="O878" s="5"/>
      <c r="P878" s="146"/>
      <c r="Q878" s="146"/>
      <c r="R878" s="145" t="s">
        <v>1901</v>
      </c>
      <c r="S878" s="147" t="s">
        <v>53</v>
      </c>
      <c r="T878" s="6">
        <v>95.04</v>
      </c>
      <c r="U878" s="17"/>
      <c r="V878" s="3"/>
      <c r="W878" s="4"/>
      <c r="X878" s="13"/>
      <c r="Y878" s="48"/>
      <c r="Z878" s="48"/>
      <c r="AA878" s="20"/>
      <c r="AB878" s="48"/>
      <c r="AC878" s="48"/>
      <c r="AD878" s="7"/>
      <c r="AE878" s="2" t="s">
        <v>398</v>
      </c>
      <c r="AF878" s="2"/>
      <c r="AG878" s="2"/>
    </row>
    <row r="879" spans="1:33" s="37" customFormat="1" ht="18.75" x14ac:dyDescent="0.2">
      <c r="A879" s="13">
        <f t="shared" si="19"/>
        <v>69</v>
      </c>
      <c r="B879" s="11"/>
      <c r="C879" s="144"/>
      <c r="D879" s="13"/>
      <c r="E879" s="133"/>
      <c r="F879" s="133"/>
      <c r="G879" s="84"/>
      <c r="H879" s="60"/>
      <c r="I879" s="53"/>
      <c r="J879" s="3"/>
      <c r="K879" s="3"/>
      <c r="L879" s="3"/>
      <c r="M879" s="3"/>
      <c r="N879" s="82"/>
      <c r="O879" s="157"/>
      <c r="P879" s="3"/>
      <c r="Q879" s="4"/>
      <c r="R879" s="47"/>
      <c r="S879" s="87"/>
      <c r="T879" s="6"/>
      <c r="U879" s="129"/>
      <c r="V879" s="3"/>
      <c r="W879" s="4"/>
      <c r="X879" s="13"/>
      <c r="Y879" s="48"/>
      <c r="Z879" s="48"/>
      <c r="AA879" s="20"/>
      <c r="AB879" s="48"/>
      <c r="AC879" s="48"/>
      <c r="AD879" s="7"/>
      <c r="AE879" s="2" t="s">
        <v>404</v>
      </c>
      <c r="AF879" s="2"/>
      <c r="AG879" s="2"/>
    </row>
    <row r="880" spans="1:33" s="37" customFormat="1" ht="12.75" x14ac:dyDescent="0.2">
      <c r="A880" s="13">
        <f t="shared" si="19"/>
        <v>69</v>
      </c>
      <c r="B880" s="11"/>
      <c r="C880" s="1"/>
      <c r="D880" s="13"/>
      <c r="E880" s="13"/>
      <c r="F880" s="2"/>
      <c r="G880" s="1"/>
      <c r="H880" s="50"/>
      <c r="I880" s="51"/>
      <c r="J880" s="51"/>
      <c r="K880" s="51"/>
      <c r="L880" s="51"/>
      <c r="M880" s="51"/>
      <c r="N880" s="51"/>
      <c r="O880" s="51"/>
      <c r="P880" s="51"/>
      <c r="Q880" s="51"/>
      <c r="R880" s="2"/>
      <c r="S880" s="51"/>
      <c r="T880" s="51"/>
      <c r="U880" s="50"/>
      <c r="V880" s="51"/>
      <c r="W880" s="51"/>
      <c r="X880" s="50"/>
      <c r="Y880" s="50"/>
      <c r="Z880" s="50"/>
      <c r="AA880" s="257"/>
      <c r="AB880" s="50"/>
      <c r="AC880" s="50"/>
      <c r="AD880" s="51"/>
      <c r="AE880" s="51"/>
      <c r="AF880" s="51"/>
      <c r="AG880" s="2"/>
    </row>
    <row r="881" spans="1:33" s="37" customFormat="1" ht="18.75" x14ac:dyDescent="0.2">
      <c r="A881" s="13">
        <f t="shared" si="19"/>
        <v>69</v>
      </c>
      <c r="B881" s="11"/>
      <c r="C881" s="1"/>
      <c r="D881" s="13"/>
      <c r="E881" s="133"/>
      <c r="F881" s="133"/>
      <c r="G881" s="84"/>
      <c r="H881" s="60"/>
      <c r="I881" s="53"/>
      <c r="J881" s="3"/>
      <c r="K881" s="3"/>
      <c r="L881" s="3"/>
      <c r="M881" s="3"/>
      <c r="N881" s="82"/>
      <c r="O881" s="157"/>
      <c r="P881" s="3"/>
      <c r="Q881" s="4"/>
      <c r="R881" s="47"/>
      <c r="S881" s="87"/>
      <c r="T881" s="6"/>
      <c r="U881" s="129"/>
      <c r="V881" s="3"/>
      <c r="W881" s="4"/>
      <c r="X881" s="13"/>
      <c r="Y881" s="48"/>
      <c r="Z881" s="48"/>
      <c r="AA881" s="20"/>
      <c r="AB881" s="48"/>
      <c r="AC881" s="48"/>
      <c r="AD881" s="7"/>
      <c r="AE881" s="2"/>
      <c r="AF881" s="2"/>
      <c r="AG881" s="2"/>
    </row>
    <row r="882" spans="1:33" s="37" customFormat="1" ht="18.75" x14ac:dyDescent="0.2">
      <c r="A882" s="13">
        <f t="shared" si="19"/>
        <v>69</v>
      </c>
      <c r="B882" s="11"/>
      <c r="C882" s="1"/>
      <c r="D882" s="13"/>
      <c r="E882" s="133"/>
      <c r="F882" s="133"/>
      <c r="G882" s="84"/>
      <c r="H882" s="60"/>
      <c r="I882" s="53"/>
      <c r="J882" s="3"/>
      <c r="K882" s="3"/>
      <c r="L882" s="3"/>
      <c r="M882" s="3"/>
      <c r="N882" s="82"/>
      <c r="O882" s="157"/>
      <c r="P882" s="3"/>
      <c r="Q882" s="4"/>
      <c r="R882" s="47"/>
      <c r="S882" s="87"/>
      <c r="T882" s="6"/>
      <c r="U882" s="129"/>
      <c r="V882" s="3"/>
      <c r="W882" s="4"/>
      <c r="X882" s="13"/>
      <c r="Y882" s="48"/>
      <c r="Z882" s="48"/>
      <c r="AA882" s="20"/>
      <c r="AB882" s="48"/>
      <c r="AC882" s="48"/>
      <c r="AD882" s="7"/>
      <c r="AE882" s="2"/>
      <c r="AF882" s="2"/>
      <c r="AG882" s="2"/>
    </row>
    <row r="883" spans="1:33" s="37" customFormat="1" ht="18.75" x14ac:dyDescent="0.2">
      <c r="A883" s="13">
        <f t="shared" si="19"/>
        <v>69</v>
      </c>
      <c r="B883" s="11"/>
      <c r="C883" s="1"/>
      <c r="D883" s="13"/>
      <c r="E883" s="133"/>
      <c r="F883" s="133"/>
      <c r="G883" s="84"/>
      <c r="H883" s="60"/>
      <c r="I883" s="53"/>
      <c r="J883" s="3"/>
      <c r="K883" s="3"/>
      <c r="L883" s="3"/>
      <c r="M883" s="3"/>
      <c r="N883" s="82"/>
      <c r="O883" s="157"/>
      <c r="P883" s="3"/>
      <c r="Q883" s="4"/>
      <c r="R883" s="47"/>
      <c r="S883" s="87"/>
      <c r="T883" s="6"/>
      <c r="U883" s="129"/>
      <c r="V883" s="3"/>
      <c r="W883" s="4"/>
      <c r="X883" s="13"/>
      <c r="Y883" s="48"/>
      <c r="Z883" s="48"/>
      <c r="AA883" s="20"/>
      <c r="AB883" s="48"/>
      <c r="AC883" s="48"/>
      <c r="AD883" s="7"/>
      <c r="AE883" s="2"/>
      <c r="AF883" s="2"/>
      <c r="AG883" s="2"/>
    </row>
    <row r="884" spans="1:33" s="37" customFormat="1" ht="12.75" x14ac:dyDescent="0.2">
      <c r="A884" s="13">
        <f t="shared" si="19"/>
        <v>69</v>
      </c>
      <c r="B884" s="11"/>
      <c r="C884" s="1"/>
      <c r="D884" s="13"/>
      <c r="E884" s="13"/>
      <c r="F884" s="18"/>
      <c r="G884" s="1"/>
      <c r="H884" s="60"/>
      <c r="I884" s="13"/>
      <c r="J884" s="5"/>
      <c r="K884" s="5"/>
      <c r="L884" s="4"/>
      <c r="M884" s="4"/>
      <c r="N884" s="1"/>
      <c r="O884" s="5"/>
      <c r="P884" s="3"/>
      <c r="Q884" s="4"/>
      <c r="R884" s="47"/>
      <c r="S884" s="13"/>
      <c r="T884" s="6"/>
      <c r="U884" s="17"/>
      <c r="V884" s="3"/>
      <c r="W884" s="4"/>
      <c r="X884" s="13"/>
      <c r="Y884" s="48"/>
      <c r="Z884" s="48"/>
      <c r="AA884" s="20"/>
      <c r="AB884" s="48"/>
      <c r="AC884" s="48"/>
      <c r="AD884" s="7"/>
      <c r="AE884" s="2"/>
      <c r="AF884" s="2"/>
      <c r="AG884" s="2"/>
    </row>
    <row r="885" spans="1:33" s="37" customFormat="1" ht="12.75" x14ac:dyDescent="0.2">
      <c r="A885" s="13">
        <f t="shared" si="19"/>
        <v>69</v>
      </c>
      <c r="B885" s="11"/>
      <c r="C885" s="92"/>
      <c r="D885" s="13"/>
      <c r="E885" s="13"/>
      <c r="F885" s="18"/>
      <c r="G885" s="1"/>
      <c r="H885" s="60"/>
      <c r="I885" s="13"/>
      <c r="J885" s="5"/>
      <c r="K885" s="5"/>
      <c r="L885" s="4"/>
      <c r="M885" s="4"/>
      <c r="N885" s="1"/>
      <c r="O885" s="5"/>
      <c r="P885" s="3"/>
      <c r="Q885" s="4"/>
      <c r="R885" s="47"/>
      <c r="S885" s="13"/>
      <c r="T885" s="6"/>
      <c r="U885" s="17"/>
      <c r="V885" s="3"/>
      <c r="W885" s="4"/>
      <c r="X885" s="13"/>
      <c r="Y885" s="48"/>
      <c r="Z885" s="48"/>
      <c r="AA885" s="20"/>
      <c r="AB885" s="48"/>
      <c r="AC885" s="48"/>
      <c r="AD885" s="7"/>
      <c r="AE885" s="2"/>
      <c r="AF885" s="2"/>
      <c r="AG885" s="2"/>
    </row>
    <row r="886" spans="1:33" s="37" customFormat="1" ht="18.75" x14ac:dyDescent="0.2">
      <c r="A886" s="13">
        <f t="shared" si="19"/>
        <v>69</v>
      </c>
      <c r="B886" s="11"/>
      <c r="C886" s="82"/>
      <c r="D886" s="13"/>
      <c r="E886" s="133"/>
      <c r="F886" s="133"/>
      <c r="G886" s="84"/>
      <c r="H886" s="60"/>
      <c r="I886" s="53"/>
      <c r="J886" s="3"/>
      <c r="K886" s="3"/>
      <c r="L886" s="3"/>
      <c r="M886" s="3"/>
      <c r="N886" s="82"/>
      <c r="O886" s="157"/>
      <c r="P886" s="3"/>
      <c r="Q886" s="4"/>
      <c r="R886" s="47"/>
      <c r="S886" s="87"/>
      <c r="T886" s="6"/>
      <c r="U886" s="17"/>
      <c r="V886" s="3"/>
      <c r="W886" s="4"/>
      <c r="X886" s="13"/>
      <c r="Y886" s="48"/>
      <c r="Z886" s="48"/>
      <c r="AA886" s="20"/>
      <c r="AB886" s="48"/>
      <c r="AC886" s="48"/>
      <c r="AD886" s="7"/>
      <c r="AE886" s="2"/>
      <c r="AF886" s="2"/>
      <c r="AG886" s="2"/>
    </row>
    <row r="887" spans="1:33" s="37" customFormat="1" ht="18.75" x14ac:dyDescent="0.2">
      <c r="A887" s="13">
        <f t="shared" si="19"/>
        <v>69</v>
      </c>
      <c r="B887" s="11"/>
      <c r="C887" s="82"/>
      <c r="D887" s="13"/>
      <c r="E887" s="13"/>
      <c r="F887" s="18"/>
      <c r="G887" s="84"/>
      <c r="H887" s="60"/>
      <c r="I887" s="53"/>
      <c r="J887" s="3"/>
      <c r="K887" s="3"/>
      <c r="L887" s="3"/>
      <c r="M887" s="3"/>
      <c r="N887" s="82"/>
      <c r="O887" s="157"/>
      <c r="P887" s="3"/>
      <c r="Q887" s="4"/>
      <c r="R887" s="47"/>
      <c r="S887" s="87"/>
      <c r="T887" s="6"/>
      <c r="U887" s="17"/>
      <c r="V887" s="3"/>
      <c r="W887" s="4"/>
      <c r="X887" s="13"/>
      <c r="Y887" s="48"/>
      <c r="Z887" s="48"/>
      <c r="AA887" s="20"/>
      <c r="AB887" s="48"/>
      <c r="AC887" s="48"/>
      <c r="AD887" s="7"/>
      <c r="AE887" s="2"/>
      <c r="AF887" s="2"/>
      <c r="AG887" s="2"/>
    </row>
    <row r="888" spans="1:33" s="37" customFormat="1" ht="18.75" x14ac:dyDescent="0.2">
      <c r="A888" s="13">
        <f t="shared" si="19"/>
        <v>69</v>
      </c>
      <c r="B888" s="11"/>
      <c r="C888" s="1"/>
      <c r="D888" s="13"/>
      <c r="E888" s="13"/>
      <c r="F888" s="18"/>
      <c r="G888" s="84"/>
      <c r="H888" s="60"/>
      <c r="I888" s="53"/>
      <c r="J888" s="3"/>
      <c r="K888" s="3"/>
      <c r="L888" s="3"/>
      <c r="M888" s="3"/>
      <c r="N888" s="82"/>
      <c r="O888" s="157"/>
      <c r="P888" s="3"/>
      <c r="Q888" s="4"/>
      <c r="R888" s="82"/>
      <c r="S888" s="87"/>
      <c r="T888" s="6"/>
      <c r="U888" s="17"/>
      <c r="V888" s="3"/>
      <c r="W888" s="4"/>
      <c r="X888" s="30"/>
      <c r="Y888" s="30"/>
      <c r="Z888" s="30"/>
      <c r="AA888" s="30"/>
      <c r="AB888" s="30"/>
      <c r="AC888" s="48"/>
      <c r="AD888" s="7"/>
      <c r="AE888" s="2"/>
      <c r="AF888" s="2"/>
      <c r="AG888" s="2"/>
    </row>
    <row r="889" spans="1:33" s="37" customFormat="1" ht="18.75" x14ac:dyDescent="0.2">
      <c r="A889" s="13">
        <f t="shared" si="19"/>
        <v>69</v>
      </c>
      <c r="B889" s="11"/>
      <c r="C889" s="1"/>
      <c r="D889" s="13"/>
      <c r="E889" s="13"/>
      <c r="F889" s="18"/>
      <c r="G889" s="84"/>
      <c r="H889" s="60"/>
      <c r="I889" s="53"/>
      <c r="J889" s="3"/>
      <c r="K889" s="3"/>
      <c r="L889" s="3"/>
      <c r="M889" s="3"/>
      <c r="N889" s="82"/>
      <c r="O889" s="157"/>
      <c r="P889" s="3"/>
      <c r="Q889" s="4"/>
      <c r="R889" s="82"/>
      <c r="S889" s="87"/>
      <c r="T889" s="6"/>
      <c r="U889" s="129"/>
      <c r="V889" s="3"/>
      <c r="W889" s="4"/>
      <c r="X889" s="30"/>
      <c r="Y889" s="30"/>
      <c r="Z889" s="30"/>
      <c r="AA889" s="30"/>
      <c r="AB889" s="30"/>
      <c r="AC889" s="48"/>
      <c r="AD889" s="7"/>
      <c r="AE889" s="2"/>
      <c r="AF889" s="2"/>
      <c r="AG889" s="2"/>
    </row>
    <row r="890" spans="1:33" s="37" customFormat="1" ht="34.5" customHeight="1" x14ac:dyDescent="0.2">
      <c r="A890" s="13">
        <f t="shared" si="19"/>
        <v>70</v>
      </c>
      <c r="B890" s="11">
        <v>70</v>
      </c>
      <c r="C890" s="21" t="s">
        <v>50</v>
      </c>
      <c r="D890" s="13"/>
      <c r="E890" s="13">
        <v>86</v>
      </c>
      <c r="F890" s="18">
        <v>71</v>
      </c>
      <c r="G890" s="1" t="s">
        <v>417</v>
      </c>
      <c r="H890" s="60">
        <v>224</v>
      </c>
      <c r="I890" s="13"/>
      <c r="J890" s="5"/>
      <c r="K890" s="5"/>
      <c r="L890" s="4"/>
      <c r="M890" s="4"/>
      <c r="N890" s="145" t="s">
        <v>187</v>
      </c>
      <c r="O890" s="5">
        <v>12</v>
      </c>
      <c r="P890" s="146"/>
      <c r="Q890" s="146"/>
      <c r="R890" s="145" t="s">
        <v>241</v>
      </c>
      <c r="S890" s="147" t="s">
        <v>53</v>
      </c>
      <c r="T890" s="6">
        <v>37.1</v>
      </c>
      <c r="U890" s="17"/>
      <c r="V890" s="3"/>
      <c r="W890" s="4"/>
      <c r="X890" s="13"/>
      <c r="Y890" s="48"/>
      <c r="Z890" s="48"/>
      <c r="AA890" s="20"/>
      <c r="AB890" s="48"/>
      <c r="AC890" s="48"/>
      <c r="AD890" s="7"/>
      <c r="AE890" s="1" t="s">
        <v>715</v>
      </c>
      <c r="AF890" s="1"/>
      <c r="AG890" s="1"/>
    </row>
    <row r="891" spans="1:33" s="37" customFormat="1" ht="34.5" customHeight="1" x14ac:dyDescent="0.2">
      <c r="A891" s="13">
        <f t="shared" si="19"/>
        <v>70</v>
      </c>
      <c r="B891" s="11"/>
      <c r="C891" s="1" t="s">
        <v>112</v>
      </c>
      <c r="D891" s="13"/>
      <c r="E891" s="13"/>
      <c r="F891" s="18"/>
      <c r="G891" s="1" t="s">
        <v>613</v>
      </c>
      <c r="H891" s="60">
        <v>4.8</v>
      </c>
      <c r="I891" s="13"/>
      <c r="J891" s="5"/>
      <c r="K891" s="5"/>
      <c r="L891" s="4"/>
      <c r="M891" s="4"/>
      <c r="N891" s="145" t="s">
        <v>350</v>
      </c>
      <c r="O891" s="5">
        <v>115</v>
      </c>
      <c r="P891" s="146"/>
      <c r="Q891" s="146"/>
      <c r="R891" s="145" t="s">
        <v>349</v>
      </c>
      <c r="S891" s="147" t="s">
        <v>101</v>
      </c>
      <c r="T891" s="6">
        <v>4</v>
      </c>
      <c r="U891" s="17"/>
      <c r="V891" s="3"/>
      <c r="W891" s="4"/>
      <c r="X891" s="13"/>
      <c r="Y891" s="48"/>
      <c r="Z891" s="48"/>
      <c r="AA891" s="20"/>
      <c r="AB891" s="48"/>
      <c r="AC891" s="48"/>
      <c r="AD891" s="7"/>
      <c r="AE891" s="1" t="s">
        <v>614</v>
      </c>
      <c r="AF891" s="1"/>
      <c r="AG891" s="1"/>
    </row>
    <row r="892" spans="1:33" s="37" customFormat="1" ht="76.5" customHeight="1" x14ac:dyDescent="0.2">
      <c r="A892" s="13">
        <f t="shared" ref="A892:A921" si="20">IF(B892&lt;&gt;0,B892,A891)</f>
        <v>70</v>
      </c>
      <c r="B892" s="11"/>
      <c r="C892" s="1" t="s">
        <v>642</v>
      </c>
      <c r="D892" s="13"/>
      <c r="E892" s="13"/>
      <c r="F892" s="18"/>
      <c r="G892" s="1"/>
      <c r="H892" s="60"/>
      <c r="I892" s="13"/>
      <c r="J892" s="5"/>
      <c r="K892" s="5"/>
      <c r="L892" s="4"/>
      <c r="M892" s="4"/>
      <c r="N892" s="145" t="s">
        <v>785</v>
      </c>
      <c r="O892" s="5">
        <v>486</v>
      </c>
      <c r="P892" s="146"/>
      <c r="Q892" s="146"/>
      <c r="R892" s="145"/>
      <c r="S892" s="147"/>
      <c r="T892" s="6"/>
      <c r="U892" s="17"/>
      <c r="V892" s="3"/>
      <c r="W892" s="4"/>
      <c r="X892" s="13"/>
      <c r="Y892" s="48"/>
      <c r="Z892" s="48"/>
      <c r="AA892" s="20"/>
      <c r="AB892" s="48"/>
      <c r="AC892" s="48"/>
      <c r="AD892" s="7"/>
      <c r="AE892" s="1" t="s">
        <v>716</v>
      </c>
      <c r="AF892" s="1"/>
      <c r="AG892" s="1"/>
    </row>
    <row r="893" spans="1:33" s="37" customFormat="1" ht="22.5" customHeight="1" x14ac:dyDescent="0.2">
      <c r="A893" s="13">
        <f t="shared" si="20"/>
        <v>70</v>
      </c>
      <c r="B893" s="11"/>
      <c r="C893" s="1"/>
      <c r="D893" s="13"/>
      <c r="E893" s="13"/>
      <c r="F893" s="18"/>
      <c r="G893" s="1"/>
      <c r="H893" s="60"/>
      <c r="I893" s="13"/>
      <c r="J893" s="5"/>
      <c r="K893" s="5"/>
      <c r="L893" s="4"/>
      <c r="M893" s="4"/>
      <c r="N893" s="145" t="s">
        <v>401</v>
      </c>
      <c r="O893" s="5">
        <v>65</v>
      </c>
      <c r="P893" s="146"/>
      <c r="Q893" s="146"/>
      <c r="R893" s="145"/>
      <c r="S893" s="147"/>
      <c r="T893" s="6"/>
      <c r="U893" s="17"/>
      <c r="V893" s="3"/>
      <c r="W893" s="4"/>
      <c r="X893" s="13"/>
      <c r="Y893" s="48"/>
      <c r="Z893" s="48"/>
      <c r="AA893" s="20"/>
      <c r="AB893" s="48"/>
      <c r="AC893" s="48"/>
      <c r="AD893" s="7"/>
      <c r="AE893" s="1" t="s">
        <v>1009</v>
      </c>
      <c r="AF893" s="1"/>
      <c r="AG893" s="2"/>
    </row>
    <row r="894" spans="1:33" s="37" customFormat="1" ht="21" customHeight="1" x14ac:dyDescent="0.2">
      <c r="A894" s="13">
        <f t="shared" si="20"/>
        <v>70</v>
      </c>
      <c r="B894" s="11"/>
      <c r="C894" s="1"/>
      <c r="D894" s="13"/>
      <c r="E894" s="13"/>
      <c r="F894" s="18"/>
      <c r="G894" s="1"/>
      <c r="H894" s="60"/>
      <c r="I894" s="13"/>
      <c r="J894" s="5"/>
      <c r="K894" s="5"/>
      <c r="L894" s="4"/>
      <c r="M894" s="4"/>
      <c r="N894" s="145" t="s">
        <v>72</v>
      </c>
      <c r="O894" s="5">
        <v>125</v>
      </c>
      <c r="P894" s="146"/>
      <c r="Q894" s="146"/>
      <c r="R894" s="145"/>
      <c r="S894" s="147"/>
      <c r="T894" s="6"/>
      <c r="U894" s="17"/>
      <c r="V894" s="3"/>
      <c r="W894" s="4"/>
      <c r="X894" s="13"/>
      <c r="Y894" s="48"/>
      <c r="Z894" s="48"/>
      <c r="AA894" s="20"/>
      <c r="AB894" s="48"/>
      <c r="AC894" s="48"/>
      <c r="AD894" s="7"/>
      <c r="AE894" s="2"/>
      <c r="AF894" s="2"/>
      <c r="AG894" s="2"/>
    </row>
    <row r="895" spans="1:33" s="37" customFormat="1" ht="21" customHeight="1" x14ac:dyDescent="0.2">
      <c r="A895" s="13">
        <f t="shared" si="20"/>
        <v>70</v>
      </c>
      <c r="B895" s="11"/>
      <c r="C895" s="1"/>
      <c r="D895" s="13"/>
      <c r="E895" s="13"/>
      <c r="F895" s="18"/>
      <c r="G895" s="1"/>
      <c r="H895" s="60"/>
      <c r="I895" s="13"/>
      <c r="J895" s="5"/>
      <c r="K895" s="5"/>
      <c r="L895" s="4"/>
      <c r="M895" s="4"/>
      <c r="N895" s="145" t="s">
        <v>73</v>
      </c>
      <c r="O895" s="5">
        <v>95</v>
      </c>
      <c r="P895" s="146"/>
      <c r="Q895" s="146"/>
      <c r="R895" s="145"/>
      <c r="S895" s="147"/>
      <c r="T895" s="6"/>
      <c r="U895" s="17"/>
      <c r="V895" s="3"/>
      <c r="W895" s="4"/>
      <c r="X895" s="13"/>
      <c r="Y895" s="48"/>
      <c r="Z895" s="48"/>
      <c r="AA895" s="20"/>
      <c r="AB895" s="48"/>
      <c r="AC895" s="48"/>
      <c r="AD895" s="7"/>
      <c r="AE895" s="2"/>
      <c r="AF895" s="2"/>
      <c r="AG895" s="2"/>
    </row>
    <row r="896" spans="1:33" s="37" customFormat="1" ht="21" customHeight="1" x14ac:dyDescent="0.2">
      <c r="A896" s="13">
        <f t="shared" si="20"/>
        <v>70</v>
      </c>
      <c r="B896" s="11"/>
      <c r="C896" s="1"/>
      <c r="D896" s="13"/>
      <c r="E896" s="13"/>
      <c r="F896" s="18"/>
      <c r="G896" s="1"/>
      <c r="H896" s="60"/>
      <c r="I896" s="13"/>
      <c r="J896" s="5"/>
      <c r="K896" s="5"/>
      <c r="L896" s="4"/>
      <c r="M896" s="4"/>
      <c r="N896" s="145" t="s">
        <v>75</v>
      </c>
      <c r="O896" s="5">
        <v>31</v>
      </c>
      <c r="P896" s="146"/>
      <c r="Q896" s="146"/>
      <c r="R896" s="145"/>
      <c r="S896" s="147"/>
      <c r="T896" s="6"/>
      <c r="U896" s="17"/>
      <c r="V896" s="3"/>
      <c r="W896" s="4"/>
      <c r="X896" s="13"/>
      <c r="Y896" s="48"/>
      <c r="Z896" s="48"/>
      <c r="AA896" s="20"/>
      <c r="AB896" s="48"/>
      <c r="AC896" s="48"/>
      <c r="AD896" s="7"/>
      <c r="AE896" s="2"/>
      <c r="AF896" s="2"/>
      <c r="AG896" s="2"/>
    </row>
    <row r="897" spans="1:33" s="37" customFormat="1" ht="21" customHeight="1" x14ac:dyDescent="0.2">
      <c r="A897" s="13">
        <f t="shared" si="20"/>
        <v>70</v>
      </c>
      <c r="B897" s="11"/>
      <c r="C897" s="1"/>
      <c r="D897" s="13"/>
      <c r="E897" s="13"/>
      <c r="F897" s="18"/>
      <c r="G897" s="1"/>
      <c r="H897" s="60"/>
      <c r="I897" s="13"/>
      <c r="J897" s="5"/>
      <c r="K897" s="5"/>
      <c r="L897" s="4"/>
      <c r="M897" s="4"/>
      <c r="N897" s="145" t="s">
        <v>786</v>
      </c>
      <c r="O897" s="5">
        <v>14</v>
      </c>
      <c r="P897" s="146"/>
      <c r="Q897" s="146"/>
      <c r="R897" s="145"/>
      <c r="S897" s="147"/>
      <c r="T897" s="6"/>
      <c r="U897" s="17"/>
      <c r="V897" s="3"/>
      <c r="W897" s="4"/>
      <c r="X897" s="13"/>
      <c r="Y897" s="48"/>
      <c r="Z897" s="48"/>
      <c r="AA897" s="20"/>
      <c r="AB897" s="48"/>
      <c r="AC897" s="48"/>
      <c r="AD897" s="7"/>
      <c r="AE897" s="2"/>
      <c r="AF897" s="2"/>
      <c r="AG897" s="2"/>
    </row>
    <row r="898" spans="1:33" s="37" customFormat="1" ht="21" customHeight="1" x14ac:dyDescent="0.2">
      <c r="A898" s="13">
        <f t="shared" si="20"/>
        <v>70</v>
      </c>
      <c r="B898" s="11"/>
      <c r="C898" s="1"/>
      <c r="D898" s="13"/>
      <c r="E898" s="13"/>
      <c r="F898" s="18"/>
      <c r="G898" s="1"/>
      <c r="H898" s="60"/>
      <c r="I898" s="13"/>
      <c r="J898" s="5"/>
      <c r="K898" s="5"/>
      <c r="L898" s="4"/>
      <c r="M898" s="4"/>
      <c r="N898" s="145" t="s">
        <v>64</v>
      </c>
      <c r="O898" s="5">
        <v>2</v>
      </c>
      <c r="P898" s="146"/>
      <c r="Q898" s="146"/>
      <c r="R898" s="162"/>
      <c r="S898" s="147"/>
      <c r="T898" s="6"/>
      <c r="U898" s="17"/>
      <c r="V898" s="3"/>
      <c r="W898" s="4"/>
      <c r="X898" s="13"/>
      <c r="Y898" s="48"/>
      <c r="Z898" s="48"/>
      <c r="AA898" s="20"/>
      <c r="AB898" s="48"/>
      <c r="AC898" s="48"/>
      <c r="AD898" s="7"/>
      <c r="AE898" s="2"/>
      <c r="AF898" s="2"/>
      <c r="AG898" s="2"/>
    </row>
    <row r="899" spans="1:33" s="37" customFormat="1" ht="21" customHeight="1" x14ac:dyDescent="0.2">
      <c r="A899" s="13">
        <f t="shared" si="20"/>
        <v>70</v>
      </c>
      <c r="B899" s="11"/>
      <c r="C899" s="1"/>
      <c r="D899" s="13"/>
      <c r="E899" s="13"/>
      <c r="F899" s="18"/>
      <c r="G899" s="1"/>
      <c r="H899" s="60"/>
      <c r="I899" s="13"/>
      <c r="J899" s="5"/>
      <c r="K899" s="5"/>
      <c r="L899" s="4"/>
      <c r="M899" s="4"/>
      <c r="N899" s="145" t="s">
        <v>67</v>
      </c>
      <c r="O899" s="5">
        <v>1</v>
      </c>
      <c r="P899" s="146"/>
      <c r="Q899" s="146"/>
      <c r="R899" s="145"/>
      <c r="S899" s="147"/>
      <c r="T899" s="6"/>
      <c r="U899" s="17"/>
      <c r="V899" s="3"/>
      <c r="W899" s="4"/>
      <c r="X899" s="13"/>
      <c r="Y899" s="48"/>
      <c r="Z899" s="48"/>
      <c r="AA899" s="20"/>
      <c r="AB899" s="48"/>
      <c r="AC899" s="48"/>
      <c r="AD899" s="7"/>
      <c r="AE899" s="2"/>
      <c r="AF899" s="2"/>
      <c r="AG899" s="2"/>
    </row>
    <row r="900" spans="1:33" s="37" customFormat="1" ht="21" customHeight="1" x14ac:dyDescent="0.2">
      <c r="A900" s="13">
        <f t="shared" si="20"/>
        <v>70</v>
      </c>
      <c r="B900" s="11"/>
      <c r="C900" s="1"/>
      <c r="D900" s="13"/>
      <c r="E900" s="13"/>
      <c r="F900" s="18"/>
      <c r="G900" s="1"/>
      <c r="H900" s="60"/>
      <c r="I900" s="13"/>
      <c r="J900" s="5"/>
      <c r="K900" s="5"/>
      <c r="L900" s="4"/>
      <c r="M900" s="4"/>
      <c r="N900" s="145" t="s">
        <v>145</v>
      </c>
      <c r="O900" s="5">
        <v>1</v>
      </c>
      <c r="P900" s="146"/>
      <c r="Q900" s="146"/>
      <c r="R900" s="145"/>
      <c r="S900" s="147"/>
      <c r="T900" s="6"/>
      <c r="U900" s="17"/>
      <c r="V900" s="3"/>
      <c r="W900" s="4"/>
      <c r="X900" s="13"/>
      <c r="Y900" s="48"/>
      <c r="Z900" s="48"/>
      <c r="AA900" s="20"/>
      <c r="AB900" s="48"/>
      <c r="AC900" s="48"/>
      <c r="AD900" s="7"/>
      <c r="AE900" s="2"/>
      <c r="AF900" s="2"/>
      <c r="AG900" s="2"/>
    </row>
    <row r="901" spans="1:33" s="37" customFormat="1" ht="21" customHeight="1" x14ac:dyDescent="0.2">
      <c r="A901" s="13">
        <f t="shared" si="20"/>
        <v>70</v>
      </c>
      <c r="B901" s="11"/>
      <c r="C901" s="1"/>
      <c r="D901" s="13"/>
      <c r="E901" s="13"/>
      <c r="F901" s="18"/>
      <c r="G901" s="1"/>
      <c r="H901" s="60"/>
      <c r="I901" s="13"/>
      <c r="J901" s="5"/>
      <c r="K901" s="5"/>
      <c r="L901" s="4"/>
      <c r="M901" s="4"/>
      <c r="N901" s="145" t="s">
        <v>77</v>
      </c>
      <c r="O901" s="5">
        <v>1</v>
      </c>
      <c r="P901" s="146"/>
      <c r="Q901" s="146"/>
      <c r="R901" s="145"/>
      <c r="S901" s="147"/>
      <c r="T901" s="6"/>
      <c r="U901" s="17"/>
      <c r="V901" s="3"/>
      <c r="W901" s="4"/>
      <c r="X901" s="13"/>
      <c r="Y901" s="48"/>
      <c r="Z901" s="48"/>
      <c r="AA901" s="20"/>
      <c r="AB901" s="48"/>
      <c r="AC901" s="48"/>
      <c r="AD901" s="7"/>
      <c r="AE901" s="2"/>
      <c r="AF901" s="2"/>
      <c r="AG901" s="2"/>
    </row>
    <row r="902" spans="1:33" s="37" customFormat="1" ht="21" customHeight="1" x14ac:dyDescent="0.2">
      <c r="A902" s="13">
        <f t="shared" si="20"/>
        <v>70</v>
      </c>
      <c r="B902" s="11"/>
      <c r="C902" s="1"/>
      <c r="D902" s="13"/>
      <c r="E902" s="13"/>
      <c r="F902" s="18"/>
      <c r="G902" s="1"/>
      <c r="H902" s="60"/>
      <c r="I902" s="13"/>
      <c r="J902" s="5"/>
      <c r="K902" s="5"/>
      <c r="L902" s="4"/>
      <c r="M902" s="4"/>
      <c r="N902" s="145" t="s">
        <v>352</v>
      </c>
      <c r="O902" s="5">
        <v>16</v>
      </c>
      <c r="P902" s="146"/>
      <c r="Q902" s="146"/>
      <c r="R902" s="145"/>
      <c r="S902" s="147"/>
      <c r="T902" s="6"/>
      <c r="U902" s="17"/>
      <c r="V902" s="3"/>
      <c r="W902" s="4"/>
      <c r="X902" s="13"/>
      <c r="Y902" s="48"/>
      <c r="Z902" s="48"/>
      <c r="AA902" s="20"/>
      <c r="AB902" s="48"/>
      <c r="AC902" s="48"/>
      <c r="AD902" s="7"/>
      <c r="AE902" s="2"/>
      <c r="AF902" s="2"/>
      <c r="AG902" s="2"/>
    </row>
    <row r="903" spans="1:33" s="37" customFormat="1" ht="12.75" x14ac:dyDescent="0.2">
      <c r="A903" s="13">
        <f t="shared" si="20"/>
        <v>70</v>
      </c>
      <c r="B903" s="11"/>
      <c r="C903" s="1"/>
      <c r="D903" s="13"/>
      <c r="E903" s="13"/>
      <c r="F903" s="18"/>
      <c r="G903" s="1"/>
      <c r="H903" s="60"/>
      <c r="I903" s="13"/>
      <c r="J903" s="5"/>
      <c r="K903" s="5"/>
      <c r="L903" s="4"/>
      <c r="M903" s="4"/>
      <c r="N903" s="145"/>
      <c r="O903" s="5"/>
      <c r="P903" s="146"/>
      <c r="Q903" s="146"/>
      <c r="R903" s="145"/>
      <c r="S903" s="147"/>
      <c r="T903" s="6"/>
      <c r="U903" s="17"/>
      <c r="V903" s="3"/>
      <c r="W903" s="4"/>
      <c r="X903" s="13"/>
      <c r="Y903" s="48"/>
      <c r="Z903" s="48"/>
      <c r="AA903" s="20"/>
      <c r="AB903" s="48"/>
      <c r="AC903" s="48"/>
      <c r="AD903" s="7"/>
      <c r="AE903" s="2"/>
      <c r="AF903" s="2"/>
      <c r="AG903" s="2"/>
    </row>
    <row r="904" spans="1:33" s="37" customFormat="1" ht="12.75" x14ac:dyDescent="0.2">
      <c r="A904" s="13">
        <f t="shared" si="20"/>
        <v>70</v>
      </c>
      <c r="B904" s="11"/>
      <c r="C904" s="1"/>
      <c r="D904" s="13"/>
      <c r="E904" s="13"/>
      <c r="F904" s="2"/>
      <c r="G904" s="1"/>
      <c r="H904" s="50"/>
      <c r="I904" s="51"/>
      <c r="J904" s="51"/>
      <c r="K904" s="51"/>
      <c r="L904" s="51"/>
      <c r="M904" s="51"/>
      <c r="N904" s="51"/>
      <c r="O904" s="51"/>
      <c r="P904" s="51"/>
      <c r="Q904" s="51"/>
      <c r="R904" s="2"/>
      <c r="S904" s="51"/>
      <c r="T904" s="51"/>
      <c r="U904" s="50"/>
      <c r="V904" s="51"/>
      <c r="W904" s="51"/>
      <c r="X904" s="50"/>
      <c r="Y904" s="50"/>
      <c r="Z904" s="50"/>
      <c r="AA904" s="257"/>
      <c r="AB904" s="50"/>
      <c r="AC904" s="50"/>
      <c r="AD904" s="51"/>
      <c r="AE904" s="51"/>
      <c r="AF904" s="51"/>
      <c r="AG904" s="2"/>
    </row>
    <row r="905" spans="1:33" s="37" customFormat="1" ht="12.75" x14ac:dyDescent="0.2">
      <c r="A905" s="13">
        <f t="shared" si="20"/>
        <v>70</v>
      </c>
      <c r="B905" s="11"/>
      <c r="C905" s="1"/>
      <c r="D905" s="13"/>
      <c r="E905" s="13"/>
      <c r="F905" s="18"/>
      <c r="G905" s="1"/>
      <c r="H905" s="60"/>
      <c r="I905" s="13"/>
      <c r="J905" s="5"/>
      <c r="K905" s="5"/>
      <c r="L905" s="4"/>
      <c r="M905" s="4"/>
      <c r="N905" s="145"/>
      <c r="O905" s="5"/>
      <c r="P905" s="146"/>
      <c r="Q905" s="146"/>
      <c r="R905" s="145"/>
      <c r="S905" s="147"/>
      <c r="T905" s="6"/>
      <c r="U905" s="17"/>
      <c r="V905" s="3"/>
      <c r="W905" s="4"/>
      <c r="X905" s="13"/>
      <c r="Y905" s="48"/>
      <c r="Z905" s="48"/>
      <c r="AA905" s="20"/>
      <c r="AB905" s="48"/>
      <c r="AC905" s="48"/>
      <c r="AD905" s="7"/>
      <c r="AE905" s="2"/>
      <c r="AF905" s="2"/>
      <c r="AG905" s="2"/>
    </row>
    <row r="906" spans="1:33" s="37" customFormat="1" ht="39" customHeight="1" x14ac:dyDescent="0.2">
      <c r="A906" s="13">
        <f t="shared" si="20"/>
        <v>71</v>
      </c>
      <c r="B906" s="11">
        <v>71</v>
      </c>
      <c r="C906" s="21" t="s">
        <v>50</v>
      </c>
      <c r="D906" s="13"/>
      <c r="E906" s="13">
        <v>86</v>
      </c>
      <c r="F906" s="18">
        <v>313</v>
      </c>
      <c r="G906" s="1" t="s">
        <v>417</v>
      </c>
      <c r="H906" s="60">
        <v>173.8</v>
      </c>
      <c r="I906" s="13"/>
      <c r="J906" s="5"/>
      <c r="K906" s="5"/>
      <c r="L906" s="4"/>
      <c r="M906" s="4"/>
      <c r="N906" s="145"/>
      <c r="O906" s="5"/>
      <c r="P906" s="146"/>
      <c r="Q906" s="146"/>
      <c r="R906" s="145" t="s">
        <v>1902</v>
      </c>
      <c r="S906" s="147" t="s">
        <v>53</v>
      </c>
      <c r="T906" s="6">
        <v>43.74</v>
      </c>
      <c r="U906" s="17"/>
      <c r="V906" s="3"/>
      <c r="W906" s="4"/>
      <c r="X906" s="13"/>
      <c r="Y906" s="48" t="s">
        <v>55</v>
      </c>
      <c r="Z906" s="48" t="s">
        <v>141</v>
      </c>
      <c r="AA906" s="20" t="s">
        <v>171</v>
      </c>
      <c r="AB906" s="48" t="s">
        <v>88</v>
      </c>
      <c r="AC906" s="48"/>
      <c r="AD906" s="7"/>
      <c r="AE906" s="1" t="s">
        <v>717</v>
      </c>
      <c r="AF906" s="1"/>
      <c r="AG906" s="1"/>
    </row>
    <row r="907" spans="1:33" s="37" customFormat="1" ht="39" customHeight="1" x14ac:dyDescent="0.2">
      <c r="A907" s="13">
        <f t="shared" si="20"/>
        <v>71</v>
      </c>
      <c r="B907" s="11"/>
      <c r="C907" s="1" t="s">
        <v>112</v>
      </c>
      <c r="D907" s="13"/>
      <c r="E907" s="13"/>
      <c r="F907" s="18"/>
      <c r="G907" s="1"/>
      <c r="H907" s="60"/>
      <c r="I907" s="13"/>
      <c r="J907" s="5"/>
      <c r="K907" s="5"/>
      <c r="L907" s="4"/>
      <c r="M907" s="4"/>
      <c r="N907" s="145"/>
      <c r="O907" s="5"/>
      <c r="P907" s="146"/>
      <c r="Q907" s="146"/>
      <c r="R907" s="145"/>
      <c r="S907" s="147"/>
      <c r="T907" s="6"/>
      <c r="U907" s="17"/>
      <c r="V907" s="3"/>
      <c r="W907" s="4"/>
      <c r="X907" s="13"/>
      <c r="Y907" s="48"/>
      <c r="Z907" s="48"/>
      <c r="AA907" s="20"/>
      <c r="AB907" s="48"/>
      <c r="AC907" s="48"/>
      <c r="AD907" s="7"/>
      <c r="AE907" s="1" t="s">
        <v>615</v>
      </c>
      <c r="AF907" s="1"/>
      <c r="AG907" s="1"/>
    </row>
    <row r="908" spans="1:33" s="37" customFormat="1" ht="38.25" x14ac:dyDescent="0.2">
      <c r="A908" s="13">
        <f t="shared" si="20"/>
        <v>71</v>
      </c>
      <c r="B908" s="11"/>
      <c r="C908" s="1" t="s">
        <v>642</v>
      </c>
      <c r="D908" s="13"/>
      <c r="E908" s="13"/>
      <c r="F908" s="18"/>
      <c r="G908" s="1"/>
      <c r="H908" s="60"/>
      <c r="I908" s="13"/>
      <c r="J908" s="5"/>
      <c r="K908" s="5"/>
      <c r="L908" s="4"/>
      <c r="M908" s="4"/>
      <c r="N908" s="145"/>
      <c r="O908" s="5"/>
      <c r="P908" s="146"/>
      <c r="Q908" s="146"/>
      <c r="R908" s="145"/>
      <c r="S908" s="147"/>
      <c r="T908" s="6"/>
      <c r="U908" s="17"/>
      <c r="V908" s="3"/>
      <c r="W908" s="4"/>
      <c r="X908" s="13"/>
      <c r="Y908" s="48"/>
      <c r="Z908" s="48"/>
      <c r="AA908" s="20"/>
      <c r="AB908" s="48"/>
      <c r="AC908" s="48"/>
      <c r="AD908" s="7"/>
      <c r="AE908" s="1" t="s">
        <v>1009</v>
      </c>
      <c r="AF908" s="1"/>
      <c r="AG908" s="2"/>
    </row>
    <row r="909" spans="1:33" s="37" customFormat="1" ht="12.75" x14ac:dyDescent="0.2">
      <c r="A909" s="13">
        <f t="shared" si="20"/>
        <v>71</v>
      </c>
      <c r="B909" s="11"/>
      <c r="C909" s="1"/>
      <c r="D909" s="13"/>
      <c r="E909" s="13"/>
      <c r="F909" s="2"/>
      <c r="G909" s="1"/>
      <c r="H909" s="50"/>
      <c r="I909" s="51"/>
      <c r="J909" s="51"/>
      <c r="K909" s="51"/>
      <c r="L909" s="51"/>
      <c r="M909" s="51"/>
      <c r="N909" s="51"/>
      <c r="O909" s="51"/>
      <c r="P909" s="51"/>
      <c r="Q909" s="51"/>
      <c r="R909" s="2"/>
      <c r="S909" s="51"/>
      <c r="T909" s="51"/>
      <c r="U909" s="50"/>
      <c r="V909" s="51"/>
      <c r="W909" s="51"/>
      <c r="X909" s="50"/>
      <c r="Y909" s="50"/>
      <c r="Z909" s="50"/>
      <c r="AA909" s="257"/>
      <c r="AB909" s="50"/>
      <c r="AC909" s="50"/>
      <c r="AD909" s="51"/>
      <c r="AE909" s="51"/>
      <c r="AF909" s="51"/>
      <c r="AG909" s="2"/>
    </row>
    <row r="910" spans="1:33" s="37" customFormat="1" ht="12.75" x14ac:dyDescent="0.2">
      <c r="A910" s="13">
        <f t="shared" si="20"/>
        <v>71</v>
      </c>
      <c r="B910" s="11"/>
      <c r="C910" s="1"/>
      <c r="D910" s="13"/>
      <c r="E910" s="13"/>
      <c r="F910" s="18"/>
      <c r="G910" s="1"/>
      <c r="H910" s="60"/>
      <c r="I910" s="13"/>
      <c r="J910" s="5"/>
      <c r="K910" s="5"/>
      <c r="L910" s="4"/>
      <c r="M910" s="4"/>
      <c r="N910" s="145"/>
      <c r="O910" s="5"/>
      <c r="P910" s="146"/>
      <c r="Q910" s="146"/>
      <c r="R910" s="162"/>
      <c r="S910" s="147"/>
      <c r="T910" s="6"/>
      <c r="U910" s="17"/>
      <c r="V910" s="3"/>
      <c r="W910" s="4"/>
      <c r="X910" s="13"/>
      <c r="Y910" s="48"/>
      <c r="Z910" s="48"/>
      <c r="AA910" s="20"/>
      <c r="AB910" s="48"/>
      <c r="AC910" s="48"/>
      <c r="AD910" s="7"/>
      <c r="AE910" s="2"/>
      <c r="AF910" s="2"/>
      <c r="AG910" s="2"/>
    </row>
    <row r="911" spans="1:33" s="37" customFormat="1" ht="12.75" x14ac:dyDescent="0.2">
      <c r="A911" s="13">
        <f t="shared" si="20"/>
        <v>71</v>
      </c>
      <c r="B911" s="11"/>
      <c r="C911" s="1"/>
      <c r="D911" s="13"/>
      <c r="E911" s="13"/>
      <c r="F911" s="18"/>
      <c r="G911" s="1"/>
      <c r="H911" s="60"/>
      <c r="I911" s="13"/>
      <c r="J911" s="5"/>
      <c r="K911" s="5"/>
      <c r="L911" s="4"/>
      <c r="M911" s="4"/>
      <c r="N911" s="145"/>
      <c r="O911" s="5"/>
      <c r="P911" s="146"/>
      <c r="Q911" s="146"/>
      <c r="R911" s="162"/>
      <c r="S911" s="147"/>
      <c r="T911" s="6"/>
      <c r="U911" s="17"/>
      <c r="V911" s="3"/>
      <c r="W911" s="4"/>
      <c r="X911" s="13"/>
      <c r="Y911" s="48"/>
      <c r="Z911" s="48"/>
      <c r="AA911" s="20"/>
      <c r="AB911" s="48"/>
      <c r="AC911" s="48"/>
      <c r="AD911" s="7"/>
      <c r="AE911" s="2"/>
      <c r="AF911" s="2"/>
      <c r="AG911" s="2"/>
    </row>
    <row r="912" spans="1:33" s="37" customFormat="1" ht="12.75" x14ac:dyDescent="0.2">
      <c r="A912" s="13">
        <f t="shared" si="20"/>
        <v>71</v>
      </c>
      <c r="B912" s="11"/>
      <c r="C912" s="1"/>
      <c r="D912" s="13"/>
      <c r="E912" s="13"/>
      <c r="F912" s="18"/>
      <c r="G912" s="1"/>
      <c r="H912" s="60"/>
      <c r="I912" s="13"/>
      <c r="J912" s="5"/>
      <c r="K912" s="5"/>
      <c r="L912" s="4"/>
      <c r="M912" s="4"/>
      <c r="N912" s="145"/>
      <c r="O912" s="5"/>
      <c r="P912" s="146"/>
      <c r="Q912" s="146"/>
      <c r="R912" s="162"/>
      <c r="S912" s="147"/>
      <c r="T912" s="6"/>
      <c r="U912" s="17"/>
      <c r="V912" s="3"/>
      <c r="W912" s="4"/>
      <c r="X912" s="13"/>
      <c r="Y912" s="48"/>
      <c r="Z912" s="48"/>
      <c r="AA912" s="20"/>
      <c r="AB912" s="48"/>
      <c r="AC912" s="48"/>
      <c r="AD912" s="7"/>
      <c r="AE912" s="2"/>
      <c r="AF912" s="2"/>
      <c r="AG912" s="2"/>
    </row>
    <row r="913" spans="1:33" s="37" customFormat="1" ht="12.75" x14ac:dyDescent="0.2">
      <c r="A913" s="13">
        <f t="shared" si="20"/>
        <v>71</v>
      </c>
      <c r="B913" s="11"/>
      <c r="C913" s="1"/>
      <c r="D913" s="13"/>
      <c r="E913" s="13"/>
      <c r="F913" s="18"/>
      <c r="G913" s="1"/>
      <c r="H913" s="60"/>
      <c r="I913" s="13"/>
      <c r="J913" s="5"/>
      <c r="K913" s="5"/>
      <c r="L913" s="4"/>
      <c r="M913" s="4"/>
      <c r="N913" s="145"/>
      <c r="O913" s="5"/>
      <c r="P913" s="146"/>
      <c r="Q913" s="146"/>
      <c r="R913" s="145"/>
      <c r="S913" s="147"/>
      <c r="T913" s="6"/>
      <c r="U913" s="17"/>
      <c r="V913" s="3"/>
      <c r="W913" s="4"/>
      <c r="X913" s="13"/>
      <c r="Y913" s="48"/>
      <c r="Z913" s="48"/>
      <c r="AA913" s="20"/>
      <c r="AB913" s="48"/>
      <c r="AC913" s="48"/>
      <c r="AD913" s="7"/>
      <c r="AE913" s="2"/>
      <c r="AF913" s="2"/>
      <c r="AG913" s="2"/>
    </row>
    <row r="914" spans="1:33" s="37" customFormat="1" ht="12.75" x14ac:dyDescent="0.2">
      <c r="A914" s="13">
        <f t="shared" si="20"/>
        <v>71</v>
      </c>
      <c r="B914" s="11"/>
      <c r="C914" s="1"/>
      <c r="D914" s="13"/>
      <c r="E914" s="13"/>
      <c r="F914" s="18"/>
      <c r="G914" s="1"/>
      <c r="H914" s="60"/>
      <c r="I914" s="13"/>
      <c r="J914" s="5"/>
      <c r="K914" s="5"/>
      <c r="L914" s="4"/>
      <c r="M914" s="4"/>
      <c r="N914" s="1"/>
      <c r="O914" s="5"/>
      <c r="P914" s="3"/>
      <c r="Q914" s="4"/>
      <c r="R914" s="47"/>
      <c r="S914" s="13"/>
      <c r="T914" s="6"/>
      <c r="U914" s="17"/>
      <c r="V914" s="3"/>
      <c r="W914" s="4"/>
      <c r="X914" s="13"/>
      <c r="Y914" s="48"/>
      <c r="Z914" s="48"/>
      <c r="AA914" s="20"/>
      <c r="AB914" s="48"/>
      <c r="AC914" s="48"/>
      <c r="AD914" s="7"/>
      <c r="AE914" s="2"/>
      <c r="AF914" s="2"/>
      <c r="AG914" s="2"/>
    </row>
    <row r="915" spans="1:33" s="37" customFormat="1" ht="33" customHeight="1" x14ac:dyDescent="0.2">
      <c r="A915" s="13">
        <f t="shared" si="20"/>
        <v>72</v>
      </c>
      <c r="B915" s="11">
        <v>72</v>
      </c>
      <c r="C915" s="21" t="s">
        <v>50</v>
      </c>
      <c r="D915" s="13"/>
      <c r="E915" s="13">
        <v>86</v>
      </c>
      <c r="F915" s="18">
        <v>312</v>
      </c>
      <c r="G915" s="1" t="s">
        <v>417</v>
      </c>
      <c r="H915" s="60">
        <v>52.9</v>
      </c>
      <c r="I915" s="13"/>
      <c r="J915" s="5"/>
      <c r="K915" s="5"/>
      <c r="L915" s="4"/>
      <c r="M915" s="4"/>
      <c r="N915" s="1"/>
      <c r="O915" s="5"/>
      <c r="P915" s="3"/>
      <c r="Q915" s="4"/>
      <c r="R915" s="145"/>
      <c r="S915" s="147"/>
      <c r="T915" s="6"/>
      <c r="U915" s="17"/>
      <c r="V915" s="3"/>
      <c r="W915" s="4"/>
      <c r="X915" s="13"/>
      <c r="Y915" s="48"/>
      <c r="Z915" s="48"/>
      <c r="AA915" s="20"/>
      <c r="AB915" s="48"/>
      <c r="AC915" s="48"/>
      <c r="AD915" s="7"/>
      <c r="AE915" s="1" t="s">
        <v>718</v>
      </c>
      <c r="AF915" s="1"/>
      <c r="AG915" s="1"/>
    </row>
    <row r="916" spans="1:33" s="37" customFormat="1" ht="33" customHeight="1" x14ac:dyDescent="0.2">
      <c r="A916" s="13">
        <f t="shared" si="20"/>
        <v>72</v>
      </c>
      <c r="B916" s="11"/>
      <c r="C916" s="1" t="s">
        <v>112</v>
      </c>
      <c r="D916" s="13"/>
      <c r="E916" s="13"/>
      <c r="F916" s="18"/>
      <c r="G916" s="1"/>
      <c r="H916" s="60"/>
      <c r="I916" s="13"/>
      <c r="J916" s="5"/>
      <c r="K916" s="5"/>
      <c r="L916" s="4"/>
      <c r="M916" s="4"/>
      <c r="N916" s="1"/>
      <c r="O916" s="5"/>
      <c r="P916" s="3"/>
      <c r="Q916" s="4"/>
      <c r="R916" s="47"/>
      <c r="S916" s="13"/>
      <c r="T916" s="6"/>
      <c r="U916" s="17"/>
      <c r="V916" s="3"/>
      <c r="W916" s="4"/>
      <c r="X916" s="13"/>
      <c r="Y916" s="48"/>
      <c r="Z916" s="48"/>
      <c r="AA916" s="20"/>
      <c r="AB916" s="48"/>
      <c r="AC916" s="48"/>
      <c r="AD916" s="7"/>
      <c r="AE916" s="1" t="s">
        <v>616</v>
      </c>
      <c r="AF916" s="1"/>
      <c r="AG916" s="1"/>
    </row>
    <row r="917" spans="1:33" s="37" customFormat="1" ht="38.25" x14ac:dyDescent="0.2">
      <c r="A917" s="13">
        <f t="shared" si="20"/>
        <v>72</v>
      </c>
      <c r="B917" s="11"/>
      <c r="C917" s="1" t="s">
        <v>642</v>
      </c>
      <c r="D917" s="13"/>
      <c r="E917" s="13"/>
      <c r="F917" s="18"/>
      <c r="G917" s="1"/>
      <c r="H917" s="60"/>
      <c r="I917" s="13"/>
      <c r="J917" s="5"/>
      <c r="K917" s="5"/>
      <c r="L917" s="4"/>
      <c r="M917" s="4"/>
      <c r="N917" s="1"/>
      <c r="O917" s="5"/>
      <c r="P917" s="3"/>
      <c r="Q917" s="4"/>
      <c r="R917" s="47"/>
      <c r="S917" s="13"/>
      <c r="T917" s="6"/>
      <c r="U917" s="17"/>
      <c r="V917" s="3"/>
      <c r="W917" s="4"/>
      <c r="X917" s="13"/>
      <c r="Y917" s="48"/>
      <c r="Z917" s="48"/>
      <c r="AA917" s="20"/>
      <c r="AB917" s="48"/>
      <c r="AC917" s="48"/>
      <c r="AD917" s="7"/>
      <c r="AE917" s="1" t="s">
        <v>1009</v>
      </c>
      <c r="AF917" s="1"/>
      <c r="AG917" s="2"/>
    </row>
    <row r="918" spans="1:33" s="37" customFormat="1" ht="12.75" x14ac:dyDescent="0.2">
      <c r="A918" s="13">
        <f t="shared" si="20"/>
        <v>72</v>
      </c>
      <c r="B918" s="11"/>
      <c r="C918" s="1"/>
      <c r="D918" s="13"/>
      <c r="E918" s="13"/>
      <c r="F918" s="18"/>
      <c r="G918" s="1"/>
      <c r="H918" s="60"/>
      <c r="I918" s="13"/>
      <c r="J918" s="5"/>
      <c r="K918" s="5"/>
      <c r="L918" s="4"/>
      <c r="M918" s="4"/>
      <c r="N918" s="1"/>
      <c r="O918" s="5"/>
      <c r="P918" s="3"/>
      <c r="Q918" s="4"/>
      <c r="R918" s="47"/>
      <c r="S918" s="13"/>
      <c r="T918" s="6"/>
      <c r="U918" s="17"/>
      <c r="V918" s="3"/>
      <c r="W918" s="4"/>
      <c r="X918" s="13"/>
      <c r="Y918" s="48"/>
      <c r="Z918" s="48"/>
      <c r="AA918" s="20"/>
      <c r="AB918" s="48"/>
      <c r="AC918" s="48"/>
      <c r="AD918" s="7"/>
      <c r="AE918" s="2"/>
      <c r="AF918" s="2"/>
      <c r="AG918" s="2"/>
    </row>
    <row r="919" spans="1:33" s="37" customFormat="1" ht="12.75" x14ac:dyDescent="0.2">
      <c r="A919" s="13">
        <f t="shared" si="20"/>
        <v>72</v>
      </c>
      <c r="B919" s="11"/>
      <c r="C919" s="1"/>
      <c r="D919" s="13"/>
      <c r="E919" s="13"/>
      <c r="F919" s="18"/>
      <c r="G919" s="1"/>
      <c r="H919" s="60"/>
      <c r="I919" s="13"/>
      <c r="J919" s="5"/>
      <c r="K919" s="5"/>
      <c r="L919" s="4"/>
      <c r="M919" s="4"/>
      <c r="N919" s="1"/>
      <c r="O919" s="5"/>
      <c r="P919" s="3"/>
      <c r="Q919" s="4"/>
      <c r="R919" s="47"/>
      <c r="S919" s="13"/>
      <c r="T919" s="6"/>
      <c r="U919" s="17"/>
      <c r="V919" s="3"/>
      <c r="W919" s="4"/>
      <c r="X919" s="13"/>
      <c r="Y919" s="48"/>
      <c r="Z919" s="48"/>
      <c r="AA919" s="20"/>
      <c r="AB919" s="48"/>
      <c r="AC919" s="48"/>
      <c r="AD919" s="7"/>
      <c r="AE919" s="2"/>
      <c r="AF919" s="2"/>
      <c r="AG919" s="2"/>
    </row>
    <row r="920" spans="1:33" s="37" customFormat="1" ht="12.75" x14ac:dyDescent="0.2">
      <c r="A920" s="13">
        <f t="shared" si="20"/>
        <v>72</v>
      </c>
      <c r="B920" s="11"/>
      <c r="C920" s="1"/>
      <c r="D920" s="13"/>
      <c r="E920" s="13"/>
      <c r="F920" s="18"/>
      <c r="G920" s="1"/>
      <c r="H920" s="60"/>
      <c r="I920" s="13"/>
      <c r="J920" s="5"/>
      <c r="K920" s="5"/>
      <c r="L920" s="4"/>
      <c r="M920" s="4"/>
      <c r="N920" s="1"/>
      <c r="O920" s="5"/>
      <c r="P920" s="3"/>
      <c r="Q920" s="4"/>
      <c r="R920" s="47"/>
      <c r="S920" s="13"/>
      <c r="T920" s="6"/>
      <c r="U920" s="17"/>
      <c r="V920" s="3"/>
      <c r="W920" s="4"/>
      <c r="X920" s="13"/>
      <c r="Y920" s="48"/>
      <c r="Z920" s="48"/>
      <c r="AA920" s="20"/>
      <c r="AB920" s="48"/>
      <c r="AC920" s="48"/>
      <c r="AD920" s="7"/>
      <c r="AE920" s="2"/>
      <c r="AF920" s="2"/>
      <c r="AG920" s="2"/>
    </row>
    <row r="921" spans="1:33" s="37" customFormat="1" ht="12.75" x14ac:dyDescent="0.2">
      <c r="A921" s="13">
        <f t="shared" si="20"/>
        <v>72</v>
      </c>
      <c r="B921" s="11"/>
      <c r="C921" s="1"/>
      <c r="D921" s="13"/>
      <c r="E921" s="13"/>
      <c r="F921" s="18"/>
      <c r="G921" s="1"/>
      <c r="H921" s="60"/>
      <c r="I921" s="13"/>
      <c r="J921" s="5"/>
      <c r="K921" s="5"/>
      <c r="L921" s="4"/>
      <c r="M921" s="4"/>
      <c r="N921" s="1"/>
      <c r="O921" s="5"/>
      <c r="P921" s="3"/>
      <c r="Q921" s="4"/>
      <c r="R921" s="47"/>
      <c r="S921" s="13"/>
      <c r="T921" s="6"/>
      <c r="U921" s="17"/>
      <c r="V921" s="3"/>
      <c r="W921" s="4"/>
      <c r="X921" s="13"/>
      <c r="Y921" s="48"/>
      <c r="Z921" s="48"/>
      <c r="AA921" s="20"/>
      <c r="AB921" s="48"/>
      <c r="AC921" s="48"/>
      <c r="AD921" s="7"/>
      <c r="AE921" s="2"/>
      <c r="AF921" s="2"/>
      <c r="AG921" s="2"/>
    </row>
    <row r="922" spans="1:33" s="37" customFormat="1" ht="12.75" x14ac:dyDescent="0.2">
      <c r="A922" s="13">
        <f>IF(B922&lt;&gt;0,B922,A917)</f>
        <v>72</v>
      </c>
      <c r="B922" s="11"/>
      <c r="C922" s="144"/>
      <c r="D922" s="13"/>
      <c r="E922" s="13"/>
      <c r="F922" s="2"/>
      <c r="G922" s="1"/>
      <c r="H922" s="78"/>
      <c r="I922" s="2"/>
      <c r="J922" s="2"/>
      <c r="K922" s="2"/>
      <c r="L922" s="2"/>
      <c r="M922" s="2"/>
      <c r="N922" s="2"/>
      <c r="O922" s="2"/>
      <c r="P922" s="2"/>
      <c r="Q922" s="2"/>
      <c r="R922" s="2"/>
      <c r="S922" s="2"/>
      <c r="T922" s="2"/>
      <c r="U922" s="13"/>
      <c r="V922" s="2"/>
      <c r="W922" s="1"/>
      <c r="X922" s="18"/>
      <c r="Y922" s="18"/>
      <c r="Z922" s="18"/>
      <c r="AA922" s="18"/>
      <c r="AB922" s="18"/>
      <c r="AC922" s="18"/>
      <c r="AD922" s="2"/>
      <c r="AE922" s="2"/>
      <c r="AF922" s="2"/>
      <c r="AG922" s="2"/>
    </row>
    <row r="923" spans="1:33" s="81" customFormat="1" ht="60" x14ac:dyDescent="0.2">
      <c r="A923" s="13">
        <f>IF(B923&lt;&gt;0,B923,#REF!)</f>
        <v>73</v>
      </c>
      <c r="B923" s="11">
        <v>73</v>
      </c>
      <c r="C923" s="130" t="s">
        <v>790</v>
      </c>
      <c r="D923" s="163">
        <v>3</v>
      </c>
      <c r="E923" s="163">
        <v>86</v>
      </c>
      <c r="F923" s="163">
        <v>203</v>
      </c>
      <c r="G923" s="84" t="s">
        <v>791</v>
      </c>
      <c r="H923" s="121">
        <f>301.2-H924-H925</f>
        <v>287</v>
      </c>
      <c r="I923" s="62"/>
      <c r="J923" s="172"/>
      <c r="K923" s="172"/>
      <c r="L923" s="75">
        <f>IF(G923&lt;&gt;0,ROUND(H923*J923,-2)," ")</f>
        <v>0</v>
      </c>
      <c r="M923" s="75">
        <f>IF(G923&lt;&gt;0,ROUND(H923*K923,-2)," ")</f>
        <v>0</v>
      </c>
      <c r="N923" s="67" t="s">
        <v>792</v>
      </c>
      <c r="O923" s="63">
        <v>1</v>
      </c>
      <c r="P923" s="74"/>
      <c r="Q923" s="75">
        <f>IF(N923&lt;&gt;0,ROUND(O923*P923,-2)," ")</f>
        <v>0</v>
      </c>
      <c r="R923" s="70" t="s">
        <v>1748</v>
      </c>
      <c r="S923" s="173" t="s">
        <v>793</v>
      </c>
      <c r="T923" s="64">
        <v>16.25</v>
      </c>
      <c r="U923" s="119"/>
      <c r="V923" s="75"/>
      <c r="W923" s="75">
        <f>IF(R923&lt;&gt;0,ROUND(T923*V923,-2)," ")</f>
        <v>0</v>
      </c>
      <c r="X923" s="75"/>
      <c r="Y923" s="75"/>
      <c r="Z923" s="75"/>
      <c r="AA923" s="258"/>
      <c r="AB923" s="75"/>
      <c r="AC923" s="75"/>
      <c r="AD923" s="75"/>
      <c r="AE923" s="68" t="s">
        <v>794</v>
      </c>
      <c r="AF923" s="68"/>
      <c r="AG923" s="174" t="s">
        <v>795</v>
      </c>
    </row>
    <row r="924" spans="1:33" s="81" customFormat="1" ht="60" x14ac:dyDescent="0.2">
      <c r="A924" s="13">
        <f t="shared" ref="A924:A986" si="21">IF(B924&lt;&gt;0,B924,A923)</f>
        <v>73</v>
      </c>
      <c r="B924" s="11"/>
      <c r="C924" s="84" t="s">
        <v>796</v>
      </c>
      <c r="D924" s="163"/>
      <c r="E924" s="163">
        <v>86</v>
      </c>
      <c r="F924" s="163">
        <v>203</v>
      </c>
      <c r="G924" s="84" t="s">
        <v>797</v>
      </c>
      <c r="H924" s="121">
        <f>14.2-H925</f>
        <v>6.7999999999999989</v>
      </c>
      <c r="I924" s="62"/>
      <c r="J924" s="172"/>
      <c r="K924" s="172"/>
      <c r="L924" s="75">
        <f t="shared" ref="L924:L983" si="22">IF(G924&lt;&gt;0,ROUND(H924*J924,-2)," ")</f>
        <v>0</v>
      </c>
      <c r="M924" s="75">
        <f t="shared" ref="M924:M983" si="23">IF(G924&lt;&gt;0,ROUND(H924*K924,-2)," ")</f>
        <v>0</v>
      </c>
      <c r="N924" s="70" t="s">
        <v>798</v>
      </c>
      <c r="O924" s="63">
        <v>1</v>
      </c>
      <c r="P924" s="74"/>
      <c r="Q924" s="75">
        <f>IF(N924&lt;&gt;0,ROUND(O924*P924,-2)," ")</f>
        <v>0</v>
      </c>
      <c r="R924" s="174" t="s">
        <v>1749</v>
      </c>
      <c r="S924" s="173" t="s">
        <v>793</v>
      </c>
      <c r="T924" s="64">
        <v>16.25</v>
      </c>
      <c r="U924" s="119"/>
      <c r="V924" s="75"/>
      <c r="W924" s="75">
        <f>IF(R924&lt;&gt;0,ROUND(T924*V924,-2)," ")</f>
        <v>0</v>
      </c>
      <c r="X924" s="75"/>
      <c r="Y924" s="75"/>
      <c r="Z924" s="75"/>
      <c r="AA924" s="258"/>
      <c r="AB924" s="75"/>
      <c r="AC924" s="75"/>
      <c r="AD924" s="75"/>
      <c r="AE924" s="68" t="s">
        <v>799</v>
      </c>
      <c r="AF924" s="68"/>
      <c r="AG924" s="174" t="s">
        <v>800</v>
      </c>
    </row>
    <row r="925" spans="1:33" s="81" customFormat="1" ht="60" x14ac:dyDescent="0.2">
      <c r="A925" s="13">
        <f t="shared" si="21"/>
        <v>73</v>
      </c>
      <c r="B925" s="11"/>
      <c r="C925" s="84" t="s">
        <v>1653</v>
      </c>
      <c r="D925" s="163"/>
      <c r="E925" s="163"/>
      <c r="F925" s="163"/>
      <c r="G925" s="84" t="s">
        <v>801</v>
      </c>
      <c r="H925" s="121">
        <f>9.5-2.1</f>
        <v>7.4</v>
      </c>
      <c r="I925" s="62"/>
      <c r="J925" s="172"/>
      <c r="K925" s="172"/>
      <c r="L925" s="75">
        <f t="shared" si="22"/>
        <v>0</v>
      </c>
      <c r="M925" s="75">
        <f t="shared" si="23"/>
        <v>0</v>
      </c>
      <c r="N925" s="68" t="s">
        <v>802</v>
      </c>
      <c r="O925" s="63">
        <v>1</v>
      </c>
      <c r="P925" s="74"/>
      <c r="Q925" s="75">
        <f t="shared" ref="Q925:Q983" si="24">IF(N925&lt;&gt;0,ROUND(O925*P925,-2)," ")</f>
        <v>0</v>
      </c>
      <c r="R925" s="174" t="s">
        <v>1750</v>
      </c>
      <c r="S925" s="173" t="s">
        <v>793</v>
      </c>
      <c r="T925" s="64">
        <v>42.25</v>
      </c>
      <c r="U925" s="119"/>
      <c r="V925" s="75"/>
      <c r="W925" s="75">
        <f t="shared" ref="W925:W983" si="25">IF(R925&lt;&gt;0,ROUND(T925*V925,-2)," ")</f>
        <v>0</v>
      </c>
      <c r="X925" s="75"/>
      <c r="Y925" s="75"/>
      <c r="Z925" s="75"/>
      <c r="AA925" s="258"/>
      <c r="AB925" s="75"/>
      <c r="AC925" s="75"/>
      <c r="AD925" s="75"/>
      <c r="AE925" s="119" t="s">
        <v>398</v>
      </c>
      <c r="AF925" s="119"/>
      <c r="AG925" s="174" t="s">
        <v>804</v>
      </c>
    </row>
    <row r="926" spans="1:33" s="81" customFormat="1" ht="60" x14ac:dyDescent="0.2">
      <c r="A926" s="13">
        <f t="shared" si="21"/>
        <v>73</v>
      </c>
      <c r="B926" s="11"/>
      <c r="C926" s="119" t="s">
        <v>807</v>
      </c>
      <c r="D926" s="2"/>
      <c r="E926" s="2"/>
      <c r="F926" s="1"/>
      <c r="G926" s="84" t="s">
        <v>805</v>
      </c>
      <c r="H926" s="65">
        <v>2.1</v>
      </c>
      <c r="I926" s="175"/>
      <c r="J926" s="172"/>
      <c r="K926" s="172"/>
      <c r="L926" s="75">
        <f t="shared" si="22"/>
        <v>0</v>
      </c>
      <c r="M926" s="75">
        <f t="shared" si="23"/>
        <v>0</v>
      </c>
      <c r="N926" s="68" t="s">
        <v>806</v>
      </c>
      <c r="O926" s="63">
        <v>1</v>
      </c>
      <c r="P926" s="74"/>
      <c r="Q926" s="75">
        <f t="shared" si="24"/>
        <v>0</v>
      </c>
      <c r="R926" s="70" t="s">
        <v>1748</v>
      </c>
      <c r="S926" s="173" t="s">
        <v>793</v>
      </c>
      <c r="T926" s="64">
        <v>8.1999999999999993</v>
      </c>
      <c r="U926" s="119"/>
      <c r="V926" s="75"/>
      <c r="W926" s="75">
        <f t="shared" si="25"/>
        <v>0</v>
      </c>
      <c r="X926" s="75"/>
      <c r="Y926" s="75"/>
      <c r="Z926" s="75"/>
      <c r="AA926" s="258"/>
      <c r="AB926" s="75"/>
      <c r="AC926" s="75"/>
      <c r="AD926" s="75"/>
      <c r="AE926" s="119" t="s">
        <v>809</v>
      </c>
      <c r="AF926" s="119"/>
      <c r="AG926" s="174" t="s">
        <v>808</v>
      </c>
    </row>
    <row r="927" spans="1:33" s="81" customFormat="1" ht="60" x14ac:dyDescent="0.2">
      <c r="A927" s="13">
        <f t="shared" si="21"/>
        <v>73</v>
      </c>
      <c r="B927" s="11"/>
      <c r="C927" s="1"/>
      <c r="D927" s="2"/>
      <c r="E927" s="2"/>
      <c r="F927" s="1"/>
      <c r="G927" s="1"/>
      <c r="H927" s="66"/>
      <c r="I927" s="176"/>
      <c r="J927" s="172"/>
      <c r="K927" s="172"/>
      <c r="L927" s="75" t="str">
        <f t="shared" si="22"/>
        <v xml:space="preserve"> </v>
      </c>
      <c r="M927" s="75" t="str">
        <f t="shared" si="23"/>
        <v xml:space="preserve"> </v>
      </c>
      <c r="N927" s="68" t="s">
        <v>757</v>
      </c>
      <c r="O927" s="63">
        <v>1</v>
      </c>
      <c r="P927" s="74"/>
      <c r="Q927" s="75">
        <f t="shared" si="24"/>
        <v>0</v>
      </c>
      <c r="R927" s="174" t="s">
        <v>1749</v>
      </c>
      <c r="S927" s="173" t="s">
        <v>793</v>
      </c>
      <c r="T927" s="64">
        <v>8.1999999999999993</v>
      </c>
      <c r="U927" s="177"/>
      <c r="V927" s="75"/>
      <c r="W927" s="75">
        <f t="shared" si="25"/>
        <v>0</v>
      </c>
      <c r="X927" s="75"/>
      <c r="Y927" s="75"/>
      <c r="Z927" s="75"/>
      <c r="AA927" s="258"/>
      <c r="AB927" s="75"/>
      <c r="AC927" s="75"/>
      <c r="AD927" s="75"/>
      <c r="AE927" s="68" t="s">
        <v>811</v>
      </c>
      <c r="AF927" s="119"/>
      <c r="AG927" s="174" t="s">
        <v>810</v>
      </c>
    </row>
    <row r="928" spans="1:33" s="81" customFormat="1" ht="37.5" customHeight="1" x14ac:dyDescent="0.2">
      <c r="A928" s="13">
        <f t="shared" si="21"/>
        <v>73</v>
      </c>
      <c r="B928" s="11"/>
      <c r="C928" s="1"/>
      <c r="D928" s="178"/>
      <c r="E928" s="2"/>
      <c r="F928" s="1"/>
      <c r="G928" s="1"/>
      <c r="H928" s="66"/>
      <c r="I928" s="62"/>
      <c r="J928" s="172"/>
      <c r="K928" s="172"/>
      <c r="L928" s="75" t="str">
        <f t="shared" si="22"/>
        <v xml:space="preserve"> </v>
      </c>
      <c r="M928" s="75" t="str">
        <f t="shared" si="23"/>
        <v xml:space="preserve"> </v>
      </c>
      <c r="N928" s="68" t="s">
        <v>757</v>
      </c>
      <c r="O928" s="63">
        <v>2</v>
      </c>
      <c r="P928" s="74"/>
      <c r="Q928" s="75">
        <f t="shared" si="24"/>
        <v>0</v>
      </c>
      <c r="R928" s="174" t="s">
        <v>1750</v>
      </c>
      <c r="S928" s="173" t="s">
        <v>793</v>
      </c>
      <c r="T928" s="64">
        <v>52.89</v>
      </c>
      <c r="U928" s="119"/>
      <c r="V928" s="75"/>
      <c r="W928" s="75">
        <f t="shared" si="25"/>
        <v>0</v>
      </c>
      <c r="X928" s="75"/>
      <c r="Y928" s="75"/>
      <c r="Z928" s="75"/>
      <c r="AA928" s="258"/>
      <c r="AB928" s="75"/>
      <c r="AC928" s="75"/>
      <c r="AD928" s="75"/>
      <c r="AF928" s="68"/>
      <c r="AG928" s="174"/>
    </row>
    <row r="929" spans="1:33" s="81" customFormat="1" ht="40.5" customHeight="1" x14ac:dyDescent="0.2">
      <c r="A929" s="13">
        <f t="shared" si="21"/>
        <v>73</v>
      </c>
      <c r="B929" s="11"/>
      <c r="C929" s="1"/>
      <c r="D929" s="178"/>
      <c r="E929" s="2"/>
      <c r="F929" s="1"/>
      <c r="G929" s="84"/>
      <c r="H929" s="66"/>
      <c r="I929" s="62"/>
      <c r="J929" s="172"/>
      <c r="K929" s="172"/>
      <c r="L929" s="75" t="str">
        <f t="shared" si="22"/>
        <v xml:space="preserve"> </v>
      </c>
      <c r="M929" s="75" t="str">
        <f t="shared" si="23"/>
        <v xml:space="preserve"> </v>
      </c>
      <c r="N929" s="67" t="s">
        <v>67</v>
      </c>
      <c r="O929" s="63">
        <v>2</v>
      </c>
      <c r="P929" s="74"/>
      <c r="Q929" s="75">
        <f t="shared" si="24"/>
        <v>0</v>
      </c>
      <c r="R929" s="174" t="s">
        <v>1750</v>
      </c>
      <c r="S929" s="173" t="s">
        <v>793</v>
      </c>
      <c r="T929" s="64">
        <v>91.4</v>
      </c>
      <c r="U929" s="119"/>
      <c r="V929" s="75"/>
      <c r="W929" s="75">
        <f t="shared" si="25"/>
        <v>0</v>
      </c>
      <c r="X929" s="75"/>
      <c r="Y929" s="75"/>
      <c r="Z929" s="75"/>
      <c r="AA929" s="258"/>
      <c r="AB929" s="75"/>
      <c r="AC929" s="75"/>
      <c r="AD929" s="75"/>
      <c r="AE929" s="68"/>
      <c r="AF929" s="68"/>
      <c r="AG929" s="119"/>
    </row>
    <row r="930" spans="1:33" s="81" customFormat="1" ht="40.5" customHeight="1" x14ac:dyDescent="0.2">
      <c r="A930" s="13">
        <f t="shared" si="21"/>
        <v>73</v>
      </c>
      <c r="B930" s="11"/>
      <c r="C930" s="82"/>
      <c r="D930" s="2"/>
      <c r="E930" s="2"/>
      <c r="F930" s="1"/>
      <c r="G930" s="1"/>
      <c r="H930" s="66"/>
      <c r="I930" s="62"/>
      <c r="J930" s="172"/>
      <c r="K930" s="172"/>
      <c r="L930" s="75" t="str">
        <f t="shared" si="22"/>
        <v xml:space="preserve"> </v>
      </c>
      <c r="M930" s="75" t="str">
        <f t="shared" si="23"/>
        <v xml:space="preserve"> </v>
      </c>
      <c r="N930" s="68" t="s">
        <v>145</v>
      </c>
      <c r="O930" s="63">
        <v>1</v>
      </c>
      <c r="P930" s="74"/>
      <c r="Q930" s="75">
        <f t="shared" si="24"/>
        <v>0</v>
      </c>
      <c r="R930" s="174" t="s">
        <v>1751</v>
      </c>
      <c r="S930" s="173" t="s">
        <v>793</v>
      </c>
      <c r="T930" s="64">
        <v>9.6</v>
      </c>
      <c r="U930" s="119"/>
      <c r="V930" s="75"/>
      <c r="W930" s="75">
        <f t="shared" si="25"/>
        <v>0</v>
      </c>
      <c r="X930" s="75"/>
      <c r="Y930" s="75"/>
      <c r="Z930" s="75"/>
      <c r="AA930" s="258"/>
      <c r="AB930" s="75"/>
      <c r="AC930" s="75"/>
      <c r="AD930" s="75"/>
      <c r="AE930" s="70"/>
      <c r="AF930" s="70"/>
      <c r="AG930" s="70"/>
    </row>
    <row r="931" spans="1:33" s="81" customFormat="1" ht="40.5" customHeight="1" x14ac:dyDescent="0.2">
      <c r="A931" s="13">
        <f t="shared" si="21"/>
        <v>73</v>
      </c>
      <c r="B931" s="11"/>
      <c r="C931" s="1"/>
      <c r="D931" s="2"/>
      <c r="E931" s="2"/>
      <c r="F931" s="1"/>
      <c r="G931" s="1"/>
      <c r="H931" s="66"/>
      <c r="I931" s="62"/>
      <c r="J931" s="172"/>
      <c r="K931" s="172"/>
      <c r="L931" s="75" t="str">
        <f t="shared" si="22"/>
        <v xml:space="preserve"> </v>
      </c>
      <c r="M931" s="75" t="str">
        <f t="shared" si="23"/>
        <v xml:space="preserve"> </v>
      </c>
      <c r="N931" s="68" t="s">
        <v>77</v>
      </c>
      <c r="O931" s="63">
        <v>1</v>
      </c>
      <c r="P931" s="74"/>
      <c r="Q931" s="75">
        <f t="shared" si="24"/>
        <v>0</v>
      </c>
      <c r="R931" s="174" t="s">
        <v>1752</v>
      </c>
      <c r="S931" s="173" t="s">
        <v>793</v>
      </c>
      <c r="T931" s="64">
        <v>117.6</v>
      </c>
      <c r="U931" s="119"/>
      <c r="V931" s="75"/>
      <c r="W931" s="75">
        <f t="shared" si="25"/>
        <v>0</v>
      </c>
      <c r="X931" s="75"/>
      <c r="Y931" s="75"/>
      <c r="Z931" s="75"/>
      <c r="AA931" s="258"/>
      <c r="AB931" s="75"/>
      <c r="AC931" s="75"/>
      <c r="AD931" s="75"/>
      <c r="AE931" s="119"/>
      <c r="AF931" s="119"/>
      <c r="AG931" s="119"/>
    </row>
    <row r="932" spans="1:33" s="81" customFormat="1" ht="40.5" customHeight="1" x14ac:dyDescent="0.2">
      <c r="A932" s="13">
        <f t="shared" si="21"/>
        <v>73</v>
      </c>
      <c r="B932" s="11"/>
      <c r="C932" s="1"/>
      <c r="D932" s="2"/>
      <c r="E932" s="2"/>
      <c r="F932" s="1"/>
      <c r="G932" s="1"/>
      <c r="H932" s="66"/>
      <c r="I932" s="176"/>
      <c r="J932" s="172"/>
      <c r="K932" s="172"/>
      <c r="L932" s="75" t="str">
        <f t="shared" si="22"/>
        <v xml:space="preserve"> </v>
      </c>
      <c r="M932" s="75" t="str">
        <f t="shared" si="23"/>
        <v xml:space="preserve"> </v>
      </c>
      <c r="N932" s="67" t="s">
        <v>148</v>
      </c>
      <c r="O932" s="63">
        <v>1</v>
      </c>
      <c r="P932" s="74"/>
      <c r="Q932" s="75">
        <f t="shared" si="24"/>
        <v>0</v>
      </c>
      <c r="R932" s="174" t="s">
        <v>1753</v>
      </c>
      <c r="S932" s="173" t="s">
        <v>793</v>
      </c>
      <c r="T932" s="64">
        <v>2.8</v>
      </c>
      <c r="U932" s="177"/>
      <c r="V932" s="75"/>
      <c r="W932" s="75">
        <f t="shared" si="25"/>
        <v>0</v>
      </c>
      <c r="X932" s="75"/>
      <c r="Y932" s="75"/>
      <c r="Z932" s="75"/>
      <c r="AA932" s="258"/>
      <c r="AB932" s="75"/>
      <c r="AC932" s="75"/>
      <c r="AD932" s="75"/>
      <c r="AE932" s="119"/>
      <c r="AF932" s="119"/>
      <c r="AG932" s="119"/>
    </row>
    <row r="933" spans="1:33" s="81" customFormat="1" ht="40.5" customHeight="1" x14ac:dyDescent="0.2">
      <c r="A933" s="13">
        <f t="shared" si="21"/>
        <v>73</v>
      </c>
      <c r="B933" s="11"/>
      <c r="C933" s="82"/>
      <c r="D933" s="178"/>
      <c r="E933" s="2"/>
      <c r="F933" s="1"/>
      <c r="G933" s="1"/>
      <c r="H933" s="66"/>
      <c r="I933" s="62"/>
      <c r="J933" s="172"/>
      <c r="K933" s="172"/>
      <c r="L933" s="75" t="str">
        <f t="shared" si="22"/>
        <v xml:space="preserve"> </v>
      </c>
      <c r="M933" s="75" t="str">
        <f t="shared" si="23"/>
        <v xml:space="preserve"> </v>
      </c>
      <c r="N933" s="70" t="s">
        <v>352</v>
      </c>
      <c r="O933" s="63">
        <v>1</v>
      </c>
      <c r="P933" s="74"/>
      <c r="Q933" s="75">
        <f t="shared" si="24"/>
        <v>0</v>
      </c>
      <c r="R933" s="174" t="s">
        <v>1753</v>
      </c>
      <c r="S933" s="173" t="s">
        <v>793</v>
      </c>
      <c r="T933" s="64">
        <v>4.4800000000000004</v>
      </c>
      <c r="U933" s="119"/>
      <c r="V933" s="75"/>
      <c r="W933" s="75">
        <f t="shared" si="25"/>
        <v>0</v>
      </c>
      <c r="X933" s="75"/>
      <c r="Y933" s="75"/>
      <c r="Z933" s="75"/>
      <c r="AA933" s="258"/>
      <c r="AB933" s="75"/>
      <c r="AC933" s="75"/>
      <c r="AD933" s="75"/>
      <c r="AE933" s="119"/>
      <c r="AF933" s="119"/>
      <c r="AG933" s="119"/>
    </row>
    <row r="934" spans="1:33" s="81" customFormat="1" ht="40.5" customHeight="1" x14ac:dyDescent="0.2">
      <c r="A934" s="13">
        <f t="shared" si="21"/>
        <v>73</v>
      </c>
      <c r="B934" s="11"/>
      <c r="C934" s="1"/>
      <c r="D934" s="178"/>
      <c r="E934" s="2"/>
      <c r="F934" s="1"/>
      <c r="G934" s="84"/>
      <c r="H934" s="66"/>
      <c r="I934" s="62"/>
      <c r="J934" s="172"/>
      <c r="K934" s="172"/>
      <c r="L934" s="75" t="str">
        <f t="shared" si="22"/>
        <v xml:space="preserve"> </v>
      </c>
      <c r="M934" s="75" t="str">
        <f t="shared" si="23"/>
        <v xml:space="preserve"> </v>
      </c>
      <c r="N934" s="67" t="s">
        <v>812</v>
      </c>
      <c r="O934" s="63">
        <v>1</v>
      </c>
      <c r="P934" s="74"/>
      <c r="Q934" s="75">
        <f t="shared" si="24"/>
        <v>0</v>
      </c>
      <c r="R934" s="174" t="s">
        <v>1753</v>
      </c>
      <c r="S934" s="173" t="s">
        <v>793</v>
      </c>
      <c r="T934" s="64">
        <v>5.4</v>
      </c>
      <c r="U934" s="119"/>
      <c r="V934" s="75"/>
      <c r="W934" s="75">
        <f t="shared" si="25"/>
        <v>0</v>
      </c>
      <c r="X934" s="75"/>
      <c r="Y934" s="75"/>
      <c r="Z934" s="75"/>
      <c r="AA934" s="258"/>
      <c r="AB934" s="75"/>
      <c r="AC934" s="75"/>
      <c r="AD934" s="75"/>
      <c r="AE934" s="70"/>
      <c r="AF934" s="70"/>
      <c r="AG934" s="70"/>
    </row>
    <row r="935" spans="1:33" s="81" customFormat="1" ht="40.5" customHeight="1" x14ac:dyDescent="0.2">
      <c r="A935" s="13">
        <f t="shared" si="21"/>
        <v>73</v>
      </c>
      <c r="B935" s="11"/>
      <c r="C935" s="82"/>
      <c r="D935" s="2"/>
      <c r="E935" s="2"/>
      <c r="F935" s="1"/>
      <c r="G935" s="84"/>
      <c r="H935" s="66"/>
      <c r="I935" s="62"/>
      <c r="J935" s="172"/>
      <c r="K935" s="172"/>
      <c r="L935" s="75" t="str">
        <f t="shared" si="22"/>
        <v xml:space="preserve"> </v>
      </c>
      <c r="M935" s="75" t="str">
        <f t="shared" si="23"/>
        <v xml:space="preserve"> </v>
      </c>
      <c r="N935" s="68" t="s">
        <v>813</v>
      </c>
      <c r="O935" s="63">
        <v>1</v>
      </c>
      <c r="P935" s="74"/>
      <c r="Q935" s="75">
        <f t="shared" si="24"/>
        <v>0</v>
      </c>
      <c r="R935" s="174" t="s">
        <v>1750</v>
      </c>
      <c r="S935" s="173" t="s">
        <v>793</v>
      </c>
      <c r="T935" s="64">
        <v>26.18</v>
      </c>
      <c r="U935" s="119"/>
      <c r="V935" s="75"/>
      <c r="W935" s="75">
        <f t="shared" si="25"/>
        <v>0</v>
      </c>
      <c r="X935" s="75"/>
      <c r="Y935" s="75"/>
      <c r="Z935" s="75"/>
      <c r="AA935" s="258"/>
      <c r="AB935" s="75"/>
      <c r="AC935" s="75"/>
      <c r="AD935" s="75"/>
      <c r="AE935" s="119"/>
      <c r="AF935" s="119"/>
      <c r="AG935" s="119"/>
    </row>
    <row r="936" spans="1:33" s="81" customFormat="1" ht="40.5" customHeight="1" x14ac:dyDescent="0.2">
      <c r="A936" s="13">
        <f t="shared" si="21"/>
        <v>73</v>
      </c>
      <c r="B936" s="11"/>
      <c r="C936" s="1"/>
      <c r="D936" s="2"/>
      <c r="E936" s="2"/>
      <c r="F936" s="1"/>
      <c r="G936" s="1"/>
      <c r="H936" s="66"/>
      <c r="I936" s="176"/>
      <c r="J936" s="172"/>
      <c r="K936" s="172"/>
      <c r="L936" s="75" t="str">
        <f t="shared" si="22"/>
        <v xml:space="preserve"> </v>
      </c>
      <c r="M936" s="75" t="str">
        <f t="shared" si="23"/>
        <v xml:space="preserve"> </v>
      </c>
      <c r="N936" s="67" t="s">
        <v>814</v>
      </c>
      <c r="O936" s="63">
        <v>1</v>
      </c>
      <c r="P936" s="74"/>
      <c r="Q936" s="75">
        <f t="shared" si="24"/>
        <v>0</v>
      </c>
      <c r="R936" s="174" t="s">
        <v>1754</v>
      </c>
      <c r="S936" s="173" t="s">
        <v>793</v>
      </c>
      <c r="T936" s="64">
        <v>16.25</v>
      </c>
      <c r="U936" s="177"/>
      <c r="V936" s="75"/>
      <c r="W936" s="75">
        <f t="shared" si="25"/>
        <v>0</v>
      </c>
      <c r="X936" s="75"/>
      <c r="Y936" s="75"/>
      <c r="Z936" s="75"/>
      <c r="AA936" s="258"/>
      <c r="AB936" s="75"/>
      <c r="AC936" s="75"/>
      <c r="AD936" s="75"/>
      <c r="AE936" s="119"/>
      <c r="AF936" s="119"/>
      <c r="AG936" s="119"/>
    </row>
    <row r="937" spans="1:33" s="81" customFormat="1" ht="40.5" customHeight="1" x14ac:dyDescent="0.2">
      <c r="A937" s="13">
        <f t="shared" si="21"/>
        <v>73</v>
      </c>
      <c r="B937" s="11"/>
      <c r="C937" s="1"/>
      <c r="D937" s="2"/>
      <c r="E937" s="2"/>
      <c r="F937" s="1"/>
      <c r="G937" s="1"/>
      <c r="H937" s="66"/>
      <c r="I937" s="176"/>
      <c r="J937" s="172"/>
      <c r="K937" s="172"/>
      <c r="L937" s="75" t="str">
        <f t="shared" si="22"/>
        <v xml:space="preserve"> </v>
      </c>
      <c r="M937" s="75" t="str">
        <f t="shared" si="23"/>
        <v xml:space="preserve"> </v>
      </c>
      <c r="N937" s="68" t="s">
        <v>815</v>
      </c>
      <c r="O937" s="63">
        <v>1</v>
      </c>
      <c r="P937" s="74"/>
      <c r="Q937" s="75">
        <f t="shared" si="24"/>
        <v>0</v>
      </c>
      <c r="R937" s="174" t="s">
        <v>1755</v>
      </c>
      <c r="S937" s="173" t="s">
        <v>793</v>
      </c>
      <c r="T937" s="64">
        <v>8.16</v>
      </c>
      <c r="U937" s="177"/>
      <c r="V937" s="75"/>
      <c r="W937" s="75">
        <f t="shared" si="25"/>
        <v>0</v>
      </c>
      <c r="X937" s="75"/>
      <c r="Y937" s="75"/>
      <c r="Z937" s="75"/>
      <c r="AA937" s="258"/>
      <c r="AB937" s="75"/>
      <c r="AC937" s="75"/>
      <c r="AD937" s="75"/>
      <c r="AE937" s="119"/>
      <c r="AF937" s="119"/>
      <c r="AG937" s="119"/>
    </row>
    <row r="938" spans="1:33" s="81" customFormat="1" ht="40.5" customHeight="1" x14ac:dyDescent="0.2">
      <c r="A938" s="13">
        <f t="shared" si="21"/>
        <v>73</v>
      </c>
      <c r="B938" s="11"/>
      <c r="C938" s="1"/>
      <c r="D938" s="2"/>
      <c r="E938" s="2"/>
      <c r="F938" s="1"/>
      <c r="G938" s="1"/>
      <c r="H938" s="66"/>
      <c r="I938" s="176"/>
      <c r="J938" s="172"/>
      <c r="K938" s="172"/>
      <c r="L938" s="75" t="str">
        <f t="shared" si="22"/>
        <v xml:space="preserve"> </v>
      </c>
      <c r="M938" s="75" t="str">
        <f t="shared" si="23"/>
        <v xml:space="preserve"> </v>
      </c>
      <c r="N938" s="68" t="s">
        <v>816</v>
      </c>
      <c r="O938" s="63">
        <v>1</v>
      </c>
      <c r="P938" s="74"/>
      <c r="Q938" s="75">
        <f t="shared" si="24"/>
        <v>0</v>
      </c>
      <c r="R938" s="174" t="s">
        <v>1755</v>
      </c>
      <c r="S938" s="173" t="s">
        <v>793</v>
      </c>
      <c r="T938" s="64">
        <v>2.89</v>
      </c>
      <c r="U938" s="177"/>
      <c r="V938" s="75"/>
      <c r="W938" s="75">
        <f t="shared" si="25"/>
        <v>0</v>
      </c>
      <c r="X938" s="75"/>
      <c r="Y938" s="75"/>
      <c r="Z938" s="75"/>
      <c r="AA938" s="258"/>
      <c r="AB938" s="75"/>
      <c r="AC938" s="75"/>
      <c r="AD938" s="75"/>
      <c r="AE938" s="119"/>
      <c r="AF938" s="119"/>
      <c r="AG938" s="119"/>
    </row>
    <row r="939" spans="1:33" s="81" customFormat="1" ht="40.5" customHeight="1" x14ac:dyDescent="0.2">
      <c r="A939" s="13">
        <f t="shared" si="21"/>
        <v>73</v>
      </c>
      <c r="B939" s="11"/>
      <c r="C939" s="82"/>
      <c r="D939" s="178"/>
      <c r="E939" s="2"/>
      <c r="F939" s="1"/>
      <c r="G939" s="1"/>
      <c r="H939" s="66"/>
      <c r="I939" s="62"/>
      <c r="J939" s="172"/>
      <c r="K939" s="172"/>
      <c r="L939" s="75" t="str">
        <f t="shared" si="22"/>
        <v xml:space="preserve"> </v>
      </c>
      <c r="M939" s="75" t="str">
        <f t="shared" si="23"/>
        <v xml:space="preserve"> </v>
      </c>
      <c r="N939" s="67" t="s">
        <v>817</v>
      </c>
      <c r="O939" s="63">
        <v>2</v>
      </c>
      <c r="P939" s="74"/>
      <c r="Q939" s="75">
        <f t="shared" si="24"/>
        <v>0</v>
      </c>
      <c r="R939" s="174" t="s">
        <v>1755</v>
      </c>
      <c r="S939" s="173" t="s">
        <v>793</v>
      </c>
      <c r="T939" s="64">
        <v>1.53</v>
      </c>
      <c r="U939" s="119"/>
      <c r="V939" s="75"/>
      <c r="W939" s="75">
        <f t="shared" si="25"/>
        <v>0</v>
      </c>
      <c r="X939" s="75"/>
      <c r="Y939" s="75"/>
      <c r="Z939" s="75"/>
      <c r="AA939" s="258"/>
      <c r="AB939" s="75"/>
      <c r="AC939" s="75"/>
      <c r="AD939" s="75"/>
      <c r="AE939" s="119"/>
      <c r="AF939" s="119"/>
      <c r="AG939" s="119"/>
    </row>
    <row r="940" spans="1:33" s="81" customFormat="1" ht="40.5" customHeight="1" x14ac:dyDescent="0.2">
      <c r="A940" s="13">
        <f t="shared" si="21"/>
        <v>73</v>
      </c>
      <c r="B940" s="11"/>
      <c r="C940" s="82"/>
      <c r="D940" s="178"/>
      <c r="E940" s="2"/>
      <c r="F940" s="1"/>
      <c r="G940" s="1"/>
      <c r="H940" s="66"/>
      <c r="I940" s="62"/>
      <c r="J940" s="172"/>
      <c r="K940" s="172"/>
      <c r="L940" s="75" t="str">
        <f t="shared" si="22"/>
        <v xml:space="preserve"> </v>
      </c>
      <c r="M940" s="75" t="str">
        <f t="shared" si="23"/>
        <v xml:space="preserve"> </v>
      </c>
      <c r="N940" s="67"/>
      <c r="O940" s="63"/>
      <c r="P940" s="74"/>
      <c r="Q940" s="75" t="str">
        <f t="shared" si="24"/>
        <v xml:space="preserve"> </v>
      </c>
      <c r="R940" s="174" t="s">
        <v>1756</v>
      </c>
      <c r="S940" s="173" t="s">
        <v>793</v>
      </c>
      <c r="T940" s="64">
        <v>88.56</v>
      </c>
      <c r="U940" s="119"/>
      <c r="V940" s="75"/>
      <c r="W940" s="75">
        <f t="shared" si="25"/>
        <v>0</v>
      </c>
      <c r="X940" s="75"/>
      <c r="Y940" s="75"/>
      <c r="Z940" s="75"/>
      <c r="AA940" s="258"/>
      <c r="AB940" s="75"/>
      <c r="AC940" s="75"/>
      <c r="AD940" s="75"/>
      <c r="AE940" s="119"/>
      <c r="AF940" s="119"/>
      <c r="AG940" s="119"/>
    </row>
    <row r="941" spans="1:33" s="81" customFormat="1" ht="40.5" customHeight="1" x14ac:dyDescent="0.2">
      <c r="A941" s="13">
        <f t="shared" si="21"/>
        <v>73</v>
      </c>
      <c r="B941" s="11"/>
      <c r="C941" s="82"/>
      <c r="D941" s="178"/>
      <c r="E941" s="2"/>
      <c r="F941" s="1"/>
      <c r="G941" s="1"/>
      <c r="H941" s="66"/>
      <c r="I941" s="62"/>
      <c r="J941" s="172"/>
      <c r="K941" s="172"/>
      <c r="L941" s="75" t="str">
        <f t="shared" si="22"/>
        <v xml:space="preserve"> </v>
      </c>
      <c r="M941" s="75" t="str">
        <f t="shared" si="23"/>
        <v xml:space="preserve"> </v>
      </c>
      <c r="N941" s="67"/>
      <c r="O941" s="63"/>
      <c r="P941" s="74"/>
      <c r="Q941" s="75" t="str">
        <f t="shared" si="24"/>
        <v xml:space="preserve"> </v>
      </c>
      <c r="R941" s="70" t="s">
        <v>1757</v>
      </c>
      <c r="S941" s="173" t="s">
        <v>793</v>
      </c>
      <c r="T941" s="64">
        <v>52.89</v>
      </c>
      <c r="U941" s="119"/>
      <c r="V941" s="75"/>
      <c r="W941" s="75">
        <f t="shared" si="25"/>
        <v>0</v>
      </c>
      <c r="X941" s="75"/>
      <c r="Y941" s="75"/>
      <c r="Z941" s="75"/>
      <c r="AA941" s="258"/>
      <c r="AB941" s="75"/>
      <c r="AC941" s="75"/>
      <c r="AD941" s="75"/>
      <c r="AE941" s="119"/>
      <c r="AF941" s="119"/>
      <c r="AG941" s="119"/>
    </row>
    <row r="942" spans="1:33" s="81" customFormat="1" ht="40.5" customHeight="1" x14ac:dyDescent="0.2">
      <c r="A942" s="13">
        <f t="shared" si="21"/>
        <v>73</v>
      </c>
      <c r="B942" s="11"/>
      <c r="C942" s="82"/>
      <c r="D942" s="178"/>
      <c r="E942" s="2"/>
      <c r="F942" s="1"/>
      <c r="G942" s="1"/>
      <c r="H942" s="66"/>
      <c r="I942" s="62"/>
      <c r="J942" s="172"/>
      <c r="K942" s="172"/>
      <c r="L942" s="75" t="str">
        <f t="shared" si="22"/>
        <v xml:space="preserve"> </v>
      </c>
      <c r="M942" s="75" t="str">
        <f t="shared" si="23"/>
        <v xml:space="preserve"> </v>
      </c>
      <c r="N942" s="67"/>
      <c r="O942" s="63"/>
      <c r="P942" s="74"/>
      <c r="Q942" s="75" t="str">
        <f t="shared" si="24"/>
        <v xml:space="preserve"> </v>
      </c>
      <c r="R942" s="70" t="s">
        <v>1757</v>
      </c>
      <c r="S942" s="173" t="s">
        <v>793</v>
      </c>
      <c r="T942" s="64">
        <v>91.4</v>
      </c>
      <c r="U942" s="119"/>
      <c r="V942" s="75"/>
      <c r="W942" s="75">
        <f t="shared" si="25"/>
        <v>0</v>
      </c>
      <c r="X942" s="75"/>
      <c r="Y942" s="75"/>
      <c r="Z942" s="75"/>
      <c r="AA942" s="258"/>
      <c r="AB942" s="75"/>
      <c r="AC942" s="75"/>
      <c r="AD942" s="75"/>
      <c r="AE942" s="119"/>
      <c r="AF942" s="119"/>
      <c r="AG942" s="119"/>
    </row>
    <row r="943" spans="1:33" s="81" customFormat="1" ht="40.5" customHeight="1" x14ac:dyDescent="0.2">
      <c r="A943" s="13">
        <f t="shared" si="21"/>
        <v>73</v>
      </c>
      <c r="B943" s="11"/>
      <c r="C943" s="82"/>
      <c r="D943" s="178"/>
      <c r="E943" s="2"/>
      <c r="F943" s="1"/>
      <c r="G943" s="1"/>
      <c r="H943" s="66"/>
      <c r="I943" s="62"/>
      <c r="J943" s="172"/>
      <c r="K943" s="172"/>
      <c r="L943" s="75" t="str">
        <f t="shared" si="22"/>
        <v xml:space="preserve"> </v>
      </c>
      <c r="M943" s="75" t="str">
        <f t="shared" si="23"/>
        <v xml:space="preserve"> </v>
      </c>
      <c r="N943" s="67"/>
      <c r="O943" s="63"/>
      <c r="P943" s="74"/>
      <c r="Q943" s="75" t="str">
        <f t="shared" si="24"/>
        <v xml:space="preserve"> </v>
      </c>
      <c r="R943" s="174" t="s">
        <v>1758</v>
      </c>
      <c r="S943" s="173" t="s">
        <v>93</v>
      </c>
      <c r="T943" s="64">
        <v>1</v>
      </c>
      <c r="U943" s="119"/>
      <c r="V943" s="75"/>
      <c r="W943" s="75">
        <f t="shared" si="25"/>
        <v>0</v>
      </c>
      <c r="X943" s="75"/>
      <c r="Y943" s="75"/>
      <c r="Z943" s="75"/>
      <c r="AA943" s="258"/>
      <c r="AB943" s="75"/>
      <c r="AC943" s="75"/>
      <c r="AD943" s="75"/>
      <c r="AE943" s="119"/>
      <c r="AF943" s="119"/>
      <c r="AG943" s="119"/>
    </row>
    <row r="944" spans="1:33" s="81" customFormat="1" x14ac:dyDescent="0.2">
      <c r="A944" s="13">
        <f t="shared" si="21"/>
        <v>73</v>
      </c>
      <c r="B944" s="11"/>
      <c r="C944" s="82"/>
      <c r="D944" s="178"/>
      <c r="E944" s="2"/>
      <c r="F944" s="1"/>
      <c r="G944" s="1"/>
      <c r="H944" s="66"/>
      <c r="I944" s="62"/>
      <c r="J944" s="172"/>
      <c r="K944" s="172"/>
      <c r="L944" s="75" t="str">
        <f t="shared" si="22"/>
        <v xml:space="preserve"> </v>
      </c>
      <c r="M944" s="75" t="str">
        <f t="shared" si="23"/>
        <v xml:space="preserve"> </v>
      </c>
      <c r="N944" s="67"/>
      <c r="O944" s="63"/>
      <c r="P944" s="74"/>
      <c r="Q944" s="75" t="str">
        <f t="shared" si="24"/>
        <v xml:space="preserve"> </v>
      </c>
      <c r="R944" s="174"/>
      <c r="S944" s="173"/>
      <c r="T944" s="64"/>
      <c r="U944" s="119"/>
      <c r="V944" s="75"/>
      <c r="W944" s="75" t="str">
        <f t="shared" si="25"/>
        <v xml:space="preserve"> </v>
      </c>
      <c r="X944" s="75"/>
      <c r="Y944" s="75"/>
      <c r="Z944" s="75"/>
      <c r="AA944" s="258"/>
      <c r="AB944" s="75"/>
      <c r="AC944" s="75"/>
      <c r="AD944" s="75"/>
      <c r="AE944" s="119"/>
      <c r="AF944" s="119"/>
      <c r="AG944" s="119"/>
    </row>
    <row r="945" spans="1:33" s="81" customFormat="1" x14ac:dyDescent="0.2">
      <c r="A945" s="13">
        <f t="shared" si="21"/>
        <v>73</v>
      </c>
      <c r="B945" s="11"/>
      <c r="C945" s="82"/>
      <c r="D945" s="178"/>
      <c r="E945" s="2"/>
      <c r="F945" s="1"/>
      <c r="G945" s="1"/>
      <c r="H945" s="66"/>
      <c r="I945" s="62"/>
      <c r="J945" s="172"/>
      <c r="K945" s="172"/>
      <c r="L945" s="75" t="str">
        <f t="shared" si="22"/>
        <v xml:space="preserve"> </v>
      </c>
      <c r="M945" s="75" t="str">
        <f t="shared" si="23"/>
        <v xml:space="preserve"> </v>
      </c>
      <c r="N945" s="67"/>
      <c r="O945" s="63"/>
      <c r="P945" s="74"/>
      <c r="Q945" s="75" t="str">
        <f t="shared" si="24"/>
        <v xml:space="preserve"> </v>
      </c>
      <c r="R945" s="174"/>
      <c r="S945" s="173"/>
      <c r="T945" s="64"/>
      <c r="U945" s="119"/>
      <c r="V945" s="75"/>
      <c r="W945" s="75" t="str">
        <f t="shared" si="25"/>
        <v xml:space="preserve"> </v>
      </c>
      <c r="X945" s="75"/>
      <c r="Y945" s="75"/>
      <c r="Z945" s="75"/>
      <c r="AA945" s="258"/>
      <c r="AB945" s="75"/>
      <c r="AC945" s="75"/>
      <c r="AD945" s="75"/>
      <c r="AE945" s="119"/>
      <c r="AF945" s="119"/>
      <c r="AG945" s="119"/>
    </row>
    <row r="946" spans="1:33" s="81" customFormat="1" ht="60" x14ac:dyDescent="0.2">
      <c r="A946" s="13">
        <f t="shared" si="21"/>
        <v>74</v>
      </c>
      <c r="B946" s="11">
        <v>74</v>
      </c>
      <c r="C946" s="92" t="s">
        <v>818</v>
      </c>
      <c r="D946" s="2">
        <v>1</v>
      </c>
      <c r="E946" s="2">
        <v>86</v>
      </c>
      <c r="F946" s="1">
        <v>280</v>
      </c>
      <c r="G946" s="84" t="s">
        <v>819</v>
      </c>
      <c r="H946" s="122">
        <f>377.5-H947</f>
        <v>284.60000000000002</v>
      </c>
      <c r="I946" s="62"/>
      <c r="J946" s="172"/>
      <c r="K946" s="172"/>
      <c r="L946" s="75">
        <f t="shared" si="22"/>
        <v>0</v>
      </c>
      <c r="M946" s="75">
        <f t="shared" si="23"/>
        <v>0</v>
      </c>
      <c r="N946" s="68"/>
      <c r="O946" s="63"/>
      <c r="P946" s="74"/>
      <c r="Q946" s="75" t="str">
        <f t="shared" si="24"/>
        <v xml:space="preserve"> </v>
      </c>
      <c r="R946" s="174" t="s">
        <v>1749</v>
      </c>
      <c r="S946" s="173" t="s">
        <v>793</v>
      </c>
      <c r="T946" s="179">
        <v>17.100000000000001</v>
      </c>
      <c r="U946" s="119"/>
      <c r="V946" s="75"/>
      <c r="W946" s="75">
        <f t="shared" si="25"/>
        <v>0</v>
      </c>
      <c r="X946" s="75"/>
      <c r="Y946" s="75"/>
      <c r="Z946" s="75"/>
      <c r="AA946" s="258"/>
      <c r="AB946" s="75"/>
      <c r="AC946" s="75"/>
      <c r="AD946" s="75"/>
      <c r="AE946" s="68" t="s">
        <v>820</v>
      </c>
      <c r="AF946" s="68"/>
      <c r="AG946" s="174" t="s">
        <v>800</v>
      </c>
    </row>
    <row r="947" spans="1:33" s="81" customFormat="1" ht="60" x14ac:dyDescent="0.2">
      <c r="A947" s="13">
        <f t="shared" si="21"/>
        <v>74</v>
      </c>
      <c r="B947" s="11"/>
      <c r="C947" s="1" t="s">
        <v>821</v>
      </c>
      <c r="D947" s="2"/>
      <c r="E947" s="2">
        <v>86</v>
      </c>
      <c r="F947" s="1">
        <v>280</v>
      </c>
      <c r="G947" s="84" t="s">
        <v>822</v>
      </c>
      <c r="H947" s="122">
        <f>27.3+65.6</f>
        <v>92.899999999999991</v>
      </c>
      <c r="I947" s="62"/>
      <c r="J947" s="172"/>
      <c r="K947" s="172"/>
      <c r="L947" s="75">
        <f t="shared" si="22"/>
        <v>0</v>
      </c>
      <c r="M947" s="75">
        <f t="shared" si="23"/>
        <v>0</v>
      </c>
      <c r="N947" s="68"/>
      <c r="O947" s="63"/>
      <c r="P947" s="74"/>
      <c r="Q947" s="75" t="str">
        <f t="shared" si="24"/>
        <v xml:space="preserve"> </v>
      </c>
      <c r="R947" s="70" t="s">
        <v>1748</v>
      </c>
      <c r="S947" s="173" t="s">
        <v>793</v>
      </c>
      <c r="T947" s="179">
        <v>11</v>
      </c>
      <c r="U947" s="119"/>
      <c r="V947" s="75"/>
      <c r="W947" s="75">
        <f t="shared" si="25"/>
        <v>0</v>
      </c>
      <c r="X947" s="75"/>
      <c r="Y947" s="75"/>
      <c r="Z947" s="75"/>
      <c r="AA947" s="258"/>
      <c r="AB947" s="75"/>
      <c r="AC947" s="75"/>
      <c r="AD947" s="75"/>
      <c r="AE947" s="68" t="s">
        <v>823</v>
      </c>
      <c r="AF947" s="68"/>
      <c r="AG947" s="174" t="s">
        <v>804</v>
      </c>
    </row>
    <row r="948" spans="1:33" s="81" customFormat="1" ht="60" x14ac:dyDescent="0.2">
      <c r="A948" s="13">
        <f t="shared" si="21"/>
        <v>74</v>
      </c>
      <c r="B948" s="11"/>
      <c r="C948" s="47" t="s">
        <v>1653</v>
      </c>
      <c r="D948" s="2"/>
      <c r="E948" s="2"/>
      <c r="F948" s="1"/>
      <c r="G948" s="1"/>
      <c r="H948" s="122"/>
      <c r="I948" s="62"/>
      <c r="J948" s="172"/>
      <c r="K948" s="172"/>
      <c r="L948" s="75" t="str">
        <f t="shared" si="22"/>
        <v xml:space="preserve"> </v>
      </c>
      <c r="M948" s="75" t="str">
        <f t="shared" si="23"/>
        <v xml:space="preserve"> </v>
      </c>
      <c r="N948" s="68"/>
      <c r="O948" s="63"/>
      <c r="P948" s="74"/>
      <c r="Q948" s="75" t="str">
        <f t="shared" si="24"/>
        <v xml:space="preserve"> </v>
      </c>
      <c r="R948" s="174" t="s">
        <v>1749</v>
      </c>
      <c r="S948" s="173" t="s">
        <v>793</v>
      </c>
      <c r="T948" s="179">
        <v>11</v>
      </c>
      <c r="U948" s="119"/>
      <c r="V948" s="75"/>
      <c r="W948" s="75">
        <f t="shared" si="25"/>
        <v>0</v>
      </c>
      <c r="X948" s="75"/>
      <c r="Y948" s="75"/>
      <c r="Z948" s="75"/>
      <c r="AA948" s="258"/>
      <c r="AB948" s="75"/>
      <c r="AC948" s="75"/>
      <c r="AD948" s="75"/>
      <c r="AE948" s="119" t="s">
        <v>809</v>
      </c>
      <c r="AF948" s="119"/>
      <c r="AG948" s="174" t="s">
        <v>808</v>
      </c>
    </row>
    <row r="949" spans="1:33" s="81" customFormat="1" ht="60" x14ac:dyDescent="0.2">
      <c r="A949" s="13">
        <f t="shared" si="21"/>
        <v>74</v>
      </c>
      <c r="B949" s="11"/>
      <c r="C949" s="119" t="s">
        <v>824</v>
      </c>
      <c r="D949" s="2"/>
      <c r="E949" s="2"/>
      <c r="F949" s="1"/>
      <c r="G949" s="1"/>
      <c r="H949" s="122"/>
      <c r="I949" s="62"/>
      <c r="J949" s="172"/>
      <c r="K949" s="172"/>
      <c r="L949" s="75" t="str">
        <f t="shared" si="22"/>
        <v xml:space="preserve"> </v>
      </c>
      <c r="M949" s="75" t="str">
        <f t="shared" si="23"/>
        <v xml:space="preserve"> </v>
      </c>
      <c r="N949" s="68"/>
      <c r="O949" s="63"/>
      <c r="P949" s="74"/>
      <c r="Q949" s="75" t="str">
        <f t="shared" si="24"/>
        <v xml:space="preserve"> </v>
      </c>
      <c r="R949" s="174" t="s">
        <v>1750</v>
      </c>
      <c r="S949" s="173" t="s">
        <v>793</v>
      </c>
      <c r="T949" s="179">
        <v>61.5</v>
      </c>
      <c r="U949" s="119"/>
      <c r="V949" s="75"/>
      <c r="W949" s="75">
        <f t="shared" si="25"/>
        <v>0</v>
      </c>
      <c r="X949" s="75"/>
      <c r="Y949" s="75"/>
      <c r="Z949" s="75"/>
      <c r="AA949" s="258"/>
      <c r="AB949" s="75"/>
      <c r="AC949" s="75"/>
      <c r="AD949" s="75"/>
      <c r="AE949" s="260" t="s">
        <v>398</v>
      </c>
      <c r="AF949" s="119"/>
      <c r="AG949" s="174" t="s">
        <v>810</v>
      </c>
    </row>
    <row r="950" spans="1:33" s="81" customFormat="1" ht="42" customHeight="1" x14ac:dyDescent="0.2">
      <c r="A950" s="13">
        <f t="shared" si="21"/>
        <v>74</v>
      </c>
      <c r="B950" s="11"/>
      <c r="C950" s="84"/>
      <c r="D950" s="2"/>
      <c r="E950" s="2"/>
      <c r="F950" s="1"/>
      <c r="G950" s="1"/>
      <c r="H950" s="122"/>
      <c r="I950" s="62"/>
      <c r="J950" s="172"/>
      <c r="K950" s="172"/>
      <c r="L950" s="75" t="str">
        <f t="shared" si="22"/>
        <v xml:space="preserve"> </v>
      </c>
      <c r="M950" s="75" t="str">
        <f t="shared" si="23"/>
        <v xml:space="preserve"> </v>
      </c>
      <c r="N950" s="68"/>
      <c r="O950" s="63"/>
      <c r="P950" s="74"/>
      <c r="Q950" s="75" t="str">
        <f t="shared" si="24"/>
        <v xml:space="preserve"> </v>
      </c>
      <c r="R950" s="174" t="s">
        <v>1750</v>
      </c>
      <c r="S950" s="173" t="s">
        <v>793</v>
      </c>
      <c r="T950" s="179">
        <v>84.5</v>
      </c>
      <c r="U950" s="119"/>
      <c r="V950" s="75"/>
      <c r="W950" s="75">
        <f t="shared" si="25"/>
        <v>0</v>
      </c>
      <c r="X950" s="75"/>
      <c r="Y950" s="75"/>
      <c r="Z950" s="75"/>
      <c r="AA950" s="258"/>
      <c r="AB950" s="75"/>
      <c r="AC950" s="75"/>
      <c r="AD950" s="75"/>
      <c r="AE950" s="68"/>
      <c r="AF950" s="68"/>
      <c r="AG950" s="119"/>
    </row>
    <row r="951" spans="1:33" s="81" customFormat="1" ht="30" x14ac:dyDescent="0.2">
      <c r="A951" s="13">
        <f t="shared" si="21"/>
        <v>74</v>
      </c>
      <c r="B951" s="11"/>
      <c r="C951" s="84"/>
      <c r="D951" s="2"/>
      <c r="E951" s="2"/>
      <c r="F951" s="1"/>
      <c r="G951" s="1"/>
      <c r="H951" s="122"/>
      <c r="I951" s="62"/>
      <c r="J951" s="172"/>
      <c r="K951" s="172"/>
      <c r="L951" s="75" t="str">
        <f t="shared" si="22"/>
        <v xml:space="preserve"> </v>
      </c>
      <c r="M951" s="75" t="str">
        <f t="shared" si="23"/>
        <v xml:space="preserve"> </v>
      </c>
      <c r="N951" s="68"/>
      <c r="O951" s="63"/>
      <c r="P951" s="74"/>
      <c r="Q951" s="75" t="str">
        <f t="shared" si="24"/>
        <v xml:space="preserve"> </v>
      </c>
      <c r="R951" s="174" t="s">
        <v>1759</v>
      </c>
      <c r="S951" s="173" t="s">
        <v>793</v>
      </c>
      <c r="T951" s="179">
        <v>3.5</v>
      </c>
      <c r="U951" s="119"/>
      <c r="V951" s="75"/>
      <c r="W951" s="75">
        <f t="shared" si="25"/>
        <v>0</v>
      </c>
      <c r="X951" s="75"/>
      <c r="Y951" s="75"/>
      <c r="Z951" s="75"/>
      <c r="AA951" s="258"/>
      <c r="AB951" s="75"/>
      <c r="AC951" s="75"/>
      <c r="AD951" s="75"/>
      <c r="AE951" s="119"/>
      <c r="AF951" s="119"/>
      <c r="AG951" s="119"/>
    </row>
    <row r="952" spans="1:33" s="81" customFormat="1" ht="18" x14ac:dyDescent="0.2">
      <c r="A952" s="13">
        <f t="shared" si="21"/>
        <v>74</v>
      </c>
      <c r="B952" s="11"/>
      <c r="C952" s="84"/>
      <c r="D952" s="2"/>
      <c r="E952" s="2"/>
      <c r="F952" s="1"/>
      <c r="G952" s="1"/>
      <c r="H952" s="122"/>
      <c r="I952" s="62"/>
      <c r="J952" s="172"/>
      <c r="K952" s="172"/>
      <c r="L952" s="75" t="str">
        <f t="shared" si="22"/>
        <v xml:space="preserve"> </v>
      </c>
      <c r="M952" s="75" t="str">
        <f t="shared" si="23"/>
        <v xml:space="preserve"> </v>
      </c>
      <c r="N952" s="68"/>
      <c r="O952" s="63"/>
      <c r="P952" s="74"/>
      <c r="Q952" s="75" t="str">
        <f t="shared" si="24"/>
        <v xml:space="preserve"> </v>
      </c>
      <c r="R952" s="70" t="s">
        <v>1757</v>
      </c>
      <c r="S952" s="173" t="s">
        <v>793</v>
      </c>
      <c r="T952" s="179">
        <v>61.5</v>
      </c>
      <c r="U952" s="119"/>
      <c r="V952" s="75"/>
      <c r="W952" s="75">
        <f t="shared" si="25"/>
        <v>0</v>
      </c>
      <c r="X952" s="75"/>
      <c r="Y952" s="75"/>
      <c r="Z952" s="75"/>
      <c r="AA952" s="258"/>
      <c r="AB952" s="75"/>
      <c r="AC952" s="75"/>
      <c r="AD952" s="75"/>
      <c r="AE952" s="119"/>
      <c r="AF952" s="119"/>
      <c r="AG952" s="119"/>
    </row>
    <row r="953" spans="1:33" s="81" customFormat="1" ht="18" x14ac:dyDescent="0.2">
      <c r="A953" s="13">
        <f t="shared" si="21"/>
        <v>74</v>
      </c>
      <c r="B953" s="11"/>
      <c r="C953" s="84"/>
      <c r="D953" s="2"/>
      <c r="E953" s="2"/>
      <c r="F953" s="1"/>
      <c r="G953" s="1"/>
      <c r="H953" s="122"/>
      <c r="I953" s="62"/>
      <c r="J953" s="172"/>
      <c r="K953" s="172"/>
      <c r="L953" s="75" t="str">
        <f t="shared" si="22"/>
        <v xml:space="preserve"> </v>
      </c>
      <c r="M953" s="75" t="str">
        <f t="shared" si="23"/>
        <v xml:space="preserve"> </v>
      </c>
      <c r="N953" s="68"/>
      <c r="O953" s="63"/>
      <c r="P953" s="74"/>
      <c r="Q953" s="75" t="str">
        <f t="shared" si="24"/>
        <v xml:space="preserve"> </v>
      </c>
      <c r="R953" s="70" t="s">
        <v>1757</v>
      </c>
      <c r="S953" s="173" t="s">
        <v>793</v>
      </c>
      <c r="T953" s="179">
        <v>84.5</v>
      </c>
      <c r="U953" s="119"/>
      <c r="V953" s="75"/>
      <c r="W953" s="75">
        <f t="shared" si="25"/>
        <v>0</v>
      </c>
      <c r="X953" s="75"/>
      <c r="Y953" s="75"/>
      <c r="Z953" s="75"/>
      <c r="AA953" s="258"/>
      <c r="AB953" s="75"/>
      <c r="AC953" s="75"/>
      <c r="AD953" s="75"/>
      <c r="AE953" s="119"/>
      <c r="AF953" s="119"/>
      <c r="AG953" s="119"/>
    </row>
    <row r="954" spans="1:33" s="81" customFormat="1" x14ac:dyDescent="0.2">
      <c r="A954" s="13">
        <f t="shared" si="21"/>
        <v>74</v>
      </c>
      <c r="B954" s="11"/>
      <c r="C954" s="84"/>
      <c r="D954" s="2"/>
      <c r="E954" s="2"/>
      <c r="F954" s="1"/>
      <c r="G954" s="1"/>
      <c r="H954" s="122"/>
      <c r="I954" s="62"/>
      <c r="J954" s="172"/>
      <c r="K954" s="172"/>
      <c r="L954" s="75" t="str">
        <f t="shared" si="22"/>
        <v xml:space="preserve"> </v>
      </c>
      <c r="M954" s="75" t="str">
        <f t="shared" si="23"/>
        <v xml:space="preserve"> </v>
      </c>
      <c r="N954" s="68"/>
      <c r="O954" s="63"/>
      <c r="P954" s="74"/>
      <c r="Q954" s="75" t="str">
        <f t="shared" si="24"/>
        <v xml:space="preserve"> </v>
      </c>
      <c r="R954" s="174"/>
      <c r="S954" s="173"/>
      <c r="T954" s="179"/>
      <c r="U954" s="119"/>
      <c r="V954" s="75"/>
      <c r="W954" s="75" t="str">
        <f t="shared" si="25"/>
        <v xml:space="preserve"> </v>
      </c>
      <c r="X954" s="75"/>
      <c r="Y954" s="75"/>
      <c r="Z954" s="75"/>
      <c r="AA954" s="258"/>
      <c r="AB954" s="75"/>
      <c r="AC954" s="75"/>
      <c r="AD954" s="75"/>
      <c r="AE954" s="119"/>
      <c r="AF954" s="119"/>
      <c r="AG954" s="119"/>
    </row>
    <row r="955" spans="1:33" s="81" customFormat="1" x14ac:dyDescent="0.2">
      <c r="A955" s="13">
        <f t="shared" si="21"/>
        <v>74</v>
      </c>
      <c r="B955" s="11"/>
      <c r="C955" s="1"/>
      <c r="D955" s="2"/>
      <c r="E955" s="2"/>
      <c r="F955" s="1"/>
      <c r="G955" s="1"/>
      <c r="H955" s="122"/>
      <c r="I955" s="62"/>
      <c r="J955" s="172"/>
      <c r="K955" s="172"/>
      <c r="L955" s="75" t="str">
        <f t="shared" si="22"/>
        <v xml:space="preserve"> </v>
      </c>
      <c r="M955" s="75" t="str">
        <f t="shared" si="23"/>
        <v xml:space="preserve"> </v>
      </c>
      <c r="N955" s="68"/>
      <c r="O955" s="63"/>
      <c r="P955" s="74"/>
      <c r="Q955" s="75" t="str">
        <f t="shared" si="24"/>
        <v xml:space="preserve"> </v>
      </c>
      <c r="R955" s="174"/>
      <c r="S955" s="173"/>
      <c r="T955" s="179"/>
      <c r="U955" s="119"/>
      <c r="V955" s="75"/>
      <c r="W955" s="75" t="str">
        <f t="shared" si="25"/>
        <v xml:space="preserve"> </v>
      </c>
      <c r="X955" s="75"/>
      <c r="Y955" s="75"/>
      <c r="Z955" s="75"/>
      <c r="AA955" s="258"/>
      <c r="AB955" s="75"/>
      <c r="AC955" s="75"/>
      <c r="AD955" s="75"/>
      <c r="AE955" s="119"/>
      <c r="AF955" s="119"/>
      <c r="AG955" s="119"/>
    </row>
    <row r="956" spans="1:33" s="81" customFormat="1" ht="60" x14ac:dyDescent="0.2">
      <c r="A956" s="13">
        <f t="shared" si="21"/>
        <v>75</v>
      </c>
      <c r="B956" s="11">
        <v>75</v>
      </c>
      <c r="C956" s="92" t="s">
        <v>825</v>
      </c>
      <c r="D956" s="178">
        <v>5</v>
      </c>
      <c r="E956" s="2">
        <v>86</v>
      </c>
      <c r="F956" s="1">
        <v>248</v>
      </c>
      <c r="G956" s="84" t="s">
        <v>826</v>
      </c>
      <c r="H956" s="123">
        <f>1459.6-H958-H957</f>
        <v>265.8</v>
      </c>
      <c r="I956" s="124"/>
      <c r="J956" s="172"/>
      <c r="K956" s="172"/>
      <c r="L956" s="75">
        <f t="shared" si="22"/>
        <v>0</v>
      </c>
      <c r="M956" s="75">
        <f t="shared" si="23"/>
        <v>0</v>
      </c>
      <c r="N956" s="70" t="s">
        <v>827</v>
      </c>
      <c r="O956" s="180">
        <v>2</v>
      </c>
      <c r="P956" s="74"/>
      <c r="Q956" s="75">
        <f t="shared" si="24"/>
        <v>0</v>
      </c>
      <c r="R956" s="70" t="s">
        <v>1748</v>
      </c>
      <c r="S956" s="173" t="s">
        <v>793</v>
      </c>
      <c r="T956" s="179">
        <v>11.25</v>
      </c>
      <c r="U956" s="69"/>
      <c r="V956" s="75"/>
      <c r="W956" s="75">
        <f t="shared" si="25"/>
        <v>0</v>
      </c>
      <c r="X956" s="75"/>
      <c r="Y956" s="75"/>
      <c r="Z956" s="75"/>
      <c r="AA956" s="258"/>
      <c r="AB956" s="75"/>
      <c r="AC956" s="75"/>
      <c r="AD956" s="75"/>
      <c r="AE956" s="120" t="s">
        <v>828</v>
      </c>
      <c r="AF956" s="120"/>
      <c r="AG956" s="174" t="s">
        <v>795</v>
      </c>
    </row>
    <row r="957" spans="1:33" s="81" customFormat="1" ht="60" x14ac:dyDescent="0.2">
      <c r="A957" s="13">
        <f t="shared" si="21"/>
        <v>75</v>
      </c>
      <c r="B957" s="11"/>
      <c r="C957" s="82" t="s">
        <v>829</v>
      </c>
      <c r="D957" s="178"/>
      <c r="E957" s="2">
        <v>86</v>
      </c>
      <c r="F957" s="1">
        <v>248</v>
      </c>
      <c r="G957" s="84" t="s">
        <v>819</v>
      </c>
      <c r="H957" s="123">
        <v>130.69999999999999</v>
      </c>
      <c r="I957" s="124"/>
      <c r="J957" s="172"/>
      <c r="K957" s="172"/>
      <c r="L957" s="75">
        <f t="shared" si="22"/>
        <v>0</v>
      </c>
      <c r="M957" s="75">
        <f t="shared" si="23"/>
        <v>0</v>
      </c>
      <c r="N957" s="70" t="s">
        <v>401</v>
      </c>
      <c r="O957" s="180">
        <v>19</v>
      </c>
      <c r="P957" s="74"/>
      <c r="Q957" s="75">
        <f t="shared" si="24"/>
        <v>0</v>
      </c>
      <c r="R957" s="174" t="s">
        <v>1749</v>
      </c>
      <c r="S957" s="173" t="s">
        <v>793</v>
      </c>
      <c r="T957" s="179">
        <v>11.25</v>
      </c>
      <c r="U957" s="181"/>
      <c r="V957" s="75"/>
      <c r="W957" s="75">
        <f t="shared" si="25"/>
        <v>0</v>
      </c>
      <c r="X957" s="75"/>
      <c r="Y957" s="75"/>
      <c r="Z957" s="75"/>
      <c r="AA957" s="258"/>
      <c r="AB957" s="75"/>
      <c r="AC957" s="75"/>
      <c r="AD957" s="75"/>
      <c r="AE957" s="120" t="s">
        <v>830</v>
      </c>
      <c r="AF957" s="120"/>
      <c r="AG957" s="174" t="s">
        <v>800</v>
      </c>
    </row>
    <row r="958" spans="1:33" s="81" customFormat="1" ht="60" x14ac:dyDescent="0.2">
      <c r="A958" s="13">
        <f t="shared" si="21"/>
        <v>75</v>
      </c>
      <c r="B958" s="11"/>
      <c r="C958" s="84" t="s">
        <v>1654</v>
      </c>
      <c r="D958" s="2"/>
      <c r="E958" s="2"/>
      <c r="F958" s="1"/>
      <c r="G958" s="84" t="s">
        <v>831</v>
      </c>
      <c r="H958" s="123">
        <v>1063.0999999999999</v>
      </c>
      <c r="I958" s="124"/>
      <c r="J958" s="172"/>
      <c r="K958" s="172"/>
      <c r="L958" s="75">
        <f t="shared" si="22"/>
        <v>0</v>
      </c>
      <c r="M958" s="75">
        <f t="shared" si="23"/>
        <v>0</v>
      </c>
      <c r="N958" s="182" t="s">
        <v>832</v>
      </c>
      <c r="O958" s="180">
        <v>2</v>
      </c>
      <c r="P958" s="74"/>
      <c r="Q958" s="75">
        <f t="shared" si="24"/>
        <v>0</v>
      </c>
      <c r="R958" s="174" t="s">
        <v>1750</v>
      </c>
      <c r="S958" s="173" t="s">
        <v>793</v>
      </c>
      <c r="T958" s="179">
        <v>36</v>
      </c>
      <c r="U958" s="181"/>
      <c r="V958" s="75"/>
      <c r="W958" s="75">
        <f t="shared" si="25"/>
        <v>0</v>
      </c>
      <c r="X958" s="75"/>
      <c r="Y958" s="75"/>
      <c r="Z958" s="75"/>
      <c r="AA958" s="258"/>
      <c r="AB958" s="75"/>
      <c r="AC958" s="75"/>
      <c r="AD958" s="75"/>
      <c r="AE958" s="119" t="s">
        <v>809</v>
      </c>
      <c r="AF958" s="119"/>
      <c r="AG958" s="174" t="s">
        <v>804</v>
      </c>
    </row>
    <row r="959" spans="1:33" s="81" customFormat="1" ht="63.75" x14ac:dyDescent="0.2">
      <c r="A959" s="13">
        <f t="shared" si="21"/>
        <v>75</v>
      </c>
      <c r="B959" s="11"/>
      <c r="C959" s="1"/>
      <c r="D959" s="2"/>
      <c r="E959" s="2"/>
      <c r="F959" s="1"/>
      <c r="G959" s="84" t="s">
        <v>833</v>
      </c>
      <c r="H959" s="123">
        <v>0.1</v>
      </c>
      <c r="I959" s="124"/>
      <c r="J959" s="172"/>
      <c r="K959" s="172"/>
      <c r="L959" s="75">
        <f t="shared" si="22"/>
        <v>0</v>
      </c>
      <c r="M959" s="75">
        <f t="shared" si="23"/>
        <v>0</v>
      </c>
      <c r="N959" s="182" t="s">
        <v>832</v>
      </c>
      <c r="O959" s="180">
        <v>2</v>
      </c>
      <c r="P959" s="74"/>
      <c r="Q959" s="75">
        <f t="shared" si="24"/>
        <v>0</v>
      </c>
      <c r="R959" s="70" t="s">
        <v>1748</v>
      </c>
      <c r="S959" s="173" t="s">
        <v>793</v>
      </c>
      <c r="T959" s="179">
        <v>3.6</v>
      </c>
      <c r="U959" s="181"/>
      <c r="V959" s="75"/>
      <c r="W959" s="75">
        <f t="shared" si="25"/>
        <v>0</v>
      </c>
      <c r="X959" s="75"/>
      <c r="Y959" s="75"/>
      <c r="Z959" s="75"/>
      <c r="AA959" s="258"/>
      <c r="AB959" s="75"/>
      <c r="AC959" s="75"/>
      <c r="AD959" s="75"/>
      <c r="AE959" s="261" t="s">
        <v>1760</v>
      </c>
      <c r="AF959" s="68"/>
      <c r="AG959" s="174" t="s">
        <v>808</v>
      </c>
    </row>
    <row r="960" spans="1:33" s="81" customFormat="1" ht="60" x14ac:dyDescent="0.2">
      <c r="A960" s="13">
        <f t="shared" si="21"/>
        <v>75</v>
      </c>
      <c r="B960" s="11"/>
      <c r="C960" s="1"/>
      <c r="D960" s="2"/>
      <c r="E960" s="2"/>
      <c r="F960" s="1"/>
      <c r="G960" s="1"/>
      <c r="H960" s="122"/>
      <c r="I960" s="124"/>
      <c r="J960" s="172"/>
      <c r="K960" s="172"/>
      <c r="L960" s="75" t="str">
        <f t="shared" si="22"/>
        <v xml:space="preserve"> </v>
      </c>
      <c r="M960" s="75" t="str">
        <f t="shared" si="23"/>
        <v xml:space="preserve"> </v>
      </c>
      <c r="N960" s="70" t="s">
        <v>798</v>
      </c>
      <c r="O960" s="180">
        <v>1</v>
      </c>
      <c r="P960" s="74"/>
      <c r="Q960" s="75">
        <f t="shared" si="24"/>
        <v>0</v>
      </c>
      <c r="R960" s="70" t="s">
        <v>1748</v>
      </c>
      <c r="S960" s="173" t="s">
        <v>793</v>
      </c>
      <c r="T960" s="179">
        <v>12.16</v>
      </c>
      <c r="U960" s="181"/>
      <c r="V960" s="75"/>
      <c r="W960" s="75">
        <f t="shared" si="25"/>
        <v>0</v>
      </c>
      <c r="X960" s="75"/>
      <c r="Y960" s="75"/>
      <c r="Z960" s="75"/>
      <c r="AA960" s="258"/>
      <c r="AB960" s="75"/>
      <c r="AC960" s="75"/>
      <c r="AD960" s="75"/>
      <c r="AE960" s="68"/>
      <c r="AF960" s="68"/>
      <c r="AG960" s="174" t="s">
        <v>810</v>
      </c>
    </row>
    <row r="961" spans="1:33" s="81" customFormat="1" ht="18" x14ac:dyDescent="0.2">
      <c r="A961" s="13">
        <f t="shared" si="21"/>
        <v>75</v>
      </c>
      <c r="B961" s="11"/>
      <c r="C961" s="1"/>
      <c r="D961" s="2"/>
      <c r="E961" s="2"/>
      <c r="F961" s="1"/>
      <c r="G961" s="1"/>
      <c r="H961" s="122"/>
      <c r="I961" s="124"/>
      <c r="J961" s="172"/>
      <c r="K961" s="172"/>
      <c r="L961" s="75" t="str">
        <f t="shared" si="22"/>
        <v xml:space="preserve"> </v>
      </c>
      <c r="M961" s="75" t="str">
        <f t="shared" si="23"/>
        <v xml:space="preserve"> </v>
      </c>
      <c r="N961" s="70" t="s">
        <v>798</v>
      </c>
      <c r="O961" s="180">
        <v>62</v>
      </c>
      <c r="P961" s="74"/>
      <c r="Q961" s="75">
        <f t="shared" si="24"/>
        <v>0</v>
      </c>
      <c r="R961" s="174" t="s">
        <v>1749</v>
      </c>
      <c r="S961" s="173" t="s">
        <v>793</v>
      </c>
      <c r="T961" s="179">
        <v>12.16</v>
      </c>
      <c r="U961" s="181"/>
      <c r="V961" s="75"/>
      <c r="W961" s="75">
        <f t="shared" si="25"/>
        <v>0</v>
      </c>
      <c r="X961" s="75"/>
      <c r="Y961" s="75"/>
      <c r="Z961" s="75"/>
      <c r="AA961" s="258"/>
      <c r="AB961" s="75"/>
      <c r="AC961" s="75"/>
      <c r="AD961" s="75"/>
      <c r="AE961" s="119"/>
      <c r="AF961" s="119"/>
      <c r="AG961" s="119"/>
    </row>
    <row r="962" spans="1:33" s="81" customFormat="1" ht="18" x14ac:dyDescent="0.2">
      <c r="A962" s="13">
        <f t="shared" si="21"/>
        <v>75</v>
      </c>
      <c r="B962" s="11"/>
      <c r="C962" s="1"/>
      <c r="D962" s="2"/>
      <c r="E962" s="2"/>
      <c r="F962" s="1"/>
      <c r="G962" s="1"/>
      <c r="H962" s="122"/>
      <c r="I962" s="124"/>
      <c r="J962" s="172"/>
      <c r="K962" s="172"/>
      <c r="L962" s="75" t="str">
        <f t="shared" si="22"/>
        <v xml:space="preserve"> </v>
      </c>
      <c r="M962" s="75" t="str">
        <f t="shared" si="23"/>
        <v xml:space="preserve"> </v>
      </c>
      <c r="N962" s="70" t="s">
        <v>783</v>
      </c>
      <c r="O962" s="180">
        <v>1</v>
      </c>
      <c r="P962" s="74"/>
      <c r="Q962" s="75">
        <f t="shared" si="24"/>
        <v>0</v>
      </c>
      <c r="R962" s="70" t="s">
        <v>1748</v>
      </c>
      <c r="S962" s="173" t="s">
        <v>793</v>
      </c>
      <c r="T962" s="179">
        <v>9.84</v>
      </c>
      <c r="U962" s="181"/>
      <c r="V962" s="75"/>
      <c r="W962" s="75">
        <f t="shared" si="25"/>
        <v>0</v>
      </c>
      <c r="X962" s="75"/>
      <c r="Y962" s="75"/>
      <c r="Z962" s="75"/>
      <c r="AA962" s="258"/>
      <c r="AB962" s="75"/>
      <c r="AC962" s="75"/>
      <c r="AD962" s="75"/>
      <c r="AE962" s="119"/>
      <c r="AF962" s="119"/>
      <c r="AG962" s="119"/>
    </row>
    <row r="963" spans="1:33" s="81" customFormat="1" ht="30" x14ac:dyDescent="0.2">
      <c r="A963" s="13">
        <f t="shared" si="21"/>
        <v>75</v>
      </c>
      <c r="B963" s="11"/>
      <c r="C963" s="1"/>
      <c r="D963" s="2"/>
      <c r="E963" s="2"/>
      <c r="F963" s="1"/>
      <c r="G963" s="1"/>
      <c r="H963" s="122"/>
      <c r="I963" s="124"/>
      <c r="J963" s="172"/>
      <c r="K963" s="172"/>
      <c r="L963" s="75" t="str">
        <f t="shared" si="22"/>
        <v xml:space="preserve"> </v>
      </c>
      <c r="M963" s="75" t="str">
        <f t="shared" si="23"/>
        <v xml:space="preserve"> </v>
      </c>
      <c r="N963" s="70" t="s">
        <v>834</v>
      </c>
      <c r="O963" s="180">
        <v>1</v>
      </c>
      <c r="P963" s="74"/>
      <c r="Q963" s="75">
        <f t="shared" si="24"/>
        <v>0</v>
      </c>
      <c r="R963" s="70" t="s">
        <v>1749</v>
      </c>
      <c r="S963" s="173" t="s">
        <v>793</v>
      </c>
      <c r="T963" s="179">
        <v>9.84</v>
      </c>
      <c r="U963" s="181"/>
      <c r="V963" s="75"/>
      <c r="W963" s="75">
        <f t="shared" si="25"/>
        <v>0</v>
      </c>
      <c r="X963" s="75"/>
      <c r="Y963" s="75"/>
      <c r="Z963" s="75"/>
      <c r="AA963" s="258"/>
      <c r="AB963" s="75"/>
      <c r="AC963" s="75"/>
      <c r="AD963" s="75"/>
      <c r="AE963" s="119"/>
      <c r="AF963" s="119"/>
      <c r="AG963" s="119"/>
    </row>
    <row r="964" spans="1:33" s="81" customFormat="1" ht="18" x14ac:dyDescent="0.2">
      <c r="A964" s="13">
        <f t="shared" si="21"/>
        <v>75</v>
      </c>
      <c r="B964" s="11"/>
      <c r="C964" s="1"/>
      <c r="D964" s="2"/>
      <c r="E964" s="2"/>
      <c r="F964" s="1"/>
      <c r="G964" s="1"/>
      <c r="H964" s="122"/>
      <c r="I964" s="124"/>
      <c r="J964" s="172"/>
      <c r="K964" s="172"/>
      <c r="L964" s="75" t="str">
        <f t="shared" si="22"/>
        <v xml:space="preserve"> </v>
      </c>
      <c r="M964" s="75" t="str">
        <f t="shared" si="23"/>
        <v xml:space="preserve"> </v>
      </c>
      <c r="N964" s="70" t="s">
        <v>64</v>
      </c>
      <c r="O964" s="180">
        <v>4</v>
      </c>
      <c r="P964" s="74"/>
      <c r="Q964" s="75">
        <f t="shared" si="24"/>
        <v>0</v>
      </c>
      <c r="R964" s="70" t="s">
        <v>1761</v>
      </c>
      <c r="S964" s="173" t="s">
        <v>793</v>
      </c>
      <c r="T964" s="179">
        <v>24.6</v>
      </c>
      <c r="U964" s="181"/>
      <c r="V964" s="75"/>
      <c r="W964" s="75">
        <f t="shared" si="25"/>
        <v>0</v>
      </c>
      <c r="X964" s="75"/>
      <c r="Y964" s="75"/>
      <c r="Z964" s="75"/>
      <c r="AA964" s="258"/>
      <c r="AB964" s="75"/>
      <c r="AC964" s="75"/>
      <c r="AD964" s="75"/>
      <c r="AE964" s="119"/>
      <c r="AF964" s="119"/>
      <c r="AG964" s="119"/>
    </row>
    <row r="965" spans="1:33" s="81" customFormat="1" x14ac:dyDescent="0.2">
      <c r="A965" s="13">
        <f t="shared" si="21"/>
        <v>75</v>
      </c>
      <c r="B965" s="11"/>
      <c r="C965" s="1"/>
      <c r="D965" s="2"/>
      <c r="E965" s="2"/>
      <c r="F965" s="1"/>
      <c r="G965" s="1"/>
      <c r="H965" s="122"/>
      <c r="I965" s="124"/>
      <c r="J965" s="172"/>
      <c r="K965" s="172"/>
      <c r="L965" s="75" t="str">
        <f t="shared" si="22"/>
        <v xml:space="preserve"> </v>
      </c>
      <c r="M965" s="75" t="str">
        <f t="shared" si="23"/>
        <v xml:space="preserve"> </v>
      </c>
      <c r="N965" s="70" t="s">
        <v>67</v>
      </c>
      <c r="O965" s="180">
        <v>4</v>
      </c>
      <c r="P965" s="74"/>
      <c r="Q965" s="75">
        <f t="shared" si="24"/>
        <v>0</v>
      </c>
      <c r="R965" s="70"/>
      <c r="S965" s="183"/>
      <c r="T965" s="179"/>
      <c r="U965" s="181"/>
      <c r="V965" s="75"/>
      <c r="W965" s="75" t="str">
        <f t="shared" si="25"/>
        <v xml:space="preserve"> </v>
      </c>
      <c r="X965" s="75"/>
      <c r="Y965" s="75"/>
      <c r="Z965" s="75"/>
      <c r="AA965" s="258"/>
      <c r="AB965" s="75"/>
      <c r="AC965" s="75"/>
      <c r="AD965" s="75"/>
      <c r="AE965" s="119"/>
      <c r="AF965" s="119"/>
      <c r="AG965" s="119"/>
    </row>
    <row r="966" spans="1:33" s="81" customFormat="1" x14ac:dyDescent="0.2">
      <c r="A966" s="13">
        <f t="shared" si="21"/>
        <v>75</v>
      </c>
      <c r="B966" s="11"/>
      <c r="C966" s="1"/>
      <c r="D966" s="2"/>
      <c r="E966" s="2"/>
      <c r="F966" s="1"/>
      <c r="G966" s="1"/>
      <c r="H966" s="122"/>
      <c r="I966" s="124"/>
      <c r="J966" s="172"/>
      <c r="K966" s="172"/>
      <c r="L966" s="75" t="str">
        <f t="shared" si="22"/>
        <v xml:space="preserve"> </v>
      </c>
      <c r="M966" s="75" t="str">
        <f t="shared" si="23"/>
        <v xml:space="preserve"> </v>
      </c>
      <c r="N966" s="70" t="s">
        <v>835</v>
      </c>
      <c r="O966" s="180">
        <v>3</v>
      </c>
      <c r="P966" s="74"/>
      <c r="Q966" s="75">
        <f t="shared" si="24"/>
        <v>0</v>
      </c>
      <c r="R966" s="70"/>
      <c r="S966" s="183"/>
      <c r="T966" s="179"/>
      <c r="U966" s="181"/>
      <c r="V966" s="75"/>
      <c r="W966" s="75" t="str">
        <f t="shared" si="25"/>
        <v xml:space="preserve"> </v>
      </c>
      <c r="X966" s="75"/>
      <c r="Y966" s="75"/>
      <c r="Z966" s="75"/>
      <c r="AA966" s="258"/>
      <c r="AB966" s="75"/>
      <c r="AC966" s="75"/>
      <c r="AD966" s="75"/>
      <c r="AE966" s="119"/>
      <c r="AF966" s="119"/>
      <c r="AG966" s="119"/>
    </row>
    <row r="967" spans="1:33" s="81" customFormat="1" x14ac:dyDescent="0.2">
      <c r="A967" s="13">
        <f t="shared" si="21"/>
        <v>75</v>
      </c>
      <c r="B967" s="11"/>
      <c r="C967" s="1"/>
      <c r="D967" s="2"/>
      <c r="E967" s="2"/>
      <c r="F967" s="1"/>
      <c r="G967" s="1"/>
      <c r="H967" s="122"/>
      <c r="I967" s="124"/>
      <c r="J967" s="172"/>
      <c r="K967" s="172"/>
      <c r="L967" s="75" t="str">
        <f t="shared" si="22"/>
        <v xml:space="preserve"> </v>
      </c>
      <c r="M967" s="75" t="str">
        <f t="shared" si="23"/>
        <v xml:space="preserve"> </v>
      </c>
      <c r="N967" s="70" t="s">
        <v>777</v>
      </c>
      <c r="O967" s="180">
        <v>2</v>
      </c>
      <c r="P967" s="74"/>
      <c r="Q967" s="75">
        <f t="shared" si="24"/>
        <v>0</v>
      </c>
      <c r="R967" s="70"/>
      <c r="S967" s="183"/>
      <c r="T967" s="179"/>
      <c r="U967" s="181"/>
      <c r="V967" s="75"/>
      <c r="W967" s="75" t="str">
        <f t="shared" si="25"/>
        <v xml:space="preserve"> </v>
      </c>
      <c r="X967" s="75"/>
      <c r="Y967" s="75"/>
      <c r="Z967" s="75"/>
      <c r="AA967" s="258"/>
      <c r="AB967" s="75"/>
      <c r="AC967" s="75"/>
      <c r="AD967" s="75"/>
      <c r="AE967" s="119"/>
      <c r="AF967" s="119"/>
      <c r="AG967" s="119"/>
    </row>
    <row r="968" spans="1:33" s="81" customFormat="1" x14ac:dyDescent="0.2">
      <c r="A968" s="13">
        <f t="shared" si="21"/>
        <v>75</v>
      </c>
      <c r="B968" s="11"/>
      <c r="C968" s="1"/>
      <c r="D968" s="2"/>
      <c r="E968" s="2"/>
      <c r="F968" s="1"/>
      <c r="G968" s="1"/>
      <c r="H968" s="122"/>
      <c r="I968" s="124"/>
      <c r="J968" s="172"/>
      <c r="K968" s="172"/>
      <c r="L968" s="75" t="str">
        <f t="shared" si="22"/>
        <v xml:space="preserve"> </v>
      </c>
      <c r="M968" s="75" t="str">
        <f t="shared" si="23"/>
        <v xml:space="preserve"> </v>
      </c>
      <c r="N968" s="70" t="s">
        <v>836</v>
      </c>
      <c r="O968" s="180">
        <v>2</v>
      </c>
      <c r="P968" s="74"/>
      <c r="Q968" s="75">
        <f t="shared" si="24"/>
        <v>0</v>
      </c>
      <c r="R968" s="70"/>
      <c r="S968" s="183"/>
      <c r="T968" s="179"/>
      <c r="U968" s="181"/>
      <c r="V968" s="75"/>
      <c r="W968" s="75" t="str">
        <f t="shared" si="25"/>
        <v xml:space="preserve"> </v>
      </c>
      <c r="X968" s="75"/>
      <c r="Y968" s="75"/>
      <c r="Z968" s="75"/>
      <c r="AA968" s="258"/>
      <c r="AB968" s="75"/>
      <c r="AC968" s="75"/>
      <c r="AD968" s="75"/>
      <c r="AE968" s="119"/>
      <c r="AF968" s="119"/>
      <c r="AG968" s="119"/>
    </row>
    <row r="969" spans="1:33" s="81" customFormat="1" x14ac:dyDescent="0.2">
      <c r="A969" s="13">
        <f t="shared" si="21"/>
        <v>75</v>
      </c>
      <c r="B969" s="11"/>
      <c r="C969" s="82"/>
      <c r="D969" s="178"/>
      <c r="E969" s="2"/>
      <c r="F969" s="1"/>
      <c r="G969" s="1"/>
      <c r="H969" s="122"/>
      <c r="I969" s="124"/>
      <c r="J969" s="172"/>
      <c r="K969" s="172"/>
      <c r="L969" s="75" t="str">
        <f t="shared" si="22"/>
        <v xml:space="preserve"> </v>
      </c>
      <c r="M969" s="75" t="str">
        <f t="shared" si="23"/>
        <v xml:space="preserve"> </v>
      </c>
      <c r="N969" s="70" t="s">
        <v>76</v>
      </c>
      <c r="O969" s="180">
        <v>5</v>
      </c>
      <c r="P969" s="74"/>
      <c r="Q969" s="75">
        <f t="shared" si="24"/>
        <v>0</v>
      </c>
      <c r="R969" s="70"/>
      <c r="S969" s="183"/>
      <c r="T969" s="179"/>
      <c r="U969" s="181"/>
      <c r="V969" s="75"/>
      <c r="W969" s="75" t="str">
        <f t="shared" si="25"/>
        <v xml:space="preserve"> </v>
      </c>
      <c r="X969" s="75"/>
      <c r="Y969" s="75"/>
      <c r="Z969" s="75"/>
      <c r="AA969" s="258"/>
      <c r="AB969" s="75"/>
      <c r="AC969" s="75"/>
      <c r="AD969" s="75"/>
      <c r="AE969" s="119"/>
      <c r="AF969" s="119"/>
      <c r="AG969" s="119"/>
    </row>
    <row r="970" spans="1:33" s="81" customFormat="1" x14ac:dyDescent="0.2">
      <c r="A970" s="13">
        <f t="shared" si="21"/>
        <v>75</v>
      </c>
      <c r="B970" s="11"/>
      <c r="C970" s="82"/>
      <c r="D970" s="178"/>
      <c r="E970" s="2"/>
      <c r="F970" s="1"/>
      <c r="G970" s="1"/>
      <c r="H970" s="122"/>
      <c r="I970" s="124"/>
      <c r="J970" s="172"/>
      <c r="K970" s="172"/>
      <c r="L970" s="75" t="str">
        <f t="shared" si="22"/>
        <v xml:space="preserve"> </v>
      </c>
      <c r="M970" s="75" t="str">
        <f t="shared" si="23"/>
        <v xml:space="preserve"> </v>
      </c>
      <c r="N970" s="70" t="s">
        <v>73</v>
      </c>
      <c r="O970" s="180">
        <v>10</v>
      </c>
      <c r="P970" s="74"/>
      <c r="Q970" s="75">
        <f t="shared" si="24"/>
        <v>0</v>
      </c>
      <c r="R970" s="70"/>
      <c r="S970" s="183"/>
      <c r="T970" s="179"/>
      <c r="U970" s="181"/>
      <c r="V970" s="75"/>
      <c r="W970" s="75" t="str">
        <f t="shared" si="25"/>
        <v xml:space="preserve"> </v>
      </c>
      <c r="X970" s="75"/>
      <c r="Y970" s="75"/>
      <c r="Z970" s="75"/>
      <c r="AA970" s="258"/>
      <c r="AB970" s="75"/>
      <c r="AC970" s="75"/>
      <c r="AD970" s="75"/>
      <c r="AE970" s="119"/>
      <c r="AF970" s="119"/>
      <c r="AG970" s="119"/>
    </row>
    <row r="971" spans="1:33" s="81" customFormat="1" x14ac:dyDescent="0.2">
      <c r="A971" s="13">
        <f t="shared" si="21"/>
        <v>75</v>
      </c>
      <c r="B971" s="11"/>
      <c r="C971" s="82"/>
      <c r="D971" s="178"/>
      <c r="E971" s="133"/>
      <c r="F971" s="133"/>
      <c r="G971" s="84"/>
      <c r="H971" s="122"/>
      <c r="I971" s="124"/>
      <c r="J971" s="172"/>
      <c r="K971" s="172"/>
      <c r="L971" s="75" t="str">
        <f t="shared" si="22"/>
        <v xml:space="preserve"> </v>
      </c>
      <c r="M971" s="75" t="str">
        <f t="shared" si="23"/>
        <v xml:space="preserve"> </v>
      </c>
      <c r="N971" s="70" t="s">
        <v>75</v>
      </c>
      <c r="O971" s="180">
        <v>12</v>
      </c>
      <c r="P971" s="74"/>
      <c r="Q971" s="75">
        <f t="shared" si="24"/>
        <v>0</v>
      </c>
      <c r="R971" s="70"/>
      <c r="S971" s="183"/>
      <c r="T971" s="179"/>
      <c r="U971" s="181"/>
      <c r="V971" s="75"/>
      <c r="W971" s="75" t="str">
        <f t="shared" si="25"/>
        <v xml:space="preserve"> </v>
      </c>
      <c r="X971" s="75"/>
      <c r="Y971" s="75"/>
      <c r="Z971" s="75"/>
      <c r="AA971" s="258"/>
      <c r="AB971" s="75"/>
      <c r="AC971" s="75"/>
      <c r="AD971" s="75"/>
      <c r="AE971" s="119"/>
      <c r="AF971" s="119"/>
      <c r="AG971" s="119"/>
    </row>
    <row r="972" spans="1:33" s="81" customFormat="1" x14ac:dyDescent="0.2">
      <c r="A972" s="13">
        <f t="shared" si="21"/>
        <v>75</v>
      </c>
      <c r="B972" s="11"/>
      <c r="C972" s="82"/>
      <c r="D972" s="178"/>
      <c r="E972" s="133"/>
      <c r="F972" s="133"/>
      <c r="G972" s="84"/>
      <c r="H972" s="122"/>
      <c r="I972" s="124"/>
      <c r="J972" s="172"/>
      <c r="K972" s="172"/>
      <c r="L972" s="75" t="str">
        <f t="shared" si="22"/>
        <v xml:space="preserve"> </v>
      </c>
      <c r="M972" s="75" t="str">
        <f t="shared" si="23"/>
        <v xml:space="preserve"> </v>
      </c>
      <c r="N972" s="70" t="s">
        <v>736</v>
      </c>
      <c r="O972" s="180">
        <v>2</v>
      </c>
      <c r="P972" s="74"/>
      <c r="Q972" s="75">
        <f t="shared" si="24"/>
        <v>0</v>
      </c>
      <c r="R972" s="70"/>
      <c r="S972" s="183"/>
      <c r="T972" s="179"/>
      <c r="U972" s="181"/>
      <c r="V972" s="75"/>
      <c r="W972" s="75" t="str">
        <f t="shared" si="25"/>
        <v xml:space="preserve"> </v>
      </c>
      <c r="X972" s="75"/>
      <c r="Y972" s="75"/>
      <c r="Z972" s="75"/>
      <c r="AA972" s="258"/>
      <c r="AB972" s="75"/>
      <c r="AC972" s="75"/>
      <c r="AD972" s="75"/>
      <c r="AE972" s="119"/>
      <c r="AF972" s="119"/>
      <c r="AG972" s="119"/>
    </row>
    <row r="973" spans="1:33" s="81" customFormat="1" x14ac:dyDescent="0.2">
      <c r="A973" s="13">
        <f t="shared" si="21"/>
        <v>75</v>
      </c>
      <c r="B973" s="11"/>
      <c r="C973" s="82"/>
      <c r="D973" s="2"/>
      <c r="E973" s="2"/>
      <c r="F973" s="1"/>
      <c r="G973" s="1"/>
      <c r="H973" s="122"/>
      <c r="I973" s="124"/>
      <c r="J973" s="172"/>
      <c r="K973" s="172"/>
      <c r="L973" s="75" t="str">
        <f t="shared" si="22"/>
        <v xml:space="preserve"> </v>
      </c>
      <c r="M973" s="75" t="str">
        <f t="shared" si="23"/>
        <v xml:space="preserve"> </v>
      </c>
      <c r="N973" s="70" t="s">
        <v>736</v>
      </c>
      <c r="O973" s="180">
        <v>2</v>
      </c>
      <c r="P973" s="74"/>
      <c r="Q973" s="75">
        <f t="shared" si="24"/>
        <v>0</v>
      </c>
      <c r="R973" s="70"/>
      <c r="S973" s="183"/>
      <c r="T973" s="179"/>
      <c r="U973" s="181"/>
      <c r="V973" s="75"/>
      <c r="W973" s="75" t="str">
        <f t="shared" si="25"/>
        <v xml:space="preserve"> </v>
      </c>
      <c r="X973" s="75"/>
      <c r="Y973" s="75"/>
      <c r="Z973" s="75"/>
      <c r="AA973" s="258"/>
      <c r="AB973" s="75"/>
      <c r="AC973" s="75"/>
      <c r="AD973" s="75"/>
      <c r="AE973" s="119"/>
      <c r="AF973" s="119"/>
      <c r="AG973" s="119"/>
    </row>
    <row r="974" spans="1:33" s="81" customFormat="1" x14ac:dyDescent="0.2">
      <c r="A974" s="13">
        <f t="shared" si="21"/>
        <v>75</v>
      </c>
      <c r="B974" s="11"/>
      <c r="C974" s="82"/>
      <c r="D974" s="2"/>
      <c r="E974" s="2"/>
      <c r="F974" s="1"/>
      <c r="G974" s="1"/>
      <c r="H974" s="122"/>
      <c r="I974" s="124"/>
      <c r="J974" s="172"/>
      <c r="K974" s="172"/>
      <c r="L974" s="75" t="str">
        <f t="shared" si="22"/>
        <v xml:space="preserve"> </v>
      </c>
      <c r="M974" s="75" t="str">
        <f t="shared" si="23"/>
        <v xml:space="preserve"> </v>
      </c>
      <c r="N974" s="70" t="s">
        <v>405</v>
      </c>
      <c r="O974" s="180">
        <v>1</v>
      </c>
      <c r="P974" s="74"/>
      <c r="Q974" s="75">
        <f t="shared" si="24"/>
        <v>0</v>
      </c>
      <c r="R974" s="70"/>
      <c r="S974" s="183"/>
      <c r="T974" s="179"/>
      <c r="U974" s="181"/>
      <c r="V974" s="75"/>
      <c r="W974" s="75" t="str">
        <f t="shared" si="25"/>
        <v xml:space="preserve"> </v>
      </c>
      <c r="X974" s="75"/>
      <c r="Y974" s="75"/>
      <c r="Z974" s="75"/>
      <c r="AA974" s="258"/>
      <c r="AB974" s="75"/>
      <c r="AC974" s="75"/>
      <c r="AD974" s="75"/>
      <c r="AE974" s="119"/>
      <c r="AF974" s="119"/>
      <c r="AG974" s="119"/>
    </row>
    <row r="975" spans="1:33" s="81" customFormat="1" x14ac:dyDescent="0.2">
      <c r="A975" s="13">
        <f t="shared" si="21"/>
        <v>75</v>
      </c>
      <c r="B975" s="11"/>
      <c r="C975" s="1"/>
      <c r="D975" s="2"/>
      <c r="E975" s="2"/>
      <c r="F975" s="1"/>
      <c r="G975" s="1"/>
      <c r="H975" s="122"/>
      <c r="I975" s="176"/>
      <c r="J975" s="172"/>
      <c r="K975" s="172"/>
      <c r="L975" s="75" t="str">
        <f t="shared" si="22"/>
        <v xml:space="preserve"> </v>
      </c>
      <c r="M975" s="75" t="str">
        <f t="shared" si="23"/>
        <v xml:space="preserve"> </v>
      </c>
      <c r="N975" s="68" t="s">
        <v>837</v>
      </c>
      <c r="O975" s="180">
        <v>7</v>
      </c>
      <c r="P975" s="74"/>
      <c r="Q975" s="75">
        <f t="shared" si="24"/>
        <v>0</v>
      </c>
      <c r="R975" s="174"/>
      <c r="S975" s="173"/>
      <c r="T975" s="179"/>
      <c r="U975" s="119"/>
      <c r="V975" s="75"/>
      <c r="W975" s="75" t="str">
        <f t="shared" si="25"/>
        <v xml:space="preserve"> </v>
      </c>
      <c r="X975" s="75"/>
      <c r="Y975" s="75"/>
      <c r="Z975" s="75"/>
      <c r="AA975" s="258"/>
      <c r="AB975" s="75"/>
      <c r="AC975" s="75"/>
      <c r="AD975" s="75"/>
      <c r="AE975" s="119"/>
      <c r="AF975" s="119"/>
      <c r="AG975" s="119"/>
    </row>
    <row r="976" spans="1:33" s="81" customFormat="1" ht="33" x14ac:dyDescent="0.2">
      <c r="A976" s="13">
        <f t="shared" si="21"/>
        <v>75</v>
      </c>
      <c r="B976" s="11"/>
      <c r="C976" s="1"/>
      <c r="D976" s="2"/>
      <c r="E976" s="2"/>
      <c r="F976" s="1"/>
      <c r="G976" s="1"/>
      <c r="H976" s="122"/>
      <c r="I976" s="176"/>
      <c r="J976" s="172"/>
      <c r="K976" s="172"/>
      <c r="L976" s="75" t="str">
        <f t="shared" si="22"/>
        <v xml:space="preserve"> </v>
      </c>
      <c r="M976" s="75" t="str">
        <f t="shared" si="23"/>
        <v xml:space="preserve"> </v>
      </c>
      <c r="N976" s="68" t="s">
        <v>838</v>
      </c>
      <c r="O976" s="180">
        <v>15</v>
      </c>
      <c r="P976" s="74"/>
      <c r="Q976" s="75">
        <f t="shared" si="24"/>
        <v>0</v>
      </c>
      <c r="R976" s="174"/>
      <c r="S976" s="173"/>
      <c r="T976" s="179"/>
      <c r="U976" s="119"/>
      <c r="V976" s="75"/>
      <c r="W976" s="75" t="str">
        <f t="shared" si="25"/>
        <v xml:space="preserve"> </v>
      </c>
      <c r="X976" s="75"/>
      <c r="Y976" s="75"/>
      <c r="Z976" s="75"/>
      <c r="AA976" s="258"/>
      <c r="AB976" s="75"/>
      <c r="AC976" s="75"/>
      <c r="AD976" s="75"/>
      <c r="AE976" s="119"/>
      <c r="AF976" s="119"/>
      <c r="AG976" s="119"/>
    </row>
    <row r="977" spans="1:33" s="81" customFormat="1" ht="18" x14ac:dyDescent="0.2">
      <c r="A977" s="13">
        <f t="shared" si="21"/>
        <v>75</v>
      </c>
      <c r="B977" s="11"/>
      <c r="C977" s="1"/>
      <c r="D977" s="2"/>
      <c r="E977" s="2"/>
      <c r="F977" s="1"/>
      <c r="G977" s="1"/>
      <c r="H977" s="122"/>
      <c r="I977" s="176"/>
      <c r="J977" s="172"/>
      <c r="K977" s="172"/>
      <c r="L977" s="75" t="str">
        <f t="shared" si="22"/>
        <v xml:space="preserve"> </v>
      </c>
      <c r="M977" s="75" t="str">
        <f t="shared" si="23"/>
        <v xml:space="preserve"> </v>
      </c>
      <c r="N977" s="68" t="s">
        <v>839</v>
      </c>
      <c r="O977" s="180">
        <v>4</v>
      </c>
      <c r="P977" s="74"/>
      <c r="Q977" s="75">
        <f t="shared" si="24"/>
        <v>0</v>
      </c>
      <c r="R977" s="174"/>
      <c r="S977" s="173"/>
      <c r="T977" s="179"/>
      <c r="U977" s="119"/>
      <c r="V977" s="75"/>
      <c r="W977" s="75" t="str">
        <f t="shared" si="25"/>
        <v xml:space="preserve"> </v>
      </c>
      <c r="X977" s="75"/>
      <c r="Y977" s="75"/>
      <c r="Z977" s="75"/>
      <c r="AA977" s="258"/>
      <c r="AB977" s="75"/>
      <c r="AC977" s="75"/>
      <c r="AD977" s="75"/>
      <c r="AE977" s="119"/>
      <c r="AF977" s="119"/>
      <c r="AG977" s="119"/>
    </row>
    <row r="978" spans="1:33" s="81" customFormat="1" x14ac:dyDescent="0.2">
      <c r="A978" s="13">
        <f t="shared" si="21"/>
        <v>75</v>
      </c>
      <c r="B978" s="11"/>
      <c r="C978" s="1"/>
      <c r="D978" s="2"/>
      <c r="E978" s="2"/>
      <c r="F978" s="1"/>
      <c r="G978" s="1"/>
      <c r="H978" s="122"/>
      <c r="I978" s="176"/>
      <c r="J978" s="172"/>
      <c r="K978" s="172"/>
      <c r="L978" s="75" t="str">
        <f t="shared" si="22"/>
        <v xml:space="preserve"> </v>
      </c>
      <c r="M978" s="75" t="str">
        <f t="shared" si="23"/>
        <v xml:space="preserve"> </v>
      </c>
      <c r="N978" s="68"/>
      <c r="O978" s="179"/>
      <c r="P978" s="74"/>
      <c r="Q978" s="75" t="str">
        <f t="shared" si="24"/>
        <v xml:space="preserve"> </v>
      </c>
      <c r="R978" s="174"/>
      <c r="S978" s="173"/>
      <c r="T978" s="179"/>
      <c r="U978" s="119"/>
      <c r="V978" s="75"/>
      <c r="W978" s="75" t="str">
        <f t="shared" si="25"/>
        <v xml:space="preserve"> </v>
      </c>
      <c r="X978" s="75"/>
      <c r="Y978" s="75"/>
      <c r="Z978" s="75"/>
      <c r="AA978" s="258"/>
      <c r="AB978" s="75"/>
      <c r="AC978" s="75"/>
      <c r="AD978" s="75"/>
      <c r="AE978" s="119"/>
      <c r="AF978" s="119"/>
      <c r="AG978" s="119"/>
    </row>
    <row r="979" spans="1:33" s="81" customFormat="1" x14ac:dyDescent="0.2">
      <c r="A979" s="13">
        <f t="shared" si="21"/>
        <v>75</v>
      </c>
      <c r="B979" s="11"/>
      <c r="C979" s="1"/>
      <c r="D979" s="2"/>
      <c r="E979" s="2"/>
      <c r="F979" s="1"/>
      <c r="G979" s="1"/>
      <c r="H979" s="122"/>
      <c r="I979" s="176"/>
      <c r="J979" s="172"/>
      <c r="K979" s="172"/>
      <c r="L979" s="75" t="str">
        <f t="shared" si="22"/>
        <v xml:space="preserve"> </v>
      </c>
      <c r="M979" s="75" t="str">
        <f t="shared" si="23"/>
        <v xml:space="preserve"> </v>
      </c>
      <c r="N979" s="68"/>
      <c r="O979" s="179"/>
      <c r="P979" s="74"/>
      <c r="Q979" s="75" t="str">
        <f t="shared" si="24"/>
        <v xml:space="preserve"> </v>
      </c>
      <c r="R979" s="174"/>
      <c r="S979" s="173"/>
      <c r="T979" s="179"/>
      <c r="U979" s="119"/>
      <c r="V979" s="75"/>
      <c r="W979" s="75" t="str">
        <f t="shared" si="25"/>
        <v xml:space="preserve"> </v>
      </c>
      <c r="X979" s="75"/>
      <c r="Y979" s="75"/>
      <c r="Z979" s="75"/>
      <c r="AA979" s="258"/>
      <c r="AB979" s="75"/>
      <c r="AC979" s="75"/>
      <c r="AD979" s="75"/>
      <c r="AE979" s="119"/>
      <c r="AF979" s="119"/>
      <c r="AG979" s="119"/>
    </row>
    <row r="980" spans="1:33" s="81" customFormat="1" ht="60" x14ac:dyDescent="0.2">
      <c r="A980" s="13">
        <f t="shared" si="21"/>
        <v>76</v>
      </c>
      <c r="B980" s="11">
        <v>76</v>
      </c>
      <c r="C980" s="21" t="s">
        <v>840</v>
      </c>
      <c r="D980" s="2">
        <v>1</v>
      </c>
      <c r="E980" s="2">
        <v>86</v>
      </c>
      <c r="F980" s="1">
        <v>332</v>
      </c>
      <c r="G980" s="1" t="s">
        <v>841</v>
      </c>
      <c r="H980" s="122">
        <v>2046.5</v>
      </c>
      <c r="I980" s="176"/>
      <c r="J980" s="172"/>
      <c r="K980" s="172"/>
      <c r="L980" s="75">
        <f t="shared" si="22"/>
        <v>0</v>
      </c>
      <c r="M980" s="75">
        <f t="shared" si="23"/>
        <v>0</v>
      </c>
      <c r="N980" s="68"/>
      <c r="O980" s="179"/>
      <c r="P980" s="74"/>
      <c r="Q980" s="75" t="str">
        <f t="shared" si="24"/>
        <v xml:space="preserve"> </v>
      </c>
      <c r="R980" s="174"/>
      <c r="S980" s="173"/>
      <c r="T980" s="179"/>
      <c r="U980" s="119"/>
      <c r="V980" s="75"/>
      <c r="W980" s="75" t="str">
        <f t="shared" si="25"/>
        <v xml:space="preserve"> </v>
      </c>
      <c r="X980" s="75"/>
      <c r="Y980" s="75"/>
      <c r="Z980" s="75"/>
      <c r="AA980" s="258"/>
      <c r="AB980" s="75"/>
      <c r="AC980" s="75"/>
      <c r="AD980" s="75"/>
      <c r="AE980" s="68" t="s">
        <v>842</v>
      </c>
      <c r="AF980" s="68"/>
      <c r="AG980" s="174" t="s">
        <v>804</v>
      </c>
    </row>
    <row r="981" spans="1:33" s="81" customFormat="1" ht="60" x14ac:dyDescent="0.2">
      <c r="A981" s="13">
        <f t="shared" si="21"/>
        <v>76</v>
      </c>
      <c r="B981" s="11"/>
      <c r="C981" s="1" t="s">
        <v>843</v>
      </c>
      <c r="D981" s="2"/>
      <c r="E981" s="2"/>
      <c r="F981" s="1"/>
      <c r="G981" s="84" t="s">
        <v>844</v>
      </c>
      <c r="H981" s="122">
        <v>0.2</v>
      </c>
      <c r="I981" s="176"/>
      <c r="J981" s="172"/>
      <c r="K981" s="172"/>
      <c r="L981" s="75">
        <f t="shared" si="22"/>
        <v>0</v>
      </c>
      <c r="M981" s="75">
        <f t="shared" si="23"/>
        <v>0</v>
      </c>
      <c r="N981" s="68"/>
      <c r="O981" s="179"/>
      <c r="P981" s="74"/>
      <c r="Q981" s="75" t="str">
        <f t="shared" si="24"/>
        <v xml:space="preserve"> </v>
      </c>
      <c r="R981" s="174"/>
      <c r="S981" s="173"/>
      <c r="T981" s="179"/>
      <c r="U981" s="119"/>
      <c r="V981" s="75"/>
      <c r="W981" s="75" t="str">
        <f t="shared" si="25"/>
        <v xml:space="preserve"> </v>
      </c>
      <c r="X981" s="75"/>
      <c r="Y981" s="75"/>
      <c r="Z981" s="75"/>
      <c r="AA981" s="258"/>
      <c r="AB981" s="75"/>
      <c r="AC981" s="75"/>
      <c r="AD981" s="75"/>
      <c r="AE981" s="68" t="s">
        <v>845</v>
      </c>
      <c r="AF981" s="68"/>
      <c r="AG981" s="174" t="s">
        <v>808</v>
      </c>
    </row>
    <row r="982" spans="1:33" s="81" customFormat="1" ht="60" x14ac:dyDescent="0.2">
      <c r="A982" s="13">
        <f t="shared" si="21"/>
        <v>76</v>
      </c>
      <c r="B982" s="11"/>
      <c r="C982" s="84" t="s">
        <v>846</v>
      </c>
      <c r="D982" s="2"/>
      <c r="E982" s="2"/>
      <c r="F982" s="1"/>
      <c r="G982" s="1"/>
      <c r="H982" s="122"/>
      <c r="I982" s="176"/>
      <c r="J982" s="172"/>
      <c r="K982" s="172"/>
      <c r="L982" s="75" t="str">
        <f t="shared" si="22"/>
        <v xml:space="preserve"> </v>
      </c>
      <c r="M982" s="75" t="str">
        <f t="shared" si="23"/>
        <v xml:space="preserve"> </v>
      </c>
      <c r="N982" s="68"/>
      <c r="O982" s="179"/>
      <c r="P982" s="74"/>
      <c r="Q982" s="75" t="str">
        <f t="shared" si="24"/>
        <v xml:space="preserve"> </v>
      </c>
      <c r="R982" s="174"/>
      <c r="S982" s="173"/>
      <c r="T982" s="179"/>
      <c r="U982" s="119"/>
      <c r="V982" s="75"/>
      <c r="W982" s="75" t="str">
        <f t="shared" si="25"/>
        <v xml:space="preserve"> </v>
      </c>
      <c r="X982" s="75"/>
      <c r="Y982" s="75"/>
      <c r="Z982" s="75"/>
      <c r="AA982" s="258"/>
      <c r="AB982" s="75"/>
      <c r="AC982" s="75"/>
      <c r="AD982" s="75"/>
      <c r="AE982" s="119" t="s">
        <v>847</v>
      </c>
      <c r="AF982" s="119"/>
      <c r="AG982" s="174" t="s">
        <v>810</v>
      </c>
    </row>
    <row r="983" spans="1:33" s="81" customFormat="1" x14ac:dyDescent="0.2">
      <c r="A983" s="13">
        <f t="shared" si="21"/>
        <v>76</v>
      </c>
      <c r="B983" s="11"/>
      <c r="C983" s="84"/>
      <c r="D983" s="2"/>
      <c r="E983" s="2"/>
      <c r="F983" s="1"/>
      <c r="G983" s="1"/>
      <c r="H983" s="122"/>
      <c r="I983" s="176"/>
      <c r="J983" s="172"/>
      <c r="K983" s="172"/>
      <c r="L983" s="75" t="str">
        <f t="shared" si="22"/>
        <v xml:space="preserve"> </v>
      </c>
      <c r="M983" s="75" t="str">
        <f t="shared" si="23"/>
        <v xml:space="preserve"> </v>
      </c>
      <c r="N983" s="68"/>
      <c r="O983" s="179"/>
      <c r="P983" s="74"/>
      <c r="Q983" s="75" t="str">
        <f t="shared" si="24"/>
        <v xml:space="preserve"> </v>
      </c>
      <c r="R983" s="174"/>
      <c r="S983" s="173"/>
      <c r="T983" s="179"/>
      <c r="U983" s="119"/>
      <c r="V983" s="75"/>
      <c r="W983" s="75" t="str">
        <f t="shared" si="25"/>
        <v xml:space="preserve"> </v>
      </c>
      <c r="X983" s="75"/>
      <c r="Y983" s="75"/>
      <c r="Z983" s="75"/>
      <c r="AA983" s="258"/>
      <c r="AB983" s="75"/>
      <c r="AC983" s="75"/>
      <c r="AD983" s="75"/>
      <c r="AE983" s="119" t="s">
        <v>809</v>
      </c>
      <c r="AF983" s="119"/>
      <c r="AG983" s="119"/>
    </row>
    <row r="984" spans="1:33" s="81" customFormat="1" ht="45" x14ac:dyDescent="0.2">
      <c r="A984" s="13">
        <f t="shared" si="21"/>
        <v>76</v>
      </c>
      <c r="B984" s="11"/>
      <c r="C984" s="1"/>
      <c r="D984" s="2"/>
      <c r="E984" s="2"/>
      <c r="F984" s="1"/>
      <c r="G984" s="1"/>
      <c r="H984" s="122"/>
      <c r="I984" s="176"/>
      <c r="J984" s="172"/>
      <c r="K984" s="172"/>
      <c r="L984" s="75"/>
      <c r="M984" s="75"/>
      <c r="N984" s="68"/>
      <c r="O984" s="179"/>
      <c r="P984" s="74"/>
      <c r="Q984" s="75"/>
      <c r="R984" s="174"/>
      <c r="S984" s="173"/>
      <c r="T984" s="179"/>
      <c r="U984" s="119"/>
      <c r="V984" s="75"/>
      <c r="W984" s="75"/>
      <c r="X984" s="75"/>
      <c r="Y984" s="75"/>
      <c r="Z984" s="75"/>
      <c r="AA984" s="258"/>
      <c r="AB984" s="75"/>
      <c r="AC984" s="75"/>
      <c r="AD984" s="75"/>
      <c r="AE984" s="68" t="s">
        <v>848</v>
      </c>
      <c r="AF984" s="68"/>
      <c r="AG984" s="119"/>
    </row>
    <row r="985" spans="1:33" s="81" customFormat="1" x14ac:dyDescent="0.2">
      <c r="A985" s="13">
        <f t="shared" si="21"/>
        <v>76</v>
      </c>
      <c r="B985" s="11"/>
      <c r="C985" s="1"/>
      <c r="D985" s="2"/>
      <c r="E985" s="2"/>
      <c r="F985" s="1"/>
      <c r="G985" s="1"/>
      <c r="H985" s="122"/>
      <c r="I985" s="176"/>
      <c r="J985" s="172"/>
      <c r="K985" s="172"/>
      <c r="L985" s="75"/>
      <c r="M985" s="75"/>
      <c r="N985" s="68"/>
      <c r="O985" s="179"/>
      <c r="P985" s="74"/>
      <c r="Q985" s="75"/>
      <c r="R985" s="174"/>
      <c r="S985" s="173"/>
      <c r="T985" s="179"/>
      <c r="U985" s="119"/>
      <c r="V985" s="75"/>
      <c r="W985" s="75"/>
      <c r="X985" s="75"/>
      <c r="Y985" s="75"/>
      <c r="Z985" s="75"/>
      <c r="AA985" s="258"/>
      <c r="AB985" s="75"/>
      <c r="AC985" s="75"/>
      <c r="AD985" s="75"/>
      <c r="AE985" s="68"/>
      <c r="AF985" s="68"/>
      <c r="AG985" s="119"/>
    </row>
    <row r="986" spans="1:33" s="81" customFormat="1" x14ac:dyDescent="0.2">
      <c r="A986" s="13">
        <f t="shared" si="21"/>
        <v>76</v>
      </c>
      <c r="B986" s="11"/>
      <c r="C986" s="1"/>
      <c r="D986" s="2"/>
      <c r="E986" s="2"/>
      <c r="F986" s="1"/>
      <c r="G986" s="1"/>
      <c r="H986" s="122"/>
      <c r="I986" s="176"/>
      <c r="J986" s="172"/>
      <c r="K986" s="172"/>
      <c r="L986" s="75"/>
      <c r="M986" s="75"/>
      <c r="N986" s="68"/>
      <c r="O986" s="179"/>
      <c r="P986" s="74"/>
      <c r="Q986" s="75"/>
      <c r="R986" s="174"/>
      <c r="S986" s="173"/>
      <c r="T986" s="179"/>
      <c r="U986" s="119"/>
      <c r="V986" s="75"/>
      <c r="W986" s="75"/>
      <c r="X986" s="75"/>
      <c r="Y986" s="75"/>
      <c r="Z986" s="75"/>
      <c r="AA986" s="258"/>
      <c r="AB986" s="75"/>
      <c r="AC986" s="75"/>
      <c r="AD986" s="75"/>
      <c r="AE986" s="68"/>
      <c r="AF986" s="68"/>
      <c r="AG986" s="119"/>
    </row>
    <row r="987" spans="1:33" s="81" customFormat="1" ht="60" x14ac:dyDescent="0.2">
      <c r="A987" s="13">
        <f>IF(B987&lt;&gt;0,B987,A984)</f>
        <v>77</v>
      </c>
      <c r="B987" s="11">
        <v>77</v>
      </c>
      <c r="C987" s="21" t="s">
        <v>849</v>
      </c>
      <c r="D987" s="2">
        <v>6</v>
      </c>
      <c r="E987" s="2">
        <v>86</v>
      </c>
      <c r="F987" s="1">
        <v>32</v>
      </c>
      <c r="G987" s="1" t="s">
        <v>797</v>
      </c>
      <c r="H987" s="122">
        <f>1919.9-H988</f>
        <v>320</v>
      </c>
      <c r="I987" s="176"/>
      <c r="J987" s="172"/>
      <c r="K987" s="172"/>
      <c r="L987" s="75">
        <f>IF(G987&lt;&gt;0,ROUND(H987*J987,-2)," ")</f>
        <v>0</v>
      </c>
      <c r="M987" s="75">
        <f>IF(G987&lt;&gt;0,ROUND(H987*K987,-2)," ")</f>
        <v>0</v>
      </c>
      <c r="N987" s="70" t="s">
        <v>400</v>
      </c>
      <c r="O987" s="180">
        <v>6</v>
      </c>
      <c r="P987" s="74"/>
      <c r="Q987" s="75">
        <f>IF(N987&lt;&gt;0,ROUND(O987*P987,-2)," ")</f>
        <v>0</v>
      </c>
      <c r="R987" s="174"/>
      <c r="S987" s="173"/>
      <c r="T987" s="179"/>
      <c r="U987" s="119"/>
      <c r="V987" s="75"/>
      <c r="W987" s="75" t="str">
        <f>IF(R987&lt;&gt;0,ROUND(T987*V987,-2)," ")</f>
        <v xml:space="preserve"> </v>
      </c>
      <c r="X987" s="75"/>
      <c r="Y987" s="75"/>
      <c r="Z987" s="75"/>
      <c r="AA987" s="258"/>
      <c r="AB987" s="75"/>
      <c r="AC987" s="75"/>
      <c r="AD987" s="75"/>
      <c r="AE987" s="68" t="s">
        <v>850</v>
      </c>
      <c r="AF987" s="68"/>
      <c r="AG987" s="174" t="s">
        <v>795</v>
      </c>
    </row>
    <row r="988" spans="1:33" s="81" customFormat="1" ht="60" x14ac:dyDescent="0.2">
      <c r="A988" s="13">
        <f>IF(B988&lt;&gt;0,B988,A987)</f>
        <v>77</v>
      </c>
      <c r="B988" s="11"/>
      <c r="C988" s="1" t="s">
        <v>851</v>
      </c>
      <c r="D988" s="2"/>
      <c r="E988" s="2"/>
      <c r="F988" s="1"/>
      <c r="G988" s="1" t="s">
        <v>852</v>
      </c>
      <c r="H988" s="122">
        <v>1599.9</v>
      </c>
      <c r="I988" s="176"/>
      <c r="J988" s="172"/>
      <c r="K988" s="172"/>
      <c r="L988" s="75">
        <f>IF(G988&lt;&gt;0,ROUND(H988*J988,-2)," ")</f>
        <v>0</v>
      </c>
      <c r="M988" s="75">
        <f>IF(G988&lt;&gt;0,ROUND(H988*K988,-2)," ")</f>
        <v>0</v>
      </c>
      <c r="N988" s="70" t="s">
        <v>401</v>
      </c>
      <c r="O988" s="180">
        <v>10</v>
      </c>
      <c r="P988" s="74"/>
      <c r="Q988" s="75">
        <f>IF(N988&lt;&gt;0,ROUND(O988*P988,-2)," ")</f>
        <v>0</v>
      </c>
      <c r="R988" s="174"/>
      <c r="S988" s="173"/>
      <c r="T988" s="179"/>
      <c r="U988" s="119"/>
      <c r="V988" s="75"/>
      <c r="W988" s="75" t="str">
        <f>IF(R988&lt;&gt;0,ROUND(T988*V988,-2)," ")</f>
        <v xml:space="preserve"> </v>
      </c>
      <c r="X988" s="75"/>
      <c r="Y988" s="75"/>
      <c r="Z988" s="75"/>
      <c r="AA988" s="258"/>
      <c r="AB988" s="75"/>
      <c r="AC988" s="75"/>
      <c r="AD988" s="75"/>
      <c r="AE988" s="68" t="s">
        <v>853</v>
      </c>
      <c r="AF988" s="68"/>
      <c r="AG988" s="174" t="s">
        <v>804</v>
      </c>
    </row>
    <row r="989" spans="1:33" s="81" customFormat="1" ht="60" x14ac:dyDescent="0.2">
      <c r="A989" s="13">
        <f>IF(B989&lt;&gt;0,B989,A988)</f>
        <v>77</v>
      </c>
      <c r="B989" s="11"/>
      <c r="C989" s="1" t="s">
        <v>1570</v>
      </c>
      <c r="D989" s="2"/>
      <c r="E989" s="2"/>
      <c r="F989" s="1"/>
      <c r="G989" s="1"/>
      <c r="H989" s="122"/>
      <c r="I989" s="176"/>
      <c r="J989" s="172"/>
      <c r="K989" s="172"/>
      <c r="L989" s="75" t="str">
        <f>IF(G989&lt;&gt;0,ROUND(H989*J989,-2)," ")</f>
        <v xml:space="preserve"> </v>
      </c>
      <c r="M989" s="75" t="str">
        <f>IF(G989&lt;&gt;0,ROUND(H989*K989,-2)," ")</f>
        <v xml:space="preserve"> </v>
      </c>
      <c r="N989" s="70" t="s">
        <v>401</v>
      </c>
      <c r="O989" s="180">
        <v>5</v>
      </c>
      <c r="P989" s="74"/>
      <c r="Q989" s="75">
        <f>IF(N989&lt;&gt;0,ROUND(O989*P989,-2)," ")</f>
        <v>0</v>
      </c>
      <c r="R989" s="174"/>
      <c r="S989" s="173"/>
      <c r="T989" s="179"/>
      <c r="U989" s="119"/>
      <c r="V989" s="75"/>
      <c r="W989" s="75" t="str">
        <f>IF(R989&lt;&gt;0,ROUND(T989*V989,-2)," ")</f>
        <v xml:space="preserve"> </v>
      </c>
      <c r="X989" s="75"/>
      <c r="Y989" s="75"/>
      <c r="Z989" s="75"/>
      <c r="AA989" s="258"/>
      <c r="AB989" s="75"/>
      <c r="AC989" s="75"/>
      <c r="AD989" s="75"/>
      <c r="AE989" s="119" t="s">
        <v>854</v>
      </c>
      <c r="AF989" s="119"/>
      <c r="AG989" s="174" t="s">
        <v>808</v>
      </c>
    </row>
    <row r="990" spans="1:33" s="81" customFormat="1" ht="60" x14ac:dyDescent="0.2">
      <c r="A990" s="13">
        <f>IF(B990&lt;&gt;0,B990,A989)</f>
        <v>77</v>
      </c>
      <c r="B990" s="11"/>
      <c r="C990" s="84"/>
      <c r="D990" s="2"/>
      <c r="E990" s="2"/>
      <c r="F990" s="1"/>
      <c r="G990" s="1"/>
      <c r="H990" s="122"/>
      <c r="I990" s="176"/>
      <c r="J990" s="172"/>
      <c r="K990" s="172"/>
      <c r="L990" s="75" t="str">
        <f>IF(G990&lt;&gt;0,ROUND(H990*J990,-2)," ")</f>
        <v xml:space="preserve"> </v>
      </c>
      <c r="M990" s="75" t="str">
        <f>IF(G990&lt;&gt;0,ROUND(H990*K990,-2)," ")</f>
        <v xml:space="preserve"> </v>
      </c>
      <c r="N990" s="68"/>
      <c r="O990" s="180"/>
      <c r="P990" s="74"/>
      <c r="Q990" s="75" t="str">
        <f>IF(N990&lt;&gt;0,ROUND(O990*P990,-2)," ")</f>
        <v xml:space="preserve"> </v>
      </c>
      <c r="R990" s="174"/>
      <c r="S990" s="173"/>
      <c r="T990" s="179"/>
      <c r="U990" s="119"/>
      <c r="V990" s="75"/>
      <c r="W990" s="75" t="str">
        <f>IF(R990&lt;&gt;0,ROUND(T990*V990,-2)," ")</f>
        <v xml:space="preserve"> </v>
      </c>
      <c r="X990" s="75"/>
      <c r="Y990" s="75"/>
      <c r="Z990" s="75"/>
      <c r="AA990" s="258"/>
      <c r="AB990" s="75"/>
      <c r="AC990" s="75"/>
      <c r="AD990" s="75"/>
      <c r="AE990" s="119" t="s">
        <v>809</v>
      </c>
      <c r="AF990" s="119"/>
      <c r="AG990" s="174" t="s">
        <v>810</v>
      </c>
    </row>
    <row r="991" spans="1:33" s="81" customFormat="1" ht="60" x14ac:dyDescent="0.2">
      <c r="A991" s="13">
        <f>IF(B991&lt;&gt;0,B991,#REF!)</f>
        <v>78</v>
      </c>
      <c r="B991" s="11">
        <v>78</v>
      </c>
      <c r="C991" s="21" t="s">
        <v>48</v>
      </c>
      <c r="D991" s="2">
        <v>1</v>
      </c>
      <c r="E991" s="2">
        <v>86</v>
      </c>
      <c r="F991" s="1">
        <v>33</v>
      </c>
      <c r="G991" s="1" t="s">
        <v>855</v>
      </c>
      <c r="H991" s="122">
        <v>2234.5</v>
      </c>
      <c r="I991" s="176"/>
      <c r="J991" s="172"/>
      <c r="K991" s="172"/>
      <c r="L991" s="75">
        <f t="shared" ref="L991:L1004" si="26">IF(G991&lt;&gt;0,ROUND(H991*J991,-2)," ")</f>
        <v>0</v>
      </c>
      <c r="M991" s="75">
        <f t="shared" ref="M991:M1004" si="27">IF(G991&lt;&gt;0,ROUND(H991*K991,-2)," ")</f>
        <v>0</v>
      </c>
      <c r="N991" s="68"/>
      <c r="O991" s="180"/>
      <c r="P991" s="74"/>
      <c r="Q991" s="75" t="str">
        <f t="shared" ref="Q991:Q1004" si="28">IF(N991&lt;&gt;0,ROUND(O991*P991,-2)," ")</f>
        <v xml:space="preserve"> </v>
      </c>
      <c r="R991" s="174"/>
      <c r="S991" s="173"/>
      <c r="T991" s="179"/>
      <c r="U991" s="119"/>
      <c r="V991" s="75"/>
      <c r="W991" s="75" t="str">
        <f t="shared" ref="W991:W1004" si="29">IF(R991&lt;&gt;0,ROUND(T991*V991,-2)," ")</f>
        <v xml:space="preserve"> </v>
      </c>
      <c r="X991" s="75"/>
      <c r="Y991" s="75"/>
      <c r="Z991" s="75"/>
      <c r="AA991" s="258"/>
      <c r="AB991" s="75"/>
      <c r="AC991" s="75"/>
      <c r="AD991" s="75"/>
      <c r="AE991" s="68" t="s">
        <v>856</v>
      </c>
      <c r="AF991" s="68"/>
      <c r="AG991" s="174" t="s">
        <v>804</v>
      </c>
    </row>
    <row r="992" spans="1:33" s="81" customFormat="1" ht="60" x14ac:dyDescent="0.2">
      <c r="A992" s="13">
        <f t="shared" ref="A992:A1012" si="30">IF(B992&lt;&gt;0,B992,A991)</f>
        <v>78</v>
      </c>
      <c r="B992" s="11"/>
      <c r="C992" s="1" t="s">
        <v>280</v>
      </c>
      <c r="D992" s="2"/>
      <c r="E992" s="2"/>
      <c r="F992" s="1"/>
      <c r="G992" s="1"/>
      <c r="H992" s="122"/>
      <c r="I992" s="176"/>
      <c r="J992" s="172"/>
      <c r="K992" s="172"/>
      <c r="L992" s="75" t="str">
        <f t="shared" si="26"/>
        <v xml:space="preserve"> </v>
      </c>
      <c r="M992" s="75" t="str">
        <f t="shared" si="27"/>
        <v xml:space="preserve"> </v>
      </c>
      <c r="N992" s="68"/>
      <c r="O992" s="180"/>
      <c r="P992" s="74"/>
      <c r="Q992" s="75" t="str">
        <f t="shared" si="28"/>
        <v xml:space="preserve"> </v>
      </c>
      <c r="R992" s="174"/>
      <c r="S992" s="173"/>
      <c r="T992" s="179"/>
      <c r="U992" s="119"/>
      <c r="V992" s="75"/>
      <c r="W992" s="75" t="str">
        <f t="shared" si="29"/>
        <v xml:space="preserve"> </v>
      </c>
      <c r="X992" s="75"/>
      <c r="Y992" s="75"/>
      <c r="Z992" s="75"/>
      <c r="AA992" s="258"/>
      <c r="AB992" s="75"/>
      <c r="AC992" s="75"/>
      <c r="AD992" s="75"/>
      <c r="AE992" s="68" t="s">
        <v>857</v>
      </c>
      <c r="AF992" s="68"/>
      <c r="AG992" s="174" t="s">
        <v>808</v>
      </c>
    </row>
    <row r="993" spans="1:33" s="81" customFormat="1" ht="60" x14ac:dyDescent="0.2">
      <c r="A993" s="13">
        <f t="shared" si="30"/>
        <v>78</v>
      </c>
      <c r="B993" s="11"/>
      <c r="C993" s="84" t="s">
        <v>858</v>
      </c>
      <c r="D993" s="2"/>
      <c r="E993" s="2"/>
      <c r="F993" s="1"/>
      <c r="G993" s="1"/>
      <c r="H993" s="122"/>
      <c r="I993" s="176"/>
      <c r="J993" s="172"/>
      <c r="K993" s="172"/>
      <c r="L993" s="75" t="str">
        <f t="shared" si="26"/>
        <v xml:space="preserve"> </v>
      </c>
      <c r="M993" s="75" t="str">
        <f t="shared" si="27"/>
        <v xml:space="preserve"> </v>
      </c>
      <c r="N993" s="68"/>
      <c r="O993" s="180"/>
      <c r="P993" s="74"/>
      <c r="Q993" s="75" t="str">
        <f t="shared" si="28"/>
        <v xml:space="preserve"> </v>
      </c>
      <c r="R993" s="174"/>
      <c r="S993" s="173"/>
      <c r="T993" s="179"/>
      <c r="U993" s="119"/>
      <c r="V993" s="75"/>
      <c r="W993" s="75" t="str">
        <f t="shared" si="29"/>
        <v xml:space="preserve"> </v>
      </c>
      <c r="X993" s="75"/>
      <c r="Y993" s="75"/>
      <c r="Z993" s="75"/>
      <c r="AA993" s="258"/>
      <c r="AB993" s="75"/>
      <c r="AC993" s="75"/>
      <c r="AD993" s="75"/>
      <c r="AE993" s="119" t="s">
        <v>859</v>
      </c>
      <c r="AF993" s="119"/>
      <c r="AG993" s="174" t="s">
        <v>810</v>
      </c>
    </row>
    <row r="994" spans="1:33" s="81" customFormat="1" ht="30" x14ac:dyDescent="0.2">
      <c r="A994" s="13">
        <f t="shared" si="30"/>
        <v>78</v>
      </c>
      <c r="B994" s="11"/>
      <c r="C994" s="1"/>
      <c r="D994" s="2"/>
      <c r="E994" s="2"/>
      <c r="F994" s="1"/>
      <c r="G994" s="1"/>
      <c r="H994" s="122"/>
      <c r="I994" s="176"/>
      <c r="J994" s="172"/>
      <c r="K994" s="172"/>
      <c r="L994" s="75" t="str">
        <f t="shared" si="26"/>
        <v xml:space="preserve"> </v>
      </c>
      <c r="M994" s="75" t="str">
        <f t="shared" si="27"/>
        <v xml:space="preserve"> </v>
      </c>
      <c r="N994" s="68"/>
      <c r="O994" s="180"/>
      <c r="P994" s="74"/>
      <c r="Q994" s="75" t="str">
        <f t="shared" si="28"/>
        <v xml:space="preserve"> </v>
      </c>
      <c r="R994" s="174"/>
      <c r="S994" s="173"/>
      <c r="T994" s="179"/>
      <c r="U994" s="119"/>
      <c r="V994" s="75"/>
      <c r="W994" s="75" t="str">
        <f t="shared" si="29"/>
        <v xml:space="preserve"> </v>
      </c>
      <c r="X994" s="75"/>
      <c r="Y994" s="75"/>
      <c r="Z994" s="75"/>
      <c r="AA994" s="258"/>
      <c r="AB994" s="75"/>
      <c r="AC994" s="75"/>
      <c r="AD994" s="75"/>
      <c r="AE994" s="68" t="s">
        <v>1685</v>
      </c>
      <c r="AF994" s="68"/>
      <c r="AG994" s="119"/>
    </row>
    <row r="995" spans="1:33" s="81" customFormat="1" x14ac:dyDescent="0.2">
      <c r="A995" s="13">
        <f t="shared" si="30"/>
        <v>78</v>
      </c>
      <c r="B995" s="11"/>
      <c r="C995" s="21"/>
      <c r="D995" s="2"/>
      <c r="E995" s="2"/>
      <c r="F995" s="1"/>
      <c r="G995" s="1"/>
      <c r="H995" s="122"/>
      <c r="I995" s="176"/>
      <c r="J995" s="172"/>
      <c r="K995" s="172"/>
      <c r="L995" s="75" t="str">
        <f t="shared" si="26"/>
        <v xml:space="preserve"> </v>
      </c>
      <c r="M995" s="75" t="str">
        <f t="shared" si="27"/>
        <v xml:space="preserve"> </v>
      </c>
      <c r="N995" s="68"/>
      <c r="O995" s="180"/>
      <c r="P995" s="74"/>
      <c r="Q995" s="75" t="str">
        <f t="shared" si="28"/>
        <v xml:space="preserve"> </v>
      </c>
      <c r="R995" s="174"/>
      <c r="S995" s="173"/>
      <c r="T995" s="179"/>
      <c r="U995" s="119"/>
      <c r="V995" s="75"/>
      <c r="W995" s="75" t="str">
        <f t="shared" si="29"/>
        <v xml:space="preserve"> </v>
      </c>
      <c r="X995" s="75"/>
      <c r="Y995" s="75"/>
      <c r="Z995" s="75"/>
      <c r="AA995" s="258"/>
      <c r="AB995" s="75"/>
      <c r="AC995" s="75"/>
      <c r="AD995" s="75"/>
      <c r="AE995" s="119"/>
      <c r="AF995" s="119"/>
      <c r="AG995" s="119"/>
    </row>
    <row r="996" spans="1:33" s="81" customFormat="1" ht="60" x14ac:dyDescent="0.2">
      <c r="A996" s="13">
        <f t="shared" si="30"/>
        <v>79</v>
      </c>
      <c r="B996" s="11">
        <v>79</v>
      </c>
      <c r="C996" s="21" t="s">
        <v>860</v>
      </c>
      <c r="D996" s="2">
        <v>5</v>
      </c>
      <c r="E996" s="2">
        <v>86</v>
      </c>
      <c r="F996" s="1">
        <v>277</v>
      </c>
      <c r="G996" s="1" t="s">
        <v>861</v>
      </c>
      <c r="H996" s="122">
        <v>536</v>
      </c>
      <c r="I996" s="176"/>
      <c r="J996" s="172"/>
      <c r="K996" s="172"/>
      <c r="L996" s="75">
        <f t="shared" si="26"/>
        <v>0</v>
      </c>
      <c r="M996" s="75">
        <f t="shared" si="27"/>
        <v>0</v>
      </c>
      <c r="N996" s="68"/>
      <c r="O996" s="180"/>
      <c r="P996" s="74"/>
      <c r="Q996" s="75" t="str">
        <f t="shared" si="28"/>
        <v xml:space="preserve"> </v>
      </c>
      <c r="R996" s="174"/>
      <c r="S996" s="173"/>
      <c r="T996" s="179"/>
      <c r="U996" s="119"/>
      <c r="V996" s="75"/>
      <c r="W996" s="75" t="str">
        <f t="shared" si="29"/>
        <v xml:space="preserve"> </v>
      </c>
      <c r="X996" s="75"/>
      <c r="Y996" s="75"/>
      <c r="Z996" s="75"/>
      <c r="AA996" s="258"/>
      <c r="AB996" s="75"/>
      <c r="AC996" s="75"/>
      <c r="AD996" s="75"/>
      <c r="AE996" s="68" t="s">
        <v>862</v>
      </c>
      <c r="AF996" s="68"/>
      <c r="AG996" s="174" t="s">
        <v>804</v>
      </c>
    </row>
    <row r="997" spans="1:33" s="81" customFormat="1" ht="60" x14ac:dyDescent="0.2">
      <c r="A997" s="13">
        <f t="shared" si="30"/>
        <v>79</v>
      </c>
      <c r="B997" s="11"/>
      <c r="C997" s="1" t="s">
        <v>863</v>
      </c>
      <c r="D997" s="2"/>
      <c r="E997" s="2"/>
      <c r="F997" s="1"/>
      <c r="G997" s="84" t="s">
        <v>844</v>
      </c>
      <c r="H997" s="122">
        <v>0.1</v>
      </c>
      <c r="I997" s="176"/>
      <c r="J997" s="172"/>
      <c r="K997" s="172"/>
      <c r="L997" s="75">
        <f t="shared" si="26"/>
        <v>0</v>
      </c>
      <c r="M997" s="75">
        <f t="shared" si="27"/>
        <v>0</v>
      </c>
      <c r="N997" s="68"/>
      <c r="O997" s="180"/>
      <c r="P997" s="74"/>
      <c r="Q997" s="75" t="str">
        <f t="shared" si="28"/>
        <v xml:space="preserve"> </v>
      </c>
      <c r="R997" s="174"/>
      <c r="S997" s="173"/>
      <c r="T997" s="179"/>
      <c r="U997" s="119"/>
      <c r="V997" s="75"/>
      <c r="W997" s="75" t="str">
        <f t="shared" si="29"/>
        <v xml:space="preserve"> </v>
      </c>
      <c r="X997" s="75"/>
      <c r="Y997" s="75"/>
      <c r="Z997" s="75"/>
      <c r="AA997" s="258"/>
      <c r="AB997" s="75"/>
      <c r="AC997" s="75"/>
      <c r="AD997" s="75"/>
      <c r="AE997" s="68" t="s">
        <v>864</v>
      </c>
      <c r="AF997" s="68"/>
      <c r="AG997" s="174" t="s">
        <v>808</v>
      </c>
    </row>
    <row r="998" spans="1:33" s="81" customFormat="1" ht="60" x14ac:dyDescent="0.2">
      <c r="A998" s="13">
        <f t="shared" si="30"/>
        <v>79</v>
      </c>
      <c r="B998" s="11"/>
      <c r="C998" s="84" t="s">
        <v>865</v>
      </c>
      <c r="D998" s="2"/>
      <c r="E998" s="2"/>
      <c r="F998" s="1"/>
      <c r="G998" s="1"/>
      <c r="H998" s="122"/>
      <c r="I998" s="176"/>
      <c r="J998" s="172"/>
      <c r="K998" s="172"/>
      <c r="L998" s="75" t="str">
        <f t="shared" si="26"/>
        <v xml:space="preserve"> </v>
      </c>
      <c r="M998" s="75" t="str">
        <f t="shared" si="27"/>
        <v xml:space="preserve"> </v>
      </c>
      <c r="N998" s="68"/>
      <c r="O998" s="180"/>
      <c r="P998" s="74"/>
      <c r="Q998" s="75" t="str">
        <f t="shared" si="28"/>
        <v xml:space="preserve"> </v>
      </c>
      <c r="R998" s="174"/>
      <c r="S998" s="173"/>
      <c r="T998" s="179"/>
      <c r="U998" s="119"/>
      <c r="V998" s="75"/>
      <c r="W998" s="75" t="str">
        <f t="shared" si="29"/>
        <v xml:space="preserve"> </v>
      </c>
      <c r="X998" s="75"/>
      <c r="Y998" s="75"/>
      <c r="Z998" s="75"/>
      <c r="AA998" s="258"/>
      <c r="AB998" s="75"/>
      <c r="AC998" s="75"/>
      <c r="AD998" s="75"/>
      <c r="AE998" s="119" t="s">
        <v>809</v>
      </c>
      <c r="AF998" s="119"/>
      <c r="AG998" s="174" t="s">
        <v>810</v>
      </c>
    </row>
    <row r="999" spans="1:33" s="81" customFormat="1" x14ac:dyDescent="0.2">
      <c r="A999" s="13">
        <f t="shared" si="30"/>
        <v>79</v>
      </c>
      <c r="B999" s="11"/>
      <c r="C999" s="84"/>
      <c r="D999" s="2"/>
      <c r="E999" s="2"/>
      <c r="F999" s="1"/>
      <c r="G999" s="1"/>
      <c r="H999" s="122"/>
      <c r="I999" s="176"/>
      <c r="J999" s="172"/>
      <c r="K999" s="172"/>
      <c r="L999" s="75" t="str">
        <f t="shared" si="26"/>
        <v xml:space="preserve"> </v>
      </c>
      <c r="M999" s="75" t="str">
        <f t="shared" si="27"/>
        <v xml:space="preserve"> </v>
      </c>
      <c r="N999" s="68"/>
      <c r="O999" s="180"/>
      <c r="P999" s="74"/>
      <c r="Q999" s="75" t="str">
        <f t="shared" si="28"/>
        <v xml:space="preserve"> </v>
      </c>
      <c r="R999" s="174"/>
      <c r="S999" s="173"/>
      <c r="T999" s="179"/>
      <c r="U999" s="119"/>
      <c r="V999" s="75"/>
      <c r="W999" s="75" t="str">
        <f t="shared" si="29"/>
        <v xml:space="preserve"> </v>
      </c>
      <c r="X999" s="75"/>
      <c r="Y999" s="75"/>
      <c r="Z999" s="75"/>
      <c r="AA999" s="258"/>
      <c r="AB999" s="75"/>
      <c r="AC999" s="75"/>
      <c r="AD999" s="75"/>
      <c r="AE999" s="119"/>
      <c r="AF999" s="119"/>
      <c r="AG999" s="119"/>
    </row>
    <row r="1000" spans="1:33" s="81" customFormat="1" x14ac:dyDescent="0.2">
      <c r="A1000" s="13">
        <f t="shared" si="30"/>
        <v>79</v>
      </c>
      <c r="B1000" s="11"/>
      <c r="C1000" s="1"/>
      <c r="D1000" s="2"/>
      <c r="E1000" s="2"/>
      <c r="F1000" s="1"/>
      <c r="G1000" s="1"/>
      <c r="H1000" s="122"/>
      <c r="I1000" s="176"/>
      <c r="J1000" s="172"/>
      <c r="K1000" s="172"/>
      <c r="L1000" s="75" t="str">
        <f t="shared" si="26"/>
        <v xml:space="preserve"> </v>
      </c>
      <c r="M1000" s="75" t="str">
        <f t="shared" si="27"/>
        <v xml:space="preserve"> </v>
      </c>
      <c r="N1000" s="68"/>
      <c r="O1000" s="180"/>
      <c r="P1000" s="74"/>
      <c r="Q1000" s="75" t="str">
        <f t="shared" si="28"/>
        <v xml:space="preserve"> </v>
      </c>
      <c r="R1000" s="174"/>
      <c r="S1000" s="173"/>
      <c r="T1000" s="179"/>
      <c r="U1000" s="119"/>
      <c r="V1000" s="75"/>
      <c r="W1000" s="75" t="str">
        <f t="shared" si="29"/>
        <v xml:space="preserve"> </v>
      </c>
      <c r="X1000" s="75"/>
      <c r="Y1000" s="75"/>
      <c r="Z1000" s="75"/>
      <c r="AA1000" s="258"/>
      <c r="AB1000" s="75"/>
      <c r="AC1000" s="75"/>
      <c r="AD1000" s="75"/>
      <c r="AE1000" s="119"/>
      <c r="AF1000" s="119"/>
      <c r="AG1000" s="119"/>
    </row>
    <row r="1001" spans="1:33" s="81" customFormat="1" ht="60" x14ac:dyDescent="0.2">
      <c r="A1001" s="13">
        <f t="shared" si="30"/>
        <v>80</v>
      </c>
      <c r="B1001" s="11">
        <v>80</v>
      </c>
      <c r="C1001" s="21" t="s">
        <v>866</v>
      </c>
      <c r="D1001" s="2">
        <v>5</v>
      </c>
      <c r="E1001" s="2">
        <v>86</v>
      </c>
      <c r="F1001" s="1">
        <v>44</v>
      </c>
      <c r="G1001" s="1" t="s">
        <v>867</v>
      </c>
      <c r="H1001" s="122">
        <v>1600</v>
      </c>
      <c r="I1001" s="176"/>
      <c r="J1001" s="172"/>
      <c r="K1001" s="172"/>
      <c r="L1001" s="75">
        <f t="shared" si="26"/>
        <v>0</v>
      </c>
      <c r="M1001" s="75">
        <f t="shared" si="27"/>
        <v>0</v>
      </c>
      <c r="N1001" s="68" t="s">
        <v>77</v>
      </c>
      <c r="O1001" s="180">
        <v>36</v>
      </c>
      <c r="P1001" s="74"/>
      <c r="Q1001" s="75">
        <f t="shared" si="28"/>
        <v>0</v>
      </c>
      <c r="R1001" s="174"/>
      <c r="S1001" s="173"/>
      <c r="T1001" s="179"/>
      <c r="U1001" s="119"/>
      <c r="V1001" s="75"/>
      <c r="W1001" s="75" t="str">
        <f t="shared" si="29"/>
        <v xml:space="preserve"> </v>
      </c>
      <c r="X1001" s="75"/>
      <c r="Y1001" s="75"/>
      <c r="Z1001" s="75"/>
      <c r="AA1001" s="258"/>
      <c r="AB1001" s="75"/>
      <c r="AC1001" s="75"/>
      <c r="AD1001" s="75"/>
      <c r="AE1001" s="68" t="s">
        <v>868</v>
      </c>
      <c r="AF1001" s="68"/>
      <c r="AG1001" s="174" t="s">
        <v>795</v>
      </c>
    </row>
    <row r="1002" spans="1:33" s="81" customFormat="1" ht="60" x14ac:dyDescent="0.2">
      <c r="A1002" s="13">
        <f t="shared" si="30"/>
        <v>80</v>
      </c>
      <c r="B1002" s="11"/>
      <c r="C1002" s="1" t="s">
        <v>869</v>
      </c>
      <c r="D1002" s="2"/>
      <c r="E1002" s="2"/>
      <c r="F1002" s="1"/>
      <c r="G1002" s="84" t="s">
        <v>870</v>
      </c>
      <c r="H1002" s="122">
        <v>0.6</v>
      </c>
      <c r="I1002" s="176"/>
      <c r="J1002" s="172"/>
      <c r="K1002" s="172"/>
      <c r="L1002" s="75">
        <f t="shared" si="26"/>
        <v>0</v>
      </c>
      <c r="M1002" s="75">
        <f t="shared" si="27"/>
        <v>0</v>
      </c>
      <c r="N1002" s="68"/>
      <c r="O1002" s="180"/>
      <c r="P1002" s="74"/>
      <c r="Q1002" s="75" t="str">
        <f t="shared" si="28"/>
        <v xml:space="preserve"> </v>
      </c>
      <c r="R1002" s="174"/>
      <c r="S1002" s="173"/>
      <c r="T1002" s="179"/>
      <c r="U1002" s="119"/>
      <c r="V1002" s="75"/>
      <c r="W1002" s="75" t="str">
        <f t="shared" si="29"/>
        <v xml:space="preserve"> </v>
      </c>
      <c r="X1002" s="75"/>
      <c r="Y1002" s="75"/>
      <c r="Z1002" s="75"/>
      <c r="AA1002" s="258"/>
      <c r="AB1002" s="75"/>
      <c r="AC1002" s="75"/>
      <c r="AD1002" s="75"/>
      <c r="AE1002" s="68" t="s">
        <v>871</v>
      </c>
      <c r="AF1002" s="68"/>
      <c r="AG1002" s="174" t="s">
        <v>804</v>
      </c>
    </row>
    <row r="1003" spans="1:33" s="81" customFormat="1" ht="60" x14ac:dyDescent="0.2">
      <c r="A1003" s="13">
        <f t="shared" si="30"/>
        <v>80</v>
      </c>
      <c r="B1003" s="11"/>
      <c r="C1003" s="1" t="s">
        <v>1571</v>
      </c>
      <c r="D1003" s="178"/>
      <c r="E1003" s="2"/>
      <c r="F1003" s="1"/>
      <c r="G1003" s="1"/>
      <c r="H1003" s="122"/>
      <c r="I1003" s="124"/>
      <c r="J1003" s="172"/>
      <c r="K1003" s="172"/>
      <c r="L1003" s="75" t="str">
        <f t="shared" si="26"/>
        <v xml:space="preserve"> </v>
      </c>
      <c r="M1003" s="75" t="str">
        <f t="shared" si="27"/>
        <v xml:space="preserve"> </v>
      </c>
      <c r="N1003" s="70"/>
      <c r="O1003" s="180"/>
      <c r="P1003" s="74"/>
      <c r="Q1003" s="75" t="str">
        <f t="shared" si="28"/>
        <v xml:space="preserve"> </v>
      </c>
      <c r="R1003" s="70"/>
      <c r="S1003" s="183"/>
      <c r="T1003" s="179"/>
      <c r="U1003" s="119"/>
      <c r="V1003" s="75"/>
      <c r="W1003" s="75" t="str">
        <f t="shared" si="29"/>
        <v xml:space="preserve"> </v>
      </c>
      <c r="X1003" s="75"/>
      <c r="Y1003" s="75"/>
      <c r="Z1003" s="75"/>
      <c r="AA1003" s="258"/>
      <c r="AB1003" s="75"/>
      <c r="AC1003" s="75"/>
      <c r="AD1003" s="75"/>
      <c r="AE1003" s="119" t="s">
        <v>872</v>
      </c>
      <c r="AF1003" s="119"/>
      <c r="AG1003" s="174" t="s">
        <v>808</v>
      </c>
    </row>
    <row r="1004" spans="1:33" s="81" customFormat="1" ht="60" x14ac:dyDescent="0.2">
      <c r="A1004" s="13">
        <f t="shared" si="30"/>
        <v>80</v>
      </c>
      <c r="B1004" s="11"/>
      <c r="C1004" s="82"/>
      <c r="D1004" s="178"/>
      <c r="E1004" s="2"/>
      <c r="F1004" s="1"/>
      <c r="G1004" s="1"/>
      <c r="H1004" s="122"/>
      <c r="I1004" s="124"/>
      <c r="J1004" s="172"/>
      <c r="K1004" s="172"/>
      <c r="L1004" s="75" t="str">
        <f t="shared" si="26"/>
        <v xml:space="preserve"> </v>
      </c>
      <c r="M1004" s="75" t="str">
        <f t="shared" si="27"/>
        <v xml:space="preserve"> </v>
      </c>
      <c r="N1004" s="70"/>
      <c r="O1004" s="180"/>
      <c r="P1004" s="74"/>
      <c r="Q1004" s="75" t="str">
        <f t="shared" si="28"/>
        <v xml:space="preserve"> </v>
      </c>
      <c r="R1004" s="70"/>
      <c r="S1004" s="183"/>
      <c r="T1004" s="179"/>
      <c r="U1004" s="119"/>
      <c r="V1004" s="75"/>
      <c r="W1004" s="75" t="str">
        <f t="shared" si="29"/>
        <v xml:space="preserve"> </v>
      </c>
      <c r="X1004" s="75"/>
      <c r="Y1004" s="75"/>
      <c r="Z1004" s="75"/>
      <c r="AA1004" s="258"/>
      <c r="AB1004" s="75"/>
      <c r="AC1004" s="75"/>
      <c r="AD1004" s="75"/>
      <c r="AE1004" s="119" t="s">
        <v>809</v>
      </c>
      <c r="AF1004" s="119"/>
      <c r="AG1004" s="174" t="s">
        <v>810</v>
      </c>
    </row>
    <row r="1005" spans="1:33" s="81" customFormat="1" x14ac:dyDescent="0.2">
      <c r="A1005" s="13">
        <f t="shared" si="30"/>
        <v>80</v>
      </c>
      <c r="B1005" s="11"/>
      <c r="C1005" s="82"/>
      <c r="D1005" s="178"/>
      <c r="E1005" s="2"/>
      <c r="F1005" s="1"/>
      <c r="G1005" s="1"/>
      <c r="H1005" s="122"/>
      <c r="I1005" s="124"/>
      <c r="J1005" s="172"/>
      <c r="K1005" s="172"/>
      <c r="L1005" s="75"/>
      <c r="M1005" s="75"/>
      <c r="N1005" s="70"/>
      <c r="O1005" s="180"/>
      <c r="P1005" s="74"/>
      <c r="Q1005" s="75"/>
      <c r="R1005" s="70"/>
      <c r="S1005" s="183"/>
      <c r="T1005" s="179"/>
      <c r="U1005" s="119"/>
      <c r="V1005" s="75"/>
      <c r="W1005" s="75"/>
      <c r="X1005" s="75"/>
      <c r="Y1005" s="75"/>
      <c r="Z1005" s="75"/>
      <c r="AA1005" s="258"/>
      <c r="AB1005" s="75"/>
      <c r="AC1005" s="75"/>
      <c r="AD1005" s="75"/>
      <c r="AE1005" s="119"/>
      <c r="AF1005" s="119"/>
      <c r="AG1005" s="174"/>
    </row>
    <row r="1006" spans="1:33" s="81" customFormat="1" x14ac:dyDescent="0.2">
      <c r="A1006" s="13">
        <f t="shared" si="30"/>
        <v>80</v>
      </c>
      <c r="B1006" s="11"/>
      <c r="C1006" s="82"/>
      <c r="D1006" s="178"/>
      <c r="E1006" s="2"/>
      <c r="F1006" s="133"/>
      <c r="G1006" s="84"/>
      <c r="H1006" s="122"/>
      <c r="I1006" s="124"/>
      <c r="J1006" s="172"/>
      <c r="K1006" s="172"/>
      <c r="L1006" s="75" t="str">
        <f>IF(G1006&lt;&gt;0,ROUND(H1006*J1006,-2)," ")</f>
        <v xml:space="preserve"> </v>
      </c>
      <c r="M1006" s="75" t="str">
        <f>IF(G1006&lt;&gt;0,ROUND(H1006*K1006,-2)," ")</f>
        <v xml:space="preserve"> </v>
      </c>
      <c r="N1006" s="70"/>
      <c r="O1006" s="180"/>
      <c r="P1006" s="74"/>
      <c r="Q1006" s="75" t="str">
        <f>IF(N1006&lt;&gt;0,ROUND(O1006*P1006,-2)," ")</f>
        <v xml:space="preserve"> </v>
      </c>
      <c r="R1006" s="70"/>
      <c r="S1006" s="183"/>
      <c r="T1006" s="179"/>
      <c r="U1006" s="119"/>
      <c r="V1006" s="75"/>
      <c r="W1006" s="75" t="str">
        <f>IF(R1006&lt;&gt;0,ROUND(T1006*V1006,-2)," ")</f>
        <v xml:space="preserve"> </v>
      </c>
      <c r="X1006" s="75"/>
      <c r="Y1006" s="75"/>
      <c r="Z1006" s="75"/>
      <c r="AA1006" s="258"/>
      <c r="AB1006" s="75"/>
      <c r="AC1006" s="75"/>
      <c r="AD1006" s="75"/>
      <c r="AE1006" s="119"/>
      <c r="AF1006" s="119"/>
      <c r="AG1006" s="119"/>
    </row>
    <row r="1007" spans="1:33" s="81" customFormat="1" ht="60" x14ac:dyDescent="0.2">
      <c r="A1007" s="13">
        <f t="shared" si="30"/>
        <v>81</v>
      </c>
      <c r="B1007" s="11">
        <v>81</v>
      </c>
      <c r="C1007" s="92" t="s">
        <v>873</v>
      </c>
      <c r="D1007" s="2">
        <v>4</v>
      </c>
      <c r="E1007" s="87">
        <v>86</v>
      </c>
      <c r="F1007" s="87">
        <v>194</v>
      </c>
      <c r="G1007" s="84" t="s">
        <v>874</v>
      </c>
      <c r="H1007" s="122">
        <f>839.4-H1008</f>
        <v>630.4</v>
      </c>
      <c r="I1007" s="124"/>
      <c r="J1007" s="172"/>
      <c r="K1007" s="172"/>
      <c r="L1007" s="75">
        <f>IF(G1007&lt;&gt;0,ROUND(H1007*J1007,-2)," ")</f>
        <v>0</v>
      </c>
      <c r="M1007" s="75">
        <f>IF(G1007&lt;&gt;0,ROUND(H1007*K1007,-2)," ")</f>
        <v>0</v>
      </c>
      <c r="N1007" s="70"/>
      <c r="O1007" s="180"/>
      <c r="P1007" s="74"/>
      <c r="Q1007" s="75" t="str">
        <f>IF(N1007&lt;&gt;0,ROUND(O1007*P1007,-2)," ")</f>
        <v xml:space="preserve"> </v>
      </c>
      <c r="R1007" s="70"/>
      <c r="S1007" s="183"/>
      <c r="T1007" s="179"/>
      <c r="U1007" s="119"/>
      <c r="V1007" s="75"/>
      <c r="W1007" s="75" t="str">
        <f>IF(R1007&lt;&gt;0,ROUND(T1007*V1007,-2)," ")</f>
        <v xml:space="preserve"> </v>
      </c>
      <c r="X1007" s="75"/>
      <c r="Y1007" s="75"/>
      <c r="Z1007" s="75"/>
      <c r="AA1007" s="258"/>
      <c r="AB1007" s="75"/>
      <c r="AC1007" s="75"/>
      <c r="AD1007" s="75"/>
      <c r="AE1007" s="68" t="s">
        <v>875</v>
      </c>
      <c r="AF1007" s="68"/>
      <c r="AG1007" s="174" t="s">
        <v>804</v>
      </c>
    </row>
    <row r="1008" spans="1:33" s="81" customFormat="1" ht="60" x14ac:dyDescent="0.2">
      <c r="A1008" s="13">
        <f t="shared" si="30"/>
        <v>81</v>
      </c>
      <c r="B1008" s="11"/>
      <c r="C1008" s="1" t="s">
        <v>876</v>
      </c>
      <c r="D1008" s="2"/>
      <c r="E1008" s="87">
        <v>86</v>
      </c>
      <c r="F1008" s="87">
        <v>194</v>
      </c>
      <c r="G1008" s="84" t="s">
        <v>877</v>
      </c>
      <c r="H1008" s="122">
        <v>209</v>
      </c>
      <c r="I1008" s="124"/>
      <c r="J1008" s="172"/>
      <c r="K1008" s="172"/>
      <c r="L1008" s="75">
        <f>IF(G1008&lt;&gt;0,ROUND(H1008*J1008,-2)," ")</f>
        <v>0</v>
      </c>
      <c r="M1008" s="75">
        <f>IF(G1008&lt;&gt;0,ROUND(H1008*K1008,-2)," ")</f>
        <v>0</v>
      </c>
      <c r="N1008" s="70"/>
      <c r="O1008" s="180"/>
      <c r="P1008" s="74"/>
      <c r="Q1008" s="75" t="str">
        <f>IF(N1008&lt;&gt;0,ROUND(O1008*P1008,-2)," ")</f>
        <v xml:space="preserve"> </v>
      </c>
      <c r="R1008" s="70"/>
      <c r="S1008" s="183"/>
      <c r="T1008" s="179"/>
      <c r="U1008" s="119"/>
      <c r="V1008" s="75"/>
      <c r="W1008" s="75" t="str">
        <f>IF(R1008&lt;&gt;0,ROUND(T1008*V1008,-2)," ")</f>
        <v xml:space="preserve"> </v>
      </c>
      <c r="X1008" s="75"/>
      <c r="Y1008" s="75"/>
      <c r="Z1008" s="75"/>
      <c r="AA1008" s="258"/>
      <c r="AB1008" s="75"/>
      <c r="AC1008" s="75"/>
      <c r="AD1008" s="75"/>
      <c r="AE1008" s="68" t="s">
        <v>878</v>
      </c>
      <c r="AF1008" s="68"/>
      <c r="AG1008" s="174" t="s">
        <v>808</v>
      </c>
    </row>
    <row r="1009" spans="1:33" s="81" customFormat="1" ht="60" x14ac:dyDescent="0.2">
      <c r="A1009" s="13">
        <f t="shared" si="30"/>
        <v>81</v>
      </c>
      <c r="B1009" s="11"/>
      <c r="C1009" s="84" t="s">
        <v>879</v>
      </c>
      <c r="D1009" s="2"/>
      <c r="E1009" s="2"/>
      <c r="F1009" s="1"/>
      <c r="G1009" s="84" t="s">
        <v>880</v>
      </c>
      <c r="H1009" s="122">
        <v>0.3</v>
      </c>
      <c r="I1009" s="124"/>
      <c r="J1009" s="172"/>
      <c r="K1009" s="172"/>
      <c r="L1009" s="75">
        <f>IF(G1009&lt;&gt;0,ROUND(H1009*J1009,-2)," ")</f>
        <v>0</v>
      </c>
      <c r="M1009" s="75">
        <f>IF(G1009&lt;&gt;0,ROUND(H1009*K1009,-2)," ")</f>
        <v>0</v>
      </c>
      <c r="N1009" s="70"/>
      <c r="O1009" s="180"/>
      <c r="P1009" s="74"/>
      <c r="Q1009" s="75" t="str">
        <f>IF(N1009&lt;&gt;0,ROUND(O1009*P1009,-2)," ")</f>
        <v xml:space="preserve"> </v>
      </c>
      <c r="R1009" s="70"/>
      <c r="S1009" s="183"/>
      <c r="T1009" s="179"/>
      <c r="U1009" s="119"/>
      <c r="V1009" s="75"/>
      <c r="W1009" s="75" t="str">
        <f>IF(R1009&lt;&gt;0,ROUND(T1009*V1009,-2)," ")</f>
        <v xml:space="preserve"> </v>
      </c>
      <c r="X1009" s="75"/>
      <c r="Y1009" s="75"/>
      <c r="Z1009" s="75"/>
      <c r="AA1009" s="258"/>
      <c r="AB1009" s="75"/>
      <c r="AC1009" s="75"/>
      <c r="AD1009" s="75"/>
      <c r="AE1009" s="119" t="s">
        <v>881</v>
      </c>
      <c r="AF1009" s="119"/>
      <c r="AG1009" s="174" t="s">
        <v>810</v>
      </c>
    </row>
    <row r="1010" spans="1:33" s="81" customFormat="1" x14ac:dyDescent="0.2">
      <c r="A1010" s="13">
        <f t="shared" si="30"/>
        <v>81</v>
      </c>
      <c r="B1010" s="11"/>
      <c r="C1010" s="84"/>
      <c r="D1010" s="2"/>
      <c r="E1010" s="2"/>
      <c r="F1010" s="1"/>
      <c r="G1010" s="1"/>
      <c r="H1010" s="122"/>
      <c r="I1010" s="124"/>
      <c r="J1010" s="172"/>
      <c r="K1010" s="172"/>
      <c r="L1010" s="75" t="str">
        <f>IF(G1010&lt;&gt;0,ROUND(H1010*J1010,-2)," ")</f>
        <v xml:space="preserve"> </v>
      </c>
      <c r="M1010" s="75" t="str">
        <f>IF(G1010&lt;&gt;0,ROUND(H1010*K1010,-2)," ")</f>
        <v xml:space="preserve"> </v>
      </c>
      <c r="N1010" s="70"/>
      <c r="O1010" s="180"/>
      <c r="P1010" s="74"/>
      <c r="Q1010" s="75" t="str">
        <f>IF(N1010&lt;&gt;0,ROUND(O1010*P1010,-2)," ")</f>
        <v xml:space="preserve"> </v>
      </c>
      <c r="R1010" s="70"/>
      <c r="S1010" s="183"/>
      <c r="T1010" s="179"/>
      <c r="U1010" s="119"/>
      <c r="V1010" s="75"/>
      <c r="W1010" s="75" t="str">
        <f>IF(R1010&lt;&gt;0,ROUND(T1010*V1010,-2)," ")</f>
        <v xml:space="preserve"> </v>
      </c>
      <c r="X1010" s="75"/>
      <c r="Y1010" s="75"/>
      <c r="Z1010" s="75"/>
      <c r="AA1010" s="258"/>
      <c r="AB1010" s="75"/>
      <c r="AC1010" s="75"/>
      <c r="AD1010" s="75"/>
      <c r="AE1010" s="119" t="s">
        <v>809</v>
      </c>
      <c r="AF1010" s="119"/>
      <c r="AG1010" s="119"/>
    </row>
    <row r="1011" spans="1:33" s="81" customFormat="1" ht="45" x14ac:dyDescent="0.2">
      <c r="A1011" s="13">
        <f t="shared" si="30"/>
        <v>81</v>
      </c>
      <c r="B1011" s="11"/>
      <c r="C1011" s="1"/>
      <c r="D1011" s="2"/>
      <c r="E1011" s="2"/>
      <c r="F1011" s="1"/>
      <c r="G1011" s="1"/>
      <c r="H1011" s="122"/>
      <c r="I1011" s="124"/>
      <c r="J1011" s="172"/>
      <c r="K1011" s="172"/>
      <c r="L1011" s="75"/>
      <c r="M1011" s="75"/>
      <c r="N1011" s="70"/>
      <c r="O1011" s="180"/>
      <c r="P1011" s="74"/>
      <c r="Q1011" s="75"/>
      <c r="R1011" s="70"/>
      <c r="S1011" s="183"/>
      <c r="T1011" s="179"/>
      <c r="U1011" s="119"/>
      <c r="V1011" s="75"/>
      <c r="W1011" s="75"/>
      <c r="X1011" s="75"/>
      <c r="Y1011" s="75"/>
      <c r="Z1011" s="75"/>
      <c r="AA1011" s="258"/>
      <c r="AB1011" s="75"/>
      <c r="AC1011" s="75"/>
      <c r="AD1011" s="75"/>
      <c r="AE1011" s="68" t="s">
        <v>848</v>
      </c>
      <c r="AF1011" s="68"/>
      <c r="AG1011" s="119"/>
    </row>
    <row r="1012" spans="1:33" s="81" customFormat="1" ht="45" x14ac:dyDescent="0.2">
      <c r="A1012" s="13">
        <f t="shared" si="30"/>
        <v>81</v>
      </c>
      <c r="B1012" s="11"/>
      <c r="C1012" s="1"/>
      <c r="D1012" s="2"/>
      <c r="E1012" s="2"/>
      <c r="F1012" s="1"/>
      <c r="G1012" s="1"/>
      <c r="H1012" s="122"/>
      <c r="I1012" s="124"/>
      <c r="J1012" s="172"/>
      <c r="K1012" s="172"/>
      <c r="L1012" s="75"/>
      <c r="M1012" s="75"/>
      <c r="N1012" s="70"/>
      <c r="O1012" s="180"/>
      <c r="P1012" s="74"/>
      <c r="Q1012" s="75"/>
      <c r="R1012" s="70"/>
      <c r="S1012" s="183"/>
      <c r="T1012" s="179"/>
      <c r="U1012" s="119"/>
      <c r="V1012" s="75"/>
      <c r="W1012" s="75"/>
      <c r="X1012" s="75"/>
      <c r="Y1012" s="75"/>
      <c r="Z1012" s="75"/>
      <c r="AA1012" s="258"/>
      <c r="AB1012" s="75"/>
      <c r="AC1012" s="75"/>
      <c r="AD1012" s="75"/>
      <c r="AE1012" s="68" t="s">
        <v>882</v>
      </c>
      <c r="AF1012" s="68"/>
      <c r="AG1012" s="119"/>
    </row>
    <row r="1013" spans="1:33" s="81" customFormat="1" x14ac:dyDescent="0.2">
      <c r="A1013" s="13">
        <f>IF(B1013&lt;&gt;0,B1013,A1011)</f>
        <v>81</v>
      </c>
      <c r="B1013" s="11"/>
      <c r="C1013" s="1"/>
      <c r="D1013" s="2"/>
      <c r="E1013" s="2"/>
      <c r="F1013" s="1"/>
      <c r="G1013" s="1"/>
      <c r="H1013" s="122"/>
      <c r="I1013" s="124"/>
      <c r="J1013" s="172"/>
      <c r="K1013" s="172"/>
      <c r="L1013" s="75"/>
      <c r="M1013" s="75"/>
      <c r="N1013" s="70"/>
      <c r="O1013" s="180"/>
      <c r="P1013" s="74"/>
      <c r="Q1013" s="75"/>
      <c r="R1013" s="70"/>
      <c r="S1013" s="183"/>
      <c r="T1013" s="179"/>
      <c r="U1013" s="119"/>
      <c r="V1013" s="75"/>
      <c r="W1013" s="75"/>
      <c r="X1013" s="75"/>
      <c r="Y1013" s="75"/>
      <c r="Z1013" s="75"/>
      <c r="AA1013" s="258"/>
      <c r="AB1013" s="75"/>
      <c r="AC1013" s="75"/>
      <c r="AD1013" s="75"/>
      <c r="AE1013" s="163"/>
      <c r="AF1013" s="163"/>
      <c r="AG1013" s="119"/>
    </row>
    <row r="1014" spans="1:33" s="81" customFormat="1" ht="60" x14ac:dyDescent="0.2">
      <c r="A1014" s="13">
        <f>IF(B1014&lt;&gt;0,B1014,#REF!)</f>
        <v>82</v>
      </c>
      <c r="B1014" s="11">
        <v>82</v>
      </c>
      <c r="C1014" s="21" t="s">
        <v>883</v>
      </c>
      <c r="D1014" s="2">
        <v>4</v>
      </c>
      <c r="E1014" s="2">
        <v>86</v>
      </c>
      <c r="F1014" s="1">
        <v>195</v>
      </c>
      <c r="G1014" s="1" t="s">
        <v>884</v>
      </c>
      <c r="H1014" s="122">
        <f>419.8-H1015</f>
        <v>209.8</v>
      </c>
      <c r="I1014" s="176"/>
      <c r="J1014" s="172"/>
      <c r="K1014" s="172"/>
      <c r="L1014" s="75">
        <f>IF(G1014&lt;&gt;0,ROUND(H1014*J1014,-2)," ")</f>
        <v>0</v>
      </c>
      <c r="M1014" s="75">
        <f>IF(G1014&lt;&gt;0,ROUND(H1014*K1014,-2)," ")</f>
        <v>0</v>
      </c>
      <c r="N1014" s="68"/>
      <c r="O1014" s="180"/>
      <c r="P1014" s="74"/>
      <c r="Q1014" s="75" t="str">
        <f>IF(N1014&lt;&gt;0,ROUND(O1014*P1014,-2)," ")</f>
        <v xml:space="preserve"> </v>
      </c>
      <c r="R1014" s="174"/>
      <c r="S1014" s="173"/>
      <c r="T1014" s="179"/>
      <c r="U1014" s="119"/>
      <c r="V1014" s="75"/>
      <c r="W1014" s="75" t="str">
        <f>IF(R1014&lt;&gt;0,ROUND(T1014*V1014,-2)," ")</f>
        <v xml:space="preserve"> </v>
      </c>
      <c r="X1014" s="75"/>
      <c r="Y1014" s="75"/>
      <c r="Z1014" s="75"/>
      <c r="AA1014" s="258"/>
      <c r="AB1014" s="75"/>
      <c r="AC1014" s="75"/>
      <c r="AD1014" s="75"/>
      <c r="AE1014" s="68" t="s">
        <v>885</v>
      </c>
      <c r="AF1014" s="68"/>
      <c r="AG1014" s="174" t="s">
        <v>804</v>
      </c>
    </row>
    <row r="1015" spans="1:33" s="81" customFormat="1" ht="60" x14ac:dyDescent="0.2">
      <c r="A1015" s="13">
        <f t="shared" ref="A1015:A1020" si="31">IF(B1015&lt;&gt;0,B1015,A1014)</f>
        <v>82</v>
      </c>
      <c r="B1015" s="11"/>
      <c r="C1015" s="82" t="s">
        <v>886</v>
      </c>
      <c r="D1015" s="178"/>
      <c r="E1015" s="2">
        <v>86</v>
      </c>
      <c r="F1015" s="1">
        <v>195</v>
      </c>
      <c r="G1015" s="1" t="s">
        <v>877</v>
      </c>
      <c r="H1015" s="122">
        <v>210</v>
      </c>
      <c r="I1015" s="124"/>
      <c r="J1015" s="172"/>
      <c r="K1015" s="172"/>
      <c r="L1015" s="75">
        <f>IF(G1015&lt;&gt;0,ROUND(H1015*J1015,-2)," ")</f>
        <v>0</v>
      </c>
      <c r="M1015" s="75">
        <f>IF(G1015&lt;&gt;0,ROUND(H1015*K1015,-2)," ")</f>
        <v>0</v>
      </c>
      <c r="N1015" s="70"/>
      <c r="O1015" s="180"/>
      <c r="P1015" s="74"/>
      <c r="Q1015" s="75" t="str">
        <f>IF(N1015&lt;&gt;0,ROUND(O1015*P1015,-2)," ")</f>
        <v xml:space="preserve"> </v>
      </c>
      <c r="R1015" s="184"/>
      <c r="S1015" s="184"/>
      <c r="T1015" s="179"/>
      <c r="U1015" s="119"/>
      <c r="V1015" s="75"/>
      <c r="W1015" s="75" t="str">
        <f>IF(R1015&lt;&gt;0,ROUND(T1015*V1015,-2)," ")</f>
        <v xml:space="preserve"> </v>
      </c>
      <c r="X1015" s="75"/>
      <c r="Y1015" s="75"/>
      <c r="Z1015" s="75"/>
      <c r="AA1015" s="258"/>
      <c r="AB1015" s="75"/>
      <c r="AC1015" s="75"/>
      <c r="AD1015" s="75"/>
      <c r="AE1015" s="68" t="s">
        <v>887</v>
      </c>
      <c r="AF1015" s="68"/>
      <c r="AG1015" s="174" t="s">
        <v>808</v>
      </c>
    </row>
    <row r="1016" spans="1:33" s="81" customFormat="1" ht="60" x14ac:dyDescent="0.2">
      <c r="A1016" s="13">
        <f t="shared" si="31"/>
        <v>82</v>
      </c>
      <c r="B1016" s="11"/>
      <c r="C1016" s="82" t="s">
        <v>888</v>
      </c>
      <c r="D1016" s="178"/>
      <c r="E1016" s="2"/>
      <c r="F1016" s="1"/>
      <c r="G1016" s="84" t="s">
        <v>880</v>
      </c>
      <c r="H1016" s="122">
        <v>0.2</v>
      </c>
      <c r="I1016" s="124"/>
      <c r="J1016" s="172"/>
      <c r="K1016" s="172"/>
      <c r="L1016" s="75">
        <f>IF(G1016&lt;&gt;0,ROUND(H1016*J1016,-2)," ")</f>
        <v>0</v>
      </c>
      <c r="M1016" s="75">
        <f>IF(G1016&lt;&gt;0,ROUND(H1016*K1016,-2)," ")</f>
        <v>0</v>
      </c>
      <c r="N1016" s="70"/>
      <c r="O1016" s="180"/>
      <c r="P1016" s="74"/>
      <c r="Q1016" s="75" t="str">
        <f>IF(N1016&lt;&gt;0,ROUND(O1016*P1016,-2)," ")</f>
        <v xml:space="preserve"> </v>
      </c>
      <c r="R1016" s="184"/>
      <c r="S1016" s="184"/>
      <c r="T1016" s="179"/>
      <c r="U1016" s="119"/>
      <c r="V1016" s="75"/>
      <c r="W1016" s="75" t="str">
        <f>IF(R1016&lt;&gt;0,ROUND(T1016*V1016,-2)," ")</f>
        <v xml:space="preserve"> </v>
      </c>
      <c r="X1016" s="75"/>
      <c r="Y1016" s="75"/>
      <c r="Z1016" s="75"/>
      <c r="AA1016" s="258"/>
      <c r="AB1016" s="75"/>
      <c r="AC1016" s="75"/>
      <c r="AD1016" s="75"/>
      <c r="AE1016" s="119" t="s">
        <v>889</v>
      </c>
      <c r="AF1016" s="119"/>
      <c r="AG1016" s="174" t="s">
        <v>810</v>
      </c>
    </row>
    <row r="1017" spans="1:33" s="81" customFormat="1" x14ac:dyDescent="0.2">
      <c r="A1017" s="13">
        <f t="shared" si="31"/>
        <v>82</v>
      </c>
      <c r="B1017" s="11"/>
      <c r="C1017" s="82"/>
      <c r="D1017" s="178"/>
      <c r="E1017" s="2"/>
      <c r="F1017" s="1"/>
      <c r="G1017" s="1"/>
      <c r="H1017" s="122"/>
      <c r="I1017" s="124"/>
      <c r="J1017" s="172"/>
      <c r="K1017" s="172"/>
      <c r="L1017" s="75" t="str">
        <f>IF(G1017&lt;&gt;0,ROUND(H1017*J1017,-2)," ")</f>
        <v xml:space="preserve"> </v>
      </c>
      <c r="M1017" s="75" t="str">
        <f>IF(G1017&lt;&gt;0,ROUND(H1017*K1017,-2)," ")</f>
        <v xml:space="preserve"> </v>
      </c>
      <c r="N1017" s="70"/>
      <c r="O1017" s="180"/>
      <c r="P1017" s="74"/>
      <c r="Q1017" s="75" t="str">
        <f>IF(N1017&lt;&gt;0,ROUND(O1017*P1017,-2)," ")</f>
        <v xml:space="preserve"> </v>
      </c>
      <c r="R1017" s="184"/>
      <c r="S1017" s="184"/>
      <c r="T1017" s="179"/>
      <c r="U1017" s="119"/>
      <c r="V1017" s="75"/>
      <c r="W1017" s="75" t="str">
        <f>IF(R1017&lt;&gt;0,ROUND(T1017*V1017,-2)," ")</f>
        <v xml:space="preserve"> </v>
      </c>
      <c r="X1017" s="75"/>
      <c r="Y1017" s="75"/>
      <c r="Z1017" s="75"/>
      <c r="AA1017" s="258"/>
      <c r="AB1017" s="75"/>
      <c r="AC1017" s="75"/>
      <c r="AD1017" s="75"/>
      <c r="AE1017" s="119" t="s">
        <v>809</v>
      </c>
      <c r="AF1017" s="119"/>
      <c r="AG1017" s="119"/>
    </row>
    <row r="1018" spans="1:33" s="81" customFormat="1" ht="45" x14ac:dyDescent="0.2">
      <c r="A1018" s="13">
        <f t="shared" si="31"/>
        <v>82</v>
      </c>
      <c r="B1018" s="11"/>
      <c r="C1018" s="82"/>
      <c r="D1018" s="178"/>
      <c r="E1018" s="2"/>
      <c r="F1018" s="1"/>
      <c r="G1018" s="1"/>
      <c r="H1018" s="122"/>
      <c r="I1018" s="124"/>
      <c r="J1018" s="172"/>
      <c r="K1018" s="172"/>
      <c r="L1018" s="75"/>
      <c r="M1018" s="75"/>
      <c r="N1018" s="70"/>
      <c r="O1018" s="180"/>
      <c r="P1018" s="74"/>
      <c r="Q1018" s="75"/>
      <c r="R1018" s="184"/>
      <c r="S1018" s="184"/>
      <c r="T1018" s="179"/>
      <c r="U1018" s="119"/>
      <c r="V1018" s="75"/>
      <c r="W1018" s="75"/>
      <c r="X1018" s="75"/>
      <c r="Y1018" s="75"/>
      <c r="Z1018" s="75"/>
      <c r="AA1018" s="258"/>
      <c r="AB1018" s="75"/>
      <c r="AC1018" s="75"/>
      <c r="AD1018" s="75"/>
      <c r="AE1018" s="68" t="s">
        <v>848</v>
      </c>
      <c r="AF1018" s="68"/>
      <c r="AG1018" s="119"/>
    </row>
    <row r="1019" spans="1:33" s="81" customFormat="1" ht="45" x14ac:dyDescent="0.2">
      <c r="A1019" s="13">
        <f t="shared" si="31"/>
        <v>82</v>
      </c>
      <c r="B1019" s="11"/>
      <c r="C1019" s="82"/>
      <c r="D1019" s="178"/>
      <c r="E1019" s="2"/>
      <c r="F1019" s="1"/>
      <c r="G1019" s="1"/>
      <c r="H1019" s="122"/>
      <c r="I1019" s="124"/>
      <c r="J1019" s="172"/>
      <c r="K1019" s="172"/>
      <c r="L1019" s="75"/>
      <c r="M1019" s="75"/>
      <c r="N1019" s="70"/>
      <c r="O1019" s="180"/>
      <c r="P1019" s="74"/>
      <c r="Q1019" s="75"/>
      <c r="R1019" s="184"/>
      <c r="S1019" s="184"/>
      <c r="T1019" s="179"/>
      <c r="U1019" s="119"/>
      <c r="V1019" s="75"/>
      <c r="W1019" s="75"/>
      <c r="X1019" s="75"/>
      <c r="Y1019" s="75"/>
      <c r="Z1019" s="75"/>
      <c r="AA1019" s="258"/>
      <c r="AB1019" s="75"/>
      <c r="AC1019" s="75"/>
      <c r="AD1019" s="75"/>
      <c r="AE1019" s="68" t="s">
        <v>890</v>
      </c>
      <c r="AF1019" s="68"/>
      <c r="AG1019" s="119"/>
    </row>
    <row r="1020" spans="1:33" s="81" customFormat="1" x14ac:dyDescent="0.2">
      <c r="A1020" s="13">
        <f t="shared" si="31"/>
        <v>82</v>
      </c>
      <c r="B1020" s="11"/>
      <c r="C1020" s="82"/>
      <c r="D1020" s="2"/>
      <c r="E1020" s="133"/>
      <c r="F1020" s="133"/>
      <c r="G1020" s="84"/>
      <c r="H1020" s="122"/>
      <c r="I1020" s="124"/>
      <c r="J1020" s="172"/>
      <c r="K1020" s="172"/>
      <c r="L1020" s="75" t="str">
        <f>IF(G1020&lt;&gt;0,ROUND(H1020*J1020,-2)," ")</f>
        <v xml:space="preserve"> </v>
      </c>
      <c r="M1020" s="75" t="str">
        <f>IF(G1020&lt;&gt;0,ROUND(H1020*K1020,-2)," ")</f>
        <v xml:space="preserve"> </v>
      </c>
      <c r="N1020" s="70"/>
      <c r="O1020" s="180"/>
      <c r="P1020" s="74"/>
      <c r="Q1020" s="75" t="str">
        <f>IF(N1020&lt;&gt;0,ROUND(O1020*P1020,-2)," ")</f>
        <v xml:space="preserve"> </v>
      </c>
      <c r="R1020" s="70"/>
      <c r="S1020" s="183"/>
      <c r="T1020" s="179"/>
      <c r="U1020" s="119"/>
      <c r="V1020" s="75"/>
      <c r="W1020" s="75" t="str">
        <f>IF(R1020&lt;&gt;0,ROUND(T1020*V1020,-2)," ")</f>
        <v xml:space="preserve"> </v>
      </c>
      <c r="X1020" s="75"/>
      <c r="Y1020" s="75"/>
      <c r="Z1020" s="75"/>
      <c r="AA1020" s="258"/>
      <c r="AB1020" s="75"/>
      <c r="AC1020" s="75"/>
      <c r="AD1020" s="75"/>
      <c r="AE1020" s="119"/>
      <c r="AF1020" s="119"/>
      <c r="AG1020" s="119"/>
    </row>
    <row r="1021" spans="1:33" s="81" customFormat="1" ht="60" x14ac:dyDescent="0.2">
      <c r="A1021" s="13">
        <f>IF(B1021&lt;&gt;0,B1021,#REF!)</f>
        <v>83</v>
      </c>
      <c r="B1021" s="11">
        <v>83</v>
      </c>
      <c r="C1021" s="92" t="s">
        <v>891</v>
      </c>
      <c r="D1021" s="2">
        <v>4</v>
      </c>
      <c r="E1021" s="2">
        <v>86</v>
      </c>
      <c r="F1021" s="1">
        <v>203</v>
      </c>
      <c r="G1021" s="1" t="s">
        <v>884</v>
      </c>
      <c r="H1021" s="122">
        <f>419.8-H1022</f>
        <v>209.8</v>
      </c>
      <c r="I1021" s="185"/>
      <c r="J1021" s="172"/>
      <c r="K1021" s="172"/>
      <c r="L1021" s="75">
        <f t="shared" ref="L1021:L1084" si="32">IF(G1021&lt;&gt;0,ROUND(H1021*J1021,-2)," ")</f>
        <v>0</v>
      </c>
      <c r="M1021" s="75">
        <f t="shared" ref="M1021:M1084" si="33">IF(G1021&lt;&gt;0,ROUND(H1021*K1021,-2)," ")</f>
        <v>0</v>
      </c>
      <c r="N1021" s="70"/>
      <c r="O1021" s="180"/>
      <c r="P1021" s="74"/>
      <c r="Q1021" s="75" t="str">
        <f t="shared" ref="Q1021:Q1084" si="34">IF(N1021&lt;&gt;0,ROUND(O1021*P1021,-2)," ")</f>
        <v xml:space="preserve"> </v>
      </c>
      <c r="R1021" s="70"/>
      <c r="S1021" s="183"/>
      <c r="T1021" s="179"/>
      <c r="U1021" s="119"/>
      <c r="V1021" s="75"/>
      <c r="W1021" s="75" t="str">
        <f t="shared" ref="W1021:W1084" si="35">IF(R1021&lt;&gt;0,ROUND(T1021*V1021,-2)," ")</f>
        <v xml:space="preserve"> </v>
      </c>
      <c r="X1021" s="75"/>
      <c r="Y1021" s="75"/>
      <c r="Z1021" s="75"/>
      <c r="AA1021" s="258"/>
      <c r="AB1021" s="75"/>
      <c r="AC1021" s="75"/>
      <c r="AD1021" s="75"/>
      <c r="AE1021" s="68" t="s">
        <v>892</v>
      </c>
      <c r="AF1021" s="68"/>
      <c r="AG1021" s="174" t="s">
        <v>804</v>
      </c>
    </row>
    <row r="1022" spans="1:33" s="81" customFormat="1" ht="60" x14ac:dyDescent="0.2">
      <c r="A1022" s="13">
        <f t="shared" ref="A1022:A1027" si="36">IF(B1022&lt;&gt;0,B1022,A1021)</f>
        <v>83</v>
      </c>
      <c r="B1022" s="11"/>
      <c r="C1022" s="1" t="s">
        <v>893</v>
      </c>
      <c r="D1022" s="2"/>
      <c r="E1022" s="2">
        <v>86</v>
      </c>
      <c r="F1022" s="1">
        <v>203</v>
      </c>
      <c r="G1022" s="1" t="s">
        <v>877</v>
      </c>
      <c r="H1022" s="122">
        <v>210</v>
      </c>
      <c r="I1022" s="176"/>
      <c r="J1022" s="172"/>
      <c r="K1022" s="172"/>
      <c r="L1022" s="75">
        <f t="shared" si="32"/>
        <v>0</v>
      </c>
      <c r="M1022" s="75">
        <f t="shared" si="33"/>
        <v>0</v>
      </c>
      <c r="N1022" s="68"/>
      <c r="O1022" s="180"/>
      <c r="P1022" s="74"/>
      <c r="Q1022" s="75" t="str">
        <f t="shared" si="34"/>
        <v xml:space="preserve"> </v>
      </c>
      <c r="R1022" s="174"/>
      <c r="S1022" s="173"/>
      <c r="T1022" s="179"/>
      <c r="U1022" s="119"/>
      <c r="V1022" s="75"/>
      <c r="W1022" s="75" t="str">
        <f t="shared" si="35"/>
        <v xml:space="preserve"> </v>
      </c>
      <c r="X1022" s="75"/>
      <c r="Y1022" s="75"/>
      <c r="Z1022" s="75"/>
      <c r="AA1022" s="258"/>
      <c r="AB1022" s="75"/>
      <c r="AC1022" s="75"/>
      <c r="AD1022" s="75"/>
      <c r="AE1022" s="68" t="s">
        <v>894</v>
      </c>
      <c r="AF1022" s="68"/>
      <c r="AG1022" s="174" t="s">
        <v>808</v>
      </c>
    </row>
    <row r="1023" spans="1:33" s="81" customFormat="1" ht="60" x14ac:dyDescent="0.2">
      <c r="A1023" s="13">
        <f t="shared" si="36"/>
        <v>83</v>
      </c>
      <c r="B1023" s="11"/>
      <c r="C1023" s="1" t="s">
        <v>895</v>
      </c>
      <c r="D1023" s="2"/>
      <c r="E1023" s="2"/>
      <c r="F1023" s="1"/>
      <c r="G1023" s="84" t="s">
        <v>880</v>
      </c>
      <c r="H1023" s="122">
        <v>0.2</v>
      </c>
      <c r="I1023" s="176"/>
      <c r="J1023" s="172"/>
      <c r="K1023" s="172"/>
      <c r="L1023" s="75">
        <f t="shared" si="32"/>
        <v>0</v>
      </c>
      <c r="M1023" s="75">
        <f t="shared" si="33"/>
        <v>0</v>
      </c>
      <c r="N1023" s="68"/>
      <c r="O1023" s="180"/>
      <c r="P1023" s="74"/>
      <c r="Q1023" s="75" t="str">
        <f t="shared" si="34"/>
        <v xml:space="preserve"> </v>
      </c>
      <c r="R1023" s="174"/>
      <c r="S1023" s="173"/>
      <c r="T1023" s="179"/>
      <c r="U1023" s="119"/>
      <c r="V1023" s="75"/>
      <c r="W1023" s="75" t="str">
        <f t="shared" si="35"/>
        <v xml:space="preserve"> </v>
      </c>
      <c r="X1023" s="75"/>
      <c r="Y1023" s="75"/>
      <c r="Z1023" s="75"/>
      <c r="AA1023" s="258"/>
      <c r="AB1023" s="75"/>
      <c r="AC1023" s="75"/>
      <c r="AD1023" s="75"/>
      <c r="AE1023" s="119" t="s">
        <v>896</v>
      </c>
      <c r="AF1023" s="119"/>
      <c r="AG1023" s="174" t="s">
        <v>810</v>
      </c>
    </row>
    <row r="1024" spans="1:33" s="81" customFormat="1" x14ac:dyDescent="0.2">
      <c r="A1024" s="13">
        <f t="shared" si="36"/>
        <v>83</v>
      </c>
      <c r="B1024" s="11"/>
      <c r="C1024" s="1"/>
      <c r="D1024" s="2"/>
      <c r="E1024" s="2"/>
      <c r="F1024" s="1"/>
      <c r="G1024" s="1"/>
      <c r="H1024" s="122"/>
      <c r="I1024" s="176"/>
      <c r="J1024" s="172"/>
      <c r="K1024" s="172"/>
      <c r="L1024" s="75" t="str">
        <f t="shared" si="32"/>
        <v xml:space="preserve"> </v>
      </c>
      <c r="M1024" s="75" t="str">
        <f t="shared" si="33"/>
        <v xml:space="preserve"> </v>
      </c>
      <c r="N1024" s="68"/>
      <c r="O1024" s="180"/>
      <c r="P1024" s="74"/>
      <c r="Q1024" s="75" t="str">
        <f t="shared" si="34"/>
        <v xml:space="preserve"> </v>
      </c>
      <c r="R1024" s="174"/>
      <c r="S1024" s="173"/>
      <c r="T1024" s="179"/>
      <c r="U1024" s="119"/>
      <c r="V1024" s="75"/>
      <c r="W1024" s="75" t="str">
        <f t="shared" si="35"/>
        <v xml:space="preserve"> </v>
      </c>
      <c r="X1024" s="75"/>
      <c r="Y1024" s="75"/>
      <c r="Z1024" s="75"/>
      <c r="AA1024" s="258"/>
      <c r="AB1024" s="75"/>
      <c r="AC1024" s="75"/>
      <c r="AD1024" s="75"/>
      <c r="AE1024" s="119" t="s">
        <v>809</v>
      </c>
      <c r="AF1024" s="119"/>
      <c r="AG1024" s="119"/>
    </row>
    <row r="1025" spans="1:33" s="81" customFormat="1" ht="45" x14ac:dyDescent="0.2">
      <c r="A1025" s="13">
        <f t="shared" si="36"/>
        <v>83</v>
      </c>
      <c r="B1025" s="11"/>
      <c r="C1025" s="1"/>
      <c r="D1025" s="2"/>
      <c r="E1025" s="2"/>
      <c r="F1025" s="1"/>
      <c r="G1025" s="1"/>
      <c r="H1025" s="122"/>
      <c r="I1025" s="176"/>
      <c r="J1025" s="172"/>
      <c r="K1025" s="172"/>
      <c r="L1025" s="75"/>
      <c r="M1025" s="75"/>
      <c r="N1025" s="68"/>
      <c r="O1025" s="180"/>
      <c r="P1025" s="74"/>
      <c r="Q1025" s="75"/>
      <c r="R1025" s="174"/>
      <c r="S1025" s="173"/>
      <c r="T1025" s="179"/>
      <c r="U1025" s="119"/>
      <c r="V1025" s="75"/>
      <c r="W1025" s="75"/>
      <c r="X1025" s="75"/>
      <c r="Y1025" s="75"/>
      <c r="Z1025" s="75"/>
      <c r="AA1025" s="258"/>
      <c r="AB1025" s="75"/>
      <c r="AC1025" s="75"/>
      <c r="AD1025" s="75"/>
      <c r="AE1025" s="68" t="s">
        <v>848</v>
      </c>
      <c r="AF1025" s="68"/>
      <c r="AG1025" s="119"/>
    </row>
    <row r="1026" spans="1:33" s="81" customFormat="1" ht="45" x14ac:dyDescent="0.2">
      <c r="A1026" s="13">
        <f t="shared" si="36"/>
        <v>83</v>
      </c>
      <c r="B1026" s="11"/>
      <c r="C1026" s="1"/>
      <c r="D1026" s="2"/>
      <c r="E1026" s="2"/>
      <c r="F1026" s="1"/>
      <c r="G1026" s="1"/>
      <c r="H1026" s="122"/>
      <c r="I1026" s="176"/>
      <c r="J1026" s="172"/>
      <c r="K1026" s="172"/>
      <c r="L1026" s="75"/>
      <c r="M1026" s="75"/>
      <c r="N1026" s="68"/>
      <c r="O1026" s="180"/>
      <c r="P1026" s="74"/>
      <c r="Q1026" s="75"/>
      <c r="R1026" s="174"/>
      <c r="S1026" s="173"/>
      <c r="T1026" s="179"/>
      <c r="U1026" s="119"/>
      <c r="V1026" s="75"/>
      <c r="W1026" s="75"/>
      <c r="X1026" s="75"/>
      <c r="Y1026" s="75"/>
      <c r="Z1026" s="75"/>
      <c r="AA1026" s="258"/>
      <c r="AB1026" s="75"/>
      <c r="AC1026" s="75"/>
      <c r="AD1026" s="75"/>
      <c r="AE1026" s="68" t="s">
        <v>897</v>
      </c>
      <c r="AF1026" s="68"/>
      <c r="AG1026" s="119"/>
    </row>
    <row r="1027" spans="1:33" s="81" customFormat="1" x14ac:dyDescent="0.2">
      <c r="A1027" s="13">
        <f t="shared" si="36"/>
        <v>83</v>
      </c>
      <c r="B1027" s="11"/>
      <c r="C1027" s="1"/>
      <c r="D1027" s="2"/>
      <c r="E1027" s="2"/>
      <c r="F1027" s="1"/>
      <c r="G1027" s="1"/>
      <c r="H1027" s="122"/>
      <c r="I1027" s="176"/>
      <c r="J1027" s="172"/>
      <c r="K1027" s="172"/>
      <c r="L1027" s="75"/>
      <c r="M1027" s="75"/>
      <c r="N1027" s="68"/>
      <c r="O1027" s="180"/>
      <c r="P1027" s="74"/>
      <c r="Q1027" s="75"/>
      <c r="R1027" s="174"/>
      <c r="S1027" s="173"/>
      <c r="T1027" s="179"/>
      <c r="U1027" s="119"/>
      <c r="V1027" s="75"/>
      <c r="W1027" s="75"/>
      <c r="X1027" s="75"/>
      <c r="Y1027" s="75"/>
      <c r="Z1027" s="75"/>
      <c r="AA1027" s="258"/>
      <c r="AB1027" s="75"/>
      <c r="AC1027" s="75"/>
      <c r="AD1027" s="75"/>
      <c r="AE1027" s="68"/>
      <c r="AF1027" s="68"/>
      <c r="AG1027" s="119"/>
    </row>
    <row r="1028" spans="1:33" s="81" customFormat="1" x14ac:dyDescent="0.2">
      <c r="A1028" s="13">
        <f>IF(B1028&lt;&gt;0,B1028,A1026)</f>
        <v>83</v>
      </c>
      <c r="B1028" s="11"/>
      <c r="C1028" s="1"/>
      <c r="D1028" s="2"/>
      <c r="E1028" s="2"/>
      <c r="F1028" s="1"/>
      <c r="G1028" s="1"/>
      <c r="H1028" s="122"/>
      <c r="I1028" s="176"/>
      <c r="J1028" s="172"/>
      <c r="K1028" s="172"/>
      <c r="L1028" s="75" t="str">
        <f t="shared" si="32"/>
        <v xml:space="preserve"> </v>
      </c>
      <c r="M1028" s="75" t="str">
        <f t="shared" si="33"/>
        <v xml:space="preserve"> </v>
      </c>
      <c r="N1028" s="68"/>
      <c r="O1028" s="180"/>
      <c r="P1028" s="74"/>
      <c r="Q1028" s="75" t="str">
        <f t="shared" si="34"/>
        <v xml:space="preserve"> </v>
      </c>
      <c r="R1028" s="174"/>
      <c r="S1028" s="173"/>
      <c r="T1028" s="179"/>
      <c r="U1028" s="119"/>
      <c r="V1028" s="75"/>
      <c r="W1028" s="75" t="str">
        <f t="shared" si="35"/>
        <v xml:space="preserve"> </v>
      </c>
      <c r="X1028" s="75"/>
      <c r="Y1028" s="75"/>
      <c r="Z1028" s="75"/>
      <c r="AA1028" s="258"/>
      <c r="AB1028" s="75"/>
      <c r="AC1028" s="75"/>
      <c r="AD1028" s="75"/>
      <c r="AE1028" s="119"/>
      <c r="AF1028" s="119"/>
      <c r="AG1028" s="119"/>
    </row>
    <row r="1029" spans="1:33" s="81" customFormat="1" ht="60" x14ac:dyDescent="0.2">
      <c r="A1029" s="13">
        <f>IF(B1029&lt;&gt;0,B1029,A1028)</f>
        <v>84</v>
      </c>
      <c r="B1029" s="11">
        <v>84</v>
      </c>
      <c r="C1029" s="21" t="s">
        <v>898</v>
      </c>
      <c r="D1029" s="2">
        <v>3</v>
      </c>
      <c r="E1029" s="2">
        <v>86</v>
      </c>
      <c r="F1029" s="1">
        <v>60</v>
      </c>
      <c r="G1029" s="1" t="s">
        <v>877</v>
      </c>
      <c r="H1029" s="122">
        <v>415.6</v>
      </c>
      <c r="I1029" s="176"/>
      <c r="J1029" s="172"/>
      <c r="K1029" s="172"/>
      <c r="L1029" s="75">
        <f t="shared" si="32"/>
        <v>0</v>
      </c>
      <c r="M1029" s="75">
        <f t="shared" si="33"/>
        <v>0</v>
      </c>
      <c r="N1029" s="68"/>
      <c r="O1029" s="180"/>
      <c r="P1029" s="74"/>
      <c r="Q1029" s="75" t="str">
        <f t="shared" si="34"/>
        <v xml:space="preserve"> </v>
      </c>
      <c r="R1029" s="174"/>
      <c r="S1029" s="173"/>
      <c r="T1029" s="179"/>
      <c r="U1029" s="119"/>
      <c r="V1029" s="75"/>
      <c r="W1029" s="75" t="str">
        <f t="shared" si="35"/>
        <v xml:space="preserve"> </v>
      </c>
      <c r="X1029" s="75"/>
      <c r="Y1029" s="75"/>
      <c r="Z1029" s="75"/>
      <c r="AA1029" s="258"/>
      <c r="AB1029" s="75"/>
      <c r="AC1029" s="75"/>
      <c r="AD1029" s="75"/>
      <c r="AE1029" s="68" t="s">
        <v>899</v>
      </c>
      <c r="AF1029" s="68"/>
      <c r="AG1029" s="174" t="s">
        <v>804</v>
      </c>
    </row>
    <row r="1030" spans="1:33" s="81" customFormat="1" ht="60" x14ac:dyDescent="0.2">
      <c r="A1030" s="13">
        <f>IF(B1030&lt;&gt;0,B1030,A1029)</f>
        <v>84</v>
      </c>
      <c r="B1030" s="11"/>
      <c r="C1030" s="82" t="s">
        <v>900</v>
      </c>
      <c r="D1030" s="178"/>
      <c r="E1030" s="2"/>
      <c r="F1030" s="1"/>
      <c r="G1030" s="1"/>
      <c r="H1030" s="122"/>
      <c r="I1030" s="124"/>
      <c r="J1030" s="172"/>
      <c r="K1030" s="172"/>
      <c r="L1030" s="75" t="str">
        <f t="shared" si="32"/>
        <v xml:space="preserve"> </v>
      </c>
      <c r="M1030" s="75" t="str">
        <f t="shared" si="33"/>
        <v xml:space="preserve"> </v>
      </c>
      <c r="N1030" s="70"/>
      <c r="O1030" s="180"/>
      <c r="P1030" s="74"/>
      <c r="Q1030" s="75" t="str">
        <f t="shared" si="34"/>
        <v xml:space="preserve"> </v>
      </c>
      <c r="R1030" s="70"/>
      <c r="S1030" s="183"/>
      <c r="T1030" s="179"/>
      <c r="U1030" s="119"/>
      <c r="V1030" s="75"/>
      <c r="W1030" s="75" t="str">
        <f t="shared" si="35"/>
        <v xml:space="preserve"> </v>
      </c>
      <c r="X1030" s="75"/>
      <c r="Y1030" s="75"/>
      <c r="Z1030" s="75"/>
      <c r="AA1030" s="258"/>
      <c r="AB1030" s="75"/>
      <c r="AC1030" s="75"/>
      <c r="AD1030" s="75"/>
      <c r="AE1030" s="68" t="s">
        <v>901</v>
      </c>
      <c r="AF1030" s="68"/>
      <c r="AG1030" s="174" t="s">
        <v>808</v>
      </c>
    </row>
    <row r="1031" spans="1:33" s="81" customFormat="1" ht="60" x14ac:dyDescent="0.2">
      <c r="A1031" s="13">
        <f>IF(B1031&lt;&gt;0,B1031,A1030)</f>
        <v>84</v>
      </c>
      <c r="B1031" s="11"/>
      <c r="C1031" s="82" t="s">
        <v>902</v>
      </c>
      <c r="D1031" s="178"/>
      <c r="E1031" s="2"/>
      <c r="F1031" s="1"/>
      <c r="G1031" s="1"/>
      <c r="H1031" s="122"/>
      <c r="I1031" s="124"/>
      <c r="J1031" s="172"/>
      <c r="K1031" s="172"/>
      <c r="L1031" s="75" t="str">
        <f t="shared" si="32"/>
        <v xml:space="preserve"> </v>
      </c>
      <c r="M1031" s="75" t="str">
        <f t="shared" si="33"/>
        <v xml:space="preserve"> </v>
      </c>
      <c r="N1031" s="70"/>
      <c r="O1031" s="180"/>
      <c r="P1031" s="74"/>
      <c r="Q1031" s="75" t="str">
        <f t="shared" si="34"/>
        <v xml:space="preserve"> </v>
      </c>
      <c r="R1031" s="70"/>
      <c r="S1031" s="183"/>
      <c r="T1031" s="179"/>
      <c r="U1031" s="119"/>
      <c r="V1031" s="75"/>
      <c r="W1031" s="75" t="str">
        <f t="shared" si="35"/>
        <v xml:space="preserve"> </v>
      </c>
      <c r="X1031" s="75"/>
      <c r="Y1031" s="75"/>
      <c r="Z1031" s="75"/>
      <c r="AA1031" s="258"/>
      <c r="AB1031" s="75"/>
      <c r="AC1031" s="75"/>
      <c r="AD1031" s="75"/>
      <c r="AE1031" s="119" t="s">
        <v>903</v>
      </c>
      <c r="AF1031" s="119"/>
      <c r="AG1031" s="174" t="s">
        <v>810</v>
      </c>
    </row>
    <row r="1032" spans="1:33" s="81" customFormat="1" x14ac:dyDescent="0.2">
      <c r="A1032" s="13">
        <f>IF(B1032&lt;&gt;0,B1032,A1031)</f>
        <v>84</v>
      </c>
      <c r="B1032" s="11"/>
      <c r="C1032" s="82"/>
      <c r="D1032" s="178"/>
      <c r="E1032" s="2"/>
      <c r="F1032" s="1"/>
      <c r="G1032" s="1"/>
      <c r="H1032" s="122"/>
      <c r="I1032" s="124"/>
      <c r="J1032" s="172"/>
      <c r="K1032" s="172"/>
      <c r="L1032" s="75" t="str">
        <f t="shared" si="32"/>
        <v xml:space="preserve"> </v>
      </c>
      <c r="M1032" s="75" t="str">
        <f t="shared" si="33"/>
        <v xml:space="preserve"> </v>
      </c>
      <c r="N1032" s="70"/>
      <c r="O1032" s="180"/>
      <c r="P1032" s="74"/>
      <c r="Q1032" s="75" t="str">
        <f t="shared" si="34"/>
        <v xml:space="preserve"> </v>
      </c>
      <c r="R1032" s="70"/>
      <c r="S1032" s="183"/>
      <c r="T1032" s="179"/>
      <c r="U1032" s="119"/>
      <c r="V1032" s="75"/>
      <c r="W1032" s="75" t="str">
        <f t="shared" si="35"/>
        <v xml:space="preserve"> </v>
      </c>
      <c r="X1032" s="75"/>
      <c r="Y1032" s="75"/>
      <c r="Z1032" s="75"/>
      <c r="AA1032" s="258"/>
      <c r="AB1032" s="75"/>
      <c r="AC1032" s="75"/>
      <c r="AD1032" s="75"/>
      <c r="AE1032" s="119" t="s">
        <v>809</v>
      </c>
      <c r="AF1032" s="119"/>
      <c r="AG1032" s="119"/>
    </row>
    <row r="1033" spans="1:33" s="81" customFormat="1" x14ac:dyDescent="0.2">
      <c r="A1033" s="13">
        <f>IF(B1033&lt;&gt;0,B1033,A1032)</f>
        <v>84</v>
      </c>
      <c r="B1033" s="11"/>
      <c r="C1033" s="82"/>
      <c r="D1033" s="178"/>
      <c r="E1033" s="2"/>
      <c r="F1033" s="1"/>
      <c r="G1033" s="1"/>
      <c r="H1033" s="122"/>
      <c r="I1033" s="124"/>
      <c r="J1033" s="172"/>
      <c r="K1033" s="172"/>
      <c r="L1033" s="75"/>
      <c r="M1033" s="75"/>
      <c r="N1033" s="70"/>
      <c r="O1033" s="180"/>
      <c r="P1033" s="74"/>
      <c r="Q1033" s="75"/>
      <c r="R1033" s="70"/>
      <c r="S1033" s="183"/>
      <c r="T1033" s="179"/>
      <c r="U1033" s="119"/>
      <c r="V1033" s="75"/>
      <c r="W1033" s="75"/>
      <c r="X1033" s="75"/>
      <c r="Y1033" s="75"/>
      <c r="Z1033" s="75"/>
      <c r="AA1033" s="258"/>
      <c r="AB1033" s="75"/>
      <c r="AC1033" s="75"/>
      <c r="AD1033" s="75"/>
      <c r="AE1033" s="119"/>
      <c r="AF1033" s="119"/>
      <c r="AG1033" s="119"/>
    </row>
    <row r="1034" spans="1:33" s="81" customFormat="1" x14ac:dyDescent="0.2">
      <c r="A1034" s="13">
        <f>IF(B1034&lt;&gt;0,B1034,A1032)</f>
        <v>84</v>
      </c>
      <c r="B1034" s="11"/>
      <c r="C1034" s="82"/>
      <c r="D1034" s="2"/>
      <c r="E1034" s="133"/>
      <c r="F1034" s="133"/>
      <c r="G1034" s="84"/>
      <c r="H1034" s="122"/>
      <c r="I1034" s="124"/>
      <c r="J1034" s="172"/>
      <c r="K1034" s="172"/>
      <c r="L1034" s="75" t="str">
        <f t="shared" si="32"/>
        <v xml:space="preserve"> </v>
      </c>
      <c r="M1034" s="75" t="str">
        <f t="shared" si="33"/>
        <v xml:space="preserve"> </v>
      </c>
      <c r="N1034" s="70"/>
      <c r="O1034" s="180"/>
      <c r="P1034" s="74"/>
      <c r="Q1034" s="75" t="str">
        <f t="shared" si="34"/>
        <v xml:space="preserve"> </v>
      </c>
      <c r="R1034" s="70"/>
      <c r="S1034" s="183"/>
      <c r="T1034" s="179"/>
      <c r="U1034" s="119"/>
      <c r="V1034" s="75"/>
      <c r="W1034" s="75" t="str">
        <f t="shared" si="35"/>
        <v xml:space="preserve"> </v>
      </c>
      <c r="X1034" s="75"/>
      <c r="Y1034" s="75"/>
      <c r="Z1034" s="75"/>
      <c r="AA1034" s="258"/>
      <c r="AB1034" s="75"/>
      <c r="AC1034" s="75"/>
      <c r="AD1034" s="75"/>
      <c r="AE1034" s="119"/>
      <c r="AF1034" s="119"/>
      <c r="AG1034" s="119"/>
    </row>
    <row r="1035" spans="1:33" s="81" customFormat="1" ht="60" x14ac:dyDescent="0.2">
      <c r="A1035" s="13">
        <f>IF(B1035&lt;&gt;0,B1035,A1034)</f>
        <v>85</v>
      </c>
      <c r="B1035" s="11">
        <v>85</v>
      </c>
      <c r="C1035" s="92" t="s">
        <v>904</v>
      </c>
      <c r="D1035" s="2">
        <v>3</v>
      </c>
      <c r="E1035" s="2">
        <v>86</v>
      </c>
      <c r="F1035" s="1">
        <v>226</v>
      </c>
      <c r="G1035" s="1" t="s">
        <v>877</v>
      </c>
      <c r="H1035" s="122">
        <v>415.4</v>
      </c>
      <c r="I1035" s="124"/>
      <c r="J1035" s="172"/>
      <c r="K1035" s="172"/>
      <c r="L1035" s="75">
        <f t="shared" si="32"/>
        <v>0</v>
      </c>
      <c r="M1035" s="75">
        <f t="shared" si="33"/>
        <v>0</v>
      </c>
      <c r="N1035" s="70"/>
      <c r="O1035" s="180"/>
      <c r="P1035" s="74"/>
      <c r="Q1035" s="75" t="str">
        <f t="shared" si="34"/>
        <v xml:space="preserve"> </v>
      </c>
      <c r="R1035" s="70"/>
      <c r="S1035" s="183"/>
      <c r="T1035" s="179"/>
      <c r="U1035" s="119"/>
      <c r="V1035" s="75"/>
      <c r="W1035" s="75" t="str">
        <f t="shared" si="35"/>
        <v xml:space="preserve"> </v>
      </c>
      <c r="X1035" s="75"/>
      <c r="Y1035" s="75"/>
      <c r="Z1035" s="75"/>
      <c r="AA1035" s="258"/>
      <c r="AB1035" s="75"/>
      <c r="AC1035" s="75"/>
      <c r="AD1035" s="75"/>
      <c r="AE1035" s="68" t="s">
        <v>905</v>
      </c>
      <c r="AF1035" s="68"/>
      <c r="AG1035" s="174" t="s">
        <v>804</v>
      </c>
    </row>
    <row r="1036" spans="1:33" s="81" customFormat="1" ht="60" x14ac:dyDescent="0.2">
      <c r="A1036" s="13">
        <f>IF(B1036&lt;&gt;0,B1036,A1035)</f>
        <v>85</v>
      </c>
      <c r="B1036" s="11"/>
      <c r="C1036" s="1" t="s">
        <v>906</v>
      </c>
      <c r="D1036" s="2"/>
      <c r="E1036" s="2"/>
      <c r="F1036" s="1"/>
      <c r="G1036" s="1"/>
      <c r="H1036" s="122"/>
      <c r="I1036" s="176"/>
      <c r="J1036" s="172"/>
      <c r="K1036" s="172"/>
      <c r="L1036" s="75" t="str">
        <f t="shared" si="32"/>
        <v xml:space="preserve"> </v>
      </c>
      <c r="M1036" s="75" t="str">
        <f t="shared" si="33"/>
        <v xml:space="preserve"> </v>
      </c>
      <c r="N1036" s="67"/>
      <c r="O1036" s="180"/>
      <c r="P1036" s="74"/>
      <c r="Q1036" s="75" t="str">
        <f t="shared" si="34"/>
        <v xml:space="preserve"> </v>
      </c>
      <c r="R1036" s="174"/>
      <c r="S1036" s="173"/>
      <c r="T1036" s="179"/>
      <c r="U1036" s="119"/>
      <c r="V1036" s="75"/>
      <c r="W1036" s="75" t="str">
        <f t="shared" si="35"/>
        <v xml:space="preserve"> </v>
      </c>
      <c r="X1036" s="75"/>
      <c r="Y1036" s="75"/>
      <c r="Z1036" s="75"/>
      <c r="AA1036" s="258"/>
      <c r="AB1036" s="75"/>
      <c r="AC1036" s="75"/>
      <c r="AD1036" s="75"/>
      <c r="AE1036" s="68" t="s">
        <v>907</v>
      </c>
      <c r="AF1036" s="68"/>
      <c r="AG1036" s="174" t="s">
        <v>808</v>
      </c>
    </row>
    <row r="1037" spans="1:33" s="81" customFormat="1" ht="60" x14ac:dyDescent="0.2">
      <c r="A1037" s="13">
        <f>IF(B1037&lt;&gt;0,B1037,A1036)</f>
        <v>85</v>
      </c>
      <c r="B1037" s="11"/>
      <c r="C1037" s="1" t="s">
        <v>908</v>
      </c>
      <c r="D1037" s="2"/>
      <c r="E1037" s="2"/>
      <c r="F1037" s="1"/>
      <c r="G1037" s="1"/>
      <c r="H1037" s="122"/>
      <c r="I1037" s="176"/>
      <c r="J1037" s="172"/>
      <c r="K1037" s="172"/>
      <c r="L1037" s="75" t="str">
        <f t="shared" si="32"/>
        <v xml:space="preserve"> </v>
      </c>
      <c r="M1037" s="75" t="str">
        <f t="shared" si="33"/>
        <v xml:space="preserve"> </v>
      </c>
      <c r="N1037" s="67"/>
      <c r="O1037" s="180"/>
      <c r="P1037" s="74"/>
      <c r="Q1037" s="75" t="str">
        <f t="shared" si="34"/>
        <v xml:space="preserve"> </v>
      </c>
      <c r="R1037" s="174"/>
      <c r="S1037" s="173"/>
      <c r="T1037" s="179"/>
      <c r="U1037" s="119"/>
      <c r="V1037" s="75"/>
      <c r="W1037" s="75" t="str">
        <f t="shared" si="35"/>
        <v xml:space="preserve"> </v>
      </c>
      <c r="X1037" s="75"/>
      <c r="Y1037" s="75"/>
      <c r="Z1037" s="75"/>
      <c r="AA1037" s="258"/>
      <c r="AB1037" s="75"/>
      <c r="AC1037" s="75"/>
      <c r="AD1037" s="75"/>
      <c r="AE1037" s="119" t="s">
        <v>909</v>
      </c>
      <c r="AF1037" s="119"/>
      <c r="AG1037" s="174" t="s">
        <v>810</v>
      </c>
    </row>
    <row r="1038" spans="1:33" s="81" customFormat="1" x14ac:dyDescent="0.2">
      <c r="A1038" s="13">
        <f>IF(B1038&lt;&gt;0,B1038,A1037)</f>
        <v>85</v>
      </c>
      <c r="B1038" s="11"/>
      <c r="C1038" s="1"/>
      <c r="D1038" s="2"/>
      <c r="E1038" s="2"/>
      <c r="F1038" s="1"/>
      <c r="G1038" s="1"/>
      <c r="H1038" s="122"/>
      <c r="I1038" s="176"/>
      <c r="J1038" s="172"/>
      <c r="K1038" s="172"/>
      <c r="L1038" s="75" t="str">
        <f t="shared" si="32"/>
        <v xml:space="preserve"> </v>
      </c>
      <c r="M1038" s="75" t="str">
        <f t="shared" si="33"/>
        <v xml:space="preserve"> </v>
      </c>
      <c r="N1038" s="67"/>
      <c r="O1038" s="180"/>
      <c r="P1038" s="74"/>
      <c r="Q1038" s="75" t="str">
        <f t="shared" si="34"/>
        <v xml:space="preserve"> </v>
      </c>
      <c r="R1038" s="174"/>
      <c r="S1038" s="173"/>
      <c r="T1038" s="179"/>
      <c r="U1038" s="119"/>
      <c r="V1038" s="75"/>
      <c r="W1038" s="75" t="str">
        <f t="shared" si="35"/>
        <v xml:space="preserve"> </v>
      </c>
      <c r="X1038" s="75"/>
      <c r="Y1038" s="75"/>
      <c r="Z1038" s="75"/>
      <c r="AA1038" s="258"/>
      <c r="AB1038" s="75"/>
      <c r="AC1038" s="75"/>
      <c r="AD1038" s="75"/>
      <c r="AE1038" s="119" t="s">
        <v>809</v>
      </c>
      <c r="AF1038" s="119"/>
      <c r="AG1038" s="119"/>
    </row>
    <row r="1039" spans="1:33" s="81" customFormat="1" x14ac:dyDescent="0.2">
      <c r="A1039" s="13">
        <f>IF(B1039&lt;&gt;0,B1039,A1038)</f>
        <v>85</v>
      </c>
      <c r="B1039" s="11"/>
      <c r="C1039" s="1"/>
      <c r="D1039" s="2"/>
      <c r="E1039" s="2"/>
      <c r="F1039" s="1"/>
      <c r="G1039" s="1"/>
      <c r="H1039" s="122"/>
      <c r="I1039" s="176"/>
      <c r="J1039" s="172"/>
      <c r="K1039" s="172"/>
      <c r="L1039" s="75"/>
      <c r="M1039" s="75"/>
      <c r="N1039" s="67"/>
      <c r="O1039" s="180"/>
      <c r="P1039" s="74"/>
      <c r="Q1039" s="75"/>
      <c r="R1039" s="174"/>
      <c r="S1039" s="173"/>
      <c r="T1039" s="179"/>
      <c r="U1039" s="119"/>
      <c r="V1039" s="75"/>
      <c r="W1039" s="75"/>
      <c r="X1039" s="75"/>
      <c r="Y1039" s="75"/>
      <c r="Z1039" s="75"/>
      <c r="AA1039" s="258"/>
      <c r="AB1039" s="75"/>
      <c r="AC1039" s="75"/>
      <c r="AD1039" s="75"/>
      <c r="AE1039" s="119"/>
      <c r="AF1039" s="119"/>
      <c r="AG1039" s="119"/>
    </row>
    <row r="1040" spans="1:33" s="81" customFormat="1" x14ac:dyDescent="0.2">
      <c r="A1040" s="13">
        <f>IF(B1040&lt;&gt;0,B1040,A1038)</f>
        <v>85</v>
      </c>
      <c r="B1040" s="11"/>
      <c r="C1040" s="82"/>
      <c r="D1040" s="178"/>
      <c r="E1040" s="2"/>
      <c r="F1040" s="1"/>
      <c r="G1040" s="1"/>
      <c r="H1040" s="122"/>
      <c r="I1040" s="124"/>
      <c r="J1040" s="172"/>
      <c r="K1040" s="172"/>
      <c r="L1040" s="75" t="str">
        <f t="shared" si="32"/>
        <v xml:space="preserve"> </v>
      </c>
      <c r="M1040" s="75" t="str">
        <f t="shared" si="33"/>
        <v xml:space="preserve"> </v>
      </c>
      <c r="N1040" s="70"/>
      <c r="O1040" s="180"/>
      <c r="P1040" s="74"/>
      <c r="Q1040" s="75" t="str">
        <f t="shared" si="34"/>
        <v xml:space="preserve"> </v>
      </c>
      <c r="R1040" s="70"/>
      <c r="S1040" s="183"/>
      <c r="T1040" s="179"/>
      <c r="U1040" s="119"/>
      <c r="V1040" s="75"/>
      <c r="W1040" s="75" t="str">
        <f t="shared" si="35"/>
        <v xml:space="preserve"> </v>
      </c>
      <c r="X1040" s="75"/>
      <c r="Y1040" s="75"/>
      <c r="Z1040" s="75"/>
      <c r="AA1040" s="258"/>
      <c r="AB1040" s="75"/>
      <c r="AC1040" s="75"/>
      <c r="AD1040" s="75"/>
      <c r="AE1040" s="119"/>
      <c r="AF1040" s="119"/>
      <c r="AG1040" s="119"/>
    </row>
    <row r="1041" spans="1:33" s="81" customFormat="1" ht="60" x14ac:dyDescent="0.2">
      <c r="A1041" s="13">
        <f t="shared" ref="A1041:A1100" si="37">IF(B1041&lt;&gt;0,B1041,A1040)</f>
        <v>86</v>
      </c>
      <c r="B1041" s="11">
        <v>86</v>
      </c>
      <c r="C1041" s="92" t="s">
        <v>910</v>
      </c>
      <c r="D1041" s="178">
        <v>1</v>
      </c>
      <c r="E1041" s="2">
        <v>86</v>
      </c>
      <c r="F1041" s="1">
        <v>208</v>
      </c>
      <c r="G1041" s="1" t="s">
        <v>855</v>
      </c>
      <c r="H1041" s="122">
        <v>771.3</v>
      </c>
      <c r="I1041" s="124"/>
      <c r="J1041" s="172"/>
      <c r="K1041" s="172"/>
      <c r="L1041" s="75">
        <f t="shared" si="32"/>
        <v>0</v>
      </c>
      <c r="M1041" s="75">
        <f t="shared" si="33"/>
        <v>0</v>
      </c>
      <c r="N1041" s="70"/>
      <c r="O1041" s="180"/>
      <c r="P1041" s="74"/>
      <c r="Q1041" s="75" t="str">
        <f t="shared" si="34"/>
        <v xml:space="preserve"> </v>
      </c>
      <c r="R1041" s="70"/>
      <c r="S1041" s="183"/>
      <c r="T1041" s="179"/>
      <c r="U1041" s="119"/>
      <c r="V1041" s="75"/>
      <c r="W1041" s="75" t="str">
        <f t="shared" si="35"/>
        <v xml:space="preserve"> </v>
      </c>
      <c r="X1041" s="75"/>
      <c r="Y1041" s="75"/>
      <c r="Z1041" s="75"/>
      <c r="AA1041" s="258"/>
      <c r="AB1041" s="75"/>
      <c r="AC1041" s="75"/>
      <c r="AD1041" s="75"/>
      <c r="AE1041" s="68" t="s">
        <v>911</v>
      </c>
      <c r="AF1041" s="68"/>
      <c r="AG1041" s="174" t="s">
        <v>804</v>
      </c>
    </row>
    <row r="1042" spans="1:33" s="81" customFormat="1" ht="60" x14ac:dyDescent="0.2">
      <c r="A1042" s="13">
        <f t="shared" si="37"/>
        <v>86</v>
      </c>
      <c r="B1042" s="11"/>
      <c r="C1042" s="82" t="s">
        <v>912</v>
      </c>
      <c r="D1042" s="2"/>
      <c r="E1042" s="133"/>
      <c r="F1042" s="133"/>
      <c r="G1042" s="84" t="s">
        <v>844</v>
      </c>
      <c r="H1042" s="122">
        <v>0.3</v>
      </c>
      <c r="I1042" s="124"/>
      <c r="J1042" s="172"/>
      <c r="K1042" s="172"/>
      <c r="L1042" s="75">
        <f t="shared" si="32"/>
        <v>0</v>
      </c>
      <c r="M1042" s="75">
        <f t="shared" si="33"/>
        <v>0</v>
      </c>
      <c r="N1042" s="70"/>
      <c r="O1042" s="180"/>
      <c r="P1042" s="74"/>
      <c r="Q1042" s="75" t="str">
        <f t="shared" si="34"/>
        <v xml:space="preserve"> </v>
      </c>
      <c r="R1042" s="70"/>
      <c r="S1042" s="183"/>
      <c r="T1042" s="179"/>
      <c r="U1042" s="119"/>
      <c r="V1042" s="75"/>
      <c r="W1042" s="75" t="str">
        <f t="shared" si="35"/>
        <v xml:space="preserve"> </v>
      </c>
      <c r="X1042" s="75"/>
      <c r="Y1042" s="75"/>
      <c r="Z1042" s="75"/>
      <c r="AA1042" s="258"/>
      <c r="AB1042" s="75"/>
      <c r="AC1042" s="75"/>
      <c r="AD1042" s="75"/>
      <c r="AE1042" s="68" t="s">
        <v>913</v>
      </c>
      <c r="AF1042" s="68"/>
      <c r="AG1042" s="174" t="s">
        <v>808</v>
      </c>
    </row>
    <row r="1043" spans="1:33" s="81" customFormat="1" ht="60" x14ac:dyDescent="0.2">
      <c r="A1043" s="13">
        <f t="shared" si="37"/>
        <v>86</v>
      </c>
      <c r="B1043" s="11"/>
      <c r="C1043" s="1" t="s">
        <v>914</v>
      </c>
      <c r="D1043" s="2"/>
      <c r="E1043" s="2"/>
      <c r="F1043" s="1"/>
      <c r="G1043" s="1"/>
      <c r="H1043" s="122"/>
      <c r="I1043" s="176"/>
      <c r="J1043" s="172"/>
      <c r="K1043" s="172"/>
      <c r="L1043" s="75" t="str">
        <f t="shared" si="32"/>
        <v xml:space="preserve"> </v>
      </c>
      <c r="M1043" s="75" t="str">
        <f t="shared" si="33"/>
        <v xml:space="preserve"> </v>
      </c>
      <c r="N1043" s="67"/>
      <c r="O1043" s="180"/>
      <c r="P1043" s="74"/>
      <c r="Q1043" s="75" t="str">
        <f t="shared" si="34"/>
        <v xml:space="preserve"> </v>
      </c>
      <c r="R1043" s="174"/>
      <c r="S1043" s="173"/>
      <c r="T1043" s="179"/>
      <c r="U1043" s="119"/>
      <c r="V1043" s="75"/>
      <c r="W1043" s="75" t="str">
        <f t="shared" si="35"/>
        <v xml:space="preserve"> </v>
      </c>
      <c r="X1043" s="75"/>
      <c r="Y1043" s="75"/>
      <c r="Z1043" s="75"/>
      <c r="AA1043" s="258"/>
      <c r="AB1043" s="75"/>
      <c r="AC1043" s="75"/>
      <c r="AD1043" s="75"/>
      <c r="AE1043" s="68" t="s">
        <v>915</v>
      </c>
      <c r="AF1043" s="68"/>
      <c r="AG1043" s="174" t="s">
        <v>810</v>
      </c>
    </row>
    <row r="1044" spans="1:33" s="81" customFormat="1" x14ac:dyDescent="0.2">
      <c r="A1044" s="13">
        <f t="shared" si="37"/>
        <v>86</v>
      </c>
      <c r="B1044" s="11"/>
      <c r="C1044" s="1"/>
      <c r="D1044" s="2"/>
      <c r="E1044" s="2"/>
      <c r="F1044" s="1"/>
      <c r="G1044" s="1"/>
      <c r="H1044" s="122"/>
      <c r="I1044" s="176"/>
      <c r="J1044" s="172"/>
      <c r="K1044" s="172"/>
      <c r="L1044" s="75" t="str">
        <f t="shared" si="32"/>
        <v xml:space="preserve"> </v>
      </c>
      <c r="M1044" s="75" t="str">
        <f t="shared" si="33"/>
        <v xml:space="preserve"> </v>
      </c>
      <c r="N1044" s="67"/>
      <c r="O1044" s="180"/>
      <c r="P1044" s="74"/>
      <c r="Q1044" s="75" t="str">
        <f t="shared" si="34"/>
        <v xml:space="preserve"> </v>
      </c>
      <c r="R1044" s="174"/>
      <c r="S1044" s="173"/>
      <c r="T1044" s="179"/>
      <c r="U1044" s="119"/>
      <c r="V1044" s="75"/>
      <c r="W1044" s="75" t="str">
        <f t="shared" si="35"/>
        <v xml:space="preserve"> </v>
      </c>
      <c r="X1044" s="75"/>
      <c r="Y1044" s="75"/>
      <c r="Z1044" s="75"/>
      <c r="AA1044" s="258"/>
      <c r="AB1044" s="75"/>
      <c r="AC1044" s="75"/>
      <c r="AD1044" s="75"/>
      <c r="AE1044" s="119" t="s">
        <v>809</v>
      </c>
      <c r="AF1044" s="119"/>
      <c r="AG1044" s="119"/>
    </row>
    <row r="1045" spans="1:33" s="81" customFormat="1" x14ac:dyDescent="0.2">
      <c r="A1045" s="13">
        <f t="shared" si="37"/>
        <v>86</v>
      </c>
      <c r="B1045" s="11"/>
      <c r="C1045" s="1"/>
      <c r="D1045" s="2"/>
      <c r="E1045" s="2"/>
      <c r="F1045" s="1"/>
      <c r="G1045" s="1"/>
      <c r="H1045" s="122"/>
      <c r="I1045" s="176"/>
      <c r="J1045" s="172"/>
      <c r="K1045" s="172"/>
      <c r="L1045" s="75"/>
      <c r="M1045" s="75"/>
      <c r="N1045" s="67"/>
      <c r="O1045" s="180"/>
      <c r="P1045" s="74"/>
      <c r="Q1045" s="75"/>
      <c r="R1045" s="174"/>
      <c r="S1045" s="173"/>
      <c r="T1045" s="179"/>
      <c r="U1045" s="119"/>
      <c r="V1045" s="75"/>
      <c r="W1045" s="75"/>
      <c r="X1045" s="75"/>
      <c r="Y1045" s="75"/>
      <c r="Z1045" s="75"/>
      <c r="AA1045" s="258"/>
      <c r="AB1045" s="75"/>
      <c r="AC1045" s="75"/>
      <c r="AD1045" s="75"/>
      <c r="AE1045" s="119"/>
      <c r="AF1045" s="119"/>
      <c r="AG1045" s="119"/>
    </row>
    <row r="1046" spans="1:33" s="81" customFormat="1" x14ac:dyDescent="0.2">
      <c r="A1046" s="13">
        <f t="shared" si="37"/>
        <v>86</v>
      </c>
      <c r="B1046" s="11"/>
      <c r="C1046" s="1"/>
      <c r="D1046" s="2"/>
      <c r="E1046" s="2"/>
      <c r="F1046" s="1"/>
      <c r="G1046" s="1"/>
      <c r="H1046" s="122"/>
      <c r="I1046" s="176"/>
      <c r="J1046" s="172"/>
      <c r="K1046" s="172"/>
      <c r="L1046" s="75" t="str">
        <f t="shared" si="32"/>
        <v xml:space="preserve"> </v>
      </c>
      <c r="M1046" s="75" t="str">
        <f t="shared" si="33"/>
        <v xml:space="preserve"> </v>
      </c>
      <c r="N1046" s="67"/>
      <c r="O1046" s="180"/>
      <c r="P1046" s="74"/>
      <c r="Q1046" s="75" t="str">
        <f t="shared" si="34"/>
        <v xml:space="preserve"> </v>
      </c>
      <c r="R1046" s="174"/>
      <c r="S1046" s="173"/>
      <c r="T1046" s="179"/>
      <c r="U1046" s="119"/>
      <c r="V1046" s="75"/>
      <c r="W1046" s="75" t="str">
        <f t="shared" si="35"/>
        <v xml:space="preserve"> </v>
      </c>
      <c r="X1046" s="75"/>
      <c r="Y1046" s="75"/>
      <c r="Z1046" s="75"/>
      <c r="AA1046" s="258"/>
      <c r="AB1046" s="75"/>
      <c r="AC1046" s="75"/>
      <c r="AD1046" s="75"/>
      <c r="AE1046" s="119"/>
      <c r="AF1046" s="119"/>
      <c r="AG1046" s="119"/>
    </row>
    <row r="1047" spans="1:33" s="81" customFormat="1" ht="60" x14ac:dyDescent="0.2">
      <c r="A1047" s="13">
        <f t="shared" si="37"/>
        <v>87</v>
      </c>
      <c r="B1047" s="11">
        <v>87</v>
      </c>
      <c r="C1047" s="21" t="s">
        <v>916</v>
      </c>
      <c r="D1047" s="2">
        <v>5</v>
      </c>
      <c r="E1047" s="2">
        <v>86</v>
      </c>
      <c r="F1047" s="1">
        <v>45</v>
      </c>
      <c r="G1047" s="1" t="s">
        <v>855</v>
      </c>
      <c r="H1047" s="122">
        <v>1762.5</v>
      </c>
      <c r="I1047" s="176"/>
      <c r="J1047" s="172"/>
      <c r="K1047" s="172"/>
      <c r="L1047" s="75">
        <f t="shared" si="32"/>
        <v>0</v>
      </c>
      <c r="M1047" s="75">
        <f t="shared" si="33"/>
        <v>0</v>
      </c>
      <c r="N1047" s="67" t="s">
        <v>406</v>
      </c>
      <c r="O1047" s="180">
        <v>12</v>
      </c>
      <c r="P1047" s="74"/>
      <c r="Q1047" s="75">
        <f t="shared" si="34"/>
        <v>0</v>
      </c>
      <c r="R1047" s="174"/>
      <c r="S1047" s="173"/>
      <c r="T1047" s="179"/>
      <c r="U1047" s="119"/>
      <c r="V1047" s="75"/>
      <c r="W1047" s="75" t="str">
        <f t="shared" si="35"/>
        <v xml:space="preserve"> </v>
      </c>
      <c r="X1047" s="75"/>
      <c r="Y1047" s="75"/>
      <c r="Z1047" s="75"/>
      <c r="AA1047" s="258"/>
      <c r="AB1047" s="75"/>
      <c r="AC1047" s="75"/>
      <c r="AD1047" s="75"/>
      <c r="AE1047" s="68" t="s">
        <v>917</v>
      </c>
      <c r="AF1047" s="68"/>
      <c r="AG1047" s="174" t="s">
        <v>795</v>
      </c>
    </row>
    <row r="1048" spans="1:33" s="81" customFormat="1" ht="60" x14ac:dyDescent="0.2">
      <c r="A1048" s="13">
        <f t="shared" si="37"/>
        <v>87</v>
      </c>
      <c r="B1048" s="11"/>
      <c r="C1048" s="1" t="s">
        <v>918</v>
      </c>
      <c r="D1048" s="2"/>
      <c r="E1048" s="2"/>
      <c r="F1048" s="1"/>
      <c r="G1048" s="84" t="s">
        <v>844</v>
      </c>
      <c r="H1048" s="122">
        <v>0.2</v>
      </c>
      <c r="I1048" s="176"/>
      <c r="J1048" s="172"/>
      <c r="K1048" s="172"/>
      <c r="L1048" s="75">
        <f t="shared" si="32"/>
        <v>0</v>
      </c>
      <c r="M1048" s="75">
        <f t="shared" si="33"/>
        <v>0</v>
      </c>
      <c r="N1048" s="67" t="s">
        <v>919</v>
      </c>
      <c r="O1048" s="180">
        <v>18</v>
      </c>
      <c r="P1048" s="74"/>
      <c r="Q1048" s="75">
        <f t="shared" si="34"/>
        <v>0</v>
      </c>
      <c r="R1048" s="174"/>
      <c r="S1048" s="173"/>
      <c r="T1048" s="179"/>
      <c r="U1048" s="177"/>
      <c r="V1048" s="75"/>
      <c r="W1048" s="75" t="str">
        <f t="shared" si="35"/>
        <v xml:space="preserve"> </v>
      </c>
      <c r="X1048" s="75"/>
      <c r="Y1048" s="75"/>
      <c r="Z1048" s="75"/>
      <c r="AA1048" s="258"/>
      <c r="AB1048" s="75"/>
      <c r="AC1048" s="75"/>
      <c r="AD1048" s="75"/>
      <c r="AE1048" s="68" t="s">
        <v>920</v>
      </c>
      <c r="AF1048" s="68"/>
      <c r="AG1048" s="174" t="s">
        <v>804</v>
      </c>
    </row>
    <row r="1049" spans="1:33" s="81" customFormat="1" ht="60" x14ac:dyDescent="0.2">
      <c r="A1049" s="13">
        <f t="shared" si="37"/>
        <v>87</v>
      </c>
      <c r="B1049" s="11"/>
      <c r="C1049" s="1" t="s">
        <v>1572</v>
      </c>
      <c r="D1049" s="2"/>
      <c r="E1049" s="2"/>
      <c r="F1049" s="1"/>
      <c r="G1049" s="1"/>
      <c r="H1049" s="122"/>
      <c r="I1049" s="176"/>
      <c r="J1049" s="172"/>
      <c r="K1049" s="172"/>
      <c r="L1049" s="75" t="str">
        <f t="shared" si="32"/>
        <v xml:space="preserve"> </v>
      </c>
      <c r="M1049" s="75" t="str">
        <f t="shared" si="33"/>
        <v xml:space="preserve"> </v>
      </c>
      <c r="N1049" s="68" t="s">
        <v>921</v>
      </c>
      <c r="O1049" s="180">
        <v>10</v>
      </c>
      <c r="P1049" s="74"/>
      <c r="Q1049" s="75">
        <f t="shared" si="34"/>
        <v>0</v>
      </c>
      <c r="R1049" s="174"/>
      <c r="S1049" s="173"/>
      <c r="T1049" s="179"/>
      <c r="U1049" s="177"/>
      <c r="V1049" s="75"/>
      <c r="W1049" s="75" t="str">
        <f t="shared" si="35"/>
        <v xml:space="preserve"> </v>
      </c>
      <c r="X1049" s="75"/>
      <c r="Y1049" s="75"/>
      <c r="Z1049" s="75"/>
      <c r="AA1049" s="258"/>
      <c r="AB1049" s="75"/>
      <c r="AC1049" s="75"/>
      <c r="AD1049" s="75"/>
      <c r="AE1049" s="68" t="s">
        <v>922</v>
      </c>
      <c r="AF1049" s="68"/>
      <c r="AG1049" s="174" t="s">
        <v>808</v>
      </c>
    </row>
    <row r="1050" spans="1:33" s="81" customFormat="1" ht="60" x14ac:dyDescent="0.2">
      <c r="A1050" s="13">
        <f t="shared" si="37"/>
        <v>87</v>
      </c>
      <c r="B1050" s="11"/>
      <c r="C1050" s="1"/>
      <c r="D1050" s="2"/>
      <c r="E1050" s="2"/>
      <c r="F1050" s="1"/>
      <c r="G1050" s="1"/>
      <c r="H1050" s="122"/>
      <c r="I1050" s="176"/>
      <c r="J1050" s="172"/>
      <c r="K1050" s="172"/>
      <c r="L1050" s="75" t="str">
        <f t="shared" si="32"/>
        <v xml:space="preserve"> </v>
      </c>
      <c r="M1050" s="75" t="str">
        <f t="shared" si="33"/>
        <v xml:space="preserve"> </v>
      </c>
      <c r="N1050" s="182" t="s">
        <v>832</v>
      </c>
      <c r="O1050" s="180">
        <v>12</v>
      </c>
      <c r="P1050" s="74"/>
      <c r="Q1050" s="75">
        <f t="shared" si="34"/>
        <v>0</v>
      </c>
      <c r="R1050" s="174"/>
      <c r="S1050" s="173"/>
      <c r="T1050" s="179"/>
      <c r="U1050" s="177"/>
      <c r="V1050" s="75"/>
      <c r="W1050" s="75" t="str">
        <f t="shared" si="35"/>
        <v xml:space="preserve"> </v>
      </c>
      <c r="X1050" s="75"/>
      <c r="Y1050" s="75"/>
      <c r="Z1050" s="75"/>
      <c r="AA1050" s="258"/>
      <c r="AB1050" s="75"/>
      <c r="AC1050" s="75"/>
      <c r="AD1050" s="75"/>
      <c r="AE1050" s="119" t="s">
        <v>809</v>
      </c>
      <c r="AF1050" s="119"/>
      <c r="AG1050" s="174" t="s">
        <v>810</v>
      </c>
    </row>
    <row r="1051" spans="1:33" s="81" customFormat="1" ht="31.5" x14ac:dyDescent="0.2">
      <c r="A1051" s="13">
        <f t="shared" si="37"/>
        <v>87</v>
      </c>
      <c r="B1051" s="11"/>
      <c r="C1051" s="82"/>
      <c r="D1051" s="178"/>
      <c r="E1051" s="2"/>
      <c r="F1051" s="1"/>
      <c r="G1051" s="1"/>
      <c r="H1051" s="122"/>
      <c r="I1051" s="124"/>
      <c r="J1051" s="172"/>
      <c r="K1051" s="172"/>
      <c r="L1051" s="75" t="str">
        <f t="shared" si="32"/>
        <v xml:space="preserve"> </v>
      </c>
      <c r="M1051" s="75" t="str">
        <f t="shared" si="33"/>
        <v xml:space="preserve"> </v>
      </c>
      <c r="N1051" s="182" t="s">
        <v>832</v>
      </c>
      <c r="O1051" s="180">
        <v>8</v>
      </c>
      <c r="P1051" s="74"/>
      <c r="Q1051" s="75">
        <f t="shared" si="34"/>
        <v>0</v>
      </c>
      <c r="R1051" s="70"/>
      <c r="S1051" s="183"/>
      <c r="T1051" s="179"/>
      <c r="U1051" s="119"/>
      <c r="V1051" s="75"/>
      <c r="W1051" s="75" t="str">
        <f t="shared" si="35"/>
        <v xml:space="preserve"> </v>
      </c>
      <c r="X1051" s="75"/>
      <c r="Y1051" s="75"/>
      <c r="Z1051" s="75"/>
      <c r="AA1051" s="258"/>
      <c r="AB1051" s="75"/>
      <c r="AC1051" s="75"/>
      <c r="AD1051" s="75"/>
      <c r="AE1051" s="119"/>
      <c r="AF1051" s="119"/>
      <c r="AG1051" s="119"/>
    </row>
    <row r="1052" spans="1:33" s="81" customFormat="1" x14ac:dyDescent="0.2">
      <c r="A1052" s="13">
        <f t="shared" si="37"/>
        <v>87</v>
      </c>
      <c r="B1052" s="11"/>
      <c r="C1052" s="82"/>
      <c r="D1052" s="178"/>
      <c r="E1052" s="2"/>
      <c r="F1052" s="1"/>
      <c r="G1052" s="1"/>
      <c r="H1052" s="122"/>
      <c r="I1052" s="124"/>
      <c r="J1052" s="172"/>
      <c r="K1052" s="172"/>
      <c r="L1052" s="75" t="str">
        <f t="shared" si="32"/>
        <v xml:space="preserve"> </v>
      </c>
      <c r="M1052" s="75" t="str">
        <f t="shared" si="33"/>
        <v xml:space="preserve"> </v>
      </c>
      <c r="N1052" s="70" t="s">
        <v>72</v>
      </c>
      <c r="O1052" s="180">
        <v>5</v>
      </c>
      <c r="P1052" s="74"/>
      <c r="Q1052" s="75">
        <f t="shared" si="34"/>
        <v>0</v>
      </c>
      <c r="R1052" s="70"/>
      <c r="S1052" s="183"/>
      <c r="T1052" s="179"/>
      <c r="U1052" s="119"/>
      <c r="V1052" s="75"/>
      <c r="W1052" s="75" t="str">
        <f t="shared" si="35"/>
        <v xml:space="preserve"> </v>
      </c>
      <c r="X1052" s="75"/>
      <c r="Y1052" s="75"/>
      <c r="Z1052" s="75"/>
      <c r="AA1052" s="258"/>
      <c r="AB1052" s="75"/>
      <c r="AC1052" s="75"/>
      <c r="AD1052" s="75"/>
      <c r="AE1052" s="70"/>
      <c r="AF1052" s="70"/>
      <c r="AG1052" s="70"/>
    </row>
    <row r="1053" spans="1:33" s="81" customFormat="1" x14ac:dyDescent="0.2">
      <c r="A1053" s="13">
        <f t="shared" si="37"/>
        <v>87</v>
      </c>
      <c r="B1053" s="11"/>
      <c r="C1053" s="82"/>
      <c r="D1053" s="2"/>
      <c r="E1053" s="133"/>
      <c r="F1053" s="133"/>
      <c r="G1053" s="84"/>
      <c r="H1053" s="122"/>
      <c r="I1053" s="124"/>
      <c r="J1053" s="172"/>
      <c r="K1053" s="172"/>
      <c r="L1053" s="75" t="str">
        <f t="shared" si="32"/>
        <v xml:space="preserve"> </v>
      </c>
      <c r="M1053" s="75" t="str">
        <f t="shared" si="33"/>
        <v xml:space="preserve"> </v>
      </c>
      <c r="N1053" s="70" t="s">
        <v>73</v>
      </c>
      <c r="O1053" s="180">
        <v>10</v>
      </c>
      <c r="P1053" s="74"/>
      <c r="Q1053" s="75">
        <f t="shared" si="34"/>
        <v>0</v>
      </c>
      <c r="R1053" s="70"/>
      <c r="S1053" s="183"/>
      <c r="T1053" s="179"/>
      <c r="U1053" s="119"/>
      <c r="V1053" s="75"/>
      <c r="W1053" s="75" t="str">
        <f t="shared" si="35"/>
        <v xml:space="preserve"> </v>
      </c>
      <c r="X1053" s="75"/>
      <c r="Y1053" s="75"/>
      <c r="Z1053" s="75"/>
      <c r="AA1053" s="258"/>
      <c r="AB1053" s="75"/>
      <c r="AC1053" s="75"/>
      <c r="AD1053" s="75"/>
      <c r="AE1053" s="70"/>
      <c r="AF1053" s="70"/>
      <c r="AG1053" s="70"/>
    </row>
    <row r="1054" spans="1:33" s="81" customFormat="1" x14ac:dyDescent="0.2">
      <c r="A1054" s="13">
        <f t="shared" si="37"/>
        <v>87</v>
      </c>
      <c r="B1054" s="11"/>
      <c r="C1054" s="1"/>
      <c r="D1054" s="2"/>
      <c r="E1054" s="2"/>
      <c r="F1054" s="1"/>
      <c r="G1054" s="1"/>
      <c r="H1054" s="122"/>
      <c r="I1054" s="185"/>
      <c r="J1054" s="172"/>
      <c r="K1054" s="172"/>
      <c r="L1054" s="75" t="str">
        <f t="shared" si="32"/>
        <v xml:space="preserve"> </v>
      </c>
      <c r="M1054" s="75" t="str">
        <f t="shared" si="33"/>
        <v xml:space="preserve"> </v>
      </c>
      <c r="N1054" s="70" t="s">
        <v>75</v>
      </c>
      <c r="O1054" s="180">
        <v>10</v>
      </c>
      <c r="P1054" s="74"/>
      <c r="Q1054" s="75">
        <f t="shared" si="34"/>
        <v>0</v>
      </c>
      <c r="R1054" s="70"/>
      <c r="S1054" s="183"/>
      <c r="T1054" s="179"/>
      <c r="U1054" s="119"/>
      <c r="V1054" s="75"/>
      <c r="W1054" s="75" t="str">
        <f t="shared" si="35"/>
        <v xml:space="preserve"> </v>
      </c>
      <c r="X1054" s="75"/>
      <c r="Y1054" s="75"/>
      <c r="Z1054" s="75"/>
      <c r="AA1054" s="258"/>
      <c r="AB1054" s="75"/>
      <c r="AC1054" s="75"/>
      <c r="AD1054" s="75"/>
      <c r="AE1054" s="70"/>
      <c r="AF1054" s="70"/>
      <c r="AG1054" s="70"/>
    </row>
    <row r="1055" spans="1:33" s="81" customFormat="1" x14ac:dyDescent="0.2">
      <c r="A1055" s="13">
        <f t="shared" si="37"/>
        <v>87</v>
      </c>
      <c r="B1055" s="11"/>
      <c r="C1055" s="1"/>
      <c r="D1055" s="2"/>
      <c r="E1055" s="2"/>
      <c r="F1055" s="1"/>
      <c r="G1055" s="1"/>
      <c r="H1055" s="122"/>
      <c r="I1055" s="185"/>
      <c r="J1055" s="172"/>
      <c r="K1055" s="172"/>
      <c r="L1055" s="75" t="str">
        <f t="shared" si="32"/>
        <v xml:space="preserve"> </v>
      </c>
      <c r="M1055" s="75" t="str">
        <f t="shared" si="33"/>
        <v xml:space="preserve"> </v>
      </c>
      <c r="N1055" s="70"/>
      <c r="O1055" s="180"/>
      <c r="P1055" s="74"/>
      <c r="Q1055" s="75" t="str">
        <f t="shared" si="34"/>
        <v xml:space="preserve"> </v>
      </c>
      <c r="R1055" s="70"/>
      <c r="S1055" s="183"/>
      <c r="T1055" s="179"/>
      <c r="U1055" s="119"/>
      <c r="V1055" s="75"/>
      <c r="W1055" s="75" t="str">
        <f t="shared" si="35"/>
        <v xml:space="preserve"> </v>
      </c>
      <c r="X1055" s="75"/>
      <c r="Y1055" s="75"/>
      <c r="Z1055" s="75"/>
      <c r="AA1055" s="258"/>
      <c r="AB1055" s="75"/>
      <c r="AC1055" s="75"/>
      <c r="AD1055" s="75"/>
      <c r="AE1055" s="70"/>
      <c r="AF1055" s="70"/>
      <c r="AG1055" s="70"/>
    </row>
    <row r="1056" spans="1:33" s="81" customFormat="1" x14ac:dyDescent="0.2">
      <c r="A1056" s="13">
        <f t="shared" si="37"/>
        <v>87</v>
      </c>
      <c r="B1056" s="11"/>
      <c r="C1056" s="1"/>
      <c r="D1056" s="2"/>
      <c r="E1056" s="2"/>
      <c r="F1056" s="1"/>
      <c r="G1056" s="1"/>
      <c r="H1056" s="122"/>
      <c r="I1056" s="176"/>
      <c r="J1056" s="172"/>
      <c r="K1056" s="172"/>
      <c r="L1056" s="75" t="str">
        <f t="shared" si="32"/>
        <v xml:space="preserve"> </v>
      </c>
      <c r="M1056" s="75" t="str">
        <f t="shared" si="33"/>
        <v xml:space="preserve"> </v>
      </c>
      <c r="N1056" s="68"/>
      <c r="O1056" s="180"/>
      <c r="P1056" s="74"/>
      <c r="Q1056" s="75" t="str">
        <f t="shared" si="34"/>
        <v xml:space="preserve"> </v>
      </c>
      <c r="R1056" s="174"/>
      <c r="S1056" s="173"/>
      <c r="T1056" s="179"/>
      <c r="U1056" s="177"/>
      <c r="V1056" s="75"/>
      <c r="W1056" s="75" t="str">
        <f t="shared" si="35"/>
        <v xml:space="preserve"> </v>
      </c>
      <c r="X1056" s="75"/>
      <c r="Y1056" s="75"/>
      <c r="Z1056" s="75"/>
      <c r="AA1056" s="258"/>
      <c r="AB1056" s="75"/>
      <c r="AC1056" s="75"/>
      <c r="AD1056" s="75"/>
      <c r="AE1056" s="70"/>
      <c r="AF1056" s="70"/>
      <c r="AG1056" s="70"/>
    </row>
    <row r="1057" spans="1:33" s="81" customFormat="1" ht="60" x14ac:dyDescent="0.2">
      <c r="A1057" s="13">
        <f t="shared" si="37"/>
        <v>88</v>
      </c>
      <c r="B1057" s="11">
        <v>88</v>
      </c>
      <c r="C1057" s="21" t="s">
        <v>923</v>
      </c>
      <c r="D1057" s="2">
        <v>4</v>
      </c>
      <c r="E1057" s="2">
        <v>86</v>
      </c>
      <c r="F1057" s="1">
        <v>61</v>
      </c>
      <c r="G1057" s="1" t="s">
        <v>877</v>
      </c>
      <c r="H1057" s="122">
        <f>988.3-H1058</f>
        <v>398.4</v>
      </c>
      <c r="I1057" s="176"/>
      <c r="J1057" s="172"/>
      <c r="K1057" s="172"/>
      <c r="L1057" s="75">
        <f t="shared" si="32"/>
        <v>0</v>
      </c>
      <c r="M1057" s="75">
        <f t="shared" si="33"/>
        <v>0</v>
      </c>
      <c r="N1057" s="70" t="s">
        <v>400</v>
      </c>
      <c r="O1057" s="180">
        <v>12</v>
      </c>
      <c r="P1057" s="74"/>
      <c r="Q1057" s="75">
        <f t="shared" si="34"/>
        <v>0</v>
      </c>
      <c r="R1057" s="174"/>
      <c r="S1057" s="173"/>
      <c r="T1057" s="179"/>
      <c r="U1057" s="177"/>
      <c r="V1057" s="75"/>
      <c r="W1057" s="75" t="str">
        <f t="shared" si="35"/>
        <v xml:space="preserve"> </v>
      </c>
      <c r="X1057" s="75"/>
      <c r="Y1057" s="75"/>
      <c r="Z1057" s="75"/>
      <c r="AA1057" s="258"/>
      <c r="AB1057" s="75"/>
      <c r="AC1057" s="75"/>
      <c r="AD1057" s="75"/>
      <c r="AE1057" s="68" t="s">
        <v>924</v>
      </c>
      <c r="AF1057" s="68"/>
      <c r="AG1057" s="174" t="s">
        <v>795</v>
      </c>
    </row>
    <row r="1058" spans="1:33" s="81" customFormat="1" ht="76.5" x14ac:dyDescent="0.2">
      <c r="A1058" s="13">
        <f t="shared" si="37"/>
        <v>88</v>
      </c>
      <c r="B1058" s="11"/>
      <c r="C1058" s="1" t="s">
        <v>925</v>
      </c>
      <c r="D1058" s="2"/>
      <c r="E1058" s="2"/>
      <c r="F1058" s="1"/>
      <c r="G1058" s="1" t="s">
        <v>926</v>
      </c>
      <c r="H1058" s="122">
        <v>589.9</v>
      </c>
      <c r="I1058" s="176"/>
      <c r="J1058" s="172"/>
      <c r="K1058" s="172"/>
      <c r="L1058" s="75">
        <f t="shared" si="32"/>
        <v>0</v>
      </c>
      <c r="M1058" s="75">
        <f t="shared" si="33"/>
        <v>0</v>
      </c>
      <c r="N1058" s="70" t="s">
        <v>401</v>
      </c>
      <c r="O1058" s="180">
        <v>10</v>
      </c>
      <c r="P1058" s="74"/>
      <c r="Q1058" s="75">
        <f t="shared" si="34"/>
        <v>0</v>
      </c>
      <c r="R1058" s="174"/>
      <c r="S1058" s="173"/>
      <c r="T1058" s="179"/>
      <c r="U1058" s="177"/>
      <c r="V1058" s="75"/>
      <c r="W1058" s="75" t="str">
        <f t="shared" si="35"/>
        <v xml:space="preserve"> </v>
      </c>
      <c r="X1058" s="75"/>
      <c r="Y1058" s="75"/>
      <c r="Z1058" s="75"/>
      <c r="AA1058" s="258"/>
      <c r="AB1058" s="75"/>
      <c r="AC1058" s="75"/>
      <c r="AD1058" s="75"/>
      <c r="AE1058" s="68" t="s">
        <v>927</v>
      </c>
      <c r="AF1058" s="68"/>
      <c r="AG1058" s="174" t="s">
        <v>804</v>
      </c>
    </row>
    <row r="1059" spans="1:33" s="81" customFormat="1" ht="60" x14ac:dyDescent="0.2">
      <c r="A1059" s="13">
        <f t="shared" si="37"/>
        <v>88</v>
      </c>
      <c r="B1059" s="11"/>
      <c r="C1059" s="92" t="s">
        <v>928</v>
      </c>
      <c r="D1059" s="2"/>
      <c r="E1059" s="2"/>
      <c r="F1059" s="1"/>
      <c r="G1059" s="84" t="s">
        <v>929</v>
      </c>
      <c r="H1059" s="122">
        <v>0.5</v>
      </c>
      <c r="I1059" s="176"/>
      <c r="J1059" s="172"/>
      <c r="K1059" s="172"/>
      <c r="L1059" s="75">
        <f t="shared" si="32"/>
        <v>0</v>
      </c>
      <c r="M1059" s="75">
        <f t="shared" si="33"/>
        <v>0</v>
      </c>
      <c r="N1059" s="70" t="s">
        <v>401</v>
      </c>
      <c r="O1059" s="180">
        <v>9</v>
      </c>
      <c r="P1059" s="74"/>
      <c r="Q1059" s="75">
        <f t="shared" si="34"/>
        <v>0</v>
      </c>
      <c r="R1059" s="174"/>
      <c r="S1059" s="173"/>
      <c r="T1059" s="179"/>
      <c r="U1059" s="177"/>
      <c r="V1059" s="75"/>
      <c r="W1059" s="75" t="str">
        <f t="shared" si="35"/>
        <v xml:space="preserve"> </v>
      </c>
      <c r="X1059" s="75"/>
      <c r="Y1059" s="75"/>
      <c r="Z1059" s="75"/>
      <c r="AA1059" s="258"/>
      <c r="AB1059" s="75"/>
      <c r="AC1059" s="75"/>
      <c r="AD1059" s="75"/>
      <c r="AE1059" s="68" t="s">
        <v>930</v>
      </c>
      <c r="AF1059" s="68"/>
      <c r="AG1059" s="174" t="s">
        <v>808</v>
      </c>
    </row>
    <row r="1060" spans="1:33" s="81" customFormat="1" ht="60" x14ac:dyDescent="0.2">
      <c r="A1060" s="13">
        <f t="shared" si="37"/>
        <v>88</v>
      </c>
      <c r="B1060" s="11"/>
      <c r="C1060" s="82" t="s">
        <v>931</v>
      </c>
      <c r="D1060" s="178"/>
      <c r="E1060" s="2"/>
      <c r="F1060" s="1"/>
      <c r="G1060" s="1"/>
      <c r="H1060" s="122"/>
      <c r="I1060" s="124"/>
      <c r="J1060" s="172"/>
      <c r="K1060" s="172"/>
      <c r="L1060" s="75" t="str">
        <f t="shared" si="32"/>
        <v xml:space="preserve"> </v>
      </c>
      <c r="M1060" s="75" t="str">
        <f t="shared" si="33"/>
        <v xml:space="preserve"> </v>
      </c>
      <c r="N1060" s="68" t="s">
        <v>401</v>
      </c>
      <c r="O1060" s="180">
        <v>10</v>
      </c>
      <c r="P1060" s="74"/>
      <c r="Q1060" s="75">
        <f t="shared" si="34"/>
        <v>0</v>
      </c>
      <c r="R1060" s="70"/>
      <c r="S1060" s="183"/>
      <c r="T1060" s="179"/>
      <c r="U1060" s="119"/>
      <c r="V1060" s="75"/>
      <c r="W1060" s="75" t="str">
        <f t="shared" si="35"/>
        <v xml:space="preserve"> </v>
      </c>
      <c r="X1060" s="75"/>
      <c r="Y1060" s="75"/>
      <c r="Z1060" s="75"/>
      <c r="AA1060" s="258"/>
      <c r="AB1060" s="75"/>
      <c r="AC1060" s="75"/>
      <c r="AD1060" s="75"/>
      <c r="AE1060" s="119" t="s">
        <v>809</v>
      </c>
      <c r="AF1060" s="119"/>
      <c r="AG1060" s="174" t="s">
        <v>810</v>
      </c>
    </row>
    <row r="1061" spans="1:33" s="81" customFormat="1" ht="25.5" x14ac:dyDescent="0.2">
      <c r="A1061" s="13">
        <f t="shared" si="37"/>
        <v>88</v>
      </c>
      <c r="B1061" s="11"/>
      <c r="C1061" s="82" t="s">
        <v>1573</v>
      </c>
      <c r="D1061" s="178"/>
      <c r="E1061" s="2"/>
      <c r="F1061" s="1"/>
      <c r="G1061" s="1"/>
      <c r="H1061" s="122"/>
      <c r="I1061" s="124"/>
      <c r="J1061" s="172"/>
      <c r="K1061" s="172"/>
      <c r="L1061" s="75" t="str">
        <f t="shared" si="32"/>
        <v xml:space="preserve"> </v>
      </c>
      <c r="M1061" s="75" t="str">
        <f t="shared" si="33"/>
        <v xml:space="preserve"> </v>
      </c>
      <c r="N1061" s="68" t="s">
        <v>932</v>
      </c>
      <c r="O1061" s="180">
        <v>1</v>
      </c>
      <c r="P1061" s="74"/>
      <c r="Q1061" s="75">
        <f t="shared" si="34"/>
        <v>0</v>
      </c>
      <c r="R1061" s="70"/>
      <c r="S1061" s="183"/>
      <c r="T1061" s="179"/>
      <c r="U1061" s="119"/>
      <c r="V1061" s="75"/>
      <c r="W1061" s="75" t="str">
        <f t="shared" si="35"/>
        <v xml:space="preserve"> </v>
      </c>
      <c r="X1061" s="75"/>
      <c r="Y1061" s="75"/>
      <c r="Z1061" s="75"/>
      <c r="AA1061" s="258"/>
      <c r="AB1061" s="75"/>
      <c r="AC1061" s="75"/>
      <c r="AD1061" s="75"/>
      <c r="AE1061" s="119"/>
      <c r="AF1061" s="119"/>
      <c r="AG1061" s="119"/>
    </row>
    <row r="1062" spans="1:33" s="81" customFormat="1" x14ac:dyDescent="0.2">
      <c r="A1062" s="13">
        <f t="shared" si="37"/>
        <v>88</v>
      </c>
      <c r="B1062" s="11"/>
      <c r="C1062" s="82"/>
      <c r="D1062" s="2"/>
      <c r="E1062" s="133"/>
      <c r="F1062" s="133"/>
      <c r="G1062" s="84"/>
      <c r="H1062" s="122"/>
      <c r="I1062" s="124"/>
      <c r="J1062" s="172"/>
      <c r="K1062" s="172"/>
      <c r="L1062" s="75" t="str">
        <f t="shared" si="32"/>
        <v xml:space="preserve"> </v>
      </c>
      <c r="M1062" s="75" t="str">
        <f t="shared" si="33"/>
        <v xml:space="preserve"> </v>
      </c>
      <c r="N1062" s="68" t="s">
        <v>350</v>
      </c>
      <c r="O1062" s="180">
        <v>6</v>
      </c>
      <c r="P1062" s="74"/>
      <c r="Q1062" s="75">
        <f t="shared" si="34"/>
        <v>0</v>
      </c>
      <c r="R1062" s="70"/>
      <c r="S1062" s="183"/>
      <c r="T1062" s="179"/>
      <c r="U1062" s="119"/>
      <c r="V1062" s="75"/>
      <c r="W1062" s="75" t="str">
        <f t="shared" si="35"/>
        <v xml:space="preserve"> </v>
      </c>
      <c r="X1062" s="75"/>
      <c r="Y1062" s="75"/>
      <c r="Z1062" s="75"/>
      <c r="AA1062" s="258"/>
      <c r="AB1062" s="75"/>
      <c r="AC1062" s="75"/>
      <c r="AD1062" s="75"/>
      <c r="AE1062" s="119"/>
      <c r="AF1062" s="119"/>
      <c r="AG1062" s="119"/>
    </row>
    <row r="1063" spans="1:33" s="81" customFormat="1" x14ac:dyDescent="0.2">
      <c r="A1063" s="13">
        <f t="shared" si="37"/>
        <v>88</v>
      </c>
      <c r="B1063" s="11"/>
      <c r="C1063" s="1"/>
      <c r="D1063" s="2"/>
      <c r="E1063" s="2"/>
      <c r="F1063" s="1"/>
      <c r="G1063" s="1"/>
      <c r="H1063" s="122"/>
      <c r="I1063" s="124"/>
      <c r="J1063" s="172"/>
      <c r="K1063" s="172"/>
      <c r="L1063" s="75" t="str">
        <f t="shared" si="32"/>
        <v xml:space="preserve"> </v>
      </c>
      <c r="M1063" s="75" t="str">
        <f t="shared" si="33"/>
        <v xml:space="preserve"> </v>
      </c>
      <c r="N1063" s="70" t="s">
        <v>933</v>
      </c>
      <c r="O1063" s="180">
        <v>15</v>
      </c>
      <c r="P1063" s="74"/>
      <c r="Q1063" s="75">
        <f t="shared" si="34"/>
        <v>0</v>
      </c>
      <c r="R1063" s="70"/>
      <c r="S1063" s="183"/>
      <c r="T1063" s="179"/>
      <c r="U1063" s="177"/>
      <c r="V1063" s="75"/>
      <c r="W1063" s="75" t="str">
        <f t="shared" si="35"/>
        <v xml:space="preserve"> </v>
      </c>
      <c r="X1063" s="75"/>
      <c r="Y1063" s="75"/>
      <c r="Z1063" s="75"/>
      <c r="AA1063" s="258"/>
      <c r="AB1063" s="75"/>
      <c r="AC1063" s="75"/>
      <c r="AD1063" s="75"/>
      <c r="AE1063" s="119"/>
      <c r="AF1063" s="119"/>
      <c r="AG1063" s="119"/>
    </row>
    <row r="1064" spans="1:33" s="81" customFormat="1" x14ac:dyDescent="0.2">
      <c r="A1064" s="13">
        <f t="shared" si="37"/>
        <v>88</v>
      </c>
      <c r="B1064" s="11"/>
      <c r="C1064" s="1"/>
      <c r="D1064" s="2"/>
      <c r="E1064" s="2"/>
      <c r="F1064" s="1"/>
      <c r="G1064" s="1"/>
      <c r="H1064" s="122"/>
      <c r="I1064" s="176"/>
      <c r="J1064" s="172"/>
      <c r="K1064" s="172"/>
      <c r="L1064" s="75" t="str">
        <f t="shared" si="32"/>
        <v xml:space="preserve"> </v>
      </c>
      <c r="M1064" s="75" t="str">
        <f t="shared" si="33"/>
        <v xml:space="preserve"> </v>
      </c>
      <c r="N1064" s="70" t="s">
        <v>933</v>
      </c>
      <c r="O1064" s="180">
        <v>11</v>
      </c>
      <c r="P1064" s="74"/>
      <c r="Q1064" s="75">
        <f t="shared" si="34"/>
        <v>0</v>
      </c>
      <c r="R1064" s="174"/>
      <c r="S1064" s="173"/>
      <c r="T1064" s="179"/>
      <c r="U1064" s="177"/>
      <c r="V1064" s="75"/>
      <c r="W1064" s="75" t="str">
        <f t="shared" si="35"/>
        <v xml:space="preserve"> </v>
      </c>
      <c r="X1064" s="75"/>
      <c r="Y1064" s="75"/>
      <c r="Z1064" s="75"/>
      <c r="AA1064" s="258"/>
      <c r="AB1064" s="75"/>
      <c r="AC1064" s="75"/>
      <c r="AD1064" s="75"/>
      <c r="AE1064" s="119"/>
      <c r="AF1064" s="119"/>
      <c r="AG1064" s="119"/>
    </row>
    <row r="1065" spans="1:33" s="81" customFormat="1" x14ac:dyDescent="0.2">
      <c r="A1065" s="13">
        <f t="shared" si="37"/>
        <v>88</v>
      </c>
      <c r="B1065" s="11"/>
      <c r="C1065" s="1"/>
      <c r="D1065" s="2"/>
      <c r="E1065" s="2"/>
      <c r="F1065" s="1"/>
      <c r="G1065" s="1"/>
      <c r="H1065" s="122"/>
      <c r="I1065" s="176"/>
      <c r="J1065" s="172"/>
      <c r="K1065" s="172"/>
      <c r="L1065" s="75" t="str">
        <f t="shared" si="32"/>
        <v xml:space="preserve"> </v>
      </c>
      <c r="M1065" s="75" t="str">
        <f t="shared" si="33"/>
        <v xml:space="preserve"> </v>
      </c>
      <c r="N1065" s="70" t="s">
        <v>933</v>
      </c>
      <c r="O1065" s="180">
        <v>10</v>
      </c>
      <c r="P1065" s="74"/>
      <c r="Q1065" s="75">
        <f t="shared" si="34"/>
        <v>0</v>
      </c>
      <c r="R1065" s="174"/>
      <c r="S1065" s="173"/>
      <c r="T1065" s="179"/>
      <c r="U1065" s="177"/>
      <c r="V1065" s="75"/>
      <c r="W1065" s="75" t="str">
        <f t="shared" si="35"/>
        <v xml:space="preserve"> </v>
      </c>
      <c r="X1065" s="75"/>
      <c r="Y1065" s="75"/>
      <c r="Z1065" s="75"/>
      <c r="AA1065" s="258"/>
      <c r="AB1065" s="75"/>
      <c r="AC1065" s="75"/>
      <c r="AD1065" s="75"/>
      <c r="AE1065" s="119"/>
      <c r="AF1065" s="119"/>
      <c r="AG1065" s="119"/>
    </row>
    <row r="1066" spans="1:33" s="81" customFormat="1" x14ac:dyDescent="0.2">
      <c r="A1066" s="13">
        <f t="shared" si="37"/>
        <v>88</v>
      </c>
      <c r="B1066" s="11"/>
      <c r="C1066" s="82"/>
      <c r="D1066" s="178"/>
      <c r="E1066" s="2"/>
      <c r="F1066" s="1"/>
      <c r="G1066" s="1"/>
      <c r="H1066" s="122"/>
      <c r="I1066" s="124"/>
      <c r="J1066" s="172"/>
      <c r="K1066" s="172"/>
      <c r="L1066" s="75" t="str">
        <f t="shared" si="32"/>
        <v xml:space="preserve"> </v>
      </c>
      <c r="M1066" s="75" t="str">
        <f t="shared" si="33"/>
        <v xml:space="preserve"> </v>
      </c>
      <c r="N1066" s="70" t="s">
        <v>933</v>
      </c>
      <c r="O1066" s="180">
        <v>15</v>
      </c>
      <c r="P1066" s="74"/>
      <c r="Q1066" s="75">
        <f t="shared" si="34"/>
        <v>0</v>
      </c>
      <c r="R1066" s="70"/>
      <c r="S1066" s="183"/>
      <c r="T1066" s="179"/>
      <c r="U1066" s="119"/>
      <c r="V1066" s="75"/>
      <c r="W1066" s="75" t="str">
        <f t="shared" si="35"/>
        <v xml:space="preserve"> </v>
      </c>
      <c r="X1066" s="75"/>
      <c r="Y1066" s="75"/>
      <c r="Z1066" s="75"/>
      <c r="AA1066" s="258"/>
      <c r="AB1066" s="75"/>
      <c r="AC1066" s="75"/>
      <c r="AD1066" s="75"/>
      <c r="AE1066" s="119"/>
      <c r="AF1066" s="119"/>
      <c r="AG1066" s="119"/>
    </row>
    <row r="1067" spans="1:33" s="81" customFormat="1" x14ac:dyDescent="0.2">
      <c r="A1067" s="13">
        <f t="shared" si="37"/>
        <v>88</v>
      </c>
      <c r="B1067" s="11"/>
      <c r="C1067" s="82"/>
      <c r="D1067" s="178"/>
      <c r="E1067" s="2"/>
      <c r="F1067" s="1"/>
      <c r="G1067" s="1"/>
      <c r="H1067" s="122"/>
      <c r="I1067" s="124"/>
      <c r="J1067" s="172"/>
      <c r="K1067" s="172"/>
      <c r="L1067" s="75" t="str">
        <f t="shared" si="32"/>
        <v xml:space="preserve"> </v>
      </c>
      <c r="M1067" s="75" t="str">
        <f t="shared" si="33"/>
        <v xml:space="preserve"> </v>
      </c>
      <c r="N1067" s="70"/>
      <c r="O1067" s="180"/>
      <c r="P1067" s="74"/>
      <c r="Q1067" s="75" t="str">
        <f t="shared" si="34"/>
        <v xml:space="preserve"> </v>
      </c>
      <c r="R1067" s="70"/>
      <c r="S1067" s="183"/>
      <c r="T1067" s="179"/>
      <c r="U1067" s="119"/>
      <c r="V1067" s="75"/>
      <c r="W1067" s="75" t="str">
        <f t="shared" si="35"/>
        <v xml:space="preserve"> </v>
      </c>
      <c r="X1067" s="75"/>
      <c r="Y1067" s="75"/>
      <c r="Z1067" s="75"/>
      <c r="AA1067" s="258"/>
      <c r="AB1067" s="75"/>
      <c r="AC1067" s="75"/>
      <c r="AD1067" s="75"/>
      <c r="AE1067" s="119"/>
      <c r="AF1067" s="119"/>
      <c r="AG1067" s="119"/>
    </row>
    <row r="1068" spans="1:33" s="81" customFormat="1" x14ac:dyDescent="0.2">
      <c r="A1068" s="13">
        <f t="shared" si="37"/>
        <v>88</v>
      </c>
      <c r="B1068" s="11"/>
      <c r="C1068" s="1"/>
      <c r="D1068" s="2"/>
      <c r="E1068" s="2"/>
      <c r="F1068" s="1"/>
      <c r="G1068" s="1"/>
      <c r="H1068" s="122"/>
      <c r="I1068" s="176"/>
      <c r="J1068" s="172"/>
      <c r="K1068" s="172"/>
      <c r="L1068" s="75" t="str">
        <f t="shared" si="32"/>
        <v xml:space="preserve"> </v>
      </c>
      <c r="M1068" s="75" t="str">
        <f t="shared" si="33"/>
        <v xml:space="preserve"> </v>
      </c>
      <c r="N1068" s="68"/>
      <c r="O1068" s="180"/>
      <c r="P1068" s="74"/>
      <c r="Q1068" s="75" t="str">
        <f t="shared" si="34"/>
        <v xml:space="preserve"> </v>
      </c>
      <c r="R1068" s="174"/>
      <c r="S1068" s="173"/>
      <c r="T1068" s="179"/>
      <c r="U1068" s="177"/>
      <c r="V1068" s="75"/>
      <c r="W1068" s="75" t="str">
        <f t="shared" si="35"/>
        <v xml:space="preserve"> </v>
      </c>
      <c r="X1068" s="75"/>
      <c r="Y1068" s="75"/>
      <c r="Z1068" s="75"/>
      <c r="AA1068" s="258"/>
      <c r="AB1068" s="75"/>
      <c r="AC1068" s="75"/>
      <c r="AD1068" s="75"/>
      <c r="AE1068" s="119"/>
      <c r="AF1068" s="119"/>
      <c r="AG1068" s="119"/>
    </row>
    <row r="1069" spans="1:33" s="81" customFormat="1" ht="60" x14ac:dyDescent="0.2">
      <c r="A1069" s="13">
        <f t="shared" si="37"/>
        <v>89</v>
      </c>
      <c r="B1069" s="11">
        <v>89</v>
      </c>
      <c r="C1069" s="21" t="s">
        <v>934</v>
      </c>
      <c r="D1069" s="2">
        <v>3</v>
      </c>
      <c r="E1069" s="2">
        <v>86</v>
      </c>
      <c r="F1069" s="1">
        <v>233</v>
      </c>
      <c r="G1069" s="1" t="s">
        <v>935</v>
      </c>
      <c r="H1069" s="122">
        <f>171.8-H1070</f>
        <v>45.700000000000017</v>
      </c>
      <c r="I1069" s="124"/>
      <c r="J1069" s="172"/>
      <c r="K1069" s="172"/>
      <c r="L1069" s="75">
        <f t="shared" si="32"/>
        <v>0</v>
      </c>
      <c r="M1069" s="75">
        <f t="shared" si="33"/>
        <v>0</v>
      </c>
      <c r="N1069" s="70" t="s">
        <v>145</v>
      </c>
      <c r="O1069" s="180">
        <v>1</v>
      </c>
      <c r="P1069" s="74"/>
      <c r="Q1069" s="75">
        <f t="shared" si="34"/>
        <v>0</v>
      </c>
      <c r="R1069" s="70" t="s">
        <v>1762</v>
      </c>
      <c r="S1069" s="183" t="s">
        <v>793</v>
      </c>
      <c r="T1069" s="179">
        <v>27</v>
      </c>
      <c r="U1069" s="181"/>
      <c r="V1069" s="75"/>
      <c r="W1069" s="75">
        <f t="shared" si="35"/>
        <v>0</v>
      </c>
      <c r="X1069" s="75"/>
      <c r="Y1069" s="75"/>
      <c r="Z1069" s="75"/>
      <c r="AA1069" s="258"/>
      <c r="AB1069" s="75"/>
      <c r="AC1069" s="75"/>
      <c r="AD1069" s="75"/>
      <c r="AE1069" s="68" t="s">
        <v>937</v>
      </c>
      <c r="AF1069" s="68"/>
      <c r="AG1069" s="174" t="s">
        <v>795</v>
      </c>
    </row>
    <row r="1070" spans="1:33" s="81" customFormat="1" ht="114" customHeight="1" x14ac:dyDescent="0.2">
      <c r="A1070" s="13">
        <f t="shared" si="37"/>
        <v>89</v>
      </c>
      <c r="B1070" s="11"/>
      <c r="C1070" s="82" t="s">
        <v>938</v>
      </c>
      <c r="D1070" s="178"/>
      <c r="E1070" s="2">
        <v>86</v>
      </c>
      <c r="F1070" s="1">
        <v>233</v>
      </c>
      <c r="G1070" s="1" t="s">
        <v>939</v>
      </c>
      <c r="H1070" s="122">
        <v>126.1</v>
      </c>
      <c r="I1070" s="124"/>
      <c r="J1070" s="172"/>
      <c r="K1070" s="172"/>
      <c r="L1070" s="75">
        <f t="shared" si="32"/>
        <v>0</v>
      </c>
      <c r="M1070" s="75">
        <f t="shared" si="33"/>
        <v>0</v>
      </c>
      <c r="N1070" s="70" t="s">
        <v>61</v>
      </c>
      <c r="O1070" s="180">
        <v>2</v>
      </c>
      <c r="P1070" s="74"/>
      <c r="Q1070" s="75">
        <f t="shared" si="34"/>
        <v>0</v>
      </c>
      <c r="R1070" s="70" t="s">
        <v>1763</v>
      </c>
      <c r="S1070" s="183" t="s">
        <v>793</v>
      </c>
      <c r="T1070" s="179">
        <v>81.400000000000006</v>
      </c>
      <c r="U1070" s="69"/>
      <c r="V1070" s="75"/>
      <c r="W1070" s="75">
        <f t="shared" si="35"/>
        <v>0</v>
      </c>
      <c r="X1070" s="75"/>
      <c r="Y1070" s="75"/>
      <c r="Z1070" s="75"/>
      <c r="AA1070" s="258"/>
      <c r="AB1070" s="75"/>
      <c r="AC1070" s="75"/>
      <c r="AD1070" s="75"/>
      <c r="AE1070" s="68" t="s">
        <v>940</v>
      </c>
      <c r="AF1070" s="68"/>
      <c r="AG1070" s="174" t="s">
        <v>800</v>
      </c>
    </row>
    <row r="1071" spans="1:33" s="81" customFormat="1" ht="70.5" customHeight="1" x14ac:dyDescent="0.2">
      <c r="A1071" s="13">
        <f t="shared" si="37"/>
        <v>89</v>
      </c>
      <c r="B1071" s="11"/>
      <c r="C1071" s="82" t="s">
        <v>1655</v>
      </c>
      <c r="D1071" s="178"/>
      <c r="E1071" s="2"/>
      <c r="F1071" s="1"/>
      <c r="G1071" s="1"/>
      <c r="H1071" s="122"/>
      <c r="I1071" s="124"/>
      <c r="J1071" s="172"/>
      <c r="K1071" s="172"/>
      <c r="L1071" s="75" t="str">
        <f t="shared" si="32"/>
        <v xml:space="preserve"> </v>
      </c>
      <c r="M1071" s="75" t="str">
        <f t="shared" si="33"/>
        <v xml:space="preserve"> </v>
      </c>
      <c r="N1071" s="70" t="s">
        <v>400</v>
      </c>
      <c r="O1071" s="180">
        <v>10</v>
      </c>
      <c r="P1071" s="74"/>
      <c r="Q1071" s="75">
        <f t="shared" si="34"/>
        <v>0</v>
      </c>
      <c r="R1071" s="70" t="s">
        <v>1764</v>
      </c>
      <c r="S1071" s="183" t="s">
        <v>793</v>
      </c>
      <c r="T1071" s="179">
        <v>1.98</v>
      </c>
      <c r="U1071" s="181"/>
      <c r="V1071" s="75"/>
      <c r="W1071" s="75">
        <f t="shared" si="35"/>
        <v>0</v>
      </c>
      <c r="X1071" s="75"/>
      <c r="Y1071" s="75"/>
      <c r="Z1071" s="75"/>
      <c r="AA1071" s="258"/>
      <c r="AB1071" s="75"/>
      <c r="AC1071" s="75"/>
      <c r="AD1071" s="75"/>
      <c r="AE1071" s="68" t="s">
        <v>941</v>
      </c>
      <c r="AF1071" s="68"/>
      <c r="AG1071" s="174" t="s">
        <v>804</v>
      </c>
    </row>
    <row r="1072" spans="1:33" s="81" customFormat="1" ht="60" x14ac:dyDescent="0.2">
      <c r="A1072" s="13">
        <f t="shared" si="37"/>
        <v>89</v>
      </c>
      <c r="B1072" s="11"/>
      <c r="C1072" s="93" t="s">
        <v>942</v>
      </c>
      <c r="D1072" s="2"/>
      <c r="E1072" s="133"/>
      <c r="F1072" s="133"/>
      <c r="G1072" s="84"/>
      <c r="H1072" s="122"/>
      <c r="I1072" s="124"/>
      <c r="J1072" s="172"/>
      <c r="K1072" s="172"/>
      <c r="L1072" s="75" t="str">
        <f t="shared" si="32"/>
        <v xml:space="preserve"> </v>
      </c>
      <c r="M1072" s="75" t="str">
        <f t="shared" si="33"/>
        <v xml:space="preserve"> </v>
      </c>
      <c r="N1072" s="70" t="s">
        <v>401</v>
      </c>
      <c r="O1072" s="180">
        <v>12</v>
      </c>
      <c r="P1072" s="74"/>
      <c r="Q1072" s="75">
        <f t="shared" si="34"/>
        <v>0</v>
      </c>
      <c r="R1072" s="70" t="s">
        <v>1765</v>
      </c>
      <c r="S1072" s="183" t="s">
        <v>793</v>
      </c>
      <c r="T1072" s="179">
        <v>2.46</v>
      </c>
      <c r="U1072" s="181"/>
      <c r="V1072" s="75"/>
      <c r="W1072" s="75">
        <f t="shared" si="35"/>
        <v>0</v>
      </c>
      <c r="X1072" s="75"/>
      <c r="Y1072" s="75"/>
      <c r="Z1072" s="75"/>
      <c r="AA1072" s="258"/>
      <c r="AB1072" s="75"/>
      <c r="AC1072" s="75"/>
      <c r="AD1072" s="75"/>
      <c r="AE1072" s="119" t="s">
        <v>943</v>
      </c>
      <c r="AF1072" s="119"/>
      <c r="AG1072" s="174" t="s">
        <v>808</v>
      </c>
    </row>
    <row r="1073" spans="1:33" s="81" customFormat="1" ht="60" x14ac:dyDescent="0.2">
      <c r="A1073" s="13">
        <f t="shared" si="37"/>
        <v>89</v>
      </c>
      <c r="B1073" s="11"/>
      <c r="C1073" s="82" t="s">
        <v>944</v>
      </c>
      <c r="D1073" s="2"/>
      <c r="E1073" s="2"/>
      <c r="F1073" s="1"/>
      <c r="G1073" s="1"/>
      <c r="H1073" s="122"/>
      <c r="I1073" s="124"/>
      <c r="J1073" s="172"/>
      <c r="K1073" s="172"/>
      <c r="L1073" s="75" t="str">
        <f t="shared" si="32"/>
        <v xml:space="preserve"> </v>
      </c>
      <c r="M1073" s="75" t="str">
        <f t="shared" si="33"/>
        <v xml:space="preserve"> </v>
      </c>
      <c r="N1073" s="70" t="s">
        <v>184</v>
      </c>
      <c r="O1073" s="180">
        <v>1</v>
      </c>
      <c r="P1073" s="74"/>
      <c r="Q1073" s="75">
        <f t="shared" si="34"/>
        <v>0</v>
      </c>
      <c r="R1073" s="70" t="s">
        <v>1763</v>
      </c>
      <c r="S1073" s="183" t="s">
        <v>793</v>
      </c>
      <c r="T1073" s="179">
        <v>13.4</v>
      </c>
      <c r="U1073" s="181"/>
      <c r="V1073" s="75"/>
      <c r="W1073" s="75">
        <f t="shared" si="35"/>
        <v>0</v>
      </c>
      <c r="X1073" s="75"/>
      <c r="Y1073" s="75"/>
      <c r="Z1073" s="75"/>
      <c r="AA1073" s="258"/>
      <c r="AB1073" s="75"/>
      <c r="AC1073" s="75"/>
      <c r="AD1073" s="75"/>
      <c r="AE1073" s="119" t="s">
        <v>945</v>
      </c>
      <c r="AF1073" s="119"/>
      <c r="AG1073" s="174" t="s">
        <v>810</v>
      </c>
    </row>
    <row r="1074" spans="1:33" s="81" customFormat="1" ht="23.25" customHeight="1" x14ac:dyDescent="0.2">
      <c r="A1074" s="13">
        <f t="shared" si="37"/>
        <v>89</v>
      </c>
      <c r="B1074" s="11"/>
      <c r="C1074" s="130"/>
      <c r="D1074" s="2"/>
      <c r="E1074" s="2"/>
      <c r="F1074" s="1"/>
      <c r="G1074" s="1"/>
      <c r="H1074" s="122"/>
      <c r="I1074" s="124"/>
      <c r="J1074" s="172"/>
      <c r="K1074" s="172"/>
      <c r="L1074" s="75" t="str">
        <f t="shared" si="32"/>
        <v xml:space="preserve"> </v>
      </c>
      <c r="M1074" s="75" t="str">
        <f t="shared" si="33"/>
        <v xml:space="preserve"> </v>
      </c>
      <c r="N1074" s="70" t="s">
        <v>89</v>
      </c>
      <c r="O1074" s="180">
        <v>1</v>
      </c>
      <c r="P1074" s="74"/>
      <c r="Q1074" s="75">
        <f t="shared" si="34"/>
        <v>0</v>
      </c>
      <c r="R1074" s="174" t="s">
        <v>1766</v>
      </c>
      <c r="S1074" s="183" t="s">
        <v>793</v>
      </c>
      <c r="T1074" s="179">
        <v>16.100000000000001</v>
      </c>
      <c r="U1074" s="181"/>
      <c r="V1074" s="75"/>
      <c r="W1074" s="75">
        <f t="shared" si="35"/>
        <v>0</v>
      </c>
      <c r="X1074" s="75"/>
      <c r="Y1074" s="75"/>
      <c r="Z1074" s="75"/>
      <c r="AA1074" s="258"/>
      <c r="AB1074" s="75"/>
      <c r="AC1074" s="75"/>
      <c r="AD1074" s="75"/>
      <c r="AE1074" s="119" t="s">
        <v>809</v>
      </c>
      <c r="AF1074" s="119"/>
      <c r="AG1074" s="119"/>
    </row>
    <row r="1075" spans="1:33" s="81" customFormat="1" ht="25.5" customHeight="1" x14ac:dyDescent="0.2">
      <c r="A1075" s="13">
        <f t="shared" si="37"/>
        <v>89</v>
      </c>
      <c r="B1075" s="11"/>
      <c r="C1075" s="82"/>
      <c r="D1075" s="2"/>
      <c r="E1075" s="2"/>
      <c r="F1075" s="1"/>
      <c r="G1075" s="1"/>
      <c r="H1075" s="122"/>
      <c r="I1075" s="124"/>
      <c r="J1075" s="172"/>
      <c r="K1075" s="172"/>
      <c r="L1075" s="75" t="str">
        <f t="shared" si="32"/>
        <v xml:space="preserve"> </v>
      </c>
      <c r="M1075" s="75" t="str">
        <f t="shared" si="33"/>
        <v xml:space="preserve"> </v>
      </c>
      <c r="N1075" s="70" t="s">
        <v>946</v>
      </c>
      <c r="O1075" s="180">
        <v>1</v>
      </c>
      <c r="P1075" s="74"/>
      <c r="Q1075" s="75">
        <f t="shared" si="34"/>
        <v>0</v>
      </c>
      <c r="R1075" s="70" t="s">
        <v>1767</v>
      </c>
      <c r="S1075" s="183" t="s">
        <v>793</v>
      </c>
      <c r="T1075" s="179">
        <v>17.3</v>
      </c>
      <c r="U1075" s="181"/>
      <c r="V1075" s="75"/>
      <c r="W1075" s="75">
        <f t="shared" si="35"/>
        <v>0</v>
      </c>
      <c r="X1075" s="75"/>
      <c r="Y1075" s="75"/>
      <c r="Z1075" s="75"/>
      <c r="AA1075" s="258"/>
      <c r="AB1075" s="75"/>
      <c r="AC1075" s="75"/>
      <c r="AD1075" s="75"/>
      <c r="AE1075" s="119"/>
      <c r="AF1075" s="119"/>
      <c r="AG1075" s="119"/>
    </row>
    <row r="1076" spans="1:33" s="81" customFormat="1" ht="30.75" customHeight="1" x14ac:dyDescent="0.2">
      <c r="A1076" s="13">
        <f t="shared" si="37"/>
        <v>89</v>
      </c>
      <c r="B1076" s="11"/>
      <c r="C1076" s="1"/>
      <c r="D1076" s="2"/>
      <c r="E1076" s="2"/>
      <c r="F1076" s="1"/>
      <c r="G1076" s="1"/>
      <c r="H1076" s="122"/>
      <c r="I1076" s="124"/>
      <c r="J1076" s="172"/>
      <c r="K1076" s="172"/>
      <c r="L1076" s="75" t="str">
        <f t="shared" si="32"/>
        <v xml:space="preserve"> </v>
      </c>
      <c r="M1076" s="75" t="str">
        <f t="shared" si="33"/>
        <v xml:space="preserve"> </v>
      </c>
      <c r="N1076" s="70" t="s">
        <v>134</v>
      </c>
      <c r="O1076" s="180">
        <v>1</v>
      </c>
      <c r="P1076" s="74"/>
      <c r="Q1076" s="75">
        <f t="shared" si="34"/>
        <v>0</v>
      </c>
      <c r="R1076" s="174" t="s">
        <v>1768</v>
      </c>
      <c r="S1076" s="183" t="s">
        <v>793</v>
      </c>
      <c r="T1076" s="179">
        <v>17.3</v>
      </c>
      <c r="U1076" s="181"/>
      <c r="V1076" s="75"/>
      <c r="W1076" s="75">
        <f t="shared" si="35"/>
        <v>0</v>
      </c>
      <c r="X1076" s="75"/>
      <c r="Y1076" s="75"/>
      <c r="Z1076" s="75"/>
      <c r="AA1076" s="258"/>
      <c r="AB1076" s="75"/>
      <c r="AC1076" s="75"/>
      <c r="AD1076" s="75"/>
      <c r="AE1076" s="119"/>
      <c r="AF1076" s="119"/>
      <c r="AG1076" s="119"/>
    </row>
    <row r="1077" spans="1:33" s="81" customFormat="1" ht="30" x14ac:dyDescent="0.2">
      <c r="A1077" s="13">
        <f t="shared" si="37"/>
        <v>89</v>
      </c>
      <c r="B1077" s="11"/>
      <c r="C1077" s="1"/>
      <c r="D1077" s="2"/>
      <c r="E1077" s="2"/>
      <c r="F1077" s="1"/>
      <c r="G1077" s="1"/>
      <c r="H1077" s="122"/>
      <c r="I1077" s="124"/>
      <c r="J1077" s="172"/>
      <c r="K1077" s="172"/>
      <c r="L1077" s="75" t="str">
        <f t="shared" si="32"/>
        <v xml:space="preserve"> </v>
      </c>
      <c r="M1077" s="75" t="str">
        <f t="shared" si="33"/>
        <v xml:space="preserve"> </v>
      </c>
      <c r="N1077" s="70" t="s">
        <v>352</v>
      </c>
      <c r="O1077" s="180">
        <v>2</v>
      </c>
      <c r="P1077" s="74"/>
      <c r="Q1077" s="75">
        <f t="shared" si="34"/>
        <v>0</v>
      </c>
      <c r="R1077" s="174" t="s">
        <v>1769</v>
      </c>
      <c r="S1077" s="183" t="s">
        <v>793</v>
      </c>
      <c r="T1077" s="179">
        <v>26.35</v>
      </c>
      <c r="U1077" s="181"/>
      <c r="V1077" s="75"/>
      <c r="W1077" s="75">
        <f t="shared" si="35"/>
        <v>0</v>
      </c>
      <c r="X1077" s="75"/>
      <c r="Y1077" s="75"/>
      <c r="Z1077" s="75"/>
      <c r="AA1077" s="258"/>
      <c r="AB1077" s="75"/>
      <c r="AC1077" s="75"/>
      <c r="AD1077" s="75"/>
      <c r="AE1077" s="119"/>
      <c r="AF1077" s="119"/>
      <c r="AG1077" s="119"/>
    </row>
    <row r="1078" spans="1:33" s="81" customFormat="1" ht="30" x14ac:dyDescent="0.2">
      <c r="A1078" s="13">
        <f t="shared" si="37"/>
        <v>89</v>
      </c>
      <c r="B1078" s="11"/>
      <c r="C1078" s="1"/>
      <c r="D1078" s="2"/>
      <c r="E1078" s="2"/>
      <c r="F1078" s="1"/>
      <c r="G1078" s="1"/>
      <c r="H1078" s="122"/>
      <c r="I1078" s="124"/>
      <c r="J1078" s="172"/>
      <c r="K1078" s="172"/>
      <c r="L1078" s="75" t="str">
        <f t="shared" si="32"/>
        <v xml:space="preserve"> </v>
      </c>
      <c r="M1078" s="75" t="str">
        <f t="shared" si="33"/>
        <v xml:space="preserve"> </v>
      </c>
      <c r="N1078" s="70" t="s">
        <v>739</v>
      </c>
      <c r="O1078" s="180">
        <v>1</v>
      </c>
      <c r="P1078" s="74"/>
      <c r="Q1078" s="75">
        <f t="shared" si="34"/>
        <v>0</v>
      </c>
      <c r="R1078" s="70" t="s">
        <v>1770</v>
      </c>
      <c r="S1078" s="183" t="s">
        <v>947</v>
      </c>
      <c r="T1078" s="179">
        <v>0.14000000000000001</v>
      </c>
      <c r="U1078" s="181"/>
      <c r="V1078" s="75"/>
      <c r="W1078" s="75">
        <f t="shared" si="35"/>
        <v>0</v>
      </c>
      <c r="X1078" s="75"/>
      <c r="Y1078" s="75"/>
      <c r="Z1078" s="75"/>
      <c r="AA1078" s="258"/>
      <c r="AB1078" s="75"/>
      <c r="AC1078" s="75"/>
      <c r="AD1078" s="75"/>
      <c r="AE1078" s="119"/>
      <c r="AF1078" s="119"/>
      <c r="AG1078" s="119"/>
    </row>
    <row r="1079" spans="1:33" s="81" customFormat="1" ht="30" x14ac:dyDescent="0.2">
      <c r="A1079" s="13">
        <f t="shared" si="37"/>
        <v>89</v>
      </c>
      <c r="B1079" s="11"/>
      <c r="C1079" s="1"/>
      <c r="D1079" s="2"/>
      <c r="E1079" s="2"/>
      <c r="F1079" s="1"/>
      <c r="G1079" s="1"/>
      <c r="H1079" s="122"/>
      <c r="I1079" s="124"/>
      <c r="J1079" s="172"/>
      <c r="K1079" s="172"/>
      <c r="L1079" s="75" t="str">
        <f t="shared" si="32"/>
        <v xml:space="preserve"> </v>
      </c>
      <c r="M1079" s="75" t="str">
        <f t="shared" si="33"/>
        <v xml:space="preserve"> </v>
      </c>
      <c r="N1079" s="70" t="s">
        <v>948</v>
      </c>
      <c r="O1079" s="180">
        <v>1</v>
      </c>
      <c r="P1079" s="75"/>
      <c r="Q1079" s="75">
        <f t="shared" si="34"/>
        <v>0</v>
      </c>
      <c r="R1079" s="70" t="s">
        <v>1771</v>
      </c>
      <c r="S1079" s="183" t="s">
        <v>793</v>
      </c>
      <c r="T1079" s="179">
        <v>1.5</v>
      </c>
      <c r="U1079" s="181"/>
      <c r="V1079" s="75"/>
      <c r="W1079" s="75">
        <f t="shared" si="35"/>
        <v>0</v>
      </c>
      <c r="X1079" s="75"/>
      <c r="Y1079" s="75"/>
      <c r="Z1079" s="75"/>
      <c r="AA1079" s="258"/>
      <c r="AB1079" s="75"/>
      <c r="AC1079" s="75"/>
      <c r="AD1079" s="75"/>
      <c r="AE1079" s="119"/>
      <c r="AF1079" s="119"/>
      <c r="AG1079" s="119"/>
    </row>
    <row r="1080" spans="1:33" s="81" customFormat="1" ht="30" x14ac:dyDescent="0.2">
      <c r="A1080" s="13">
        <f t="shared" si="37"/>
        <v>89</v>
      </c>
      <c r="B1080" s="11"/>
      <c r="C1080" s="1"/>
      <c r="D1080" s="2"/>
      <c r="E1080" s="2"/>
      <c r="F1080" s="1"/>
      <c r="G1080" s="1"/>
      <c r="H1080" s="122"/>
      <c r="I1080" s="124"/>
      <c r="J1080" s="172"/>
      <c r="K1080" s="172"/>
      <c r="L1080" s="75" t="str">
        <f t="shared" si="32"/>
        <v xml:space="preserve"> </v>
      </c>
      <c r="M1080" s="75" t="str">
        <f t="shared" si="33"/>
        <v xml:space="preserve"> </v>
      </c>
      <c r="N1080" s="70" t="s">
        <v>949</v>
      </c>
      <c r="O1080" s="180">
        <v>3</v>
      </c>
      <c r="P1080" s="74"/>
      <c r="Q1080" s="75">
        <f t="shared" si="34"/>
        <v>0</v>
      </c>
      <c r="R1080" s="70" t="s">
        <v>1772</v>
      </c>
      <c r="S1080" s="183" t="s">
        <v>793</v>
      </c>
      <c r="T1080" s="179">
        <v>0.52</v>
      </c>
      <c r="U1080" s="181"/>
      <c r="V1080" s="75"/>
      <c r="W1080" s="75">
        <f t="shared" si="35"/>
        <v>0</v>
      </c>
      <c r="X1080" s="75"/>
      <c r="Y1080" s="75"/>
      <c r="Z1080" s="75"/>
      <c r="AA1080" s="258"/>
      <c r="AB1080" s="75"/>
      <c r="AC1080" s="75"/>
      <c r="AD1080" s="75"/>
      <c r="AE1080" s="119"/>
      <c r="AF1080" s="119"/>
      <c r="AG1080" s="119"/>
    </row>
    <row r="1081" spans="1:33" s="81" customFormat="1" ht="30" x14ac:dyDescent="0.2">
      <c r="A1081" s="13">
        <f t="shared" si="37"/>
        <v>89</v>
      </c>
      <c r="B1081" s="11"/>
      <c r="C1081" s="1"/>
      <c r="D1081" s="2"/>
      <c r="E1081" s="2"/>
      <c r="F1081" s="1"/>
      <c r="G1081" s="1"/>
      <c r="H1081" s="122"/>
      <c r="I1081" s="124"/>
      <c r="J1081" s="172"/>
      <c r="K1081" s="172"/>
      <c r="L1081" s="75" t="str">
        <f t="shared" si="32"/>
        <v xml:space="preserve"> </v>
      </c>
      <c r="M1081" s="75" t="str">
        <f t="shared" si="33"/>
        <v xml:space="preserve"> </v>
      </c>
      <c r="N1081" s="70"/>
      <c r="O1081" s="180"/>
      <c r="P1081" s="74"/>
      <c r="Q1081" s="75" t="str">
        <f t="shared" si="34"/>
        <v xml:space="preserve"> </v>
      </c>
      <c r="R1081" s="70" t="s">
        <v>1771</v>
      </c>
      <c r="S1081" s="183" t="s">
        <v>793</v>
      </c>
      <c r="T1081" s="179">
        <v>1.32</v>
      </c>
      <c r="U1081" s="181"/>
      <c r="V1081" s="75"/>
      <c r="W1081" s="75">
        <f t="shared" si="35"/>
        <v>0</v>
      </c>
      <c r="X1081" s="75"/>
      <c r="Y1081" s="75"/>
      <c r="Z1081" s="75"/>
      <c r="AA1081" s="258"/>
      <c r="AB1081" s="75"/>
      <c r="AC1081" s="75"/>
      <c r="AD1081" s="75"/>
      <c r="AE1081" s="119"/>
      <c r="AF1081" s="119"/>
      <c r="AG1081" s="119"/>
    </row>
    <row r="1082" spans="1:33" s="81" customFormat="1" ht="30" x14ac:dyDescent="0.2">
      <c r="A1082" s="13">
        <f t="shared" si="37"/>
        <v>89</v>
      </c>
      <c r="B1082" s="11"/>
      <c r="C1082" s="1"/>
      <c r="D1082" s="2"/>
      <c r="E1082" s="2"/>
      <c r="F1082" s="1"/>
      <c r="G1082" s="1"/>
      <c r="H1082" s="122"/>
      <c r="I1082" s="124"/>
      <c r="J1082" s="172"/>
      <c r="K1082" s="172"/>
      <c r="L1082" s="75" t="str">
        <f t="shared" si="32"/>
        <v xml:space="preserve"> </v>
      </c>
      <c r="M1082" s="75" t="str">
        <f t="shared" si="33"/>
        <v xml:space="preserve"> </v>
      </c>
      <c r="N1082" s="70"/>
      <c r="O1082" s="180"/>
      <c r="P1082" s="74"/>
      <c r="Q1082" s="75" t="str">
        <f t="shared" si="34"/>
        <v xml:space="preserve"> </v>
      </c>
      <c r="R1082" s="70" t="s">
        <v>1771</v>
      </c>
      <c r="S1082" s="183" t="s">
        <v>793</v>
      </c>
      <c r="T1082" s="179">
        <v>0.36</v>
      </c>
      <c r="U1082" s="181"/>
      <c r="V1082" s="75"/>
      <c r="W1082" s="75">
        <f t="shared" si="35"/>
        <v>0</v>
      </c>
      <c r="X1082" s="75"/>
      <c r="Y1082" s="75"/>
      <c r="Z1082" s="75"/>
      <c r="AA1082" s="258"/>
      <c r="AB1082" s="75"/>
      <c r="AC1082" s="75"/>
      <c r="AD1082" s="75"/>
      <c r="AE1082" s="119"/>
      <c r="AF1082" s="119"/>
      <c r="AG1082" s="119"/>
    </row>
    <row r="1083" spans="1:33" s="81" customFormat="1" ht="18" x14ac:dyDescent="0.2">
      <c r="A1083" s="13">
        <f t="shared" si="37"/>
        <v>89</v>
      </c>
      <c r="B1083" s="11"/>
      <c r="C1083" s="82"/>
      <c r="D1083" s="178"/>
      <c r="E1083" s="2"/>
      <c r="F1083" s="1"/>
      <c r="G1083" s="1"/>
      <c r="H1083" s="122"/>
      <c r="I1083" s="124"/>
      <c r="J1083" s="172"/>
      <c r="K1083" s="172"/>
      <c r="L1083" s="75" t="str">
        <f t="shared" si="32"/>
        <v xml:space="preserve"> </v>
      </c>
      <c r="M1083" s="75" t="str">
        <f t="shared" si="33"/>
        <v xml:space="preserve"> </v>
      </c>
      <c r="N1083" s="70"/>
      <c r="O1083" s="180"/>
      <c r="P1083" s="74"/>
      <c r="Q1083" s="75" t="str">
        <f t="shared" si="34"/>
        <v xml:space="preserve"> </v>
      </c>
      <c r="R1083" s="70" t="s">
        <v>1773</v>
      </c>
      <c r="S1083" s="183" t="s">
        <v>947</v>
      </c>
      <c r="T1083" s="179">
        <v>0.08</v>
      </c>
      <c r="U1083" s="181"/>
      <c r="V1083" s="75"/>
      <c r="W1083" s="75">
        <f t="shared" si="35"/>
        <v>0</v>
      </c>
      <c r="X1083" s="75"/>
      <c r="Y1083" s="75"/>
      <c r="Z1083" s="75"/>
      <c r="AA1083" s="258"/>
      <c r="AB1083" s="75"/>
      <c r="AC1083" s="75"/>
      <c r="AD1083" s="75"/>
      <c r="AE1083" s="119"/>
      <c r="AF1083" s="119"/>
      <c r="AG1083" s="119"/>
    </row>
    <row r="1084" spans="1:33" s="81" customFormat="1" ht="18" x14ac:dyDescent="0.2">
      <c r="A1084" s="13">
        <f t="shared" si="37"/>
        <v>89</v>
      </c>
      <c r="B1084" s="11"/>
      <c r="C1084" s="82"/>
      <c r="D1084" s="178"/>
      <c r="E1084" s="2"/>
      <c r="F1084" s="1"/>
      <c r="G1084" s="1"/>
      <c r="H1084" s="122"/>
      <c r="I1084" s="124"/>
      <c r="J1084" s="172"/>
      <c r="K1084" s="172"/>
      <c r="L1084" s="75" t="str">
        <f t="shared" si="32"/>
        <v xml:space="preserve"> </v>
      </c>
      <c r="M1084" s="75" t="str">
        <f t="shared" si="33"/>
        <v xml:space="preserve"> </v>
      </c>
      <c r="N1084" s="70"/>
      <c r="O1084" s="180"/>
      <c r="P1084" s="74"/>
      <c r="Q1084" s="75" t="str">
        <f t="shared" si="34"/>
        <v xml:space="preserve"> </v>
      </c>
      <c r="R1084" s="70" t="s">
        <v>1774</v>
      </c>
      <c r="S1084" s="183" t="s">
        <v>793</v>
      </c>
      <c r="T1084" s="179">
        <v>2.16</v>
      </c>
      <c r="U1084" s="181"/>
      <c r="V1084" s="75"/>
      <c r="W1084" s="75">
        <f t="shared" si="35"/>
        <v>0</v>
      </c>
      <c r="X1084" s="75"/>
      <c r="Y1084" s="75"/>
      <c r="Z1084" s="75"/>
      <c r="AA1084" s="258"/>
      <c r="AB1084" s="75"/>
      <c r="AC1084" s="75"/>
      <c r="AD1084" s="75"/>
      <c r="AE1084" s="70"/>
      <c r="AF1084" s="70"/>
      <c r="AG1084" s="70"/>
    </row>
    <row r="1085" spans="1:33" s="81" customFormat="1" ht="18" x14ac:dyDescent="0.2">
      <c r="A1085" s="13">
        <f t="shared" si="37"/>
        <v>89</v>
      </c>
      <c r="B1085" s="11"/>
      <c r="C1085" s="82"/>
      <c r="D1085" s="2"/>
      <c r="E1085" s="133"/>
      <c r="F1085" s="133"/>
      <c r="G1085" s="84"/>
      <c r="H1085" s="122"/>
      <c r="I1085" s="124"/>
      <c r="J1085" s="172"/>
      <c r="K1085" s="172"/>
      <c r="L1085" s="75" t="str">
        <f t="shared" ref="L1085:L1133" si="38">IF(G1085&lt;&gt;0,ROUND(H1085*J1085,-2)," ")</f>
        <v xml:space="preserve"> </v>
      </c>
      <c r="M1085" s="75" t="str">
        <f t="shared" ref="M1085:M1133" si="39">IF(G1085&lt;&gt;0,ROUND(H1085*K1085,-2)," ")</f>
        <v xml:space="preserve"> </v>
      </c>
      <c r="N1085" s="70"/>
      <c r="O1085" s="180"/>
      <c r="P1085" s="74"/>
      <c r="Q1085" s="75" t="str">
        <f t="shared" ref="Q1085:Q1131" si="40">IF(N1085&lt;&gt;0,ROUND(O1085*P1085,-2)," ")</f>
        <v xml:space="preserve"> </v>
      </c>
      <c r="R1085" s="70" t="s">
        <v>1775</v>
      </c>
      <c r="S1085" s="183" t="s">
        <v>793</v>
      </c>
      <c r="T1085" s="179">
        <v>12.75</v>
      </c>
      <c r="U1085" s="181"/>
      <c r="V1085" s="75"/>
      <c r="W1085" s="75">
        <f t="shared" ref="W1085:W1131" si="41">IF(R1085&lt;&gt;0,ROUND(T1085*V1085,-2)," ")</f>
        <v>0</v>
      </c>
      <c r="X1085" s="75"/>
      <c r="Y1085" s="75"/>
      <c r="Z1085" s="75"/>
      <c r="AA1085" s="258"/>
      <c r="AB1085" s="75"/>
      <c r="AC1085" s="75"/>
      <c r="AD1085" s="75"/>
      <c r="AE1085" s="119"/>
      <c r="AF1085" s="119"/>
      <c r="AG1085" s="119"/>
    </row>
    <row r="1086" spans="1:33" s="81" customFormat="1" ht="18" x14ac:dyDescent="0.2">
      <c r="A1086" s="13">
        <f t="shared" si="37"/>
        <v>89</v>
      </c>
      <c r="B1086" s="11"/>
      <c r="C1086" s="82"/>
      <c r="D1086" s="2"/>
      <c r="E1086" s="133"/>
      <c r="F1086" s="133"/>
      <c r="G1086" s="84"/>
      <c r="H1086" s="122"/>
      <c r="I1086" s="124"/>
      <c r="J1086" s="172"/>
      <c r="K1086" s="172"/>
      <c r="L1086" s="75" t="str">
        <f t="shared" si="38"/>
        <v xml:space="preserve"> </v>
      </c>
      <c r="M1086" s="75" t="str">
        <f t="shared" si="39"/>
        <v xml:space="preserve"> </v>
      </c>
      <c r="N1086" s="70"/>
      <c r="O1086" s="180"/>
      <c r="P1086" s="74"/>
      <c r="Q1086" s="75" t="str">
        <f t="shared" si="40"/>
        <v xml:space="preserve"> </v>
      </c>
      <c r="R1086" s="70" t="s">
        <v>1776</v>
      </c>
      <c r="S1086" s="183" t="s">
        <v>793</v>
      </c>
      <c r="T1086" s="179">
        <v>94.8</v>
      </c>
      <c r="U1086" s="181"/>
      <c r="V1086" s="75"/>
      <c r="W1086" s="75">
        <f t="shared" si="41"/>
        <v>0</v>
      </c>
      <c r="X1086" s="75"/>
      <c r="Y1086" s="75"/>
      <c r="Z1086" s="75"/>
      <c r="AA1086" s="258"/>
      <c r="AB1086" s="75"/>
      <c r="AC1086" s="75"/>
      <c r="AD1086" s="75"/>
      <c r="AE1086" s="119"/>
      <c r="AF1086" s="119"/>
      <c r="AG1086" s="119"/>
    </row>
    <row r="1087" spans="1:33" s="81" customFormat="1" ht="18" x14ac:dyDescent="0.2">
      <c r="A1087" s="13">
        <f t="shared" si="37"/>
        <v>89</v>
      </c>
      <c r="B1087" s="11"/>
      <c r="C1087" s="82"/>
      <c r="D1087" s="2"/>
      <c r="E1087" s="133"/>
      <c r="F1087" s="133"/>
      <c r="G1087" s="84"/>
      <c r="H1087" s="122"/>
      <c r="I1087" s="124"/>
      <c r="J1087" s="172"/>
      <c r="K1087" s="172"/>
      <c r="L1087" s="75" t="str">
        <f t="shared" si="38"/>
        <v xml:space="preserve"> </v>
      </c>
      <c r="M1087" s="75" t="str">
        <f t="shared" si="39"/>
        <v xml:space="preserve"> </v>
      </c>
      <c r="N1087" s="70"/>
      <c r="O1087" s="180"/>
      <c r="P1087" s="74"/>
      <c r="Q1087" s="75" t="str">
        <f t="shared" si="40"/>
        <v xml:space="preserve"> </v>
      </c>
      <c r="R1087" s="70" t="s">
        <v>1777</v>
      </c>
      <c r="S1087" s="183" t="s">
        <v>793</v>
      </c>
      <c r="T1087" s="179">
        <v>65.400000000000006</v>
      </c>
      <c r="U1087" s="181"/>
      <c r="V1087" s="75"/>
      <c r="W1087" s="75">
        <f t="shared" si="41"/>
        <v>0</v>
      </c>
      <c r="X1087" s="75"/>
      <c r="Y1087" s="75"/>
      <c r="Z1087" s="75"/>
      <c r="AA1087" s="258"/>
      <c r="AB1087" s="75"/>
      <c r="AC1087" s="75"/>
      <c r="AD1087" s="75"/>
      <c r="AE1087" s="119"/>
      <c r="AF1087" s="119"/>
      <c r="AG1087" s="119"/>
    </row>
    <row r="1088" spans="1:33" s="81" customFormat="1" x14ac:dyDescent="0.2">
      <c r="A1088" s="13">
        <f t="shared" si="37"/>
        <v>89</v>
      </c>
      <c r="B1088" s="11"/>
      <c r="C1088" s="82"/>
      <c r="D1088" s="2"/>
      <c r="E1088" s="133"/>
      <c r="F1088" s="133"/>
      <c r="G1088" s="84"/>
      <c r="H1088" s="122"/>
      <c r="I1088" s="124"/>
      <c r="J1088" s="172"/>
      <c r="K1088" s="172"/>
      <c r="L1088" s="75" t="str">
        <f t="shared" si="38"/>
        <v xml:space="preserve"> </v>
      </c>
      <c r="M1088" s="75" t="str">
        <f t="shared" si="39"/>
        <v xml:space="preserve"> </v>
      </c>
      <c r="N1088" s="70"/>
      <c r="O1088" s="180"/>
      <c r="P1088" s="74"/>
      <c r="Q1088" s="75" t="str">
        <f t="shared" si="40"/>
        <v xml:space="preserve"> </v>
      </c>
      <c r="R1088" s="70"/>
      <c r="S1088" s="183"/>
      <c r="T1088" s="179"/>
      <c r="U1088" s="181"/>
      <c r="V1088" s="75"/>
      <c r="W1088" s="75" t="str">
        <f t="shared" si="41"/>
        <v xml:space="preserve"> </v>
      </c>
      <c r="X1088" s="75"/>
      <c r="Y1088" s="75"/>
      <c r="Z1088" s="75"/>
      <c r="AA1088" s="258"/>
      <c r="AB1088" s="75"/>
      <c r="AC1088" s="75"/>
      <c r="AD1088" s="75"/>
      <c r="AE1088" s="119"/>
      <c r="AF1088" s="119"/>
      <c r="AG1088" s="119"/>
    </row>
    <row r="1089" spans="1:33" s="81" customFormat="1" x14ac:dyDescent="0.2">
      <c r="A1089" s="13">
        <f t="shared" si="37"/>
        <v>89</v>
      </c>
      <c r="B1089" s="11"/>
      <c r="C1089" s="82"/>
      <c r="D1089" s="2"/>
      <c r="E1089" s="2"/>
      <c r="F1089" s="1"/>
      <c r="G1089" s="1"/>
      <c r="H1089" s="122"/>
      <c r="I1089" s="124"/>
      <c r="J1089" s="172"/>
      <c r="K1089" s="172"/>
      <c r="L1089" s="75" t="str">
        <f t="shared" si="38"/>
        <v xml:space="preserve"> </v>
      </c>
      <c r="M1089" s="75" t="str">
        <f t="shared" si="39"/>
        <v xml:space="preserve"> </v>
      </c>
      <c r="N1089" s="70"/>
      <c r="O1089" s="180"/>
      <c r="P1089" s="74"/>
      <c r="Q1089" s="75" t="str">
        <f t="shared" si="40"/>
        <v xml:space="preserve"> </v>
      </c>
      <c r="R1089" s="70"/>
      <c r="S1089" s="183"/>
      <c r="T1089" s="179"/>
      <c r="U1089" s="181"/>
      <c r="V1089" s="75"/>
      <c r="W1089" s="75" t="str">
        <f t="shared" si="41"/>
        <v xml:space="preserve"> </v>
      </c>
      <c r="X1089" s="75"/>
      <c r="Y1089" s="75"/>
      <c r="Z1089" s="75"/>
      <c r="AA1089" s="258"/>
      <c r="AB1089" s="75"/>
      <c r="AC1089" s="75"/>
      <c r="AD1089" s="75"/>
      <c r="AE1089" s="119"/>
      <c r="AF1089" s="119"/>
      <c r="AG1089" s="119"/>
    </row>
    <row r="1090" spans="1:33" s="81" customFormat="1" ht="60" x14ac:dyDescent="0.2">
      <c r="A1090" s="13">
        <f t="shared" si="37"/>
        <v>90</v>
      </c>
      <c r="B1090" s="11">
        <v>90</v>
      </c>
      <c r="C1090" s="21" t="s">
        <v>950</v>
      </c>
      <c r="D1090" s="2">
        <v>1</v>
      </c>
      <c r="E1090" s="2"/>
      <c r="F1090" s="1"/>
      <c r="G1090" s="1"/>
      <c r="H1090" s="122"/>
      <c r="I1090" s="124"/>
      <c r="J1090" s="172"/>
      <c r="K1090" s="172"/>
      <c r="L1090" s="75" t="str">
        <f t="shared" si="38"/>
        <v xml:space="preserve"> </v>
      </c>
      <c r="M1090" s="75" t="str">
        <f t="shared" si="39"/>
        <v xml:space="preserve"> </v>
      </c>
      <c r="N1090" s="70"/>
      <c r="O1090" s="180"/>
      <c r="P1090" s="74"/>
      <c r="Q1090" s="75" t="str">
        <f t="shared" si="40"/>
        <v xml:space="preserve"> </v>
      </c>
      <c r="R1090" s="70" t="s">
        <v>1778</v>
      </c>
      <c r="S1090" s="183" t="s">
        <v>793</v>
      </c>
      <c r="T1090" s="179">
        <v>22.5</v>
      </c>
      <c r="U1090" s="181"/>
      <c r="V1090" s="75"/>
      <c r="W1090" s="75">
        <f t="shared" si="41"/>
        <v>0</v>
      </c>
      <c r="X1090" s="75"/>
      <c r="Y1090" s="75"/>
      <c r="Z1090" s="75"/>
      <c r="AA1090" s="258"/>
      <c r="AB1090" s="75"/>
      <c r="AC1090" s="75"/>
      <c r="AD1090" s="75"/>
      <c r="AE1090" s="68" t="s">
        <v>951</v>
      </c>
      <c r="AF1090" s="68"/>
      <c r="AG1090" s="174" t="s">
        <v>800</v>
      </c>
    </row>
    <row r="1091" spans="1:33" s="81" customFormat="1" ht="27" customHeight="1" x14ac:dyDescent="0.2">
      <c r="A1091" s="13">
        <f t="shared" si="37"/>
        <v>90</v>
      </c>
      <c r="B1091" s="11"/>
      <c r="C1091" s="1" t="s">
        <v>952</v>
      </c>
      <c r="D1091" s="2"/>
      <c r="E1091" s="2"/>
      <c r="F1091" s="1"/>
      <c r="G1091" s="1"/>
      <c r="H1091" s="122"/>
      <c r="I1091" s="124"/>
      <c r="J1091" s="172"/>
      <c r="K1091" s="172"/>
      <c r="L1091" s="75" t="str">
        <f t="shared" si="38"/>
        <v xml:space="preserve"> </v>
      </c>
      <c r="M1091" s="75" t="str">
        <f t="shared" si="39"/>
        <v xml:space="preserve"> </v>
      </c>
      <c r="N1091" s="70"/>
      <c r="O1091" s="180"/>
      <c r="P1091" s="74"/>
      <c r="Q1091" s="75" t="str">
        <f t="shared" si="40"/>
        <v xml:space="preserve"> </v>
      </c>
      <c r="R1091" s="70" t="s">
        <v>1748</v>
      </c>
      <c r="S1091" s="183" t="s">
        <v>793</v>
      </c>
      <c r="T1091" s="179">
        <v>2.7</v>
      </c>
      <c r="U1091" s="181"/>
      <c r="V1091" s="75"/>
      <c r="W1091" s="75">
        <f t="shared" si="41"/>
        <v>0</v>
      </c>
      <c r="X1091" s="75"/>
      <c r="Y1091" s="75"/>
      <c r="Z1091" s="75"/>
      <c r="AA1091" s="258"/>
      <c r="AB1091" s="75"/>
      <c r="AC1091" s="75"/>
      <c r="AD1091" s="75"/>
      <c r="AE1091" s="68"/>
      <c r="AF1091" s="68"/>
      <c r="AG1091" s="68"/>
    </row>
    <row r="1092" spans="1:33" s="81" customFormat="1" ht="54.75" customHeight="1" x14ac:dyDescent="0.2">
      <c r="A1092" s="13">
        <f t="shared" si="37"/>
        <v>90</v>
      </c>
      <c r="B1092" s="11"/>
      <c r="C1092" s="1" t="s">
        <v>1655</v>
      </c>
      <c r="D1092" s="2"/>
      <c r="E1092" s="2"/>
      <c r="F1092" s="1"/>
      <c r="G1092" s="1"/>
      <c r="H1092" s="122"/>
      <c r="I1092" s="176"/>
      <c r="J1092" s="172"/>
      <c r="K1092" s="172"/>
      <c r="L1092" s="75" t="str">
        <f t="shared" si="38"/>
        <v xml:space="preserve"> </v>
      </c>
      <c r="M1092" s="75" t="str">
        <f t="shared" si="39"/>
        <v xml:space="preserve"> </v>
      </c>
      <c r="N1092" s="68"/>
      <c r="O1092" s="180"/>
      <c r="P1092" s="74"/>
      <c r="Q1092" s="75" t="str">
        <f t="shared" si="40"/>
        <v xml:space="preserve"> </v>
      </c>
      <c r="R1092" s="174" t="s">
        <v>1749</v>
      </c>
      <c r="S1092" s="183" t="s">
        <v>793</v>
      </c>
      <c r="T1092" s="179">
        <v>2.7</v>
      </c>
      <c r="U1092" s="177"/>
      <c r="V1092" s="75"/>
      <c r="W1092" s="75">
        <f t="shared" si="41"/>
        <v>0</v>
      </c>
      <c r="X1092" s="75"/>
      <c r="Y1092" s="75"/>
      <c r="Z1092" s="75"/>
      <c r="AA1092" s="258"/>
      <c r="AB1092" s="75"/>
      <c r="AC1092" s="75"/>
      <c r="AD1092" s="75"/>
      <c r="AE1092" s="68"/>
      <c r="AF1092" s="68"/>
      <c r="AG1092" s="68"/>
    </row>
    <row r="1093" spans="1:33" s="81" customFormat="1" x14ac:dyDescent="0.2">
      <c r="A1093" s="13">
        <f t="shared" si="37"/>
        <v>90</v>
      </c>
      <c r="B1093" s="11"/>
      <c r="C1093" s="82"/>
      <c r="D1093" s="178"/>
      <c r="E1093" s="2"/>
      <c r="F1093" s="1"/>
      <c r="G1093" s="1"/>
      <c r="H1093" s="122"/>
      <c r="I1093" s="124"/>
      <c r="J1093" s="172"/>
      <c r="K1093" s="172"/>
      <c r="L1093" s="75" t="str">
        <f t="shared" si="38"/>
        <v xml:space="preserve"> </v>
      </c>
      <c r="M1093" s="75" t="str">
        <f t="shared" si="39"/>
        <v xml:space="preserve"> </v>
      </c>
      <c r="N1093" s="70"/>
      <c r="O1093" s="180"/>
      <c r="P1093" s="74"/>
      <c r="Q1093" s="75" t="str">
        <f t="shared" si="40"/>
        <v xml:space="preserve"> </v>
      </c>
      <c r="R1093" s="70"/>
      <c r="S1093" s="183"/>
      <c r="T1093" s="179"/>
      <c r="U1093" s="119"/>
      <c r="V1093" s="75"/>
      <c r="W1093" s="75" t="str">
        <f t="shared" si="41"/>
        <v xml:space="preserve"> </v>
      </c>
      <c r="X1093" s="75"/>
      <c r="Y1093" s="75"/>
      <c r="Z1093" s="75"/>
      <c r="AA1093" s="258"/>
      <c r="AB1093" s="75"/>
      <c r="AC1093" s="75"/>
      <c r="AD1093" s="75"/>
      <c r="AE1093" s="119"/>
      <c r="AF1093" s="119"/>
      <c r="AG1093" s="119"/>
    </row>
    <row r="1094" spans="1:33" s="81" customFormat="1" x14ac:dyDescent="0.2">
      <c r="A1094" s="13">
        <f t="shared" si="37"/>
        <v>90</v>
      </c>
      <c r="B1094" s="11"/>
      <c r="C1094" s="82"/>
      <c r="D1094" s="178"/>
      <c r="E1094" s="2"/>
      <c r="F1094" s="1"/>
      <c r="G1094" s="1"/>
      <c r="H1094" s="122"/>
      <c r="I1094" s="124"/>
      <c r="J1094" s="172"/>
      <c r="K1094" s="172"/>
      <c r="L1094" s="75" t="str">
        <f t="shared" si="38"/>
        <v xml:space="preserve"> </v>
      </c>
      <c r="M1094" s="75" t="str">
        <f t="shared" si="39"/>
        <v xml:space="preserve"> </v>
      </c>
      <c r="N1094" s="70"/>
      <c r="O1094" s="180"/>
      <c r="P1094" s="74"/>
      <c r="Q1094" s="75" t="str">
        <f t="shared" si="40"/>
        <v xml:space="preserve"> </v>
      </c>
      <c r="R1094" s="70"/>
      <c r="S1094" s="183"/>
      <c r="T1094" s="179"/>
      <c r="U1094" s="119"/>
      <c r="V1094" s="75"/>
      <c r="W1094" s="75" t="str">
        <f t="shared" si="41"/>
        <v xml:space="preserve"> </v>
      </c>
      <c r="X1094" s="75"/>
      <c r="Y1094" s="75"/>
      <c r="Z1094" s="75"/>
      <c r="AA1094" s="258"/>
      <c r="AB1094" s="75"/>
      <c r="AC1094" s="75"/>
      <c r="AD1094" s="75"/>
      <c r="AE1094" s="119"/>
      <c r="AF1094" s="119"/>
      <c r="AG1094" s="119"/>
    </row>
    <row r="1095" spans="1:33" s="81" customFormat="1" x14ac:dyDescent="0.2">
      <c r="A1095" s="13">
        <f t="shared" si="37"/>
        <v>90</v>
      </c>
      <c r="B1095" s="11"/>
      <c r="C1095" s="82"/>
      <c r="D1095" s="178"/>
      <c r="E1095" s="2"/>
      <c r="F1095" s="1"/>
      <c r="G1095" s="1"/>
      <c r="H1095" s="122"/>
      <c r="I1095" s="124"/>
      <c r="J1095" s="172"/>
      <c r="K1095" s="172"/>
      <c r="L1095" s="75" t="str">
        <f t="shared" si="38"/>
        <v xml:space="preserve"> </v>
      </c>
      <c r="M1095" s="75" t="str">
        <f t="shared" si="39"/>
        <v xml:space="preserve"> </v>
      </c>
      <c r="N1095" s="70"/>
      <c r="O1095" s="180"/>
      <c r="P1095" s="74"/>
      <c r="Q1095" s="75" t="str">
        <f t="shared" si="40"/>
        <v xml:space="preserve"> </v>
      </c>
      <c r="R1095" s="70"/>
      <c r="S1095" s="183"/>
      <c r="T1095" s="179"/>
      <c r="U1095" s="119"/>
      <c r="V1095" s="75"/>
      <c r="W1095" s="75" t="str">
        <f t="shared" si="41"/>
        <v xml:space="preserve"> </v>
      </c>
      <c r="X1095" s="75"/>
      <c r="Y1095" s="75"/>
      <c r="Z1095" s="75"/>
      <c r="AA1095" s="258"/>
      <c r="AB1095" s="75"/>
      <c r="AC1095" s="75"/>
      <c r="AD1095" s="75"/>
      <c r="AE1095" s="119"/>
      <c r="AF1095" s="119"/>
      <c r="AG1095" s="119"/>
    </row>
    <row r="1096" spans="1:33" s="81" customFormat="1" ht="73.5" customHeight="1" x14ac:dyDescent="0.2">
      <c r="A1096" s="13">
        <f t="shared" si="37"/>
        <v>91</v>
      </c>
      <c r="B1096" s="11">
        <v>91</v>
      </c>
      <c r="C1096" s="92" t="s">
        <v>953</v>
      </c>
      <c r="D1096" s="2">
        <v>4</v>
      </c>
      <c r="E1096" s="2">
        <v>86</v>
      </c>
      <c r="F1096" s="1">
        <v>233</v>
      </c>
      <c r="G1096" s="1" t="s">
        <v>935</v>
      </c>
      <c r="H1096" s="122">
        <v>41.8</v>
      </c>
      <c r="I1096" s="124"/>
      <c r="J1096" s="172"/>
      <c r="K1096" s="172"/>
      <c r="L1096" s="75">
        <f t="shared" si="38"/>
        <v>0</v>
      </c>
      <c r="M1096" s="75">
        <f t="shared" si="39"/>
        <v>0</v>
      </c>
      <c r="N1096" s="70"/>
      <c r="O1096" s="180"/>
      <c r="P1096" s="74"/>
      <c r="Q1096" s="75" t="str">
        <f t="shared" si="40"/>
        <v xml:space="preserve"> </v>
      </c>
      <c r="R1096" s="70" t="s">
        <v>1779</v>
      </c>
      <c r="S1096" s="183" t="s">
        <v>793</v>
      </c>
      <c r="T1096" s="179">
        <v>36</v>
      </c>
      <c r="U1096" s="119"/>
      <c r="V1096" s="75"/>
      <c r="W1096" s="75">
        <f t="shared" si="41"/>
        <v>0</v>
      </c>
      <c r="X1096" s="75"/>
      <c r="Y1096" s="75"/>
      <c r="Z1096" s="75"/>
      <c r="AA1096" s="258"/>
      <c r="AB1096" s="75"/>
      <c r="AC1096" s="75"/>
      <c r="AD1096" s="75"/>
      <c r="AE1096" s="68" t="s">
        <v>954</v>
      </c>
      <c r="AF1096" s="68"/>
      <c r="AG1096" s="174" t="s">
        <v>795</v>
      </c>
    </row>
    <row r="1097" spans="1:33" s="81" customFormat="1" ht="73.5" customHeight="1" x14ac:dyDescent="0.2">
      <c r="A1097" s="13">
        <f t="shared" si="37"/>
        <v>91</v>
      </c>
      <c r="B1097" s="11"/>
      <c r="C1097" s="1" t="s">
        <v>955</v>
      </c>
      <c r="D1097" s="2"/>
      <c r="E1097" s="2"/>
      <c r="F1097" s="1"/>
      <c r="G1097" s="1"/>
      <c r="H1097" s="122"/>
      <c r="I1097" s="124"/>
      <c r="J1097" s="172"/>
      <c r="K1097" s="172"/>
      <c r="L1097" s="75" t="str">
        <f t="shared" si="38"/>
        <v xml:space="preserve"> </v>
      </c>
      <c r="M1097" s="75" t="str">
        <f t="shared" si="39"/>
        <v xml:space="preserve"> </v>
      </c>
      <c r="N1097" s="70"/>
      <c r="O1097" s="180"/>
      <c r="P1097" s="74"/>
      <c r="Q1097" s="75" t="str">
        <f t="shared" si="40"/>
        <v xml:space="preserve"> </v>
      </c>
      <c r="R1097" s="70" t="s">
        <v>1748</v>
      </c>
      <c r="S1097" s="183" t="s">
        <v>793</v>
      </c>
      <c r="T1097" s="179">
        <v>4</v>
      </c>
      <c r="U1097" s="119"/>
      <c r="V1097" s="75"/>
      <c r="W1097" s="75">
        <f t="shared" si="41"/>
        <v>0</v>
      </c>
      <c r="X1097" s="75"/>
      <c r="Y1097" s="75"/>
      <c r="Z1097" s="75"/>
      <c r="AA1097" s="258"/>
      <c r="AB1097" s="75"/>
      <c r="AC1097" s="75"/>
      <c r="AD1097" s="75"/>
      <c r="AE1097" s="68" t="s">
        <v>956</v>
      </c>
      <c r="AF1097" s="68"/>
      <c r="AG1097" s="174" t="s">
        <v>804</v>
      </c>
    </row>
    <row r="1098" spans="1:33" s="81" customFormat="1" ht="73.5" customHeight="1" x14ac:dyDescent="0.2">
      <c r="A1098" s="13">
        <f t="shared" si="37"/>
        <v>91</v>
      </c>
      <c r="B1098" s="11"/>
      <c r="C1098" s="1" t="s">
        <v>1656</v>
      </c>
      <c r="D1098" s="2"/>
      <c r="E1098" s="2"/>
      <c r="F1098" s="1"/>
      <c r="G1098" s="1"/>
      <c r="H1098" s="122"/>
      <c r="I1098" s="124"/>
      <c r="J1098" s="172"/>
      <c r="K1098" s="172"/>
      <c r="L1098" s="75" t="str">
        <f t="shared" si="38"/>
        <v xml:space="preserve"> </v>
      </c>
      <c r="M1098" s="75" t="str">
        <f t="shared" si="39"/>
        <v xml:space="preserve"> </v>
      </c>
      <c r="N1098" s="70"/>
      <c r="O1098" s="180"/>
      <c r="P1098" s="74"/>
      <c r="Q1098" s="75" t="str">
        <f t="shared" si="40"/>
        <v xml:space="preserve"> </v>
      </c>
      <c r="R1098" s="174" t="s">
        <v>1749</v>
      </c>
      <c r="S1098" s="183" t="s">
        <v>793</v>
      </c>
      <c r="T1098" s="179">
        <v>4</v>
      </c>
      <c r="U1098" s="119"/>
      <c r="V1098" s="75"/>
      <c r="W1098" s="75">
        <f t="shared" si="41"/>
        <v>0</v>
      </c>
      <c r="X1098" s="75"/>
      <c r="Y1098" s="75"/>
      <c r="Z1098" s="75"/>
      <c r="AA1098" s="258"/>
      <c r="AB1098" s="75"/>
      <c r="AC1098" s="75"/>
      <c r="AD1098" s="75"/>
      <c r="AE1098" s="68" t="s">
        <v>957</v>
      </c>
      <c r="AF1098" s="68"/>
      <c r="AG1098" s="174" t="s">
        <v>808</v>
      </c>
    </row>
    <row r="1099" spans="1:33" s="81" customFormat="1" ht="60" x14ac:dyDescent="0.2">
      <c r="A1099" s="13">
        <f t="shared" si="37"/>
        <v>91</v>
      </c>
      <c r="B1099" s="11"/>
      <c r="C1099" s="1"/>
      <c r="D1099" s="2"/>
      <c r="E1099" s="2"/>
      <c r="F1099" s="1"/>
      <c r="G1099" s="1"/>
      <c r="H1099" s="122"/>
      <c r="I1099" s="176"/>
      <c r="J1099" s="172"/>
      <c r="K1099" s="172"/>
      <c r="L1099" s="75" t="str">
        <f t="shared" si="38"/>
        <v xml:space="preserve"> </v>
      </c>
      <c r="M1099" s="75" t="str">
        <f t="shared" si="39"/>
        <v xml:space="preserve"> </v>
      </c>
      <c r="N1099" s="67"/>
      <c r="O1099" s="180"/>
      <c r="P1099" s="74"/>
      <c r="Q1099" s="75" t="str">
        <f t="shared" si="40"/>
        <v xml:space="preserve"> </v>
      </c>
      <c r="R1099" s="174" t="s">
        <v>1780</v>
      </c>
      <c r="S1099" s="183" t="s">
        <v>793</v>
      </c>
      <c r="T1099" s="179">
        <v>4.5</v>
      </c>
      <c r="U1099" s="119"/>
      <c r="V1099" s="75"/>
      <c r="W1099" s="75">
        <f t="shared" si="41"/>
        <v>0</v>
      </c>
      <c r="X1099" s="75"/>
      <c r="Y1099" s="75"/>
      <c r="Z1099" s="75"/>
      <c r="AA1099" s="258"/>
      <c r="AB1099" s="75"/>
      <c r="AC1099" s="75"/>
      <c r="AD1099" s="75"/>
      <c r="AE1099" s="119" t="s">
        <v>958</v>
      </c>
      <c r="AF1099" s="119"/>
      <c r="AG1099" s="174" t="s">
        <v>810</v>
      </c>
    </row>
    <row r="1100" spans="1:33" s="81" customFormat="1" x14ac:dyDescent="0.2">
      <c r="A1100" s="13">
        <f t="shared" si="37"/>
        <v>91</v>
      </c>
      <c r="B1100" s="11"/>
      <c r="C1100" s="1"/>
      <c r="D1100" s="2"/>
      <c r="E1100" s="2"/>
      <c r="F1100" s="1"/>
      <c r="G1100" s="1"/>
      <c r="H1100" s="122"/>
      <c r="I1100" s="176"/>
      <c r="J1100" s="172"/>
      <c r="K1100" s="172"/>
      <c r="L1100" s="75" t="str">
        <f t="shared" si="38"/>
        <v xml:space="preserve"> </v>
      </c>
      <c r="M1100" s="75" t="str">
        <f t="shared" si="39"/>
        <v xml:space="preserve"> </v>
      </c>
      <c r="N1100" s="67"/>
      <c r="O1100" s="180"/>
      <c r="P1100" s="74"/>
      <c r="Q1100" s="75" t="str">
        <f t="shared" si="40"/>
        <v xml:space="preserve"> </v>
      </c>
      <c r="R1100" s="174"/>
      <c r="S1100" s="183"/>
      <c r="T1100" s="179"/>
      <c r="U1100" s="119"/>
      <c r="V1100" s="75"/>
      <c r="W1100" s="75" t="str">
        <f t="shared" si="41"/>
        <v xml:space="preserve"> </v>
      </c>
      <c r="X1100" s="75"/>
      <c r="Y1100" s="75"/>
      <c r="Z1100" s="75"/>
      <c r="AA1100" s="258"/>
      <c r="AB1100" s="75"/>
      <c r="AC1100" s="75"/>
      <c r="AD1100" s="75"/>
      <c r="AE1100" s="119" t="s">
        <v>809</v>
      </c>
      <c r="AF1100" s="119"/>
      <c r="AG1100" s="119"/>
    </row>
    <row r="1101" spans="1:33" s="81" customFormat="1" x14ac:dyDescent="0.2">
      <c r="A1101" s="13"/>
      <c r="B1101" s="11"/>
      <c r="C1101" s="1"/>
      <c r="D1101" s="2"/>
      <c r="E1101" s="2"/>
      <c r="F1101" s="1"/>
      <c r="G1101" s="1"/>
      <c r="H1101" s="122"/>
      <c r="I1101" s="176"/>
      <c r="J1101" s="172"/>
      <c r="K1101" s="172"/>
      <c r="L1101" s="75"/>
      <c r="M1101" s="75"/>
      <c r="N1101" s="67"/>
      <c r="O1101" s="180"/>
      <c r="P1101" s="74"/>
      <c r="Q1101" s="75"/>
      <c r="R1101" s="174"/>
      <c r="S1101" s="183"/>
      <c r="T1101" s="179"/>
      <c r="U1101" s="119"/>
      <c r="V1101" s="75"/>
      <c r="W1101" s="75"/>
      <c r="X1101" s="75"/>
      <c r="Y1101" s="75"/>
      <c r="Z1101" s="75"/>
      <c r="AA1101" s="258"/>
      <c r="AB1101" s="75"/>
      <c r="AC1101" s="75"/>
      <c r="AD1101" s="75"/>
      <c r="AE1101" s="119"/>
      <c r="AF1101" s="119"/>
      <c r="AG1101" s="119"/>
    </row>
    <row r="1102" spans="1:33" s="81" customFormat="1" x14ac:dyDescent="0.2">
      <c r="A1102" s="13">
        <f>IF(B1102&lt;&gt;0,B1102,A1100)</f>
        <v>91</v>
      </c>
      <c r="B1102" s="11"/>
      <c r="C1102" s="1"/>
      <c r="D1102" s="2"/>
      <c r="E1102" s="2"/>
      <c r="F1102" s="1"/>
      <c r="G1102" s="1"/>
      <c r="H1102" s="122"/>
      <c r="I1102" s="176"/>
      <c r="J1102" s="172"/>
      <c r="K1102" s="172"/>
      <c r="L1102" s="75"/>
      <c r="M1102" s="75"/>
      <c r="N1102" s="67"/>
      <c r="O1102" s="180"/>
      <c r="P1102" s="74"/>
      <c r="Q1102" s="75"/>
      <c r="R1102" s="174"/>
      <c r="S1102" s="183"/>
      <c r="T1102" s="179"/>
      <c r="U1102" s="119"/>
      <c r="V1102" s="75"/>
      <c r="W1102" s="75"/>
      <c r="X1102" s="75"/>
      <c r="Y1102" s="75"/>
      <c r="Z1102" s="75"/>
      <c r="AA1102" s="258"/>
      <c r="AB1102" s="75"/>
      <c r="AC1102" s="75"/>
      <c r="AD1102" s="75"/>
      <c r="AE1102" s="119"/>
      <c r="AF1102" s="119"/>
      <c r="AG1102" s="119"/>
    </row>
    <row r="1103" spans="1:33" s="81" customFormat="1" x14ac:dyDescent="0.2">
      <c r="A1103" s="13">
        <f>IF(B1103&lt;&gt;0,B1103,A1100)</f>
        <v>91</v>
      </c>
      <c r="B1103" s="11"/>
      <c r="C1103" s="1"/>
      <c r="D1103" s="2"/>
      <c r="E1103" s="2"/>
      <c r="F1103" s="1"/>
      <c r="G1103" s="1"/>
      <c r="H1103" s="122"/>
      <c r="I1103" s="176"/>
      <c r="J1103" s="172"/>
      <c r="K1103" s="172"/>
      <c r="L1103" s="75" t="str">
        <f t="shared" si="38"/>
        <v xml:space="preserve"> </v>
      </c>
      <c r="M1103" s="75" t="str">
        <f t="shared" si="39"/>
        <v xml:space="preserve"> </v>
      </c>
      <c r="N1103" s="67"/>
      <c r="O1103" s="180"/>
      <c r="P1103" s="74"/>
      <c r="Q1103" s="75" t="str">
        <f t="shared" si="40"/>
        <v xml:space="preserve"> </v>
      </c>
      <c r="R1103" s="174"/>
      <c r="S1103" s="183"/>
      <c r="T1103" s="179"/>
      <c r="U1103" s="119"/>
      <c r="V1103" s="75"/>
      <c r="W1103" s="75" t="str">
        <f t="shared" si="41"/>
        <v xml:space="preserve"> </v>
      </c>
      <c r="X1103" s="75"/>
      <c r="Y1103" s="75"/>
      <c r="Z1103" s="75"/>
      <c r="AA1103" s="258"/>
      <c r="AB1103" s="75"/>
      <c r="AC1103" s="75"/>
      <c r="AD1103" s="75"/>
      <c r="AE1103" s="119"/>
      <c r="AF1103" s="119"/>
      <c r="AG1103" s="119"/>
    </row>
    <row r="1104" spans="1:33" s="81" customFormat="1" ht="60" x14ac:dyDescent="0.2">
      <c r="A1104" s="13">
        <f t="shared" ref="A1104:A1122" si="42">IF(B1104&lt;&gt;0,B1104,A1103)</f>
        <v>92</v>
      </c>
      <c r="B1104" s="11">
        <v>92</v>
      </c>
      <c r="C1104" s="21" t="s">
        <v>959</v>
      </c>
      <c r="D1104" s="2">
        <v>2</v>
      </c>
      <c r="E1104" s="2">
        <v>86</v>
      </c>
      <c r="F1104" s="1">
        <v>233</v>
      </c>
      <c r="G1104" s="1" t="s">
        <v>935</v>
      </c>
      <c r="H1104" s="122">
        <f>766.5-H1107</f>
        <v>550.1</v>
      </c>
      <c r="I1104" s="176"/>
      <c r="J1104" s="172"/>
      <c r="K1104" s="172"/>
      <c r="L1104" s="75">
        <f t="shared" si="38"/>
        <v>0</v>
      </c>
      <c r="M1104" s="75">
        <f t="shared" si="39"/>
        <v>0</v>
      </c>
      <c r="N1104" s="68" t="s">
        <v>932</v>
      </c>
      <c r="O1104" s="63">
        <v>50</v>
      </c>
      <c r="P1104" s="74"/>
      <c r="Q1104" s="75">
        <f t="shared" si="40"/>
        <v>0</v>
      </c>
      <c r="R1104" s="174" t="s">
        <v>1781</v>
      </c>
      <c r="S1104" s="183" t="s">
        <v>793</v>
      </c>
      <c r="T1104" s="64">
        <v>7.36</v>
      </c>
      <c r="U1104" s="71"/>
      <c r="V1104" s="75"/>
      <c r="W1104" s="75">
        <f t="shared" si="41"/>
        <v>0</v>
      </c>
      <c r="X1104" s="75"/>
      <c r="Y1104" s="75"/>
      <c r="Z1104" s="75"/>
      <c r="AA1104" s="258"/>
      <c r="AB1104" s="75"/>
      <c r="AC1104" s="75"/>
      <c r="AD1104" s="75"/>
      <c r="AE1104" s="68" t="s">
        <v>960</v>
      </c>
      <c r="AF1104" s="68"/>
      <c r="AG1104" s="174" t="s">
        <v>795</v>
      </c>
    </row>
    <row r="1105" spans="1:33" s="81" customFormat="1" ht="107.25" customHeight="1" x14ac:dyDescent="0.2">
      <c r="A1105" s="13">
        <f t="shared" si="42"/>
        <v>92</v>
      </c>
      <c r="B1105" s="11"/>
      <c r="C1105" s="1" t="s">
        <v>961</v>
      </c>
      <c r="D1105" s="2"/>
      <c r="E1105" s="2"/>
      <c r="F1105" s="186"/>
      <c r="G1105" s="1" t="s">
        <v>939</v>
      </c>
      <c r="H1105" s="122">
        <f>(1555.8+41.3)-H1106</f>
        <v>1121.5</v>
      </c>
      <c r="I1105" s="176"/>
      <c r="J1105" s="172"/>
      <c r="K1105" s="172"/>
      <c r="L1105" s="75">
        <f t="shared" si="38"/>
        <v>0</v>
      </c>
      <c r="M1105" s="75">
        <f t="shared" si="39"/>
        <v>0</v>
      </c>
      <c r="N1105" s="68" t="s">
        <v>350</v>
      </c>
      <c r="O1105" s="63">
        <v>70</v>
      </c>
      <c r="P1105" s="74"/>
      <c r="Q1105" s="75">
        <f t="shared" si="40"/>
        <v>0</v>
      </c>
      <c r="R1105" s="174" t="s">
        <v>1789</v>
      </c>
      <c r="S1105" s="183" t="s">
        <v>947</v>
      </c>
      <c r="T1105" s="64">
        <v>922.8</v>
      </c>
      <c r="U1105" s="71"/>
      <c r="V1105" s="75"/>
      <c r="W1105" s="75">
        <f t="shared" si="41"/>
        <v>0</v>
      </c>
      <c r="X1105" s="75"/>
      <c r="Y1105" s="75"/>
      <c r="Z1105" s="75"/>
      <c r="AA1105" s="258"/>
      <c r="AB1105" s="75"/>
      <c r="AC1105" s="75"/>
      <c r="AD1105" s="75"/>
      <c r="AE1105" s="68" t="s">
        <v>962</v>
      </c>
      <c r="AF1105" s="68"/>
      <c r="AG1105" s="174" t="s">
        <v>800</v>
      </c>
    </row>
    <row r="1106" spans="1:33" s="81" customFormat="1" ht="113.25" customHeight="1" x14ac:dyDescent="0.2">
      <c r="A1106" s="13">
        <f t="shared" si="42"/>
        <v>92</v>
      </c>
      <c r="B1106" s="11"/>
      <c r="C1106" s="1" t="s">
        <v>1657</v>
      </c>
      <c r="D1106" s="2"/>
      <c r="E1106" s="2"/>
      <c r="F1106" s="1"/>
      <c r="G1106" s="1" t="s">
        <v>963</v>
      </c>
      <c r="H1106" s="122">
        <f>291.3+74.1+110.2</f>
        <v>475.59999999999997</v>
      </c>
      <c r="I1106" s="176"/>
      <c r="J1106" s="172"/>
      <c r="K1106" s="172"/>
      <c r="L1106" s="75">
        <f t="shared" si="38"/>
        <v>0</v>
      </c>
      <c r="M1106" s="75">
        <f t="shared" si="39"/>
        <v>0</v>
      </c>
      <c r="N1106" s="68" t="s">
        <v>350</v>
      </c>
      <c r="O1106" s="63">
        <v>15</v>
      </c>
      <c r="P1106" s="74"/>
      <c r="Q1106" s="75">
        <f t="shared" si="40"/>
        <v>0</v>
      </c>
      <c r="R1106" s="174" t="s">
        <v>1782</v>
      </c>
      <c r="S1106" s="183" t="s">
        <v>793</v>
      </c>
      <c r="T1106" s="64">
        <v>220.5</v>
      </c>
      <c r="U1106" s="72"/>
      <c r="V1106" s="75"/>
      <c r="W1106" s="75">
        <f t="shared" si="41"/>
        <v>0</v>
      </c>
      <c r="X1106" s="75"/>
      <c r="Y1106" s="75"/>
      <c r="Z1106" s="75"/>
      <c r="AA1106" s="258"/>
      <c r="AB1106" s="75"/>
      <c r="AC1106" s="75"/>
      <c r="AD1106" s="75"/>
      <c r="AE1106" s="68" t="s">
        <v>964</v>
      </c>
      <c r="AF1106" s="68"/>
      <c r="AG1106" s="174" t="s">
        <v>804</v>
      </c>
    </row>
    <row r="1107" spans="1:33" s="81" customFormat="1" ht="60" x14ac:dyDescent="0.2">
      <c r="A1107" s="13">
        <f t="shared" si="42"/>
        <v>92</v>
      </c>
      <c r="B1107" s="11"/>
      <c r="C1107" s="82"/>
      <c r="D1107" s="178"/>
      <c r="E1107" s="2"/>
      <c r="F1107" s="1"/>
      <c r="G1107" s="1" t="s">
        <v>861</v>
      </c>
      <c r="H1107" s="122">
        <f>38.1+178.3</f>
        <v>216.4</v>
      </c>
      <c r="I1107" s="124"/>
      <c r="J1107" s="172"/>
      <c r="K1107" s="172"/>
      <c r="L1107" s="75">
        <f t="shared" si="38"/>
        <v>0</v>
      </c>
      <c r="M1107" s="75">
        <f t="shared" si="39"/>
        <v>0</v>
      </c>
      <c r="N1107" s="68" t="s">
        <v>350</v>
      </c>
      <c r="O1107" s="63">
        <v>10</v>
      </c>
      <c r="P1107" s="74"/>
      <c r="Q1107" s="75">
        <f t="shared" si="40"/>
        <v>0</v>
      </c>
      <c r="R1107" s="174" t="s">
        <v>1783</v>
      </c>
      <c r="S1107" s="183" t="s">
        <v>793</v>
      </c>
      <c r="T1107" s="187">
        <v>2.4</v>
      </c>
      <c r="U1107" s="73"/>
      <c r="V1107" s="75"/>
      <c r="W1107" s="75">
        <f t="shared" si="41"/>
        <v>0</v>
      </c>
      <c r="X1107" s="75"/>
      <c r="Y1107" s="75"/>
      <c r="Z1107" s="75"/>
      <c r="AA1107" s="258"/>
      <c r="AB1107" s="75"/>
      <c r="AC1107" s="75"/>
      <c r="AD1107" s="75"/>
      <c r="AE1107" s="68" t="s">
        <v>965</v>
      </c>
      <c r="AF1107" s="68"/>
      <c r="AG1107" s="174" t="s">
        <v>808</v>
      </c>
    </row>
    <row r="1108" spans="1:33" s="81" customFormat="1" ht="60" x14ac:dyDescent="0.2">
      <c r="A1108" s="13">
        <f t="shared" si="42"/>
        <v>92</v>
      </c>
      <c r="B1108" s="11"/>
      <c r="C1108" s="82"/>
      <c r="D1108" s="178"/>
      <c r="E1108" s="2"/>
      <c r="F1108" s="1"/>
      <c r="G1108" s="1"/>
      <c r="H1108" s="66"/>
      <c r="I1108" s="124"/>
      <c r="J1108" s="172"/>
      <c r="K1108" s="172"/>
      <c r="L1108" s="75" t="str">
        <f t="shared" si="38"/>
        <v xml:space="preserve"> </v>
      </c>
      <c r="M1108" s="75" t="str">
        <f t="shared" si="39"/>
        <v xml:space="preserve"> </v>
      </c>
      <c r="N1108" s="70" t="s">
        <v>966</v>
      </c>
      <c r="O1108" s="63">
        <v>1</v>
      </c>
      <c r="P1108" s="74"/>
      <c r="Q1108" s="75">
        <f t="shared" si="40"/>
        <v>0</v>
      </c>
      <c r="R1108" s="174" t="s">
        <v>1782</v>
      </c>
      <c r="S1108" s="183" t="s">
        <v>793</v>
      </c>
      <c r="T1108" s="64">
        <v>157.29999999999998</v>
      </c>
      <c r="U1108" s="72"/>
      <c r="V1108" s="75"/>
      <c r="W1108" s="75">
        <f t="shared" si="41"/>
        <v>0</v>
      </c>
      <c r="X1108" s="75"/>
      <c r="Y1108" s="75"/>
      <c r="Z1108" s="75"/>
      <c r="AA1108" s="258"/>
      <c r="AB1108" s="75"/>
      <c r="AC1108" s="75"/>
      <c r="AD1108" s="75"/>
      <c r="AE1108" s="119" t="s">
        <v>809</v>
      </c>
      <c r="AF1108" s="119"/>
      <c r="AG1108" s="174" t="s">
        <v>810</v>
      </c>
    </row>
    <row r="1109" spans="1:33" s="81" customFormat="1" ht="54" customHeight="1" x14ac:dyDescent="0.2">
      <c r="A1109" s="13">
        <f t="shared" si="42"/>
        <v>92</v>
      </c>
      <c r="B1109" s="11"/>
      <c r="C1109" s="82"/>
      <c r="D1109" s="2"/>
      <c r="E1109" s="133"/>
      <c r="F1109" s="133"/>
      <c r="G1109" s="84"/>
      <c r="H1109" s="66"/>
      <c r="I1109" s="124"/>
      <c r="J1109" s="172"/>
      <c r="K1109" s="172"/>
      <c r="L1109" s="75" t="str">
        <f t="shared" si="38"/>
        <v xml:space="preserve"> </v>
      </c>
      <c r="M1109" s="75" t="str">
        <f t="shared" si="39"/>
        <v xml:space="preserve"> </v>
      </c>
      <c r="N1109" s="70" t="s">
        <v>79</v>
      </c>
      <c r="O1109" s="63">
        <v>3</v>
      </c>
      <c r="P1109" s="74"/>
      <c r="Q1109" s="75">
        <f t="shared" si="40"/>
        <v>0</v>
      </c>
      <c r="R1109" s="174" t="s">
        <v>1784</v>
      </c>
      <c r="S1109" s="183" t="s">
        <v>793</v>
      </c>
      <c r="T1109" s="187">
        <v>1.8</v>
      </c>
      <c r="U1109" s="73"/>
      <c r="V1109" s="75"/>
      <c r="W1109" s="75">
        <f t="shared" si="41"/>
        <v>0</v>
      </c>
      <c r="X1109" s="75"/>
      <c r="Y1109" s="75"/>
      <c r="Z1109" s="75"/>
      <c r="AA1109" s="258"/>
      <c r="AB1109" s="75"/>
      <c r="AC1109" s="75"/>
      <c r="AD1109" s="75"/>
      <c r="AE1109" s="74"/>
      <c r="AF1109" s="74"/>
      <c r="AG1109" s="74"/>
    </row>
    <row r="1110" spans="1:33" s="81" customFormat="1" ht="45" x14ac:dyDescent="0.2">
      <c r="A1110" s="13">
        <f t="shared" si="42"/>
        <v>92</v>
      </c>
      <c r="B1110" s="11"/>
      <c r="C1110" s="1"/>
      <c r="D1110" s="2"/>
      <c r="E1110" s="2"/>
      <c r="F1110" s="1"/>
      <c r="G1110" s="1"/>
      <c r="H1110" s="66"/>
      <c r="I1110" s="124"/>
      <c r="J1110" s="172"/>
      <c r="K1110" s="172"/>
      <c r="L1110" s="75" t="str">
        <f t="shared" si="38"/>
        <v xml:space="preserve"> </v>
      </c>
      <c r="M1110" s="75" t="str">
        <f t="shared" si="39"/>
        <v xml:space="preserve"> </v>
      </c>
      <c r="N1110" s="70" t="s">
        <v>67</v>
      </c>
      <c r="O1110" s="63">
        <v>2</v>
      </c>
      <c r="P1110" s="74"/>
      <c r="Q1110" s="75">
        <f t="shared" si="40"/>
        <v>0</v>
      </c>
      <c r="R1110" s="174" t="s">
        <v>1782</v>
      </c>
      <c r="S1110" s="183" t="s">
        <v>793</v>
      </c>
      <c r="T1110" s="64">
        <v>411.7</v>
      </c>
      <c r="U1110" s="72"/>
      <c r="V1110" s="75"/>
      <c r="W1110" s="75">
        <f t="shared" si="41"/>
        <v>0</v>
      </c>
      <c r="X1110" s="75"/>
      <c r="Y1110" s="75"/>
      <c r="Z1110" s="75"/>
      <c r="AA1110" s="258"/>
      <c r="AB1110" s="75"/>
      <c r="AC1110" s="75"/>
      <c r="AD1110" s="75"/>
      <c r="AE1110" s="74"/>
      <c r="AF1110" s="74"/>
      <c r="AG1110" s="74"/>
    </row>
    <row r="1111" spans="1:33" s="81" customFormat="1" ht="43.5" customHeight="1" x14ac:dyDescent="0.2">
      <c r="A1111" s="13">
        <f t="shared" si="42"/>
        <v>92</v>
      </c>
      <c r="B1111" s="11"/>
      <c r="C1111" s="1"/>
      <c r="D1111" s="2"/>
      <c r="E1111" s="2"/>
      <c r="F1111" s="1"/>
      <c r="G1111" s="1"/>
      <c r="H1111" s="66"/>
      <c r="I1111" s="124"/>
      <c r="J1111" s="172"/>
      <c r="K1111" s="172"/>
      <c r="L1111" s="75" t="str">
        <f t="shared" si="38"/>
        <v xml:space="preserve"> </v>
      </c>
      <c r="M1111" s="75" t="str">
        <f t="shared" si="39"/>
        <v xml:space="preserve"> </v>
      </c>
      <c r="N1111" s="70" t="s">
        <v>400</v>
      </c>
      <c r="O1111" s="63">
        <v>10</v>
      </c>
      <c r="P1111" s="74"/>
      <c r="Q1111" s="75">
        <f t="shared" si="40"/>
        <v>0</v>
      </c>
      <c r="R1111" s="174" t="s">
        <v>1785</v>
      </c>
      <c r="S1111" s="183" t="s">
        <v>793</v>
      </c>
      <c r="T1111" s="187">
        <f>2.9</f>
        <v>2.9</v>
      </c>
      <c r="U1111" s="73"/>
      <c r="V1111" s="75"/>
      <c r="W1111" s="75">
        <f t="shared" si="41"/>
        <v>0</v>
      </c>
      <c r="X1111" s="75"/>
      <c r="Y1111" s="75"/>
      <c r="Z1111" s="75"/>
      <c r="AA1111" s="258"/>
      <c r="AB1111" s="75"/>
      <c r="AC1111" s="75"/>
      <c r="AD1111" s="75"/>
      <c r="AE1111" s="74"/>
      <c r="AF1111" s="74"/>
      <c r="AG1111" s="74"/>
    </row>
    <row r="1112" spans="1:33" s="81" customFormat="1" ht="41.25" customHeight="1" x14ac:dyDescent="0.2">
      <c r="A1112" s="13">
        <f t="shared" si="42"/>
        <v>92</v>
      </c>
      <c r="B1112" s="11"/>
      <c r="C1112" s="1"/>
      <c r="D1112" s="2"/>
      <c r="E1112" s="2"/>
      <c r="F1112" s="1"/>
      <c r="G1112" s="1"/>
      <c r="H1112" s="66"/>
      <c r="I1112" s="124"/>
      <c r="J1112" s="172"/>
      <c r="K1112" s="172"/>
      <c r="L1112" s="75" t="str">
        <f t="shared" si="38"/>
        <v xml:space="preserve"> </v>
      </c>
      <c r="M1112" s="75" t="str">
        <f t="shared" si="39"/>
        <v xml:space="preserve"> </v>
      </c>
      <c r="N1112" s="70" t="s">
        <v>401</v>
      </c>
      <c r="O1112" s="63">
        <v>16</v>
      </c>
      <c r="P1112" s="74"/>
      <c r="Q1112" s="75">
        <f t="shared" si="40"/>
        <v>0</v>
      </c>
      <c r="R1112" s="174" t="s">
        <v>1786</v>
      </c>
      <c r="S1112" s="183" t="s">
        <v>793</v>
      </c>
      <c r="T1112" s="64">
        <v>339.79999999999995</v>
      </c>
      <c r="U1112" s="72"/>
      <c r="V1112" s="75"/>
      <c r="W1112" s="75">
        <f t="shared" si="41"/>
        <v>0</v>
      </c>
      <c r="X1112" s="75"/>
      <c r="Y1112" s="75"/>
      <c r="Z1112" s="75"/>
      <c r="AA1112" s="258"/>
      <c r="AB1112" s="75"/>
      <c r="AC1112" s="75"/>
      <c r="AD1112" s="75"/>
      <c r="AE1112" s="74"/>
      <c r="AF1112" s="74"/>
      <c r="AG1112" s="74"/>
    </row>
    <row r="1113" spans="1:33" s="81" customFormat="1" ht="39.75" customHeight="1" x14ac:dyDescent="0.2">
      <c r="A1113" s="13">
        <f t="shared" si="42"/>
        <v>92</v>
      </c>
      <c r="B1113" s="11"/>
      <c r="C1113" s="1"/>
      <c r="D1113" s="2"/>
      <c r="E1113" s="2"/>
      <c r="F1113" s="1"/>
      <c r="G1113" s="1"/>
      <c r="H1113" s="66"/>
      <c r="I1113" s="124"/>
      <c r="J1113" s="172"/>
      <c r="K1113" s="172"/>
      <c r="L1113" s="75" t="str">
        <f t="shared" si="38"/>
        <v xml:space="preserve"> </v>
      </c>
      <c r="M1113" s="75" t="str">
        <f t="shared" si="39"/>
        <v xml:space="preserve"> </v>
      </c>
      <c r="N1113" s="70" t="s">
        <v>401</v>
      </c>
      <c r="O1113" s="63">
        <v>4</v>
      </c>
      <c r="P1113" s="74"/>
      <c r="Q1113" s="75">
        <f t="shared" si="40"/>
        <v>0</v>
      </c>
      <c r="R1113" s="174" t="s">
        <v>1787</v>
      </c>
      <c r="S1113" s="183" t="s">
        <v>793</v>
      </c>
      <c r="T1113" s="187">
        <f>3.2</f>
        <v>3.2</v>
      </c>
      <c r="U1113" s="73"/>
      <c r="V1113" s="75"/>
      <c r="W1113" s="75">
        <f t="shared" si="41"/>
        <v>0</v>
      </c>
      <c r="X1113" s="75"/>
      <c r="Y1113" s="75"/>
      <c r="Z1113" s="75"/>
      <c r="AA1113" s="258"/>
      <c r="AB1113" s="75"/>
      <c r="AC1113" s="75"/>
      <c r="AD1113" s="75"/>
      <c r="AE1113" s="74"/>
      <c r="AF1113" s="74"/>
      <c r="AG1113" s="74"/>
    </row>
    <row r="1114" spans="1:33" s="81" customFormat="1" ht="30" x14ac:dyDescent="0.2">
      <c r="A1114" s="13">
        <f t="shared" si="42"/>
        <v>92</v>
      </c>
      <c r="B1114" s="11"/>
      <c r="C1114" s="1"/>
      <c r="D1114" s="2"/>
      <c r="E1114" s="2"/>
      <c r="F1114" s="1"/>
      <c r="G1114" s="1"/>
      <c r="H1114" s="66"/>
      <c r="I1114" s="124"/>
      <c r="J1114" s="172"/>
      <c r="K1114" s="172"/>
      <c r="L1114" s="75" t="str">
        <f t="shared" si="38"/>
        <v xml:space="preserve"> </v>
      </c>
      <c r="M1114" s="75" t="str">
        <f t="shared" si="39"/>
        <v xml:space="preserve"> </v>
      </c>
      <c r="N1114" s="70"/>
      <c r="O1114" s="188"/>
      <c r="P1114" s="74"/>
      <c r="Q1114" s="75" t="str">
        <f t="shared" si="40"/>
        <v xml:space="preserve"> </v>
      </c>
      <c r="R1114" s="174" t="s">
        <v>1788</v>
      </c>
      <c r="S1114" s="183" t="s">
        <v>793</v>
      </c>
      <c r="T1114" s="187">
        <f>2.9</f>
        <v>2.9</v>
      </c>
      <c r="U1114" s="73"/>
      <c r="V1114" s="75"/>
      <c r="W1114" s="75">
        <f t="shared" si="41"/>
        <v>0</v>
      </c>
      <c r="X1114" s="75"/>
      <c r="Y1114" s="75"/>
      <c r="Z1114" s="75"/>
      <c r="AA1114" s="258"/>
      <c r="AB1114" s="75"/>
      <c r="AC1114" s="75"/>
      <c r="AD1114" s="75"/>
      <c r="AE1114" s="74"/>
      <c r="AF1114" s="74"/>
      <c r="AG1114" s="74"/>
    </row>
    <row r="1115" spans="1:33" s="81" customFormat="1" ht="44.25" customHeight="1" x14ac:dyDescent="0.2">
      <c r="A1115" s="13">
        <f t="shared" si="42"/>
        <v>92</v>
      </c>
      <c r="B1115" s="11"/>
      <c r="C1115" s="1"/>
      <c r="D1115" s="2"/>
      <c r="E1115" s="2"/>
      <c r="F1115" s="1"/>
      <c r="G1115" s="1"/>
      <c r="H1115" s="66"/>
      <c r="I1115" s="124"/>
      <c r="J1115" s="172"/>
      <c r="K1115" s="172"/>
      <c r="L1115" s="75" t="str">
        <f t="shared" si="38"/>
        <v xml:space="preserve"> </v>
      </c>
      <c r="M1115" s="75" t="str">
        <f t="shared" si="39"/>
        <v xml:space="preserve"> </v>
      </c>
      <c r="N1115" s="70"/>
      <c r="O1115" s="188"/>
      <c r="P1115" s="74"/>
      <c r="Q1115" s="75" t="str">
        <f t="shared" si="40"/>
        <v xml:space="preserve"> </v>
      </c>
      <c r="R1115" s="174" t="s">
        <v>1786</v>
      </c>
      <c r="S1115" s="183" t="s">
        <v>793</v>
      </c>
      <c r="T1115" s="64">
        <v>47.2</v>
      </c>
      <c r="U1115" s="72"/>
      <c r="V1115" s="75"/>
      <c r="W1115" s="75">
        <f t="shared" si="41"/>
        <v>0</v>
      </c>
      <c r="X1115" s="75"/>
      <c r="Y1115" s="75"/>
      <c r="Z1115" s="75"/>
      <c r="AA1115" s="258"/>
      <c r="AB1115" s="75"/>
      <c r="AC1115" s="75"/>
      <c r="AD1115" s="75"/>
      <c r="AE1115" s="74"/>
      <c r="AF1115" s="74"/>
      <c r="AG1115" s="74"/>
    </row>
    <row r="1116" spans="1:33" s="81" customFormat="1" ht="39.75" customHeight="1" x14ac:dyDescent="0.2">
      <c r="A1116" s="13">
        <f t="shared" si="42"/>
        <v>92</v>
      </c>
      <c r="B1116" s="11"/>
      <c r="C1116" s="1"/>
      <c r="D1116" s="2"/>
      <c r="E1116" s="2"/>
      <c r="F1116" s="1"/>
      <c r="G1116" s="1"/>
      <c r="H1116" s="66"/>
      <c r="I1116" s="124"/>
      <c r="J1116" s="172"/>
      <c r="K1116" s="172"/>
      <c r="L1116" s="75" t="str">
        <f t="shared" si="38"/>
        <v xml:space="preserve"> </v>
      </c>
      <c r="M1116" s="75" t="str">
        <f t="shared" si="39"/>
        <v xml:space="preserve"> </v>
      </c>
      <c r="N1116" s="70"/>
      <c r="O1116" s="188"/>
      <c r="P1116" s="74"/>
      <c r="Q1116" s="75" t="str">
        <f t="shared" si="40"/>
        <v xml:space="preserve"> </v>
      </c>
      <c r="R1116" s="174" t="s">
        <v>1790</v>
      </c>
      <c r="S1116" s="183" t="s">
        <v>793</v>
      </c>
      <c r="T1116" s="187">
        <f>3.4</f>
        <v>3.4</v>
      </c>
      <c r="U1116" s="69"/>
      <c r="V1116" s="75"/>
      <c r="W1116" s="75">
        <f t="shared" si="41"/>
        <v>0</v>
      </c>
      <c r="X1116" s="75"/>
      <c r="Y1116" s="75"/>
      <c r="Z1116" s="75"/>
      <c r="AA1116" s="258"/>
      <c r="AB1116" s="75"/>
      <c r="AC1116" s="75"/>
      <c r="AD1116" s="75"/>
      <c r="AE1116" s="74"/>
      <c r="AF1116" s="74"/>
      <c r="AG1116" s="74"/>
    </row>
    <row r="1117" spans="1:33" s="81" customFormat="1" ht="35.25" customHeight="1" x14ac:dyDescent="0.2">
      <c r="A1117" s="13">
        <f t="shared" si="42"/>
        <v>92</v>
      </c>
      <c r="B1117" s="11"/>
      <c r="C1117" s="1"/>
      <c r="D1117" s="2"/>
      <c r="E1117" s="2"/>
      <c r="F1117" s="1"/>
      <c r="G1117" s="1"/>
      <c r="H1117" s="66"/>
      <c r="I1117" s="124"/>
      <c r="J1117" s="172"/>
      <c r="K1117" s="172"/>
      <c r="L1117" s="75" t="str">
        <f t="shared" si="38"/>
        <v xml:space="preserve"> </v>
      </c>
      <c r="M1117" s="75" t="str">
        <f t="shared" si="39"/>
        <v xml:space="preserve"> </v>
      </c>
      <c r="N1117" s="70"/>
      <c r="O1117" s="188"/>
      <c r="P1117" s="74"/>
      <c r="Q1117" s="75" t="str">
        <f t="shared" si="40"/>
        <v xml:space="preserve"> </v>
      </c>
      <c r="R1117" s="174" t="s">
        <v>1791</v>
      </c>
      <c r="S1117" s="183" t="s">
        <v>793</v>
      </c>
      <c r="T1117" s="187">
        <v>326.39999999999998</v>
      </c>
      <c r="U1117" s="69"/>
      <c r="V1117" s="75"/>
      <c r="W1117" s="75">
        <f t="shared" si="41"/>
        <v>0</v>
      </c>
      <c r="X1117" s="75"/>
      <c r="Y1117" s="75"/>
      <c r="Z1117" s="75"/>
      <c r="AA1117" s="258"/>
      <c r="AB1117" s="75"/>
      <c r="AC1117" s="75"/>
      <c r="AD1117" s="75"/>
      <c r="AE1117" s="74"/>
      <c r="AF1117" s="74"/>
      <c r="AG1117" s="74"/>
    </row>
    <row r="1118" spans="1:33" s="81" customFormat="1" ht="30" x14ac:dyDescent="0.2">
      <c r="A1118" s="13">
        <f t="shared" si="42"/>
        <v>92</v>
      </c>
      <c r="B1118" s="11"/>
      <c r="C1118" s="1"/>
      <c r="D1118" s="2"/>
      <c r="E1118" s="2"/>
      <c r="F1118" s="1"/>
      <c r="G1118" s="1"/>
      <c r="H1118" s="66"/>
      <c r="I1118" s="124"/>
      <c r="J1118" s="172"/>
      <c r="K1118" s="172"/>
      <c r="L1118" s="75" t="str">
        <f t="shared" si="38"/>
        <v xml:space="preserve"> </v>
      </c>
      <c r="M1118" s="75" t="str">
        <f t="shared" si="39"/>
        <v xml:space="preserve"> </v>
      </c>
      <c r="N1118" s="70"/>
      <c r="O1118" s="188"/>
      <c r="P1118" s="74"/>
      <c r="Q1118" s="75" t="str">
        <f t="shared" si="40"/>
        <v xml:space="preserve"> </v>
      </c>
      <c r="R1118" s="174" t="s">
        <v>1792</v>
      </c>
      <c r="S1118" s="183" t="s">
        <v>793</v>
      </c>
      <c r="T1118" s="187">
        <v>375.2</v>
      </c>
      <c r="U1118" s="69"/>
      <c r="V1118" s="75"/>
      <c r="W1118" s="75">
        <f t="shared" si="41"/>
        <v>0</v>
      </c>
      <c r="X1118" s="75"/>
      <c r="Y1118" s="75"/>
      <c r="Z1118" s="75"/>
      <c r="AA1118" s="258"/>
      <c r="AB1118" s="75"/>
      <c r="AC1118" s="75"/>
      <c r="AD1118" s="75"/>
      <c r="AE1118" s="74"/>
      <c r="AF1118" s="74"/>
      <c r="AG1118" s="74"/>
    </row>
    <row r="1119" spans="1:33" s="81" customFormat="1" ht="30" x14ac:dyDescent="0.2">
      <c r="A1119" s="13">
        <f t="shared" si="42"/>
        <v>92</v>
      </c>
      <c r="B1119" s="11"/>
      <c r="C1119" s="1"/>
      <c r="D1119" s="2"/>
      <c r="E1119" s="2"/>
      <c r="F1119" s="1"/>
      <c r="G1119" s="1"/>
      <c r="H1119" s="66"/>
      <c r="I1119" s="124"/>
      <c r="J1119" s="172"/>
      <c r="K1119" s="172"/>
      <c r="L1119" s="75" t="str">
        <f t="shared" si="38"/>
        <v xml:space="preserve"> </v>
      </c>
      <c r="M1119" s="75" t="str">
        <f t="shared" si="39"/>
        <v xml:space="preserve"> </v>
      </c>
      <c r="N1119" s="70"/>
      <c r="O1119" s="188"/>
      <c r="P1119" s="74"/>
      <c r="Q1119" s="75" t="str">
        <f t="shared" si="40"/>
        <v xml:space="preserve"> </v>
      </c>
      <c r="R1119" s="174" t="s">
        <v>1793</v>
      </c>
      <c r="S1119" s="183" t="s">
        <v>967</v>
      </c>
      <c r="T1119" s="187">
        <v>3.8</v>
      </c>
      <c r="U1119" s="69"/>
      <c r="V1119" s="75"/>
      <c r="W1119" s="75">
        <f t="shared" si="41"/>
        <v>0</v>
      </c>
      <c r="X1119" s="75"/>
      <c r="Y1119" s="75"/>
      <c r="Z1119" s="75"/>
      <c r="AA1119" s="258"/>
      <c r="AB1119" s="75"/>
      <c r="AC1119" s="75"/>
      <c r="AD1119" s="75"/>
      <c r="AE1119" s="74"/>
      <c r="AF1119" s="74"/>
      <c r="AG1119" s="74"/>
    </row>
    <row r="1120" spans="1:33" s="81" customFormat="1" ht="30" x14ac:dyDescent="0.2">
      <c r="A1120" s="13">
        <f t="shared" si="42"/>
        <v>92</v>
      </c>
      <c r="B1120" s="11"/>
      <c r="C1120" s="1"/>
      <c r="D1120" s="2"/>
      <c r="E1120" s="2"/>
      <c r="F1120" s="1"/>
      <c r="G1120" s="1"/>
      <c r="H1120" s="66"/>
      <c r="I1120" s="124"/>
      <c r="J1120" s="172"/>
      <c r="K1120" s="172"/>
      <c r="L1120" s="75" t="str">
        <f t="shared" si="38"/>
        <v xml:space="preserve"> </v>
      </c>
      <c r="M1120" s="75" t="str">
        <f t="shared" si="39"/>
        <v xml:space="preserve"> </v>
      </c>
      <c r="N1120" s="70"/>
      <c r="O1120" s="188"/>
      <c r="P1120" s="74"/>
      <c r="Q1120" s="75" t="str">
        <f t="shared" si="40"/>
        <v xml:space="preserve"> </v>
      </c>
      <c r="R1120" s="174" t="s">
        <v>1794</v>
      </c>
      <c r="S1120" s="183" t="s">
        <v>968</v>
      </c>
      <c r="T1120" s="187">
        <v>4.8</v>
      </c>
      <c r="U1120" s="69"/>
      <c r="V1120" s="75"/>
      <c r="W1120" s="75">
        <f t="shared" si="41"/>
        <v>0</v>
      </c>
      <c r="X1120" s="75"/>
      <c r="Y1120" s="75"/>
      <c r="Z1120" s="75"/>
      <c r="AA1120" s="258"/>
      <c r="AB1120" s="75"/>
      <c r="AC1120" s="75"/>
      <c r="AD1120" s="75"/>
      <c r="AE1120" s="74"/>
      <c r="AF1120" s="74"/>
      <c r="AG1120" s="74"/>
    </row>
    <row r="1121" spans="1:33" s="81" customFormat="1" ht="30" x14ac:dyDescent="0.2">
      <c r="A1121" s="13">
        <f t="shared" si="42"/>
        <v>92</v>
      </c>
      <c r="B1121" s="11"/>
      <c r="C1121" s="1"/>
      <c r="D1121" s="2"/>
      <c r="E1121" s="2"/>
      <c r="F1121" s="1"/>
      <c r="G1121" s="1"/>
      <c r="H1121" s="66"/>
      <c r="I1121" s="124"/>
      <c r="J1121" s="172"/>
      <c r="K1121" s="172"/>
      <c r="L1121" s="75" t="str">
        <f t="shared" si="38"/>
        <v xml:space="preserve"> </v>
      </c>
      <c r="M1121" s="75" t="str">
        <f t="shared" si="39"/>
        <v xml:space="preserve"> </v>
      </c>
      <c r="N1121" s="70"/>
      <c r="O1121" s="188"/>
      <c r="P1121" s="74"/>
      <c r="Q1121" s="75" t="str">
        <f t="shared" si="40"/>
        <v xml:space="preserve"> </v>
      </c>
      <c r="R1121" s="174" t="s">
        <v>1795</v>
      </c>
      <c r="S1121" s="183" t="s">
        <v>793</v>
      </c>
      <c r="T1121" s="187">
        <v>27.2</v>
      </c>
      <c r="U1121" s="69"/>
      <c r="V1121" s="75"/>
      <c r="W1121" s="75">
        <f t="shared" si="41"/>
        <v>0</v>
      </c>
      <c r="X1121" s="75"/>
      <c r="Y1121" s="75"/>
      <c r="Z1121" s="75"/>
      <c r="AA1121" s="258"/>
      <c r="AB1121" s="75"/>
      <c r="AC1121" s="75"/>
      <c r="AD1121" s="75"/>
      <c r="AE1121" s="74"/>
      <c r="AF1121" s="74"/>
      <c r="AG1121" s="74"/>
    </row>
    <row r="1122" spans="1:33" s="81" customFormat="1" ht="29.25" customHeight="1" x14ac:dyDescent="0.2">
      <c r="A1122" s="13">
        <f t="shared" si="42"/>
        <v>92</v>
      </c>
      <c r="B1122" s="11"/>
      <c r="C1122" s="1"/>
      <c r="D1122" s="2"/>
      <c r="E1122" s="2"/>
      <c r="F1122" s="1"/>
      <c r="G1122" s="1"/>
      <c r="H1122" s="66"/>
      <c r="I1122" s="124"/>
      <c r="J1122" s="172"/>
      <c r="K1122" s="172"/>
      <c r="L1122" s="75" t="str">
        <f t="shared" si="38"/>
        <v xml:space="preserve"> </v>
      </c>
      <c r="M1122" s="75" t="str">
        <f t="shared" si="39"/>
        <v xml:space="preserve"> </v>
      </c>
      <c r="N1122" s="70"/>
      <c r="O1122" s="188"/>
      <c r="P1122" s="74"/>
      <c r="Q1122" s="75" t="str">
        <f t="shared" si="40"/>
        <v xml:space="preserve"> </v>
      </c>
      <c r="R1122" s="70" t="s">
        <v>1796</v>
      </c>
      <c r="S1122" s="183" t="s">
        <v>793</v>
      </c>
      <c r="T1122" s="187">
        <v>361.2</v>
      </c>
      <c r="U1122" s="69"/>
      <c r="V1122" s="75"/>
      <c r="W1122" s="75">
        <f t="shared" si="41"/>
        <v>0</v>
      </c>
      <c r="X1122" s="75"/>
      <c r="Y1122" s="75"/>
      <c r="Z1122" s="75"/>
      <c r="AA1122" s="258"/>
      <c r="AB1122" s="75"/>
      <c r="AC1122" s="75"/>
      <c r="AD1122" s="75"/>
      <c r="AE1122" s="74"/>
      <c r="AF1122" s="74"/>
      <c r="AG1122" s="74"/>
    </row>
    <row r="1123" spans="1:33" s="81" customFormat="1" x14ac:dyDescent="0.2">
      <c r="A1123" s="13"/>
      <c r="B1123" s="11"/>
      <c r="C1123" s="1"/>
      <c r="D1123" s="2"/>
      <c r="E1123" s="2"/>
      <c r="F1123" s="1"/>
      <c r="G1123" s="1"/>
      <c r="H1123" s="66"/>
      <c r="I1123" s="124"/>
      <c r="J1123" s="172"/>
      <c r="K1123" s="172"/>
      <c r="L1123" s="75"/>
      <c r="M1123" s="75"/>
      <c r="N1123" s="70"/>
      <c r="O1123" s="188"/>
      <c r="P1123" s="74"/>
      <c r="Q1123" s="75"/>
      <c r="R1123" s="70"/>
      <c r="S1123" s="183"/>
      <c r="T1123" s="187"/>
      <c r="U1123" s="69"/>
      <c r="V1123" s="75"/>
      <c r="W1123" s="75"/>
      <c r="X1123" s="75"/>
      <c r="Y1123" s="75"/>
      <c r="Z1123" s="75"/>
      <c r="AA1123" s="258"/>
      <c r="AB1123" s="75"/>
      <c r="AC1123" s="75"/>
      <c r="AD1123" s="75"/>
      <c r="AE1123" s="74"/>
      <c r="AF1123" s="74"/>
      <c r="AG1123" s="74"/>
    </row>
    <row r="1124" spans="1:33" s="81" customFormat="1" x14ac:dyDescent="0.2">
      <c r="A1124" s="13">
        <f>IF(B1124&lt;&gt;0,B1124,A1122)</f>
        <v>92</v>
      </c>
      <c r="B1124" s="11"/>
      <c r="C1124" s="1"/>
      <c r="D1124" s="2"/>
      <c r="E1124" s="2"/>
      <c r="F1124" s="1"/>
      <c r="G1124" s="1"/>
      <c r="H1124" s="66"/>
      <c r="I1124" s="124"/>
      <c r="J1124" s="172"/>
      <c r="K1124" s="172"/>
      <c r="L1124" s="75" t="str">
        <f t="shared" si="38"/>
        <v xml:space="preserve"> </v>
      </c>
      <c r="M1124" s="75" t="str">
        <f t="shared" si="39"/>
        <v xml:space="preserve"> </v>
      </c>
      <c r="N1124" s="70"/>
      <c r="O1124" s="188"/>
      <c r="P1124" s="74"/>
      <c r="Q1124" s="75" t="str">
        <f t="shared" si="40"/>
        <v xml:space="preserve"> </v>
      </c>
      <c r="R1124" s="75"/>
      <c r="S1124" s="70"/>
      <c r="T1124" s="187"/>
      <c r="U1124" s="69"/>
      <c r="V1124" s="75"/>
      <c r="W1124" s="75" t="str">
        <f t="shared" si="41"/>
        <v xml:space="preserve"> </v>
      </c>
      <c r="X1124" s="75"/>
      <c r="Y1124" s="75"/>
      <c r="Z1124" s="75"/>
      <c r="AA1124" s="258"/>
      <c r="AB1124" s="75"/>
      <c r="AC1124" s="75"/>
      <c r="AD1124" s="75"/>
      <c r="AE1124" s="74"/>
      <c r="AF1124" s="74"/>
      <c r="AG1124" s="74"/>
    </row>
    <row r="1125" spans="1:33" s="81" customFormat="1" x14ac:dyDescent="0.2">
      <c r="A1125" s="13">
        <f t="shared" ref="A1125:A1133" si="43">IF(B1125&lt;&gt;0,B1125,A1124)</f>
        <v>92</v>
      </c>
      <c r="B1125" s="11"/>
      <c r="C1125" s="1"/>
      <c r="D1125" s="2"/>
      <c r="E1125" s="2"/>
      <c r="F1125" s="1"/>
      <c r="G1125" s="1"/>
      <c r="H1125" s="66"/>
      <c r="I1125" s="124"/>
      <c r="J1125" s="172"/>
      <c r="K1125" s="172"/>
      <c r="L1125" s="75" t="str">
        <f t="shared" si="38"/>
        <v xml:space="preserve"> </v>
      </c>
      <c r="M1125" s="75" t="str">
        <f t="shared" si="39"/>
        <v xml:space="preserve"> </v>
      </c>
      <c r="N1125" s="74"/>
      <c r="O1125" s="189"/>
      <c r="P1125" s="74"/>
      <c r="Q1125" s="75" t="str">
        <f t="shared" si="40"/>
        <v xml:space="preserve"> </v>
      </c>
      <c r="R1125" s="75"/>
      <c r="S1125" s="70"/>
      <c r="T1125" s="187"/>
      <c r="U1125" s="69"/>
      <c r="V1125" s="75"/>
      <c r="W1125" s="75" t="str">
        <f t="shared" si="41"/>
        <v xml:space="preserve"> </v>
      </c>
      <c r="X1125" s="75"/>
      <c r="Y1125" s="75"/>
      <c r="Z1125" s="75"/>
      <c r="AA1125" s="258"/>
      <c r="AB1125" s="75"/>
      <c r="AC1125" s="75"/>
      <c r="AD1125" s="75"/>
      <c r="AE1125" s="74"/>
      <c r="AF1125" s="74"/>
      <c r="AG1125" s="74"/>
    </row>
    <row r="1126" spans="1:33" s="81" customFormat="1" ht="60" x14ac:dyDescent="0.2">
      <c r="A1126" s="13">
        <f t="shared" si="43"/>
        <v>93</v>
      </c>
      <c r="B1126" s="11">
        <v>93</v>
      </c>
      <c r="C1126" s="21" t="s">
        <v>969</v>
      </c>
      <c r="D1126" s="2"/>
      <c r="E1126" s="2"/>
      <c r="F1126" s="1"/>
      <c r="G1126" s="1" t="s">
        <v>970</v>
      </c>
      <c r="H1126" s="124">
        <v>981</v>
      </c>
      <c r="I1126" s="124"/>
      <c r="J1126" s="172"/>
      <c r="K1126" s="172"/>
      <c r="L1126" s="75">
        <f t="shared" si="38"/>
        <v>0</v>
      </c>
      <c r="M1126" s="75">
        <f t="shared" si="39"/>
        <v>0</v>
      </c>
      <c r="N1126" s="70" t="s">
        <v>971</v>
      </c>
      <c r="O1126" s="63">
        <v>2</v>
      </c>
      <c r="P1126" s="74"/>
      <c r="Q1126" s="75">
        <f t="shared" si="40"/>
        <v>0</v>
      </c>
      <c r="R1126" s="84" t="s">
        <v>972</v>
      </c>
      <c r="S1126" s="87" t="s">
        <v>973</v>
      </c>
      <c r="T1126" s="76">
        <v>343.2</v>
      </c>
      <c r="U1126" s="158"/>
      <c r="V1126" s="75"/>
      <c r="W1126" s="75">
        <f t="shared" si="41"/>
        <v>0</v>
      </c>
      <c r="X1126" s="75"/>
      <c r="Y1126" s="75"/>
      <c r="Z1126" s="75"/>
      <c r="AA1126" s="258"/>
      <c r="AB1126" s="75"/>
      <c r="AC1126" s="75"/>
      <c r="AD1126" s="75"/>
      <c r="AE1126" s="1" t="s">
        <v>974</v>
      </c>
      <c r="AF1126" s="1"/>
      <c r="AG1126" s="174" t="s">
        <v>800</v>
      </c>
    </row>
    <row r="1127" spans="1:33" s="81" customFormat="1" ht="60" x14ac:dyDescent="0.2">
      <c r="A1127" s="13">
        <f t="shared" si="43"/>
        <v>93</v>
      </c>
      <c r="B1127" s="11"/>
      <c r="C1127" s="84" t="s">
        <v>1658</v>
      </c>
      <c r="D1127" s="2"/>
      <c r="E1127" s="2"/>
      <c r="F1127" s="1"/>
      <c r="G1127" s="1"/>
      <c r="H1127" s="122"/>
      <c r="I1127" s="124"/>
      <c r="J1127" s="172"/>
      <c r="K1127" s="172"/>
      <c r="L1127" s="75" t="str">
        <f t="shared" si="38"/>
        <v xml:space="preserve"> </v>
      </c>
      <c r="M1127" s="75" t="str">
        <f t="shared" si="39"/>
        <v xml:space="preserve"> </v>
      </c>
      <c r="N1127" s="70" t="s">
        <v>352</v>
      </c>
      <c r="O1127" s="63">
        <v>22</v>
      </c>
      <c r="P1127" s="74"/>
      <c r="Q1127" s="75">
        <f t="shared" si="40"/>
        <v>0</v>
      </c>
      <c r="R1127" s="84" t="s">
        <v>936</v>
      </c>
      <c r="S1127" s="87" t="s">
        <v>973</v>
      </c>
      <c r="T1127" s="77">
        <v>243</v>
      </c>
      <c r="U1127" s="158">
        <v>243</v>
      </c>
      <c r="V1127" s="75"/>
      <c r="W1127" s="75">
        <f t="shared" si="41"/>
        <v>0</v>
      </c>
      <c r="X1127" s="75"/>
      <c r="Y1127" s="75"/>
      <c r="Z1127" s="75"/>
      <c r="AA1127" s="258"/>
      <c r="AB1127" s="75"/>
      <c r="AC1127" s="75"/>
      <c r="AD1127" s="75"/>
      <c r="AE1127" s="1" t="s">
        <v>975</v>
      </c>
      <c r="AF1127" s="1"/>
      <c r="AG1127" s="174" t="s">
        <v>795</v>
      </c>
    </row>
    <row r="1128" spans="1:33" s="81" customFormat="1" ht="50.25" customHeight="1" x14ac:dyDescent="0.2">
      <c r="A1128" s="13">
        <f t="shared" si="43"/>
        <v>93</v>
      </c>
      <c r="B1128" s="11"/>
      <c r="C1128" s="84"/>
      <c r="D1128" s="2"/>
      <c r="E1128" s="2"/>
      <c r="F1128" s="1"/>
      <c r="G1128" s="1"/>
      <c r="H1128" s="122"/>
      <c r="I1128" s="124"/>
      <c r="J1128" s="172"/>
      <c r="K1128" s="172"/>
      <c r="L1128" s="75" t="str">
        <f t="shared" si="38"/>
        <v xml:space="preserve"> </v>
      </c>
      <c r="M1128" s="75" t="str">
        <f t="shared" si="39"/>
        <v xml:space="preserve"> </v>
      </c>
      <c r="N1128" s="70" t="s">
        <v>353</v>
      </c>
      <c r="O1128" s="63">
        <v>25</v>
      </c>
      <c r="P1128" s="74"/>
      <c r="Q1128" s="75">
        <f t="shared" si="40"/>
        <v>0</v>
      </c>
      <c r="R1128" s="84" t="s">
        <v>976</v>
      </c>
      <c r="S1128" s="87" t="s">
        <v>973</v>
      </c>
      <c r="T1128" s="76">
        <v>170.3</v>
      </c>
      <c r="U1128" s="158"/>
      <c r="V1128" s="75"/>
      <c r="W1128" s="75">
        <f t="shared" si="41"/>
        <v>0</v>
      </c>
      <c r="X1128" s="75"/>
      <c r="Y1128" s="75"/>
      <c r="Z1128" s="75"/>
      <c r="AA1128" s="258"/>
      <c r="AB1128" s="75"/>
      <c r="AC1128" s="75"/>
      <c r="AD1128" s="75"/>
      <c r="AE1128" s="68"/>
      <c r="AF1128" s="68"/>
      <c r="AG1128" s="174"/>
    </row>
    <row r="1129" spans="1:33" s="81" customFormat="1" ht="38.25" customHeight="1" x14ac:dyDescent="0.2">
      <c r="A1129" s="13">
        <f t="shared" si="43"/>
        <v>93</v>
      </c>
      <c r="B1129" s="11"/>
      <c r="C1129" s="1"/>
      <c r="D1129" s="2"/>
      <c r="E1129" s="2"/>
      <c r="F1129" s="1"/>
      <c r="G1129" s="1"/>
      <c r="H1129" s="122"/>
      <c r="I1129" s="176"/>
      <c r="J1129" s="172"/>
      <c r="K1129" s="172"/>
      <c r="L1129" s="75" t="str">
        <f t="shared" si="38"/>
        <v xml:space="preserve"> </v>
      </c>
      <c r="M1129" s="75" t="str">
        <f t="shared" si="39"/>
        <v xml:space="preserve"> </v>
      </c>
      <c r="N1129" s="70" t="s">
        <v>400</v>
      </c>
      <c r="O1129" s="63">
        <v>15</v>
      </c>
      <c r="P1129" s="74"/>
      <c r="Q1129" s="75">
        <f t="shared" si="40"/>
        <v>0</v>
      </c>
      <c r="R1129" s="84" t="s">
        <v>972</v>
      </c>
      <c r="S1129" s="87" t="s">
        <v>973</v>
      </c>
      <c r="T1129" s="76">
        <v>30.6</v>
      </c>
      <c r="U1129" s="158"/>
      <c r="V1129" s="75"/>
      <c r="W1129" s="75">
        <f t="shared" si="41"/>
        <v>0</v>
      </c>
      <c r="X1129" s="75"/>
      <c r="Y1129" s="75"/>
      <c r="Z1129" s="75"/>
      <c r="AA1129" s="258"/>
      <c r="AB1129" s="75"/>
      <c r="AC1129" s="75"/>
      <c r="AD1129" s="75"/>
      <c r="AE1129" s="119"/>
      <c r="AF1129" s="119"/>
      <c r="AG1129" s="174"/>
    </row>
    <row r="1130" spans="1:33" s="81" customFormat="1" ht="38.25" customHeight="1" x14ac:dyDescent="0.2">
      <c r="A1130" s="13">
        <f t="shared" si="43"/>
        <v>93</v>
      </c>
      <c r="B1130" s="11"/>
      <c r="C1130" s="1"/>
      <c r="D1130" s="2"/>
      <c r="E1130" s="2"/>
      <c r="F1130" s="1"/>
      <c r="G1130" s="1"/>
      <c r="H1130" s="122"/>
      <c r="I1130" s="176"/>
      <c r="J1130" s="172"/>
      <c r="K1130" s="172"/>
      <c r="L1130" s="75" t="str">
        <f t="shared" si="38"/>
        <v xml:space="preserve"> </v>
      </c>
      <c r="M1130" s="75" t="str">
        <f t="shared" si="39"/>
        <v xml:space="preserve"> </v>
      </c>
      <c r="N1130" s="67"/>
      <c r="O1130" s="180"/>
      <c r="P1130" s="74"/>
      <c r="Q1130" s="75" t="str">
        <f t="shared" si="40"/>
        <v xml:space="preserve"> </v>
      </c>
      <c r="R1130" s="84" t="s">
        <v>972</v>
      </c>
      <c r="S1130" s="87" t="s">
        <v>973</v>
      </c>
      <c r="T1130" s="76">
        <v>11.22</v>
      </c>
      <c r="U1130" s="158"/>
      <c r="V1130" s="75"/>
      <c r="W1130" s="75">
        <f t="shared" si="41"/>
        <v>0</v>
      </c>
      <c r="X1130" s="75"/>
      <c r="Y1130" s="75"/>
      <c r="Z1130" s="75"/>
      <c r="AA1130" s="258"/>
      <c r="AB1130" s="75"/>
      <c r="AC1130" s="75"/>
      <c r="AD1130" s="75"/>
      <c r="AE1130" s="119"/>
      <c r="AF1130" s="119"/>
      <c r="AG1130" s="119"/>
    </row>
    <row r="1131" spans="1:33" s="81" customFormat="1" ht="38.25" customHeight="1" x14ac:dyDescent="0.2">
      <c r="A1131" s="13">
        <f t="shared" si="43"/>
        <v>93</v>
      </c>
      <c r="B1131" s="11"/>
      <c r="C1131" s="1"/>
      <c r="D1131" s="2"/>
      <c r="E1131" s="2"/>
      <c r="F1131" s="1"/>
      <c r="G1131" s="1"/>
      <c r="H1131" s="122"/>
      <c r="I1131" s="176"/>
      <c r="J1131" s="172"/>
      <c r="K1131" s="172"/>
      <c r="L1131" s="75" t="str">
        <f t="shared" si="38"/>
        <v xml:space="preserve"> </v>
      </c>
      <c r="M1131" s="75" t="str">
        <f t="shared" si="39"/>
        <v xml:space="preserve"> </v>
      </c>
      <c r="N1131" s="67"/>
      <c r="O1131" s="180"/>
      <c r="P1131" s="74"/>
      <c r="Q1131" s="75" t="str">
        <f t="shared" si="40"/>
        <v xml:space="preserve"> </v>
      </c>
      <c r="R1131" s="84" t="s">
        <v>550</v>
      </c>
      <c r="S1131" s="87" t="s">
        <v>973</v>
      </c>
      <c r="T1131" s="76">
        <v>10.199999999999999</v>
      </c>
      <c r="U1131" s="158"/>
      <c r="V1131" s="75"/>
      <c r="W1131" s="75">
        <f t="shared" si="41"/>
        <v>0</v>
      </c>
      <c r="X1131" s="75"/>
      <c r="Y1131" s="75"/>
      <c r="Z1131" s="75"/>
      <c r="AA1131" s="258"/>
      <c r="AB1131" s="75"/>
      <c r="AC1131" s="75"/>
      <c r="AD1131" s="75"/>
      <c r="AE1131" s="119"/>
      <c r="AF1131" s="119"/>
      <c r="AG1131" s="119"/>
    </row>
    <row r="1132" spans="1:33" s="81" customFormat="1" x14ac:dyDescent="0.2">
      <c r="A1132" s="13">
        <f t="shared" si="43"/>
        <v>93</v>
      </c>
      <c r="B1132" s="11"/>
      <c r="C1132" s="21"/>
      <c r="D1132" s="190"/>
      <c r="E1132" s="190"/>
      <c r="F1132" s="190"/>
      <c r="G1132" s="191"/>
      <c r="H1132" s="164"/>
      <c r="I1132" s="165"/>
      <c r="J1132" s="172"/>
      <c r="K1132" s="172"/>
      <c r="L1132" s="75" t="str">
        <f t="shared" si="38"/>
        <v xml:space="preserve"> </v>
      </c>
      <c r="M1132" s="75" t="str">
        <f t="shared" si="39"/>
        <v xml:space="preserve"> </v>
      </c>
      <c r="N1132" s="165"/>
      <c r="O1132" s="165"/>
      <c r="P1132" s="74"/>
      <c r="Q1132" s="75" t="str">
        <f>IF(N1132&lt;&gt;0,ROUND(O1132*P1132,-2)," ")</f>
        <v xml:space="preserve"> </v>
      </c>
      <c r="R1132" s="165"/>
      <c r="S1132" s="165"/>
      <c r="T1132" s="192"/>
      <c r="U1132" s="165"/>
      <c r="V1132" s="75"/>
      <c r="W1132" s="75" t="str">
        <f>IF(R1132&lt;&gt;0,ROUND(T1132*V1132,-2)," ")</f>
        <v xml:space="preserve"> </v>
      </c>
      <c r="X1132" s="75"/>
      <c r="Y1132" s="75"/>
      <c r="Z1132" s="75"/>
      <c r="AA1132" s="258"/>
      <c r="AB1132" s="75"/>
      <c r="AC1132" s="75"/>
      <c r="AD1132" s="75"/>
      <c r="AE1132" s="165"/>
      <c r="AF1132" s="165"/>
      <c r="AG1132" s="165"/>
    </row>
    <row r="1133" spans="1:33" s="81" customFormat="1" x14ac:dyDescent="0.2">
      <c r="A1133" s="13">
        <f t="shared" si="43"/>
        <v>93</v>
      </c>
      <c r="B1133" s="11"/>
      <c r="C1133" s="21"/>
      <c r="D1133" s="190"/>
      <c r="E1133" s="190"/>
      <c r="F1133" s="190"/>
      <c r="G1133" s="191"/>
      <c r="H1133" s="164"/>
      <c r="I1133" s="165"/>
      <c r="J1133" s="172" t="str">
        <f>IF(H1133&lt;&gt;0,VLOOKUP(G1133,[6]GIA!$L$3:$O$100,3,0)," ")</f>
        <v xml:space="preserve"> </v>
      </c>
      <c r="K1133" s="172" t="str">
        <f>IF(G1133&lt;&gt;0,VLOOKUP(G1133,[6]GIA!$L$3:$O$100,4,0)," ")</f>
        <v xml:space="preserve"> </v>
      </c>
      <c r="L1133" s="75" t="str">
        <f t="shared" si="38"/>
        <v xml:space="preserve"> </v>
      </c>
      <c r="M1133" s="75" t="str">
        <f t="shared" si="39"/>
        <v xml:space="preserve"> </v>
      </c>
      <c r="N1133" s="165"/>
      <c r="O1133" s="165"/>
      <c r="P1133" s="165"/>
      <c r="Q1133" s="165"/>
      <c r="R1133" s="165"/>
      <c r="S1133" s="165"/>
      <c r="T1133" s="192"/>
      <c r="U1133" s="165"/>
      <c r="V1133" s="165"/>
      <c r="W1133" s="193"/>
      <c r="X1133" s="193"/>
      <c r="Y1133" s="193"/>
      <c r="Z1133" s="193"/>
      <c r="AA1133" s="193"/>
      <c r="AB1133" s="193"/>
      <c r="AC1133" s="193"/>
      <c r="AD1133" s="193"/>
      <c r="AE1133" s="165"/>
      <c r="AF1133" s="165"/>
      <c r="AG1133" s="165"/>
    </row>
    <row r="1134" spans="1:33" s="81" customFormat="1" ht="85.5" customHeight="1" x14ac:dyDescent="0.2">
      <c r="A1134" s="13">
        <f>IF(B1134&lt;&gt;0,B1134,A1122)</f>
        <v>94</v>
      </c>
      <c r="B1134" s="11">
        <v>94</v>
      </c>
      <c r="C1134" s="21" t="s">
        <v>977</v>
      </c>
      <c r="D1134" s="2"/>
      <c r="E1134" s="2">
        <v>86</v>
      </c>
      <c r="F1134" s="1">
        <v>59</v>
      </c>
      <c r="G1134" s="1" t="s">
        <v>978</v>
      </c>
      <c r="H1134" s="78">
        <v>295.89999999999998</v>
      </c>
      <c r="I1134" s="78"/>
      <c r="J1134" s="5"/>
      <c r="K1134" s="5"/>
      <c r="L1134" s="4"/>
      <c r="M1134" s="4"/>
      <c r="N1134" s="70" t="s">
        <v>401</v>
      </c>
      <c r="O1134" s="79">
        <v>25</v>
      </c>
      <c r="P1134" s="3"/>
      <c r="Q1134" s="4"/>
      <c r="R1134" s="47" t="s">
        <v>979</v>
      </c>
      <c r="S1134" s="13" t="s">
        <v>973</v>
      </c>
      <c r="T1134" s="6">
        <v>12</v>
      </c>
      <c r="U1134" s="80"/>
      <c r="V1134" s="4"/>
      <c r="W1134" s="32"/>
      <c r="X1134" s="18"/>
      <c r="Y1134" s="20" t="s">
        <v>980</v>
      </c>
      <c r="Z1134" s="20" t="s">
        <v>981</v>
      </c>
      <c r="AA1134" s="20" t="s">
        <v>266</v>
      </c>
      <c r="AB1134" s="20" t="s">
        <v>982</v>
      </c>
      <c r="AC1134" s="20"/>
      <c r="AD1134" s="9"/>
      <c r="AE1134" s="1" t="s">
        <v>983</v>
      </c>
      <c r="AF1134" s="1"/>
      <c r="AG1134" s="1"/>
    </row>
    <row r="1135" spans="1:33" s="81" customFormat="1" ht="64.5" customHeight="1" x14ac:dyDescent="0.2">
      <c r="A1135" s="13">
        <f t="shared" ref="A1135:A1196" si="44">IF(B1135&lt;&gt;0,B1135,A1134)</f>
        <v>94</v>
      </c>
      <c r="B1135" s="11"/>
      <c r="C1135" s="1" t="s">
        <v>984</v>
      </c>
      <c r="D1135" s="2"/>
      <c r="E1135" s="2"/>
      <c r="F1135" s="1"/>
      <c r="G1135" s="1" t="s">
        <v>985</v>
      </c>
      <c r="H1135" s="78">
        <v>150</v>
      </c>
      <c r="I1135" s="78"/>
      <c r="J1135" s="5"/>
      <c r="K1135" s="5"/>
      <c r="L1135" s="4"/>
      <c r="M1135" s="4"/>
      <c r="N1135" s="70"/>
      <c r="O1135" s="5"/>
      <c r="P1135" s="3"/>
      <c r="Q1135" s="4"/>
      <c r="R1135" s="47"/>
      <c r="S1135" s="13"/>
      <c r="T1135" s="6"/>
      <c r="U1135" s="80"/>
      <c r="V1135" s="4" t="str">
        <f>IF(R1135&lt;&gt;0,VLOOKUP(R1135,[7]GIA!$F$2:$H$200,3,0)," ")</f>
        <v xml:space="preserve"> </v>
      </c>
      <c r="W1135" s="32" t="str">
        <f t="shared" ref="W1135:W1163" si="45">IF(R1135&lt;&gt;0,ROUND(T1135*V1135,-2)," ")</f>
        <v xml:space="preserve"> </v>
      </c>
      <c r="X1135" s="18"/>
      <c r="Y1135" s="20"/>
      <c r="Z1135" s="20"/>
      <c r="AA1135" s="20"/>
      <c r="AB1135" s="20"/>
      <c r="AC1135" s="20"/>
      <c r="AD1135" s="9"/>
      <c r="AE1135" s="1" t="s">
        <v>986</v>
      </c>
      <c r="AF1135" s="1"/>
      <c r="AG1135" s="1"/>
    </row>
    <row r="1136" spans="1:33" s="81" customFormat="1" ht="38.25" x14ac:dyDescent="0.2">
      <c r="A1136" s="13">
        <f t="shared" si="44"/>
        <v>94</v>
      </c>
      <c r="B1136" s="11"/>
      <c r="C1136" s="82" t="s">
        <v>1574</v>
      </c>
      <c r="D1136" s="2"/>
      <c r="E1136" s="2"/>
      <c r="F1136" s="1"/>
      <c r="G1136" s="1"/>
      <c r="H1136" s="78"/>
      <c r="I1136" s="78"/>
      <c r="J1136" s="5" t="str">
        <f>IF(G1136&lt;&gt;0,VLOOKUP(G1136,[7]GIA!$L$2:$O$200,3,0)," ")</f>
        <v xml:space="preserve"> </v>
      </c>
      <c r="K1136" s="5" t="str">
        <f>IF(G1136&lt;&gt;0,VLOOKUP(G1136,[7]GIA!$L$2:$O$200,4,0)," ")</f>
        <v xml:space="preserve"> </v>
      </c>
      <c r="L1136" s="4" t="str">
        <f t="shared" ref="L1136:L1198" si="46">IF(G1136&lt;&gt;0,ROUND(H1136*J1136,-2)," ")</f>
        <v xml:space="preserve"> </v>
      </c>
      <c r="M1136" s="4" t="str">
        <f t="shared" ref="M1136:M1198" si="47">IF(G1136&lt;&gt;0,ROUND(H1136*K1136,-2)," ")</f>
        <v xml:space="preserve"> </v>
      </c>
      <c r="N1136" s="1"/>
      <c r="O1136" s="5"/>
      <c r="P1136" s="3" t="str">
        <f>IF(N1136&lt;&gt;0,VLOOKUP(N1136,[7]GIA!$A$2:$C$200,3,0)," ")</f>
        <v xml:space="preserve"> </v>
      </c>
      <c r="Q1136" s="4" t="str">
        <f t="shared" ref="Q1136:Q1200" si="48">IF(N1136&lt;&gt;0,ROUND(O1136*P1136,-2)," ")</f>
        <v xml:space="preserve"> </v>
      </c>
      <c r="R1136" s="47"/>
      <c r="S1136" s="13"/>
      <c r="T1136" s="6"/>
      <c r="U1136" s="80"/>
      <c r="V1136" s="4" t="str">
        <f>IF(R1136&lt;&gt;0,VLOOKUP(R1136,[7]GIA!$F$2:$H$200,3,0)," ")</f>
        <v xml:space="preserve"> </v>
      </c>
      <c r="W1136" s="32" t="str">
        <f t="shared" si="45"/>
        <v xml:space="preserve"> </v>
      </c>
      <c r="X1136" s="18"/>
      <c r="Y1136" s="20"/>
      <c r="Z1136" s="20"/>
      <c r="AA1136" s="20"/>
      <c r="AB1136" s="20"/>
      <c r="AC1136" s="20"/>
      <c r="AD1136" s="9"/>
      <c r="AE1136" s="1" t="s">
        <v>404</v>
      </c>
      <c r="AF1136" s="1"/>
      <c r="AG1136" s="1"/>
    </row>
    <row r="1137" spans="1:33" s="81" customFormat="1" x14ac:dyDescent="0.2">
      <c r="A1137" s="13">
        <f t="shared" si="44"/>
        <v>94</v>
      </c>
      <c r="B1137" s="11"/>
      <c r="C1137" s="21"/>
      <c r="D1137" s="190"/>
      <c r="E1137" s="190"/>
      <c r="F1137" s="190"/>
      <c r="G1137" s="191"/>
      <c r="H1137" s="164"/>
      <c r="I1137" s="165"/>
      <c r="J1137" s="172" t="str">
        <f>IF(G1137&lt;&gt;0,VLOOKUP(G1137,[7]GIA!$L$2:$O$200,3,0)," ")</f>
        <v xml:space="preserve"> </v>
      </c>
      <c r="K1137" s="172" t="str">
        <f>IF(G1137&lt;&gt;0,VLOOKUP(G1137,[7]GIA!$L$2:$O$200,4,0)," ")</f>
        <v xml:space="preserve"> </v>
      </c>
      <c r="L1137" s="75" t="str">
        <f t="shared" si="46"/>
        <v xml:space="preserve"> </v>
      </c>
      <c r="M1137" s="75" t="str">
        <f t="shared" si="47"/>
        <v xml:space="preserve"> </v>
      </c>
      <c r="N1137" s="165"/>
      <c r="O1137" s="165"/>
      <c r="P1137" s="165" t="str">
        <f>IF(N1137&lt;&gt;0,VLOOKUP(N1137,[7]GIA!$A$2:$C$200,3,0)," ")</f>
        <v xml:space="preserve"> </v>
      </c>
      <c r="Q1137" s="165" t="str">
        <f t="shared" si="48"/>
        <v xml:space="preserve"> </v>
      </c>
      <c r="R1137" s="165"/>
      <c r="S1137" s="165"/>
      <c r="T1137" s="192"/>
      <c r="U1137" s="165"/>
      <c r="V1137" s="165" t="str">
        <f>IF(R1137&lt;&gt;0,VLOOKUP(R1137,[7]GIA!$F$2:$H$200,3,0)," ")</f>
        <v xml:space="preserve"> </v>
      </c>
      <c r="W1137" s="193" t="str">
        <f t="shared" si="45"/>
        <v xml:space="preserve"> </v>
      </c>
      <c r="X1137" s="193"/>
      <c r="Y1137" s="193"/>
      <c r="Z1137" s="193"/>
      <c r="AA1137" s="193"/>
      <c r="AB1137" s="193"/>
      <c r="AC1137" s="193"/>
      <c r="AD1137" s="193"/>
      <c r="AE1137" s="165"/>
      <c r="AF1137" s="165"/>
      <c r="AG1137" s="165"/>
    </row>
    <row r="1138" spans="1:33" s="81" customFormat="1" ht="12.75" x14ac:dyDescent="0.2">
      <c r="A1138" s="13">
        <f t="shared" si="44"/>
        <v>94</v>
      </c>
      <c r="B1138" s="11"/>
      <c r="C1138" s="84"/>
      <c r="D1138" s="178"/>
      <c r="E1138" s="2"/>
      <c r="F1138" s="1"/>
      <c r="G1138" s="1"/>
      <c r="H1138" s="125"/>
      <c r="I1138" s="125"/>
      <c r="J1138" s="5" t="str">
        <f>IF(G1138&lt;&gt;0,VLOOKUP(G1138,[7]GIA!$L$2:$O$200,3,0)," ")</f>
        <v xml:space="preserve"> </v>
      </c>
      <c r="K1138" s="5" t="str">
        <f>IF(G1138&lt;&gt;0,VLOOKUP(G1138,[7]GIA!$L$2:$O$200,4,0)," ")</f>
        <v xml:space="preserve"> </v>
      </c>
      <c r="L1138" s="4" t="str">
        <f t="shared" si="46"/>
        <v xml:space="preserve"> </v>
      </c>
      <c r="M1138" s="4" t="str">
        <f t="shared" si="47"/>
        <v xml:space="preserve"> </v>
      </c>
      <c r="N1138" s="84"/>
      <c r="O1138" s="79"/>
      <c r="P1138" s="3" t="str">
        <f>IF(N1138&lt;&gt;0,VLOOKUP(N1138,[7]GIA!$A$2:$C$200,3,0)," ")</f>
        <v xml:space="preserve"> </v>
      </c>
      <c r="Q1138" s="4" t="str">
        <f t="shared" si="48"/>
        <v xml:space="preserve"> </v>
      </c>
      <c r="R1138" s="84"/>
      <c r="S1138" s="87"/>
      <c r="T1138" s="77"/>
      <c r="U1138" s="2"/>
      <c r="V1138" s="4" t="str">
        <f>IF(R1138&lt;&gt;0,VLOOKUP(R1138,[7]GIA!$F$2:$H$200,3,0)," ")</f>
        <v xml:space="preserve"> </v>
      </c>
      <c r="W1138" s="32" t="str">
        <f t="shared" si="45"/>
        <v xml:space="preserve"> </v>
      </c>
      <c r="X1138" s="18"/>
      <c r="Y1138" s="20"/>
      <c r="Z1138" s="20"/>
      <c r="AA1138" s="20"/>
      <c r="AB1138" s="20"/>
      <c r="AC1138" s="20"/>
      <c r="AD1138" s="9"/>
      <c r="AE1138" s="2"/>
      <c r="AF1138" s="2"/>
      <c r="AG1138" s="2"/>
    </row>
    <row r="1139" spans="1:33" s="81" customFormat="1" ht="12.75" x14ac:dyDescent="0.2">
      <c r="A1139" s="13">
        <f t="shared" si="44"/>
        <v>94</v>
      </c>
      <c r="B1139" s="11"/>
      <c r="C1139" s="82"/>
      <c r="D1139" s="2"/>
      <c r="E1139" s="133"/>
      <c r="F1139" s="133"/>
      <c r="G1139" s="84"/>
      <c r="H1139" s="125"/>
      <c r="I1139" s="125"/>
      <c r="J1139" s="5" t="str">
        <f>IF(G1139&lt;&gt;0,VLOOKUP(G1139,[7]GIA!$L$2:$O$200,3,0)," ")</f>
        <v xml:space="preserve"> </v>
      </c>
      <c r="K1139" s="5" t="str">
        <f>IF(G1139&lt;&gt;0,VLOOKUP(G1139,[7]GIA!$L$2:$O$200,4,0)," ")</f>
        <v xml:space="preserve"> </v>
      </c>
      <c r="L1139" s="4" t="str">
        <f t="shared" si="46"/>
        <v xml:space="preserve"> </v>
      </c>
      <c r="M1139" s="4" t="str">
        <f t="shared" si="47"/>
        <v xml:space="preserve"> </v>
      </c>
      <c r="N1139" s="84"/>
      <c r="O1139" s="79"/>
      <c r="P1139" s="3" t="str">
        <f>IF(N1139&lt;&gt;0,VLOOKUP(N1139,[7]GIA!$A$2:$C$200,3,0)," ")</f>
        <v xml:space="preserve"> </v>
      </c>
      <c r="Q1139" s="4" t="str">
        <f t="shared" si="48"/>
        <v xml:space="preserve"> </v>
      </c>
      <c r="R1139" s="84"/>
      <c r="S1139" s="87"/>
      <c r="T1139" s="77"/>
      <c r="U1139" s="2"/>
      <c r="V1139" s="4" t="str">
        <f>IF(R1139&lt;&gt;0,VLOOKUP(R1139,[7]GIA!$F$2:$H$200,3,0)," ")</f>
        <v xml:space="preserve"> </v>
      </c>
      <c r="W1139" s="32" t="str">
        <f t="shared" si="45"/>
        <v xml:space="preserve"> </v>
      </c>
      <c r="X1139" s="18"/>
      <c r="Y1139" s="20"/>
      <c r="Z1139" s="20"/>
      <c r="AA1139" s="20"/>
      <c r="AB1139" s="20"/>
      <c r="AC1139" s="20"/>
      <c r="AD1139" s="9"/>
      <c r="AE1139" s="2"/>
      <c r="AF1139" s="2"/>
      <c r="AG1139" s="2"/>
    </row>
    <row r="1140" spans="1:33" s="81" customFormat="1" ht="12.75" x14ac:dyDescent="0.2">
      <c r="A1140" s="13">
        <f t="shared" si="44"/>
        <v>94</v>
      </c>
      <c r="B1140" s="11"/>
      <c r="C1140" s="1"/>
      <c r="D1140" s="2"/>
      <c r="E1140" s="2"/>
      <c r="F1140" s="1"/>
      <c r="G1140" s="1"/>
      <c r="H1140" s="125"/>
      <c r="I1140" s="125"/>
      <c r="J1140" s="5" t="str">
        <f>IF(G1140&lt;&gt;0,VLOOKUP(G1140,[7]GIA!$L$2:$O$200,3,0)," ")</f>
        <v xml:space="preserve"> </v>
      </c>
      <c r="K1140" s="5" t="str">
        <f>IF(G1140&lt;&gt;0,VLOOKUP(G1140,[7]GIA!$L$2:$O$200,4,0)," ")</f>
        <v xml:space="preserve"> </v>
      </c>
      <c r="L1140" s="4" t="str">
        <f t="shared" si="46"/>
        <v xml:space="preserve"> </v>
      </c>
      <c r="M1140" s="4" t="str">
        <f t="shared" si="47"/>
        <v xml:space="preserve"> </v>
      </c>
      <c r="N1140" s="84"/>
      <c r="O1140" s="79"/>
      <c r="P1140" s="3" t="str">
        <f>IF(N1140&lt;&gt;0,VLOOKUP(N1140,[7]GIA!$A$2:$C$200,3,0)," ")</f>
        <v xml:space="preserve"> </v>
      </c>
      <c r="Q1140" s="4" t="str">
        <f t="shared" si="48"/>
        <v xml:space="preserve"> </v>
      </c>
      <c r="R1140" s="84"/>
      <c r="S1140" s="87"/>
      <c r="T1140" s="77"/>
      <c r="U1140" s="80"/>
      <c r="V1140" s="4" t="str">
        <f>IF(R1140&lt;&gt;0,VLOOKUP(R1140,[7]GIA!$F$2:$H$200,3,0)," ")</f>
        <v xml:space="preserve"> </v>
      </c>
      <c r="W1140" s="32" t="str">
        <f t="shared" si="45"/>
        <v xml:space="preserve"> </v>
      </c>
      <c r="X1140" s="18"/>
      <c r="Y1140" s="20"/>
      <c r="Z1140" s="20"/>
      <c r="AA1140" s="20"/>
      <c r="AB1140" s="20"/>
      <c r="AC1140" s="20"/>
      <c r="AD1140" s="9"/>
      <c r="AE1140" s="2"/>
      <c r="AF1140" s="2"/>
      <c r="AG1140" s="2"/>
    </row>
    <row r="1141" spans="1:33" s="81" customFormat="1" ht="12.75" x14ac:dyDescent="0.2">
      <c r="A1141" s="13">
        <f t="shared" si="44"/>
        <v>94</v>
      </c>
      <c r="B1141" s="11"/>
      <c r="C1141" s="1"/>
      <c r="D1141" s="2"/>
      <c r="E1141" s="2"/>
      <c r="F1141" s="1"/>
      <c r="G1141" s="1"/>
      <c r="H1141" s="78"/>
      <c r="I1141" s="78"/>
      <c r="J1141" s="5" t="str">
        <f>IF(G1141&lt;&gt;0,VLOOKUP(G1141,[7]GIA!$L$2:$O$200,3,0)," ")</f>
        <v xml:space="preserve"> </v>
      </c>
      <c r="K1141" s="5" t="str">
        <f>IF(G1141&lt;&gt;0,VLOOKUP(G1141,[7]GIA!$L$2:$O$200,4,0)," ")</f>
        <v xml:space="preserve"> </v>
      </c>
      <c r="L1141" s="4" t="str">
        <f t="shared" si="46"/>
        <v xml:space="preserve"> </v>
      </c>
      <c r="M1141" s="4" t="str">
        <f t="shared" si="47"/>
        <v xml:space="preserve"> </v>
      </c>
      <c r="N1141" s="84"/>
      <c r="O1141" s="5"/>
      <c r="P1141" s="3" t="str">
        <f>IF(N1141&lt;&gt;0,VLOOKUP(N1141,[7]GIA!$A$2:$C$200,3,0)," ")</f>
        <v xml:space="preserve"> </v>
      </c>
      <c r="Q1141" s="4" t="str">
        <f t="shared" si="48"/>
        <v xml:space="preserve"> </v>
      </c>
      <c r="R1141" s="47"/>
      <c r="S1141" s="13"/>
      <c r="T1141" s="6"/>
      <c r="U1141" s="80"/>
      <c r="V1141" s="4" t="str">
        <f>IF(R1141&lt;&gt;0,VLOOKUP(R1141,[7]GIA!$F$2:$H$200,3,0)," ")</f>
        <v xml:space="preserve"> </v>
      </c>
      <c r="W1141" s="32" t="str">
        <f t="shared" si="45"/>
        <v xml:space="preserve"> </v>
      </c>
      <c r="X1141" s="18"/>
      <c r="Y1141" s="20"/>
      <c r="Z1141" s="20"/>
      <c r="AA1141" s="20"/>
      <c r="AB1141" s="20"/>
      <c r="AC1141" s="20"/>
      <c r="AD1141" s="9"/>
      <c r="AE1141" s="2"/>
      <c r="AF1141" s="2"/>
      <c r="AG1141" s="2"/>
    </row>
    <row r="1142" spans="1:33" s="81" customFormat="1" ht="12.75" x14ac:dyDescent="0.2">
      <c r="A1142" s="13">
        <f t="shared" si="44"/>
        <v>94</v>
      </c>
      <c r="B1142" s="11"/>
      <c r="C1142" s="1"/>
      <c r="D1142" s="2"/>
      <c r="E1142" s="2"/>
      <c r="F1142" s="1"/>
      <c r="G1142" s="1"/>
      <c r="H1142" s="78"/>
      <c r="I1142" s="78"/>
      <c r="J1142" s="5" t="str">
        <f>IF(G1142&lt;&gt;0,VLOOKUP(G1142,[7]GIA!$L$2:$O$200,3,0)," ")</f>
        <v xml:space="preserve"> </v>
      </c>
      <c r="K1142" s="5" t="str">
        <f>IF(G1142&lt;&gt;0,VLOOKUP(G1142,[7]GIA!$L$2:$O$200,4,0)," ")</f>
        <v xml:space="preserve"> </v>
      </c>
      <c r="L1142" s="4" t="str">
        <f t="shared" si="46"/>
        <v xml:space="preserve"> </v>
      </c>
      <c r="M1142" s="4" t="str">
        <f t="shared" si="47"/>
        <v xml:space="preserve"> </v>
      </c>
      <c r="N1142" s="1"/>
      <c r="O1142" s="5"/>
      <c r="P1142" s="3" t="str">
        <f>IF(N1142&lt;&gt;0,VLOOKUP(N1142,[7]GIA!$A$2:$C$200,3,0)," ")</f>
        <v xml:space="preserve"> </v>
      </c>
      <c r="Q1142" s="4" t="str">
        <f t="shared" si="48"/>
        <v xml:space="preserve"> </v>
      </c>
      <c r="R1142" s="47"/>
      <c r="S1142" s="13"/>
      <c r="T1142" s="6"/>
      <c r="U1142" s="80"/>
      <c r="V1142" s="4" t="str">
        <f>IF(R1142&lt;&gt;0,VLOOKUP(R1142,[7]GIA!$F$2:$H$200,3,0)," ")</f>
        <v xml:space="preserve"> </v>
      </c>
      <c r="W1142" s="32" t="str">
        <f t="shared" si="45"/>
        <v xml:space="preserve"> </v>
      </c>
      <c r="X1142" s="18"/>
      <c r="Y1142" s="20"/>
      <c r="Z1142" s="20"/>
      <c r="AA1142" s="20"/>
      <c r="AB1142" s="20"/>
      <c r="AC1142" s="20"/>
      <c r="AD1142" s="9"/>
      <c r="AE1142" s="2"/>
      <c r="AF1142" s="2"/>
      <c r="AG1142" s="2"/>
    </row>
    <row r="1143" spans="1:33" s="81" customFormat="1" ht="43.5" customHeight="1" x14ac:dyDescent="0.2">
      <c r="A1143" s="13">
        <f t="shared" si="44"/>
        <v>95</v>
      </c>
      <c r="B1143" s="11">
        <v>95</v>
      </c>
      <c r="C1143" s="21" t="s">
        <v>987</v>
      </c>
      <c r="D1143" s="2"/>
      <c r="E1143" s="2">
        <v>86</v>
      </c>
      <c r="F1143" s="1">
        <v>154</v>
      </c>
      <c r="G1143" s="1" t="s">
        <v>855</v>
      </c>
      <c r="H1143" s="78">
        <f>614.4-H1145</f>
        <v>148.19999999999999</v>
      </c>
      <c r="I1143" s="78"/>
      <c r="J1143" s="5"/>
      <c r="K1143" s="5"/>
      <c r="L1143" s="4"/>
      <c r="M1143" s="4"/>
      <c r="N1143" s="70" t="s">
        <v>400</v>
      </c>
      <c r="O1143" s="79">
        <v>5</v>
      </c>
      <c r="P1143" s="3"/>
      <c r="Q1143" s="4"/>
      <c r="R1143" s="47"/>
      <c r="S1143" s="13"/>
      <c r="T1143" s="6"/>
      <c r="U1143" s="80"/>
      <c r="V1143" s="4"/>
      <c r="W1143" s="32"/>
      <c r="X1143" s="18"/>
      <c r="Y1143" s="20"/>
      <c r="Z1143" s="20"/>
      <c r="AA1143" s="20"/>
      <c r="AB1143" s="20"/>
      <c r="AC1143" s="20"/>
      <c r="AD1143" s="9"/>
      <c r="AE1143" s="1" t="s">
        <v>989</v>
      </c>
      <c r="AF1143" s="1"/>
      <c r="AG1143" s="1"/>
    </row>
    <row r="1144" spans="1:33" s="81" customFormat="1" ht="59.25" customHeight="1" x14ac:dyDescent="0.2">
      <c r="A1144" s="13">
        <f t="shared" si="44"/>
        <v>95</v>
      </c>
      <c r="B1144" s="11"/>
      <c r="C1144" s="1" t="s">
        <v>990</v>
      </c>
      <c r="D1144" s="2"/>
      <c r="E1144" s="2"/>
      <c r="F1144" s="1"/>
      <c r="G1144" s="1" t="s">
        <v>991</v>
      </c>
      <c r="H1144" s="78">
        <v>49.9</v>
      </c>
      <c r="I1144" s="78"/>
      <c r="J1144" s="5"/>
      <c r="K1144" s="5"/>
      <c r="L1144" s="4"/>
      <c r="M1144" s="4"/>
      <c r="N1144" s="68" t="s">
        <v>932</v>
      </c>
      <c r="O1144" s="5">
        <v>2</v>
      </c>
      <c r="P1144" s="3"/>
      <c r="Q1144" s="4"/>
      <c r="R1144" s="47"/>
      <c r="S1144" s="13"/>
      <c r="T1144" s="6"/>
      <c r="U1144" s="80"/>
      <c r="V1144" s="4" t="str">
        <f>IF(R1144&lt;&gt;0,VLOOKUP(R1144,[7]GIA!$F$2:$H$200,3,0)," ")</f>
        <v xml:space="preserve"> </v>
      </c>
      <c r="W1144" s="32" t="str">
        <f t="shared" si="45"/>
        <v xml:space="preserve"> </v>
      </c>
      <c r="X1144" s="18"/>
      <c r="Y1144" s="20"/>
      <c r="Z1144" s="20"/>
      <c r="AA1144" s="20"/>
      <c r="AB1144" s="20"/>
      <c r="AC1144" s="20"/>
      <c r="AD1144" s="9"/>
      <c r="AE1144" s="1" t="s">
        <v>992</v>
      </c>
      <c r="AF1144" s="1"/>
      <c r="AG1144" s="1"/>
    </row>
    <row r="1145" spans="1:33" s="81" customFormat="1" ht="94.5" customHeight="1" x14ac:dyDescent="0.2">
      <c r="A1145" s="13">
        <f t="shared" si="44"/>
        <v>95</v>
      </c>
      <c r="B1145" s="11"/>
      <c r="C1145" s="82" t="s">
        <v>1575</v>
      </c>
      <c r="D1145" s="2"/>
      <c r="E1145" s="2"/>
      <c r="F1145" s="1"/>
      <c r="G1145" s="1" t="s">
        <v>978</v>
      </c>
      <c r="H1145" s="78">
        <v>466.2</v>
      </c>
      <c r="I1145" s="78"/>
      <c r="J1145" s="5"/>
      <c r="K1145" s="5"/>
      <c r="L1145" s="4"/>
      <c r="M1145" s="4"/>
      <c r="N1145" s="1"/>
      <c r="O1145" s="5"/>
      <c r="P1145" s="3" t="str">
        <f>IF(N1145&lt;&gt;0,VLOOKUP(N1145,[7]GIA!$A$2:$C$200,3,0)," ")</f>
        <v xml:space="preserve"> </v>
      </c>
      <c r="Q1145" s="4" t="str">
        <f t="shared" si="48"/>
        <v xml:space="preserve"> </v>
      </c>
      <c r="R1145" s="47"/>
      <c r="S1145" s="13"/>
      <c r="T1145" s="6"/>
      <c r="U1145" s="80"/>
      <c r="V1145" s="4" t="str">
        <f>IF(R1145&lt;&gt;0,VLOOKUP(R1145,[7]GIA!$F$2:$H$200,3,0)," ")</f>
        <v xml:space="preserve"> </v>
      </c>
      <c r="W1145" s="32" t="str">
        <f t="shared" si="45"/>
        <v xml:space="preserve"> </v>
      </c>
      <c r="X1145" s="18"/>
      <c r="Y1145" s="20"/>
      <c r="Z1145" s="20"/>
      <c r="AA1145" s="20"/>
      <c r="AB1145" s="20"/>
      <c r="AC1145" s="20"/>
      <c r="AD1145" s="9"/>
      <c r="AE1145" s="2" t="s">
        <v>809</v>
      </c>
      <c r="AF1145" s="2"/>
      <c r="AG1145" s="2"/>
    </row>
    <row r="1146" spans="1:33" s="81" customFormat="1" ht="42" customHeight="1" x14ac:dyDescent="0.2">
      <c r="A1146" s="13">
        <f t="shared" si="44"/>
        <v>95</v>
      </c>
      <c r="B1146" s="11"/>
      <c r="C1146" s="82"/>
      <c r="D1146" s="178"/>
      <c r="E1146" s="2"/>
      <c r="F1146" s="1"/>
      <c r="G1146" s="1" t="s">
        <v>844</v>
      </c>
      <c r="H1146" s="78">
        <v>0.2</v>
      </c>
      <c r="I1146" s="125"/>
      <c r="J1146" s="5"/>
      <c r="K1146" s="5"/>
      <c r="L1146" s="4">
        <f t="shared" si="46"/>
        <v>0</v>
      </c>
      <c r="M1146" s="4">
        <f t="shared" si="47"/>
        <v>0</v>
      </c>
      <c r="N1146" s="1"/>
      <c r="O1146" s="79"/>
      <c r="P1146" s="3" t="str">
        <f>IF(N1146&lt;&gt;0,VLOOKUP(N1146,[7]GIA!$A$2:$C$200,3,0)," ")</f>
        <v xml:space="preserve"> </v>
      </c>
      <c r="Q1146" s="4" t="str">
        <f t="shared" si="48"/>
        <v xml:space="preserve"> </v>
      </c>
      <c r="R1146" s="84"/>
      <c r="S1146" s="87"/>
      <c r="T1146" s="77"/>
      <c r="U1146" s="2"/>
      <c r="V1146" s="4" t="str">
        <f>IF(R1146&lt;&gt;0,VLOOKUP(R1146,[7]GIA!$F$2:$H$200,3,0)," ")</f>
        <v xml:space="preserve"> </v>
      </c>
      <c r="W1146" s="32" t="str">
        <f t="shared" si="45"/>
        <v xml:space="preserve"> </v>
      </c>
      <c r="X1146" s="18"/>
      <c r="Y1146" s="20"/>
      <c r="Z1146" s="20"/>
      <c r="AA1146" s="20"/>
      <c r="AB1146" s="20"/>
      <c r="AC1146" s="20"/>
      <c r="AD1146" s="9"/>
      <c r="AE1146" s="2"/>
      <c r="AF1146" s="2"/>
      <c r="AG1146" s="2"/>
    </row>
    <row r="1147" spans="1:33" s="81" customFormat="1" ht="12.75" x14ac:dyDescent="0.2">
      <c r="A1147" s="13">
        <f t="shared" si="44"/>
        <v>95</v>
      </c>
      <c r="B1147" s="11"/>
      <c r="C1147" s="84"/>
      <c r="D1147" s="178"/>
      <c r="E1147" s="2"/>
      <c r="F1147" s="1"/>
      <c r="G1147" s="1"/>
      <c r="H1147" s="125"/>
      <c r="I1147" s="125"/>
      <c r="J1147" s="5" t="str">
        <f>IF(G1147&lt;&gt;0,VLOOKUP(G1147,[7]GIA!$L$2:$O$200,3,0)," ")</f>
        <v xml:space="preserve"> </v>
      </c>
      <c r="K1147" s="5" t="str">
        <f>IF(G1147&lt;&gt;0,VLOOKUP(G1147,[7]GIA!$L$2:$O$200,4,0)," ")</f>
        <v xml:space="preserve"> </v>
      </c>
      <c r="L1147" s="4" t="str">
        <f t="shared" si="46"/>
        <v xml:space="preserve"> </v>
      </c>
      <c r="M1147" s="4" t="str">
        <f t="shared" si="47"/>
        <v xml:space="preserve"> </v>
      </c>
      <c r="N1147" s="84"/>
      <c r="O1147" s="79"/>
      <c r="P1147" s="3" t="str">
        <f>IF(N1147&lt;&gt;0,VLOOKUP(N1147,[7]GIA!$A$2:$C$200,3,0)," ")</f>
        <v xml:space="preserve"> </v>
      </c>
      <c r="Q1147" s="4" t="str">
        <f t="shared" si="48"/>
        <v xml:space="preserve"> </v>
      </c>
      <c r="R1147" s="84"/>
      <c r="S1147" s="87"/>
      <c r="T1147" s="77"/>
      <c r="U1147" s="2"/>
      <c r="V1147" s="4" t="str">
        <f>IF(R1147&lt;&gt;0,VLOOKUP(R1147,[7]GIA!$F$2:$H$200,3,0)," ")</f>
        <v xml:space="preserve"> </v>
      </c>
      <c r="W1147" s="32" t="str">
        <f t="shared" si="45"/>
        <v xml:space="preserve"> </v>
      </c>
      <c r="X1147" s="18"/>
      <c r="Y1147" s="20"/>
      <c r="Z1147" s="20"/>
      <c r="AA1147" s="20"/>
      <c r="AB1147" s="20"/>
      <c r="AC1147" s="20"/>
      <c r="AD1147" s="9"/>
      <c r="AE1147" s="2"/>
      <c r="AF1147" s="2"/>
      <c r="AG1147" s="2"/>
    </row>
    <row r="1148" spans="1:33" s="81" customFormat="1" ht="12.75" x14ac:dyDescent="0.2">
      <c r="A1148" s="13">
        <f t="shared" si="44"/>
        <v>95</v>
      </c>
      <c r="B1148" s="11"/>
      <c r="C1148" s="82"/>
      <c r="D1148" s="2"/>
      <c r="E1148" s="133"/>
      <c r="F1148" s="133"/>
      <c r="G1148" s="84"/>
      <c r="H1148" s="125"/>
      <c r="I1148" s="125"/>
      <c r="J1148" s="5" t="str">
        <f>IF(G1148&lt;&gt;0,VLOOKUP(G1148,[7]GIA!$L$2:$O$200,3,0)," ")</f>
        <v xml:space="preserve"> </v>
      </c>
      <c r="K1148" s="5" t="str">
        <f>IF(G1148&lt;&gt;0,VLOOKUP(G1148,[7]GIA!$L$2:$O$200,4,0)," ")</f>
        <v xml:space="preserve"> </v>
      </c>
      <c r="L1148" s="4" t="str">
        <f t="shared" si="46"/>
        <v xml:space="preserve"> </v>
      </c>
      <c r="M1148" s="4" t="str">
        <f t="shared" si="47"/>
        <v xml:space="preserve"> </v>
      </c>
      <c r="N1148" s="84"/>
      <c r="O1148" s="79"/>
      <c r="P1148" s="3" t="str">
        <f>IF(N1148&lt;&gt;0,VLOOKUP(N1148,[7]GIA!$A$2:$C$200,3,0)," ")</f>
        <v xml:space="preserve"> </v>
      </c>
      <c r="Q1148" s="4" t="str">
        <f t="shared" si="48"/>
        <v xml:space="preserve"> </v>
      </c>
      <c r="R1148" s="84"/>
      <c r="S1148" s="87"/>
      <c r="T1148" s="77"/>
      <c r="U1148" s="2"/>
      <c r="V1148" s="4" t="str">
        <f>IF(R1148&lt;&gt;0,VLOOKUP(R1148,[7]GIA!$F$2:$H$200,3,0)," ")</f>
        <v xml:space="preserve"> </v>
      </c>
      <c r="W1148" s="32" t="str">
        <f t="shared" si="45"/>
        <v xml:space="preserve"> </v>
      </c>
      <c r="X1148" s="18"/>
      <c r="Y1148" s="20"/>
      <c r="Z1148" s="20"/>
      <c r="AA1148" s="20"/>
      <c r="AB1148" s="20"/>
      <c r="AC1148" s="20"/>
      <c r="AD1148" s="9"/>
      <c r="AE1148" s="2"/>
      <c r="AF1148" s="2"/>
      <c r="AG1148" s="2"/>
    </row>
    <row r="1149" spans="1:33" s="81" customFormat="1" ht="91.5" customHeight="1" x14ac:dyDescent="0.2">
      <c r="A1149" s="13">
        <f t="shared" si="44"/>
        <v>96</v>
      </c>
      <c r="B1149" s="11">
        <v>96</v>
      </c>
      <c r="C1149" s="21" t="s">
        <v>993</v>
      </c>
      <c r="D1149" s="2"/>
      <c r="E1149" s="2">
        <v>86</v>
      </c>
      <c r="F1149" s="1">
        <v>165</v>
      </c>
      <c r="G1149" s="1" t="s">
        <v>978</v>
      </c>
      <c r="H1149" s="78">
        <v>68.5</v>
      </c>
      <c r="I1149" s="78"/>
      <c r="J1149" s="5"/>
      <c r="K1149" s="5"/>
      <c r="L1149" s="4"/>
      <c r="M1149" s="4"/>
      <c r="N1149" s="70" t="s">
        <v>400</v>
      </c>
      <c r="O1149" s="5">
        <v>17</v>
      </c>
      <c r="P1149" s="3"/>
      <c r="Q1149" s="4"/>
      <c r="R1149" s="47"/>
      <c r="S1149" s="13"/>
      <c r="T1149" s="6"/>
      <c r="U1149" s="80"/>
      <c r="V1149" s="4" t="str">
        <f>IF(R1149&lt;&gt;0,VLOOKUP(R1149,[7]GIA!$F$2:$H$200,3,0)," ")</f>
        <v xml:space="preserve"> </v>
      </c>
      <c r="W1149" s="32" t="str">
        <f t="shared" si="45"/>
        <v xml:space="preserve"> </v>
      </c>
      <c r="X1149" s="18"/>
      <c r="Y1149" s="20"/>
      <c r="Z1149" s="20"/>
      <c r="AA1149" s="20"/>
      <c r="AB1149" s="20"/>
      <c r="AC1149" s="20"/>
      <c r="AD1149" s="9"/>
      <c r="AE1149" s="1" t="s">
        <v>994</v>
      </c>
      <c r="AF1149" s="1"/>
      <c r="AG1149" s="1"/>
    </row>
    <row r="1150" spans="1:33" s="81" customFormat="1" ht="28.5" x14ac:dyDescent="0.2">
      <c r="A1150" s="13">
        <f t="shared" si="44"/>
        <v>96</v>
      </c>
      <c r="B1150" s="11"/>
      <c r="C1150" s="1" t="s">
        <v>995</v>
      </c>
      <c r="D1150" s="2"/>
      <c r="E1150" s="2"/>
      <c r="F1150" s="1"/>
      <c r="G1150" s="1" t="s">
        <v>991</v>
      </c>
      <c r="H1150" s="78">
        <v>16.600000000000001</v>
      </c>
      <c r="I1150" s="78"/>
      <c r="J1150" s="5"/>
      <c r="K1150" s="5"/>
      <c r="L1150" s="4"/>
      <c r="M1150" s="4"/>
      <c r="N1150" s="70" t="s">
        <v>401</v>
      </c>
      <c r="O1150" s="5">
        <v>194</v>
      </c>
      <c r="P1150" s="3"/>
      <c r="Q1150" s="4"/>
      <c r="R1150" s="47"/>
      <c r="S1150" s="13"/>
      <c r="T1150" s="6"/>
      <c r="U1150" s="80"/>
      <c r="V1150" s="4" t="str">
        <f>IF(R1150&lt;&gt;0,VLOOKUP(R1150,[7]GIA!$F$2:$H$200,3,0)," ")</f>
        <v xml:space="preserve"> </v>
      </c>
      <c r="W1150" s="32" t="str">
        <f t="shared" si="45"/>
        <v xml:space="preserve"> </v>
      </c>
      <c r="X1150" s="18"/>
      <c r="Y1150" s="20"/>
      <c r="Z1150" s="20"/>
      <c r="AA1150" s="20"/>
      <c r="AB1150" s="20"/>
      <c r="AC1150" s="20"/>
      <c r="AD1150" s="9"/>
      <c r="AE1150" s="1" t="s">
        <v>996</v>
      </c>
      <c r="AF1150" s="1"/>
      <c r="AG1150" s="1"/>
    </row>
    <row r="1151" spans="1:33" s="81" customFormat="1" ht="38.25" x14ac:dyDescent="0.2">
      <c r="A1151" s="13">
        <f t="shared" si="44"/>
        <v>96</v>
      </c>
      <c r="B1151" s="11"/>
      <c r="C1151" s="82" t="s">
        <v>1576</v>
      </c>
      <c r="D1151" s="2"/>
      <c r="E1151" s="2"/>
      <c r="F1151" s="1"/>
      <c r="G1151" s="1" t="s">
        <v>985</v>
      </c>
      <c r="H1151" s="78">
        <f>100-H1150</f>
        <v>83.4</v>
      </c>
      <c r="I1151" s="78"/>
      <c r="J1151" s="5"/>
      <c r="K1151" s="5"/>
      <c r="L1151" s="4"/>
      <c r="M1151" s="4"/>
      <c r="N1151" s="1" t="s">
        <v>997</v>
      </c>
      <c r="O1151" s="5">
        <v>15</v>
      </c>
      <c r="P1151" s="3"/>
      <c r="Q1151" s="4"/>
      <c r="R1151" s="47"/>
      <c r="S1151" s="13"/>
      <c r="T1151" s="6"/>
      <c r="U1151" s="80"/>
      <c r="V1151" s="4" t="str">
        <f>IF(R1151&lt;&gt;0,VLOOKUP(R1151,[7]GIA!$F$2:$H$200,3,0)," ")</f>
        <v xml:space="preserve"> </v>
      </c>
      <c r="W1151" s="32" t="str">
        <f t="shared" si="45"/>
        <v xml:space="preserve"> </v>
      </c>
      <c r="X1151" s="18"/>
      <c r="Y1151" s="20"/>
      <c r="Z1151" s="20"/>
      <c r="AA1151" s="20"/>
      <c r="AB1151" s="20"/>
      <c r="AC1151" s="20"/>
      <c r="AD1151" s="9"/>
      <c r="AE1151" s="2" t="s">
        <v>809</v>
      </c>
      <c r="AF1151" s="2"/>
      <c r="AG1151" s="2"/>
    </row>
    <row r="1152" spans="1:33" s="81" customFormat="1" ht="38.25" x14ac:dyDescent="0.2">
      <c r="A1152" s="13">
        <f t="shared" si="44"/>
        <v>96</v>
      </c>
      <c r="B1152" s="11"/>
      <c r="C1152" s="82"/>
      <c r="D1152" s="2"/>
      <c r="E1152" s="2"/>
      <c r="F1152" s="1"/>
      <c r="G1152" s="1" t="s">
        <v>844</v>
      </c>
      <c r="H1152" s="78">
        <v>0.2</v>
      </c>
      <c r="I1152" s="78"/>
      <c r="J1152" s="5"/>
      <c r="K1152" s="5"/>
      <c r="L1152" s="4">
        <f t="shared" si="46"/>
        <v>0</v>
      </c>
      <c r="M1152" s="4">
        <f t="shared" si="47"/>
        <v>0</v>
      </c>
      <c r="N1152" s="1"/>
      <c r="O1152" s="5"/>
      <c r="P1152" s="3"/>
      <c r="Q1152" s="4"/>
      <c r="R1152" s="47"/>
      <c r="S1152" s="13"/>
      <c r="T1152" s="6"/>
      <c r="U1152" s="80"/>
      <c r="V1152" s="4" t="str">
        <f>IF(R1152&lt;&gt;0,VLOOKUP(R1152,[7]GIA!$F$2:$H$200,3,0)," ")</f>
        <v xml:space="preserve"> </v>
      </c>
      <c r="W1152" s="32" t="str">
        <f t="shared" si="45"/>
        <v xml:space="preserve"> </v>
      </c>
      <c r="X1152" s="18"/>
      <c r="Y1152" s="20"/>
      <c r="Z1152" s="20"/>
      <c r="AA1152" s="20"/>
      <c r="AB1152" s="20"/>
      <c r="AC1152" s="20"/>
      <c r="AD1152" s="9"/>
      <c r="AE1152" s="1"/>
      <c r="AF1152" s="1"/>
      <c r="AG1152" s="1"/>
    </row>
    <row r="1153" spans="1:33" s="81" customFormat="1" ht="12.75" x14ac:dyDescent="0.2">
      <c r="A1153" s="13">
        <f t="shared" si="44"/>
        <v>96</v>
      </c>
      <c r="B1153" s="11"/>
      <c r="C1153" s="82"/>
      <c r="D1153" s="2"/>
      <c r="E1153" s="2"/>
      <c r="F1153" s="1"/>
      <c r="G1153" s="1"/>
      <c r="H1153" s="78"/>
      <c r="I1153" s="78"/>
      <c r="J1153" s="5" t="str">
        <f>IF(G1153&lt;&gt;0,VLOOKUP(G1153,[7]GIA!$L$2:$O$200,3,0)," ")</f>
        <v xml:space="preserve"> </v>
      </c>
      <c r="K1153" s="5" t="str">
        <f>IF(G1153&lt;&gt;0,VLOOKUP(G1153,[7]GIA!$L$2:$O$200,4,0)," ")</f>
        <v xml:space="preserve"> </v>
      </c>
      <c r="L1153" s="4" t="str">
        <f t="shared" si="46"/>
        <v xml:space="preserve"> </v>
      </c>
      <c r="M1153" s="4" t="str">
        <f t="shared" si="47"/>
        <v xml:space="preserve"> </v>
      </c>
      <c r="N1153" s="163"/>
      <c r="O1153" s="163"/>
      <c r="P1153" s="3"/>
      <c r="Q1153" s="4"/>
      <c r="R1153" s="47"/>
      <c r="S1153" s="13"/>
      <c r="T1153" s="6"/>
      <c r="U1153" s="80"/>
      <c r="V1153" s="4" t="str">
        <f>IF(R1153&lt;&gt;0,VLOOKUP(R1153,[7]GIA!$F$2:$H$200,3,0)," ")</f>
        <v xml:space="preserve"> </v>
      </c>
      <c r="W1153" s="32" t="str">
        <f t="shared" si="45"/>
        <v xml:space="preserve"> </v>
      </c>
      <c r="X1153" s="18"/>
      <c r="Y1153" s="20"/>
      <c r="Z1153" s="20"/>
      <c r="AA1153" s="20"/>
      <c r="AB1153" s="20"/>
      <c r="AC1153" s="20"/>
      <c r="AD1153" s="9"/>
      <c r="AE1153" s="1"/>
      <c r="AF1153" s="1"/>
      <c r="AG1153" s="1"/>
    </row>
    <row r="1154" spans="1:33" s="81" customFormat="1" ht="12.75" x14ac:dyDescent="0.2">
      <c r="A1154" s="13">
        <f t="shared" si="44"/>
        <v>96</v>
      </c>
      <c r="B1154" s="11"/>
      <c r="C1154" s="82"/>
      <c r="D1154" s="2"/>
      <c r="E1154" s="2"/>
      <c r="F1154" s="1"/>
      <c r="G1154" s="1"/>
      <c r="H1154" s="78"/>
      <c r="I1154" s="78"/>
      <c r="J1154" s="5" t="str">
        <f>IF(G1154&lt;&gt;0,VLOOKUP(G1154,[7]GIA!$L$2:$O$200,3,0)," ")</f>
        <v xml:space="preserve"> </v>
      </c>
      <c r="K1154" s="5" t="str">
        <f>IF(G1154&lt;&gt;0,VLOOKUP(G1154,[7]GIA!$L$2:$O$200,4,0)," ")</f>
        <v xml:space="preserve"> </v>
      </c>
      <c r="L1154" s="4" t="str">
        <f t="shared" si="46"/>
        <v xml:space="preserve"> </v>
      </c>
      <c r="M1154" s="4" t="str">
        <f t="shared" si="47"/>
        <v xml:space="preserve"> </v>
      </c>
      <c r="N1154" s="1"/>
      <c r="O1154" s="5"/>
      <c r="P1154" s="3" t="str">
        <f>IF(N1154&lt;&gt;0,VLOOKUP(N1154,[7]GIA!$A$2:$C$200,3,0)," ")</f>
        <v xml:space="preserve"> </v>
      </c>
      <c r="Q1154" s="4" t="str">
        <f t="shared" si="48"/>
        <v xml:space="preserve"> </v>
      </c>
      <c r="R1154" s="47"/>
      <c r="S1154" s="13"/>
      <c r="T1154" s="6"/>
      <c r="U1154" s="80"/>
      <c r="V1154" s="4" t="str">
        <f>IF(R1154&lt;&gt;0,VLOOKUP(R1154,[7]GIA!$F$2:$H$200,3,0)," ")</f>
        <v xml:space="preserve"> </v>
      </c>
      <c r="W1154" s="32" t="str">
        <f t="shared" si="45"/>
        <v xml:space="preserve"> </v>
      </c>
      <c r="X1154" s="18"/>
      <c r="Y1154" s="20"/>
      <c r="Z1154" s="20"/>
      <c r="AA1154" s="20"/>
      <c r="AB1154" s="20"/>
      <c r="AC1154" s="20"/>
      <c r="AD1154" s="9"/>
      <c r="AE1154" s="1"/>
      <c r="AF1154" s="1"/>
      <c r="AG1154" s="1"/>
    </row>
    <row r="1155" spans="1:33" s="81" customFormat="1" ht="12.75" x14ac:dyDescent="0.2">
      <c r="A1155" s="13">
        <f t="shared" si="44"/>
        <v>96</v>
      </c>
      <c r="B1155" s="11"/>
      <c r="C1155" s="82"/>
      <c r="D1155" s="178"/>
      <c r="E1155" s="2"/>
      <c r="F1155" s="1"/>
      <c r="G1155" s="1"/>
      <c r="H1155" s="125"/>
      <c r="I1155" s="125"/>
      <c r="J1155" s="5" t="str">
        <f>IF(G1155&lt;&gt;0,VLOOKUP(G1155,[7]GIA!$L$2:$O$200,3,0)," ")</f>
        <v xml:space="preserve"> </v>
      </c>
      <c r="K1155" s="5" t="str">
        <f>IF(G1155&lt;&gt;0,VLOOKUP(G1155,[7]GIA!$L$2:$O$200,4,0)," ")</f>
        <v xml:space="preserve"> </v>
      </c>
      <c r="L1155" s="4" t="str">
        <f t="shared" si="46"/>
        <v xml:space="preserve"> </v>
      </c>
      <c r="M1155" s="4" t="str">
        <f t="shared" si="47"/>
        <v xml:space="preserve"> </v>
      </c>
      <c r="N1155" s="1"/>
      <c r="O1155" s="79"/>
      <c r="P1155" s="3" t="str">
        <f>IF(N1155&lt;&gt;0,VLOOKUP(N1155,[7]GIA!$A$2:$C$200,3,0)," ")</f>
        <v xml:space="preserve"> </v>
      </c>
      <c r="Q1155" s="4" t="str">
        <f t="shared" si="48"/>
        <v xml:space="preserve"> </v>
      </c>
      <c r="R1155" s="84"/>
      <c r="S1155" s="87"/>
      <c r="T1155" s="77"/>
      <c r="U1155" s="2"/>
      <c r="V1155" s="4" t="str">
        <f>IF(R1155&lt;&gt;0,VLOOKUP(R1155,[7]GIA!$F$2:$H$200,3,0)," ")</f>
        <v xml:space="preserve"> </v>
      </c>
      <c r="W1155" s="32" t="str">
        <f t="shared" si="45"/>
        <v xml:space="preserve"> </v>
      </c>
      <c r="X1155" s="18"/>
      <c r="Y1155" s="20"/>
      <c r="Z1155" s="20"/>
      <c r="AA1155" s="20"/>
      <c r="AB1155" s="20"/>
      <c r="AC1155" s="20"/>
      <c r="AD1155" s="9"/>
      <c r="AE1155" s="2"/>
      <c r="AF1155" s="2"/>
      <c r="AG1155" s="2"/>
    </row>
    <row r="1156" spans="1:33" s="81" customFormat="1" ht="12.75" x14ac:dyDescent="0.2">
      <c r="A1156" s="13">
        <f t="shared" si="44"/>
        <v>96</v>
      </c>
      <c r="B1156" s="11"/>
      <c r="C1156" s="84"/>
      <c r="D1156" s="178"/>
      <c r="E1156" s="2"/>
      <c r="F1156" s="1"/>
      <c r="G1156" s="1"/>
      <c r="H1156" s="125"/>
      <c r="I1156" s="125"/>
      <c r="J1156" s="5" t="str">
        <f>IF(G1156&lt;&gt;0,VLOOKUP(G1156,[7]GIA!$L$2:$O$200,3,0)," ")</f>
        <v xml:space="preserve"> </v>
      </c>
      <c r="K1156" s="5" t="str">
        <f>IF(G1156&lt;&gt;0,VLOOKUP(G1156,[7]GIA!$L$2:$O$200,4,0)," ")</f>
        <v xml:space="preserve"> </v>
      </c>
      <c r="L1156" s="4" t="str">
        <f t="shared" si="46"/>
        <v xml:space="preserve"> </v>
      </c>
      <c r="M1156" s="4" t="str">
        <f t="shared" si="47"/>
        <v xml:space="preserve"> </v>
      </c>
      <c r="N1156" s="84"/>
      <c r="O1156" s="79"/>
      <c r="P1156" s="3" t="str">
        <f>IF(N1156&lt;&gt;0,VLOOKUP(N1156,[7]GIA!$A$2:$C$200,3,0)," ")</f>
        <v xml:space="preserve"> </v>
      </c>
      <c r="Q1156" s="4" t="str">
        <f t="shared" si="48"/>
        <v xml:space="preserve"> </v>
      </c>
      <c r="R1156" s="84"/>
      <c r="S1156" s="87"/>
      <c r="T1156" s="77"/>
      <c r="U1156" s="2"/>
      <c r="V1156" s="4" t="str">
        <f>IF(R1156&lt;&gt;0,VLOOKUP(R1156,[7]GIA!$F$2:$H$200,3,0)," ")</f>
        <v xml:space="preserve"> </v>
      </c>
      <c r="W1156" s="32" t="str">
        <f t="shared" si="45"/>
        <v xml:space="preserve"> </v>
      </c>
      <c r="X1156" s="18"/>
      <c r="Y1156" s="20"/>
      <c r="Z1156" s="20"/>
      <c r="AA1156" s="20"/>
      <c r="AB1156" s="20"/>
      <c r="AC1156" s="20"/>
      <c r="AD1156" s="9"/>
      <c r="AE1156" s="2"/>
      <c r="AF1156" s="2"/>
      <c r="AG1156" s="2"/>
    </row>
    <row r="1157" spans="1:33" s="81" customFormat="1" ht="78" customHeight="1" x14ac:dyDescent="0.2">
      <c r="A1157" s="13">
        <f t="shared" si="44"/>
        <v>97</v>
      </c>
      <c r="B1157" s="11">
        <v>97</v>
      </c>
      <c r="C1157" s="21" t="s">
        <v>998</v>
      </c>
      <c r="D1157" s="2"/>
      <c r="E1157" s="2">
        <v>86</v>
      </c>
      <c r="F1157" s="1">
        <v>314</v>
      </c>
      <c r="G1157" s="1" t="s">
        <v>978</v>
      </c>
      <c r="H1157" s="78">
        <v>75</v>
      </c>
      <c r="I1157" s="78"/>
      <c r="J1157" s="5"/>
      <c r="K1157" s="5"/>
      <c r="L1157" s="4"/>
      <c r="M1157" s="4"/>
      <c r="N1157" s="1" t="s">
        <v>72</v>
      </c>
      <c r="O1157" s="5">
        <v>7</v>
      </c>
      <c r="P1157" s="3"/>
      <c r="Q1157" s="4"/>
      <c r="R1157" s="47"/>
      <c r="S1157" s="13"/>
      <c r="T1157" s="6"/>
      <c r="U1157" s="80"/>
      <c r="V1157" s="4" t="str">
        <f>IF(R1157&lt;&gt;0,VLOOKUP(R1157,[7]GIA!$F$2:$H$200,3,0)," ")</f>
        <v xml:space="preserve"> </v>
      </c>
      <c r="W1157" s="32" t="str">
        <f t="shared" si="45"/>
        <v xml:space="preserve"> </v>
      </c>
      <c r="X1157" s="18"/>
      <c r="Y1157" s="20"/>
      <c r="Z1157" s="20"/>
      <c r="AA1157" s="20"/>
      <c r="AB1157" s="20"/>
      <c r="AC1157" s="20"/>
      <c r="AD1157" s="9"/>
      <c r="AE1157" s="1" t="s">
        <v>999</v>
      </c>
      <c r="AF1157" s="1"/>
      <c r="AG1157" s="1"/>
    </row>
    <row r="1158" spans="1:33" s="81" customFormat="1" ht="44.25" x14ac:dyDescent="0.2">
      <c r="A1158" s="13">
        <f t="shared" si="44"/>
        <v>97</v>
      </c>
      <c r="B1158" s="11"/>
      <c r="C1158" s="1" t="s">
        <v>1000</v>
      </c>
      <c r="D1158" s="2"/>
      <c r="E1158" s="2"/>
      <c r="F1158" s="1"/>
      <c r="G1158" s="1" t="s">
        <v>985</v>
      </c>
      <c r="H1158" s="78">
        <v>50</v>
      </c>
      <c r="I1158" s="78"/>
      <c r="J1158" s="5"/>
      <c r="K1158" s="5"/>
      <c r="L1158" s="4"/>
      <c r="M1158" s="4"/>
      <c r="N1158" s="1" t="s">
        <v>73</v>
      </c>
      <c r="O1158" s="5">
        <v>13</v>
      </c>
      <c r="P1158" s="3"/>
      <c r="Q1158" s="4"/>
      <c r="R1158" s="47"/>
      <c r="S1158" s="13"/>
      <c r="T1158" s="6"/>
      <c r="U1158" s="80"/>
      <c r="V1158" s="4" t="str">
        <f>IF(R1158&lt;&gt;0,VLOOKUP(R1158,[7]GIA!$F$2:$H$200,3,0)," ")</f>
        <v xml:space="preserve"> </v>
      </c>
      <c r="W1158" s="32" t="str">
        <f t="shared" si="45"/>
        <v xml:space="preserve"> </v>
      </c>
      <c r="X1158" s="18"/>
      <c r="Y1158" s="20"/>
      <c r="Z1158" s="20"/>
      <c r="AA1158" s="20"/>
      <c r="AB1158" s="20"/>
      <c r="AC1158" s="20"/>
      <c r="AD1158" s="9"/>
      <c r="AE1158" s="1" t="s">
        <v>1001</v>
      </c>
      <c r="AF1158" s="1"/>
      <c r="AG1158" s="1"/>
    </row>
    <row r="1159" spans="1:33" s="81" customFormat="1" ht="25.5" x14ac:dyDescent="0.2">
      <c r="A1159" s="13">
        <f t="shared" si="44"/>
        <v>97</v>
      </c>
      <c r="B1159" s="11"/>
      <c r="C1159" s="82" t="s">
        <v>1577</v>
      </c>
      <c r="D1159" s="2"/>
      <c r="E1159" s="2"/>
      <c r="F1159" s="1"/>
      <c r="G1159" s="1"/>
      <c r="H1159" s="78"/>
      <c r="I1159" s="78"/>
      <c r="J1159" s="5" t="str">
        <f>IF(G1159&lt;&gt;0,VLOOKUP(G1159,[7]GIA!$L$2:$O$200,3,0)," ")</f>
        <v xml:space="preserve"> </v>
      </c>
      <c r="K1159" s="5" t="str">
        <f>IF(G1159&lt;&gt;0,VLOOKUP(G1159,[7]GIA!$L$2:$O$200,4,0)," ")</f>
        <v xml:space="preserve"> </v>
      </c>
      <c r="L1159" s="4" t="str">
        <f t="shared" si="46"/>
        <v xml:space="preserve"> </v>
      </c>
      <c r="M1159" s="4" t="str">
        <f t="shared" si="47"/>
        <v xml:space="preserve"> </v>
      </c>
      <c r="N1159" s="70" t="s">
        <v>400</v>
      </c>
      <c r="O1159" s="5">
        <v>7</v>
      </c>
      <c r="P1159" s="3"/>
      <c r="Q1159" s="4"/>
      <c r="R1159" s="47"/>
      <c r="S1159" s="13"/>
      <c r="T1159" s="6"/>
      <c r="U1159" s="80"/>
      <c r="V1159" s="4" t="str">
        <f>IF(R1159&lt;&gt;0,VLOOKUP(R1159,[7]GIA!$F$2:$H$200,3,0)," ")</f>
        <v xml:space="preserve"> </v>
      </c>
      <c r="W1159" s="32" t="str">
        <f t="shared" si="45"/>
        <v xml:space="preserve"> </v>
      </c>
      <c r="X1159" s="18"/>
      <c r="Y1159" s="20"/>
      <c r="Z1159" s="20"/>
      <c r="AA1159" s="20"/>
      <c r="AB1159" s="20"/>
      <c r="AC1159" s="20"/>
      <c r="AD1159" s="9"/>
      <c r="AE1159" s="2" t="s">
        <v>809</v>
      </c>
      <c r="AF1159" s="2"/>
      <c r="AG1159" s="2"/>
    </row>
    <row r="1160" spans="1:33" s="81" customFormat="1" x14ac:dyDescent="0.2">
      <c r="A1160" s="13">
        <f t="shared" si="44"/>
        <v>97</v>
      </c>
      <c r="B1160" s="11"/>
      <c r="C1160" s="82"/>
      <c r="D1160" s="2"/>
      <c r="E1160" s="2"/>
      <c r="F1160" s="1"/>
      <c r="G1160" s="1"/>
      <c r="H1160" s="78"/>
      <c r="I1160" s="78"/>
      <c r="J1160" s="5" t="str">
        <f>IF(G1160&lt;&gt;0,VLOOKUP(G1160,[7]GIA!$L$2:$O$200,3,0)," ")</f>
        <v xml:space="preserve"> </v>
      </c>
      <c r="K1160" s="5" t="str">
        <f>IF(G1160&lt;&gt;0,VLOOKUP(G1160,[7]GIA!$L$2:$O$200,4,0)," ")</f>
        <v xml:space="preserve"> </v>
      </c>
      <c r="L1160" s="4" t="str">
        <f t="shared" si="46"/>
        <v xml:space="preserve"> </v>
      </c>
      <c r="M1160" s="4" t="str">
        <f t="shared" si="47"/>
        <v xml:space="preserve"> </v>
      </c>
      <c r="N1160" s="70" t="s">
        <v>401</v>
      </c>
      <c r="O1160" s="5">
        <v>16</v>
      </c>
      <c r="P1160" s="3"/>
      <c r="Q1160" s="4"/>
      <c r="R1160" s="47"/>
      <c r="S1160" s="13"/>
      <c r="T1160" s="6"/>
      <c r="U1160" s="80"/>
      <c r="V1160" s="4" t="str">
        <f>IF(R1160&lt;&gt;0,VLOOKUP(R1160,[7]GIA!$F$2:$H$200,3,0)," ")</f>
        <v xml:space="preserve"> </v>
      </c>
      <c r="W1160" s="32" t="str">
        <f t="shared" si="45"/>
        <v xml:space="preserve"> </v>
      </c>
      <c r="X1160" s="18"/>
      <c r="Y1160" s="20"/>
      <c r="Z1160" s="20"/>
      <c r="AA1160" s="20"/>
      <c r="AB1160" s="20"/>
      <c r="AC1160" s="20"/>
      <c r="AD1160" s="9"/>
      <c r="AE1160" s="1"/>
      <c r="AF1160" s="1"/>
      <c r="AG1160" s="1"/>
    </row>
    <row r="1161" spans="1:33" s="81" customFormat="1" x14ac:dyDescent="0.2">
      <c r="A1161" s="13">
        <f t="shared" si="44"/>
        <v>97</v>
      </c>
      <c r="B1161" s="11"/>
      <c r="C1161" s="82"/>
      <c r="D1161" s="2"/>
      <c r="E1161" s="2"/>
      <c r="F1161" s="1"/>
      <c r="G1161" s="1"/>
      <c r="H1161" s="78"/>
      <c r="I1161" s="78"/>
      <c r="J1161" s="5" t="str">
        <f>IF(G1161&lt;&gt;0,VLOOKUP(G1161,[7]GIA!$L$2:$O$200,3,0)," ")</f>
        <v xml:space="preserve"> </v>
      </c>
      <c r="K1161" s="5" t="str">
        <f>IF(G1161&lt;&gt;0,VLOOKUP(G1161,[7]GIA!$L$2:$O$200,4,0)," ")</f>
        <v xml:space="preserve"> </v>
      </c>
      <c r="L1161" s="4" t="str">
        <f t="shared" si="46"/>
        <v xml:space="preserve"> </v>
      </c>
      <c r="M1161" s="4" t="str">
        <f t="shared" si="47"/>
        <v xml:space="preserve"> </v>
      </c>
      <c r="N1161" s="70"/>
      <c r="O1161" s="5"/>
      <c r="P1161" s="3"/>
      <c r="Q1161" s="4"/>
      <c r="R1161" s="47"/>
      <c r="S1161" s="13"/>
      <c r="T1161" s="6"/>
      <c r="U1161" s="80"/>
      <c r="V1161" s="4" t="str">
        <f>IF(R1161&lt;&gt;0,VLOOKUP(R1161,[7]GIA!$F$2:$H$200,3,0)," ")</f>
        <v xml:space="preserve"> </v>
      </c>
      <c r="W1161" s="32" t="str">
        <f t="shared" si="45"/>
        <v xml:space="preserve"> </v>
      </c>
      <c r="X1161" s="18"/>
      <c r="Y1161" s="20"/>
      <c r="Z1161" s="20"/>
      <c r="AA1161" s="20"/>
      <c r="AB1161" s="20"/>
      <c r="AC1161" s="20"/>
      <c r="AD1161" s="9"/>
      <c r="AE1161" s="1"/>
      <c r="AF1161" s="1"/>
      <c r="AG1161" s="1"/>
    </row>
    <row r="1162" spans="1:33" s="81" customFormat="1" ht="12.75" x14ac:dyDescent="0.2">
      <c r="A1162" s="13">
        <f t="shared" si="44"/>
        <v>97</v>
      </c>
      <c r="B1162" s="11"/>
      <c r="C1162" s="82"/>
      <c r="D1162" s="2"/>
      <c r="E1162" s="2"/>
      <c r="F1162" s="1"/>
      <c r="G1162" s="1"/>
      <c r="H1162" s="78"/>
      <c r="I1162" s="78"/>
      <c r="J1162" s="5" t="str">
        <f>IF(G1162&lt;&gt;0,VLOOKUP(G1162,[7]GIA!$L$2:$O$200,3,0)," ")</f>
        <v xml:space="preserve"> </v>
      </c>
      <c r="K1162" s="5" t="str">
        <f>IF(G1162&lt;&gt;0,VLOOKUP(G1162,[7]GIA!$L$2:$O$200,4,0)," ")</f>
        <v xml:space="preserve"> </v>
      </c>
      <c r="L1162" s="4" t="str">
        <f t="shared" si="46"/>
        <v xml:space="preserve"> </v>
      </c>
      <c r="M1162" s="4" t="str">
        <f t="shared" si="47"/>
        <v xml:space="preserve"> </v>
      </c>
      <c r="N1162" s="1"/>
      <c r="O1162" s="5"/>
      <c r="P1162" s="3" t="str">
        <f>IF(N1162&lt;&gt;0,VLOOKUP(N1162,[7]GIA!$A$2:$C$200,3,0)," ")</f>
        <v xml:space="preserve"> </v>
      </c>
      <c r="Q1162" s="4" t="str">
        <f t="shared" si="48"/>
        <v xml:space="preserve"> </v>
      </c>
      <c r="R1162" s="47"/>
      <c r="S1162" s="13"/>
      <c r="T1162" s="6"/>
      <c r="U1162" s="80"/>
      <c r="V1162" s="4" t="str">
        <f>IF(R1162&lt;&gt;0,VLOOKUP(R1162,[7]GIA!$F$2:$H$200,3,0)," ")</f>
        <v xml:space="preserve"> </v>
      </c>
      <c r="W1162" s="32" t="str">
        <f t="shared" si="45"/>
        <v xml:space="preserve"> </v>
      </c>
      <c r="X1162" s="18"/>
      <c r="Y1162" s="20"/>
      <c r="Z1162" s="20"/>
      <c r="AA1162" s="20"/>
      <c r="AB1162" s="20"/>
      <c r="AC1162" s="20"/>
      <c r="AD1162" s="9"/>
      <c r="AE1162" s="1"/>
      <c r="AF1162" s="1"/>
      <c r="AG1162" s="1"/>
    </row>
    <row r="1163" spans="1:33" s="81" customFormat="1" ht="12.75" x14ac:dyDescent="0.2">
      <c r="A1163" s="13">
        <f t="shared" si="44"/>
        <v>97</v>
      </c>
      <c r="B1163" s="11"/>
      <c r="C1163" s="1"/>
      <c r="D1163" s="2"/>
      <c r="E1163" s="2"/>
      <c r="F1163" s="1"/>
      <c r="G1163" s="1"/>
      <c r="H1163" s="125"/>
      <c r="I1163" s="125"/>
      <c r="J1163" s="5" t="str">
        <f>IF(G1163&lt;&gt;0,VLOOKUP(G1163,[7]GIA!$L$2:$O$200,3,0)," ")</f>
        <v xml:space="preserve"> </v>
      </c>
      <c r="K1163" s="5" t="str">
        <f>IF(G1163&lt;&gt;0,VLOOKUP(G1163,[7]GIA!$L$2:$O$200,4,0)," ")</f>
        <v xml:space="preserve"> </v>
      </c>
      <c r="L1163" s="4" t="str">
        <f t="shared" si="46"/>
        <v xml:space="preserve"> </v>
      </c>
      <c r="M1163" s="4" t="str">
        <f t="shared" si="47"/>
        <v xml:space="preserve"> </v>
      </c>
      <c r="N1163" s="84"/>
      <c r="O1163" s="79"/>
      <c r="P1163" s="3" t="str">
        <f>IF(N1163&lt;&gt;0,VLOOKUP(N1163,[7]GIA!$A$2:$C$200,3,0)," ")</f>
        <v xml:space="preserve"> </v>
      </c>
      <c r="Q1163" s="4" t="str">
        <f t="shared" si="48"/>
        <v xml:space="preserve"> </v>
      </c>
      <c r="R1163" s="84"/>
      <c r="S1163" s="87"/>
      <c r="T1163" s="77"/>
      <c r="U1163" s="80"/>
      <c r="V1163" s="4" t="str">
        <f>IF(R1163&lt;&gt;0,VLOOKUP(R1163,[7]GIA!$F$2:$H$200,3,0)," ")</f>
        <v xml:space="preserve"> </v>
      </c>
      <c r="W1163" s="32" t="str">
        <f t="shared" si="45"/>
        <v xml:space="preserve"> </v>
      </c>
      <c r="X1163" s="18"/>
      <c r="Y1163" s="20"/>
      <c r="Z1163" s="20"/>
      <c r="AA1163" s="20"/>
      <c r="AB1163" s="20"/>
      <c r="AC1163" s="20"/>
      <c r="AD1163" s="9"/>
      <c r="AE1163" s="2"/>
      <c r="AF1163" s="2"/>
      <c r="AG1163" s="2"/>
    </row>
    <row r="1164" spans="1:33" s="81" customFormat="1" ht="25.5" x14ac:dyDescent="0.2">
      <c r="A1164" s="13">
        <f t="shared" si="44"/>
        <v>98</v>
      </c>
      <c r="B1164" s="11">
        <v>98</v>
      </c>
      <c r="C1164" s="21" t="s">
        <v>50</v>
      </c>
      <c r="D1164" s="2"/>
      <c r="E1164" s="2">
        <v>86</v>
      </c>
      <c r="F1164" s="1">
        <v>167</v>
      </c>
      <c r="G1164" s="1" t="s">
        <v>935</v>
      </c>
      <c r="H1164" s="78">
        <f>2066.8-H1165-H1167</f>
        <v>1603.2000000000003</v>
      </c>
      <c r="I1164" s="78"/>
      <c r="J1164" s="5"/>
      <c r="K1164" s="5"/>
      <c r="L1164" s="4"/>
      <c r="M1164" s="4"/>
      <c r="N1164" s="1" t="s">
        <v>61</v>
      </c>
      <c r="O1164" s="5">
        <v>3</v>
      </c>
      <c r="P1164" s="3"/>
      <c r="Q1164" s="4"/>
      <c r="R1164" s="47" t="s">
        <v>68</v>
      </c>
      <c r="S1164" s="13" t="s">
        <v>973</v>
      </c>
      <c r="T1164" s="6">
        <v>90.3</v>
      </c>
      <c r="U1164" s="80"/>
      <c r="V1164" s="4"/>
      <c r="W1164" s="32"/>
      <c r="X1164" s="18"/>
      <c r="Y1164" s="20"/>
      <c r="Z1164" s="20"/>
      <c r="AA1164" s="20"/>
      <c r="AB1164" s="20"/>
      <c r="AC1164" s="20"/>
      <c r="AD1164" s="9"/>
      <c r="AE1164" s="1" t="s">
        <v>1002</v>
      </c>
      <c r="AF1164" s="1"/>
      <c r="AG1164" s="1"/>
    </row>
    <row r="1165" spans="1:33" s="81" customFormat="1" ht="44.25" x14ac:dyDescent="0.2">
      <c r="A1165" s="13">
        <f t="shared" si="44"/>
        <v>98</v>
      </c>
      <c r="B1165" s="11"/>
      <c r="C1165" s="1" t="s">
        <v>112</v>
      </c>
      <c r="D1165" s="2"/>
      <c r="E1165" s="2"/>
      <c r="F1165" s="1"/>
      <c r="G1165" s="1" t="s">
        <v>1003</v>
      </c>
      <c r="H1165" s="78">
        <v>96</v>
      </c>
      <c r="I1165" s="78"/>
      <c r="J1165" s="5"/>
      <c r="K1165" s="5"/>
      <c r="L1165" s="4"/>
      <c r="M1165" s="4"/>
      <c r="N1165" s="1" t="s">
        <v>1004</v>
      </c>
      <c r="O1165" s="5">
        <v>1</v>
      </c>
      <c r="P1165" s="3"/>
      <c r="Q1165" s="4">
        <f t="shared" si="48"/>
        <v>0</v>
      </c>
      <c r="R1165" s="47" t="s">
        <v>936</v>
      </c>
      <c r="S1165" s="13" t="s">
        <v>973</v>
      </c>
      <c r="T1165" s="6">
        <v>36</v>
      </c>
      <c r="U1165" s="80"/>
      <c r="V1165" s="4"/>
      <c r="W1165" s="32"/>
      <c r="X1165" s="18"/>
      <c r="Y1165" s="20" t="s">
        <v>980</v>
      </c>
      <c r="Z1165" s="20" t="s">
        <v>1005</v>
      </c>
      <c r="AA1165" s="20"/>
      <c r="AB1165" s="20" t="s">
        <v>267</v>
      </c>
      <c r="AC1165" s="20"/>
      <c r="AD1165" s="9"/>
      <c r="AE1165" s="1" t="s">
        <v>1006</v>
      </c>
      <c r="AF1165" s="1"/>
      <c r="AG1165" s="1"/>
    </row>
    <row r="1166" spans="1:33" s="81" customFormat="1" ht="87" customHeight="1" x14ac:dyDescent="0.2">
      <c r="A1166" s="13">
        <f t="shared" si="44"/>
        <v>98</v>
      </c>
      <c r="B1166" s="11"/>
      <c r="C1166" s="84" t="s">
        <v>1659</v>
      </c>
      <c r="D1166" s="2"/>
      <c r="E1166" s="2"/>
      <c r="F1166" s="1"/>
      <c r="G1166" s="1" t="s">
        <v>1007</v>
      </c>
      <c r="H1166" s="78">
        <v>310.10000000000002</v>
      </c>
      <c r="I1166" s="78"/>
      <c r="J1166" s="5"/>
      <c r="K1166" s="5"/>
      <c r="L1166" s="4"/>
      <c r="M1166" s="4"/>
      <c r="N1166" s="1" t="s">
        <v>754</v>
      </c>
      <c r="O1166" s="5">
        <v>1</v>
      </c>
      <c r="P1166" s="3"/>
      <c r="Q1166" s="4"/>
      <c r="R1166" s="47" t="s">
        <v>1008</v>
      </c>
      <c r="S1166" s="13" t="s">
        <v>988</v>
      </c>
      <c r="T1166" s="6">
        <v>0.39</v>
      </c>
      <c r="U1166" s="80"/>
      <c r="V1166" s="4"/>
      <c r="W1166" s="32"/>
      <c r="X1166" s="18"/>
      <c r="Y1166" s="20"/>
      <c r="Z1166" s="20"/>
      <c r="AA1166" s="20"/>
      <c r="AB1166" s="20"/>
      <c r="AC1166" s="20"/>
      <c r="AD1166" s="9"/>
      <c r="AE1166" s="1" t="s">
        <v>1009</v>
      </c>
      <c r="AF1166" s="1"/>
      <c r="AG1166" s="2"/>
    </row>
    <row r="1167" spans="1:33" s="81" customFormat="1" ht="39.75" customHeight="1" x14ac:dyDescent="0.2">
      <c r="A1167" s="13">
        <f t="shared" si="44"/>
        <v>98</v>
      </c>
      <c r="B1167" s="11"/>
      <c r="C1167" s="1"/>
      <c r="D1167" s="2"/>
      <c r="E1167" s="2"/>
      <c r="F1167" s="1"/>
      <c r="G1167" s="1" t="s">
        <v>861</v>
      </c>
      <c r="H1167" s="78">
        <v>367.6</v>
      </c>
      <c r="I1167" s="78"/>
      <c r="J1167" s="5"/>
      <c r="K1167" s="5"/>
      <c r="L1167" s="4"/>
      <c r="M1167" s="4"/>
      <c r="N1167" s="1" t="s">
        <v>750</v>
      </c>
      <c r="O1167" s="5">
        <v>1</v>
      </c>
      <c r="P1167" s="3"/>
      <c r="Q1167" s="4"/>
      <c r="R1167" s="47" t="s">
        <v>68</v>
      </c>
      <c r="S1167" s="13" t="s">
        <v>973</v>
      </c>
      <c r="T1167" s="6">
        <v>3.6</v>
      </c>
      <c r="U1167" s="80"/>
      <c r="V1167" s="4"/>
      <c r="W1167" s="32"/>
      <c r="X1167" s="18"/>
      <c r="Y1167" s="20"/>
      <c r="Z1167" s="20"/>
      <c r="AA1167" s="20"/>
      <c r="AB1167" s="20"/>
      <c r="AC1167" s="20"/>
      <c r="AD1167" s="9"/>
      <c r="AE1167" s="1"/>
      <c r="AF1167" s="1"/>
      <c r="AG1167" s="1"/>
    </row>
    <row r="1168" spans="1:33" s="81" customFormat="1" ht="86.25" customHeight="1" x14ac:dyDescent="0.2">
      <c r="A1168" s="13">
        <f t="shared" si="44"/>
        <v>98</v>
      </c>
      <c r="B1168" s="11"/>
      <c r="C1168" s="1"/>
      <c r="D1168" s="2"/>
      <c r="E1168" s="2"/>
      <c r="F1168" s="1"/>
      <c r="G1168" s="1" t="s">
        <v>1010</v>
      </c>
      <c r="H1168" s="78">
        <f>823.4-H1166</f>
        <v>513.29999999999995</v>
      </c>
      <c r="I1168" s="78"/>
      <c r="J1168" s="5"/>
      <c r="K1168" s="5"/>
      <c r="L1168" s="4"/>
      <c r="M1168" s="4"/>
      <c r="N1168" s="68" t="s">
        <v>932</v>
      </c>
      <c r="O1168" s="5">
        <v>8</v>
      </c>
      <c r="P1168" s="3"/>
      <c r="Q1168" s="4"/>
      <c r="R1168" s="47" t="s">
        <v>397</v>
      </c>
      <c r="S1168" s="13" t="s">
        <v>973</v>
      </c>
      <c r="T1168" s="6">
        <v>3.7</v>
      </c>
      <c r="U1168" s="80"/>
      <c r="V1168" s="4"/>
      <c r="W1168" s="32"/>
      <c r="X1168" s="18"/>
      <c r="Y1168" s="20"/>
      <c r="Z1168" s="20"/>
      <c r="AA1168" s="20"/>
      <c r="AB1168" s="20"/>
      <c r="AC1168" s="20"/>
      <c r="AD1168" s="9"/>
      <c r="AE1168" s="1"/>
      <c r="AF1168" s="1"/>
      <c r="AG1168" s="1"/>
    </row>
    <row r="1169" spans="1:33" s="81" customFormat="1" ht="60.75" customHeight="1" x14ac:dyDescent="0.2">
      <c r="A1169" s="13">
        <f t="shared" si="44"/>
        <v>98</v>
      </c>
      <c r="B1169" s="11"/>
      <c r="C1169" s="1"/>
      <c r="D1169" s="2"/>
      <c r="E1169" s="2"/>
      <c r="F1169" s="1"/>
      <c r="G1169" s="1" t="s">
        <v>1011</v>
      </c>
      <c r="H1169" s="78">
        <v>0.4</v>
      </c>
      <c r="I1169" s="78"/>
      <c r="J1169" s="5" t="e">
        <f>IF(G1169&lt;&gt;0,VLOOKUP(G1169,[7]GIA!$L$2:$O$200,3,0)," ")</f>
        <v>#N/A</v>
      </c>
      <c r="K1169" s="5" t="e">
        <f>IF(G1169&lt;&gt;0,VLOOKUP(G1169,[7]GIA!$L$2:$O$200,4,0)," ")</f>
        <v>#N/A</v>
      </c>
      <c r="L1169" s="4" t="e">
        <f t="shared" si="46"/>
        <v>#N/A</v>
      </c>
      <c r="M1169" s="4" t="e">
        <f t="shared" si="47"/>
        <v>#N/A</v>
      </c>
      <c r="N1169" s="68" t="s">
        <v>350</v>
      </c>
      <c r="O1169" s="5">
        <v>2</v>
      </c>
      <c r="P1169" s="3"/>
      <c r="Q1169" s="4"/>
      <c r="R1169" s="47" t="s">
        <v>241</v>
      </c>
      <c r="S1169" s="13" t="s">
        <v>973</v>
      </c>
      <c r="T1169" s="6">
        <v>3.7</v>
      </c>
      <c r="U1169" s="80"/>
      <c r="V1169" s="4"/>
      <c r="W1169" s="32"/>
      <c r="X1169" s="18"/>
      <c r="Y1169" s="20"/>
      <c r="Z1169" s="20"/>
      <c r="AA1169" s="20"/>
      <c r="AB1169" s="20"/>
      <c r="AC1169" s="20"/>
      <c r="AD1169" s="9"/>
      <c r="AE1169" s="1"/>
      <c r="AF1169" s="1"/>
      <c r="AG1169" s="1"/>
    </row>
    <row r="1170" spans="1:33" s="81" customFormat="1" ht="15.75" x14ac:dyDescent="0.2">
      <c r="A1170" s="13">
        <f t="shared" si="44"/>
        <v>98</v>
      </c>
      <c r="B1170" s="11"/>
      <c r="C1170" s="1"/>
      <c r="D1170" s="2"/>
      <c r="E1170" s="2"/>
      <c r="F1170" s="1"/>
      <c r="G1170" s="1"/>
      <c r="H1170" s="78"/>
      <c r="I1170" s="78"/>
      <c r="J1170" s="5" t="str">
        <f>IF(G1170&lt;&gt;0,VLOOKUP(G1170,[7]GIA!$L$2:$O$200,3,0)," ")</f>
        <v xml:space="preserve"> </v>
      </c>
      <c r="K1170" s="5" t="str">
        <f>IF(G1170&lt;&gt;0,VLOOKUP(G1170,[7]GIA!$L$2:$O$200,4,0)," ")</f>
        <v xml:space="preserve"> </v>
      </c>
      <c r="L1170" s="4" t="str">
        <f t="shared" si="46"/>
        <v xml:space="preserve"> </v>
      </c>
      <c r="M1170" s="4" t="str">
        <f t="shared" si="47"/>
        <v xml:space="preserve"> </v>
      </c>
      <c r="N1170" s="1" t="s">
        <v>145</v>
      </c>
      <c r="O1170" s="5">
        <v>1</v>
      </c>
      <c r="P1170" s="3"/>
      <c r="Q1170" s="4"/>
      <c r="R1170" s="47" t="s">
        <v>52</v>
      </c>
      <c r="S1170" s="13" t="s">
        <v>973</v>
      </c>
      <c r="T1170" s="6">
        <v>69.900000000000006</v>
      </c>
      <c r="U1170" s="80"/>
      <c r="V1170" s="4"/>
      <c r="W1170" s="32"/>
      <c r="X1170" s="18" t="s">
        <v>139</v>
      </c>
      <c r="Y1170" s="20" t="s">
        <v>980</v>
      </c>
      <c r="Z1170" s="20" t="s">
        <v>1012</v>
      </c>
      <c r="AA1170" s="20" t="s">
        <v>269</v>
      </c>
      <c r="AB1170" s="20" t="s">
        <v>139</v>
      </c>
      <c r="AC1170" s="20"/>
      <c r="AD1170" s="9"/>
      <c r="AE1170" s="1"/>
      <c r="AF1170" s="1"/>
      <c r="AG1170" s="1"/>
    </row>
    <row r="1171" spans="1:33" s="81" customFormat="1" ht="15.75" x14ac:dyDescent="0.2">
      <c r="A1171" s="13">
        <f t="shared" si="44"/>
        <v>98</v>
      </c>
      <c r="B1171" s="11"/>
      <c r="C1171" s="1"/>
      <c r="D1171" s="2"/>
      <c r="E1171" s="2"/>
      <c r="F1171" s="1"/>
      <c r="G1171" s="1"/>
      <c r="H1171" s="78"/>
      <c r="I1171" s="78"/>
      <c r="J1171" s="5" t="str">
        <f>IF(G1171&lt;&gt;0,VLOOKUP(G1171,[7]GIA!$L$2:$O$200,3,0)," ")</f>
        <v xml:space="preserve"> </v>
      </c>
      <c r="K1171" s="5" t="str">
        <f>IF(G1171&lt;&gt;0,VLOOKUP(G1171,[7]GIA!$L$2:$O$200,4,0)," ")</f>
        <v xml:space="preserve"> </v>
      </c>
      <c r="L1171" s="4" t="str">
        <f t="shared" si="46"/>
        <v xml:space="preserve"> </v>
      </c>
      <c r="M1171" s="4" t="str">
        <f t="shared" si="47"/>
        <v xml:space="preserve"> </v>
      </c>
      <c r="N1171" s="1" t="s">
        <v>75</v>
      </c>
      <c r="O1171" s="5">
        <v>10</v>
      </c>
      <c r="P1171" s="3"/>
      <c r="Q1171" s="4"/>
      <c r="R1171" s="47" t="s">
        <v>1013</v>
      </c>
      <c r="S1171" s="13" t="s">
        <v>988</v>
      </c>
      <c r="T1171" s="6">
        <v>7.65</v>
      </c>
      <c r="U1171" s="80"/>
      <c r="V1171" s="4"/>
      <c r="W1171" s="32"/>
      <c r="X1171" s="18"/>
      <c r="Y1171" s="20"/>
      <c r="Z1171" s="20"/>
      <c r="AA1171" s="20"/>
      <c r="AB1171" s="20"/>
      <c r="AC1171" s="20"/>
      <c r="AD1171" s="9"/>
      <c r="AE1171" s="1"/>
      <c r="AF1171" s="1"/>
      <c r="AG1171" s="1"/>
    </row>
    <row r="1172" spans="1:33" s="81" customFormat="1" ht="15.75" x14ac:dyDescent="0.2">
      <c r="A1172" s="13">
        <f t="shared" si="44"/>
        <v>98</v>
      </c>
      <c r="B1172" s="11"/>
      <c r="C1172" s="1"/>
      <c r="D1172" s="2"/>
      <c r="E1172" s="2"/>
      <c r="F1172" s="1"/>
      <c r="G1172" s="1"/>
      <c r="H1172" s="78"/>
      <c r="I1172" s="78"/>
      <c r="J1172" s="5" t="str">
        <f>IF(G1172&lt;&gt;0,VLOOKUP(G1172,[7]GIA!$L$2:$O$200,3,0)," ")</f>
        <v xml:space="preserve"> </v>
      </c>
      <c r="K1172" s="5" t="str">
        <f>IF(G1172&lt;&gt;0,VLOOKUP(G1172,[7]GIA!$L$2:$O$200,4,0)," ")</f>
        <v xml:space="preserve"> </v>
      </c>
      <c r="L1172" s="4" t="str">
        <f t="shared" si="46"/>
        <v xml:space="preserve"> </v>
      </c>
      <c r="M1172" s="4" t="str">
        <f t="shared" si="47"/>
        <v xml:space="preserve"> </v>
      </c>
      <c r="N1172" s="70" t="s">
        <v>401</v>
      </c>
      <c r="O1172" s="5">
        <v>3</v>
      </c>
      <c r="P1172" s="3"/>
      <c r="Q1172" s="4"/>
      <c r="R1172" s="47" t="s">
        <v>936</v>
      </c>
      <c r="S1172" s="13" t="s">
        <v>973</v>
      </c>
      <c r="T1172" s="13">
        <v>20.3</v>
      </c>
      <c r="U1172" s="80"/>
      <c r="V1172" s="4"/>
      <c r="W1172" s="32"/>
      <c r="X1172" s="18"/>
      <c r="Y1172" s="20" t="s">
        <v>980</v>
      </c>
      <c r="Z1172" s="20" t="s">
        <v>1005</v>
      </c>
      <c r="AA1172" s="20"/>
      <c r="AB1172" s="20" t="s">
        <v>267</v>
      </c>
      <c r="AC1172" s="20"/>
      <c r="AD1172" s="9"/>
      <c r="AE1172" s="1"/>
      <c r="AF1172" s="1"/>
      <c r="AG1172" s="1"/>
    </row>
    <row r="1173" spans="1:33" s="81" customFormat="1" ht="15.75" x14ac:dyDescent="0.2">
      <c r="A1173" s="13">
        <f t="shared" si="44"/>
        <v>98</v>
      </c>
      <c r="B1173" s="11"/>
      <c r="C1173" s="1"/>
      <c r="D1173" s="2"/>
      <c r="E1173" s="2"/>
      <c r="F1173" s="1"/>
      <c r="G1173" s="1"/>
      <c r="H1173" s="78"/>
      <c r="I1173" s="78"/>
      <c r="J1173" s="5" t="str">
        <f>IF(G1173&lt;&gt;0,VLOOKUP(G1173,[7]GIA!$L$2:$O$200,3,0)," ")</f>
        <v xml:space="preserve"> </v>
      </c>
      <c r="K1173" s="5" t="str">
        <f>IF(G1173&lt;&gt;0,VLOOKUP(G1173,[7]GIA!$L$2:$O$200,4,0)," ")</f>
        <v xml:space="preserve"> </v>
      </c>
      <c r="L1173" s="4" t="str">
        <f t="shared" si="46"/>
        <v xml:space="preserve"> </v>
      </c>
      <c r="M1173" s="4" t="str">
        <f t="shared" si="47"/>
        <v xml:space="preserve"> </v>
      </c>
      <c r="N1173" s="70" t="s">
        <v>401</v>
      </c>
      <c r="O1173" s="5">
        <v>2</v>
      </c>
      <c r="P1173" s="3"/>
      <c r="Q1173" s="4"/>
      <c r="R1173" s="47" t="s">
        <v>803</v>
      </c>
      <c r="S1173" s="13" t="s">
        <v>973</v>
      </c>
      <c r="T1173" s="13">
        <v>53.8</v>
      </c>
      <c r="U1173" s="80"/>
      <c r="V1173" s="4"/>
      <c r="W1173" s="32"/>
      <c r="X1173" s="18"/>
      <c r="Y1173" s="20" t="s">
        <v>980</v>
      </c>
      <c r="Z1173" s="20" t="s">
        <v>1012</v>
      </c>
      <c r="AA1173" s="20" t="s">
        <v>269</v>
      </c>
      <c r="AB1173" s="20" t="s">
        <v>267</v>
      </c>
      <c r="AC1173" s="20"/>
      <c r="AD1173" s="9"/>
      <c r="AE1173" s="1"/>
      <c r="AF1173" s="1"/>
      <c r="AG1173" s="1"/>
    </row>
    <row r="1174" spans="1:33" s="81" customFormat="1" ht="15.75" x14ac:dyDescent="0.2">
      <c r="A1174" s="13">
        <f t="shared" si="44"/>
        <v>98</v>
      </c>
      <c r="B1174" s="11"/>
      <c r="C1174" s="1"/>
      <c r="D1174" s="2"/>
      <c r="E1174" s="2"/>
      <c r="F1174" s="1"/>
      <c r="G1174" s="1"/>
      <c r="H1174" s="78"/>
      <c r="I1174" s="78"/>
      <c r="J1174" s="5" t="str">
        <f>IF(G1174&lt;&gt;0,VLOOKUP(G1174,[7]GIA!$L$2:$O$200,3,0)," ")</f>
        <v xml:space="preserve"> </v>
      </c>
      <c r="K1174" s="5" t="str">
        <f>IF(G1174&lt;&gt;0,VLOOKUP(G1174,[7]GIA!$L$2:$O$200,4,0)," ")</f>
        <v xml:space="preserve"> </v>
      </c>
      <c r="L1174" s="4" t="str">
        <f t="shared" si="46"/>
        <v xml:space="preserve"> </v>
      </c>
      <c r="M1174" s="4" t="str">
        <f t="shared" si="47"/>
        <v xml:space="preserve"> </v>
      </c>
      <c r="N1174" s="1" t="s">
        <v>154</v>
      </c>
      <c r="O1174" s="5">
        <v>2</v>
      </c>
      <c r="P1174" s="3"/>
      <c r="Q1174" s="4"/>
      <c r="R1174" s="47" t="s">
        <v>1014</v>
      </c>
      <c r="S1174" s="13" t="s">
        <v>973</v>
      </c>
      <c r="T1174" s="13">
        <v>1.7</v>
      </c>
      <c r="U1174" s="80"/>
      <c r="V1174" s="4"/>
      <c r="W1174" s="32"/>
      <c r="X1174" s="18" t="s">
        <v>139</v>
      </c>
      <c r="Y1174" s="20" t="s">
        <v>980</v>
      </c>
      <c r="Z1174" s="20" t="s">
        <v>1012</v>
      </c>
      <c r="AA1174" s="20" t="s">
        <v>269</v>
      </c>
      <c r="AB1174" s="20" t="s">
        <v>139</v>
      </c>
      <c r="AC1174" s="20"/>
      <c r="AD1174" s="9"/>
      <c r="AE1174" s="1" t="s">
        <v>1015</v>
      </c>
      <c r="AF1174" s="1"/>
      <c r="AG1174" s="1"/>
    </row>
    <row r="1175" spans="1:33" s="81" customFormat="1" ht="15.75" x14ac:dyDescent="0.2">
      <c r="A1175" s="13">
        <f t="shared" si="44"/>
        <v>98</v>
      </c>
      <c r="B1175" s="11"/>
      <c r="C1175" s="1"/>
      <c r="D1175" s="2"/>
      <c r="E1175" s="2"/>
      <c r="F1175" s="1"/>
      <c r="G1175" s="1"/>
      <c r="H1175" s="78"/>
      <c r="I1175" s="78"/>
      <c r="J1175" s="5" t="str">
        <f>IF(G1175&lt;&gt;0,VLOOKUP(G1175,[7]GIA!$L$2:$O$200,3,0)," ")</f>
        <v xml:space="preserve"> </v>
      </c>
      <c r="K1175" s="5" t="str">
        <f>IF(G1175&lt;&gt;0,VLOOKUP(G1175,[7]GIA!$L$2:$O$200,4,0)," ")</f>
        <v xml:space="preserve"> </v>
      </c>
      <c r="L1175" s="4" t="str">
        <f t="shared" si="46"/>
        <v xml:space="preserve"> </v>
      </c>
      <c r="M1175" s="4" t="str">
        <f t="shared" si="47"/>
        <v xml:space="preserve"> </v>
      </c>
      <c r="N1175" s="1" t="s">
        <v>76</v>
      </c>
      <c r="O1175" s="5">
        <v>8</v>
      </c>
      <c r="P1175" s="3"/>
      <c r="Q1175" s="4"/>
      <c r="R1175" s="47" t="s">
        <v>1014</v>
      </c>
      <c r="S1175" s="13" t="s">
        <v>973</v>
      </c>
      <c r="T1175" s="13">
        <v>1.7</v>
      </c>
      <c r="U1175" s="80"/>
      <c r="V1175" s="4"/>
      <c r="W1175" s="32"/>
      <c r="X1175" s="18" t="s">
        <v>139</v>
      </c>
      <c r="Y1175" s="20" t="s">
        <v>980</v>
      </c>
      <c r="Z1175" s="20" t="s">
        <v>1012</v>
      </c>
      <c r="AA1175" s="20" t="s">
        <v>269</v>
      </c>
      <c r="AB1175" s="20" t="s">
        <v>139</v>
      </c>
      <c r="AC1175" s="20"/>
      <c r="AD1175" s="9"/>
      <c r="AE1175" s="1" t="s">
        <v>1015</v>
      </c>
      <c r="AF1175" s="1"/>
      <c r="AG1175" s="1"/>
    </row>
    <row r="1176" spans="1:33" s="81" customFormat="1" ht="15.75" x14ac:dyDescent="0.2">
      <c r="A1176" s="13">
        <f t="shared" si="44"/>
        <v>98</v>
      </c>
      <c r="B1176" s="11"/>
      <c r="C1176" s="1"/>
      <c r="D1176" s="2"/>
      <c r="E1176" s="2"/>
      <c r="F1176" s="1"/>
      <c r="G1176" s="1"/>
      <c r="H1176" s="78"/>
      <c r="I1176" s="78"/>
      <c r="J1176" s="5" t="str">
        <f>IF(G1176&lt;&gt;0,VLOOKUP(G1176,[7]GIA!$L$2:$O$200,3,0)," ")</f>
        <v xml:space="preserve"> </v>
      </c>
      <c r="K1176" s="5" t="str">
        <f>IF(G1176&lt;&gt;0,VLOOKUP(G1176,[7]GIA!$L$2:$O$200,4,0)," ")</f>
        <v xml:space="preserve"> </v>
      </c>
      <c r="L1176" s="4" t="str">
        <f t="shared" si="46"/>
        <v xml:space="preserve"> </v>
      </c>
      <c r="M1176" s="4" t="str">
        <f t="shared" si="47"/>
        <v xml:space="preserve"> </v>
      </c>
      <c r="N1176" s="1"/>
      <c r="O1176" s="5"/>
      <c r="P1176" s="3" t="str">
        <f>IF(N1176&lt;&gt;0,VLOOKUP(N1176,[7]GIA!$A$2:$C$200,3,0)," ")</f>
        <v xml:space="preserve"> </v>
      </c>
      <c r="Q1176" s="4" t="str">
        <f t="shared" si="48"/>
        <v xml:space="preserve"> </v>
      </c>
      <c r="R1176" s="47" t="s">
        <v>1016</v>
      </c>
      <c r="S1176" s="13" t="s">
        <v>973</v>
      </c>
      <c r="T1176" s="6">
        <v>77.61</v>
      </c>
      <c r="U1176" s="80"/>
      <c r="V1176" s="4"/>
      <c r="W1176" s="32"/>
      <c r="X1176" s="18"/>
      <c r="Y1176" s="20"/>
      <c r="Z1176" s="20"/>
      <c r="AA1176" s="20"/>
      <c r="AB1176" s="20"/>
      <c r="AC1176" s="20"/>
      <c r="AD1176" s="9"/>
      <c r="AE1176" s="1"/>
      <c r="AF1176" s="1"/>
      <c r="AG1176" s="1"/>
    </row>
    <row r="1177" spans="1:33" s="81" customFormat="1" ht="15.75" x14ac:dyDescent="0.2">
      <c r="A1177" s="13">
        <f t="shared" si="44"/>
        <v>98</v>
      </c>
      <c r="B1177" s="11"/>
      <c r="C1177" s="1"/>
      <c r="D1177" s="2"/>
      <c r="E1177" s="2"/>
      <c r="F1177" s="1"/>
      <c r="G1177" s="1"/>
      <c r="H1177" s="78"/>
      <c r="I1177" s="78"/>
      <c r="J1177" s="5" t="str">
        <f>IF(G1177&lt;&gt;0,VLOOKUP(G1177,[7]GIA!$L$2:$O$200,3,0)," ")</f>
        <v xml:space="preserve"> </v>
      </c>
      <c r="K1177" s="5" t="str">
        <f>IF(G1177&lt;&gt;0,VLOOKUP(G1177,[7]GIA!$L$2:$O$200,4,0)," ")</f>
        <v xml:space="preserve"> </v>
      </c>
      <c r="L1177" s="4" t="str">
        <f t="shared" si="46"/>
        <v xml:space="preserve"> </v>
      </c>
      <c r="M1177" s="4" t="str">
        <f t="shared" si="47"/>
        <v xml:space="preserve"> </v>
      </c>
      <c r="N1177" s="1"/>
      <c r="O1177" s="5"/>
      <c r="P1177" s="3" t="str">
        <f>IF(N1177&lt;&gt;0,VLOOKUP(N1177,[7]GIA!$A$2:$C$200,3,0)," ")</f>
        <v xml:space="preserve"> </v>
      </c>
      <c r="Q1177" s="4" t="str">
        <f t="shared" si="48"/>
        <v xml:space="preserve"> </v>
      </c>
      <c r="R1177" s="47" t="s">
        <v>1016</v>
      </c>
      <c r="S1177" s="13" t="s">
        <v>973</v>
      </c>
      <c r="T1177" s="6">
        <v>6.51</v>
      </c>
      <c r="U1177" s="80"/>
      <c r="V1177" s="4"/>
      <c r="W1177" s="32"/>
      <c r="X1177" s="18"/>
      <c r="Y1177" s="20"/>
      <c r="Z1177" s="20"/>
      <c r="AA1177" s="20"/>
      <c r="AB1177" s="20"/>
      <c r="AC1177" s="20"/>
      <c r="AD1177" s="9"/>
      <c r="AE1177" s="1"/>
      <c r="AF1177" s="1"/>
      <c r="AG1177" s="1"/>
    </row>
    <row r="1178" spans="1:33" s="81" customFormat="1" ht="15.75" x14ac:dyDescent="0.2">
      <c r="A1178" s="13">
        <f t="shared" si="44"/>
        <v>98</v>
      </c>
      <c r="B1178" s="11"/>
      <c r="C1178" s="1"/>
      <c r="D1178" s="2"/>
      <c r="E1178" s="2"/>
      <c r="F1178" s="1"/>
      <c r="G1178" s="1"/>
      <c r="H1178" s="78"/>
      <c r="I1178" s="78"/>
      <c r="J1178" s="5" t="str">
        <f>IF(G1178&lt;&gt;0,VLOOKUP(G1178,[7]GIA!$L$2:$O$200,3,0)," ")</f>
        <v xml:space="preserve"> </v>
      </c>
      <c r="K1178" s="5" t="str">
        <f>IF(G1178&lt;&gt;0,VLOOKUP(G1178,[7]GIA!$L$2:$O$200,4,0)," ")</f>
        <v xml:space="preserve"> </v>
      </c>
      <c r="L1178" s="4" t="str">
        <f t="shared" si="46"/>
        <v xml:space="preserve"> </v>
      </c>
      <c r="M1178" s="4" t="str">
        <f t="shared" si="47"/>
        <v xml:space="preserve"> </v>
      </c>
      <c r="N1178" s="1"/>
      <c r="O1178" s="5"/>
      <c r="P1178" s="3" t="str">
        <f>IF(N1178&lt;&gt;0,VLOOKUP(N1178,[7]GIA!$A$2:$C$200,3,0)," ")</f>
        <v xml:space="preserve"> </v>
      </c>
      <c r="Q1178" s="4" t="str">
        <f t="shared" si="48"/>
        <v xml:space="preserve"> </v>
      </c>
      <c r="R1178" s="47" t="s">
        <v>1016</v>
      </c>
      <c r="S1178" s="13" t="s">
        <v>973</v>
      </c>
      <c r="T1178" s="6">
        <v>10.1</v>
      </c>
      <c r="U1178" s="80"/>
      <c r="V1178" s="4"/>
      <c r="W1178" s="32"/>
      <c r="X1178" s="18"/>
      <c r="Y1178" s="20"/>
      <c r="Z1178" s="20"/>
      <c r="AA1178" s="20"/>
      <c r="AB1178" s="20"/>
      <c r="AC1178" s="20"/>
      <c r="AD1178" s="9"/>
      <c r="AE1178" s="1"/>
      <c r="AF1178" s="1"/>
      <c r="AG1178" s="1"/>
    </row>
    <row r="1179" spans="1:33" s="81" customFormat="1" ht="15.75" x14ac:dyDescent="0.2">
      <c r="A1179" s="13">
        <f t="shared" si="44"/>
        <v>98</v>
      </c>
      <c r="B1179" s="11"/>
      <c r="C1179" s="1"/>
      <c r="D1179" s="2"/>
      <c r="E1179" s="2"/>
      <c r="F1179" s="1"/>
      <c r="G1179" s="1"/>
      <c r="H1179" s="78"/>
      <c r="I1179" s="78"/>
      <c r="J1179" s="5" t="str">
        <f>IF(G1179&lt;&gt;0,VLOOKUP(G1179,[7]GIA!$L$2:$O$200,3,0)," ")</f>
        <v xml:space="preserve"> </v>
      </c>
      <c r="K1179" s="5" t="str">
        <f>IF(G1179&lt;&gt;0,VLOOKUP(G1179,[7]GIA!$L$2:$O$200,4,0)," ")</f>
        <v xml:space="preserve"> </v>
      </c>
      <c r="L1179" s="4" t="str">
        <f t="shared" si="46"/>
        <v xml:space="preserve"> </v>
      </c>
      <c r="M1179" s="4" t="str">
        <f t="shared" si="47"/>
        <v xml:space="preserve"> </v>
      </c>
      <c r="N1179" s="1"/>
      <c r="O1179" s="5"/>
      <c r="P1179" s="3" t="str">
        <f>IF(N1179&lt;&gt;0,VLOOKUP(N1179,[7]GIA!$A$2:$C$200,3,0)," ")</f>
        <v xml:space="preserve"> </v>
      </c>
      <c r="Q1179" s="4" t="str">
        <f t="shared" si="48"/>
        <v xml:space="preserve"> </v>
      </c>
      <c r="R1179" s="47" t="s">
        <v>1017</v>
      </c>
      <c r="S1179" s="13" t="s">
        <v>973</v>
      </c>
      <c r="T1179" s="6">
        <v>0.8</v>
      </c>
      <c r="U1179" s="80"/>
      <c r="V1179" s="4"/>
      <c r="W1179" s="32"/>
      <c r="X1179" s="18"/>
      <c r="Y1179" s="20"/>
      <c r="Z1179" s="20"/>
      <c r="AA1179" s="20"/>
      <c r="AB1179" s="20"/>
      <c r="AC1179" s="20"/>
      <c r="AD1179" s="9"/>
      <c r="AE1179" s="1"/>
      <c r="AF1179" s="1"/>
      <c r="AG1179" s="1"/>
    </row>
    <row r="1180" spans="1:33" s="81" customFormat="1" ht="15.75" x14ac:dyDescent="0.2">
      <c r="A1180" s="13">
        <f t="shared" si="44"/>
        <v>98</v>
      </c>
      <c r="B1180" s="11"/>
      <c r="C1180" s="1"/>
      <c r="D1180" s="2"/>
      <c r="E1180" s="2"/>
      <c r="F1180" s="1"/>
      <c r="G1180" s="1"/>
      <c r="H1180" s="78"/>
      <c r="I1180" s="78"/>
      <c r="J1180" s="5" t="str">
        <f>IF(G1180&lt;&gt;0,VLOOKUP(G1180,[7]GIA!$L$2:$O$200,3,0)," ")</f>
        <v xml:space="preserve"> </v>
      </c>
      <c r="K1180" s="5" t="str">
        <f>IF(G1180&lt;&gt;0,VLOOKUP(G1180,[7]GIA!$L$2:$O$200,4,0)," ")</f>
        <v xml:space="preserve"> </v>
      </c>
      <c r="L1180" s="4" t="str">
        <f t="shared" si="46"/>
        <v xml:space="preserve"> </v>
      </c>
      <c r="M1180" s="4" t="str">
        <f t="shared" si="47"/>
        <v xml:space="preserve"> </v>
      </c>
      <c r="N1180" s="1"/>
      <c r="O1180" s="5"/>
      <c r="P1180" s="3" t="str">
        <f>IF(N1180&lt;&gt;0,VLOOKUP(N1180,[7]GIA!$A$2:$C$200,3,0)," ")</f>
        <v xml:space="preserve"> </v>
      </c>
      <c r="Q1180" s="4" t="str">
        <f t="shared" si="48"/>
        <v xml:space="preserve"> </v>
      </c>
      <c r="R1180" s="47" t="s">
        <v>1018</v>
      </c>
      <c r="S1180" s="13" t="s">
        <v>988</v>
      </c>
      <c r="T1180" s="6">
        <v>1.97</v>
      </c>
      <c r="U1180" s="80"/>
      <c r="V1180" s="4"/>
      <c r="W1180" s="32"/>
      <c r="X1180" s="18"/>
      <c r="Y1180" s="20"/>
      <c r="Z1180" s="20"/>
      <c r="AA1180" s="20"/>
      <c r="AB1180" s="20"/>
      <c r="AC1180" s="20"/>
      <c r="AD1180" s="9"/>
      <c r="AE1180" s="1"/>
      <c r="AF1180" s="1"/>
      <c r="AG1180" s="1"/>
    </row>
    <row r="1181" spans="1:33" s="81" customFormat="1" ht="15.75" x14ac:dyDescent="0.2">
      <c r="A1181" s="13">
        <f t="shared" si="44"/>
        <v>98</v>
      </c>
      <c r="B1181" s="11"/>
      <c r="C1181" s="1"/>
      <c r="D1181" s="2"/>
      <c r="E1181" s="2"/>
      <c r="F1181" s="1"/>
      <c r="G1181" s="1"/>
      <c r="H1181" s="78"/>
      <c r="I1181" s="78"/>
      <c r="J1181" s="5" t="str">
        <f>IF(G1181&lt;&gt;0,VLOOKUP(G1181,[7]GIA!$L$2:$O$200,3,0)," ")</f>
        <v xml:space="preserve"> </v>
      </c>
      <c r="K1181" s="5" t="str">
        <f>IF(G1181&lt;&gt;0,VLOOKUP(G1181,[7]GIA!$L$2:$O$200,4,0)," ")</f>
        <v xml:space="preserve"> </v>
      </c>
      <c r="L1181" s="4" t="str">
        <f t="shared" si="46"/>
        <v xml:space="preserve"> </v>
      </c>
      <c r="M1181" s="4" t="str">
        <f t="shared" si="47"/>
        <v xml:space="preserve"> </v>
      </c>
      <c r="N1181" s="1"/>
      <c r="O1181" s="5"/>
      <c r="P1181" s="3" t="str">
        <f>IF(N1181&lt;&gt;0,VLOOKUP(N1181,[7]GIA!$A$2:$C$200,3,0)," ")</f>
        <v xml:space="preserve"> </v>
      </c>
      <c r="Q1181" s="4" t="str">
        <f t="shared" si="48"/>
        <v xml:space="preserve"> </v>
      </c>
      <c r="R1181" s="47" t="s">
        <v>1019</v>
      </c>
      <c r="S1181" s="13" t="s">
        <v>973</v>
      </c>
      <c r="T1181" s="6">
        <v>8.36</v>
      </c>
      <c r="U1181" s="80"/>
      <c r="V1181" s="4"/>
      <c r="W1181" s="32"/>
      <c r="X1181" s="18"/>
      <c r="Y1181" s="20"/>
      <c r="Z1181" s="20"/>
      <c r="AA1181" s="20"/>
      <c r="AB1181" s="20"/>
      <c r="AC1181" s="20"/>
      <c r="AD1181" s="9"/>
      <c r="AE1181" s="1"/>
      <c r="AF1181" s="1"/>
      <c r="AG1181" s="1"/>
    </row>
    <row r="1182" spans="1:33" s="81" customFormat="1" ht="15.75" x14ac:dyDescent="0.2">
      <c r="A1182" s="13">
        <f t="shared" si="44"/>
        <v>98</v>
      </c>
      <c r="B1182" s="11"/>
      <c r="C1182" s="1"/>
      <c r="D1182" s="2"/>
      <c r="E1182" s="2"/>
      <c r="F1182" s="1"/>
      <c r="G1182" s="1"/>
      <c r="H1182" s="78"/>
      <c r="I1182" s="78"/>
      <c r="J1182" s="5" t="str">
        <f>IF(G1182&lt;&gt;0,VLOOKUP(G1182,[7]GIA!$L$2:$O$200,3,0)," ")</f>
        <v xml:space="preserve"> </v>
      </c>
      <c r="K1182" s="5" t="str">
        <f>IF(G1182&lt;&gt;0,VLOOKUP(G1182,[7]GIA!$L$2:$O$200,4,0)," ")</f>
        <v xml:space="preserve"> </v>
      </c>
      <c r="L1182" s="4" t="str">
        <f t="shared" si="46"/>
        <v xml:space="preserve"> </v>
      </c>
      <c r="M1182" s="4" t="str">
        <f t="shared" si="47"/>
        <v xml:space="preserve"> </v>
      </c>
      <c r="N1182" s="1"/>
      <c r="O1182" s="5"/>
      <c r="P1182" s="3" t="str">
        <f>IF(N1182&lt;&gt;0,VLOOKUP(N1182,[7]GIA!$A$2:$C$200,3,0)," ")</f>
        <v xml:space="preserve"> </v>
      </c>
      <c r="Q1182" s="4" t="str">
        <f t="shared" si="48"/>
        <v xml:space="preserve"> </v>
      </c>
      <c r="R1182" s="47" t="s">
        <v>1020</v>
      </c>
      <c r="S1182" s="13" t="s">
        <v>988</v>
      </c>
      <c r="T1182" s="6">
        <v>0.04</v>
      </c>
      <c r="U1182" s="80"/>
      <c r="V1182" s="4"/>
      <c r="W1182" s="32"/>
      <c r="X1182" s="18"/>
      <c r="Y1182" s="20"/>
      <c r="Z1182" s="20"/>
      <c r="AA1182" s="20"/>
      <c r="AB1182" s="20"/>
      <c r="AC1182" s="20"/>
      <c r="AD1182" s="9"/>
      <c r="AE1182" s="1"/>
      <c r="AF1182" s="1"/>
      <c r="AG1182" s="1"/>
    </row>
    <row r="1183" spans="1:33" s="81" customFormat="1" ht="15.75" x14ac:dyDescent="0.2">
      <c r="A1183" s="13">
        <f t="shared" si="44"/>
        <v>98</v>
      </c>
      <c r="B1183" s="11"/>
      <c r="C1183" s="1"/>
      <c r="D1183" s="2"/>
      <c r="E1183" s="2"/>
      <c r="F1183" s="1"/>
      <c r="G1183" s="1"/>
      <c r="H1183" s="78"/>
      <c r="I1183" s="78"/>
      <c r="J1183" s="5" t="str">
        <f>IF(G1183&lt;&gt;0,VLOOKUP(G1183,[7]GIA!$L$2:$O$200,3,0)," ")</f>
        <v xml:space="preserve"> </v>
      </c>
      <c r="K1183" s="5" t="str">
        <f>IF(G1183&lt;&gt;0,VLOOKUP(G1183,[7]GIA!$L$2:$O$200,4,0)," ")</f>
        <v xml:space="preserve"> </v>
      </c>
      <c r="L1183" s="4" t="str">
        <f t="shared" si="46"/>
        <v xml:space="preserve"> </v>
      </c>
      <c r="M1183" s="4" t="str">
        <f t="shared" si="47"/>
        <v xml:space="preserve"> </v>
      </c>
      <c r="N1183" s="1"/>
      <c r="O1183" s="5"/>
      <c r="P1183" s="3" t="str">
        <f>IF(N1183&lt;&gt;0,VLOOKUP(N1183,[7]GIA!$A$2:$C$200,3,0)," ")</f>
        <v xml:space="preserve"> </v>
      </c>
      <c r="Q1183" s="4" t="str">
        <f t="shared" si="48"/>
        <v xml:space="preserve"> </v>
      </c>
      <c r="R1183" s="47" t="s">
        <v>1016</v>
      </c>
      <c r="S1183" s="13" t="s">
        <v>973</v>
      </c>
      <c r="T1183" s="6">
        <v>0.42</v>
      </c>
      <c r="U1183" s="80"/>
      <c r="V1183" s="4"/>
      <c r="W1183" s="32"/>
      <c r="X1183" s="18"/>
      <c r="Y1183" s="20"/>
      <c r="Z1183" s="20"/>
      <c r="AA1183" s="20"/>
      <c r="AB1183" s="20"/>
      <c r="AC1183" s="20"/>
      <c r="AD1183" s="9"/>
      <c r="AE1183" s="1"/>
      <c r="AF1183" s="1"/>
      <c r="AG1183" s="1"/>
    </row>
    <row r="1184" spans="1:33" s="81" customFormat="1" ht="15.75" x14ac:dyDescent="0.2">
      <c r="A1184" s="13">
        <f t="shared" si="44"/>
        <v>98</v>
      </c>
      <c r="B1184" s="11"/>
      <c r="C1184" s="1"/>
      <c r="D1184" s="2"/>
      <c r="E1184" s="2"/>
      <c r="F1184" s="1"/>
      <c r="G1184" s="1"/>
      <c r="H1184" s="78"/>
      <c r="I1184" s="78"/>
      <c r="J1184" s="5" t="str">
        <f>IF(G1184&lt;&gt;0,VLOOKUP(G1184,[7]GIA!$L$2:$O$200,3,0)," ")</f>
        <v xml:space="preserve"> </v>
      </c>
      <c r="K1184" s="5" t="str">
        <f>IF(G1184&lt;&gt;0,VLOOKUP(G1184,[7]GIA!$L$2:$O$200,4,0)," ")</f>
        <v xml:space="preserve"> </v>
      </c>
      <c r="L1184" s="4" t="str">
        <f t="shared" si="46"/>
        <v xml:space="preserve"> </v>
      </c>
      <c r="M1184" s="4" t="str">
        <f t="shared" si="47"/>
        <v xml:space="preserve"> </v>
      </c>
      <c r="N1184" s="1"/>
      <c r="O1184" s="5"/>
      <c r="P1184" s="3" t="str">
        <f>IF(N1184&lt;&gt;0,VLOOKUP(N1184,[7]GIA!$A$2:$C$200,3,0)," ")</f>
        <v xml:space="preserve"> </v>
      </c>
      <c r="Q1184" s="4" t="str">
        <f t="shared" si="48"/>
        <v xml:space="preserve"> </v>
      </c>
      <c r="R1184" s="47" t="s">
        <v>1020</v>
      </c>
      <c r="S1184" s="13" t="s">
        <v>988</v>
      </c>
      <c r="T1184" s="6">
        <v>0.11</v>
      </c>
      <c r="U1184" s="80"/>
      <c r="V1184" s="4"/>
      <c r="W1184" s="32"/>
      <c r="X1184" s="18"/>
      <c r="Y1184" s="20"/>
      <c r="Z1184" s="20"/>
      <c r="AA1184" s="20"/>
      <c r="AB1184" s="20"/>
      <c r="AC1184" s="20"/>
      <c r="AD1184" s="9"/>
      <c r="AE1184" s="1"/>
      <c r="AF1184" s="1"/>
      <c r="AG1184" s="1"/>
    </row>
    <row r="1185" spans="1:33" s="81" customFormat="1" ht="15.75" x14ac:dyDescent="0.2">
      <c r="A1185" s="13">
        <f t="shared" si="44"/>
        <v>98</v>
      </c>
      <c r="B1185" s="11"/>
      <c r="C1185" s="1"/>
      <c r="D1185" s="2"/>
      <c r="E1185" s="2"/>
      <c r="F1185" s="1"/>
      <c r="G1185" s="1"/>
      <c r="H1185" s="78"/>
      <c r="I1185" s="78"/>
      <c r="J1185" s="5" t="str">
        <f>IF(G1185&lt;&gt;0,VLOOKUP(G1185,[7]GIA!$L$2:$O$200,3,0)," ")</f>
        <v xml:space="preserve"> </v>
      </c>
      <c r="K1185" s="5" t="str">
        <f>IF(G1185&lt;&gt;0,VLOOKUP(G1185,[7]GIA!$L$2:$O$200,4,0)," ")</f>
        <v xml:space="preserve"> </v>
      </c>
      <c r="L1185" s="4" t="str">
        <f t="shared" si="46"/>
        <v xml:space="preserve"> </v>
      </c>
      <c r="M1185" s="4" t="str">
        <f t="shared" si="47"/>
        <v xml:space="preserve"> </v>
      </c>
      <c r="N1185" s="1"/>
      <c r="O1185" s="5"/>
      <c r="P1185" s="3" t="str">
        <f>IF(N1185&lt;&gt;0,VLOOKUP(N1185,[7]GIA!$A$2:$C$200,3,0)," ")</f>
        <v xml:space="preserve"> </v>
      </c>
      <c r="Q1185" s="4" t="str">
        <f t="shared" si="48"/>
        <v xml:space="preserve"> </v>
      </c>
      <c r="R1185" s="47" t="s">
        <v>1016</v>
      </c>
      <c r="S1185" s="13" t="s">
        <v>973</v>
      </c>
      <c r="T1185" s="6">
        <v>1.1000000000000001</v>
      </c>
      <c r="U1185" s="80"/>
      <c r="V1185" s="4"/>
      <c r="W1185" s="32"/>
      <c r="X1185" s="18"/>
      <c r="Y1185" s="20"/>
      <c r="Z1185" s="20"/>
      <c r="AA1185" s="20"/>
      <c r="AB1185" s="20"/>
      <c r="AC1185" s="20"/>
      <c r="AD1185" s="9"/>
      <c r="AE1185" s="1"/>
      <c r="AF1185" s="1"/>
      <c r="AG1185" s="1"/>
    </row>
    <row r="1186" spans="1:33" s="81" customFormat="1" ht="15.75" x14ac:dyDescent="0.2">
      <c r="A1186" s="13">
        <f t="shared" si="44"/>
        <v>98</v>
      </c>
      <c r="B1186" s="11"/>
      <c r="C1186" s="1"/>
      <c r="D1186" s="2"/>
      <c r="E1186" s="2"/>
      <c r="F1186" s="1"/>
      <c r="G1186" s="1"/>
      <c r="H1186" s="78"/>
      <c r="I1186" s="78"/>
      <c r="J1186" s="5" t="str">
        <f>IF(G1186&lt;&gt;0,VLOOKUP(G1186,[7]GIA!$L$2:$O$200,3,0)," ")</f>
        <v xml:space="preserve"> </v>
      </c>
      <c r="K1186" s="5" t="str">
        <f>IF(G1186&lt;&gt;0,VLOOKUP(G1186,[7]GIA!$L$2:$O$200,4,0)," ")</f>
        <v xml:space="preserve"> </v>
      </c>
      <c r="L1186" s="4" t="str">
        <f t="shared" si="46"/>
        <v xml:space="preserve"> </v>
      </c>
      <c r="M1186" s="4" t="str">
        <f t="shared" si="47"/>
        <v xml:space="preserve"> </v>
      </c>
      <c r="N1186" s="1"/>
      <c r="O1186" s="5"/>
      <c r="P1186" s="3" t="str">
        <f>IF(N1186&lt;&gt;0,VLOOKUP(N1186,[7]GIA!$A$2:$C$200,3,0)," ")</f>
        <v xml:space="preserve"> </v>
      </c>
      <c r="Q1186" s="4" t="str">
        <f t="shared" si="48"/>
        <v xml:space="preserve"> </v>
      </c>
      <c r="R1186" s="47" t="s">
        <v>1021</v>
      </c>
      <c r="S1186" s="13" t="s">
        <v>973</v>
      </c>
      <c r="T1186" s="13">
        <v>2.76</v>
      </c>
      <c r="U1186" s="80"/>
      <c r="V1186" s="4"/>
      <c r="W1186" s="32"/>
      <c r="X1186" s="18" t="s">
        <v>139</v>
      </c>
      <c r="Y1186" s="20" t="s">
        <v>980</v>
      </c>
      <c r="Z1186" s="20" t="s">
        <v>1012</v>
      </c>
      <c r="AA1186" s="20" t="s">
        <v>269</v>
      </c>
      <c r="AB1186" s="20" t="s">
        <v>139</v>
      </c>
      <c r="AC1186" s="20"/>
      <c r="AD1186" s="9"/>
      <c r="AE1186" s="1" t="s">
        <v>1022</v>
      </c>
      <c r="AF1186" s="1"/>
      <c r="AG1186" s="1"/>
    </row>
    <row r="1187" spans="1:33" s="81" customFormat="1" ht="15.75" x14ac:dyDescent="0.2">
      <c r="A1187" s="13">
        <f t="shared" si="44"/>
        <v>98</v>
      </c>
      <c r="B1187" s="11"/>
      <c r="C1187" s="1"/>
      <c r="D1187" s="2"/>
      <c r="E1187" s="2"/>
      <c r="F1187" s="1"/>
      <c r="G1187" s="1"/>
      <c r="H1187" s="78"/>
      <c r="I1187" s="78"/>
      <c r="J1187" s="5" t="str">
        <f>IF(G1187&lt;&gt;0,VLOOKUP(G1187,[7]GIA!$L$2:$O$200,3,0)," ")</f>
        <v xml:space="preserve"> </v>
      </c>
      <c r="K1187" s="5" t="str">
        <f>IF(G1187&lt;&gt;0,VLOOKUP(G1187,[7]GIA!$L$2:$O$200,4,0)," ")</f>
        <v xml:space="preserve"> </v>
      </c>
      <c r="L1187" s="4" t="str">
        <f t="shared" si="46"/>
        <v xml:space="preserve"> </v>
      </c>
      <c r="M1187" s="4" t="str">
        <f t="shared" si="47"/>
        <v xml:space="preserve"> </v>
      </c>
      <c r="N1187" s="1"/>
      <c r="O1187" s="5"/>
      <c r="P1187" s="3" t="str">
        <f>IF(N1187&lt;&gt;0,VLOOKUP(N1187,[7]GIA!$A$2:$C$200,3,0)," ")</f>
        <v xml:space="preserve"> </v>
      </c>
      <c r="Q1187" s="4" t="str">
        <f t="shared" si="48"/>
        <v xml:space="preserve"> </v>
      </c>
      <c r="R1187" s="47" t="s">
        <v>283</v>
      </c>
      <c r="S1187" s="13" t="s">
        <v>973</v>
      </c>
      <c r="T1187" s="6">
        <v>9.9</v>
      </c>
      <c r="U1187" s="80"/>
      <c r="V1187" s="4"/>
      <c r="W1187" s="32"/>
      <c r="X1187" s="18"/>
      <c r="Y1187" s="20" t="s">
        <v>980</v>
      </c>
      <c r="Z1187" s="20" t="s">
        <v>1005</v>
      </c>
      <c r="AA1187" s="20" t="s">
        <v>266</v>
      </c>
      <c r="AB1187" s="20" t="s">
        <v>982</v>
      </c>
      <c r="AC1187" s="20"/>
      <c r="AD1187" s="9"/>
      <c r="AE1187" s="1"/>
      <c r="AF1187" s="1"/>
      <c r="AG1187" s="1"/>
    </row>
    <row r="1188" spans="1:33" s="81" customFormat="1" ht="15.75" x14ac:dyDescent="0.2">
      <c r="A1188" s="13">
        <f t="shared" si="44"/>
        <v>98</v>
      </c>
      <c r="B1188" s="11"/>
      <c r="C1188" s="1"/>
      <c r="D1188" s="2"/>
      <c r="E1188" s="2"/>
      <c r="F1188" s="1"/>
      <c r="G1188" s="1"/>
      <c r="H1188" s="78"/>
      <c r="I1188" s="78"/>
      <c r="J1188" s="5" t="str">
        <f>IF(G1188&lt;&gt;0,VLOOKUP(G1188,[7]GIA!$L$2:$O$200,3,0)," ")</f>
        <v xml:space="preserve"> </v>
      </c>
      <c r="K1188" s="5" t="str">
        <f>IF(G1188&lt;&gt;0,VLOOKUP(G1188,[7]GIA!$L$2:$O$200,4,0)," ")</f>
        <v xml:space="preserve"> </v>
      </c>
      <c r="L1188" s="4" t="str">
        <f t="shared" si="46"/>
        <v xml:space="preserve"> </v>
      </c>
      <c r="M1188" s="4" t="str">
        <f t="shared" si="47"/>
        <v xml:space="preserve"> </v>
      </c>
      <c r="N1188" s="1"/>
      <c r="O1188" s="5"/>
      <c r="P1188" s="3" t="str">
        <f>IF(N1188&lt;&gt;0,VLOOKUP(N1188,[7]GIA!$A$2:$C$200,3,0)," ")</f>
        <v xml:space="preserve"> </v>
      </c>
      <c r="Q1188" s="4" t="str">
        <f t="shared" si="48"/>
        <v xml:space="preserve"> </v>
      </c>
      <c r="R1188" s="47" t="s">
        <v>283</v>
      </c>
      <c r="S1188" s="13" t="s">
        <v>973</v>
      </c>
      <c r="T1188" s="6">
        <v>25.2</v>
      </c>
      <c r="U1188" s="80"/>
      <c r="V1188" s="4"/>
      <c r="W1188" s="32"/>
      <c r="X1188" s="18"/>
      <c r="Y1188" s="20" t="s">
        <v>980</v>
      </c>
      <c r="Z1188" s="20" t="s">
        <v>1005</v>
      </c>
      <c r="AA1188" s="20" t="s">
        <v>266</v>
      </c>
      <c r="AB1188" s="20" t="s">
        <v>982</v>
      </c>
      <c r="AC1188" s="20"/>
      <c r="AD1188" s="9"/>
      <c r="AE1188" s="1"/>
      <c r="AF1188" s="1"/>
      <c r="AG1188" s="1"/>
    </row>
    <row r="1189" spans="1:33" s="81" customFormat="1" ht="15.75" x14ac:dyDescent="0.2">
      <c r="A1189" s="13">
        <f t="shared" si="44"/>
        <v>98</v>
      </c>
      <c r="B1189" s="11"/>
      <c r="C1189" s="1"/>
      <c r="D1189" s="2"/>
      <c r="E1189" s="2"/>
      <c r="F1189" s="1"/>
      <c r="G1189" s="1"/>
      <c r="H1189" s="78"/>
      <c r="I1189" s="78"/>
      <c r="J1189" s="5" t="str">
        <f>IF(G1189&lt;&gt;0,VLOOKUP(G1189,[7]GIA!$L$2:$O$200,3,0)," ")</f>
        <v xml:space="preserve"> </v>
      </c>
      <c r="K1189" s="5" t="str">
        <f>IF(G1189&lt;&gt;0,VLOOKUP(G1189,[7]GIA!$L$2:$O$200,4,0)," ")</f>
        <v xml:space="preserve"> </v>
      </c>
      <c r="L1189" s="4" t="str">
        <f t="shared" si="46"/>
        <v xml:space="preserve"> </v>
      </c>
      <c r="M1189" s="4" t="str">
        <f t="shared" si="47"/>
        <v xml:space="preserve"> </v>
      </c>
      <c r="N1189" s="1"/>
      <c r="O1189" s="5"/>
      <c r="P1189" s="3" t="str">
        <f>IF(N1189&lt;&gt;0,VLOOKUP(N1189,[7]GIA!$A$2:$C$200,3,0)," ")</f>
        <v xml:space="preserve"> </v>
      </c>
      <c r="Q1189" s="4" t="str">
        <f t="shared" si="48"/>
        <v xml:space="preserve"> </v>
      </c>
      <c r="R1189" s="47" t="s">
        <v>1023</v>
      </c>
      <c r="S1189" s="13" t="s">
        <v>973</v>
      </c>
      <c r="T1189" s="6">
        <v>36</v>
      </c>
      <c r="U1189" s="80"/>
      <c r="V1189" s="4"/>
      <c r="W1189" s="32"/>
      <c r="X1189" s="18"/>
      <c r="Y1189" s="20" t="s">
        <v>980</v>
      </c>
      <c r="Z1189" s="20" t="s">
        <v>1005</v>
      </c>
      <c r="AA1189" s="20" t="s">
        <v>269</v>
      </c>
      <c r="AB1189" s="20" t="s">
        <v>139</v>
      </c>
      <c r="AC1189" s="20"/>
      <c r="AD1189" s="9"/>
      <c r="AE1189" s="1"/>
      <c r="AF1189" s="1"/>
      <c r="AG1189" s="1"/>
    </row>
    <row r="1190" spans="1:33" s="81" customFormat="1" ht="15.75" x14ac:dyDescent="0.2">
      <c r="A1190" s="13">
        <f t="shared" si="44"/>
        <v>98</v>
      </c>
      <c r="B1190" s="11"/>
      <c r="C1190" s="1"/>
      <c r="D1190" s="2"/>
      <c r="E1190" s="2"/>
      <c r="F1190" s="1"/>
      <c r="G1190" s="1"/>
      <c r="H1190" s="78"/>
      <c r="I1190" s="78"/>
      <c r="J1190" s="5" t="str">
        <f>IF(G1190&lt;&gt;0,VLOOKUP(G1190,[7]GIA!$L$2:$O$200,3,0)," ")</f>
        <v xml:space="preserve"> </v>
      </c>
      <c r="K1190" s="5" t="str">
        <f>IF(G1190&lt;&gt;0,VLOOKUP(G1190,[7]GIA!$L$2:$O$200,4,0)," ")</f>
        <v xml:space="preserve"> </v>
      </c>
      <c r="L1190" s="4" t="str">
        <f t="shared" si="46"/>
        <v xml:space="preserve"> </v>
      </c>
      <c r="M1190" s="4" t="str">
        <f t="shared" si="47"/>
        <v xml:space="preserve"> </v>
      </c>
      <c r="N1190" s="1"/>
      <c r="O1190" s="5"/>
      <c r="P1190" s="3" t="str">
        <f>IF(N1190&lt;&gt;0,VLOOKUP(N1190,[7]GIA!$A$2:$C$200,3,0)," ")</f>
        <v xml:space="preserve"> </v>
      </c>
      <c r="Q1190" s="4" t="str">
        <f t="shared" si="48"/>
        <v xml:space="preserve"> </v>
      </c>
      <c r="R1190" s="47" t="s">
        <v>1024</v>
      </c>
      <c r="S1190" s="13" t="s">
        <v>1025</v>
      </c>
      <c r="T1190" s="6">
        <v>11</v>
      </c>
      <c r="U1190" s="80"/>
      <c r="V1190" s="4"/>
      <c r="W1190" s="32"/>
      <c r="X1190" s="18"/>
      <c r="Y1190" s="20"/>
      <c r="Z1190" s="20"/>
      <c r="AA1190" s="20"/>
      <c r="AB1190" s="20"/>
      <c r="AC1190" s="20"/>
      <c r="AD1190" s="9"/>
      <c r="AE1190" s="1"/>
      <c r="AF1190" s="1"/>
      <c r="AG1190" s="1"/>
    </row>
    <row r="1191" spans="1:33" s="81" customFormat="1" ht="15.75" x14ac:dyDescent="0.2">
      <c r="A1191" s="13">
        <f t="shared" si="44"/>
        <v>98</v>
      </c>
      <c r="B1191" s="11"/>
      <c r="C1191" s="1"/>
      <c r="D1191" s="2"/>
      <c r="E1191" s="2"/>
      <c r="F1191" s="1"/>
      <c r="G1191" s="1"/>
      <c r="H1191" s="78"/>
      <c r="I1191" s="78"/>
      <c r="J1191" s="5" t="str">
        <f>IF(G1191&lt;&gt;0,VLOOKUP(G1191,[7]GIA!$L$2:$O$200,3,0)," ")</f>
        <v xml:space="preserve"> </v>
      </c>
      <c r="K1191" s="5" t="str">
        <f>IF(G1191&lt;&gt;0,VLOOKUP(G1191,[7]GIA!$L$2:$O$200,4,0)," ")</f>
        <v xml:space="preserve"> </v>
      </c>
      <c r="L1191" s="4" t="str">
        <f t="shared" si="46"/>
        <v xml:space="preserve"> </v>
      </c>
      <c r="M1191" s="4" t="str">
        <f t="shared" si="47"/>
        <v xml:space="preserve"> </v>
      </c>
      <c r="N1191" s="1"/>
      <c r="O1191" s="5"/>
      <c r="P1191" s="3" t="str">
        <f>IF(N1191&lt;&gt;0,VLOOKUP(N1191,[7]GIA!$A$2:$C$200,3,0)," ")</f>
        <v xml:space="preserve"> </v>
      </c>
      <c r="Q1191" s="4" t="str">
        <f t="shared" si="48"/>
        <v xml:space="preserve"> </v>
      </c>
      <c r="R1191" s="47" t="s">
        <v>936</v>
      </c>
      <c r="S1191" s="13" t="s">
        <v>973</v>
      </c>
      <c r="T1191" s="6">
        <v>48.5</v>
      </c>
      <c r="U1191" s="80"/>
      <c r="V1191" s="4"/>
      <c r="W1191" s="32"/>
      <c r="X1191" s="18"/>
      <c r="Y1191" s="20" t="s">
        <v>980</v>
      </c>
      <c r="Z1191" s="20" t="s">
        <v>1005</v>
      </c>
      <c r="AA1191" s="20"/>
      <c r="AB1191" s="20" t="s">
        <v>267</v>
      </c>
      <c r="AC1191" s="20"/>
      <c r="AD1191" s="9"/>
      <c r="AE1191" s="1"/>
      <c r="AF1191" s="1"/>
      <c r="AG1191" s="1"/>
    </row>
    <row r="1192" spans="1:33" s="81" customFormat="1" ht="15.75" x14ac:dyDescent="0.2">
      <c r="A1192" s="13">
        <f t="shared" si="44"/>
        <v>98</v>
      </c>
      <c r="B1192" s="11"/>
      <c r="C1192" s="1"/>
      <c r="D1192" s="2"/>
      <c r="E1192" s="2"/>
      <c r="F1192" s="1"/>
      <c r="G1192" s="1"/>
      <c r="H1192" s="78"/>
      <c r="I1192" s="78"/>
      <c r="J1192" s="5" t="str">
        <f>IF(G1192&lt;&gt;0,VLOOKUP(G1192,[7]GIA!$L$2:$O$200,3,0)," ")</f>
        <v xml:space="preserve"> </v>
      </c>
      <c r="K1192" s="5" t="str">
        <f>IF(G1192&lt;&gt;0,VLOOKUP(G1192,[7]GIA!$L$2:$O$200,4,0)," ")</f>
        <v xml:space="preserve"> </v>
      </c>
      <c r="L1192" s="4" t="str">
        <f t="shared" si="46"/>
        <v xml:space="preserve"> </v>
      </c>
      <c r="M1192" s="4" t="str">
        <f t="shared" si="47"/>
        <v xml:space="preserve"> </v>
      </c>
      <c r="N1192" s="1"/>
      <c r="O1192" s="5"/>
      <c r="P1192" s="3" t="str">
        <f>IF(N1192&lt;&gt;0,VLOOKUP(N1192,[7]GIA!$A$2:$C$200,3,0)," ")</f>
        <v xml:space="preserve"> </v>
      </c>
      <c r="Q1192" s="4" t="str">
        <f t="shared" si="48"/>
        <v xml:space="preserve"> </v>
      </c>
      <c r="R1192" s="47" t="s">
        <v>936</v>
      </c>
      <c r="S1192" s="13" t="s">
        <v>973</v>
      </c>
      <c r="T1192" s="6">
        <v>264.60000000000002</v>
      </c>
      <c r="U1192" s="80"/>
      <c r="V1192" s="4"/>
      <c r="W1192" s="32"/>
      <c r="X1192" s="18"/>
      <c r="Y1192" s="20" t="s">
        <v>980</v>
      </c>
      <c r="Z1192" s="20" t="s">
        <v>1005</v>
      </c>
      <c r="AA1192" s="20"/>
      <c r="AB1192" s="20" t="s">
        <v>267</v>
      </c>
      <c r="AC1192" s="20"/>
      <c r="AD1192" s="9"/>
      <c r="AE1192" s="1"/>
      <c r="AF1192" s="1"/>
      <c r="AG1192" s="1"/>
    </row>
    <row r="1193" spans="1:33" s="81" customFormat="1" ht="15.75" x14ac:dyDescent="0.2">
      <c r="A1193" s="13">
        <f t="shared" si="44"/>
        <v>98</v>
      </c>
      <c r="B1193" s="11"/>
      <c r="C1193" s="1"/>
      <c r="D1193" s="2"/>
      <c r="E1193" s="2"/>
      <c r="F1193" s="1"/>
      <c r="G1193" s="1"/>
      <c r="H1193" s="78"/>
      <c r="I1193" s="78"/>
      <c r="J1193" s="5" t="str">
        <f>IF(G1193&lt;&gt;0,VLOOKUP(G1193,[7]GIA!$L$2:$O$200,3,0)," ")</f>
        <v xml:space="preserve"> </v>
      </c>
      <c r="K1193" s="5" t="str">
        <f>IF(G1193&lt;&gt;0,VLOOKUP(G1193,[7]GIA!$L$2:$O$200,4,0)," ")</f>
        <v xml:space="preserve"> </v>
      </c>
      <c r="L1193" s="4" t="str">
        <f t="shared" si="46"/>
        <v xml:space="preserve"> </v>
      </c>
      <c r="M1193" s="4" t="str">
        <f t="shared" si="47"/>
        <v xml:space="preserve"> </v>
      </c>
      <c r="N1193" s="1"/>
      <c r="O1193" s="5"/>
      <c r="P1193" s="3" t="str">
        <f>IF(N1193&lt;&gt;0,VLOOKUP(N1193,[7]GIA!$A$2:$C$200,3,0)," ")</f>
        <v xml:space="preserve"> </v>
      </c>
      <c r="Q1193" s="4" t="str">
        <f t="shared" si="48"/>
        <v xml:space="preserve"> </v>
      </c>
      <c r="R1193" s="47" t="s">
        <v>403</v>
      </c>
      <c r="S1193" s="13" t="s">
        <v>1025</v>
      </c>
      <c r="T1193" s="6">
        <v>0.41</v>
      </c>
      <c r="U1193" s="80"/>
      <c r="V1193" s="4"/>
      <c r="W1193" s="32"/>
      <c r="X1193" s="18"/>
      <c r="Y1193" s="20"/>
      <c r="Z1193" s="20"/>
      <c r="AA1193" s="20"/>
      <c r="AB1193" s="20"/>
      <c r="AC1193" s="20"/>
      <c r="AD1193" s="9"/>
      <c r="AE1193" s="1"/>
      <c r="AF1193" s="1"/>
      <c r="AG1193" s="1"/>
    </row>
    <row r="1194" spans="1:33" s="81" customFormat="1" ht="15.75" x14ac:dyDescent="0.2">
      <c r="A1194" s="13">
        <f t="shared" si="44"/>
        <v>98</v>
      </c>
      <c r="B1194" s="11"/>
      <c r="C1194" s="1"/>
      <c r="D1194" s="2"/>
      <c r="E1194" s="2"/>
      <c r="F1194" s="1"/>
      <c r="G1194" s="1"/>
      <c r="H1194" s="78"/>
      <c r="I1194" s="78"/>
      <c r="J1194" s="5" t="str">
        <f>IF(G1194&lt;&gt;0,VLOOKUP(G1194,[7]GIA!$L$2:$O$200,3,0)," ")</f>
        <v xml:space="preserve"> </v>
      </c>
      <c r="K1194" s="5" t="str">
        <f>IF(G1194&lt;&gt;0,VLOOKUP(G1194,[7]GIA!$L$2:$O$200,4,0)," ")</f>
        <v xml:space="preserve"> </v>
      </c>
      <c r="L1194" s="4" t="str">
        <f t="shared" si="46"/>
        <v xml:space="preserve"> </v>
      </c>
      <c r="M1194" s="4" t="str">
        <f t="shared" si="47"/>
        <v xml:space="preserve"> </v>
      </c>
      <c r="N1194" s="84"/>
      <c r="O1194" s="5"/>
      <c r="P1194" s="3" t="str">
        <f>IF(N1194&lt;&gt;0,VLOOKUP(N1194,[7]GIA!$A$2:$C$200,3,0)," ")</f>
        <v xml:space="preserve"> </v>
      </c>
      <c r="Q1194" s="4" t="str">
        <f t="shared" si="48"/>
        <v xml:space="preserve"> </v>
      </c>
      <c r="R1194" s="47" t="s">
        <v>1026</v>
      </c>
      <c r="S1194" s="13" t="s">
        <v>973</v>
      </c>
      <c r="T1194" s="6">
        <v>50.4</v>
      </c>
      <c r="U1194" s="80"/>
      <c r="V1194" s="4"/>
      <c r="W1194" s="32"/>
      <c r="X1194" s="18"/>
      <c r="Y1194" s="20"/>
      <c r="Z1194" s="20"/>
      <c r="AA1194" s="20"/>
      <c r="AB1194" s="20"/>
      <c r="AC1194" s="20"/>
      <c r="AD1194" s="9"/>
      <c r="AE1194" s="2"/>
      <c r="AF1194" s="2"/>
      <c r="AG1194" s="2"/>
    </row>
    <row r="1195" spans="1:33" s="81" customFormat="1" ht="12.75" x14ac:dyDescent="0.2">
      <c r="A1195" s="13">
        <f t="shared" si="44"/>
        <v>98</v>
      </c>
      <c r="B1195" s="11"/>
      <c r="C1195" s="82"/>
      <c r="D1195" s="178"/>
      <c r="E1195" s="2"/>
      <c r="F1195" s="1"/>
      <c r="G1195" s="1"/>
      <c r="H1195" s="125"/>
      <c r="I1195" s="125"/>
      <c r="J1195" s="5" t="str">
        <f>IF(G1195&lt;&gt;0,VLOOKUP(G1195,[7]GIA!$L$2:$O$200,3,0)," ")</f>
        <v xml:space="preserve"> </v>
      </c>
      <c r="K1195" s="5" t="str">
        <f>IF(G1195&lt;&gt;0,VLOOKUP(G1195,[7]GIA!$L$2:$O$200,4,0)," ")</f>
        <v xml:space="preserve"> </v>
      </c>
      <c r="L1195" s="4" t="str">
        <f t="shared" si="46"/>
        <v xml:space="preserve"> </v>
      </c>
      <c r="M1195" s="4" t="str">
        <f t="shared" si="47"/>
        <v xml:space="preserve"> </v>
      </c>
      <c r="N1195" s="84"/>
      <c r="O1195" s="79"/>
      <c r="P1195" s="3" t="str">
        <f>IF(N1195&lt;&gt;0,VLOOKUP(N1195,[7]GIA!$A$2:$C$200,3,0)," ")</f>
        <v xml:space="preserve"> </v>
      </c>
      <c r="Q1195" s="4" t="str">
        <f t="shared" si="48"/>
        <v xml:space="preserve"> </v>
      </c>
      <c r="R1195" s="84" t="s">
        <v>173</v>
      </c>
      <c r="S1195" s="87" t="s">
        <v>93</v>
      </c>
      <c r="T1195" s="6">
        <v>1</v>
      </c>
      <c r="U1195" s="2"/>
      <c r="V1195" s="4"/>
      <c r="W1195" s="32"/>
      <c r="X1195" s="18"/>
      <c r="Y1195" s="20"/>
      <c r="Z1195" s="20"/>
      <c r="AA1195" s="20"/>
      <c r="AB1195" s="20"/>
      <c r="AC1195" s="20"/>
      <c r="AD1195" s="9"/>
      <c r="AE1195" s="2"/>
      <c r="AF1195" s="2"/>
      <c r="AG1195" s="2"/>
    </row>
    <row r="1196" spans="1:33" s="81" customFormat="1" ht="12.75" x14ac:dyDescent="0.2">
      <c r="A1196" s="13">
        <f t="shared" si="44"/>
        <v>98</v>
      </c>
      <c r="B1196" s="11"/>
      <c r="C1196" s="82"/>
      <c r="D1196" s="178"/>
      <c r="E1196" s="2"/>
      <c r="F1196" s="1"/>
      <c r="G1196" s="1"/>
      <c r="H1196" s="125"/>
      <c r="I1196" s="125"/>
      <c r="J1196" s="5" t="str">
        <f>IF(G1196&lt;&gt;0,VLOOKUP(G1196,[7]GIA!$L$2:$O$200,3,0)," ")</f>
        <v xml:space="preserve"> </v>
      </c>
      <c r="K1196" s="5" t="str">
        <f>IF(G1196&lt;&gt;0,VLOOKUP(G1196,[7]GIA!$L$2:$O$200,4,0)," ")</f>
        <v xml:space="preserve"> </v>
      </c>
      <c r="L1196" s="4" t="str">
        <f t="shared" si="46"/>
        <v xml:space="preserve"> </v>
      </c>
      <c r="M1196" s="4" t="str">
        <f t="shared" si="47"/>
        <v xml:space="preserve"> </v>
      </c>
      <c r="N1196" s="84"/>
      <c r="O1196" s="79"/>
      <c r="P1196" s="3" t="str">
        <f>IF(N1196&lt;&gt;0,VLOOKUP(N1196,[7]GIA!$A$2:$C$200,3,0)," ")</f>
        <v xml:space="preserve"> </v>
      </c>
      <c r="Q1196" s="4" t="str">
        <f t="shared" si="48"/>
        <v xml:space="preserve"> </v>
      </c>
      <c r="R1196" s="84"/>
      <c r="S1196" s="87"/>
      <c r="T1196" s="77"/>
      <c r="U1196" s="2"/>
      <c r="V1196" s="4" t="str">
        <f>IF(R1196&lt;&gt;0,VLOOKUP(R1196,[7]GIA!$F$2:$H$200,3,0)," ")</f>
        <v xml:space="preserve"> </v>
      </c>
      <c r="W1196" s="32" t="str">
        <f>IF(R1196&lt;&gt;0,ROUND(T1196*V1196,-2)," ")</f>
        <v xml:space="preserve"> </v>
      </c>
      <c r="X1196" s="18"/>
      <c r="Y1196" s="20"/>
      <c r="Z1196" s="20"/>
      <c r="AA1196" s="20"/>
      <c r="AB1196" s="20"/>
      <c r="AC1196" s="20"/>
      <c r="AD1196" s="9"/>
      <c r="AE1196" s="2"/>
      <c r="AF1196" s="2"/>
      <c r="AG1196" s="2"/>
    </row>
    <row r="1197" spans="1:33" s="81" customFormat="1" ht="12.75" x14ac:dyDescent="0.2">
      <c r="A1197" s="13"/>
      <c r="B1197" s="11"/>
      <c r="C1197" s="82"/>
      <c r="D1197" s="178"/>
      <c r="E1197" s="2"/>
      <c r="F1197" s="1"/>
      <c r="G1197" s="1"/>
      <c r="H1197" s="125"/>
      <c r="I1197" s="125"/>
      <c r="J1197" s="5"/>
      <c r="K1197" s="5"/>
      <c r="L1197" s="4"/>
      <c r="M1197" s="4"/>
      <c r="N1197" s="84"/>
      <c r="O1197" s="79"/>
      <c r="P1197" s="3"/>
      <c r="Q1197" s="4"/>
      <c r="R1197" s="84"/>
      <c r="S1197" s="87"/>
      <c r="T1197" s="77"/>
      <c r="U1197" s="2"/>
      <c r="V1197" s="4"/>
      <c r="W1197" s="32"/>
      <c r="X1197" s="18"/>
      <c r="Y1197" s="20"/>
      <c r="Z1197" s="20"/>
      <c r="AA1197" s="20"/>
      <c r="AB1197" s="20"/>
      <c r="AC1197" s="20"/>
      <c r="AD1197" s="9"/>
      <c r="AE1197" s="2"/>
      <c r="AF1197" s="2"/>
      <c r="AG1197" s="2"/>
    </row>
    <row r="1198" spans="1:33" s="81" customFormat="1" ht="12.75" x14ac:dyDescent="0.2">
      <c r="A1198" s="13">
        <f>IF(B1198&lt;&gt;0,B1198,A1196)</f>
        <v>98</v>
      </c>
      <c r="B1198" s="11"/>
      <c r="C1198" s="82"/>
      <c r="D1198" s="178"/>
      <c r="E1198" s="2"/>
      <c r="F1198" s="1"/>
      <c r="G1198" s="1"/>
      <c r="H1198" s="125"/>
      <c r="I1198" s="125"/>
      <c r="J1198" s="5" t="str">
        <f>IF(G1198&lt;&gt;0,VLOOKUP(G1198,[7]GIA!$L$2:$O$200,3,0)," ")</f>
        <v xml:space="preserve"> </v>
      </c>
      <c r="K1198" s="5" t="str">
        <f>IF(G1198&lt;&gt;0,VLOOKUP(G1198,[7]GIA!$L$2:$O$200,4,0)," ")</f>
        <v xml:space="preserve"> </v>
      </c>
      <c r="L1198" s="4" t="str">
        <f t="shared" si="46"/>
        <v xml:space="preserve"> </v>
      </c>
      <c r="M1198" s="4" t="str">
        <f t="shared" si="47"/>
        <v xml:space="preserve"> </v>
      </c>
      <c r="N1198" s="84"/>
      <c r="O1198" s="79"/>
      <c r="P1198" s="3" t="str">
        <f>IF(N1198&lt;&gt;0,VLOOKUP(N1198,[7]GIA!$A$2:$C$200,3,0)," ")</f>
        <v xml:space="preserve"> </v>
      </c>
      <c r="Q1198" s="4" t="str">
        <f t="shared" si="48"/>
        <v xml:space="preserve"> </v>
      </c>
      <c r="R1198" s="84"/>
      <c r="S1198" s="87"/>
      <c r="T1198" s="77"/>
      <c r="U1198" s="2"/>
      <c r="V1198" s="4" t="str">
        <f>IF(R1198&lt;&gt;0,VLOOKUP(R1198,[7]GIA!$F$2:$H$200,3,0)," ")</f>
        <v xml:space="preserve"> </v>
      </c>
      <c r="W1198" s="32" t="str">
        <f>IF(R1198&lt;&gt;0,ROUND(T1198*V1198,-2)," ")</f>
        <v xml:space="preserve"> </v>
      </c>
      <c r="X1198" s="18"/>
      <c r="Y1198" s="20"/>
      <c r="Z1198" s="20"/>
      <c r="AA1198" s="20"/>
      <c r="AB1198" s="20"/>
      <c r="AC1198" s="20"/>
      <c r="AD1198" s="9"/>
      <c r="AE1198" s="2"/>
      <c r="AF1198" s="2"/>
      <c r="AG1198" s="2"/>
    </row>
    <row r="1199" spans="1:33" s="81" customFormat="1" ht="57.75" customHeight="1" x14ac:dyDescent="0.2">
      <c r="A1199" s="13">
        <f>IF(B1199&lt;&gt;0,B1199,A1198)</f>
        <v>99</v>
      </c>
      <c r="B1199" s="11">
        <v>99</v>
      </c>
      <c r="C1199" s="21" t="s">
        <v>1027</v>
      </c>
      <c r="D1199" s="2">
        <v>1</v>
      </c>
      <c r="E1199" s="2">
        <v>86</v>
      </c>
      <c r="F1199" s="1">
        <v>1512</v>
      </c>
      <c r="G1199" s="1" t="s">
        <v>935</v>
      </c>
      <c r="H1199" s="78">
        <f>500-H1200</f>
        <v>80.800000000000011</v>
      </c>
      <c r="I1199" s="78"/>
      <c r="J1199" s="5"/>
      <c r="K1199" s="5"/>
      <c r="L1199" s="4"/>
      <c r="M1199" s="4"/>
      <c r="N1199" s="1" t="s">
        <v>1028</v>
      </c>
      <c r="O1199" s="5">
        <v>1</v>
      </c>
      <c r="P1199" s="3"/>
      <c r="Q1199" s="4"/>
      <c r="R1199" s="47" t="s">
        <v>1763</v>
      </c>
      <c r="S1199" s="13" t="s">
        <v>973</v>
      </c>
      <c r="T1199" s="6">
        <v>52.8</v>
      </c>
      <c r="U1199" s="80"/>
      <c r="V1199" s="4"/>
      <c r="W1199" s="32"/>
      <c r="X1199" s="18" t="s">
        <v>139</v>
      </c>
      <c r="Y1199" s="20" t="s">
        <v>980</v>
      </c>
      <c r="Z1199" s="20" t="s">
        <v>1012</v>
      </c>
      <c r="AA1199" s="20" t="s">
        <v>269</v>
      </c>
      <c r="AB1199" s="20" t="s">
        <v>139</v>
      </c>
      <c r="AC1199" s="20"/>
      <c r="AD1199" s="9"/>
      <c r="AE1199" s="1" t="s">
        <v>1029</v>
      </c>
      <c r="AF1199" s="1"/>
      <c r="AG1199" s="1"/>
    </row>
    <row r="1200" spans="1:33" s="81" customFormat="1" ht="57.75" customHeight="1" x14ac:dyDescent="0.2">
      <c r="A1200" s="13">
        <f>IF(B1200&lt;&gt;0,B1200,A1199)</f>
        <v>99</v>
      </c>
      <c r="B1200" s="11"/>
      <c r="C1200" s="1" t="s">
        <v>1030</v>
      </c>
      <c r="D1200" s="2"/>
      <c r="E1200" s="2"/>
      <c r="F1200" s="1"/>
      <c r="G1200" s="1" t="s">
        <v>861</v>
      </c>
      <c r="H1200" s="78">
        <v>419.2</v>
      </c>
      <c r="I1200" s="78"/>
      <c r="J1200" s="5"/>
      <c r="K1200" s="5"/>
      <c r="L1200" s="4"/>
      <c r="M1200" s="4"/>
      <c r="N1200" s="1"/>
      <c r="O1200" s="5"/>
      <c r="P1200" s="3" t="str">
        <f>IF(N1200&lt;&gt;0,VLOOKUP(N1200,[7]GIA!$A$2:$C$200,3,0)," ")</f>
        <v xml:space="preserve"> </v>
      </c>
      <c r="Q1200" s="4" t="str">
        <f t="shared" si="48"/>
        <v xml:space="preserve"> </v>
      </c>
      <c r="R1200" s="47" t="s">
        <v>1797</v>
      </c>
      <c r="S1200" s="13" t="s">
        <v>973</v>
      </c>
      <c r="T1200" s="17">
        <v>2.2000000000000002</v>
      </c>
      <c r="U1200" s="80"/>
      <c r="V1200" s="4"/>
      <c r="W1200" s="32"/>
      <c r="X1200" s="18" t="s">
        <v>139</v>
      </c>
      <c r="Y1200" s="20" t="s">
        <v>980</v>
      </c>
      <c r="Z1200" s="20" t="s">
        <v>1012</v>
      </c>
      <c r="AA1200" s="20" t="s">
        <v>269</v>
      </c>
      <c r="AB1200" s="20" t="s">
        <v>139</v>
      </c>
      <c r="AC1200" s="20"/>
      <c r="AD1200" s="9"/>
      <c r="AE1200" s="1" t="s">
        <v>1031</v>
      </c>
      <c r="AF1200" s="1"/>
      <c r="AG1200" s="1"/>
    </row>
    <row r="1201" spans="1:33" s="81" customFormat="1" ht="57.75" customHeight="1" x14ac:dyDescent="0.2">
      <c r="A1201" s="13">
        <f>IF(B1201&lt;&gt;0,B1201,A1200)</f>
        <v>99</v>
      </c>
      <c r="B1201" s="11"/>
      <c r="C1201" s="84" t="s">
        <v>1660</v>
      </c>
      <c r="D1201" s="2"/>
      <c r="E1201" s="2"/>
      <c r="F1201" s="1"/>
      <c r="G1201" s="1" t="s">
        <v>1011</v>
      </c>
      <c r="H1201" s="78">
        <v>0.1</v>
      </c>
      <c r="I1201" s="78"/>
      <c r="J1201" s="5"/>
      <c r="K1201" s="5"/>
      <c r="L1201" s="4">
        <f t="shared" ref="L1201:L1275" si="49">IF(G1201&lt;&gt;0,ROUND(H1201*J1201,-2)," ")</f>
        <v>0</v>
      </c>
      <c r="M1201" s="4">
        <f t="shared" ref="M1201:M1275" si="50">IF(G1201&lt;&gt;0,ROUND(H1201*K1201,-2)," ")</f>
        <v>0</v>
      </c>
      <c r="N1201" s="1"/>
      <c r="O1201" s="5"/>
      <c r="P1201" s="3" t="str">
        <f>IF(N1201&lt;&gt;0,VLOOKUP(N1201,[7]GIA!$A$2:$C$200,3,0)," ")</f>
        <v xml:space="preserve"> </v>
      </c>
      <c r="Q1201" s="4" t="str">
        <f t="shared" ref="Q1201:Q1261" si="51">IF(N1201&lt;&gt;0,ROUND(O1201*P1201,-2)," ")</f>
        <v xml:space="preserve"> </v>
      </c>
      <c r="R1201" s="47" t="s">
        <v>1797</v>
      </c>
      <c r="S1201" s="13" t="s">
        <v>973</v>
      </c>
      <c r="T1201" s="6">
        <v>2.2000000000000002</v>
      </c>
      <c r="U1201" s="80"/>
      <c r="V1201" s="4"/>
      <c r="W1201" s="32"/>
      <c r="X1201" s="18" t="s">
        <v>139</v>
      </c>
      <c r="Y1201" s="20" t="s">
        <v>980</v>
      </c>
      <c r="Z1201" s="20" t="s">
        <v>1012</v>
      </c>
      <c r="AA1201" s="20" t="s">
        <v>269</v>
      </c>
      <c r="AB1201" s="20" t="s">
        <v>139</v>
      </c>
      <c r="AC1201" s="20"/>
      <c r="AD1201" s="9"/>
      <c r="AE1201" s="1" t="s">
        <v>1032</v>
      </c>
      <c r="AF1201" s="1"/>
      <c r="AG1201" s="1"/>
    </row>
    <row r="1202" spans="1:33" s="81" customFormat="1" ht="39.75" customHeight="1" x14ac:dyDescent="0.2">
      <c r="A1202" s="13">
        <f>IF(B1202&lt;&gt;0,B1202,A1201)</f>
        <v>99</v>
      </c>
      <c r="B1202" s="11"/>
      <c r="C1202" s="1"/>
      <c r="D1202" s="2"/>
      <c r="E1202" s="2"/>
      <c r="F1202" s="1"/>
      <c r="G1202" s="1"/>
      <c r="H1202" s="78"/>
      <c r="I1202" s="78"/>
      <c r="J1202" s="5" t="str">
        <f>IF(G1202&lt;&gt;0,VLOOKUP(G1202,[7]GIA!$L$2:$O$200,3,0)," ")</f>
        <v xml:space="preserve"> </v>
      </c>
      <c r="K1202" s="5" t="str">
        <f>IF(G1202&lt;&gt;0,VLOOKUP(G1202,[7]GIA!$L$2:$O$200,4,0)," ")</f>
        <v xml:space="preserve"> </v>
      </c>
      <c r="L1202" s="4" t="str">
        <f t="shared" si="49"/>
        <v xml:space="preserve"> </v>
      </c>
      <c r="M1202" s="4" t="str">
        <f t="shared" si="50"/>
        <v xml:space="preserve"> </v>
      </c>
      <c r="N1202" s="1"/>
      <c r="O1202" s="5"/>
      <c r="P1202" s="3" t="str">
        <f>IF(N1202&lt;&gt;0,VLOOKUP(N1202,[7]GIA!$A$2:$C$200,3,0)," ")</f>
        <v xml:space="preserve"> </v>
      </c>
      <c r="Q1202" s="4" t="str">
        <f t="shared" si="51"/>
        <v xml:space="preserve"> </v>
      </c>
      <c r="R1202" s="47" t="s">
        <v>1797</v>
      </c>
      <c r="S1202" s="13" t="s">
        <v>973</v>
      </c>
      <c r="T1202" s="6">
        <v>2.2000000000000002</v>
      </c>
      <c r="U1202" s="80"/>
      <c r="V1202" s="4"/>
      <c r="W1202" s="32"/>
      <c r="X1202" s="18" t="s">
        <v>139</v>
      </c>
      <c r="Y1202" s="20" t="s">
        <v>980</v>
      </c>
      <c r="Z1202" s="20" t="s">
        <v>1012</v>
      </c>
      <c r="AA1202" s="20" t="s">
        <v>269</v>
      </c>
      <c r="AB1202" s="20" t="s">
        <v>139</v>
      </c>
      <c r="AC1202" s="20"/>
      <c r="AD1202" s="9"/>
      <c r="AE1202" s="2" t="s">
        <v>809</v>
      </c>
      <c r="AF1202" s="2"/>
      <c r="AG1202" s="2"/>
    </row>
    <row r="1203" spans="1:33" s="81" customFormat="1" ht="43.5" customHeight="1" x14ac:dyDescent="0.2">
      <c r="A1203" s="13"/>
      <c r="B1203" s="11"/>
      <c r="C1203" s="1"/>
      <c r="D1203" s="2"/>
      <c r="E1203" s="2"/>
      <c r="F1203" s="1"/>
      <c r="G1203" s="1"/>
      <c r="H1203" s="78"/>
      <c r="I1203" s="78"/>
      <c r="J1203" s="5"/>
      <c r="K1203" s="5"/>
      <c r="L1203" s="4"/>
      <c r="M1203" s="4"/>
      <c r="N1203" s="1"/>
      <c r="O1203" s="5"/>
      <c r="P1203" s="3"/>
      <c r="Q1203" s="4"/>
      <c r="R1203" s="246" t="s">
        <v>1798</v>
      </c>
      <c r="S1203" s="239" t="s">
        <v>1744</v>
      </c>
      <c r="T1203" s="247">
        <f>3.2*5*1.1*2.3</f>
        <v>40.479999999999997</v>
      </c>
      <c r="U1203" s="80"/>
      <c r="V1203" s="4"/>
      <c r="W1203" s="32"/>
      <c r="X1203" s="18"/>
      <c r="Y1203" s="20"/>
      <c r="Z1203" s="20"/>
      <c r="AA1203" s="20"/>
      <c r="AB1203" s="20"/>
      <c r="AC1203" s="20"/>
      <c r="AD1203" s="9"/>
      <c r="AE1203" s="238" t="s">
        <v>1745</v>
      </c>
      <c r="AF1203" s="2"/>
      <c r="AG1203" s="2"/>
    </row>
    <row r="1204" spans="1:33" s="81" customFormat="1" ht="27.75" customHeight="1" x14ac:dyDescent="0.2">
      <c r="A1204" s="13"/>
      <c r="B1204" s="11"/>
      <c r="C1204" s="1"/>
      <c r="D1204" s="2"/>
      <c r="E1204" s="2"/>
      <c r="F1204" s="1"/>
      <c r="G1204" s="1"/>
      <c r="H1204" s="78"/>
      <c r="I1204" s="78"/>
      <c r="J1204" s="5"/>
      <c r="K1204" s="5"/>
      <c r="L1204" s="4"/>
      <c r="M1204" s="4"/>
      <c r="N1204" s="1"/>
      <c r="O1204" s="5"/>
      <c r="P1204" s="3"/>
      <c r="Q1204" s="4"/>
      <c r="R1204" s="246" t="s">
        <v>1798</v>
      </c>
      <c r="S1204" s="239" t="s">
        <v>1744</v>
      </c>
      <c r="T1204" s="247">
        <f>2.3*3.1*2</f>
        <v>14.26</v>
      </c>
      <c r="U1204" s="80"/>
      <c r="V1204" s="4"/>
      <c r="W1204" s="32"/>
      <c r="X1204" s="18"/>
      <c r="Y1204" s="20"/>
      <c r="Z1204" s="20"/>
      <c r="AA1204" s="20"/>
      <c r="AB1204" s="20"/>
      <c r="AC1204" s="20"/>
      <c r="AD1204" s="9"/>
      <c r="AE1204" s="2"/>
      <c r="AF1204" s="2"/>
      <c r="AG1204" s="2"/>
    </row>
    <row r="1205" spans="1:33" s="81" customFormat="1" ht="23.25" customHeight="1" x14ac:dyDescent="0.2">
      <c r="A1205" s="13">
        <f>IF(B1205&lt;&gt;0,B1205,A1202)</f>
        <v>99</v>
      </c>
      <c r="B1205" s="11"/>
      <c r="C1205" s="1"/>
      <c r="D1205" s="2"/>
      <c r="E1205" s="2"/>
      <c r="F1205" s="1"/>
      <c r="G1205" s="1"/>
      <c r="H1205" s="78"/>
      <c r="I1205" s="78"/>
      <c r="J1205" s="5" t="str">
        <f>IF(G1205&lt;&gt;0,VLOOKUP(G1205,[7]GIA!$L$2:$O$200,3,0)," ")</f>
        <v xml:space="preserve"> </v>
      </c>
      <c r="K1205" s="5" t="str">
        <f>IF(G1205&lt;&gt;0,VLOOKUP(G1205,[7]GIA!$L$2:$O$200,4,0)," ")</f>
        <v xml:space="preserve"> </v>
      </c>
      <c r="L1205" s="4" t="str">
        <f t="shared" si="49"/>
        <v xml:space="preserve"> </v>
      </c>
      <c r="M1205" s="4" t="str">
        <f t="shared" si="50"/>
        <v xml:space="preserve"> </v>
      </c>
      <c r="N1205" s="1"/>
      <c r="O1205" s="5"/>
      <c r="P1205" s="3" t="str">
        <f>IF(N1205&lt;&gt;0,VLOOKUP(N1205,[7]GIA!$A$2:$C$200,3,0)," ")</f>
        <v xml:space="preserve"> </v>
      </c>
      <c r="Q1205" s="4" t="str">
        <f t="shared" si="51"/>
        <v xml:space="preserve"> </v>
      </c>
      <c r="R1205" s="246" t="s">
        <v>1799</v>
      </c>
      <c r="S1205" s="239" t="s">
        <v>1744</v>
      </c>
      <c r="T1205" s="247">
        <f>5.1*3.1</f>
        <v>15.809999999999999</v>
      </c>
      <c r="U1205" s="80"/>
      <c r="V1205" s="4"/>
      <c r="W1205" s="32"/>
      <c r="X1205" s="18"/>
      <c r="Y1205" s="20"/>
      <c r="Z1205" s="20"/>
      <c r="AA1205" s="20"/>
      <c r="AB1205" s="20"/>
      <c r="AC1205" s="20"/>
      <c r="AD1205" s="9"/>
      <c r="AE1205" s="1"/>
      <c r="AF1205" s="1"/>
      <c r="AG1205" s="1"/>
    </row>
    <row r="1206" spans="1:33" s="81" customFormat="1" ht="21.75" customHeight="1" x14ac:dyDescent="0.2">
      <c r="A1206" s="13">
        <f>IF(B1206&lt;&gt;0,B1206,A1205)</f>
        <v>99</v>
      </c>
      <c r="B1206" s="11"/>
      <c r="C1206" s="1"/>
      <c r="D1206" s="2"/>
      <c r="E1206" s="2"/>
      <c r="F1206" s="1"/>
      <c r="G1206" s="1"/>
      <c r="H1206" s="78"/>
      <c r="I1206" s="78"/>
      <c r="J1206" s="5" t="str">
        <f>IF(G1206&lt;&gt;0,VLOOKUP(G1206,[7]GIA!$L$2:$O$200,3,0)," ")</f>
        <v xml:space="preserve"> </v>
      </c>
      <c r="K1206" s="5" t="str">
        <f>IF(G1206&lt;&gt;0,VLOOKUP(G1206,[7]GIA!$L$2:$O$200,4,0)," ")</f>
        <v xml:space="preserve"> </v>
      </c>
      <c r="L1206" s="4" t="str">
        <f t="shared" si="49"/>
        <v xml:space="preserve"> </v>
      </c>
      <c r="M1206" s="4" t="str">
        <f t="shared" si="50"/>
        <v xml:space="preserve"> </v>
      </c>
      <c r="N1206" s="1"/>
      <c r="O1206" s="5"/>
      <c r="P1206" s="3" t="str">
        <f>IF(N1206&lt;&gt;0,VLOOKUP(N1206,[7]GIA!$A$2:$C$200,3,0)," ")</f>
        <v xml:space="preserve"> </v>
      </c>
      <c r="Q1206" s="4" t="str">
        <f t="shared" si="51"/>
        <v xml:space="preserve"> </v>
      </c>
      <c r="R1206" s="246" t="s">
        <v>1800</v>
      </c>
      <c r="S1206" s="239" t="s">
        <v>1746</v>
      </c>
      <c r="T1206" s="254">
        <f>1.8*1.1*0.07</f>
        <v>0.13860000000000003</v>
      </c>
      <c r="U1206" s="80"/>
      <c r="V1206" s="4"/>
      <c r="W1206" s="32"/>
      <c r="X1206" s="18"/>
      <c r="Y1206" s="20"/>
      <c r="Z1206" s="20"/>
      <c r="AA1206" s="20"/>
      <c r="AB1206" s="20"/>
      <c r="AC1206" s="20"/>
      <c r="AD1206" s="9"/>
      <c r="AE1206" s="1"/>
      <c r="AF1206" s="1"/>
      <c r="AG1206" s="1"/>
    </row>
    <row r="1207" spans="1:33" s="81" customFormat="1" ht="18" customHeight="1" x14ac:dyDescent="0.2">
      <c r="A1207" s="13">
        <f>IF(B1207&lt;&gt;0,B1207,A1206)</f>
        <v>99</v>
      </c>
      <c r="B1207" s="11"/>
      <c r="C1207" s="1"/>
      <c r="D1207" s="2"/>
      <c r="E1207" s="2"/>
      <c r="F1207" s="1"/>
      <c r="G1207" s="1"/>
      <c r="H1207" s="78"/>
      <c r="I1207" s="78"/>
      <c r="J1207" s="5" t="str">
        <f>IF(G1207&lt;&gt;0,VLOOKUP(G1207,[7]GIA!$L$2:$O$200,3,0)," ")</f>
        <v xml:space="preserve"> </v>
      </c>
      <c r="K1207" s="5" t="str">
        <f>IF(G1207&lt;&gt;0,VLOOKUP(G1207,[7]GIA!$L$2:$O$200,4,0)," ")</f>
        <v xml:space="preserve"> </v>
      </c>
      <c r="L1207" s="4" t="str">
        <f t="shared" si="49"/>
        <v xml:space="preserve"> </v>
      </c>
      <c r="M1207" s="4" t="str">
        <f t="shared" si="50"/>
        <v xml:space="preserve"> </v>
      </c>
      <c r="N1207" s="1"/>
      <c r="O1207" s="5"/>
      <c r="P1207" s="3" t="str">
        <f>IF(N1207&lt;&gt;0,VLOOKUP(N1207,[7]GIA!$A$2:$C$200,3,0)," ")</f>
        <v xml:space="preserve"> </v>
      </c>
      <c r="Q1207" s="4" t="str">
        <f t="shared" si="51"/>
        <v xml:space="preserve"> </v>
      </c>
      <c r="R1207" s="246" t="s">
        <v>1801</v>
      </c>
      <c r="S1207" s="239" t="s">
        <v>1746</v>
      </c>
      <c r="T1207" s="247">
        <f>0.15*0.2*(3.1+5.1+3.1)</f>
        <v>0.33899999999999997</v>
      </c>
      <c r="U1207" s="80"/>
      <c r="V1207" s="4" t="e">
        <f>IF(R1207&lt;&gt;0,VLOOKUP(R1207,[7]GIA!$F$2:$H$200,3,0)," ")</f>
        <v>#N/A</v>
      </c>
      <c r="W1207" s="32" t="e">
        <f>IF(R1207&lt;&gt;0,ROUND(T1207*V1207,-2)," ")</f>
        <v>#N/A</v>
      </c>
      <c r="X1207" s="18"/>
      <c r="Y1207" s="20"/>
      <c r="Z1207" s="20"/>
      <c r="AA1207" s="20"/>
      <c r="AB1207" s="20"/>
      <c r="AC1207" s="20"/>
      <c r="AD1207" s="9"/>
      <c r="AE1207" s="1"/>
      <c r="AF1207" s="1"/>
      <c r="AG1207" s="1"/>
    </row>
    <row r="1208" spans="1:33" s="81" customFormat="1" ht="12.75" x14ac:dyDescent="0.2">
      <c r="A1208" s="13"/>
      <c r="B1208" s="11"/>
      <c r="C1208" s="1"/>
      <c r="D1208" s="2"/>
      <c r="E1208" s="2"/>
      <c r="F1208" s="1"/>
      <c r="G1208" s="1"/>
      <c r="H1208" s="78"/>
      <c r="I1208" s="78"/>
      <c r="J1208" s="5"/>
      <c r="K1208" s="5"/>
      <c r="L1208" s="4"/>
      <c r="M1208" s="4"/>
      <c r="N1208" s="1"/>
      <c r="O1208" s="5"/>
      <c r="P1208" s="3"/>
      <c r="Q1208" s="4"/>
      <c r="R1208" s="246"/>
      <c r="S1208" s="239"/>
      <c r="T1208" s="247"/>
      <c r="U1208" s="80"/>
      <c r="V1208" s="4"/>
      <c r="W1208" s="32"/>
      <c r="X1208" s="18"/>
      <c r="Y1208" s="20"/>
      <c r="Z1208" s="20"/>
      <c r="AA1208" s="20"/>
      <c r="AB1208" s="20"/>
      <c r="AC1208" s="20"/>
      <c r="AD1208" s="9"/>
      <c r="AE1208" s="1"/>
      <c r="AF1208" s="1"/>
      <c r="AG1208" s="1"/>
    </row>
    <row r="1209" spans="1:33" s="81" customFormat="1" ht="12.75" x14ac:dyDescent="0.2">
      <c r="A1209" s="13"/>
      <c r="B1209" s="11"/>
      <c r="C1209" s="1"/>
      <c r="D1209" s="2"/>
      <c r="E1209" s="2"/>
      <c r="F1209" s="1"/>
      <c r="G1209" s="1"/>
      <c r="H1209" s="78"/>
      <c r="I1209" s="78"/>
      <c r="J1209" s="5"/>
      <c r="K1209" s="5"/>
      <c r="L1209" s="4"/>
      <c r="M1209" s="4"/>
      <c r="N1209" s="1"/>
      <c r="O1209" s="5"/>
      <c r="P1209" s="3"/>
      <c r="Q1209" s="4"/>
      <c r="R1209" s="246"/>
      <c r="S1209" s="239"/>
      <c r="T1209" s="247"/>
      <c r="U1209" s="80"/>
      <c r="V1209" s="4"/>
      <c r="W1209" s="32"/>
      <c r="X1209" s="18"/>
      <c r="Y1209" s="20"/>
      <c r="Z1209" s="20"/>
      <c r="AA1209" s="20"/>
      <c r="AB1209" s="20"/>
      <c r="AC1209" s="20"/>
      <c r="AD1209" s="9"/>
      <c r="AE1209" s="1"/>
      <c r="AF1209" s="1"/>
      <c r="AG1209" s="1"/>
    </row>
    <row r="1210" spans="1:33" s="81" customFormat="1" ht="12.75" x14ac:dyDescent="0.2">
      <c r="A1210" s="13">
        <f>IF(B1210&lt;&gt;0,B1210,A1207)</f>
        <v>99</v>
      </c>
      <c r="B1210" s="11"/>
      <c r="C1210" s="1"/>
      <c r="D1210" s="2"/>
      <c r="E1210" s="2"/>
      <c r="F1210" s="1"/>
      <c r="G1210" s="1"/>
      <c r="H1210" s="78"/>
      <c r="I1210" s="78"/>
      <c r="J1210" s="5" t="str">
        <f>IF(G1210&lt;&gt;0,VLOOKUP(G1210,[7]GIA!$L$2:$O$200,3,0)," ")</f>
        <v xml:space="preserve"> </v>
      </c>
      <c r="K1210" s="5" t="str">
        <f>IF(G1210&lt;&gt;0,VLOOKUP(G1210,[7]GIA!$L$2:$O$200,4,0)," ")</f>
        <v xml:space="preserve"> </v>
      </c>
      <c r="L1210" s="4" t="str">
        <f t="shared" si="49"/>
        <v xml:space="preserve"> </v>
      </c>
      <c r="M1210" s="4" t="str">
        <f t="shared" si="50"/>
        <v xml:space="preserve"> </v>
      </c>
      <c r="N1210" s="1"/>
      <c r="O1210" s="5"/>
      <c r="P1210" s="3" t="str">
        <f>IF(N1210&lt;&gt;0,VLOOKUP(N1210,[7]GIA!$A$2:$C$200,3,0)," ")</f>
        <v xml:space="preserve"> </v>
      </c>
      <c r="Q1210" s="4" t="str">
        <f t="shared" si="51"/>
        <v xml:space="preserve"> </v>
      </c>
      <c r="R1210" s="47"/>
      <c r="S1210" s="13"/>
      <c r="T1210" s="6"/>
      <c r="U1210" s="80"/>
      <c r="V1210" s="4" t="str">
        <f>IF(R1210&lt;&gt;0,VLOOKUP(R1210,[7]GIA!$F$2:$H$200,3,0)," ")</f>
        <v xml:space="preserve"> </v>
      </c>
      <c r="W1210" s="32" t="str">
        <f>IF(R1210&lt;&gt;0,ROUND(T1210*V1210,-2)," ")</f>
        <v xml:space="preserve"> </v>
      </c>
      <c r="X1210" s="18"/>
      <c r="Y1210" s="20"/>
      <c r="Z1210" s="20"/>
      <c r="AA1210" s="20"/>
      <c r="AB1210" s="20"/>
      <c r="AC1210" s="20"/>
      <c r="AD1210" s="9"/>
      <c r="AE1210" s="2"/>
      <c r="AF1210" s="2"/>
      <c r="AG1210" s="2"/>
    </row>
    <row r="1211" spans="1:33" s="81" customFormat="1" ht="38.25" x14ac:dyDescent="0.2">
      <c r="A1211" s="13">
        <f t="shared" ref="A1211:A1225" si="52">IF(B1211&lt;&gt;0,B1211,A1210)</f>
        <v>100</v>
      </c>
      <c r="B1211" s="11">
        <v>100</v>
      </c>
      <c r="C1211" s="21" t="s">
        <v>1033</v>
      </c>
      <c r="D1211" s="2"/>
      <c r="E1211" s="2">
        <v>86</v>
      </c>
      <c r="F1211" s="1">
        <v>711</v>
      </c>
      <c r="G1211" s="1" t="s">
        <v>861</v>
      </c>
      <c r="H1211" s="78">
        <v>399.4</v>
      </c>
      <c r="I1211" s="78"/>
      <c r="J1211" s="5"/>
      <c r="K1211" s="5"/>
      <c r="L1211" s="4"/>
      <c r="M1211" s="4"/>
      <c r="N1211" s="70" t="s">
        <v>783</v>
      </c>
      <c r="O1211" s="5">
        <v>3</v>
      </c>
      <c r="P1211" s="3"/>
      <c r="Q1211" s="4"/>
      <c r="R1211" s="47" t="s">
        <v>1802</v>
      </c>
      <c r="S1211" s="13" t="s">
        <v>973</v>
      </c>
      <c r="T1211" s="6">
        <v>106.3</v>
      </c>
      <c r="U1211" s="80"/>
      <c r="V1211" s="4"/>
      <c r="W1211" s="32"/>
      <c r="X1211" s="18" t="s">
        <v>139</v>
      </c>
      <c r="Y1211" s="20" t="s">
        <v>980</v>
      </c>
      <c r="Z1211" s="20" t="s">
        <v>1012</v>
      </c>
      <c r="AA1211" s="20" t="s">
        <v>269</v>
      </c>
      <c r="AB1211" s="20" t="s">
        <v>139</v>
      </c>
      <c r="AC1211" s="20"/>
      <c r="AD1211" s="9"/>
      <c r="AE1211" s="1" t="s">
        <v>1034</v>
      </c>
      <c r="AF1211" s="1"/>
      <c r="AG1211" s="1"/>
    </row>
    <row r="1212" spans="1:33" s="81" customFormat="1" ht="28.5" x14ac:dyDescent="0.2">
      <c r="A1212" s="13">
        <f t="shared" si="52"/>
        <v>100</v>
      </c>
      <c r="B1212" s="11"/>
      <c r="C1212" s="1" t="s">
        <v>1035</v>
      </c>
      <c r="D1212" s="2"/>
      <c r="E1212" s="2">
        <v>86</v>
      </c>
      <c r="F1212" s="1">
        <v>317</v>
      </c>
      <c r="G1212" s="1" t="s">
        <v>861</v>
      </c>
      <c r="H1212" s="78">
        <v>436.4</v>
      </c>
      <c r="I1212" s="78"/>
      <c r="J1212" s="5"/>
      <c r="K1212" s="5"/>
      <c r="L1212" s="4"/>
      <c r="M1212" s="4"/>
      <c r="N1212" s="1" t="s">
        <v>727</v>
      </c>
      <c r="O1212" s="5">
        <v>3</v>
      </c>
      <c r="P1212" s="3"/>
      <c r="Q1212" s="4"/>
      <c r="R1212" s="47" t="s">
        <v>1802</v>
      </c>
      <c r="S1212" s="13" t="s">
        <v>973</v>
      </c>
      <c r="T1212" s="6">
        <v>27</v>
      </c>
      <c r="U1212" s="80"/>
      <c r="V1212" s="4"/>
      <c r="W1212" s="32"/>
      <c r="X1212" s="18" t="s">
        <v>139</v>
      </c>
      <c r="Y1212" s="20" t="s">
        <v>980</v>
      </c>
      <c r="Z1212" s="20" t="s">
        <v>1012</v>
      </c>
      <c r="AA1212" s="20" t="s">
        <v>269</v>
      </c>
      <c r="AB1212" s="20" t="s">
        <v>139</v>
      </c>
      <c r="AC1212" s="20"/>
      <c r="AD1212" s="9"/>
      <c r="AE1212" s="1" t="s">
        <v>1036</v>
      </c>
      <c r="AF1212" s="1"/>
      <c r="AG1212" s="1"/>
    </row>
    <row r="1213" spans="1:33" s="81" customFormat="1" ht="25.5" x14ac:dyDescent="0.2">
      <c r="A1213" s="13">
        <f t="shared" si="52"/>
        <v>100</v>
      </c>
      <c r="B1213" s="11"/>
      <c r="C1213" s="1" t="s">
        <v>1662</v>
      </c>
      <c r="D1213" s="2"/>
      <c r="E1213" s="2">
        <v>86</v>
      </c>
      <c r="F1213" s="1">
        <v>276</v>
      </c>
      <c r="G1213" s="1" t="s">
        <v>861</v>
      </c>
      <c r="H1213" s="78">
        <v>401.6</v>
      </c>
      <c r="I1213" s="78"/>
      <c r="J1213" s="5"/>
      <c r="K1213" s="5"/>
      <c r="L1213" s="4"/>
      <c r="M1213" s="4"/>
      <c r="N1213" s="1" t="s">
        <v>1037</v>
      </c>
      <c r="O1213" s="5">
        <v>1</v>
      </c>
      <c r="P1213" s="3"/>
      <c r="Q1213" s="4"/>
      <c r="R1213" s="47" t="s">
        <v>1803</v>
      </c>
      <c r="S1213" s="13" t="s">
        <v>973</v>
      </c>
      <c r="T1213" s="13">
        <v>2.16</v>
      </c>
      <c r="U1213" s="80"/>
      <c r="V1213" s="4"/>
      <c r="W1213" s="32"/>
      <c r="X1213" s="18" t="s">
        <v>139</v>
      </c>
      <c r="Y1213" s="20" t="s">
        <v>980</v>
      </c>
      <c r="Z1213" s="20" t="s">
        <v>1012</v>
      </c>
      <c r="AA1213" s="20" t="s">
        <v>269</v>
      </c>
      <c r="AB1213" s="20" t="s">
        <v>139</v>
      </c>
      <c r="AC1213" s="20"/>
      <c r="AD1213" s="9"/>
      <c r="AE1213" s="1" t="s">
        <v>1038</v>
      </c>
      <c r="AF1213" s="1"/>
      <c r="AG1213" s="1"/>
    </row>
    <row r="1214" spans="1:33" s="81" customFormat="1" ht="28.5" x14ac:dyDescent="0.2">
      <c r="A1214" s="13">
        <f t="shared" si="52"/>
        <v>100</v>
      </c>
      <c r="B1214" s="11"/>
      <c r="C1214" s="1"/>
      <c r="D1214" s="2"/>
      <c r="E1214" s="2">
        <v>86</v>
      </c>
      <c r="F1214" s="1">
        <v>711</v>
      </c>
      <c r="G1214" s="1" t="s">
        <v>935</v>
      </c>
      <c r="H1214" s="78">
        <f>500-H1211</f>
        <v>100.60000000000002</v>
      </c>
      <c r="I1214" s="78"/>
      <c r="J1214" s="5"/>
      <c r="K1214" s="5"/>
      <c r="L1214" s="4"/>
      <c r="M1214" s="4"/>
      <c r="N1214" s="1" t="s">
        <v>145</v>
      </c>
      <c r="O1214" s="5">
        <v>1</v>
      </c>
      <c r="P1214" s="3"/>
      <c r="Q1214" s="4"/>
      <c r="R1214" s="47" t="s">
        <v>1803</v>
      </c>
      <c r="S1214" s="13" t="s">
        <v>973</v>
      </c>
      <c r="T1214" s="13">
        <v>2.16</v>
      </c>
      <c r="U1214" s="80"/>
      <c r="V1214" s="4"/>
      <c r="W1214" s="32"/>
      <c r="X1214" s="18" t="s">
        <v>139</v>
      </c>
      <c r="Y1214" s="20" t="s">
        <v>980</v>
      </c>
      <c r="Z1214" s="20" t="s">
        <v>1012</v>
      </c>
      <c r="AA1214" s="20" t="s">
        <v>269</v>
      </c>
      <c r="AB1214" s="20" t="s">
        <v>139</v>
      </c>
      <c r="AC1214" s="20"/>
      <c r="AD1214" s="9"/>
      <c r="AE1214" s="1" t="s">
        <v>1039</v>
      </c>
      <c r="AF1214" s="1"/>
      <c r="AG1214" s="1"/>
    </row>
    <row r="1215" spans="1:33" s="81" customFormat="1" ht="25.5" x14ac:dyDescent="0.2">
      <c r="A1215" s="13">
        <f t="shared" si="52"/>
        <v>100</v>
      </c>
      <c r="B1215" s="11"/>
      <c r="C1215" s="1"/>
      <c r="D1215" s="2"/>
      <c r="E1215" s="2">
        <v>86</v>
      </c>
      <c r="F1215" s="1">
        <v>317</v>
      </c>
      <c r="G1215" s="1" t="s">
        <v>935</v>
      </c>
      <c r="H1215" s="78">
        <f>500-H1212</f>
        <v>63.600000000000023</v>
      </c>
      <c r="I1215" s="78"/>
      <c r="J1215" s="5"/>
      <c r="K1215" s="5"/>
      <c r="L1215" s="4"/>
      <c r="M1215" s="4"/>
      <c r="N1215" s="1" t="s">
        <v>77</v>
      </c>
      <c r="O1215" s="5">
        <v>1</v>
      </c>
      <c r="P1215" s="3"/>
      <c r="Q1215" s="4"/>
      <c r="R1215" s="47" t="s">
        <v>1803</v>
      </c>
      <c r="S1215" s="13" t="s">
        <v>973</v>
      </c>
      <c r="T1215" s="13">
        <v>2.16</v>
      </c>
      <c r="U1215" s="80"/>
      <c r="V1215" s="4"/>
      <c r="W1215" s="32"/>
      <c r="X1215" s="18" t="s">
        <v>139</v>
      </c>
      <c r="Y1215" s="20" t="s">
        <v>980</v>
      </c>
      <c r="Z1215" s="20" t="s">
        <v>1012</v>
      </c>
      <c r="AA1215" s="20" t="s">
        <v>269</v>
      </c>
      <c r="AB1215" s="20" t="s">
        <v>139</v>
      </c>
      <c r="AC1215" s="20"/>
      <c r="AD1215" s="9"/>
      <c r="AE1215" s="1" t="s">
        <v>1040</v>
      </c>
      <c r="AF1215" s="1"/>
      <c r="AG1215" s="1"/>
    </row>
    <row r="1216" spans="1:33" s="81" customFormat="1" ht="28.5" x14ac:dyDescent="0.2">
      <c r="A1216" s="13">
        <f t="shared" si="52"/>
        <v>100</v>
      </c>
      <c r="B1216" s="11"/>
      <c r="C1216" s="1"/>
      <c r="D1216" s="2"/>
      <c r="E1216" s="2">
        <v>86</v>
      </c>
      <c r="F1216" s="1">
        <v>276</v>
      </c>
      <c r="G1216" s="1" t="s">
        <v>861</v>
      </c>
      <c r="H1216" s="78">
        <f>500-H1213</f>
        <v>98.399999999999977</v>
      </c>
      <c r="I1216" s="78"/>
      <c r="J1216" s="5"/>
      <c r="K1216" s="5"/>
      <c r="L1216" s="4"/>
      <c r="M1216" s="4"/>
      <c r="N1216" s="70" t="s">
        <v>400</v>
      </c>
      <c r="O1216" s="5">
        <v>23</v>
      </c>
      <c r="P1216" s="3"/>
      <c r="Q1216" s="4"/>
      <c r="R1216" s="47" t="s">
        <v>1803</v>
      </c>
      <c r="S1216" s="13" t="s">
        <v>973</v>
      </c>
      <c r="T1216" s="13">
        <v>2.16</v>
      </c>
      <c r="U1216" s="80"/>
      <c r="V1216" s="4"/>
      <c r="W1216" s="32"/>
      <c r="X1216" s="18" t="s">
        <v>139</v>
      </c>
      <c r="Y1216" s="20" t="s">
        <v>980</v>
      </c>
      <c r="Z1216" s="20" t="s">
        <v>1012</v>
      </c>
      <c r="AA1216" s="20" t="s">
        <v>269</v>
      </c>
      <c r="AB1216" s="20" t="s">
        <v>139</v>
      </c>
      <c r="AC1216" s="20"/>
      <c r="AD1216" s="9"/>
      <c r="AE1216" s="1" t="s">
        <v>1041</v>
      </c>
      <c r="AF1216" s="1"/>
      <c r="AG1216" s="1"/>
    </row>
    <row r="1217" spans="1:33" s="81" customFormat="1" ht="25.5" x14ac:dyDescent="0.2">
      <c r="A1217" s="13">
        <f t="shared" si="52"/>
        <v>100</v>
      </c>
      <c r="B1217" s="11"/>
      <c r="C1217" s="1"/>
      <c r="D1217" s="2"/>
      <c r="E1217" s="2"/>
      <c r="F1217" s="1"/>
      <c r="G1217" s="1" t="s">
        <v>1011</v>
      </c>
      <c r="H1217" s="78">
        <v>0.3</v>
      </c>
      <c r="I1217" s="78"/>
      <c r="J1217" s="5" t="e">
        <f>IF(G1217&lt;&gt;0,VLOOKUP(G1217,[7]GIA!$L$2:$O$200,3,0)," ")</f>
        <v>#N/A</v>
      </c>
      <c r="K1217" s="5" t="e">
        <f>IF(G1217&lt;&gt;0,VLOOKUP(G1217,[7]GIA!$L$2:$O$200,4,0)," ")</f>
        <v>#N/A</v>
      </c>
      <c r="L1217" s="4" t="e">
        <f t="shared" si="49"/>
        <v>#N/A</v>
      </c>
      <c r="M1217" s="4" t="e">
        <f t="shared" si="50"/>
        <v>#N/A</v>
      </c>
      <c r="N1217" s="70" t="s">
        <v>401</v>
      </c>
      <c r="O1217" s="5">
        <v>10</v>
      </c>
      <c r="P1217" s="3"/>
      <c r="Q1217" s="4"/>
      <c r="R1217" s="47" t="s">
        <v>1803</v>
      </c>
      <c r="S1217" s="13" t="s">
        <v>973</v>
      </c>
      <c r="T1217" s="13">
        <v>2.16</v>
      </c>
      <c r="U1217" s="80"/>
      <c r="V1217" s="4"/>
      <c r="W1217" s="32"/>
      <c r="X1217" s="18" t="s">
        <v>139</v>
      </c>
      <c r="Y1217" s="20" t="s">
        <v>980</v>
      </c>
      <c r="Z1217" s="20" t="s">
        <v>1012</v>
      </c>
      <c r="AA1217" s="20" t="s">
        <v>269</v>
      </c>
      <c r="AB1217" s="20" t="s">
        <v>139</v>
      </c>
      <c r="AC1217" s="20"/>
      <c r="AD1217" s="9"/>
      <c r="AE1217" s="1" t="s">
        <v>169</v>
      </c>
      <c r="AF1217" s="1"/>
      <c r="AG1217" s="1"/>
    </row>
    <row r="1218" spans="1:33" s="81" customFormat="1" ht="34.5" customHeight="1" x14ac:dyDescent="0.2">
      <c r="A1218" s="13">
        <f t="shared" si="52"/>
        <v>100</v>
      </c>
      <c r="B1218" s="11"/>
      <c r="C1218" s="1"/>
      <c r="D1218" s="2"/>
      <c r="E1218" s="2"/>
      <c r="F1218" s="1"/>
      <c r="G1218" s="1"/>
      <c r="H1218" s="78"/>
      <c r="I1218" s="78"/>
      <c r="J1218" s="5" t="str">
        <f>IF(G1218&lt;&gt;0,VLOOKUP(G1218,[7]GIA!$L$2:$O$200,3,0)," ")</f>
        <v xml:space="preserve"> </v>
      </c>
      <c r="K1218" s="5" t="str">
        <f>IF(G1218&lt;&gt;0,VLOOKUP(G1218,[7]GIA!$L$2:$O$200,4,0)," ")</f>
        <v xml:space="preserve"> </v>
      </c>
      <c r="L1218" s="4" t="str">
        <f t="shared" si="49"/>
        <v xml:space="preserve"> </v>
      </c>
      <c r="M1218" s="4" t="str">
        <f t="shared" si="50"/>
        <v xml:space="preserve"> </v>
      </c>
      <c r="N1218" s="70" t="s">
        <v>401</v>
      </c>
      <c r="O1218" s="5">
        <v>16</v>
      </c>
      <c r="P1218" s="3"/>
      <c r="Q1218" s="4"/>
      <c r="R1218" s="47" t="s">
        <v>1803</v>
      </c>
      <c r="S1218" s="13" t="s">
        <v>973</v>
      </c>
      <c r="T1218" s="13">
        <v>2.16</v>
      </c>
      <c r="U1218" s="80"/>
      <c r="V1218" s="4"/>
      <c r="W1218" s="32"/>
      <c r="X1218" s="18" t="s">
        <v>139</v>
      </c>
      <c r="Y1218" s="20" t="s">
        <v>980</v>
      </c>
      <c r="Z1218" s="20" t="s">
        <v>1012</v>
      </c>
      <c r="AA1218" s="20" t="s">
        <v>269</v>
      </c>
      <c r="AB1218" s="20" t="s">
        <v>139</v>
      </c>
      <c r="AC1218" s="20"/>
      <c r="AD1218" s="9"/>
      <c r="AE1218" s="2" t="s">
        <v>809</v>
      </c>
      <c r="AF1218" s="2"/>
      <c r="AG1218" s="2"/>
    </row>
    <row r="1219" spans="1:33" s="81" customFormat="1" ht="38.25" x14ac:dyDescent="0.2">
      <c r="A1219" s="13">
        <f t="shared" si="52"/>
        <v>100</v>
      </c>
      <c r="B1219" s="11"/>
      <c r="C1219" s="1"/>
      <c r="D1219" s="2"/>
      <c r="E1219" s="2"/>
      <c r="F1219" s="1"/>
      <c r="G1219" s="1"/>
      <c r="H1219" s="78"/>
      <c r="I1219" s="78"/>
      <c r="J1219" s="5" t="str">
        <f>IF(G1219&lt;&gt;0,VLOOKUP(G1219,[7]GIA!$L$2:$O$200,3,0)," ")</f>
        <v xml:space="preserve"> </v>
      </c>
      <c r="K1219" s="5" t="str">
        <f>IF(G1219&lt;&gt;0,VLOOKUP(G1219,[7]GIA!$L$2:$O$200,4,0)," ")</f>
        <v xml:space="preserve"> </v>
      </c>
      <c r="L1219" s="4" t="str">
        <f t="shared" si="49"/>
        <v xml:space="preserve"> </v>
      </c>
      <c r="M1219" s="4" t="str">
        <f t="shared" si="50"/>
        <v xml:space="preserve"> </v>
      </c>
      <c r="N1219" s="1" t="s">
        <v>1042</v>
      </c>
      <c r="O1219" s="5">
        <v>1</v>
      </c>
      <c r="P1219" s="3"/>
      <c r="Q1219" s="4"/>
      <c r="R1219" s="47" t="s">
        <v>1804</v>
      </c>
      <c r="S1219" s="13" t="s">
        <v>1025</v>
      </c>
      <c r="T1219" s="6">
        <v>0.18</v>
      </c>
      <c r="U1219" s="80"/>
      <c r="V1219" s="4"/>
      <c r="W1219" s="32"/>
      <c r="X1219" s="18"/>
      <c r="Y1219" s="20"/>
      <c r="Z1219" s="20"/>
      <c r="AA1219" s="20"/>
      <c r="AB1219" s="20"/>
      <c r="AC1219" s="20"/>
      <c r="AD1219" s="9"/>
      <c r="AE1219" s="238" t="s">
        <v>1745</v>
      </c>
      <c r="AF1219" s="1"/>
      <c r="AG1219" s="1"/>
    </row>
    <row r="1220" spans="1:33" s="81" customFormat="1" ht="32.25" customHeight="1" x14ac:dyDescent="0.2">
      <c r="A1220" s="13">
        <f t="shared" si="52"/>
        <v>100</v>
      </c>
      <c r="B1220" s="11"/>
      <c r="C1220" s="1"/>
      <c r="D1220" s="2"/>
      <c r="E1220" s="2"/>
      <c r="F1220" s="1"/>
      <c r="G1220" s="1"/>
      <c r="H1220" s="78"/>
      <c r="I1220" s="78"/>
      <c r="J1220" s="5" t="str">
        <f>IF(G1220&lt;&gt;0,VLOOKUP(G1220,[7]GIA!$L$2:$O$200,3,0)," ")</f>
        <v xml:space="preserve"> </v>
      </c>
      <c r="K1220" s="5" t="str">
        <f>IF(G1220&lt;&gt;0,VLOOKUP(G1220,[7]GIA!$L$2:$O$200,4,0)," ")</f>
        <v xml:space="preserve"> </v>
      </c>
      <c r="L1220" s="4" t="str">
        <f t="shared" si="49"/>
        <v xml:space="preserve"> </v>
      </c>
      <c r="M1220" s="4" t="str">
        <f t="shared" si="50"/>
        <v xml:space="preserve"> </v>
      </c>
      <c r="N1220" s="1"/>
      <c r="O1220" s="5"/>
      <c r="P1220" s="3" t="str">
        <f>IF(N1220&lt;&gt;0,VLOOKUP(N1220,[7]GIA!$A$2:$C$200,3,0)," ")</f>
        <v xml:space="preserve"> </v>
      </c>
      <c r="Q1220" s="4" t="str">
        <f t="shared" si="51"/>
        <v xml:space="preserve"> </v>
      </c>
      <c r="R1220" s="47" t="s">
        <v>1805</v>
      </c>
      <c r="S1220" s="13" t="s">
        <v>973</v>
      </c>
      <c r="T1220" s="6">
        <v>5.04</v>
      </c>
      <c r="U1220" s="80"/>
      <c r="V1220" s="4"/>
      <c r="W1220" s="32"/>
      <c r="X1220" s="18"/>
      <c r="Y1220" s="20"/>
      <c r="Z1220" s="20"/>
      <c r="AA1220" s="20"/>
      <c r="AB1220" s="20"/>
      <c r="AC1220" s="20"/>
      <c r="AD1220" s="9"/>
      <c r="AE1220" s="1"/>
      <c r="AF1220" s="1"/>
      <c r="AG1220" s="1"/>
    </row>
    <row r="1221" spans="1:33" s="253" customFormat="1" ht="36.75" customHeight="1" x14ac:dyDescent="0.2">
      <c r="A1221" s="239">
        <f t="shared" si="52"/>
        <v>100</v>
      </c>
      <c r="B1221" s="240"/>
      <c r="C1221" s="241"/>
      <c r="D1221" s="237"/>
      <c r="E1221" s="237"/>
      <c r="F1221" s="241"/>
      <c r="G1221" s="241"/>
      <c r="H1221" s="242"/>
      <c r="I1221" s="242"/>
      <c r="J1221" s="243" t="str">
        <f>IF(G1221&lt;&gt;0,VLOOKUP(G1221,[7]GIA!$L$2:$O$200,3,0)," ")</f>
        <v xml:space="preserve"> </v>
      </c>
      <c r="K1221" s="243" t="str">
        <f>IF(G1221&lt;&gt;0,VLOOKUP(G1221,[7]GIA!$L$2:$O$200,4,0)," ")</f>
        <v xml:space="preserve"> </v>
      </c>
      <c r="L1221" s="244" t="str">
        <f t="shared" si="49"/>
        <v xml:space="preserve"> </v>
      </c>
      <c r="M1221" s="244" t="str">
        <f t="shared" si="50"/>
        <v xml:space="preserve"> </v>
      </c>
      <c r="N1221" s="241"/>
      <c r="O1221" s="243"/>
      <c r="P1221" s="245" t="str">
        <f>IF(N1221&lt;&gt;0,VLOOKUP(N1221,[7]GIA!$A$2:$C$200,3,0)," ")</f>
        <v xml:space="preserve"> </v>
      </c>
      <c r="Q1221" s="244" t="str">
        <f t="shared" si="51"/>
        <v xml:space="preserve"> </v>
      </c>
      <c r="R1221" s="246" t="s">
        <v>1806</v>
      </c>
      <c r="S1221" s="239" t="s">
        <v>1744</v>
      </c>
      <c r="T1221" s="247">
        <f>6*2.3*3.2</f>
        <v>44.16</v>
      </c>
      <c r="U1221" s="248"/>
      <c r="V1221" s="244"/>
      <c r="W1221" s="249"/>
      <c r="X1221" s="250"/>
      <c r="Y1221" s="251"/>
      <c r="Z1221" s="251"/>
      <c r="AA1221" s="251"/>
      <c r="AB1221" s="251"/>
      <c r="AC1221" s="251"/>
      <c r="AD1221" s="252"/>
      <c r="AE1221" s="241"/>
      <c r="AF1221" s="241"/>
      <c r="AG1221" s="241"/>
    </row>
    <row r="1222" spans="1:33" s="81" customFormat="1" ht="26.25" customHeight="1" x14ac:dyDescent="0.2">
      <c r="A1222" s="13">
        <f t="shared" si="52"/>
        <v>100</v>
      </c>
      <c r="B1222" s="11"/>
      <c r="C1222" s="1"/>
      <c r="D1222" s="2"/>
      <c r="E1222" s="2"/>
      <c r="F1222" s="1"/>
      <c r="G1222" s="1"/>
      <c r="H1222" s="78"/>
      <c r="I1222" s="78"/>
      <c r="J1222" s="5" t="str">
        <f>IF(G1222&lt;&gt;0,VLOOKUP(G1222,[7]GIA!$L$2:$O$200,3,0)," ")</f>
        <v xml:space="preserve"> </v>
      </c>
      <c r="K1222" s="5" t="str">
        <f>IF(G1222&lt;&gt;0,VLOOKUP(G1222,[7]GIA!$L$2:$O$200,4,0)," ")</f>
        <v xml:space="preserve"> </v>
      </c>
      <c r="L1222" s="4" t="str">
        <f t="shared" si="49"/>
        <v xml:space="preserve"> </v>
      </c>
      <c r="M1222" s="4" t="str">
        <f t="shared" si="50"/>
        <v xml:space="preserve"> </v>
      </c>
      <c r="N1222" s="1"/>
      <c r="O1222" s="5"/>
      <c r="P1222" s="3" t="str">
        <f>IF(N1222&lt;&gt;0,VLOOKUP(N1222,[7]GIA!$A$2:$C$200,3,0)," ")</f>
        <v xml:space="preserve"> </v>
      </c>
      <c r="Q1222" s="4" t="str">
        <f t="shared" si="51"/>
        <v xml:space="preserve"> </v>
      </c>
      <c r="R1222" s="246" t="s">
        <v>1806</v>
      </c>
      <c r="S1222" s="239" t="s">
        <v>1744</v>
      </c>
      <c r="T1222" s="247">
        <f>3.2*5*2*2</f>
        <v>64</v>
      </c>
      <c r="U1222" s="80"/>
      <c r="V1222" s="4"/>
      <c r="W1222" s="32"/>
      <c r="X1222" s="18"/>
      <c r="Y1222" s="20"/>
      <c r="Z1222" s="20"/>
      <c r="AA1222" s="20"/>
      <c r="AB1222" s="20"/>
      <c r="AC1222" s="20"/>
      <c r="AD1222" s="9"/>
      <c r="AE1222" s="1"/>
      <c r="AF1222" s="1"/>
      <c r="AG1222" s="1"/>
    </row>
    <row r="1223" spans="1:33" s="81" customFormat="1" ht="33" customHeight="1" x14ac:dyDescent="0.2">
      <c r="A1223" s="13">
        <f t="shared" si="52"/>
        <v>100</v>
      </c>
      <c r="B1223" s="11"/>
      <c r="C1223" s="1"/>
      <c r="D1223" s="2"/>
      <c r="E1223" s="2"/>
      <c r="F1223" s="1"/>
      <c r="G1223" s="1"/>
      <c r="H1223" s="78"/>
      <c r="I1223" s="78"/>
      <c r="J1223" s="5" t="str">
        <f>IF(G1223&lt;&gt;0,VLOOKUP(G1223,[7]GIA!$L$2:$O$200,3,0)," ")</f>
        <v xml:space="preserve"> </v>
      </c>
      <c r="K1223" s="5" t="str">
        <f>IF(G1223&lt;&gt;0,VLOOKUP(G1223,[7]GIA!$L$2:$O$200,4,0)," ")</f>
        <v xml:space="preserve"> </v>
      </c>
      <c r="L1223" s="4" t="str">
        <f t="shared" si="49"/>
        <v xml:space="preserve"> </v>
      </c>
      <c r="M1223" s="4" t="str">
        <f t="shared" si="50"/>
        <v xml:space="preserve"> </v>
      </c>
      <c r="N1223" s="1"/>
      <c r="O1223" s="5"/>
      <c r="P1223" s="3" t="str">
        <f>IF(N1223&lt;&gt;0,VLOOKUP(N1223,[7]GIA!$A$2:$C$200,3,0)," ")</f>
        <v xml:space="preserve"> </v>
      </c>
      <c r="Q1223" s="4" t="str">
        <f t="shared" si="51"/>
        <v xml:space="preserve"> </v>
      </c>
      <c r="R1223" s="247" t="s">
        <v>1807</v>
      </c>
      <c r="S1223" s="239" t="s">
        <v>1744</v>
      </c>
      <c r="T1223" s="247">
        <f>4.6*2</f>
        <v>9.1999999999999993</v>
      </c>
      <c r="U1223" s="80"/>
      <c r="V1223" s="4"/>
      <c r="W1223" s="32"/>
      <c r="X1223" s="18"/>
      <c r="Y1223" s="20"/>
      <c r="Z1223" s="20"/>
      <c r="AA1223" s="20"/>
      <c r="AB1223" s="20"/>
      <c r="AC1223" s="20"/>
      <c r="AD1223" s="9"/>
      <c r="AE1223" s="1"/>
      <c r="AF1223" s="1"/>
      <c r="AG1223" s="1"/>
    </row>
    <row r="1224" spans="1:33" s="81" customFormat="1" ht="21" customHeight="1" x14ac:dyDescent="0.2">
      <c r="A1224" s="13">
        <f t="shared" si="52"/>
        <v>100</v>
      </c>
      <c r="B1224" s="11"/>
      <c r="C1224" s="1"/>
      <c r="D1224" s="2"/>
      <c r="E1224" s="2"/>
      <c r="F1224" s="1"/>
      <c r="G1224" s="1"/>
      <c r="H1224" s="78"/>
      <c r="I1224" s="78"/>
      <c r="J1224" s="5" t="str">
        <f>IF(G1224&lt;&gt;0,VLOOKUP(G1224,[7]GIA!$L$2:$O$200,3,0)," ")</f>
        <v xml:space="preserve"> </v>
      </c>
      <c r="K1224" s="5" t="str">
        <f>IF(G1224&lt;&gt;0,VLOOKUP(G1224,[7]GIA!$L$2:$O$200,4,0)," ")</f>
        <v xml:space="preserve"> </v>
      </c>
      <c r="L1224" s="4" t="str">
        <f t="shared" si="49"/>
        <v xml:space="preserve"> </v>
      </c>
      <c r="M1224" s="4" t="str">
        <f t="shared" si="50"/>
        <v xml:space="preserve"> </v>
      </c>
      <c r="N1224" s="1"/>
      <c r="O1224" s="5"/>
      <c r="P1224" s="3" t="str">
        <f>IF(N1224&lt;&gt;0,VLOOKUP(N1224,[7]GIA!$A$2:$C$200,3,0)," ")</f>
        <v xml:space="preserve"> </v>
      </c>
      <c r="Q1224" s="4" t="str">
        <f t="shared" si="51"/>
        <v xml:space="preserve"> </v>
      </c>
      <c r="R1224" s="247" t="s">
        <v>1808</v>
      </c>
      <c r="S1224" s="239" t="s">
        <v>1744</v>
      </c>
      <c r="T1224" s="247">
        <f>3*5.1*5</f>
        <v>76.5</v>
      </c>
      <c r="U1224" s="80"/>
      <c r="V1224" s="4"/>
      <c r="W1224" s="32"/>
      <c r="X1224" s="18"/>
      <c r="Y1224" s="20"/>
      <c r="Z1224" s="20"/>
      <c r="AA1224" s="20"/>
      <c r="AB1224" s="20"/>
      <c r="AC1224" s="20"/>
      <c r="AD1224" s="9"/>
      <c r="AE1224" s="1"/>
      <c r="AF1224" s="1"/>
      <c r="AG1224" s="1"/>
    </row>
    <row r="1225" spans="1:33" s="81" customFormat="1" ht="25.5" customHeight="1" x14ac:dyDescent="0.2">
      <c r="A1225" s="13">
        <f t="shared" si="52"/>
        <v>100</v>
      </c>
      <c r="B1225" s="11"/>
      <c r="C1225" s="1"/>
      <c r="D1225" s="2"/>
      <c r="E1225" s="2"/>
      <c r="F1225" s="1"/>
      <c r="G1225" s="1"/>
      <c r="H1225" s="78"/>
      <c r="I1225" s="78"/>
      <c r="J1225" s="5" t="str">
        <f>IF(G1225&lt;&gt;0,VLOOKUP(G1225,[7]GIA!$L$2:$O$200,3,0)," ")</f>
        <v xml:space="preserve"> </v>
      </c>
      <c r="K1225" s="5" t="str">
        <f>IF(G1225&lt;&gt;0,VLOOKUP(G1225,[7]GIA!$L$2:$O$200,4,0)," ")</f>
        <v xml:space="preserve"> </v>
      </c>
      <c r="L1225" s="4" t="str">
        <f t="shared" si="49"/>
        <v xml:space="preserve"> </v>
      </c>
      <c r="M1225" s="4" t="str">
        <f t="shared" si="50"/>
        <v xml:space="preserve"> </v>
      </c>
      <c r="N1225" s="1"/>
      <c r="O1225" s="5"/>
      <c r="P1225" s="3" t="str">
        <f>IF(N1225&lt;&gt;0,VLOOKUP(N1225,[7]GIA!$A$2:$C$200,3,0)," ")</f>
        <v xml:space="preserve"> </v>
      </c>
      <c r="Q1225" s="4" t="str">
        <f t="shared" si="51"/>
        <v xml:space="preserve"> </v>
      </c>
      <c r="R1225" s="247" t="s">
        <v>1809</v>
      </c>
      <c r="S1225" s="239" t="s">
        <v>1744</v>
      </c>
      <c r="T1225" s="247">
        <f>1.3*2.8*5</f>
        <v>18.2</v>
      </c>
      <c r="U1225" s="80"/>
      <c r="V1225" s="4"/>
      <c r="W1225" s="32"/>
      <c r="X1225" s="18"/>
      <c r="Y1225" s="20"/>
      <c r="Z1225" s="20"/>
      <c r="AA1225" s="20"/>
      <c r="AB1225" s="20"/>
      <c r="AC1225" s="20"/>
      <c r="AD1225" s="9"/>
      <c r="AE1225" s="1"/>
      <c r="AF1225" s="1"/>
      <c r="AG1225" s="1"/>
    </row>
    <row r="1226" spans="1:33" s="81" customFormat="1" ht="37.5" customHeight="1" x14ac:dyDescent="0.2">
      <c r="A1226" s="13"/>
      <c r="B1226" s="11"/>
      <c r="C1226" s="1"/>
      <c r="D1226" s="2"/>
      <c r="E1226" s="2"/>
      <c r="F1226" s="1"/>
      <c r="G1226" s="1"/>
      <c r="H1226" s="78"/>
      <c r="I1226" s="78"/>
      <c r="J1226" s="5"/>
      <c r="K1226" s="5"/>
      <c r="L1226" s="4"/>
      <c r="M1226" s="4"/>
      <c r="N1226" s="1"/>
      <c r="O1226" s="5"/>
      <c r="P1226" s="3"/>
      <c r="Q1226" s="4"/>
      <c r="R1226" s="246" t="s">
        <v>1810</v>
      </c>
      <c r="S1226" s="239" t="s">
        <v>1746</v>
      </c>
      <c r="T1226" s="247">
        <v>0.95</v>
      </c>
      <c r="U1226" s="80"/>
      <c r="V1226" s="4"/>
      <c r="W1226" s="32"/>
      <c r="X1226" s="18"/>
      <c r="Y1226" s="20"/>
      <c r="Z1226" s="20"/>
      <c r="AA1226" s="20"/>
      <c r="AB1226" s="20"/>
      <c r="AC1226" s="20"/>
      <c r="AD1226" s="9"/>
      <c r="AE1226" s="1"/>
      <c r="AF1226" s="1"/>
      <c r="AG1226" s="1"/>
    </row>
    <row r="1227" spans="1:33" s="81" customFormat="1" ht="28.5" customHeight="1" x14ac:dyDescent="0.2">
      <c r="A1227" s="13">
        <f>IF(B1227&lt;&gt;0,B1227,A1225)</f>
        <v>100</v>
      </c>
      <c r="B1227" s="11"/>
      <c r="C1227" s="1"/>
      <c r="D1227" s="2"/>
      <c r="E1227" s="2"/>
      <c r="F1227" s="1"/>
      <c r="G1227" s="1"/>
      <c r="H1227" s="78"/>
      <c r="I1227" s="78"/>
      <c r="J1227" s="5" t="str">
        <f>IF(G1227&lt;&gt;0,VLOOKUP(G1227,[7]GIA!$L$2:$O$200,3,0)," ")</f>
        <v xml:space="preserve"> </v>
      </c>
      <c r="K1227" s="5" t="str">
        <f>IF(G1227&lt;&gt;0,VLOOKUP(G1227,[7]GIA!$L$2:$O$200,4,0)," ")</f>
        <v xml:space="preserve"> </v>
      </c>
      <c r="L1227" s="4" t="str">
        <f t="shared" si="49"/>
        <v xml:space="preserve"> </v>
      </c>
      <c r="M1227" s="4" t="str">
        <f t="shared" si="50"/>
        <v xml:space="preserve"> </v>
      </c>
      <c r="N1227" s="1"/>
      <c r="O1227" s="5"/>
      <c r="P1227" s="3" t="str">
        <f>IF(N1227&lt;&gt;0,VLOOKUP(N1227,[7]GIA!$A$2:$C$200,3,0)," ")</f>
        <v xml:space="preserve"> </v>
      </c>
      <c r="Q1227" s="4" t="str">
        <f t="shared" si="51"/>
        <v xml:space="preserve"> </v>
      </c>
      <c r="R1227" s="246" t="s">
        <v>1810</v>
      </c>
      <c r="S1227" s="239" t="s">
        <v>1746</v>
      </c>
      <c r="T1227" s="247">
        <v>0.97</v>
      </c>
      <c r="U1227" s="80"/>
      <c r="V1227" s="4"/>
      <c r="W1227" s="32"/>
      <c r="X1227" s="18"/>
      <c r="Y1227" s="20"/>
      <c r="Z1227" s="20"/>
      <c r="AA1227" s="20"/>
      <c r="AB1227" s="20"/>
      <c r="AC1227" s="20"/>
      <c r="AD1227" s="9"/>
      <c r="AE1227" s="1"/>
      <c r="AF1227" s="1"/>
      <c r="AG1227" s="1"/>
    </row>
    <row r="1228" spans="1:33" s="81" customFormat="1" ht="28.5" customHeight="1" x14ac:dyDescent="0.2">
      <c r="A1228" s="13"/>
      <c r="B1228" s="11"/>
      <c r="C1228" s="1"/>
      <c r="D1228" s="2"/>
      <c r="E1228" s="2"/>
      <c r="F1228" s="1"/>
      <c r="G1228" s="1"/>
      <c r="H1228" s="78"/>
      <c r="I1228" s="78"/>
      <c r="J1228" s="5"/>
      <c r="K1228" s="5"/>
      <c r="L1228" s="4"/>
      <c r="M1228" s="4"/>
      <c r="N1228" s="1"/>
      <c r="O1228" s="5"/>
      <c r="P1228" s="3"/>
      <c r="Q1228" s="4"/>
      <c r="R1228" s="246" t="s">
        <v>1811</v>
      </c>
      <c r="S1228" s="239" t="s">
        <v>1746</v>
      </c>
      <c r="T1228" s="247">
        <v>1.27</v>
      </c>
      <c r="U1228" s="80"/>
      <c r="V1228" s="4"/>
      <c r="W1228" s="32"/>
      <c r="X1228" s="18"/>
      <c r="Y1228" s="20"/>
      <c r="Z1228" s="20"/>
      <c r="AA1228" s="20"/>
      <c r="AB1228" s="20"/>
      <c r="AC1228" s="20"/>
      <c r="AD1228" s="9"/>
      <c r="AE1228" s="1"/>
      <c r="AF1228" s="1"/>
      <c r="AG1228" s="1"/>
    </row>
    <row r="1229" spans="1:33" s="81" customFormat="1" ht="25.5" x14ac:dyDescent="0.2">
      <c r="A1229" s="13">
        <f>IF(B1229&lt;&gt;0,B1229,A1227)</f>
        <v>100</v>
      </c>
      <c r="B1229" s="11"/>
      <c r="C1229" s="1"/>
      <c r="D1229" s="2"/>
      <c r="E1229" s="2"/>
      <c r="F1229" s="1"/>
      <c r="G1229" s="1"/>
      <c r="H1229" s="78"/>
      <c r="I1229" s="78"/>
      <c r="J1229" s="5" t="str">
        <f>IF(G1229&lt;&gt;0,VLOOKUP(G1229,[7]GIA!$L$2:$O$200,3,0)," ")</f>
        <v xml:space="preserve"> </v>
      </c>
      <c r="K1229" s="5" t="str">
        <f>IF(G1229&lt;&gt;0,VLOOKUP(G1229,[7]GIA!$L$2:$O$200,4,0)," ")</f>
        <v xml:space="preserve"> </v>
      </c>
      <c r="L1229" s="4" t="str">
        <f t="shared" si="49"/>
        <v xml:space="preserve"> </v>
      </c>
      <c r="M1229" s="4" t="str">
        <f t="shared" si="50"/>
        <v xml:space="preserve"> </v>
      </c>
      <c r="N1229" s="1"/>
      <c r="O1229" s="5"/>
      <c r="P1229" s="3" t="str">
        <f>IF(N1229&lt;&gt;0,VLOOKUP(N1229,[7]GIA!$A$2:$C$200,3,0)," ")</f>
        <v xml:space="preserve"> </v>
      </c>
      <c r="Q1229" s="4" t="str">
        <f t="shared" si="51"/>
        <v xml:space="preserve"> </v>
      </c>
      <c r="R1229" s="47" t="s">
        <v>1805</v>
      </c>
      <c r="S1229" s="13" t="s">
        <v>973</v>
      </c>
      <c r="T1229" s="6">
        <v>3.6</v>
      </c>
      <c r="U1229" s="80"/>
      <c r="V1229" s="4"/>
      <c r="W1229" s="32"/>
      <c r="X1229" s="18"/>
      <c r="Y1229" s="20"/>
      <c r="Z1229" s="20"/>
      <c r="AA1229" s="20"/>
      <c r="AB1229" s="20"/>
      <c r="AC1229" s="20"/>
      <c r="AD1229" s="9"/>
      <c r="AE1229" s="1"/>
      <c r="AF1229" s="1"/>
      <c r="AG1229" s="1"/>
    </row>
    <row r="1230" spans="1:33" s="81" customFormat="1" ht="15.75" x14ac:dyDescent="0.2">
      <c r="A1230" s="13">
        <f>IF(B1230&lt;&gt;0,B1230,A1229)</f>
        <v>100</v>
      </c>
      <c r="B1230" s="11"/>
      <c r="C1230" s="1"/>
      <c r="D1230" s="2"/>
      <c r="E1230" s="2"/>
      <c r="F1230" s="1"/>
      <c r="G1230" s="1"/>
      <c r="H1230" s="78"/>
      <c r="I1230" s="78"/>
      <c r="J1230" s="5" t="str">
        <f>IF(G1230&lt;&gt;0,VLOOKUP(G1230,[7]GIA!$L$2:$O$200,3,0)," ")</f>
        <v xml:space="preserve"> </v>
      </c>
      <c r="K1230" s="5" t="str">
        <f>IF(G1230&lt;&gt;0,VLOOKUP(G1230,[7]GIA!$L$2:$O$200,4,0)," ")</f>
        <v xml:space="preserve"> </v>
      </c>
      <c r="L1230" s="4" t="str">
        <f t="shared" si="49"/>
        <v xml:space="preserve"> </v>
      </c>
      <c r="M1230" s="4" t="str">
        <f t="shared" si="50"/>
        <v xml:space="preserve"> </v>
      </c>
      <c r="N1230" s="1"/>
      <c r="O1230" s="5"/>
      <c r="P1230" s="3" t="str">
        <f>IF(N1230&lt;&gt;0,VLOOKUP(N1230,[7]GIA!$A$2:$C$200,3,0)," ")</f>
        <v xml:space="preserve"> </v>
      </c>
      <c r="Q1230" s="4" t="str">
        <f t="shared" si="51"/>
        <v xml:space="preserve"> </v>
      </c>
      <c r="R1230" s="47" t="s">
        <v>1804</v>
      </c>
      <c r="S1230" s="13" t="s">
        <v>1025</v>
      </c>
      <c r="T1230" s="6">
        <v>0.13</v>
      </c>
      <c r="U1230" s="80"/>
      <c r="V1230" s="4"/>
      <c r="W1230" s="32"/>
      <c r="X1230" s="18"/>
      <c r="Y1230" s="20"/>
      <c r="Z1230" s="20"/>
      <c r="AA1230" s="20"/>
      <c r="AB1230" s="20"/>
      <c r="AC1230" s="20"/>
      <c r="AD1230" s="9"/>
      <c r="AE1230" s="1"/>
      <c r="AF1230" s="1"/>
      <c r="AG1230" s="1"/>
    </row>
    <row r="1231" spans="1:33" s="81" customFormat="1" ht="12.75" x14ac:dyDescent="0.2">
      <c r="A1231" s="13"/>
      <c r="B1231" s="11"/>
      <c r="C1231" s="1"/>
      <c r="D1231" s="2"/>
      <c r="E1231" s="2"/>
      <c r="F1231" s="1"/>
      <c r="G1231" s="1"/>
      <c r="H1231" s="78"/>
      <c r="I1231" s="78"/>
      <c r="J1231" s="5"/>
      <c r="K1231" s="5"/>
      <c r="L1231" s="4"/>
      <c r="M1231" s="4"/>
      <c r="N1231" s="1"/>
      <c r="O1231" s="5"/>
      <c r="P1231" s="3"/>
      <c r="Q1231" s="4"/>
      <c r="R1231" s="47"/>
      <c r="S1231" s="13"/>
      <c r="T1231" s="6"/>
      <c r="U1231" s="80"/>
      <c r="V1231" s="4"/>
      <c r="W1231" s="32"/>
      <c r="X1231" s="18"/>
      <c r="Y1231" s="20"/>
      <c r="Z1231" s="20"/>
      <c r="AA1231" s="20"/>
      <c r="AB1231" s="20"/>
      <c r="AC1231" s="20"/>
      <c r="AD1231" s="9"/>
      <c r="AE1231" s="1"/>
      <c r="AF1231" s="1"/>
      <c r="AG1231" s="1"/>
    </row>
    <row r="1232" spans="1:33" s="81" customFormat="1" ht="12.75" x14ac:dyDescent="0.2">
      <c r="A1232" s="13"/>
      <c r="B1232" s="11"/>
      <c r="C1232" s="1"/>
      <c r="D1232" s="2"/>
      <c r="E1232" s="2"/>
      <c r="F1232" s="1"/>
      <c r="G1232" s="1"/>
      <c r="H1232" s="78"/>
      <c r="I1232" s="78"/>
      <c r="J1232" s="5"/>
      <c r="K1232" s="5"/>
      <c r="L1232" s="4"/>
      <c r="M1232" s="4"/>
      <c r="N1232" s="1"/>
      <c r="O1232" s="5"/>
      <c r="P1232" s="3"/>
      <c r="Q1232" s="4"/>
      <c r="R1232" s="47"/>
      <c r="S1232" s="13"/>
      <c r="T1232" s="6"/>
      <c r="U1232" s="80"/>
      <c r="V1232" s="4"/>
      <c r="W1232" s="32"/>
      <c r="X1232" s="18"/>
      <c r="Y1232" s="20"/>
      <c r="Z1232" s="20"/>
      <c r="AA1232" s="20"/>
      <c r="AB1232" s="20"/>
      <c r="AC1232" s="20"/>
      <c r="AD1232" s="9"/>
      <c r="AE1232" s="1"/>
      <c r="AF1232" s="1"/>
      <c r="AG1232" s="1"/>
    </row>
    <row r="1233" spans="1:33" s="81" customFormat="1" ht="12.75" x14ac:dyDescent="0.2">
      <c r="A1233" s="13">
        <f>IF(B1233&lt;&gt;0,B1233,A1230)</f>
        <v>100</v>
      </c>
      <c r="B1233" s="11"/>
      <c r="C1233" s="1"/>
      <c r="D1233" s="2"/>
      <c r="E1233" s="2"/>
      <c r="F1233" s="1"/>
      <c r="G1233" s="1"/>
      <c r="H1233" s="78"/>
      <c r="I1233" s="78"/>
      <c r="J1233" s="5" t="str">
        <f>IF(G1233&lt;&gt;0,VLOOKUP(G1233,[7]GIA!$L$2:$O$200,3,0)," ")</f>
        <v xml:space="preserve"> </v>
      </c>
      <c r="K1233" s="5" t="str">
        <f>IF(G1233&lt;&gt;0,VLOOKUP(G1233,[7]GIA!$L$2:$O$200,4,0)," ")</f>
        <v xml:space="preserve"> </v>
      </c>
      <c r="L1233" s="4" t="str">
        <f t="shared" si="49"/>
        <v xml:space="preserve"> </v>
      </c>
      <c r="M1233" s="4" t="str">
        <f t="shared" si="50"/>
        <v xml:space="preserve"> </v>
      </c>
      <c r="N1233" s="1"/>
      <c r="O1233" s="5"/>
      <c r="P1233" s="3" t="str">
        <f>IF(N1233&lt;&gt;0,VLOOKUP(N1233,[7]GIA!$A$2:$C$200,3,0)," ")</f>
        <v xml:space="preserve"> </v>
      </c>
      <c r="Q1233" s="4" t="str">
        <f t="shared" si="51"/>
        <v xml:space="preserve"> </v>
      </c>
      <c r="R1233" s="1"/>
      <c r="S1233" s="1"/>
      <c r="T1233" s="1"/>
      <c r="U1233" s="1"/>
      <c r="V1233" s="4" t="str">
        <f>IF(R1233&lt;&gt;0,VLOOKUP(R1233,[7]GIA!$F$2:$H$200,3,0)," ")</f>
        <v xml:space="preserve"> </v>
      </c>
      <c r="W1233" s="32" t="str">
        <f>IF(R1233&lt;&gt;0,ROUND(T1233*V1233,-2)," ")</f>
        <v xml:space="preserve"> </v>
      </c>
      <c r="X1233" s="1"/>
      <c r="Y1233" s="1"/>
      <c r="Z1233" s="1"/>
      <c r="AA1233" s="1"/>
      <c r="AB1233" s="1"/>
      <c r="AC1233" s="20"/>
      <c r="AD1233" s="9"/>
      <c r="AE1233" s="1"/>
      <c r="AF1233" s="1"/>
      <c r="AG1233" s="1"/>
    </row>
    <row r="1234" spans="1:33" s="81" customFormat="1" ht="25.5" x14ac:dyDescent="0.2">
      <c r="A1234" s="13">
        <f>IF(B1234&lt;&gt;0,B1234,A1233)</f>
        <v>101</v>
      </c>
      <c r="B1234" s="11">
        <v>101</v>
      </c>
      <c r="C1234" s="21" t="s">
        <v>1043</v>
      </c>
      <c r="D1234" s="2"/>
      <c r="E1234" s="2"/>
      <c r="F1234" s="1"/>
      <c r="G1234" s="1"/>
      <c r="H1234" s="78"/>
      <c r="I1234" s="78"/>
      <c r="J1234" s="5" t="str">
        <f>IF(G1234&lt;&gt;0,VLOOKUP(G1234,[7]GIA!$L$2:$O$200,3,0)," ")</f>
        <v xml:space="preserve"> </v>
      </c>
      <c r="K1234" s="5" t="str">
        <f>IF(G1234&lt;&gt;0,VLOOKUP(G1234,[7]GIA!$L$2:$O$200,4,0)," ")</f>
        <v xml:space="preserve"> </v>
      </c>
      <c r="L1234" s="4" t="str">
        <f t="shared" si="49"/>
        <v xml:space="preserve"> </v>
      </c>
      <c r="M1234" s="4" t="str">
        <f t="shared" si="50"/>
        <v xml:space="preserve"> </v>
      </c>
      <c r="N1234" s="1"/>
      <c r="O1234" s="5"/>
      <c r="P1234" s="3" t="str">
        <f>IF(N1234&lt;&gt;0,VLOOKUP(N1234,[7]GIA!$A$2:$C$200,3,0)," ")</f>
        <v xml:space="preserve"> </v>
      </c>
      <c r="Q1234" s="4" t="str">
        <f t="shared" si="51"/>
        <v xml:space="preserve"> </v>
      </c>
      <c r="R1234" s="47" t="s">
        <v>1748</v>
      </c>
      <c r="S1234" s="13" t="s">
        <v>973</v>
      </c>
      <c r="T1234" s="6">
        <v>9.4499999999999993</v>
      </c>
      <c r="U1234" s="80"/>
      <c r="V1234" s="4"/>
      <c r="W1234" s="32"/>
      <c r="X1234" s="18"/>
      <c r="Y1234" s="20"/>
      <c r="Z1234" s="20"/>
      <c r="AA1234" s="20"/>
      <c r="AB1234" s="20"/>
      <c r="AC1234" s="20"/>
      <c r="AD1234" s="9"/>
      <c r="AE1234" s="1" t="s">
        <v>1044</v>
      </c>
      <c r="AF1234" s="1"/>
      <c r="AG1234" s="1"/>
    </row>
    <row r="1235" spans="1:33" s="81" customFormat="1" ht="27" customHeight="1" x14ac:dyDescent="0.2">
      <c r="A1235" s="13">
        <f>IF(B1235&lt;&gt;0,B1235,A1234)</f>
        <v>101</v>
      </c>
      <c r="B1235" s="11"/>
      <c r="C1235" s="1" t="s">
        <v>1045</v>
      </c>
      <c r="D1235" s="2"/>
      <c r="E1235" s="2"/>
      <c r="F1235" s="1"/>
      <c r="G1235" s="1"/>
      <c r="H1235" s="78"/>
      <c r="I1235" s="78"/>
      <c r="J1235" s="5" t="str">
        <f>IF(G1235&lt;&gt;0,VLOOKUP(G1235,[7]GIA!$L$2:$O$200,3,0)," ")</f>
        <v xml:space="preserve"> </v>
      </c>
      <c r="K1235" s="5" t="str">
        <f>IF(G1235&lt;&gt;0,VLOOKUP(G1235,[7]GIA!$L$2:$O$200,4,0)," ")</f>
        <v xml:space="preserve"> </v>
      </c>
      <c r="L1235" s="4" t="str">
        <f t="shared" si="49"/>
        <v xml:space="preserve"> </v>
      </c>
      <c r="M1235" s="4" t="str">
        <f t="shared" si="50"/>
        <v xml:space="preserve"> </v>
      </c>
      <c r="N1235" s="1"/>
      <c r="O1235" s="5"/>
      <c r="P1235" s="3" t="str">
        <f>IF(N1235&lt;&gt;0,VLOOKUP(N1235,[7]GIA!$A$2:$C$200,3,0)," ")</f>
        <v xml:space="preserve"> </v>
      </c>
      <c r="Q1235" s="4" t="str">
        <f t="shared" si="51"/>
        <v xml:space="preserve"> </v>
      </c>
      <c r="R1235" s="47" t="s">
        <v>1749</v>
      </c>
      <c r="S1235" s="13" t="s">
        <v>973</v>
      </c>
      <c r="T1235" s="6">
        <v>9.4499999999999993</v>
      </c>
      <c r="U1235" s="80"/>
      <c r="V1235" s="4"/>
      <c r="W1235" s="32"/>
      <c r="X1235" s="18"/>
      <c r="Y1235" s="20"/>
      <c r="Z1235" s="20"/>
      <c r="AA1235" s="20"/>
      <c r="AB1235" s="20"/>
      <c r="AC1235" s="20"/>
      <c r="AD1235" s="9"/>
      <c r="AE1235" s="1"/>
      <c r="AF1235" s="1"/>
      <c r="AG1235" s="1"/>
    </row>
    <row r="1236" spans="1:33" s="81" customFormat="1" ht="25.5" x14ac:dyDescent="0.2">
      <c r="A1236" s="13">
        <f>IF(B1236&lt;&gt;0,B1236,A1235)</f>
        <v>101</v>
      </c>
      <c r="B1236" s="11"/>
      <c r="C1236" s="1" t="s">
        <v>1661</v>
      </c>
      <c r="D1236" s="2"/>
      <c r="E1236" s="2"/>
      <c r="F1236" s="1"/>
      <c r="G1236" s="1"/>
      <c r="H1236" s="78"/>
      <c r="I1236" s="78"/>
      <c r="J1236" s="5" t="str">
        <f>IF(G1236&lt;&gt;0,VLOOKUP(G1236,[7]GIA!$L$2:$O$200,3,0)," ")</f>
        <v xml:space="preserve"> </v>
      </c>
      <c r="K1236" s="5" t="str">
        <f>IF(G1236&lt;&gt;0,VLOOKUP(G1236,[7]GIA!$L$2:$O$200,4,0)," ")</f>
        <v xml:space="preserve"> </v>
      </c>
      <c r="L1236" s="4" t="str">
        <f t="shared" si="49"/>
        <v xml:space="preserve"> </v>
      </c>
      <c r="M1236" s="4" t="str">
        <f t="shared" si="50"/>
        <v xml:space="preserve"> </v>
      </c>
      <c r="N1236" s="1"/>
      <c r="O1236" s="5"/>
      <c r="P1236" s="3" t="str">
        <f>IF(N1236&lt;&gt;0,VLOOKUP(N1236,[7]GIA!$A$2:$C$200,3,0)," ")</f>
        <v xml:space="preserve"> </v>
      </c>
      <c r="Q1236" s="4" t="str">
        <f t="shared" si="51"/>
        <v xml:space="preserve"> </v>
      </c>
      <c r="R1236" s="47" t="s">
        <v>1812</v>
      </c>
      <c r="S1236" s="13" t="s">
        <v>973</v>
      </c>
      <c r="T1236" s="13">
        <v>6.16</v>
      </c>
      <c r="U1236" s="80"/>
      <c r="V1236" s="4"/>
      <c r="W1236" s="32"/>
      <c r="X1236" s="18"/>
      <c r="Y1236" s="20"/>
      <c r="Z1236" s="20"/>
      <c r="AA1236" s="20"/>
      <c r="AB1236" s="20"/>
      <c r="AC1236" s="20"/>
      <c r="AD1236" s="9"/>
      <c r="AE1236" s="1"/>
      <c r="AF1236" s="1"/>
      <c r="AG1236" s="1"/>
    </row>
    <row r="1237" spans="1:33" s="81" customFormat="1" ht="12.75" x14ac:dyDescent="0.2">
      <c r="A1237" s="13"/>
      <c r="B1237" s="11"/>
      <c r="C1237" s="1"/>
      <c r="D1237" s="2"/>
      <c r="E1237" s="2"/>
      <c r="F1237" s="1"/>
      <c r="G1237" s="1"/>
      <c r="H1237" s="78"/>
      <c r="I1237" s="78"/>
      <c r="J1237" s="5"/>
      <c r="K1237" s="5"/>
      <c r="L1237" s="4"/>
      <c r="M1237" s="4"/>
      <c r="N1237" s="1"/>
      <c r="O1237" s="5"/>
      <c r="P1237" s="3"/>
      <c r="Q1237" s="4"/>
      <c r="R1237" s="47"/>
      <c r="S1237" s="13"/>
      <c r="T1237" s="13"/>
      <c r="U1237" s="80"/>
      <c r="V1237" s="4"/>
      <c r="W1237" s="32"/>
      <c r="X1237" s="18"/>
      <c r="Y1237" s="20"/>
      <c r="Z1237" s="20"/>
      <c r="AA1237" s="20"/>
      <c r="AB1237" s="20"/>
      <c r="AC1237" s="20"/>
      <c r="AD1237" s="9"/>
      <c r="AE1237" s="1"/>
      <c r="AF1237" s="1"/>
      <c r="AG1237" s="1"/>
    </row>
    <row r="1238" spans="1:33" s="81" customFormat="1" ht="12.75" x14ac:dyDescent="0.2">
      <c r="A1238" s="13">
        <f>IF(B1238&lt;&gt;0,B1238,A1236)</f>
        <v>101</v>
      </c>
      <c r="B1238" s="11"/>
      <c r="C1238" s="1"/>
      <c r="D1238" s="2"/>
      <c r="E1238" s="2"/>
      <c r="F1238" s="1"/>
      <c r="G1238" s="1"/>
      <c r="H1238" s="78"/>
      <c r="I1238" s="78"/>
      <c r="J1238" s="5" t="str">
        <f>IF(G1238&lt;&gt;0,VLOOKUP(G1238,[7]GIA!$L$2:$O$200,3,0)," ")</f>
        <v xml:space="preserve"> </v>
      </c>
      <c r="K1238" s="5" t="str">
        <f>IF(G1238&lt;&gt;0,VLOOKUP(G1238,[7]GIA!$L$2:$O$200,4,0)," ")</f>
        <v xml:space="preserve"> </v>
      </c>
      <c r="L1238" s="4" t="str">
        <f t="shared" si="49"/>
        <v xml:space="preserve"> </v>
      </c>
      <c r="M1238" s="4" t="str">
        <f t="shared" si="50"/>
        <v xml:space="preserve"> </v>
      </c>
      <c r="N1238" s="1"/>
      <c r="O1238" s="5"/>
      <c r="P1238" s="3" t="str">
        <f>IF(N1238&lt;&gt;0,VLOOKUP(N1238,[7]GIA!$A$2:$C$200,3,0)," ")</f>
        <v xml:space="preserve"> </v>
      </c>
      <c r="Q1238" s="4" t="str">
        <f t="shared" si="51"/>
        <v xml:space="preserve"> </v>
      </c>
      <c r="R1238" s="47"/>
      <c r="S1238" s="13"/>
      <c r="T1238" s="13"/>
      <c r="U1238" s="80"/>
      <c r="V1238" s="4" t="str">
        <f>IF(R1238&lt;&gt;0,VLOOKUP(R1238,[7]GIA!$F$2:$H$200,3,0)," ")</f>
        <v xml:space="preserve"> </v>
      </c>
      <c r="W1238" s="32" t="str">
        <f>IF(R1238&lt;&gt;0,ROUND(T1238*V1238,-2)," ")</f>
        <v xml:space="preserve"> </v>
      </c>
      <c r="X1238" s="18"/>
      <c r="Y1238" s="20"/>
      <c r="Z1238" s="20"/>
      <c r="AA1238" s="20"/>
      <c r="AB1238" s="20"/>
      <c r="AC1238" s="20"/>
      <c r="AD1238" s="9"/>
      <c r="AE1238" s="1"/>
      <c r="AF1238" s="1"/>
      <c r="AG1238" s="1"/>
    </row>
    <row r="1239" spans="1:33" s="81" customFormat="1" ht="12.75" x14ac:dyDescent="0.2">
      <c r="A1239" s="13">
        <f>IF(B1239&lt;&gt;0,B1239,A1238)</f>
        <v>101</v>
      </c>
      <c r="B1239" s="11"/>
      <c r="C1239" s="1"/>
      <c r="D1239" s="2"/>
      <c r="E1239" s="2"/>
      <c r="F1239" s="1"/>
      <c r="G1239" s="1"/>
      <c r="H1239" s="78"/>
      <c r="I1239" s="78"/>
      <c r="J1239" s="5" t="str">
        <f>IF(G1239&lt;&gt;0,VLOOKUP(G1239,[7]GIA!$L$2:$O$200,3,0)," ")</f>
        <v xml:space="preserve"> </v>
      </c>
      <c r="K1239" s="5" t="str">
        <f>IF(G1239&lt;&gt;0,VLOOKUP(G1239,[7]GIA!$L$2:$O$200,4,0)," ")</f>
        <v xml:space="preserve"> </v>
      </c>
      <c r="L1239" s="4" t="str">
        <f t="shared" si="49"/>
        <v xml:space="preserve"> </v>
      </c>
      <c r="M1239" s="4" t="str">
        <f t="shared" si="50"/>
        <v xml:space="preserve"> </v>
      </c>
      <c r="N1239" s="1"/>
      <c r="O1239" s="5"/>
      <c r="P1239" s="3" t="str">
        <f>IF(N1239&lt;&gt;0,VLOOKUP(N1239,[7]GIA!$A$2:$C$200,3,0)," ")</f>
        <v xml:space="preserve"> </v>
      </c>
      <c r="Q1239" s="4" t="str">
        <f t="shared" si="51"/>
        <v xml:space="preserve"> </v>
      </c>
      <c r="R1239" s="47"/>
      <c r="S1239" s="13"/>
      <c r="T1239" s="6"/>
      <c r="U1239" s="80"/>
      <c r="V1239" s="4" t="str">
        <f>IF(R1239&lt;&gt;0,VLOOKUP(R1239,[7]GIA!$F$2:$H$200,3,0)," ")</f>
        <v xml:space="preserve"> </v>
      </c>
      <c r="W1239" s="32" t="str">
        <f>IF(R1239&lt;&gt;0,ROUND(T1239*V1239,-2)," ")</f>
        <v xml:space="preserve"> </v>
      </c>
      <c r="X1239" s="18"/>
      <c r="Y1239" s="20"/>
      <c r="Z1239" s="20"/>
      <c r="AA1239" s="20"/>
      <c r="AB1239" s="20"/>
      <c r="AC1239" s="20"/>
      <c r="AD1239" s="9"/>
      <c r="AE1239" s="3"/>
      <c r="AF1239" s="3"/>
      <c r="AG1239" s="3"/>
    </row>
    <row r="1240" spans="1:33" s="81" customFormat="1" ht="66.75" x14ac:dyDescent="0.2">
      <c r="A1240" s="13">
        <f>IF(B1240&lt;&gt;0,B1240,#REF!)</f>
        <v>102</v>
      </c>
      <c r="B1240" s="240">
        <v>102</v>
      </c>
      <c r="C1240" s="263" t="s">
        <v>1046</v>
      </c>
      <c r="D1240" s="2"/>
      <c r="E1240" s="2"/>
      <c r="F1240" s="1"/>
      <c r="G1240" s="1"/>
      <c r="H1240" s="78"/>
      <c r="I1240" s="78"/>
      <c r="J1240" s="5"/>
      <c r="K1240" s="5"/>
      <c r="L1240" s="4"/>
      <c r="M1240" s="4"/>
      <c r="N1240" s="1"/>
      <c r="O1240" s="5"/>
      <c r="P1240" s="3" t="str">
        <f>IF(N1240&lt;&gt;0,VLOOKUP(N1240,[7]GIA!$A$2:$C$200,3,0)," ")</f>
        <v xml:space="preserve"> </v>
      </c>
      <c r="Q1240" s="4" t="str">
        <f t="shared" si="51"/>
        <v xml:space="preserve"> </v>
      </c>
      <c r="R1240" s="47" t="s">
        <v>1763</v>
      </c>
      <c r="S1240" s="13" t="s">
        <v>973</v>
      </c>
      <c r="T1240" s="6">
        <v>25</v>
      </c>
      <c r="U1240" s="80"/>
      <c r="V1240" s="4"/>
      <c r="W1240" s="32"/>
      <c r="X1240" s="18" t="s">
        <v>139</v>
      </c>
      <c r="Y1240" s="20" t="s">
        <v>980</v>
      </c>
      <c r="Z1240" s="20" t="s">
        <v>1012</v>
      </c>
      <c r="AA1240" s="20" t="s">
        <v>269</v>
      </c>
      <c r="AB1240" s="20" t="s">
        <v>139</v>
      </c>
      <c r="AC1240" s="20" t="s">
        <v>1047</v>
      </c>
      <c r="AD1240" s="9"/>
      <c r="AE1240" s="1" t="s">
        <v>1048</v>
      </c>
      <c r="AF1240" s="238" t="s">
        <v>1861</v>
      </c>
      <c r="AG1240" s="1"/>
    </row>
    <row r="1241" spans="1:33" s="81" customFormat="1" ht="38.25" x14ac:dyDescent="0.2">
      <c r="A1241" s="13">
        <f>IF(B1241&lt;&gt;0,B1241,A1240)</f>
        <v>102</v>
      </c>
      <c r="B1241" s="11"/>
      <c r="C1241" s="1" t="s">
        <v>1049</v>
      </c>
      <c r="D1241" s="2"/>
      <c r="E1241" s="2"/>
      <c r="F1241" s="1"/>
      <c r="G1241" s="1"/>
      <c r="H1241" s="78"/>
      <c r="I1241" s="78"/>
      <c r="J1241" s="5"/>
      <c r="K1241" s="5"/>
      <c r="L1241" s="4"/>
      <c r="M1241" s="4"/>
      <c r="N1241" s="1"/>
      <c r="O1241" s="5"/>
      <c r="P1241" s="3" t="str">
        <f>IF(N1241&lt;&gt;0,VLOOKUP(N1241,[7]GIA!$A$2:$C$200,3,0)," ")</f>
        <v xml:space="preserve"> </v>
      </c>
      <c r="Q1241" s="4" t="str">
        <f t="shared" si="51"/>
        <v xml:space="preserve"> </v>
      </c>
      <c r="R1241" s="47" t="s">
        <v>1813</v>
      </c>
      <c r="S1241" s="13" t="s">
        <v>973</v>
      </c>
      <c r="T1241" s="13">
        <v>2.5</v>
      </c>
      <c r="U1241" s="80"/>
      <c r="V1241" s="4"/>
      <c r="W1241" s="32"/>
      <c r="X1241" s="18" t="s">
        <v>139</v>
      </c>
      <c r="Y1241" s="20" t="s">
        <v>980</v>
      </c>
      <c r="Z1241" s="20" t="s">
        <v>1012</v>
      </c>
      <c r="AA1241" s="20" t="s">
        <v>269</v>
      </c>
      <c r="AB1241" s="20" t="s">
        <v>139</v>
      </c>
      <c r="AC1241" s="20" t="s">
        <v>1047</v>
      </c>
      <c r="AD1241" s="9"/>
      <c r="AE1241" s="1" t="s">
        <v>1050</v>
      </c>
      <c r="AF1241" s="1"/>
      <c r="AG1241" s="1"/>
    </row>
    <row r="1242" spans="1:33" s="81" customFormat="1" ht="51" x14ac:dyDescent="0.2">
      <c r="A1242" s="13">
        <f>IF(B1242&lt;&gt;0,B1242,A1241)</f>
        <v>102</v>
      </c>
      <c r="B1242" s="11"/>
      <c r="C1242" s="1" t="s">
        <v>1578</v>
      </c>
      <c r="D1242" s="2"/>
      <c r="E1242" s="2"/>
      <c r="F1242" s="1"/>
      <c r="G1242" s="1"/>
      <c r="H1242" s="78"/>
      <c r="I1242" s="78"/>
      <c r="J1242" s="5" t="str">
        <f>IF(G1242&lt;&gt;0,VLOOKUP(G1242,[7]GIA!$L$2:$O$200,3,0)," ")</f>
        <v xml:space="preserve"> </v>
      </c>
      <c r="K1242" s="5" t="str">
        <f>IF(G1242&lt;&gt;0,VLOOKUP(G1242,[7]GIA!$L$2:$O$200,4,0)," ")</f>
        <v xml:space="preserve"> </v>
      </c>
      <c r="L1242" s="4" t="str">
        <f t="shared" si="49"/>
        <v xml:space="preserve"> </v>
      </c>
      <c r="M1242" s="4" t="str">
        <f t="shared" si="50"/>
        <v xml:space="preserve"> </v>
      </c>
      <c r="N1242" s="1"/>
      <c r="O1242" s="5"/>
      <c r="P1242" s="3" t="str">
        <f>IF(N1242&lt;&gt;0,VLOOKUP(N1242,[7]GIA!$A$2:$C$200,3,0)," ")</f>
        <v xml:space="preserve"> </v>
      </c>
      <c r="Q1242" s="4" t="str">
        <f t="shared" si="51"/>
        <v xml:space="preserve"> </v>
      </c>
      <c r="R1242" s="47" t="s">
        <v>1776</v>
      </c>
      <c r="S1242" s="13" t="s">
        <v>973</v>
      </c>
      <c r="T1242" s="6">
        <v>32.799999999999997</v>
      </c>
      <c r="U1242" s="80"/>
      <c r="V1242" s="4"/>
      <c r="W1242" s="32"/>
      <c r="X1242" s="18"/>
      <c r="Y1242" s="20"/>
      <c r="Z1242" s="20"/>
      <c r="AA1242" s="20"/>
      <c r="AB1242" s="20"/>
      <c r="AC1242" s="20"/>
      <c r="AD1242" s="9"/>
      <c r="AE1242" s="1" t="s">
        <v>1051</v>
      </c>
      <c r="AF1242" s="1"/>
      <c r="AG1242" s="1"/>
    </row>
    <row r="1243" spans="1:33" s="81" customFormat="1" ht="29.25" customHeight="1" x14ac:dyDescent="0.2">
      <c r="A1243" s="13">
        <f>IF(B1243&lt;&gt;0,B1243,A1242)</f>
        <v>102</v>
      </c>
      <c r="B1243" s="11"/>
      <c r="C1243" s="1"/>
      <c r="D1243" s="2"/>
      <c r="E1243" s="2"/>
      <c r="F1243" s="1"/>
      <c r="G1243" s="1"/>
      <c r="H1243" s="78"/>
      <c r="I1243" s="78"/>
      <c r="J1243" s="5" t="str">
        <f>IF(G1243&lt;&gt;0,VLOOKUP(G1243,[7]GIA!$L$2:$O$200,3,0)," ")</f>
        <v xml:space="preserve"> </v>
      </c>
      <c r="K1243" s="5" t="str">
        <f>IF(G1243&lt;&gt;0,VLOOKUP(G1243,[7]GIA!$L$2:$O$200,4,0)," ")</f>
        <v xml:space="preserve"> </v>
      </c>
      <c r="L1243" s="4" t="str">
        <f t="shared" si="49"/>
        <v xml:space="preserve"> </v>
      </c>
      <c r="M1243" s="4" t="str">
        <f t="shared" si="50"/>
        <v xml:space="preserve"> </v>
      </c>
      <c r="N1243" s="1"/>
      <c r="O1243" s="5"/>
      <c r="P1243" s="3" t="str">
        <f>IF(N1243&lt;&gt;0,VLOOKUP(N1243,[7]GIA!$A$2:$C$200,3,0)," ")</f>
        <v xml:space="preserve"> </v>
      </c>
      <c r="Q1243" s="4" t="str">
        <f t="shared" si="51"/>
        <v xml:space="preserve"> </v>
      </c>
      <c r="R1243" s="47" t="s">
        <v>1777</v>
      </c>
      <c r="S1243" s="13" t="s">
        <v>973</v>
      </c>
      <c r="T1243" s="6">
        <v>41.6</v>
      </c>
      <c r="U1243" s="80"/>
      <c r="V1243" s="4"/>
      <c r="W1243" s="32"/>
      <c r="X1243" s="18"/>
      <c r="Y1243" s="20"/>
      <c r="Z1243" s="20"/>
      <c r="AA1243" s="20"/>
      <c r="AB1243" s="20"/>
      <c r="AC1243" s="20"/>
      <c r="AD1243" s="9"/>
      <c r="AE1243" s="1" t="s">
        <v>250</v>
      </c>
      <c r="AF1243" s="1"/>
      <c r="AG1243" s="1"/>
    </row>
    <row r="1244" spans="1:33" s="81" customFormat="1" ht="29.25" customHeight="1" x14ac:dyDescent="0.2">
      <c r="A1244" s="13">
        <f>IF(B1244&lt;&gt;0,B1244,A1243)</f>
        <v>102</v>
      </c>
      <c r="B1244" s="11"/>
      <c r="C1244" s="1"/>
      <c r="D1244" s="2"/>
      <c r="E1244" s="2"/>
      <c r="F1244" s="1"/>
      <c r="G1244" s="1"/>
      <c r="H1244" s="78"/>
      <c r="I1244" s="78"/>
      <c r="J1244" s="5" t="str">
        <f>IF(G1244&lt;&gt;0,VLOOKUP(G1244,[7]GIA!$L$2:$O$200,3,0)," ")</f>
        <v xml:space="preserve"> </v>
      </c>
      <c r="K1244" s="5" t="str">
        <f>IF(G1244&lt;&gt;0,VLOOKUP(G1244,[7]GIA!$L$2:$O$200,4,0)," ")</f>
        <v xml:space="preserve"> </v>
      </c>
      <c r="L1244" s="4" t="str">
        <f t="shared" si="49"/>
        <v xml:space="preserve"> </v>
      </c>
      <c r="M1244" s="4" t="str">
        <f t="shared" si="50"/>
        <v xml:space="preserve"> </v>
      </c>
      <c r="N1244" s="1"/>
      <c r="O1244" s="5"/>
      <c r="P1244" s="3" t="str">
        <f>IF(N1244&lt;&gt;0,VLOOKUP(N1244,[7]GIA!$A$2:$C$200,3,0)," ")</f>
        <v xml:space="preserve"> </v>
      </c>
      <c r="Q1244" s="4" t="str">
        <f t="shared" si="51"/>
        <v xml:space="preserve"> </v>
      </c>
      <c r="R1244" s="47" t="s">
        <v>1814</v>
      </c>
      <c r="S1244" s="13" t="s">
        <v>973</v>
      </c>
      <c r="T1244" s="6">
        <v>4.96</v>
      </c>
      <c r="U1244" s="80"/>
      <c r="V1244" s="4"/>
      <c r="W1244" s="32"/>
      <c r="X1244" s="18" t="s">
        <v>139</v>
      </c>
      <c r="Y1244" s="20" t="s">
        <v>980</v>
      </c>
      <c r="Z1244" s="20" t="s">
        <v>1012</v>
      </c>
      <c r="AA1244" s="20" t="s">
        <v>269</v>
      </c>
      <c r="AB1244" s="20" t="s">
        <v>139</v>
      </c>
      <c r="AC1244" s="20" t="s">
        <v>1047</v>
      </c>
      <c r="AD1244" s="9"/>
      <c r="AE1244" s="2" t="s">
        <v>809</v>
      </c>
      <c r="AF1244" s="2"/>
      <c r="AG1244" s="2"/>
    </row>
    <row r="1245" spans="1:33" s="81" customFormat="1" ht="29.25" customHeight="1" x14ac:dyDescent="0.2">
      <c r="A1245" s="13">
        <f>IF(B1245&lt;&gt;0,B1245,A1244)</f>
        <v>102</v>
      </c>
      <c r="B1245" s="11"/>
      <c r="C1245" s="1"/>
      <c r="D1245" s="2"/>
      <c r="E1245" s="2"/>
      <c r="F1245" s="1"/>
      <c r="G1245" s="1"/>
      <c r="H1245" s="78"/>
      <c r="I1245" s="78"/>
      <c r="J1245" s="5" t="str">
        <f>IF(G1245&lt;&gt;0,VLOOKUP(G1245,[7]GIA!$L$2:$O$200,3,0)," ")</f>
        <v xml:space="preserve"> </v>
      </c>
      <c r="K1245" s="5" t="str">
        <f>IF(G1245&lt;&gt;0,VLOOKUP(G1245,[7]GIA!$L$2:$O$200,4,0)," ")</f>
        <v xml:space="preserve"> </v>
      </c>
      <c r="L1245" s="4" t="str">
        <f t="shared" si="49"/>
        <v xml:space="preserve"> </v>
      </c>
      <c r="M1245" s="4" t="str">
        <f t="shared" si="50"/>
        <v xml:space="preserve"> </v>
      </c>
      <c r="N1245" s="1"/>
      <c r="O1245" s="5"/>
      <c r="P1245" s="3" t="str">
        <f>IF(N1245&lt;&gt;0,VLOOKUP(N1245,[7]GIA!$A$2:$C$200,3,0)," ")</f>
        <v xml:space="preserve"> </v>
      </c>
      <c r="Q1245" s="4" t="str">
        <f t="shared" si="51"/>
        <v xml:space="preserve"> </v>
      </c>
      <c r="R1245" s="47" t="s">
        <v>1762</v>
      </c>
      <c r="S1245" s="13" t="s">
        <v>973</v>
      </c>
      <c r="T1245" s="6">
        <v>12</v>
      </c>
      <c r="U1245" s="80"/>
      <c r="V1245" s="4"/>
      <c r="W1245" s="32"/>
      <c r="X1245" s="18"/>
      <c r="Y1245" s="20" t="s">
        <v>980</v>
      </c>
      <c r="Z1245" s="20" t="s">
        <v>1005</v>
      </c>
      <c r="AA1245" s="20"/>
      <c r="AB1245" s="20" t="s">
        <v>267</v>
      </c>
      <c r="AC1245" s="20"/>
      <c r="AD1245" s="9"/>
      <c r="AE1245" s="2"/>
      <c r="AF1245" s="2"/>
      <c r="AG1245" s="2"/>
    </row>
    <row r="1246" spans="1:33" s="81" customFormat="1" ht="12.75" x14ac:dyDescent="0.2">
      <c r="A1246" s="13"/>
      <c r="B1246" s="11"/>
      <c r="C1246" s="1"/>
      <c r="D1246" s="2"/>
      <c r="E1246" s="2"/>
      <c r="F1246" s="1"/>
      <c r="G1246" s="1"/>
      <c r="H1246" s="78"/>
      <c r="I1246" s="78"/>
      <c r="J1246" s="5"/>
      <c r="K1246" s="5"/>
      <c r="L1246" s="4"/>
      <c r="M1246" s="4"/>
      <c r="N1246" s="1"/>
      <c r="O1246" s="5"/>
      <c r="P1246" s="3"/>
      <c r="Q1246" s="4"/>
      <c r="R1246" s="47"/>
      <c r="S1246" s="13"/>
      <c r="T1246" s="6"/>
      <c r="U1246" s="80"/>
      <c r="V1246" s="4"/>
      <c r="W1246" s="32"/>
      <c r="X1246" s="18"/>
      <c r="Y1246" s="20"/>
      <c r="Z1246" s="20"/>
      <c r="AA1246" s="20"/>
      <c r="AB1246" s="20"/>
      <c r="AC1246" s="20"/>
      <c r="AD1246" s="9"/>
      <c r="AE1246" s="2"/>
      <c r="AF1246" s="2"/>
      <c r="AG1246" s="2"/>
    </row>
    <row r="1247" spans="1:33" s="81" customFormat="1" ht="12.75" x14ac:dyDescent="0.2">
      <c r="A1247" s="13"/>
      <c r="B1247" s="11"/>
      <c r="C1247" s="1"/>
      <c r="D1247" s="2"/>
      <c r="E1247" s="2"/>
      <c r="F1247" s="1"/>
      <c r="G1247" s="1"/>
      <c r="H1247" s="78"/>
      <c r="I1247" s="78"/>
      <c r="J1247" s="5"/>
      <c r="K1247" s="5"/>
      <c r="L1247" s="4"/>
      <c r="M1247" s="4"/>
      <c r="N1247" s="1"/>
      <c r="O1247" s="5"/>
      <c r="P1247" s="3"/>
      <c r="Q1247" s="4"/>
      <c r="R1247" s="47"/>
      <c r="S1247" s="13"/>
      <c r="T1247" s="6"/>
      <c r="U1247" s="80"/>
      <c r="V1247" s="4"/>
      <c r="W1247" s="32"/>
      <c r="X1247" s="18"/>
      <c r="Y1247" s="20"/>
      <c r="Z1247" s="20"/>
      <c r="AA1247" s="20"/>
      <c r="AB1247" s="20"/>
      <c r="AC1247" s="20"/>
      <c r="AD1247" s="9"/>
      <c r="AE1247" s="2"/>
      <c r="AF1247" s="2"/>
      <c r="AG1247" s="2"/>
    </row>
    <row r="1248" spans="1:33" s="81" customFormat="1" ht="15" customHeight="1" x14ac:dyDescent="0.2">
      <c r="A1248" s="13">
        <f>IF(B1248&lt;&gt;0,B1248,A1245)</f>
        <v>102</v>
      </c>
      <c r="B1248" s="11"/>
      <c r="C1248" s="1"/>
      <c r="D1248" s="2"/>
      <c r="E1248" s="2"/>
      <c r="F1248" s="1"/>
      <c r="G1248" s="1"/>
      <c r="H1248" s="78"/>
      <c r="I1248" s="78"/>
      <c r="J1248" s="5" t="str">
        <f>IF(G1248&lt;&gt;0,VLOOKUP(G1248,[7]GIA!$L$2:$O$200,3,0)," ")</f>
        <v xml:space="preserve"> </v>
      </c>
      <c r="K1248" s="5" t="str">
        <f>IF(G1248&lt;&gt;0,VLOOKUP(G1248,[7]GIA!$L$2:$O$200,4,0)," ")</f>
        <v xml:space="preserve"> </v>
      </c>
      <c r="L1248" s="4" t="str">
        <f t="shared" si="49"/>
        <v xml:space="preserve"> </v>
      </c>
      <c r="M1248" s="4" t="str">
        <f t="shared" si="50"/>
        <v xml:space="preserve"> </v>
      </c>
      <c r="N1248" s="1"/>
      <c r="O1248" s="5"/>
      <c r="P1248" s="3" t="str">
        <f>IF(N1248&lt;&gt;0,VLOOKUP(N1248,[7]GIA!$A$2:$C$200,3,0)," ")</f>
        <v xml:space="preserve"> </v>
      </c>
      <c r="Q1248" s="4" t="str">
        <f t="shared" si="51"/>
        <v xml:space="preserve"> </v>
      </c>
      <c r="R1248" s="47"/>
      <c r="S1248" s="13"/>
      <c r="T1248" s="6"/>
      <c r="U1248" s="80"/>
      <c r="V1248" s="4" t="str">
        <f>IF(R1248&lt;&gt;0,VLOOKUP(R1248,[7]GIA!$F$2:$H$200,3,0)," ")</f>
        <v xml:space="preserve"> </v>
      </c>
      <c r="W1248" s="32" t="str">
        <f>IF(R1248&lt;&gt;0,ROUND(T1248*V1248,-2)," ")</f>
        <v xml:space="preserve"> </v>
      </c>
      <c r="X1248" s="18"/>
      <c r="Y1248" s="20"/>
      <c r="Z1248" s="20"/>
      <c r="AA1248" s="20"/>
      <c r="AB1248" s="20"/>
      <c r="AC1248" s="20"/>
      <c r="AD1248" s="9"/>
      <c r="AE1248" s="2"/>
      <c r="AF1248" s="2"/>
      <c r="AG1248" s="2"/>
    </row>
    <row r="1249" spans="1:33" s="81" customFormat="1" ht="84.75" customHeight="1" x14ac:dyDescent="0.2">
      <c r="A1249" s="13">
        <f t="shared" ref="A1249:A1257" si="53">IF(B1249&lt;&gt;0,B1249,A1248)</f>
        <v>103</v>
      </c>
      <c r="B1249" s="240">
        <v>103</v>
      </c>
      <c r="C1249" s="263" t="s">
        <v>1052</v>
      </c>
      <c r="D1249" s="2"/>
      <c r="E1249" s="2"/>
      <c r="F1249" s="1"/>
      <c r="G1249" s="1"/>
      <c r="H1249" s="78"/>
      <c r="I1249" s="78"/>
      <c r="J1249" s="5"/>
      <c r="K1249" s="5"/>
      <c r="L1249" s="4"/>
      <c r="M1249" s="4"/>
      <c r="N1249" s="1"/>
      <c r="O1249" s="5"/>
      <c r="P1249" s="3" t="str">
        <f>IF(N1249&lt;&gt;0,VLOOKUP(N1249,[7]GIA!$A$2:$C$200,3,0)," ")</f>
        <v xml:space="preserve"> </v>
      </c>
      <c r="Q1249" s="4" t="str">
        <f t="shared" si="51"/>
        <v xml:space="preserve"> </v>
      </c>
      <c r="R1249" s="47" t="s">
        <v>1767</v>
      </c>
      <c r="S1249" s="13" t="s">
        <v>973</v>
      </c>
      <c r="T1249" s="6">
        <v>3.36</v>
      </c>
      <c r="U1249" s="80"/>
      <c r="V1249" s="4"/>
      <c r="W1249" s="32"/>
      <c r="X1249" s="18"/>
      <c r="Y1249" s="20"/>
      <c r="Z1249" s="20"/>
      <c r="AA1249" s="20"/>
      <c r="AB1249" s="20"/>
      <c r="AC1249" s="20"/>
      <c r="AD1249" s="9"/>
      <c r="AE1249" s="1" t="s">
        <v>1053</v>
      </c>
      <c r="AF1249" s="238" t="s">
        <v>1861</v>
      </c>
      <c r="AG1249" s="1"/>
    </row>
    <row r="1250" spans="1:33" s="81" customFormat="1" ht="46.5" customHeight="1" x14ac:dyDescent="0.2">
      <c r="A1250" s="13">
        <f t="shared" si="53"/>
        <v>103</v>
      </c>
      <c r="B1250" s="11"/>
      <c r="C1250" s="1" t="s">
        <v>1054</v>
      </c>
      <c r="D1250" s="2"/>
      <c r="E1250" s="2"/>
      <c r="F1250" s="1"/>
      <c r="G1250" s="1"/>
      <c r="H1250" s="78"/>
      <c r="I1250" s="78"/>
      <c r="J1250" s="5"/>
      <c r="K1250" s="5"/>
      <c r="L1250" s="4"/>
      <c r="M1250" s="4"/>
      <c r="N1250" s="1"/>
      <c r="O1250" s="5"/>
      <c r="P1250" s="3" t="str">
        <f>IF(N1250&lt;&gt;0,VLOOKUP(N1250,[7]GIA!$A$2:$C$200,3,0)," ")</f>
        <v xml:space="preserve"> </v>
      </c>
      <c r="Q1250" s="4" t="str">
        <f t="shared" si="51"/>
        <v xml:space="preserve"> </v>
      </c>
      <c r="R1250" s="47" t="s">
        <v>1768</v>
      </c>
      <c r="S1250" s="13" t="s">
        <v>973</v>
      </c>
      <c r="T1250" s="6">
        <v>3.36</v>
      </c>
      <c r="U1250" s="80"/>
      <c r="V1250" s="4"/>
      <c r="W1250" s="32"/>
      <c r="X1250" s="18"/>
      <c r="Y1250" s="20"/>
      <c r="Z1250" s="20"/>
      <c r="AA1250" s="20"/>
      <c r="AB1250" s="20"/>
      <c r="AC1250" s="20"/>
      <c r="AD1250" s="9"/>
      <c r="AE1250" s="1" t="s">
        <v>1050</v>
      </c>
      <c r="AF1250" s="1"/>
      <c r="AG1250" s="1"/>
    </row>
    <row r="1251" spans="1:33" s="81" customFormat="1" ht="38.25" x14ac:dyDescent="0.2">
      <c r="A1251" s="13">
        <f t="shared" si="53"/>
        <v>103</v>
      </c>
      <c r="B1251" s="11"/>
      <c r="C1251" s="1" t="s">
        <v>1579</v>
      </c>
      <c r="D1251" s="2"/>
      <c r="E1251" s="2"/>
      <c r="F1251" s="1"/>
      <c r="G1251" s="1"/>
      <c r="H1251" s="78"/>
      <c r="I1251" s="78"/>
      <c r="J1251" s="5" t="str">
        <f>IF(G1251&lt;&gt;0,VLOOKUP(G1251,[7]GIA!$L$2:$O$200,3,0)," ")</f>
        <v xml:space="preserve"> </v>
      </c>
      <c r="K1251" s="5" t="str">
        <f>IF(G1251&lt;&gt;0,VLOOKUP(G1251,[7]GIA!$L$2:$O$200,4,0)," ")</f>
        <v xml:space="preserve"> </v>
      </c>
      <c r="L1251" s="4" t="str">
        <f t="shared" si="49"/>
        <v xml:space="preserve"> </v>
      </c>
      <c r="M1251" s="4" t="str">
        <f t="shared" si="50"/>
        <v xml:space="preserve"> </v>
      </c>
      <c r="N1251" s="1"/>
      <c r="O1251" s="5"/>
      <c r="P1251" s="3" t="str">
        <f>IF(N1251&lt;&gt;0,VLOOKUP(N1251,[7]GIA!$A$2:$C$200,3,0)," ")</f>
        <v xml:space="preserve"> </v>
      </c>
      <c r="Q1251" s="4" t="str">
        <f t="shared" si="51"/>
        <v xml:space="preserve"> </v>
      </c>
      <c r="R1251" s="47" t="s">
        <v>1762</v>
      </c>
      <c r="S1251" s="13" t="s">
        <v>973</v>
      </c>
      <c r="T1251" s="6">
        <v>12.5</v>
      </c>
      <c r="U1251" s="80"/>
      <c r="V1251" s="4"/>
      <c r="W1251" s="32"/>
      <c r="X1251" s="18"/>
      <c r="Y1251" s="20" t="s">
        <v>980</v>
      </c>
      <c r="Z1251" s="20" t="s">
        <v>1005</v>
      </c>
      <c r="AA1251" s="20"/>
      <c r="AB1251" s="20" t="s">
        <v>267</v>
      </c>
      <c r="AC1251" s="20"/>
      <c r="AD1251" s="9"/>
      <c r="AE1251" s="1" t="s">
        <v>1051</v>
      </c>
      <c r="AF1251" s="1"/>
      <c r="AG1251" s="1"/>
    </row>
    <row r="1252" spans="1:33" s="81" customFormat="1" ht="24" customHeight="1" x14ac:dyDescent="0.2">
      <c r="A1252" s="13">
        <f t="shared" si="53"/>
        <v>103</v>
      </c>
      <c r="B1252" s="11"/>
      <c r="C1252" s="1"/>
      <c r="D1252" s="2"/>
      <c r="E1252" s="2"/>
      <c r="F1252" s="1"/>
      <c r="G1252" s="1"/>
      <c r="H1252" s="78"/>
      <c r="I1252" s="78"/>
      <c r="J1252" s="5" t="str">
        <f>IF(G1252&lt;&gt;0,VLOOKUP(G1252,[7]GIA!$L$2:$O$200,3,0)," ")</f>
        <v xml:space="preserve"> </v>
      </c>
      <c r="K1252" s="5" t="str">
        <f>IF(G1252&lt;&gt;0,VLOOKUP(G1252,[7]GIA!$L$2:$O$200,4,0)," ")</f>
        <v xml:space="preserve"> </v>
      </c>
      <c r="L1252" s="4" t="str">
        <f t="shared" si="49"/>
        <v xml:space="preserve"> </v>
      </c>
      <c r="M1252" s="4" t="str">
        <f t="shared" si="50"/>
        <v xml:space="preserve"> </v>
      </c>
      <c r="N1252" s="1"/>
      <c r="O1252" s="5"/>
      <c r="P1252" s="3" t="str">
        <f>IF(N1252&lt;&gt;0,VLOOKUP(N1252,[7]GIA!$A$2:$C$200,3,0)," ")</f>
        <v xml:space="preserve"> </v>
      </c>
      <c r="Q1252" s="4" t="str">
        <f t="shared" si="51"/>
        <v xml:space="preserve"> </v>
      </c>
      <c r="R1252" s="47" t="s">
        <v>1763</v>
      </c>
      <c r="S1252" s="13" t="s">
        <v>973</v>
      </c>
      <c r="T1252" s="6">
        <v>26.6</v>
      </c>
      <c r="U1252" s="80"/>
      <c r="V1252" s="4"/>
      <c r="W1252" s="32"/>
      <c r="X1252" s="18" t="s">
        <v>139</v>
      </c>
      <c r="Y1252" s="20" t="s">
        <v>980</v>
      </c>
      <c r="Z1252" s="20" t="s">
        <v>1012</v>
      </c>
      <c r="AA1252" s="20" t="s">
        <v>269</v>
      </c>
      <c r="AB1252" s="20" t="s">
        <v>139</v>
      </c>
      <c r="AC1252" s="20"/>
      <c r="AD1252" s="9"/>
      <c r="AE1252" s="1" t="s">
        <v>250</v>
      </c>
      <c r="AF1252" s="1"/>
      <c r="AG1252" s="1"/>
    </row>
    <row r="1253" spans="1:33" s="81" customFormat="1" ht="24" customHeight="1" x14ac:dyDescent="0.2">
      <c r="A1253" s="13">
        <f t="shared" si="53"/>
        <v>103</v>
      </c>
      <c r="B1253" s="11"/>
      <c r="C1253" s="1"/>
      <c r="D1253" s="2"/>
      <c r="E1253" s="2"/>
      <c r="F1253" s="1"/>
      <c r="G1253" s="1"/>
      <c r="H1253" s="78"/>
      <c r="I1253" s="78"/>
      <c r="J1253" s="5" t="str">
        <f>IF(G1253&lt;&gt;0,VLOOKUP(G1253,[7]GIA!$L$2:$O$200,3,0)," ")</f>
        <v xml:space="preserve"> </v>
      </c>
      <c r="K1253" s="5" t="str">
        <f>IF(G1253&lt;&gt;0,VLOOKUP(G1253,[7]GIA!$L$2:$O$200,4,0)," ")</f>
        <v xml:space="preserve"> </v>
      </c>
      <c r="L1253" s="4" t="str">
        <f t="shared" si="49"/>
        <v xml:space="preserve"> </v>
      </c>
      <c r="M1253" s="4" t="str">
        <f t="shared" si="50"/>
        <v xml:space="preserve"> </v>
      </c>
      <c r="N1253" s="1"/>
      <c r="O1253" s="5"/>
      <c r="P1253" s="3" t="str">
        <f>IF(N1253&lt;&gt;0,VLOOKUP(N1253,[7]GIA!$A$2:$C$200,3,0)," ")</f>
        <v xml:space="preserve"> </v>
      </c>
      <c r="Q1253" s="4" t="str">
        <f t="shared" si="51"/>
        <v xml:space="preserve"> </v>
      </c>
      <c r="R1253" s="47" t="s">
        <v>1767</v>
      </c>
      <c r="S1253" s="13" t="s">
        <v>973</v>
      </c>
      <c r="T1253" s="6">
        <v>10.4</v>
      </c>
      <c r="U1253" s="80"/>
      <c r="V1253" s="4"/>
      <c r="W1253" s="32"/>
      <c r="X1253" s="18"/>
      <c r="Y1253" s="20"/>
      <c r="Z1253" s="20"/>
      <c r="AA1253" s="20"/>
      <c r="AB1253" s="20"/>
      <c r="AC1253" s="20"/>
      <c r="AD1253" s="9"/>
      <c r="AE1253" s="2" t="s">
        <v>809</v>
      </c>
      <c r="AF1253" s="2"/>
      <c r="AG1253" s="2"/>
    </row>
    <row r="1254" spans="1:33" s="81" customFormat="1" ht="28.5" customHeight="1" x14ac:dyDescent="0.2">
      <c r="A1254" s="13">
        <f t="shared" si="53"/>
        <v>103</v>
      </c>
      <c r="B1254" s="11"/>
      <c r="C1254" s="1"/>
      <c r="D1254" s="2"/>
      <c r="E1254" s="2"/>
      <c r="F1254" s="1"/>
      <c r="G1254" s="1"/>
      <c r="H1254" s="78"/>
      <c r="I1254" s="78"/>
      <c r="J1254" s="5" t="str">
        <f>IF(G1254&lt;&gt;0,VLOOKUP(G1254,[7]GIA!$L$2:$O$200,3,0)," ")</f>
        <v xml:space="preserve"> </v>
      </c>
      <c r="K1254" s="5" t="str">
        <f>IF(G1254&lt;&gt;0,VLOOKUP(G1254,[7]GIA!$L$2:$O$200,4,0)," ")</f>
        <v xml:space="preserve"> </v>
      </c>
      <c r="L1254" s="4" t="str">
        <f t="shared" si="49"/>
        <v xml:space="preserve"> </v>
      </c>
      <c r="M1254" s="4" t="str">
        <f t="shared" si="50"/>
        <v xml:space="preserve"> </v>
      </c>
      <c r="N1254" s="1"/>
      <c r="O1254" s="5"/>
      <c r="P1254" s="3" t="str">
        <f>IF(N1254&lt;&gt;0,VLOOKUP(N1254,[7]GIA!$A$2:$C$200,3,0)," ")</f>
        <v xml:space="preserve"> </v>
      </c>
      <c r="Q1254" s="4" t="str">
        <f t="shared" si="51"/>
        <v xml:space="preserve"> </v>
      </c>
      <c r="R1254" s="47" t="s">
        <v>1768</v>
      </c>
      <c r="S1254" s="13" t="s">
        <v>973</v>
      </c>
      <c r="T1254" s="6">
        <v>10.4</v>
      </c>
      <c r="U1254" s="80"/>
      <c r="V1254" s="4"/>
      <c r="W1254" s="32"/>
      <c r="X1254" s="18"/>
      <c r="Y1254" s="20"/>
      <c r="Z1254" s="20"/>
      <c r="AA1254" s="20"/>
      <c r="AB1254" s="20"/>
      <c r="AC1254" s="20"/>
      <c r="AD1254" s="9"/>
      <c r="AE1254" s="1"/>
      <c r="AF1254" s="1"/>
      <c r="AG1254" s="1"/>
    </row>
    <row r="1255" spans="1:33" s="81" customFormat="1" ht="27" customHeight="1" x14ac:dyDescent="0.2">
      <c r="A1255" s="13">
        <f t="shared" si="53"/>
        <v>103</v>
      </c>
      <c r="B1255" s="11"/>
      <c r="C1255" s="1"/>
      <c r="D1255" s="2"/>
      <c r="E1255" s="2"/>
      <c r="F1255" s="1"/>
      <c r="G1255" s="1"/>
      <c r="H1255" s="78"/>
      <c r="I1255" s="78"/>
      <c r="J1255" s="5" t="str">
        <f>IF(G1255&lt;&gt;0,VLOOKUP(G1255,[7]GIA!$L$2:$O$200,3,0)," ")</f>
        <v xml:space="preserve"> </v>
      </c>
      <c r="K1255" s="5" t="str">
        <f>IF(G1255&lt;&gt;0,VLOOKUP(G1255,[7]GIA!$L$2:$O$200,4,0)," ")</f>
        <v xml:space="preserve"> </v>
      </c>
      <c r="L1255" s="4" t="str">
        <f t="shared" si="49"/>
        <v xml:space="preserve"> </v>
      </c>
      <c r="M1255" s="4" t="str">
        <f t="shared" si="50"/>
        <v xml:space="preserve"> </v>
      </c>
      <c r="N1255" s="1"/>
      <c r="O1255" s="5"/>
      <c r="P1255" s="3" t="str">
        <f>IF(N1255&lt;&gt;0,VLOOKUP(N1255,[7]GIA!$A$2:$C$200,3,0)," ")</f>
        <v xml:space="preserve"> </v>
      </c>
      <c r="Q1255" s="4" t="str">
        <f t="shared" si="51"/>
        <v xml:space="preserve"> </v>
      </c>
      <c r="R1255" s="47" t="s">
        <v>1770</v>
      </c>
      <c r="S1255" s="13" t="s">
        <v>1025</v>
      </c>
      <c r="T1255" s="6">
        <v>0.22</v>
      </c>
      <c r="U1255" s="80"/>
      <c r="V1255" s="4"/>
      <c r="W1255" s="32"/>
      <c r="X1255" s="18"/>
      <c r="Y1255" s="20"/>
      <c r="Z1255" s="20"/>
      <c r="AA1255" s="20"/>
      <c r="AB1255" s="20"/>
      <c r="AC1255" s="20"/>
      <c r="AD1255" s="9"/>
      <c r="AE1255" s="1"/>
      <c r="AF1255" s="1"/>
      <c r="AG1255" s="1"/>
    </row>
    <row r="1256" spans="1:33" s="81" customFormat="1" ht="27" customHeight="1" x14ac:dyDescent="0.2">
      <c r="A1256" s="13">
        <f t="shared" si="53"/>
        <v>103</v>
      </c>
      <c r="B1256" s="11"/>
      <c r="C1256" s="1"/>
      <c r="D1256" s="2"/>
      <c r="E1256" s="2"/>
      <c r="F1256" s="1"/>
      <c r="G1256" s="1"/>
      <c r="H1256" s="78"/>
      <c r="I1256" s="78"/>
      <c r="J1256" s="5" t="str">
        <f>IF(G1256&lt;&gt;0,VLOOKUP(G1256,[7]GIA!$L$2:$O$200,3,0)," ")</f>
        <v xml:space="preserve"> </v>
      </c>
      <c r="K1256" s="5" t="str">
        <f>IF(G1256&lt;&gt;0,VLOOKUP(G1256,[7]GIA!$L$2:$O$200,4,0)," ")</f>
        <v xml:space="preserve"> </v>
      </c>
      <c r="L1256" s="4" t="str">
        <f t="shared" si="49"/>
        <v xml:space="preserve"> </v>
      </c>
      <c r="M1256" s="4" t="str">
        <f t="shared" si="50"/>
        <v xml:space="preserve"> </v>
      </c>
      <c r="N1256" s="1"/>
      <c r="O1256" s="5"/>
      <c r="P1256" s="3" t="str">
        <f>IF(N1256&lt;&gt;0,VLOOKUP(N1256,[7]GIA!$A$2:$C$200,3,0)," ")</f>
        <v xml:space="preserve"> </v>
      </c>
      <c r="Q1256" s="4" t="str">
        <f t="shared" si="51"/>
        <v xml:space="preserve"> </v>
      </c>
      <c r="R1256" s="47" t="s">
        <v>1816</v>
      </c>
      <c r="S1256" s="13" t="s">
        <v>1025</v>
      </c>
      <c r="T1256" s="6">
        <v>0.06</v>
      </c>
      <c r="U1256" s="80"/>
      <c r="V1256" s="4"/>
      <c r="W1256" s="32"/>
      <c r="X1256" s="18"/>
      <c r="Y1256" s="20"/>
      <c r="Z1256" s="20"/>
      <c r="AA1256" s="20"/>
      <c r="AB1256" s="20"/>
      <c r="AC1256" s="20"/>
      <c r="AD1256" s="9"/>
      <c r="AE1256" s="1"/>
      <c r="AF1256" s="1"/>
      <c r="AG1256" s="1"/>
    </row>
    <row r="1257" spans="1:33" s="81" customFormat="1" ht="27" customHeight="1" x14ac:dyDescent="0.2">
      <c r="A1257" s="13">
        <f t="shared" si="53"/>
        <v>103</v>
      </c>
      <c r="B1257" s="11"/>
      <c r="C1257" s="1"/>
      <c r="D1257" s="2"/>
      <c r="E1257" s="2"/>
      <c r="F1257" s="1"/>
      <c r="G1257" s="1"/>
      <c r="H1257" s="78"/>
      <c r="I1257" s="78"/>
      <c r="J1257" s="5" t="str">
        <f>IF(G1257&lt;&gt;0,VLOOKUP(G1257,[7]GIA!$L$2:$O$200,3,0)," ")</f>
        <v xml:space="preserve"> </v>
      </c>
      <c r="K1257" s="5" t="str">
        <f>IF(G1257&lt;&gt;0,VLOOKUP(G1257,[7]GIA!$L$2:$O$200,4,0)," ")</f>
        <v xml:space="preserve"> </v>
      </c>
      <c r="L1257" s="4" t="str">
        <f t="shared" si="49"/>
        <v xml:space="preserve"> </v>
      </c>
      <c r="M1257" s="4" t="str">
        <f t="shared" si="50"/>
        <v xml:space="preserve"> </v>
      </c>
      <c r="N1257" s="1"/>
      <c r="O1257" s="5"/>
      <c r="P1257" s="3" t="str">
        <f>IF(N1257&lt;&gt;0,VLOOKUP(N1257,[7]GIA!$A$2:$C$200,3,0)," ")</f>
        <v xml:space="preserve"> </v>
      </c>
      <c r="Q1257" s="4" t="str">
        <f t="shared" si="51"/>
        <v xml:space="preserve"> </v>
      </c>
      <c r="R1257" s="47" t="s">
        <v>1817</v>
      </c>
      <c r="S1257" s="13" t="s">
        <v>973</v>
      </c>
      <c r="T1257" s="6">
        <v>0.81</v>
      </c>
      <c r="U1257" s="80"/>
      <c r="V1257" s="4"/>
      <c r="W1257" s="32"/>
      <c r="X1257" s="18"/>
      <c r="Y1257" s="20"/>
      <c r="Z1257" s="20"/>
      <c r="AA1257" s="20"/>
      <c r="AB1257" s="20"/>
      <c r="AC1257" s="20"/>
      <c r="AD1257" s="9"/>
      <c r="AE1257" s="1"/>
      <c r="AF1257" s="1"/>
      <c r="AG1257" s="1"/>
    </row>
    <row r="1258" spans="1:33" s="81" customFormat="1" ht="27" customHeight="1" x14ac:dyDescent="0.2">
      <c r="A1258" s="13"/>
      <c r="B1258" s="11"/>
      <c r="C1258" s="1"/>
      <c r="D1258" s="2"/>
      <c r="E1258" s="2"/>
      <c r="F1258" s="1"/>
      <c r="G1258" s="1"/>
      <c r="H1258" s="78"/>
      <c r="I1258" s="78"/>
      <c r="J1258" s="5"/>
      <c r="K1258" s="5"/>
      <c r="L1258" s="4"/>
      <c r="M1258" s="4"/>
      <c r="N1258" s="1"/>
      <c r="O1258" s="5"/>
      <c r="P1258" s="3"/>
      <c r="Q1258" s="4"/>
      <c r="R1258" s="184" t="s">
        <v>1818</v>
      </c>
      <c r="S1258" s="13" t="s">
        <v>973</v>
      </c>
      <c r="T1258" s="6">
        <v>4</v>
      </c>
      <c r="U1258" s="80"/>
      <c r="V1258" s="4"/>
      <c r="W1258" s="32"/>
      <c r="X1258" s="18"/>
      <c r="Y1258" s="20"/>
      <c r="Z1258" s="20"/>
      <c r="AA1258" s="20"/>
      <c r="AB1258" s="20"/>
      <c r="AC1258" s="20"/>
      <c r="AD1258" s="9"/>
      <c r="AE1258" s="1"/>
      <c r="AF1258" s="1"/>
      <c r="AG1258" s="1"/>
    </row>
    <row r="1259" spans="1:33" s="81" customFormat="1" x14ac:dyDescent="0.2">
      <c r="A1259" s="13"/>
      <c r="B1259" s="11"/>
      <c r="C1259" s="1"/>
      <c r="D1259" s="2"/>
      <c r="E1259" s="2"/>
      <c r="F1259" s="1"/>
      <c r="G1259" s="1"/>
      <c r="H1259" s="78"/>
      <c r="I1259" s="78"/>
      <c r="J1259" s="5"/>
      <c r="K1259" s="5"/>
      <c r="L1259" s="4"/>
      <c r="M1259" s="4"/>
      <c r="N1259" s="1"/>
      <c r="O1259" s="5"/>
      <c r="P1259" s="3"/>
      <c r="Q1259" s="4"/>
      <c r="R1259" s="184"/>
      <c r="S1259" s="13"/>
      <c r="T1259" s="6"/>
      <c r="U1259" s="80"/>
      <c r="V1259" s="4"/>
      <c r="W1259" s="32"/>
      <c r="X1259" s="18"/>
      <c r="Y1259" s="20"/>
      <c r="Z1259" s="20"/>
      <c r="AA1259" s="20"/>
      <c r="AB1259" s="20"/>
      <c r="AC1259" s="20"/>
      <c r="AD1259" s="9"/>
      <c r="AE1259" s="1"/>
      <c r="AF1259" s="1"/>
      <c r="AG1259" s="1"/>
    </row>
    <row r="1260" spans="1:33" s="81" customFormat="1" ht="12.75" x14ac:dyDescent="0.2">
      <c r="A1260" s="13">
        <f>IF(B1260&lt;&gt;0,B1260,A1257)</f>
        <v>103</v>
      </c>
      <c r="B1260" s="11"/>
      <c r="C1260" s="1"/>
      <c r="D1260" s="2"/>
      <c r="E1260" s="2"/>
      <c r="F1260" s="1"/>
      <c r="G1260" s="1"/>
      <c r="H1260" s="78"/>
      <c r="I1260" s="78"/>
      <c r="J1260" s="5" t="str">
        <f>IF(G1260&lt;&gt;0,VLOOKUP(G1260,[7]GIA!$L$2:$O$200,3,0)," ")</f>
        <v xml:space="preserve"> </v>
      </c>
      <c r="K1260" s="5" t="str">
        <f>IF(G1260&lt;&gt;0,VLOOKUP(G1260,[7]GIA!$L$2:$O$200,4,0)," ")</f>
        <v xml:space="preserve"> </v>
      </c>
      <c r="L1260" s="4" t="str">
        <f t="shared" si="49"/>
        <v xml:space="preserve"> </v>
      </c>
      <c r="M1260" s="4" t="str">
        <f t="shared" si="50"/>
        <v xml:space="preserve"> </v>
      </c>
      <c r="N1260" s="1"/>
      <c r="O1260" s="5"/>
      <c r="P1260" s="3" t="str">
        <f>IF(N1260&lt;&gt;0,VLOOKUP(N1260,[7]GIA!$A$2:$C$200,3,0)," ")</f>
        <v xml:space="preserve"> </v>
      </c>
      <c r="Q1260" s="4" t="str">
        <f t="shared" si="51"/>
        <v xml:space="preserve"> </v>
      </c>
      <c r="R1260" s="47"/>
      <c r="S1260" s="13"/>
      <c r="T1260" s="6"/>
      <c r="U1260" s="80"/>
      <c r="V1260" s="4" t="str">
        <f>IF(R1260&lt;&gt;0,VLOOKUP(R1260,[7]GIA!$F$2:$H$200,3,0)," ")</f>
        <v xml:space="preserve"> </v>
      </c>
      <c r="W1260" s="32" t="str">
        <f>IF(R1260&lt;&gt;0,ROUND(T1260*V1260,-2)," ")</f>
        <v xml:space="preserve"> </v>
      </c>
      <c r="X1260" s="18"/>
      <c r="Y1260" s="20"/>
      <c r="Z1260" s="20"/>
      <c r="AA1260" s="20"/>
      <c r="AB1260" s="20"/>
      <c r="AC1260" s="20"/>
      <c r="AD1260" s="9"/>
      <c r="AE1260" s="1"/>
      <c r="AF1260" s="1"/>
      <c r="AG1260" s="1"/>
    </row>
    <row r="1261" spans="1:33" s="81" customFormat="1" ht="12.75" x14ac:dyDescent="0.2">
      <c r="A1261" s="13">
        <f t="shared" ref="A1261:A1324" si="54">IF(B1261&lt;&gt;0,B1261,A1260)</f>
        <v>103</v>
      </c>
      <c r="B1261" s="11"/>
      <c r="C1261" s="1"/>
      <c r="D1261" s="2"/>
      <c r="E1261" s="2"/>
      <c r="F1261" s="1"/>
      <c r="G1261" s="1"/>
      <c r="H1261" s="78"/>
      <c r="I1261" s="78"/>
      <c r="J1261" s="5" t="str">
        <f>IF(G1261&lt;&gt;0,VLOOKUP(G1261,[7]GIA!$L$2:$O$200,3,0)," ")</f>
        <v xml:space="preserve"> </v>
      </c>
      <c r="K1261" s="5" t="str">
        <f>IF(G1261&lt;&gt;0,VLOOKUP(G1261,[7]GIA!$L$2:$O$200,4,0)," ")</f>
        <v xml:space="preserve"> </v>
      </c>
      <c r="L1261" s="4" t="str">
        <f t="shared" si="49"/>
        <v xml:space="preserve"> </v>
      </c>
      <c r="M1261" s="4" t="str">
        <f t="shared" si="50"/>
        <v xml:space="preserve"> </v>
      </c>
      <c r="N1261" s="1"/>
      <c r="O1261" s="5"/>
      <c r="P1261" s="3" t="str">
        <f>IF(N1261&lt;&gt;0,VLOOKUP(N1261,[7]GIA!$A$2:$C$200,3,0)," ")</f>
        <v xml:space="preserve"> </v>
      </c>
      <c r="Q1261" s="4" t="str">
        <f t="shared" si="51"/>
        <v xml:space="preserve"> </v>
      </c>
      <c r="R1261" s="47"/>
      <c r="S1261" s="13"/>
      <c r="T1261" s="6"/>
      <c r="U1261" s="80"/>
      <c r="V1261" s="4" t="str">
        <f>IF(R1261&lt;&gt;0,VLOOKUP(R1261,[7]GIA!$F$2:$H$200,3,0)," ")</f>
        <v xml:space="preserve"> </v>
      </c>
      <c r="W1261" s="32" t="str">
        <f>IF(R1261&lt;&gt;0,ROUND(T1261*V1261,-2)," ")</f>
        <v xml:space="preserve"> </v>
      </c>
      <c r="X1261" s="18"/>
      <c r="Y1261" s="20"/>
      <c r="Z1261" s="20"/>
      <c r="AA1261" s="20"/>
      <c r="AB1261" s="20"/>
      <c r="AC1261" s="20"/>
      <c r="AD1261" s="9"/>
      <c r="AE1261" s="1"/>
      <c r="AF1261" s="1"/>
      <c r="AG1261" s="1"/>
    </row>
    <row r="1262" spans="1:33" s="81" customFormat="1" ht="79.5" customHeight="1" x14ac:dyDescent="0.2">
      <c r="A1262" s="13">
        <f t="shared" si="54"/>
        <v>104</v>
      </c>
      <c r="B1262" s="240">
        <v>104</v>
      </c>
      <c r="C1262" s="263" t="s">
        <v>1055</v>
      </c>
      <c r="D1262" s="2"/>
      <c r="E1262" s="2"/>
      <c r="F1262" s="1"/>
      <c r="G1262" s="1"/>
      <c r="H1262" s="78"/>
      <c r="I1262" s="78"/>
      <c r="J1262" s="5"/>
      <c r="K1262" s="5"/>
      <c r="L1262" s="4"/>
      <c r="M1262" s="4"/>
      <c r="N1262" s="1" t="s">
        <v>64</v>
      </c>
      <c r="O1262" s="5">
        <v>7</v>
      </c>
      <c r="P1262" s="3"/>
      <c r="Q1262" s="4"/>
      <c r="R1262" s="47" t="s">
        <v>1762</v>
      </c>
      <c r="S1262" s="13" t="s">
        <v>973</v>
      </c>
      <c r="T1262" s="6">
        <v>26.6</v>
      </c>
      <c r="U1262" s="80"/>
      <c r="V1262" s="4"/>
      <c r="W1262" s="32"/>
      <c r="X1262" s="18"/>
      <c r="Y1262" s="20" t="s">
        <v>980</v>
      </c>
      <c r="Z1262" s="20" t="s">
        <v>1005</v>
      </c>
      <c r="AA1262" s="20"/>
      <c r="AB1262" s="20" t="s">
        <v>267</v>
      </c>
      <c r="AC1262" s="20"/>
      <c r="AD1262" s="9"/>
      <c r="AE1262" s="1" t="s">
        <v>1056</v>
      </c>
      <c r="AF1262" s="238" t="s">
        <v>1861</v>
      </c>
      <c r="AG1262" s="1"/>
    </row>
    <row r="1263" spans="1:33" s="81" customFormat="1" ht="44.25" customHeight="1" x14ac:dyDescent="0.2">
      <c r="A1263" s="13">
        <f t="shared" si="54"/>
        <v>104</v>
      </c>
      <c r="B1263" s="11"/>
      <c r="C1263" s="1" t="s">
        <v>1057</v>
      </c>
      <c r="D1263" s="2"/>
      <c r="E1263" s="2"/>
      <c r="F1263" s="1"/>
      <c r="G1263" s="1"/>
      <c r="H1263" s="78"/>
      <c r="I1263" s="78"/>
      <c r="J1263" s="5" t="str">
        <f>IF(G1263&lt;&gt;0,VLOOKUP(G1263,[7]GIA!$L$2:$O$200,3,0)," ")</f>
        <v xml:space="preserve"> </v>
      </c>
      <c r="K1263" s="5" t="str">
        <f>IF(G1263&lt;&gt;0,VLOOKUP(G1263,[7]GIA!$L$2:$O$200,4,0)," ")</f>
        <v xml:space="preserve"> </v>
      </c>
      <c r="L1263" s="4" t="str">
        <f t="shared" si="49"/>
        <v xml:space="preserve"> </v>
      </c>
      <c r="M1263" s="4" t="str">
        <f t="shared" si="50"/>
        <v xml:space="preserve"> </v>
      </c>
      <c r="N1263" s="1" t="s">
        <v>67</v>
      </c>
      <c r="O1263" s="5">
        <v>3</v>
      </c>
      <c r="P1263" s="3"/>
      <c r="Q1263" s="4"/>
      <c r="R1263" s="47" t="s">
        <v>1819</v>
      </c>
      <c r="S1263" s="13" t="s">
        <v>973</v>
      </c>
      <c r="T1263" s="6">
        <v>10</v>
      </c>
      <c r="U1263" s="80"/>
      <c r="V1263" s="4"/>
      <c r="W1263" s="32"/>
      <c r="X1263" s="18" t="s">
        <v>981</v>
      </c>
      <c r="Y1263" s="20" t="s">
        <v>980</v>
      </c>
      <c r="Z1263" s="20" t="s">
        <v>1012</v>
      </c>
      <c r="AA1263" s="20"/>
      <c r="AB1263" s="20" t="s">
        <v>981</v>
      </c>
      <c r="AC1263" s="20"/>
      <c r="AD1263" s="9"/>
      <c r="AE1263" s="1" t="s">
        <v>1050</v>
      </c>
      <c r="AF1263" s="1"/>
      <c r="AG1263" s="1"/>
    </row>
    <row r="1264" spans="1:33" s="81" customFormat="1" ht="57.75" customHeight="1" x14ac:dyDescent="0.2">
      <c r="A1264" s="13">
        <f t="shared" si="54"/>
        <v>104</v>
      </c>
      <c r="B1264" s="11"/>
      <c r="C1264" s="84" t="s">
        <v>1580</v>
      </c>
      <c r="D1264" s="2"/>
      <c r="E1264" s="2"/>
      <c r="F1264" s="1"/>
      <c r="G1264" s="1"/>
      <c r="H1264" s="78"/>
      <c r="I1264" s="78"/>
      <c r="J1264" s="5" t="str">
        <f>IF(G1264&lt;&gt;0,VLOOKUP(G1264,[7]GIA!$L$2:$O$200,3,0)," ")</f>
        <v xml:space="preserve"> </v>
      </c>
      <c r="K1264" s="5" t="str">
        <f>IF(G1264&lt;&gt;0,VLOOKUP(G1264,[7]GIA!$L$2:$O$200,4,0)," ")</f>
        <v xml:space="preserve"> </v>
      </c>
      <c r="L1264" s="4" t="str">
        <f t="shared" si="49"/>
        <v xml:space="preserve"> </v>
      </c>
      <c r="M1264" s="4" t="str">
        <f t="shared" si="50"/>
        <v xml:space="preserve"> </v>
      </c>
      <c r="N1264" s="1" t="s">
        <v>77</v>
      </c>
      <c r="O1264" s="5">
        <v>2</v>
      </c>
      <c r="P1264" s="3"/>
      <c r="Q1264" s="4"/>
      <c r="R1264" s="47" t="s">
        <v>1820</v>
      </c>
      <c r="S1264" s="13" t="s">
        <v>973</v>
      </c>
      <c r="T1264" s="6">
        <v>44.4</v>
      </c>
      <c r="U1264" s="80"/>
      <c r="V1264" s="4"/>
      <c r="W1264" s="32"/>
      <c r="X1264" s="18" t="s">
        <v>981</v>
      </c>
      <c r="Y1264" s="20" t="s">
        <v>980</v>
      </c>
      <c r="Z1264" s="20" t="s">
        <v>1012</v>
      </c>
      <c r="AA1264" s="20" t="s">
        <v>269</v>
      </c>
      <c r="AB1264" s="20" t="s">
        <v>981</v>
      </c>
      <c r="AC1264" s="20"/>
      <c r="AD1264" s="9"/>
      <c r="AE1264" s="1" t="s">
        <v>1051</v>
      </c>
      <c r="AF1264" s="1"/>
      <c r="AG1264" s="1"/>
    </row>
    <row r="1265" spans="1:33" s="81" customFormat="1" ht="40.5" customHeight="1" x14ac:dyDescent="0.2">
      <c r="A1265" s="13">
        <f t="shared" si="54"/>
        <v>104</v>
      </c>
      <c r="B1265" s="11"/>
      <c r="C1265" s="1"/>
      <c r="D1265" s="2"/>
      <c r="E1265" s="2"/>
      <c r="F1265" s="1"/>
      <c r="G1265" s="1"/>
      <c r="H1265" s="78"/>
      <c r="I1265" s="78"/>
      <c r="J1265" s="5" t="str">
        <f>IF(G1265&lt;&gt;0,VLOOKUP(G1265,[7]GIA!$L$2:$O$200,3,0)," ")</f>
        <v xml:space="preserve"> </v>
      </c>
      <c r="K1265" s="5" t="str">
        <f>IF(G1265&lt;&gt;0,VLOOKUP(G1265,[7]GIA!$L$2:$O$200,4,0)," ")</f>
        <v xml:space="preserve"> </v>
      </c>
      <c r="L1265" s="4" t="str">
        <f t="shared" si="49"/>
        <v xml:space="preserve"> </v>
      </c>
      <c r="M1265" s="4" t="str">
        <f t="shared" si="50"/>
        <v xml:space="preserve"> </v>
      </c>
      <c r="N1265" s="1" t="s">
        <v>79</v>
      </c>
      <c r="O1265" s="5">
        <v>19</v>
      </c>
      <c r="P1265" s="3"/>
      <c r="Q1265" s="4"/>
      <c r="R1265" s="47" t="s">
        <v>1821</v>
      </c>
      <c r="S1265" s="13" t="s">
        <v>973</v>
      </c>
      <c r="T1265" s="13">
        <v>2.4</v>
      </c>
      <c r="U1265" s="80"/>
      <c r="V1265" s="4"/>
      <c r="W1265" s="32"/>
      <c r="X1265" s="18" t="s">
        <v>981</v>
      </c>
      <c r="Y1265" s="20" t="s">
        <v>980</v>
      </c>
      <c r="Z1265" s="20" t="s">
        <v>1012</v>
      </c>
      <c r="AA1265" s="20" t="s">
        <v>269</v>
      </c>
      <c r="AB1265" s="20" t="s">
        <v>981</v>
      </c>
      <c r="AC1265" s="20"/>
      <c r="AD1265" s="9"/>
      <c r="AE1265" s="1" t="s">
        <v>1058</v>
      </c>
      <c r="AF1265" s="1"/>
      <c r="AG1265" s="1"/>
    </row>
    <row r="1266" spans="1:33" s="81" customFormat="1" ht="27" customHeight="1" x14ac:dyDescent="0.2">
      <c r="A1266" s="13">
        <f t="shared" si="54"/>
        <v>104</v>
      </c>
      <c r="B1266" s="11"/>
      <c r="C1266" s="1"/>
      <c r="D1266" s="2"/>
      <c r="E1266" s="2"/>
      <c r="F1266" s="1"/>
      <c r="G1266" s="1"/>
      <c r="H1266" s="78"/>
      <c r="I1266" s="78"/>
      <c r="J1266" s="5" t="str">
        <f>IF(G1266&lt;&gt;0,VLOOKUP(G1266,[7]GIA!$L$2:$O$200,3,0)," ")</f>
        <v xml:space="preserve"> </v>
      </c>
      <c r="K1266" s="5" t="str">
        <f>IF(G1266&lt;&gt;0,VLOOKUP(G1266,[7]GIA!$L$2:$O$200,4,0)," ")</f>
        <v xml:space="preserve"> </v>
      </c>
      <c r="L1266" s="4" t="str">
        <f t="shared" si="49"/>
        <v xml:space="preserve"> </v>
      </c>
      <c r="M1266" s="4" t="str">
        <f t="shared" si="50"/>
        <v xml:space="preserve"> </v>
      </c>
      <c r="N1266" s="1" t="s">
        <v>80</v>
      </c>
      <c r="O1266" s="5">
        <v>1</v>
      </c>
      <c r="P1266" s="3"/>
      <c r="Q1266" s="4"/>
      <c r="R1266" s="47" t="s">
        <v>1822</v>
      </c>
      <c r="S1266" s="13" t="s">
        <v>973</v>
      </c>
      <c r="T1266" s="6">
        <v>29.67</v>
      </c>
      <c r="U1266" s="80"/>
      <c r="V1266" s="4"/>
      <c r="W1266" s="32"/>
      <c r="X1266" s="18" t="s">
        <v>139</v>
      </c>
      <c r="Y1266" s="20" t="s">
        <v>980</v>
      </c>
      <c r="Z1266" s="20" t="s">
        <v>1012</v>
      </c>
      <c r="AA1266" s="20" t="s">
        <v>269</v>
      </c>
      <c r="AB1266" s="20" t="s">
        <v>267</v>
      </c>
      <c r="AC1266" s="20"/>
      <c r="AD1266" s="9"/>
      <c r="AE1266" s="2" t="s">
        <v>809</v>
      </c>
      <c r="AF1266" s="2"/>
      <c r="AG1266" s="2"/>
    </row>
    <row r="1267" spans="1:33" s="81" customFormat="1" ht="37.5" customHeight="1" x14ac:dyDescent="0.2">
      <c r="A1267" s="13">
        <f t="shared" si="54"/>
        <v>104</v>
      </c>
      <c r="B1267" s="11"/>
      <c r="C1267" s="1"/>
      <c r="D1267" s="2"/>
      <c r="E1267" s="2"/>
      <c r="F1267" s="1"/>
      <c r="G1267" s="1"/>
      <c r="H1267" s="78"/>
      <c r="I1267" s="78"/>
      <c r="J1267" s="5" t="str">
        <f>IF(G1267&lt;&gt;0,VLOOKUP(G1267,[7]GIA!$L$2:$O$200,3,0)," ")</f>
        <v xml:space="preserve"> </v>
      </c>
      <c r="K1267" s="5" t="str">
        <f>IF(G1267&lt;&gt;0,VLOOKUP(G1267,[7]GIA!$L$2:$O$200,4,0)," ")</f>
        <v xml:space="preserve"> </v>
      </c>
      <c r="L1267" s="4" t="str">
        <f t="shared" si="49"/>
        <v xml:space="preserve"> </v>
      </c>
      <c r="M1267" s="4" t="str">
        <f t="shared" si="50"/>
        <v xml:space="preserve"> </v>
      </c>
      <c r="N1267" s="1" t="s">
        <v>131</v>
      </c>
      <c r="O1267" s="5">
        <v>1</v>
      </c>
      <c r="P1267" s="3"/>
      <c r="Q1267" s="4"/>
      <c r="R1267" s="47" t="s">
        <v>1823</v>
      </c>
      <c r="S1267" s="13" t="s">
        <v>973</v>
      </c>
      <c r="T1267" s="13">
        <v>2.2799999999999998</v>
      </c>
      <c r="U1267" s="80"/>
      <c r="V1267" s="4"/>
      <c r="W1267" s="32"/>
      <c r="X1267" s="18" t="s">
        <v>139</v>
      </c>
      <c r="Y1267" s="20" t="s">
        <v>980</v>
      </c>
      <c r="Z1267" s="20" t="s">
        <v>1012</v>
      </c>
      <c r="AA1267" s="20" t="s">
        <v>269</v>
      </c>
      <c r="AB1267" s="20" t="s">
        <v>139</v>
      </c>
      <c r="AC1267" s="20"/>
      <c r="AD1267" s="9"/>
      <c r="AE1267" s="1"/>
      <c r="AF1267" s="1"/>
      <c r="AG1267" s="1"/>
    </row>
    <row r="1268" spans="1:33" s="81" customFormat="1" ht="34.5" customHeight="1" x14ac:dyDescent="0.2">
      <c r="A1268" s="13">
        <f t="shared" si="54"/>
        <v>104</v>
      </c>
      <c r="B1268" s="11"/>
      <c r="C1268" s="1"/>
      <c r="D1268" s="2"/>
      <c r="E1268" s="2"/>
      <c r="F1268" s="1"/>
      <c r="G1268" s="1"/>
      <c r="H1268" s="78"/>
      <c r="I1268" s="78"/>
      <c r="J1268" s="5" t="str">
        <f>IF(G1268&lt;&gt;0,VLOOKUP(G1268,[7]GIA!$L$2:$O$200,3,0)," ")</f>
        <v xml:space="preserve"> </v>
      </c>
      <c r="K1268" s="5" t="str">
        <f>IF(G1268&lt;&gt;0,VLOOKUP(G1268,[7]GIA!$L$2:$O$200,4,0)," ")</f>
        <v xml:space="preserve"> </v>
      </c>
      <c r="L1268" s="4" t="str">
        <f t="shared" si="49"/>
        <v xml:space="preserve"> </v>
      </c>
      <c r="M1268" s="4" t="str">
        <f t="shared" si="50"/>
        <v xml:space="preserve"> </v>
      </c>
      <c r="N1268" s="70" t="s">
        <v>783</v>
      </c>
      <c r="O1268" s="5">
        <v>1</v>
      </c>
      <c r="P1268" s="3"/>
      <c r="Q1268" s="4"/>
      <c r="R1268" s="47" t="s">
        <v>1824</v>
      </c>
      <c r="S1268" s="13" t="s">
        <v>973</v>
      </c>
      <c r="T1268" s="6">
        <v>10.199999999999999</v>
      </c>
      <c r="U1268" s="80"/>
      <c r="V1268" s="4"/>
      <c r="W1268" s="32"/>
      <c r="X1268" s="18"/>
      <c r="Y1268" s="20"/>
      <c r="Z1268" s="20"/>
      <c r="AA1268" s="20"/>
      <c r="AB1268" s="20"/>
      <c r="AC1268" s="20"/>
      <c r="AD1268" s="9"/>
      <c r="AE1268" s="1"/>
      <c r="AF1268" s="1"/>
      <c r="AG1268" s="1"/>
    </row>
    <row r="1269" spans="1:33" s="81" customFormat="1" ht="34.5" customHeight="1" x14ac:dyDescent="0.2">
      <c r="A1269" s="13">
        <f t="shared" si="54"/>
        <v>104</v>
      </c>
      <c r="B1269" s="11"/>
      <c r="C1269" s="1"/>
      <c r="D1269" s="2"/>
      <c r="E1269" s="2"/>
      <c r="F1269" s="1"/>
      <c r="G1269" s="1"/>
      <c r="H1269" s="78"/>
      <c r="I1269" s="78"/>
      <c r="J1269" s="5" t="str">
        <f>IF(G1269&lt;&gt;0,VLOOKUP(G1269,[7]GIA!$L$2:$O$200,3,0)," ")</f>
        <v xml:space="preserve"> </v>
      </c>
      <c r="K1269" s="5" t="str">
        <f>IF(G1269&lt;&gt;0,VLOOKUP(G1269,[7]GIA!$L$2:$O$200,4,0)," ")</f>
        <v xml:space="preserve"> </v>
      </c>
      <c r="L1269" s="4" t="str">
        <f t="shared" si="49"/>
        <v xml:space="preserve"> </v>
      </c>
      <c r="M1269" s="4" t="str">
        <f t="shared" si="50"/>
        <v xml:space="preserve"> </v>
      </c>
      <c r="N1269" s="1" t="s">
        <v>836</v>
      </c>
      <c r="O1269" s="5">
        <v>2</v>
      </c>
      <c r="P1269" s="3"/>
      <c r="Q1269" s="4"/>
      <c r="R1269" s="47" t="s">
        <v>1768</v>
      </c>
      <c r="S1269" s="13" t="s">
        <v>973</v>
      </c>
      <c r="T1269" s="6">
        <v>7</v>
      </c>
      <c r="U1269" s="80"/>
      <c r="V1269" s="4"/>
      <c r="W1269" s="32"/>
      <c r="X1269" s="18"/>
      <c r="Y1269" s="20"/>
      <c r="Z1269" s="20"/>
      <c r="AA1269" s="20"/>
      <c r="AB1269" s="20"/>
      <c r="AC1269" s="20"/>
      <c r="AD1269" s="9"/>
      <c r="AE1269" s="1"/>
      <c r="AF1269" s="1"/>
      <c r="AG1269" s="1"/>
    </row>
    <row r="1270" spans="1:33" s="81" customFormat="1" ht="27" customHeight="1" x14ac:dyDescent="0.2">
      <c r="A1270" s="13">
        <f t="shared" si="54"/>
        <v>104</v>
      </c>
      <c r="B1270" s="11"/>
      <c r="C1270" s="1"/>
      <c r="D1270" s="2"/>
      <c r="E1270" s="2"/>
      <c r="F1270" s="1"/>
      <c r="G1270" s="1"/>
      <c r="H1270" s="78"/>
      <c r="I1270" s="78"/>
      <c r="J1270" s="5" t="str">
        <f>IF(G1270&lt;&gt;0,VLOOKUP(G1270,[7]GIA!$L$2:$O$200,3,0)," ")</f>
        <v xml:space="preserve"> </v>
      </c>
      <c r="K1270" s="5" t="str">
        <f>IF(G1270&lt;&gt;0,VLOOKUP(G1270,[7]GIA!$L$2:$O$200,4,0)," ")</f>
        <v xml:space="preserve"> </v>
      </c>
      <c r="L1270" s="4" t="str">
        <f t="shared" si="49"/>
        <v xml:space="preserve"> </v>
      </c>
      <c r="M1270" s="4" t="str">
        <f t="shared" si="50"/>
        <v xml:space="preserve"> </v>
      </c>
      <c r="N1270" s="1" t="s">
        <v>750</v>
      </c>
      <c r="O1270" s="5">
        <v>3</v>
      </c>
      <c r="P1270" s="3"/>
      <c r="Q1270" s="4"/>
      <c r="R1270" s="47" t="s">
        <v>1798</v>
      </c>
      <c r="S1270" s="13" t="s">
        <v>973</v>
      </c>
      <c r="T1270" s="6">
        <v>6.1</v>
      </c>
      <c r="U1270" s="80"/>
      <c r="V1270" s="4"/>
      <c r="W1270" s="32"/>
      <c r="X1270" s="18"/>
      <c r="Y1270" s="20"/>
      <c r="Z1270" s="20"/>
      <c r="AA1270" s="20"/>
      <c r="AB1270" s="20"/>
      <c r="AC1270" s="20"/>
      <c r="AD1270" s="9"/>
      <c r="AE1270" s="1"/>
      <c r="AF1270" s="1"/>
      <c r="AG1270" s="1"/>
    </row>
    <row r="1271" spans="1:33" s="81" customFormat="1" ht="27" customHeight="1" x14ac:dyDescent="0.2">
      <c r="A1271" s="13">
        <f t="shared" si="54"/>
        <v>104</v>
      </c>
      <c r="B1271" s="11"/>
      <c r="C1271" s="1"/>
      <c r="D1271" s="2"/>
      <c r="E1271" s="2"/>
      <c r="F1271" s="1"/>
      <c r="G1271" s="1"/>
      <c r="H1271" s="78"/>
      <c r="I1271" s="78"/>
      <c r="J1271" s="5" t="str">
        <f>IF(G1271&lt;&gt;0,VLOOKUP(G1271,[7]GIA!$L$2:$O$200,3,0)," ")</f>
        <v xml:space="preserve"> </v>
      </c>
      <c r="K1271" s="5" t="str">
        <f>IF(G1271&lt;&gt;0,VLOOKUP(G1271,[7]GIA!$L$2:$O$200,4,0)," ")</f>
        <v xml:space="preserve"> </v>
      </c>
      <c r="L1271" s="4" t="str">
        <f t="shared" si="49"/>
        <v xml:space="preserve"> </v>
      </c>
      <c r="M1271" s="4" t="str">
        <f t="shared" si="50"/>
        <v xml:space="preserve"> </v>
      </c>
      <c r="N1271" s="1" t="s">
        <v>76</v>
      </c>
      <c r="O1271" s="5">
        <v>2</v>
      </c>
      <c r="P1271" s="3"/>
      <c r="Q1271" s="4"/>
      <c r="R1271" s="47" t="s">
        <v>1798</v>
      </c>
      <c r="S1271" s="13" t="s">
        <v>973</v>
      </c>
      <c r="T1271" s="6">
        <v>4.5</v>
      </c>
      <c r="U1271" s="80"/>
      <c r="V1271" s="4"/>
      <c r="W1271" s="32"/>
      <c r="X1271" s="18"/>
      <c r="Y1271" s="20"/>
      <c r="Z1271" s="20"/>
      <c r="AA1271" s="20"/>
      <c r="AB1271" s="20"/>
      <c r="AC1271" s="20"/>
      <c r="AD1271" s="9"/>
      <c r="AE1271" s="1"/>
      <c r="AF1271" s="1"/>
      <c r="AG1271" s="1"/>
    </row>
    <row r="1272" spans="1:33" s="81" customFormat="1" ht="27" customHeight="1" x14ac:dyDescent="0.2">
      <c r="A1272" s="13">
        <f t="shared" si="54"/>
        <v>104</v>
      </c>
      <c r="B1272" s="11"/>
      <c r="C1272" s="1"/>
      <c r="D1272" s="2"/>
      <c r="E1272" s="2"/>
      <c r="F1272" s="1"/>
      <c r="G1272" s="1"/>
      <c r="H1272" s="78"/>
      <c r="I1272" s="78"/>
      <c r="J1272" s="5" t="str">
        <f>IF(G1272&lt;&gt;0,VLOOKUP(G1272,[7]GIA!$L$2:$O$200,3,0)," ")</f>
        <v xml:space="preserve"> </v>
      </c>
      <c r="K1272" s="5" t="str">
        <f>IF(G1272&lt;&gt;0,VLOOKUP(G1272,[7]GIA!$L$2:$O$200,4,0)," ")</f>
        <v xml:space="preserve"> </v>
      </c>
      <c r="L1272" s="4" t="str">
        <f t="shared" si="49"/>
        <v xml:space="preserve"> </v>
      </c>
      <c r="M1272" s="4" t="str">
        <f t="shared" si="50"/>
        <v xml:space="preserve"> </v>
      </c>
      <c r="N1272" s="1"/>
      <c r="O1272" s="5"/>
      <c r="P1272" s="3" t="str">
        <f>IF(N1272&lt;&gt;0,VLOOKUP(N1272,[7]GIA!$A$2:$C$200,3,0)," ")</f>
        <v xml:space="preserve"> </v>
      </c>
      <c r="Q1272" s="4" t="str">
        <f t="shared" ref="Q1272:Q1335" si="55">IF(N1272&lt;&gt;0,ROUND(O1272*P1272,-2)," ")</f>
        <v xml:space="preserve"> </v>
      </c>
      <c r="R1272" s="47" t="s">
        <v>1800</v>
      </c>
      <c r="S1272" s="13" t="s">
        <v>1025</v>
      </c>
      <c r="T1272" s="6">
        <v>0.2</v>
      </c>
      <c r="U1272" s="80"/>
      <c r="V1272" s="4"/>
      <c r="W1272" s="32"/>
      <c r="X1272" s="18"/>
      <c r="Y1272" s="20"/>
      <c r="Z1272" s="20"/>
      <c r="AA1272" s="20"/>
      <c r="AB1272" s="20"/>
      <c r="AC1272" s="20"/>
      <c r="AD1272" s="9"/>
      <c r="AE1272" s="1"/>
      <c r="AF1272" s="1"/>
      <c r="AG1272" s="1"/>
    </row>
    <row r="1273" spans="1:33" s="81" customFormat="1" ht="28.5" customHeight="1" x14ac:dyDescent="0.2">
      <c r="A1273" s="13">
        <f t="shared" si="54"/>
        <v>104</v>
      </c>
      <c r="B1273" s="11"/>
      <c r="C1273" s="1"/>
      <c r="D1273" s="2"/>
      <c r="E1273" s="2"/>
      <c r="F1273" s="1"/>
      <c r="G1273" s="1"/>
      <c r="H1273" s="78"/>
      <c r="I1273" s="78"/>
      <c r="J1273" s="5" t="str">
        <f>IF(G1273&lt;&gt;0,VLOOKUP(G1273,[7]GIA!$L$2:$O$200,3,0)," ")</f>
        <v xml:space="preserve"> </v>
      </c>
      <c r="K1273" s="5" t="str">
        <f>IF(G1273&lt;&gt;0,VLOOKUP(G1273,[7]GIA!$L$2:$O$200,4,0)," ")</f>
        <v xml:space="preserve"> </v>
      </c>
      <c r="L1273" s="4" t="str">
        <f t="shared" si="49"/>
        <v xml:space="preserve"> </v>
      </c>
      <c r="M1273" s="4" t="str">
        <f t="shared" si="50"/>
        <v xml:space="preserve"> </v>
      </c>
      <c r="N1273" s="1"/>
      <c r="O1273" s="5"/>
      <c r="P1273" s="3" t="str">
        <f>IF(N1273&lt;&gt;0,VLOOKUP(N1273,[7]GIA!$A$2:$C$200,3,0)," ")</f>
        <v xml:space="preserve"> </v>
      </c>
      <c r="Q1273" s="4" t="str">
        <f t="shared" si="55"/>
        <v xml:space="preserve"> </v>
      </c>
      <c r="R1273" s="47" t="s">
        <v>1777</v>
      </c>
      <c r="S1273" s="13" t="s">
        <v>973</v>
      </c>
      <c r="T1273" s="6">
        <v>4.7</v>
      </c>
      <c r="U1273" s="80"/>
      <c r="V1273" s="4"/>
      <c r="W1273" s="32"/>
      <c r="X1273" s="18"/>
      <c r="Y1273" s="20"/>
      <c r="Z1273" s="20"/>
      <c r="AA1273" s="20"/>
      <c r="AB1273" s="20"/>
      <c r="AC1273" s="20"/>
      <c r="AD1273" s="9"/>
      <c r="AE1273" s="1"/>
      <c r="AF1273" s="1"/>
      <c r="AG1273" s="1"/>
    </row>
    <row r="1274" spans="1:33" s="81" customFormat="1" ht="28.5" customHeight="1" x14ac:dyDescent="0.2">
      <c r="A1274" s="13">
        <f t="shared" si="54"/>
        <v>104</v>
      </c>
      <c r="B1274" s="11"/>
      <c r="C1274" s="1"/>
      <c r="D1274" s="2"/>
      <c r="E1274" s="2"/>
      <c r="F1274" s="1"/>
      <c r="G1274" s="1"/>
      <c r="H1274" s="78"/>
      <c r="I1274" s="78"/>
      <c r="J1274" s="5" t="str">
        <f>IF(G1274&lt;&gt;0,VLOOKUP(G1274,[7]GIA!$L$2:$O$200,3,0)," ")</f>
        <v xml:space="preserve"> </v>
      </c>
      <c r="K1274" s="5" t="str">
        <f>IF(G1274&lt;&gt;0,VLOOKUP(G1274,[7]GIA!$L$2:$O$200,4,0)," ")</f>
        <v xml:space="preserve"> </v>
      </c>
      <c r="L1274" s="4" t="str">
        <f t="shared" si="49"/>
        <v xml:space="preserve"> </v>
      </c>
      <c r="M1274" s="4" t="str">
        <f t="shared" si="50"/>
        <v xml:space="preserve"> </v>
      </c>
      <c r="N1274" s="1"/>
      <c r="O1274" s="5"/>
      <c r="P1274" s="3" t="str">
        <f>IF(N1274&lt;&gt;0,VLOOKUP(N1274,[7]GIA!$A$2:$C$200,3,0)," ")</f>
        <v xml:space="preserve"> </v>
      </c>
      <c r="Q1274" s="4" t="str">
        <f t="shared" si="55"/>
        <v xml:space="preserve"> </v>
      </c>
      <c r="R1274" s="47" t="s">
        <v>1775</v>
      </c>
      <c r="S1274" s="13" t="s">
        <v>973</v>
      </c>
      <c r="T1274" s="6">
        <v>10.4</v>
      </c>
      <c r="U1274" s="80"/>
      <c r="V1274" s="4"/>
      <c r="W1274" s="32"/>
      <c r="X1274" s="18"/>
      <c r="Y1274" s="20"/>
      <c r="Z1274" s="20"/>
      <c r="AA1274" s="20"/>
      <c r="AB1274" s="20"/>
      <c r="AC1274" s="20"/>
      <c r="AD1274" s="9"/>
      <c r="AE1274" s="1"/>
      <c r="AF1274" s="1"/>
      <c r="AG1274" s="1"/>
    </row>
    <row r="1275" spans="1:33" s="81" customFormat="1" ht="28.5" customHeight="1" x14ac:dyDescent="0.2">
      <c r="A1275" s="13">
        <f t="shared" si="54"/>
        <v>104</v>
      </c>
      <c r="B1275" s="11"/>
      <c r="C1275" s="1"/>
      <c r="D1275" s="2"/>
      <c r="E1275" s="2"/>
      <c r="F1275" s="1"/>
      <c r="G1275" s="1"/>
      <c r="H1275" s="78"/>
      <c r="I1275" s="78"/>
      <c r="J1275" s="5" t="str">
        <f>IF(G1275&lt;&gt;0,VLOOKUP(G1275,[7]GIA!$L$2:$O$200,3,0)," ")</f>
        <v xml:space="preserve"> </v>
      </c>
      <c r="K1275" s="5" t="str">
        <f>IF(G1275&lt;&gt;0,VLOOKUP(G1275,[7]GIA!$L$2:$O$200,4,0)," ")</f>
        <v xml:space="preserve"> </v>
      </c>
      <c r="L1275" s="4" t="str">
        <f t="shared" si="49"/>
        <v xml:space="preserve"> </v>
      </c>
      <c r="M1275" s="4" t="str">
        <f t="shared" si="50"/>
        <v xml:space="preserve"> </v>
      </c>
      <c r="N1275" s="1"/>
      <c r="O1275" s="5"/>
      <c r="P1275" s="3" t="str">
        <f>IF(N1275&lt;&gt;0,VLOOKUP(N1275,[7]GIA!$A$2:$C$200,3,0)," ")</f>
        <v xml:space="preserve"> </v>
      </c>
      <c r="Q1275" s="4" t="str">
        <f t="shared" si="55"/>
        <v xml:space="preserve"> </v>
      </c>
      <c r="R1275" s="47" t="s">
        <v>1775</v>
      </c>
      <c r="S1275" s="13" t="s">
        <v>973</v>
      </c>
      <c r="T1275" s="6">
        <v>3.04</v>
      </c>
      <c r="U1275" s="80"/>
      <c r="V1275" s="4"/>
      <c r="W1275" s="32"/>
      <c r="X1275" s="18"/>
      <c r="Y1275" s="20" t="s">
        <v>266</v>
      </c>
      <c r="Z1275" s="20" t="s">
        <v>82</v>
      </c>
      <c r="AA1275" s="20" t="s">
        <v>1059</v>
      </c>
      <c r="AB1275" s="20" t="s">
        <v>1060</v>
      </c>
      <c r="AC1275" s="20"/>
      <c r="AD1275" s="9"/>
      <c r="AE1275" s="1"/>
      <c r="AF1275" s="1"/>
      <c r="AG1275" s="1"/>
    </row>
    <row r="1276" spans="1:33" s="81" customFormat="1" ht="36.75" customHeight="1" x14ac:dyDescent="0.2">
      <c r="A1276" s="13">
        <f t="shared" si="54"/>
        <v>104</v>
      </c>
      <c r="B1276" s="11"/>
      <c r="C1276" s="1"/>
      <c r="D1276" s="2"/>
      <c r="E1276" s="2"/>
      <c r="F1276" s="1"/>
      <c r="G1276" s="1"/>
      <c r="H1276" s="78"/>
      <c r="I1276" s="78"/>
      <c r="J1276" s="5" t="str">
        <f>IF(G1276&lt;&gt;0,VLOOKUP(G1276,[7]GIA!$L$2:$O$200,3,0)," ")</f>
        <v xml:space="preserve"> </v>
      </c>
      <c r="K1276" s="5" t="str">
        <f>IF(G1276&lt;&gt;0,VLOOKUP(G1276,[7]GIA!$L$2:$O$200,4,0)," ")</f>
        <v xml:space="preserve"> </v>
      </c>
      <c r="L1276" s="4" t="str">
        <f t="shared" ref="L1276:L1335" si="56">IF(G1276&lt;&gt;0,ROUND(H1276*J1276,-2)," ")</f>
        <v xml:space="preserve"> </v>
      </c>
      <c r="M1276" s="4" t="str">
        <f t="shared" ref="M1276:M1335" si="57">IF(G1276&lt;&gt;0,ROUND(H1276*K1276,-2)," ")</f>
        <v xml:space="preserve"> </v>
      </c>
      <c r="N1276" s="1"/>
      <c r="O1276" s="5"/>
      <c r="P1276" s="3" t="str">
        <f>IF(N1276&lt;&gt;0,VLOOKUP(N1276,[7]GIA!$A$2:$C$200,3,0)," ")</f>
        <v xml:space="preserve"> </v>
      </c>
      <c r="Q1276" s="4" t="str">
        <f t="shared" si="55"/>
        <v xml:space="preserve"> </v>
      </c>
      <c r="R1276" s="47" t="s">
        <v>1825</v>
      </c>
      <c r="S1276" s="13" t="s">
        <v>93</v>
      </c>
      <c r="T1276" s="6">
        <v>1</v>
      </c>
      <c r="U1276" s="80"/>
      <c r="V1276" s="4"/>
      <c r="W1276" s="32"/>
      <c r="X1276" s="18"/>
      <c r="Y1276" s="20" t="s">
        <v>266</v>
      </c>
      <c r="Z1276" s="20" t="s">
        <v>82</v>
      </c>
      <c r="AA1276" s="20" t="s">
        <v>1059</v>
      </c>
      <c r="AB1276" s="20" t="s">
        <v>1060</v>
      </c>
      <c r="AC1276" s="20"/>
      <c r="AD1276" s="9"/>
      <c r="AE1276" s="1"/>
      <c r="AF1276" s="1"/>
      <c r="AG1276" s="1"/>
    </row>
    <row r="1277" spans="1:33" s="81" customFormat="1" ht="12.75" x14ac:dyDescent="0.2">
      <c r="A1277" s="13">
        <f t="shared" si="54"/>
        <v>104</v>
      </c>
      <c r="B1277" s="11"/>
      <c r="C1277" s="1"/>
      <c r="D1277" s="2"/>
      <c r="E1277" s="2"/>
      <c r="F1277" s="1"/>
      <c r="G1277" s="1"/>
      <c r="H1277" s="78"/>
      <c r="I1277" s="78"/>
      <c r="J1277" s="5" t="str">
        <f>IF(G1277&lt;&gt;0,VLOOKUP(G1277,[7]GIA!$L$2:$O$200,3,0)," ")</f>
        <v xml:space="preserve"> </v>
      </c>
      <c r="K1277" s="5" t="str">
        <f>IF(G1277&lt;&gt;0,VLOOKUP(G1277,[7]GIA!$L$2:$O$200,4,0)," ")</f>
        <v xml:space="preserve"> </v>
      </c>
      <c r="L1277" s="4" t="str">
        <f t="shared" si="56"/>
        <v xml:space="preserve"> </v>
      </c>
      <c r="M1277" s="4" t="str">
        <f t="shared" si="57"/>
        <v xml:space="preserve"> </v>
      </c>
      <c r="N1277" s="1"/>
      <c r="O1277" s="5"/>
      <c r="P1277" s="3" t="str">
        <f>IF(N1277&lt;&gt;0,VLOOKUP(N1277,[7]GIA!$A$2:$C$200,3,0)," ")</f>
        <v xml:space="preserve"> </v>
      </c>
      <c r="Q1277" s="4" t="str">
        <f t="shared" si="55"/>
        <v xml:space="preserve"> </v>
      </c>
      <c r="R1277" s="47"/>
      <c r="S1277" s="13"/>
      <c r="T1277" s="6"/>
      <c r="U1277" s="80"/>
      <c r="V1277" s="4" t="str">
        <f>IF(R1277&lt;&gt;0,VLOOKUP(R1277,[7]GIA!$F$2:$H$200,3,0)," ")</f>
        <v xml:space="preserve"> </v>
      </c>
      <c r="W1277" s="32" t="str">
        <f t="shared" ref="W1277:W1335" si="58">IF(R1277&lt;&gt;0,ROUND(T1277*V1277,-2)," ")</f>
        <v xml:space="preserve"> </v>
      </c>
      <c r="X1277" s="18"/>
      <c r="Y1277" s="20"/>
      <c r="Z1277" s="20"/>
      <c r="AA1277" s="20"/>
      <c r="AB1277" s="20"/>
      <c r="AC1277" s="20"/>
      <c r="AD1277" s="9"/>
      <c r="AE1277" s="1"/>
      <c r="AF1277" s="1"/>
      <c r="AG1277" s="1"/>
    </row>
    <row r="1278" spans="1:33" s="81" customFormat="1" ht="12.75" x14ac:dyDescent="0.2">
      <c r="A1278" s="13">
        <f t="shared" si="54"/>
        <v>104</v>
      </c>
      <c r="B1278" s="11"/>
      <c r="C1278" s="1"/>
      <c r="D1278" s="2"/>
      <c r="E1278" s="2"/>
      <c r="F1278" s="1"/>
      <c r="G1278" s="1"/>
      <c r="H1278" s="125"/>
      <c r="I1278" s="125"/>
      <c r="J1278" s="5" t="str">
        <f>IF(G1278&lt;&gt;0,VLOOKUP(G1278,[7]GIA!$L$2:$O$200,3,0)," ")</f>
        <v xml:space="preserve"> </v>
      </c>
      <c r="K1278" s="5" t="str">
        <f>IF(G1278&lt;&gt;0,VLOOKUP(G1278,[7]GIA!$L$2:$O$200,4,0)," ")</f>
        <v xml:space="preserve"> </v>
      </c>
      <c r="L1278" s="4" t="str">
        <f t="shared" si="56"/>
        <v xml:space="preserve"> </v>
      </c>
      <c r="M1278" s="4" t="str">
        <f t="shared" si="57"/>
        <v xml:space="preserve"> </v>
      </c>
      <c r="N1278" s="84"/>
      <c r="O1278" s="79"/>
      <c r="P1278" s="3" t="str">
        <f>IF(N1278&lt;&gt;0,VLOOKUP(N1278,[7]GIA!$A$2:$C$200,3,0)," ")</f>
        <v xml:space="preserve"> </v>
      </c>
      <c r="Q1278" s="4" t="str">
        <f t="shared" si="55"/>
        <v xml:space="preserve"> </v>
      </c>
      <c r="R1278" s="84"/>
      <c r="S1278" s="87"/>
      <c r="T1278" s="77"/>
      <c r="U1278" s="158"/>
      <c r="V1278" s="4" t="str">
        <f>IF(R1278&lt;&gt;0,VLOOKUP(R1278,[7]GIA!$F$2:$H$200,3,0)," ")</f>
        <v xml:space="preserve"> </v>
      </c>
      <c r="W1278" s="32" t="str">
        <f t="shared" si="58"/>
        <v xml:space="preserve"> </v>
      </c>
      <c r="X1278" s="18"/>
      <c r="Y1278" s="20"/>
      <c r="Z1278" s="20"/>
      <c r="AA1278" s="20"/>
      <c r="AB1278" s="20"/>
      <c r="AC1278" s="20"/>
      <c r="AD1278" s="9"/>
      <c r="AE1278" s="2"/>
      <c r="AF1278" s="2"/>
      <c r="AG1278" s="2"/>
    </row>
    <row r="1279" spans="1:33" s="81" customFormat="1" ht="36" customHeight="1" x14ac:dyDescent="0.2">
      <c r="A1279" s="13">
        <f t="shared" si="54"/>
        <v>105</v>
      </c>
      <c r="B1279" s="11">
        <v>105</v>
      </c>
      <c r="C1279" s="21" t="s">
        <v>1061</v>
      </c>
      <c r="D1279" s="2">
        <v>5</v>
      </c>
      <c r="E1279" s="2">
        <v>86</v>
      </c>
      <c r="F1279" s="1">
        <v>228</v>
      </c>
      <c r="G1279" s="1" t="s">
        <v>855</v>
      </c>
      <c r="H1279" s="78">
        <v>100</v>
      </c>
      <c r="I1279" s="78"/>
      <c r="J1279" s="5"/>
      <c r="K1279" s="5"/>
      <c r="L1279" s="4"/>
      <c r="M1279" s="4"/>
      <c r="N1279" s="1"/>
      <c r="O1279" s="5"/>
      <c r="P1279" s="3" t="str">
        <f>IF(N1279&lt;&gt;0,VLOOKUP(N1279,[7]GIA!$A$2:$C$200,3,0)," ")</f>
        <v xml:space="preserve"> </v>
      </c>
      <c r="Q1279" s="4" t="str">
        <f t="shared" si="55"/>
        <v xml:space="preserve"> </v>
      </c>
      <c r="R1279" s="47"/>
      <c r="S1279" s="13"/>
      <c r="T1279" s="6"/>
      <c r="U1279" s="80"/>
      <c r="V1279" s="4" t="str">
        <f>IF(R1279&lt;&gt;0,VLOOKUP(R1279,[7]GIA!$F$2:$H$200,3,0)," ")</f>
        <v xml:space="preserve"> </v>
      </c>
      <c r="W1279" s="32" t="str">
        <f t="shared" si="58"/>
        <v xml:space="preserve"> </v>
      </c>
      <c r="X1279" s="18"/>
      <c r="Y1279" s="20"/>
      <c r="Z1279" s="20"/>
      <c r="AA1279" s="20"/>
      <c r="AB1279" s="20"/>
      <c r="AC1279" s="20"/>
      <c r="AD1279" s="9"/>
      <c r="AE1279" s="1" t="s">
        <v>1062</v>
      </c>
      <c r="AF1279" s="1"/>
      <c r="AG1279" s="1"/>
    </row>
    <row r="1280" spans="1:33" s="81" customFormat="1" ht="28.5" x14ac:dyDescent="0.2">
      <c r="A1280" s="13">
        <f t="shared" si="54"/>
        <v>105</v>
      </c>
      <c r="B1280" s="11"/>
      <c r="C1280" s="1" t="s">
        <v>1063</v>
      </c>
      <c r="D1280" s="2"/>
      <c r="E1280" s="2"/>
      <c r="F1280" s="1"/>
      <c r="G1280" s="1"/>
      <c r="H1280" s="78"/>
      <c r="I1280" s="78"/>
      <c r="J1280" s="5" t="str">
        <f>IF(G1280&lt;&gt;0,VLOOKUP(G1280,[7]GIA!$L$2:$O$200,3,0)," ")</f>
        <v xml:space="preserve"> </v>
      </c>
      <c r="K1280" s="5" t="str">
        <f>IF(G1280&lt;&gt;0,VLOOKUP(G1280,[7]GIA!$L$2:$O$200,4,0)," ")</f>
        <v xml:space="preserve"> </v>
      </c>
      <c r="L1280" s="4" t="str">
        <f t="shared" si="56"/>
        <v xml:space="preserve"> </v>
      </c>
      <c r="M1280" s="4" t="str">
        <f t="shared" si="57"/>
        <v xml:space="preserve"> </v>
      </c>
      <c r="N1280" s="1"/>
      <c r="O1280" s="5"/>
      <c r="P1280" s="3" t="str">
        <f>IF(N1280&lt;&gt;0,VLOOKUP(N1280,[7]GIA!$A$2:$C$200,3,0)," ")</f>
        <v xml:space="preserve"> </v>
      </c>
      <c r="Q1280" s="4" t="str">
        <f t="shared" si="55"/>
        <v xml:space="preserve"> </v>
      </c>
      <c r="R1280" s="47"/>
      <c r="S1280" s="13"/>
      <c r="T1280" s="13"/>
      <c r="U1280" s="80"/>
      <c r="V1280" s="4" t="str">
        <f>IF(R1280&lt;&gt;0,VLOOKUP(R1280,[7]GIA!$F$2:$H$200,3,0)," ")</f>
        <v xml:space="preserve"> </v>
      </c>
      <c r="W1280" s="32" t="str">
        <f t="shared" si="58"/>
        <v xml:space="preserve"> </v>
      </c>
      <c r="X1280" s="18"/>
      <c r="Y1280" s="20"/>
      <c r="Z1280" s="20"/>
      <c r="AA1280" s="20"/>
      <c r="AB1280" s="20"/>
      <c r="AC1280" s="20"/>
      <c r="AD1280" s="9"/>
      <c r="AE1280" s="1" t="s">
        <v>1064</v>
      </c>
      <c r="AF1280" s="1"/>
      <c r="AG1280" s="1"/>
    </row>
    <row r="1281" spans="1:33" s="81" customFormat="1" ht="38.25" x14ac:dyDescent="0.2">
      <c r="A1281" s="13">
        <f t="shared" si="54"/>
        <v>105</v>
      </c>
      <c r="B1281" s="11"/>
      <c r="C1281" s="84" t="s">
        <v>1581</v>
      </c>
      <c r="D1281" s="2"/>
      <c r="E1281" s="2"/>
      <c r="F1281" s="1"/>
      <c r="G1281" s="1"/>
      <c r="H1281" s="78"/>
      <c r="I1281" s="78"/>
      <c r="J1281" s="5" t="str">
        <f>IF(G1281&lt;&gt;0,VLOOKUP(G1281,[7]GIA!$L$2:$O$200,3,0)," ")</f>
        <v xml:space="preserve"> </v>
      </c>
      <c r="K1281" s="5" t="str">
        <f>IF(G1281&lt;&gt;0,VLOOKUP(G1281,[7]GIA!$L$2:$O$200,4,0)," ")</f>
        <v xml:space="preserve"> </v>
      </c>
      <c r="L1281" s="4" t="str">
        <f t="shared" si="56"/>
        <v xml:space="preserve"> </v>
      </c>
      <c r="M1281" s="4" t="str">
        <f t="shared" si="57"/>
        <v xml:space="preserve"> </v>
      </c>
      <c r="N1281" s="1"/>
      <c r="O1281" s="5"/>
      <c r="P1281" s="3" t="str">
        <f>IF(N1281&lt;&gt;0,VLOOKUP(N1281,[7]GIA!$A$2:$C$200,3,0)," ")</f>
        <v xml:space="preserve"> </v>
      </c>
      <c r="Q1281" s="4" t="str">
        <f t="shared" si="55"/>
        <v xml:space="preserve"> </v>
      </c>
      <c r="R1281" s="47"/>
      <c r="S1281" s="13"/>
      <c r="T1281" s="6"/>
      <c r="U1281" s="80"/>
      <c r="V1281" s="4" t="str">
        <f>IF(R1281&lt;&gt;0,VLOOKUP(R1281,[7]GIA!$F$2:$H$200,3,0)," ")</f>
        <v xml:space="preserve"> </v>
      </c>
      <c r="W1281" s="32" t="str">
        <f t="shared" si="58"/>
        <v xml:space="preserve"> </v>
      </c>
      <c r="X1281" s="18"/>
      <c r="Y1281" s="20"/>
      <c r="Z1281" s="20"/>
      <c r="AA1281" s="20"/>
      <c r="AB1281" s="20"/>
      <c r="AC1281" s="20"/>
      <c r="AD1281" s="9"/>
      <c r="AE1281" s="2" t="s">
        <v>809</v>
      </c>
      <c r="AF1281" s="2"/>
      <c r="AG1281" s="2"/>
    </row>
    <row r="1282" spans="1:33" s="81" customFormat="1" ht="12.75" x14ac:dyDescent="0.2">
      <c r="A1282" s="13">
        <f t="shared" si="54"/>
        <v>105</v>
      </c>
      <c r="B1282" s="11"/>
      <c r="C1282" s="1"/>
      <c r="D1282" s="2"/>
      <c r="E1282" s="2"/>
      <c r="F1282" s="1"/>
      <c r="G1282" s="1"/>
      <c r="H1282" s="78"/>
      <c r="I1282" s="78"/>
      <c r="J1282" s="5" t="str">
        <f>IF(G1282&lt;&gt;0,VLOOKUP(G1282,[7]GIA!$L$2:$O$200,3,0)," ")</f>
        <v xml:space="preserve"> </v>
      </c>
      <c r="K1282" s="5" t="str">
        <f>IF(G1282&lt;&gt;0,VLOOKUP(G1282,[7]GIA!$L$2:$O$200,4,0)," ")</f>
        <v xml:space="preserve"> </v>
      </c>
      <c r="L1282" s="4" t="str">
        <f t="shared" si="56"/>
        <v xml:space="preserve"> </v>
      </c>
      <c r="M1282" s="4" t="str">
        <f t="shared" si="57"/>
        <v xml:space="preserve"> </v>
      </c>
      <c r="N1282" s="1"/>
      <c r="O1282" s="5"/>
      <c r="P1282" s="3" t="str">
        <f>IF(N1282&lt;&gt;0,VLOOKUP(N1282,[7]GIA!$A$2:$C$200,3,0)," ")</f>
        <v xml:space="preserve"> </v>
      </c>
      <c r="Q1282" s="4" t="str">
        <f t="shared" si="55"/>
        <v xml:space="preserve"> </v>
      </c>
      <c r="R1282" s="47"/>
      <c r="S1282" s="13"/>
      <c r="T1282" s="6"/>
      <c r="U1282" s="80"/>
      <c r="V1282" s="4" t="str">
        <f>IF(R1282&lt;&gt;0,VLOOKUP(R1282,[7]GIA!$F$2:$H$200,3,0)," ")</f>
        <v xml:space="preserve"> </v>
      </c>
      <c r="W1282" s="32" t="str">
        <f t="shared" si="58"/>
        <v xml:space="preserve"> </v>
      </c>
      <c r="X1282" s="18"/>
      <c r="Y1282" s="20"/>
      <c r="Z1282" s="20"/>
      <c r="AA1282" s="20"/>
      <c r="AB1282" s="20"/>
      <c r="AC1282" s="20"/>
      <c r="AD1282" s="9"/>
      <c r="AE1282" s="1"/>
      <c r="AF1282" s="1"/>
      <c r="AG1282" s="1"/>
    </row>
    <row r="1283" spans="1:33" s="81" customFormat="1" ht="12.75" x14ac:dyDescent="0.2">
      <c r="A1283" s="13">
        <f t="shared" si="54"/>
        <v>105</v>
      </c>
      <c r="B1283" s="11"/>
      <c r="C1283" s="1"/>
      <c r="D1283" s="2"/>
      <c r="E1283" s="2"/>
      <c r="F1283" s="1"/>
      <c r="G1283" s="1"/>
      <c r="H1283" s="78"/>
      <c r="I1283" s="78"/>
      <c r="J1283" s="5" t="str">
        <f>IF(G1283&lt;&gt;0,VLOOKUP(G1283,[7]GIA!$L$2:$O$200,3,0)," ")</f>
        <v xml:space="preserve"> </v>
      </c>
      <c r="K1283" s="5" t="str">
        <f>IF(G1283&lt;&gt;0,VLOOKUP(G1283,[7]GIA!$L$2:$O$200,4,0)," ")</f>
        <v xml:space="preserve"> </v>
      </c>
      <c r="L1283" s="4" t="str">
        <f t="shared" si="56"/>
        <v xml:space="preserve"> </v>
      </c>
      <c r="M1283" s="4" t="str">
        <f t="shared" si="57"/>
        <v xml:space="preserve"> </v>
      </c>
      <c r="N1283" s="1"/>
      <c r="O1283" s="5"/>
      <c r="P1283" s="3" t="str">
        <f>IF(N1283&lt;&gt;0,VLOOKUP(N1283,[7]GIA!$A$2:$C$200,3,0)," ")</f>
        <v xml:space="preserve"> </v>
      </c>
      <c r="Q1283" s="4" t="str">
        <f t="shared" si="55"/>
        <v xml:space="preserve"> </v>
      </c>
      <c r="R1283" s="47"/>
      <c r="S1283" s="13"/>
      <c r="T1283" s="6"/>
      <c r="U1283" s="80"/>
      <c r="V1283" s="4" t="str">
        <f>IF(R1283&lt;&gt;0,VLOOKUP(R1283,[7]GIA!$F$2:$H$200,3,0)," ")</f>
        <v xml:space="preserve"> </v>
      </c>
      <c r="W1283" s="32" t="str">
        <f t="shared" si="58"/>
        <v xml:space="preserve"> </v>
      </c>
      <c r="X1283" s="18"/>
      <c r="Y1283" s="20"/>
      <c r="Z1283" s="20"/>
      <c r="AA1283" s="20"/>
      <c r="AB1283" s="20"/>
      <c r="AC1283" s="20"/>
      <c r="AD1283" s="9"/>
      <c r="AE1283" s="1"/>
      <c r="AF1283" s="1"/>
      <c r="AG1283" s="1"/>
    </row>
    <row r="1284" spans="1:33" s="81" customFormat="1" ht="25.5" x14ac:dyDescent="0.2">
      <c r="A1284" s="13">
        <f t="shared" si="54"/>
        <v>106</v>
      </c>
      <c r="B1284" s="11">
        <v>106</v>
      </c>
      <c r="C1284" s="21" t="s">
        <v>1065</v>
      </c>
      <c r="D1284" s="2">
        <v>8</v>
      </c>
      <c r="E1284" s="2">
        <v>86</v>
      </c>
      <c r="F1284" s="1">
        <v>229</v>
      </c>
      <c r="G1284" s="1" t="s">
        <v>855</v>
      </c>
      <c r="H1284" s="78">
        <v>100</v>
      </c>
      <c r="I1284" s="78"/>
      <c r="J1284" s="5"/>
      <c r="K1284" s="5"/>
      <c r="L1284" s="4"/>
      <c r="M1284" s="4"/>
      <c r="N1284" s="1"/>
      <c r="O1284" s="5"/>
      <c r="P1284" s="3" t="str">
        <f>IF(N1284&lt;&gt;0,VLOOKUP(N1284,[7]GIA!$A$2:$C$200,3,0)," ")</f>
        <v xml:space="preserve"> </v>
      </c>
      <c r="Q1284" s="4" t="str">
        <f t="shared" si="55"/>
        <v xml:space="preserve"> </v>
      </c>
      <c r="R1284" s="47"/>
      <c r="S1284" s="13"/>
      <c r="T1284" s="6"/>
      <c r="U1284" s="80"/>
      <c r="V1284" s="4" t="str">
        <f>IF(R1284&lt;&gt;0,VLOOKUP(R1284,[7]GIA!$F$2:$H$200,3,0)," ")</f>
        <v xml:space="preserve"> </v>
      </c>
      <c r="W1284" s="32" t="str">
        <f t="shared" si="58"/>
        <v xml:space="preserve"> </v>
      </c>
      <c r="X1284" s="18"/>
      <c r="Y1284" s="20"/>
      <c r="Z1284" s="20"/>
      <c r="AA1284" s="20"/>
      <c r="AB1284" s="20"/>
      <c r="AC1284" s="20"/>
      <c r="AD1284" s="9"/>
      <c r="AE1284" s="1" t="s">
        <v>1066</v>
      </c>
      <c r="AF1284" s="1"/>
      <c r="AG1284" s="1"/>
    </row>
    <row r="1285" spans="1:33" s="81" customFormat="1" ht="28.5" x14ac:dyDescent="0.2">
      <c r="A1285" s="13">
        <f t="shared" si="54"/>
        <v>106</v>
      </c>
      <c r="B1285" s="11"/>
      <c r="C1285" s="1" t="s">
        <v>1067</v>
      </c>
      <c r="D1285" s="2"/>
      <c r="E1285" s="2"/>
      <c r="F1285" s="1"/>
      <c r="G1285" s="1"/>
      <c r="H1285" s="78"/>
      <c r="I1285" s="78"/>
      <c r="J1285" s="5" t="str">
        <f>IF(G1285&lt;&gt;0,VLOOKUP(G1285,[7]GIA!$L$2:$O$200,3,0)," ")</f>
        <v xml:space="preserve"> </v>
      </c>
      <c r="K1285" s="5" t="str">
        <f>IF(G1285&lt;&gt;0,VLOOKUP(G1285,[7]GIA!$L$2:$O$200,4,0)," ")</f>
        <v xml:space="preserve"> </v>
      </c>
      <c r="L1285" s="4" t="str">
        <f t="shared" si="56"/>
        <v xml:space="preserve"> </v>
      </c>
      <c r="M1285" s="4" t="str">
        <f t="shared" si="57"/>
        <v xml:space="preserve"> </v>
      </c>
      <c r="N1285" s="1"/>
      <c r="O1285" s="5"/>
      <c r="P1285" s="3" t="str">
        <f>IF(N1285&lt;&gt;0,VLOOKUP(N1285,[7]GIA!$A$2:$C$200,3,0)," ")</f>
        <v xml:space="preserve"> </v>
      </c>
      <c r="Q1285" s="4" t="str">
        <f t="shared" si="55"/>
        <v xml:space="preserve"> </v>
      </c>
      <c r="R1285" s="47"/>
      <c r="S1285" s="13"/>
      <c r="T1285" s="13"/>
      <c r="U1285" s="80"/>
      <c r="V1285" s="4" t="str">
        <f>IF(R1285&lt;&gt;0,VLOOKUP(R1285,[7]GIA!$F$2:$H$200,3,0)," ")</f>
        <v xml:space="preserve"> </v>
      </c>
      <c r="W1285" s="32" t="str">
        <f t="shared" si="58"/>
        <v xml:space="preserve"> </v>
      </c>
      <c r="X1285" s="18"/>
      <c r="Y1285" s="20"/>
      <c r="Z1285" s="20"/>
      <c r="AA1285" s="20"/>
      <c r="AB1285" s="20"/>
      <c r="AC1285" s="20"/>
      <c r="AD1285" s="9"/>
      <c r="AE1285" s="1" t="s">
        <v>1068</v>
      </c>
      <c r="AF1285" s="1"/>
      <c r="AG1285" s="1"/>
    </row>
    <row r="1286" spans="1:33" s="81" customFormat="1" ht="38.25" x14ac:dyDescent="0.2">
      <c r="A1286" s="13">
        <f t="shared" si="54"/>
        <v>106</v>
      </c>
      <c r="B1286" s="11"/>
      <c r="C1286" s="84" t="s">
        <v>1582</v>
      </c>
      <c r="D1286" s="2"/>
      <c r="E1286" s="2"/>
      <c r="F1286" s="1"/>
      <c r="G1286" s="1"/>
      <c r="H1286" s="78"/>
      <c r="I1286" s="78"/>
      <c r="J1286" s="5" t="str">
        <f>IF(G1286&lt;&gt;0,VLOOKUP(G1286,[7]GIA!$L$2:$O$200,3,0)," ")</f>
        <v xml:space="preserve"> </v>
      </c>
      <c r="K1286" s="5" t="str">
        <f>IF(G1286&lt;&gt;0,VLOOKUP(G1286,[7]GIA!$L$2:$O$200,4,0)," ")</f>
        <v xml:space="preserve"> </v>
      </c>
      <c r="L1286" s="4" t="str">
        <f t="shared" si="56"/>
        <v xml:space="preserve"> </v>
      </c>
      <c r="M1286" s="4" t="str">
        <f t="shared" si="57"/>
        <v xml:space="preserve"> </v>
      </c>
      <c r="N1286" s="1"/>
      <c r="O1286" s="5"/>
      <c r="P1286" s="3" t="str">
        <f>IF(N1286&lt;&gt;0,VLOOKUP(N1286,[7]GIA!$A$2:$C$200,3,0)," ")</f>
        <v xml:space="preserve"> </v>
      </c>
      <c r="Q1286" s="4" t="str">
        <f t="shared" si="55"/>
        <v xml:space="preserve"> </v>
      </c>
      <c r="R1286" s="47"/>
      <c r="S1286" s="13"/>
      <c r="T1286" s="6"/>
      <c r="U1286" s="80"/>
      <c r="V1286" s="4" t="str">
        <f>IF(R1286&lt;&gt;0,VLOOKUP(R1286,[7]GIA!$F$2:$H$200,3,0)," ")</f>
        <v xml:space="preserve"> </v>
      </c>
      <c r="W1286" s="32" t="str">
        <f t="shared" si="58"/>
        <v xml:space="preserve"> </v>
      </c>
      <c r="X1286" s="18"/>
      <c r="Y1286" s="20"/>
      <c r="Z1286" s="20"/>
      <c r="AA1286" s="20"/>
      <c r="AB1286" s="20"/>
      <c r="AC1286" s="20"/>
      <c r="AD1286" s="9"/>
      <c r="AE1286" s="2" t="s">
        <v>809</v>
      </c>
      <c r="AF1286" s="2"/>
      <c r="AG1286" s="2"/>
    </row>
    <row r="1287" spans="1:33" s="81" customFormat="1" ht="12.75" x14ac:dyDescent="0.2">
      <c r="A1287" s="13">
        <f t="shared" si="54"/>
        <v>106</v>
      </c>
      <c r="B1287" s="11"/>
      <c r="C1287" s="1"/>
      <c r="D1287" s="2"/>
      <c r="E1287" s="2"/>
      <c r="F1287" s="1"/>
      <c r="G1287" s="1"/>
      <c r="H1287" s="78"/>
      <c r="I1287" s="78"/>
      <c r="J1287" s="5" t="str">
        <f>IF(G1287&lt;&gt;0,VLOOKUP(G1287,[7]GIA!$L$2:$O$200,3,0)," ")</f>
        <v xml:space="preserve"> </v>
      </c>
      <c r="K1287" s="5" t="str">
        <f>IF(G1287&lt;&gt;0,VLOOKUP(G1287,[7]GIA!$L$2:$O$200,4,0)," ")</f>
        <v xml:space="preserve"> </v>
      </c>
      <c r="L1287" s="4" t="str">
        <f t="shared" si="56"/>
        <v xml:space="preserve"> </v>
      </c>
      <c r="M1287" s="4" t="str">
        <f t="shared" si="57"/>
        <v xml:space="preserve"> </v>
      </c>
      <c r="N1287" s="1"/>
      <c r="O1287" s="5"/>
      <c r="P1287" s="3" t="str">
        <f>IF(N1287&lt;&gt;0,VLOOKUP(N1287,[7]GIA!$A$2:$C$200,3,0)," ")</f>
        <v xml:space="preserve"> </v>
      </c>
      <c r="Q1287" s="4" t="str">
        <f t="shared" si="55"/>
        <v xml:space="preserve"> </v>
      </c>
      <c r="R1287" s="47"/>
      <c r="S1287" s="13"/>
      <c r="T1287" s="6"/>
      <c r="U1287" s="80"/>
      <c r="V1287" s="4" t="str">
        <f>IF(R1287&lt;&gt;0,VLOOKUP(R1287,[7]GIA!$F$2:$H$200,3,0)," ")</f>
        <v xml:space="preserve"> </v>
      </c>
      <c r="W1287" s="32" t="str">
        <f t="shared" si="58"/>
        <v xml:space="preserve"> </v>
      </c>
      <c r="X1287" s="18"/>
      <c r="Y1287" s="20"/>
      <c r="Z1287" s="20"/>
      <c r="AA1287" s="20"/>
      <c r="AB1287" s="20"/>
      <c r="AC1287" s="20"/>
      <c r="AD1287" s="9"/>
      <c r="AE1287" s="1"/>
      <c r="AF1287" s="1"/>
      <c r="AG1287" s="1"/>
    </row>
    <row r="1288" spans="1:33" s="81" customFormat="1" ht="12.75" x14ac:dyDescent="0.2">
      <c r="A1288" s="13">
        <f t="shared" si="54"/>
        <v>106</v>
      </c>
      <c r="B1288" s="11"/>
      <c r="C1288" s="1"/>
      <c r="D1288" s="2"/>
      <c r="E1288" s="2"/>
      <c r="F1288" s="1"/>
      <c r="G1288" s="1"/>
      <c r="H1288" s="78"/>
      <c r="I1288" s="78"/>
      <c r="J1288" s="5" t="str">
        <f>IF(G1288&lt;&gt;0,VLOOKUP(G1288,[7]GIA!$L$2:$O$200,3,0)," ")</f>
        <v xml:space="preserve"> </v>
      </c>
      <c r="K1288" s="5" t="str">
        <f>IF(G1288&lt;&gt;0,VLOOKUP(G1288,[7]GIA!$L$2:$O$200,4,0)," ")</f>
        <v xml:space="preserve"> </v>
      </c>
      <c r="L1288" s="4" t="str">
        <f t="shared" si="56"/>
        <v xml:space="preserve"> </v>
      </c>
      <c r="M1288" s="4" t="str">
        <f t="shared" si="57"/>
        <v xml:space="preserve"> </v>
      </c>
      <c r="N1288" s="1"/>
      <c r="O1288" s="5"/>
      <c r="P1288" s="3" t="str">
        <f>IF(N1288&lt;&gt;0,VLOOKUP(N1288,[7]GIA!$A$2:$C$200,3,0)," ")</f>
        <v xml:space="preserve"> </v>
      </c>
      <c r="Q1288" s="4" t="str">
        <f t="shared" si="55"/>
        <v xml:space="preserve"> </v>
      </c>
      <c r="R1288" s="47"/>
      <c r="S1288" s="13"/>
      <c r="T1288" s="6"/>
      <c r="U1288" s="80"/>
      <c r="V1288" s="4" t="str">
        <f>IF(R1288&lt;&gt;0,VLOOKUP(R1288,[7]GIA!$F$2:$H$200,3,0)," ")</f>
        <v xml:space="preserve"> </v>
      </c>
      <c r="W1288" s="32" t="str">
        <f t="shared" si="58"/>
        <v xml:space="preserve"> </v>
      </c>
      <c r="X1288" s="18"/>
      <c r="Y1288" s="20"/>
      <c r="Z1288" s="20"/>
      <c r="AA1288" s="20"/>
      <c r="AB1288" s="20"/>
      <c r="AC1288" s="20"/>
      <c r="AD1288" s="9"/>
      <c r="AE1288" s="1"/>
      <c r="AF1288" s="1"/>
      <c r="AG1288" s="1"/>
    </row>
    <row r="1289" spans="1:33" s="81" customFormat="1" ht="12.75" x14ac:dyDescent="0.2">
      <c r="A1289" s="13">
        <f t="shared" si="54"/>
        <v>106</v>
      </c>
      <c r="B1289" s="11"/>
      <c r="C1289" s="1"/>
      <c r="D1289" s="2"/>
      <c r="E1289" s="2"/>
      <c r="F1289" s="1"/>
      <c r="G1289" s="1"/>
      <c r="H1289" s="78"/>
      <c r="I1289" s="78"/>
      <c r="J1289" s="5" t="str">
        <f>IF(G1289&lt;&gt;0,VLOOKUP(G1289,[7]GIA!$L$2:$O$200,3,0)," ")</f>
        <v xml:space="preserve"> </v>
      </c>
      <c r="K1289" s="5" t="str">
        <f>IF(G1289&lt;&gt;0,VLOOKUP(G1289,[7]GIA!$L$2:$O$200,4,0)," ")</f>
        <v xml:space="preserve"> </v>
      </c>
      <c r="L1289" s="4" t="str">
        <f t="shared" si="56"/>
        <v xml:space="preserve"> </v>
      </c>
      <c r="M1289" s="4" t="str">
        <f t="shared" si="57"/>
        <v xml:space="preserve"> </v>
      </c>
      <c r="N1289" s="1"/>
      <c r="O1289" s="5"/>
      <c r="P1289" s="3" t="str">
        <f>IF(N1289&lt;&gt;0,VLOOKUP(N1289,[7]GIA!$A$2:$C$200,3,0)," ")</f>
        <v xml:space="preserve"> </v>
      </c>
      <c r="Q1289" s="4" t="str">
        <f t="shared" si="55"/>
        <v xml:space="preserve"> </v>
      </c>
      <c r="R1289" s="47"/>
      <c r="S1289" s="13"/>
      <c r="T1289" s="13"/>
      <c r="U1289" s="80"/>
      <c r="V1289" s="4" t="str">
        <f>IF(R1289&lt;&gt;0,VLOOKUP(R1289,[7]GIA!$F$2:$H$200,3,0)," ")</f>
        <v xml:space="preserve"> </v>
      </c>
      <c r="W1289" s="32" t="str">
        <f t="shared" si="58"/>
        <v xml:space="preserve"> </v>
      </c>
      <c r="X1289" s="18"/>
      <c r="Y1289" s="20"/>
      <c r="Z1289" s="20"/>
      <c r="AA1289" s="20"/>
      <c r="AB1289" s="20"/>
      <c r="AC1289" s="20"/>
      <c r="AD1289" s="9"/>
      <c r="AE1289" s="1"/>
      <c r="AF1289" s="1"/>
      <c r="AG1289" s="1"/>
    </row>
    <row r="1290" spans="1:33" s="81" customFormat="1" ht="25.5" x14ac:dyDescent="0.2">
      <c r="A1290" s="13">
        <f t="shared" si="54"/>
        <v>107</v>
      </c>
      <c r="B1290" s="11">
        <v>107</v>
      </c>
      <c r="C1290" s="21" t="s">
        <v>1069</v>
      </c>
      <c r="D1290" s="2">
        <v>8</v>
      </c>
      <c r="E1290" s="2">
        <v>86</v>
      </c>
      <c r="F1290" s="1">
        <v>229</v>
      </c>
      <c r="G1290" s="1" t="s">
        <v>855</v>
      </c>
      <c r="H1290" s="78">
        <v>200</v>
      </c>
      <c r="I1290" s="78"/>
      <c r="J1290" s="5"/>
      <c r="K1290" s="5"/>
      <c r="L1290" s="4"/>
      <c r="M1290" s="4"/>
      <c r="N1290" s="1"/>
      <c r="O1290" s="5"/>
      <c r="P1290" s="3" t="str">
        <f>IF(N1290&lt;&gt;0,VLOOKUP(N1290,[7]GIA!$A$2:$C$200,3,0)," ")</f>
        <v xml:space="preserve"> </v>
      </c>
      <c r="Q1290" s="4" t="str">
        <f t="shared" si="55"/>
        <v xml:space="preserve"> </v>
      </c>
      <c r="R1290" s="47"/>
      <c r="S1290" s="13"/>
      <c r="T1290" s="6"/>
      <c r="U1290" s="80"/>
      <c r="V1290" s="4" t="str">
        <f>IF(R1290&lt;&gt;0,VLOOKUP(R1290,[7]GIA!$F$2:$H$200,3,0)," ")</f>
        <v xml:space="preserve"> </v>
      </c>
      <c r="W1290" s="32" t="str">
        <f t="shared" si="58"/>
        <v xml:space="preserve"> </v>
      </c>
      <c r="X1290" s="18"/>
      <c r="Y1290" s="20"/>
      <c r="Z1290" s="20"/>
      <c r="AA1290" s="20"/>
      <c r="AB1290" s="20"/>
      <c r="AC1290" s="20"/>
      <c r="AD1290" s="9"/>
      <c r="AE1290" s="1" t="s">
        <v>1070</v>
      </c>
      <c r="AF1290" s="1"/>
      <c r="AG1290" s="1"/>
    </row>
    <row r="1291" spans="1:33" s="81" customFormat="1" ht="28.5" x14ac:dyDescent="0.2">
      <c r="A1291" s="13">
        <f t="shared" si="54"/>
        <v>107</v>
      </c>
      <c r="B1291" s="11"/>
      <c r="C1291" s="1" t="s">
        <v>1071</v>
      </c>
      <c r="D1291" s="2"/>
      <c r="E1291" s="2"/>
      <c r="F1291" s="1"/>
      <c r="G1291" s="1"/>
      <c r="H1291" s="78"/>
      <c r="I1291" s="78"/>
      <c r="J1291" s="5" t="str">
        <f>IF(G1291&lt;&gt;0,VLOOKUP(G1291,[7]GIA!$L$2:$O$200,3,0)," ")</f>
        <v xml:space="preserve"> </v>
      </c>
      <c r="K1291" s="5" t="str">
        <f>IF(G1291&lt;&gt;0,VLOOKUP(G1291,[7]GIA!$L$2:$O$200,4,0)," ")</f>
        <v xml:space="preserve"> </v>
      </c>
      <c r="L1291" s="4" t="str">
        <f t="shared" si="56"/>
        <v xml:space="preserve"> </v>
      </c>
      <c r="M1291" s="4" t="str">
        <f t="shared" si="57"/>
        <v xml:space="preserve"> </v>
      </c>
      <c r="N1291" s="1"/>
      <c r="O1291" s="5"/>
      <c r="P1291" s="3" t="str">
        <f>IF(N1291&lt;&gt;0,VLOOKUP(N1291,[7]GIA!$A$2:$C$200,3,0)," ")</f>
        <v xml:space="preserve"> </v>
      </c>
      <c r="Q1291" s="4" t="str">
        <f t="shared" si="55"/>
        <v xml:space="preserve"> </v>
      </c>
      <c r="R1291" s="47"/>
      <c r="S1291" s="13"/>
      <c r="T1291" s="13"/>
      <c r="U1291" s="80"/>
      <c r="V1291" s="4" t="str">
        <f>IF(R1291&lt;&gt;0,VLOOKUP(R1291,[7]GIA!$F$2:$H$200,3,0)," ")</f>
        <v xml:space="preserve"> </v>
      </c>
      <c r="W1291" s="32" t="str">
        <f t="shared" si="58"/>
        <v xml:space="preserve"> </v>
      </c>
      <c r="X1291" s="18"/>
      <c r="Y1291" s="20"/>
      <c r="Z1291" s="20"/>
      <c r="AA1291" s="20"/>
      <c r="AB1291" s="20"/>
      <c r="AC1291" s="20"/>
      <c r="AD1291" s="9"/>
      <c r="AE1291" s="1" t="s">
        <v>1072</v>
      </c>
      <c r="AF1291" s="1"/>
      <c r="AG1291" s="1"/>
    </row>
    <row r="1292" spans="1:33" s="81" customFormat="1" ht="25.5" x14ac:dyDescent="0.2">
      <c r="A1292" s="13">
        <f t="shared" si="54"/>
        <v>107</v>
      </c>
      <c r="B1292" s="11"/>
      <c r="C1292" s="84" t="s">
        <v>1583</v>
      </c>
      <c r="D1292" s="2"/>
      <c r="E1292" s="2"/>
      <c r="F1292" s="1"/>
      <c r="G1292" s="1"/>
      <c r="H1292" s="78"/>
      <c r="I1292" s="78"/>
      <c r="J1292" s="5" t="str">
        <f>IF(G1292&lt;&gt;0,VLOOKUP(G1292,[7]GIA!$L$2:$O$200,3,0)," ")</f>
        <v xml:space="preserve"> </v>
      </c>
      <c r="K1292" s="5" t="str">
        <f>IF(G1292&lt;&gt;0,VLOOKUP(G1292,[7]GIA!$L$2:$O$200,4,0)," ")</f>
        <v xml:space="preserve"> </v>
      </c>
      <c r="L1292" s="4" t="str">
        <f t="shared" si="56"/>
        <v xml:space="preserve"> </v>
      </c>
      <c r="M1292" s="4" t="str">
        <f t="shared" si="57"/>
        <v xml:space="preserve"> </v>
      </c>
      <c r="N1292" s="1"/>
      <c r="O1292" s="5"/>
      <c r="P1292" s="3" t="str">
        <f>IF(N1292&lt;&gt;0,VLOOKUP(N1292,[7]GIA!$A$2:$C$200,3,0)," ")</f>
        <v xml:space="preserve"> </v>
      </c>
      <c r="Q1292" s="4" t="str">
        <f t="shared" si="55"/>
        <v xml:space="preserve"> </v>
      </c>
      <c r="R1292" s="47"/>
      <c r="S1292" s="13"/>
      <c r="T1292" s="6"/>
      <c r="U1292" s="80"/>
      <c r="V1292" s="4" t="str">
        <f>IF(R1292&lt;&gt;0,VLOOKUP(R1292,[7]GIA!$F$2:$H$200,3,0)," ")</f>
        <v xml:space="preserve"> </v>
      </c>
      <c r="W1292" s="32" t="str">
        <f t="shared" si="58"/>
        <v xml:space="preserve"> </v>
      </c>
      <c r="X1292" s="18"/>
      <c r="Y1292" s="20"/>
      <c r="Z1292" s="20"/>
      <c r="AA1292" s="20"/>
      <c r="AB1292" s="20"/>
      <c r="AC1292" s="20"/>
      <c r="AD1292" s="9"/>
      <c r="AE1292" s="2" t="s">
        <v>809</v>
      </c>
      <c r="AF1292" s="2"/>
      <c r="AG1292" s="2"/>
    </row>
    <row r="1293" spans="1:33" s="81" customFormat="1" ht="12.75" x14ac:dyDescent="0.2">
      <c r="A1293" s="13">
        <f t="shared" si="54"/>
        <v>107</v>
      </c>
      <c r="B1293" s="11"/>
      <c r="C1293" s="1"/>
      <c r="D1293" s="2"/>
      <c r="E1293" s="2"/>
      <c r="F1293" s="1"/>
      <c r="G1293" s="1"/>
      <c r="H1293" s="78"/>
      <c r="I1293" s="78"/>
      <c r="J1293" s="5" t="str">
        <f>IF(G1293&lt;&gt;0,VLOOKUP(G1293,[7]GIA!$L$2:$O$200,3,0)," ")</f>
        <v xml:space="preserve"> </v>
      </c>
      <c r="K1293" s="5" t="str">
        <f>IF(G1293&lt;&gt;0,VLOOKUP(G1293,[7]GIA!$L$2:$O$200,4,0)," ")</f>
        <v xml:space="preserve"> </v>
      </c>
      <c r="L1293" s="4" t="str">
        <f t="shared" si="56"/>
        <v xml:space="preserve"> </v>
      </c>
      <c r="M1293" s="4" t="str">
        <f t="shared" si="57"/>
        <v xml:space="preserve"> </v>
      </c>
      <c r="N1293" s="1"/>
      <c r="O1293" s="5"/>
      <c r="P1293" s="3" t="str">
        <f>IF(N1293&lt;&gt;0,VLOOKUP(N1293,[7]GIA!$A$2:$C$200,3,0)," ")</f>
        <v xml:space="preserve"> </v>
      </c>
      <c r="Q1293" s="4" t="str">
        <f t="shared" si="55"/>
        <v xml:space="preserve"> </v>
      </c>
      <c r="R1293" s="47"/>
      <c r="S1293" s="13"/>
      <c r="T1293" s="6"/>
      <c r="U1293" s="80"/>
      <c r="V1293" s="4" t="str">
        <f>IF(R1293&lt;&gt;0,VLOOKUP(R1293,[7]GIA!$F$2:$H$200,3,0)," ")</f>
        <v xml:space="preserve"> </v>
      </c>
      <c r="W1293" s="32" t="str">
        <f t="shared" si="58"/>
        <v xml:space="preserve"> </v>
      </c>
      <c r="X1293" s="18"/>
      <c r="Y1293" s="20"/>
      <c r="Z1293" s="20"/>
      <c r="AA1293" s="20"/>
      <c r="AB1293" s="20"/>
      <c r="AC1293" s="20"/>
      <c r="AD1293" s="9"/>
      <c r="AE1293" s="1"/>
      <c r="AF1293" s="1"/>
      <c r="AG1293" s="1"/>
    </row>
    <row r="1294" spans="1:33" s="81" customFormat="1" ht="12.75" x14ac:dyDescent="0.2">
      <c r="A1294" s="13">
        <f t="shared" si="54"/>
        <v>107</v>
      </c>
      <c r="B1294" s="11"/>
      <c r="C1294" s="1"/>
      <c r="D1294" s="2"/>
      <c r="E1294" s="2"/>
      <c r="F1294" s="1"/>
      <c r="G1294" s="1"/>
      <c r="H1294" s="78"/>
      <c r="I1294" s="78"/>
      <c r="J1294" s="5" t="str">
        <f>IF(G1294&lt;&gt;0,VLOOKUP(G1294,[7]GIA!$L$2:$O$200,3,0)," ")</f>
        <v xml:space="preserve"> </v>
      </c>
      <c r="K1294" s="5" t="str">
        <f>IF(G1294&lt;&gt;0,VLOOKUP(G1294,[7]GIA!$L$2:$O$200,4,0)," ")</f>
        <v xml:space="preserve"> </v>
      </c>
      <c r="L1294" s="4" t="str">
        <f t="shared" si="56"/>
        <v xml:space="preserve"> </v>
      </c>
      <c r="M1294" s="4" t="str">
        <f t="shared" si="57"/>
        <v xml:space="preserve"> </v>
      </c>
      <c r="N1294" s="1"/>
      <c r="O1294" s="5"/>
      <c r="P1294" s="3" t="str">
        <f>IF(N1294&lt;&gt;0,VLOOKUP(N1294,[7]GIA!$A$2:$C$200,3,0)," ")</f>
        <v xml:space="preserve"> </v>
      </c>
      <c r="Q1294" s="4" t="str">
        <f t="shared" si="55"/>
        <v xml:space="preserve"> </v>
      </c>
      <c r="R1294" s="47"/>
      <c r="S1294" s="13"/>
      <c r="T1294" s="6"/>
      <c r="U1294" s="80"/>
      <c r="V1294" s="4" t="str">
        <f>IF(R1294&lt;&gt;0,VLOOKUP(R1294,[7]GIA!$F$2:$H$200,3,0)," ")</f>
        <v xml:space="preserve"> </v>
      </c>
      <c r="W1294" s="32" t="str">
        <f t="shared" si="58"/>
        <v xml:space="preserve"> </v>
      </c>
      <c r="X1294" s="18"/>
      <c r="Y1294" s="20"/>
      <c r="Z1294" s="20"/>
      <c r="AA1294" s="20"/>
      <c r="AB1294" s="20"/>
      <c r="AC1294" s="20"/>
      <c r="AD1294" s="9"/>
      <c r="AE1294" s="1"/>
      <c r="AF1294" s="1"/>
      <c r="AG1294" s="1"/>
    </row>
    <row r="1295" spans="1:33" s="81" customFormat="1" ht="25.5" x14ac:dyDescent="0.2">
      <c r="A1295" s="13">
        <f t="shared" si="54"/>
        <v>108</v>
      </c>
      <c r="B1295" s="11">
        <v>108</v>
      </c>
      <c r="C1295" s="21" t="s">
        <v>1073</v>
      </c>
      <c r="D1295" s="2">
        <v>4</v>
      </c>
      <c r="E1295" s="2">
        <v>86</v>
      </c>
      <c r="F1295" s="1">
        <v>231</v>
      </c>
      <c r="G1295" s="1" t="s">
        <v>855</v>
      </c>
      <c r="H1295" s="78">
        <v>100</v>
      </c>
      <c r="I1295" s="78"/>
      <c r="J1295" s="5"/>
      <c r="K1295" s="5"/>
      <c r="L1295" s="4"/>
      <c r="M1295" s="4"/>
      <c r="N1295" s="1"/>
      <c r="O1295" s="5"/>
      <c r="P1295" s="3" t="str">
        <f>IF(N1295&lt;&gt;0,VLOOKUP(N1295,[7]GIA!$A$2:$C$200,3,0)," ")</f>
        <v xml:space="preserve"> </v>
      </c>
      <c r="Q1295" s="4" t="str">
        <f t="shared" si="55"/>
        <v xml:space="preserve"> </v>
      </c>
      <c r="R1295" s="47"/>
      <c r="S1295" s="13"/>
      <c r="T1295" s="6"/>
      <c r="U1295" s="80"/>
      <c r="V1295" s="4" t="str">
        <f>IF(R1295&lt;&gt;0,VLOOKUP(R1295,[7]GIA!$F$2:$H$200,3,0)," ")</f>
        <v xml:space="preserve"> </v>
      </c>
      <c r="W1295" s="32" t="str">
        <f t="shared" si="58"/>
        <v xml:space="preserve"> </v>
      </c>
      <c r="X1295" s="18"/>
      <c r="Y1295" s="20"/>
      <c r="Z1295" s="20"/>
      <c r="AA1295" s="20"/>
      <c r="AB1295" s="20"/>
      <c r="AC1295" s="20"/>
      <c r="AD1295" s="9"/>
      <c r="AE1295" s="1" t="s">
        <v>1074</v>
      </c>
      <c r="AF1295" s="1"/>
      <c r="AG1295" s="1"/>
    </row>
    <row r="1296" spans="1:33" s="81" customFormat="1" ht="28.5" x14ac:dyDescent="0.2">
      <c r="A1296" s="13">
        <f t="shared" si="54"/>
        <v>108</v>
      </c>
      <c r="B1296" s="11"/>
      <c r="C1296" s="1" t="s">
        <v>1075</v>
      </c>
      <c r="D1296" s="2"/>
      <c r="E1296" s="2">
        <v>86</v>
      </c>
      <c r="F1296" s="1">
        <v>214</v>
      </c>
      <c r="G1296" s="1" t="s">
        <v>855</v>
      </c>
      <c r="H1296" s="78">
        <v>100</v>
      </c>
      <c r="I1296" s="78"/>
      <c r="J1296" s="5"/>
      <c r="K1296" s="5"/>
      <c r="L1296" s="4"/>
      <c r="M1296" s="4"/>
      <c r="N1296" s="1"/>
      <c r="O1296" s="5"/>
      <c r="P1296" s="3" t="str">
        <f>IF(N1296&lt;&gt;0,VLOOKUP(N1296,[7]GIA!$A$2:$C$200,3,0)," ")</f>
        <v xml:space="preserve"> </v>
      </c>
      <c r="Q1296" s="4" t="str">
        <f t="shared" si="55"/>
        <v xml:space="preserve"> </v>
      </c>
      <c r="R1296" s="47"/>
      <c r="S1296" s="13"/>
      <c r="T1296" s="13"/>
      <c r="U1296" s="80"/>
      <c r="V1296" s="4" t="str">
        <f>IF(R1296&lt;&gt;0,VLOOKUP(R1296,[7]GIA!$F$2:$H$200,3,0)," ")</f>
        <v xml:space="preserve"> </v>
      </c>
      <c r="W1296" s="32" t="str">
        <f t="shared" si="58"/>
        <v xml:space="preserve"> </v>
      </c>
      <c r="X1296" s="18"/>
      <c r="Y1296" s="20"/>
      <c r="Z1296" s="20"/>
      <c r="AA1296" s="20"/>
      <c r="AB1296" s="20"/>
      <c r="AC1296" s="20"/>
      <c r="AD1296" s="9"/>
      <c r="AE1296" s="1" t="s">
        <v>1076</v>
      </c>
      <c r="AF1296" s="1"/>
      <c r="AG1296" s="1"/>
    </row>
    <row r="1297" spans="1:33" s="81" customFormat="1" ht="38.25" x14ac:dyDescent="0.2">
      <c r="A1297" s="13">
        <f t="shared" si="54"/>
        <v>108</v>
      </c>
      <c r="B1297" s="11"/>
      <c r="C1297" s="84" t="s">
        <v>1584</v>
      </c>
      <c r="D1297" s="2"/>
      <c r="E1297" s="2"/>
      <c r="F1297" s="1"/>
      <c r="G1297" s="1"/>
      <c r="H1297" s="78"/>
      <c r="I1297" s="78"/>
      <c r="J1297" s="5" t="str">
        <f>IF(G1297&lt;&gt;0,VLOOKUP(G1297,[7]GIA!$L$2:$O$200,3,0)," ")</f>
        <v xml:space="preserve"> </v>
      </c>
      <c r="K1297" s="5" t="str">
        <f>IF(G1297&lt;&gt;0,VLOOKUP(G1297,[7]GIA!$L$2:$O$200,4,0)," ")</f>
        <v xml:space="preserve"> </v>
      </c>
      <c r="L1297" s="4" t="str">
        <f t="shared" si="56"/>
        <v xml:space="preserve"> </v>
      </c>
      <c r="M1297" s="4" t="str">
        <f t="shared" si="57"/>
        <v xml:space="preserve"> </v>
      </c>
      <c r="N1297" s="1"/>
      <c r="O1297" s="5"/>
      <c r="P1297" s="3" t="str">
        <f>IF(N1297&lt;&gt;0,VLOOKUP(N1297,[7]GIA!$A$2:$C$200,3,0)," ")</f>
        <v xml:space="preserve"> </v>
      </c>
      <c r="Q1297" s="4" t="str">
        <f t="shared" si="55"/>
        <v xml:space="preserve"> </v>
      </c>
      <c r="R1297" s="47"/>
      <c r="S1297" s="13"/>
      <c r="T1297" s="6"/>
      <c r="U1297" s="80"/>
      <c r="V1297" s="4" t="str">
        <f>IF(R1297&lt;&gt;0,VLOOKUP(R1297,[7]GIA!$F$2:$H$200,3,0)," ")</f>
        <v xml:space="preserve"> </v>
      </c>
      <c r="W1297" s="32" t="str">
        <f t="shared" si="58"/>
        <v xml:space="preserve"> </v>
      </c>
      <c r="X1297" s="18"/>
      <c r="Y1297" s="20"/>
      <c r="Z1297" s="20"/>
      <c r="AA1297" s="20"/>
      <c r="AB1297" s="20"/>
      <c r="AC1297" s="20"/>
      <c r="AD1297" s="9"/>
      <c r="AE1297" s="1" t="s">
        <v>1077</v>
      </c>
      <c r="AF1297" s="1"/>
      <c r="AG1297" s="1"/>
    </row>
    <row r="1298" spans="1:33" s="81" customFormat="1" ht="25.5" x14ac:dyDescent="0.2">
      <c r="A1298" s="13">
        <f t="shared" si="54"/>
        <v>108</v>
      </c>
      <c r="B1298" s="11"/>
      <c r="C1298" s="1"/>
      <c r="D1298" s="2"/>
      <c r="E1298" s="2"/>
      <c r="F1298" s="1"/>
      <c r="G1298" s="1"/>
      <c r="H1298" s="78"/>
      <c r="I1298" s="78"/>
      <c r="J1298" s="5" t="str">
        <f>IF(G1298&lt;&gt;0,VLOOKUP(G1298,[7]GIA!$L$2:$O$200,3,0)," ")</f>
        <v xml:space="preserve"> </v>
      </c>
      <c r="K1298" s="5" t="str">
        <f>IF(G1298&lt;&gt;0,VLOOKUP(G1298,[7]GIA!$L$2:$O$200,4,0)," ")</f>
        <v xml:space="preserve"> </v>
      </c>
      <c r="L1298" s="4" t="str">
        <f t="shared" si="56"/>
        <v xml:space="preserve"> </v>
      </c>
      <c r="M1298" s="4" t="str">
        <f t="shared" si="57"/>
        <v xml:space="preserve"> </v>
      </c>
      <c r="N1298" s="1"/>
      <c r="O1298" s="5"/>
      <c r="P1298" s="3" t="str">
        <f>IF(N1298&lt;&gt;0,VLOOKUP(N1298,[7]GIA!$A$2:$C$200,3,0)," ")</f>
        <v xml:space="preserve"> </v>
      </c>
      <c r="Q1298" s="4" t="str">
        <f t="shared" si="55"/>
        <v xml:space="preserve"> </v>
      </c>
      <c r="R1298" s="47"/>
      <c r="S1298" s="13"/>
      <c r="T1298" s="6"/>
      <c r="U1298" s="80"/>
      <c r="V1298" s="4" t="str">
        <f>IF(R1298&lt;&gt;0,VLOOKUP(R1298,[7]GIA!$F$2:$H$200,3,0)," ")</f>
        <v xml:space="preserve"> </v>
      </c>
      <c r="W1298" s="32" t="str">
        <f t="shared" si="58"/>
        <v xml:space="preserve"> </v>
      </c>
      <c r="X1298" s="18"/>
      <c r="Y1298" s="20"/>
      <c r="Z1298" s="20"/>
      <c r="AA1298" s="20"/>
      <c r="AB1298" s="20"/>
      <c r="AC1298" s="20"/>
      <c r="AD1298" s="9"/>
      <c r="AE1298" s="1" t="s">
        <v>1078</v>
      </c>
      <c r="AF1298" s="1"/>
      <c r="AG1298" s="1"/>
    </row>
    <row r="1299" spans="1:33" s="81" customFormat="1" ht="12.75" x14ac:dyDescent="0.2">
      <c r="A1299" s="13">
        <f t="shared" si="54"/>
        <v>108</v>
      </c>
      <c r="B1299" s="11"/>
      <c r="C1299" s="1"/>
      <c r="D1299" s="2"/>
      <c r="E1299" s="2"/>
      <c r="F1299" s="1"/>
      <c r="G1299" s="1"/>
      <c r="H1299" s="78"/>
      <c r="I1299" s="78"/>
      <c r="J1299" s="5" t="str">
        <f>IF(G1299&lt;&gt;0,VLOOKUP(G1299,[7]GIA!$L$2:$O$200,3,0)," ")</f>
        <v xml:space="preserve"> </v>
      </c>
      <c r="K1299" s="5" t="str">
        <f>IF(G1299&lt;&gt;0,VLOOKUP(G1299,[7]GIA!$L$2:$O$200,4,0)," ")</f>
        <v xml:space="preserve"> </v>
      </c>
      <c r="L1299" s="4" t="str">
        <f t="shared" si="56"/>
        <v xml:space="preserve"> </v>
      </c>
      <c r="M1299" s="4" t="str">
        <f t="shared" si="57"/>
        <v xml:space="preserve"> </v>
      </c>
      <c r="N1299" s="1"/>
      <c r="O1299" s="5"/>
      <c r="P1299" s="3" t="str">
        <f>IF(N1299&lt;&gt;0,VLOOKUP(N1299,[7]GIA!$A$2:$C$200,3,0)," ")</f>
        <v xml:space="preserve"> </v>
      </c>
      <c r="Q1299" s="4" t="str">
        <f t="shared" si="55"/>
        <v xml:space="preserve"> </v>
      </c>
      <c r="R1299" s="47"/>
      <c r="S1299" s="13"/>
      <c r="T1299" s="6"/>
      <c r="U1299" s="80"/>
      <c r="V1299" s="4" t="str">
        <f>IF(R1299&lt;&gt;0,VLOOKUP(R1299,[7]GIA!$F$2:$H$200,3,0)," ")</f>
        <v xml:space="preserve"> </v>
      </c>
      <c r="W1299" s="32" t="str">
        <f t="shared" si="58"/>
        <v xml:space="preserve"> </v>
      </c>
      <c r="X1299" s="18"/>
      <c r="Y1299" s="20"/>
      <c r="Z1299" s="20"/>
      <c r="AA1299" s="20"/>
      <c r="AB1299" s="20"/>
      <c r="AC1299" s="20"/>
      <c r="AD1299" s="9"/>
      <c r="AE1299" s="2" t="s">
        <v>809</v>
      </c>
      <c r="AF1299" s="2"/>
      <c r="AG1299" s="2"/>
    </row>
    <row r="1300" spans="1:33" s="81" customFormat="1" ht="12.75" x14ac:dyDescent="0.2">
      <c r="A1300" s="13">
        <f t="shared" si="54"/>
        <v>108</v>
      </c>
      <c r="B1300" s="11"/>
      <c r="C1300" s="82"/>
      <c r="D1300" s="178"/>
      <c r="E1300" s="2"/>
      <c r="F1300" s="1"/>
      <c r="G1300" s="1"/>
      <c r="H1300" s="125"/>
      <c r="I1300" s="194"/>
      <c r="J1300" s="5" t="str">
        <f>IF(G1300&lt;&gt;0,VLOOKUP(G1300,[7]GIA!$L$2:$O$200,3,0)," ")</f>
        <v xml:space="preserve"> </v>
      </c>
      <c r="K1300" s="5" t="str">
        <f>IF(G1300&lt;&gt;0,VLOOKUP(G1300,[7]GIA!$L$2:$O$200,4,0)," ")</f>
        <v xml:space="preserve"> </v>
      </c>
      <c r="L1300" s="4" t="str">
        <f t="shared" si="56"/>
        <v xml:space="preserve"> </v>
      </c>
      <c r="M1300" s="4" t="str">
        <f t="shared" si="57"/>
        <v xml:space="preserve"> </v>
      </c>
      <c r="N1300" s="84"/>
      <c r="O1300" s="79"/>
      <c r="P1300" s="3" t="str">
        <f>IF(N1300&lt;&gt;0,VLOOKUP(N1300,[7]GIA!$A$2:$C$200,3,0)," ")</f>
        <v xml:space="preserve"> </v>
      </c>
      <c r="Q1300" s="4" t="str">
        <f t="shared" si="55"/>
        <v xml:space="preserve"> </v>
      </c>
      <c r="R1300" s="84"/>
      <c r="S1300" s="87"/>
      <c r="T1300" s="77"/>
      <c r="U1300" s="2"/>
      <c r="V1300" s="4" t="str">
        <f>IF(R1300&lt;&gt;0,VLOOKUP(R1300,[7]GIA!$F$2:$H$200,3,0)," ")</f>
        <v xml:space="preserve"> </v>
      </c>
      <c r="W1300" s="32" t="str">
        <f t="shared" si="58"/>
        <v xml:space="preserve"> </v>
      </c>
      <c r="X1300" s="18"/>
      <c r="Y1300" s="20"/>
      <c r="Z1300" s="20"/>
      <c r="AA1300" s="20"/>
      <c r="AB1300" s="20"/>
      <c r="AC1300" s="20"/>
      <c r="AD1300" s="9"/>
      <c r="AE1300" s="2"/>
      <c r="AF1300" s="2"/>
      <c r="AG1300" s="2"/>
    </row>
    <row r="1301" spans="1:33" s="81" customFormat="1" ht="25.5" x14ac:dyDescent="0.2">
      <c r="A1301" s="13">
        <f t="shared" si="54"/>
        <v>109</v>
      </c>
      <c r="B1301" s="11">
        <v>109</v>
      </c>
      <c r="C1301" s="21" t="s">
        <v>1079</v>
      </c>
      <c r="D1301" s="2">
        <v>1</v>
      </c>
      <c r="E1301" s="2">
        <v>86</v>
      </c>
      <c r="F1301" s="1">
        <v>217</v>
      </c>
      <c r="G1301" s="1" t="s">
        <v>855</v>
      </c>
      <c r="H1301" s="78">
        <v>100</v>
      </c>
      <c r="I1301" s="78"/>
      <c r="J1301" s="5"/>
      <c r="K1301" s="5"/>
      <c r="L1301" s="4"/>
      <c r="M1301" s="4"/>
      <c r="N1301" s="1"/>
      <c r="O1301" s="5"/>
      <c r="P1301" s="3" t="str">
        <f>IF(N1301&lt;&gt;0,VLOOKUP(N1301,[7]GIA!$A$2:$C$200,3,0)," ")</f>
        <v xml:space="preserve"> </v>
      </c>
      <c r="Q1301" s="4" t="str">
        <f t="shared" si="55"/>
        <v xml:space="preserve"> </v>
      </c>
      <c r="R1301" s="47"/>
      <c r="S1301" s="13"/>
      <c r="T1301" s="6"/>
      <c r="U1301" s="80"/>
      <c r="V1301" s="4" t="str">
        <f>IF(R1301&lt;&gt;0,VLOOKUP(R1301,[7]GIA!$F$2:$H$200,3,0)," ")</f>
        <v xml:space="preserve"> </v>
      </c>
      <c r="W1301" s="32" t="str">
        <f t="shared" si="58"/>
        <v xml:space="preserve"> </v>
      </c>
      <c r="X1301" s="18"/>
      <c r="Y1301" s="20"/>
      <c r="Z1301" s="20"/>
      <c r="AA1301" s="20"/>
      <c r="AB1301" s="20"/>
      <c r="AC1301" s="20"/>
      <c r="AD1301" s="9"/>
      <c r="AE1301" s="1" t="s">
        <v>1080</v>
      </c>
      <c r="AF1301" s="1"/>
      <c r="AG1301" s="1"/>
    </row>
    <row r="1302" spans="1:33" s="81" customFormat="1" ht="28.5" x14ac:dyDescent="0.2">
      <c r="A1302" s="13">
        <f t="shared" si="54"/>
        <v>109</v>
      </c>
      <c r="B1302" s="11"/>
      <c r="C1302" s="1" t="s">
        <v>1081</v>
      </c>
      <c r="D1302" s="2"/>
      <c r="E1302" s="2"/>
      <c r="F1302" s="1"/>
      <c r="G1302" s="1"/>
      <c r="H1302" s="78"/>
      <c r="I1302" s="78"/>
      <c r="J1302" s="5" t="str">
        <f>IF(G1302&lt;&gt;0,VLOOKUP(G1302,[7]GIA!$L$2:$O$200,3,0)," ")</f>
        <v xml:space="preserve"> </v>
      </c>
      <c r="K1302" s="5" t="str">
        <f>IF(G1302&lt;&gt;0,VLOOKUP(G1302,[7]GIA!$L$2:$O$200,4,0)," ")</f>
        <v xml:space="preserve"> </v>
      </c>
      <c r="L1302" s="4" t="str">
        <f t="shared" si="56"/>
        <v xml:space="preserve"> </v>
      </c>
      <c r="M1302" s="4" t="str">
        <f t="shared" si="57"/>
        <v xml:space="preserve"> </v>
      </c>
      <c r="N1302" s="1"/>
      <c r="O1302" s="5"/>
      <c r="P1302" s="3" t="str">
        <f>IF(N1302&lt;&gt;0,VLOOKUP(N1302,[7]GIA!$A$2:$C$200,3,0)," ")</f>
        <v xml:space="preserve"> </v>
      </c>
      <c r="Q1302" s="4" t="str">
        <f t="shared" si="55"/>
        <v xml:space="preserve"> </v>
      </c>
      <c r="R1302" s="47"/>
      <c r="S1302" s="13"/>
      <c r="T1302" s="13"/>
      <c r="U1302" s="80"/>
      <c r="V1302" s="4" t="str">
        <f>IF(R1302&lt;&gt;0,VLOOKUP(R1302,[7]GIA!$F$2:$H$200,3,0)," ")</f>
        <v xml:space="preserve"> </v>
      </c>
      <c r="W1302" s="32" t="str">
        <f t="shared" si="58"/>
        <v xml:space="preserve"> </v>
      </c>
      <c r="X1302" s="18"/>
      <c r="Y1302" s="20"/>
      <c r="Z1302" s="20"/>
      <c r="AA1302" s="20"/>
      <c r="AB1302" s="20"/>
      <c r="AC1302" s="20"/>
      <c r="AD1302" s="9"/>
      <c r="AE1302" s="1" t="s">
        <v>1082</v>
      </c>
      <c r="AF1302" s="1"/>
      <c r="AG1302" s="1"/>
    </row>
    <row r="1303" spans="1:33" s="81" customFormat="1" ht="25.5" x14ac:dyDescent="0.2">
      <c r="A1303" s="13">
        <f t="shared" si="54"/>
        <v>109</v>
      </c>
      <c r="B1303" s="11"/>
      <c r="C1303" s="84" t="s">
        <v>1585</v>
      </c>
      <c r="D1303" s="2"/>
      <c r="E1303" s="2"/>
      <c r="F1303" s="1"/>
      <c r="G1303" s="1"/>
      <c r="H1303" s="78"/>
      <c r="I1303" s="78"/>
      <c r="J1303" s="5" t="str">
        <f>IF(G1303&lt;&gt;0,VLOOKUP(G1303,[7]GIA!$L$2:$O$200,3,0)," ")</f>
        <v xml:space="preserve"> </v>
      </c>
      <c r="K1303" s="5" t="str">
        <f>IF(G1303&lt;&gt;0,VLOOKUP(G1303,[7]GIA!$L$2:$O$200,4,0)," ")</f>
        <v xml:space="preserve"> </v>
      </c>
      <c r="L1303" s="4" t="str">
        <f t="shared" si="56"/>
        <v xml:space="preserve"> </v>
      </c>
      <c r="M1303" s="4" t="str">
        <f t="shared" si="57"/>
        <v xml:space="preserve"> </v>
      </c>
      <c r="N1303" s="1"/>
      <c r="O1303" s="5"/>
      <c r="P1303" s="3" t="str">
        <f>IF(N1303&lt;&gt;0,VLOOKUP(N1303,[7]GIA!$A$2:$C$200,3,0)," ")</f>
        <v xml:space="preserve"> </v>
      </c>
      <c r="Q1303" s="4" t="str">
        <f t="shared" si="55"/>
        <v xml:space="preserve"> </v>
      </c>
      <c r="R1303" s="47"/>
      <c r="S1303" s="13"/>
      <c r="T1303" s="6"/>
      <c r="U1303" s="80"/>
      <c r="V1303" s="4" t="str">
        <f>IF(R1303&lt;&gt;0,VLOOKUP(R1303,[7]GIA!$F$2:$H$200,3,0)," ")</f>
        <v xml:space="preserve"> </v>
      </c>
      <c r="W1303" s="32" t="str">
        <f t="shared" si="58"/>
        <v xml:space="preserve"> </v>
      </c>
      <c r="X1303" s="18"/>
      <c r="Y1303" s="20"/>
      <c r="Z1303" s="20"/>
      <c r="AA1303" s="20"/>
      <c r="AB1303" s="20"/>
      <c r="AC1303" s="20"/>
      <c r="AD1303" s="9"/>
      <c r="AE1303" s="1" t="s">
        <v>1083</v>
      </c>
      <c r="AF1303" s="1"/>
      <c r="AG1303" s="1"/>
    </row>
    <row r="1304" spans="1:33" s="81" customFormat="1" ht="12.75" x14ac:dyDescent="0.2">
      <c r="A1304" s="13">
        <f t="shared" si="54"/>
        <v>109</v>
      </c>
      <c r="B1304" s="11"/>
      <c r="C1304" s="1"/>
      <c r="D1304" s="2"/>
      <c r="E1304" s="2"/>
      <c r="F1304" s="1"/>
      <c r="G1304" s="1"/>
      <c r="H1304" s="78"/>
      <c r="I1304" s="78"/>
      <c r="J1304" s="5" t="str">
        <f>IF(G1304&lt;&gt;0,VLOOKUP(G1304,[7]GIA!$L$2:$O$200,3,0)," ")</f>
        <v xml:space="preserve"> </v>
      </c>
      <c r="K1304" s="5" t="str">
        <f>IF(G1304&lt;&gt;0,VLOOKUP(G1304,[7]GIA!$L$2:$O$200,4,0)," ")</f>
        <v xml:space="preserve"> </v>
      </c>
      <c r="L1304" s="4" t="str">
        <f t="shared" si="56"/>
        <v xml:space="preserve"> </v>
      </c>
      <c r="M1304" s="4" t="str">
        <f t="shared" si="57"/>
        <v xml:space="preserve"> </v>
      </c>
      <c r="N1304" s="1"/>
      <c r="O1304" s="5"/>
      <c r="P1304" s="3" t="str">
        <f>IF(N1304&lt;&gt;0,VLOOKUP(N1304,[7]GIA!$A$2:$C$200,3,0)," ")</f>
        <v xml:space="preserve"> </v>
      </c>
      <c r="Q1304" s="4" t="str">
        <f t="shared" si="55"/>
        <v xml:space="preserve"> </v>
      </c>
      <c r="R1304" s="47"/>
      <c r="S1304" s="13"/>
      <c r="T1304" s="6"/>
      <c r="U1304" s="80"/>
      <c r="V1304" s="4" t="str">
        <f>IF(R1304&lt;&gt;0,VLOOKUP(R1304,[7]GIA!$F$2:$H$200,3,0)," ")</f>
        <v xml:space="preserve"> </v>
      </c>
      <c r="W1304" s="32" t="str">
        <f t="shared" si="58"/>
        <v xml:space="preserve"> </v>
      </c>
      <c r="X1304" s="18"/>
      <c r="Y1304" s="20"/>
      <c r="Z1304" s="20"/>
      <c r="AA1304" s="20"/>
      <c r="AB1304" s="20"/>
      <c r="AC1304" s="20"/>
      <c r="AD1304" s="9"/>
      <c r="AE1304" s="2" t="s">
        <v>809</v>
      </c>
      <c r="AF1304" s="2"/>
      <c r="AG1304" s="2"/>
    </row>
    <row r="1305" spans="1:33" s="81" customFormat="1" ht="12.75" x14ac:dyDescent="0.2">
      <c r="A1305" s="13">
        <f t="shared" si="54"/>
        <v>109</v>
      </c>
      <c r="B1305" s="11"/>
      <c r="C1305" s="1"/>
      <c r="D1305" s="2"/>
      <c r="E1305" s="2"/>
      <c r="F1305" s="1"/>
      <c r="G1305" s="1"/>
      <c r="H1305" s="78"/>
      <c r="I1305" s="78"/>
      <c r="J1305" s="5" t="str">
        <f>IF(G1305&lt;&gt;0,VLOOKUP(G1305,[7]GIA!$L$2:$O$200,3,0)," ")</f>
        <v xml:space="preserve"> </v>
      </c>
      <c r="K1305" s="5" t="str">
        <f>IF(G1305&lt;&gt;0,VLOOKUP(G1305,[7]GIA!$L$2:$O$200,4,0)," ")</f>
        <v xml:space="preserve"> </v>
      </c>
      <c r="L1305" s="4" t="str">
        <f t="shared" si="56"/>
        <v xml:space="preserve"> </v>
      </c>
      <c r="M1305" s="4" t="str">
        <f t="shared" si="57"/>
        <v xml:space="preserve"> </v>
      </c>
      <c r="N1305" s="1"/>
      <c r="O1305" s="5"/>
      <c r="P1305" s="3" t="str">
        <f>IF(N1305&lt;&gt;0,VLOOKUP(N1305,[7]GIA!$A$2:$C$200,3,0)," ")</f>
        <v xml:space="preserve"> </v>
      </c>
      <c r="Q1305" s="4" t="str">
        <f t="shared" si="55"/>
        <v xml:space="preserve"> </v>
      </c>
      <c r="R1305" s="47"/>
      <c r="S1305" s="13"/>
      <c r="T1305" s="6"/>
      <c r="U1305" s="80"/>
      <c r="V1305" s="4" t="str">
        <f>IF(R1305&lt;&gt;0,VLOOKUP(R1305,[7]GIA!$F$2:$H$200,3,0)," ")</f>
        <v xml:space="preserve"> </v>
      </c>
      <c r="W1305" s="32" t="str">
        <f t="shared" si="58"/>
        <v xml:space="preserve"> </v>
      </c>
      <c r="X1305" s="18"/>
      <c r="Y1305" s="20"/>
      <c r="Z1305" s="20"/>
      <c r="AA1305" s="20"/>
      <c r="AB1305" s="20"/>
      <c r="AC1305" s="20"/>
      <c r="AD1305" s="9"/>
      <c r="AE1305" s="1"/>
      <c r="AF1305" s="1"/>
      <c r="AG1305" s="1"/>
    </row>
    <row r="1306" spans="1:33" s="81" customFormat="1" ht="12.75" x14ac:dyDescent="0.2">
      <c r="A1306" s="13">
        <f t="shared" si="54"/>
        <v>109</v>
      </c>
      <c r="B1306" s="11"/>
      <c r="C1306" s="1"/>
      <c r="D1306" s="2"/>
      <c r="E1306" s="2"/>
      <c r="F1306" s="1"/>
      <c r="G1306" s="1"/>
      <c r="H1306" s="78"/>
      <c r="I1306" s="78"/>
      <c r="J1306" s="5" t="str">
        <f>IF(G1306&lt;&gt;0,VLOOKUP(G1306,[7]GIA!$L$2:$O$200,3,0)," ")</f>
        <v xml:space="preserve"> </v>
      </c>
      <c r="K1306" s="5" t="str">
        <f>IF(G1306&lt;&gt;0,VLOOKUP(G1306,[7]GIA!$L$2:$O$200,4,0)," ")</f>
        <v xml:space="preserve"> </v>
      </c>
      <c r="L1306" s="4" t="str">
        <f t="shared" si="56"/>
        <v xml:space="preserve"> </v>
      </c>
      <c r="M1306" s="4" t="str">
        <f t="shared" si="57"/>
        <v xml:space="preserve"> </v>
      </c>
      <c r="N1306" s="1"/>
      <c r="O1306" s="5"/>
      <c r="P1306" s="3" t="str">
        <f>IF(N1306&lt;&gt;0,VLOOKUP(N1306,[7]GIA!$A$2:$C$200,3,0)," ")</f>
        <v xml:space="preserve"> </v>
      </c>
      <c r="Q1306" s="4" t="str">
        <f t="shared" si="55"/>
        <v xml:space="preserve"> </v>
      </c>
      <c r="R1306" s="47"/>
      <c r="S1306" s="13"/>
      <c r="T1306" s="6"/>
      <c r="U1306" s="80"/>
      <c r="V1306" s="4" t="str">
        <f>IF(R1306&lt;&gt;0,VLOOKUP(R1306,[7]GIA!$F$2:$H$200,3,0)," ")</f>
        <v xml:space="preserve"> </v>
      </c>
      <c r="W1306" s="32" t="str">
        <f t="shared" si="58"/>
        <v xml:space="preserve"> </v>
      </c>
      <c r="X1306" s="18"/>
      <c r="Y1306" s="20"/>
      <c r="Z1306" s="20"/>
      <c r="AA1306" s="20"/>
      <c r="AB1306" s="20"/>
      <c r="AC1306" s="20"/>
      <c r="AD1306" s="9"/>
      <c r="AE1306" s="1"/>
      <c r="AF1306" s="1"/>
      <c r="AG1306" s="1"/>
    </row>
    <row r="1307" spans="1:33" s="81" customFormat="1" ht="12.75" x14ac:dyDescent="0.2">
      <c r="A1307" s="13">
        <f t="shared" si="54"/>
        <v>109</v>
      </c>
      <c r="B1307" s="11"/>
      <c r="C1307" s="1"/>
      <c r="D1307" s="2"/>
      <c r="E1307" s="2"/>
      <c r="F1307" s="1"/>
      <c r="G1307" s="1"/>
      <c r="H1307" s="78"/>
      <c r="I1307" s="78"/>
      <c r="J1307" s="5" t="str">
        <f>IF(G1307&lt;&gt;0,VLOOKUP(G1307,[7]GIA!$L$2:$O$200,3,0)," ")</f>
        <v xml:space="preserve"> </v>
      </c>
      <c r="K1307" s="5" t="str">
        <f>IF(G1307&lt;&gt;0,VLOOKUP(G1307,[7]GIA!$L$2:$O$200,4,0)," ")</f>
        <v xml:space="preserve"> </v>
      </c>
      <c r="L1307" s="4" t="str">
        <f t="shared" si="56"/>
        <v xml:space="preserve"> </v>
      </c>
      <c r="M1307" s="4" t="str">
        <f t="shared" si="57"/>
        <v xml:space="preserve"> </v>
      </c>
      <c r="N1307" s="1"/>
      <c r="O1307" s="5"/>
      <c r="P1307" s="3" t="str">
        <f>IF(N1307&lt;&gt;0,VLOOKUP(N1307,[7]GIA!$A$2:$C$200,3,0)," ")</f>
        <v xml:space="preserve"> </v>
      </c>
      <c r="Q1307" s="4" t="str">
        <f t="shared" si="55"/>
        <v xml:space="preserve"> </v>
      </c>
      <c r="R1307" s="47"/>
      <c r="S1307" s="13"/>
      <c r="T1307" s="6"/>
      <c r="U1307" s="80"/>
      <c r="V1307" s="4" t="str">
        <f>IF(R1307&lt;&gt;0,VLOOKUP(R1307,[7]GIA!$F$2:$H$200,3,0)," ")</f>
        <v xml:space="preserve"> </v>
      </c>
      <c r="W1307" s="32" t="str">
        <f t="shared" si="58"/>
        <v xml:space="preserve"> </v>
      </c>
      <c r="X1307" s="18"/>
      <c r="Y1307" s="20"/>
      <c r="Z1307" s="20"/>
      <c r="AA1307" s="20"/>
      <c r="AB1307" s="20"/>
      <c r="AC1307" s="20"/>
      <c r="AD1307" s="9"/>
      <c r="AE1307" s="1"/>
      <c r="AF1307" s="1"/>
      <c r="AG1307" s="1"/>
    </row>
    <row r="1308" spans="1:33" s="81" customFormat="1" ht="12.75" x14ac:dyDescent="0.2">
      <c r="A1308" s="13">
        <f t="shared" si="54"/>
        <v>109</v>
      </c>
      <c r="B1308" s="11"/>
      <c r="C1308" s="82"/>
      <c r="D1308" s="178"/>
      <c r="E1308" s="2"/>
      <c r="F1308" s="1"/>
      <c r="G1308" s="1"/>
      <c r="H1308" s="125"/>
      <c r="I1308" s="194"/>
      <c r="J1308" s="5" t="str">
        <f>IF(G1308&lt;&gt;0,VLOOKUP(G1308,[7]GIA!$L$2:$O$200,3,0)," ")</f>
        <v xml:space="preserve"> </v>
      </c>
      <c r="K1308" s="5" t="str">
        <f>IF(G1308&lt;&gt;0,VLOOKUP(G1308,[7]GIA!$L$2:$O$200,4,0)," ")</f>
        <v xml:space="preserve"> </v>
      </c>
      <c r="L1308" s="4" t="str">
        <f t="shared" si="56"/>
        <v xml:space="preserve"> </v>
      </c>
      <c r="M1308" s="4" t="str">
        <f t="shared" si="57"/>
        <v xml:space="preserve"> </v>
      </c>
      <c r="N1308" s="84"/>
      <c r="O1308" s="79"/>
      <c r="P1308" s="3" t="str">
        <f>IF(N1308&lt;&gt;0,VLOOKUP(N1308,[7]GIA!$A$2:$C$200,3,0)," ")</f>
        <v xml:space="preserve"> </v>
      </c>
      <c r="Q1308" s="4" t="str">
        <f t="shared" si="55"/>
        <v xml:space="preserve"> </v>
      </c>
      <c r="R1308" s="84"/>
      <c r="S1308" s="87"/>
      <c r="T1308" s="77"/>
      <c r="U1308" s="2"/>
      <c r="V1308" s="4" t="str">
        <f>IF(R1308&lt;&gt;0,VLOOKUP(R1308,[7]GIA!$F$2:$H$200,3,0)," ")</f>
        <v xml:space="preserve"> </v>
      </c>
      <c r="W1308" s="32" t="str">
        <f t="shared" si="58"/>
        <v xml:space="preserve"> </v>
      </c>
      <c r="X1308" s="18"/>
      <c r="Y1308" s="20"/>
      <c r="Z1308" s="20"/>
      <c r="AA1308" s="20"/>
      <c r="AB1308" s="20"/>
      <c r="AC1308" s="20"/>
      <c r="AD1308" s="9"/>
      <c r="AE1308" s="2"/>
      <c r="AF1308" s="2"/>
      <c r="AG1308" s="2"/>
    </row>
    <row r="1309" spans="1:33" s="81" customFormat="1" ht="25.5" x14ac:dyDescent="0.2">
      <c r="A1309" s="13">
        <f t="shared" si="54"/>
        <v>110</v>
      </c>
      <c r="B1309" s="11">
        <v>110</v>
      </c>
      <c r="C1309" s="21" t="s">
        <v>1084</v>
      </c>
      <c r="D1309" s="2">
        <v>1</v>
      </c>
      <c r="E1309" s="2">
        <v>86</v>
      </c>
      <c r="F1309" s="1">
        <v>213</v>
      </c>
      <c r="G1309" s="1" t="s">
        <v>855</v>
      </c>
      <c r="H1309" s="78">
        <v>100</v>
      </c>
      <c r="I1309" s="78"/>
      <c r="J1309" s="5"/>
      <c r="K1309" s="5"/>
      <c r="L1309" s="4"/>
      <c r="M1309" s="4"/>
      <c r="N1309" s="1"/>
      <c r="O1309" s="5"/>
      <c r="P1309" s="3" t="str">
        <f>IF(N1309&lt;&gt;0,VLOOKUP(N1309,[7]GIA!$A$2:$C$200,3,0)," ")</f>
        <v xml:space="preserve"> </v>
      </c>
      <c r="Q1309" s="4" t="str">
        <f t="shared" si="55"/>
        <v xml:space="preserve"> </v>
      </c>
      <c r="R1309" s="47"/>
      <c r="S1309" s="13"/>
      <c r="T1309" s="6"/>
      <c r="U1309" s="80"/>
      <c r="V1309" s="4" t="str">
        <f>IF(R1309&lt;&gt;0,VLOOKUP(R1309,[7]GIA!$F$2:$H$200,3,0)," ")</f>
        <v xml:space="preserve"> </v>
      </c>
      <c r="W1309" s="32" t="str">
        <f t="shared" si="58"/>
        <v xml:space="preserve"> </v>
      </c>
      <c r="X1309" s="18"/>
      <c r="Y1309" s="20"/>
      <c r="Z1309" s="20"/>
      <c r="AA1309" s="20"/>
      <c r="AB1309" s="20"/>
      <c r="AC1309" s="20"/>
      <c r="AD1309" s="9"/>
      <c r="AE1309" s="1" t="s">
        <v>1085</v>
      </c>
      <c r="AF1309" s="1"/>
      <c r="AG1309" s="1"/>
    </row>
    <row r="1310" spans="1:33" s="81" customFormat="1" ht="28.5" x14ac:dyDescent="0.2">
      <c r="A1310" s="13">
        <f t="shared" si="54"/>
        <v>110</v>
      </c>
      <c r="B1310" s="11"/>
      <c r="C1310" s="1" t="s">
        <v>1086</v>
      </c>
      <c r="D1310" s="2"/>
      <c r="E1310" s="2"/>
      <c r="F1310" s="1"/>
      <c r="G1310" s="1"/>
      <c r="H1310" s="78"/>
      <c r="I1310" s="78"/>
      <c r="J1310" s="5" t="str">
        <f>IF(G1310&lt;&gt;0,VLOOKUP(G1310,[7]GIA!$L$2:$O$200,3,0)," ")</f>
        <v xml:space="preserve"> </v>
      </c>
      <c r="K1310" s="5" t="str">
        <f>IF(G1310&lt;&gt;0,VLOOKUP(G1310,[7]GIA!$L$2:$O$200,4,0)," ")</f>
        <v xml:space="preserve"> </v>
      </c>
      <c r="L1310" s="4" t="str">
        <f t="shared" si="56"/>
        <v xml:space="preserve"> </v>
      </c>
      <c r="M1310" s="4" t="str">
        <f t="shared" si="57"/>
        <v xml:space="preserve"> </v>
      </c>
      <c r="N1310" s="1"/>
      <c r="O1310" s="5"/>
      <c r="P1310" s="3" t="str">
        <f>IF(N1310&lt;&gt;0,VLOOKUP(N1310,[7]GIA!$A$2:$C$200,3,0)," ")</f>
        <v xml:space="preserve"> </v>
      </c>
      <c r="Q1310" s="4" t="str">
        <f t="shared" si="55"/>
        <v xml:space="preserve"> </v>
      </c>
      <c r="R1310" s="47"/>
      <c r="S1310" s="13"/>
      <c r="T1310" s="13"/>
      <c r="U1310" s="80"/>
      <c r="V1310" s="4" t="str">
        <f>IF(R1310&lt;&gt;0,VLOOKUP(R1310,[7]GIA!$F$2:$H$200,3,0)," ")</f>
        <v xml:space="preserve"> </v>
      </c>
      <c r="W1310" s="32" t="str">
        <f t="shared" si="58"/>
        <v xml:space="preserve"> </v>
      </c>
      <c r="X1310" s="18"/>
      <c r="Y1310" s="20"/>
      <c r="Z1310" s="20"/>
      <c r="AA1310" s="20"/>
      <c r="AB1310" s="20"/>
      <c r="AC1310" s="20"/>
      <c r="AD1310" s="9"/>
      <c r="AE1310" s="1" t="s">
        <v>1087</v>
      </c>
      <c r="AF1310" s="1"/>
      <c r="AG1310" s="1"/>
    </row>
    <row r="1311" spans="1:33" s="81" customFormat="1" ht="38.25" x14ac:dyDescent="0.2">
      <c r="A1311" s="13">
        <f t="shared" si="54"/>
        <v>110</v>
      </c>
      <c r="B1311" s="11"/>
      <c r="C1311" s="84" t="s">
        <v>1586</v>
      </c>
      <c r="D1311" s="2"/>
      <c r="E1311" s="2"/>
      <c r="F1311" s="1"/>
      <c r="G1311" s="1"/>
      <c r="H1311" s="78"/>
      <c r="I1311" s="78"/>
      <c r="J1311" s="5" t="str">
        <f>IF(G1311&lt;&gt;0,VLOOKUP(G1311,[7]GIA!$L$2:$O$200,3,0)," ")</f>
        <v xml:space="preserve"> </v>
      </c>
      <c r="K1311" s="5" t="str">
        <f>IF(G1311&lt;&gt;0,VLOOKUP(G1311,[7]GIA!$L$2:$O$200,4,0)," ")</f>
        <v xml:space="preserve"> </v>
      </c>
      <c r="L1311" s="4" t="str">
        <f t="shared" si="56"/>
        <v xml:space="preserve"> </v>
      </c>
      <c r="M1311" s="4" t="str">
        <f t="shared" si="57"/>
        <v xml:space="preserve"> </v>
      </c>
      <c r="N1311" s="1"/>
      <c r="O1311" s="5"/>
      <c r="P1311" s="3" t="str">
        <f>IF(N1311&lt;&gt;0,VLOOKUP(N1311,[7]GIA!$A$2:$C$200,3,0)," ")</f>
        <v xml:space="preserve"> </v>
      </c>
      <c r="Q1311" s="4" t="str">
        <f t="shared" si="55"/>
        <v xml:space="preserve"> </v>
      </c>
      <c r="R1311" s="47"/>
      <c r="S1311" s="13"/>
      <c r="T1311" s="6"/>
      <c r="U1311" s="80"/>
      <c r="V1311" s="4" t="str">
        <f>IF(R1311&lt;&gt;0,VLOOKUP(R1311,[7]GIA!$F$2:$H$200,3,0)," ")</f>
        <v xml:space="preserve"> </v>
      </c>
      <c r="W1311" s="32" t="str">
        <f t="shared" si="58"/>
        <v xml:space="preserve"> </v>
      </c>
      <c r="X1311" s="18"/>
      <c r="Y1311" s="20"/>
      <c r="Z1311" s="20"/>
      <c r="AA1311" s="20"/>
      <c r="AB1311" s="20"/>
      <c r="AC1311" s="20"/>
      <c r="AD1311" s="9"/>
      <c r="AE1311" s="2" t="s">
        <v>809</v>
      </c>
      <c r="AF1311" s="2"/>
      <c r="AG1311" s="2"/>
    </row>
    <row r="1312" spans="1:33" s="81" customFormat="1" ht="12.75" x14ac:dyDescent="0.2">
      <c r="A1312" s="13">
        <f t="shared" si="54"/>
        <v>110</v>
      </c>
      <c r="B1312" s="11"/>
      <c r="C1312" s="1"/>
      <c r="D1312" s="2"/>
      <c r="E1312" s="2"/>
      <c r="F1312" s="1"/>
      <c r="G1312" s="1"/>
      <c r="H1312" s="78"/>
      <c r="I1312" s="78"/>
      <c r="J1312" s="5" t="str">
        <f>IF(G1312&lt;&gt;0,VLOOKUP(G1312,[7]GIA!$L$2:$O$200,3,0)," ")</f>
        <v xml:space="preserve"> </v>
      </c>
      <c r="K1312" s="5" t="str">
        <f>IF(G1312&lt;&gt;0,VLOOKUP(G1312,[7]GIA!$L$2:$O$200,4,0)," ")</f>
        <v xml:space="preserve"> </v>
      </c>
      <c r="L1312" s="4" t="str">
        <f t="shared" si="56"/>
        <v xml:space="preserve"> </v>
      </c>
      <c r="M1312" s="4" t="str">
        <f t="shared" si="57"/>
        <v xml:space="preserve"> </v>
      </c>
      <c r="N1312" s="1"/>
      <c r="O1312" s="5"/>
      <c r="P1312" s="3" t="str">
        <f>IF(N1312&lt;&gt;0,VLOOKUP(N1312,[7]GIA!$A$2:$C$200,3,0)," ")</f>
        <v xml:space="preserve"> </v>
      </c>
      <c r="Q1312" s="4" t="str">
        <f t="shared" si="55"/>
        <v xml:space="preserve"> </v>
      </c>
      <c r="R1312" s="47"/>
      <c r="S1312" s="13"/>
      <c r="T1312" s="6"/>
      <c r="U1312" s="80"/>
      <c r="V1312" s="4" t="str">
        <f>IF(R1312&lt;&gt;0,VLOOKUP(R1312,[7]GIA!$F$2:$H$200,3,0)," ")</f>
        <v xml:space="preserve"> </v>
      </c>
      <c r="W1312" s="32" t="str">
        <f t="shared" si="58"/>
        <v xml:space="preserve"> </v>
      </c>
      <c r="X1312" s="18"/>
      <c r="Y1312" s="20"/>
      <c r="Z1312" s="20"/>
      <c r="AA1312" s="20"/>
      <c r="AB1312" s="20"/>
      <c r="AC1312" s="20"/>
      <c r="AD1312" s="9"/>
      <c r="AE1312" s="1"/>
      <c r="AF1312" s="1"/>
      <c r="AG1312" s="1"/>
    </row>
    <row r="1313" spans="1:33" s="81" customFormat="1" ht="12.75" x14ac:dyDescent="0.2">
      <c r="A1313" s="13">
        <f t="shared" si="54"/>
        <v>110</v>
      </c>
      <c r="B1313" s="11"/>
      <c r="C1313" s="1"/>
      <c r="D1313" s="2"/>
      <c r="E1313" s="2"/>
      <c r="F1313" s="1"/>
      <c r="G1313" s="1"/>
      <c r="H1313" s="78"/>
      <c r="I1313" s="78"/>
      <c r="J1313" s="5" t="str">
        <f>IF(G1313&lt;&gt;0,VLOOKUP(G1313,[7]GIA!$L$2:$O$200,3,0)," ")</f>
        <v xml:space="preserve"> </v>
      </c>
      <c r="K1313" s="5" t="str">
        <f>IF(G1313&lt;&gt;0,VLOOKUP(G1313,[7]GIA!$L$2:$O$200,4,0)," ")</f>
        <v xml:space="preserve"> </v>
      </c>
      <c r="L1313" s="4" t="str">
        <f t="shared" si="56"/>
        <v xml:space="preserve"> </v>
      </c>
      <c r="M1313" s="4" t="str">
        <f t="shared" si="57"/>
        <v xml:space="preserve"> </v>
      </c>
      <c r="N1313" s="1"/>
      <c r="O1313" s="5"/>
      <c r="P1313" s="3" t="str">
        <f>IF(N1313&lt;&gt;0,VLOOKUP(N1313,[7]GIA!$A$2:$C$200,3,0)," ")</f>
        <v xml:space="preserve"> </v>
      </c>
      <c r="Q1313" s="4" t="str">
        <f t="shared" si="55"/>
        <v xml:space="preserve"> </v>
      </c>
      <c r="R1313" s="47"/>
      <c r="S1313" s="13"/>
      <c r="T1313" s="6"/>
      <c r="U1313" s="80"/>
      <c r="V1313" s="4" t="str">
        <f>IF(R1313&lt;&gt;0,VLOOKUP(R1313,[7]GIA!$F$2:$H$200,3,0)," ")</f>
        <v xml:space="preserve"> </v>
      </c>
      <c r="W1313" s="32" t="str">
        <f t="shared" si="58"/>
        <v xml:space="preserve"> </v>
      </c>
      <c r="X1313" s="18"/>
      <c r="Y1313" s="20"/>
      <c r="Z1313" s="20"/>
      <c r="AA1313" s="20"/>
      <c r="AB1313" s="20"/>
      <c r="AC1313" s="20"/>
      <c r="AD1313" s="9"/>
      <c r="AE1313" s="1"/>
      <c r="AF1313" s="1"/>
      <c r="AG1313" s="1"/>
    </row>
    <row r="1314" spans="1:33" s="81" customFormat="1" ht="25.5" x14ac:dyDescent="0.2">
      <c r="A1314" s="13">
        <f t="shared" si="54"/>
        <v>111</v>
      </c>
      <c r="B1314" s="11">
        <v>111</v>
      </c>
      <c r="C1314" s="21" t="s">
        <v>1088</v>
      </c>
      <c r="D1314" s="2">
        <v>1</v>
      </c>
      <c r="E1314" s="2">
        <v>86</v>
      </c>
      <c r="F1314" s="1">
        <v>215</v>
      </c>
      <c r="G1314" s="1" t="s">
        <v>855</v>
      </c>
      <c r="H1314" s="78">
        <v>100</v>
      </c>
      <c r="I1314" s="78"/>
      <c r="J1314" s="5"/>
      <c r="K1314" s="5"/>
      <c r="L1314" s="4"/>
      <c r="M1314" s="4"/>
      <c r="N1314" s="1"/>
      <c r="O1314" s="5"/>
      <c r="P1314" s="3" t="str">
        <f>IF(N1314&lt;&gt;0,VLOOKUP(N1314,[7]GIA!$A$2:$C$200,3,0)," ")</f>
        <v xml:space="preserve"> </v>
      </c>
      <c r="Q1314" s="4" t="str">
        <f t="shared" si="55"/>
        <v xml:space="preserve"> </v>
      </c>
      <c r="R1314" s="47"/>
      <c r="S1314" s="13"/>
      <c r="T1314" s="6"/>
      <c r="U1314" s="80"/>
      <c r="V1314" s="4" t="str">
        <f>IF(R1314&lt;&gt;0,VLOOKUP(R1314,[7]GIA!$F$2:$H$200,3,0)," ")</f>
        <v xml:space="preserve"> </v>
      </c>
      <c r="W1314" s="32" t="str">
        <f t="shared" si="58"/>
        <v xml:space="preserve"> </v>
      </c>
      <c r="X1314" s="18"/>
      <c r="Y1314" s="20"/>
      <c r="Z1314" s="20"/>
      <c r="AA1314" s="20"/>
      <c r="AB1314" s="20"/>
      <c r="AC1314" s="20"/>
      <c r="AD1314" s="9"/>
      <c r="AE1314" s="1" t="s">
        <v>1089</v>
      </c>
      <c r="AF1314" s="1"/>
      <c r="AG1314" s="1"/>
    </row>
    <row r="1315" spans="1:33" s="81" customFormat="1" ht="28.5" x14ac:dyDescent="0.2">
      <c r="A1315" s="13">
        <f t="shared" si="54"/>
        <v>111</v>
      </c>
      <c r="B1315" s="11"/>
      <c r="C1315" s="1" t="s">
        <v>1090</v>
      </c>
      <c r="D1315" s="2"/>
      <c r="E1315" s="2"/>
      <c r="F1315" s="1"/>
      <c r="G1315" s="1"/>
      <c r="H1315" s="78"/>
      <c r="I1315" s="78"/>
      <c r="J1315" s="5" t="str">
        <f>IF(G1315&lt;&gt;0,VLOOKUP(G1315,[7]GIA!$L$2:$O$200,3,0)," ")</f>
        <v xml:space="preserve"> </v>
      </c>
      <c r="K1315" s="5" t="str">
        <f>IF(G1315&lt;&gt;0,VLOOKUP(G1315,[7]GIA!$L$2:$O$200,4,0)," ")</f>
        <v xml:space="preserve"> </v>
      </c>
      <c r="L1315" s="4" t="str">
        <f t="shared" si="56"/>
        <v xml:space="preserve"> </v>
      </c>
      <c r="M1315" s="4" t="str">
        <f t="shared" si="57"/>
        <v xml:space="preserve"> </v>
      </c>
      <c r="N1315" s="1"/>
      <c r="O1315" s="5"/>
      <c r="P1315" s="3" t="str">
        <f>IF(N1315&lt;&gt;0,VLOOKUP(N1315,[7]GIA!$A$2:$C$200,3,0)," ")</f>
        <v xml:space="preserve"> </v>
      </c>
      <c r="Q1315" s="4" t="str">
        <f t="shared" si="55"/>
        <v xml:space="preserve"> </v>
      </c>
      <c r="R1315" s="47"/>
      <c r="S1315" s="13"/>
      <c r="T1315" s="13"/>
      <c r="U1315" s="80"/>
      <c r="V1315" s="4" t="str">
        <f>IF(R1315&lt;&gt;0,VLOOKUP(R1315,[7]GIA!$F$2:$H$200,3,0)," ")</f>
        <v xml:space="preserve"> </v>
      </c>
      <c r="W1315" s="32" t="str">
        <f t="shared" si="58"/>
        <v xml:space="preserve"> </v>
      </c>
      <c r="X1315" s="18"/>
      <c r="Y1315" s="20"/>
      <c r="Z1315" s="20"/>
      <c r="AA1315" s="20"/>
      <c r="AB1315" s="20"/>
      <c r="AC1315" s="20"/>
      <c r="AD1315" s="9"/>
      <c r="AE1315" s="1" t="s">
        <v>1091</v>
      </c>
      <c r="AF1315" s="1"/>
      <c r="AG1315" s="1"/>
    </row>
    <row r="1316" spans="1:33" s="81" customFormat="1" ht="51" x14ac:dyDescent="0.2">
      <c r="A1316" s="13">
        <f t="shared" si="54"/>
        <v>111</v>
      </c>
      <c r="B1316" s="11"/>
      <c r="C1316" s="84" t="s">
        <v>1587</v>
      </c>
      <c r="D1316" s="2"/>
      <c r="E1316" s="2"/>
      <c r="F1316" s="1"/>
      <c r="G1316" s="1"/>
      <c r="H1316" s="78"/>
      <c r="I1316" s="78"/>
      <c r="J1316" s="5" t="str">
        <f>IF(G1316&lt;&gt;0,VLOOKUP(G1316,[7]GIA!$L$2:$O$200,3,0)," ")</f>
        <v xml:space="preserve"> </v>
      </c>
      <c r="K1316" s="5" t="str">
        <f>IF(G1316&lt;&gt;0,VLOOKUP(G1316,[7]GIA!$L$2:$O$200,4,0)," ")</f>
        <v xml:space="preserve"> </v>
      </c>
      <c r="L1316" s="4" t="str">
        <f t="shared" si="56"/>
        <v xml:space="preserve"> </v>
      </c>
      <c r="M1316" s="4" t="str">
        <f t="shared" si="57"/>
        <v xml:space="preserve"> </v>
      </c>
      <c r="N1316" s="1"/>
      <c r="O1316" s="5"/>
      <c r="P1316" s="3" t="str">
        <f>IF(N1316&lt;&gt;0,VLOOKUP(N1316,[7]GIA!$A$2:$C$200,3,0)," ")</f>
        <v xml:space="preserve"> </v>
      </c>
      <c r="Q1316" s="4" t="str">
        <f t="shared" si="55"/>
        <v xml:space="preserve"> </v>
      </c>
      <c r="R1316" s="47"/>
      <c r="S1316" s="13"/>
      <c r="T1316" s="6"/>
      <c r="U1316" s="80"/>
      <c r="V1316" s="4" t="str">
        <f>IF(R1316&lt;&gt;0,VLOOKUP(R1316,[7]GIA!$F$2:$H$200,3,0)," ")</f>
        <v xml:space="preserve"> </v>
      </c>
      <c r="W1316" s="32" t="str">
        <f t="shared" si="58"/>
        <v xml:space="preserve"> </v>
      </c>
      <c r="X1316" s="18"/>
      <c r="Y1316" s="20"/>
      <c r="Z1316" s="20"/>
      <c r="AA1316" s="20"/>
      <c r="AB1316" s="20"/>
      <c r="AC1316" s="20"/>
      <c r="AD1316" s="9"/>
      <c r="AE1316" s="2" t="s">
        <v>809</v>
      </c>
      <c r="AF1316" s="2"/>
      <c r="AG1316" s="2"/>
    </row>
    <row r="1317" spans="1:33" s="81" customFormat="1" ht="12.75" x14ac:dyDescent="0.2">
      <c r="A1317" s="13">
        <f t="shared" si="54"/>
        <v>111</v>
      </c>
      <c r="B1317" s="11"/>
      <c r="C1317" s="1"/>
      <c r="D1317" s="2"/>
      <c r="E1317" s="2"/>
      <c r="F1317" s="1"/>
      <c r="G1317" s="1"/>
      <c r="H1317" s="78"/>
      <c r="I1317" s="78"/>
      <c r="J1317" s="5" t="str">
        <f>IF(G1317&lt;&gt;0,VLOOKUP(G1317,[7]GIA!$L$2:$O$200,3,0)," ")</f>
        <v xml:space="preserve"> </v>
      </c>
      <c r="K1317" s="5" t="str">
        <f>IF(G1317&lt;&gt;0,VLOOKUP(G1317,[7]GIA!$L$2:$O$200,4,0)," ")</f>
        <v xml:space="preserve"> </v>
      </c>
      <c r="L1317" s="4" t="str">
        <f t="shared" si="56"/>
        <v xml:space="preserve"> </v>
      </c>
      <c r="M1317" s="4" t="str">
        <f t="shared" si="57"/>
        <v xml:space="preserve"> </v>
      </c>
      <c r="N1317" s="1"/>
      <c r="O1317" s="5"/>
      <c r="P1317" s="3" t="str">
        <f>IF(N1317&lt;&gt;0,VLOOKUP(N1317,[7]GIA!$A$2:$C$200,3,0)," ")</f>
        <v xml:space="preserve"> </v>
      </c>
      <c r="Q1317" s="4" t="str">
        <f t="shared" si="55"/>
        <v xml:space="preserve"> </v>
      </c>
      <c r="R1317" s="47"/>
      <c r="S1317" s="13"/>
      <c r="T1317" s="6"/>
      <c r="U1317" s="80"/>
      <c r="V1317" s="4" t="str">
        <f>IF(R1317&lt;&gt;0,VLOOKUP(R1317,[7]GIA!$F$2:$H$200,3,0)," ")</f>
        <v xml:space="preserve"> </v>
      </c>
      <c r="W1317" s="32" t="str">
        <f t="shared" si="58"/>
        <v xml:space="preserve"> </v>
      </c>
      <c r="X1317" s="18"/>
      <c r="Y1317" s="20"/>
      <c r="Z1317" s="20"/>
      <c r="AA1317" s="20"/>
      <c r="AB1317" s="20"/>
      <c r="AC1317" s="20"/>
      <c r="AD1317" s="9"/>
      <c r="AE1317" s="1"/>
      <c r="AF1317" s="1"/>
      <c r="AG1317" s="1"/>
    </row>
    <row r="1318" spans="1:33" s="81" customFormat="1" ht="25.5" x14ac:dyDescent="0.2">
      <c r="A1318" s="13">
        <f t="shared" si="54"/>
        <v>112</v>
      </c>
      <c r="B1318" s="11">
        <v>112</v>
      </c>
      <c r="C1318" s="21" t="s">
        <v>1092</v>
      </c>
      <c r="D1318" s="2">
        <v>4</v>
      </c>
      <c r="E1318" s="2">
        <v>86</v>
      </c>
      <c r="F1318" s="1">
        <v>213</v>
      </c>
      <c r="G1318" s="1" t="s">
        <v>855</v>
      </c>
      <c r="H1318" s="78">
        <v>100</v>
      </c>
      <c r="I1318" s="78"/>
      <c r="J1318" s="5"/>
      <c r="K1318" s="5"/>
      <c r="L1318" s="4"/>
      <c r="M1318" s="4"/>
      <c r="N1318" s="1"/>
      <c r="O1318" s="5"/>
      <c r="P1318" s="3" t="str">
        <f>IF(N1318&lt;&gt;0,VLOOKUP(N1318,[7]GIA!$A$2:$C$200,3,0)," ")</f>
        <v xml:space="preserve"> </v>
      </c>
      <c r="Q1318" s="4" t="str">
        <f t="shared" si="55"/>
        <v xml:space="preserve"> </v>
      </c>
      <c r="R1318" s="47"/>
      <c r="S1318" s="13"/>
      <c r="T1318" s="6"/>
      <c r="U1318" s="80"/>
      <c r="V1318" s="4" t="str">
        <f>IF(R1318&lt;&gt;0,VLOOKUP(R1318,[7]GIA!$F$2:$H$200,3,0)," ")</f>
        <v xml:space="preserve"> </v>
      </c>
      <c r="W1318" s="32" t="str">
        <f t="shared" si="58"/>
        <v xml:space="preserve"> </v>
      </c>
      <c r="X1318" s="18"/>
      <c r="Y1318" s="20"/>
      <c r="Z1318" s="20"/>
      <c r="AA1318" s="20"/>
      <c r="AB1318" s="20"/>
      <c r="AC1318" s="20"/>
      <c r="AD1318" s="9"/>
      <c r="AE1318" s="1" t="s">
        <v>1093</v>
      </c>
      <c r="AF1318" s="1"/>
      <c r="AG1318" s="1"/>
    </row>
    <row r="1319" spans="1:33" s="81" customFormat="1" ht="28.5" x14ac:dyDescent="0.2">
      <c r="A1319" s="13">
        <f t="shared" si="54"/>
        <v>112</v>
      </c>
      <c r="B1319" s="11"/>
      <c r="C1319" s="1" t="s">
        <v>1094</v>
      </c>
      <c r="D1319" s="2"/>
      <c r="E1319" s="2"/>
      <c r="F1319" s="1"/>
      <c r="G1319" s="1"/>
      <c r="H1319" s="78"/>
      <c r="I1319" s="78"/>
      <c r="J1319" s="5" t="str">
        <f>IF(G1319&lt;&gt;0,VLOOKUP(G1319,[7]GIA!$L$2:$O$200,3,0)," ")</f>
        <v xml:space="preserve"> </v>
      </c>
      <c r="K1319" s="5" t="str">
        <f>IF(G1319&lt;&gt;0,VLOOKUP(G1319,[7]GIA!$L$2:$O$200,4,0)," ")</f>
        <v xml:space="preserve"> </v>
      </c>
      <c r="L1319" s="4" t="str">
        <f t="shared" si="56"/>
        <v xml:space="preserve"> </v>
      </c>
      <c r="M1319" s="4" t="str">
        <f t="shared" si="57"/>
        <v xml:space="preserve"> </v>
      </c>
      <c r="N1319" s="1"/>
      <c r="O1319" s="5"/>
      <c r="P1319" s="3" t="str">
        <f>IF(N1319&lt;&gt;0,VLOOKUP(N1319,[7]GIA!$A$2:$C$200,3,0)," ")</f>
        <v xml:space="preserve"> </v>
      </c>
      <c r="Q1319" s="4" t="str">
        <f t="shared" si="55"/>
        <v xml:space="preserve"> </v>
      </c>
      <c r="R1319" s="47"/>
      <c r="S1319" s="13"/>
      <c r="T1319" s="13"/>
      <c r="U1319" s="80"/>
      <c r="V1319" s="4" t="str">
        <f>IF(R1319&lt;&gt;0,VLOOKUP(R1319,[7]GIA!$F$2:$H$200,3,0)," ")</f>
        <v xml:space="preserve"> </v>
      </c>
      <c r="W1319" s="32" t="str">
        <f t="shared" si="58"/>
        <v xml:space="preserve"> </v>
      </c>
      <c r="X1319" s="18"/>
      <c r="Y1319" s="20"/>
      <c r="Z1319" s="20"/>
      <c r="AA1319" s="20"/>
      <c r="AB1319" s="20"/>
      <c r="AC1319" s="20"/>
      <c r="AD1319" s="9"/>
      <c r="AE1319" s="1" t="s">
        <v>1087</v>
      </c>
      <c r="AF1319" s="1"/>
      <c r="AG1319" s="1"/>
    </row>
    <row r="1320" spans="1:33" s="81" customFormat="1" ht="25.5" x14ac:dyDescent="0.2">
      <c r="A1320" s="13">
        <f t="shared" si="54"/>
        <v>112</v>
      </c>
      <c r="B1320" s="11"/>
      <c r="C1320" s="82" t="s">
        <v>1588</v>
      </c>
      <c r="D1320" s="2"/>
      <c r="E1320" s="2"/>
      <c r="F1320" s="1"/>
      <c r="G1320" s="1"/>
      <c r="H1320" s="78"/>
      <c r="I1320" s="78"/>
      <c r="J1320" s="5" t="str">
        <f>IF(G1320&lt;&gt;0,VLOOKUP(G1320,[7]GIA!$L$2:$O$200,3,0)," ")</f>
        <v xml:space="preserve"> </v>
      </c>
      <c r="K1320" s="5" t="str">
        <f>IF(G1320&lt;&gt;0,VLOOKUP(G1320,[7]GIA!$L$2:$O$200,4,0)," ")</f>
        <v xml:space="preserve"> </v>
      </c>
      <c r="L1320" s="4" t="str">
        <f t="shared" si="56"/>
        <v xml:space="preserve"> </v>
      </c>
      <c r="M1320" s="4" t="str">
        <f t="shared" si="57"/>
        <v xml:space="preserve"> </v>
      </c>
      <c r="N1320" s="1"/>
      <c r="O1320" s="5"/>
      <c r="P1320" s="3" t="str">
        <f>IF(N1320&lt;&gt;0,VLOOKUP(N1320,[7]GIA!$A$2:$C$200,3,0)," ")</f>
        <v xml:space="preserve"> </v>
      </c>
      <c r="Q1320" s="4" t="str">
        <f t="shared" si="55"/>
        <v xml:space="preserve"> </v>
      </c>
      <c r="R1320" s="47"/>
      <c r="S1320" s="13"/>
      <c r="T1320" s="6"/>
      <c r="U1320" s="80"/>
      <c r="V1320" s="4" t="str">
        <f>IF(R1320&lt;&gt;0,VLOOKUP(R1320,[7]GIA!$F$2:$H$200,3,0)," ")</f>
        <v xml:space="preserve"> </v>
      </c>
      <c r="W1320" s="32" t="str">
        <f t="shared" si="58"/>
        <v xml:space="preserve"> </v>
      </c>
      <c r="X1320" s="18"/>
      <c r="Y1320" s="20"/>
      <c r="Z1320" s="20"/>
      <c r="AA1320" s="20"/>
      <c r="AB1320" s="20"/>
      <c r="AC1320" s="20"/>
      <c r="AD1320" s="9"/>
      <c r="AE1320" s="2" t="s">
        <v>809</v>
      </c>
      <c r="AF1320" s="2"/>
      <c r="AG1320" s="2"/>
    </row>
    <row r="1321" spans="1:33" s="81" customFormat="1" ht="12.75" x14ac:dyDescent="0.2">
      <c r="A1321" s="13">
        <f t="shared" si="54"/>
        <v>112</v>
      </c>
      <c r="B1321" s="11"/>
      <c r="C1321" s="82"/>
      <c r="D1321" s="2"/>
      <c r="E1321" s="2"/>
      <c r="F1321" s="1"/>
      <c r="G1321" s="1"/>
      <c r="H1321" s="78"/>
      <c r="I1321" s="78"/>
      <c r="J1321" s="5" t="str">
        <f>IF(G1321&lt;&gt;0,VLOOKUP(G1321,[7]GIA!$L$2:$O$200,3,0)," ")</f>
        <v xml:space="preserve"> </v>
      </c>
      <c r="K1321" s="5" t="str">
        <f>IF(G1321&lt;&gt;0,VLOOKUP(G1321,[7]GIA!$L$2:$O$200,4,0)," ")</f>
        <v xml:space="preserve"> </v>
      </c>
      <c r="L1321" s="4" t="str">
        <f t="shared" si="56"/>
        <v xml:space="preserve"> </v>
      </c>
      <c r="M1321" s="4" t="str">
        <f t="shared" si="57"/>
        <v xml:space="preserve"> </v>
      </c>
      <c r="N1321" s="1"/>
      <c r="O1321" s="5"/>
      <c r="P1321" s="3" t="str">
        <f>IF(N1321&lt;&gt;0,VLOOKUP(N1321,[7]GIA!$A$2:$C$200,3,0)," ")</f>
        <v xml:space="preserve"> </v>
      </c>
      <c r="Q1321" s="4" t="str">
        <f t="shared" si="55"/>
        <v xml:space="preserve"> </v>
      </c>
      <c r="R1321" s="47"/>
      <c r="S1321" s="13"/>
      <c r="T1321" s="6"/>
      <c r="U1321" s="80"/>
      <c r="V1321" s="4" t="str">
        <f>IF(R1321&lt;&gt;0,VLOOKUP(R1321,[7]GIA!$F$2:$H$200,3,0)," ")</f>
        <v xml:space="preserve"> </v>
      </c>
      <c r="W1321" s="32" t="str">
        <f t="shared" si="58"/>
        <v xml:space="preserve"> </v>
      </c>
      <c r="X1321" s="18"/>
      <c r="Y1321" s="20"/>
      <c r="Z1321" s="20"/>
      <c r="AA1321" s="20"/>
      <c r="AB1321" s="20"/>
      <c r="AC1321" s="20"/>
      <c r="AD1321" s="9"/>
      <c r="AE1321" s="1"/>
      <c r="AF1321" s="1"/>
      <c r="AG1321" s="1"/>
    </row>
    <row r="1322" spans="1:33" s="81" customFormat="1" ht="12.75" x14ac:dyDescent="0.2">
      <c r="A1322" s="13">
        <f t="shared" si="54"/>
        <v>112</v>
      </c>
      <c r="B1322" s="11"/>
      <c r="C1322" s="82"/>
      <c r="D1322" s="2"/>
      <c r="E1322" s="2"/>
      <c r="F1322" s="1"/>
      <c r="G1322" s="1"/>
      <c r="H1322" s="78"/>
      <c r="I1322" s="78"/>
      <c r="J1322" s="5" t="str">
        <f>IF(G1322&lt;&gt;0,VLOOKUP(G1322,[7]GIA!$L$2:$O$200,3,0)," ")</f>
        <v xml:space="preserve"> </v>
      </c>
      <c r="K1322" s="5" t="str">
        <f>IF(G1322&lt;&gt;0,VLOOKUP(G1322,[7]GIA!$L$2:$O$200,4,0)," ")</f>
        <v xml:space="preserve"> </v>
      </c>
      <c r="L1322" s="4" t="str">
        <f t="shared" si="56"/>
        <v xml:space="preserve"> </v>
      </c>
      <c r="M1322" s="4" t="str">
        <f t="shared" si="57"/>
        <v xml:space="preserve"> </v>
      </c>
      <c r="N1322" s="1"/>
      <c r="O1322" s="5"/>
      <c r="P1322" s="3" t="str">
        <f>IF(N1322&lt;&gt;0,VLOOKUP(N1322,[7]GIA!$A$2:$C$200,3,0)," ")</f>
        <v xml:space="preserve"> </v>
      </c>
      <c r="Q1322" s="4" t="str">
        <f t="shared" si="55"/>
        <v xml:space="preserve"> </v>
      </c>
      <c r="R1322" s="47"/>
      <c r="S1322" s="13"/>
      <c r="T1322" s="6"/>
      <c r="U1322" s="80"/>
      <c r="V1322" s="4" t="str">
        <f>IF(R1322&lt;&gt;0,VLOOKUP(R1322,[7]GIA!$F$2:$H$200,3,0)," ")</f>
        <v xml:space="preserve"> </v>
      </c>
      <c r="W1322" s="32" t="str">
        <f t="shared" si="58"/>
        <v xml:space="preserve"> </v>
      </c>
      <c r="X1322" s="18"/>
      <c r="Y1322" s="20"/>
      <c r="Z1322" s="20"/>
      <c r="AA1322" s="20"/>
      <c r="AB1322" s="20"/>
      <c r="AC1322" s="20"/>
      <c r="AD1322" s="9"/>
      <c r="AE1322" s="1"/>
      <c r="AF1322" s="1"/>
      <c r="AG1322" s="1"/>
    </row>
    <row r="1323" spans="1:33" s="81" customFormat="1" ht="12.75" x14ac:dyDescent="0.2">
      <c r="A1323" s="13">
        <f t="shared" si="54"/>
        <v>112</v>
      </c>
      <c r="B1323" s="11"/>
      <c r="C1323" s="1"/>
      <c r="D1323" s="2"/>
      <c r="E1323" s="2"/>
      <c r="F1323" s="1"/>
      <c r="G1323" s="1"/>
      <c r="H1323" s="78"/>
      <c r="I1323" s="78"/>
      <c r="J1323" s="5" t="str">
        <f>IF(G1323&lt;&gt;0,VLOOKUP(G1323,[7]GIA!$L$2:$O$200,3,0)," ")</f>
        <v xml:space="preserve"> </v>
      </c>
      <c r="K1323" s="5" t="str">
        <f>IF(G1323&lt;&gt;0,VLOOKUP(G1323,[7]GIA!$L$2:$O$200,4,0)," ")</f>
        <v xml:space="preserve"> </v>
      </c>
      <c r="L1323" s="4" t="str">
        <f t="shared" si="56"/>
        <v xml:space="preserve"> </v>
      </c>
      <c r="M1323" s="4" t="str">
        <f t="shared" si="57"/>
        <v xml:space="preserve"> </v>
      </c>
      <c r="N1323" s="1"/>
      <c r="O1323" s="5"/>
      <c r="P1323" s="3" t="str">
        <f>IF(N1323&lt;&gt;0,VLOOKUP(N1323,[7]GIA!$A$2:$C$200,3,0)," ")</f>
        <v xml:space="preserve"> </v>
      </c>
      <c r="Q1323" s="4" t="str">
        <f t="shared" si="55"/>
        <v xml:space="preserve"> </v>
      </c>
      <c r="R1323" s="47"/>
      <c r="S1323" s="13"/>
      <c r="T1323" s="6"/>
      <c r="U1323" s="80"/>
      <c r="V1323" s="4" t="str">
        <f>IF(R1323&lt;&gt;0,VLOOKUP(R1323,[7]GIA!$F$2:$H$200,3,0)," ")</f>
        <v xml:space="preserve"> </v>
      </c>
      <c r="W1323" s="32" t="str">
        <f t="shared" si="58"/>
        <v xml:space="preserve"> </v>
      </c>
      <c r="X1323" s="18"/>
      <c r="Y1323" s="20"/>
      <c r="Z1323" s="20"/>
      <c r="AA1323" s="20"/>
      <c r="AB1323" s="20"/>
      <c r="AC1323" s="20"/>
      <c r="AD1323" s="9"/>
      <c r="AE1323" s="1"/>
      <c r="AF1323" s="1"/>
      <c r="AG1323" s="1"/>
    </row>
    <row r="1324" spans="1:33" s="81" customFormat="1" ht="38.25" customHeight="1" x14ac:dyDescent="0.2">
      <c r="A1324" s="13">
        <f t="shared" si="54"/>
        <v>113</v>
      </c>
      <c r="B1324" s="11">
        <v>113</v>
      </c>
      <c r="C1324" s="21" t="s">
        <v>1095</v>
      </c>
      <c r="D1324" s="2">
        <v>3</v>
      </c>
      <c r="E1324" s="2">
        <v>86</v>
      </c>
      <c r="F1324" s="1">
        <v>166</v>
      </c>
      <c r="G1324" s="1" t="s">
        <v>855</v>
      </c>
      <c r="H1324" s="78">
        <f>902.2-H1325</f>
        <v>524.6</v>
      </c>
      <c r="I1324" s="78"/>
      <c r="J1324" s="5"/>
      <c r="K1324" s="5"/>
      <c r="L1324" s="4"/>
      <c r="M1324" s="4"/>
      <c r="N1324" s="1"/>
      <c r="O1324" s="5"/>
      <c r="P1324" s="3" t="str">
        <f>IF(N1324&lt;&gt;0,VLOOKUP(N1324,[7]GIA!$A$2:$C$200,3,0)," ")</f>
        <v xml:space="preserve"> </v>
      </c>
      <c r="Q1324" s="4" t="str">
        <f t="shared" si="55"/>
        <v xml:space="preserve"> </v>
      </c>
      <c r="R1324" s="47"/>
      <c r="S1324" s="13"/>
      <c r="T1324" s="6"/>
      <c r="U1324" s="80"/>
      <c r="V1324" s="4" t="str">
        <f>IF(R1324&lt;&gt;0,VLOOKUP(R1324,[7]GIA!$F$2:$H$200,3,0)," ")</f>
        <v xml:space="preserve"> </v>
      </c>
      <c r="W1324" s="32" t="str">
        <f t="shared" si="58"/>
        <v xml:space="preserve"> </v>
      </c>
      <c r="X1324" s="18"/>
      <c r="Y1324" s="20"/>
      <c r="Z1324" s="20"/>
      <c r="AA1324" s="20"/>
      <c r="AB1324" s="20"/>
      <c r="AC1324" s="20"/>
      <c r="AD1324" s="9"/>
      <c r="AE1324" s="1" t="s">
        <v>1096</v>
      </c>
      <c r="AF1324" s="1"/>
      <c r="AG1324" s="1"/>
    </row>
    <row r="1325" spans="1:33" s="81" customFormat="1" ht="95.25" customHeight="1" x14ac:dyDescent="0.2">
      <c r="A1325" s="13">
        <f t="shared" ref="A1325:A1335" si="59">IF(B1325&lt;&gt;0,B1325,A1324)</f>
        <v>113</v>
      </c>
      <c r="B1325" s="11"/>
      <c r="C1325" s="1" t="s">
        <v>1097</v>
      </c>
      <c r="D1325" s="2"/>
      <c r="E1325" s="2">
        <v>86</v>
      </c>
      <c r="F1325" s="1">
        <v>166</v>
      </c>
      <c r="G1325" s="1" t="s">
        <v>1098</v>
      </c>
      <c r="H1325" s="78">
        <v>377.6</v>
      </c>
      <c r="I1325" s="78"/>
      <c r="J1325" s="5"/>
      <c r="K1325" s="5"/>
      <c r="L1325" s="4"/>
      <c r="M1325" s="4"/>
      <c r="N1325" s="1"/>
      <c r="O1325" s="5"/>
      <c r="P1325" s="3" t="str">
        <f>IF(N1325&lt;&gt;0,VLOOKUP(N1325,[7]GIA!$A$2:$C$200,3,0)," ")</f>
        <v xml:space="preserve"> </v>
      </c>
      <c r="Q1325" s="4" t="str">
        <f t="shared" si="55"/>
        <v xml:space="preserve"> </v>
      </c>
      <c r="R1325" s="47"/>
      <c r="S1325" s="13"/>
      <c r="T1325" s="13"/>
      <c r="U1325" s="80"/>
      <c r="V1325" s="4" t="str">
        <f>IF(R1325&lt;&gt;0,VLOOKUP(R1325,[7]GIA!$F$2:$H$200,3,0)," ")</f>
        <v xml:space="preserve"> </v>
      </c>
      <c r="W1325" s="32" t="str">
        <f t="shared" si="58"/>
        <v xml:space="preserve"> </v>
      </c>
      <c r="X1325" s="18"/>
      <c r="Y1325" s="20"/>
      <c r="Z1325" s="20"/>
      <c r="AA1325" s="20"/>
      <c r="AB1325" s="20"/>
      <c r="AC1325" s="20"/>
      <c r="AD1325" s="9"/>
      <c r="AE1325" s="1" t="s">
        <v>1099</v>
      </c>
      <c r="AF1325" s="1"/>
      <c r="AG1325" s="1"/>
    </row>
    <row r="1326" spans="1:33" s="81" customFormat="1" ht="38.25" x14ac:dyDescent="0.2">
      <c r="A1326" s="13">
        <f t="shared" si="59"/>
        <v>113</v>
      </c>
      <c r="B1326" s="11"/>
      <c r="C1326" s="82" t="s">
        <v>1589</v>
      </c>
      <c r="D1326" s="2"/>
      <c r="E1326" s="2"/>
      <c r="F1326" s="1"/>
      <c r="G1326" s="1"/>
      <c r="H1326" s="78"/>
      <c r="I1326" s="78"/>
      <c r="J1326" s="5" t="str">
        <f>IF(G1326&lt;&gt;0,VLOOKUP(G1326,[7]GIA!$L$2:$O$200,3,0)," ")</f>
        <v xml:space="preserve"> </v>
      </c>
      <c r="K1326" s="5" t="str">
        <f>IF(G1326&lt;&gt;0,VLOOKUP(G1326,[7]GIA!$L$2:$O$200,4,0)," ")</f>
        <v xml:space="preserve"> </v>
      </c>
      <c r="L1326" s="4" t="str">
        <f t="shared" si="56"/>
        <v xml:space="preserve"> </v>
      </c>
      <c r="M1326" s="4" t="str">
        <f t="shared" si="57"/>
        <v xml:space="preserve"> </v>
      </c>
      <c r="N1326" s="1"/>
      <c r="O1326" s="5"/>
      <c r="P1326" s="3" t="str">
        <f>IF(N1326&lt;&gt;0,VLOOKUP(N1326,[7]GIA!$A$2:$C$200,3,0)," ")</f>
        <v xml:space="preserve"> </v>
      </c>
      <c r="Q1326" s="4" t="str">
        <f t="shared" si="55"/>
        <v xml:space="preserve"> </v>
      </c>
      <c r="R1326" s="47"/>
      <c r="S1326" s="13"/>
      <c r="T1326" s="6"/>
      <c r="U1326" s="80"/>
      <c r="V1326" s="4" t="str">
        <f>IF(R1326&lt;&gt;0,VLOOKUP(R1326,[7]GIA!$F$2:$H$200,3,0)," ")</f>
        <v xml:space="preserve"> </v>
      </c>
      <c r="W1326" s="32" t="str">
        <f t="shared" si="58"/>
        <v xml:space="preserve"> </v>
      </c>
      <c r="X1326" s="18"/>
      <c r="Y1326" s="20"/>
      <c r="Z1326" s="20"/>
      <c r="AA1326" s="20"/>
      <c r="AB1326" s="20"/>
      <c r="AC1326" s="20"/>
      <c r="AD1326" s="9"/>
      <c r="AE1326" s="2" t="s">
        <v>1815</v>
      </c>
      <c r="AF1326" s="2"/>
      <c r="AG1326" s="2"/>
    </row>
    <row r="1327" spans="1:33" s="81" customFormat="1" ht="12.75" x14ac:dyDescent="0.2">
      <c r="A1327" s="13">
        <f t="shared" si="59"/>
        <v>113</v>
      </c>
      <c r="B1327" s="11"/>
      <c r="C1327" s="21" t="s">
        <v>1100</v>
      </c>
      <c r="D1327" s="2"/>
      <c r="E1327" s="2"/>
      <c r="F1327" s="1"/>
      <c r="G1327" s="1"/>
      <c r="H1327" s="78"/>
      <c r="I1327" s="78"/>
      <c r="J1327" s="5" t="str">
        <f>IF(G1327&lt;&gt;0,VLOOKUP(G1327,[7]GIA!$L$2:$O$200,3,0)," ")</f>
        <v xml:space="preserve"> </v>
      </c>
      <c r="K1327" s="5" t="str">
        <f>IF(G1327&lt;&gt;0,VLOOKUP(G1327,[7]GIA!$L$2:$O$200,4,0)," ")</f>
        <v xml:space="preserve"> </v>
      </c>
      <c r="L1327" s="4" t="str">
        <f t="shared" si="56"/>
        <v xml:space="preserve"> </v>
      </c>
      <c r="M1327" s="4" t="str">
        <f t="shared" si="57"/>
        <v xml:space="preserve"> </v>
      </c>
      <c r="N1327" s="1"/>
      <c r="O1327" s="5"/>
      <c r="P1327" s="3" t="str">
        <f>IF(N1327&lt;&gt;0,VLOOKUP(N1327,[7]GIA!$A$2:$C$200,3,0)," ")</f>
        <v xml:space="preserve"> </v>
      </c>
      <c r="Q1327" s="4" t="str">
        <f t="shared" si="55"/>
        <v xml:space="preserve"> </v>
      </c>
      <c r="R1327" s="47"/>
      <c r="S1327" s="13"/>
      <c r="T1327" s="6"/>
      <c r="U1327" s="80"/>
      <c r="V1327" s="4" t="str">
        <f>IF(R1327&lt;&gt;0,VLOOKUP(R1327,[7]GIA!$F$2:$H$200,3,0)," ")</f>
        <v xml:space="preserve"> </v>
      </c>
      <c r="W1327" s="32" t="str">
        <f t="shared" si="58"/>
        <v xml:space="preserve"> </v>
      </c>
      <c r="X1327" s="18"/>
      <c r="Y1327" s="20"/>
      <c r="Z1327" s="20"/>
      <c r="AA1327" s="20"/>
      <c r="AB1327" s="20"/>
      <c r="AC1327" s="20"/>
      <c r="AD1327" s="9"/>
      <c r="AE1327" s="1"/>
      <c r="AF1327" s="1"/>
      <c r="AG1327" s="1"/>
    </row>
    <row r="1328" spans="1:33" s="81" customFormat="1" ht="12.75" x14ac:dyDescent="0.2">
      <c r="A1328" s="13">
        <f t="shared" si="59"/>
        <v>113</v>
      </c>
      <c r="B1328" s="11"/>
      <c r="C1328" s="1" t="s">
        <v>1101</v>
      </c>
      <c r="D1328" s="2"/>
      <c r="E1328" s="2"/>
      <c r="F1328" s="1"/>
      <c r="G1328" s="1"/>
      <c r="H1328" s="78"/>
      <c r="I1328" s="78"/>
      <c r="J1328" s="5" t="str">
        <f>IF(G1328&lt;&gt;0,VLOOKUP(G1328,[7]GIA!$L$2:$O$200,3,0)," ")</f>
        <v xml:space="preserve"> </v>
      </c>
      <c r="K1328" s="5" t="str">
        <f>IF(G1328&lt;&gt;0,VLOOKUP(G1328,[7]GIA!$L$2:$O$200,4,0)," ")</f>
        <v xml:space="preserve"> </v>
      </c>
      <c r="L1328" s="4" t="str">
        <f t="shared" si="56"/>
        <v xml:space="preserve"> </v>
      </c>
      <c r="M1328" s="4" t="str">
        <f t="shared" si="57"/>
        <v xml:space="preserve"> </v>
      </c>
      <c r="N1328" s="1"/>
      <c r="O1328" s="5"/>
      <c r="P1328" s="3" t="str">
        <f>IF(N1328&lt;&gt;0,VLOOKUP(N1328,[7]GIA!$A$2:$C$200,3,0)," ")</f>
        <v xml:space="preserve"> </v>
      </c>
      <c r="Q1328" s="4" t="str">
        <f t="shared" si="55"/>
        <v xml:space="preserve"> </v>
      </c>
      <c r="R1328" s="47"/>
      <c r="S1328" s="13"/>
      <c r="T1328" s="6"/>
      <c r="U1328" s="80"/>
      <c r="V1328" s="4" t="str">
        <f>IF(R1328&lt;&gt;0,VLOOKUP(R1328,[7]GIA!$F$2:$H$200,3,0)," ")</f>
        <v xml:space="preserve"> </v>
      </c>
      <c r="W1328" s="32" t="str">
        <f t="shared" si="58"/>
        <v xml:space="preserve"> </v>
      </c>
      <c r="X1328" s="18"/>
      <c r="Y1328" s="20"/>
      <c r="Z1328" s="20"/>
      <c r="AA1328" s="20"/>
      <c r="AB1328" s="20"/>
      <c r="AC1328" s="20"/>
      <c r="AD1328" s="9"/>
      <c r="AE1328" s="1"/>
      <c r="AF1328" s="1"/>
      <c r="AG1328" s="1"/>
    </row>
    <row r="1329" spans="1:33" s="81" customFormat="1" ht="25.5" x14ac:dyDescent="0.2">
      <c r="A1329" s="13">
        <f t="shared" si="59"/>
        <v>113</v>
      </c>
      <c r="B1329" s="11"/>
      <c r="C1329" s="82" t="s">
        <v>1590</v>
      </c>
      <c r="D1329" s="2"/>
      <c r="E1329" s="2"/>
      <c r="F1329" s="1"/>
      <c r="G1329" s="1"/>
      <c r="H1329" s="78"/>
      <c r="I1329" s="78"/>
      <c r="J1329" s="5" t="str">
        <f>IF(G1329&lt;&gt;0,VLOOKUP(G1329,[7]GIA!$L$2:$O$200,3,0)," ")</f>
        <v xml:space="preserve"> </v>
      </c>
      <c r="K1329" s="5" t="str">
        <f>IF(G1329&lt;&gt;0,VLOOKUP(G1329,[7]GIA!$L$2:$O$200,4,0)," ")</f>
        <v xml:space="preserve"> </v>
      </c>
      <c r="L1329" s="4" t="str">
        <f t="shared" si="56"/>
        <v xml:space="preserve"> </v>
      </c>
      <c r="M1329" s="4" t="str">
        <f t="shared" si="57"/>
        <v xml:space="preserve"> </v>
      </c>
      <c r="N1329" s="1"/>
      <c r="O1329" s="5"/>
      <c r="P1329" s="3" t="str">
        <f>IF(N1329&lt;&gt;0,VLOOKUP(N1329,[7]GIA!$A$2:$C$200,3,0)," ")</f>
        <v xml:space="preserve"> </v>
      </c>
      <c r="Q1329" s="4" t="str">
        <f t="shared" si="55"/>
        <v xml:space="preserve"> </v>
      </c>
      <c r="R1329" s="47"/>
      <c r="S1329" s="13"/>
      <c r="T1329" s="6"/>
      <c r="U1329" s="80"/>
      <c r="V1329" s="4" t="str">
        <f>IF(R1329&lt;&gt;0,VLOOKUP(R1329,[7]GIA!$F$2:$H$200,3,0)," ")</f>
        <v xml:space="preserve"> </v>
      </c>
      <c r="W1329" s="32" t="str">
        <f t="shared" si="58"/>
        <v xml:space="preserve"> </v>
      </c>
      <c r="X1329" s="18"/>
      <c r="Y1329" s="20"/>
      <c r="Z1329" s="20"/>
      <c r="AA1329" s="20"/>
      <c r="AB1329" s="20"/>
      <c r="AC1329" s="20"/>
      <c r="AD1329" s="9"/>
      <c r="AE1329" s="1"/>
      <c r="AF1329" s="1"/>
      <c r="AG1329" s="1"/>
    </row>
    <row r="1330" spans="1:33" s="81" customFormat="1" ht="12.75" x14ac:dyDescent="0.2">
      <c r="A1330" s="13">
        <f t="shared" si="59"/>
        <v>113</v>
      </c>
      <c r="B1330" s="11"/>
      <c r="C1330" s="21" t="s">
        <v>1102</v>
      </c>
      <c r="D1330" s="2"/>
      <c r="E1330" s="2"/>
      <c r="F1330" s="1"/>
      <c r="G1330" s="1"/>
      <c r="H1330" s="78"/>
      <c r="I1330" s="78"/>
      <c r="J1330" s="5" t="str">
        <f>IF(G1330&lt;&gt;0,VLOOKUP(G1330,[7]GIA!$L$2:$O$200,3,0)," ")</f>
        <v xml:space="preserve"> </v>
      </c>
      <c r="K1330" s="5" t="str">
        <f>IF(G1330&lt;&gt;0,VLOOKUP(G1330,[7]GIA!$L$2:$O$200,4,0)," ")</f>
        <v xml:space="preserve"> </v>
      </c>
      <c r="L1330" s="4" t="str">
        <f t="shared" si="56"/>
        <v xml:space="preserve"> </v>
      </c>
      <c r="M1330" s="4" t="str">
        <f t="shared" si="57"/>
        <v xml:space="preserve"> </v>
      </c>
      <c r="N1330" s="1"/>
      <c r="O1330" s="5"/>
      <c r="P1330" s="3" t="str">
        <f>IF(N1330&lt;&gt;0,VLOOKUP(N1330,[7]GIA!$A$2:$C$200,3,0)," ")</f>
        <v xml:space="preserve"> </v>
      </c>
      <c r="Q1330" s="4" t="str">
        <f t="shared" si="55"/>
        <v xml:space="preserve"> </v>
      </c>
      <c r="R1330" s="47"/>
      <c r="S1330" s="13"/>
      <c r="T1330" s="6"/>
      <c r="U1330" s="80"/>
      <c r="V1330" s="4" t="str">
        <f>IF(R1330&lt;&gt;0,VLOOKUP(R1330,[7]GIA!$F$2:$H$200,3,0)," ")</f>
        <v xml:space="preserve"> </v>
      </c>
      <c r="W1330" s="32" t="str">
        <f t="shared" si="58"/>
        <v xml:space="preserve"> </v>
      </c>
      <c r="X1330" s="18"/>
      <c r="Y1330" s="20"/>
      <c r="Z1330" s="20"/>
      <c r="AA1330" s="20"/>
      <c r="AB1330" s="20"/>
      <c r="AC1330" s="20"/>
      <c r="AD1330" s="9"/>
      <c r="AE1330" s="1"/>
      <c r="AF1330" s="1"/>
      <c r="AG1330" s="1"/>
    </row>
    <row r="1331" spans="1:33" s="81" customFormat="1" ht="12.75" x14ac:dyDescent="0.2">
      <c r="A1331" s="13">
        <f t="shared" si="59"/>
        <v>113</v>
      </c>
      <c r="B1331" s="11"/>
      <c r="C1331" s="1" t="s">
        <v>1103</v>
      </c>
      <c r="D1331" s="2"/>
      <c r="E1331" s="2"/>
      <c r="F1331" s="1"/>
      <c r="G1331" s="1"/>
      <c r="H1331" s="78"/>
      <c r="I1331" s="78"/>
      <c r="J1331" s="5" t="str">
        <f>IF(G1331&lt;&gt;0,VLOOKUP(G1331,[7]GIA!$L$2:$O$200,3,0)," ")</f>
        <v xml:space="preserve"> </v>
      </c>
      <c r="K1331" s="5" t="str">
        <f>IF(G1331&lt;&gt;0,VLOOKUP(G1331,[7]GIA!$L$2:$O$200,4,0)," ")</f>
        <v xml:space="preserve"> </v>
      </c>
      <c r="L1331" s="4" t="str">
        <f t="shared" si="56"/>
        <v xml:space="preserve"> </v>
      </c>
      <c r="M1331" s="4" t="str">
        <f t="shared" si="57"/>
        <v xml:space="preserve"> </v>
      </c>
      <c r="N1331" s="1"/>
      <c r="O1331" s="5"/>
      <c r="P1331" s="3" t="str">
        <f>IF(N1331&lt;&gt;0,VLOOKUP(N1331,[7]GIA!$A$2:$C$200,3,0)," ")</f>
        <v xml:space="preserve"> </v>
      </c>
      <c r="Q1331" s="4" t="str">
        <f t="shared" si="55"/>
        <v xml:space="preserve"> </v>
      </c>
      <c r="R1331" s="47"/>
      <c r="S1331" s="13"/>
      <c r="T1331" s="6"/>
      <c r="U1331" s="80"/>
      <c r="V1331" s="4" t="str">
        <f>IF(R1331&lt;&gt;0,VLOOKUP(R1331,[7]GIA!$F$2:$H$200,3,0)," ")</f>
        <v xml:space="preserve"> </v>
      </c>
      <c r="W1331" s="32" t="str">
        <f t="shared" si="58"/>
        <v xml:space="preserve"> </v>
      </c>
      <c r="X1331" s="18"/>
      <c r="Y1331" s="20"/>
      <c r="Z1331" s="20"/>
      <c r="AA1331" s="20"/>
      <c r="AB1331" s="20"/>
      <c r="AC1331" s="20"/>
      <c r="AD1331" s="9"/>
      <c r="AE1331" s="1"/>
      <c r="AF1331" s="1"/>
      <c r="AG1331" s="1"/>
    </row>
    <row r="1332" spans="1:33" s="81" customFormat="1" ht="38.25" x14ac:dyDescent="0.2">
      <c r="A1332" s="13">
        <f t="shared" si="59"/>
        <v>113</v>
      </c>
      <c r="B1332" s="11"/>
      <c r="C1332" s="82" t="s">
        <v>1591</v>
      </c>
      <c r="D1332" s="2"/>
      <c r="E1332" s="2"/>
      <c r="F1332" s="1"/>
      <c r="G1332" s="1"/>
      <c r="H1332" s="78"/>
      <c r="I1332" s="78"/>
      <c r="J1332" s="5" t="str">
        <f>IF(G1332&lt;&gt;0,VLOOKUP(G1332,[7]GIA!$L$2:$O$200,3,0)," ")</f>
        <v xml:space="preserve"> </v>
      </c>
      <c r="K1332" s="5" t="str">
        <f>IF(G1332&lt;&gt;0,VLOOKUP(G1332,[7]GIA!$L$2:$O$200,4,0)," ")</f>
        <v xml:space="preserve"> </v>
      </c>
      <c r="L1332" s="4" t="str">
        <f t="shared" si="56"/>
        <v xml:space="preserve"> </v>
      </c>
      <c r="M1332" s="4" t="str">
        <f t="shared" si="57"/>
        <v xml:space="preserve"> </v>
      </c>
      <c r="N1332" s="1"/>
      <c r="O1332" s="5"/>
      <c r="P1332" s="3" t="str">
        <f>IF(N1332&lt;&gt;0,VLOOKUP(N1332,[7]GIA!$A$2:$C$200,3,0)," ")</f>
        <v xml:space="preserve"> </v>
      </c>
      <c r="Q1332" s="4" t="str">
        <f t="shared" si="55"/>
        <v xml:space="preserve"> </v>
      </c>
      <c r="R1332" s="47"/>
      <c r="S1332" s="13"/>
      <c r="T1332" s="6"/>
      <c r="U1332" s="80"/>
      <c r="V1332" s="4" t="str">
        <f>IF(R1332&lt;&gt;0,VLOOKUP(R1332,[7]GIA!$F$2:$H$200,3,0)," ")</f>
        <v xml:space="preserve"> </v>
      </c>
      <c r="W1332" s="32" t="str">
        <f t="shared" si="58"/>
        <v xml:space="preserve"> </v>
      </c>
      <c r="X1332" s="18"/>
      <c r="Y1332" s="20"/>
      <c r="Z1332" s="20"/>
      <c r="AA1332" s="20"/>
      <c r="AB1332" s="20"/>
      <c r="AC1332" s="20"/>
      <c r="AD1332" s="9"/>
      <c r="AE1332" s="1"/>
      <c r="AF1332" s="1"/>
      <c r="AG1332" s="1"/>
    </row>
    <row r="1333" spans="1:33" s="81" customFormat="1" ht="12.75" x14ac:dyDescent="0.2">
      <c r="A1333" s="13">
        <f t="shared" si="59"/>
        <v>113</v>
      </c>
      <c r="B1333" s="11"/>
      <c r="C1333" s="82"/>
      <c r="D1333" s="2"/>
      <c r="E1333" s="2"/>
      <c r="F1333" s="1"/>
      <c r="G1333" s="1"/>
      <c r="H1333" s="78"/>
      <c r="I1333" s="78"/>
      <c r="J1333" s="5" t="str">
        <f>IF(G1333&lt;&gt;0,VLOOKUP(G1333,[7]GIA!$L$2:$O$200,3,0)," ")</f>
        <v xml:space="preserve"> </v>
      </c>
      <c r="K1333" s="5" t="str">
        <f>IF(G1333&lt;&gt;0,VLOOKUP(G1333,[7]GIA!$L$2:$O$200,4,0)," ")</f>
        <v xml:space="preserve"> </v>
      </c>
      <c r="L1333" s="4" t="str">
        <f t="shared" si="56"/>
        <v xml:space="preserve"> </v>
      </c>
      <c r="M1333" s="4" t="str">
        <f t="shared" si="57"/>
        <v xml:space="preserve"> </v>
      </c>
      <c r="N1333" s="1"/>
      <c r="O1333" s="5"/>
      <c r="P1333" s="3" t="str">
        <f>IF(N1333&lt;&gt;0,VLOOKUP(N1333,[7]GIA!$A$2:$C$200,3,0)," ")</f>
        <v xml:space="preserve"> </v>
      </c>
      <c r="Q1333" s="4" t="str">
        <f t="shared" si="55"/>
        <v xml:space="preserve"> </v>
      </c>
      <c r="R1333" s="47"/>
      <c r="S1333" s="13"/>
      <c r="T1333" s="6"/>
      <c r="U1333" s="80"/>
      <c r="V1333" s="4" t="str">
        <f>IF(R1333&lt;&gt;0,VLOOKUP(R1333,[7]GIA!$F$2:$H$200,3,0)," ")</f>
        <v xml:space="preserve"> </v>
      </c>
      <c r="W1333" s="32" t="str">
        <f t="shared" si="58"/>
        <v xml:space="preserve"> </v>
      </c>
      <c r="X1333" s="18"/>
      <c r="Y1333" s="20"/>
      <c r="Z1333" s="20"/>
      <c r="AA1333" s="20"/>
      <c r="AB1333" s="20"/>
      <c r="AC1333" s="20"/>
      <c r="AD1333" s="9"/>
      <c r="AE1333" s="1"/>
      <c r="AF1333" s="1"/>
      <c r="AG1333" s="1"/>
    </row>
    <row r="1334" spans="1:33" s="81" customFormat="1" ht="12.75" x14ac:dyDescent="0.2">
      <c r="A1334" s="13">
        <f t="shared" si="59"/>
        <v>113</v>
      </c>
      <c r="B1334" s="11"/>
      <c r="C1334" s="82"/>
      <c r="D1334" s="2"/>
      <c r="E1334" s="2"/>
      <c r="F1334" s="1"/>
      <c r="G1334" s="1"/>
      <c r="H1334" s="78"/>
      <c r="I1334" s="78"/>
      <c r="J1334" s="5" t="str">
        <f>IF(G1334&lt;&gt;0,VLOOKUP(G1334,[7]GIA!$L$2:$O$200,3,0)," ")</f>
        <v xml:space="preserve"> </v>
      </c>
      <c r="K1334" s="5" t="str">
        <f>IF(G1334&lt;&gt;0,VLOOKUP(G1334,[7]GIA!$L$2:$O$200,4,0)," ")</f>
        <v xml:space="preserve"> </v>
      </c>
      <c r="L1334" s="4" t="str">
        <f t="shared" si="56"/>
        <v xml:space="preserve"> </v>
      </c>
      <c r="M1334" s="4" t="str">
        <f t="shared" si="57"/>
        <v xml:space="preserve"> </v>
      </c>
      <c r="N1334" s="1"/>
      <c r="O1334" s="5"/>
      <c r="P1334" s="3" t="str">
        <f>IF(N1334&lt;&gt;0,VLOOKUP(N1334,[7]GIA!$A$2:$C$200,3,0)," ")</f>
        <v xml:space="preserve"> </v>
      </c>
      <c r="Q1334" s="4" t="str">
        <f t="shared" si="55"/>
        <v xml:space="preserve"> </v>
      </c>
      <c r="R1334" s="47"/>
      <c r="S1334" s="13"/>
      <c r="T1334" s="6"/>
      <c r="U1334" s="80"/>
      <c r="V1334" s="4" t="str">
        <f>IF(R1334&lt;&gt;0,VLOOKUP(R1334,[7]GIA!$F$2:$H$200,3,0)," ")</f>
        <v xml:space="preserve"> </v>
      </c>
      <c r="W1334" s="32" t="str">
        <f t="shared" si="58"/>
        <v xml:space="preserve"> </v>
      </c>
      <c r="X1334" s="18"/>
      <c r="Y1334" s="20"/>
      <c r="Z1334" s="20"/>
      <c r="AA1334" s="20"/>
      <c r="AB1334" s="20"/>
      <c r="AC1334" s="20"/>
      <c r="AD1334" s="9"/>
      <c r="AE1334" s="1"/>
      <c r="AF1334" s="1"/>
      <c r="AG1334" s="1"/>
    </row>
    <row r="1335" spans="1:33" s="81" customFormat="1" ht="12.75" x14ac:dyDescent="0.2">
      <c r="A1335" s="13">
        <f t="shared" si="59"/>
        <v>113</v>
      </c>
      <c r="B1335" s="11"/>
      <c r="C1335" s="82"/>
      <c r="D1335" s="2"/>
      <c r="E1335" s="2"/>
      <c r="F1335" s="1"/>
      <c r="G1335" s="1"/>
      <c r="H1335" s="78"/>
      <c r="I1335" s="78"/>
      <c r="J1335" s="5" t="str">
        <f>IF(G1335&lt;&gt;0,VLOOKUP(G1335,[7]GIA!$L$2:$O$200,3,0)," ")</f>
        <v xml:space="preserve"> </v>
      </c>
      <c r="K1335" s="5" t="str">
        <f>IF(G1335&lt;&gt;0,VLOOKUP(G1335,[7]GIA!$L$2:$O$200,4,0)," ")</f>
        <v xml:space="preserve"> </v>
      </c>
      <c r="L1335" s="4" t="str">
        <f t="shared" si="56"/>
        <v xml:space="preserve"> </v>
      </c>
      <c r="M1335" s="4" t="str">
        <f t="shared" si="57"/>
        <v xml:space="preserve"> </v>
      </c>
      <c r="N1335" s="1"/>
      <c r="O1335" s="5"/>
      <c r="P1335" s="3" t="str">
        <f>IF(N1335&lt;&gt;0,VLOOKUP(N1335,[7]GIA!$A$2:$C$200,3,0)," ")</f>
        <v xml:space="preserve"> </v>
      </c>
      <c r="Q1335" s="4" t="str">
        <f t="shared" si="55"/>
        <v xml:space="preserve"> </v>
      </c>
      <c r="R1335" s="47"/>
      <c r="S1335" s="13"/>
      <c r="T1335" s="6"/>
      <c r="U1335" s="80"/>
      <c r="V1335" s="4" t="str">
        <f>IF(R1335&lt;&gt;0,VLOOKUP(R1335,[7]GIA!$F$2:$H$200,3,0)," ")</f>
        <v xml:space="preserve"> </v>
      </c>
      <c r="W1335" s="32" t="str">
        <f t="shared" si="58"/>
        <v xml:space="preserve"> </v>
      </c>
      <c r="X1335" s="18"/>
      <c r="Y1335" s="20"/>
      <c r="Z1335" s="20"/>
      <c r="AA1335" s="20"/>
      <c r="AB1335" s="20"/>
      <c r="AC1335" s="20"/>
      <c r="AD1335" s="9"/>
      <c r="AE1335" s="1"/>
      <c r="AF1335" s="1"/>
      <c r="AG1335" s="1"/>
    </row>
    <row r="1336" spans="1:33" s="91" customFormat="1" ht="25.5" x14ac:dyDescent="0.2">
      <c r="A1336" s="13">
        <f>IF(B1336&lt;&gt;0,B1336,#REF!)</f>
        <v>114</v>
      </c>
      <c r="B1336" s="11">
        <v>114</v>
      </c>
      <c r="C1336" s="92" t="s">
        <v>1104</v>
      </c>
      <c r="D1336" s="1"/>
      <c r="E1336" s="83">
        <v>86</v>
      </c>
      <c r="F1336" s="83">
        <v>267</v>
      </c>
      <c r="G1336" s="84" t="s">
        <v>1105</v>
      </c>
      <c r="H1336" s="85">
        <v>222.1</v>
      </c>
      <c r="I1336" s="18"/>
      <c r="J1336" s="5"/>
      <c r="K1336" s="5"/>
      <c r="L1336" s="4"/>
      <c r="M1336" s="4"/>
      <c r="N1336" s="82"/>
      <c r="O1336" s="86"/>
      <c r="P1336" s="4"/>
      <c r="Q1336" s="4"/>
      <c r="R1336" s="47"/>
      <c r="S1336" s="87"/>
      <c r="T1336" s="88"/>
      <c r="U1336" s="89"/>
      <c r="V1336" s="4"/>
      <c r="W1336" s="4"/>
      <c r="X1336" s="9"/>
      <c r="Y1336" s="84"/>
      <c r="Z1336" s="18"/>
      <c r="AA1336" s="84"/>
      <c r="AB1336" s="84"/>
      <c r="AC1336" s="84"/>
      <c r="AD1336" s="84"/>
      <c r="AE1336" s="84" t="s">
        <v>1106</v>
      </c>
      <c r="AF1336" s="84"/>
      <c r="AG1336" s="84"/>
    </row>
    <row r="1337" spans="1:33" s="91" customFormat="1" ht="25.5" x14ac:dyDescent="0.2">
      <c r="A1337" s="13">
        <f t="shared" ref="A1337:A1400" si="60">IF(B1337&lt;&gt;0,B1337,A1336)</f>
        <v>114</v>
      </c>
      <c r="B1337" s="11"/>
      <c r="C1337" s="82" t="s">
        <v>1107</v>
      </c>
      <c r="D1337" s="1"/>
      <c r="E1337" s="83">
        <v>86</v>
      </c>
      <c r="F1337" s="83" t="s">
        <v>1108</v>
      </c>
      <c r="G1337" s="84" t="s">
        <v>1109</v>
      </c>
      <c r="H1337" s="85">
        <v>13</v>
      </c>
      <c r="I1337" s="18"/>
      <c r="J1337" s="5"/>
      <c r="K1337" s="5"/>
      <c r="L1337" s="4"/>
      <c r="M1337" s="4"/>
      <c r="N1337" s="82"/>
      <c r="O1337" s="86"/>
      <c r="P1337" s="4"/>
      <c r="Q1337" s="4"/>
      <c r="R1337" s="47"/>
      <c r="S1337" s="87"/>
      <c r="T1337" s="88"/>
      <c r="U1337" s="89"/>
      <c r="V1337" s="4"/>
      <c r="W1337" s="4"/>
      <c r="X1337" s="9"/>
      <c r="Y1337" s="84"/>
      <c r="Z1337" s="90"/>
      <c r="AA1337" s="84"/>
      <c r="AB1337" s="84"/>
      <c r="AC1337" s="84"/>
      <c r="AD1337" s="84"/>
      <c r="AE1337" s="84" t="s">
        <v>1110</v>
      </c>
      <c r="AF1337" s="84"/>
      <c r="AG1337" s="84"/>
    </row>
    <row r="1338" spans="1:33" s="91" customFormat="1" ht="51" x14ac:dyDescent="0.2">
      <c r="A1338" s="13">
        <f t="shared" si="60"/>
        <v>114</v>
      </c>
      <c r="B1338" s="11"/>
      <c r="C1338" s="82" t="s">
        <v>1592</v>
      </c>
      <c r="D1338" s="1"/>
      <c r="E1338" s="83"/>
      <c r="F1338" s="83"/>
      <c r="G1338" s="84"/>
      <c r="H1338" s="85"/>
      <c r="I1338" s="18"/>
      <c r="J1338" s="5"/>
      <c r="K1338" s="5"/>
      <c r="L1338" s="4"/>
      <c r="M1338" s="4"/>
      <c r="N1338" s="82"/>
      <c r="O1338" s="86"/>
      <c r="P1338" s="4"/>
      <c r="Q1338" s="4"/>
      <c r="R1338" s="47"/>
      <c r="S1338" s="87"/>
      <c r="T1338" s="88"/>
      <c r="U1338" s="89"/>
      <c r="V1338" s="4"/>
      <c r="W1338" s="4"/>
      <c r="X1338" s="9"/>
      <c r="Y1338" s="84"/>
      <c r="Z1338" s="90"/>
      <c r="AA1338" s="84"/>
      <c r="AB1338" s="84"/>
      <c r="AC1338" s="84"/>
      <c r="AD1338" s="84"/>
      <c r="AE1338" s="84" t="s">
        <v>404</v>
      </c>
      <c r="AF1338" s="84"/>
      <c r="AG1338" s="84"/>
    </row>
    <row r="1339" spans="1:33" s="91" customFormat="1" ht="63.75" x14ac:dyDescent="0.2">
      <c r="A1339" s="13">
        <f t="shared" si="60"/>
        <v>114</v>
      </c>
      <c r="B1339" s="11"/>
      <c r="C1339" s="82"/>
      <c r="D1339" s="1"/>
      <c r="E1339" s="83"/>
      <c r="F1339" s="83"/>
      <c r="G1339" s="84"/>
      <c r="H1339" s="85"/>
      <c r="I1339" s="18"/>
      <c r="J1339" s="5"/>
      <c r="K1339" s="5"/>
      <c r="L1339" s="4"/>
      <c r="M1339" s="4"/>
      <c r="N1339" s="82"/>
      <c r="O1339" s="86"/>
      <c r="P1339" s="4"/>
      <c r="Q1339" s="4"/>
      <c r="R1339" s="47"/>
      <c r="S1339" s="87"/>
      <c r="T1339" s="88"/>
      <c r="U1339" s="89"/>
      <c r="V1339" s="4"/>
      <c r="W1339" s="4"/>
      <c r="X1339" s="9"/>
      <c r="Y1339" s="84"/>
      <c r="Z1339" s="90"/>
      <c r="AA1339" s="84"/>
      <c r="AB1339" s="84"/>
      <c r="AC1339" s="84"/>
      <c r="AD1339" s="84"/>
      <c r="AE1339" s="84" t="s">
        <v>1111</v>
      </c>
      <c r="AF1339" s="84"/>
      <c r="AG1339" s="84"/>
    </row>
    <row r="1340" spans="1:33" s="91" customFormat="1" ht="12.75" x14ac:dyDescent="0.2">
      <c r="A1340" s="13">
        <f t="shared" si="60"/>
        <v>114</v>
      </c>
      <c r="B1340" s="11"/>
      <c r="C1340" s="82"/>
      <c r="D1340" s="1"/>
      <c r="E1340" s="83"/>
      <c r="F1340" s="83"/>
      <c r="G1340" s="84"/>
      <c r="H1340" s="85"/>
      <c r="I1340" s="18"/>
      <c r="J1340" s="5"/>
      <c r="K1340" s="5"/>
      <c r="L1340" s="4"/>
      <c r="M1340" s="4"/>
      <c r="N1340" s="82"/>
      <c r="O1340" s="86"/>
      <c r="P1340" s="4"/>
      <c r="Q1340" s="4"/>
      <c r="R1340" s="47"/>
      <c r="S1340" s="87"/>
      <c r="T1340" s="88"/>
      <c r="U1340" s="89"/>
      <c r="V1340" s="4"/>
      <c r="W1340" s="4"/>
      <c r="X1340" s="9"/>
      <c r="Y1340" s="84"/>
      <c r="Z1340" s="90"/>
      <c r="AA1340" s="84"/>
      <c r="AB1340" s="84"/>
      <c r="AC1340" s="84"/>
      <c r="AD1340" s="84"/>
      <c r="AE1340" s="84"/>
      <c r="AF1340" s="84"/>
      <c r="AG1340" s="84"/>
    </row>
    <row r="1341" spans="1:33" s="91" customFormat="1" ht="12.75" x14ac:dyDescent="0.2">
      <c r="A1341" s="13">
        <f t="shared" si="60"/>
        <v>114</v>
      </c>
      <c r="B1341" s="11"/>
      <c r="C1341" s="82"/>
      <c r="D1341" s="1"/>
      <c r="E1341" s="83"/>
      <c r="F1341" s="83"/>
      <c r="G1341" s="84"/>
      <c r="H1341" s="85"/>
      <c r="I1341" s="1"/>
      <c r="J1341" s="5"/>
      <c r="K1341" s="5"/>
      <c r="L1341" s="4"/>
      <c r="M1341" s="4"/>
      <c r="N1341" s="82"/>
      <c r="O1341" s="86"/>
      <c r="P1341" s="4"/>
      <c r="Q1341" s="4"/>
      <c r="R1341" s="82"/>
      <c r="S1341" s="87"/>
      <c r="T1341" s="88"/>
      <c r="U1341" s="89"/>
      <c r="V1341" s="4"/>
      <c r="W1341" s="4"/>
      <c r="X1341" s="9"/>
      <c r="Y1341" s="84"/>
      <c r="Z1341" s="90"/>
      <c r="AA1341" s="84"/>
      <c r="AB1341" s="84"/>
      <c r="AC1341" s="84"/>
      <c r="AD1341" s="84"/>
      <c r="AE1341" s="84"/>
      <c r="AF1341" s="84"/>
      <c r="AG1341" s="84"/>
    </row>
    <row r="1342" spans="1:33" s="91" customFormat="1" ht="25.5" x14ac:dyDescent="0.2">
      <c r="A1342" s="13">
        <f t="shared" si="60"/>
        <v>115</v>
      </c>
      <c r="B1342" s="11">
        <v>115</v>
      </c>
      <c r="C1342" s="92" t="s">
        <v>1112</v>
      </c>
      <c r="D1342" s="1"/>
      <c r="E1342" s="87">
        <v>86</v>
      </c>
      <c r="F1342" s="87">
        <v>21</v>
      </c>
      <c r="G1342" s="84" t="s">
        <v>1113</v>
      </c>
      <c r="H1342" s="85">
        <v>253.9</v>
      </c>
      <c r="I1342" s="18"/>
      <c r="J1342" s="5"/>
      <c r="K1342" s="5"/>
      <c r="L1342" s="4"/>
      <c r="M1342" s="4"/>
      <c r="N1342" s="82"/>
      <c r="O1342" s="86"/>
      <c r="P1342" s="4"/>
      <c r="Q1342" s="4"/>
      <c r="R1342" s="47"/>
      <c r="S1342" s="87"/>
      <c r="T1342" s="88"/>
      <c r="U1342" s="89"/>
      <c r="V1342" s="4"/>
      <c r="W1342" s="4"/>
      <c r="X1342" s="9"/>
      <c r="Y1342" s="84"/>
      <c r="Z1342" s="90"/>
      <c r="AA1342" s="84"/>
      <c r="AB1342" s="84"/>
      <c r="AC1342" s="84"/>
      <c r="AD1342" s="84"/>
      <c r="AE1342" s="84" t="s">
        <v>1114</v>
      </c>
      <c r="AF1342" s="84"/>
      <c r="AG1342" s="84"/>
    </row>
    <row r="1343" spans="1:33" s="91" customFormat="1" ht="25.5" x14ac:dyDescent="0.2">
      <c r="A1343" s="13">
        <f t="shared" si="60"/>
        <v>115</v>
      </c>
      <c r="B1343" s="11"/>
      <c r="C1343" s="82" t="s">
        <v>1115</v>
      </c>
      <c r="D1343" s="1"/>
      <c r="E1343" s="87">
        <v>86</v>
      </c>
      <c r="F1343" s="87" t="s">
        <v>1116</v>
      </c>
      <c r="G1343" s="84" t="s">
        <v>1109</v>
      </c>
      <c r="H1343" s="85">
        <v>18.3</v>
      </c>
      <c r="I1343" s="18"/>
      <c r="J1343" s="5"/>
      <c r="K1343" s="5"/>
      <c r="L1343" s="4"/>
      <c r="M1343" s="4"/>
      <c r="N1343" s="82"/>
      <c r="O1343" s="86"/>
      <c r="P1343" s="4"/>
      <c r="Q1343" s="4"/>
      <c r="R1343" s="47"/>
      <c r="S1343" s="87"/>
      <c r="T1343" s="88"/>
      <c r="U1343" s="89"/>
      <c r="V1343" s="4"/>
      <c r="W1343" s="4"/>
      <c r="X1343" s="9"/>
      <c r="Y1343" s="84"/>
      <c r="Z1343" s="90"/>
      <c r="AA1343" s="84"/>
      <c r="AB1343" s="84"/>
      <c r="AC1343" s="84"/>
      <c r="AD1343" s="84"/>
      <c r="AE1343" s="84" t="s">
        <v>1117</v>
      </c>
      <c r="AF1343" s="84"/>
      <c r="AG1343" s="84"/>
    </row>
    <row r="1344" spans="1:33" s="91" customFormat="1" ht="38.25" x14ac:dyDescent="0.2">
      <c r="A1344" s="13">
        <f t="shared" si="60"/>
        <v>115</v>
      </c>
      <c r="B1344" s="11"/>
      <c r="C1344" s="82" t="s">
        <v>1593</v>
      </c>
      <c r="D1344" s="1"/>
      <c r="E1344" s="83"/>
      <c r="F1344" s="83"/>
      <c r="G1344" s="84"/>
      <c r="H1344" s="85"/>
      <c r="I1344" s="18"/>
      <c r="J1344" s="5"/>
      <c r="K1344" s="5"/>
      <c r="L1344" s="4"/>
      <c r="M1344" s="4"/>
      <c r="N1344" s="84"/>
      <c r="O1344" s="86"/>
      <c r="P1344" s="4"/>
      <c r="Q1344" s="4"/>
      <c r="R1344" s="47"/>
      <c r="S1344" s="87"/>
      <c r="T1344" s="88"/>
      <c r="U1344" s="89"/>
      <c r="V1344" s="4"/>
      <c r="W1344" s="4"/>
      <c r="X1344" s="9"/>
      <c r="Y1344" s="84"/>
      <c r="Z1344" s="90"/>
      <c r="AA1344" s="84"/>
      <c r="AB1344" s="84"/>
      <c r="AC1344" s="84"/>
      <c r="AD1344" s="84"/>
      <c r="AE1344" s="1" t="s">
        <v>404</v>
      </c>
      <c r="AF1344" s="1"/>
      <c r="AG1344" s="1"/>
    </row>
    <row r="1345" spans="1:33" s="91" customFormat="1" ht="63.75" x14ac:dyDescent="0.2">
      <c r="A1345" s="13">
        <f t="shared" si="60"/>
        <v>115</v>
      </c>
      <c r="B1345" s="11"/>
      <c r="C1345" s="82"/>
      <c r="D1345" s="1"/>
      <c r="E1345" s="83"/>
      <c r="F1345" s="83"/>
      <c r="G1345" s="84"/>
      <c r="H1345" s="85"/>
      <c r="I1345" s="1"/>
      <c r="J1345" s="5"/>
      <c r="K1345" s="5"/>
      <c r="L1345" s="4"/>
      <c r="M1345" s="4"/>
      <c r="N1345" s="82"/>
      <c r="O1345" s="86"/>
      <c r="P1345" s="4"/>
      <c r="Q1345" s="4"/>
      <c r="R1345" s="82"/>
      <c r="S1345" s="87"/>
      <c r="T1345" s="88"/>
      <c r="U1345" s="89"/>
      <c r="V1345" s="4"/>
      <c r="W1345" s="4"/>
      <c r="X1345" s="9"/>
      <c r="Y1345" s="84"/>
      <c r="Z1345" s="90"/>
      <c r="AA1345" s="84"/>
      <c r="AB1345" s="84"/>
      <c r="AC1345" s="84"/>
      <c r="AD1345" s="84"/>
      <c r="AE1345" s="84" t="s">
        <v>1118</v>
      </c>
      <c r="AF1345" s="84"/>
      <c r="AG1345" s="84"/>
    </row>
    <row r="1346" spans="1:33" s="91" customFormat="1" ht="12.75" x14ac:dyDescent="0.2">
      <c r="A1346" s="13">
        <f t="shared" si="60"/>
        <v>115</v>
      </c>
      <c r="B1346" s="11"/>
      <c r="C1346" s="82"/>
      <c r="D1346" s="1"/>
      <c r="E1346" s="83"/>
      <c r="F1346" s="83"/>
      <c r="G1346" s="84"/>
      <c r="H1346" s="85"/>
      <c r="I1346" s="1"/>
      <c r="J1346" s="5"/>
      <c r="K1346" s="5"/>
      <c r="L1346" s="4"/>
      <c r="M1346" s="4"/>
      <c r="N1346" s="82"/>
      <c r="O1346" s="86"/>
      <c r="P1346" s="4"/>
      <c r="Q1346" s="4"/>
      <c r="R1346" s="82"/>
      <c r="S1346" s="87"/>
      <c r="T1346" s="88"/>
      <c r="U1346" s="89"/>
      <c r="V1346" s="4"/>
      <c r="W1346" s="4"/>
      <c r="X1346" s="9"/>
      <c r="Y1346" s="84"/>
      <c r="Z1346" s="90"/>
      <c r="AA1346" s="84"/>
      <c r="AB1346" s="84"/>
      <c r="AC1346" s="84"/>
      <c r="AD1346" s="84"/>
      <c r="AE1346" s="82"/>
      <c r="AF1346" s="82"/>
      <c r="AG1346" s="82"/>
    </row>
    <row r="1347" spans="1:33" s="91" customFormat="1" ht="12.75" x14ac:dyDescent="0.2">
      <c r="A1347" s="13">
        <f t="shared" si="60"/>
        <v>115</v>
      </c>
      <c r="B1347" s="11"/>
      <c r="C1347" s="82"/>
      <c r="D1347" s="1"/>
      <c r="E1347" s="83"/>
      <c r="F1347" s="83"/>
      <c r="G1347" s="84"/>
      <c r="H1347" s="85"/>
      <c r="I1347" s="1"/>
      <c r="J1347" s="5"/>
      <c r="K1347" s="5"/>
      <c r="L1347" s="4"/>
      <c r="M1347" s="4"/>
      <c r="N1347" s="82"/>
      <c r="O1347" s="86"/>
      <c r="P1347" s="4"/>
      <c r="Q1347" s="4"/>
      <c r="R1347" s="82"/>
      <c r="S1347" s="87"/>
      <c r="T1347" s="88"/>
      <c r="U1347" s="89"/>
      <c r="V1347" s="4"/>
      <c r="W1347" s="4"/>
      <c r="X1347" s="9"/>
      <c r="Y1347" s="84"/>
      <c r="Z1347" s="90"/>
      <c r="AA1347" s="84"/>
      <c r="AB1347" s="84"/>
      <c r="AC1347" s="84"/>
      <c r="AD1347" s="84"/>
      <c r="AE1347" s="84"/>
      <c r="AF1347" s="84"/>
      <c r="AG1347" s="84"/>
    </row>
    <row r="1348" spans="1:33" s="91" customFormat="1" ht="25.5" x14ac:dyDescent="0.2">
      <c r="A1348" s="13">
        <f t="shared" si="60"/>
        <v>116</v>
      </c>
      <c r="B1348" s="11">
        <v>116</v>
      </c>
      <c r="C1348" s="92" t="s">
        <v>1119</v>
      </c>
      <c r="D1348" s="1"/>
      <c r="E1348" s="87">
        <v>86</v>
      </c>
      <c r="F1348" s="87">
        <v>368</v>
      </c>
      <c r="G1348" s="84" t="s">
        <v>1120</v>
      </c>
      <c r="H1348" s="85">
        <v>311.39999999999998</v>
      </c>
      <c r="I1348" s="18"/>
      <c r="J1348" s="5"/>
      <c r="K1348" s="5"/>
      <c r="L1348" s="4"/>
      <c r="M1348" s="4"/>
      <c r="N1348" s="82" t="s">
        <v>154</v>
      </c>
      <c r="O1348" s="86">
        <v>1</v>
      </c>
      <c r="P1348" s="4"/>
      <c r="Q1348" s="4"/>
      <c r="R1348" s="47"/>
      <c r="S1348" s="87"/>
      <c r="T1348" s="88"/>
      <c r="U1348" s="89"/>
      <c r="V1348" s="4"/>
      <c r="W1348" s="4"/>
      <c r="X1348" s="9"/>
      <c r="Y1348" s="84"/>
      <c r="Z1348" s="90"/>
      <c r="AA1348" s="84"/>
      <c r="AB1348" s="84"/>
      <c r="AC1348" s="84"/>
      <c r="AD1348" s="84"/>
      <c r="AE1348" s="84" t="s">
        <v>1121</v>
      </c>
      <c r="AF1348" s="84"/>
      <c r="AG1348" s="84"/>
    </row>
    <row r="1349" spans="1:33" s="91" customFormat="1" ht="25.5" x14ac:dyDescent="0.2">
      <c r="A1349" s="13">
        <f t="shared" si="60"/>
        <v>116</v>
      </c>
      <c r="B1349" s="11"/>
      <c r="C1349" s="82" t="s">
        <v>1122</v>
      </c>
      <c r="D1349" s="1"/>
      <c r="E1349" s="87">
        <v>86</v>
      </c>
      <c r="F1349" s="87" t="s">
        <v>1123</v>
      </c>
      <c r="G1349" s="84" t="s">
        <v>1109</v>
      </c>
      <c r="H1349" s="85">
        <v>6.8</v>
      </c>
      <c r="I1349" s="18"/>
      <c r="J1349" s="5"/>
      <c r="K1349" s="5"/>
      <c r="L1349" s="4"/>
      <c r="M1349" s="4"/>
      <c r="N1349" s="82" t="s">
        <v>347</v>
      </c>
      <c r="O1349" s="86">
        <v>199</v>
      </c>
      <c r="P1349" s="4"/>
      <c r="Q1349" s="4"/>
      <c r="R1349" s="47"/>
      <c r="S1349" s="87"/>
      <c r="T1349" s="88"/>
      <c r="U1349" s="89"/>
      <c r="V1349" s="4"/>
      <c r="W1349" s="4"/>
      <c r="X1349" s="9"/>
      <c r="Y1349" s="84"/>
      <c r="Z1349" s="90"/>
      <c r="AA1349" s="84"/>
      <c r="AB1349" s="84"/>
      <c r="AC1349" s="84"/>
      <c r="AD1349" s="84"/>
      <c r="AE1349" s="84" t="s">
        <v>1124</v>
      </c>
      <c r="AF1349" s="84"/>
      <c r="AG1349" s="84"/>
    </row>
    <row r="1350" spans="1:33" s="91" customFormat="1" ht="38.25" x14ac:dyDescent="0.2">
      <c r="A1350" s="13">
        <f t="shared" si="60"/>
        <v>116</v>
      </c>
      <c r="B1350" s="11"/>
      <c r="C1350" s="82" t="s">
        <v>1594</v>
      </c>
      <c r="D1350" s="1"/>
      <c r="E1350" s="83"/>
      <c r="F1350" s="83"/>
      <c r="G1350" s="84"/>
      <c r="H1350" s="85"/>
      <c r="I1350" s="18"/>
      <c r="J1350" s="5"/>
      <c r="K1350" s="5"/>
      <c r="L1350" s="4"/>
      <c r="M1350" s="4"/>
      <c r="N1350" s="82"/>
      <c r="O1350" s="86"/>
      <c r="P1350" s="4"/>
      <c r="Q1350" s="4"/>
      <c r="R1350" s="47"/>
      <c r="S1350" s="87"/>
      <c r="T1350" s="88"/>
      <c r="U1350" s="89"/>
      <c r="V1350" s="4"/>
      <c r="W1350" s="4"/>
      <c r="X1350" s="9"/>
      <c r="Y1350" s="84"/>
      <c r="Z1350" s="90"/>
      <c r="AA1350" s="84"/>
      <c r="AB1350" s="84"/>
      <c r="AC1350" s="84"/>
      <c r="AD1350" s="84"/>
      <c r="AE1350" s="84" t="s">
        <v>404</v>
      </c>
      <c r="AF1350" s="84"/>
      <c r="AG1350" s="84"/>
    </row>
    <row r="1351" spans="1:33" s="91" customFormat="1" ht="63.75" x14ac:dyDescent="0.2">
      <c r="A1351" s="13">
        <f t="shared" si="60"/>
        <v>116</v>
      </c>
      <c r="B1351" s="11"/>
      <c r="C1351" s="82"/>
      <c r="D1351" s="1"/>
      <c r="E1351" s="83"/>
      <c r="F1351" s="83"/>
      <c r="G1351" s="84"/>
      <c r="H1351" s="85"/>
      <c r="I1351" s="1"/>
      <c r="J1351" s="5"/>
      <c r="K1351" s="5"/>
      <c r="L1351" s="4"/>
      <c r="M1351" s="4"/>
      <c r="N1351" s="82"/>
      <c r="O1351" s="86"/>
      <c r="P1351" s="4"/>
      <c r="Q1351" s="4"/>
      <c r="R1351" s="82"/>
      <c r="S1351" s="87"/>
      <c r="T1351" s="88"/>
      <c r="U1351" s="89"/>
      <c r="V1351" s="4"/>
      <c r="W1351" s="4"/>
      <c r="X1351" s="9"/>
      <c r="Y1351" s="84"/>
      <c r="Z1351" s="90"/>
      <c r="AA1351" s="84"/>
      <c r="AB1351" s="84"/>
      <c r="AC1351" s="84"/>
      <c r="AD1351" s="84"/>
      <c r="AE1351" s="84" t="s">
        <v>1125</v>
      </c>
      <c r="AF1351" s="84"/>
      <c r="AG1351" s="84"/>
    </row>
    <row r="1352" spans="1:33" s="91" customFormat="1" ht="12.75" x14ac:dyDescent="0.2">
      <c r="A1352" s="13">
        <f t="shared" si="60"/>
        <v>116</v>
      </c>
      <c r="B1352" s="11"/>
      <c r="C1352" s="82"/>
      <c r="D1352" s="1"/>
      <c r="E1352" s="83"/>
      <c r="F1352" s="83"/>
      <c r="G1352" s="84"/>
      <c r="H1352" s="85"/>
      <c r="I1352" s="1"/>
      <c r="J1352" s="5"/>
      <c r="K1352" s="5"/>
      <c r="L1352" s="4"/>
      <c r="M1352" s="4"/>
      <c r="N1352" s="82"/>
      <c r="O1352" s="86"/>
      <c r="P1352" s="4"/>
      <c r="Q1352" s="4"/>
      <c r="R1352" s="82"/>
      <c r="S1352" s="87"/>
      <c r="T1352" s="88"/>
      <c r="U1352" s="89"/>
      <c r="V1352" s="4"/>
      <c r="W1352" s="4"/>
      <c r="X1352" s="9"/>
      <c r="Y1352" s="84"/>
      <c r="Z1352" s="90"/>
      <c r="AA1352" s="84"/>
      <c r="AB1352" s="84"/>
      <c r="AC1352" s="84"/>
      <c r="AD1352" s="84"/>
      <c r="AE1352" s="84"/>
      <c r="AF1352" s="84"/>
      <c r="AG1352" s="84"/>
    </row>
    <row r="1353" spans="1:33" s="91" customFormat="1" ht="12.75" x14ac:dyDescent="0.2">
      <c r="A1353" s="13">
        <f t="shared" si="60"/>
        <v>116</v>
      </c>
      <c r="B1353" s="11"/>
      <c r="C1353" s="82"/>
      <c r="D1353" s="1"/>
      <c r="E1353" s="83"/>
      <c r="F1353" s="83"/>
      <c r="G1353" s="84"/>
      <c r="H1353" s="85"/>
      <c r="I1353" s="1"/>
      <c r="J1353" s="5"/>
      <c r="K1353" s="5"/>
      <c r="L1353" s="4"/>
      <c r="M1353" s="4"/>
      <c r="N1353" s="82"/>
      <c r="O1353" s="86"/>
      <c r="P1353" s="4"/>
      <c r="Q1353" s="4"/>
      <c r="R1353" s="82"/>
      <c r="S1353" s="87"/>
      <c r="T1353" s="88"/>
      <c r="U1353" s="89"/>
      <c r="V1353" s="4"/>
      <c r="W1353" s="4"/>
      <c r="X1353" s="9"/>
      <c r="Y1353" s="84"/>
      <c r="Z1353" s="90"/>
      <c r="AA1353" s="84"/>
      <c r="AB1353" s="84"/>
      <c r="AC1353" s="84"/>
      <c r="AD1353" s="84"/>
      <c r="AE1353" s="84"/>
      <c r="AF1353" s="84"/>
      <c r="AG1353" s="84"/>
    </row>
    <row r="1354" spans="1:33" s="91" customFormat="1" ht="25.5" x14ac:dyDescent="0.2">
      <c r="A1354" s="13">
        <f t="shared" si="60"/>
        <v>117</v>
      </c>
      <c r="B1354" s="11">
        <v>117</v>
      </c>
      <c r="C1354" s="92" t="s">
        <v>1126</v>
      </c>
      <c r="D1354" s="1"/>
      <c r="E1354" s="87">
        <v>86</v>
      </c>
      <c r="F1354" s="87">
        <v>367</v>
      </c>
      <c r="G1354" s="84" t="s">
        <v>1113</v>
      </c>
      <c r="H1354" s="85">
        <v>307.39999999999998</v>
      </c>
      <c r="I1354" s="18"/>
      <c r="J1354" s="5"/>
      <c r="K1354" s="5"/>
      <c r="L1354" s="4"/>
      <c r="M1354" s="4"/>
      <c r="N1354" s="82" t="s">
        <v>347</v>
      </c>
      <c r="O1354" s="86">
        <v>195</v>
      </c>
      <c r="P1354" s="4"/>
      <c r="Q1354" s="4"/>
      <c r="R1354" s="47"/>
      <c r="S1354" s="87"/>
      <c r="T1354" s="88"/>
      <c r="U1354" s="89"/>
      <c r="V1354" s="4"/>
      <c r="W1354" s="4"/>
      <c r="X1354" s="9"/>
      <c r="Y1354" s="84"/>
      <c r="Z1354" s="90"/>
      <c r="AA1354" s="84"/>
      <c r="AB1354" s="84"/>
      <c r="AC1354" s="84"/>
      <c r="AD1354" s="84"/>
      <c r="AE1354" s="84" t="s">
        <v>1127</v>
      </c>
      <c r="AF1354" s="84"/>
      <c r="AG1354" s="84"/>
    </row>
    <row r="1355" spans="1:33" s="91" customFormat="1" ht="25.5" x14ac:dyDescent="0.2">
      <c r="A1355" s="13">
        <f t="shared" si="60"/>
        <v>117</v>
      </c>
      <c r="B1355" s="11"/>
      <c r="C1355" s="82" t="s">
        <v>1128</v>
      </c>
      <c r="D1355" s="1"/>
      <c r="E1355" s="87"/>
      <c r="F1355" s="87"/>
      <c r="G1355" s="84"/>
      <c r="H1355" s="85"/>
      <c r="I1355" s="18"/>
      <c r="J1355" s="5"/>
      <c r="K1355" s="5"/>
      <c r="L1355" s="4"/>
      <c r="M1355" s="4"/>
      <c r="N1355" s="82"/>
      <c r="O1355" s="86"/>
      <c r="P1355" s="4"/>
      <c r="Q1355" s="4"/>
      <c r="R1355" s="47"/>
      <c r="S1355" s="87"/>
      <c r="T1355" s="88"/>
      <c r="U1355" s="89"/>
      <c r="V1355" s="4"/>
      <c r="W1355" s="4"/>
      <c r="X1355" s="9"/>
      <c r="Y1355" s="84"/>
      <c r="Z1355" s="90"/>
      <c r="AA1355" s="84"/>
      <c r="AB1355" s="84"/>
      <c r="AC1355" s="84"/>
      <c r="AD1355" s="84"/>
      <c r="AE1355" s="84" t="s">
        <v>1129</v>
      </c>
      <c r="AF1355" s="84"/>
      <c r="AG1355" s="84"/>
    </row>
    <row r="1356" spans="1:33" s="91" customFormat="1" ht="38.25" x14ac:dyDescent="0.2">
      <c r="A1356" s="13">
        <f t="shared" si="60"/>
        <v>117</v>
      </c>
      <c r="B1356" s="11"/>
      <c r="C1356" s="82" t="s">
        <v>1595</v>
      </c>
      <c r="D1356" s="1"/>
      <c r="E1356" s="83"/>
      <c r="F1356" s="83"/>
      <c r="G1356" s="84"/>
      <c r="H1356" s="85"/>
      <c r="I1356" s="18"/>
      <c r="J1356" s="5"/>
      <c r="K1356" s="5"/>
      <c r="L1356" s="4"/>
      <c r="M1356" s="4"/>
      <c r="N1356" s="82"/>
      <c r="O1356" s="86"/>
      <c r="P1356" s="4"/>
      <c r="Q1356" s="4"/>
      <c r="R1356" s="47"/>
      <c r="S1356" s="87"/>
      <c r="T1356" s="88"/>
      <c r="U1356" s="89"/>
      <c r="V1356" s="4"/>
      <c r="W1356" s="4"/>
      <c r="X1356" s="9"/>
      <c r="Y1356" s="84"/>
      <c r="Z1356" s="90"/>
      <c r="AA1356" s="84"/>
      <c r="AB1356" s="84"/>
      <c r="AC1356" s="84"/>
      <c r="AD1356" s="84"/>
      <c r="AE1356" s="84" t="s">
        <v>404</v>
      </c>
      <c r="AF1356" s="84"/>
      <c r="AG1356" s="84"/>
    </row>
    <row r="1357" spans="1:33" s="91" customFormat="1" ht="12.75" x14ac:dyDescent="0.2">
      <c r="A1357" s="13">
        <f t="shared" si="60"/>
        <v>117</v>
      </c>
      <c r="B1357" s="11"/>
      <c r="C1357" s="82"/>
      <c r="D1357" s="1"/>
      <c r="E1357" s="83"/>
      <c r="F1357" s="83"/>
      <c r="G1357" s="84"/>
      <c r="H1357" s="85"/>
      <c r="I1357" s="1"/>
      <c r="J1357" s="5"/>
      <c r="K1357" s="5"/>
      <c r="L1357" s="4"/>
      <c r="M1357" s="4"/>
      <c r="N1357" s="82"/>
      <c r="O1357" s="86"/>
      <c r="P1357" s="4"/>
      <c r="Q1357" s="4"/>
      <c r="R1357" s="82"/>
      <c r="S1357" s="87"/>
      <c r="T1357" s="88"/>
      <c r="U1357" s="89"/>
      <c r="V1357" s="4"/>
      <c r="W1357" s="4"/>
      <c r="X1357" s="9"/>
      <c r="Y1357" s="84"/>
      <c r="Z1357" s="90"/>
      <c r="AA1357" s="84"/>
      <c r="AB1357" s="84"/>
      <c r="AC1357" s="84"/>
      <c r="AD1357" s="84"/>
      <c r="AE1357" s="84"/>
      <c r="AF1357" s="84"/>
      <c r="AG1357" s="84"/>
    </row>
    <row r="1358" spans="1:33" s="91" customFormat="1" ht="12.75" x14ac:dyDescent="0.2">
      <c r="A1358" s="13">
        <f t="shared" si="60"/>
        <v>117</v>
      </c>
      <c r="B1358" s="11"/>
      <c r="C1358" s="82"/>
      <c r="D1358" s="1"/>
      <c r="E1358" s="83"/>
      <c r="F1358" s="83"/>
      <c r="G1358" s="84"/>
      <c r="H1358" s="85"/>
      <c r="I1358" s="1"/>
      <c r="J1358" s="5"/>
      <c r="K1358" s="5"/>
      <c r="L1358" s="4"/>
      <c r="M1358" s="4"/>
      <c r="N1358" s="82"/>
      <c r="O1358" s="86"/>
      <c r="P1358" s="4"/>
      <c r="Q1358" s="4"/>
      <c r="R1358" s="82"/>
      <c r="S1358" s="87"/>
      <c r="T1358" s="88"/>
      <c r="U1358" s="89"/>
      <c r="V1358" s="4"/>
      <c r="W1358" s="4"/>
      <c r="X1358" s="9"/>
      <c r="Y1358" s="84"/>
      <c r="Z1358" s="90"/>
      <c r="AA1358" s="84"/>
      <c r="AB1358" s="84"/>
      <c r="AC1358" s="84"/>
      <c r="AD1358" s="84"/>
      <c r="AE1358" s="84"/>
      <c r="AF1358" s="84"/>
      <c r="AG1358" s="84"/>
    </row>
    <row r="1359" spans="1:33" s="91" customFormat="1" ht="12.75" x14ac:dyDescent="0.2">
      <c r="A1359" s="13">
        <f t="shared" si="60"/>
        <v>117</v>
      </c>
      <c r="B1359" s="11"/>
      <c r="C1359" s="82"/>
      <c r="D1359" s="1"/>
      <c r="E1359" s="83"/>
      <c r="F1359" s="83"/>
      <c r="G1359" s="84"/>
      <c r="H1359" s="85"/>
      <c r="I1359" s="1"/>
      <c r="J1359" s="5"/>
      <c r="K1359" s="5"/>
      <c r="L1359" s="4"/>
      <c r="M1359" s="4"/>
      <c r="N1359" s="82"/>
      <c r="O1359" s="86"/>
      <c r="P1359" s="4"/>
      <c r="Q1359" s="4"/>
      <c r="R1359" s="82"/>
      <c r="S1359" s="87"/>
      <c r="T1359" s="88"/>
      <c r="U1359" s="89"/>
      <c r="V1359" s="4"/>
      <c r="W1359" s="4"/>
      <c r="X1359" s="9"/>
      <c r="Y1359" s="84"/>
      <c r="Z1359" s="90"/>
      <c r="AA1359" s="84"/>
      <c r="AB1359" s="84"/>
      <c r="AC1359" s="84"/>
      <c r="AD1359" s="84"/>
      <c r="AE1359" s="84"/>
      <c r="AF1359" s="84"/>
      <c r="AG1359" s="84"/>
    </row>
    <row r="1360" spans="1:33" s="91" customFormat="1" ht="38.25" x14ac:dyDescent="0.2">
      <c r="A1360" s="13">
        <f t="shared" si="60"/>
        <v>118</v>
      </c>
      <c r="B1360" s="11">
        <v>118</v>
      </c>
      <c r="C1360" s="92" t="s">
        <v>1130</v>
      </c>
      <c r="D1360" s="1"/>
      <c r="E1360" s="87">
        <v>86</v>
      </c>
      <c r="F1360" s="87">
        <v>1576</v>
      </c>
      <c r="G1360" s="84" t="s">
        <v>1131</v>
      </c>
      <c r="H1360" s="85">
        <v>30.1</v>
      </c>
      <c r="I1360" s="18"/>
      <c r="J1360" s="5"/>
      <c r="K1360" s="5"/>
      <c r="L1360" s="4"/>
      <c r="M1360" s="4"/>
      <c r="N1360" s="82"/>
      <c r="O1360" s="86"/>
      <c r="P1360" s="4"/>
      <c r="Q1360" s="4"/>
      <c r="R1360" s="47" t="s">
        <v>1132</v>
      </c>
      <c r="S1360" s="87" t="s">
        <v>1133</v>
      </c>
      <c r="T1360" s="88">
        <v>15.9</v>
      </c>
      <c r="U1360" s="89"/>
      <c r="V1360" s="4"/>
      <c r="W1360" s="4"/>
      <c r="X1360" s="9"/>
      <c r="Y1360" s="84"/>
      <c r="Z1360" s="90"/>
      <c r="AA1360" s="84"/>
      <c r="AB1360" s="84"/>
      <c r="AC1360" s="84"/>
      <c r="AD1360" s="84"/>
      <c r="AE1360" s="84" t="s">
        <v>1134</v>
      </c>
      <c r="AF1360" s="84"/>
      <c r="AG1360" s="84"/>
    </row>
    <row r="1361" spans="1:33" s="91" customFormat="1" ht="38.25" x14ac:dyDescent="0.2">
      <c r="A1361" s="13">
        <f t="shared" si="60"/>
        <v>118</v>
      </c>
      <c r="B1361" s="11"/>
      <c r="C1361" s="82" t="s">
        <v>1135</v>
      </c>
      <c r="D1361" s="1"/>
      <c r="E1361" s="87"/>
      <c r="F1361" s="87"/>
      <c r="G1361" s="84" t="s">
        <v>1136</v>
      </c>
      <c r="H1361" s="85">
        <v>219.7</v>
      </c>
      <c r="I1361" s="18"/>
      <c r="J1361" s="5"/>
      <c r="K1361" s="5"/>
      <c r="L1361" s="4"/>
      <c r="M1361" s="4"/>
      <c r="N1361" s="82"/>
      <c r="O1361" s="86"/>
      <c r="P1361" s="4"/>
      <c r="Q1361" s="4"/>
      <c r="R1361" s="47" t="s">
        <v>1137</v>
      </c>
      <c r="S1361" s="87" t="s">
        <v>1133</v>
      </c>
      <c r="T1361" s="88">
        <v>177.6</v>
      </c>
      <c r="U1361" s="89"/>
      <c r="V1361" s="4"/>
      <c r="W1361" s="4"/>
      <c r="X1361" s="158" t="s">
        <v>1138</v>
      </c>
      <c r="Y1361" s="4" t="s">
        <v>1139</v>
      </c>
      <c r="Z1361" s="4" t="s">
        <v>56</v>
      </c>
      <c r="AA1361" s="32" t="s">
        <v>269</v>
      </c>
      <c r="AB1361" s="3" t="s">
        <v>1138</v>
      </c>
      <c r="AC1361" s="4"/>
      <c r="AD1361" s="84"/>
      <c r="AE1361" s="84" t="s">
        <v>1140</v>
      </c>
      <c r="AF1361" s="84"/>
      <c r="AG1361" s="84"/>
    </row>
    <row r="1362" spans="1:33" s="91" customFormat="1" ht="30.75" customHeight="1" x14ac:dyDescent="0.2">
      <c r="A1362" s="13">
        <f t="shared" si="60"/>
        <v>118</v>
      </c>
      <c r="B1362" s="11"/>
      <c r="C1362" s="92" t="s">
        <v>1141</v>
      </c>
      <c r="D1362" s="1"/>
      <c r="E1362" s="83"/>
      <c r="F1362" s="83"/>
      <c r="G1362" s="82"/>
      <c r="H1362" s="85"/>
      <c r="I1362" s="18"/>
      <c r="J1362" s="5"/>
      <c r="K1362" s="5"/>
      <c r="L1362" s="4"/>
      <c r="M1362" s="4"/>
      <c r="N1362" s="82"/>
      <c r="O1362" s="86"/>
      <c r="P1362" s="4"/>
      <c r="Q1362" s="4"/>
      <c r="R1362" s="47" t="s">
        <v>1142</v>
      </c>
      <c r="S1362" s="87" t="s">
        <v>1133</v>
      </c>
      <c r="T1362" s="88">
        <v>16.5</v>
      </c>
      <c r="U1362" s="89"/>
      <c r="V1362" s="4"/>
      <c r="W1362" s="4"/>
      <c r="X1362" s="9"/>
      <c r="Y1362" s="84"/>
      <c r="Z1362" s="90"/>
      <c r="AA1362" s="84"/>
      <c r="AB1362" s="84"/>
      <c r="AC1362" s="84"/>
      <c r="AD1362" s="84"/>
      <c r="AE1362" s="1" t="s">
        <v>1143</v>
      </c>
      <c r="AF1362" s="1"/>
      <c r="AG1362" s="1"/>
    </row>
    <row r="1363" spans="1:33" s="91" customFormat="1" ht="30.75" customHeight="1" x14ac:dyDescent="0.2">
      <c r="A1363" s="13">
        <f t="shared" si="60"/>
        <v>118</v>
      </c>
      <c r="B1363" s="11"/>
      <c r="C1363" s="82" t="s">
        <v>1144</v>
      </c>
      <c r="D1363" s="1"/>
      <c r="E1363" s="83"/>
      <c r="F1363" s="83"/>
      <c r="G1363" s="84"/>
      <c r="H1363" s="85"/>
      <c r="I1363" s="1"/>
      <c r="J1363" s="5"/>
      <c r="K1363" s="5"/>
      <c r="L1363" s="4"/>
      <c r="M1363" s="4"/>
      <c r="N1363" s="82"/>
      <c r="O1363" s="86"/>
      <c r="P1363" s="4"/>
      <c r="Q1363" s="4"/>
      <c r="R1363" s="82" t="s">
        <v>1145</v>
      </c>
      <c r="S1363" s="87" t="s">
        <v>1133</v>
      </c>
      <c r="T1363" s="88">
        <v>2.52</v>
      </c>
      <c r="U1363" s="89"/>
      <c r="V1363" s="4"/>
      <c r="W1363" s="4"/>
      <c r="X1363" s="9"/>
      <c r="Y1363" s="84"/>
      <c r="Z1363" s="90"/>
      <c r="AA1363" s="84"/>
      <c r="AB1363" s="84"/>
      <c r="AC1363" s="84"/>
      <c r="AD1363" s="84"/>
      <c r="AE1363" s="84" t="s">
        <v>1146</v>
      </c>
      <c r="AF1363" s="84"/>
      <c r="AG1363" s="84"/>
    </row>
    <row r="1364" spans="1:33" s="91" customFormat="1" ht="38.25" x14ac:dyDescent="0.2">
      <c r="A1364" s="13">
        <f t="shared" si="60"/>
        <v>118</v>
      </c>
      <c r="B1364" s="11"/>
      <c r="C1364" s="82" t="s">
        <v>1596</v>
      </c>
      <c r="D1364" s="1"/>
      <c r="E1364" s="83"/>
      <c r="F1364" s="83"/>
      <c r="G1364" s="84"/>
      <c r="H1364" s="85"/>
      <c r="I1364" s="1"/>
      <c r="J1364" s="5"/>
      <c r="K1364" s="5"/>
      <c r="L1364" s="4"/>
      <c r="M1364" s="4"/>
      <c r="N1364" s="82"/>
      <c r="O1364" s="86"/>
      <c r="P1364" s="4"/>
      <c r="Q1364" s="4"/>
      <c r="R1364" s="82" t="s">
        <v>1147</v>
      </c>
      <c r="S1364" s="87" t="s">
        <v>1133</v>
      </c>
      <c r="T1364" s="88">
        <v>19.8</v>
      </c>
      <c r="U1364" s="89"/>
      <c r="V1364" s="4"/>
      <c r="W1364" s="4"/>
      <c r="X1364" s="9"/>
      <c r="Y1364" s="84"/>
      <c r="Z1364" s="90"/>
      <c r="AA1364" s="84"/>
      <c r="AB1364" s="84"/>
      <c r="AC1364" s="84"/>
      <c r="AD1364" s="84"/>
      <c r="AE1364" s="84"/>
      <c r="AF1364" s="84"/>
      <c r="AG1364" s="84"/>
    </row>
    <row r="1365" spans="1:33" s="91" customFormat="1" ht="20.25" customHeight="1" x14ac:dyDescent="0.2">
      <c r="A1365" s="13">
        <f t="shared" si="60"/>
        <v>118</v>
      </c>
      <c r="B1365" s="11"/>
      <c r="C1365" s="82"/>
      <c r="D1365" s="1"/>
      <c r="E1365" s="83"/>
      <c r="F1365" s="83"/>
      <c r="G1365" s="84"/>
      <c r="H1365" s="85"/>
      <c r="I1365" s="1"/>
      <c r="J1365" s="5"/>
      <c r="K1365" s="5"/>
      <c r="L1365" s="4"/>
      <c r="M1365" s="4"/>
      <c r="N1365" s="82"/>
      <c r="O1365" s="86"/>
      <c r="P1365" s="4"/>
      <c r="Q1365" s="4"/>
      <c r="R1365" s="82" t="s">
        <v>1148</v>
      </c>
      <c r="S1365" s="87" t="s">
        <v>1133</v>
      </c>
      <c r="T1365" s="88">
        <v>36.299999999999997</v>
      </c>
      <c r="U1365" s="89"/>
      <c r="V1365" s="4"/>
      <c r="W1365" s="4"/>
      <c r="X1365" s="9"/>
      <c r="Y1365" s="84"/>
      <c r="Z1365" s="90"/>
      <c r="AA1365" s="84"/>
      <c r="AB1365" s="84"/>
      <c r="AC1365" s="84"/>
      <c r="AD1365" s="84"/>
      <c r="AE1365" s="84"/>
      <c r="AF1365" s="84"/>
      <c r="AG1365" s="84"/>
    </row>
    <row r="1366" spans="1:33" s="91" customFormat="1" ht="12.75" x14ac:dyDescent="0.2">
      <c r="A1366" s="13">
        <f t="shared" si="60"/>
        <v>118</v>
      </c>
      <c r="B1366" s="11"/>
      <c r="C1366" s="82"/>
      <c r="D1366" s="1"/>
      <c r="E1366" s="83"/>
      <c r="F1366" s="83"/>
      <c r="G1366" s="84"/>
      <c r="H1366" s="85"/>
      <c r="I1366" s="1"/>
      <c r="J1366" s="5"/>
      <c r="K1366" s="5"/>
      <c r="L1366" s="4"/>
      <c r="M1366" s="4"/>
      <c r="N1366" s="82"/>
      <c r="O1366" s="86"/>
      <c r="P1366" s="4"/>
      <c r="Q1366" s="4"/>
      <c r="R1366" s="82"/>
      <c r="S1366" s="87"/>
      <c r="T1366" s="88"/>
      <c r="U1366" s="89"/>
      <c r="V1366" s="4"/>
      <c r="W1366" s="4"/>
      <c r="X1366" s="9"/>
      <c r="Y1366" s="84"/>
      <c r="Z1366" s="90"/>
      <c r="AA1366" s="84"/>
      <c r="AB1366" s="84"/>
      <c r="AC1366" s="84"/>
      <c r="AD1366" s="84"/>
      <c r="AE1366" s="84"/>
      <c r="AF1366" s="84"/>
      <c r="AG1366" s="84"/>
    </row>
    <row r="1367" spans="1:33" s="91" customFormat="1" ht="12.75" x14ac:dyDescent="0.2">
      <c r="A1367" s="13">
        <f t="shared" si="60"/>
        <v>118</v>
      </c>
      <c r="B1367" s="11"/>
      <c r="C1367" s="82"/>
      <c r="D1367" s="1"/>
      <c r="E1367" s="83"/>
      <c r="F1367" s="83"/>
      <c r="G1367" s="84"/>
      <c r="H1367" s="85"/>
      <c r="I1367" s="1"/>
      <c r="J1367" s="5"/>
      <c r="K1367" s="5"/>
      <c r="L1367" s="4"/>
      <c r="M1367" s="4"/>
      <c r="N1367" s="82"/>
      <c r="O1367" s="86"/>
      <c r="P1367" s="4"/>
      <c r="Q1367" s="4"/>
      <c r="R1367" s="82"/>
      <c r="S1367" s="87"/>
      <c r="T1367" s="88"/>
      <c r="U1367" s="89"/>
      <c r="V1367" s="4"/>
      <c r="W1367" s="4"/>
      <c r="X1367" s="9"/>
      <c r="Y1367" s="84"/>
      <c r="Z1367" s="90"/>
      <c r="AA1367" s="84"/>
      <c r="AB1367" s="84"/>
      <c r="AC1367" s="84"/>
      <c r="AD1367" s="84"/>
      <c r="AE1367" s="84"/>
      <c r="AF1367" s="84"/>
      <c r="AG1367" s="84"/>
    </row>
    <row r="1368" spans="1:33" s="91" customFormat="1" ht="12.75" x14ac:dyDescent="0.2">
      <c r="A1368" s="13">
        <f t="shared" si="60"/>
        <v>118</v>
      </c>
      <c r="B1368" s="11"/>
      <c r="C1368" s="82"/>
      <c r="D1368" s="1"/>
      <c r="E1368" s="83"/>
      <c r="F1368" s="83"/>
      <c r="G1368" s="84"/>
      <c r="H1368" s="85"/>
      <c r="I1368" s="1"/>
      <c r="J1368" s="5"/>
      <c r="K1368" s="5"/>
      <c r="L1368" s="4"/>
      <c r="M1368" s="4"/>
      <c r="N1368" s="82"/>
      <c r="O1368" s="86"/>
      <c r="P1368" s="4"/>
      <c r="Q1368" s="4"/>
      <c r="R1368" s="82"/>
      <c r="S1368" s="87"/>
      <c r="T1368" s="88"/>
      <c r="U1368" s="89"/>
      <c r="V1368" s="4"/>
      <c r="W1368" s="4"/>
      <c r="X1368" s="9"/>
      <c r="Y1368" s="84"/>
      <c r="Z1368" s="90"/>
      <c r="AA1368" s="84"/>
      <c r="AB1368" s="84"/>
      <c r="AC1368" s="84"/>
      <c r="AD1368" s="84"/>
      <c r="AE1368" s="84"/>
      <c r="AF1368" s="84"/>
      <c r="AG1368" s="84"/>
    </row>
    <row r="1369" spans="1:33" s="91" customFormat="1" ht="12.75" x14ac:dyDescent="0.2">
      <c r="A1369" s="13">
        <f t="shared" si="60"/>
        <v>118</v>
      </c>
      <c r="B1369" s="11"/>
      <c r="C1369" s="82"/>
      <c r="D1369" s="1"/>
      <c r="E1369" s="83"/>
      <c r="F1369" s="83"/>
      <c r="G1369" s="84"/>
      <c r="H1369" s="85"/>
      <c r="I1369" s="1"/>
      <c r="J1369" s="5"/>
      <c r="K1369" s="5"/>
      <c r="L1369" s="4"/>
      <c r="M1369" s="4"/>
      <c r="N1369" s="82"/>
      <c r="O1369" s="86"/>
      <c r="P1369" s="4"/>
      <c r="Q1369" s="4"/>
      <c r="R1369" s="82"/>
      <c r="S1369" s="87"/>
      <c r="T1369" s="88"/>
      <c r="U1369" s="89"/>
      <c r="V1369" s="4"/>
      <c r="W1369" s="4"/>
      <c r="X1369" s="9"/>
      <c r="Y1369" s="84"/>
      <c r="Z1369" s="90"/>
      <c r="AA1369" s="84"/>
      <c r="AB1369" s="84"/>
      <c r="AC1369" s="84"/>
      <c r="AD1369" s="84"/>
      <c r="AE1369" s="82"/>
      <c r="AF1369" s="82"/>
      <c r="AG1369" s="82"/>
    </row>
    <row r="1370" spans="1:33" s="91" customFormat="1" ht="51.75" customHeight="1" x14ac:dyDescent="0.2">
      <c r="A1370" s="13">
        <f t="shared" si="60"/>
        <v>119</v>
      </c>
      <c r="B1370" s="11">
        <v>119</v>
      </c>
      <c r="C1370" s="92" t="s">
        <v>1149</v>
      </c>
      <c r="D1370" s="1"/>
      <c r="E1370" s="87">
        <v>86</v>
      </c>
      <c r="F1370" s="87">
        <v>52</v>
      </c>
      <c r="G1370" s="84" t="s">
        <v>1131</v>
      </c>
      <c r="H1370" s="85">
        <v>14.3</v>
      </c>
      <c r="I1370" s="18"/>
      <c r="J1370" s="5"/>
      <c r="K1370" s="5"/>
      <c r="L1370" s="4"/>
      <c r="M1370" s="4"/>
      <c r="N1370" s="82" t="s">
        <v>72</v>
      </c>
      <c r="O1370" s="86">
        <v>8</v>
      </c>
      <c r="P1370" s="4"/>
      <c r="Q1370" s="4"/>
      <c r="R1370" s="47" t="s">
        <v>1909</v>
      </c>
      <c r="S1370" s="87" t="s">
        <v>1133</v>
      </c>
      <c r="T1370" s="88">
        <v>11</v>
      </c>
      <c r="U1370" s="89"/>
      <c r="V1370" s="4"/>
      <c r="W1370" s="4"/>
      <c r="X1370" s="9"/>
      <c r="Y1370" s="84"/>
      <c r="Z1370" s="90"/>
      <c r="AA1370" s="84"/>
      <c r="AB1370" s="84"/>
      <c r="AC1370" s="84"/>
      <c r="AD1370" s="84"/>
      <c r="AE1370" s="84" t="s">
        <v>1150</v>
      </c>
      <c r="AF1370" s="84"/>
      <c r="AG1370" s="84"/>
    </row>
    <row r="1371" spans="1:33" s="91" customFormat="1" ht="51.75" customHeight="1" x14ac:dyDescent="0.2">
      <c r="A1371" s="13">
        <f t="shared" si="60"/>
        <v>119</v>
      </c>
      <c r="B1371" s="11"/>
      <c r="C1371" s="82" t="s">
        <v>1151</v>
      </c>
      <c r="D1371" s="1"/>
      <c r="E1371" s="87">
        <v>86</v>
      </c>
      <c r="F1371" s="87" t="s">
        <v>1152</v>
      </c>
      <c r="G1371" s="84" t="s">
        <v>1153</v>
      </c>
      <c r="H1371" s="85">
        <v>2.2999999999999998</v>
      </c>
      <c r="I1371" s="18"/>
      <c r="J1371" s="5"/>
      <c r="K1371" s="5"/>
      <c r="L1371" s="4"/>
      <c r="M1371" s="4"/>
      <c r="N1371" s="82" t="s">
        <v>73</v>
      </c>
      <c r="O1371" s="86">
        <v>6</v>
      </c>
      <c r="P1371" s="4"/>
      <c r="Q1371" s="4"/>
      <c r="R1371" s="47" t="s">
        <v>1910</v>
      </c>
      <c r="S1371" s="87" t="s">
        <v>1133</v>
      </c>
      <c r="T1371" s="88">
        <v>5</v>
      </c>
      <c r="U1371" s="89"/>
      <c r="V1371" s="4"/>
      <c r="W1371" s="4"/>
      <c r="X1371" s="9"/>
      <c r="Y1371" s="84"/>
      <c r="Z1371" s="90"/>
      <c r="AA1371" s="84"/>
      <c r="AB1371" s="84"/>
      <c r="AC1371" s="84"/>
      <c r="AD1371" s="84"/>
      <c r="AE1371" s="84" t="s">
        <v>1154</v>
      </c>
      <c r="AF1371" s="84"/>
      <c r="AG1371" s="84"/>
    </row>
    <row r="1372" spans="1:33" s="91" customFormat="1" ht="57.75" customHeight="1" x14ac:dyDescent="0.2">
      <c r="A1372" s="13">
        <f t="shared" si="60"/>
        <v>119</v>
      </c>
      <c r="B1372" s="11"/>
      <c r="C1372" s="82" t="s">
        <v>1597</v>
      </c>
      <c r="D1372" s="1"/>
      <c r="E1372" s="87"/>
      <c r="F1372" s="87"/>
      <c r="G1372" s="84"/>
      <c r="H1372" s="85"/>
      <c r="I1372" s="18"/>
      <c r="J1372" s="5"/>
      <c r="K1372" s="5"/>
      <c r="L1372" s="4"/>
      <c r="M1372" s="4"/>
      <c r="N1372" s="82" t="s">
        <v>75</v>
      </c>
      <c r="O1372" s="86">
        <v>9</v>
      </c>
      <c r="P1372" s="4"/>
      <c r="Q1372" s="4"/>
      <c r="R1372" s="47"/>
      <c r="S1372" s="87"/>
      <c r="T1372" s="88"/>
      <c r="U1372" s="89"/>
      <c r="V1372" s="4"/>
      <c r="W1372" s="4"/>
      <c r="X1372" s="9"/>
      <c r="Y1372" s="84"/>
      <c r="Z1372" s="90"/>
      <c r="AA1372" s="84"/>
      <c r="AB1372" s="84"/>
      <c r="AC1372" s="84"/>
      <c r="AD1372" s="84"/>
      <c r="AE1372" s="1" t="s">
        <v>1721</v>
      </c>
      <c r="AF1372" s="1"/>
      <c r="AG1372" s="1"/>
    </row>
    <row r="1373" spans="1:33" s="91" customFormat="1" ht="76.5" x14ac:dyDescent="0.2">
      <c r="A1373" s="13">
        <f t="shared" si="60"/>
        <v>119</v>
      </c>
      <c r="B1373" s="11"/>
      <c r="C1373" s="82"/>
      <c r="D1373" s="1"/>
      <c r="E1373" s="87"/>
      <c r="F1373" s="87"/>
      <c r="G1373" s="84"/>
      <c r="H1373" s="85"/>
      <c r="I1373" s="1"/>
      <c r="J1373" s="5"/>
      <c r="K1373" s="5"/>
      <c r="L1373" s="4"/>
      <c r="M1373" s="4"/>
      <c r="N1373" s="82" t="s">
        <v>165</v>
      </c>
      <c r="O1373" s="86">
        <v>1</v>
      </c>
      <c r="P1373" s="4"/>
      <c r="Q1373" s="4"/>
      <c r="R1373" s="82"/>
      <c r="S1373" s="87"/>
      <c r="T1373" s="88"/>
      <c r="U1373" s="89"/>
      <c r="V1373" s="4"/>
      <c r="W1373" s="4"/>
      <c r="X1373" s="9"/>
      <c r="Y1373" s="84"/>
      <c r="Z1373" s="90"/>
      <c r="AA1373" s="84"/>
      <c r="AB1373" s="84"/>
      <c r="AC1373" s="84"/>
      <c r="AD1373" s="84"/>
      <c r="AE1373" s="84" t="s">
        <v>1155</v>
      </c>
      <c r="AF1373" s="84"/>
      <c r="AG1373" s="84"/>
    </row>
    <row r="1374" spans="1:33" s="91" customFormat="1" ht="24.75" customHeight="1" x14ac:dyDescent="0.2">
      <c r="A1374" s="13">
        <f t="shared" si="60"/>
        <v>119</v>
      </c>
      <c r="B1374" s="11"/>
      <c r="C1374" s="82"/>
      <c r="D1374" s="1"/>
      <c r="E1374" s="87"/>
      <c r="F1374" s="87"/>
      <c r="G1374" s="84"/>
      <c r="H1374" s="85"/>
      <c r="I1374" s="1"/>
      <c r="J1374" s="5"/>
      <c r="K1374" s="5"/>
      <c r="L1374" s="4"/>
      <c r="M1374" s="4"/>
      <c r="N1374" s="82" t="s">
        <v>61</v>
      </c>
      <c r="O1374" s="86">
        <v>1</v>
      </c>
      <c r="P1374" s="4"/>
      <c r="Q1374" s="4"/>
      <c r="R1374" s="82"/>
      <c r="S1374" s="87"/>
      <c r="T1374" s="88"/>
      <c r="U1374" s="89"/>
      <c r="V1374" s="4"/>
      <c r="W1374" s="4"/>
      <c r="X1374" s="9"/>
      <c r="Y1374" s="84"/>
      <c r="Z1374" s="90"/>
      <c r="AA1374" s="84"/>
      <c r="AB1374" s="84"/>
      <c r="AC1374" s="84"/>
      <c r="AD1374" s="84"/>
      <c r="AE1374" s="84"/>
      <c r="AF1374" s="84"/>
      <c r="AG1374" s="84"/>
    </row>
    <row r="1375" spans="1:33" s="91" customFormat="1" ht="24.75" customHeight="1" x14ac:dyDescent="0.2">
      <c r="A1375" s="13">
        <f t="shared" si="60"/>
        <v>119</v>
      </c>
      <c r="B1375" s="11"/>
      <c r="C1375" s="82"/>
      <c r="D1375" s="1"/>
      <c r="E1375" s="87"/>
      <c r="F1375" s="87"/>
      <c r="G1375" s="84"/>
      <c r="H1375" s="85"/>
      <c r="I1375" s="1"/>
      <c r="J1375" s="5"/>
      <c r="K1375" s="5"/>
      <c r="L1375" s="4"/>
      <c r="M1375" s="4"/>
      <c r="N1375" s="82" t="s">
        <v>69</v>
      </c>
      <c r="O1375" s="86">
        <v>3</v>
      </c>
      <c r="P1375" s="4"/>
      <c r="Q1375" s="4"/>
      <c r="R1375" s="82"/>
      <c r="S1375" s="87"/>
      <c r="T1375" s="88"/>
      <c r="U1375" s="89"/>
      <c r="V1375" s="4"/>
      <c r="W1375" s="4"/>
      <c r="X1375" s="9"/>
      <c r="Y1375" s="84"/>
      <c r="Z1375" s="90"/>
      <c r="AA1375" s="84"/>
      <c r="AB1375" s="84"/>
      <c r="AC1375" s="84"/>
      <c r="AD1375" s="84"/>
      <c r="AE1375" s="84"/>
      <c r="AF1375" s="84"/>
      <c r="AG1375" s="84"/>
    </row>
    <row r="1376" spans="1:33" s="91" customFormat="1" ht="24.75" customHeight="1" x14ac:dyDescent="0.2">
      <c r="A1376" s="13">
        <f t="shared" si="60"/>
        <v>119</v>
      </c>
      <c r="B1376" s="11"/>
      <c r="C1376" s="82"/>
      <c r="D1376" s="1"/>
      <c r="E1376" s="87"/>
      <c r="F1376" s="87"/>
      <c r="G1376" s="84"/>
      <c r="H1376" s="85"/>
      <c r="I1376" s="1"/>
      <c r="J1376" s="5"/>
      <c r="K1376" s="5"/>
      <c r="L1376" s="4"/>
      <c r="M1376" s="4"/>
      <c r="N1376" s="82" t="s">
        <v>131</v>
      </c>
      <c r="O1376" s="86">
        <v>1</v>
      </c>
      <c r="P1376" s="4"/>
      <c r="Q1376" s="4"/>
      <c r="R1376" s="82"/>
      <c r="S1376" s="87"/>
      <c r="T1376" s="88"/>
      <c r="U1376" s="89"/>
      <c r="V1376" s="4"/>
      <c r="W1376" s="4"/>
      <c r="X1376" s="9"/>
      <c r="Y1376" s="84"/>
      <c r="Z1376" s="90"/>
      <c r="AA1376" s="84"/>
      <c r="AB1376" s="84"/>
      <c r="AC1376" s="84"/>
      <c r="AD1376" s="84"/>
      <c r="AE1376" s="84"/>
      <c r="AF1376" s="84"/>
      <c r="AG1376" s="84"/>
    </row>
    <row r="1377" spans="1:33" s="91" customFormat="1" ht="24.75" customHeight="1" x14ac:dyDescent="0.2">
      <c r="A1377" s="13">
        <f t="shared" si="60"/>
        <v>119</v>
      </c>
      <c r="B1377" s="11"/>
      <c r="C1377" s="82"/>
      <c r="D1377" s="1"/>
      <c r="E1377" s="83"/>
      <c r="F1377" s="83"/>
      <c r="G1377" s="84"/>
      <c r="H1377" s="85"/>
      <c r="I1377" s="1"/>
      <c r="J1377" s="5"/>
      <c r="K1377" s="5"/>
      <c r="L1377" s="4"/>
      <c r="M1377" s="4"/>
      <c r="N1377" s="82" t="s">
        <v>1156</v>
      </c>
      <c r="O1377" s="86">
        <v>1</v>
      </c>
      <c r="P1377" s="4"/>
      <c r="Q1377" s="4"/>
      <c r="R1377" s="82"/>
      <c r="S1377" s="87"/>
      <c r="T1377" s="88"/>
      <c r="U1377" s="89"/>
      <c r="V1377" s="4"/>
      <c r="W1377" s="4"/>
      <c r="X1377" s="9"/>
      <c r="Y1377" s="84"/>
      <c r="Z1377" s="90"/>
      <c r="AA1377" s="84"/>
      <c r="AB1377" s="84"/>
      <c r="AC1377" s="84"/>
      <c r="AD1377" s="84"/>
      <c r="AE1377" s="93"/>
      <c r="AF1377" s="93"/>
      <c r="AG1377" s="93"/>
    </row>
    <row r="1378" spans="1:33" s="91" customFormat="1" ht="12.75" x14ac:dyDescent="0.2">
      <c r="A1378" s="13">
        <f t="shared" si="60"/>
        <v>119</v>
      </c>
      <c r="B1378" s="11"/>
      <c r="C1378" s="82"/>
      <c r="D1378" s="1"/>
      <c r="E1378" s="83"/>
      <c r="F1378" s="83"/>
      <c r="G1378" s="84"/>
      <c r="H1378" s="85"/>
      <c r="I1378" s="1"/>
      <c r="J1378" s="5"/>
      <c r="K1378" s="5"/>
      <c r="L1378" s="4"/>
      <c r="M1378" s="4"/>
      <c r="N1378" s="82"/>
      <c r="O1378" s="86"/>
      <c r="P1378" s="4"/>
      <c r="Q1378" s="4"/>
      <c r="R1378" s="82"/>
      <c r="S1378" s="87"/>
      <c r="T1378" s="88"/>
      <c r="U1378" s="89"/>
      <c r="V1378" s="4"/>
      <c r="W1378" s="4"/>
      <c r="X1378" s="9"/>
      <c r="Y1378" s="84"/>
      <c r="Z1378" s="90"/>
      <c r="AA1378" s="84"/>
      <c r="AB1378" s="84"/>
      <c r="AC1378" s="84"/>
      <c r="AD1378" s="84"/>
      <c r="AE1378" s="82"/>
      <c r="AF1378" s="82"/>
      <c r="AG1378" s="82"/>
    </row>
    <row r="1379" spans="1:33" s="91" customFormat="1" ht="12.75" x14ac:dyDescent="0.2">
      <c r="A1379" s="13">
        <f t="shared" si="60"/>
        <v>119</v>
      </c>
      <c r="B1379" s="11"/>
      <c r="C1379" s="82"/>
      <c r="D1379" s="1"/>
      <c r="E1379" s="83"/>
      <c r="F1379" s="83"/>
      <c r="G1379" s="84"/>
      <c r="H1379" s="85"/>
      <c r="I1379" s="1"/>
      <c r="J1379" s="5"/>
      <c r="K1379" s="5"/>
      <c r="L1379" s="4"/>
      <c r="M1379" s="4"/>
      <c r="N1379" s="82"/>
      <c r="O1379" s="86"/>
      <c r="P1379" s="4"/>
      <c r="Q1379" s="4"/>
      <c r="R1379" s="82"/>
      <c r="S1379" s="87"/>
      <c r="T1379" s="88"/>
      <c r="U1379" s="89"/>
      <c r="V1379" s="4"/>
      <c r="W1379" s="4"/>
      <c r="X1379" s="9"/>
      <c r="Y1379" s="84"/>
      <c r="Z1379" s="90"/>
      <c r="AA1379" s="84"/>
      <c r="AB1379" s="84"/>
      <c r="AC1379" s="84"/>
      <c r="AD1379" s="84"/>
      <c r="AE1379" s="1"/>
      <c r="AF1379" s="1"/>
      <c r="AG1379" s="1"/>
    </row>
    <row r="1380" spans="1:33" s="91" customFormat="1" ht="12.75" x14ac:dyDescent="0.2">
      <c r="A1380" s="13">
        <f t="shared" si="60"/>
        <v>119</v>
      </c>
      <c r="B1380" s="11"/>
      <c r="C1380" s="82"/>
      <c r="D1380" s="1"/>
      <c r="E1380" s="83"/>
      <c r="F1380" s="83"/>
      <c r="G1380" s="84"/>
      <c r="H1380" s="85"/>
      <c r="I1380" s="1"/>
      <c r="J1380" s="5"/>
      <c r="K1380" s="5"/>
      <c r="L1380" s="4"/>
      <c r="M1380" s="4"/>
      <c r="N1380" s="82"/>
      <c r="O1380" s="86"/>
      <c r="P1380" s="4"/>
      <c r="Q1380" s="4"/>
      <c r="R1380" s="82"/>
      <c r="S1380" s="87"/>
      <c r="T1380" s="88"/>
      <c r="U1380" s="89"/>
      <c r="V1380" s="4"/>
      <c r="W1380" s="4"/>
      <c r="X1380" s="9"/>
      <c r="Y1380" s="84"/>
      <c r="Z1380" s="90"/>
      <c r="AA1380" s="84"/>
      <c r="AB1380" s="84"/>
      <c r="AC1380" s="84"/>
      <c r="AD1380" s="84"/>
      <c r="AE1380" s="1"/>
      <c r="AF1380" s="1"/>
      <c r="AG1380" s="1"/>
    </row>
    <row r="1381" spans="1:33" s="91" customFormat="1" ht="12.75" x14ac:dyDescent="0.2">
      <c r="A1381" s="13">
        <f t="shared" si="60"/>
        <v>119</v>
      </c>
      <c r="B1381" s="11"/>
      <c r="C1381" s="82"/>
      <c r="D1381" s="1"/>
      <c r="E1381" s="83"/>
      <c r="F1381" s="83"/>
      <c r="G1381" s="84"/>
      <c r="H1381" s="85"/>
      <c r="I1381" s="1"/>
      <c r="J1381" s="5"/>
      <c r="K1381" s="5"/>
      <c r="L1381" s="4"/>
      <c r="M1381" s="4"/>
      <c r="N1381" s="82"/>
      <c r="O1381" s="86"/>
      <c r="P1381" s="4"/>
      <c r="Q1381" s="4"/>
      <c r="R1381" s="82"/>
      <c r="S1381" s="87"/>
      <c r="T1381" s="88"/>
      <c r="U1381" s="89"/>
      <c r="V1381" s="4"/>
      <c r="W1381" s="4"/>
      <c r="X1381" s="9"/>
      <c r="Y1381" s="84"/>
      <c r="Z1381" s="90"/>
      <c r="AA1381" s="84"/>
      <c r="AB1381" s="84"/>
      <c r="AC1381" s="84"/>
      <c r="AD1381" s="84"/>
      <c r="AE1381" s="1"/>
      <c r="AF1381" s="1"/>
      <c r="AG1381" s="1"/>
    </row>
    <row r="1382" spans="1:33" s="91" customFormat="1" ht="12.75" x14ac:dyDescent="0.2">
      <c r="A1382" s="13">
        <f t="shared" si="60"/>
        <v>119</v>
      </c>
      <c r="B1382" s="11"/>
      <c r="C1382" s="82"/>
      <c r="D1382" s="1"/>
      <c r="E1382" s="83"/>
      <c r="F1382" s="83"/>
      <c r="G1382" s="84"/>
      <c r="H1382" s="85"/>
      <c r="I1382" s="1"/>
      <c r="J1382" s="5"/>
      <c r="K1382" s="5"/>
      <c r="L1382" s="4"/>
      <c r="M1382" s="4"/>
      <c r="N1382" s="82"/>
      <c r="O1382" s="86"/>
      <c r="P1382" s="4"/>
      <c r="Q1382" s="4"/>
      <c r="R1382" s="82"/>
      <c r="S1382" s="87"/>
      <c r="T1382" s="88"/>
      <c r="U1382" s="89"/>
      <c r="V1382" s="4"/>
      <c r="W1382" s="4"/>
      <c r="X1382" s="9"/>
      <c r="Y1382" s="84"/>
      <c r="Z1382" s="90"/>
      <c r="AA1382" s="84"/>
      <c r="AB1382" s="84"/>
      <c r="AC1382" s="84"/>
      <c r="AD1382" s="84"/>
      <c r="AE1382" s="84"/>
      <c r="AF1382" s="84"/>
      <c r="AG1382" s="84"/>
    </row>
    <row r="1383" spans="1:33" s="91" customFormat="1" ht="38.25" x14ac:dyDescent="0.2">
      <c r="A1383" s="13">
        <f t="shared" si="60"/>
        <v>120</v>
      </c>
      <c r="B1383" s="11">
        <v>120</v>
      </c>
      <c r="C1383" s="92" t="s">
        <v>1157</v>
      </c>
      <c r="D1383" s="1"/>
      <c r="E1383" s="87">
        <v>86</v>
      </c>
      <c r="F1383" s="87">
        <v>147</v>
      </c>
      <c r="G1383" s="84" t="s">
        <v>1113</v>
      </c>
      <c r="H1383" s="85">
        <v>14.8</v>
      </c>
      <c r="I1383" s="18"/>
      <c r="J1383" s="5"/>
      <c r="K1383" s="5"/>
      <c r="L1383" s="4"/>
      <c r="M1383" s="4"/>
      <c r="N1383" s="82"/>
      <c r="O1383" s="86"/>
      <c r="P1383" s="4"/>
      <c r="Q1383" s="4"/>
      <c r="R1383" s="47"/>
      <c r="S1383" s="87"/>
      <c r="T1383" s="88"/>
      <c r="U1383" s="89"/>
      <c r="V1383" s="4"/>
      <c r="W1383" s="4"/>
      <c r="X1383" s="9"/>
      <c r="Y1383" s="84"/>
      <c r="Z1383" s="90"/>
      <c r="AA1383" s="84"/>
      <c r="AB1383" s="84"/>
      <c r="AC1383" s="84"/>
      <c r="AD1383" s="84"/>
      <c r="AE1383" s="84" t="s">
        <v>1158</v>
      </c>
      <c r="AF1383" s="84"/>
      <c r="AG1383" s="84"/>
    </row>
    <row r="1384" spans="1:33" s="91" customFormat="1" ht="25.5" x14ac:dyDescent="0.2">
      <c r="A1384" s="13">
        <f t="shared" si="60"/>
        <v>120</v>
      </c>
      <c r="B1384" s="11"/>
      <c r="C1384" s="82" t="s">
        <v>1159</v>
      </c>
      <c r="D1384" s="1"/>
      <c r="E1384" s="87"/>
      <c r="F1384" s="87"/>
      <c r="G1384" s="84"/>
      <c r="H1384" s="85"/>
      <c r="I1384" s="18"/>
      <c r="J1384" s="5"/>
      <c r="K1384" s="5"/>
      <c r="L1384" s="4"/>
      <c r="M1384" s="4"/>
      <c r="N1384" s="82"/>
      <c r="O1384" s="86"/>
      <c r="P1384" s="4"/>
      <c r="Q1384" s="4"/>
      <c r="R1384" s="47"/>
      <c r="S1384" s="87"/>
      <c r="T1384" s="88"/>
      <c r="U1384" s="89"/>
      <c r="V1384" s="4"/>
      <c r="W1384" s="4"/>
      <c r="X1384" s="9"/>
      <c r="Y1384" s="84"/>
      <c r="Z1384" s="90"/>
      <c r="AA1384" s="84"/>
      <c r="AB1384" s="84"/>
      <c r="AC1384" s="84"/>
      <c r="AD1384" s="84"/>
      <c r="AE1384" s="84" t="s">
        <v>1160</v>
      </c>
      <c r="AF1384" s="84"/>
      <c r="AG1384" s="84"/>
    </row>
    <row r="1385" spans="1:33" s="91" customFormat="1" ht="38.25" x14ac:dyDescent="0.2">
      <c r="A1385" s="13">
        <f t="shared" si="60"/>
        <v>120</v>
      </c>
      <c r="B1385" s="11"/>
      <c r="C1385" s="82" t="s">
        <v>1597</v>
      </c>
      <c r="D1385" s="1"/>
      <c r="E1385" s="87"/>
      <c r="F1385" s="87"/>
      <c r="G1385" s="84"/>
      <c r="H1385" s="85"/>
      <c r="I1385" s="18"/>
      <c r="J1385" s="5"/>
      <c r="K1385" s="5"/>
      <c r="L1385" s="4"/>
      <c r="M1385" s="4"/>
      <c r="N1385" s="82"/>
      <c r="O1385" s="86"/>
      <c r="P1385" s="4"/>
      <c r="Q1385" s="4"/>
      <c r="R1385" s="47"/>
      <c r="S1385" s="87"/>
      <c r="T1385" s="88"/>
      <c r="U1385" s="89"/>
      <c r="V1385" s="4"/>
      <c r="W1385" s="4"/>
      <c r="X1385" s="9"/>
      <c r="Y1385" s="84"/>
      <c r="Z1385" s="90"/>
      <c r="AA1385" s="84"/>
      <c r="AB1385" s="84"/>
      <c r="AC1385" s="84"/>
      <c r="AD1385" s="84"/>
      <c r="AE1385" s="1" t="s">
        <v>1663</v>
      </c>
      <c r="AF1385" s="1"/>
      <c r="AG1385" s="1"/>
    </row>
    <row r="1386" spans="1:33" s="91" customFormat="1" ht="12.75" x14ac:dyDescent="0.2">
      <c r="A1386" s="13">
        <f t="shared" si="60"/>
        <v>120</v>
      </c>
      <c r="B1386" s="11"/>
      <c r="C1386" s="82"/>
      <c r="D1386" s="1"/>
      <c r="E1386" s="87"/>
      <c r="F1386" s="87"/>
      <c r="G1386" s="84"/>
      <c r="H1386" s="85"/>
      <c r="I1386" s="1"/>
      <c r="J1386" s="5"/>
      <c r="K1386" s="5"/>
      <c r="L1386" s="4"/>
      <c r="M1386" s="4"/>
      <c r="N1386" s="82"/>
      <c r="O1386" s="86"/>
      <c r="P1386" s="4"/>
      <c r="Q1386" s="4"/>
      <c r="R1386" s="82"/>
      <c r="S1386" s="87"/>
      <c r="T1386" s="88"/>
      <c r="U1386" s="89"/>
      <c r="V1386" s="4"/>
      <c r="W1386" s="4"/>
      <c r="X1386" s="9"/>
      <c r="Y1386" s="84"/>
      <c r="Z1386" s="90"/>
      <c r="AA1386" s="84"/>
      <c r="AB1386" s="84"/>
      <c r="AC1386" s="84"/>
      <c r="AD1386" s="84"/>
      <c r="AE1386" s="84"/>
      <c r="AF1386" s="84"/>
      <c r="AG1386" s="84"/>
    </row>
    <row r="1387" spans="1:33" s="91" customFormat="1" ht="12.75" x14ac:dyDescent="0.2">
      <c r="A1387" s="13">
        <f t="shared" si="60"/>
        <v>120</v>
      </c>
      <c r="B1387" s="11"/>
      <c r="C1387" s="82"/>
      <c r="D1387" s="1"/>
      <c r="E1387" s="83"/>
      <c r="F1387" s="83"/>
      <c r="G1387" s="84"/>
      <c r="H1387" s="85"/>
      <c r="I1387" s="1"/>
      <c r="J1387" s="5"/>
      <c r="K1387" s="5"/>
      <c r="L1387" s="4"/>
      <c r="M1387" s="4"/>
      <c r="N1387" s="82"/>
      <c r="O1387" s="86"/>
      <c r="P1387" s="4"/>
      <c r="Q1387" s="4"/>
      <c r="R1387" s="82"/>
      <c r="S1387" s="87"/>
      <c r="T1387" s="88"/>
      <c r="U1387" s="89"/>
      <c r="V1387" s="4"/>
      <c r="W1387" s="4"/>
      <c r="X1387" s="9"/>
      <c r="Y1387" s="84"/>
      <c r="Z1387" s="90"/>
      <c r="AA1387" s="84"/>
      <c r="AB1387" s="84"/>
      <c r="AC1387" s="84"/>
      <c r="AD1387" s="84"/>
      <c r="AE1387" s="82"/>
      <c r="AF1387" s="82"/>
      <c r="AG1387" s="82"/>
    </row>
    <row r="1388" spans="1:33" s="91" customFormat="1" ht="12.75" x14ac:dyDescent="0.2">
      <c r="A1388" s="13">
        <f t="shared" si="60"/>
        <v>120</v>
      </c>
      <c r="B1388" s="11"/>
      <c r="C1388" s="82"/>
      <c r="D1388" s="1"/>
      <c r="E1388" s="83"/>
      <c r="F1388" s="83"/>
      <c r="G1388" s="84"/>
      <c r="H1388" s="85"/>
      <c r="I1388" s="1"/>
      <c r="J1388" s="5"/>
      <c r="K1388" s="5"/>
      <c r="L1388" s="4"/>
      <c r="M1388" s="4"/>
      <c r="N1388" s="82"/>
      <c r="O1388" s="86"/>
      <c r="P1388" s="4"/>
      <c r="Q1388" s="4"/>
      <c r="R1388" s="82"/>
      <c r="S1388" s="87"/>
      <c r="T1388" s="88"/>
      <c r="U1388" s="89"/>
      <c r="V1388" s="4"/>
      <c r="W1388" s="4"/>
      <c r="X1388" s="9"/>
      <c r="Y1388" s="84"/>
      <c r="Z1388" s="90"/>
      <c r="AA1388" s="84"/>
      <c r="AB1388" s="84"/>
      <c r="AC1388" s="84"/>
      <c r="AD1388" s="84"/>
      <c r="AE1388" s="1"/>
      <c r="AF1388" s="1"/>
      <c r="AG1388" s="1"/>
    </row>
    <row r="1389" spans="1:33" s="91" customFormat="1" ht="12.75" x14ac:dyDescent="0.2">
      <c r="A1389" s="13">
        <f t="shared" si="60"/>
        <v>120</v>
      </c>
      <c r="B1389" s="11"/>
      <c r="C1389" s="82"/>
      <c r="D1389" s="1"/>
      <c r="E1389" s="87"/>
      <c r="F1389" s="87"/>
      <c r="G1389" s="84"/>
      <c r="H1389" s="85"/>
      <c r="I1389" s="1"/>
      <c r="J1389" s="5"/>
      <c r="K1389" s="5"/>
      <c r="L1389" s="4"/>
      <c r="M1389" s="4"/>
      <c r="N1389" s="82"/>
      <c r="O1389" s="86"/>
      <c r="P1389" s="4"/>
      <c r="Q1389" s="4"/>
      <c r="R1389" s="82"/>
      <c r="S1389" s="87"/>
      <c r="T1389" s="88"/>
      <c r="U1389" s="89"/>
      <c r="V1389" s="4"/>
      <c r="W1389" s="4"/>
      <c r="X1389" s="9"/>
      <c r="Y1389" s="84"/>
      <c r="Z1389" s="90"/>
      <c r="AA1389" s="84"/>
      <c r="AB1389" s="84"/>
      <c r="AC1389" s="84"/>
      <c r="AD1389" s="84"/>
      <c r="AE1389" s="84"/>
      <c r="AF1389" s="84"/>
      <c r="AG1389" s="84"/>
    </row>
    <row r="1390" spans="1:33" s="91" customFormat="1" ht="12.75" x14ac:dyDescent="0.2">
      <c r="A1390" s="13">
        <f t="shared" si="60"/>
        <v>120</v>
      </c>
      <c r="B1390" s="11"/>
      <c r="C1390" s="82"/>
      <c r="D1390" s="1"/>
      <c r="E1390" s="83"/>
      <c r="F1390" s="83"/>
      <c r="G1390" s="84"/>
      <c r="H1390" s="85"/>
      <c r="I1390" s="1"/>
      <c r="J1390" s="5"/>
      <c r="K1390" s="5"/>
      <c r="L1390" s="4"/>
      <c r="M1390" s="4"/>
      <c r="N1390" s="82"/>
      <c r="O1390" s="86"/>
      <c r="P1390" s="4"/>
      <c r="Q1390" s="4"/>
      <c r="R1390" s="82"/>
      <c r="S1390" s="87"/>
      <c r="T1390" s="88"/>
      <c r="U1390" s="89"/>
      <c r="V1390" s="4"/>
      <c r="W1390" s="4"/>
      <c r="X1390" s="9"/>
      <c r="Y1390" s="84"/>
      <c r="Z1390" s="90"/>
      <c r="AA1390" s="84"/>
      <c r="AB1390" s="84"/>
      <c r="AC1390" s="84"/>
      <c r="AD1390" s="84"/>
      <c r="AE1390" s="84"/>
      <c r="AF1390" s="84"/>
      <c r="AG1390" s="84"/>
    </row>
    <row r="1391" spans="1:33" s="91" customFormat="1" ht="48" customHeight="1" x14ac:dyDescent="0.2">
      <c r="A1391" s="13">
        <f t="shared" si="60"/>
        <v>121</v>
      </c>
      <c r="B1391" s="11">
        <v>121</v>
      </c>
      <c r="C1391" s="92" t="s">
        <v>1161</v>
      </c>
      <c r="D1391" s="1">
        <v>4</v>
      </c>
      <c r="E1391" s="87">
        <v>86</v>
      </c>
      <c r="F1391" s="87">
        <v>138</v>
      </c>
      <c r="G1391" s="84" t="s">
        <v>1113</v>
      </c>
      <c r="H1391" s="85">
        <v>12.2</v>
      </c>
      <c r="I1391" s="18"/>
      <c r="J1391" s="5"/>
      <c r="K1391" s="5"/>
      <c r="L1391" s="4"/>
      <c r="M1391" s="4"/>
      <c r="N1391" s="16" t="s">
        <v>429</v>
      </c>
      <c r="O1391" s="86">
        <v>9</v>
      </c>
      <c r="P1391" s="4"/>
      <c r="Q1391" s="4"/>
      <c r="R1391" s="47"/>
      <c r="S1391" s="87"/>
      <c r="T1391" s="88"/>
      <c r="U1391" s="89"/>
      <c r="V1391" s="4"/>
      <c r="W1391" s="4"/>
      <c r="X1391" s="9"/>
      <c r="Y1391" s="84"/>
      <c r="Z1391" s="90"/>
      <c r="AA1391" s="84"/>
      <c r="AB1391" s="84"/>
      <c r="AC1391" s="84"/>
      <c r="AD1391" s="84"/>
      <c r="AE1391" s="84" t="s">
        <v>1162</v>
      </c>
      <c r="AF1391" s="84"/>
      <c r="AG1391" s="84"/>
    </row>
    <row r="1392" spans="1:33" s="91" customFormat="1" ht="30.75" customHeight="1" x14ac:dyDescent="0.2">
      <c r="A1392" s="13">
        <f t="shared" si="60"/>
        <v>121</v>
      </c>
      <c r="B1392" s="11"/>
      <c r="C1392" s="82" t="s">
        <v>1163</v>
      </c>
      <c r="D1392" s="1"/>
      <c r="E1392" s="87"/>
      <c r="F1392" s="87"/>
      <c r="G1392" s="84"/>
      <c r="H1392" s="85"/>
      <c r="I1392" s="18"/>
      <c r="J1392" s="5"/>
      <c r="K1392" s="5"/>
      <c r="L1392" s="4"/>
      <c r="M1392" s="4"/>
      <c r="N1392" s="82"/>
      <c r="O1392" s="86"/>
      <c r="P1392" s="4"/>
      <c r="Q1392" s="4"/>
      <c r="R1392" s="47"/>
      <c r="S1392" s="87"/>
      <c r="T1392" s="88"/>
      <c r="U1392" s="89"/>
      <c r="V1392" s="4"/>
      <c r="W1392" s="4"/>
      <c r="X1392" s="9"/>
      <c r="Y1392" s="84"/>
      <c r="Z1392" s="90"/>
      <c r="AA1392" s="84"/>
      <c r="AB1392" s="84"/>
      <c r="AC1392" s="84"/>
      <c r="AD1392" s="84"/>
      <c r="AE1392" s="84" t="s">
        <v>1164</v>
      </c>
      <c r="AF1392" s="84"/>
      <c r="AG1392" s="84"/>
    </row>
    <row r="1393" spans="1:33" s="91" customFormat="1" ht="38.25" x14ac:dyDescent="0.2">
      <c r="A1393" s="13">
        <f t="shared" si="60"/>
        <v>121</v>
      </c>
      <c r="B1393" s="11"/>
      <c r="C1393" s="82" t="s">
        <v>1598</v>
      </c>
      <c r="D1393" s="1"/>
      <c r="E1393" s="87"/>
      <c r="F1393" s="87"/>
      <c r="G1393" s="84"/>
      <c r="H1393" s="85"/>
      <c r="I1393" s="18"/>
      <c r="J1393" s="5"/>
      <c r="K1393" s="5"/>
      <c r="L1393" s="4"/>
      <c r="M1393" s="4"/>
      <c r="N1393" s="82"/>
      <c r="O1393" s="86"/>
      <c r="P1393" s="4"/>
      <c r="Q1393" s="4"/>
      <c r="R1393" s="47"/>
      <c r="S1393" s="87"/>
      <c r="T1393" s="88"/>
      <c r="U1393" s="89"/>
      <c r="V1393" s="4"/>
      <c r="W1393" s="4"/>
      <c r="X1393" s="9"/>
      <c r="Y1393" s="84"/>
      <c r="Z1393" s="90"/>
      <c r="AA1393" s="84"/>
      <c r="AB1393" s="84"/>
      <c r="AC1393" s="84"/>
      <c r="AD1393" s="84"/>
      <c r="AE1393" s="1" t="s">
        <v>1725</v>
      </c>
      <c r="AF1393" s="1"/>
      <c r="AG1393" s="1"/>
    </row>
    <row r="1394" spans="1:33" s="91" customFormat="1" ht="12.75" x14ac:dyDescent="0.2">
      <c r="A1394" s="13">
        <f t="shared" si="60"/>
        <v>121</v>
      </c>
      <c r="B1394" s="11"/>
      <c r="C1394" s="82"/>
      <c r="D1394" s="1"/>
      <c r="E1394" s="83"/>
      <c r="F1394" s="83"/>
      <c r="G1394" s="84"/>
      <c r="H1394" s="85"/>
      <c r="I1394" s="1"/>
      <c r="J1394" s="5"/>
      <c r="K1394" s="5"/>
      <c r="L1394" s="4"/>
      <c r="M1394" s="4"/>
      <c r="N1394" s="82"/>
      <c r="O1394" s="86"/>
      <c r="P1394" s="4"/>
      <c r="Q1394" s="4"/>
      <c r="R1394" s="82"/>
      <c r="S1394" s="87"/>
      <c r="T1394" s="88"/>
      <c r="U1394" s="89"/>
      <c r="V1394" s="4"/>
      <c r="W1394" s="4"/>
      <c r="X1394" s="9"/>
      <c r="Y1394" s="84"/>
      <c r="Z1394" s="90"/>
      <c r="AA1394" s="84"/>
      <c r="AB1394" s="84"/>
      <c r="AC1394" s="84"/>
      <c r="AD1394" s="84"/>
      <c r="AE1394" s="84"/>
      <c r="AF1394" s="84"/>
      <c r="AG1394" s="84"/>
    </row>
    <row r="1395" spans="1:33" s="91" customFormat="1" ht="12.75" x14ac:dyDescent="0.2">
      <c r="A1395" s="13">
        <f t="shared" si="60"/>
        <v>121</v>
      </c>
      <c r="B1395" s="11"/>
      <c r="C1395" s="82"/>
      <c r="D1395" s="1"/>
      <c r="E1395" s="83"/>
      <c r="F1395" s="83"/>
      <c r="G1395" s="84"/>
      <c r="H1395" s="85"/>
      <c r="I1395" s="1"/>
      <c r="J1395" s="5"/>
      <c r="K1395" s="5"/>
      <c r="L1395" s="4"/>
      <c r="M1395" s="4"/>
      <c r="N1395" s="82"/>
      <c r="O1395" s="86"/>
      <c r="P1395" s="4"/>
      <c r="Q1395" s="4"/>
      <c r="R1395" s="82"/>
      <c r="S1395" s="87"/>
      <c r="T1395" s="88"/>
      <c r="U1395" s="89"/>
      <c r="V1395" s="4"/>
      <c r="W1395" s="4"/>
      <c r="X1395" s="9"/>
      <c r="Y1395" s="84"/>
      <c r="Z1395" s="90"/>
      <c r="AA1395" s="84"/>
      <c r="AB1395" s="84"/>
      <c r="AC1395" s="84"/>
      <c r="AD1395" s="84"/>
      <c r="AE1395" s="84"/>
      <c r="AF1395" s="84"/>
      <c r="AG1395" s="84"/>
    </row>
    <row r="1396" spans="1:33" s="91" customFormat="1" ht="12.75" x14ac:dyDescent="0.2">
      <c r="A1396" s="13">
        <f t="shared" si="60"/>
        <v>121</v>
      </c>
      <c r="B1396" s="11"/>
      <c r="C1396" s="84"/>
      <c r="D1396" s="1"/>
      <c r="E1396" s="83"/>
      <c r="F1396" s="83"/>
      <c r="G1396" s="84"/>
      <c r="H1396" s="85"/>
      <c r="I1396" s="1"/>
      <c r="J1396" s="5"/>
      <c r="K1396" s="5"/>
      <c r="L1396" s="4"/>
      <c r="M1396" s="4"/>
      <c r="N1396" s="82"/>
      <c r="O1396" s="86"/>
      <c r="P1396" s="4"/>
      <c r="Q1396" s="4"/>
      <c r="R1396" s="82"/>
      <c r="S1396" s="87"/>
      <c r="T1396" s="88"/>
      <c r="U1396" s="89"/>
      <c r="V1396" s="4"/>
      <c r="W1396" s="4"/>
      <c r="X1396" s="9"/>
      <c r="Y1396" s="84"/>
      <c r="Z1396" s="90"/>
      <c r="AA1396" s="84"/>
      <c r="AB1396" s="84"/>
      <c r="AC1396" s="84"/>
      <c r="AD1396" s="84"/>
      <c r="AE1396" s="82"/>
      <c r="AF1396" s="82"/>
      <c r="AG1396" s="82"/>
    </row>
    <row r="1397" spans="1:33" s="91" customFormat="1" ht="12.75" x14ac:dyDescent="0.2">
      <c r="A1397" s="13">
        <f t="shared" si="60"/>
        <v>121</v>
      </c>
      <c r="B1397" s="11"/>
      <c r="C1397" s="82"/>
      <c r="D1397" s="1"/>
      <c r="E1397" s="83"/>
      <c r="F1397" s="83"/>
      <c r="G1397" s="84"/>
      <c r="H1397" s="85"/>
      <c r="I1397" s="1"/>
      <c r="J1397" s="5"/>
      <c r="K1397" s="5"/>
      <c r="L1397" s="4"/>
      <c r="M1397" s="4"/>
      <c r="N1397" s="82"/>
      <c r="O1397" s="86"/>
      <c r="P1397" s="4"/>
      <c r="Q1397" s="4"/>
      <c r="R1397" s="82"/>
      <c r="S1397" s="87"/>
      <c r="T1397" s="88"/>
      <c r="U1397" s="89"/>
      <c r="V1397" s="4"/>
      <c r="W1397" s="4"/>
      <c r="X1397" s="9"/>
      <c r="Y1397" s="84"/>
      <c r="Z1397" s="90"/>
      <c r="AA1397" s="84"/>
      <c r="AB1397" s="84"/>
      <c r="AC1397" s="84"/>
      <c r="AD1397" s="84"/>
      <c r="AE1397" s="1"/>
      <c r="AF1397" s="1"/>
      <c r="AG1397" s="1"/>
    </row>
    <row r="1398" spans="1:33" s="91" customFormat="1" ht="12.75" x14ac:dyDescent="0.2">
      <c r="A1398" s="13">
        <f t="shared" si="60"/>
        <v>121</v>
      </c>
      <c r="B1398" s="11"/>
      <c r="C1398" s="82"/>
      <c r="D1398" s="1"/>
      <c r="E1398" s="83"/>
      <c r="F1398" s="83"/>
      <c r="G1398" s="84"/>
      <c r="H1398" s="85"/>
      <c r="I1398" s="1"/>
      <c r="J1398" s="5"/>
      <c r="K1398" s="5"/>
      <c r="L1398" s="4"/>
      <c r="M1398" s="4"/>
      <c r="N1398" s="82"/>
      <c r="O1398" s="86"/>
      <c r="P1398" s="4"/>
      <c r="Q1398" s="4"/>
      <c r="R1398" s="82"/>
      <c r="S1398" s="87"/>
      <c r="T1398" s="88"/>
      <c r="U1398" s="89"/>
      <c r="V1398" s="4"/>
      <c r="W1398" s="4"/>
      <c r="X1398" s="9"/>
      <c r="Y1398" s="84"/>
      <c r="Z1398" s="90"/>
      <c r="AA1398" s="84"/>
      <c r="AB1398" s="84"/>
      <c r="AC1398" s="84"/>
      <c r="AD1398" s="84"/>
      <c r="AE1398" s="84"/>
      <c r="AF1398" s="84"/>
      <c r="AG1398" s="84"/>
    </row>
    <row r="1399" spans="1:33" s="91" customFormat="1" ht="12.75" x14ac:dyDescent="0.2">
      <c r="A1399" s="13">
        <f t="shared" si="60"/>
        <v>121</v>
      </c>
      <c r="B1399" s="11"/>
      <c r="C1399" s="82"/>
      <c r="D1399" s="1"/>
      <c r="E1399" s="83"/>
      <c r="F1399" s="83"/>
      <c r="G1399" s="84"/>
      <c r="H1399" s="85"/>
      <c r="I1399" s="1"/>
      <c r="J1399" s="5"/>
      <c r="K1399" s="5"/>
      <c r="L1399" s="4"/>
      <c r="M1399" s="4"/>
      <c r="N1399" s="82"/>
      <c r="O1399" s="86"/>
      <c r="P1399" s="4"/>
      <c r="Q1399" s="4"/>
      <c r="R1399" s="82"/>
      <c r="S1399" s="87"/>
      <c r="T1399" s="88"/>
      <c r="U1399" s="89"/>
      <c r="V1399" s="4"/>
      <c r="W1399" s="4"/>
      <c r="X1399" s="9"/>
      <c r="Y1399" s="84"/>
      <c r="Z1399" s="90"/>
      <c r="AA1399" s="84"/>
      <c r="AB1399" s="84"/>
      <c r="AC1399" s="84"/>
      <c r="AD1399" s="84"/>
      <c r="AE1399" s="84"/>
      <c r="AF1399" s="84"/>
      <c r="AG1399" s="84"/>
    </row>
    <row r="1400" spans="1:33" s="91" customFormat="1" ht="45" customHeight="1" x14ac:dyDescent="0.2">
      <c r="A1400" s="13">
        <f t="shared" si="60"/>
        <v>122</v>
      </c>
      <c r="B1400" s="11">
        <v>122</v>
      </c>
      <c r="C1400" s="92" t="s">
        <v>1161</v>
      </c>
      <c r="D1400" s="1"/>
      <c r="E1400" s="87">
        <v>86</v>
      </c>
      <c r="F1400" s="87">
        <v>265</v>
      </c>
      <c r="G1400" s="84" t="s">
        <v>1113</v>
      </c>
      <c r="H1400" s="85">
        <v>95</v>
      </c>
      <c r="I1400" s="18"/>
      <c r="J1400" s="5"/>
      <c r="K1400" s="5"/>
      <c r="L1400" s="4"/>
      <c r="M1400" s="4"/>
      <c r="N1400" s="82"/>
      <c r="O1400" s="86"/>
      <c r="P1400" s="4"/>
      <c r="Q1400" s="4"/>
      <c r="R1400" s="47" t="s">
        <v>1820</v>
      </c>
      <c r="S1400" s="87" t="s">
        <v>1133</v>
      </c>
      <c r="T1400" s="88">
        <v>68.754999999999995</v>
      </c>
      <c r="U1400" s="89"/>
      <c r="V1400" s="4"/>
      <c r="W1400" s="4"/>
      <c r="X1400" s="158" t="s">
        <v>1138</v>
      </c>
      <c r="Y1400" s="4" t="s">
        <v>1139</v>
      </c>
      <c r="Z1400" s="4" t="s">
        <v>56</v>
      </c>
      <c r="AA1400" s="32" t="s">
        <v>269</v>
      </c>
      <c r="AB1400" s="3" t="s">
        <v>1138</v>
      </c>
      <c r="AC1400" s="84"/>
      <c r="AD1400" s="84"/>
      <c r="AE1400" s="84" t="s">
        <v>1165</v>
      </c>
      <c r="AF1400" s="84"/>
      <c r="AG1400" s="84"/>
    </row>
    <row r="1401" spans="1:33" s="91" customFormat="1" ht="45.75" customHeight="1" x14ac:dyDescent="0.2">
      <c r="A1401" s="13">
        <f t="shared" ref="A1401:A1454" si="61">IF(B1401&lt;&gt;0,B1401,A1400)</f>
        <v>122</v>
      </c>
      <c r="B1401" s="11"/>
      <c r="C1401" s="82" t="s">
        <v>1163</v>
      </c>
      <c r="D1401" s="1"/>
      <c r="E1401" s="87"/>
      <c r="F1401" s="87"/>
      <c r="G1401" s="84"/>
      <c r="H1401" s="85"/>
      <c r="I1401" s="18"/>
      <c r="J1401" s="5"/>
      <c r="K1401" s="5"/>
      <c r="L1401" s="4"/>
      <c r="M1401" s="4"/>
      <c r="N1401" s="82"/>
      <c r="O1401" s="86"/>
      <c r="P1401" s="4"/>
      <c r="Q1401" s="4"/>
      <c r="R1401" s="47" t="s">
        <v>1911</v>
      </c>
      <c r="S1401" s="87" t="s">
        <v>1133</v>
      </c>
      <c r="T1401" s="88">
        <v>9.1199999999999992</v>
      </c>
      <c r="U1401" s="89"/>
      <c r="V1401" s="4"/>
      <c r="W1401" s="4"/>
      <c r="X1401" s="9"/>
      <c r="Y1401" s="84"/>
      <c r="Z1401" s="90"/>
      <c r="AA1401" s="84"/>
      <c r="AB1401" s="84"/>
      <c r="AC1401" s="84"/>
      <c r="AD1401" s="84"/>
      <c r="AE1401" s="84" t="s">
        <v>1166</v>
      </c>
      <c r="AF1401" s="84"/>
      <c r="AG1401" s="84"/>
    </row>
    <row r="1402" spans="1:33" s="91" customFormat="1" ht="46.5" customHeight="1" x14ac:dyDescent="0.2">
      <c r="A1402" s="13">
        <f t="shared" si="61"/>
        <v>122</v>
      </c>
      <c r="B1402" s="11"/>
      <c r="C1402" s="82" t="s">
        <v>1598</v>
      </c>
      <c r="D1402" s="1"/>
      <c r="E1402" s="87"/>
      <c r="F1402" s="87"/>
      <c r="G1402" s="84"/>
      <c r="H1402" s="85"/>
      <c r="I1402" s="18"/>
      <c r="J1402" s="5"/>
      <c r="K1402" s="5"/>
      <c r="L1402" s="4"/>
      <c r="M1402" s="4"/>
      <c r="N1402" s="82"/>
      <c r="O1402" s="86"/>
      <c r="P1402" s="4"/>
      <c r="Q1402" s="4"/>
      <c r="R1402" s="82" t="s">
        <v>1912</v>
      </c>
      <c r="S1402" s="87" t="s">
        <v>1133</v>
      </c>
      <c r="T1402" s="88">
        <v>18.600000000000001</v>
      </c>
      <c r="U1402" s="89"/>
      <c r="V1402" s="4"/>
      <c r="W1402" s="4"/>
      <c r="X1402" s="9"/>
      <c r="Y1402" s="84"/>
      <c r="Z1402" s="90"/>
      <c r="AA1402" s="84"/>
      <c r="AB1402" s="84"/>
      <c r="AC1402" s="84"/>
      <c r="AD1402" s="84"/>
      <c r="AE1402" s="84" t="s">
        <v>1146</v>
      </c>
      <c r="AF1402" s="84"/>
      <c r="AG1402" s="1"/>
    </row>
    <row r="1403" spans="1:33" s="91" customFormat="1" ht="36.75" customHeight="1" x14ac:dyDescent="0.2">
      <c r="A1403" s="13">
        <f t="shared" si="61"/>
        <v>122</v>
      </c>
      <c r="B1403" s="11"/>
      <c r="C1403" s="82"/>
      <c r="D1403" s="1"/>
      <c r="E1403" s="83"/>
      <c r="F1403" s="83"/>
      <c r="G1403" s="84"/>
      <c r="H1403" s="85"/>
      <c r="I1403" s="1"/>
      <c r="J1403" s="5"/>
      <c r="K1403" s="5"/>
      <c r="L1403" s="4"/>
      <c r="M1403" s="4"/>
      <c r="N1403" s="82"/>
      <c r="O1403" s="86"/>
      <c r="P1403" s="4"/>
      <c r="Q1403" s="4"/>
      <c r="R1403" s="82" t="s">
        <v>1913</v>
      </c>
      <c r="S1403" s="87" t="s">
        <v>1133</v>
      </c>
      <c r="T1403" s="88">
        <v>13.5</v>
      </c>
      <c r="U1403" s="89"/>
      <c r="V1403" s="4"/>
      <c r="W1403" s="4"/>
      <c r="X1403" s="9"/>
      <c r="Y1403" s="84"/>
      <c r="Z1403" s="90"/>
      <c r="AA1403" s="84"/>
      <c r="AB1403" s="84"/>
      <c r="AC1403" s="84"/>
      <c r="AD1403" s="84"/>
      <c r="AE1403" s="166" t="s">
        <v>1664</v>
      </c>
      <c r="AF1403" s="166"/>
      <c r="AG1403" s="84"/>
    </row>
    <row r="1404" spans="1:33" s="91" customFormat="1" ht="12.75" x14ac:dyDescent="0.2">
      <c r="A1404" s="13">
        <f t="shared" si="61"/>
        <v>122</v>
      </c>
      <c r="B1404" s="11"/>
      <c r="C1404" s="82"/>
      <c r="D1404" s="1"/>
      <c r="E1404" s="83"/>
      <c r="F1404" s="83"/>
      <c r="G1404" s="84"/>
      <c r="H1404" s="85"/>
      <c r="I1404" s="1"/>
      <c r="J1404" s="5"/>
      <c r="K1404" s="5"/>
      <c r="L1404" s="4"/>
      <c r="M1404" s="4"/>
      <c r="N1404" s="82"/>
      <c r="O1404" s="86"/>
      <c r="P1404" s="4"/>
      <c r="Q1404" s="4"/>
      <c r="R1404" s="82"/>
      <c r="S1404" s="87"/>
      <c r="T1404" s="88"/>
      <c r="U1404" s="89"/>
      <c r="V1404" s="4"/>
      <c r="W1404" s="4"/>
      <c r="X1404" s="9"/>
      <c r="Y1404" s="84"/>
      <c r="Z1404" s="90"/>
      <c r="AA1404" s="84"/>
      <c r="AB1404" s="84"/>
      <c r="AC1404" s="84"/>
      <c r="AD1404" s="84"/>
      <c r="AE1404" s="82"/>
      <c r="AF1404" s="82"/>
      <c r="AG1404" s="82"/>
    </row>
    <row r="1405" spans="1:33" s="91" customFormat="1" ht="12.75" x14ac:dyDescent="0.2">
      <c r="A1405" s="13">
        <f t="shared" si="61"/>
        <v>122</v>
      </c>
      <c r="B1405" s="11"/>
      <c r="C1405" s="84"/>
      <c r="D1405" s="1"/>
      <c r="E1405" s="83"/>
      <c r="F1405" s="83"/>
      <c r="G1405" s="84"/>
      <c r="H1405" s="85"/>
      <c r="I1405" s="1"/>
      <c r="J1405" s="5"/>
      <c r="K1405" s="5"/>
      <c r="L1405" s="4"/>
      <c r="M1405" s="4"/>
      <c r="N1405" s="82"/>
      <c r="O1405" s="86"/>
      <c r="P1405" s="4"/>
      <c r="Q1405" s="4"/>
      <c r="R1405" s="82"/>
      <c r="S1405" s="87"/>
      <c r="T1405" s="88"/>
      <c r="U1405" s="89"/>
      <c r="V1405" s="4"/>
      <c r="W1405" s="4"/>
      <c r="X1405" s="9"/>
      <c r="Y1405" s="84"/>
      <c r="Z1405" s="90"/>
      <c r="AA1405" s="84"/>
      <c r="AB1405" s="84"/>
      <c r="AC1405" s="84"/>
      <c r="AD1405" s="84"/>
      <c r="AE1405" s="84"/>
      <c r="AF1405" s="84"/>
      <c r="AG1405" s="84"/>
    </row>
    <row r="1406" spans="1:33" s="91" customFormat="1" ht="12.75" x14ac:dyDescent="0.2">
      <c r="A1406" s="13">
        <f t="shared" si="61"/>
        <v>122</v>
      </c>
      <c r="B1406" s="11"/>
      <c r="C1406" s="82"/>
      <c r="D1406" s="1"/>
      <c r="E1406" s="83"/>
      <c r="F1406" s="83"/>
      <c r="G1406" s="84"/>
      <c r="H1406" s="85"/>
      <c r="I1406" s="1"/>
      <c r="J1406" s="5"/>
      <c r="K1406" s="5"/>
      <c r="L1406" s="4"/>
      <c r="M1406" s="4"/>
      <c r="N1406" s="82"/>
      <c r="O1406" s="86"/>
      <c r="P1406" s="4"/>
      <c r="Q1406" s="4"/>
      <c r="R1406" s="82"/>
      <c r="S1406" s="87"/>
      <c r="T1406" s="88"/>
      <c r="U1406" s="89"/>
      <c r="V1406" s="4"/>
      <c r="W1406" s="4"/>
      <c r="X1406" s="9"/>
      <c r="Y1406" s="84"/>
      <c r="Z1406" s="90"/>
      <c r="AA1406" s="84"/>
      <c r="AB1406" s="84"/>
      <c r="AC1406" s="84"/>
      <c r="AD1406" s="84"/>
      <c r="AE1406" s="84"/>
      <c r="AF1406" s="84"/>
      <c r="AG1406" s="84"/>
    </row>
    <row r="1407" spans="1:33" s="91" customFormat="1" ht="38.25" x14ac:dyDescent="0.2">
      <c r="A1407" s="13">
        <f t="shared" si="61"/>
        <v>123</v>
      </c>
      <c r="B1407" s="11">
        <v>123</v>
      </c>
      <c r="C1407" s="92" t="s">
        <v>1169</v>
      </c>
      <c r="D1407" s="1"/>
      <c r="E1407" s="87">
        <v>86</v>
      </c>
      <c r="F1407" s="83">
        <v>47</v>
      </c>
      <c r="G1407" s="84" t="s">
        <v>1113</v>
      </c>
      <c r="H1407" s="85">
        <v>263.5</v>
      </c>
      <c r="I1407" s="18"/>
      <c r="J1407" s="5"/>
      <c r="K1407" s="5"/>
      <c r="L1407" s="4"/>
      <c r="M1407" s="4"/>
      <c r="N1407" s="82"/>
      <c r="O1407" s="86"/>
      <c r="P1407" s="4"/>
      <c r="Q1407" s="4"/>
      <c r="R1407" s="47"/>
      <c r="S1407" s="87"/>
      <c r="T1407" s="88"/>
      <c r="U1407" s="89"/>
      <c r="V1407" s="4"/>
      <c r="W1407" s="4"/>
      <c r="X1407" s="9"/>
      <c r="Y1407" s="84"/>
      <c r="Z1407" s="90"/>
      <c r="AA1407" s="84"/>
      <c r="AB1407" s="84"/>
      <c r="AC1407" s="84"/>
      <c r="AD1407" s="84"/>
      <c r="AE1407" s="84" t="s">
        <v>1170</v>
      </c>
      <c r="AF1407" s="84"/>
      <c r="AG1407" s="84"/>
    </row>
    <row r="1408" spans="1:33" s="91" customFormat="1" ht="25.5" x14ac:dyDescent="0.2">
      <c r="A1408" s="13">
        <f t="shared" si="61"/>
        <v>123</v>
      </c>
      <c r="B1408" s="11"/>
      <c r="C1408" s="82" t="s">
        <v>1171</v>
      </c>
      <c r="D1408" s="1"/>
      <c r="E1408" s="87"/>
      <c r="F1408" s="83"/>
      <c r="G1408" s="84"/>
      <c r="H1408" s="85"/>
      <c r="I1408" s="18"/>
      <c r="J1408" s="5"/>
      <c r="K1408" s="5"/>
      <c r="L1408" s="4"/>
      <c r="M1408" s="4"/>
      <c r="N1408" s="82"/>
      <c r="O1408" s="86"/>
      <c r="P1408" s="4"/>
      <c r="Q1408" s="4"/>
      <c r="R1408" s="47"/>
      <c r="S1408" s="87"/>
      <c r="T1408" s="88"/>
      <c r="U1408" s="89"/>
      <c r="V1408" s="4"/>
      <c r="W1408" s="4"/>
      <c r="X1408" s="9"/>
      <c r="Y1408" s="84"/>
      <c r="Z1408" s="90"/>
      <c r="AA1408" s="84"/>
      <c r="AB1408" s="84"/>
      <c r="AC1408" s="84"/>
      <c r="AD1408" s="84"/>
      <c r="AE1408" s="84" t="s">
        <v>1172</v>
      </c>
      <c r="AF1408" s="84"/>
      <c r="AG1408" s="84"/>
    </row>
    <row r="1409" spans="1:33" s="91" customFormat="1" ht="12.75" x14ac:dyDescent="0.2">
      <c r="A1409" s="13">
        <f t="shared" si="61"/>
        <v>123</v>
      </c>
      <c r="B1409" s="11"/>
      <c r="C1409" s="92" t="s">
        <v>1173</v>
      </c>
      <c r="D1409" s="1"/>
      <c r="E1409" s="83"/>
      <c r="F1409" s="83"/>
      <c r="G1409" s="84"/>
      <c r="H1409" s="85"/>
      <c r="I1409" s="18"/>
      <c r="J1409" s="5"/>
      <c r="K1409" s="5"/>
      <c r="L1409" s="4"/>
      <c r="M1409" s="4"/>
      <c r="N1409" s="82"/>
      <c r="O1409" s="86"/>
      <c r="P1409" s="4"/>
      <c r="Q1409" s="4"/>
      <c r="R1409" s="47"/>
      <c r="S1409" s="87"/>
      <c r="T1409" s="88"/>
      <c r="U1409" s="89"/>
      <c r="V1409" s="4"/>
      <c r="W1409" s="4"/>
      <c r="X1409" s="9"/>
      <c r="Y1409" s="84"/>
      <c r="Z1409" s="90"/>
      <c r="AA1409" s="84"/>
      <c r="AB1409" s="84"/>
      <c r="AC1409" s="84"/>
      <c r="AD1409" s="84"/>
      <c r="AE1409" s="1" t="s">
        <v>1174</v>
      </c>
      <c r="AF1409" s="1"/>
      <c r="AG1409" s="1"/>
    </row>
    <row r="1410" spans="1:33" s="91" customFormat="1" ht="12.75" x14ac:dyDescent="0.2">
      <c r="A1410" s="13">
        <f t="shared" si="61"/>
        <v>123</v>
      </c>
      <c r="B1410" s="11"/>
      <c r="C1410" s="82" t="s">
        <v>1175</v>
      </c>
      <c r="D1410" s="1"/>
      <c r="E1410" s="83"/>
      <c r="F1410" s="83"/>
      <c r="G1410" s="82"/>
      <c r="H1410" s="85"/>
      <c r="I1410" s="1"/>
      <c r="J1410" s="5"/>
      <c r="K1410" s="5"/>
      <c r="L1410" s="4"/>
      <c r="M1410" s="4"/>
      <c r="N1410" s="82"/>
      <c r="O1410" s="86"/>
      <c r="P1410" s="4"/>
      <c r="Q1410" s="4"/>
      <c r="R1410" s="82"/>
      <c r="S1410" s="87"/>
      <c r="T1410" s="88"/>
      <c r="U1410" s="89"/>
      <c r="V1410" s="4"/>
      <c r="W1410" s="4"/>
      <c r="X1410" s="9"/>
      <c r="Y1410" s="84"/>
      <c r="Z1410" s="90"/>
      <c r="AA1410" s="84"/>
      <c r="AB1410" s="84"/>
      <c r="AC1410" s="84"/>
      <c r="AD1410" s="84"/>
      <c r="AE1410" s="84"/>
      <c r="AF1410" s="84"/>
      <c r="AG1410" s="84"/>
    </row>
    <row r="1411" spans="1:33" s="91" customFormat="1" ht="38.25" x14ac:dyDescent="0.2">
      <c r="A1411" s="13">
        <f t="shared" si="61"/>
        <v>123</v>
      </c>
      <c r="B1411" s="11"/>
      <c r="C1411" s="82" t="s">
        <v>1599</v>
      </c>
      <c r="D1411" s="1"/>
      <c r="E1411" s="83"/>
      <c r="F1411" s="83"/>
      <c r="G1411" s="84"/>
      <c r="H1411" s="85"/>
      <c r="I1411" s="1"/>
      <c r="J1411" s="5"/>
      <c r="K1411" s="5"/>
      <c r="L1411" s="4"/>
      <c r="M1411" s="4"/>
      <c r="N1411" s="82"/>
      <c r="O1411" s="86"/>
      <c r="P1411" s="4"/>
      <c r="Q1411" s="4"/>
      <c r="R1411" s="82"/>
      <c r="S1411" s="87"/>
      <c r="T1411" s="88"/>
      <c r="U1411" s="89"/>
      <c r="V1411" s="4"/>
      <c r="W1411" s="4"/>
      <c r="X1411" s="9"/>
      <c r="Y1411" s="84"/>
      <c r="Z1411" s="90"/>
      <c r="AA1411" s="84"/>
      <c r="AB1411" s="84"/>
      <c r="AC1411" s="84"/>
      <c r="AD1411" s="84"/>
      <c r="AE1411" s="1"/>
      <c r="AF1411" s="1"/>
      <c r="AG1411" s="1"/>
    </row>
    <row r="1412" spans="1:33" s="91" customFormat="1" ht="12.75" x14ac:dyDescent="0.2">
      <c r="A1412" s="13">
        <f t="shared" si="61"/>
        <v>123</v>
      </c>
      <c r="B1412" s="11"/>
      <c r="C1412" s="82"/>
      <c r="D1412" s="1"/>
      <c r="E1412" s="83"/>
      <c r="F1412" s="83"/>
      <c r="G1412" s="84"/>
      <c r="H1412" s="85"/>
      <c r="I1412" s="1"/>
      <c r="J1412" s="5"/>
      <c r="K1412" s="5"/>
      <c r="L1412" s="4"/>
      <c r="M1412" s="4"/>
      <c r="N1412" s="82"/>
      <c r="O1412" s="86"/>
      <c r="P1412" s="4"/>
      <c r="Q1412" s="4"/>
      <c r="R1412" s="82"/>
      <c r="S1412" s="87"/>
      <c r="T1412" s="88"/>
      <c r="U1412" s="89"/>
      <c r="V1412" s="4"/>
      <c r="W1412" s="4"/>
      <c r="X1412" s="9"/>
      <c r="Y1412" s="84"/>
      <c r="Z1412" s="90"/>
      <c r="AA1412" s="84"/>
      <c r="AB1412" s="84"/>
      <c r="AC1412" s="84"/>
      <c r="AD1412" s="84"/>
      <c r="AE1412" s="84"/>
      <c r="AF1412" s="84"/>
      <c r="AG1412" s="84"/>
    </row>
    <row r="1413" spans="1:33" s="91" customFormat="1" ht="12.75" x14ac:dyDescent="0.2">
      <c r="A1413" s="13">
        <f t="shared" si="61"/>
        <v>123</v>
      </c>
      <c r="B1413" s="11"/>
      <c r="C1413" s="82"/>
      <c r="D1413" s="1"/>
      <c r="E1413" s="83"/>
      <c r="F1413" s="83"/>
      <c r="G1413" s="84"/>
      <c r="H1413" s="85"/>
      <c r="I1413" s="1"/>
      <c r="J1413" s="5"/>
      <c r="K1413" s="5"/>
      <c r="L1413" s="4"/>
      <c r="M1413" s="4"/>
      <c r="N1413" s="82"/>
      <c r="O1413" s="86"/>
      <c r="P1413" s="4"/>
      <c r="Q1413" s="4"/>
      <c r="R1413" s="82"/>
      <c r="S1413" s="87"/>
      <c r="T1413" s="88"/>
      <c r="U1413" s="89"/>
      <c r="V1413" s="4"/>
      <c r="W1413" s="4"/>
      <c r="X1413" s="9"/>
      <c r="Y1413" s="84"/>
      <c r="Z1413" s="90"/>
      <c r="AA1413" s="84"/>
      <c r="AB1413" s="84"/>
      <c r="AC1413" s="84"/>
      <c r="AD1413" s="84"/>
      <c r="AE1413" s="84"/>
      <c r="AF1413" s="84"/>
      <c r="AG1413" s="84"/>
    </row>
    <row r="1414" spans="1:33" s="91" customFormat="1" ht="12.75" x14ac:dyDescent="0.2">
      <c r="A1414" s="13">
        <f t="shared" si="61"/>
        <v>123</v>
      </c>
      <c r="B1414" s="11"/>
      <c r="C1414" s="82"/>
      <c r="D1414" s="1"/>
      <c r="E1414" s="83"/>
      <c r="F1414" s="83"/>
      <c r="G1414" s="84"/>
      <c r="H1414" s="85"/>
      <c r="I1414" s="1"/>
      <c r="J1414" s="5"/>
      <c r="K1414" s="5"/>
      <c r="L1414" s="4"/>
      <c r="M1414" s="4"/>
      <c r="N1414" s="82"/>
      <c r="O1414" s="86"/>
      <c r="P1414" s="4"/>
      <c r="Q1414" s="4"/>
      <c r="R1414" s="82"/>
      <c r="S1414" s="87"/>
      <c r="T1414" s="88"/>
      <c r="U1414" s="89"/>
      <c r="V1414" s="4"/>
      <c r="W1414" s="4"/>
      <c r="X1414" s="9"/>
      <c r="Y1414" s="84"/>
      <c r="Z1414" s="90"/>
      <c r="AA1414" s="84"/>
      <c r="AB1414" s="84"/>
      <c r="AC1414" s="84"/>
      <c r="AD1414" s="84"/>
      <c r="AE1414" s="84"/>
      <c r="AF1414" s="84"/>
      <c r="AG1414" s="84"/>
    </row>
    <row r="1415" spans="1:33" s="91" customFormat="1" ht="34.5" customHeight="1" x14ac:dyDescent="0.2">
      <c r="A1415" s="13">
        <f t="shared" si="61"/>
        <v>124</v>
      </c>
      <c r="B1415" s="11">
        <v>124</v>
      </c>
      <c r="C1415" s="92" t="s">
        <v>1176</v>
      </c>
      <c r="D1415" s="1"/>
      <c r="E1415" s="87"/>
      <c r="F1415" s="87"/>
      <c r="G1415" s="84"/>
      <c r="H1415" s="85"/>
      <c r="I1415" s="18"/>
      <c r="J1415" s="5"/>
      <c r="K1415" s="5"/>
      <c r="L1415" s="4"/>
      <c r="M1415" s="4"/>
      <c r="N1415" s="82"/>
      <c r="O1415" s="86"/>
      <c r="P1415" s="4"/>
      <c r="Q1415" s="4"/>
      <c r="R1415" s="47" t="s">
        <v>1177</v>
      </c>
      <c r="S1415" s="87" t="s">
        <v>93</v>
      </c>
      <c r="T1415" s="88">
        <v>1</v>
      </c>
      <c r="U1415" s="89"/>
      <c r="V1415" s="4"/>
      <c r="W1415" s="4"/>
      <c r="X1415" s="9"/>
      <c r="Y1415" s="84"/>
      <c r="Z1415" s="90"/>
      <c r="AA1415" s="84"/>
      <c r="AB1415" s="84"/>
      <c r="AC1415" s="84"/>
      <c r="AD1415" s="84"/>
      <c r="AE1415" s="84" t="s">
        <v>1178</v>
      </c>
      <c r="AF1415" s="84"/>
      <c r="AG1415" s="84"/>
    </row>
    <row r="1416" spans="1:33" s="91" customFormat="1" ht="19.5" customHeight="1" x14ac:dyDescent="0.2">
      <c r="A1416" s="13">
        <f t="shared" si="61"/>
        <v>124</v>
      </c>
      <c r="B1416" s="11"/>
      <c r="C1416" s="82" t="s">
        <v>1179</v>
      </c>
      <c r="D1416" s="1"/>
      <c r="E1416" s="87"/>
      <c r="F1416" s="87"/>
      <c r="G1416" s="84"/>
      <c r="H1416" s="85"/>
      <c r="I1416" s="18"/>
      <c r="J1416" s="5"/>
      <c r="K1416" s="5"/>
      <c r="L1416" s="4"/>
      <c r="M1416" s="4"/>
      <c r="N1416" s="82"/>
      <c r="O1416" s="86"/>
      <c r="P1416" s="4"/>
      <c r="Q1416" s="4"/>
      <c r="R1416" s="47" t="s">
        <v>1180</v>
      </c>
      <c r="S1416" s="87" t="s">
        <v>93</v>
      </c>
      <c r="T1416" s="88">
        <v>1</v>
      </c>
      <c r="U1416" s="89"/>
      <c r="V1416" s="4"/>
      <c r="W1416" s="4"/>
      <c r="X1416" s="9"/>
      <c r="Y1416" s="84"/>
      <c r="Z1416" s="90"/>
      <c r="AA1416" s="84"/>
      <c r="AB1416" s="84"/>
      <c r="AC1416" s="84"/>
      <c r="AD1416" s="84"/>
      <c r="AE1416" s="84"/>
      <c r="AF1416" s="84"/>
      <c r="AG1416" s="84"/>
    </row>
    <row r="1417" spans="1:33" s="91" customFormat="1" ht="38.25" x14ac:dyDescent="0.2">
      <c r="A1417" s="13">
        <f t="shared" si="61"/>
        <v>124</v>
      </c>
      <c r="B1417" s="11"/>
      <c r="C1417" s="82" t="s">
        <v>1600</v>
      </c>
      <c r="D1417" s="1"/>
      <c r="E1417" s="83"/>
      <c r="F1417" s="83"/>
      <c r="G1417" s="84"/>
      <c r="H1417" s="85"/>
      <c r="I1417" s="18"/>
      <c r="J1417" s="5"/>
      <c r="K1417" s="5"/>
      <c r="L1417" s="4"/>
      <c r="M1417" s="4"/>
      <c r="N1417" s="82"/>
      <c r="O1417" s="86"/>
      <c r="P1417" s="4"/>
      <c r="Q1417" s="4"/>
      <c r="R1417" s="47"/>
      <c r="S1417" s="87"/>
      <c r="T1417" s="88"/>
      <c r="U1417" s="89"/>
      <c r="V1417" s="4"/>
      <c r="W1417" s="4"/>
      <c r="X1417" s="9"/>
      <c r="Y1417" s="84"/>
      <c r="Z1417" s="90"/>
      <c r="AA1417" s="84"/>
      <c r="AB1417" s="84"/>
      <c r="AC1417" s="84"/>
      <c r="AD1417" s="84"/>
      <c r="AE1417" s="84"/>
      <c r="AF1417" s="84"/>
      <c r="AG1417" s="84"/>
    </row>
    <row r="1418" spans="1:33" s="91" customFormat="1" ht="12.75" x14ac:dyDescent="0.2">
      <c r="A1418" s="13">
        <f t="shared" si="61"/>
        <v>124</v>
      </c>
      <c r="B1418" s="11"/>
      <c r="C1418" s="82"/>
      <c r="D1418" s="1"/>
      <c r="E1418" s="83"/>
      <c r="F1418" s="83"/>
      <c r="G1418" s="84"/>
      <c r="H1418" s="85"/>
      <c r="I1418" s="18"/>
      <c r="J1418" s="5"/>
      <c r="K1418" s="5"/>
      <c r="L1418" s="4"/>
      <c r="M1418" s="4"/>
      <c r="N1418" s="82"/>
      <c r="O1418" s="86"/>
      <c r="P1418" s="4"/>
      <c r="Q1418" s="4"/>
      <c r="R1418" s="47"/>
      <c r="S1418" s="87"/>
      <c r="T1418" s="88"/>
      <c r="U1418" s="89"/>
      <c r="V1418" s="4"/>
      <c r="W1418" s="4"/>
      <c r="X1418" s="9"/>
      <c r="Y1418" s="84"/>
      <c r="Z1418" s="90"/>
      <c r="AA1418" s="84"/>
      <c r="AB1418" s="84"/>
      <c r="AC1418" s="84"/>
      <c r="AD1418" s="84"/>
      <c r="AE1418" s="84"/>
      <c r="AF1418" s="84"/>
      <c r="AG1418" s="84"/>
    </row>
    <row r="1419" spans="1:33" s="91" customFormat="1" ht="12.75" x14ac:dyDescent="0.2">
      <c r="A1419" s="13">
        <f t="shared" si="61"/>
        <v>124</v>
      </c>
      <c r="B1419" s="11"/>
      <c r="C1419" s="82"/>
      <c r="D1419" s="1"/>
      <c r="E1419" s="83"/>
      <c r="F1419" s="83"/>
      <c r="G1419" s="84"/>
      <c r="H1419" s="85"/>
      <c r="I1419" s="18"/>
      <c r="J1419" s="5"/>
      <c r="K1419" s="5"/>
      <c r="L1419" s="4"/>
      <c r="M1419" s="4"/>
      <c r="N1419" s="82"/>
      <c r="O1419" s="86"/>
      <c r="P1419" s="4"/>
      <c r="Q1419" s="4"/>
      <c r="R1419" s="47"/>
      <c r="S1419" s="87"/>
      <c r="T1419" s="88"/>
      <c r="U1419" s="89"/>
      <c r="V1419" s="4"/>
      <c r="W1419" s="4"/>
      <c r="X1419" s="9"/>
      <c r="Y1419" s="84"/>
      <c r="Z1419" s="90"/>
      <c r="AA1419" s="84"/>
      <c r="AB1419" s="84"/>
      <c r="AC1419" s="84"/>
      <c r="AD1419" s="84"/>
      <c r="AE1419" s="82"/>
      <c r="AF1419" s="82"/>
      <c r="AG1419" s="82"/>
    </row>
    <row r="1420" spans="1:33" s="91" customFormat="1" ht="12.75" x14ac:dyDescent="0.2">
      <c r="A1420" s="13">
        <f t="shared" si="61"/>
        <v>124</v>
      </c>
      <c r="B1420" s="11"/>
      <c r="C1420" s="82"/>
      <c r="D1420" s="1"/>
      <c r="E1420" s="83"/>
      <c r="F1420" s="83"/>
      <c r="G1420" s="84"/>
      <c r="H1420" s="85"/>
      <c r="I1420" s="18"/>
      <c r="J1420" s="5"/>
      <c r="K1420" s="5"/>
      <c r="L1420" s="4"/>
      <c r="M1420" s="4"/>
      <c r="N1420" s="82"/>
      <c r="O1420" s="86"/>
      <c r="P1420" s="4"/>
      <c r="Q1420" s="4"/>
      <c r="R1420" s="47"/>
      <c r="S1420" s="87"/>
      <c r="T1420" s="88"/>
      <c r="U1420" s="89"/>
      <c r="V1420" s="4"/>
      <c r="W1420" s="4"/>
      <c r="X1420" s="9"/>
      <c r="Y1420" s="84"/>
      <c r="Z1420" s="90"/>
      <c r="AA1420" s="84"/>
      <c r="AB1420" s="84"/>
      <c r="AC1420" s="84"/>
      <c r="AD1420" s="84"/>
      <c r="AE1420" s="84"/>
      <c r="AF1420" s="84"/>
      <c r="AG1420" s="84"/>
    </row>
    <row r="1421" spans="1:33" s="91" customFormat="1" ht="12.75" x14ac:dyDescent="0.2">
      <c r="A1421" s="13">
        <f t="shared" si="61"/>
        <v>124</v>
      </c>
      <c r="B1421" s="11"/>
      <c r="C1421" s="82"/>
      <c r="D1421" s="1"/>
      <c r="E1421" s="83"/>
      <c r="F1421" s="83"/>
      <c r="G1421" s="84"/>
      <c r="H1421" s="85"/>
      <c r="I1421" s="18"/>
      <c r="J1421" s="5"/>
      <c r="K1421" s="5"/>
      <c r="L1421" s="4"/>
      <c r="M1421" s="4"/>
      <c r="N1421" s="82"/>
      <c r="O1421" s="86"/>
      <c r="P1421" s="4"/>
      <c r="Q1421" s="4"/>
      <c r="R1421" s="47"/>
      <c r="S1421" s="87"/>
      <c r="T1421" s="88"/>
      <c r="U1421" s="89"/>
      <c r="V1421" s="4"/>
      <c r="W1421" s="4"/>
      <c r="X1421" s="9"/>
      <c r="Y1421" s="84"/>
      <c r="Z1421" s="90"/>
      <c r="AA1421" s="84"/>
      <c r="AB1421" s="84"/>
      <c r="AC1421" s="84"/>
      <c r="AD1421" s="84"/>
      <c r="AE1421" s="84"/>
      <c r="AF1421" s="84"/>
      <c r="AG1421" s="84"/>
    </row>
    <row r="1422" spans="1:33" s="91" customFormat="1" ht="25.5" x14ac:dyDescent="0.2">
      <c r="A1422" s="13">
        <f t="shared" si="61"/>
        <v>125</v>
      </c>
      <c r="B1422" s="11">
        <v>125</v>
      </c>
      <c r="C1422" s="92" t="s">
        <v>1181</v>
      </c>
      <c r="D1422" s="1"/>
      <c r="E1422" s="87">
        <v>86</v>
      </c>
      <c r="F1422" s="87">
        <v>1514</v>
      </c>
      <c r="G1422" s="84" t="s">
        <v>1182</v>
      </c>
      <c r="H1422" s="85">
        <v>53.2</v>
      </c>
      <c r="I1422" s="18"/>
      <c r="J1422" s="5"/>
      <c r="K1422" s="5"/>
      <c r="L1422" s="4"/>
      <c r="M1422" s="4"/>
      <c r="N1422" s="82"/>
      <c r="O1422" s="86"/>
      <c r="P1422" s="4"/>
      <c r="Q1422" s="4"/>
      <c r="R1422" s="47"/>
      <c r="S1422" s="87"/>
      <c r="T1422" s="88"/>
      <c r="U1422" s="89"/>
      <c r="V1422" s="4"/>
      <c r="W1422" s="4"/>
      <c r="X1422" s="9"/>
      <c r="Y1422" s="84"/>
      <c r="Z1422" s="90"/>
      <c r="AA1422" s="84"/>
      <c r="AB1422" s="84"/>
      <c r="AC1422" s="84"/>
      <c r="AD1422" s="84"/>
      <c r="AE1422" s="84" t="s">
        <v>1183</v>
      </c>
      <c r="AF1422" s="84"/>
      <c r="AG1422" s="84"/>
    </row>
    <row r="1423" spans="1:33" s="91" customFormat="1" ht="38.25" x14ac:dyDescent="0.2">
      <c r="A1423" s="13">
        <f t="shared" si="61"/>
        <v>125</v>
      </c>
      <c r="B1423" s="11"/>
      <c r="C1423" s="82" t="s">
        <v>1184</v>
      </c>
      <c r="D1423" s="1"/>
      <c r="E1423" s="87">
        <v>86</v>
      </c>
      <c r="F1423" s="87">
        <v>1514</v>
      </c>
      <c r="G1423" s="84" t="s">
        <v>1136</v>
      </c>
      <c r="H1423" s="85">
        <v>40</v>
      </c>
      <c r="I1423" s="18"/>
      <c r="J1423" s="5"/>
      <c r="K1423" s="5"/>
      <c r="L1423" s="4"/>
      <c r="M1423" s="4"/>
      <c r="N1423" s="82"/>
      <c r="O1423" s="86"/>
      <c r="P1423" s="4"/>
      <c r="Q1423" s="4"/>
      <c r="R1423" s="47"/>
      <c r="S1423" s="87"/>
      <c r="T1423" s="88"/>
      <c r="U1423" s="89"/>
      <c r="V1423" s="4"/>
      <c r="W1423" s="4"/>
      <c r="X1423" s="9"/>
      <c r="Y1423" s="84"/>
      <c r="Z1423" s="90"/>
      <c r="AA1423" s="84"/>
      <c r="AB1423" s="84"/>
      <c r="AC1423" s="84"/>
      <c r="AD1423" s="84"/>
      <c r="AE1423" s="84" t="s">
        <v>1185</v>
      </c>
      <c r="AF1423" s="84"/>
      <c r="AG1423" s="84"/>
    </row>
    <row r="1424" spans="1:33" s="91" customFormat="1" ht="25.5" customHeight="1" x14ac:dyDescent="0.2">
      <c r="A1424" s="13">
        <f t="shared" si="61"/>
        <v>125</v>
      </c>
      <c r="B1424" s="11"/>
      <c r="C1424" s="92" t="s">
        <v>1186</v>
      </c>
      <c r="D1424" s="1"/>
      <c r="E1424" s="87">
        <v>86</v>
      </c>
      <c r="F1424" s="87">
        <v>25</v>
      </c>
      <c r="G1424" s="84" t="s">
        <v>1187</v>
      </c>
      <c r="H1424" s="85">
        <v>11.9</v>
      </c>
      <c r="I1424" s="18"/>
      <c r="J1424" s="5"/>
      <c r="K1424" s="5"/>
      <c r="L1424" s="4"/>
      <c r="M1424" s="4"/>
      <c r="N1424" s="82"/>
      <c r="O1424" s="86"/>
      <c r="P1424" s="4"/>
      <c r="Q1424" s="4"/>
      <c r="R1424" s="47"/>
      <c r="S1424" s="87"/>
      <c r="T1424" s="88"/>
      <c r="U1424" s="89"/>
      <c r="V1424" s="4"/>
      <c r="W1424" s="4"/>
      <c r="X1424" s="9"/>
      <c r="Y1424" s="84"/>
      <c r="Z1424" s="90"/>
      <c r="AA1424" s="84"/>
      <c r="AB1424" s="84"/>
      <c r="AC1424" s="84"/>
      <c r="AD1424" s="84"/>
      <c r="AE1424" s="84" t="s">
        <v>1188</v>
      </c>
      <c r="AF1424" s="84"/>
      <c r="AG1424" s="84"/>
    </row>
    <row r="1425" spans="1:33" s="91" customFormat="1" ht="153" x14ac:dyDescent="0.2">
      <c r="A1425" s="13">
        <f t="shared" si="61"/>
        <v>125</v>
      </c>
      <c r="B1425" s="11"/>
      <c r="C1425" s="82" t="s">
        <v>1189</v>
      </c>
      <c r="D1425" s="1"/>
      <c r="E1425" s="87"/>
      <c r="F1425" s="87"/>
      <c r="G1425" s="84"/>
      <c r="H1425" s="85"/>
      <c r="I1425" s="18"/>
      <c r="J1425" s="5"/>
      <c r="K1425" s="5"/>
      <c r="L1425" s="4"/>
      <c r="M1425" s="4"/>
      <c r="N1425" s="82"/>
      <c r="O1425" s="86"/>
      <c r="P1425" s="4"/>
      <c r="Q1425" s="4"/>
      <c r="R1425" s="47"/>
      <c r="S1425" s="87"/>
      <c r="T1425" s="88"/>
      <c r="U1425" s="89"/>
      <c r="V1425" s="4"/>
      <c r="W1425" s="4"/>
      <c r="X1425" s="9"/>
      <c r="Y1425" s="84"/>
      <c r="Z1425" s="90"/>
      <c r="AA1425" s="84"/>
      <c r="AB1425" s="84"/>
      <c r="AC1425" s="84"/>
      <c r="AD1425" s="84"/>
      <c r="AE1425" s="84" t="s">
        <v>1190</v>
      </c>
      <c r="AF1425" s="84"/>
      <c r="AG1425" s="84"/>
    </row>
    <row r="1426" spans="1:33" s="91" customFormat="1" ht="38.25" x14ac:dyDescent="0.2">
      <c r="A1426" s="13">
        <f t="shared" si="61"/>
        <v>125</v>
      </c>
      <c r="B1426" s="11"/>
      <c r="C1426" s="82" t="s">
        <v>1601</v>
      </c>
      <c r="D1426" s="1"/>
      <c r="E1426" s="83"/>
      <c r="F1426" s="83"/>
      <c r="G1426" s="84"/>
      <c r="H1426" s="85"/>
      <c r="I1426" s="18"/>
      <c r="J1426" s="5"/>
      <c r="K1426" s="5"/>
      <c r="L1426" s="4"/>
      <c r="M1426" s="4"/>
      <c r="N1426" s="82"/>
      <c r="O1426" s="86"/>
      <c r="P1426" s="4"/>
      <c r="Q1426" s="4"/>
      <c r="R1426" s="47"/>
      <c r="S1426" s="87"/>
      <c r="T1426" s="88"/>
      <c r="U1426" s="89"/>
      <c r="V1426" s="4"/>
      <c r="W1426" s="4"/>
      <c r="X1426" s="9"/>
      <c r="Y1426" s="84"/>
      <c r="Z1426" s="90"/>
      <c r="AA1426" s="84"/>
      <c r="AB1426" s="84"/>
      <c r="AC1426" s="84"/>
      <c r="AD1426" s="84"/>
      <c r="AE1426" s="82"/>
      <c r="AF1426" s="82"/>
      <c r="AG1426" s="82"/>
    </row>
    <row r="1427" spans="1:33" s="91" customFormat="1" ht="12.75" x14ac:dyDescent="0.2">
      <c r="A1427" s="13">
        <f t="shared" si="61"/>
        <v>125</v>
      </c>
      <c r="B1427" s="11"/>
      <c r="C1427" s="82"/>
      <c r="D1427" s="1"/>
      <c r="E1427" s="83"/>
      <c r="F1427" s="83"/>
      <c r="G1427" s="84"/>
      <c r="H1427" s="85"/>
      <c r="I1427" s="18"/>
      <c r="J1427" s="5"/>
      <c r="K1427" s="5"/>
      <c r="L1427" s="4"/>
      <c r="M1427" s="4"/>
      <c r="N1427" s="82"/>
      <c r="O1427" s="86"/>
      <c r="P1427" s="4"/>
      <c r="Q1427" s="4"/>
      <c r="R1427" s="47"/>
      <c r="S1427" s="87"/>
      <c r="T1427" s="88"/>
      <c r="U1427" s="89"/>
      <c r="V1427" s="4"/>
      <c r="W1427" s="4"/>
      <c r="X1427" s="9"/>
      <c r="Y1427" s="84"/>
      <c r="Z1427" s="90"/>
      <c r="AA1427" s="84"/>
      <c r="AB1427" s="84"/>
      <c r="AC1427" s="84"/>
      <c r="AD1427" s="84"/>
      <c r="AE1427" s="84"/>
      <c r="AF1427" s="84"/>
      <c r="AG1427" s="84"/>
    </row>
    <row r="1428" spans="1:33" s="91" customFormat="1" ht="12.75" x14ac:dyDescent="0.2">
      <c r="A1428" s="13">
        <f t="shared" si="61"/>
        <v>125</v>
      </c>
      <c r="B1428" s="11"/>
      <c r="C1428" s="82"/>
      <c r="D1428" s="1"/>
      <c r="E1428" s="83"/>
      <c r="F1428" s="83"/>
      <c r="G1428" s="84"/>
      <c r="H1428" s="85"/>
      <c r="I1428" s="18"/>
      <c r="J1428" s="5"/>
      <c r="K1428" s="5"/>
      <c r="L1428" s="4"/>
      <c r="M1428" s="4"/>
      <c r="N1428" s="82"/>
      <c r="O1428" s="86"/>
      <c r="P1428" s="4"/>
      <c r="Q1428" s="4"/>
      <c r="R1428" s="47"/>
      <c r="S1428" s="87"/>
      <c r="T1428" s="88"/>
      <c r="U1428" s="89"/>
      <c r="V1428" s="4"/>
      <c r="W1428" s="4"/>
      <c r="X1428" s="9"/>
      <c r="Y1428" s="84"/>
      <c r="Z1428" s="90"/>
      <c r="AA1428" s="84"/>
      <c r="AB1428" s="84"/>
      <c r="AC1428" s="84"/>
      <c r="AD1428" s="84"/>
      <c r="AE1428" s="84"/>
      <c r="AF1428" s="84"/>
      <c r="AG1428" s="84"/>
    </row>
    <row r="1429" spans="1:33" s="91" customFormat="1" ht="12.75" x14ac:dyDescent="0.2">
      <c r="A1429" s="13">
        <f t="shared" si="61"/>
        <v>125</v>
      </c>
      <c r="B1429" s="11"/>
      <c r="C1429" s="82"/>
      <c r="D1429" s="1"/>
      <c r="E1429" s="83"/>
      <c r="F1429" s="83"/>
      <c r="G1429" s="84"/>
      <c r="H1429" s="85"/>
      <c r="I1429" s="1"/>
      <c r="J1429" s="5"/>
      <c r="K1429" s="5"/>
      <c r="L1429" s="4"/>
      <c r="M1429" s="4"/>
      <c r="N1429" s="82"/>
      <c r="O1429" s="86"/>
      <c r="P1429" s="4"/>
      <c r="Q1429" s="4"/>
      <c r="R1429" s="82"/>
      <c r="S1429" s="87"/>
      <c r="T1429" s="88"/>
      <c r="U1429" s="89"/>
      <c r="V1429" s="4"/>
      <c r="W1429" s="4"/>
      <c r="X1429" s="9"/>
      <c r="Y1429" s="84"/>
      <c r="Z1429" s="90"/>
      <c r="AA1429" s="84"/>
      <c r="AB1429" s="84"/>
      <c r="AC1429" s="84"/>
      <c r="AD1429" s="84"/>
      <c r="AE1429" s="84"/>
      <c r="AF1429" s="84"/>
      <c r="AG1429" s="84"/>
    </row>
    <row r="1430" spans="1:33" s="91" customFormat="1" ht="33" customHeight="1" x14ac:dyDescent="0.2">
      <c r="A1430" s="13">
        <f t="shared" si="61"/>
        <v>126</v>
      </c>
      <c r="B1430" s="11">
        <v>126</v>
      </c>
      <c r="C1430" s="92" t="s">
        <v>1191</v>
      </c>
      <c r="D1430" s="1"/>
      <c r="E1430" s="83">
        <v>86</v>
      </c>
      <c r="F1430" s="83">
        <v>366</v>
      </c>
      <c r="G1430" s="84" t="s">
        <v>1182</v>
      </c>
      <c r="H1430" s="85">
        <v>77.5</v>
      </c>
      <c r="I1430" s="18"/>
      <c r="J1430" s="5"/>
      <c r="K1430" s="5"/>
      <c r="L1430" s="4"/>
      <c r="M1430" s="4"/>
      <c r="N1430" s="82" t="s">
        <v>145</v>
      </c>
      <c r="O1430" s="86">
        <v>1</v>
      </c>
      <c r="P1430" s="4"/>
      <c r="Q1430" s="4"/>
      <c r="R1430" s="47" t="s">
        <v>1914</v>
      </c>
      <c r="S1430" s="87" t="s">
        <v>1133</v>
      </c>
      <c r="T1430" s="88">
        <v>29.8</v>
      </c>
      <c r="U1430" s="89"/>
      <c r="V1430" s="4"/>
      <c r="W1430" s="4"/>
      <c r="X1430" s="158" t="s">
        <v>1138</v>
      </c>
      <c r="Y1430" s="4" t="s">
        <v>1139</v>
      </c>
      <c r="Z1430" s="4" t="s">
        <v>56</v>
      </c>
      <c r="AA1430" s="32" t="s">
        <v>269</v>
      </c>
      <c r="AB1430" s="3" t="s">
        <v>1138</v>
      </c>
      <c r="AC1430" s="4"/>
      <c r="AD1430" s="84"/>
      <c r="AE1430" s="84" t="s">
        <v>1192</v>
      </c>
      <c r="AF1430" s="84"/>
      <c r="AG1430" s="84"/>
    </row>
    <row r="1431" spans="1:33" s="91" customFormat="1" ht="42.75" customHeight="1" x14ac:dyDescent="0.2">
      <c r="A1431" s="13">
        <f t="shared" si="61"/>
        <v>126</v>
      </c>
      <c r="B1431" s="11"/>
      <c r="C1431" s="82" t="s">
        <v>1193</v>
      </c>
      <c r="D1431" s="1"/>
      <c r="E1431" s="83">
        <v>86</v>
      </c>
      <c r="F1431" s="83">
        <v>25</v>
      </c>
      <c r="G1431" s="84" t="s">
        <v>1187</v>
      </c>
      <c r="H1431" s="85">
        <v>22.5</v>
      </c>
      <c r="I1431" s="18"/>
      <c r="J1431" s="5"/>
      <c r="K1431" s="5"/>
      <c r="L1431" s="4"/>
      <c r="M1431" s="4"/>
      <c r="N1431" s="82" t="s">
        <v>1194</v>
      </c>
      <c r="O1431" s="86">
        <v>1</v>
      </c>
      <c r="P1431" s="4"/>
      <c r="Q1431" s="4"/>
      <c r="R1431" s="47" t="s">
        <v>1915</v>
      </c>
      <c r="S1431" s="87" t="s">
        <v>1133</v>
      </c>
      <c r="T1431" s="88">
        <v>3.6</v>
      </c>
      <c r="U1431" s="89"/>
      <c r="V1431" s="4"/>
      <c r="W1431" s="4"/>
      <c r="X1431" s="9"/>
      <c r="Y1431" s="84"/>
      <c r="Z1431" s="90"/>
      <c r="AA1431" s="84"/>
      <c r="AB1431" s="84"/>
      <c r="AC1431" s="84"/>
      <c r="AD1431" s="84"/>
      <c r="AE1431" s="84" t="s">
        <v>1195</v>
      </c>
      <c r="AF1431" s="84"/>
      <c r="AG1431" s="84"/>
    </row>
    <row r="1432" spans="1:33" s="91" customFormat="1" ht="31.5" customHeight="1" x14ac:dyDescent="0.2">
      <c r="A1432" s="13">
        <f t="shared" si="61"/>
        <v>126</v>
      </c>
      <c r="B1432" s="11"/>
      <c r="C1432" s="92" t="s">
        <v>1196</v>
      </c>
      <c r="D1432" s="1"/>
      <c r="E1432" s="83"/>
      <c r="F1432" s="83"/>
      <c r="G1432" s="84"/>
      <c r="H1432" s="85"/>
      <c r="I1432" s="18"/>
      <c r="J1432" s="5"/>
      <c r="K1432" s="5"/>
      <c r="L1432" s="4"/>
      <c r="M1432" s="4"/>
      <c r="N1432" s="82"/>
      <c r="O1432" s="86"/>
      <c r="P1432" s="4"/>
      <c r="Q1432" s="4"/>
      <c r="R1432" s="82" t="s">
        <v>1916</v>
      </c>
      <c r="S1432" s="87" t="s">
        <v>1133</v>
      </c>
      <c r="T1432" s="88">
        <v>9.4</v>
      </c>
      <c r="U1432" s="89"/>
      <c r="V1432" s="4"/>
      <c r="W1432" s="4"/>
      <c r="X1432" s="9"/>
      <c r="Y1432" s="84"/>
      <c r="Z1432" s="90"/>
      <c r="AA1432" s="84"/>
      <c r="AB1432" s="84"/>
      <c r="AC1432" s="84"/>
      <c r="AD1432" s="84"/>
      <c r="AE1432" s="84" t="s">
        <v>1197</v>
      </c>
      <c r="AF1432" s="84"/>
      <c r="AG1432" s="84"/>
    </row>
    <row r="1433" spans="1:33" s="91" customFormat="1" ht="31.5" customHeight="1" x14ac:dyDescent="0.2">
      <c r="A1433" s="13">
        <f t="shared" si="61"/>
        <v>126</v>
      </c>
      <c r="B1433" s="11"/>
      <c r="C1433" s="82" t="s">
        <v>1198</v>
      </c>
      <c r="D1433" s="1"/>
      <c r="E1433" s="83"/>
      <c r="F1433" s="83"/>
      <c r="G1433" s="84"/>
      <c r="H1433" s="85"/>
      <c r="I1433" s="18"/>
      <c r="J1433" s="5"/>
      <c r="K1433" s="5"/>
      <c r="L1433" s="4"/>
      <c r="M1433" s="4"/>
      <c r="N1433" s="82"/>
      <c r="O1433" s="86"/>
      <c r="P1433" s="4"/>
      <c r="Q1433" s="4"/>
      <c r="R1433" s="47" t="s">
        <v>1917</v>
      </c>
      <c r="S1433" s="87" t="s">
        <v>1133</v>
      </c>
      <c r="T1433" s="88">
        <v>33.5</v>
      </c>
      <c r="U1433" s="89"/>
      <c r="V1433" s="4"/>
      <c r="W1433" s="4"/>
      <c r="X1433" s="9"/>
      <c r="Y1433" s="84"/>
      <c r="Z1433" s="90"/>
      <c r="AA1433" s="84"/>
      <c r="AB1433" s="84"/>
      <c r="AC1433" s="84"/>
      <c r="AD1433" s="84"/>
      <c r="AE1433" s="84" t="s">
        <v>111</v>
      </c>
      <c r="AF1433" s="84"/>
      <c r="AG1433" s="84"/>
    </row>
    <row r="1434" spans="1:33" s="91" customFormat="1" ht="38.25" x14ac:dyDescent="0.2">
      <c r="A1434" s="13">
        <f t="shared" si="61"/>
        <v>126</v>
      </c>
      <c r="B1434" s="11"/>
      <c r="C1434" s="82" t="s">
        <v>1602</v>
      </c>
      <c r="D1434" s="1"/>
      <c r="E1434" s="83"/>
      <c r="F1434" s="83"/>
      <c r="G1434" s="84"/>
      <c r="H1434" s="85"/>
      <c r="I1434" s="18"/>
      <c r="J1434" s="5"/>
      <c r="K1434" s="5"/>
      <c r="L1434" s="4"/>
      <c r="M1434" s="4"/>
      <c r="N1434" s="82"/>
      <c r="O1434" s="86"/>
      <c r="P1434" s="4"/>
      <c r="Q1434" s="4"/>
      <c r="R1434" s="47" t="s">
        <v>1912</v>
      </c>
      <c r="S1434" s="87" t="s">
        <v>1133</v>
      </c>
      <c r="T1434" s="88">
        <v>5.5</v>
      </c>
      <c r="U1434" s="89"/>
      <c r="V1434" s="4"/>
      <c r="W1434" s="4"/>
      <c r="X1434" s="9"/>
      <c r="Y1434" s="84"/>
      <c r="Z1434" s="90"/>
      <c r="AA1434" s="84"/>
      <c r="AB1434" s="84"/>
      <c r="AC1434" s="84"/>
      <c r="AD1434" s="84"/>
      <c r="AE1434" s="264" t="s">
        <v>1923</v>
      </c>
      <c r="AF1434" s="84"/>
      <c r="AG1434" s="84"/>
    </row>
    <row r="1435" spans="1:33" s="91" customFormat="1" ht="159.75" customHeight="1" x14ac:dyDescent="0.2">
      <c r="A1435" s="13">
        <f t="shared" si="61"/>
        <v>126</v>
      </c>
      <c r="B1435" s="11"/>
      <c r="C1435" s="82"/>
      <c r="D1435" s="1"/>
      <c r="E1435" s="83"/>
      <c r="F1435" s="83"/>
      <c r="G1435" s="84"/>
      <c r="H1435" s="85"/>
      <c r="I1435" s="18"/>
      <c r="J1435" s="5"/>
      <c r="K1435" s="5"/>
      <c r="L1435" s="4"/>
      <c r="M1435" s="4"/>
      <c r="N1435" s="82"/>
      <c r="O1435" s="86"/>
      <c r="P1435" s="4"/>
      <c r="Q1435" s="4"/>
      <c r="R1435" s="47" t="s">
        <v>1918</v>
      </c>
      <c r="S1435" s="87" t="s">
        <v>1133</v>
      </c>
      <c r="T1435" s="88">
        <v>9.1999999999999993</v>
      </c>
      <c r="U1435" s="89"/>
      <c r="V1435" s="4"/>
      <c r="W1435" s="4"/>
      <c r="X1435" s="9"/>
      <c r="Y1435" s="84"/>
      <c r="Z1435" s="90"/>
      <c r="AA1435" s="84"/>
      <c r="AB1435" s="84"/>
      <c r="AC1435" s="84"/>
      <c r="AD1435" s="84"/>
      <c r="AE1435" s="84" t="s">
        <v>1200</v>
      </c>
      <c r="AF1435" s="84"/>
      <c r="AG1435" s="84"/>
    </row>
    <row r="1436" spans="1:33" s="91" customFormat="1" ht="36.75" customHeight="1" x14ac:dyDescent="0.2">
      <c r="A1436" s="13">
        <f t="shared" si="61"/>
        <v>126</v>
      </c>
      <c r="B1436" s="11"/>
      <c r="C1436" s="82"/>
      <c r="D1436" s="1"/>
      <c r="E1436" s="83"/>
      <c r="F1436" s="83"/>
      <c r="G1436" s="84"/>
      <c r="H1436" s="85"/>
      <c r="I1436" s="18"/>
      <c r="J1436" s="5"/>
      <c r="K1436" s="5"/>
      <c r="L1436" s="4"/>
      <c r="M1436" s="4"/>
      <c r="N1436" s="82"/>
      <c r="O1436" s="86"/>
      <c r="P1436" s="4"/>
      <c r="Q1436" s="4"/>
      <c r="R1436" s="47" t="s">
        <v>1919</v>
      </c>
      <c r="S1436" s="87" t="s">
        <v>1133</v>
      </c>
      <c r="T1436" s="88">
        <v>43.3</v>
      </c>
      <c r="U1436" s="89"/>
      <c r="V1436" s="4"/>
      <c r="W1436" s="4"/>
      <c r="X1436" s="9"/>
      <c r="Y1436" s="84"/>
      <c r="Z1436" s="90"/>
      <c r="AA1436" s="84"/>
      <c r="AB1436" s="84"/>
      <c r="AC1436" s="84"/>
      <c r="AD1436" s="84"/>
      <c r="AE1436" s="84"/>
      <c r="AF1436" s="84"/>
      <c r="AG1436" s="84"/>
    </row>
    <row r="1437" spans="1:33" s="91" customFormat="1" ht="30" customHeight="1" x14ac:dyDescent="0.2">
      <c r="A1437" s="13">
        <f t="shared" si="61"/>
        <v>126</v>
      </c>
      <c r="B1437" s="11"/>
      <c r="C1437" s="82"/>
      <c r="D1437" s="1"/>
      <c r="E1437" s="83"/>
      <c r="F1437" s="83"/>
      <c r="G1437" s="84"/>
      <c r="H1437" s="85"/>
      <c r="I1437" s="18"/>
      <c r="J1437" s="5"/>
      <c r="K1437" s="5"/>
      <c r="L1437" s="4"/>
      <c r="M1437" s="4"/>
      <c r="N1437" s="82"/>
      <c r="O1437" s="86"/>
      <c r="P1437" s="4"/>
      <c r="Q1437" s="4"/>
      <c r="R1437" s="47" t="s">
        <v>1920</v>
      </c>
      <c r="S1437" s="87" t="s">
        <v>1133</v>
      </c>
      <c r="T1437" s="88">
        <v>1.96</v>
      </c>
      <c r="U1437" s="89"/>
      <c r="V1437" s="4"/>
      <c r="W1437" s="4"/>
      <c r="X1437" s="9"/>
      <c r="Y1437" s="84"/>
      <c r="Z1437" s="90"/>
      <c r="AA1437" s="84"/>
      <c r="AB1437" s="84"/>
      <c r="AC1437" s="84"/>
      <c r="AD1437" s="84"/>
      <c r="AE1437" s="84"/>
      <c r="AF1437" s="84"/>
      <c r="AG1437" s="84"/>
    </row>
    <row r="1438" spans="1:33" s="91" customFormat="1" ht="29.25" customHeight="1" x14ac:dyDescent="0.2">
      <c r="A1438" s="13">
        <f t="shared" si="61"/>
        <v>126</v>
      </c>
      <c r="B1438" s="11"/>
      <c r="C1438" s="84"/>
      <c r="D1438" s="1"/>
      <c r="E1438" s="83"/>
      <c r="F1438" s="83"/>
      <c r="G1438" s="84"/>
      <c r="H1438" s="85"/>
      <c r="I1438" s="18"/>
      <c r="J1438" s="5"/>
      <c r="K1438" s="5"/>
      <c r="L1438" s="4"/>
      <c r="M1438" s="4"/>
      <c r="N1438" s="82"/>
      <c r="O1438" s="86"/>
      <c r="P1438" s="4"/>
      <c r="Q1438" s="4"/>
      <c r="R1438" s="47" t="s">
        <v>1921</v>
      </c>
      <c r="S1438" s="87" t="s">
        <v>1133</v>
      </c>
      <c r="T1438" s="88">
        <v>22.56</v>
      </c>
      <c r="U1438" s="89"/>
      <c r="V1438" s="4"/>
      <c r="W1438" s="4"/>
      <c r="X1438" s="9"/>
      <c r="Y1438" s="84"/>
      <c r="Z1438" s="90"/>
      <c r="AA1438" s="84"/>
      <c r="AB1438" s="84"/>
      <c r="AC1438" s="84"/>
      <c r="AD1438" s="84"/>
      <c r="AE1438" s="82"/>
      <c r="AF1438" s="82"/>
      <c r="AG1438" s="82"/>
    </row>
    <row r="1439" spans="1:33" s="91" customFormat="1" ht="12.75" x14ac:dyDescent="0.2">
      <c r="A1439" s="13">
        <f t="shared" si="61"/>
        <v>126</v>
      </c>
      <c r="B1439" s="11"/>
      <c r="C1439" s="82"/>
      <c r="D1439" s="1"/>
      <c r="E1439" s="83"/>
      <c r="F1439" s="83"/>
      <c r="G1439" s="84"/>
      <c r="H1439" s="85"/>
      <c r="I1439" s="18"/>
      <c r="J1439" s="5"/>
      <c r="K1439" s="5"/>
      <c r="L1439" s="4"/>
      <c r="M1439" s="4"/>
      <c r="N1439" s="82"/>
      <c r="O1439" s="86"/>
      <c r="P1439" s="4"/>
      <c r="Q1439" s="4"/>
      <c r="R1439" s="47"/>
      <c r="S1439" s="87"/>
      <c r="T1439" s="88"/>
      <c r="U1439" s="89"/>
      <c r="V1439" s="4"/>
      <c r="W1439" s="4"/>
      <c r="X1439" s="9"/>
      <c r="Y1439" s="84"/>
      <c r="Z1439" s="90"/>
      <c r="AA1439" s="84"/>
      <c r="AB1439" s="84"/>
      <c r="AC1439" s="84"/>
      <c r="AD1439" s="84"/>
      <c r="AE1439" s="1"/>
      <c r="AF1439" s="1"/>
      <c r="AG1439" s="1"/>
    </row>
    <row r="1440" spans="1:33" s="91" customFormat="1" ht="12.75" x14ac:dyDescent="0.2">
      <c r="A1440" s="13">
        <f t="shared" si="61"/>
        <v>126</v>
      </c>
      <c r="B1440" s="11"/>
      <c r="C1440" s="82"/>
      <c r="D1440" s="1"/>
      <c r="E1440" s="83"/>
      <c r="F1440" s="83"/>
      <c r="G1440" s="84"/>
      <c r="H1440" s="85"/>
      <c r="I1440" s="18"/>
      <c r="J1440" s="5"/>
      <c r="K1440" s="5"/>
      <c r="L1440" s="4"/>
      <c r="M1440" s="4"/>
      <c r="N1440" s="82"/>
      <c r="O1440" s="86"/>
      <c r="P1440" s="4"/>
      <c r="Q1440" s="4"/>
      <c r="R1440" s="47"/>
      <c r="S1440" s="87"/>
      <c r="T1440" s="88"/>
      <c r="U1440" s="89"/>
      <c r="V1440" s="4"/>
      <c r="W1440" s="4"/>
      <c r="X1440" s="9"/>
      <c r="Y1440" s="84"/>
      <c r="Z1440" s="90"/>
      <c r="AA1440" s="84"/>
      <c r="AB1440" s="84"/>
      <c r="AC1440" s="84"/>
      <c r="AD1440" s="84"/>
      <c r="AE1440" s="84"/>
      <c r="AF1440" s="84"/>
      <c r="AG1440" s="84"/>
    </row>
    <row r="1441" spans="1:33" s="91" customFormat="1" ht="12.75" x14ac:dyDescent="0.2">
      <c r="A1441" s="13">
        <f t="shared" si="61"/>
        <v>126</v>
      </c>
      <c r="B1441" s="11"/>
      <c r="C1441" s="82"/>
      <c r="D1441" s="1"/>
      <c r="E1441" s="83"/>
      <c r="F1441" s="83"/>
      <c r="G1441" s="84"/>
      <c r="H1441" s="85"/>
      <c r="I1441" s="18"/>
      <c r="J1441" s="5"/>
      <c r="K1441" s="5"/>
      <c r="L1441" s="4"/>
      <c r="M1441" s="4"/>
      <c r="N1441" s="82"/>
      <c r="O1441" s="86"/>
      <c r="P1441" s="4"/>
      <c r="Q1441" s="4"/>
      <c r="R1441" s="47"/>
      <c r="S1441" s="87"/>
      <c r="T1441" s="88"/>
      <c r="U1441" s="89"/>
      <c r="V1441" s="4"/>
      <c r="W1441" s="4"/>
      <c r="X1441" s="9"/>
      <c r="Y1441" s="84"/>
      <c r="Z1441" s="90"/>
      <c r="AA1441" s="84"/>
      <c r="AB1441" s="84"/>
      <c r="AC1441" s="84"/>
      <c r="AD1441" s="84"/>
      <c r="AE1441" s="84"/>
      <c r="AF1441" s="84"/>
      <c r="AG1441" s="84"/>
    </row>
    <row r="1442" spans="1:33" s="91" customFormat="1" ht="37.5" customHeight="1" x14ac:dyDescent="0.2">
      <c r="A1442" s="13">
        <f t="shared" si="61"/>
        <v>127</v>
      </c>
      <c r="B1442" s="11">
        <v>127</v>
      </c>
      <c r="C1442" s="92" t="s">
        <v>1201</v>
      </c>
      <c r="D1442" s="1">
        <v>3</v>
      </c>
      <c r="E1442" s="87">
        <v>86</v>
      </c>
      <c r="F1442" s="87">
        <v>397</v>
      </c>
      <c r="G1442" s="84" t="s">
        <v>1182</v>
      </c>
      <c r="H1442" s="85">
        <v>91.8</v>
      </c>
      <c r="I1442" s="18"/>
      <c r="J1442" s="5"/>
      <c r="K1442" s="5"/>
      <c r="L1442" s="4"/>
      <c r="M1442" s="4"/>
      <c r="N1442" s="82" t="s">
        <v>69</v>
      </c>
      <c r="O1442" s="86">
        <v>2</v>
      </c>
      <c r="P1442" s="4"/>
      <c r="Q1442" s="4"/>
      <c r="R1442" s="47"/>
      <c r="S1442" s="87"/>
      <c r="T1442" s="88"/>
      <c r="U1442" s="89"/>
      <c r="V1442" s="4"/>
      <c r="W1442" s="4"/>
      <c r="X1442" s="9"/>
      <c r="Y1442" s="84"/>
      <c r="Z1442" s="90"/>
      <c r="AA1442" s="84"/>
      <c r="AB1442" s="84"/>
      <c r="AC1442" s="84"/>
      <c r="AD1442" s="84"/>
      <c r="AE1442" s="84" t="s">
        <v>1202</v>
      </c>
      <c r="AF1442" s="84"/>
      <c r="AG1442" s="84"/>
    </row>
    <row r="1443" spans="1:33" s="91" customFormat="1" ht="37.5" customHeight="1" x14ac:dyDescent="0.2">
      <c r="A1443" s="13">
        <f t="shared" si="61"/>
        <v>127</v>
      </c>
      <c r="B1443" s="11"/>
      <c r="C1443" s="82" t="s">
        <v>1203</v>
      </c>
      <c r="D1443" s="1"/>
      <c r="E1443" s="87">
        <v>86</v>
      </c>
      <c r="F1443" s="87">
        <v>25</v>
      </c>
      <c r="G1443" s="84" t="s">
        <v>1187</v>
      </c>
      <c r="H1443" s="85">
        <v>23.8</v>
      </c>
      <c r="I1443" s="18"/>
      <c r="J1443" s="5"/>
      <c r="K1443" s="5"/>
      <c r="L1443" s="4"/>
      <c r="M1443" s="4"/>
      <c r="N1443" s="82" t="s">
        <v>77</v>
      </c>
      <c r="O1443" s="86">
        <v>1</v>
      </c>
      <c r="P1443" s="4"/>
      <c r="Q1443" s="4"/>
      <c r="R1443" s="47"/>
      <c r="S1443" s="87"/>
      <c r="T1443" s="88"/>
      <c r="U1443" s="89"/>
      <c r="V1443" s="4"/>
      <c r="W1443" s="4"/>
      <c r="X1443" s="9"/>
      <c r="Y1443" s="84"/>
      <c r="Z1443" s="90"/>
      <c r="AA1443" s="84"/>
      <c r="AB1443" s="84"/>
      <c r="AC1443" s="84"/>
      <c r="AD1443" s="84"/>
      <c r="AE1443" s="84" t="s">
        <v>1204</v>
      </c>
      <c r="AF1443" s="84"/>
      <c r="AG1443" s="84"/>
    </row>
    <row r="1444" spans="1:33" s="91" customFormat="1" ht="38.25" x14ac:dyDescent="0.2">
      <c r="A1444" s="13">
        <f t="shared" si="61"/>
        <v>127</v>
      </c>
      <c r="B1444" s="11"/>
      <c r="C1444" s="82" t="s">
        <v>1603</v>
      </c>
      <c r="D1444" s="1"/>
      <c r="E1444" s="83"/>
      <c r="F1444" s="83"/>
      <c r="G1444" s="84"/>
      <c r="H1444" s="85"/>
      <c r="I1444" s="18"/>
      <c r="J1444" s="5"/>
      <c r="K1444" s="5"/>
      <c r="L1444" s="4"/>
      <c r="M1444" s="4"/>
      <c r="N1444" s="82" t="s">
        <v>350</v>
      </c>
      <c r="O1444" s="86">
        <v>1</v>
      </c>
      <c r="P1444" s="4"/>
      <c r="Q1444" s="4"/>
      <c r="R1444" s="47"/>
      <c r="S1444" s="87"/>
      <c r="T1444" s="88"/>
      <c r="U1444" s="89"/>
      <c r="V1444" s="4"/>
      <c r="W1444" s="4"/>
      <c r="X1444" s="9"/>
      <c r="Y1444" s="84"/>
      <c r="Z1444" s="90"/>
      <c r="AA1444" s="84"/>
      <c r="AB1444" s="84"/>
      <c r="AC1444" s="84"/>
      <c r="AD1444" s="84"/>
      <c r="AE1444" s="84" t="s">
        <v>1666</v>
      </c>
      <c r="AF1444" s="84"/>
      <c r="AG1444" s="84"/>
    </row>
    <row r="1445" spans="1:33" s="91" customFormat="1" ht="153.75" customHeight="1" x14ac:dyDescent="0.2">
      <c r="A1445" s="13">
        <f t="shared" si="61"/>
        <v>127</v>
      </c>
      <c r="B1445" s="11"/>
      <c r="C1445" s="82"/>
      <c r="D1445" s="1"/>
      <c r="E1445" s="83"/>
      <c r="F1445" s="83"/>
      <c r="G1445" s="84"/>
      <c r="H1445" s="85"/>
      <c r="I1445" s="18"/>
      <c r="J1445" s="5"/>
      <c r="K1445" s="5"/>
      <c r="L1445" s="4"/>
      <c r="M1445" s="4"/>
      <c r="N1445" s="82" t="s">
        <v>400</v>
      </c>
      <c r="O1445" s="86">
        <v>24</v>
      </c>
      <c r="P1445" s="4"/>
      <c r="Q1445" s="4"/>
      <c r="R1445" s="47"/>
      <c r="S1445" s="87"/>
      <c r="T1445" s="88"/>
      <c r="U1445" s="89"/>
      <c r="V1445" s="4"/>
      <c r="W1445" s="4"/>
      <c r="X1445" s="9"/>
      <c r="Y1445" s="84"/>
      <c r="Z1445" s="90"/>
      <c r="AA1445" s="84"/>
      <c r="AB1445" s="84"/>
      <c r="AC1445" s="84"/>
      <c r="AD1445" s="84"/>
      <c r="AE1445" s="84" t="s">
        <v>1205</v>
      </c>
      <c r="AF1445" s="84"/>
      <c r="AG1445" s="84"/>
    </row>
    <row r="1446" spans="1:33" s="91" customFormat="1" ht="12.75" x14ac:dyDescent="0.2">
      <c r="A1446" s="13">
        <f t="shared" si="61"/>
        <v>127</v>
      </c>
      <c r="B1446" s="11"/>
      <c r="C1446" s="82"/>
      <c r="D1446" s="1"/>
      <c r="E1446" s="83"/>
      <c r="F1446" s="83"/>
      <c r="G1446" s="84"/>
      <c r="H1446" s="85"/>
      <c r="I1446" s="18"/>
      <c r="J1446" s="5"/>
      <c r="K1446" s="5"/>
      <c r="L1446" s="4"/>
      <c r="M1446" s="4"/>
      <c r="N1446" s="82"/>
      <c r="O1446" s="86"/>
      <c r="P1446" s="4"/>
      <c r="Q1446" s="4"/>
      <c r="R1446" s="47"/>
      <c r="S1446" s="87"/>
      <c r="T1446" s="88"/>
      <c r="U1446" s="89"/>
      <c r="V1446" s="4"/>
      <c r="W1446" s="4"/>
      <c r="X1446" s="9"/>
      <c r="Y1446" s="84"/>
      <c r="Z1446" s="90"/>
      <c r="AA1446" s="84"/>
      <c r="AB1446" s="84"/>
      <c r="AC1446" s="84"/>
      <c r="AD1446" s="84"/>
      <c r="AE1446" s="82"/>
      <c r="AF1446" s="82"/>
      <c r="AG1446" s="82"/>
    </row>
    <row r="1447" spans="1:33" s="91" customFormat="1" ht="12.75" x14ac:dyDescent="0.2">
      <c r="A1447" s="13">
        <f t="shared" si="61"/>
        <v>127</v>
      </c>
      <c r="B1447" s="11"/>
      <c r="C1447" s="84"/>
      <c r="D1447" s="1"/>
      <c r="E1447" s="83"/>
      <c r="F1447" s="83"/>
      <c r="G1447" s="84"/>
      <c r="H1447" s="85"/>
      <c r="I1447" s="18"/>
      <c r="J1447" s="5"/>
      <c r="K1447" s="5"/>
      <c r="L1447" s="4"/>
      <c r="M1447" s="4"/>
      <c r="N1447" s="82"/>
      <c r="O1447" s="86"/>
      <c r="P1447" s="4"/>
      <c r="Q1447" s="4"/>
      <c r="R1447" s="47"/>
      <c r="S1447" s="87"/>
      <c r="T1447" s="88"/>
      <c r="U1447" s="89"/>
      <c r="V1447" s="4"/>
      <c r="W1447" s="4"/>
      <c r="X1447" s="9"/>
      <c r="Y1447" s="84"/>
      <c r="Z1447" s="90"/>
      <c r="AA1447" s="84"/>
      <c r="AB1447" s="84"/>
      <c r="AC1447" s="84"/>
      <c r="AD1447" s="84"/>
      <c r="AE1447" s="84"/>
      <c r="AF1447" s="84"/>
      <c r="AG1447" s="84"/>
    </row>
    <row r="1448" spans="1:33" s="91" customFormat="1" ht="12.75" x14ac:dyDescent="0.2">
      <c r="A1448" s="13">
        <f t="shared" si="61"/>
        <v>127</v>
      </c>
      <c r="B1448" s="11"/>
      <c r="C1448" s="82"/>
      <c r="D1448" s="1"/>
      <c r="E1448" s="83"/>
      <c r="F1448" s="83"/>
      <c r="G1448" s="84"/>
      <c r="H1448" s="85"/>
      <c r="I1448" s="18"/>
      <c r="J1448" s="5"/>
      <c r="K1448" s="5"/>
      <c r="L1448" s="4"/>
      <c r="M1448" s="4"/>
      <c r="N1448" s="82"/>
      <c r="O1448" s="86"/>
      <c r="P1448" s="4"/>
      <c r="Q1448" s="4"/>
      <c r="R1448" s="47"/>
      <c r="S1448" s="87"/>
      <c r="T1448" s="88"/>
      <c r="U1448" s="89"/>
      <c r="V1448" s="4"/>
      <c r="W1448" s="4"/>
      <c r="X1448" s="9"/>
      <c r="Y1448" s="84"/>
      <c r="Z1448" s="90"/>
      <c r="AA1448" s="84"/>
      <c r="AB1448" s="84"/>
      <c r="AC1448" s="84"/>
      <c r="AD1448" s="84"/>
      <c r="AE1448" s="84"/>
      <c r="AF1448" s="84"/>
      <c r="AG1448" s="84"/>
    </row>
    <row r="1449" spans="1:33" s="91" customFormat="1" ht="32.25" customHeight="1" x14ac:dyDescent="0.2">
      <c r="A1449" s="13">
        <f t="shared" si="61"/>
        <v>128</v>
      </c>
      <c r="B1449" s="11">
        <v>128</v>
      </c>
      <c r="C1449" s="92" t="s">
        <v>1201</v>
      </c>
      <c r="D1449" s="1"/>
      <c r="E1449" s="87">
        <v>86</v>
      </c>
      <c r="F1449" s="87">
        <v>396</v>
      </c>
      <c r="G1449" s="84" t="s">
        <v>1206</v>
      </c>
      <c r="H1449" s="85">
        <v>92.3</v>
      </c>
      <c r="I1449" s="18"/>
      <c r="J1449" s="5"/>
      <c r="K1449" s="5"/>
      <c r="L1449" s="4"/>
      <c r="M1449" s="4"/>
      <c r="N1449" s="82"/>
      <c r="O1449" s="86"/>
      <c r="P1449" s="4"/>
      <c r="Q1449" s="4"/>
      <c r="R1449" s="47"/>
      <c r="S1449" s="87"/>
      <c r="T1449" s="88"/>
      <c r="U1449" s="89"/>
      <c r="V1449" s="4"/>
      <c r="W1449" s="4"/>
      <c r="X1449" s="9"/>
      <c r="Y1449" s="84"/>
      <c r="Z1449" s="90"/>
      <c r="AA1449" s="84"/>
      <c r="AB1449" s="84"/>
      <c r="AC1449" s="84"/>
      <c r="AD1449" s="84"/>
      <c r="AE1449" s="84" t="s">
        <v>1207</v>
      </c>
      <c r="AF1449" s="84"/>
      <c r="AG1449" s="84"/>
    </row>
    <row r="1450" spans="1:33" s="91" customFormat="1" ht="32.25" customHeight="1" x14ac:dyDescent="0.2">
      <c r="A1450" s="13">
        <f t="shared" si="61"/>
        <v>128</v>
      </c>
      <c r="B1450" s="11"/>
      <c r="C1450" s="82" t="s">
        <v>1203</v>
      </c>
      <c r="D1450" s="1"/>
      <c r="E1450" s="87"/>
      <c r="F1450" s="87"/>
      <c r="G1450" s="84"/>
      <c r="H1450" s="85"/>
      <c r="I1450" s="18"/>
      <c r="J1450" s="5"/>
      <c r="K1450" s="5"/>
      <c r="L1450" s="4"/>
      <c r="M1450" s="4"/>
      <c r="N1450" s="82"/>
      <c r="O1450" s="86"/>
      <c r="P1450" s="4"/>
      <c r="Q1450" s="4"/>
      <c r="R1450" s="47"/>
      <c r="S1450" s="87"/>
      <c r="T1450" s="88"/>
      <c r="U1450" s="89"/>
      <c r="V1450" s="4"/>
      <c r="W1450" s="4"/>
      <c r="X1450" s="9"/>
      <c r="Y1450" s="84"/>
      <c r="Z1450" s="90"/>
      <c r="AA1450" s="84"/>
      <c r="AB1450" s="84"/>
      <c r="AC1450" s="84"/>
      <c r="AD1450" s="84"/>
      <c r="AE1450" s="84" t="s">
        <v>1208</v>
      </c>
      <c r="AF1450" s="84"/>
      <c r="AG1450" s="84"/>
    </row>
    <row r="1451" spans="1:33" s="91" customFormat="1" ht="44.25" customHeight="1" x14ac:dyDescent="0.2">
      <c r="A1451" s="13">
        <f t="shared" si="61"/>
        <v>128</v>
      </c>
      <c r="B1451" s="11"/>
      <c r="C1451" s="82" t="s">
        <v>1603</v>
      </c>
      <c r="D1451" s="1"/>
      <c r="E1451" s="83"/>
      <c r="F1451" s="83"/>
      <c r="G1451" s="84"/>
      <c r="H1451" s="85"/>
      <c r="I1451" s="18"/>
      <c r="J1451" s="5"/>
      <c r="K1451" s="5"/>
      <c r="L1451" s="4"/>
      <c r="M1451" s="4"/>
      <c r="N1451" s="82"/>
      <c r="O1451" s="86"/>
      <c r="P1451" s="4"/>
      <c r="Q1451" s="4"/>
      <c r="R1451" s="47"/>
      <c r="S1451" s="87"/>
      <c r="T1451" s="88"/>
      <c r="U1451" s="89"/>
      <c r="V1451" s="4"/>
      <c r="W1451" s="4"/>
      <c r="X1451" s="9"/>
      <c r="Y1451" s="84"/>
      <c r="Z1451" s="90"/>
      <c r="AA1451" s="84"/>
      <c r="AB1451" s="84"/>
      <c r="AC1451" s="84"/>
      <c r="AD1451" s="84"/>
      <c r="AE1451" s="84" t="s">
        <v>1665</v>
      </c>
      <c r="AF1451" s="84"/>
      <c r="AG1451" s="84"/>
    </row>
    <row r="1452" spans="1:33" s="91" customFormat="1" ht="12.75" x14ac:dyDescent="0.2">
      <c r="A1452" s="13">
        <f t="shared" si="61"/>
        <v>128</v>
      </c>
      <c r="B1452" s="11"/>
      <c r="C1452" s="82"/>
      <c r="D1452" s="1"/>
      <c r="E1452" s="83"/>
      <c r="F1452" s="83"/>
      <c r="G1452" s="84"/>
      <c r="H1452" s="85"/>
      <c r="I1452" s="18"/>
      <c r="J1452" s="5"/>
      <c r="K1452" s="5"/>
      <c r="L1452" s="4"/>
      <c r="M1452" s="4"/>
      <c r="N1452" s="82"/>
      <c r="O1452" s="86"/>
      <c r="P1452" s="4"/>
      <c r="Q1452" s="4"/>
      <c r="R1452" s="47"/>
      <c r="S1452" s="87"/>
      <c r="T1452" s="88"/>
      <c r="U1452" s="89"/>
      <c r="V1452" s="4"/>
      <c r="W1452" s="4"/>
      <c r="X1452" s="9"/>
      <c r="Y1452" s="84"/>
      <c r="Z1452" s="90"/>
      <c r="AA1452" s="84"/>
      <c r="AB1452" s="84"/>
      <c r="AC1452" s="84"/>
      <c r="AD1452" s="84"/>
      <c r="AE1452" s="84"/>
      <c r="AF1452" s="84"/>
      <c r="AG1452" s="84"/>
    </row>
    <row r="1453" spans="1:33" s="91" customFormat="1" ht="12.75" x14ac:dyDescent="0.2">
      <c r="A1453" s="13">
        <f t="shared" si="61"/>
        <v>128</v>
      </c>
      <c r="B1453" s="11"/>
      <c r="C1453" s="82"/>
      <c r="D1453" s="1"/>
      <c r="E1453" s="83"/>
      <c r="F1453" s="83"/>
      <c r="G1453" s="84"/>
      <c r="H1453" s="85"/>
      <c r="I1453" s="18"/>
      <c r="J1453" s="5"/>
      <c r="K1453" s="5"/>
      <c r="L1453" s="4"/>
      <c r="M1453" s="4"/>
      <c r="N1453" s="82"/>
      <c r="O1453" s="86"/>
      <c r="P1453" s="4"/>
      <c r="Q1453" s="4"/>
      <c r="R1453" s="47"/>
      <c r="S1453" s="87"/>
      <c r="T1453" s="88"/>
      <c r="U1453" s="89"/>
      <c r="V1453" s="4"/>
      <c r="W1453" s="4"/>
      <c r="X1453" s="9"/>
      <c r="Y1453" s="84"/>
      <c r="Z1453" s="90"/>
      <c r="AA1453" s="84"/>
      <c r="AB1453" s="84"/>
      <c r="AC1453" s="84"/>
      <c r="AD1453" s="84"/>
      <c r="AE1453" s="82"/>
      <c r="AF1453" s="82"/>
      <c r="AG1453" s="82"/>
    </row>
    <row r="1454" spans="1:33" s="91" customFormat="1" ht="12.75" x14ac:dyDescent="0.2">
      <c r="A1454" s="13">
        <f t="shared" si="61"/>
        <v>128</v>
      </c>
      <c r="B1454" s="11"/>
      <c r="C1454" s="82"/>
      <c r="D1454" s="1"/>
      <c r="E1454" s="83"/>
      <c r="F1454" s="83"/>
      <c r="G1454" s="84"/>
      <c r="H1454" s="85"/>
      <c r="I1454" s="18"/>
      <c r="J1454" s="5"/>
      <c r="K1454" s="5"/>
      <c r="L1454" s="4"/>
      <c r="M1454" s="4"/>
      <c r="N1454" s="82"/>
      <c r="O1454" s="86"/>
      <c r="P1454" s="4"/>
      <c r="Q1454" s="4"/>
      <c r="R1454" s="47"/>
      <c r="S1454" s="87"/>
      <c r="T1454" s="88"/>
      <c r="U1454" s="89"/>
      <c r="V1454" s="4"/>
      <c r="W1454" s="4"/>
      <c r="X1454" s="9"/>
      <c r="Y1454" s="84"/>
      <c r="Z1454" s="90"/>
      <c r="AA1454" s="84"/>
      <c r="AB1454" s="84"/>
      <c r="AC1454" s="84"/>
      <c r="AD1454" s="84"/>
      <c r="AE1454" s="84"/>
      <c r="AF1454" s="84"/>
      <c r="AG1454" s="84"/>
    </row>
    <row r="1455" spans="1:33" s="91" customFormat="1" ht="54.75" customHeight="1" x14ac:dyDescent="0.2">
      <c r="A1455" s="13">
        <f>IF(B1455&lt;&gt;0,B1455,#REF!)</f>
        <v>129</v>
      </c>
      <c r="B1455" s="11">
        <v>129</v>
      </c>
      <c r="C1455" s="92" t="s">
        <v>1209</v>
      </c>
      <c r="D1455" s="1"/>
      <c r="E1455" s="87">
        <v>86</v>
      </c>
      <c r="F1455" s="87">
        <v>48</v>
      </c>
      <c r="G1455" s="84" t="s">
        <v>1131</v>
      </c>
      <c r="H1455" s="85">
        <v>37.299999999999997</v>
      </c>
      <c r="I1455" s="18"/>
      <c r="J1455" s="5"/>
      <c r="K1455" s="5"/>
      <c r="L1455" s="4"/>
      <c r="M1455" s="4"/>
      <c r="N1455" s="82" t="s">
        <v>145</v>
      </c>
      <c r="O1455" s="86">
        <v>1</v>
      </c>
      <c r="P1455" s="4"/>
      <c r="Q1455" s="4"/>
      <c r="R1455" s="47" t="s">
        <v>1922</v>
      </c>
      <c r="S1455" s="87" t="s">
        <v>1133</v>
      </c>
      <c r="T1455" s="88">
        <v>27.4</v>
      </c>
      <c r="U1455" s="89"/>
      <c r="V1455" s="4"/>
      <c r="W1455" s="4"/>
      <c r="X1455" s="9"/>
      <c r="Y1455" s="84"/>
      <c r="Z1455" s="90"/>
      <c r="AA1455" s="84"/>
      <c r="AB1455" s="84"/>
      <c r="AC1455" s="84"/>
      <c r="AD1455" s="84"/>
      <c r="AE1455" s="84" t="s">
        <v>1210</v>
      </c>
      <c r="AF1455" s="84"/>
      <c r="AG1455" s="84"/>
    </row>
    <row r="1456" spans="1:33" s="91" customFormat="1" ht="53.25" customHeight="1" x14ac:dyDescent="0.2">
      <c r="A1456" s="13">
        <f>IF(B1456&lt;&gt;0,B1456,A1455)</f>
        <v>129</v>
      </c>
      <c r="B1456" s="11"/>
      <c r="C1456" s="82" t="s">
        <v>1211</v>
      </c>
      <c r="D1456" s="1"/>
      <c r="E1456" s="87"/>
      <c r="F1456" s="87"/>
      <c r="G1456" s="84"/>
      <c r="H1456" s="85"/>
      <c r="I1456" s="18"/>
      <c r="J1456" s="5"/>
      <c r="K1456" s="5"/>
      <c r="L1456" s="4"/>
      <c r="M1456" s="4"/>
      <c r="N1456" s="82"/>
      <c r="O1456" s="86"/>
      <c r="P1456" s="4"/>
      <c r="Q1456" s="4"/>
      <c r="R1456" s="47"/>
      <c r="S1456" s="87"/>
      <c r="T1456" s="88"/>
      <c r="U1456" s="89"/>
      <c r="V1456" s="4"/>
      <c r="W1456" s="4"/>
      <c r="X1456" s="9"/>
      <c r="Y1456" s="84"/>
      <c r="Z1456" s="90"/>
      <c r="AA1456" s="84"/>
      <c r="AB1456" s="84"/>
      <c r="AC1456" s="84"/>
      <c r="AD1456" s="84"/>
      <c r="AE1456" s="84" t="s">
        <v>1212</v>
      </c>
      <c r="AF1456" s="84"/>
      <c r="AG1456" s="84"/>
    </row>
    <row r="1457" spans="1:33" s="91" customFormat="1" ht="48" customHeight="1" x14ac:dyDescent="0.2">
      <c r="A1457" s="13">
        <f>IF(B1457&lt;&gt;0,B1457,A1456)</f>
        <v>129</v>
      </c>
      <c r="B1457" s="11"/>
      <c r="C1457" s="82" t="s">
        <v>1604</v>
      </c>
      <c r="D1457" s="1"/>
      <c r="E1457" s="83"/>
      <c r="F1457" s="83"/>
      <c r="G1457" s="84"/>
      <c r="H1457" s="85"/>
      <c r="I1457" s="18"/>
      <c r="J1457" s="5"/>
      <c r="K1457" s="5"/>
      <c r="L1457" s="4"/>
      <c r="M1457" s="4"/>
      <c r="N1457" s="82"/>
      <c r="O1457" s="86"/>
      <c r="P1457" s="4"/>
      <c r="Q1457" s="4"/>
      <c r="R1457" s="47"/>
      <c r="S1457" s="87"/>
      <c r="T1457" s="88"/>
      <c r="U1457" s="89"/>
      <c r="V1457" s="4"/>
      <c r="W1457" s="4"/>
      <c r="X1457" s="9"/>
      <c r="Y1457" s="84"/>
      <c r="Z1457" s="90"/>
      <c r="AA1457" s="84"/>
      <c r="AB1457" s="84"/>
      <c r="AC1457" s="84"/>
      <c r="AD1457" s="84"/>
      <c r="AE1457" s="84" t="s">
        <v>1213</v>
      </c>
      <c r="AF1457" s="84"/>
      <c r="AG1457" s="84"/>
    </row>
    <row r="1458" spans="1:33" s="91" customFormat="1" ht="26.25" customHeight="1" x14ac:dyDescent="0.2">
      <c r="A1458" s="13">
        <f>IF(B1458&lt;&gt;0,B1458,A1457)</f>
        <v>129</v>
      </c>
      <c r="B1458" s="11"/>
      <c r="C1458" s="82"/>
      <c r="D1458" s="1"/>
      <c r="E1458" s="83"/>
      <c r="F1458" s="83"/>
      <c r="G1458" s="84"/>
      <c r="H1458" s="85"/>
      <c r="I1458" s="18"/>
      <c r="J1458" s="5"/>
      <c r="K1458" s="5"/>
      <c r="L1458" s="4"/>
      <c r="M1458" s="4"/>
      <c r="N1458" s="82"/>
      <c r="O1458" s="86"/>
      <c r="P1458" s="4"/>
      <c r="Q1458" s="4"/>
      <c r="R1458" s="47"/>
      <c r="S1458" s="87"/>
      <c r="T1458" s="88"/>
      <c r="U1458" s="89"/>
      <c r="V1458" s="4"/>
      <c r="W1458" s="4"/>
      <c r="X1458" s="9"/>
      <c r="Y1458" s="84"/>
      <c r="Z1458" s="90"/>
      <c r="AA1458" s="84"/>
      <c r="AB1458" s="84"/>
      <c r="AC1458" s="84"/>
      <c r="AD1458" s="84"/>
      <c r="AE1458" s="84" t="s">
        <v>1146</v>
      </c>
      <c r="AF1458" s="84"/>
      <c r="AG1458" s="84"/>
    </row>
    <row r="1459" spans="1:33" s="91" customFormat="1" ht="12.75" x14ac:dyDescent="0.2">
      <c r="A1459" s="13"/>
      <c r="B1459" s="11"/>
      <c r="C1459" s="82"/>
      <c r="D1459" s="1"/>
      <c r="E1459" s="83"/>
      <c r="F1459" s="83"/>
      <c r="G1459" s="84"/>
      <c r="H1459" s="85"/>
      <c r="I1459" s="18"/>
      <c r="J1459" s="5"/>
      <c r="K1459" s="5"/>
      <c r="L1459" s="4"/>
      <c r="M1459" s="4"/>
      <c r="N1459" s="82"/>
      <c r="O1459" s="86"/>
      <c r="P1459" s="4"/>
      <c r="Q1459" s="4"/>
      <c r="R1459" s="47"/>
      <c r="S1459" s="87"/>
      <c r="T1459" s="88"/>
      <c r="U1459" s="89"/>
      <c r="V1459" s="4"/>
      <c r="W1459" s="4"/>
      <c r="X1459" s="9"/>
      <c r="Y1459" s="84"/>
      <c r="Z1459" s="90"/>
      <c r="AA1459" s="84"/>
      <c r="AB1459" s="84"/>
      <c r="AC1459" s="84"/>
      <c r="AD1459" s="84"/>
      <c r="AE1459" s="84"/>
      <c r="AF1459" s="84"/>
      <c r="AG1459" s="84"/>
    </row>
    <row r="1460" spans="1:33" s="91" customFormat="1" ht="12.75" x14ac:dyDescent="0.2">
      <c r="A1460" s="13">
        <f>IF(B1460&lt;&gt;0,B1460,A1458)</f>
        <v>129</v>
      </c>
      <c r="B1460" s="11"/>
      <c r="C1460" s="82"/>
      <c r="D1460" s="1"/>
      <c r="E1460" s="83"/>
      <c r="F1460" s="83"/>
      <c r="G1460" s="84"/>
      <c r="H1460" s="85"/>
      <c r="I1460" s="18"/>
      <c r="J1460" s="5"/>
      <c r="K1460" s="5"/>
      <c r="L1460" s="4"/>
      <c r="M1460" s="4"/>
      <c r="N1460" s="82"/>
      <c r="O1460" s="86"/>
      <c r="P1460" s="4"/>
      <c r="Q1460" s="4"/>
      <c r="R1460" s="47"/>
      <c r="S1460" s="87"/>
      <c r="T1460" s="88"/>
      <c r="U1460" s="89"/>
      <c r="V1460" s="4"/>
      <c r="W1460" s="4"/>
      <c r="X1460" s="9"/>
      <c r="Y1460" s="84"/>
      <c r="Z1460" s="90"/>
      <c r="AA1460" s="84"/>
      <c r="AB1460" s="84"/>
      <c r="AC1460" s="84"/>
      <c r="AD1460" s="84"/>
      <c r="AE1460" s="84"/>
      <c r="AF1460" s="84"/>
      <c r="AG1460" s="84"/>
    </row>
    <row r="1461" spans="1:33" s="91" customFormat="1" ht="12.75" x14ac:dyDescent="0.2">
      <c r="A1461" s="13">
        <f t="shared" ref="A1461:A1524" si="62">IF(B1461&lt;&gt;0,B1461,A1460)</f>
        <v>129</v>
      </c>
      <c r="B1461" s="11"/>
      <c r="C1461" s="82"/>
      <c r="D1461" s="1"/>
      <c r="E1461" s="83"/>
      <c r="F1461" s="83"/>
      <c r="G1461" s="84"/>
      <c r="H1461" s="85"/>
      <c r="I1461" s="18"/>
      <c r="J1461" s="5"/>
      <c r="K1461" s="5"/>
      <c r="L1461" s="4"/>
      <c r="M1461" s="4"/>
      <c r="N1461" s="82"/>
      <c r="O1461" s="86"/>
      <c r="P1461" s="4"/>
      <c r="Q1461" s="4"/>
      <c r="R1461" s="47"/>
      <c r="S1461" s="87"/>
      <c r="T1461" s="88"/>
      <c r="U1461" s="89"/>
      <c r="V1461" s="4"/>
      <c r="W1461" s="4"/>
      <c r="X1461" s="9"/>
      <c r="Y1461" s="84"/>
      <c r="Z1461" s="90"/>
      <c r="AA1461" s="84"/>
      <c r="AB1461" s="84"/>
      <c r="AC1461" s="84"/>
      <c r="AD1461" s="84"/>
      <c r="AE1461" s="84"/>
      <c r="AF1461" s="84"/>
      <c r="AG1461" s="84"/>
    </row>
    <row r="1462" spans="1:33" s="91" customFormat="1" ht="46.5" customHeight="1" x14ac:dyDescent="0.2">
      <c r="A1462" s="13">
        <f t="shared" si="62"/>
        <v>130</v>
      </c>
      <c r="B1462" s="11">
        <v>130</v>
      </c>
      <c r="C1462" s="92" t="s">
        <v>1214</v>
      </c>
      <c r="D1462" s="1"/>
      <c r="E1462" s="87">
        <v>86</v>
      </c>
      <c r="F1462" s="87">
        <v>714</v>
      </c>
      <c r="G1462" s="84" t="s">
        <v>1113</v>
      </c>
      <c r="H1462" s="85">
        <v>960.8</v>
      </c>
      <c r="I1462" s="18"/>
      <c r="J1462" s="5"/>
      <c r="K1462" s="5"/>
      <c r="L1462" s="4"/>
      <c r="M1462" s="4"/>
      <c r="N1462" s="82" t="s">
        <v>1215</v>
      </c>
      <c r="O1462" s="86">
        <v>5</v>
      </c>
      <c r="P1462" s="4"/>
      <c r="Q1462" s="4"/>
      <c r="R1462" s="47" t="s">
        <v>1148</v>
      </c>
      <c r="S1462" s="87" t="s">
        <v>1133</v>
      </c>
      <c r="T1462" s="88">
        <v>31.5</v>
      </c>
      <c r="U1462" s="89"/>
      <c r="V1462" s="4"/>
      <c r="W1462" s="4"/>
      <c r="X1462" s="9"/>
      <c r="Y1462" s="84"/>
      <c r="Z1462" s="90"/>
      <c r="AA1462" s="84"/>
      <c r="AB1462" s="84"/>
      <c r="AC1462" s="84"/>
      <c r="AD1462" s="84"/>
      <c r="AE1462" s="84" t="s">
        <v>1216</v>
      </c>
      <c r="AF1462" s="84"/>
      <c r="AG1462" s="84"/>
    </row>
    <row r="1463" spans="1:33" s="91" customFormat="1" ht="51" customHeight="1" x14ac:dyDescent="0.2">
      <c r="A1463" s="13">
        <f t="shared" si="62"/>
        <v>130</v>
      </c>
      <c r="B1463" s="11"/>
      <c r="C1463" s="82" t="s">
        <v>1217</v>
      </c>
      <c r="D1463" s="1"/>
      <c r="E1463" s="87"/>
      <c r="F1463" s="87"/>
      <c r="G1463" s="84"/>
      <c r="H1463" s="85"/>
      <c r="I1463" s="18"/>
      <c r="J1463" s="5"/>
      <c r="K1463" s="5"/>
      <c r="L1463" s="4"/>
      <c r="M1463" s="4"/>
      <c r="N1463" s="82" t="s">
        <v>1218</v>
      </c>
      <c r="O1463" s="86">
        <v>2</v>
      </c>
      <c r="P1463" s="4"/>
      <c r="Q1463" s="4"/>
      <c r="R1463" s="47" t="s">
        <v>1219</v>
      </c>
      <c r="S1463" s="87" t="s">
        <v>1133</v>
      </c>
      <c r="T1463" s="88">
        <v>188.3</v>
      </c>
      <c r="U1463" s="89"/>
      <c r="V1463" s="4"/>
      <c r="W1463" s="4"/>
      <c r="X1463" s="9"/>
      <c r="Y1463" s="84"/>
      <c r="Z1463" s="90"/>
      <c r="AA1463" s="84"/>
      <c r="AB1463" s="84"/>
      <c r="AC1463" s="84"/>
      <c r="AD1463" s="84"/>
      <c r="AE1463" s="84" t="s">
        <v>1220</v>
      </c>
      <c r="AF1463" s="84"/>
      <c r="AG1463" s="84"/>
    </row>
    <row r="1464" spans="1:33" s="91" customFormat="1" ht="42" customHeight="1" x14ac:dyDescent="0.2">
      <c r="A1464" s="13">
        <f t="shared" si="62"/>
        <v>130</v>
      </c>
      <c r="B1464" s="11"/>
      <c r="C1464" s="82" t="s">
        <v>1605</v>
      </c>
      <c r="D1464" s="1"/>
      <c r="E1464" s="83"/>
      <c r="F1464" s="83"/>
      <c r="G1464" s="84"/>
      <c r="H1464" s="85"/>
      <c r="I1464" s="18"/>
      <c r="J1464" s="5"/>
      <c r="K1464" s="5"/>
      <c r="L1464" s="4"/>
      <c r="M1464" s="4"/>
      <c r="N1464" s="82" t="s">
        <v>1221</v>
      </c>
      <c r="O1464" s="86">
        <v>4</v>
      </c>
      <c r="P1464" s="4"/>
      <c r="Q1464" s="4"/>
      <c r="R1464" s="47" t="s">
        <v>1222</v>
      </c>
      <c r="S1464" s="87" t="s">
        <v>1133</v>
      </c>
      <c r="T1464" s="88">
        <v>29.2</v>
      </c>
      <c r="U1464" s="89"/>
      <c r="V1464" s="4"/>
      <c r="W1464" s="4"/>
      <c r="X1464" s="9"/>
      <c r="Y1464" s="84"/>
      <c r="Z1464" s="90"/>
      <c r="AA1464" s="84"/>
      <c r="AB1464" s="84"/>
      <c r="AC1464" s="84"/>
      <c r="AD1464" s="84"/>
      <c r="AE1464" s="84" t="s">
        <v>1223</v>
      </c>
      <c r="AF1464" s="84"/>
      <c r="AG1464" s="84"/>
    </row>
    <row r="1465" spans="1:33" s="91" customFormat="1" ht="27.75" customHeight="1" x14ac:dyDescent="0.2">
      <c r="A1465" s="13">
        <f t="shared" si="62"/>
        <v>130</v>
      </c>
      <c r="B1465" s="11"/>
      <c r="C1465" s="82"/>
      <c r="D1465" s="1"/>
      <c r="E1465" s="83"/>
      <c r="F1465" s="83"/>
      <c r="G1465" s="84"/>
      <c r="H1465" s="85"/>
      <c r="I1465" s="18"/>
      <c r="J1465" s="5"/>
      <c r="K1465" s="5"/>
      <c r="L1465" s="4"/>
      <c r="M1465" s="4"/>
      <c r="N1465" s="82" t="s">
        <v>1224</v>
      </c>
      <c r="O1465" s="86">
        <v>1</v>
      </c>
      <c r="P1465" s="4"/>
      <c r="Q1465" s="4"/>
      <c r="R1465" s="47" t="s">
        <v>1225</v>
      </c>
      <c r="S1465" s="87" t="s">
        <v>1133</v>
      </c>
      <c r="T1465" s="88">
        <v>40</v>
      </c>
      <c r="U1465" s="89"/>
      <c r="V1465" s="4"/>
      <c r="W1465" s="4"/>
      <c r="X1465" s="9"/>
      <c r="Y1465" s="84"/>
      <c r="Z1465" s="90"/>
      <c r="AA1465" s="84"/>
      <c r="AB1465" s="84"/>
      <c r="AC1465" s="84"/>
      <c r="AD1465" s="84"/>
      <c r="AE1465" s="84" t="s">
        <v>1226</v>
      </c>
      <c r="AF1465" s="84"/>
      <c r="AG1465" s="84"/>
    </row>
    <row r="1466" spans="1:33" s="91" customFormat="1" ht="19.5" customHeight="1" x14ac:dyDescent="0.2">
      <c r="A1466" s="13">
        <f t="shared" si="62"/>
        <v>130</v>
      </c>
      <c r="B1466" s="11"/>
      <c r="C1466" s="82"/>
      <c r="D1466" s="1"/>
      <c r="E1466" s="83"/>
      <c r="F1466" s="83"/>
      <c r="G1466" s="84"/>
      <c r="H1466" s="85"/>
      <c r="I1466" s="18"/>
      <c r="J1466" s="5"/>
      <c r="K1466" s="5"/>
      <c r="L1466" s="4"/>
      <c r="M1466" s="4"/>
      <c r="N1466" s="82" t="s">
        <v>1227</v>
      </c>
      <c r="O1466" s="86">
        <v>1</v>
      </c>
      <c r="P1466" s="4"/>
      <c r="Q1466" s="4"/>
      <c r="R1466" s="47"/>
      <c r="S1466" s="87"/>
      <c r="T1466" s="88"/>
      <c r="U1466" s="89"/>
      <c r="V1466" s="4"/>
      <c r="W1466" s="4"/>
      <c r="X1466" s="9"/>
      <c r="Y1466" s="84"/>
      <c r="Z1466" s="90"/>
      <c r="AA1466" s="84"/>
      <c r="AB1466" s="84"/>
      <c r="AC1466" s="84"/>
      <c r="AD1466" s="84"/>
      <c r="AE1466" s="84"/>
      <c r="AF1466" s="84"/>
      <c r="AG1466" s="84"/>
    </row>
    <row r="1467" spans="1:33" s="91" customFormat="1" ht="19.5" customHeight="1" x14ac:dyDescent="0.2">
      <c r="A1467" s="13">
        <f t="shared" si="62"/>
        <v>130</v>
      </c>
      <c r="B1467" s="11"/>
      <c r="C1467" s="82"/>
      <c r="D1467" s="1"/>
      <c r="E1467" s="83"/>
      <c r="F1467" s="83"/>
      <c r="G1467" s="84"/>
      <c r="H1467" s="85"/>
      <c r="I1467" s="18"/>
      <c r="J1467" s="5"/>
      <c r="K1467" s="5"/>
      <c r="L1467" s="4"/>
      <c r="M1467" s="4"/>
      <c r="N1467" s="82" t="s">
        <v>154</v>
      </c>
      <c r="O1467" s="86">
        <v>8</v>
      </c>
      <c r="P1467" s="4"/>
      <c r="Q1467" s="4"/>
      <c r="R1467" s="47"/>
      <c r="S1467" s="87"/>
      <c r="T1467" s="88"/>
      <c r="U1467" s="89"/>
      <c r="V1467" s="4"/>
      <c r="W1467" s="4"/>
      <c r="X1467" s="9"/>
      <c r="Y1467" s="84"/>
      <c r="Z1467" s="90"/>
      <c r="AA1467" s="84"/>
      <c r="AB1467" s="84"/>
      <c r="AC1467" s="84"/>
      <c r="AD1467" s="84"/>
      <c r="AE1467" s="84"/>
      <c r="AF1467" s="84"/>
      <c r="AG1467" s="84"/>
    </row>
    <row r="1468" spans="1:33" s="91" customFormat="1" ht="19.5" customHeight="1" x14ac:dyDescent="0.2">
      <c r="A1468" s="13">
        <f t="shared" si="62"/>
        <v>130</v>
      </c>
      <c r="B1468" s="11"/>
      <c r="C1468" s="82"/>
      <c r="D1468" s="1"/>
      <c r="E1468" s="83"/>
      <c r="F1468" s="83"/>
      <c r="G1468" s="84"/>
      <c r="H1468" s="85"/>
      <c r="I1468" s="18"/>
      <c r="J1468" s="5"/>
      <c r="K1468" s="5"/>
      <c r="L1468" s="4"/>
      <c r="M1468" s="4"/>
      <c r="N1468" s="82" t="s">
        <v>1228</v>
      </c>
      <c r="O1468" s="86">
        <v>2</v>
      </c>
      <c r="P1468" s="4"/>
      <c r="Q1468" s="4"/>
      <c r="R1468" s="47"/>
      <c r="S1468" s="87"/>
      <c r="T1468" s="88"/>
      <c r="U1468" s="89"/>
      <c r="V1468" s="4"/>
      <c r="W1468" s="4"/>
      <c r="X1468" s="9"/>
      <c r="Y1468" s="84"/>
      <c r="Z1468" s="90"/>
      <c r="AA1468" s="84"/>
      <c r="AB1468" s="84"/>
      <c r="AC1468" s="84"/>
      <c r="AD1468" s="84"/>
      <c r="AE1468" s="84"/>
      <c r="AF1468" s="84"/>
      <c r="AG1468" s="84"/>
    </row>
    <row r="1469" spans="1:33" s="91" customFormat="1" ht="19.5" customHeight="1" x14ac:dyDescent="0.2">
      <c r="A1469" s="13">
        <f t="shared" si="62"/>
        <v>130</v>
      </c>
      <c r="B1469" s="11"/>
      <c r="C1469" s="82"/>
      <c r="D1469" s="1"/>
      <c r="E1469" s="83"/>
      <c r="F1469" s="83"/>
      <c r="G1469" s="84"/>
      <c r="H1469" s="85"/>
      <c r="I1469" s="18"/>
      <c r="J1469" s="5"/>
      <c r="K1469" s="5"/>
      <c r="L1469" s="4"/>
      <c r="M1469" s="4"/>
      <c r="N1469" s="82" t="s">
        <v>145</v>
      </c>
      <c r="O1469" s="86">
        <v>1</v>
      </c>
      <c r="P1469" s="4"/>
      <c r="Q1469" s="4"/>
      <c r="R1469" s="47"/>
      <c r="S1469" s="87"/>
      <c r="T1469" s="88"/>
      <c r="U1469" s="89"/>
      <c r="V1469" s="4"/>
      <c r="W1469" s="4"/>
      <c r="X1469" s="9"/>
      <c r="Y1469" s="84"/>
      <c r="Z1469" s="90"/>
      <c r="AA1469" s="84"/>
      <c r="AB1469" s="84"/>
      <c r="AC1469" s="84"/>
      <c r="AD1469" s="84"/>
      <c r="AE1469" s="84"/>
      <c r="AF1469" s="84"/>
      <c r="AG1469" s="84"/>
    </row>
    <row r="1470" spans="1:33" s="91" customFormat="1" ht="19.5" customHeight="1" x14ac:dyDescent="0.2">
      <c r="A1470" s="13">
        <f t="shared" si="62"/>
        <v>130</v>
      </c>
      <c r="B1470" s="11"/>
      <c r="C1470" s="82"/>
      <c r="D1470" s="1"/>
      <c r="E1470" s="83"/>
      <c r="F1470" s="83"/>
      <c r="G1470" s="84"/>
      <c r="H1470" s="85"/>
      <c r="I1470" s="18"/>
      <c r="J1470" s="5"/>
      <c r="K1470" s="5"/>
      <c r="L1470" s="4"/>
      <c r="M1470" s="4"/>
      <c r="N1470" s="82" t="s">
        <v>1229</v>
      </c>
      <c r="O1470" s="86">
        <v>1</v>
      </c>
      <c r="P1470" s="4"/>
      <c r="Q1470" s="4"/>
      <c r="R1470" s="47"/>
      <c r="S1470" s="87"/>
      <c r="T1470" s="88"/>
      <c r="U1470" s="89"/>
      <c r="V1470" s="4"/>
      <c r="W1470" s="4"/>
      <c r="X1470" s="9"/>
      <c r="Y1470" s="84"/>
      <c r="Z1470" s="90"/>
      <c r="AA1470" s="84"/>
      <c r="AB1470" s="84"/>
      <c r="AC1470" s="84"/>
      <c r="AD1470" s="84"/>
      <c r="AE1470" s="84"/>
      <c r="AF1470" s="84"/>
      <c r="AG1470" s="84"/>
    </row>
    <row r="1471" spans="1:33" s="91" customFormat="1" ht="19.5" customHeight="1" x14ac:dyDescent="0.2">
      <c r="A1471" s="13">
        <f t="shared" si="62"/>
        <v>130</v>
      </c>
      <c r="B1471" s="11"/>
      <c r="C1471" s="82"/>
      <c r="D1471" s="1"/>
      <c r="E1471" s="83"/>
      <c r="F1471" s="83"/>
      <c r="G1471" s="84"/>
      <c r="H1471" s="85"/>
      <c r="I1471" s="18"/>
      <c r="J1471" s="5"/>
      <c r="K1471" s="5"/>
      <c r="L1471" s="4"/>
      <c r="M1471" s="4"/>
      <c r="N1471" s="82" t="s">
        <v>91</v>
      </c>
      <c r="O1471" s="86">
        <v>2</v>
      </c>
      <c r="P1471" s="4"/>
      <c r="Q1471" s="4"/>
      <c r="R1471" s="47"/>
      <c r="S1471" s="87"/>
      <c r="T1471" s="88"/>
      <c r="U1471" s="89"/>
      <c r="V1471" s="4"/>
      <c r="W1471" s="4"/>
      <c r="X1471" s="9"/>
      <c r="Y1471" s="84"/>
      <c r="Z1471" s="90"/>
      <c r="AA1471" s="84"/>
      <c r="AB1471" s="84"/>
      <c r="AC1471" s="84"/>
      <c r="AD1471" s="84"/>
      <c r="AE1471" s="84"/>
      <c r="AF1471" s="84"/>
      <c r="AG1471" s="84"/>
    </row>
    <row r="1472" spans="1:33" s="91" customFormat="1" ht="19.5" customHeight="1" x14ac:dyDescent="0.2">
      <c r="A1472" s="13">
        <f t="shared" si="62"/>
        <v>130</v>
      </c>
      <c r="B1472" s="11"/>
      <c r="C1472" s="82"/>
      <c r="D1472" s="1"/>
      <c r="E1472" s="83"/>
      <c r="F1472" s="83"/>
      <c r="G1472" s="84"/>
      <c r="H1472" s="85"/>
      <c r="I1472" s="18"/>
      <c r="J1472" s="5"/>
      <c r="K1472" s="5"/>
      <c r="L1472" s="4"/>
      <c r="M1472" s="4"/>
      <c r="N1472" s="82" t="s">
        <v>193</v>
      </c>
      <c r="O1472" s="86">
        <v>3</v>
      </c>
      <c r="P1472" s="4"/>
      <c r="Q1472" s="4"/>
      <c r="R1472" s="47"/>
      <c r="S1472" s="87"/>
      <c r="T1472" s="88"/>
      <c r="U1472" s="89"/>
      <c r="V1472" s="4"/>
      <c r="W1472" s="4"/>
      <c r="X1472" s="9"/>
      <c r="Y1472" s="84"/>
      <c r="Z1472" s="90"/>
      <c r="AA1472" s="84"/>
      <c r="AB1472" s="84"/>
      <c r="AC1472" s="84"/>
      <c r="AD1472" s="84"/>
      <c r="AE1472" s="84"/>
      <c r="AF1472" s="84"/>
      <c r="AG1472" s="84"/>
    </row>
    <row r="1473" spans="1:33" s="91" customFormat="1" ht="19.5" customHeight="1" x14ac:dyDescent="0.2">
      <c r="A1473" s="13">
        <f t="shared" si="62"/>
        <v>130</v>
      </c>
      <c r="B1473" s="11"/>
      <c r="C1473" s="82"/>
      <c r="D1473" s="1"/>
      <c r="E1473" s="83"/>
      <c r="F1473" s="83"/>
      <c r="G1473" s="84"/>
      <c r="H1473" s="85"/>
      <c r="I1473" s="18"/>
      <c r="J1473" s="5"/>
      <c r="K1473" s="5"/>
      <c r="L1473" s="4"/>
      <c r="M1473" s="4"/>
      <c r="N1473" s="82" t="s">
        <v>1230</v>
      </c>
      <c r="O1473" s="86">
        <v>1</v>
      </c>
      <c r="P1473" s="4"/>
      <c r="Q1473" s="4"/>
      <c r="R1473" s="47"/>
      <c r="S1473" s="87"/>
      <c r="T1473" s="88"/>
      <c r="U1473" s="89"/>
      <c r="V1473" s="4"/>
      <c r="W1473" s="4"/>
      <c r="X1473" s="9"/>
      <c r="Y1473" s="84"/>
      <c r="Z1473" s="90"/>
      <c r="AA1473" s="84"/>
      <c r="AB1473" s="84"/>
      <c r="AC1473" s="84"/>
      <c r="AD1473" s="84"/>
      <c r="AE1473" s="84"/>
      <c r="AF1473" s="84"/>
      <c r="AG1473" s="84"/>
    </row>
    <row r="1474" spans="1:33" s="91" customFormat="1" ht="19.5" customHeight="1" x14ac:dyDescent="0.2">
      <c r="A1474" s="13">
        <f t="shared" si="62"/>
        <v>130</v>
      </c>
      <c r="B1474" s="11"/>
      <c r="C1474" s="82"/>
      <c r="D1474" s="1"/>
      <c r="E1474" s="83"/>
      <c r="F1474" s="83"/>
      <c r="G1474" s="84"/>
      <c r="H1474" s="85"/>
      <c r="I1474" s="18"/>
      <c r="J1474" s="5"/>
      <c r="K1474" s="5"/>
      <c r="L1474" s="4"/>
      <c r="M1474" s="4"/>
      <c r="N1474" s="82" t="s">
        <v>405</v>
      </c>
      <c r="O1474" s="86">
        <v>64</v>
      </c>
      <c r="P1474" s="4"/>
      <c r="Q1474" s="4"/>
      <c r="R1474" s="47"/>
      <c r="S1474" s="87"/>
      <c r="T1474" s="88"/>
      <c r="U1474" s="89"/>
      <c r="V1474" s="4"/>
      <c r="W1474" s="4"/>
      <c r="X1474" s="9"/>
      <c r="Y1474" s="84"/>
      <c r="Z1474" s="90"/>
      <c r="AA1474" s="84"/>
      <c r="AB1474" s="84"/>
      <c r="AC1474" s="84"/>
      <c r="AD1474" s="84"/>
      <c r="AE1474" s="84"/>
      <c r="AF1474" s="84"/>
      <c r="AG1474" s="84"/>
    </row>
    <row r="1475" spans="1:33" s="91" customFormat="1" ht="19.5" customHeight="1" x14ac:dyDescent="0.2">
      <c r="A1475" s="13">
        <f t="shared" si="62"/>
        <v>130</v>
      </c>
      <c r="B1475" s="11"/>
      <c r="C1475" s="82"/>
      <c r="D1475" s="1"/>
      <c r="E1475" s="83"/>
      <c r="F1475" s="83"/>
      <c r="G1475" s="84"/>
      <c r="H1475" s="85"/>
      <c r="I1475" s="18"/>
      <c r="J1475" s="5"/>
      <c r="K1475" s="5"/>
      <c r="L1475" s="4"/>
      <c r="M1475" s="4"/>
      <c r="N1475" s="82" t="s">
        <v>736</v>
      </c>
      <c r="O1475" s="86">
        <v>1</v>
      </c>
      <c r="P1475" s="4"/>
      <c r="Q1475" s="4"/>
      <c r="R1475" s="47"/>
      <c r="S1475" s="87"/>
      <c r="T1475" s="88"/>
      <c r="U1475" s="89"/>
      <c r="V1475" s="4"/>
      <c r="W1475" s="4"/>
      <c r="X1475" s="9"/>
      <c r="Y1475" s="84"/>
      <c r="Z1475" s="90"/>
      <c r="AA1475" s="84"/>
      <c r="AB1475" s="84"/>
      <c r="AC1475" s="84"/>
      <c r="AD1475" s="84"/>
      <c r="AE1475" s="84"/>
      <c r="AF1475" s="84"/>
      <c r="AG1475" s="84"/>
    </row>
    <row r="1476" spans="1:33" s="91" customFormat="1" ht="19.5" customHeight="1" x14ac:dyDescent="0.2">
      <c r="A1476" s="13">
        <f t="shared" si="62"/>
        <v>130</v>
      </c>
      <c r="B1476" s="11"/>
      <c r="C1476" s="82"/>
      <c r="D1476" s="1"/>
      <c r="E1476" s="83"/>
      <c r="F1476" s="83"/>
      <c r="G1476" s="84"/>
      <c r="H1476" s="85"/>
      <c r="I1476" s="18"/>
      <c r="J1476" s="5"/>
      <c r="K1476" s="5"/>
      <c r="L1476" s="4"/>
      <c r="M1476" s="4"/>
      <c r="N1476" s="82" t="s">
        <v>72</v>
      </c>
      <c r="O1476" s="86">
        <v>208</v>
      </c>
      <c r="P1476" s="4"/>
      <c r="Q1476" s="4"/>
      <c r="R1476" s="47"/>
      <c r="S1476" s="87"/>
      <c r="T1476" s="88"/>
      <c r="U1476" s="89"/>
      <c r="V1476" s="4"/>
      <c r="W1476" s="4"/>
      <c r="X1476" s="9"/>
      <c r="Y1476" s="84"/>
      <c r="Z1476" s="90"/>
      <c r="AA1476" s="84"/>
      <c r="AB1476" s="84"/>
      <c r="AC1476" s="84"/>
      <c r="AD1476" s="84"/>
      <c r="AE1476" s="84"/>
      <c r="AF1476" s="84"/>
      <c r="AG1476" s="84"/>
    </row>
    <row r="1477" spans="1:33" s="91" customFormat="1" ht="19.5" customHeight="1" x14ac:dyDescent="0.2">
      <c r="A1477" s="13">
        <f t="shared" si="62"/>
        <v>130</v>
      </c>
      <c r="B1477" s="11"/>
      <c r="C1477" s="82"/>
      <c r="D1477" s="1"/>
      <c r="E1477" s="83"/>
      <c r="F1477" s="83"/>
      <c r="G1477" s="84"/>
      <c r="H1477" s="85"/>
      <c r="I1477" s="18"/>
      <c r="J1477" s="5"/>
      <c r="K1477" s="5"/>
      <c r="L1477" s="4"/>
      <c r="M1477" s="4"/>
      <c r="N1477" s="82" t="s">
        <v>73</v>
      </c>
      <c r="O1477" s="86">
        <v>236</v>
      </c>
      <c r="P1477" s="4"/>
      <c r="Q1477" s="4"/>
      <c r="R1477" s="47"/>
      <c r="S1477" s="87"/>
      <c r="T1477" s="88"/>
      <c r="U1477" s="89"/>
      <c r="V1477" s="4"/>
      <c r="W1477" s="4"/>
      <c r="X1477" s="9"/>
      <c r="Y1477" s="84"/>
      <c r="Z1477" s="90"/>
      <c r="AA1477" s="84"/>
      <c r="AB1477" s="84"/>
      <c r="AC1477" s="84"/>
      <c r="AD1477" s="84"/>
      <c r="AE1477" s="84"/>
      <c r="AF1477" s="84"/>
      <c r="AG1477" s="84"/>
    </row>
    <row r="1478" spans="1:33" s="91" customFormat="1" ht="19.5" customHeight="1" x14ac:dyDescent="0.2">
      <c r="A1478" s="13">
        <f t="shared" si="62"/>
        <v>130</v>
      </c>
      <c r="B1478" s="11"/>
      <c r="C1478" s="82"/>
      <c r="D1478" s="1"/>
      <c r="E1478" s="83"/>
      <c r="F1478" s="83"/>
      <c r="G1478" s="84"/>
      <c r="H1478" s="85"/>
      <c r="I1478" s="18"/>
      <c r="J1478" s="5"/>
      <c r="K1478" s="5"/>
      <c r="L1478" s="4"/>
      <c r="M1478" s="4"/>
      <c r="N1478" s="82" t="s">
        <v>75</v>
      </c>
      <c r="O1478" s="86">
        <v>241</v>
      </c>
      <c r="P1478" s="4"/>
      <c r="Q1478" s="4"/>
      <c r="R1478" s="47"/>
      <c r="S1478" s="87"/>
      <c r="T1478" s="88"/>
      <c r="U1478" s="89"/>
      <c r="V1478" s="4"/>
      <c r="W1478" s="4"/>
      <c r="X1478" s="9"/>
      <c r="Y1478" s="84"/>
      <c r="Z1478" s="90"/>
      <c r="AA1478" s="84"/>
      <c r="AB1478" s="84"/>
      <c r="AC1478" s="84"/>
      <c r="AD1478" s="84"/>
      <c r="AE1478" s="84"/>
      <c r="AF1478" s="84"/>
      <c r="AG1478" s="84"/>
    </row>
    <row r="1479" spans="1:33" s="91" customFormat="1" ht="19.5" customHeight="1" x14ac:dyDescent="0.2">
      <c r="A1479" s="13">
        <f t="shared" si="62"/>
        <v>130</v>
      </c>
      <c r="B1479" s="11"/>
      <c r="C1479" s="82"/>
      <c r="D1479" s="1"/>
      <c r="E1479" s="83"/>
      <c r="F1479" s="83"/>
      <c r="G1479" s="84"/>
      <c r="H1479" s="85"/>
      <c r="I1479" s="18"/>
      <c r="J1479" s="5"/>
      <c r="K1479" s="5"/>
      <c r="L1479" s="4"/>
      <c r="M1479" s="4"/>
      <c r="N1479" s="82" t="s">
        <v>785</v>
      </c>
      <c r="O1479" s="86">
        <v>10</v>
      </c>
      <c r="P1479" s="4"/>
      <c r="Q1479" s="4"/>
      <c r="R1479" s="47"/>
      <c r="S1479" s="87"/>
      <c r="T1479" s="88"/>
      <c r="U1479" s="89"/>
      <c r="V1479" s="4"/>
      <c r="W1479" s="4"/>
      <c r="X1479" s="9"/>
      <c r="Y1479" s="84"/>
      <c r="Z1479" s="90"/>
      <c r="AA1479" s="84"/>
      <c r="AB1479" s="84"/>
      <c r="AC1479" s="84"/>
      <c r="AD1479" s="84"/>
      <c r="AE1479" s="84"/>
      <c r="AF1479" s="84"/>
      <c r="AG1479" s="84"/>
    </row>
    <row r="1480" spans="1:33" s="91" customFormat="1" ht="25.5" x14ac:dyDescent="0.2">
      <c r="A1480" s="13">
        <f t="shared" si="62"/>
        <v>130</v>
      </c>
      <c r="B1480" s="11"/>
      <c r="C1480" s="82"/>
      <c r="D1480" s="1"/>
      <c r="E1480" s="83"/>
      <c r="F1480" s="83"/>
      <c r="G1480" s="84"/>
      <c r="H1480" s="85"/>
      <c r="I1480" s="18"/>
      <c r="J1480" s="5"/>
      <c r="K1480" s="5"/>
      <c r="L1480" s="4"/>
      <c r="M1480" s="4"/>
      <c r="N1480" s="16" t="s">
        <v>429</v>
      </c>
      <c r="O1480" s="86">
        <v>52</v>
      </c>
      <c r="P1480" s="4"/>
      <c r="Q1480" s="4"/>
      <c r="R1480" s="47"/>
      <c r="S1480" s="87"/>
      <c r="T1480" s="88"/>
      <c r="U1480" s="89"/>
      <c r="V1480" s="4"/>
      <c r="W1480" s="4"/>
      <c r="X1480" s="9"/>
      <c r="Y1480" s="84"/>
      <c r="Z1480" s="90"/>
      <c r="AA1480" s="84"/>
      <c r="AB1480" s="84"/>
      <c r="AC1480" s="84"/>
      <c r="AD1480" s="84"/>
      <c r="AE1480" s="84"/>
      <c r="AF1480" s="84"/>
      <c r="AG1480" s="84"/>
    </row>
    <row r="1481" spans="1:33" s="91" customFormat="1" ht="12.75" x14ac:dyDescent="0.2">
      <c r="A1481" s="13">
        <f t="shared" si="62"/>
        <v>130</v>
      </c>
      <c r="B1481" s="11"/>
      <c r="C1481" s="82"/>
      <c r="D1481" s="1"/>
      <c r="E1481" s="83"/>
      <c r="F1481" s="83"/>
      <c r="G1481" s="84"/>
      <c r="H1481" s="85"/>
      <c r="I1481" s="1"/>
      <c r="J1481" s="5"/>
      <c r="K1481" s="5"/>
      <c r="L1481" s="4"/>
      <c r="M1481" s="4"/>
      <c r="N1481" s="82"/>
      <c r="O1481" s="86"/>
      <c r="P1481" s="4"/>
      <c r="Q1481" s="4"/>
      <c r="R1481" s="82"/>
      <c r="S1481" s="87"/>
      <c r="T1481" s="88"/>
      <c r="U1481" s="89"/>
      <c r="V1481" s="4"/>
      <c r="W1481" s="4"/>
      <c r="X1481" s="9"/>
      <c r="Y1481" s="84"/>
      <c r="Z1481" s="90"/>
      <c r="AA1481" s="84"/>
      <c r="AB1481" s="84"/>
      <c r="AC1481" s="84"/>
      <c r="AD1481" s="84"/>
      <c r="AE1481" s="84"/>
      <c r="AF1481" s="84"/>
      <c r="AG1481" s="84"/>
    </row>
    <row r="1482" spans="1:33" s="91" customFormat="1" ht="12.75" x14ac:dyDescent="0.2">
      <c r="A1482" s="13">
        <f t="shared" si="62"/>
        <v>130</v>
      </c>
      <c r="B1482" s="11"/>
      <c r="C1482" s="82"/>
      <c r="D1482" s="1"/>
      <c r="E1482" s="83"/>
      <c r="F1482" s="83"/>
      <c r="G1482" s="84"/>
      <c r="H1482" s="85"/>
      <c r="I1482" s="1"/>
      <c r="J1482" s="5"/>
      <c r="K1482" s="5"/>
      <c r="L1482" s="4"/>
      <c r="M1482" s="4"/>
      <c r="N1482" s="82"/>
      <c r="O1482" s="86"/>
      <c r="P1482" s="4"/>
      <c r="Q1482" s="4"/>
      <c r="R1482" s="82"/>
      <c r="S1482" s="87"/>
      <c r="T1482" s="88"/>
      <c r="U1482" s="89"/>
      <c r="V1482" s="4"/>
      <c r="W1482" s="4"/>
      <c r="X1482" s="9"/>
      <c r="Y1482" s="84"/>
      <c r="Z1482" s="90"/>
      <c r="AA1482" s="84"/>
      <c r="AB1482" s="84"/>
      <c r="AC1482" s="84"/>
      <c r="AD1482" s="84"/>
      <c r="AE1482" s="84"/>
      <c r="AF1482" s="84"/>
      <c r="AG1482" s="84"/>
    </row>
    <row r="1483" spans="1:33" s="91" customFormat="1" ht="12.75" x14ac:dyDescent="0.2">
      <c r="A1483" s="13">
        <f t="shared" si="62"/>
        <v>130</v>
      </c>
      <c r="B1483" s="11"/>
      <c r="C1483" s="82"/>
      <c r="D1483" s="1"/>
      <c r="E1483" s="83"/>
      <c r="F1483" s="83"/>
      <c r="G1483" s="84"/>
      <c r="H1483" s="85"/>
      <c r="I1483" s="1"/>
      <c r="J1483" s="5"/>
      <c r="K1483" s="5"/>
      <c r="L1483" s="4"/>
      <c r="M1483" s="4"/>
      <c r="N1483" s="82"/>
      <c r="O1483" s="86"/>
      <c r="P1483" s="4"/>
      <c r="Q1483" s="4"/>
      <c r="R1483" s="82"/>
      <c r="S1483" s="87"/>
      <c r="T1483" s="88"/>
      <c r="U1483" s="89"/>
      <c r="V1483" s="4"/>
      <c r="W1483" s="4"/>
      <c r="X1483" s="9"/>
      <c r="Y1483" s="84"/>
      <c r="Z1483" s="90"/>
      <c r="AA1483" s="84"/>
      <c r="AB1483" s="84"/>
      <c r="AC1483" s="84"/>
      <c r="AD1483" s="84"/>
      <c r="AE1483" s="84"/>
      <c r="AF1483" s="84"/>
      <c r="AG1483" s="84"/>
    </row>
    <row r="1484" spans="1:33" s="91" customFormat="1" ht="38.25" x14ac:dyDescent="0.2">
      <c r="A1484" s="13">
        <f t="shared" si="62"/>
        <v>131</v>
      </c>
      <c r="B1484" s="11">
        <v>131</v>
      </c>
      <c r="C1484" s="92" t="s">
        <v>1231</v>
      </c>
      <c r="D1484" s="1"/>
      <c r="E1484" s="87">
        <v>86</v>
      </c>
      <c r="F1484" s="87">
        <v>283</v>
      </c>
      <c r="G1484" s="84" t="s">
        <v>1232</v>
      </c>
      <c r="H1484" s="85">
        <v>861.4</v>
      </c>
      <c r="I1484" s="18"/>
      <c r="J1484" s="5"/>
      <c r="K1484" s="5"/>
      <c r="L1484" s="4"/>
      <c r="M1484" s="4"/>
      <c r="N1484" s="82" t="s">
        <v>353</v>
      </c>
      <c r="O1484" s="86">
        <v>19</v>
      </c>
      <c r="P1484" s="4"/>
      <c r="Q1484" s="4"/>
      <c r="R1484" s="47"/>
      <c r="S1484" s="87"/>
      <c r="T1484" s="88"/>
      <c r="U1484" s="89"/>
      <c r="V1484" s="4"/>
      <c r="W1484" s="4"/>
      <c r="X1484" s="9"/>
      <c r="Y1484" s="84"/>
      <c r="Z1484" s="90"/>
      <c r="AA1484" s="84"/>
      <c r="AB1484" s="84"/>
      <c r="AC1484" s="84"/>
      <c r="AD1484" s="84"/>
      <c r="AE1484" s="84" t="s">
        <v>1233</v>
      </c>
      <c r="AF1484" s="84"/>
      <c r="AG1484" s="84"/>
    </row>
    <row r="1485" spans="1:33" s="91" customFormat="1" ht="42" customHeight="1" x14ac:dyDescent="0.2">
      <c r="A1485" s="13">
        <f t="shared" si="62"/>
        <v>131</v>
      </c>
      <c r="B1485" s="11"/>
      <c r="C1485" s="82" t="s">
        <v>1234</v>
      </c>
      <c r="D1485" s="1"/>
      <c r="E1485" s="87"/>
      <c r="F1485" s="87"/>
      <c r="G1485" s="84"/>
      <c r="H1485" s="85"/>
      <c r="I1485" s="18"/>
      <c r="J1485" s="5"/>
      <c r="K1485" s="5"/>
      <c r="L1485" s="4"/>
      <c r="M1485" s="4"/>
      <c r="N1485" s="82" t="s">
        <v>932</v>
      </c>
      <c r="O1485" s="86">
        <v>45</v>
      </c>
      <c r="P1485" s="4"/>
      <c r="Q1485" s="4"/>
      <c r="R1485" s="47"/>
      <c r="S1485" s="87"/>
      <c r="T1485" s="88"/>
      <c r="U1485" s="89"/>
      <c r="V1485" s="4"/>
      <c r="W1485" s="4"/>
      <c r="X1485" s="9"/>
      <c r="Y1485" s="84"/>
      <c r="Z1485" s="90"/>
      <c r="AA1485" s="84"/>
      <c r="AB1485" s="84"/>
      <c r="AC1485" s="84"/>
      <c r="AD1485" s="84"/>
      <c r="AE1485" s="84" t="s">
        <v>1235</v>
      </c>
      <c r="AF1485" s="84"/>
      <c r="AG1485" s="84"/>
    </row>
    <row r="1486" spans="1:33" s="91" customFormat="1" ht="25.5" x14ac:dyDescent="0.2">
      <c r="A1486" s="13">
        <f t="shared" si="62"/>
        <v>131</v>
      </c>
      <c r="B1486" s="11"/>
      <c r="C1486" s="82" t="s">
        <v>1606</v>
      </c>
      <c r="D1486" s="1"/>
      <c r="E1486" s="83"/>
      <c r="F1486" s="83"/>
      <c r="G1486" s="84"/>
      <c r="H1486" s="85"/>
      <c r="I1486" s="18"/>
      <c r="J1486" s="5"/>
      <c r="K1486" s="5"/>
      <c r="L1486" s="4"/>
      <c r="M1486" s="4"/>
      <c r="N1486" s="82" t="s">
        <v>350</v>
      </c>
      <c r="O1486" s="86">
        <v>21</v>
      </c>
      <c r="P1486" s="4"/>
      <c r="Q1486" s="4"/>
      <c r="R1486" s="47"/>
      <c r="S1486" s="87"/>
      <c r="T1486" s="88"/>
      <c r="U1486" s="89"/>
      <c r="V1486" s="4"/>
      <c r="W1486" s="4"/>
      <c r="X1486" s="9"/>
      <c r="Y1486" s="84"/>
      <c r="Z1486" s="90"/>
      <c r="AA1486" s="84"/>
      <c r="AB1486" s="84"/>
      <c r="AC1486" s="84"/>
      <c r="AD1486" s="84"/>
      <c r="AE1486" s="84" t="s">
        <v>1188</v>
      </c>
      <c r="AF1486" s="84"/>
      <c r="AG1486" s="84"/>
    </row>
    <row r="1487" spans="1:33" s="91" customFormat="1" ht="18.75" customHeight="1" x14ac:dyDescent="0.2">
      <c r="A1487" s="13">
        <f t="shared" si="62"/>
        <v>131</v>
      </c>
      <c r="B1487" s="11"/>
      <c r="C1487" s="82"/>
      <c r="D1487" s="1"/>
      <c r="E1487" s="83"/>
      <c r="F1487" s="83"/>
      <c r="G1487" s="84"/>
      <c r="H1487" s="85"/>
      <c r="I1487" s="1"/>
      <c r="J1487" s="5"/>
      <c r="K1487" s="5"/>
      <c r="L1487" s="4"/>
      <c r="M1487" s="4"/>
      <c r="N1487" s="82" t="s">
        <v>1236</v>
      </c>
      <c r="O1487" s="86">
        <v>1</v>
      </c>
      <c r="P1487" s="4"/>
      <c r="Q1487" s="4"/>
      <c r="R1487" s="82"/>
      <c r="S1487" s="87"/>
      <c r="T1487" s="88"/>
      <c r="U1487" s="89"/>
      <c r="V1487" s="4"/>
      <c r="W1487" s="4"/>
      <c r="X1487" s="9"/>
      <c r="Y1487" s="84"/>
      <c r="Z1487" s="90"/>
      <c r="AA1487" s="84"/>
      <c r="AB1487" s="84"/>
      <c r="AC1487" s="84"/>
      <c r="AD1487" s="84"/>
      <c r="AE1487" s="84"/>
      <c r="AF1487" s="84"/>
      <c r="AG1487" s="84"/>
    </row>
    <row r="1488" spans="1:33" s="91" customFormat="1" ht="18.75" customHeight="1" x14ac:dyDescent="0.2">
      <c r="A1488" s="13">
        <f t="shared" si="62"/>
        <v>131</v>
      </c>
      <c r="B1488" s="11"/>
      <c r="C1488" s="82"/>
      <c r="D1488" s="1"/>
      <c r="E1488" s="83"/>
      <c r="F1488" s="83"/>
      <c r="G1488" s="84"/>
      <c r="H1488" s="85"/>
      <c r="I1488" s="1"/>
      <c r="J1488" s="5"/>
      <c r="K1488" s="5"/>
      <c r="L1488" s="4"/>
      <c r="M1488" s="4"/>
      <c r="N1488" s="82" t="s">
        <v>1237</v>
      </c>
      <c r="O1488" s="86">
        <v>1</v>
      </c>
      <c r="P1488" s="4"/>
      <c r="Q1488" s="4"/>
      <c r="R1488" s="82"/>
      <c r="S1488" s="87"/>
      <c r="T1488" s="88"/>
      <c r="U1488" s="89"/>
      <c r="V1488" s="4"/>
      <c r="W1488" s="4"/>
      <c r="X1488" s="9"/>
      <c r="Y1488" s="84"/>
      <c r="Z1488" s="90"/>
      <c r="AA1488" s="84"/>
      <c r="AB1488" s="84"/>
      <c r="AC1488" s="84"/>
      <c r="AD1488" s="84"/>
      <c r="AE1488" s="84"/>
      <c r="AF1488" s="84"/>
      <c r="AG1488" s="84"/>
    </row>
    <row r="1489" spans="1:33" s="91" customFormat="1" ht="18.75" customHeight="1" x14ac:dyDescent="0.2">
      <c r="A1489" s="13">
        <f t="shared" si="62"/>
        <v>131</v>
      </c>
      <c r="B1489" s="11"/>
      <c r="C1489" s="82"/>
      <c r="D1489" s="1"/>
      <c r="E1489" s="83"/>
      <c r="F1489" s="83"/>
      <c r="G1489" s="84"/>
      <c r="H1489" s="85"/>
      <c r="I1489" s="1"/>
      <c r="J1489" s="5"/>
      <c r="K1489" s="5"/>
      <c r="L1489" s="4"/>
      <c r="M1489" s="4"/>
      <c r="N1489" s="82" t="s">
        <v>1238</v>
      </c>
      <c r="O1489" s="86">
        <v>3</v>
      </c>
      <c r="P1489" s="4"/>
      <c r="Q1489" s="4"/>
      <c r="R1489" s="82"/>
      <c r="S1489" s="87"/>
      <c r="T1489" s="88"/>
      <c r="U1489" s="89"/>
      <c r="V1489" s="4"/>
      <c r="W1489" s="4"/>
      <c r="X1489" s="9"/>
      <c r="Y1489" s="84"/>
      <c r="Z1489" s="90"/>
      <c r="AA1489" s="84"/>
      <c r="AB1489" s="84"/>
      <c r="AC1489" s="84"/>
      <c r="AD1489" s="84"/>
      <c r="AE1489" s="84"/>
      <c r="AF1489" s="84"/>
      <c r="AG1489" s="84"/>
    </row>
    <row r="1490" spans="1:33" s="91" customFormat="1" ht="18.75" customHeight="1" x14ac:dyDescent="0.2">
      <c r="A1490" s="13">
        <f t="shared" si="62"/>
        <v>131</v>
      </c>
      <c r="B1490" s="11"/>
      <c r="C1490" s="82"/>
      <c r="D1490" s="1"/>
      <c r="E1490" s="83"/>
      <c r="F1490" s="83"/>
      <c r="G1490" s="84"/>
      <c r="H1490" s="85"/>
      <c r="I1490" s="1"/>
      <c r="J1490" s="5"/>
      <c r="K1490" s="5"/>
      <c r="L1490" s="4"/>
      <c r="M1490" s="4"/>
      <c r="N1490" s="82" t="s">
        <v>1239</v>
      </c>
      <c r="O1490" s="86">
        <v>1</v>
      </c>
      <c r="P1490" s="4"/>
      <c r="Q1490" s="4"/>
      <c r="R1490" s="82"/>
      <c r="S1490" s="87"/>
      <c r="T1490" s="88"/>
      <c r="U1490" s="89"/>
      <c r="V1490" s="4"/>
      <c r="W1490" s="4"/>
      <c r="X1490" s="9"/>
      <c r="Y1490" s="84"/>
      <c r="Z1490" s="90"/>
      <c r="AA1490" s="84"/>
      <c r="AB1490" s="84"/>
      <c r="AC1490" s="84"/>
      <c r="AD1490" s="84"/>
      <c r="AE1490" s="84"/>
      <c r="AF1490" s="84"/>
      <c r="AG1490" s="84"/>
    </row>
    <row r="1491" spans="1:33" s="91" customFormat="1" ht="18.75" customHeight="1" x14ac:dyDescent="0.2">
      <c r="A1491" s="13">
        <f t="shared" si="62"/>
        <v>131</v>
      </c>
      <c r="B1491" s="11"/>
      <c r="C1491" s="82"/>
      <c r="D1491" s="1"/>
      <c r="E1491" s="83"/>
      <c r="F1491" s="83"/>
      <c r="G1491" s="84"/>
      <c r="H1491" s="85"/>
      <c r="I1491" s="1"/>
      <c r="J1491" s="5"/>
      <c r="K1491" s="5"/>
      <c r="L1491" s="4"/>
      <c r="M1491" s="4"/>
      <c r="N1491" s="82" t="s">
        <v>1240</v>
      </c>
      <c r="O1491" s="86">
        <v>1</v>
      </c>
      <c r="P1491" s="4"/>
      <c r="Q1491" s="4"/>
      <c r="R1491" s="82"/>
      <c r="S1491" s="87"/>
      <c r="T1491" s="88"/>
      <c r="U1491" s="89"/>
      <c r="V1491" s="4"/>
      <c r="W1491" s="4"/>
      <c r="X1491" s="9"/>
      <c r="Y1491" s="84"/>
      <c r="Z1491" s="90"/>
      <c r="AA1491" s="84"/>
      <c r="AB1491" s="84"/>
      <c r="AC1491" s="84"/>
      <c r="AD1491" s="84"/>
      <c r="AE1491" s="84"/>
      <c r="AF1491" s="84"/>
      <c r="AG1491" s="84"/>
    </row>
    <row r="1492" spans="1:33" s="91" customFormat="1" ht="18.75" customHeight="1" x14ac:dyDescent="0.2">
      <c r="A1492" s="13">
        <f t="shared" si="62"/>
        <v>131</v>
      </c>
      <c r="B1492" s="11"/>
      <c r="C1492" s="82"/>
      <c r="D1492" s="1"/>
      <c r="E1492" s="83"/>
      <c r="F1492" s="83"/>
      <c r="G1492" s="84"/>
      <c r="H1492" s="85"/>
      <c r="I1492" s="1"/>
      <c r="J1492" s="5"/>
      <c r="K1492" s="5"/>
      <c r="L1492" s="4"/>
      <c r="M1492" s="4"/>
      <c r="N1492" s="82" t="s">
        <v>1241</v>
      </c>
      <c r="O1492" s="86">
        <v>324</v>
      </c>
      <c r="P1492" s="4"/>
      <c r="Q1492" s="4"/>
      <c r="R1492" s="82"/>
      <c r="S1492" s="87"/>
      <c r="T1492" s="88"/>
      <c r="U1492" s="89"/>
      <c r="V1492" s="4"/>
      <c r="W1492" s="4"/>
      <c r="X1492" s="9"/>
      <c r="Y1492" s="84"/>
      <c r="Z1492" s="90"/>
      <c r="AA1492" s="84"/>
      <c r="AB1492" s="84"/>
      <c r="AC1492" s="84"/>
      <c r="AD1492" s="84"/>
      <c r="AE1492" s="84"/>
      <c r="AF1492" s="84"/>
      <c r="AG1492" s="84"/>
    </row>
    <row r="1493" spans="1:33" s="91" customFormat="1" ht="12.75" x14ac:dyDescent="0.2">
      <c r="A1493" s="13">
        <f t="shared" si="62"/>
        <v>131</v>
      </c>
      <c r="B1493" s="11"/>
      <c r="C1493" s="82"/>
      <c r="D1493" s="1"/>
      <c r="E1493" s="83"/>
      <c r="F1493" s="83"/>
      <c r="G1493" s="84"/>
      <c r="H1493" s="85"/>
      <c r="I1493" s="1"/>
      <c r="J1493" s="5"/>
      <c r="K1493" s="5"/>
      <c r="L1493" s="4"/>
      <c r="M1493" s="4"/>
      <c r="N1493" s="82"/>
      <c r="O1493" s="86"/>
      <c r="P1493" s="4"/>
      <c r="Q1493" s="4"/>
      <c r="R1493" s="82"/>
      <c r="S1493" s="87"/>
      <c r="T1493" s="88"/>
      <c r="U1493" s="89"/>
      <c r="V1493" s="4"/>
      <c r="W1493" s="4"/>
      <c r="X1493" s="9"/>
      <c r="Y1493" s="84"/>
      <c r="Z1493" s="90"/>
      <c r="AA1493" s="84"/>
      <c r="AB1493" s="84"/>
      <c r="AC1493" s="84"/>
      <c r="AD1493" s="84"/>
      <c r="AE1493" s="84"/>
      <c r="AF1493" s="84"/>
      <c r="AG1493" s="84"/>
    </row>
    <row r="1494" spans="1:33" s="91" customFormat="1" ht="12.75" x14ac:dyDescent="0.2">
      <c r="A1494" s="13">
        <f t="shared" si="62"/>
        <v>131</v>
      </c>
      <c r="B1494" s="11"/>
      <c r="C1494" s="82"/>
      <c r="D1494" s="1"/>
      <c r="E1494" s="83"/>
      <c r="F1494" s="83"/>
      <c r="G1494" s="84"/>
      <c r="H1494" s="85"/>
      <c r="I1494" s="1"/>
      <c r="J1494" s="5"/>
      <c r="K1494" s="5"/>
      <c r="L1494" s="4"/>
      <c r="M1494" s="4"/>
      <c r="N1494" s="82"/>
      <c r="O1494" s="86"/>
      <c r="P1494" s="4"/>
      <c r="Q1494" s="4"/>
      <c r="R1494" s="82"/>
      <c r="S1494" s="87"/>
      <c r="T1494" s="88"/>
      <c r="U1494" s="89"/>
      <c r="V1494" s="4"/>
      <c r="W1494" s="4"/>
      <c r="X1494" s="9"/>
      <c r="Y1494" s="84"/>
      <c r="Z1494" s="90"/>
      <c r="AA1494" s="84"/>
      <c r="AB1494" s="84"/>
      <c r="AC1494" s="84"/>
      <c r="AD1494" s="84"/>
      <c r="AE1494" s="82"/>
      <c r="AF1494" s="82"/>
      <c r="AG1494" s="82"/>
    </row>
    <row r="1495" spans="1:33" s="91" customFormat="1" ht="12.75" x14ac:dyDescent="0.2">
      <c r="A1495" s="13">
        <f t="shared" si="62"/>
        <v>131</v>
      </c>
      <c r="B1495" s="11"/>
      <c r="C1495" s="82"/>
      <c r="D1495" s="1"/>
      <c r="E1495" s="83"/>
      <c r="F1495" s="83"/>
      <c r="G1495" s="84"/>
      <c r="H1495" s="85"/>
      <c r="I1495" s="1"/>
      <c r="J1495" s="5"/>
      <c r="K1495" s="5"/>
      <c r="L1495" s="4"/>
      <c r="M1495" s="4"/>
      <c r="N1495" s="82"/>
      <c r="O1495" s="86"/>
      <c r="P1495" s="4"/>
      <c r="Q1495" s="4"/>
      <c r="R1495" s="82"/>
      <c r="S1495" s="87"/>
      <c r="T1495" s="88"/>
      <c r="U1495" s="89"/>
      <c r="V1495" s="4"/>
      <c r="W1495" s="4"/>
      <c r="X1495" s="9"/>
      <c r="Y1495" s="84"/>
      <c r="Z1495" s="90"/>
      <c r="AA1495" s="84"/>
      <c r="AB1495" s="84"/>
      <c r="AC1495" s="84"/>
      <c r="AD1495" s="84"/>
      <c r="AE1495" s="1"/>
      <c r="AF1495" s="1"/>
      <c r="AG1495" s="1"/>
    </row>
    <row r="1496" spans="1:33" s="91" customFormat="1" ht="12.75" x14ac:dyDescent="0.2">
      <c r="A1496" s="13">
        <f t="shared" si="62"/>
        <v>131</v>
      </c>
      <c r="B1496" s="11"/>
      <c r="C1496" s="82"/>
      <c r="D1496" s="1"/>
      <c r="E1496" s="83"/>
      <c r="F1496" s="83"/>
      <c r="G1496" s="84"/>
      <c r="H1496" s="85"/>
      <c r="I1496" s="1"/>
      <c r="J1496" s="5"/>
      <c r="K1496" s="5"/>
      <c r="L1496" s="4"/>
      <c r="M1496" s="4"/>
      <c r="N1496" s="82"/>
      <c r="O1496" s="86"/>
      <c r="P1496" s="4"/>
      <c r="Q1496" s="4"/>
      <c r="R1496" s="82"/>
      <c r="S1496" s="87"/>
      <c r="T1496" s="88"/>
      <c r="U1496" s="89"/>
      <c r="V1496" s="4"/>
      <c r="W1496" s="4"/>
      <c r="X1496" s="9"/>
      <c r="Y1496" s="84"/>
      <c r="Z1496" s="90"/>
      <c r="AA1496" s="84"/>
      <c r="AB1496" s="84"/>
      <c r="AC1496" s="84"/>
      <c r="AD1496" s="84"/>
      <c r="AE1496" s="84"/>
      <c r="AF1496" s="84"/>
      <c r="AG1496" s="84"/>
    </row>
    <row r="1497" spans="1:33" s="91" customFormat="1" ht="44.25" customHeight="1" x14ac:dyDescent="0.2">
      <c r="A1497" s="13">
        <f t="shared" si="62"/>
        <v>132</v>
      </c>
      <c r="B1497" s="11">
        <v>132</v>
      </c>
      <c r="C1497" s="92" t="s">
        <v>1242</v>
      </c>
      <c r="D1497" s="1"/>
      <c r="E1497" s="87">
        <v>86</v>
      </c>
      <c r="F1497" s="87">
        <v>261</v>
      </c>
      <c r="G1497" s="84" t="s">
        <v>1206</v>
      </c>
      <c r="H1497" s="85">
        <v>14.8</v>
      </c>
      <c r="I1497" s="18"/>
      <c r="J1497" s="5"/>
      <c r="K1497" s="5"/>
      <c r="L1497" s="4"/>
      <c r="M1497" s="4"/>
      <c r="N1497" s="82"/>
      <c r="O1497" s="86"/>
      <c r="P1497" s="4"/>
      <c r="Q1497" s="4"/>
      <c r="R1497" s="47" t="s">
        <v>1925</v>
      </c>
      <c r="S1497" s="87" t="s">
        <v>1133</v>
      </c>
      <c r="T1497" s="88">
        <v>4.3</v>
      </c>
      <c r="U1497" s="89"/>
      <c r="V1497" s="4"/>
      <c r="W1497" s="4"/>
      <c r="X1497" s="9"/>
      <c r="Y1497" s="84"/>
      <c r="Z1497" s="90"/>
      <c r="AA1497" s="84"/>
      <c r="AB1497" s="84"/>
      <c r="AC1497" s="84"/>
      <c r="AD1497" s="84"/>
      <c r="AE1497" s="84" t="s">
        <v>1243</v>
      </c>
      <c r="AF1497" s="84"/>
      <c r="AG1497" s="84"/>
    </row>
    <row r="1498" spans="1:33" s="91" customFormat="1" ht="38.25" customHeight="1" x14ac:dyDescent="0.2">
      <c r="A1498" s="13">
        <f t="shared" si="62"/>
        <v>132</v>
      </c>
      <c r="B1498" s="11"/>
      <c r="C1498" s="82" t="s">
        <v>1244</v>
      </c>
      <c r="D1498" s="1"/>
      <c r="E1498" s="87"/>
      <c r="F1498" s="87"/>
      <c r="G1498" s="84"/>
      <c r="H1498" s="85"/>
      <c r="I1498" s="18"/>
      <c r="J1498" s="5"/>
      <c r="K1498" s="5"/>
      <c r="L1498" s="4"/>
      <c r="M1498" s="4"/>
      <c r="N1498" s="82"/>
      <c r="O1498" s="86"/>
      <c r="P1498" s="4"/>
      <c r="Q1498" s="4"/>
      <c r="R1498" s="47"/>
      <c r="S1498" s="87"/>
      <c r="T1498" s="88"/>
      <c r="U1498" s="89"/>
      <c r="V1498" s="4"/>
      <c r="W1498" s="4"/>
      <c r="X1498" s="9"/>
      <c r="Y1498" s="84"/>
      <c r="Z1498" s="90"/>
      <c r="AA1498" s="84"/>
      <c r="AB1498" s="84"/>
      <c r="AC1498" s="84"/>
      <c r="AD1498" s="84"/>
      <c r="AE1498" s="84" t="s">
        <v>1245</v>
      </c>
      <c r="AF1498" s="84"/>
      <c r="AG1498" s="84"/>
    </row>
    <row r="1499" spans="1:33" s="91" customFormat="1" ht="38.25" x14ac:dyDescent="0.2">
      <c r="A1499" s="13">
        <f t="shared" si="62"/>
        <v>132</v>
      </c>
      <c r="B1499" s="11"/>
      <c r="C1499" s="82" t="s">
        <v>1607</v>
      </c>
      <c r="D1499" s="1"/>
      <c r="E1499" s="83"/>
      <c r="F1499" s="83"/>
      <c r="G1499" s="84"/>
      <c r="H1499" s="85"/>
      <c r="I1499" s="18"/>
      <c r="J1499" s="5"/>
      <c r="K1499" s="5"/>
      <c r="L1499" s="4"/>
      <c r="M1499" s="4"/>
      <c r="N1499" s="82"/>
      <c r="O1499" s="86"/>
      <c r="P1499" s="4"/>
      <c r="Q1499" s="4"/>
      <c r="R1499" s="47"/>
      <c r="S1499" s="87"/>
      <c r="T1499" s="88"/>
      <c r="U1499" s="89"/>
      <c r="V1499" s="4"/>
      <c r="W1499" s="4"/>
      <c r="X1499" s="9"/>
      <c r="Y1499" s="84"/>
      <c r="Z1499" s="90"/>
      <c r="AA1499" s="84"/>
      <c r="AB1499" s="84"/>
      <c r="AC1499" s="84"/>
      <c r="AD1499" s="84"/>
      <c r="AE1499" s="84" t="s">
        <v>1246</v>
      </c>
      <c r="AF1499" s="84"/>
      <c r="AG1499" s="84"/>
    </row>
    <row r="1500" spans="1:33" s="91" customFormat="1" ht="12.75" x14ac:dyDescent="0.2">
      <c r="A1500" s="13">
        <f t="shared" si="62"/>
        <v>132</v>
      </c>
      <c r="B1500" s="11"/>
      <c r="C1500" s="82"/>
      <c r="D1500" s="1"/>
      <c r="E1500" s="83"/>
      <c r="F1500" s="83"/>
      <c r="G1500" s="84"/>
      <c r="H1500" s="85"/>
      <c r="I1500" s="1"/>
      <c r="J1500" s="5"/>
      <c r="K1500" s="5"/>
      <c r="L1500" s="4"/>
      <c r="M1500" s="4"/>
      <c r="N1500" s="82"/>
      <c r="O1500" s="86"/>
      <c r="P1500" s="4"/>
      <c r="Q1500" s="4"/>
      <c r="R1500" s="82"/>
      <c r="S1500" s="87"/>
      <c r="T1500" s="88"/>
      <c r="U1500" s="89"/>
      <c r="V1500" s="4"/>
      <c r="W1500" s="4"/>
      <c r="X1500" s="9"/>
      <c r="Y1500" s="84"/>
      <c r="Z1500" s="90"/>
      <c r="AA1500" s="84"/>
      <c r="AB1500" s="84"/>
      <c r="AC1500" s="84"/>
      <c r="AD1500" s="84"/>
      <c r="AE1500" s="264" t="s">
        <v>1924</v>
      </c>
      <c r="AF1500" s="84"/>
      <c r="AG1500" s="84"/>
    </row>
    <row r="1501" spans="1:33" s="91" customFormat="1" ht="12.75" x14ac:dyDescent="0.2">
      <c r="A1501" s="13">
        <f t="shared" si="62"/>
        <v>132</v>
      </c>
      <c r="B1501" s="11"/>
      <c r="C1501" s="82"/>
      <c r="D1501" s="1"/>
      <c r="E1501" s="83"/>
      <c r="F1501" s="83"/>
      <c r="G1501" s="84"/>
      <c r="H1501" s="85"/>
      <c r="I1501" s="1"/>
      <c r="J1501" s="5"/>
      <c r="K1501" s="5"/>
      <c r="L1501" s="4"/>
      <c r="M1501" s="4"/>
      <c r="N1501" s="82"/>
      <c r="O1501" s="86"/>
      <c r="P1501" s="4"/>
      <c r="Q1501" s="4"/>
      <c r="R1501" s="82"/>
      <c r="S1501" s="87"/>
      <c r="T1501" s="88"/>
      <c r="U1501" s="89"/>
      <c r="V1501" s="4"/>
      <c r="W1501" s="4"/>
      <c r="X1501" s="9"/>
      <c r="Y1501" s="84"/>
      <c r="Z1501" s="90"/>
      <c r="AA1501" s="84"/>
      <c r="AB1501" s="84"/>
      <c r="AC1501" s="84"/>
      <c r="AD1501" s="84"/>
      <c r="AE1501" s="1"/>
      <c r="AF1501" s="1"/>
      <c r="AG1501" s="1"/>
    </row>
    <row r="1502" spans="1:33" s="91" customFormat="1" ht="12.75" x14ac:dyDescent="0.2">
      <c r="A1502" s="13">
        <f t="shared" si="62"/>
        <v>132</v>
      </c>
      <c r="B1502" s="11"/>
      <c r="C1502" s="82"/>
      <c r="D1502" s="1"/>
      <c r="E1502" s="83"/>
      <c r="F1502" s="83"/>
      <c r="G1502" s="84"/>
      <c r="H1502" s="85"/>
      <c r="I1502" s="1"/>
      <c r="J1502" s="5"/>
      <c r="K1502" s="5"/>
      <c r="L1502" s="4"/>
      <c r="M1502" s="4"/>
      <c r="N1502" s="82"/>
      <c r="O1502" s="86"/>
      <c r="P1502" s="4"/>
      <c r="Q1502" s="4"/>
      <c r="R1502" s="82"/>
      <c r="S1502" s="87"/>
      <c r="T1502" s="88"/>
      <c r="U1502" s="89"/>
      <c r="V1502" s="4"/>
      <c r="W1502" s="4"/>
      <c r="X1502" s="9"/>
      <c r="Y1502" s="84"/>
      <c r="Z1502" s="90"/>
      <c r="AA1502" s="84"/>
      <c r="AB1502" s="84"/>
      <c r="AC1502" s="84"/>
      <c r="AD1502" s="84"/>
      <c r="AE1502" s="84"/>
      <c r="AF1502" s="84"/>
      <c r="AG1502" s="84"/>
    </row>
    <row r="1503" spans="1:33" s="91" customFormat="1" ht="51.75" customHeight="1" x14ac:dyDescent="0.2">
      <c r="A1503" s="13">
        <f t="shared" si="62"/>
        <v>133</v>
      </c>
      <c r="B1503" s="11">
        <v>133</v>
      </c>
      <c r="C1503" s="92" t="s">
        <v>1247</v>
      </c>
      <c r="D1503" s="1"/>
      <c r="E1503" s="87">
        <v>86</v>
      </c>
      <c r="F1503" s="87">
        <v>282</v>
      </c>
      <c r="G1503" s="84" t="s">
        <v>1206</v>
      </c>
      <c r="H1503" s="85">
        <v>570</v>
      </c>
      <c r="I1503" s="18"/>
      <c r="J1503" s="5"/>
      <c r="K1503" s="5"/>
      <c r="L1503" s="4"/>
      <c r="M1503" s="4"/>
      <c r="N1503" s="82" t="s">
        <v>1248</v>
      </c>
      <c r="O1503" s="86">
        <v>1</v>
      </c>
      <c r="P1503" s="4"/>
      <c r="Q1503" s="4"/>
      <c r="R1503" s="47" t="s">
        <v>1925</v>
      </c>
      <c r="S1503" s="87" t="s">
        <v>1133</v>
      </c>
      <c r="T1503" s="88">
        <v>31.9</v>
      </c>
      <c r="U1503" s="89"/>
      <c r="V1503" s="4"/>
      <c r="W1503" s="4"/>
      <c r="X1503" s="9"/>
      <c r="Y1503" s="84"/>
      <c r="Z1503" s="90"/>
      <c r="AA1503" s="84"/>
      <c r="AB1503" s="84"/>
      <c r="AC1503" s="84"/>
      <c r="AD1503" s="84"/>
      <c r="AE1503" s="84" t="s">
        <v>1249</v>
      </c>
      <c r="AF1503" s="84"/>
      <c r="AG1503" s="84"/>
    </row>
    <row r="1504" spans="1:33" s="91" customFormat="1" ht="25.5" x14ac:dyDescent="0.2">
      <c r="A1504" s="13">
        <f t="shared" si="62"/>
        <v>133</v>
      </c>
      <c r="B1504" s="11"/>
      <c r="C1504" s="82" t="s">
        <v>1250</v>
      </c>
      <c r="D1504" s="1"/>
      <c r="E1504" s="87"/>
      <c r="F1504" s="87"/>
      <c r="G1504" s="84"/>
      <c r="H1504" s="85"/>
      <c r="I1504" s="18"/>
      <c r="J1504" s="5"/>
      <c r="K1504" s="5"/>
      <c r="L1504" s="4"/>
      <c r="M1504" s="4"/>
      <c r="N1504" s="82" t="s">
        <v>1251</v>
      </c>
      <c r="O1504" s="86">
        <v>16</v>
      </c>
      <c r="P1504" s="4"/>
      <c r="Q1504" s="4"/>
      <c r="R1504" s="47"/>
      <c r="S1504" s="87"/>
      <c r="T1504" s="88"/>
      <c r="U1504" s="89"/>
      <c r="V1504" s="4"/>
      <c r="W1504" s="4"/>
      <c r="X1504" s="9"/>
      <c r="Y1504" s="84"/>
      <c r="Z1504" s="90"/>
      <c r="AA1504" s="84"/>
      <c r="AB1504" s="84"/>
      <c r="AC1504" s="84"/>
      <c r="AD1504" s="84"/>
      <c r="AE1504" s="84" t="s">
        <v>1252</v>
      </c>
      <c r="AF1504" s="84"/>
      <c r="AG1504" s="84"/>
    </row>
    <row r="1505" spans="1:33" s="91" customFormat="1" ht="25.5" x14ac:dyDescent="0.2">
      <c r="A1505" s="13">
        <f t="shared" si="62"/>
        <v>133</v>
      </c>
      <c r="B1505" s="11"/>
      <c r="C1505" s="82" t="s">
        <v>1608</v>
      </c>
      <c r="D1505" s="1"/>
      <c r="E1505" s="83"/>
      <c r="F1505" s="83"/>
      <c r="G1505" s="84"/>
      <c r="H1505" s="85"/>
      <c r="I1505" s="18"/>
      <c r="J1505" s="5"/>
      <c r="K1505" s="5"/>
      <c r="L1505" s="4"/>
      <c r="M1505" s="4"/>
      <c r="N1505" s="82" t="s">
        <v>1253</v>
      </c>
      <c r="O1505" s="86">
        <v>6</v>
      </c>
      <c r="P1505" s="4"/>
      <c r="Q1505" s="4"/>
      <c r="R1505" s="47"/>
      <c r="S1505" s="87"/>
      <c r="T1505" s="88"/>
      <c r="U1505" s="89"/>
      <c r="V1505" s="4"/>
      <c r="W1505" s="4"/>
      <c r="X1505" s="9"/>
      <c r="Y1505" s="84"/>
      <c r="Z1505" s="90"/>
      <c r="AA1505" s="84"/>
      <c r="AB1505" s="84"/>
      <c r="AC1505" s="84"/>
      <c r="AD1505" s="84"/>
      <c r="AE1505" s="84" t="s">
        <v>1188</v>
      </c>
      <c r="AF1505" s="84"/>
      <c r="AG1505" s="84"/>
    </row>
    <row r="1506" spans="1:33" s="91" customFormat="1" ht="25.5" x14ac:dyDescent="0.2">
      <c r="A1506" s="13">
        <f t="shared" si="62"/>
        <v>133</v>
      </c>
      <c r="B1506" s="11"/>
      <c r="C1506" s="82"/>
      <c r="D1506" s="1"/>
      <c r="E1506" s="83"/>
      <c r="F1506" s="83"/>
      <c r="G1506" s="84"/>
      <c r="H1506" s="85"/>
      <c r="I1506" s="18"/>
      <c r="J1506" s="5"/>
      <c r="K1506" s="5"/>
      <c r="L1506" s="4"/>
      <c r="M1506" s="4"/>
      <c r="N1506" s="82" t="s">
        <v>1254</v>
      </c>
      <c r="O1506" s="86">
        <v>16</v>
      </c>
      <c r="P1506" s="4"/>
      <c r="Q1506" s="4"/>
      <c r="R1506" s="47"/>
      <c r="S1506" s="87"/>
      <c r="T1506" s="88"/>
      <c r="U1506" s="89"/>
      <c r="V1506" s="4"/>
      <c r="W1506" s="4"/>
      <c r="X1506" s="9"/>
      <c r="Y1506" s="84"/>
      <c r="Z1506" s="90"/>
      <c r="AA1506" s="84"/>
      <c r="AB1506" s="84"/>
      <c r="AC1506" s="84"/>
      <c r="AD1506" s="84"/>
      <c r="AE1506" s="264" t="s">
        <v>1924</v>
      </c>
      <c r="AF1506" s="84"/>
      <c r="AG1506" s="84"/>
    </row>
    <row r="1507" spans="1:33" s="91" customFormat="1" ht="25.5" x14ac:dyDescent="0.2">
      <c r="A1507" s="13">
        <f t="shared" si="62"/>
        <v>133</v>
      </c>
      <c r="B1507" s="11"/>
      <c r="C1507" s="82"/>
      <c r="D1507" s="1"/>
      <c r="E1507" s="83"/>
      <c r="F1507" s="83"/>
      <c r="G1507" s="84"/>
      <c r="H1507" s="85"/>
      <c r="I1507" s="18"/>
      <c r="J1507" s="5"/>
      <c r="K1507" s="5"/>
      <c r="L1507" s="4"/>
      <c r="M1507" s="4"/>
      <c r="N1507" s="82" t="s">
        <v>1255</v>
      </c>
      <c r="O1507" s="86">
        <v>28</v>
      </c>
      <c r="P1507" s="4"/>
      <c r="Q1507" s="4"/>
      <c r="R1507" s="47"/>
      <c r="S1507" s="87"/>
      <c r="T1507" s="88"/>
      <c r="U1507" s="89"/>
      <c r="V1507" s="4"/>
      <c r="W1507" s="4"/>
      <c r="X1507" s="9"/>
      <c r="Y1507" s="84"/>
      <c r="Z1507" s="90"/>
      <c r="AA1507" s="84"/>
      <c r="AB1507" s="84"/>
      <c r="AC1507" s="84"/>
      <c r="AD1507" s="84"/>
      <c r="AE1507" s="84"/>
      <c r="AF1507" s="84"/>
      <c r="AG1507" s="84"/>
    </row>
    <row r="1508" spans="1:33" s="91" customFormat="1" ht="23.25" customHeight="1" x14ac:dyDescent="0.2">
      <c r="A1508" s="13">
        <f t="shared" si="62"/>
        <v>133</v>
      </c>
      <c r="B1508" s="11"/>
      <c r="C1508" s="82"/>
      <c r="D1508" s="1"/>
      <c r="E1508" s="83"/>
      <c r="F1508" s="83"/>
      <c r="G1508" s="84"/>
      <c r="H1508" s="85"/>
      <c r="I1508" s="18"/>
      <c r="J1508" s="5"/>
      <c r="K1508" s="5"/>
      <c r="L1508" s="4"/>
      <c r="M1508" s="4"/>
      <c r="N1508" s="82" t="s">
        <v>1256</v>
      </c>
      <c r="O1508" s="86">
        <v>1</v>
      </c>
      <c r="P1508" s="4"/>
      <c r="Q1508" s="4"/>
      <c r="R1508" s="47"/>
      <c r="S1508" s="87"/>
      <c r="T1508" s="88"/>
      <c r="U1508" s="89"/>
      <c r="V1508" s="4"/>
      <c r="W1508" s="4"/>
      <c r="X1508" s="9"/>
      <c r="Y1508" s="84"/>
      <c r="Z1508" s="90"/>
      <c r="AA1508" s="84"/>
      <c r="AB1508" s="84"/>
      <c r="AC1508" s="84"/>
      <c r="AD1508" s="84"/>
      <c r="AE1508" s="84"/>
      <c r="AF1508" s="84"/>
      <c r="AG1508" s="84"/>
    </row>
    <row r="1509" spans="1:33" s="91" customFormat="1" ht="23.25" customHeight="1" x14ac:dyDescent="0.2">
      <c r="A1509" s="13">
        <f t="shared" si="62"/>
        <v>133</v>
      </c>
      <c r="B1509" s="11"/>
      <c r="C1509" s="82"/>
      <c r="D1509" s="1"/>
      <c r="E1509" s="83"/>
      <c r="F1509" s="83"/>
      <c r="G1509" s="84"/>
      <c r="H1509" s="85"/>
      <c r="I1509" s="18"/>
      <c r="J1509" s="5"/>
      <c r="K1509" s="5"/>
      <c r="L1509" s="4"/>
      <c r="M1509" s="4"/>
      <c r="N1509" s="82" t="s">
        <v>1238</v>
      </c>
      <c r="O1509" s="86">
        <v>1</v>
      </c>
      <c r="P1509" s="4"/>
      <c r="Q1509" s="4"/>
      <c r="R1509" s="47"/>
      <c r="S1509" s="87"/>
      <c r="T1509" s="88"/>
      <c r="U1509" s="89"/>
      <c r="V1509" s="4"/>
      <c r="W1509" s="4"/>
      <c r="X1509" s="9"/>
      <c r="Y1509" s="84"/>
      <c r="Z1509" s="90"/>
      <c r="AA1509" s="84"/>
      <c r="AB1509" s="84"/>
      <c r="AC1509" s="84"/>
      <c r="AD1509" s="84"/>
      <c r="AE1509" s="84"/>
      <c r="AF1509" s="84"/>
      <c r="AG1509" s="84"/>
    </row>
    <row r="1510" spans="1:33" s="91" customFormat="1" ht="23.25" customHeight="1" x14ac:dyDescent="0.2">
      <c r="A1510" s="13">
        <f t="shared" si="62"/>
        <v>133</v>
      </c>
      <c r="B1510" s="11"/>
      <c r="C1510" s="82"/>
      <c r="D1510" s="1"/>
      <c r="E1510" s="83"/>
      <c r="F1510" s="83"/>
      <c r="G1510" s="84"/>
      <c r="H1510" s="85"/>
      <c r="I1510" s="18"/>
      <c r="J1510" s="5"/>
      <c r="K1510" s="5"/>
      <c r="L1510" s="4"/>
      <c r="M1510" s="4"/>
      <c r="N1510" s="82" t="s">
        <v>738</v>
      </c>
      <c r="O1510" s="86">
        <v>1</v>
      </c>
      <c r="P1510" s="4"/>
      <c r="Q1510" s="4"/>
      <c r="R1510" s="47"/>
      <c r="S1510" s="87"/>
      <c r="T1510" s="88"/>
      <c r="U1510" s="89"/>
      <c r="V1510" s="4"/>
      <c r="W1510" s="4"/>
      <c r="X1510" s="9"/>
      <c r="Y1510" s="84"/>
      <c r="Z1510" s="90"/>
      <c r="AA1510" s="84"/>
      <c r="AB1510" s="84"/>
      <c r="AC1510" s="84"/>
      <c r="AD1510" s="84"/>
      <c r="AE1510" s="84"/>
      <c r="AF1510" s="84"/>
      <c r="AG1510" s="84"/>
    </row>
    <row r="1511" spans="1:33" s="91" customFormat="1" ht="12.75" x14ac:dyDescent="0.2">
      <c r="A1511" s="13">
        <f t="shared" si="62"/>
        <v>133</v>
      </c>
      <c r="B1511" s="11"/>
      <c r="C1511" s="82"/>
      <c r="D1511" s="1"/>
      <c r="E1511" s="83"/>
      <c r="F1511" s="83"/>
      <c r="G1511" s="84"/>
      <c r="H1511" s="85"/>
      <c r="I1511" s="18"/>
      <c r="J1511" s="5"/>
      <c r="K1511" s="5"/>
      <c r="L1511" s="4"/>
      <c r="M1511" s="4"/>
      <c r="N1511" s="82"/>
      <c r="O1511" s="86"/>
      <c r="P1511" s="4"/>
      <c r="Q1511" s="4"/>
      <c r="R1511" s="47"/>
      <c r="S1511" s="87"/>
      <c r="T1511" s="88"/>
      <c r="U1511" s="89"/>
      <c r="V1511" s="4"/>
      <c r="W1511" s="4"/>
      <c r="X1511" s="9"/>
      <c r="Y1511" s="84"/>
      <c r="Z1511" s="90"/>
      <c r="AA1511" s="84"/>
      <c r="AB1511" s="84"/>
      <c r="AC1511" s="84"/>
      <c r="AD1511" s="84"/>
      <c r="AE1511" s="84"/>
      <c r="AF1511" s="84"/>
      <c r="AG1511" s="84"/>
    </row>
    <row r="1512" spans="1:33" s="91" customFormat="1" ht="12.75" x14ac:dyDescent="0.2">
      <c r="A1512" s="13">
        <f t="shared" si="62"/>
        <v>133</v>
      </c>
      <c r="B1512" s="11"/>
      <c r="C1512" s="82"/>
      <c r="D1512" s="1"/>
      <c r="E1512" s="83"/>
      <c r="F1512" s="83"/>
      <c r="G1512" s="84"/>
      <c r="H1512" s="85"/>
      <c r="I1512" s="1"/>
      <c r="J1512" s="5"/>
      <c r="K1512" s="5"/>
      <c r="L1512" s="4"/>
      <c r="M1512" s="4"/>
      <c r="N1512" s="82"/>
      <c r="O1512" s="86"/>
      <c r="P1512" s="4"/>
      <c r="Q1512" s="4"/>
      <c r="R1512" s="82"/>
      <c r="S1512" s="87"/>
      <c r="T1512" s="88"/>
      <c r="U1512" s="89"/>
      <c r="V1512" s="4"/>
      <c r="W1512" s="4"/>
      <c r="X1512" s="9"/>
      <c r="Y1512" s="84"/>
      <c r="Z1512" s="90"/>
      <c r="AA1512" s="84"/>
      <c r="AB1512" s="84"/>
      <c r="AC1512" s="84"/>
      <c r="AD1512" s="84"/>
      <c r="AE1512" s="1"/>
      <c r="AF1512" s="1"/>
      <c r="AG1512" s="1"/>
    </row>
    <row r="1513" spans="1:33" s="91" customFormat="1" ht="12.75" x14ac:dyDescent="0.2">
      <c r="A1513" s="13">
        <f t="shared" si="62"/>
        <v>133</v>
      </c>
      <c r="B1513" s="11"/>
      <c r="C1513" s="82"/>
      <c r="D1513" s="1"/>
      <c r="E1513" s="83"/>
      <c r="F1513" s="83"/>
      <c r="G1513" s="84"/>
      <c r="H1513" s="85"/>
      <c r="I1513" s="1"/>
      <c r="J1513" s="5"/>
      <c r="K1513" s="5"/>
      <c r="L1513" s="4"/>
      <c r="M1513" s="4"/>
      <c r="N1513" s="82"/>
      <c r="O1513" s="86"/>
      <c r="P1513" s="4"/>
      <c r="Q1513" s="4"/>
      <c r="R1513" s="82"/>
      <c r="S1513" s="87"/>
      <c r="T1513" s="88"/>
      <c r="U1513" s="89"/>
      <c r="V1513" s="4"/>
      <c r="W1513" s="4"/>
      <c r="X1513" s="9"/>
      <c r="Y1513" s="84"/>
      <c r="Z1513" s="90"/>
      <c r="AA1513" s="84"/>
      <c r="AB1513" s="84"/>
      <c r="AC1513" s="84"/>
      <c r="AD1513" s="84"/>
      <c r="AE1513" s="84"/>
      <c r="AF1513" s="84"/>
      <c r="AG1513" s="84"/>
    </row>
    <row r="1514" spans="1:33" s="91" customFormat="1" ht="38.25" x14ac:dyDescent="0.2">
      <c r="A1514" s="13">
        <f t="shared" si="62"/>
        <v>134</v>
      </c>
      <c r="B1514" s="11">
        <v>134</v>
      </c>
      <c r="C1514" s="92" t="s">
        <v>1257</v>
      </c>
      <c r="D1514" s="1"/>
      <c r="E1514" s="87">
        <v>86</v>
      </c>
      <c r="F1514" s="87">
        <v>27</v>
      </c>
      <c r="G1514" s="84" t="s">
        <v>1206</v>
      </c>
      <c r="H1514" s="85">
        <v>847.3</v>
      </c>
      <c r="I1514" s="18"/>
      <c r="J1514" s="5"/>
      <c r="K1514" s="5"/>
      <c r="L1514" s="4"/>
      <c r="M1514" s="4"/>
      <c r="N1514" s="82" t="s">
        <v>1241</v>
      </c>
      <c r="O1514" s="86">
        <v>792</v>
      </c>
      <c r="P1514" s="4"/>
      <c r="Q1514" s="4"/>
      <c r="R1514" s="47"/>
      <c r="S1514" s="87"/>
      <c r="T1514" s="88"/>
      <c r="U1514" s="89"/>
      <c r="V1514" s="4"/>
      <c r="W1514" s="4"/>
      <c r="X1514" s="9"/>
      <c r="Y1514" s="84"/>
      <c r="Z1514" s="90"/>
      <c r="AA1514" s="84"/>
      <c r="AB1514" s="84"/>
      <c r="AC1514" s="84"/>
      <c r="AD1514" s="84"/>
      <c r="AE1514" s="84" t="s">
        <v>1258</v>
      </c>
      <c r="AF1514" s="84"/>
      <c r="AG1514" s="84"/>
    </row>
    <row r="1515" spans="1:33" s="91" customFormat="1" ht="34.5" customHeight="1" x14ac:dyDescent="0.2">
      <c r="A1515" s="13">
        <f t="shared" si="62"/>
        <v>134</v>
      </c>
      <c r="B1515" s="11"/>
      <c r="C1515" s="82" t="s">
        <v>1259</v>
      </c>
      <c r="D1515" s="1"/>
      <c r="E1515" s="87"/>
      <c r="F1515" s="87"/>
      <c r="G1515" s="84"/>
      <c r="H1515" s="85"/>
      <c r="I1515" s="18"/>
      <c r="J1515" s="5"/>
      <c r="K1515" s="5"/>
      <c r="L1515" s="4"/>
      <c r="M1515" s="4"/>
      <c r="N1515" s="82"/>
      <c r="O1515" s="86"/>
      <c r="P1515" s="4"/>
      <c r="Q1515" s="4"/>
      <c r="R1515" s="47"/>
      <c r="S1515" s="87"/>
      <c r="T1515" s="88"/>
      <c r="U1515" s="89"/>
      <c r="V1515" s="4"/>
      <c r="W1515" s="4"/>
      <c r="X1515" s="9"/>
      <c r="Y1515" s="84"/>
      <c r="Z1515" s="90"/>
      <c r="AA1515" s="84"/>
      <c r="AB1515" s="84"/>
      <c r="AC1515" s="84"/>
      <c r="AD1515" s="84"/>
      <c r="AE1515" s="84" t="s">
        <v>1260</v>
      </c>
      <c r="AF1515" s="84"/>
      <c r="AG1515" s="84"/>
    </row>
    <row r="1516" spans="1:33" s="91" customFormat="1" ht="38.25" x14ac:dyDescent="0.2">
      <c r="A1516" s="13">
        <f t="shared" si="62"/>
        <v>134</v>
      </c>
      <c r="B1516" s="11"/>
      <c r="C1516" s="82" t="s">
        <v>1609</v>
      </c>
      <c r="D1516" s="1"/>
      <c r="E1516" s="83"/>
      <c r="F1516" s="83"/>
      <c r="G1516" s="84"/>
      <c r="H1516" s="85"/>
      <c r="I1516" s="18"/>
      <c r="J1516" s="5"/>
      <c r="K1516" s="5"/>
      <c r="L1516" s="4"/>
      <c r="M1516" s="4"/>
      <c r="N1516" s="82"/>
      <c r="O1516" s="86"/>
      <c r="P1516" s="4"/>
      <c r="Q1516" s="4"/>
      <c r="R1516" s="47"/>
      <c r="S1516" s="87"/>
      <c r="T1516" s="88"/>
      <c r="U1516" s="89"/>
      <c r="V1516" s="4"/>
      <c r="W1516" s="4"/>
      <c r="X1516" s="9"/>
      <c r="Y1516" s="84"/>
      <c r="Z1516" s="90"/>
      <c r="AA1516" s="84"/>
      <c r="AB1516" s="84"/>
      <c r="AC1516" s="84"/>
      <c r="AD1516" s="84"/>
      <c r="AE1516" s="84" t="s">
        <v>1188</v>
      </c>
      <c r="AF1516" s="84"/>
      <c r="AG1516" s="84"/>
    </row>
    <row r="1517" spans="1:33" s="91" customFormat="1" ht="12.75" x14ac:dyDescent="0.2">
      <c r="A1517" s="13">
        <f t="shared" si="62"/>
        <v>134</v>
      </c>
      <c r="B1517" s="11"/>
      <c r="C1517" s="82"/>
      <c r="D1517" s="1"/>
      <c r="E1517" s="83"/>
      <c r="F1517" s="83"/>
      <c r="G1517" s="84"/>
      <c r="H1517" s="85"/>
      <c r="I1517" s="1"/>
      <c r="J1517" s="5"/>
      <c r="K1517" s="5"/>
      <c r="L1517" s="4"/>
      <c r="M1517" s="4"/>
      <c r="N1517" s="82"/>
      <c r="O1517" s="86"/>
      <c r="P1517" s="4"/>
      <c r="Q1517" s="4"/>
      <c r="R1517" s="82"/>
      <c r="S1517" s="87"/>
      <c r="T1517" s="88"/>
      <c r="U1517" s="89"/>
      <c r="V1517" s="4"/>
      <c r="W1517" s="4"/>
      <c r="X1517" s="9"/>
      <c r="Y1517" s="84"/>
      <c r="Z1517" s="90"/>
      <c r="AA1517" s="84"/>
      <c r="AB1517" s="84"/>
      <c r="AC1517" s="84"/>
      <c r="AD1517" s="84"/>
      <c r="AE1517" s="84"/>
      <c r="AF1517" s="84"/>
      <c r="AG1517" s="84"/>
    </row>
    <row r="1518" spans="1:33" s="91" customFormat="1" ht="12.75" x14ac:dyDescent="0.2">
      <c r="A1518" s="13">
        <f t="shared" si="62"/>
        <v>134</v>
      </c>
      <c r="B1518" s="11"/>
      <c r="C1518" s="82"/>
      <c r="D1518" s="1"/>
      <c r="E1518" s="83"/>
      <c r="F1518" s="83"/>
      <c r="G1518" s="84"/>
      <c r="H1518" s="85"/>
      <c r="I1518" s="1"/>
      <c r="J1518" s="5"/>
      <c r="K1518" s="5"/>
      <c r="L1518" s="4"/>
      <c r="M1518" s="4"/>
      <c r="N1518" s="82"/>
      <c r="O1518" s="86"/>
      <c r="P1518" s="4"/>
      <c r="Q1518" s="4"/>
      <c r="R1518" s="82"/>
      <c r="S1518" s="87"/>
      <c r="T1518" s="88"/>
      <c r="U1518" s="89"/>
      <c r="V1518" s="4"/>
      <c r="W1518" s="4"/>
      <c r="X1518" s="9"/>
      <c r="Y1518" s="84"/>
      <c r="Z1518" s="90"/>
      <c r="AA1518" s="84"/>
      <c r="AB1518" s="84"/>
      <c r="AC1518" s="84"/>
      <c r="AD1518" s="84"/>
      <c r="AE1518" s="82"/>
      <c r="AF1518" s="82"/>
      <c r="AG1518" s="82"/>
    </row>
    <row r="1519" spans="1:33" s="91" customFormat="1" ht="12.75" x14ac:dyDescent="0.2">
      <c r="A1519" s="13">
        <f t="shared" si="62"/>
        <v>134</v>
      </c>
      <c r="B1519" s="11"/>
      <c r="C1519" s="82"/>
      <c r="D1519" s="1"/>
      <c r="E1519" s="83"/>
      <c r="F1519" s="83"/>
      <c r="G1519" s="84"/>
      <c r="H1519" s="85"/>
      <c r="I1519" s="1"/>
      <c r="J1519" s="5"/>
      <c r="K1519" s="5"/>
      <c r="L1519" s="4"/>
      <c r="M1519" s="4"/>
      <c r="N1519" s="82"/>
      <c r="O1519" s="86"/>
      <c r="P1519" s="4"/>
      <c r="Q1519" s="4"/>
      <c r="R1519" s="82"/>
      <c r="S1519" s="87"/>
      <c r="T1519" s="88"/>
      <c r="U1519" s="89"/>
      <c r="V1519" s="4"/>
      <c r="W1519" s="4"/>
      <c r="X1519" s="9"/>
      <c r="Y1519" s="84"/>
      <c r="Z1519" s="90"/>
      <c r="AA1519" s="84"/>
      <c r="AB1519" s="84"/>
      <c r="AC1519" s="84"/>
      <c r="AD1519" s="84"/>
      <c r="AE1519" s="84"/>
      <c r="AF1519" s="84"/>
      <c r="AG1519" s="84"/>
    </row>
    <row r="1520" spans="1:33" s="91" customFormat="1" ht="36.75" customHeight="1" x14ac:dyDescent="0.2">
      <c r="A1520" s="13">
        <f t="shared" si="62"/>
        <v>135</v>
      </c>
      <c r="B1520" s="11">
        <v>135</v>
      </c>
      <c r="C1520" s="92" t="s">
        <v>1261</v>
      </c>
      <c r="D1520" s="1"/>
      <c r="E1520" s="87"/>
      <c r="F1520" s="87"/>
      <c r="G1520" s="84"/>
      <c r="H1520" s="85"/>
      <c r="I1520" s="18"/>
      <c r="J1520" s="5"/>
      <c r="K1520" s="5"/>
      <c r="L1520" s="4"/>
      <c r="M1520" s="4"/>
      <c r="N1520" s="82"/>
      <c r="O1520" s="86"/>
      <c r="P1520" s="4"/>
      <c r="Q1520" s="4"/>
      <c r="R1520" s="47" t="s">
        <v>1926</v>
      </c>
      <c r="S1520" s="87" t="s">
        <v>1133</v>
      </c>
      <c r="T1520" s="88">
        <v>28.8</v>
      </c>
      <c r="U1520" s="89"/>
      <c r="V1520" s="4"/>
      <c r="W1520" s="4"/>
      <c r="X1520" s="89" t="s">
        <v>139</v>
      </c>
      <c r="Y1520" s="32" t="s">
        <v>1139</v>
      </c>
      <c r="Z1520" s="32" t="s">
        <v>1262</v>
      </c>
      <c r="AA1520" s="32" t="s">
        <v>1263</v>
      </c>
      <c r="AB1520" s="45" t="s">
        <v>1264</v>
      </c>
      <c r="AC1520" s="32"/>
      <c r="AD1520" s="84"/>
      <c r="AE1520" s="84" t="s">
        <v>1265</v>
      </c>
      <c r="AF1520" s="84"/>
      <c r="AG1520" s="84"/>
    </row>
    <row r="1521" spans="1:33" s="91" customFormat="1" ht="26.25" customHeight="1" x14ac:dyDescent="0.2">
      <c r="A1521" s="13">
        <f t="shared" si="62"/>
        <v>135</v>
      </c>
      <c r="B1521" s="11"/>
      <c r="C1521" s="82" t="s">
        <v>1266</v>
      </c>
      <c r="D1521" s="1"/>
      <c r="E1521" s="87"/>
      <c r="F1521" s="87"/>
      <c r="G1521" s="84"/>
      <c r="H1521" s="85"/>
      <c r="I1521" s="18"/>
      <c r="J1521" s="5"/>
      <c r="K1521" s="5"/>
      <c r="L1521" s="4"/>
      <c r="M1521" s="4"/>
      <c r="N1521" s="82"/>
      <c r="O1521" s="86"/>
      <c r="P1521" s="4"/>
      <c r="Q1521" s="4"/>
      <c r="R1521" s="47" t="s">
        <v>1927</v>
      </c>
      <c r="S1521" s="87" t="s">
        <v>1133</v>
      </c>
      <c r="T1521" s="88">
        <v>9.52</v>
      </c>
      <c r="U1521" s="89"/>
      <c r="V1521" s="4"/>
      <c r="W1521" s="4"/>
      <c r="X1521" s="9"/>
      <c r="Y1521" s="84"/>
      <c r="Z1521" s="90"/>
      <c r="AA1521" s="84"/>
      <c r="AB1521" s="84"/>
      <c r="AC1521" s="84"/>
      <c r="AD1521" s="84"/>
      <c r="AE1521" s="84" t="s">
        <v>1267</v>
      </c>
      <c r="AF1521" s="84"/>
      <c r="AG1521" s="84"/>
    </row>
    <row r="1522" spans="1:33" s="91" customFormat="1" ht="53.25" customHeight="1" x14ac:dyDescent="0.2">
      <c r="A1522" s="13">
        <f t="shared" si="62"/>
        <v>135</v>
      </c>
      <c r="B1522" s="11"/>
      <c r="C1522" s="82" t="s">
        <v>1610</v>
      </c>
      <c r="D1522" s="1"/>
      <c r="E1522" s="83"/>
      <c r="F1522" s="83"/>
      <c r="G1522" s="84"/>
      <c r="H1522" s="85"/>
      <c r="I1522" s="18"/>
      <c r="J1522" s="5"/>
      <c r="K1522" s="5"/>
      <c r="L1522" s="4"/>
      <c r="M1522" s="4"/>
      <c r="N1522" s="82"/>
      <c r="O1522" s="86"/>
      <c r="P1522" s="4"/>
      <c r="Q1522" s="4"/>
      <c r="R1522" s="47" t="s">
        <v>1928</v>
      </c>
      <c r="S1522" s="87" t="s">
        <v>1133</v>
      </c>
      <c r="T1522" s="88">
        <v>2.52</v>
      </c>
      <c r="U1522" s="89"/>
      <c r="V1522" s="4"/>
      <c r="W1522" s="4"/>
      <c r="X1522" s="9"/>
      <c r="Y1522" s="84"/>
      <c r="Z1522" s="90"/>
      <c r="AA1522" s="84"/>
      <c r="AB1522" s="84"/>
      <c r="AC1522" s="84"/>
      <c r="AD1522" s="84"/>
      <c r="AE1522" s="84" t="s">
        <v>1668</v>
      </c>
      <c r="AF1522" s="84"/>
      <c r="AG1522" s="84"/>
    </row>
    <row r="1523" spans="1:33" s="91" customFormat="1" ht="39" customHeight="1" x14ac:dyDescent="0.2">
      <c r="A1523" s="13">
        <f t="shared" si="62"/>
        <v>135</v>
      </c>
      <c r="B1523" s="11"/>
      <c r="C1523" s="82"/>
      <c r="D1523" s="1"/>
      <c r="E1523" s="83"/>
      <c r="F1523" s="83"/>
      <c r="G1523" s="84"/>
      <c r="H1523" s="85"/>
      <c r="I1523" s="1"/>
      <c r="J1523" s="5"/>
      <c r="K1523" s="5"/>
      <c r="L1523" s="4"/>
      <c r="M1523" s="4"/>
      <c r="N1523" s="82"/>
      <c r="O1523" s="86"/>
      <c r="P1523" s="4"/>
      <c r="Q1523" s="4"/>
      <c r="R1523" s="82" t="s">
        <v>1929</v>
      </c>
      <c r="S1523" s="87" t="s">
        <v>1133</v>
      </c>
      <c r="T1523" s="88">
        <v>4.08</v>
      </c>
      <c r="U1523" s="89"/>
      <c r="V1523" s="4"/>
      <c r="W1523" s="4"/>
      <c r="X1523" s="9"/>
      <c r="Y1523" s="84"/>
      <c r="Z1523" s="90"/>
      <c r="AA1523" s="84"/>
      <c r="AB1523" s="84"/>
      <c r="AC1523" s="84"/>
      <c r="AD1523" s="84"/>
      <c r="AE1523" s="84"/>
      <c r="AF1523" s="84"/>
      <c r="AG1523" s="84"/>
    </row>
    <row r="1524" spans="1:33" s="91" customFormat="1" ht="12.75" x14ac:dyDescent="0.2">
      <c r="A1524" s="13">
        <f t="shared" si="62"/>
        <v>135</v>
      </c>
      <c r="B1524" s="11"/>
      <c r="C1524" s="82"/>
      <c r="D1524" s="1"/>
      <c r="E1524" s="83"/>
      <c r="F1524" s="83"/>
      <c r="G1524" s="84"/>
      <c r="H1524" s="85"/>
      <c r="I1524" s="1"/>
      <c r="J1524" s="5"/>
      <c r="K1524" s="5"/>
      <c r="L1524" s="4"/>
      <c r="M1524" s="4"/>
      <c r="N1524" s="82"/>
      <c r="O1524" s="86"/>
      <c r="P1524" s="4"/>
      <c r="Q1524" s="4"/>
      <c r="R1524" s="47"/>
      <c r="S1524" s="87"/>
      <c r="T1524" s="88"/>
      <c r="U1524" s="89"/>
      <c r="V1524" s="4"/>
      <c r="W1524" s="4"/>
      <c r="X1524" s="9"/>
      <c r="Y1524" s="84"/>
      <c r="Z1524" s="90"/>
      <c r="AA1524" s="84"/>
      <c r="AB1524" s="84"/>
      <c r="AC1524" s="84"/>
      <c r="AD1524" s="84"/>
      <c r="AE1524" s="82"/>
      <c r="AF1524" s="82"/>
      <c r="AG1524" s="82"/>
    </row>
    <row r="1525" spans="1:33" s="91" customFormat="1" ht="12.75" x14ac:dyDescent="0.2">
      <c r="A1525" s="13">
        <f t="shared" ref="A1525:A1581" si="63">IF(B1525&lt;&gt;0,B1525,A1524)</f>
        <v>135</v>
      </c>
      <c r="B1525" s="11"/>
      <c r="C1525" s="82"/>
      <c r="D1525" s="1"/>
      <c r="E1525" s="83"/>
      <c r="F1525" s="83"/>
      <c r="G1525" s="84"/>
      <c r="H1525" s="85"/>
      <c r="I1525" s="1"/>
      <c r="J1525" s="5"/>
      <c r="K1525" s="5"/>
      <c r="L1525" s="4"/>
      <c r="M1525" s="4"/>
      <c r="N1525" s="82"/>
      <c r="O1525" s="86"/>
      <c r="P1525" s="4"/>
      <c r="Q1525" s="4"/>
      <c r="R1525" s="82"/>
      <c r="S1525" s="87"/>
      <c r="T1525" s="88"/>
      <c r="U1525" s="89"/>
      <c r="V1525" s="4"/>
      <c r="W1525" s="4"/>
      <c r="X1525" s="9"/>
      <c r="Y1525" s="84"/>
      <c r="Z1525" s="90"/>
      <c r="AA1525" s="84"/>
      <c r="AB1525" s="84"/>
      <c r="AC1525" s="84"/>
      <c r="AD1525" s="84"/>
      <c r="AE1525" s="84"/>
      <c r="AF1525" s="84"/>
      <c r="AG1525" s="84"/>
    </row>
    <row r="1526" spans="1:33" s="91" customFormat="1" ht="12.75" x14ac:dyDescent="0.2">
      <c r="A1526" s="13">
        <f t="shared" si="63"/>
        <v>135</v>
      </c>
      <c r="B1526" s="11"/>
      <c r="C1526" s="82"/>
      <c r="D1526" s="1"/>
      <c r="E1526" s="83"/>
      <c r="F1526" s="83"/>
      <c r="G1526" s="84"/>
      <c r="H1526" s="85"/>
      <c r="I1526" s="1"/>
      <c r="J1526" s="5"/>
      <c r="K1526" s="5"/>
      <c r="L1526" s="4"/>
      <c r="M1526" s="4"/>
      <c r="N1526" s="82"/>
      <c r="O1526" s="86"/>
      <c r="P1526" s="4"/>
      <c r="Q1526" s="4"/>
      <c r="R1526" s="82"/>
      <c r="S1526" s="87"/>
      <c r="T1526" s="88"/>
      <c r="U1526" s="89"/>
      <c r="V1526" s="4"/>
      <c r="W1526" s="4"/>
      <c r="X1526" s="9"/>
      <c r="Y1526" s="84"/>
      <c r="Z1526" s="90"/>
      <c r="AA1526" s="84"/>
      <c r="AB1526" s="84"/>
      <c r="AC1526" s="84"/>
      <c r="AD1526" s="84"/>
      <c r="AE1526" s="84"/>
      <c r="AF1526" s="84"/>
      <c r="AG1526" s="84"/>
    </row>
    <row r="1527" spans="1:33" s="91" customFormat="1" ht="48" customHeight="1" x14ac:dyDescent="0.2">
      <c r="A1527" s="13">
        <f t="shared" si="63"/>
        <v>136</v>
      </c>
      <c r="B1527" s="11">
        <v>136</v>
      </c>
      <c r="C1527" s="92" t="s">
        <v>1268</v>
      </c>
      <c r="D1527" s="1"/>
      <c r="E1527" s="87">
        <v>86</v>
      </c>
      <c r="F1527" s="87" t="s">
        <v>1269</v>
      </c>
      <c r="G1527" s="84" t="s">
        <v>1270</v>
      </c>
      <c r="H1527" s="85">
        <v>250.3</v>
      </c>
      <c r="I1527" s="18"/>
      <c r="J1527" s="5"/>
      <c r="K1527" s="5"/>
      <c r="L1527" s="4"/>
      <c r="M1527" s="4"/>
      <c r="N1527" s="82" t="s">
        <v>1271</v>
      </c>
      <c r="O1527" s="86">
        <v>1</v>
      </c>
      <c r="P1527" s="4"/>
      <c r="Q1527" s="4"/>
      <c r="R1527" s="47" t="s">
        <v>1272</v>
      </c>
      <c r="S1527" s="87" t="s">
        <v>1133</v>
      </c>
      <c r="T1527" s="88">
        <v>56.62</v>
      </c>
      <c r="U1527" s="89"/>
      <c r="V1527" s="4"/>
      <c r="W1527" s="4"/>
      <c r="X1527" s="9"/>
      <c r="Y1527" s="84"/>
      <c r="Z1527" s="90"/>
      <c r="AA1527" s="84"/>
      <c r="AB1527" s="84"/>
      <c r="AC1527" s="84"/>
      <c r="AD1527" s="84"/>
      <c r="AE1527" s="84" t="s">
        <v>1273</v>
      </c>
      <c r="AF1527" s="84"/>
      <c r="AG1527" s="84"/>
    </row>
    <row r="1528" spans="1:33" s="91" customFormat="1" ht="48" customHeight="1" x14ac:dyDescent="0.2">
      <c r="A1528" s="13">
        <f t="shared" si="63"/>
        <v>136</v>
      </c>
      <c r="B1528" s="11"/>
      <c r="C1528" s="82" t="s">
        <v>1274</v>
      </c>
      <c r="D1528" s="1"/>
      <c r="E1528" s="87"/>
      <c r="F1528" s="87"/>
      <c r="G1528" s="84"/>
      <c r="H1528" s="85"/>
      <c r="I1528" s="18"/>
      <c r="J1528" s="5"/>
      <c r="K1528" s="5"/>
      <c r="L1528" s="4"/>
      <c r="M1528" s="4"/>
      <c r="N1528" s="82" t="s">
        <v>147</v>
      </c>
      <c r="O1528" s="86">
        <v>2</v>
      </c>
      <c r="P1528" s="4"/>
      <c r="Q1528" s="4"/>
      <c r="R1528" s="47" t="s">
        <v>1275</v>
      </c>
      <c r="S1528" s="87" t="s">
        <v>1133</v>
      </c>
      <c r="T1528" s="88">
        <v>105.60000000000001</v>
      </c>
      <c r="U1528" s="89"/>
      <c r="V1528" s="4"/>
      <c r="W1528" s="4"/>
      <c r="X1528" s="9"/>
      <c r="Y1528" s="84"/>
      <c r="Z1528" s="90"/>
      <c r="AA1528" s="84"/>
      <c r="AB1528" s="84"/>
      <c r="AC1528" s="84"/>
      <c r="AD1528" s="84"/>
      <c r="AE1528" s="84" t="s">
        <v>1276</v>
      </c>
      <c r="AF1528" s="84"/>
      <c r="AG1528" s="84"/>
    </row>
    <row r="1529" spans="1:33" s="91" customFormat="1" ht="46.5" customHeight="1" x14ac:dyDescent="0.2">
      <c r="A1529" s="13">
        <f t="shared" si="63"/>
        <v>136</v>
      </c>
      <c r="B1529" s="11"/>
      <c r="C1529" s="82" t="s">
        <v>1611</v>
      </c>
      <c r="D1529" s="1"/>
      <c r="E1529" s="87"/>
      <c r="F1529" s="87"/>
      <c r="G1529" s="84"/>
      <c r="H1529" s="85"/>
      <c r="I1529" s="18"/>
      <c r="J1529" s="5"/>
      <c r="K1529" s="5"/>
      <c r="L1529" s="4"/>
      <c r="M1529" s="4"/>
      <c r="N1529" s="82" t="s">
        <v>178</v>
      </c>
      <c r="O1529" s="86">
        <v>1</v>
      </c>
      <c r="P1529" s="4"/>
      <c r="Q1529" s="4"/>
      <c r="R1529" s="47" t="s">
        <v>302</v>
      </c>
      <c r="S1529" s="87" t="s">
        <v>1133</v>
      </c>
      <c r="T1529" s="88">
        <v>100.3</v>
      </c>
      <c r="U1529" s="89"/>
      <c r="V1529" s="4"/>
      <c r="W1529" s="4"/>
      <c r="X1529" s="158" t="s">
        <v>1138</v>
      </c>
      <c r="Y1529" s="4" t="s">
        <v>1139</v>
      </c>
      <c r="Z1529" s="4" t="s">
        <v>56</v>
      </c>
      <c r="AA1529" s="32" t="s">
        <v>269</v>
      </c>
      <c r="AB1529" s="3" t="s">
        <v>1138</v>
      </c>
      <c r="AC1529" s="4"/>
      <c r="AD1529" s="84"/>
      <c r="AE1529" s="84" t="s">
        <v>1277</v>
      </c>
      <c r="AF1529" s="84"/>
      <c r="AG1529" s="84"/>
    </row>
    <row r="1530" spans="1:33" s="91" customFormat="1" ht="23.25" customHeight="1" x14ac:dyDescent="0.2">
      <c r="A1530" s="13">
        <f t="shared" si="63"/>
        <v>136</v>
      </c>
      <c r="B1530" s="11"/>
      <c r="C1530" s="82"/>
      <c r="D1530" s="1"/>
      <c r="E1530" s="87"/>
      <c r="F1530" s="87"/>
      <c r="G1530" s="84"/>
      <c r="H1530" s="85"/>
      <c r="I1530" s="18"/>
      <c r="J1530" s="5"/>
      <c r="K1530" s="5"/>
      <c r="L1530" s="4"/>
      <c r="M1530" s="4"/>
      <c r="N1530" s="82" t="s">
        <v>1278</v>
      </c>
      <c r="O1530" s="86">
        <v>3</v>
      </c>
      <c r="P1530" s="4"/>
      <c r="Q1530" s="4"/>
      <c r="R1530" s="47" t="s">
        <v>62</v>
      </c>
      <c r="S1530" s="87" t="s">
        <v>1133</v>
      </c>
      <c r="T1530" s="88">
        <v>49.4</v>
      </c>
      <c r="U1530" s="89"/>
      <c r="V1530" s="4"/>
      <c r="W1530" s="4"/>
      <c r="X1530" s="158" t="s">
        <v>1138</v>
      </c>
      <c r="Y1530" s="4" t="s">
        <v>1139</v>
      </c>
      <c r="Z1530" s="4" t="s">
        <v>56</v>
      </c>
      <c r="AA1530" s="32" t="s">
        <v>269</v>
      </c>
      <c r="AB1530" s="3" t="s">
        <v>1138</v>
      </c>
      <c r="AC1530" s="4"/>
      <c r="AD1530" s="84"/>
      <c r="AE1530" s="84" t="s">
        <v>1279</v>
      </c>
      <c r="AF1530" s="84"/>
      <c r="AG1530" s="84"/>
    </row>
    <row r="1531" spans="1:33" s="91" customFormat="1" ht="30" customHeight="1" x14ac:dyDescent="0.2">
      <c r="A1531" s="13">
        <f t="shared" si="63"/>
        <v>136</v>
      </c>
      <c r="B1531" s="11"/>
      <c r="C1531" s="82"/>
      <c r="D1531" s="1"/>
      <c r="E1531" s="87"/>
      <c r="F1531" s="87"/>
      <c r="G1531" s="84"/>
      <c r="H1531" s="85"/>
      <c r="I1531" s="18"/>
      <c r="J1531" s="5"/>
      <c r="K1531" s="5"/>
      <c r="L1531" s="4"/>
      <c r="M1531" s="4"/>
      <c r="N1531" s="82" t="s">
        <v>76</v>
      </c>
      <c r="O1531" s="86">
        <v>11</v>
      </c>
      <c r="P1531" s="4"/>
      <c r="Q1531" s="4"/>
      <c r="R1531" s="47" t="s">
        <v>1280</v>
      </c>
      <c r="S1531" s="87" t="s">
        <v>1133</v>
      </c>
      <c r="T1531" s="88">
        <v>11.7</v>
      </c>
      <c r="U1531" s="89"/>
      <c r="V1531" s="4"/>
      <c r="W1531" s="4"/>
      <c r="X1531" s="9"/>
      <c r="Y1531" s="84"/>
      <c r="Z1531" s="90"/>
      <c r="AA1531" s="84"/>
      <c r="AB1531" s="84"/>
      <c r="AC1531" s="84"/>
      <c r="AD1531" s="84"/>
      <c r="AE1531" s="84"/>
      <c r="AF1531" s="84"/>
      <c r="AG1531" s="84"/>
    </row>
    <row r="1532" spans="1:33" s="91" customFormat="1" ht="30" customHeight="1" x14ac:dyDescent="0.2">
      <c r="A1532" s="13">
        <f t="shared" si="63"/>
        <v>136</v>
      </c>
      <c r="B1532" s="11"/>
      <c r="C1532" s="82"/>
      <c r="D1532" s="1"/>
      <c r="E1532" s="87"/>
      <c r="F1532" s="87"/>
      <c r="G1532" s="84"/>
      <c r="H1532" s="85"/>
      <c r="I1532" s="18"/>
      <c r="J1532" s="5"/>
      <c r="K1532" s="5"/>
      <c r="L1532" s="4"/>
      <c r="M1532" s="4"/>
      <c r="N1532" s="16" t="s">
        <v>429</v>
      </c>
      <c r="O1532" s="86">
        <v>23</v>
      </c>
      <c r="P1532" s="4"/>
      <c r="Q1532" s="4"/>
      <c r="R1532" s="47" t="s">
        <v>1281</v>
      </c>
      <c r="S1532" s="87" t="s">
        <v>1133</v>
      </c>
      <c r="T1532" s="88">
        <v>7.4</v>
      </c>
      <c r="U1532" s="89"/>
      <c r="V1532" s="4"/>
      <c r="W1532" s="4"/>
      <c r="X1532" s="9"/>
      <c r="Y1532" s="84"/>
      <c r="Z1532" s="90"/>
      <c r="AA1532" s="84"/>
      <c r="AB1532" s="84"/>
      <c r="AC1532" s="84"/>
      <c r="AD1532" s="84"/>
      <c r="AE1532" s="84"/>
      <c r="AF1532" s="84"/>
      <c r="AG1532" s="84"/>
    </row>
    <row r="1533" spans="1:33" s="91" customFormat="1" ht="18.75" customHeight="1" x14ac:dyDescent="0.2">
      <c r="A1533" s="13">
        <f t="shared" si="63"/>
        <v>136</v>
      </c>
      <c r="B1533" s="11"/>
      <c r="C1533" s="82"/>
      <c r="D1533" s="1"/>
      <c r="E1533" s="87"/>
      <c r="F1533" s="87"/>
      <c r="G1533" s="84"/>
      <c r="H1533" s="85"/>
      <c r="I1533" s="18"/>
      <c r="J1533" s="5"/>
      <c r="K1533" s="5"/>
      <c r="L1533" s="4"/>
      <c r="M1533" s="4"/>
      <c r="N1533" s="82"/>
      <c r="O1533" s="86"/>
      <c r="P1533" s="4"/>
      <c r="Q1533" s="4"/>
      <c r="R1533" s="47" t="s">
        <v>1148</v>
      </c>
      <c r="S1533" s="87" t="s">
        <v>1133</v>
      </c>
      <c r="T1533" s="88">
        <v>30.87</v>
      </c>
      <c r="U1533" s="89"/>
      <c r="V1533" s="4"/>
      <c r="W1533" s="4"/>
      <c r="X1533" s="9"/>
      <c r="Y1533" s="84"/>
      <c r="Z1533" s="90"/>
      <c r="AA1533" s="84"/>
      <c r="AB1533" s="84"/>
      <c r="AC1533" s="84"/>
      <c r="AD1533" s="84"/>
      <c r="AE1533" s="84"/>
      <c r="AF1533" s="84"/>
      <c r="AG1533" s="84"/>
    </row>
    <row r="1534" spans="1:33" s="91" customFormat="1" ht="18.75" customHeight="1" x14ac:dyDescent="0.2">
      <c r="A1534" s="13">
        <f t="shared" si="63"/>
        <v>136</v>
      </c>
      <c r="B1534" s="11"/>
      <c r="C1534" s="82"/>
      <c r="D1534" s="1"/>
      <c r="E1534" s="87"/>
      <c r="F1534" s="87"/>
      <c r="G1534" s="84"/>
      <c r="H1534" s="85"/>
      <c r="I1534" s="18"/>
      <c r="J1534" s="5"/>
      <c r="K1534" s="5"/>
      <c r="L1534" s="4"/>
      <c r="M1534" s="4"/>
      <c r="N1534" s="82"/>
      <c r="O1534" s="86"/>
      <c r="P1534" s="4"/>
      <c r="Q1534" s="4"/>
      <c r="R1534" s="47" t="s">
        <v>1148</v>
      </c>
      <c r="S1534" s="87" t="s">
        <v>1133</v>
      </c>
      <c r="T1534" s="88">
        <v>10.199999999999999</v>
      </c>
      <c r="U1534" s="89"/>
      <c r="V1534" s="4"/>
      <c r="W1534" s="4"/>
      <c r="X1534" s="9"/>
      <c r="Y1534" s="84"/>
      <c r="Z1534" s="90"/>
      <c r="AA1534" s="84"/>
      <c r="AB1534" s="84"/>
      <c r="AC1534" s="84"/>
      <c r="AD1534" s="84"/>
      <c r="AE1534" s="84"/>
      <c r="AF1534" s="84"/>
      <c r="AG1534" s="84"/>
    </row>
    <row r="1535" spans="1:33" s="91" customFormat="1" ht="18.75" customHeight="1" x14ac:dyDescent="0.2">
      <c r="A1535" s="13">
        <f t="shared" si="63"/>
        <v>136</v>
      </c>
      <c r="B1535" s="11"/>
      <c r="C1535" s="82"/>
      <c r="D1535" s="1"/>
      <c r="E1535" s="87"/>
      <c r="F1535" s="87"/>
      <c r="G1535" s="84"/>
      <c r="H1535" s="85"/>
      <c r="I1535" s="18"/>
      <c r="J1535" s="5"/>
      <c r="K1535" s="5"/>
      <c r="L1535" s="4"/>
      <c r="M1535" s="4"/>
      <c r="N1535" s="82"/>
      <c r="O1535" s="86"/>
      <c r="P1535" s="4"/>
      <c r="Q1535" s="4"/>
      <c r="R1535" s="47" t="s">
        <v>96</v>
      </c>
      <c r="S1535" s="87" t="s">
        <v>1133</v>
      </c>
      <c r="T1535" s="88">
        <v>24.8</v>
      </c>
      <c r="U1535" s="89"/>
      <c r="V1535" s="4"/>
      <c r="W1535" s="4"/>
      <c r="X1535" s="158" t="s">
        <v>1138</v>
      </c>
      <c r="Y1535" s="4" t="s">
        <v>1139</v>
      </c>
      <c r="Z1535" s="4" t="s">
        <v>56</v>
      </c>
      <c r="AA1535" s="32" t="s">
        <v>269</v>
      </c>
      <c r="AB1535" s="3" t="s">
        <v>1138</v>
      </c>
      <c r="AC1535" s="4"/>
      <c r="AD1535" s="84"/>
      <c r="AE1535" s="84"/>
      <c r="AF1535" s="84"/>
      <c r="AG1535" s="84"/>
    </row>
    <row r="1536" spans="1:33" s="91" customFormat="1" ht="18.75" customHeight="1" x14ac:dyDescent="0.2">
      <c r="A1536" s="13">
        <f t="shared" si="63"/>
        <v>136</v>
      </c>
      <c r="B1536" s="11"/>
      <c r="C1536" s="82"/>
      <c r="D1536" s="1"/>
      <c r="E1536" s="87"/>
      <c r="F1536" s="87"/>
      <c r="G1536" s="84"/>
      <c r="H1536" s="85"/>
      <c r="I1536" s="18"/>
      <c r="J1536" s="5"/>
      <c r="K1536" s="5"/>
      <c r="L1536" s="4"/>
      <c r="M1536" s="4"/>
      <c r="N1536" s="82"/>
      <c r="O1536" s="86"/>
      <c r="P1536" s="4"/>
      <c r="Q1536" s="4"/>
      <c r="R1536" s="47" t="s">
        <v>1282</v>
      </c>
      <c r="S1536" s="87" t="s">
        <v>1133</v>
      </c>
      <c r="T1536" s="88">
        <v>30.659999999999997</v>
      </c>
      <c r="U1536" s="89"/>
      <c r="V1536" s="4"/>
      <c r="W1536" s="4"/>
      <c r="X1536" s="9"/>
      <c r="Y1536" s="84"/>
      <c r="Z1536" s="90"/>
      <c r="AA1536" s="84"/>
      <c r="AB1536" s="84"/>
      <c r="AC1536" s="84"/>
      <c r="AD1536" s="84"/>
      <c r="AE1536" s="84"/>
      <c r="AF1536" s="84"/>
      <c r="AG1536" s="84"/>
    </row>
    <row r="1537" spans="1:33" s="91" customFormat="1" ht="18.75" customHeight="1" x14ac:dyDescent="0.2">
      <c r="A1537" s="13">
        <f t="shared" si="63"/>
        <v>136</v>
      </c>
      <c r="B1537" s="11"/>
      <c r="C1537" s="82"/>
      <c r="D1537" s="1"/>
      <c r="E1537" s="87"/>
      <c r="F1537" s="87"/>
      <c r="G1537" s="84"/>
      <c r="H1537" s="85"/>
      <c r="I1537" s="18"/>
      <c r="J1537" s="5"/>
      <c r="K1537" s="5"/>
      <c r="L1537" s="4"/>
      <c r="M1537" s="4"/>
      <c r="N1537" s="82"/>
      <c r="O1537" s="86"/>
      <c r="P1537" s="4"/>
      <c r="Q1537" s="4"/>
      <c r="R1537" s="47" t="s">
        <v>1283</v>
      </c>
      <c r="S1537" s="87" t="s">
        <v>1133</v>
      </c>
      <c r="T1537" s="88">
        <v>39.077500000000001</v>
      </c>
      <c r="U1537" s="89"/>
      <c r="V1537" s="4"/>
      <c r="W1537" s="4"/>
      <c r="X1537" s="9"/>
      <c r="Y1537" s="84"/>
      <c r="Z1537" s="90"/>
      <c r="AA1537" s="84"/>
      <c r="AB1537" s="84"/>
      <c r="AC1537" s="84"/>
      <c r="AD1537" s="84"/>
      <c r="AE1537" s="84"/>
      <c r="AF1537" s="84"/>
      <c r="AG1537" s="84"/>
    </row>
    <row r="1538" spans="1:33" s="91" customFormat="1" ht="18.75" customHeight="1" x14ac:dyDescent="0.2">
      <c r="A1538" s="13">
        <f t="shared" si="63"/>
        <v>136</v>
      </c>
      <c r="B1538" s="11"/>
      <c r="C1538" s="82"/>
      <c r="D1538" s="1"/>
      <c r="E1538" s="87"/>
      <c r="F1538" s="87"/>
      <c r="G1538" s="84"/>
      <c r="H1538" s="85"/>
      <c r="I1538" s="18"/>
      <c r="J1538" s="5"/>
      <c r="K1538" s="5"/>
      <c r="L1538" s="4"/>
      <c r="M1538" s="4"/>
      <c r="N1538" s="82"/>
      <c r="O1538" s="86"/>
      <c r="P1538" s="4"/>
      <c r="Q1538" s="4"/>
      <c r="R1538" s="47" t="s">
        <v>1284</v>
      </c>
      <c r="S1538" s="87" t="s">
        <v>1133</v>
      </c>
      <c r="T1538" s="88">
        <v>7.8</v>
      </c>
      <c r="U1538" s="89"/>
      <c r="V1538" s="4"/>
      <c r="W1538" s="4"/>
      <c r="X1538" s="9"/>
      <c r="Y1538" s="84"/>
      <c r="Z1538" s="90"/>
      <c r="AA1538" s="84"/>
      <c r="AB1538" s="84"/>
      <c r="AC1538" s="84"/>
      <c r="AD1538" s="84"/>
      <c r="AE1538" s="84"/>
      <c r="AF1538" s="84"/>
      <c r="AG1538" s="84"/>
    </row>
    <row r="1539" spans="1:33" s="91" customFormat="1" ht="36" customHeight="1" x14ac:dyDescent="0.2">
      <c r="A1539" s="13">
        <f t="shared" si="63"/>
        <v>136</v>
      </c>
      <c r="B1539" s="11"/>
      <c r="C1539" s="82"/>
      <c r="D1539" s="1"/>
      <c r="E1539" s="87"/>
      <c r="F1539" s="87"/>
      <c r="G1539" s="84"/>
      <c r="H1539" s="85"/>
      <c r="I1539" s="18"/>
      <c r="J1539" s="5"/>
      <c r="K1539" s="5"/>
      <c r="L1539" s="4"/>
      <c r="M1539" s="4"/>
      <c r="N1539" s="82"/>
      <c r="O1539" s="86"/>
      <c r="P1539" s="4"/>
      <c r="Q1539" s="4"/>
      <c r="R1539" s="47" t="s">
        <v>1285</v>
      </c>
      <c r="S1539" s="87" t="s">
        <v>1286</v>
      </c>
      <c r="T1539" s="88">
        <v>8.1</v>
      </c>
      <c r="U1539" s="89"/>
      <c r="V1539" s="4"/>
      <c r="W1539" s="4"/>
      <c r="X1539" s="9"/>
      <c r="Y1539" s="84"/>
      <c r="Z1539" s="90"/>
      <c r="AA1539" s="84"/>
      <c r="AB1539" s="84"/>
      <c r="AC1539" s="84"/>
      <c r="AD1539" s="84"/>
      <c r="AE1539" s="84"/>
      <c r="AF1539" s="84"/>
      <c r="AG1539" s="84"/>
    </row>
    <row r="1540" spans="1:33" s="91" customFormat="1" ht="12.75" x14ac:dyDescent="0.2">
      <c r="A1540" s="13">
        <f t="shared" si="63"/>
        <v>136</v>
      </c>
      <c r="B1540" s="11"/>
      <c r="C1540" s="82"/>
      <c r="D1540" s="1"/>
      <c r="E1540" s="87"/>
      <c r="F1540" s="87"/>
      <c r="G1540" s="84"/>
      <c r="H1540" s="85"/>
      <c r="I1540" s="18"/>
      <c r="J1540" s="5"/>
      <c r="K1540" s="5"/>
      <c r="L1540" s="4"/>
      <c r="M1540" s="4"/>
      <c r="N1540" s="82"/>
      <c r="O1540" s="86"/>
      <c r="P1540" s="4"/>
      <c r="Q1540" s="4"/>
      <c r="R1540" s="47"/>
      <c r="S1540" s="87"/>
      <c r="T1540" s="88"/>
      <c r="U1540" s="89"/>
      <c r="V1540" s="4"/>
      <c r="W1540" s="4"/>
      <c r="X1540" s="9"/>
      <c r="Y1540" s="84"/>
      <c r="Z1540" s="90"/>
      <c r="AA1540" s="84"/>
      <c r="AB1540" s="84"/>
      <c r="AC1540" s="84"/>
      <c r="AD1540" s="84"/>
      <c r="AE1540" s="84"/>
      <c r="AF1540" s="84"/>
      <c r="AG1540" s="84"/>
    </row>
    <row r="1541" spans="1:33" s="91" customFormat="1" ht="12.75" x14ac:dyDescent="0.2">
      <c r="A1541" s="13">
        <f t="shared" si="63"/>
        <v>136</v>
      </c>
      <c r="B1541" s="11"/>
      <c r="C1541" s="82"/>
      <c r="D1541" s="1"/>
      <c r="E1541" s="87"/>
      <c r="F1541" s="87"/>
      <c r="G1541" s="84"/>
      <c r="H1541" s="85"/>
      <c r="I1541" s="1"/>
      <c r="J1541" s="5"/>
      <c r="K1541" s="5"/>
      <c r="L1541" s="4"/>
      <c r="M1541" s="4"/>
      <c r="N1541" s="82"/>
      <c r="O1541" s="86"/>
      <c r="P1541" s="4"/>
      <c r="Q1541" s="4"/>
      <c r="R1541" s="82"/>
      <c r="S1541" s="87"/>
      <c r="T1541" s="88"/>
      <c r="U1541" s="89"/>
      <c r="V1541" s="4"/>
      <c r="W1541" s="4"/>
      <c r="X1541" s="9"/>
      <c r="Y1541" s="84"/>
      <c r="Z1541" s="90"/>
      <c r="AA1541" s="84"/>
      <c r="AB1541" s="84"/>
      <c r="AC1541" s="84"/>
      <c r="AD1541" s="84"/>
      <c r="AE1541" s="84"/>
      <c r="AF1541" s="84"/>
      <c r="AG1541" s="84"/>
    </row>
    <row r="1542" spans="1:33" s="91" customFormat="1" ht="12.75" x14ac:dyDescent="0.2">
      <c r="A1542" s="13">
        <f t="shared" si="63"/>
        <v>136</v>
      </c>
      <c r="B1542" s="11"/>
      <c r="C1542" s="82"/>
      <c r="D1542" s="1"/>
      <c r="E1542" s="83"/>
      <c r="F1542" s="83"/>
      <c r="G1542" s="84"/>
      <c r="H1542" s="85"/>
      <c r="I1542" s="1"/>
      <c r="J1542" s="5"/>
      <c r="K1542" s="5"/>
      <c r="L1542" s="4"/>
      <c r="M1542" s="4"/>
      <c r="N1542" s="82"/>
      <c r="O1542" s="86"/>
      <c r="P1542" s="4"/>
      <c r="Q1542" s="4"/>
      <c r="R1542" s="82"/>
      <c r="S1542" s="87"/>
      <c r="T1542" s="88"/>
      <c r="U1542" s="89"/>
      <c r="V1542" s="4"/>
      <c r="W1542" s="4"/>
      <c r="X1542" s="9"/>
      <c r="Y1542" s="84"/>
      <c r="Z1542" s="90"/>
      <c r="AA1542" s="84"/>
      <c r="AB1542" s="84"/>
      <c r="AC1542" s="84"/>
      <c r="AD1542" s="84"/>
      <c r="AE1542" s="82"/>
      <c r="AF1542" s="82"/>
      <c r="AG1542" s="82"/>
    </row>
    <row r="1543" spans="1:33" s="91" customFormat="1" ht="12.75" x14ac:dyDescent="0.2">
      <c r="A1543" s="13">
        <f t="shared" si="63"/>
        <v>136</v>
      </c>
      <c r="B1543" s="11"/>
      <c r="C1543" s="82"/>
      <c r="D1543" s="1"/>
      <c r="E1543" s="83"/>
      <c r="F1543" s="83"/>
      <c r="G1543" s="84"/>
      <c r="H1543" s="85"/>
      <c r="I1543" s="1"/>
      <c r="J1543" s="5"/>
      <c r="K1543" s="5"/>
      <c r="L1543" s="4"/>
      <c r="M1543" s="4"/>
      <c r="N1543" s="82"/>
      <c r="O1543" s="86"/>
      <c r="P1543" s="4"/>
      <c r="Q1543" s="4"/>
      <c r="R1543" s="82"/>
      <c r="S1543" s="87"/>
      <c r="T1543" s="88"/>
      <c r="U1543" s="89"/>
      <c r="V1543" s="4"/>
      <c r="W1543" s="4"/>
      <c r="X1543" s="9"/>
      <c r="Y1543" s="84"/>
      <c r="Z1543" s="90"/>
      <c r="AA1543" s="84"/>
      <c r="AB1543" s="84"/>
      <c r="AC1543" s="84"/>
      <c r="AD1543" s="84"/>
      <c r="AE1543" s="1"/>
      <c r="AF1543" s="1"/>
      <c r="AG1543" s="1"/>
    </row>
    <row r="1544" spans="1:33" s="91" customFormat="1" ht="12.75" x14ac:dyDescent="0.2">
      <c r="A1544" s="13">
        <f t="shared" si="63"/>
        <v>136</v>
      </c>
      <c r="B1544" s="11"/>
      <c r="C1544" s="82"/>
      <c r="D1544" s="1"/>
      <c r="E1544" s="83"/>
      <c r="F1544" s="83"/>
      <c r="G1544" s="84"/>
      <c r="H1544" s="85"/>
      <c r="I1544" s="1"/>
      <c r="J1544" s="5"/>
      <c r="K1544" s="5"/>
      <c r="L1544" s="4"/>
      <c r="M1544" s="4"/>
      <c r="N1544" s="82"/>
      <c r="O1544" s="86"/>
      <c r="P1544" s="4"/>
      <c r="Q1544" s="4"/>
      <c r="R1544" s="82"/>
      <c r="S1544" s="87"/>
      <c r="T1544" s="88"/>
      <c r="U1544" s="89"/>
      <c r="V1544" s="4"/>
      <c r="W1544" s="4"/>
      <c r="X1544" s="9"/>
      <c r="Y1544" s="84"/>
      <c r="Z1544" s="90"/>
      <c r="AA1544" s="84"/>
      <c r="AB1544" s="84"/>
      <c r="AC1544" s="84"/>
      <c r="AD1544" s="84"/>
      <c r="AE1544" s="84"/>
      <c r="AF1544" s="84"/>
      <c r="AG1544" s="84"/>
    </row>
    <row r="1545" spans="1:33" s="91" customFormat="1" ht="45.75" customHeight="1" x14ac:dyDescent="0.2">
      <c r="A1545" s="13">
        <f t="shared" si="63"/>
        <v>137</v>
      </c>
      <c r="B1545" s="11">
        <v>137</v>
      </c>
      <c r="C1545" s="92" t="s">
        <v>1287</v>
      </c>
      <c r="D1545" s="1"/>
      <c r="E1545" s="87">
        <v>86</v>
      </c>
      <c r="F1545" s="87">
        <v>380</v>
      </c>
      <c r="G1545" s="84" t="s">
        <v>1206</v>
      </c>
      <c r="H1545" s="85">
        <v>14.1</v>
      </c>
      <c r="I1545" s="18"/>
      <c r="J1545" s="5"/>
      <c r="K1545" s="5"/>
      <c r="L1545" s="4"/>
      <c r="M1545" s="4"/>
      <c r="N1545" s="82" t="s">
        <v>1240</v>
      </c>
      <c r="O1545" s="86">
        <v>1</v>
      </c>
      <c r="P1545" s="4"/>
      <c r="Q1545" s="4"/>
      <c r="R1545" s="47"/>
      <c r="S1545" s="87"/>
      <c r="T1545" s="88"/>
      <c r="U1545" s="89"/>
      <c r="V1545" s="4"/>
      <c r="W1545" s="4"/>
      <c r="X1545" s="9"/>
      <c r="Y1545" s="84"/>
      <c r="Z1545" s="90"/>
      <c r="AA1545" s="84"/>
      <c r="AB1545" s="84"/>
      <c r="AC1545" s="84"/>
      <c r="AD1545" s="84"/>
      <c r="AE1545" s="84" t="s">
        <v>1288</v>
      </c>
      <c r="AF1545" s="84"/>
      <c r="AG1545" s="84"/>
    </row>
    <row r="1546" spans="1:33" s="91" customFormat="1" ht="36.75" customHeight="1" x14ac:dyDescent="0.2">
      <c r="A1546" s="13">
        <f t="shared" si="63"/>
        <v>137</v>
      </c>
      <c r="B1546" s="11"/>
      <c r="C1546" s="82" t="s">
        <v>1289</v>
      </c>
      <c r="D1546" s="1"/>
      <c r="E1546" s="87"/>
      <c r="F1546" s="87"/>
      <c r="G1546" s="84"/>
      <c r="H1546" s="85"/>
      <c r="I1546" s="18"/>
      <c r="J1546" s="5"/>
      <c r="K1546" s="5"/>
      <c r="L1546" s="4"/>
      <c r="M1546" s="4"/>
      <c r="N1546" s="82"/>
      <c r="O1546" s="86"/>
      <c r="P1546" s="4"/>
      <c r="Q1546" s="4"/>
      <c r="R1546" s="47"/>
      <c r="S1546" s="87"/>
      <c r="T1546" s="88"/>
      <c r="U1546" s="89"/>
      <c r="V1546" s="4"/>
      <c r="W1546" s="4"/>
      <c r="X1546" s="9"/>
      <c r="Y1546" s="84"/>
      <c r="Z1546" s="90"/>
      <c r="AA1546" s="84"/>
      <c r="AB1546" s="84"/>
      <c r="AC1546" s="84"/>
      <c r="AD1546" s="84"/>
      <c r="AE1546" s="84" t="s">
        <v>1290</v>
      </c>
      <c r="AF1546" s="84"/>
      <c r="AG1546" s="84"/>
    </row>
    <row r="1547" spans="1:33" s="91" customFormat="1" ht="38.25" x14ac:dyDescent="0.2">
      <c r="A1547" s="13">
        <f t="shared" si="63"/>
        <v>137</v>
      </c>
      <c r="B1547" s="11"/>
      <c r="C1547" s="82" t="s">
        <v>1612</v>
      </c>
      <c r="D1547" s="1"/>
      <c r="E1547" s="83"/>
      <c r="F1547" s="83"/>
      <c r="G1547" s="84"/>
      <c r="H1547" s="85"/>
      <c r="I1547" s="18"/>
      <c r="J1547" s="5"/>
      <c r="K1547" s="5"/>
      <c r="L1547" s="4"/>
      <c r="M1547" s="4"/>
      <c r="N1547" s="82"/>
      <c r="O1547" s="86"/>
      <c r="P1547" s="4"/>
      <c r="Q1547" s="4"/>
      <c r="R1547" s="47"/>
      <c r="S1547" s="87"/>
      <c r="T1547" s="88"/>
      <c r="U1547" s="89"/>
      <c r="V1547" s="4"/>
      <c r="W1547" s="4"/>
      <c r="X1547" s="9"/>
      <c r="Y1547" s="84"/>
      <c r="Z1547" s="90"/>
      <c r="AA1547" s="84"/>
      <c r="AB1547" s="84"/>
      <c r="AC1547" s="84"/>
      <c r="AD1547" s="84"/>
      <c r="AE1547" s="84" t="s">
        <v>1291</v>
      </c>
      <c r="AF1547" s="84"/>
      <c r="AG1547" s="84"/>
    </row>
    <row r="1548" spans="1:33" s="91" customFormat="1" ht="12.75" x14ac:dyDescent="0.2">
      <c r="A1548" s="13">
        <f t="shared" si="63"/>
        <v>137</v>
      </c>
      <c r="B1548" s="11"/>
      <c r="C1548" s="82"/>
      <c r="D1548" s="1"/>
      <c r="E1548" s="83"/>
      <c r="F1548" s="83"/>
      <c r="G1548" s="84"/>
      <c r="H1548" s="85"/>
      <c r="I1548" s="1"/>
      <c r="J1548" s="5"/>
      <c r="K1548" s="5"/>
      <c r="L1548" s="4"/>
      <c r="M1548" s="4"/>
      <c r="N1548" s="82"/>
      <c r="O1548" s="86"/>
      <c r="P1548" s="4"/>
      <c r="Q1548" s="4"/>
      <c r="R1548" s="82"/>
      <c r="S1548" s="87"/>
      <c r="T1548" s="88"/>
      <c r="U1548" s="89"/>
      <c r="V1548" s="4"/>
      <c r="W1548" s="4"/>
      <c r="X1548" s="9"/>
      <c r="Y1548" s="84"/>
      <c r="Z1548" s="90"/>
      <c r="AA1548" s="84"/>
      <c r="AB1548" s="84"/>
      <c r="AC1548" s="84"/>
      <c r="AD1548" s="84"/>
      <c r="AE1548" s="84"/>
      <c r="AF1548" s="84"/>
      <c r="AG1548" s="84"/>
    </row>
    <row r="1549" spans="1:33" s="91" customFormat="1" ht="12.75" x14ac:dyDescent="0.2">
      <c r="A1549" s="13">
        <f t="shared" si="63"/>
        <v>137</v>
      </c>
      <c r="B1549" s="11"/>
      <c r="C1549" s="82"/>
      <c r="D1549" s="1"/>
      <c r="E1549" s="83"/>
      <c r="F1549" s="83"/>
      <c r="G1549" s="84"/>
      <c r="H1549" s="85"/>
      <c r="I1549" s="1"/>
      <c r="J1549" s="5"/>
      <c r="K1549" s="5"/>
      <c r="L1549" s="4"/>
      <c r="M1549" s="4"/>
      <c r="N1549" s="82"/>
      <c r="O1549" s="86"/>
      <c r="P1549" s="4"/>
      <c r="Q1549" s="4"/>
      <c r="R1549" s="82"/>
      <c r="S1549" s="87"/>
      <c r="T1549" s="88"/>
      <c r="U1549" s="89"/>
      <c r="V1549" s="4"/>
      <c r="W1549" s="4"/>
      <c r="X1549" s="9"/>
      <c r="Y1549" s="84"/>
      <c r="Z1549" s="90"/>
      <c r="AA1549" s="84"/>
      <c r="AB1549" s="84"/>
      <c r="AC1549" s="84"/>
      <c r="AD1549" s="84"/>
      <c r="AE1549" s="1"/>
      <c r="AF1549" s="1"/>
      <c r="AG1549" s="1"/>
    </row>
    <row r="1550" spans="1:33" s="91" customFormat="1" ht="12.75" x14ac:dyDescent="0.2">
      <c r="A1550" s="13">
        <f t="shared" si="63"/>
        <v>137</v>
      </c>
      <c r="B1550" s="11"/>
      <c r="C1550" s="82"/>
      <c r="D1550" s="1"/>
      <c r="E1550" s="83"/>
      <c r="F1550" s="83"/>
      <c r="G1550" s="84"/>
      <c r="H1550" s="85"/>
      <c r="I1550" s="1"/>
      <c r="J1550" s="5"/>
      <c r="K1550" s="5"/>
      <c r="L1550" s="4"/>
      <c r="M1550" s="4"/>
      <c r="N1550" s="82"/>
      <c r="O1550" s="86"/>
      <c r="P1550" s="4"/>
      <c r="Q1550" s="4"/>
      <c r="R1550" s="82"/>
      <c r="S1550" s="87"/>
      <c r="T1550" s="88"/>
      <c r="U1550" s="89"/>
      <c r="V1550" s="4"/>
      <c r="W1550" s="4"/>
      <c r="X1550" s="9"/>
      <c r="Y1550" s="84"/>
      <c r="Z1550" s="90"/>
      <c r="AA1550" s="84"/>
      <c r="AB1550" s="84"/>
      <c r="AC1550" s="84"/>
      <c r="AD1550" s="84"/>
      <c r="AE1550" s="84"/>
      <c r="AF1550" s="84"/>
      <c r="AG1550" s="84"/>
    </row>
    <row r="1551" spans="1:33" s="91" customFormat="1" ht="48" customHeight="1" x14ac:dyDescent="0.2">
      <c r="A1551" s="13">
        <f t="shared" si="63"/>
        <v>138</v>
      </c>
      <c r="B1551" s="11">
        <v>138</v>
      </c>
      <c r="C1551" s="92" t="s">
        <v>1292</v>
      </c>
      <c r="D1551" s="1"/>
      <c r="E1551" s="87">
        <v>86</v>
      </c>
      <c r="F1551" s="87">
        <v>393</v>
      </c>
      <c r="G1551" s="84" t="s">
        <v>1270</v>
      </c>
      <c r="H1551" s="85">
        <v>14.3</v>
      </c>
      <c r="I1551" s="18"/>
      <c r="J1551" s="5"/>
      <c r="K1551" s="5"/>
      <c r="L1551" s="4"/>
      <c r="M1551" s="4"/>
      <c r="N1551" s="82" t="s">
        <v>72</v>
      </c>
      <c r="O1551" s="86">
        <v>5</v>
      </c>
      <c r="P1551" s="4"/>
      <c r="Q1551" s="4"/>
      <c r="R1551" s="47" t="s">
        <v>1293</v>
      </c>
      <c r="S1551" s="87" t="s">
        <v>1133</v>
      </c>
      <c r="T1551" s="88">
        <v>22</v>
      </c>
      <c r="U1551" s="89"/>
      <c r="V1551" s="4"/>
      <c r="W1551" s="4"/>
      <c r="X1551" s="9"/>
      <c r="Y1551" s="84"/>
      <c r="Z1551" s="90"/>
      <c r="AA1551" s="84"/>
      <c r="AB1551" s="84"/>
      <c r="AC1551" s="84"/>
      <c r="AD1551" s="84"/>
      <c r="AE1551" s="84" t="s">
        <v>1294</v>
      </c>
      <c r="AF1551" s="84"/>
      <c r="AG1551" s="84"/>
    </row>
    <row r="1552" spans="1:33" s="91" customFormat="1" ht="44.25" customHeight="1" x14ac:dyDescent="0.2">
      <c r="A1552" s="13">
        <f t="shared" si="63"/>
        <v>138</v>
      </c>
      <c r="B1552" s="11"/>
      <c r="C1552" s="82" t="s">
        <v>1295</v>
      </c>
      <c r="D1552" s="1"/>
      <c r="E1552" s="87"/>
      <c r="F1552" s="87"/>
      <c r="G1552" s="84"/>
      <c r="H1552" s="85"/>
      <c r="I1552" s="18"/>
      <c r="J1552" s="5"/>
      <c r="K1552" s="5"/>
      <c r="L1552" s="4"/>
      <c r="M1552" s="4"/>
      <c r="N1552" s="82" t="s">
        <v>73</v>
      </c>
      <c r="O1552" s="86">
        <v>6</v>
      </c>
      <c r="P1552" s="4"/>
      <c r="Q1552" s="4"/>
      <c r="R1552" s="47"/>
      <c r="S1552" s="87"/>
      <c r="T1552" s="88"/>
      <c r="U1552" s="89"/>
      <c r="V1552" s="4"/>
      <c r="W1552" s="4"/>
      <c r="X1552" s="9"/>
      <c r="Y1552" s="84"/>
      <c r="Z1552" s="90"/>
      <c r="AA1552" s="84"/>
      <c r="AB1552" s="84"/>
      <c r="AC1552" s="84"/>
      <c r="AD1552" s="84"/>
      <c r="AE1552" s="84" t="s">
        <v>1296</v>
      </c>
      <c r="AF1552" s="84"/>
      <c r="AG1552" s="84"/>
    </row>
    <row r="1553" spans="1:33" s="91" customFormat="1" ht="38.25" x14ac:dyDescent="0.2">
      <c r="A1553" s="13">
        <f t="shared" si="63"/>
        <v>138</v>
      </c>
      <c r="B1553" s="11"/>
      <c r="C1553" s="82" t="s">
        <v>1613</v>
      </c>
      <c r="D1553" s="1"/>
      <c r="E1553" s="83"/>
      <c r="F1553" s="83"/>
      <c r="G1553" s="84"/>
      <c r="H1553" s="85"/>
      <c r="I1553" s="18"/>
      <c r="J1553" s="5"/>
      <c r="K1553" s="5"/>
      <c r="L1553" s="4"/>
      <c r="M1553" s="4"/>
      <c r="N1553" s="82" t="s">
        <v>75</v>
      </c>
      <c r="O1553" s="86">
        <v>8</v>
      </c>
      <c r="P1553" s="4"/>
      <c r="Q1553" s="4"/>
      <c r="R1553" s="47"/>
      <c r="S1553" s="87"/>
      <c r="T1553" s="88"/>
      <c r="U1553" s="89"/>
      <c r="V1553" s="4"/>
      <c r="W1553" s="4"/>
      <c r="X1553" s="9"/>
      <c r="Y1553" s="84"/>
      <c r="Z1553" s="90"/>
      <c r="AA1553" s="84"/>
      <c r="AB1553" s="84"/>
      <c r="AC1553" s="84"/>
      <c r="AD1553" s="84"/>
      <c r="AE1553" s="84" t="s">
        <v>1297</v>
      </c>
      <c r="AF1553" s="84"/>
      <c r="AG1553" s="84"/>
    </row>
    <row r="1554" spans="1:33" s="91" customFormat="1" ht="25.5" x14ac:dyDescent="0.2">
      <c r="A1554" s="13">
        <f t="shared" si="63"/>
        <v>138</v>
      </c>
      <c r="B1554" s="11"/>
      <c r="C1554" s="82"/>
      <c r="D1554" s="1"/>
      <c r="E1554" s="83"/>
      <c r="F1554" s="83"/>
      <c r="G1554" s="84"/>
      <c r="H1554" s="85"/>
      <c r="I1554" s="1"/>
      <c r="J1554" s="5"/>
      <c r="K1554" s="5"/>
      <c r="L1554" s="4"/>
      <c r="M1554" s="4"/>
      <c r="N1554" s="16" t="s">
        <v>429</v>
      </c>
      <c r="O1554" s="86">
        <v>3</v>
      </c>
      <c r="P1554" s="4"/>
      <c r="Q1554" s="4"/>
      <c r="R1554" s="82"/>
      <c r="S1554" s="87"/>
      <c r="T1554" s="88"/>
      <c r="U1554" s="89"/>
      <c r="V1554" s="4"/>
      <c r="W1554" s="4"/>
      <c r="X1554" s="9"/>
      <c r="Y1554" s="84"/>
      <c r="Z1554" s="90"/>
      <c r="AA1554" s="84"/>
      <c r="AB1554" s="84"/>
      <c r="AC1554" s="84"/>
      <c r="AD1554" s="84"/>
      <c r="AE1554" s="84"/>
      <c r="AF1554" s="84"/>
      <c r="AG1554" s="84"/>
    </row>
    <row r="1555" spans="1:33" s="91" customFormat="1" ht="12.75" x14ac:dyDescent="0.2">
      <c r="A1555" s="13">
        <f t="shared" si="63"/>
        <v>138</v>
      </c>
      <c r="B1555" s="11"/>
      <c r="C1555" s="82"/>
      <c r="D1555" s="1"/>
      <c r="E1555" s="83"/>
      <c r="F1555" s="83"/>
      <c r="G1555" s="84"/>
      <c r="H1555" s="85"/>
      <c r="I1555" s="1"/>
      <c r="J1555" s="5"/>
      <c r="K1555" s="5"/>
      <c r="L1555" s="4"/>
      <c r="M1555" s="4"/>
      <c r="N1555" s="82"/>
      <c r="O1555" s="86"/>
      <c r="P1555" s="4"/>
      <c r="Q1555" s="4"/>
      <c r="R1555" s="82"/>
      <c r="S1555" s="87"/>
      <c r="T1555" s="88"/>
      <c r="U1555" s="89"/>
      <c r="V1555" s="4"/>
      <c r="W1555" s="4"/>
      <c r="X1555" s="9"/>
      <c r="Y1555" s="84"/>
      <c r="Z1555" s="90"/>
      <c r="AA1555" s="84"/>
      <c r="AB1555" s="84"/>
      <c r="AC1555" s="84"/>
      <c r="AD1555" s="84"/>
      <c r="AE1555" s="84"/>
      <c r="AF1555" s="84"/>
      <c r="AG1555" s="84"/>
    </row>
    <row r="1556" spans="1:33" s="91" customFormat="1" ht="12.75" x14ac:dyDescent="0.2">
      <c r="A1556" s="13">
        <f t="shared" si="63"/>
        <v>138</v>
      </c>
      <c r="B1556" s="11"/>
      <c r="C1556" s="82"/>
      <c r="D1556" s="1"/>
      <c r="E1556" s="83"/>
      <c r="F1556" s="83"/>
      <c r="G1556" s="84"/>
      <c r="H1556" s="85"/>
      <c r="I1556" s="1"/>
      <c r="J1556" s="5"/>
      <c r="K1556" s="5"/>
      <c r="L1556" s="4"/>
      <c r="M1556" s="4"/>
      <c r="N1556" s="82"/>
      <c r="O1556" s="86"/>
      <c r="P1556" s="4"/>
      <c r="Q1556" s="4"/>
      <c r="R1556" s="82"/>
      <c r="S1556" s="87"/>
      <c r="T1556" s="88"/>
      <c r="U1556" s="89"/>
      <c r="V1556" s="4"/>
      <c r="W1556" s="4"/>
      <c r="X1556" s="9"/>
      <c r="Y1556" s="84"/>
      <c r="Z1556" s="90"/>
      <c r="AA1556" s="84"/>
      <c r="AB1556" s="84"/>
      <c r="AC1556" s="84"/>
      <c r="AD1556" s="84"/>
      <c r="AE1556" s="84"/>
      <c r="AF1556" s="84"/>
      <c r="AG1556" s="84"/>
    </row>
    <row r="1557" spans="1:33" s="91" customFormat="1" ht="12.75" x14ac:dyDescent="0.2">
      <c r="A1557" s="13">
        <f t="shared" si="63"/>
        <v>138</v>
      </c>
      <c r="B1557" s="11"/>
      <c r="C1557" s="82"/>
      <c r="D1557" s="1"/>
      <c r="E1557" s="83"/>
      <c r="F1557" s="83"/>
      <c r="G1557" s="84"/>
      <c r="H1557" s="85"/>
      <c r="I1557" s="1"/>
      <c r="J1557" s="5"/>
      <c r="K1557" s="5"/>
      <c r="L1557" s="4"/>
      <c r="M1557" s="4"/>
      <c r="N1557" s="82"/>
      <c r="O1557" s="86"/>
      <c r="P1557" s="4"/>
      <c r="Q1557" s="4"/>
      <c r="R1557" s="82"/>
      <c r="S1557" s="87"/>
      <c r="T1557" s="88"/>
      <c r="U1557" s="89"/>
      <c r="V1557" s="4"/>
      <c r="W1557" s="4"/>
      <c r="X1557" s="9"/>
      <c r="Y1557" s="84"/>
      <c r="Z1557" s="90"/>
      <c r="AA1557" s="84"/>
      <c r="AB1557" s="84"/>
      <c r="AC1557" s="84"/>
      <c r="AD1557" s="84"/>
      <c r="AE1557" s="84"/>
      <c r="AF1557" s="84"/>
      <c r="AG1557" s="84"/>
    </row>
    <row r="1558" spans="1:33" s="91" customFormat="1" ht="38.25" x14ac:dyDescent="0.2">
      <c r="A1558" s="13">
        <f t="shared" si="63"/>
        <v>139</v>
      </c>
      <c r="B1558" s="11">
        <v>139</v>
      </c>
      <c r="C1558" s="92" t="s">
        <v>1298</v>
      </c>
      <c r="D1558" s="1"/>
      <c r="E1558" s="87">
        <v>86</v>
      </c>
      <c r="F1558" s="83">
        <v>411</v>
      </c>
      <c r="G1558" s="84" t="s">
        <v>1206</v>
      </c>
      <c r="H1558" s="85">
        <v>17.899999999999999</v>
      </c>
      <c r="I1558" s="18"/>
      <c r="J1558" s="5"/>
      <c r="K1558" s="5"/>
      <c r="L1558" s="4"/>
      <c r="M1558" s="4"/>
      <c r="N1558" s="82"/>
      <c r="O1558" s="86"/>
      <c r="P1558" s="4"/>
      <c r="Q1558" s="4"/>
      <c r="R1558" s="47" t="s">
        <v>1820</v>
      </c>
      <c r="S1558" s="87" t="s">
        <v>1133</v>
      </c>
      <c r="T1558" s="88">
        <v>13.5</v>
      </c>
      <c r="U1558" s="89"/>
      <c r="V1558" s="4"/>
      <c r="W1558" s="4"/>
      <c r="X1558" s="158" t="s">
        <v>1138</v>
      </c>
      <c r="Y1558" s="4" t="s">
        <v>1139</v>
      </c>
      <c r="Z1558" s="4" t="s">
        <v>56</v>
      </c>
      <c r="AA1558" s="32" t="s">
        <v>269</v>
      </c>
      <c r="AB1558" s="3" t="s">
        <v>1138</v>
      </c>
      <c r="AC1558" s="4"/>
      <c r="AD1558" s="84"/>
      <c r="AE1558" s="84" t="s">
        <v>1299</v>
      </c>
      <c r="AF1558" s="84"/>
      <c r="AG1558" s="84"/>
    </row>
    <row r="1559" spans="1:33" s="91" customFormat="1" ht="45.75" customHeight="1" x14ac:dyDescent="0.2">
      <c r="A1559" s="13">
        <f t="shared" si="63"/>
        <v>139</v>
      </c>
      <c r="B1559" s="11"/>
      <c r="C1559" s="82" t="s">
        <v>1300</v>
      </c>
      <c r="D1559" s="1"/>
      <c r="E1559" s="87"/>
      <c r="F1559" s="83"/>
      <c r="G1559" s="84"/>
      <c r="H1559" s="85"/>
      <c r="I1559" s="18"/>
      <c r="J1559" s="5"/>
      <c r="K1559" s="5"/>
      <c r="L1559" s="4"/>
      <c r="M1559" s="4"/>
      <c r="N1559" s="82"/>
      <c r="O1559" s="86"/>
      <c r="P1559" s="4"/>
      <c r="Q1559" s="4"/>
      <c r="R1559" s="47" t="s">
        <v>1930</v>
      </c>
      <c r="S1559" s="87" t="s">
        <v>1133</v>
      </c>
      <c r="T1559" s="88">
        <v>2.5</v>
      </c>
      <c r="U1559" s="89"/>
      <c r="V1559" s="4"/>
      <c r="W1559" s="4"/>
      <c r="X1559" s="9"/>
      <c r="Y1559" s="84"/>
      <c r="Z1559" s="90"/>
      <c r="AA1559" s="84"/>
      <c r="AB1559" s="84"/>
      <c r="AC1559" s="84"/>
      <c r="AD1559" s="84"/>
      <c r="AE1559" s="84" t="s">
        <v>1301</v>
      </c>
      <c r="AF1559" s="84"/>
      <c r="AG1559" s="84"/>
    </row>
    <row r="1560" spans="1:33" s="91" customFormat="1" ht="49.5" customHeight="1" x14ac:dyDescent="0.2">
      <c r="A1560" s="13">
        <f t="shared" si="63"/>
        <v>139</v>
      </c>
      <c r="B1560" s="11"/>
      <c r="C1560" s="82" t="s">
        <v>1614</v>
      </c>
      <c r="D1560" s="1"/>
      <c r="E1560" s="83"/>
      <c r="F1560" s="83"/>
      <c r="G1560" s="84"/>
      <c r="H1560" s="85"/>
      <c r="I1560" s="18"/>
      <c r="J1560" s="5"/>
      <c r="K1560" s="5"/>
      <c r="L1560" s="4"/>
      <c r="M1560" s="4"/>
      <c r="N1560" s="82"/>
      <c r="O1560" s="86"/>
      <c r="P1560" s="4"/>
      <c r="Q1560" s="4"/>
      <c r="R1560" s="82" t="s">
        <v>1931</v>
      </c>
      <c r="S1560" s="87" t="s">
        <v>1133</v>
      </c>
      <c r="T1560" s="88">
        <v>8</v>
      </c>
      <c r="U1560" s="89"/>
      <c r="V1560" s="4"/>
      <c r="W1560" s="4"/>
      <c r="X1560" s="158" t="s">
        <v>1138</v>
      </c>
      <c r="Y1560" s="4" t="s">
        <v>1139</v>
      </c>
      <c r="Z1560" s="4" t="s">
        <v>56</v>
      </c>
      <c r="AA1560" s="32"/>
      <c r="AB1560" s="3" t="s">
        <v>1138</v>
      </c>
      <c r="AC1560" s="4"/>
      <c r="AD1560" s="84"/>
      <c r="AE1560" s="84" t="s">
        <v>1302</v>
      </c>
      <c r="AF1560" s="84"/>
      <c r="AG1560" s="84"/>
    </row>
    <row r="1561" spans="1:33" s="91" customFormat="1" ht="30.75" customHeight="1" x14ac:dyDescent="0.2">
      <c r="A1561" s="13">
        <f t="shared" si="63"/>
        <v>139</v>
      </c>
      <c r="B1561" s="11"/>
      <c r="C1561" s="82"/>
      <c r="D1561" s="1"/>
      <c r="E1561" s="83"/>
      <c r="F1561" s="83"/>
      <c r="G1561" s="84"/>
      <c r="H1561" s="85"/>
      <c r="I1561" s="1"/>
      <c r="J1561" s="5"/>
      <c r="K1561" s="5"/>
      <c r="L1561" s="4"/>
      <c r="M1561" s="4"/>
      <c r="N1561" s="82"/>
      <c r="O1561" s="86"/>
      <c r="P1561" s="4"/>
      <c r="Q1561" s="4"/>
      <c r="R1561" s="47" t="s">
        <v>1932</v>
      </c>
      <c r="S1561" s="87" t="s">
        <v>1133</v>
      </c>
      <c r="T1561" s="88">
        <v>9.6</v>
      </c>
      <c r="U1561" s="89"/>
      <c r="V1561" s="4"/>
      <c r="W1561" s="4"/>
      <c r="X1561" s="9"/>
      <c r="Y1561" s="84"/>
      <c r="Z1561" s="90"/>
      <c r="AA1561" s="84"/>
      <c r="AB1561" s="84"/>
      <c r="AC1561" s="84"/>
      <c r="AD1561" s="84"/>
      <c r="AE1561" s="84" t="s">
        <v>1303</v>
      </c>
      <c r="AF1561" s="84"/>
      <c r="AG1561" s="84"/>
    </row>
    <row r="1562" spans="1:33" s="91" customFormat="1" ht="33.75" customHeight="1" x14ac:dyDescent="0.2">
      <c r="A1562" s="13">
        <f t="shared" si="63"/>
        <v>139</v>
      </c>
      <c r="B1562" s="11"/>
      <c r="C1562" s="82"/>
      <c r="D1562" s="1"/>
      <c r="E1562" s="83"/>
      <c r="F1562" s="83"/>
      <c r="G1562" s="84"/>
      <c r="H1562" s="85"/>
      <c r="I1562" s="1"/>
      <c r="J1562" s="5"/>
      <c r="K1562" s="5"/>
      <c r="L1562" s="4"/>
      <c r="M1562" s="4"/>
      <c r="N1562" s="82"/>
      <c r="O1562" s="86"/>
      <c r="P1562" s="4"/>
      <c r="Q1562" s="4"/>
      <c r="R1562" s="82" t="s">
        <v>1933</v>
      </c>
      <c r="S1562" s="87" t="s">
        <v>1133</v>
      </c>
      <c r="T1562" s="88">
        <v>17.2</v>
      </c>
      <c r="U1562" s="89"/>
      <c r="V1562" s="4"/>
      <c r="W1562" s="4"/>
      <c r="X1562" s="9"/>
      <c r="Y1562" s="84"/>
      <c r="Z1562" s="90"/>
      <c r="AA1562" s="84"/>
      <c r="AB1562" s="84"/>
      <c r="AC1562" s="84"/>
      <c r="AD1562" s="84"/>
      <c r="AE1562" s="1"/>
      <c r="AF1562" s="1"/>
      <c r="AG1562" s="1"/>
    </row>
    <row r="1563" spans="1:33" s="91" customFormat="1" ht="12.75" x14ac:dyDescent="0.2">
      <c r="A1563" s="13">
        <f t="shared" si="63"/>
        <v>139</v>
      </c>
      <c r="B1563" s="11"/>
      <c r="C1563" s="82"/>
      <c r="D1563" s="1"/>
      <c r="E1563" s="83"/>
      <c r="F1563" s="83"/>
      <c r="G1563" s="84"/>
      <c r="H1563" s="85"/>
      <c r="I1563" s="1"/>
      <c r="J1563" s="5"/>
      <c r="K1563" s="5"/>
      <c r="L1563" s="4"/>
      <c r="M1563" s="4"/>
      <c r="N1563" s="82"/>
      <c r="O1563" s="86"/>
      <c r="P1563" s="4"/>
      <c r="Q1563" s="4"/>
      <c r="R1563" s="82"/>
      <c r="S1563" s="87"/>
      <c r="T1563" s="88"/>
      <c r="U1563" s="89"/>
      <c r="V1563" s="4"/>
      <c r="W1563" s="4"/>
      <c r="X1563" s="9"/>
      <c r="Y1563" s="84"/>
      <c r="Z1563" s="90"/>
      <c r="AA1563" s="84"/>
      <c r="AB1563" s="84"/>
      <c r="AC1563" s="84"/>
      <c r="AD1563" s="84"/>
      <c r="AE1563" s="84"/>
      <c r="AF1563" s="84"/>
      <c r="AG1563" s="84"/>
    </row>
    <row r="1564" spans="1:33" s="91" customFormat="1" ht="12.75" x14ac:dyDescent="0.2">
      <c r="A1564" s="13">
        <f t="shared" si="63"/>
        <v>139</v>
      </c>
      <c r="B1564" s="11"/>
      <c r="C1564" s="82"/>
      <c r="D1564" s="1"/>
      <c r="E1564" s="83"/>
      <c r="F1564" s="83"/>
      <c r="G1564" s="84"/>
      <c r="H1564" s="85"/>
      <c r="I1564" s="1"/>
      <c r="J1564" s="5"/>
      <c r="K1564" s="5"/>
      <c r="L1564" s="4"/>
      <c r="M1564" s="4"/>
      <c r="N1564" s="82"/>
      <c r="O1564" s="86"/>
      <c r="P1564" s="4"/>
      <c r="Q1564" s="4"/>
      <c r="R1564" s="82"/>
      <c r="S1564" s="87"/>
      <c r="T1564" s="88"/>
      <c r="U1564" s="89"/>
      <c r="V1564" s="4"/>
      <c r="W1564" s="4"/>
      <c r="X1564" s="9"/>
      <c r="Y1564" s="84"/>
      <c r="Z1564" s="90"/>
      <c r="AA1564" s="84"/>
      <c r="AB1564" s="84"/>
      <c r="AC1564" s="84"/>
      <c r="AD1564" s="84"/>
      <c r="AE1564" s="84"/>
      <c r="AF1564" s="84"/>
      <c r="AG1564" s="84"/>
    </row>
    <row r="1565" spans="1:33" s="91" customFormat="1" ht="12.75" x14ac:dyDescent="0.2">
      <c r="A1565" s="13">
        <f t="shared" si="63"/>
        <v>139</v>
      </c>
      <c r="B1565" s="11"/>
      <c r="C1565" s="82"/>
      <c r="D1565" s="1"/>
      <c r="E1565" s="83"/>
      <c r="F1565" s="83"/>
      <c r="G1565" s="84"/>
      <c r="H1565" s="85"/>
      <c r="I1565" s="1"/>
      <c r="J1565" s="5"/>
      <c r="K1565" s="5"/>
      <c r="L1565" s="4"/>
      <c r="M1565" s="4"/>
      <c r="N1565" s="82"/>
      <c r="O1565" s="86"/>
      <c r="P1565" s="4"/>
      <c r="Q1565" s="4"/>
      <c r="R1565" s="82"/>
      <c r="S1565" s="87"/>
      <c r="T1565" s="88"/>
      <c r="U1565" s="89"/>
      <c r="V1565" s="4"/>
      <c r="W1565" s="4"/>
      <c r="X1565" s="9"/>
      <c r="Y1565" s="84"/>
      <c r="Z1565" s="90"/>
      <c r="AA1565" s="84"/>
      <c r="AB1565" s="84"/>
      <c r="AC1565" s="84"/>
      <c r="AD1565" s="84"/>
      <c r="AE1565" s="84"/>
      <c r="AF1565" s="84"/>
      <c r="AG1565" s="84"/>
    </row>
    <row r="1566" spans="1:33" s="91" customFormat="1" ht="38.25" x14ac:dyDescent="0.2">
      <c r="A1566" s="13">
        <f t="shared" si="63"/>
        <v>140</v>
      </c>
      <c r="B1566" s="11">
        <v>140</v>
      </c>
      <c r="C1566" s="92" t="s">
        <v>1304</v>
      </c>
      <c r="D1566" s="18">
        <v>1</v>
      </c>
      <c r="E1566" s="87">
        <v>86</v>
      </c>
      <c r="F1566" s="87">
        <v>413</v>
      </c>
      <c r="G1566" s="84" t="s">
        <v>1206</v>
      </c>
      <c r="H1566" s="85">
        <v>29.5</v>
      </c>
      <c r="I1566" s="18"/>
      <c r="J1566" s="5"/>
      <c r="K1566" s="5"/>
      <c r="L1566" s="4"/>
      <c r="M1566" s="4"/>
      <c r="N1566" s="82"/>
      <c r="O1566" s="86"/>
      <c r="P1566" s="4"/>
      <c r="Q1566" s="4"/>
      <c r="R1566" s="47" t="s">
        <v>1305</v>
      </c>
      <c r="S1566" s="87" t="s">
        <v>93</v>
      </c>
      <c r="T1566" s="88">
        <v>1</v>
      </c>
      <c r="U1566" s="89"/>
      <c r="V1566" s="4"/>
      <c r="W1566" s="4"/>
      <c r="X1566" s="9"/>
      <c r="Y1566" s="84"/>
      <c r="Z1566" s="90"/>
      <c r="AA1566" s="84"/>
      <c r="AB1566" s="84"/>
      <c r="AC1566" s="84"/>
      <c r="AD1566" s="84"/>
      <c r="AE1566" s="84" t="s">
        <v>1306</v>
      </c>
      <c r="AF1566" s="84"/>
      <c r="AG1566" s="84"/>
    </row>
    <row r="1567" spans="1:33" s="91" customFormat="1" ht="35.25" customHeight="1" x14ac:dyDescent="0.2">
      <c r="A1567" s="13">
        <f t="shared" si="63"/>
        <v>140</v>
      </c>
      <c r="B1567" s="11"/>
      <c r="C1567" s="82" t="s">
        <v>1307</v>
      </c>
      <c r="D1567" s="1"/>
      <c r="E1567" s="87"/>
      <c r="F1567" s="87"/>
      <c r="G1567" s="84"/>
      <c r="H1567" s="85"/>
      <c r="I1567" s="18"/>
      <c r="J1567" s="5"/>
      <c r="K1567" s="5"/>
      <c r="L1567" s="4"/>
      <c r="M1567" s="4"/>
      <c r="N1567" s="82"/>
      <c r="O1567" s="86"/>
      <c r="P1567" s="4"/>
      <c r="Q1567" s="4"/>
      <c r="R1567" s="47"/>
      <c r="S1567" s="87"/>
      <c r="T1567" s="88"/>
      <c r="U1567" s="89"/>
      <c r="V1567" s="4"/>
      <c r="W1567" s="4"/>
      <c r="X1567" s="9"/>
      <c r="Y1567" s="84"/>
      <c r="Z1567" s="90"/>
      <c r="AA1567" s="84"/>
      <c r="AB1567" s="84"/>
      <c r="AC1567" s="84"/>
      <c r="AD1567" s="84"/>
      <c r="AE1567" s="84" t="s">
        <v>1308</v>
      </c>
      <c r="AF1567" s="84"/>
      <c r="AG1567" s="84"/>
    </row>
    <row r="1568" spans="1:33" s="91" customFormat="1" ht="38.25" x14ac:dyDescent="0.2">
      <c r="A1568" s="13">
        <f t="shared" si="63"/>
        <v>140</v>
      </c>
      <c r="B1568" s="11"/>
      <c r="C1568" s="82" t="s">
        <v>1615</v>
      </c>
      <c r="D1568" s="1"/>
      <c r="E1568" s="83"/>
      <c r="F1568" s="83"/>
      <c r="G1568" s="84"/>
      <c r="H1568" s="85"/>
      <c r="I1568" s="18"/>
      <c r="J1568" s="5"/>
      <c r="K1568" s="5"/>
      <c r="L1568" s="4"/>
      <c r="M1568" s="4"/>
      <c r="N1568" s="82"/>
      <c r="O1568" s="86"/>
      <c r="P1568" s="4"/>
      <c r="Q1568" s="4"/>
      <c r="R1568" s="47"/>
      <c r="S1568" s="87"/>
      <c r="T1568" s="88"/>
      <c r="U1568" s="89"/>
      <c r="V1568" s="4"/>
      <c r="W1568" s="4"/>
      <c r="X1568" s="9"/>
      <c r="Y1568" s="84"/>
      <c r="Z1568" s="90"/>
      <c r="AA1568" s="84"/>
      <c r="AB1568" s="84"/>
      <c r="AC1568" s="84"/>
      <c r="AD1568" s="84"/>
      <c r="AE1568" s="84" t="s">
        <v>1309</v>
      </c>
      <c r="AF1568" s="84"/>
      <c r="AG1568" s="84"/>
    </row>
    <row r="1569" spans="1:33" s="91" customFormat="1" ht="12.75" x14ac:dyDescent="0.2">
      <c r="A1569" s="13">
        <f t="shared" si="63"/>
        <v>140</v>
      </c>
      <c r="B1569" s="11"/>
      <c r="C1569" s="82"/>
      <c r="D1569" s="1"/>
      <c r="E1569" s="83"/>
      <c r="F1569" s="83"/>
      <c r="G1569" s="84"/>
      <c r="H1569" s="85"/>
      <c r="I1569" s="1"/>
      <c r="J1569" s="5"/>
      <c r="K1569" s="5"/>
      <c r="L1569" s="4"/>
      <c r="M1569" s="4"/>
      <c r="N1569" s="82"/>
      <c r="O1569" s="86"/>
      <c r="P1569" s="4"/>
      <c r="Q1569" s="4"/>
      <c r="R1569" s="82"/>
      <c r="S1569" s="87"/>
      <c r="T1569" s="88"/>
      <c r="U1569" s="89"/>
      <c r="V1569" s="4"/>
      <c r="W1569" s="4"/>
      <c r="X1569" s="9"/>
      <c r="Y1569" s="84"/>
      <c r="Z1569" s="90"/>
      <c r="AA1569" s="84"/>
      <c r="AB1569" s="84"/>
      <c r="AC1569" s="84"/>
      <c r="AD1569" s="84"/>
      <c r="AE1569" s="84"/>
      <c r="AF1569" s="84"/>
      <c r="AG1569" s="84"/>
    </row>
    <row r="1570" spans="1:33" s="91" customFormat="1" ht="12.75" x14ac:dyDescent="0.2">
      <c r="A1570" s="13">
        <f t="shared" si="63"/>
        <v>140</v>
      </c>
      <c r="B1570" s="11"/>
      <c r="C1570" s="82"/>
      <c r="D1570" s="1"/>
      <c r="E1570" s="83"/>
      <c r="F1570" s="83"/>
      <c r="G1570" s="84"/>
      <c r="H1570" s="85"/>
      <c r="I1570" s="1"/>
      <c r="J1570" s="5"/>
      <c r="K1570" s="5"/>
      <c r="L1570" s="4"/>
      <c r="M1570" s="4"/>
      <c r="N1570" s="82"/>
      <c r="O1570" s="86"/>
      <c r="P1570" s="4"/>
      <c r="Q1570" s="4"/>
      <c r="R1570" s="82"/>
      <c r="S1570" s="87"/>
      <c r="T1570" s="88"/>
      <c r="U1570" s="89"/>
      <c r="V1570" s="4"/>
      <c r="W1570" s="4"/>
      <c r="X1570" s="9"/>
      <c r="Y1570" s="84"/>
      <c r="Z1570" s="90"/>
      <c r="AA1570" s="84"/>
      <c r="AB1570" s="84"/>
      <c r="AC1570" s="84"/>
      <c r="AD1570" s="84"/>
      <c r="AE1570" s="84"/>
      <c r="AF1570" s="84"/>
      <c r="AG1570" s="84"/>
    </row>
    <row r="1571" spans="1:33" s="91" customFormat="1" ht="12.75" x14ac:dyDescent="0.2">
      <c r="A1571" s="13">
        <f t="shared" si="63"/>
        <v>140</v>
      </c>
      <c r="B1571" s="11"/>
      <c r="C1571" s="82"/>
      <c r="D1571" s="1"/>
      <c r="E1571" s="83"/>
      <c r="F1571" s="83"/>
      <c r="G1571" s="84"/>
      <c r="H1571" s="85"/>
      <c r="I1571" s="1"/>
      <c r="J1571" s="5"/>
      <c r="K1571" s="5"/>
      <c r="L1571" s="4"/>
      <c r="M1571" s="4"/>
      <c r="N1571" s="82"/>
      <c r="O1571" s="86"/>
      <c r="P1571" s="4"/>
      <c r="Q1571" s="4"/>
      <c r="R1571" s="82"/>
      <c r="S1571" s="87"/>
      <c r="T1571" s="88"/>
      <c r="U1571" s="89"/>
      <c r="V1571" s="4"/>
      <c r="W1571" s="4"/>
      <c r="X1571" s="9"/>
      <c r="Y1571" s="84"/>
      <c r="Z1571" s="90"/>
      <c r="AA1571" s="84"/>
      <c r="AB1571" s="84"/>
      <c r="AC1571" s="84"/>
      <c r="AD1571" s="84"/>
      <c r="AE1571" s="84"/>
      <c r="AF1571" s="84"/>
      <c r="AG1571" s="84"/>
    </row>
    <row r="1572" spans="1:33" s="91" customFormat="1" ht="38.25" x14ac:dyDescent="0.2">
      <c r="A1572" s="13">
        <f t="shared" si="63"/>
        <v>141</v>
      </c>
      <c r="B1572" s="11">
        <v>141</v>
      </c>
      <c r="C1572" s="92" t="s">
        <v>1310</v>
      </c>
      <c r="D1572" s="18">
        <v>6</v>
      </c>
      <c r="E1572" s="87">
        <v>86</v>
      </c>
      <c r="F1572" s="87">
        <v>483</v>
      </c>
      <c r="G1572" s="84" t="s">
        <v>1206</v>
      </c>
      <c r="H1572" s="85">
        <v>19.600000000000001</v>
      </c>
      <c r="I1572" s="18"/>
      <c r="J1572" s="5"/>
      <c r="K1572" s="5"/>
      <c r="L1572" s="4"/>
      <c r="M1572" s="4"/>
      <c r="N1572" s="82" t="s">
        <v>738</v>
      </c>
      <c r="O1572" s="86">
        <v>1</v>
      </c>
      <c r="P1572" s="4"/>
      <c r="Q1572" s="4"/>
      <c r="R1572" s="47"/>
      <c r="S1572" s="87"/>
      <c r="T1572" s="88"/>
      <c r="U1572" s="89"/>
      <c r="V1572" s="4"/>
      <c r="W1572" s="4"/>
      <c r="X1572" s="9"/>
      <c r="Y1572" s="84"/>
      <c r="Z1572" s="90"/>
      <c r="AA1572" s="84"/>
      <c r="AB1572" s="84"/>
      <c r="AC1572" s="84"/>
      <c r="AD1572" s="84"/>
      <c r="AE1572" s="84" t="s">
        <v>1311</v>
      </c>
      <c r="AF1572" s="84"/>
      <c r="AG1572" s="84"/>
    </row>
    <row r="1573" spans="1:33" s="91" customFormat="1" ht="25.5" x14ac:dyDescent="0.2">
      <c r="A1573" s="13">
        <f t="shared" si="63"/>
        <v>141</v>
      </c>
      <c r="B1573" s="11"/>
      <c r="C1573" s="82" t="s">
        <v>1312</v>
      </c>
      <c r="D1573" s="1"/>
      <c r="E1573" s="87"/>
      <c r="F1573" s="87"/>
      <c r="G1573" s="84"/>
      <c r="H1573" s="85"/>
      <c r="I1573" s="18"/>
      <c r="J1573" s="5"/>
      <c r="K1573" s="5"/>
      <c r="L1573" s="4"/>
      <c r="M1573" s="4"/>
      <c r="N1573" s="82" t="s">
        <v>1240</v>
      </c>
      <c r="O1573" s="86">
        <v>1</v>
      </c>
      <c r="P1573" s="4"/>
      <c r="Q1573" s="4"/>
      <c r="R1573" s="47"/>
      <c r="S1573" s="87"/>
      <c r="T1573" s="88"/>
      <c r="U1573" s="89"/>
      <c r="V1573" s="4"/>
      <c r="W1573" s="4"/>
      <c r="X1573" s="9"/>
      <c r="Y1573" s="84"/>
      <c r="Z1573" s="90"/>
      <c r="AA1573" s="84"/>
      <c r="AB1573" s="84"/>
      <c r="AC1573" s="84"/>
      <c r="AD1573" s="84"/>
      <c r="AE1573" s="84" t="s">
        <v>1734</v>
      </c>
      <c r="AF1573" s="84"/>
      <c r="AG1573" s="84"/>
    </row>
    <row r="1574" spans="1:33" s="91" customFormat="1" ht="12.75" x14ac:dyDescent="0.2">
      <c r="A1574" s="13">
        <f t="shared" si="63"/>
        <v>141</v>
      </c>
      <c r="B1574" s="11"/>
      <c r="C1574" s="92" t="s">
        <v>1313</v>
      </c>
      <c r="D1574" s="1"/>
      <c r="E1574" s="83"/>
      <c r="F1574" s="83"/>
      <c r="G1574" s="84"/>
      <c r="H1574" s="85"/>
      <c r="I1574" s="18"/>
      <c r="J1574" s="5"/>
      <c r="K1574" s="5"/>
      <c r="L1574" s="4"/>
      <c r="M1574" s="4"/>
      <c r="N1574" s="82" t="s">
        <v>72</v>
      </c>
      <c r="O1574" s="86">
        <v>24</v>
      </c>
      <c r="P1574" s="4"/>
      <c r="Q1574" s="4"/>
      <c r="R1574" s="47"/>
      <c r="S1574" s="87"/>
      <c r="T1574" s="88"/>
      <c r="U1574" s="89"/>
      <c r="V1574" s="4"/>
      <c r="W1574" s="4"/>
      <c r="X1574" s="9"/>
      <c r="Y1574" s="84"/>
      <c r="Z1574" s="90"/>
      <c r="AA1574" s="84"/>
      <c r="AB1574" s="84"/>
      <c r="AC1574" s="84"/>
      <c r="AD1574" s="84"/>
      <c r="AE1574" s="84" t="s">
        <v>1314</v>
      </c>
      <c r="AF1574" s="84"/>
      <c r="AG1574" s="84"/>
    </row>
    <row r="1575" spans="1:33" s="91" customFormat="1" ht="12.75" x14ac:dyDescent="0.2">
      <c r="A1575" s="13">
        <f t="shared" si="63"/>
        <v>141</v>
      </c>
      <c r="B1575" s="11"/>
      <c r="C1575" s="82" t="s">
        <v>1315</v>
      </c>
      <c r="D1575" s="1"/>
      <c r="E1575" s="83"/>
      <c r="F1575" s="83"/>
      <c r="G1575" s="84"/>
      <c r="H1575" s="85"/>
      <c r="I1575" s="1"/>
      <c r="J1575" s="5"/>
      <c r="K1575" s="5"/>
      <c r="L1575" s="4"/>
      <c r="M1575" s="4"/>
      <c r="N1575" s="82" t="s">
        <v>73</v>
      </c>
      <c r="O1575" s="86">
        <v>27</v>
      </c>
      <c r="P1575" s="4"/>
      <c r="Q1575" s="4"/>
      <c r="R1575" s="82"/>
      <c r="S1575" s="87"/>
      <c r="T1575" s="88"/>
      <c r="U1575" s="89"/>
      <c r="V1575" s="4"/>
      <c r="W1575" s="4"/>
      <c r="X1575" s="9"/>
      <c r="Y1575" s="84"/>
      <c r="Z1575" s="90"/>
      <c r="AA1575" s="84"/>
      <c r="AB1575" s="84"/>
      <c r="AC1575" s="84"/>
      <c r="AD1575" s="84"/>
      <c r="AE1575" s="84"/>
      <c r="AF1575" s="84"/>
      <c r="AG1575" s="84"/>
    </row>
    <row r="1576" spans="1:33" s="91" customFormat="1" ht="38.25" x14ac:dyDescent="0.2">
      <c r="A1576" s="13">
        <f t="shared" si="63"/>
        <v>141</v>
      </c>
      <c r="B1576" s="11"/>
      <c r="C1576" s="82" t="s">
        <v>1615</v>
      </c>
      <c r="D1576" s="1"/>
      <c r="E1576" s="83"/>
      <c r="F1576" s="83"/>
      <c r="G1576" s="84"/>
      <c r="H1576" s="85"/>
      <c r="I1576" s="1"/>
      <c r="J1576" s="5"/>
      <c r="K1576" s="5"/>
      <c r="L1576" s="4"/>
      <c r="M1576" s="4"/>
      <c r="N1576" s="82" t="s">
        <v>75</v>
      </c>
      <c r="O1576" s="86">
        <v>32</v>
      </c>
      <c r="P1576" s="4"/>
      <c r="Q1576" s="4"/>
      <c r="R1576" s="82"/>
      <c r="S1576" s="87"/>
      <c r="T1576" s="88"/>
      <c r="U1576" s="89"/>
      <c r="V1576" s="4"/>
      <c r="W1576" s="4"/>
      <c r="X1576" s="9"/>
      <c r="Y1576" s="84"/>
      <c r="Z1576" s="90"/>
      <c r="AA1576" s="84"/>
      <c r="AB1576" s="84"/>
      <c r="AC1576" s="84"/>
      <c r="AD1576" s="84"/>
      <c r="AE1576" s="82"/>
      <c r="AF1576" s="82"/>
      <c r="AG1576" s="82"/>
    </row>
    <row r="1577" spans="1:33" s="91" customFormat="1" ht="12.75" x14ac:dyDescent="0.2">
      <c r="A1577" s="13">
        <f t="shared" si="63"/>
        <v>141</v>
      </c>
      <c r="B1577" s="11"/>
      <c r="C1577" s="82"/>
      <c r="D1577" s="1"/>
      <c r="E1577" s="83"/>
      <c r="F1577" s="83"/>
      <c r="G1577" s="84"/>
      <c r="H1577" s="85"/>
      <c r="I1577" s="1"/>
      <c r="J1577" s="5"/>
      <c r="K1577" s="5"/>
      <c r="L1577" s="4"/>
      <c r="M1577" s="4"/>
      <c r="N1577" s="82"/>
      <c r="O1577" s="86"/>
      <c r="P1577" s="4"/>
      <c r="Q1577" s="4"/>
      <c r="R1577" s="82"/>
      <c r="S1577" s="87"/>
      <c r="T1577" s="88"/>
      <c r="U1577" s="89"/>
      <c r="V1577" s="4"/>
      <c r="W1577" s="4"/>
      <c r="X1577" s="9"/>
      <c r="Y1577" s="84"/>
      <c r="Z1577" s="90"/>
      <c r="AA1577" s="84"/>
      <c r="AB1577" s="84"/>
      <c r="AC1577" s="84"/>
      <c r="AD1577" s="84"/>
      <c r="AE1577" s="1"/>
      <c r="AF1577" s="1"/>
      <c r="AG1577" s="1"/>
    </row>
    <row r="1578" spans="1:33" s="91" customFormat="1" ht="12.75" x14ac:dyDescent="0.2">
      <c r="A1578" s="13">
        <f t="shared" si="63"/>
        <v>141</v>
      </c>
      <c r="B1578" s="11"/>
      <c r="C1578" s="82"/>
      <c r="D1578" s="1"/>
      <c r="E1578" s="83"/>
      <c r="F1578" s="83"/>
      <c r="G1578" s="84"/>
      <c r="H1578" s="85"/>
      <c r="I1578" s="1"/>
      <c r="J1578" s="5"/>
      <c r="K1578" s="5"/>
      <c r="L1578" s="4"/>
      <c r="M1578" s="4"/>
      <c r="N1578" s="82"/>
      <c r="O1578" s="86"/>
      <c r="P1578" s="4"/>
      <c r="Q1578" s="4"/>
      <c r="R1578" s="82"/>
      <c r="S1578" s="87"/>
      <c r="T1578" s="88"/>
      <c r="U1578" s="89"/>
      <c r="V1578" s="4"/>
      <c r="W1578" s="4"/>
      <c r="X1578" s="9"/>
      <c r="Y1578" s="84"/>
      <c r="Z1578" s="90"/>
      <c r="AA1578" s="84"/>
      <c r="AB1578" s="84"/>
      <c r="AC1578" s="84"/>
      <c r="AD1578" s="84"/>
      <c r="AE1578" s="1"/>
      <c r="AF1578" s="1"/>
      <c r="AG1578" s="1"/>
    </row>
    <row r="1579" spans="1:33" s="91" customFormat="1" ht="12.75" x14ac:dyDescent="0.2">
      <c r="A1579" s="13">
        <f t="shared" si="63"/>
        <v>141</v>
      </c>
      <c r="B1579" s="11"/>
      <c r="C1579" s="82"/>
      <c r="D1579" s="1"/>
      <c r="E1579" s="83"/>
      <c r="F1579" s="83"/>
      <c r="G1579" s="84"/>
      <c r="H1579" s="85"/>
      <c r="I1579" s="1"/>
      <c r="J1579" s="5"/>
      <c r="K1579" s="5"/>
      <c r="L1579" s="4"/>
      <c r="M1579" s="4"/>
      <c r="N1579" s="82"/>
      <c r="O1579" s="86"/>
      <c r="P1579" s="4"/>
      <c r="Q1579" s="4"/>
      <c r="R1579" s="82"/>
      <c r="S1579" s="87"/>
      <c r="T1579" s="88"/>
      <c r="U1579" s="89"/>
      <c r="V1579" s="4"/>
      <c r="W1579" s="4"/>
      <c r="X1579" s="9"/>
      <c r="Y1579" s="84"/>
      <c r="Z1579" s="90"/>
      <c r="AA1579" s="84"/>
      <c r="AB1579" s="84"/>
      <c r="AC1579" s="84"/>
      <c r="AD1579" s="84"/>
      <c r="AE1579" s="1"/>
      <c r="AF1579" s="1"/>
      <c r="AG1579" s="1"/>
    </row>
    <row r="1580" spans="1:33" s="91" customFormat="1" ht="12.75" x14ac:dyDescent="0.2">
      <c r="A1580" s="13">
        <f t="shared" si="63"/>
        <v>141</v>
      </c>
      <c r="B1580" s="11"/>
      <c r="C1580" s="82"/>
      <c r="D1580" s="1"/>
      <c r="E1580" s="83"/>
      <c r="F1580" s="83"/>
      <c r="G1580" s="84"/>
      <c r="H1580" s="85"/>
      <c r="I1580" s="1"/>
      <c r="J1580" s="5"/>
      <c r="K1580" s="5"/>
      <c r="L1580" s="4"/>
      <c r="M1580" s="4"/>
      <c r="N1580" s="82"/>
      <c r="O1580" s="86"/>
      <c r="P1580" s="4"/>
      <c r="Q1580" s="4"/>
      <c r="R1580" s="82"/>
      <c r="S1580" s="87"/>
      <c r="T1580" s="88"/>
      <c r="U1580" s="89"/>
      <c r="V1580" s="4"/>
      <c r="W1580" s="4"/>
      <c r="X1580" s="9"/>
      <c r="Y1580" s="84"/>
      <c r="Z1580" s="90"/>
      <c r="AA1580" s="84"/>
      <c r="AB1580" s="84"/>
      <c r="AC1580" s="84"/>
      <c r="AD1580" s="84"/>
      <c r="AE1580" s="1"/>
      <c r="AF1580" s="1"/>
      <c r="AG1580" s="1"/>
    </row>
    <row r="1581" spans="1:33" s="91" customFormat="1" ht="12.75" x14ac:dyDescent="0.2">
      <c r="A1581" s="13">
        <f t="shared" si="63"/>
        <v>141</v>
      </c>
      <c r="B1581" s="11"/>
      <c r="C1581" s="82"/>
      <c r="D1581" s="1"/>
      <c r="E1581" s="83"/>
      <c r="F1581" s="83"/>
      <c r="G1581" s="84"/>
      <c r="H1581" s="85"/>
      <c r="I1581" s="1"/>
      <c r="J1581" s="5"/>
      <c r="K1581" s="5"/>
      <c r="L1581" s="4"/>
      <c r="M1581" s="4"/>
      <c r="N1581" s="82"/>
      <c r="O1581" s="86"/>
      <c r="P1581" s="4"/>
      <c r="Q1581" s="4"/>
      <c r="R1581" s="82"/>
      <c r="S1581" s="87"/>
      <c r="T1581" s="88"/>
      <c r="U1581" s="89"/>
      <c r="V1581" s="4"/>
      <c r="W1581" s="4"/>
      <c r="X1581" s="9"/>
      <c r="Y1581" s="84"/>
      <c r="Z1581" s="90"/>
      <c r="AA1581" s="84"/>
      <c r="AB1581" s="84"/>
      <c r="AC1581" s="84"/>
      <c r="AD1581" s="84"/>
      <c r="AE1581" s="84"/>
      <c r="AF1581" s="84"/>
      <c r="AG1581" s="84"/>
    </row>
    <row r="1582" spans="1:33" s="91" customFormat="1" ht="81.75" customHeight="1" x14ac:dyDescent="0.2">
      <c r="A1582" s="13">
        <f>IF(B1582&lt;&gt;0,B1582,A2038)</f>
        <v>142</v>
      </c>
      <c r="B1582" s="11">
        <v>142</v>
      </c>
      <c r="C1582" s="92" t="s">
        <v>1316</v>
      </c>
      <c r="D1582" s="1"/>
      <c r="E1582" s="87">
        <v>86</v>
      </c>
      <c r="F1582" s="87">
        <v>50</v>
      </c>
      <c r="G1582" s="84" t="s">
        <v>1317</v>
      </c>
      <c r="H1582" s="76">
        <v>499</v>
      </c>
      <c r="I1582" s="18"/>
      <c r="J1582" s="5"/>
      <c r="K1582" s="5"/>
      <c r="L1582" s="4"/>
      <c r="M1582" s="4"/>
      <c r="N1582" s="82" t="s">
        <v>347</v>
      </c>
      <c r="O1582" s="94">
        <v>1757</v>
      </c>
      <c r="P1582" s="4"/>
      <c r="Q1582" s="4"/>
      <c r="R1582" s="47"/>
      <c r="S1582" s="87"/>
      <c r="T1582" s="88"/>
      <c r="U1582" s="89"/>
      <c r="V1582" s="4"/>
      <c r="W1582" s="4"/>
      <c r="X1582" s="9"/>
      <c r="Y1582" s="84"/>
      <c r="Z1582" s="90"/>
      <c r="AA1582" s="84"/>
      <c r="AB1582" s="84"/>
      <c r="AC1582" s="84"/>
      <c r="AD1582" s="84"/>
      <c r="AE1582" s="84" t="s">
        <v>1318</v>
      </c>
      <c r="AF1582" s="84"/>
      <c r="AG1582" s="84"/>
    </row>
    <row r="1583" spans="1:33" s="91" customFormat="1" ht="81.75" customHeight="1" x14ac:dyDescent="0.2">
      <c r="A1583" s="13">
        <f>IF(B1583&lt;&gt;0,B1583,A1582)</f>
        <v>142</v>
      </c>
      <c r="B1583" s="11"/>
      <c r="C1583" s="82" t="s">
        <v>1319</v>
      </c>
      <c r="D1583" s="1"/>
      <c r="E1583" s="87"/>
      <c r="F1583" s="87"/>
      <c r="G1583" s="84" t="s">
        <v>1182</v>
      </c>
      <c r="H1583" s="265">
        <v>1608.6</v>
      </c>
      <c r="I1583" s="18"/>
      <c r="J1583" s="5"/>
      <c r="K1583" s="5"/>
      <c r="L1583" s="4"/>
      <c r="M1583" s="4"/>
      <c r="N1583" s="82" t="s">
        <v>932</v>
      </c>
      <c r="O1583" s="86">
        <v>28</v>
      </c>
      <c r="P1583" s="4"/>
      <c r="Q1583" s="4"/>
      <c r="R1583" s="47"/>
      <c r="S1583" s="87"/>
      <c r="T1583" s="88"/>
      <c r="U1583" s="89"/>
      <c r="V1583" s="4"/>
      <c r="W1583" s="4"/>
      <c r="X1583" s="9"/>
      <c r="Y1583" s="84"/>
      <c r="Z1583" s="90"/>
      <c r="AA1583" s="84"/>
      <c r="AB1583" s="84"/>
      <c r="AC1583" s="84"/>
      <c r="AD1583" s="84"/>
      <c r="AE1583" s="84" t="s">
        <v>1320</v>
      </c>
      <c r="AF1583" s="84"/>
      <c r="AG1583" s="84"/>
    </row>
    <row r="1584" spans="1:33" s="91" customFormat="1" ht="42.75" customHeight="1" x14ac:dyDescent="0.2">
      <c r="A1584" s="13">
        <f>IF(B1584&lt;&gt;0,B1584,A1583)</f>
        <v>142</v>
      </c>
      <c r="B1584" s="11"/>
      <c r="C1584" s="82" t="s">
        <v>1616</v>
      </c>
      <c r="D1584" s="1"/>
      <c r="E1584" s="87">
        <v>86</v>
      </c>
      <c r="F1584" s="87" t="s">
        <v>1321</v>
      </c>
      <c r="G1584" s="84" t="s">
        <v>1109</v>
      </c>
      <c r="H1584" s="265">
        <v>58.9</v>
      </c>
      <c r="I1584" s="18"/>
      <c r="J1584" s="5"/>
      <c r="K1584" s="5"/>
      <c r="L1584" s="4"/>
      <c r="M1584" s="4"/>
      <c r="N1584" s="82"/>
      <c r="O1584" s="86"/>
      <c r="P1584" s="4"/>
      <c r="Q1584" s="4"/>
      <c r="R1584" s="47"/>
      <c r="S1584" s="87"/>
      <c r="T1584" s="88"/>
      <c r="U1584" s="89"/>
      <c r="V1584" s="4"/>
      <c r="W1584" s="4"/>
      <c r="X1584" s="9"/>
      <c r="Y1584" s="84"/>
      <c r="Z1584" s="90"/>
      <c r="AA1584" s="84"/>
      <c r="AB1584" s="84"/>
      <c r="AC1584" s="84"/>
      <c r="AD1584" s="84"/>
      <c r="AE1584" s="84" t="s">
        <v>1726</v>
      </c>
      <c r="AF1584" s="84"/>
      <c r="AG1584" s="84"/>
    </row>
    <row r="1585" spans="1:33" s="91" customFormat="1" ht="12.75" x14ac:dyDescent="0.2">
      <c r="A1585" s="13">
        <f>IF(B1585&lt;&gt;0,B1585,A1584)</f>
        <v>142</v>
      </c>
      <c r="B1585" s="11"/>
      <c r="C1585" s="82"/>
      <c r="D1585" s="1"/>
      <c r="E1585" s="87"/>
      <c r="F1585" s="87"/>
      <c r="G1585" s="84"/>
      <c r="H1585" s="85"/>
      <c r="I1585" s="18"/>
      <c r="J1585" s="5"/>
      <c r="K1585" s="5"/>
      <c r="L1585" s="4"/>
      <c r="M1585" s="4"/>
      <c r="N1585" s="82"/>
      <c r="O1585" s="86"/>
      <c r="P1585" s="4"/>
      <c r="Q1585" s="4"/>
      <c r="R1585" s="47"/>
      <c r="S1585" s="87"/>
      <c r="T1585" s="88"/>
      <c r="U1585" s="89"/>
      <c r="V1585" s="4"/>
      <c r="W1585" s="4"/>
      <c r="X1585" s="9"/>
      <c r="Y1585" s="84"/>
      <c r="Z1585" s="90"/>
      <c r="AA1585" s="84"/>
      <c r="AB1585" s="84"/>
      <c r="AC1585" s="84"/>
      <c r="AD1585" s="84"/>
      <c r="AE1585" s="84"/>
      <c r="AF1585" s="84"/>
      <c r="AG1585" s="84"/>
    </row>
    <row r="1586" spans="1:33" s="91" customFormat="1" ht="12.75" x14ac:dyDescent="0.2">
      <c r="A1586" s="13">
        <f>IF(B1586&lt;&gt;0,B1586,A1585)</f>
        <v>142</v>
      </c>
      <c r="B1586" s="11"/>
      <c r="C1586" s="82"/>
      <c r="D1586" s="1"/>
      <c r="E1586" s="87"/>
      <c r="F1586" s="87"/>
      <c r="G1586" s="84"/>
      <c r="H1586" s="85"/>
      <c r="I1586" s="18"/>
      <c r="J1586" s="5"/>
      <c r="K1586" s="5"/>
      <c r="L1586" s="4"/>
      <c r="M1586" s="4"/>
      <c r="N1586" s="82"/>
      <c r="O1586" s="86"/>
      <c r="P1586" s="4"/>
      <c r="Q1586" s="4"/>
      <c r="R1586" s="47"/>
      <c r="S1586" s="87"/>
      <c r="T1586" s="88"/>
      <c r="U1586" s="89"/>
      <c r="V1586" s="4"/>
      <c r="W1586" s="4"/>
      <c r="X1586" s="9"/>
      <c r="Y1586" s="84"/>
      <c r="Z1586" s="90"/>
      <c r="AA1586" s="84"/>
      <c r="AB1586" s="84"/>
      <c r="AC1586" s="84"/>
      <c r="AD1586" s="84"/>
      <c r="AE1586" s="84"/>
      <c r="AF1586" s="84"/>
      <c r="AG1586" s="84"/>
    </row>
    <row r="1587" spans="1:33" s="91" customFormat="1" ht="12.75" x14ac:dyDescent="0.2">
      <c r="A1587" s="13">
        <f>IF(B1587&lt;&gt;0,B1587,A1586)</f>
        <v>142</v>
      </c>
      <c r="B1587" s="11"/>
      <c r="C1587" s="82"/>
      <c r="D1587" s="1"/>
      <c r="E1587" s="83"/>
      <c r="F1587" s="83"/>
      <c r="G1587" s="84"/>
      <c r="H1587" s="85"/>
      <c r="I1587" s="1"/>
      <c r="J1587" s="5"/>
      <c r="K1587" s="5"/>
      <c r="L1587" s="4"/>
      <c r="M1587" s="4"/>
      <c r="N1587" s="82"/>
      <c r="O1587" s="86"/>
      <c r="P1587" s="4"/>
      <c r="Q1587" s="4"/>
      <c r="R1587" s="82"/>
      <c r="S1587" s="87"/>
      <c r="T1587" s="88"/>
      <c r="U1587" s="89"/>
      <c r="V1587" s="4"/>
      <c r="W1587" s="4"/>
      <c r="X1587" s="9"/>
      <c r="Y1587" s="84"/>
      <c r="Z1587" s="90"/>
      <c r="AA1587" s="84"/>
      <c r="AB1587" s="84"/>
      <c r="AC1587" s="84"/>
      <c r="AD1587" s="84"/>
      <c r="AE1587" s="84"/>
      <c r="AF1587" s="84"/>
      <c r="AG1587" s="84"/>
    </row>
    <row r="1588" spans="1:33" s="91" customFormat="1" ht="94.5" customHeight="1" x14ac:dyDescent="0.2">
      <c r="A1588" s="13">
        <f>IF(B1588&lt;&gt;0,B1588,#REF!)</f>
        <v>143</v>
      </c>
      <c r="B1588" s="11">
        <v>143</v>
      </c>
      <c r="C1588" s="92" t="s">
        <v>1943</v>
      </c>
      <c r="D1588" s="1"/>
      <c r="E1588" s="87">
        <v>86</v>
      </c>
      <c r="F1588" s="87">
        <v>52</v>
      </c>
      <c r="G1588" s="84" t="s">
        <v>1940</v>
      </c>
      <c r="H1588" s="85">
        <v>14</v>
      </c>
      <c r="I1588" s="18"/>
      <c r="J1588" s="5"/>
      <c r="K1588" s="5"/>
      <c r="L1588" s="4"/>
      <c r="M1588" s="4"/>
      <c r="N1588" s="82"/>
      <c r="O1588" s="86"/>
      <c r="P1588" s="4"/>
      <c r="Q1588" s="4"/>
      <c r="R1588" s="47" t="s">
        <v>1934</v>
      </c>
      <c r="S1588" s="87" t="s">
        <v>1133</v>
      </c>
      <c r="T1588" s="88">
        <v>16</v>
      </c>
      <c r="U1588" s="89"/>
      <c r="V1588" s="4"/>
      <c r="W1588" s="4"/>
      <c r="X1588" s="158" t="s">
        <v>1138</v>
      </c>
      <c r="Y1588" s="4" t="s">
        <v>1139</v>
      </c>
      <c r="Z1588" s="4" t="s">
        <v>56</v>
      </c>
      <c r="AA1588" s="32" t="s">
        <v>269</v>
      </c>
      <c r="AB1588" s="3" t="s">
        <v>1138</v>
      </c>
      <c r="AC1588" s="4"/>
      <c r="AD1588" s="84"/>
      <c r="AE1588" s="84" t="s">
        <v>1323</v>
      </c>
      <c r="AF1588" s="84"/>
      <c r="AG1588" s="84"/>
    </row>
    <row r="1589" spans="1:33" s="91" customFormat="1" ht="35.25" customHeight="1" x14ac:dyDescent="0.2">
      <c r="A1589" s="13">
        <f t="shared" ref="A1589:A1650" si="64">IF(B1589&lt;&gt;0,B1589,A1588)</f>
        <v>143</v>
      </c>
      <c r="B1589" s="11"/>
      <c r="C1589" s="82" t="s">
        <v>1324</v>
      </c>
      <c r="D1589" s="1"/>
      <c r="E1589" s="87"/>
      <c r="F1589" s="87"/>
      <c r="G1589" s="84"/>
      <c r="H1589" s="85"/>
      <c r="I1589" s="18"/>
      <c r="J1589" s="5"/>
      <c r="K1589" s="5"/>
      <c r="L1589" s="4"/>
      <c r="M1589" s="4"/>
      <c r="N1589" s="82"/>
      <c r="O1589" s="86"/>
      <c r="P1589" s="4"/>
      <c r="Q1589" s="4"/>
      <c r="R1589" s="47" t="s">
        <v>1935</v>
      </c>
      <c r="S1589" s="87" t="s">
        <v>1133</v>
      </c>
      <c r="T1589" s="88">
        <v>3.6</v>
      </c>
      <c r="U1589" s="89"/>
      <c r="V1589" s="4"/>
      <c r="W1589" s="4"/>
      <c r="X1589" s="9"/>
      <c r="Y1589" s="84"/>
      <c r="Z1589" s="90"/>
      <c r="AA1589" s="84"/>
      <c r="AB1589" s="84"/>
      <c r="AC1589" s="84"/>
      <c r="AD1589" s="84"/>
      <c r="AE1589" s="84" t="s">
        <v>1325</v>
      </c>
      <c r="AF1589" s="84"/>
      <c r="AG1589" s="84"/>
    </row>
    <row r="1590" spans="1:33" s="91" customFormat="1" ht="51" customHeight="1" x14ac:dyDescent="0.2">
      <c r="A1590" s="13">
        <f t="shared" si="64"/>
        <v>143</v>
      </c>
      <c r="B1590" s="11"/>
      <c r="C1590" s="82" t="s">
        <v>1617</v>
      </c>
      <c r="D1590" s="1"/>
      <c r="E1590" s="83"/>
      <c r="F1590" s="83"/>
      <c r="G1590" s="84"/>
      <c r="H1590" s="85"/>
      <c r="I1590" s="18"/>
      <c r="J1590" s="5"/>
      <c r="K1590" s="5"/>
      <c r="L1590" s="4"/>
      <c r="M1590" s="4"/>
      <c r="N1590" s="82"/>
      <c r="O1590" s="86"/>
      <c r="P1590" s="4"/>
      <c r="Q1590" s="4"/>
      <c r="R1590" s="82" t="s">
        <v>1932</v>
      </c>
      <c r="S1590" s="87" t="s">
        <v>1133</v>
      </c>
      <c r="T1590" s="88"/>
      <c r="U1590" s="89">
        <v>14.4</v>
      </c>
      <c r="V1590" s="4"/>
      <c r="W1590" s="4"/>
      <c r="X1590" s="9"/>
      <c r="Y1590" s="84"/>
      <c r="Z1590" s="90"/>
      <c r="AA1590" s="84"/>
      <c r="AB1590" s="84"/>
      <c r="AC1590" s="84"/>
      <c r="AD1590" s="84"/>
      <c r="AE1590" s="84" t="s">
        <v>1727</v>
      </c>
      <c r="AF1590" s="84"/>
      <c r="AG1590" s="84"/>
    </row>
    <row r="1591" spans="1:33" s="91" customFormat="1" ht="23.25" customHeight="1" x14ac:dyDescent="0.2">
      <c r="A1591" s="13">
        <f t="shared" si="64"/>
        <v>143</v>
      </c>
      <c r="B1591" s="11"/>
      <c r="C1591" s="82"/>
      <c r="D1591" s="1"/>
      <c r="E1591" s="83"/>
      <c r="F1591" s="83"/>
      <c r="G1591" s="84"/>
      <c r="H1591" s="85"/>
      <c r="I1591" s="18"/>
      <c r="J1591" s="5"/>
      <c r="K1591" s="5"/>
      <c r="L1591" s="4"/>
      <c r="M1591" s="4"/>
      <c r="N1591" s="82"/>
      <c r="O1591" s="86"/>
      <c r="P1591" s="4"/>
      <c r="Q1591" s="4"/>
      <c r="R1591" s="47" t="s">
        <v>1936</v>
      </c>
      <c r="S1591" s="87" t="s">
        <v>1133</v>
      </c>
      <c r="T1591" s="88"/>
      <c r="U1591" s="89">
        <v>14.4</v>
      </c>
      <c r="V1591" s="4"/>
      <c r="W1591" s="4"/>
      <c r="X1591" s="158" t="s">
        <v>1138</v>
      </c>
      <c r="Y1591" s="4" t="s">
        <v>1139</v>
      </c>
      <c r="Z1591" s="4" t="s">
        <v>56</v>
      </c>
      <c r="AA1591" s="32" t="s">
        <v>269</v>
      </c>
      <c r="AB1591" s="3" t="s">
        <v>1138</v>
      </c>
      <c r="AC1591" s="4"/>
      <c r="AD1591" s="84"/>
      <c r="AE1591" s="84"/>
      <c r="AF1591" s="84"/>
      <c r="AG1591" s="84"/>
    </row>
    <row r="1592" spans="1:33" s="91" customFormat="1" ht="12.75" x14ac:dyDescent="0.2">
      <c r="A1592" s="13">
        <f t="shared" si="64"/>
        <v>143</v>
      </c>
      <c r="B1592" s="11"/>
      <c r="C1592" s="82"/>
      <c r="D1592" s="1"/>
      <c r="E1592" s="83"/>
      <c r="F1592" s="83"/>
      <c r="G1592" s="84"/>
      <c r="H1592" s="85"/>
      <c r="I1592" s="18"/>
      <c r="J1592" s="5"/>
      <c r="K1592" s="5"/>
      <c r="L1592" s="4"/>
      <c r="M1592" s="4"/>
      <c r="N1592" s="82"/>
      <c r="O1592" s="86"/>
      <c r="P1592" s="4"/>
      <c r="Q1592" s="4"/>
      <c r="R1592" s="47"/>
      <c r="S1592" s="87"/>
      <c r="T1592" s="88"/>
      <c r="U1592" s="89"/>
      <c r="V1592" s="4"/>
      <c r="W1592" s="4"/>
      <c r="X1592" s="9"/>
      <c r="Y1592" s="84"/>
      <c r="Z1592" s="90"/>
      <c r="AA1592" s="84"/>
      <c r="AB1592" s="84"/>
      <c r="AC1592" s="84"/>
      <c r="AD1592" s="84"/>
      <c r="AE1592" s="84"/>
      <c r="AF1592" s="84"/>
      <c r="AG1592" s="84"/>
    </row>
    <row r="1593" spans="1:33" s="91" customFormat="1" ht="12.75" x14ac:dyDescent="0.2">
      <c r="A1593" s="13">
        <f t="shared" si="64"/>
        <v>143</v>
      </c>
      <c r="B1593" s="11"/>
      <c r="C1593" s="82"/>
      <c r="D1593" s="1"/>
      <c r="E1593" s="83"/>
      <c r="F1593" s="83"/>
      <c r="G1593" s="84"/>
      <c r="H1593" s="85"/>
      <c r="I1593" s="18"/>
      <c r="J1593" s="5"/>
      <c r="K1593" s="5"/>
      <c r="L1593" s="4"/>
      <c r="M1593" s="4"/>
      <c r="N1593" s="82"/>
      <c r="O1593" s="86"/>
      <c r="P1593" s="4"/>
      <c r="Q1593" s="4"/>
      <c r="R1593" s="47"/>
      <c r="S1593" s="87"/>
      <c r="T1593" s="88"/>
      <c r="U1593" s="89"/>
      <c r="V1593" s="4"/>
      <c r="W1593" s="4"/>
      <c r="X1593" s="9"/>
      <c r="Y1593" s="84"/>
      <c r="Z1593" s="90"/>
      <c r="AA1593" s="84"/>
      <c r="AB1593" s="84"/>
      <c r="AC1593" s="84"/>
      <c r="AD1593" s="84"/>
      <c r="AE1593" s="84"/>
      <c r="AF1593" s="84"/>
      <c r="AG1593" s="84"/>
    </row>
    <row r="1594" spans="1:33" s="91" customFormat="1" ht="12.75" x14ac:dyDescent="0.2">
      <c r="A1594" s="13">
        <f t="shared" si="64"/>
        <v>143</v>
      </c>
      <c r="B1594" s="11"/>
      <c r="C1594" s="82"/>
      <c r="D1594" s="1"/>
      <c r="E1594" s="83"/>
      <c r="F1594" s="83"/>
      <c r="G1594" s="84"/>
      <c r="H1594" s="85"/>
      <c r="I1594" s="18"/>
      <c r="J1594" s="5"/>
      <c r="K1594" s="5"/>
      <c r="L1594" s="4"/>
      <c r="M1594" s="4"/>
      <c r="N1594" s="82"/>
      <c r="O1594" s="86"/>
      <c r="P1594" s="4"/>
      <c r="Q1594" s="4"/>
      <c r="R1594" s="47"/>
      <c r="S1594" s="87"/>
      <c r="T1594" s="88"/>
      <c r="U1594" s="89"/>
      <c r="V1594" s="4"/>
      <c r="W1594" s="4"/>
      <c r="X1594" s="9"/>
      <c r="Y1594" s="84"/>
      <c r="Z1594" s="90"/>
      <c r="AA1594" s="84"/>
      <c r="AB1594" s="84"/>
      <c r="AC1594" s="84"/>
      <c r="AD1594" s="84"/>
      <c r="AE1594" s="84"/>
      <c r="AF1594" s="84"/>
      <c r="AG1594" s="84"/>
    </row>
    <row r="1595" spans="1:33" s="91" customFormat="1" ht="102" customHeight="1" x14ac:dyDescent="0.2">
      <c r="A1595" s="13">
        <f t="shared" si="64"/>
        <v>144</v>
      </c>
      <c r="B1595" s="11">
        <v>144</v>
      </c>
      <c r="C1595" s="92" t="s">
        <v>1942</v>
      </c>
      <c r="D1595" s="1"/>
      <c r="E1595" s="87">
        <v>86</v>
      </c>
      <c r="F1595" s="87">
        <v>52</v>
      </c>
      <c r="G1595" s="84" t="s">
        <v>1941</v>
      </c>
      <c r="H1595" s="85">
        <v>7.6</v>
      </c>
      <c r="I1595" s="18"/>
      <c r="J1595" s="5"/>
      <c r="K1595" s="5"/>
      <c r="L1595" s="4"/>
      <c r="M1595" s="4"/>
      <c r="N1595" s="82"/>
      <c r="O1595" s="86"/>
      <c r="P1595" s="4"/>
      <c r="Q1595" s="4"/>
      <c r="R1595" s="47" t="s">
        <v>1852</v>
      </c>
      <c r="S1595" s="87" t="s">
        <v>1133</v>
      </c>
      <c r="T1595" s="88">
        <v>7.7</v>
      </c>
      <c r="U1595" s="89"/>
      <c r="V1595" s="4"/>
      <c r="W1595" s="4"/>
      <c r="X1595" s="158" t="s">
        <v>139</v>
      </c>
      <c r="Y1595" s="4" t="s">
        <v>1139</v>
      </c>
      <c r="Z1595" s="4" t="s">
        <v>56</v>
      </c>
      <c r="AA1595" s="32" t="s">
        <v>1263</v>
      </c>
      <c r="AB1595" s="3" t="s">
        <v>1326</v>
      </c>
      <c r="AC1595" s="4"/>
      <c r="AD1595" s="84"/>
      <c r="AE1595" s="84" t="s">
        <v>1327</v>
      </c>
      <c r="AF1595" s="84"/>
      <c r="AG1595" s="84"/>
    </row>
    <row r="1596" spans="1:33" s="91" customFormat="1" ht="46.5" customHeight="1" x14ac:dyDescent="0.2">
      <c r="A1596" s="13">
        <f t="shared" si="64"/>
        <v>144</v>
      </c>
      <c r="B1596" s="11"/>
      <c r="C1596" s="82" t="s">
        <v>1328</v>
      </c>
      <c r="D1596" s="1"/>
      <c r="E1596" s="87">
        <v>86</v>
      </c>
      <c r="F1596" s="87" t="s">
        <v>1329</v>
      </c>
      <c r="G1596" s="84" t="s">
        <v>1322</v>
      </c>
      <c r="H1596" s="85">
        <v>0.5</v>
      </c>
      <c r="I1596" s="18"/>
      <c r="J1596" s="5"/>
      <c r="K1596" s="5"/>
      <c r="L1596" s="4"/>
      <c r="M1596" s="4"/>
      <c r="N1596" s="82"/>
      <c r="O1596" s="86"/>
      <c r="P1596" s="4"/>
      <c r="Q1596" s="4"/>
      <c r="R1596" s="47" t="s">
        <v>1937</v>
      </c>
      <c r="S1596" s="87" t="s">
        <v>1133</v>
      </c>
      <c r="T1596" s="88">
        <v>3.5</v>
      </c>
      <c r="U1596" s="89"/>
      <c r="V1596" s="4"/>
      <c r="W1596" s="4"/>
      <c r="X1596" s="9"/>
      <c r="Y1596" s="84"/>
      <c r="Z1596" s="90"/>
      <c r="AA1596" s="84"/>
      <c r="AB1596" s="84"/>
      <c r="AC1596" s="84"/>
      <c r="AD1596" s="84"/>
      <c r="AE1596" s="84" t="s">
        <v>1267</v>
      </c>
      <c r="AF1596" s="84"/>
      <c r="AG1596" s="84"/>
    </row>
    <row r="1597" spans="1:33" s="91" customFormat="1" ht="69" customHeight="1" x14ac:dyDescent="0.2">
      <c r="A1597" s="13">
        <f t="shared" si="64"/>
        <v>144</v>
      </c>
      <c r="B1597" s="11"/>
      <c r="C1597" s="82" t="s">
        <v>1617</v>
      </c>
      <c r="D1597" s="1"/>
      <c r="E1597" s="83"/>
      <c r="F1597" s="83"/>
      <c r="G1597" s="84"/>
      <c r="H1597" s="85"/>
      <c r="I1597" s="18"/>
      <c r="J1597" s="5"/>
      <c r="K1597" s="5"/>
      <c r="L1597" s="4"/>
      <c r="M1597" s="4"/>
      <c r="N1597" s="82"/>
      <c r="O1597" s="86"/>
      <c r="P1597" s="4"/>
      <c r="Q1597" s="4"/>
      <c r="R1597" s="82" t="s">
        <v>1938</v>
      </c>
      <c r="S1597" s="87" t="s">
        <v>1133</v>
      </c>
      <c r="T1597" s="88">
        <v>22.4</v>
      </c>
      <c r="U1597" s="89"/>
      <c r="V1597" s="4"/>
      <c r="W1597" s="4"/>
      <c r="X1597" s="9"/>
      <c r="Y1597" s="84"/>
      <c r="Z1597" s="90"/>
      <c r="AA1597" s="84"/>
      <c r="AB1597" s="84"/>
      <c r="AC1597" s="84"/>
      <c r="AD1597" s="84"/>
      <c r="AE1597" s="84" t="s">
        <v>1330</v>
      </c>
      <c r="AF1597" s="84"/>
      <c r="AG1597" s="84"/>
    </row>
    <row r="1598" spans="1:33" s="91" customFormat="1" ht="21" customHeight="1" x14ac:dyDescent="0.2">
      <c r="A1598" s="13">
        <f t="shared" si="64"/>
        <v>144</v>
      </c>
      <c r="B1598" s="11"/>
      <c r="C1598" s="82"/>
      <c r="D1598" s="1"/>
      <c r="E1598" s="83"/>
      <c r="F1598" s="83"/>
      <c r="G1598" s="84"/>
      <c r="H1598" s="85"/>
      <c r="I1598" s="18"/>
      <c r="J1598" s="5"/>
      <c r="K1598" s="5"/>
      <c r="L1598" s="4"/>
      <c r="M1598" s="4"/>
      <c r="N1598" s="82"/>
      <c r="O1598" s="86"/>
      <c r="P1598" s="4"/>
      <c r="Q1598" s="4"/>
      <c r="R1598" s="47" t="s">
        <v>1939</v>
      </c>
      <c r="S1598" s="87" t="s">
        <v>1133</v>
      </c>
      <c r="T1598" s="88"/>
      <c r="U1598" s="89">
        <v>11.2</v>
      </c>
      <c r="V1598" s="4"/>
      <c r="W1598" s="4"/>
      <c r="X1598" s="9"/>
      <c r="Y1598" s="84"/>
      <c r="Z1598" s="90"/>
      <c r="AA1598" s="84"/>
      <c r="AB1598" s="84"/>
      <c r="AC1598" s="84"/>
      <c r="AD1598" s="84"/>
      <c r="AE1598" s="84" t="s">
        <v>1728</v>
      </c>
      <c r="AF1598" s="84"/>
      <c r="AG1598" s="84"/>
    </row>
    <row r="1599" spans="1:33" s="91" customFormat="1" ht="12.75" x14ac:dyDescent="0.2">
      <c r="A1599" s="13">
        <f t="shared" si="64"/>
        <v>144</v>
      </c>
      <c r="B1599" s="11"/>
      <c r="C1599" s="82"/>
      <c r="D1599" s="1"/>
      <c r="E1599" s="83"/>
      <c r="F1599" s="83"/>
      <c r="G1599" s="84"/>
      <c r="H1599" s="85"/>
      <c r="I1599" s="18"/>
      <c r="J1599" s="5"/>
      <c r="K1599" s="5"/>
      <c r="L1599" s="4"/>
      <c r="M1599" s="4"/>
      <c r="N1599" s="82"/>
      <c r="O1599" s="86"/>
      <c r="P1599" s="4"/>
      <c r="Q1599" s="4"/>
      <c r="R1599" s="47"/>
      <c r="S1599" s="87"/>
      <c r="T1599" s="88"/>
      <c r="U1599" s="89"/>
      <c r="V1599" s="4"/>
      <c r="W1599" s="4"/>
      <c r="X1599" s="9"/>
      <c r="Y1599" s="84"/>
      <c r="Z1599" s="90"/>
      <c r="AA1599" s="84"/>
      <c r="AB1599" s="84"/>
      <c r="AC1599" s="84"/>
      <c r="AD1599" s="84"/>
      <c r="AE1599" s="84"/>
      <c r="AF1599" s="84"/>
      <c r="AG1599" s="84"/>
    </row>
    <row r="1600" spans="1:33" s="91" customFormat="1" ht="12.75" x14ac:dyDescent="0.2">
      <c r="A1600" s="13">
        <f t="shared" si="64"/>
        <v>144</v>
      </c>
      <c r="B1600" s="11"/>
      <c r="C1600" s="82"/>
      <c r="D1600" s="1"/>
      <c r="E1600" s="83"/>
      <c r="F1600" s="83"/>
      <c r="G1600" s="84"/>
      <c r="H1600" s="85"/>
      <c r="I1600" s="18"/>
      <c r="J1600" s="5"/>
      <c r="K1600" s="5"/>
      <c r="L1600" s="4"/>
      <c r="M1600" s="4"/>
      <c r="N1600" s="82"/>
      <c r="O1600" s="86"/>
      <c r="P1600" s="4"/>
      <c r="Q1600" s="4"/>
      <c r="R1600" s="47"/>
      <c r="S1600" s="87"/>
      <c r="T1600" s="88"/>
      <c r="U1600" s="89"/>
      <c r="V1600" s="4"/>
      <c r="W1600" s="4"/>
      <c r="X1600" s="9"/>
      <c r="Y1600" s="84"/>
      <c r="Z1600" s="90"/>
      <c r="AA1600" s="84"/>
      <c r="AB1600" s="84"/>
      <c r="AC1600" s="84"/>
      <c r="AD1600" s="84"/>
      <c r="AE1600" s="84"/>
      <c r="AF1600" s="84"/>
      <c r="AG1600" s="84"/>
    </row>
    <row r="1601" spans="1:33" s="91" customFormat="1" ht="12.75" x14ac:dyDescent="0.2">
      <c r="A1601" s="13">
        <f t="shared" si="64"/>
        <v>144</v>
      </c>
      <c r="B1601" s="11"/>
      <c r="C1601" s="82"/>
      <c r="D1601" s="1"/>
      <c r="E1601" s="83"/>
      <c r="F1601" s="83"/>
      <c r="G1601" s="84"/>
      <c r="H1601" s="85"/>
      <c r="I1601" s="18"/>
      <c r="J1601" s="5"/>
      <c r="K1601" s="5"/>
      <c r="L1601" s="4"/>
      <c r="M1601" s="4"/>
      <c r="N1601" s="82"/>
      <c r="O1601" s="86"/>
      <c r="P1601" s="4"/>
      <c r="Q1601" s="4"/>
      <c r="R1601" s="47"/>
      <c r="S1601" s="87"/>
      <c r="T1601" s="88"/>
      <c r="U1601" s="89"/>
      <c r="V1601" s="4"/>
      <c r="W1601" s="4"/>
      <c r="X1601" s="9"/>
      <c r="Y1601" s="84"/>
      <c r="Z1601" s="90"/>
      <c r="AA1601" s="84"/>
      <c r="AB1601" s="84"/>
      <c r="AC1601" s="84"/>
      <c r="AD1601" s="84"/>
      <c r="AE1601" s="84"/>
      <c r="AF1601" s="84"/>
      <c r="AG1601" s="84"/>
    </row>
    <row r="1602" spans="1:33" s="91" customFormat="1" ht="43.5" customHeight="1" x14ac:dyDescent="0.2">
      <c r="A1602" s="13">
        <f t="shared" si="64"/>
        <v>145</v>
      </c>
      <c r="B1602" s="11">
        <v>145</v>
      </c>
      <c r="C1602" s="92" t="s">
        <v>1331</v>
      </c>
      <c r="D1602" s="1"/>
      <c r="E1602" s="87">
        <v>86</v>
      </c>
      <c r="F1602" s="87">
        <v>27</v>
      </c>
      <c r="G1602" s="84" t="s">
        <v>1941</v>
      </c>
      <c r="H1602" s="85">
        <v>1688.2</v>
      </c>
      <c r="I1602" s="18"/>
      <c r="J1602" s="5"/>
      <c r="K1602" s="5"/>
      <c r="L1602" s="4"/>
      <c r="M1602" s="4"/>
      <c r="N1602" s="82" t="s">
        <v>1332</v>
      </c>
      <c r="O1602" s="86">
        <v>483</v>
      </c>
      <c r="P1602" s="4"/>
      <c r="Q1602" s="4"/>
      <c r="R1602" s="47"/>
      <c r="S1602" s="87"/>
      <c r="T1602" s="88"/>
      <c r="U1602" s="89"/>
      <c r="V1602" s="4"/>
      <c r="W1602" s="4"/>
      <c r="X1602" s="9"/>
      <c r="Y1602" s="84"/>
      <c r="Z1602" s="90"/>
      <c r="AA1602" s="84"/>
      <c r="AB1602" s="84"/>
      <c r="AC1602" s="84"/>
      <c r="AD1602" s="84"/>
      <c r="AE1602" s="84" t="s">
        <v>1333</v>
      </c>
      <c r="AF1602" s="84"/>
      <c r="AG1602" s="84"/>
    </row>
    <row r="1603" spans="1:33" s="91" customFormat="1" ht="45.75" customHeight="1" x14ac:dyDescent="0.2">
      <c r="A1603" s="13">
        <f t="shared" si="64"/>
        <v>145</v>
      </c>
      <c r="B1603" s="11"/>
      <c r="C1603" s="82" t="s">
        <v>1334</v>
      </c>
      <c r="D1603" s="1"/>
      <c r="E1603" s="87">
        <v>86</v>
      </c>
      <c r="F1603" s="87">
        <v>27</v>
      </c>
      <c r="G1603" s="84" t="s">
        <v>1941</v>
      </c>
      <c r="H1603" s="85">
        <v>769</v>
      </c>
      <c r="I1603" s="18"/>
      <c r="J1603" s="5"/>
      <c r="K1603" s="5"/>
      <c r="L1603" s="4"/>
      <c r="M1603" s="4"/>
      <c r="N1603" s="82"/>
      <c r="O1603" s="86"/>
      <c r="P1603" s="4"/>
      <c r="Q1603" s="4"/>
      <c r="R1603" s="47"/>
      <c r="S1603" s="87"/>
      <c r="T1603" s="88"/>
      <c r="U1603" s="89"/>
      <c r="V1603" s="4"/>
      <c r="W1603" s="4"/>
      <c r="X1603" s="9"/>
      <c r="Y1603" s="84"/>
      <c r="Z1603" s="90"/>
      <c r="AA1603" s="84"/>
      <c r="AB1603" s="84"/>
      <c r="AC1603" s="84"/>
      <c r="AD1603" s="84"/>
      <c r="AE1603" s="84" t="s">
        <v>1335</v>
      </c>
      <c r="AF1603" s="84"/>
      <c r="AG1603" s="84"/>
    </row>
    <row r="1604" spans="1:33" s="91" customFormat="1" ht="89.25" x14ac:dyDescent="0.2">
      <c r="A1604" s="13">
        <f t="shared" si="64"/>
        <v>145</v>
      </c>
      <c r="B1604" s="11"/>
      <c r="C1604" s="82" t="s">
        <v>1336</v>
      </c>
      <c r="D1604" s="1"/>
      <c r="E1604" s="87">
        <v>86</v>
      </c>
      <c r="F1604" s="87">
        <v>27</v>
      </c>
      <c r="G1604" s="84" t="s">
        <v>1511</v>
      </c>
      <c r="H1604" s="85">
        <f>200-H1605</f>
        <v>59.5</v>
      </c>
      <c r="I1604" s="18"/>
      <c r="J1604" s="5"/>
      <c r="K1604" s="5"/>
      <c r="L1604" s="4"/>
      <c r="M1604" s="4"/>
      <c r="N1604" s="82"/>
      <c r="O1604" s="86"/>
      <c r="P1604" s="4"/>
      <c r="Q1604" s="4"/>
      <c r="R1604" s="47"/>
      <c r="S1604" s="87"/>
      <c r="T1604" s="88"/>
      <c r="U1604" s="89"/>
      <c r="V1604" s="4"/>
      <c r="W1604" s="4"/>
      <c r="X1604" s="9"/>
      <c r="Y1604" s="84"/>
      <c r="Z1604" s="90"/>
      <c r="AA1604" s="84"/>
      <c r="AB1604" s="84"/>
      <c r="AC1604" s="84"/>
      <c r="AD1604" s="84"/>
      <c r="AE1604" s="84" t="s">
        <v>1188</v>
      </c>
      <c r="AF1604" s="84"/>
      <c r="AG1604" s="84"/>
    </row>
    <row r="1605" spans="1:33" s="91" customFormat="1" ht="12.75" x14ac:dyDescent="0.2">
      <c r="A1605" s="13">
        <f t="shared" si="64"/>
        <v>145</v>
      </c>
      <c r="B1605" s="11"/>
      <c r="C1605" s="82"/>
      <c r="D1605" s="1"/>
      <c r="E1605" s="87">
        <v>86</v>
      </c>
      <c r="F1605" s="87">
        <v>27</v>
      </c>
      <c r="G1605" s="84" t="s">
        <v>1511</v>
      </c>
      <c r="H1605" s="85">
        <v>140.5</v>
      </c>
      <c r="I1605" s="18"/>
      <c r="J1605" s="5"/>
      <c r="K1605" s="5"/>
      <c r="L1605" s="4"/>
      <c r="M1605" s="4"/>
      <c r="N1605" s="82"/>
      <c r="O1605" s="86"/>
      <c r="P1605" s="4"/>
      <c r="Q1605" s="4"/>
      <c r="R1605" s="47"/>
      <c r="S1605" s="87"/>
      <c r="T1605" s="88"/>
      <c r="U1605" s="89"/>
      <c r="V1605" s="4"/>
      <c r="W1605" s="4"/>
      <c r="X1605" s="9"/>
      <c r="Y1605" s="84"/>
      <c r="Z1605" s="90"/>
      <c r="AA1605" s="84"/>
      <c r="AB1605" s="84"/>
      <c r="AC1605" s="84"/>
      <c r="AD1605" s="84"/>
      <c r="AE1605" s="84" t="s">
        <v>1337</v>
      </c>
      <c r="AF1605" s="84"/>
      <c r="AG1605" s="84"/>
    </row>
    <row r="1606" spans="1:33" s="91" customFormat="1" ht="12.75" x14ac:dyDescent="0.2">
      <c r="A1606" s="13">
        <f t="shared" si="64"/>
        <v>145</v>
      </c>
      <c r="B1606" s="11"/>
      <c r="C1606" s="82"/>
      <c r="D1606" s="1"/>
      <c r="E1606" s="83"/>
      <c r="F1606" s="83"/>
      <c r="G1606" s="84"/>
      <c r="H1606" s="85"/>
      <c r="I1606" s="18"/>
      <c r="J1606" s="5"/>
      <c r="K1606" s="5"/>
      <c r="L1606" s="4"/>
      <c r="M1606" s="4"/>
      <c r="N1606" s="82"/>
      <c r="O1606" s="86"/>
      <c r="P1606" s="4"/>
      <c r="Q1606" s="4"/>
      <c r="R1606" s="47"/>
      <c r="S1606" s="87"/>
      <c r="T1606" s="88"/>
      <c r="U1606" s="89"/>
      <c r="V1606" s="4"/>
      <c r="W1606" s="4"/>
      <c r="X1606" s="9"/>
      <c r="Y1606" s="84"/>
      <c r="Z1606" s="90"/>
      <c r="AA1606" s="84"/>
      <c r="AB1606" s="84"/>
      <c r="AC1606" s="84"/>
      <c r="AD1606" s="84"/>
      <c r="AE1606" s="82"/>
      <c r="AF1606" s="82"/>
      <c r="AG1606" s="82"/>
    </row>
    <row r="1607" spans="1:33" s="91" customFormat="1" ht="12.75" x14ac:dyDescent="0.2">
      <c r="A1607" s="13">
        <f t="shared" si="64"/>
        <v>145</v>
      </c>
      <c r="B1607" s="11"/>
      <c r="C1607" s="82"/>
      <c r="D1607" s="1"/>
      <c r="E1607" s="83"/>
      <c r="F1607" s="83"/>
      <c r="G1607" s="84"/>
      <c r="H1607" s="85"/>
      <c r="I1607" s="18"/>
      <c r="J1607" s="5"/>
      <c r="K1607" s="5"/>
      <c r="L1607" s="4"/>
      <c r="M1607" s="4"/>
      <c r="N1607" s="82"/>
      <c r="O1607" s="86"/>
      <c r="P1607" s="4"/>
      <c r="Q1607" s="4"/>
      <c r="R1607" s="47"/>
      <c r="S1607" s="87"/>
      <c r="T1607" s="88"/>
      <c r="U1607" s="89"/>
      <c r="V1607" s="4"/>
      <c r="W1607" s="4"/>
      <c r="X1607" s="9"/>
      <c r="Y1607" s="84"/>
      <c r="Z1607" s="90"/>
      <c r="AA1607" s="84"/>
      <c r="AB1607" s="84"/>
      <c r="AC1607" s="84"/>
      <c r="AD1607" s="84"/>
      <c r="AE1607" s="84"/>
      <c r="AF1607" s="84"/>
      <c r="AG1607" s="84"/>
    </row>
    <row r="1608" spans="1:33" s="91" customFormat="1" ht="12.75" x14ac:dyDescent="0.2">
      <c r="A1608" s="13">
        <f t="shared" si="64"/>
        <v>145</v>
      </c>
      <c r="B1608" s="11"/>
      <c r="C1608" s="82"/>
      <c r="D1608" s="1"/>
      <c r="E1608" s="83"/>
      <c r="F1608" s="83"/>
      <c r="G1608" s="84"/>
      <c r="H1608" s="85"/>
      <c r="I1608" s="18"/>
      <c r="J1608" s="5"/>
      <c r="K1608" s="5"/>
      <c r="L1608" s="4"/>
      <c r="M1608" s="4"/>
      <c r="N1608" s="82"/>
      <c r="O1608" s="86"/>
      <c r="P1608" s="4"/>
      <c r="Q1608" s="4"/>
      <c r="R1608" s="47"/>
      <c r="S1608" s="87"/>
      <c r="T1608" s="88"/>
      <c r="U1608" s="89"/>
      <c r="V1608" s="4"/>
      <c r="W1608" s="4"/>
      <c r="X1608" s="9"/>
      <c r="Y1608" s="84"/>
      <c r="Z1608" s="90"/>
      <c r="AA1608" s="84"/>
      <c r="AB1608" s="84"/>
      <c r="AC1608" s="84"/>
      <c r="AD1608" s="84"/>
      <c r="AE1608" s="84"/>
      <c r="AF1608" s="84"/>
      <c r="AG1608" s="84"/>
    </row>
    <row r="1609" spans="1:33" s="91" customFormat="1" ht="38.25" x14ac:dyDescent="0.2">
      <c r="A1609" s="13">
        <f t="shared" si="64"/>
        <v>146</v>
      </c>
      <c r="B1609" s="11">
        <v>146</v>
      </c>
      <c r="C1609" s="92" t="s">
        <v>1338</v>
      </c>
      <c r="D1609" s="1"/>
      <c r="E1609" s="87">
        <v>86</v>
      </c>
      <c r="F1609" s="87">
        <v>275</v>
      </c>
      <c r="G1609" s="84" t="s">
        <v>1232</v>
      </c>
      <c r="H1609" s="85">
        <v>1000</v>
      </c>
      <c r="I1609" s="18"/>
      <c r="J1609" s="5"/>
      <c r="K1609" s="5"/>
      <c r="L1609" s="4"/>
      <c r="M1609" s="4"/>
      <c r="N1609" s="82" t="s">
        <v>1339</v>
      </c>
      <c r="O1609" s="86">
        <v>1</v>
      </c>
      <c r="P1609" s="4"/>
      <c r="Q1609" s="4"/>
      <c r="R1609" s="47" t="s">
        <v>1820</v>
      </c>
      <c r="S1609" s="87" t="s">
        <v>1133</v>
      </c>
      <c r="T1609" s="88">
        <v>73.44</v>
      </c>
      <c r="U1609" s="89"/>
      <c r="V1609" s="4"/>
      <c r="W1609" s="4"/>
      <c r="X1609" s="158" t="s">
        <v>1138</v>
      </c>
      <c r="Y1609" s="4" t="s">
        <v>1139</v>
      </c>
      <c r="Z1609" s="4" t="s">
        <v>56</v>
      </c>
      <c r="AA1609" s="32" t="s">
        <v>269</v>
      </c>
      <c r="AB1609" s="3" t="s">
        <v>1138</v>
      </c>
      <c r="AC1609" s="84"/>
      <c r="AD1609" s="84"/>
      <c r="AE1609" s="84" t="s">
        <v>1340</v>
      </c>
      <c r="AF1609" s="84"/>
      <c r="AG1609" s="84"/>
    </row>
    <row r="1610" spans="1:33" s="91" customFormat="1" ht="42" customHeight="1" x14ac:dyDescent="0.2">
      <c r="A1610" s="13">
        <f t="shared" si="64"/>
        <v>146</v>
      </c>
      <c r="B1610" s="11"/>
      <c r="C1610" s="82" t="s">
        <v>1341</v>
      </c>
      <c r="D1610" s="1"/>
      <c r="E1610" s="87"/>
      <c r="F1610" s="87"/>
      <c r="G1610" s="84"/>
      <c r="H1610" s="85"/>
      <c r="I1610" s="18"/>
      <c r="J1610" s="5"/>
      <c r="K1610" s="5"/>
      <c r="L1610" s="4"/>
      <c r="M1610" s="4"/>
      <c r="N1610" s="82" t="s">
        <v>61</v>
      </c>
      <c r="O1610" s="86">
        <v>27</v>
      </c>
      <c r="P1610" s="4"/>
      <c r="Q1610" s="4"/>
      <c r="R1610" s="47" t="s">
        <v>1944</v>
      </c>
      <c r="S1610" s="87" t="s">
        <v>1133</v>
      </c>
      <c r="T1610" s="88">
        <v>10.709999999999999</v>
      </c>
      <c r="U1610" s="89"/>
      <c r="V1610" s="4"/>
      <c r="W1610" s="4"/>
      <c r="X1610" s="158" t="s">
        <v>1138</v>
      </c>
      <c r="Y1610" s="4" t="s">
        <v>1139</v>
      </c>
      <c r="Z1610" s="4" t="s">
        <v>56</v>
      </c>
      <c r="AA1610" s="32"/>
      <c r="AB1610" s="3" t="s">
        <v>1138</v>
      </c>
      <c r="AC1610" s="84"/>
      <c r="AD1610" s="84"/>
      <c r="AE1610" s="84" t="s">
        <v>1342</v>
      </c>
      <c r="AF1610" s="84"/>
      <c r="AG1610" s="84"/>
    </row>
    <row r="1611" spans="1:33" s="91" customFormat="1" ht="38.25" x14ac:dyDescent="0.2">
      <c r="A1611" s="13">
        <f t="shared" si="64"/>
        <v>146</v>
      </c>
      <c r="B1611" s="11"/>
      <c r="C1611" s="82" t="s">
        <v>1618</v>
      </c>
      <c r="D1611" s="1"/>
      <c r="E1611" s="83"/>
      <c r="F1611" s="83"/>
      <c r="G1611" s="84"/>
      <c r="H1611" s="85"/>
      <c r="I1611" s="18"/>
      <c r="J1611" s="5"/>
      <c r="K1611" s="5"/>
      <c r="L1611" s="4"/>
      <c r="M1611" s="4"/>
      <c r="N1611" s="82" t="s">
        <v>64</v>
      </c>
      <c r="O1611" s="86">
        <v>2</v>
      </c>
      <c r="P1611" s="4"/>
      <c r="Q1611" s="4"/>
      <c r="R1611" s="47" t="s">
        <v>1915</v>
      </c>
      <c r="S1611" s="87" t="s">
        <v>1133</v>
      </c>
      <c r="T1611" s="88">
        <v>6.12</v>
      </c>
      <c r="U1611" s="89"/>
      <c r="V1611" s="4"/>
      <c r="W1611" s="4"/>
      <c r="X1611" s="9"/>
      <c r="Y1611" s="84"/>
      <c r="Z1611" s="90"/>
      <c r="AA1611" s="84"/>
      <c r="AB1611" s="84"/>
      <c r="AC1611" s="84"/>
      <c r="AD1611" s="84"/>
      <c r="AE1611" s="84" t="s">
        <v>1188</v>
      </c>
      <c r="AF1611" s="84"/>
      <c r="AG1611" s="84"/>
    </row>
    <row r="1612" spans="1:33" s="91" customFormat="1" ht="32.25" customHeight="1" x14ac:dyDescent="0.2">
      <c r="A1612" s="13">
        <f t="shared" si="64"/>
        <v>146</v>
      </c>
      <c r="B1612" s="11"/>
      <c r="C1612" s="82"/>
      <c r="D1612" s="1"/>
      <c r="E1612" s="83"/>
      <c r="F1612" s="83"/>
      <c r="G1612" s="84"/>
      <c r="H1612" s="85"/>
      <c r="I1612" s="18"/>
      <c r="J1612" s="5"/>
      <c r="K1612" s="5"/>
      <c r="L1612" s="4"/>
      <c r="M1612" s="4"/>
      <c r="N1612" s="82" t="s">
        <v>67</v>
      </c>
      <c r="O1612" s="86">
        <v>2</v>
      </c>
      <c r="P1612" s="4"/>
      <c r="Q1612" s="4"/>
      <c r="R1612" s="47" t="s">
        <v>1945</v>
      </c>
      <c r="S1612" s="87" t="s">
        <v>1133</v>
      </c>
      <c r="T1612" s="88">
        <v>33.840000000000003</v>
      </c>
      <c r="U1612" s="89"/>
      <c r="V1612" s="4"/>
      <c r="W1612" s="4"/>
      <c r="X1612" s="9"/>
      <c r="Y1612" s="84"/>
      <c r="Z1612" s="90"/>
      <c r="AA1612" s="84"/>
      <c r="AB1612" s="84"/>
      <c r="AC1612" s="84"/>
      <c r="AD1612" s="84"/>
      <c r="AE1612" s="84" t="s">
        <v>1343</v>
      </c>
      <c r="AF1612" s="84"/>
      <c r="AG1612" s="84"/>
    </row>
    <row r="1613" spans="1:33" s="91" customFormat="1" ht="34.5" customHeight="1" x14ac:dyDescent="0.2">
      <c r="A1613" s="13">
        <f t="shared" si="64"/>
        <v>146</v>
      </c>
      <c r="B1613" s="11"/>
      <c r="C1613" s="82"/>
      <c r="D1613" s="1"/>
      <c r="E1613" s="83"/>
      <c r="F1613" s="83"/>
      <c r="G1613" s="84"/>
      <c r="H1613" s="85"/>
      <c r="I1613" s="18"/>
      <c r="J1613" s="5"/>
      <c r="K1613" s="5"/>
      <c r="L1613" s="4"/>
      <c r="M1613" s="4"/>
      <c r="N1613" s="82" t="s">
        <v>69</v>
      </c>
      <c r="O1613" s="86">
        <v>22</v>
      </c>
      <c r="P1613" s="4"/>
      <c r="Q1613" s="4"/>
      <c r="R1613" s="47" t="s">
        <v>1946</v>
      </c>
      <c r="S1613" s="87" t="s">
        <v>1133</v>
      </c>
      <c r="T1613" s="88">
        <v>4.08</v>
      </c>
      <c r="U1613" s="89"/>
      <c r="V1613" s="4"/>
      <c r="W1613" s="4"/>
      <c r="X1613" s="9"/>
      <c r="Y1613" s="84"/>
      <c r="Z1613" s="90"/>
      <c r="AA1613" s="84"/>
      <c r="AB1613" s="84"/>
      <c r="AC1613" s="84"/>
      <c r="AD1613" s="84"/>
      <c r="AE1613" s="84"/>
      <c r="AF1613" s="84"/>
      <c r="AG1613" s="84"/>
    </row>
    <row r="1614" spans="1:33" s="91" customFormat="1" ht="34.5" customHeight="1" x14ac:dyDescent="0.2">
      <c r="A1614" s="13">
        <f t="shared" si="64"/>
        <v>146</v>
      </c>
      <c r="B1614" s="11"/>
      <c r="C1614" s="84"/>
      <c r="D1614" s="1"/>
      <c r="E1614" s="83"/>
      <c r="F1614" s="83"/>
      <c r="G1614" s="84"/>
      <c r="H1614" s="85"/>
      <c r="I1614" s="18"/>
      <c r="J1614" s="5"/>
      <c r="K1614" s="5"/>
      <c r="L1614" s="4"/>
      <c r="M1614" s="4"/>
      <c r="N1614" s="82" t="s">
        <v>145</v>
      </c>
      <c r="O1614" s="86">
        <v>61</v>
      </c>
      <c r="P1614" s="4"/>
      <c r="Q1614" s="4"/>
      <c r="R1614" s="47" t="s">
        <v>1912</v>
      </c>
      <c r="S1614" s="87" t="s">
        <v>1133</v>
      </c>
      <c r="T1614" s="88">
        <v>50.7</v>
      </c>
      <c r="U1614" s="89"/>
      <c r="V1614" s="4"/>
      <c r="W1614" s="4"/>
      <c r="X1614" s="9"/>
      <c r="Y1614" s="84"/>
      <c r="Z1614" s="90"/>
      <c r="AA1614" s="84"/>
      <c r="AB1614" s="84"/>
      <c r="AC1614" s="84"/>
      <c r="AD1614" s="84"/>
      <c r="AE1614" s="82"/>
      <c r="AF1614" s="82"/>
      <c r="AG1614" s="82"/>
    </row>
    <row r="1615" spans="1:33" s="91" customFormat="1" ht="18.75" customHeight="1" x14ac:dyDescent="0.2">
      <c r="A1615" s="13">
        <f t="shared" si="64"/>
        <v>146</v>
      </c>
      <c r="B1615" s="11"/>
      <c r="C1615" s="84"/>
      <c r="D1615" s="1"/>
      <c r="E1615" s="83"/>
      <c r="F1615" s="83"/>
      <c r="G1615" s="84"/>
      <c r="H1615" s="85"/>
      <c r="I1615" s="18"/>
      <c r="J1615" s="5"/>
      <c r="K1615" s="5"/>
      <c r="L1615" s="4"/>
      <c r="M1615" s="4"/>
      <c r="N1615" s="82" t="s">
        <v>77</v>
      </c>
      <c r="O1615" s="86">
        <v>3</v>
      </c>
      <c r="P1615" s="4"/>
      <c r="Q1615" s="4"/>
      <c r="R1615" s="47" t="s">
        <v>1947</v>
      </c>
      <c r="S1615" s="87" t="s">
        <v>1133</v>
      </c>
      <c r="T1615" s="88">
        <v>4.32</v>
      </c>
      <c r="U1615" s="89"/>
      <c r="V1615" s="4"/>
      <c r="W1615" s="4"/>
      <c r="X1615" s="9"/>
      <c r="Y1615" s="84"/>
      <c r="Z1615" s="90"/>
      <c r="AA1615" s="84"/>
      <c r="AB1615" s="84"/>
      <c r="AC1615" s="84"/>
      <c r="AD1615" s="84"/>
      <c r="AE1615" s="82"/>
      <c r="AF1615" s="82"/>
      <c r="AG1615" s="82"/>
    </row>
    <row r="1616" spans="1:33" s="91" customFormat="1" ht="44.25" customHeight="1" x14ac:dyDescent="0.2">
      <c r="A1616" s="13">
        <f t="shared" si="64"/>
        <v>146</v>
      </c>
      <c r="B1616" s="11"/>
      <c r="C1616" s="84"/>
      <c r="D1616" s="1"/>
      <c r="E1616" s="83"/>
      <c r="F1616" s="83"/>
      <c r="G1616" s="84"/>
      <c r="H1616" s="85"/>
      <c r="I1616" s="18"/>
      <c r="J1616" s="5"/>
      <c r="K1616" s="5"/>
      <c r="L1616" s="4"/>
      <c r="M1616" s="4"/>
      <c r="N1616" s="82" t="s">
        <v>1228</v>
      </c>
      <c r="O1616" s="86">
        <v>1</v>
      </c>
      <c r="P1616" s="4"/>
      <c r="Q1616" s="4"/>
      <c r="R1616" s="47" t="s">
        <v>1948</v>
      </c>
      <c r="S1616" s="87" t="s">
        <v>1133</v>
      </c>
      <c r="T1616" s="88">
        <v>20.979999999999997</v>
      </c>
      <c r="U1616" s="89"/>
      <c r="V1616" s="4"/>
      <c r="W1616" s="4"/>
      <c r="X1616" s="9"/>
      <c r="Y1616" s="84"/>
      <c r="Z1616" s="90"/>
      <c r="AA1616" s="84"/>
      <c r="AB1616" s="84"/>
      <c r="AC1616" s="84"/>
      <c r="AD1616" s="84"/>
      <c r="AE1616" s="82"/>
      <c r="AF1616" s="82"/>
      <c r="AG1616" s="82"/>
    </row>
    <row r="1617" spans="1:33" s="91" customFormat="1" ht="28.5" customHeight="1" x14ac:dyDescent="0.2">
      <c r="A1617" s="13">
        <f t="shared" si="64"/>
        <v>146</v>
      </c>
      <c r="B1617" s="11"/>
      <c r="C1617" s="84"/>
      <c r="D1617" s="1"/>
      <c r="E1617" s="83"/>
      <c r="F1617" s="83"/>
      <c r="G1617" s="84"/>
      <c r="H1617" s="85"/>
      <c r="I1617" s="18"/>
      <c r="J1617" s="5"/>
      <c r="K1617" s="5"/>
      <c r="L1617" s="4"/>
      <c r="M1617" s="4"/>
      <c r="N1617" s="82" t="s">
        <v>1218</v>
      </c>
      <c r="O1617" s="86">
        <v>1</v>
      </c>
      <c r="P1617" s="4"/>
      <c r="Q1617" s="4"/>
      <c r="R1617" s="47" t="s">
        <v>1916</v>
      </c>
      <c r="S1617" s="87" t="s">
        <v>1133</v>
      </c>
      <c r="T1617" s="88">
        <v>31.000000000000004</v>
      </c>
      <c r="U1617" s="89"/>
      <c r="V1617" s="4"/>
      <c r="W1617" s="4"/>
      <c r="X1617" s="9"/>
      <c r="Y1617" s="84"/>
      <c r="Z1617" s="90"/>
      <c r="AA1617" s="84"/>
      <c r="AB1617" s="84"/>
      <c r="AC1617" s="84"/>
      <c r="AD1617" s="84"/>
      <c r="AE1617" s="82"/>
      <c r="AF1617" s="82"/>
      <c r="AG1617" s="82"/>
    </row>
    <row r="1618" spans="1:33" s="91" customFormat="1" ht="28.5" customHeight="1" x14ac:dyDescent="0.2">
      <c r="A1618" s="13">
        <f t="shared" si="64"/>
        <v>146</v>
      </c>
      <c r="B1618" s="11"/>
      <c r="C1618" s="84"/>
      <c r="D1618" s="1"/>
      <c r="E1618" s="83"/>
      <c r="F1618" s="83"/>
      <c r="G1618" s="84"/>
      <c r="H1618" s="85"/>
      <c r="I1618" s="18"/>
      <c r="J1618" s="5"/>
      <c r="K1618" s="5"/>
      <c r="L1618" s="4"/>
      <c r="M1618" s="4"/>
      <c r="N1618" s="82" t="s">
        <v>408</v>
      </c>
      <c r="O1618" s="86">
        <v>1</v>
      </c>
      <c r="P1618" s="4"/>
      <c r="Q1618" s="4"/>
      <c r="R1618" s="47" t="s">
        <v>1949</v>
      </c>
      <c r="S1618" s="87" t="s">
        <v>1133</v>
      </c>
      <c r="T1618" s="88">
        <v>3.2</v>
      </c>
      <c r="U1618" s="89"/>
      <c r="V1618" s="4"/>
      <c r="W1618" s="4"/>
      <c r="X1618" s="9"/>
      <c r="Y1618" s="84"/>
      <c r="Z1618" s="90"/>
      <c r="AA1618" s="84"/>
      <c r="AB1618" s="84"/>
      <c r="AC1618" s="84"/>
      <c r="AD1618" s="84"/>
      <c r="AE1618" s="82"/>
      <c r="AF1618" s="82"/>
      <c r="AG1618" s="82"/>
    </row>
    <row r="1619" spans="1:33" s="91" customFormat="1" ht="18.75" customHeight="1" x14ac:dyDescent="0.2">
      <c r="A1619" s="13">
        <f t="shared" si="64"/>
        <v>146</v>
      </c>
      <c r="B1619" s="11"/>
      <c r="C1619" s="84"/>
      <c r="D1619" s="1"/>
      <c r="E1619" s="83"/>
      <c r="F1619" s="83"/>
      <c r="G1619" s="84"/>
      <c r="H1619" s="85"/>
      <c r="I1619" s="18"/>
      <c r="J1619" s="5"/>
      <c r="K1619" s="5"/>
      <c r="L1619" s="4"/>
      <c r="M1619" s="4"/>
      <c r="N1619" s="82" t="s">
        <v>165</v>
      </c>
      <c r="O1619" s="86">
        <v>3</v>
      </c>
      <c r="P1619" s="4"/>
      <c r="Q1619" s="4"/>
      <c r="R1619" s="47" t="s">
        <v>1902</v>
      </c>
      <c r="S1619" s="87" t="s">
        <v>1133</v>
      </c>
      <c r="T1619" s="88">
        <v>127.2</v>
      </c>
      <c r="U1619" s="89"/>
      <c r="V1619" s="4"/>
      <c r="W1619" s="4"/>
      <c r="X1619" s="9"/>
      <c r="Y1619" s="84"/>
      <c r="Z1619" s="90"/>
      <c r="AA1619" s="84"/>
      <c r="AB1619" s="84"/>
      <c r="AC1619" s="84"/>
      <c r="AD1619" s="84"/>
      <c r="AE1619" s="82"/>
      <c r="AF1619" s="82"/>
      <c r="AG1619" s="82"/>
    </row>
    <row r="1620" spans="1:33" s="91" customFormat="1" ht="18.75" customHeight="1" x14ac:dyDescent="0.2">
      <c r="A1620" s="13">
        <f t="shared" si="64"/>
        <v>146</v>
      </c>
      <c r="B1620" s="11"/>
      <c r="C1620" s="84"/>
      <c r="D1620" s="1"/>
      <c r="E1620" s="83"/>
      <c r="F1620" s="83"/>
      <c r="G1620" s="84"/>
      <c r="H1620" s="85"/>
      <c r="I1620" s="18"/>
      <c r="J1620" s="5"/>
      <c r="K1620" s="5"/>
      <c r="L1620" s="4"/>
      <c r="M1620" s="4"/>
      <c r="N1620" s="82" t="s">
        <v>1345</v>
      </c>
      <c r="O1620" s="86">
        <v>4</v>
      </c>
      <c r="P1620" s="4"/>
      <c r="Q1620" s="4"/>
      <c r="R1620" s="47" t="s">
        <v>1950</v>
      </c>
      <c r="S1620" s="87" t="s">
        <v>1286</v>
      </c>
      <c r="T1620" s="88">
        <v>65.024999999999991</v>
      </c>
      <c r="U1620" s="89"/>
      <c r="V1620" s="4"/>
      <c r="W1620" s="4"/>
      <c r="X1620" s="9"/>
      <c r="Y1620" s="84"/>
      <c r="Z1620" s="90"/>
      <c r="AA1620" s="84"/>
      <c r="AB1620" s="84"/>
      <c r="AC1620" s="84"/>
      <c r="AD1620" s="84"/>
      <c r="AE1620" s="82"/>
      <c r="AF1620" s="82"/>
      <c r="AG1620" s="82"/>
    </row>
    <row r="1621" spans="1:33" s="91" customFormat="1" ht="27" customHeight="1" x14ac:dyDescent="0.2">
      <c r="A1621" s="13">
        <f t="shared" si="64"/>
        <v>146</v>
      </c>
      <c r="B1621" s="11"/>
      <c r="C1621" s="84"/>
      <c r="D1621" s="1"/>
      <c r="E1621" s="83"/>
      <c r="F1621" s="83"/>
      <c r="G1621" s="84"/>
      <c r="H1621" s="85"/>
      <c r="I1621" s="18"/>
      <c r="J1621" s="5"/>
      <c r="K1621" s="5"/>
      <c r="L1621" s="4"/>
      <c r="M1621" s="4"/>
      <c r="N1621" s="82" t="s">
        <v>1346</v>
      </c>
      <c r="O1621" s="86">
        <v>3</v>
      </c>
      <c r="P1621" s="4"/>
      <c r="Q1621" s="4"/>
      <c r="R1621" s="47" t="s">
        <v>1951</v>
      </c>
      <c r="S1621" s="87" t="s">
        <v>93</v>
      </c>
      <c r="T1621" s="88">
        <v>1</v>
      </c>
      <c r="U1621" s="89"/>
      <c r="V1621" s="4"/>
      <c r="W1621" s="4"/>
      <c r="X1621" s="9"/>
      <c r="Y1621" s="84"/>
      <c r="Z1621" s="90"/>
      <c r="AA1621" s="84"/>
      <c r="AB1621" s="84"/>
      <c r="AC1621" s="84"/>
      <c r="AD1621" s="84"/>
      <c r="AE1621" s="82"/>
      <c r="AF1621" s="82"/>
      <c r="AG1621" s="82"/>
    </row>
    <row r="1622" spans="1:33" s="91" customFormat="1" ht="27" customHeight="1" x14ac:dyDescent="0.2">
      <c r="A1622" s="13">
        <f t="shared" si="64"/>
        <v>146</v>
      </c>
      <c r="B1622" s="11"/>
      <c r="C1622" s="84"/>
      <c r="D1622" s="1"/>
      <c r="E1622" s="83"/>
      <c r="F1622" s="83"/>
      <c r="G1622" s="84"/>
      <c r="H1622" s="85"/>
      <c r="I1622" s="18"/>
      <c r="J1622" s="5"/>
      <c r="K1622" s="5"/>
      <c r="L1622" s="4"/>
      <c r="M1622" s="4"/>
      <c r="N1622" s="82" t="s">
        <v>1348</v>
      </c>
      <c r="O1622" s="86">
        <v>1</v>
      </c>
      <c r="P1622" s="4"/>
      <c r="Q1622" s="4"/>
      <c r="R1622" s="47" t="s">
        <v>1952</v>
      </c>
      <c r="S1622" s="87" t="s">
        <v>93</v>
      </c>
      <c r="T1622" s="88">
        <v>1</v>
      </c>
      <c r="U1622" s="89"/>
      <c r="V1622" s="4"/>
      <c r="W1622" s="4"/>
      <c r="X1622" s="9"/>
      <c r="Y1622" s="84"/>
      <c r="Z1622" s="90"/>
      <c r="AA1622" s="84"/>
      <c r="AB1622" s="84"/>
      <c r="AC1622" s="84"/>
      <c r="AD1622" s="84"/>
      <c r="AE1622" s="82"/>
      <c r="AF1622" s="82"/>
      <c r="AG1622" s="82"/>
    </row>
    <row r="1623" spans="1:33" s="91" customFormat="1" ht="27" customHeight="1" x14ac:dyDescent="0.2">
      <c r="A1623" s="13">
        <f t="shared" si="64"/>
        <v>146</v>
      </c>
      <c r="B1623" s="11"/>
      <c r="C1623" s="84"/>
      <c r="D1623" s="1"/>
      <c r="E1623" s="83"/>
      <c r="F1623" s="83"/>
      <c r="G1623" s="84"/>
      <c r="H1623" s="85"/>
      <c r="I1623" s="18"/>
      <c r="J1623" s="5"/>
      <c r="K1623" s="5"/>
      <c r="L1623" s="4"/>
      <c r="M1623" s="4"/>
      <c r="N1623" s="82" t="s">
        <v>1349</v>
      </c>
      <c r="O1623" s="86">
        <v>1</v>
      </c>
      <c r="P1623" s="4"/>
      <c r="Q1623" s="4"/>
      <c r="R1623" s="47" t="s">
        <v>1912</v>
      </c>
      <c r="S1623" s="87" t="s">
        <v>1133</v>
      </c>
      <c r="T1623" s="88">
        <v>25.7</v>
      </c>
      <c r="U1623" s="89"/>
      <c r="V1623" s="4"/>
      <c r="W1623" s="4"/>
      <c r="X1623" s="9"/>
      <c r="Y1623" s="84"/>
      <c r="Z1623" s="90"/>
      <c r="AA1623" s="84"/>
      <c r="AB1623" s="84"/>
      <c r="AC1623" s="84"/>
      <c r="AD1623" s="84"/>
      <c r="AE1623" s="82"/>
      <c r="AF1623" s="82"/>
      <c r="AG1623" s="82"/>
    </row>
    <row r="1624" spans="1:33" s="91" customFormat="1" ht="33" customHeight="1" x14ac:dyDescent="0.2">
      <c r="A1624" s="13">
        <f t="shared" si="64"/>
        <v>146</v>
      </c>
      <c r="B1624" s="11"/>
      <c r="C1624" s="84"/>
      <c r="D1624" s="1"/>
      <c r="E1624" s="83"/>
      <c r="F1624" s="83"/>
      <c r="G1624" s="84"/>
      <c r="H1624" s="85"/>
      <c r="I1624" s="18"/>
      <c r="J1624" s="5"/>
      <c r="K1624" s="5"/>
      <c r="L1624" s="4"/>
      <c r="M1624" s="4"/>
      <c r="N1624" s="82" t="s">
        <v>1350</v>
      </c>
      <c r="O1624" s="86">
        <v>6</v>
      </c>
      <c r="P1624" s="4"/>
      <c r="Q1624" s="4"/>
      <c r="R1624" s="47" t="s">
        <v>1953</v>
      </c>
      <c r="S1624" s="87" t="s">
        <v>1133</v>
      </c>
      <c r="T1624" s="88">
        <v>0.52</v>
      </c>
      <c r="U1624" s="89"/>
      <c r="V1624" s="4"/>
      <c r="W1624" s="4"/>
      <c r="X1624" s="9"/>
      <c r="Y1624" s="84"/>
      <c r="Z1624" s="90"/>
      <c r="AA1624" s="84"/>
      <c r="AB1624" s="84"/>
      <c r="AC1624" s="84"/>
      <c r="AD1624" s="84"/>
      <c r="AE1624" s="82"/>
      <c r="AF1624" s="82"/>
      <c r="AG1624" s="82"/>
    </row>
    <row r="1625" spans="1:33" s="91" customFormat="1" ht="33" customHeight="1" x14ac:dyDescent="0.2">
      <c r="A1625" s="13">
        <f t="shared" si="64"/>
        <v>146</v>
      </c>
      <c r="B1625" s="11"/>
      <c r="C1625" s="84"/>
      <c r="D1625" s="1"/>
      <c r="E1625" s="83"/>
      <c r="F1625" s="83"/>
      <c r="G1625" s="84"/>
      <c r="H1625" s="85"/>
      <c r="I1625" s="18"/>
      <c r="J1625" s="5"/>
      <c r="K1625" s="5"/>
      <c r="L1625" s="4"/>
      <c r="M1625" s="4"/>
      <c r="N1625" s="82" t="s">
        <v>798</v>
      </c>
      <c r="O1625" s="86">
        <v>13</v>
      </c>
      <c r="P1625" s="4"/>
      <c r="Q1625" s="4"/>
      <c r="R1625" s="47" t="s">
        <v>1954</v>
      </c>
      <c r="S1625" s="87" t="s">
        <v>1133</v>
      </c>
      <c r="T1625" s="88">
        <v>11.440000000000001</v>
      </c>
      <c r="U1625" s="89"/>
      <c r="V1625" s="4"/>
      <c r="W1625" s="4"/>
      <c r="X1625" s="9"/>
      <c r="Y1625" s="84"/>
      <c r="Z1625" s="90"/>
      <c r="AA1625" s="84"/>
      <c r="AB1625" s="84"/>
      <c r="AC1625" s="84"/>
      <c r="AD1625" s="84"/>
      <c r="AE1625" s="82"/>
      <c r="AF1625" s="82"/>
      <c r="AG1625" s="82"/>
    </row>
    <row r="1626" spans="1:33" s="91" customFormat="1" ht="33" customHeight="1" x14ac:dyDescent="0.2">
      <c r="A1626" s="13">
        <f t="shared" si="64"/>
        <v>146</v>
      </c>
      <c r="B1626" s="11"/>
      <c r="C1626" s="84"/>
      <c r="D1626" s="1"/>
      <c r="E1626" s="83"/>
      <c r="F1626" s="83"/>
      <c r="G1626" s="84"/>
      <c r="H1626" s="85"/>
      <c r="I1626" s="18"/>
      <c r="J1626" s="5"/>
      <c r="K1626" s="5"/>
      <c r="L1626" s="4"/>
      <c r="M1626" s="4"/>
      <c r="N1626" s="82" t="s">
        <v>1351</v>
      </c>
      <c r="O1626" s="86">
        <v>5</v>
      </c>
      <c r="P1626" s="4"/>
      <c r="Q1626" s="4"/>
      <c r="R1626" s="47" t="s">
        <v>1955</v>
      </c>
      <c r="S1626" s="87" t="s">
        <v>1133</v>
      </c>
      <c r="T1626" s="88">
        <v>19.8</v>
      </c>
      <c r="U1626" s="89"/>
      <c r="V1626" s="4"/>
      <c r="W1626" s="4"/>
      <c r="X1626" s="9"/>
      <c r="Y1626" s="84"/>
      <c r="Z1626" s="90"/>
      <c r="AA1626" s="84"/>
      <c r="AB1626" s="84"/>
      <c r="AC1626" s="84"/>
      <c r="AD1626" s="84"/>
      <c r="AE1626" s="82"/>
      <c r="AF1626" s="82"/>
      <c r="AG1626" s="82"/>
    </row>
    <row r="1627" spans="1:33" s="91" customFormat="1" ht="18.75" customHeight="1" x14ac:dyDescent="0.2">
      <c r="A1627" s="13">
        <f t="shared" si="64"/>
        <v>146</v>
      </c>
      <c r="B1627" s="11"/>
      <c r="C1627" s="84"/>
      <c r="D1627" s="1"/>
      <c r="E1627" s="83"/>
      <c r="F1627" s="83"/>
      <c r="G1627" s="84"/>
      <c r="H1627" s="85"/>
      <c r="I1627" s="18"/>
      <c r="J1627" s="5"/>
      <c r="K1627" s="5"/>
      <c r="L1627" s="4"/>
      <c r="M1627" s="4"/>
      <c r="N1627" s="82" t="s">
        <v>400</v>
      </c>
      <c r="O1627" s="86">
        <v>26</v>
      </c>
      <c r="P1627" s="4"/>
      <c r="Q1627" s="4"/>
      <c r="R1627" s="47" t="s">
        <v>1956</v>
      </c>
      <c r="S1627" s="87" t="s">
        <v>1286</v>
      </c>
      <c r="T1627" s="88">
        <v>0.18000000000000005</v>
      </c>
      <c r="U1627" s="89"/>
      <c r="V1627" s="4"/>
      <c r="W1627" s="4"/>
      <c r="X1627" s="9"/>
      <c r="Y1627" s="84"/>
      <c r="Z1627" s="90"/>
      <c r="AA1627" s="84"/>
      <c r="AB1627" s="84"/>
      <c r="AC1627" s="84"/>
      <c r="AD1627" s="84"/>
      <c r="AE1627" s="82"/>
      <c r="AF1627" s="82"/>
      <c r="AG1627" s="82"/>
    </row>
    <row r="1628" spans="1:33" s="91" customFormat="1" ht="36" customHeight="1" x14ac:dyDescent="0.2">
      <c r="A1628" s="13">
        <f t="shared" si="64"/>
        <v>146</v>
      </c>
      <c r="B1628" s="11"/>
      <c r="C1628" s="84"/>
      <c r="D1628" s="1"/>
      <c r="E1628" s="83"/>
      <c r="F1628" s="83"/>
      <c r="G1628" s="84"/>
      <c r="H1628" s="85"/>
      <c r="I1628" s="18"/>
      <c r="J1628" s="5"/>
      <c r="K1628" s="5"/>
      <c r="L1628" s="4"/>
      <c r="M1628" s="4"/>
      <c r="N1628" s="195" t="s">
        <v>1352</v>
      </c>
      <c r="O1628" s="86">
        <v>5</v>
      </c>
      <c r="P1628" s="4"/>
      <c r="Q1628" s="4"/>
      <c r="R1628" s="47" t="s">
        <v>1957</v>
      </c>
      <c r="S1628" s="87" t="s">
        <v>1133</v>
      </c>
      <c r="T1628" s="88">
        <v>8</v>
      </c>
      <c r="U1628" s="89"/>
      <c r="V1628" s="4"/>
      <c r="W1628" s="4"/>
      <c r="X1628" s="9"/>
      <c r="Y1628" s="84"/>
      <c r="Z1628" s="90"/>
      <c r="AA1628" s="84"/>
      <c r="AB1628" s="84"/>
      <c r="AC1628" s="84"/>
      <c r="AD1628" s="84"/>
      <c r="AE1628" s="82"/>
      <c r="AF1628" s="82"/>
      <c r="AG1628" s="82"/>
    </row>
    <row r="1629" spans="1:33" s="91" customFormat="1" ht="36" customHeight="1" x14ac:dyDescent="0.2">
      <c r="A1629" s="13">
        <f t="shared" si="64"/>
        <v>146</v>
      </c>
      <c r="B1629" s="11"/>
      <c r="C1629" s="84"/>
      <c r="D1629" s="1"/>
      <c r="E1629" s="83"/>
      <c r="F1629" s="83"/>
      <c r="G1629" s="84"/>
      <c r="H1629" s="85"/>
      <c r="I1629" s="18"/>
      <c r="J1629" s="5"/>
      <c r="K1629" s="5"/>
      <c r="L1629" s="4"/>
      <c r="M1629" s="4"/>
      <c r="N1629" s="82" t="s">
        <v>1353</v>
      </c>
      <c r="O1629" s="86">
        <v>1</v>
      </c>
      <c r="P1629" s="4"/>
      <c r="Q1629" s="4"/>
      <c r="R1629" s="47" t="s">
        <v>1945</v>
      </c>
      <c r="S1629" s="87" t="s">
        <v>1133</v>
      </c>
      <c r="T1629" s="88">
        <v>7.2</v>
      </c>
      <c r="U1629" s="89"/>
      <c r="V1629" s="4"/>
      <c r="W1629" s="4"/>
      <c r="X1629" s="9"/>
      <c r="Y1629" s="84"/>
      <c r="Z1629" s="90"/>
      <c r="AA1629" s="84"/>
      <c r="AB1629" s="84"/>
      <c r="AC1629" s="84"/>
      <c r="AD1629" s="84"/>
      <c r="AE1629" s="82"/>
      <c r="AF1629" s="82"/>
      <c r="AG1629" s="82"/>
    </row>
    <row r="1630" spans="1:33" s="91" customFormat="1" ht="25.5" x14ac:dyDescent="0.2">
      <c r="A1630" s="13">
        <f t="shared" si="64"/>
        <v>146</v>
      </c>
      <c r="B1630" s="11"/>
      <c r="C1630" s="84"/>
      <c r="D1630" s="1"/>
      <c r="E1630" s="83"/>
      <c r="F1630" s="83"/>
      <c r="G1630" s="84"/>
      <c r="H1630" s="85"/>
      <c r="I1630" s="18"/>
      <c r="J1630" s="5"/>
      <c r="K1630" s="5"/>
      <c r="L1630" s="4"/>
      <c r="M1630" s="4"/>
      <c r="N1630" s="82" t="s">
        <v>1354</v>
      </c>
      <c r="O1630" s="86">
        <v>903</v>
      </c>
      <c r="P1630" s="4"/>
      <c r="Q1630" s="4"/>
      <c r="R1630" s="47"/>
      <c r="S1630" s="87"/>
      <c r="T1630" s="88"/>
      <c r="U1630" s="89"/>
      <c r="V1630" s="4"/>
      <c r="W1630" s="4"/>
      <c r="X1630" s="9"/>
      <c r="Y1630" s="84"/>
      <c r="Z1630" s="90"/>
      <c r="AA1630" s="84"/>
      <c r="AB1630" s="84"/>
      <c r="AC1630" s="84"/>
      <c r="AD1630" s="84"/>
      <c r="AE1630" s="82"/>
      <c r="AF1630" s="82"/>
      <c r="AG1630" s="82"/>
    </row>
    <row r="1631" spans="1:33" s="91" customFormat="1" ht="12.75" x14ac:dyDescent="0.2">
      <c r="A1631" s="13">
        <f t="shared" si="64"/>
        <v>146</v>
      </c>
      <c r="B1631" s="11"/>
      <c r="C1631" s="84"/>
      <c r="D1631" s="1"/>
      <c r="E1631" s="83"/>
      <c r="F1631" s="83"/>
      <c r="G1631" s="84"/>
      <c r="H1631" s="85"/>
      <c r="I1631" s="18"/>
      <c r="J1631" s="5"/>
      <c r="K1631" s="5"/>
      <c r="L1631" s="4"/>
      <c r="M1631" s="4"/>
      <c r="N1631" s="82"/>
      <c r="O1631" s="86"/>
      <c r="P1631" s="4"/>
      <c r="Q1631" s="4"/>
      <c r="R1631" s="47"/>
      <c r="S1631" s="87"/>
      <c r="T1631" s="88"/>
      <c r="U1631" s="89"/>
      <c r="V1631" s="4"/>
      <c r="W1631" s="4"/>
      <c r="X1631" s="9"/>
      <c r="Y1631" s="84"/>
      <c r="Z1631" s="90"/>
      <c r="AA1631" s="84"/>
      <c r="AB1631" s="84"/>
      <c r="AC1631" s="84"/>
      <c r="AD1631" s="84"/>
      <c r="AE1631" s="82"/>
      <c r="AF1631" s="82"/>
      <c r="AG1631" s="82"/>
    </row>
    <row r="1632" spans="1:33" s="91" customFormat="1" ht="12.75" x14ac:dyDescent="0.2">
      <c r="A1632" s="13">
        <f t="shared" si="64"/>
        <v>146</v>
      </c>
      <c r="B1632" s="11"/>
      <c r="C1632" s="84"/>
      <c r="D1632" s="1"/>
      <c r="E1632" s="83"/>
      <c r="F1632" s="83"/>
      <c r="G1632" s="84"/>
      <c r="H1632" s="85"/>
      <c r="I1632" s="18"/>
      <c r="J1632" s="5"/>
      <c r="K1632" s="5"/>
      <c r="L1632" s="4"/>
      <c r="M1632" s="4"/>
      <c r="N1632" s="82"/>
      <c r="O1632" s="86"/>
      <c r="P1632" s="4"/>
      <c r="Q1632" s="4"/>
      <c r="R1632" s="47"/>
      <c r="S1632" s="87"/>
      <c r="T1632" s="88"/>
      <c r="U1632" s="89"/>
      <c r="V1632" s="4"/>
      <c r="W1632" s="4"/>
      <c r="X1632" s="9"/>
      <c r="Y1632" s="84"/>
      <c r="Z1632" s="90"/>
      <c r="AA1632" s="84"/>
      <c r="AB1632" s="84"/>
      <c r="AC1632" s="84"/>
      <c r="AD1632" s="84"/>
      <c r="AE1632" s="1"/>
      <c r="AF1632" s="1"/>
      <c r="AG1632" s="1"/>
    </row>
    <row r="1633" spans="1:33" s="91" customFormat="1" ht="12.75" x14ac:dyDescent="0.2">
      <c r="A1633" s="13">
        <f t="shared" si="64"/>
        <v>146</v>
      </c>
      <c r="B1633" s="11"/>
      <c r="C1633" s="82"/>
      <c r="D1633" s="1"/>
      <c r="E1633" s="83"/>
      <c r="F1633" s="83"/>
      <c r="G1633" s="84"/>
      <c r="H1633" s="85"/>
      <c r="I1633" s="18"/>
      <c r="J1633" s="5"/>
      <c r="K1633" s="5"/>
      <c r="L1633" s="4"/>
      <c r="M1633" s="4"/>
      <c r="N1633" s="82"/>
      <c r="O1633" s="86"/>
      <c r="P1633" s="4"/>
      <c r="Q1633" s="4"/>
      <c r="R1633" s="47"/>
      <c r="S1633" s="87"/>
      <c r="T1633" s="88"/>
      <c r="U1633" s="89"/>
      <c r="V1633" s="4"/>
      <c r="W1633" s="4"/>
      <c r="X1633" s="9"/>
      <c r="Y1633" s="84"/>
      <c r="Z1633" s="90"/>
      <c r="AA1633" s="84"/>
      <c r="AB1633" s="84"/>
      <c r="AC1633" s="84"/>
      <c r="AD1633" s="84"/>
      <c r="AE1633" s="84"/>
      <c r="AF1633" s="84"/>
      <c r="AG1633" s="84"/>
    </row>
    <row r="1634" spans="1:33" s="91" customFormat="1" ht="12.75" x14ac:dyDescent="0.2">
      <c r="A1634" s="13">
        <f t="shared" si="64"/>
        <v>146</v>
      </c>
      <c r="B1634" s="11"/>
      <c r="C1634" s="82"/>
      <c r="D1634" s="1"/>
      <c r="E1634" s="83"/>
      <c r="F1634" s="83"/>
      <c r="G1634" s="84"/>
      <c r="H1634" s="85"/>
      <c r="I1634" s="18"/>
      <c r="J1634" s="5"/>
      <c r="K1634" s="5"/>
      <c r="L1634" s="4"/>
      <c r="M1634" s="4"/>
      <c r="N1634" s="82"/>
      <c r="O1634" s="86"/>
      <c r="P1634" s="4"/>
      <c r="Q1634" s="4"/>
      <c r="R1634" s="47"/>
      <c r="S1634" s="87"/>
      <c r="T1634" s="88"/>
      <c r="U1634" s="89"/>
      <c r="V1634" s="4"/>
      <c r="W1634" s="4"/>
      <c r="X1634" s="9"/>
      <c r="Y1634" s="84"/>
      <c r="Z1634" s="90"/>
      <c r="AA1634" s="84"/>
      <c r="AB1634" s="84"/>
      <c r="AC1634" s="84"/>
      <c r="AD1634" s="84"/>
      <c r="AE1634" s="84"/>
      <c r="AF1634" s="84"/>
      <c r="AG1634" s="84"/>
    </row>
    <row r="1635" spans="1:33" s="91" customFormat="1" ht="33" customHeight="1" x14ac:dyDescent="0.2">
      <c r="A1635" s="13">
        <f t="shared" si="64"/>
        <v>147</v>
      </c>
      <c r="B1635" s="11">
        <v>147</v>
      </c>
      <c r="C1635" s="92" t="s">
        <v>1355</v>
      </c>
      <c r="D1635" s="1"/>
      <c r="E1635" s="87"/>
      <c r="F1635" s="87"/>
      <c r="G1635" s="84"/>
      <c r="H1635" s="85"/>
      <c r="I1635" s="18"/>
      <c r="J1635" s="5"/>
      <c r="K1635" s="5"/>
      <c r="L1635" s="4"/>
      <c r="M1635" s="4"/>
      <c r="N1635" s="82"/>
      <c r="O1635" s="86"/>
      <c r="P1635" s="4"/>
      <c r="Q1635" s="4"/>
      <c r="R1635" s="47" t="s">
        <v>1958</v>
      </c>
      <c r="S1635" s="87" t="s">
        <v>1133</v>
      </c>
      <c r="T1635" s="88">
        <v>162.57000000000002</v>
      </c>
      <c r="U1635" s="89"/>
      <c r="V1635" s="4"/>
      <c r="W1635" s="4"/>
      <c r="X1635" s="158" t="s">
        <v>1138</v>
      </c>
      <c r="Y1635" s="4" t="s">
        <v>1139</v>
      </c>
      <c r="Z1635" s="4" t="s">
        <v>56</v>
      </c>
      <c r="AA1635" s="32" t="s">
        <v>269</v>
      </c>
      <c r="AB1635" s="3" t="s">
        <v>1138</v>
      </c>
      <c r="AC1635" s="4"/>
      <c r="AD1635" s="84"/>
      <c r="AE1635" s="84" t="s">
        <v>1356</v>
      </c>
      <c r="AF1635" s="84"/>
      <c r="AG1635" s="84"/>
    </row>
    <row r="1636" spans="1:33" s="91" customFormat="1" ht="25.5" x14ac:dyDescent="0.2">
      <c r="A1636" s="13">
        <f t="shared" si="64"/>
        <v>147</v>
      </c>
      <c r="B1636" s="11"/>
      <c r="C1636" s="82" t="s">
        <v>1357</v>
      </c>
      <c r="D1636" s="1"/>
      <c r="E1636" s="87"/>
      <c r="F1636" s="87"/>
      <c r="G1636" s="84"/>
      <c r="H1636" s="85"/>
      <c r="I1636" s="18"/>
      <c r="J1636" s="5"/>
      <c r="K1636" s="5"/>
      <c r="L1636" s="4"/>
      <c r="M1636" s="4"/>
      <c r="N1636" s="82"/>
      <c r="O1636" s="86"/>
      <c r="P1636" s="4"/>
      <c r="Q1636" s="4"/>
      <c r="R1636" s="47" t="s">
        <v>1959</v>
      </c>
      <c r="S1636" s="87" t="s">
        <v>1133</v>
      </c>
      <c r="T1636" s="88">
        <v>17.849999999999998</v>
      </c>
      <c r="U1636" s="89"/>
      <c r="V1636" s="4"/>
      <c r="W1636" s="4"/>
      <c r="X1636" s="9"/>
      <c r="Y1636" s="84"/>
      <c r="Z1636" s="90"/>
      <c r="AA1636" s="84"/>
      <c r="AB1636" s="84"/>
      <c r="AC1636" s="84"/>
      <c r="AD1636" s="84"/>
      <c r="AE1636" s="84" t="s">
        <v>1146</v>
      </c>
      <c r="AF1636" s="84"/>
      <c r="AG1636" s="84"/>
    </row>
    <row r="1637" spans="1:33" s="91" customFormat="1" ht="38.25" x14ac:dyDescent="0.2">
      <c r="A1637" s="13">
        <f t="shared" si="64"/>
        <v>147</v>
      </c>
      <c r="B1637" s="11"/>
      <c r="C1637" s="82" t="s">
        <v>1619</v>
      </c>
      <c r="D1637" s="1"/>
      <c r="E1637" s="87"/>
      <c r="F1637" s="87"/>
      <c r="G1637" s="84"/>
      <c r="H1637" s="85"/>
      <c r="I1637" s="18"/>
      <c r="J1637" s="5"/>
      <c r="K1637" s="5"/>
      <c r="L1637" s="4"/>
      <c r="M1637" s="4"/>
      <c r="N1637" s="82"/>
      <c r="O1637" s="86"/>
      <c r="P1637" s="4"/>
      <c r="Q1637" s="4"/>
      <c r="R1637" s="47" t="s">
        <v>1347</v>
      </c>
      <c r="S1637" s="87" t="s">
        <v>93</v>
      </c>
      <c r="T1637" s="88">
        <v>1</v>
      </c>
      <c r="U1637" s="89"/>
      <c r="V1637" s="4"/>
      <c r="W1637" s="4"/>
      <c r="X1637" s="9"/>
      <c r="Y1637" s="84"/>
      <c r="Z1637" s="90"/>
      <c r="AA1637" s="84"/>
      <c r="AB1637" s="84"/>
      <c r="AC1637" s="84"/>
      <c r="AD1637" s="84"/>
      <c r="AE1637" s="84"/>
      <c r="AF1637" s="84"/>
      <c r="AG1637" s="84"/>
    </row>
    <row r="1638" spans="1:33" s="91" customFormat="1" ht="39" customHeight="1" x14ac:dyDescent="0.2">
      <c r="A1638" s="13">
        <f t="shared" si="64"/>
        <v>147</v>
      </c>
      <c r="B1638" s="11"/>
      <c r="C1638" s="82"/>
      <c r="D1638" s="1"/>
      <c r="E1638" s="83"/>
      <c r="F1638" s="83"/>
      <c r="G1638" s="84"/>
      <c r="H1638" s="85"/>
      <c r="I1638" s="18"/>
      <c r="J1638" s="5"/>
      <c r="K1638" s="5"/>
      <c r="L1638" s="4"/>
      <c r="M1638" s="4"/>
      <c r="N1638" s="82"/>
      <c r="O1638" s="86"/>
      <c r="P1638" s="4"/>
      <c r="Q1638" s="4"/>
      <c r="R1638" s="47" t="s">
        <v>1912</v>
      </c>
      <c r="S1638" s="87" t="s">
        <v>1133</v>
      </c>
      <c r="T1638" s="88">
        <v>52.3</v>
      </c>
      <c r="U1638" s="89"/>
      <c r="V1638" s="4"/>
      <c r="W1638" s="4"/>
      <c r="X1638" s="9"/>
      <c r="Y1638" s="84"/>
      <c r="Z1638" s="90"/>
      <c r="AA1638" s="84"/>
      <c r="AB1638" s="84"/>
      <c r="AC1638" s="84"/>
      <c r="AD1638" s="84"/>
      <c r="AE1638" s="84"/>
      <c r="AF1638" s="84"/>
      <c r="AG1638" s="84"/>
    </row>
    <row r="1639" spans="1:33" s="91" customFormat="1" ht="36" customHeight="1" x14ac:dyDescent="0.2">
      <c r="A1639" s="13">
        <f t="shared" si="64"/>
        <v>147</v>
      </c>
      <c r="B1639" s="11"/>
      <c r="C1639" s="82"/>
      <c r="D1639" s="1"/>
      <c r="E1639" s="83"/>
      <c r="F1639" s="83"/>
      <c r="G1639" s="84"/>
      <c r="H1639" s="85"/>
      <c r="I1639" s="18"/>
      <c r="J1639" s="5"/>
      <c r="K1639" s="5"/>
      <c r="L1639" s="4"/>
      <c r="M1639" s="4"/>
      <c r="N1639" s="82"/>
      <c r="O1639" s="86"/>
      <c r="P1639" s="4"/>
      <c r="Q1639" s="4"/>
      <c r="R1639" s="47" t="s">
        <v>1960</v>
      </c>
      <c r="S1639" s="87" t="s">
        <v>1133</v>
      </c>
      <c r="T1639" s="88">
        <v>34.200000000000003</v>
      </c>
      <c r="U1639" s="89"/>
      <c r="V1639" s="4"/>
      <c r="W1639" s="4"/>
      <c r="X1639" s="9"/>
      <c r="Y1639" s="84"/>
      <c r="Z1639" s="90"/>
      <c r="AA1639" s="84"/>
      <c r="AB1639" s="84"/>
      <c r="AC1639" s="84"/>
      <c r="AD1639" s="84"/>
      <c r="AE1639" s="84"/>
      <c r="AF1639" s="84"/>
      <c r="AG1639" s="84"/>
    </row>
    <row r="1640" spans="1:33" s="91" customFormat="1" ht="38.25" customHeight="1" x14ac:dyDescent="0.2">
      <c r="A1640" s="13">
        <f t="shared" si="64"/>
        <v>147</v>
      </c>
      <c r="B1640" s="11"/>
      <c r="C1640" s="82"/>
      <c r="D1640" s="1"/>
      <c r="E1640" s="83"/>
      <c r="F1640" s="83"/>
      <c r="G1640" s="84"/>
      <c r="H1640" s="85"/>
      <c r="I1640" s="18"/>
      <c r="J1640" s="5"/>
      <c r="K1640" s="5"/>
      <c r="L1640" s="4"/>
      <c r="M1640" s="4"/>
      <c r="N1640" s="82"/>
      <c r="O1640" s="86"/>
      <c r="P1640" s="4"/>
      <c r="Q1640" s="4"/>
      <c r="R1640" s="47" t="s">
        <v>1961</v>
      </c>
      <c r="S1640" s="87" t="s">
        <v>1133</v>
      </c>
      <c r="T1640" s="88">
        <v>44.4</v>
      </c>
      <c r="U1640" s="89"/>
      <c r="V1640" s="4"/>
      <c r="W1640" s="4"/>
      <c r="X1640" s="9"/>
      <c r="Y1640" s="84"/>
      <c r="Z1640" s="90"/>
      <c r="AA1640" s="84"/>
      <c r="AB1640" s="84"/>
      <c r="AC1640" s="84"/>
      <c r="AD1640" s="84"/>
      <c r="AE1640" s="84"/>
      <c r="AF1640" s="84"/>
      <c r="AG1640" s="84"/>
    </row>
    <row r="1641" spans="1:33" s="91" customFormat="1" ht="21" customHeight="1" x14ac:dyDescent="0.2">
      <c r="A1641" s="13">
        <f t="shared" si="64"/>
        <v>147</v>
      </c>
      <c r="B1641" s="11"/>
      <c r="C1641" s="82"/>
      <c r="D1641" s="1"/>
      <c r="E1641" s="83"/>
      <c r="F1641" s="83"/>
      <c r="G1641" s="84"/>
      <c r="H1641" s="85"/>
      <c r="I1641" s="18"/>
      <c r="J1641" s="5"/>
      <c r="K1641" s="5"/>
      <c r="L1641" s="4"/>
      <c r="M1641" s="4"/>
      <c r="N1641" s="82"/>
      <c r="O1641" s="86"/>
      <c r="P1641" s="4"/>
      <c r="Q1641" s="4"/>
      <c r="R1641" s="47" t="s">
        <v>1962</v>
      </c>
      <c r="S1641" s="87" t="s">
        <v>1286</v>
      </c>
      <c r="T1641" s="88">
        <v>0.19800000000000001</v>
      </c>
      <c r="U1641" s="89"/>
      <c r="V1641" s="4"/>
      <c r="W1641" s="4"/>
      <c r="X1641" s="9"/>
      <c r="Y1641" s="84"/>
      <c r="Z1641" s="90"/>
      <c r="AA1641" s="84"/>
      <c r="AB1641" s="84"/>
      <c r="AC1641" s="84"/>
      <c r="AD1641" s="84"/>
      <c r="AE1641" s="84"/>
      <c r="AF1641" s="84"/>
      <c r="AG1641" s="84"/>
    </row>
    <row r="1642" spans="1:33" s="91" customFormat="1" ht="21" customHeight="1" x14ac:dyDescent="0.2">
      <c r="A1642" s="13">
        <f t="shared" si="64"/>
        <v>147</v>
      </c>
      <c r="B1642" s="11"/>
      <c r="C1642" s="82"/>
      <c r="D1642" s="1"/>
      <c r="E1642" s="83"/>
      <c r="F1642" s="83"/>
      <c r="G1642" s="84"/>
      <c r="H1642" s="85"/>
      <c r="I1642" s="18"/>
      <c r="J1642" s="5"/>
      <c r="K1642" s="5"/>
      <c r="L1642" s="4"/>
      <c r="M1642" s="4"/>
      <c r="N1642" s="82"/>
      <c r="O1642" s="86"/>
      <c r="P1642" s="4"/>
      <c r="Q1642" s="4"/>
      <c r="R1642" s="47" t="s">
        <v>1956</v>
      </c>
      <c r="S1642" s="87" t="s">
        <v>1286</v>
      </c>
      <c r="T1642" s="88">
        <v>0.26999999999999996</v>
      </c>
      <c r="U1642" s="89"/>
      <c r="V1642" s="4"/>
      <c r="W1642" s="4"/>
      <c r="X1642" s="9"/>
      <c r="Y1642" s="84"/>
      <c r="Z1642" s="90"/>
      <c r="AA1642" s="84"/>
      <c r="AB1642" s="84"/>
      <c r="AC1642" s="84"/>
      <c r="AD1642" s="84"/>
      <c r="AE1642" s="84"/>
      <c r="AF1642" s="84"/>
      <c r="AG1642" s="84"/>
    </row>
    <row r="1643" spans="1:33" s="91" customFormat="1" ht="37.5" customHeight="1" x14ac:dyDescent="0.2">
      <c r="A1643" s="13">
        <f t="shared" si="64"/>
        <v>147</v>
      </c>
      <c r="B1643" s="11"/>
      <c r="C1643" s="82"/>
      <c r="D1643" s="1"/>
      <c r="E1643" s="83"/>
      <c r="F1643" s="83"/>
      <c r="G1643" s="84"/>
      <c r="H1643" s="85"/>
      <c r="I1643" s="18"/>
      <c r="J1643" s="5"/>
      <c r="K1643" s="5"/>
      <c r="L1643" s="4"/>
      <c r="M1643" s="4"/>
      <c r="N1643" s="82"/>
      <c r="O1643" s="86"/>
      <c r="P1643" s="4"/>
      <c r="Q1643" s="4"/>
      <c r="R1643" s="47" t="s">
        <v>1963</v>
      </c>
      <c r="S1643" s="87" t="s">
        <v>93</v>
      </c>
      <c r="T1643" s="88">
        <v>1</v>
      </c>
      <c r="U1643" s="89"/>
      <c r="V1643" s="4"/>
      <c r="W1643" s="4"/>
      <c r="X1643" s="9"/>
      <c r="Y1643" s="84"/>
      <c r="Z1643" s="90"/>
      <c r="AA1643" s="84"/>
      <c r="AB1643" s="84"/>
      <c r="AC1643" s="84"/>
      <c r="AD1643" s="84"/>
      <c r="AE1643" s="84"/>
      <c r="AF1643" s="84"/>
      <c r="AG1643" s="84"/>
    </row>
    <row r="1644" spans="1:33" s="91" customFormat="1" ht="21" customHeight="1" x14ac:dyDescent="0.2">
      <c r="A1644" s="13">
        <f t="shared" si="64"/>
        <v>147</v>
      </c>
      <c r="B1644" s="11"/>
      <c r="C1644" s="82"/>
      <c r="D1644" s="1"/>
      <c r="E1644" s="83"/>
      <c r="F1644" s="83"/>
      <c r="G1644" s="84"/>
      <c r="H1644" s="85"/>
      <c r="I1644" s="18"/>
      <c r="J1644" s="5"/>
      <c r="K1644" s="5"/>
      <c r="L1644" s="4"/>
      <c r="M1644" s="4"/>
      <c r="N1644" s="82"/>
      <c r="O1644" s="86"/>
      <c r="P1644" s="4"/>
      <c r="Q1644" s="4"/>
      <c r="R1644" s="47" t="s">
        <v>1964</v>
      </c>
      <c r="S1644" s="87" t="s">
        <v>1133</v>
      </c>
      <c r="T1644" s="88">
        <v>34.339999999999996</v>
      </c>
      <c r="U1644" s="89"/>
      <c r="V1644" s="4"/>
      <c r="W1644" s="4"/>
      <c r="X1644" s="9"/>
      <c r="Y1644" s="84"/>
      <c r="Z1644" s="90"/>
      <c r="AA1644" s="84"/>
      <c r="AB1644" s="84"/>
      <c r="AC1644" s="84"/>
      <c r="AD1644" s="84"/>
      <c r="AE1644" s="84"/>
      <c r="AF1644" s="84"/>
      <c r="AG1644" s="84"/>
    </row>
    <row r="1645" spans="1:33" s="91" customFormat="1" ht="21" customHeight="1" x14ac:dyDescent="0.2">
      <c r="A1645" s="13">
        <f t="shared" si="64"/>
        <v>147</v>
      </c>
      <c r="B1645" s="11"/>
      <c r="C1645" s="82"/>
      <c r="D1645" s="1"/>
      <c r="E1645" s="83"/>
      <c r="F1645" s="83"/>
      <c r="G1645" s="84"/>
      <c r="H1645" s="85"/>
      <c r="I1645" s="18"/>
      <c r="J1645" s="5"/>
      <c r="K1645" s="5"/>
      <c r="L1645" s="4"/>
      <c r="M1645" s="4"/>
      <c r="N1645" s="82"/>
      <c r="O1645" s="86"/>
      <c r="P1645" s="4"/>
      <c r="Q1645" s="4"/>
      <c r="R1645" s="47" t="s">
        <v>1918</v>
      </c>
      <c r="S1645" s="87" t="s">
        <v>1133</v>
      </c>
      <c r="T1645" s="88">
        <v>11.729999999999999</v>
      </c>
      <c r="U1645" s="89"/>
      <c r="V1645" s="4"/>
      <c r="W1645" s="4"/>
      <c r="X1645" s="9"/>
      <c r="Y1645" s="84"/>
      <c r="Z1645" s="90"/>
      <c r="AA1645" s="84"/>
      <c r="AB1645" s="84"/>
      <c r="AC1645" s="84"/>
      <c r="AD1645" s="84"/>
      <c r="AE1645" s="84"/>
      <c r="AF1645" s="84"/>
      <c r="AG1645" s="84"/>
    </row>
    <row r="1646" spans="1:33" s="91" customFormat="1" ht="21" customHeight="1" x14ac:dyDescent="0.2">
      <c r="A1646" s="13">
        <f t="shared" si="64"/>
        <v>147</v>
      </c>
      <c r="B1646" s="11"/>
      <c r="C1646" s="82"/>
      <c r="D1646" s="1"/>
      <c r="E1646" s="83"/>
      <c r="F1646" s="83"/>
      <c r="G1646" s="84"/>
      <c r="H1646" s="85"/>
      <c r="I1646" s="18"/>
      <c r="J1646" s="5"/>
      <c r="K1646" s="5"/>
      <c r="L1646" s="4"/>
      <c r="M1646" s="4"/>
      <c r="N1646" s="82"/>
      <c r="O1646" s="86"/>
      <c r="P1646" s="4"/>
      <c r="Q1646" s="4"/>
      <c r="R1646" s="47" t="s">
        <v>1965</v>
      </c>
      <c r="S1646" s="87" t="s">
        <v>1133</v>
      </c>
      <c r="T1646" s="88">
        <v>2.16</v>
      </c>
      <c r="U1646" s="89"/>
      <c r="V1646" s="4"/>
      <c r="W1646" s="4"/>
      <c r="X1646" s="9"/>
      <c r="Y1646" s="84"/>
      <c r="Z1646" s="90"/>
      <c r="AA1646" s="84"/>
      <c r="AB1646" s="84"/>
      <c r="AC1646" s="84"/>
      <c r="AD1646" s="84"/>
      <c r="AE1646" s="84"/>
      <c r="AF1646" s="84"/>
      <c r="AG1646" s="84"/>
    </row>
    <row r="1647" spans="1:33" s="91" customFormat="1" ht="12.75" x14ac:dyDescent="0.2">
      <c r="A1647" s="13">
        <f t="shared" si="64"/>
        <v>147</v>
      </c>
      <c r="B1647" s="11"/>
      <c r="C1647" s="82"/>
      <c r="D1647" s="1"/>
      <c r="E1647" s="83"/>
      <c r="F1647" s="83"/>
      <c r="G1647" s="84"/>
      <c r="H1647" s="85"/>
      <c r="I1647" s="18"/>
      <c r="J1647" s="5"/>
      <c r="K1647" s="5"/>
      <c r="L1647" s="4"/>
      <c r="M1647" s="4"/>
      <c r="N1647" s="82"/>
      <c r="O1647" s="86"/>
      <c r="P1647" s="4"/>
      <c r="Q1647" s="4"/>
      <c r="R1647" s="47"/>
      <c r="S1647" s="87"/>
      <c r="T1647" s="88"/>
      <c r="U1647" s="89"/>
      <c r="V1647" s="4"/>
      <c r="W1647" s="4"/>
      <c r="X1647" s="9"/>
      <c r="Y1647" s="84"/>
      <c r="Z1647" s="90"/>
      <c r="AA1647" s="84"/>
      <c r="AB1647" s="84"/>
      <c r="AC1647" s="84"/>
      <c r="AD1647" s="84"/>
      <c r="AE1647" s="84"/>
      <c r="AF1647" s="84"/>
      <c r="AG1647" s="84"/>
    </row>
    <row r="1648" spans="1:33" s="91" customFormat="1" ht="12.75" x14ac:dyDescent="0.2">
      <c r="A1648" s="13">
        <f t="shared" si="64"/>
        <v>147</v>
      </c>
      <c r="B1648" s="11"/>
      <c r="C1648" s="82"/>
      <c r="D1648" s="1"/>
      <c r="E1648" s="83"/>
      <c r="F1648" s="83"/>
      <c r="G1648" s="84"/>
      <c r="H1648" s="85"/>
      <c r="I1648" s="18"/>
      <c r="J1648" s="5"/>
      <c r="K1648" s="5"/>
      <c r="L1648" s="4"/>
      <c r="M1648" s="4"/>
      <c r="N1648" s="82"/>
      <c r="O1648" s="86"/>
      <c r="P1648" s="4"/>
      <c r="Q1648" s="4"/>
      <c r="R1648" s="47"/>
      <c r="S1648" s="87"/>
      <c r="T1648" s="88"/>
      <c r="U1648" s="89"/>
      <c r="V1648" s="4"/>
      <c r="W1648" s="4"/>
      <c r="X1648" s="9"/>
      <c r="Y1648" s="84"/>
      <c r="Z1648" s="90"/>
      <c r="AA1648" s="84"/>
      <c r="AB1648" s="84"/>
      <c r="AC1648" s="84"/>
      <c r="AD1648" s="84"/>
      <c r="AE1648" s="84"/>
      <c r="AF1648" s="84"/>
      <c r="AG1648" s="84"/>
    </row>
    <row r="1649" spans="1:33" s="91" customFormat="1" ht="12.75" x14ac:dyDescent="0.2">
      <c r="A1649" s="13">
        <f t="shared" si="64"/>
        <v>147</v>
      </c>
      <c r="B1649" s="11"/>
      <c r="C1649" s="82"/>
      <c r="D1649" s="1"/>
      <c r="E1649" s="83"/>
      <c r="F1649" s="83"/>
      <c r="G1649" s="84"/>
      <c r="H1649" s="85"/>
      <c r="I1649" s="18"/>
      <c r="J1649" s="5"/>
      <c r="K1649" s="5"/>
      <c r="L1649" s="4"/>
      <c r="M1649" s="4"/>
      <c r="N1649" s="82"/>
      <c r="O1649" s="86"/>
      <c r="P1649" s="4"/>
      <c r="Q1649" s="4"/>
      <c r="R1649" s="47"/>
      <c r="S1649" s="87"/>
      <c r="T1649" s="88"/>
      <c r="U1649" s="89"/>
      <c r="V1649" s="4"/>
      <c r="W1649" s="4"/>
      <c r="X1649" s="9"/>
      <c r="Y1649" s="84"/>
      <c r="Z1649" s="90"/>
      <c r="AA1649" s="84"/>
      <c r="AB1649" s="84"/>
      <c r="AC1649" s="84"/>
      <c r="AD1649" s="84"/>
      <c r="AE1649" s="84"/>
      <c r="AF1649" s="84"/>
      <c r="AG1649" s="84"/>
    </row>
    <row r="1650" spans="1:33" s="91" customFormat="1" ht="12.75" x14ac:dyDescent="0.2">
      <c r="A1650" s="13">
        <f t="shared" si="64"/>
        <v>147</v>
      </c>
      <c r="B1650" s="11"/>
      <c r="C1650" s="82"/>
      <c r="D1650" s="1"/>
      <c r="E1650" s="83"/>
      <c r="F1650" s="83"/>
      <c r="G1650" s="84"/>
      <c r="H1650" s="85"/>
      <c r="I1650" s="18"/>
      <c r="J1650" s="5"/>
      <c r="K1650" s="5"/>
      <c r="L1650" s="4"/>
      <c r="M1650" s="4"/>
      <c r="N1650" s="82"/>
      <c r="O1650" s="86"/>
      <c r="P1650" s="4"/>
      <c r="Q1650" s="4"/>
      <c r="R1650" s="47"/>
      <c r="S1650" s="87"/>
      <c r="T1650" s="88"/>
      <c r="U1650" s="89"/>
      <c r="V1650" s="4"/>
      <c r="W1650" s="4"/>
      <c r="X1650" s="9"/>
      <c r="Y1650" s="84"/>
      <c r="Z1650" s="90"/>
      <c r="AA1650" s="84"/>
      <c r="AB1650" s="84"/>
      <c r="AC1650" s="84"/>
      <c r="AD1650" s="84"/>
      <c r="AE1650" s="84"/>
      <c r="AF1650" s="84"/>
      <c r="AG1650" s="84"/>
    </row>
    <row r="1651" spans="1:33" s="91" customFormat="1" ht="45.75" customHeight="1" x14ac:dyDescent="0.2">
      <c r="A1651" s="13">
        <f>IF(B1651&lt;&gt;0,B1651,#REF!)</f>
        <v>148</v>
      </c>
      <c r="B1651" s="11">
        <v>148</v>
      </c>
      <c r="C1651" s="92" t="s">
        <v>1358</v>
      </c>
      <c r="D1651" s="1"/>
      <c r="E1651" s="87">
        <v>86</v>
      </c>
      <c r="F1651" s="87">
        <v>220</v>
      </c>
      <c r="G1651" s="84" t="s">
        <v>1270</v>
      </c>
      <c r="H1651" s="85">
        <v>95</v>
      </c>
      <c r="I1651" s="18"/>
      <c r="J1651" s="5"/>
      <c r="K1651" s="5"/>
      <c r="L1651" s="4"/>
      <c r="M1651" s="4"/>
      <c r="N1651" s="82"/>
      <c r="O1651" s="86"/>
      <c r="P1651" s="4"/>
      <c r="Q1651" s="4"/>
      <c r="R1651" s="47" t="s">
        <v>52</v>
      </c>
      <c r="S1651" s="87" t="s">
        <v>1133</v>
      </c>
      <c r="T1651" s="88">
        <v>87.36</v>
      </c>
      <c r="U1651" s="89"/>
      <c r="V1651" s="4"/>
      <c r="W1651" s="4"/>
      <c r="X1651" s="158" t="s">
        <v>1138</v>
      </c>
      <c r="Y1651" s="4" t="s">
        <v>1139</v>
      </c>
      <c r="Z1651" s="4" t="s">
        <v>56</v>
      </c>
      <c r="AA1651" s="32" t="s">
        <v>269</v>
      </c>
      <c r="AB1651" s="3" t="s">
        <v>1138</v>
      </c>
      <c r="AC1651" s="4"/>
      <c r="AD1651" s="84"/>
      <c r="AE1651" s="84" t="s">
        <v>1359</v>
      </c>
      <c r="AF1651" s="84"/>
      <c r="AG1651" s="84"/>
    </row>
    <row r="1652" spans="1:33" s="91" customFormat="1" ht="36" customHeight="1" x14ac:dyDescent="0.2">
      <c r="A1652" s="13">
        <f t="shared" ref="A1652:A1703" si="65">IF(B1652&lt;&gt;0,B1652,A1651)</f>
        <v>148</v>
      </c>
      <c r="B1652" s="11"/>
      <c r="C1652" s="82" t="s">
        <v>1360</v>
      </c>
      <c r="D1652" s="1"/>
      <c r="E1652" s="87"/>
      <c r="F1652" s="87"/>
      <c r="G1652" s="84"/>
      <c r="H1652" s="85"/>
      <c r="I1652" s="18"/>
      <c r="J1652" s="5"/>
      <c r="K1652" s="5"/>
      <c r="L1652" s="4"/>
      <c r="M1652" s="4"/>
      <c r="N1652" s="82"/>
      <c r="O1652" s="86"/>
      <c r="P1652" s="4"/>
      <c r="Q1652" s="4"/>
      <c r="R1652" s="47" t="s">
        <v>1361</v>
      </c>
      <c r="S1652" s="87" t="s">
        <v>1133</v>
      </c>
      <c r="T1652" s="88">
        <v>8.64</v>
      </c>
      <c r="U1652" s="89"/>
      <c r="V1652" s="4"/>
      <c r="W1652" s="4"/>
      <c r="X1652" s="9"/>
      <c r="Y1652" s="84"/>
      <c r="Z1652" s="90"/>
      <c r="AA1652" s="84"/>
      <c r="AB1652" s="84"/>
      <c r="AC1652" s="84"/>
      <c r="AD1652" s="84"/>
      <c r="AE1652" s="84" t="s">
        <v>1362</v>
      </c>
      <c r="AF1652" s="84"/>
      <c r="AG1652" s="84"/>
    </row>
    <row r="1653" spans="1:33" s="91" customFormat="1" ht="51.75" customHeight="1" x14ac:dyDescent="0.2">
      <c r="A1653" s="13">
        <f t="shared" si="65"/>
        <v>148</v>
      </c>
      <c r="B1653" s="11"/>
      <c r="C1653" s="82" t="s">
        <v>1620</v>
      </c>
      <c r="D1653" s="1"/>
      <c r="E1653" s="87"/>
      <c r="F1653" s="87"/>
      <c r="G1653" s="84"/>
      <c r="H1653" s="85"/>
      <c r="I1653" s="18"/>
      <c r="J1653" s="5"/>
      <c r="K1653" s="5"/>
      <c r="L1653" s="4"/>
      <c r="M1653" s="4"/>
      <c r="N1653" s="82"/>
      <c r="O1653" s="86"/>
      <c r="P1653" s="4"/>
      <c r="Q1653" s="4"/>
      <c r="R1653" s="82" t="s">
        <v>1148</v>
      </c>
      <c r="S1653" s="87" t="s">
        <v>1133</v>
      </c>
      <c r="T1653" s="88">
        <v>5.7</v>
      </c>
      <c r="U1653" s="89"/>
      <c r="V1653" s="4"/>
      <c r="W1653" s="4"/>
      <c r="X1653" s="9"/>
      <c r="Y1653" s="84"/>
      <c r="Z1653" s="90"/>
      <c r="AA1653" s="84"/>
      <c r="AB1653" s="84"/>
      <c r="AC1653" s="84"/>
      <c r="AD1653" s="84"/>
      <c r="AE1653" s="84" t="s">
        <v>1199</v>
      </c>
      <c r="AF1653" s="84"/>
      <c r="AG1653" s="84"/>
    </row>
    <row r="1654" spans="1:33" s="91" customFormat="1" ht="20.25" customHeight="1" x14ac:dyDescent="0.2">
      <c r="A1654" s="13">
        <f t="shared" si="65"/>
        <v>148</v>
      </c>
      <c r="B1654" s="11"/>
      <c r="C1654" s="82"/>
      <c r="D1654" s="1"/>
      <c r="E1654" s="83"/>
      <c r="F1654" s="83"/>
      <c r="G1654" s="84"/>
      <c r="H1654" s="85"/>
      <c r="I1654" s="1"/>
      <c r="J1654" s="5"/>
      <c r="K1654" s="5"/>
      <c r="L1654" s="4"/>
      <c r="M1654" s="4"/>
      <c r="N1654" s="82"/>
      <c r="O1654" s="86"/>
      <c r="P1654" s="4"/>
      <c r="Q1654" s="4"/>
      <c r="R1654" s="82" t="s">
        <v>1344</v>
      </c>
      <c r="S1654" s="87" t="s">
        <v>1133</v>
      </c>
      <c r="T1654" s="88">
        <v>8.1</v>
      </c>
      <c r="U1654" s="89"/>
      <c r="V1654" s="4"/>
      <c r="W1654" s="4"/>
      <c r="X1654" s="9"/>
      <c r="Y1654" s="84"/>
      <c r="Z1654" s="90"/>
      <c r="AA1654" s="84"/>
      <c r="AB1654" s="84"/>
      <c r="AC1654" s="84"/>
      <c r="AD1654" s="84"/>
      <c r="AE1654" s="166"/>
      <c r="AF1654" s="166"/>
      <c r="AG1654" s="84"/>
    </row>
    <row r="1655" spans="1:33" s="91" customFormat="1" ht="12.75" x14ac:dyDescent="0.2">
      <c r="A1655" s="13">
        <f t="shared" si="65"/>
        <v>148</v>
      </c>
      <c r="B1655" s="11"/>
      <c r="C1655" s="82"/>
      <c r="D1655" s="1"/>
      <c r="E1655" s="83"/>
      <c r="F1655" s="83"/>
      <c r="G1655" s="84"/>
      <c r="H1655" s="85"/>
      <c r="I1655" s="1"/>
      <c r="J1655" s="5"/>
      <c r="K1655" s="5"/>
      <c r="L1655" s="4"/>
      <c r="M1655" s="4"/>
      <c r="N1655" s="82"/>
      <c r="O1655" s="86"/>
      <c r="P1655" s="4"/>
      <c r="Q1655" s="4"/>
      <c r="R1655" s="82"/>
      <c r="S1655" s="87"/>
      <c r="T1655" s="88"/>
      <c r="U1655" s="89"/>
      <c r="V1655" s="4"/>
      <c r="W1655" s="4"/>
      <c r="X1655" s="9"/>
      <c r="Y1655" s="84"/>
      <c r="Z1655" s="90"/>
      <c r="AA1655" s="84"/>
      <c r="AB1655" s="84"/>
      <c r="AC1655" s="84"/>
      <c r="AD1655" s="84"/>
      <c r="AE1655" s="84"/>
      <c r="AF1655" s="84"/>
      <c r="AG1655" s="84"/>
    </row>
    <row r="1656" spans="1:33" s="91" customFormat="1" ht="12.75" x14ac:dyDescent="0.2">
      <c r="A1656" s="13">
        <f t="shared" si="65"/>
        <v>148</v>
      </c>
      <c r="B1656" s="11"/>
      <c r="C1656" s="82"/>
      <c r="D1656" s="1"/>
      <c r="E1656" s="83"/>
      <c r="F1656" s="83"/>
      <c r="G1656" s="84"/>
      <c r="H1656" s="85"/>
      <c r="I1656" s="1"/>
      <c r="J1656" s="5"/>
      <c r="K1656" s="5"/>
      <c r="L1656" s="4"/>
      <c r="M1656" s="4"/>
      <c r="N1656" s="82"/>
      <c r="O1656" s="86"/>
      <c r="P1656" s="4"/>
      <c r="Q1656" s="4"/>
      <c r="R1656" s="82"/>
      <c r="S1656" s="87"/>
      <c r="T1656" s="88"/>
      <c r="U1656" s="89"/>
      <c r="V1656" s="4"/>
      <c r="W1656" s="4"/>
      <c r="X1656" s="9"/>
      <c r="Y1656" s="84"/>
      <c r="Z1656" s="90"/>
      <c r="AA1656" s="84"/>
      <c r="AB1656" s="84"/>
      <c r="AC1656" s="84"/>
      <c r="AD1656" s="84"/>
      <c r="AE1656" s="1"/>
      <c r="AF1656" s="1"/>
      <c r="AG1656" s="1"/>
    </row>
    <row r="1657" spans="1:33" s="91" customFormat="1" ht="12.75" x14ac:dyDescent="0.2">
      <c r="A1657" s="13">
        <f t="shared" si="65"/>
        <v>148</v>
      </c>
      <c r="B1657" s="11"/>
      <c r="C1657" s="82"/>
      <c r="D1657" s="1"/>
      <c r="E1657" s="83"/>
      <c r="F1657" s="83"/>
      <c r="G1657" s="84"/>
      <c r="H1657" s="85"/>
      <c r="I1657" s="1"/>
      <c r="J1657" s="5"/>
      <c r="K1657" s="5"/>
      <c r="L1657" s="4"/>
      <c r="M1657" s="4"/>
      <c r="N1657" s="82"/>
      <c r="O1657" s="86"/>
      <c r="P1657" s="4"/>
      <c r="Q1657" s="4"/>
      <c r="R1657" s="82"/>
      <c r="S1657" s="87"/>
      <c r="T1657" s="88"/>
      <c r="U1657" s="89"/>
      <c r="V1657" s="4"/>
      <c r="W1657" s="4"/>
      <c r="X1657" s="9"/>
      <c r="Y1657" s="84"/>
      <c r="Z1657" s="90"/>
      <c r="AA1657" s="84"/>
      <c r="AB1657" s="84"/>
      <c r="AC1657" s="84"/>
      <c r="AD1657" s="84"/>
      <c r="AE1657" s="84"/>
      <c r="AF1657" s="84"/>
      <c r="AG1657" s="84"/>
    </row>
    <row r="1658" spans="1:33" s="91" customFormat="1" ht="38.25" x14ac:dyDescent="0.2">
      <c r="A1658" s="13">
        <f t="shared" si="65"/>
        <v>149</v>
      </c>
      <c r="B1658" s="11">
        <v>149</v>
      </c>
      <c r="C1658" s="92" t="s">
        <v>1363</v>
      </c>
      <c r="D1658" s="1">
        <v>1</v>
      </c>
      <c r="E1658" s="87">
        <v>86</v>
      </c>
      <c r="F1658" s="87" t="s">
        <v>1364</v>
      </c>
      <c r="G1658" s="84" t="s">
        <v>1232</v>
      </c>
      <c r="H1658" s="85">
        <v>2873.5</v>
      </c>
      <c r="I1658" s="18"/>
      <c r="J1658" s="5"/>
      <c r="K1658" s="5"/>
      <c r="L1658" s="4"/>
      <c r="M1658" s="4"/>
      <c r="N1658" s="82" t="s">
        <v>1218</v>
      </c>
      <c r="O1658" s="86">
        <v>1</v>
      </c>
      <c r="P1658" s="4"/>
      <c r="Q1658" s="4"/>
      <c r="R1658" s="47" t="s">
        <v>1966</v>
      </c>
      <c r="S1658" s="87" t="s">
        <v>1133</v>
      </c>
      <c r="T1658" s="88">
        <v>83.6</v>
      </c>
      <c r="U1658" s="89"/>
      <c r="V1658" s="4"/>
      <c r="W1658" s="4"/>
      <c r="X1658" s="9"/>
      <c r="Y1658" s="84"/>
      <c r="Z1658" s="90"/>
      <c r="AA1658" s="84"/>
      <c r="AB1658" s="84"/>
      <c r="AC1658" s="84"/>
      <c r="AD1658" s="84"/>
      <c r="AE1658" s="84" t="s">
        <v>1365</v>
      </c>
      <c r="AF1658" s="84"/>
      <c r="AG1658" s="84"/>
    </row>
    <row r="1659" spans="1:33" s="91" customFormat="1" ht="25.5" x14ac:dyDescent="0.2">
      <c r="A1659" s="13">
        <f t="shared" si="65"/>
        <v>149</v>
      </c>
      <c r="B1659" s="11"/>
      <c r="C1659" s="82" t="s">
        <v>1366</v>
      </c>
      <c r="D1659" s="1"/>
      <c r="E1659" s="87"/>
      <c r="F1659" s="87"/>
      <c r="G1659" s="84"/>
      <c r="H1659" s="85"/>
      <c r="I1659" s="18"/>
      <c r="J1659" s="5"/>
      <c r="K1659" s="5"/>
      <c r="L1659" s="4"/>
      <c r="M1659" s="4"/>
      <c r="N1659" s="82" t="s">
        <v>408</v>
      </c>
      <c r="O1659" s="86">
        <v>2</v>
      </c>
      <c r="P1659" s="4"/>
      <c r="Q1659" s="4"/>
      <c r="R1659" s="47" t="s">
        <v>1763</v>
      </c>
      <c r="S1659" s="87" t="s">
        <v>1133</v>
      </c>
      <c r="T1659" s="88">
        <v>31.079999999999995</v>
      </c>
      <c r="U1659" s="89"/>
      <c r="V1659" s="4"/>
      <c r="W1659" s="4"/>
      <c r="X1659" s="158" t="s">
        <v>1138</v>
      </c>
      <c r="Y1659" s="4" t="s">
        <v>1139</v>
      </c>
      <c r="Z1659" s="4" t="s">
        <v>56</v>
      </c>
      <c r="AA1659" s="32" t="s">
        <v>269</v>
      </c>
      <c r="AB1659" s="3" t="s">
        <v>1138</v>
      </c>
      <c r="AC1659" s="4"/>
      <c r="AD1659" s="84"/>
      <c r="AE1659" s="84" t="s">
        <v>1367</v>
      </c>
      <c r="AF1659" s="84"/>
      <c r="AG1659" s="84"/>
    </row>
    <row r="1660" spans="1:33" s="91" customFormat="1" ht="38.25" x14ac:dyDescent="0.2">
      <c r="A1660" s="13">
        <f t="shared" si="65"/>
        <v>149</v>
      </c>
      <c r="B1660" s="11"/>
      <c r="C1660" s="82" t="s">
        <v>1621</v>
      </c>
      <c r="D1660" s="1"/>
      <c r="E1660" s="87"/>
      <c r="F1660" s="87"/>
      <c r="G1660" s="84"/>
      <c r="H1660" s="85"/>
      <c r="I1660" s="18"/>
      <c r="J1660" s="5"/>
      <c r="K1660" s="5"/>
      <c r="L1660" s="4"/>
      <c r="M1660" s="4"/>
      <c r="N1660" s="82" t="s">
        <v>1368</v>
      </c>
      <c r="O1660" s="86">
        <v>1</v>
      </c>
      <c r="P1660" s="4"/>
      <c r="Q1660" s="4"/>
      <c r="R1660" s="47" t="s">
        <v>1959</v>
      </c>
      <c r="S1660" s="87" t="s">
        <v>1133</v>
      </c>
      <c r="T1660" s="88">
        <v>2.52</v>
      </c>
      <c r="U1660" s="89"/>
      <c r="V1660" s="4"/>
      <c r="W1660" s="4"/>
      <c r="X1660" s="9"/>
      <c r="Y1660" s="84"/>
      <c r="Z1660" s="90"/>
      <c r="AA1660" s="84"/>
      <c r="AB1660" s="84"/>
      <c r="AC1660" s="84"/>
      <c r="AD1660" s="84"/>
      <c r="AE1660" s="84" t="s">
        <v>1735</v>
      </c>
      <c r="AF1660" s="84"/>
      <c r="AG1660" s="84"/>
    </row>
    <row r="1661" spans="1:33" s="91" customFormat="1" ht="34.5" customHeight="1" x14ac:dyDescent="0.2">
      <c r="A1661" s="13">
        <f t="shared" si="65"/>
        <v>149</v>
      </c>
      <c r="B1661" s="11"/>
      <c r="C1661" s="82"/>
      <c r="D1661" s="1"/>
      <c r="E1661" s="83"/>
      <c r="F1661" s="83"/>
      <c r="G1661" s="84"/>
      <c r="H1661" s="85"/>
      <c r="I1661" s="18"/>
      <c r="J1661" s="5"/>
      <c r="K1661" s="5"/>
      <c r="L1661" s="4"/>
      <c r="M1661" s="4"/>
      <c r="N1661" s="82" t="s">
        <v>1351</v>
      </c>
      <c r="O1661" s="86">
        <v>1</v>
      </c>
      <c r="P1661" s="4"/>
      <c r="Q1661" s="4"/>
      <c r="R1661" s="47" t="s">
        <v>1960</v>
      </c>
      <c r="S1661" s="87" t="s">
        <v>1133</v>
      </c>
      <c r="T1661" s="88">
        <v>24</v>
      </c>
      <c r="U1661" s="89"/>
      <c r="V1661" s="4"/>
      <c r="W1661" s="4"/>
      <c r="X1661" s="9"/>
      <c r="Y1661" s="84"/>
      <c r="Z1661" s="90"/>
      <c r="AA1661" s="84"/>
      <c r="AB1661" s="84"/>
      <c r="AC1661" s="84"/>
      <c r="AD1661" s="84"/>
      <c r="AE1661" s="84" t="s">
        <v>1303</v>
      </c>
      <c r="AF1661" s="84"/>
      <c r="AG1661" s="84"/>
    </row>
    <row r="1662" spans="1:33" s="91" customFormat="1" ht="35.25" customHeight="1" x14ac:dyDescent="0.2">
      <c r="A1662" s="13">
        <f t="shared" si="65"/>
        <v>149</v>
      </c>
      <c r="B1662" s="11"/>
      <c r="C1662" s="82"/>
      <c r="D1662" s="1"/>
      <c r="E1662" s="83"/>
      <c r="F1662" s="83"/>
      <c r="G1662" s="84"/>
      <c r="H1662" s="85"/>
      <c r="I1662" s="18"/>
      <c r="J1662" s="5"/>
      <c r="K1662" s="5"/>
      <c r="L1662" s="4"/>
      <c r="M1662" s="4"/>
      <c r="N1662" s="82" t="s">
        <v>1369</v>
      </c>
      <c r="O1662" s="86">
        <v>1</v>
      </c>
      <c r="P1662" s="4"/>
      <c r="Q1662" s="4"/>
      <c r="R1662" s="47" t="s">
        <v>1961</v>
      </c>
      <c r="S1662" s="87" t="s">
        <v>1133</v>
      </c>
      <c r="T1662" s="88">
        <v>63.5</v>
      </c>
      <c r="U1662" s="89"/>
      <c r="V1662" s="4"/>
      <c r="W1662" s="4"/>
      <c r="X1662" s="9"/>
      <c r="Y1662" s="84"/>
      <c r="Z1662" s="90"/>
      <c r="AA1662" s="84"/>
      <c r="AB1662" s="84"/>
      <c r="AC1662" s="84"/>
      <c r="AD1662" s="84"/>
      <c r="AE1662" s="84"/>
      <c r="AF1662" s="84"/>
      <c r="AG1662" s="84"/>
    </row>
    <row r="1663" spans="1:33" s="91" customFormat="1" ht="33" customHeight="1" x14ac:dyDescent="0.2">
      <c r="A1663" s="13">
        <f t="shared" si="65"/>
        <v>149</v>
      </c>
      <c r="B1663" s="11"/>
      <c r="C1663" s="82"/>
      <c r="D1663" s="1"/>
      <c r="E1663" s="83"/>
      <c r="F1663" s="83"/>
      <c r="G1663" s="84"/>
      <c r="H1663" s="85"/>
      <c r="I1663" s="18"/>
      <c r="J1663" s="5"/>
      <c r="K1663" s="5"/>
      <c r="L1663" s="4"/>
      <c r="M1663" s="4"/>
      <c r="N1663" s="82"/>
      <c r="O1663" s="86"/>
      <c r="P1663" s="4"/>
      <c r="Q1663" s="4"/>
      <c r="R1663" s="47" t="s">
        <v>1967</v>
      </c>
      <c r="S1663" s="87" t="s">
        <v>1133</v>
      </c>
      <c r="T1663" s="88">
        <v>0.95</v>
      </c>
      <c r="U1663" s="89"/>
      <c r="V1663" s="4"/>
      <c r="W1663" s="4"/>
      <c r="X1663" s="9"/>
      <c r="Y1663" s="84"/>
      <c r="Z1663" s="90"/>
      <c r="AA1663" s="84"/>
      <c r="AB1663" s="84"/>
      <c r="AC1663" s="84"/>
      <c r="AD1663" s="84"/>
      <c r="AE1663" s="82"/>
      <c r="AF1663" s="82"/>
      <c r="AG1663" s="82"/>
    </row>
    <row r="1664" spans="1:33" s="91" customFormat="1" ht="33" customHeight="1" x14ac:dyDescent="0.2">
      <c r="A1664" s="13">
        <f t="shared" si="65"/>
        <v>149</v>
      </c>
      <c r="B1664" s="11"/>
      <c r="C1664" s="82"/>
      <c r="D1664" s="1"/>
      <c r="E1664" s="83"/>
      <c r="F1664" s="83"/>
      <c r="G1664" s="84"/>
      <c r="H1664" s="85"/>
      <c r="I1664" s="18"/>
      <c r="J1664" s="5"/>
      <c r="K1664" s="5"/>
      <c r="L1664" s="4"/>
      <c r="M1664" s="4"/>
      <c r="N1664" s="82"/>
      <c r="O1664" s="86"/>
      <c r="P1664" s="4"/>
      <c r="Q1664" s="4"/>
      <c r="R1664" s="47" t="s">
        <v>1968</v>
      </c>
      <c r="S1664" s="87" t="s">
        <v>1133</v>
      </c>
      <c r="T1664" s="88">
        <v>2.2799999999999998</v>
      </c>
      <c r="U1664" s="89"/>
      <c r="V1664" s="4"/>
      <c r="W1664" s="4"/>
      <c r="X1664" s="9"/>
      <c r="Y1664" s="84"/>
      <c r="Z1664" s="90"/>
      <c r="AA1664" s="84"/>
      <c r="AB1664" s="84"/>
      <c r="AC1664" s="84"/>
      <c r="AD1664" s="84"/>
      <c r="AE1664" s="82"/>
      <c r="AF1664" s="82"/>
      <c r="AG1664" s="82"/>
    </row>
    <row r="1665" spans="1:33" s="91" customFormat="1" ht="33" customHeight="1" x14ac:dyDescent="0.2">
      <c r="A1665" s="13">
        <f t="shared" si="65"/>
        <v>149</v>
      </c>
      <c r="B1665" s="11"/>
      <c r="C1665" s="82"/>
      <c r="D1665" s="1"/>
      <c r="E1665" s="83"/>
      <c r="F1665" s="83"/>
      <c r="G1665" s="84"/>
      <c r="H1665" s="85"/>
      <c r="I1665" s="18"/>
      <c r="J1665" s="5"/>
      <c r="K1665" s="5"/>
      <c r="L1665" s="4"/>
      <c r="M1665" s="4"/>
      <c r="N1665" s="82"/>
      <c r="O1665" s="86"/>
      <c r="P1665" s="4"/>
      <c r="Q1665" s="4"/>
      <c r="R1665" s="47" t="s">
        <v>1969</v>
      </c>
      <c r="S1665" s="87" t="s">
        <v>1133</v>
      </c>
      <c r="T1665" s="88">
        <v>50.61</v>
      </c>
      <c r="U1665" s="89"/>
      <c r="V1665" s="4"/>
      <c r="W1665" s="4"/>
      <c r="X1665" s="9"/>
      <c r="Y1665" s="84"/>
      <c r="Z1665" s="90"/>
      <c r="AA1665" s="84"/>
      <c r="AB1665" s="84"/>
      <c r="AC1665" s="84"/>
      <c r="AD1665" s="84"/>
      <c r="AE1665" s="82"/>
      <c r="AF1665" s="82"/>
      <c r="AG1665" s="82"/>
    </row>
    <row r="1666" spans="1:33" s="91" customFormat="1" ht="33" customHeight="1" x14ac:dyDescent="0.2">
      <c r="A1666" s="13">
        <f t="shared" si="65"/>
        <v>149</v>
      </c>
      <c r="B1666" s="11"/>
      <c r="C1666" s="82"/>
      <c r="D1666" s="1"/>
      <c r="E1666" s="83"/>
      <c r="F1666" s="83"/>
      <c r="G1666" s="84"/>
      <c r="H1666" s="85"/>
      <c r="I1666" s="18"/>
      <c r="J1666" s="5"/>
      <c r="K1666" s="5"/>
      <c r="L1666" s="4"/>
      <c r="M1666" s="4"/>
      <c r="N1666" s="82"/>
      <c r="O1666" s="86"/>
      <c r="P1666" s="4"/>
      <c r="Q1666" s="4"/>
      <c r="R1666" s="47" t="s">
        <v>1956</v>
      </c>
      <c r="S1666" s="87" t="s">
        <v>1286</v>
      </c>
      <c r="T1666" s="88">
        <v>0.05</v>
      </c>
      <c r="U1666" s="89"/>
      <c r="V1666" s="4"/>
      <c r="W1666" s="4"/>
      <c r="X1666" s="9"/>
      <c r="Y1666" s="84"/>
      <c r="Z1666" s="90"/>
      <c r="AA1666" s="84"/>
      <c r="AB1666" s="84"/>
      <c r="AC1666" s="84"/>
      <c r="AD1666" s="84"/>
      <c r="AE1666" s="82"/>
      <c r="AF1666" s="82"/>
      <c r="AG1666" s="82"/>
    </row>
    <row r="1667" spans="1:33" s="91" customFormat="1" ht="33" customHeight="1" x14ac:dyDescent="0.2">
      <c r="A1667" s="13">
        <f t="shared" si="65"/>
        <v>149</v>
      </c>
      <c r="B1667" s="11"/>
      <c r="C1667" s="82"/>
      <c r="D1667" s="1"/>
      <c r="E1667" s="83"/>
      <c r="F1667" s="83"/>
      <c r="G1667" s="84"/>
      <c r="H1667" s="85"/>
      <c r="I1667" s="18"/>
      <c r="J1667" s="5"/>
      <c r="K1667" s="5"/>
      <c r="L1667" s="4"/>
      <c r="M1667" s="4"/>
      <c r="N1667" s="82"/>
      <c r="O1667" s="86"/>
      <c r="P1667" s="4"/>
      <c r="Q1667" s="4"/>
      <c r="R1667" s="47" t="s">
        <v>1970</v>
      </c>
      <c r="S1667" s="87" t="s">
        <v>1133</v>
      </c>
      <c r="T1667" s="88">
        <v>7.8</v>
      </c>
      <c r="U1667" s="89"/>
      <c r="V1667" s="4"/>
      <c r="W1667" s="4"/>
      <c r="X1667" s="9"/>
      <c r="Y1667" s="84"/>
      <c r="Z1667" s="90"/>
      <c r="AA1667" s="84"/>
      <c r="AB1667" s="84"/>
      <c r="AC1667" s="84"/>
      <c r="AD1667" s="84"/>
      <c r="AE1667" s="82"/>
      <c r="AF1667" s="82"/>
      <c r="AG1667" s="82"/>
    </row>
    <row r="1668" spans="1:33" s="91" customFormat="1" ht="33" customHeight="1" x14ac:dyDescent="0.2">
      <c r="A1668" s="13">
        <f t="shared" si="65"/>
        <v>149</v>
      </c>
      <c r="B1668" s="11"/>
      <c r="C1668" s="82"/>
      <c r="D1668" s="1"/>
      <c r="E1668" s="83"/>
      <c r="F1668" s="83"/>
      <c r="G1668" s="84"/>
      <c r="H1668" s="85"/>
      <c r="I1668" s="18"/>
      <c r="J1668" s="5"/>
      <c r="K1668" s="5"/>
      <c r="L1668" s="4"/>
      <c r="M1668" s="4"/>
      <c r="N1668" s="82"/>
      <c r="O1668" s="86"/>
      <c r="P1668" s="4"/>
      <c r="Q1668" s="4"/>
      <c r="R1668" s="47" t="s">
        <v>1971</v>
      </c>
      <c r="S1668" s="13" t="s">
        <v>973</v>
      </c>
      <c r="T1668" s="159">
        <v>2.48</v>
      </c>
      <c r="U1668" s="89"/>
      <c r="V1668" s="4"/>
      <c r="W1668" s="4"/>
      <c r="X1668" s="9"/>
      <c r="Y1668" s="84"/>
      <c r="Z1668" s="90"/>
      <c r="AA1668" s="84"/>
      <c r="AB1668" s="84"/>
      <c r="AC1668" s="84"/>
      <c r="AD1668" s="84"/>
      <c r="AE1668" s="82"/>
      <c r="AF1668" s="82"/>
      <c r="AG1668" s="82"/>
    </row>
    <row r="1669" spans="1:33" s="91" customFormat="1" ht="33" customHeight="1" x14ac:dyDescent="0.2">
      <c r="A1669" s="13">
        <f t="shared" si="65"/>
        <v>149</v>
      </c>
      <c r="B1669" s="11"/>
      <c r="C1669" s="82"/>
      <c r="D1669" s="1"/>
      <c r="E1669" s="83"/>
      <c r="F1669" s="83"/>
      <c r="G1669" s="84"/>
      <c r="H1669" s="85"/>
      <c r="I1669" s="18"/>
      <c r="J1669" s="5"/>
      <c r="K1669" s="5"/>
      <c r="L1669" s="4"/>
      <c r="M1669" s="4"/>
      <c r="N1669" s="82"/>
      <c r="O1669" s="86"/>
      <c r="P1669" s="4"/>
      <c r="Q1669" s="4"/>
      <c r="R1669" s="47" t="s">
        <v>1972</v>
      </c>
      <c r="S1669" s="13" t="s">
        <v>1025</v>
      </c>
      <c r="T1669" s="159">
        <v>4</v>
      </c>
      <c r="U1669" s="89"/>
      <c r="V1669" s="4"/>
      <c r="W1669" s="4"/>
      <c r="X1669" s="9"/>
      <c r="Y1669" s="84"/>
      <c r="Z1669" s="90"/>
      <c r="AA1669" s="84"/>
      <c r="AB1669" s="84"/>
      <c r="AC1669" s="84"/>
      <c r="AD1669" s="84"/>
      <c r="AE1669" s="82"/>
      <c r="AF1669" s="82"/>
      <c r="AG1669" s="82"/>
    </row>
    <row r="1670" spans="1:33" s="91" customFormat="1" ht="33" customHeight="1" x14ac:dyDescent="0.2">
      <c r="A1670" s="13">
        <f t="shared" si="65"/>
        <v>149</v>
      </c>
      <c r="B1670" s="11"/>
      <c r="C1670" s="82"/>
      <c r="D1670" s="1"/>
      <c r="E1670" s="83"/>
      <c r="F1670" s="83"/>
      <c r="G1670" s="84"/>
      <c r="H1670" s="85"/>
      <c r="I1670" s="18"/>
      <c r="J1670" s="5"/>
      <c r="K1670" s="5"/>
      <c r="L1670" s="4"/>
      <c r="M1670" s="4"/>
      <c r="N1670" s="82"/>
      <c r="O1670" s="86"/>
      <c r="P1670" s="4"/>
      <c r="Q1670" s="4"/>
      <c r="R1670" s="47" t="s">
        <v>1973</v>
      </c>
      <c r="S1670" s="13" t="s">
        <v>973</v>
      </c>
      <c r="T1670" s="159">
        <v>64.3</v>
      </c>
      <c r="U1670" s="89"/>
      <c r="V1670" s="4"/>
      <c r="W1670" s="4"/>
      <c r="X1670" s="9"/>
      <c r="Y1670" s="84"/>
      <c r="Z1670" s="90"/>
      <c r="AA1670" s="84"/>
      <c r="AB1670" s="84"/>
      <c r="AC1670" s="84"/>
      <c r="AD1670" s="84"/>
      <c r="AE1670" s="82"/>
      <c r="AF1670" s="82"/>
      <c r="AG1670" s="82"/>
    </row>
    <row r="1671" spans="1:33" s="91" customFormat="1" ht="33" customHeight="1" x14ac:dyDescent="0.2">
      <c r="A1671" s="13">
        <f t="shared" si="65"/>
        <v>149</v>
      </c>
      <c r="B1671" s="11"/>
      <c r="C1671" s="82"/>
      <c r="D1671" s="1"/>
      <c r="E1671" s="83"/>
      <c r="F1671" s="83"/>
      <c r="G1671" s="84"/>
      <c r="H1671" s="85"/>
      <c r="I1671" s="18"/>
      <c r="J1671" s="5"/>
      <c r="K1671" s="5"/>
      <c r="L1671" s="4"/>
      <c r="M1671" s="4"/>
      <c r="N1671" s="82"/>
      <c r="O1671" s="86"/>
      <c r="P1671" s="4"/>
      <c r="Q1671" s="4"/>
      <c r="R1671" s="47" t="s">
        <v>1973</v>
      </c>
      <c r="S1671" s="13" t="s">
        <v>973</v>
      </c>
      <c r="T1671" s="159">
        <v>38.700000000000003</v>
      </c>
      <c r="U1671" s="89"/>
      <c r="V1671" s="4"/>
      <c r="W1671" s="4"/>
      <c r="X1671" s="9"/>
      <c r="Y1671" s="84"/>
      <c r="Z1671" s="90"/>
      <c r="AA1671" s="84"/>
      <c r="AB1671" s="84"/>
      <c r="AC1671" s="84"/>
      <c r="AD1671" s="84"/>
      <c r="AE1671" s="82"/>
      <c r="AF1671" s="82"/>
      <c r="AG1671" s="82"/>
    </row>
    <row r="1672" spans="1:33" s="91" customFormat="1" ht="33" customHeight="1" x14ac:dyDescent="0.2">
      <c r="A1672" s="13">
        <f t="shared" si="65"/>
        <v>149</v>
      </c>
      <c r="B1672" s="11"/>
      <c r="C1672" s="82"/>
      <c r="D1672" s="1"/>
      <c r="E1672" s="83"/>
      <c r="F1672" s="83"/>
      <c r="G1672" s="84"/>
      <c r="H1672" s="85"/>
      <c r="I1672" s="18"/>
      <c r="J1672" s="5"/>
      <c r="K1672" s="5"/>
      <c r="L1672" s="4"/>
      <c r="M1672" s="4"/>
      <c r="N1672" s="82"/>
      <c r="O1672" s="86"/>
      <c r="P1672" s="4"/>
      <c r="Q1672" s="4"/>
      <c r="R1672" s="47" t="s">
        <v>1846</v>
      </c>
      <c r="S1672" s="13" t="s">
        <v>973</v>
      </c>
      <c r="T1672" s="159">
        <v>10</v>
      </c>
      <c r="U1672" s="89"/>
      <c r="V1672" s="4"/>
      <c r="W1672" s="4"/>
      <c r="X1672" s="9"/>
      <c r="Y1672" s="84"/>
      <c r="Z1672" s="90"/>
      <c r="AA1672" s="84"/>
      <c r="AB1672" s="84"/>
      <c r="AC1672" s="84"/>
      <c r="AD1672" s="84"/>
      <c r="AE1672" s="82"/>
      <c r="AF1672" s="82"/>
      <c r="AG1672" s="82"/>
    </row>
    <row r="1673" spans="1:33" s="91" customFormat="1" ht="33" customHeight="1" x14ac:dyDescent="0.2">
      <c r="A1673" s="13">
        <f t="shared" si="65"/>
        <v>149</v>
      </c>
      <c r="B1673" s="11"/>
      <c r="C1673" s="82"/>
      <c r="D1673" s="1"/>
      <c r="E1673" s="83"/>
      <c r="F1673" s="83"/>
      <c r="G1673" s="84"/>
      <c r="H1673" s="85"/>
      <c r="I1673" s="18"/>
      <c r="J1673" s="5"/>
      <c r="K1673" s="5"/>
      <c r="L1673" s="4"/>
      <c r="M1673" s="4"/>
      <c r="N1673" s="82"/>
      <c r="O1673" s="86"/>
      <c r="P1673" s="4"/>
      <c r="Q1673" s="4"/>
      <c r="R1673" s="47" t="s">
        <v>1974</v>
      </c>
      <c r="S1673" s="13" t="s">
        <v>1025</v>
      </c>
      <c r="T1673" s="159">
        <v>80</v>
      </c>
      <c r="U1673" s="89"/>
      <c r="V1673" s="4"/>
      <c r="W1673" s="4"/>
      <c r="X1673" s="9"/>
      <c r="Y1673" s="84"/>
      <c r="Z1673" s="90"/>
      <c r="AA1673" s="84"/>
      <c r="AB1673" s="84"/>
      <c r="AC1673" s="84"/>
      <c r="AD1673" s="84"/>
      <c r="AE1673" s="82"/>
      <c r="AF1673" s="82"/>
      <c r="AG1673" s="82"/>
    </row>
    <row r="1674" spans="1:33" s="91" customFormat="1" ht="33" customHeight="1" x14ac:dyDescent="0.2">
      <c r="A1674" s="13">
        <f t="shared" si="65"/>
        <v>149</v>
      </c>
      <c r="B1674" s="11"/>
      <c r="C1674" s="82"/>
      <c r="D1674" s="1"/>
      <c r="E1674" s="83"/>
      <c r="F1674" s="83"/>
      <c r="G1674" s="84"/>
      <c r="H1674" s="85"/>
      <c r="I1674" s="18"/>
      <c r="J1674" s="5"/>
      <c r="K1674" s="5"/>
      <c r="L1674" s="4"/>
      <c r="M1674" s="4"/>
      <c r="N1674" s="82"/>
      <c r="O1674" s="86"/>
      <c r="P1674" s="4"/>
      <c r="Q1674" s="4"/>
      <c r="R1674" s="47" t="s">
        <v>1975</v>
      </c>
      <c r="S1674" s="13" t="s">
        <v>973</v>
      </c>
      <c r="T1674" s="159">
        <v>45.9</v>
      </c>
      <c r="U1674" s="89"/>
      <c r="V1674" s="4"/>
      <c r="W1674" s="4"/>
      <c r="X1674" s="9"/>
      <c r="Y1674" s="84"/>
      <c r="Z1674" s="90"/>
      <c r="AA1674" s="84"/>
      <c r="AB1674" s="84"/>
      <c r="AC1674" s="84"/>
      <c r="AD1674" s="84"/>
      <c r="AE1674" s="82"/>
      <c r="AF1674" s="82"/>
      <c r="AG1674" s="82"/>
    </row>
    <row r="1675" spans="1:33" s="91" customFormat="1" ht="12.75" x14ac:dyDescent="0.2">
      <c r="A1675" s="13">
        <f t="shared" si="65"/>
        <v>149</v>
      </c>
      <c r="B1675" s="11"/>
      <c r="C1675" s="82"/>
      <c r="D1675" s="1"/>
      <c r="E1675" s="83"/>
      <c r="F1675" s="83"/>
      <c r="G1675" s="84"/>
      <c r="H1675" s="85"/>
      <c r="I1675" s="18"/>
      <c r="J1675" s="5"/>
      <c r="K1675" s="5"/>
      <c r="L1675" s="4"/>
      <c r="M1675" s="4"/>
      <c r="N1675" s="82"/>
      <c r="O1675" s="86"/>
      <c r="P1675" s="4"/>
      <c r="Q1675" s="4"/>
      <c r="R1675" s="47"/>
      <c r="S1675" s="87"/>
      <c r="T1675" s="88"/>
      <c r="U1675" s="89"/>
      <c r="V1675" s="4"/>
      <c r="W1675" s="4"/>
      <c r="X1675" s="9"/>
      <c r="Y1675" s="84"/>
      <c r="Z1675" s="90"/>
      <c r="AA1675" s="84"/>
      <c r="AB1675" s="84"/>
      <c r="AC1675" s="84"/>
      <c r="AD1675" s="84"/>
      <c r="AE1675" s="82"/>
      <c r="AF1675" s="82"/>
      <c r="AG1675" s="82"/>
    </row>
    <row r="1676" spans="1:33" s="91" customFormat="1" ht="12.75" x14ac:dyDescent="0.2">
      <c r="A1676" s="13">
        <f t="shared" si="65"/>
        <v>149</v>
      </c>
      <c r="B1676" s="11"/>
      <c r="C1676" s="82"/>
      <c r="D1676" s="1"/>
      <c r="E1676" s="83"/>
      <c r="F1676" s="83"/>
      <c r="G1676" s="84"/>
      <c r="H1676" s="85"/>
      <c r="I1676" s="18"/>
      <c r="J1676" s="5"/>
      <c r="K1676" s="5"/>
      <c r="L1676" s="4"/>
      <c r="M1676" s="4"/>
      <c r="N1676" s="82"/>
      <c r="O1676" s="86"/>
      <c r="P1676" s="4"/>
      <c r="Q1676" s="4"/>
      <c r="R1676" s="47"/>
      <c r="S1676" s="87"/>
      <c r="T1676" s="88"/>
      <c r="U1676" s="89"/>
      <c r="V1676" s="4"/>
      <c r="W1676" s="4"/>
      <c r="X1676" s="9"/>
      <c r="Y1676" s="84"/>
      <c r="Z1676" s="90"/>
      <c r="AA1676" s="84"/>
      <c r="AB1676" s="84"/>
      <c r="AC1676" s="84"/>
      <c r="AD1676" s="84"/>
      <c r="AE1676" s="82"/>
      <c r="AF1676" s="82"/>
      <c r="AG1676" s="82"/>
    </row>
    <row r="1677" spans="1:33" s="91" customFormat="1" ht="12.75" x14ac:dyDescent="0.2">
      <c r="A1677" s="13">
        <f t="shared" si="65"/>
        <v>149</v>
      </c>
      <c r="B1677" s="11"/>
      <c r="C1677" s="82"/>
      <c r="D1677" s="1"/>
      <c r="E1677" s="83"/>
      <c r="F1677" s="83"/>
      <c r="G1677" s="84"/>
      <c r="H1677" s="85"/>
      <c r="I1677" s="18"/>
      <c r="J1677" s="5"/>
      <c r="K1677" s="5"/>
      <c r="L1677" s="4"/>
      <c r="M1677" s="4"/>
      <c r="N1677" s="82"/>
      <c r="O1677" s="86"/>
      <c r="P1677" s="4"/>
      <c r="Q1677" s="4"/>
      <c r="R1677" s="47"/>
      <c r="S1677" s="87"/>
      <c r="T1677" s="88"/>
      <c r="U1677" s="89"/>
      <c r="V1677" s="4"/>
      <c r="W1677" s="4"/>
      <c r="X1677" s="9"/>
      <c r="Y1677" s="84"/>
      <c r="Z1677" s="90"/>
      <c r="AA1677" s="84"/>
      <c r="AB1677" s="84"/>
      <c r="AC1677" s="84"/>
      <c r="AD1677" s="84"/>
      <c r="AE1677" s="84"/>
      <c r="AF1677" s="84"/>
      <c r="AG1677" s="84"/>
    </row>
    <row r="1678" spans="1:33" s="91" customFormat="1" ht="12.75" x14ac:dyDescent="0.2">
      <c r="A1678" s="13">
        <f t="shared" si="65"/>
        <v>149</v>
      </c>
      <c r="B1678" s="11"/>
      <c r="C1678" s="82"/>
      <c r="D1678" s="1"/>
      <c r="E1678" s="83"/>
      <c r="F1678" s="83"/>
      <c r="G1678" s="84"/>
      <c r="H1678" s="85"/>
      <c r="I1678" s="18"/>
      <c r="J1678" s="5"/>
      <c r="K1678" s="5"/>
      <c r="L1678" s="4"/>
      <c r="M1678" s="4"/>
      <c r="N1678" s="82"/>
      <c r="O1678" s="86"/>
      <c r="P1678" s="4"/>
      <c r="Q1678" s="4"/>
      <c r="R1678" s="47"/>
      <c r="S1678" s="87"/>
      <c r="T1678" s="88"/>
      <c r="U1678" s="89"/>
      <c r="V1678" s="4"/>
      <c r="W1678" s="4"/>
      <c r="X1678" s="9"/>
      <c r="Y1678" s="84"/>
      <c r="Z1678" s="90"/>
      <c r="AA1678" s="84"/>
      <c r="AB1678" s="84"/>
      <c r="AC1678" s="84"/>
      <c r="AD1678" s="84"/>
      <c r="AE1678" s="84"/>
      <c r="AF1678" s="84"/>
      <c r="AG1678" s="84"/>
    </row>
    <row r="1679" spans="1:33" s="91" customFormat="1" ht="33" customHeight="1" x14ac:dyDescent="0.2">
      <c r="A1679" s="13">
        <f t="shared" si="65"/>
        <v>150</v>
      </c>
      <c r="B1679" s="11">
        <v>150</v>
      </c>
      <c r="C1679" s="92" t="s">
        <v>1363</v>
      </c>
      <c r="D1679" s="1"/>
      <c r="E1679" s="87">
        <v>86</v>
      </c>
      <c r="F1679" s="87">
        <v>222</v>
      </c>
      <c r="G1679" s="84" t="s">
        <v>1370</v>
      </c>
      <c r="H1679" s="85">
        <v>95</v>
      </c>
      <c r="I1679" s="18"/>
      <c r="J1679" s="5"/>
      <c r="K1679" s="5"/>
      <c r="L1679" s="4"/>
      <c r="M1679" s="4"/>
      <c r="N1679" s="82"/>
      <c r="O1679" s="86"/>
      <c r="P1679" s="4"/>
      <c r="Q1679" s="4"/>
      <c r="R1679" s="47"/>
      <c r="S1679" s="87"/>
      <c r="T1679" s="88"/>
      <c r="U1679" s="89"/>
      <c r="V1679" s="4"/>
      <c r="W1679" s="4"/>
      <c r="X1679" s="9"/>
      <c r="Y1679" s="84"/>
      <c r="Z1679" s="90"/>
      <c r="AA1679" s="84"/>
      <c r="AB1679" s="84"/>
      <c r="AC1679" s="84"/>
      <c r="AD1679" s="84"/>
      <c r="AE1679" s="84" t="s">
        <v>1371</v>
      </c>
      <c r="AF1679" s="84"/>
      <c r="AG1679" s="84"/>
    </row>
    <row r="1680" spans="1:33" s="91" customFormat="1" ht="33" customHeight="1" x14ac:dyDescent="0.2">
      <c r="A1680" s="13">
        <f t="shared" si="65"/>
        <v>150</v>
      </c>
      <c r="B1680" s="11"/>
      <c r="C1680" s="82" t="s">
        <v>1366</v>
      </c>
      <c r="D1680" s="1"/>
      <c r="E1680" s="87"/>
      <c r="F1680" s="87"/>
      <c r="G1680" s="84"/>
      <c r="H1680" s="85"/>
      <c r="I1680" s="18"/>
      <c r="J1680" s="5"/>
      <c r="K1680" s="5"/>
      <c r="L1680" s="4"/>
      <c r="M1680" s="4"/>
      <c r="N1680" s="82"/>
      <c r="O1680" s="86"/>
      <c r="P1680" s="4"/>
      <c r="Q1680" s="4"/>
      <c r="R1680" s="47"/>
      <c r="S1680" s="87"/>
      <c r="T1680" s="88"/>
      <c r="U1680" s="89"/>
      <c r="V1680" s="4"/>
      <c r="W1680" s="4"/>
      <c r="X1680" s="9"/>
      <c r="Y1680" s="84"/>
      <c r="Z1680" s="90"/>
      <c r="AA1680" s="84"/>
      <c r="AB1680" s="84"/>
      <c r="AC1680" s="84"/>
      <c r="AD1680" s="84"/>
      <c r="AE1680" s="84" t="s">
        <v>1736</v>
      </c>
      <c r="AF1680" s="84"/>
      <c r="AG1680" s="84" t="s">
        <v>1372</v>
      </c>
    </row>
    <row r="1681" spans="1:33" s="91" customFormat="1" ht="45.75" customHeight="1" x14ac:dyDescent="0.2">
      <c r="A1681" s="13">
        <f t="shared" si="65"/>
        <v>150</v>
      </c>
      <c r="B1681" s="11"/>
      <c r="C1681" s="82" t="s">
        <v>1621</v>
      </c>
      <c r="D1681" s="1"/>
      <c r="E1681" s="87"/>
      <c r="F1681" s="87"/>
      <c r="G1681" s="84"/>
      <c r="H1681" s="85"/>
      <c r="I1681" s="18"/>
      <c r="J1681" s="5"/>
      <c r="K1681" s="5"/>
      <c r="L1681" s="4"/>
      <c r="M1681" s="4"/>
      <c r="N1681" s="82"/>
      <c r="O1681" s="86"/>
      <c r="P1681" s="4"/>
      <c r="Q1681" s="4"/>
      <c r="R1681" s="47"/>
      <c r="S1681" s="87"/>
      <c r="T1681" s="88"/>
      <c r="U1681" s="89"/>
      <c r="V1681" s="4"/>
      <c r="W1681" s="4"/>
      <c r="X1681" s="9"/>
      <c r="Y1681" s="84"/>
      <c r="Z1681" s="90"/>
      <c r="AA1681" s="84"/>
      <c r="AB1681" s="84"/>
      <c r="AC1681" s="84"/>
      <c r="AD1681" s="84"/>
      <c r="AE1681" s="84" t="s">
        <v>1720</v>
      </c>
      <c r="AF1681" s="84"/>
      <c r="AG1681" s="84"/>
    </row>
    <row r="1682" spans="1:33" s="91" customFormat="1" ht="12.75" x14ac:dyDescent="0.2">
      <c r="A1682" s="13">
        <f t="shared" si="65"/>
        <v>150</v>
      </c>
      <c r="B1682" s="11"/>
      <c r="C1682" s="82"/>
      <c r="D1682" s="1"/>
      <c r="E1682" s="83"/>
      <c r="F1682" s="83"/>
      <c r="G1682" s="84"/>
      <c r="H1682" s="85"/>
      <c r="I1682" s="18"/>
      <c r="J1682" s="5"/>
      <c r="K1682" s="5"/>
      <c r="L1682" s="4"/>
      <c r="M1682" s="4"/>
      <c r="N1682" s="82"/>
      <c r="O1682" s="86"/>
      <c r="P1682" s="4"/>
      <c r="Q1682" s="4"/>
      <c r="R1682" s="47"/>
      <c r="S1682" s="87"/>
      <c r="T1682" s="88"/>
      <c r="U1682" s="89"/>
      <c r="V1682" s="4"/>
      <c r="W1682" s="4"/>
      <c r="X1682" s="9"/>
      <c r="Y1682" s="84"/>
      <c r="Z1682" s="90"/>
      <c r="AA1682" s="84"/>
      <c r="AB1682" s="84"/>
      <c r="AC1682" s="84"/>
      <c r="AD1682" s="84"/>
      <c r="AE1682" s="84"/>
      <c r="AF1682" s="84"/>
      <c r="AG1682" s="84"/>
    </row>
    <row r="1683" spans="1:33" s="91" customFormat="1" ht="12.75" x14ac:dyDescent="0.2">
      <c r="A1683" s="13">
        <f t="shared" si="65"/>
        <v>150</v>
      </c>
      <c r="B1683" s="11"/>
      <c r="C1683" s="82"/>
      <c r="D1683" s="1"/>
      <c r="E1683" s="83"/>
      <c r="F1683" s="83"/>
      <c r="G1683" s="84"/>
      <c r="H1683" s="85"/>
      <c r="I1683" s="18"/>
      <c r="J1683" s="5"/>
      <c r="K1683" s="5"/>
      <c r="L1683" s="4"/>
      <c r="M1683" s="4"/>
      <c r="N1683" s="82"/>
      <c r="O1683" s="86"/>
      <c r="P1683" s="4"/>
      <c r="Q1683" s="4"/>
      <c r="R1683" s="47"/>
      <c r="S1683" s="87"/>
      <c r="T1683" s="88"/>
      <c r="U1683" s="89"/>
      <c r="V1683" s="4"/>
      <c r="W1683" s="4"/>
      <c r="X1683" s="9"/>
      <c r="Y1683" s="84"/>
      <c r="Z1683" s="90"/>
      <c r="AA1683" s="84"/>
      <c r="AB1683" s="84"/>
      <c r="AC1683" s="84"/>
      <c r="AD1683" s="84"/>
      <c r="AE1683" s="84"/>
      <c r="AF1683" s="84"/>
      <c r="AG1683" s="84"/>
    </row>
    <row r="1684" spans="1:33" s="91" customFormat="1" ht="12.75" x14ac:dyDescent="0.2">
      <c r="A1684" s="13">
        <f t="shared" si="65"/>
        <v>150</v>
      </c>
      <c r="B1684" s="11"/>
      <c r="C1684" s="82"/>
      <c r="D1684" s="1"/>
      <c r="E1684" s="83"/>
      <c r="F1684" s="83"/>
      <c r="G1684" s="84"/>
      <c r="H1684" s="85"/>
      <c r="I1684" s="18"/>
      <c r="J1684" s="5"/>
      <c r="K1684" s="5"/>
      <c r="L1684" s="4"/>
      <c r="M1684" s="4"/>
      <c r="N1684" s="82"/>
      <c r="O1684" s="86"/>
      <c r="P1684" s="4"/>
      <c r="Q1684" s="4"/>
      <c r="R1684" s="47"/>
      <c r="S1684" s="87"/>
      <c r="T1684" s="88"/>
      <c r="U1684" s="89"/>
      <c r="V1684" s="4"/>
      <c r="W1684" s="4"/>
      <c r="X1684" s="9"/>
      <c r="Y1684" s="84"/>
      <c r="Z1684" s="90"/>
      <c r="AA1684" s="84"/>
      <c r="AB1684" s="84"/>
      <c r="AC1684" s="84"/>
      <c r="AD1684" s="84"/>
      <c r="AE1684" s="84"/>
      <c r="AF1684" s="84"/>
      <c r="AG1684" s="84"/>
    </row>
    <row r="1685" spans="1:33" s="91" customFormat="1" ht="12.75" x14ac:dyDescent="0.2">
      <c r="A1685" s="13">
        <f t="shared" si="65"/>
        <v>150</v>
      </c>
      <c r="B1685" s="11"/>
      <c r="C1685" s="82"/>
      <c r="D1685" s="1"/>
      <c r="E1685" s="83"/>
      <c r="F1685" s="83"/>
      <c r="G1685" s="84"/>
      <c r="H1685" s="85"/>
      <c r="I1685" s="18"/>
      <c r="J1685" s="5"/>
      <c r="K1685" s="5"/>
      <c r="L1685" s="4"/>
      <c r="M1685" s="4"/>
      <c r="N1685" s="82"/>
      <c r="O1685" s="86"/>
      <c r="P1685" s="4"/>
      <c r="Q1685" s="4"/>
      <c r="R1685" s="47"/>
      <c r="S1685" s="87"/>
      <c r="T1685" s="88"/>
      <c r="U1685" s="89"/>
      <c r="V1685" s="4"/>
      <c r="W1685" s="4"/>
      <c r="X1685" s="9"/>
      <c r="Y1685" s="84"/>
      <c r="Z1685" s="90"/>
      <c r="AA1685" s="84"/>
      <c r="AB1685" s="84"/>
      <c r="AC1685" s="84"/>
      <c r="AD1685" s="84"/>
      <c r="AE1685" s="84"/>
      <c r="AF1685" s="84"/>
      <c r="AG1685" s="84"/>
    </row>
    <row r="1686" spans="1:33" s="91" customFormat="1" ht="32.25" customHeight="1" x14ac:dyDescent="0.2">
      <c r="A1686" s="13">
        <f t="shared" si="65"/>
        <v>151</v>
      </c>
      <c r="B1686" s="11">
        <v>151</v>
      </c>
      <c r="C1686" s="92" t="s">
        <v>1373</v>
      </c>
      <c r="D1686" s="1"/>
      <c r="E1686" s="87"/>
      <c r="F1686" s="87"/>
      <c r="G1686" s="84"/>
      <c r="H1686" s="85"/>
      <c r="I1686" s="18"/>
      <c r="J1686" s="5"/>
      <c r="K1686" s="5"/>
      <c r="L1686" s="4"/>
      <c r="M1686" s="4"/>
      <c r="N1686" s="82"/>
      <c r="O1686" s="86"/>
      <c r="P1686" s="4"/>
      <c r="Q1686" s="4"/>
      <c r="R1686" s="47" t="s">
        <v>1763</v>
      </c>
      <c r="S1686" s="87" t="s">
        <v>1133</v>
      </c>
      <c r="T1686" s="88">
        <v>19.73</v>
      </c>
      <c r="U1686" s="89"/>
      <c r="V1686" s="4"/>
      <c r="W1686" s="4"/>
      <c r="X1686" s="158" t="s">
        <v>1138</v>
      </c>
      <c r="Y1686" s="4" t="s">
        <v>1139</v>
      </c>
      <c r="Z1686" s="4" t="s">
        <v>56</v>
      </c>
      <c r="AA1686" s="32" t="s">
        <v>269</v>
      </c>
      <c r="AB1686" s="3" t="s">
        <v>1138</v>
      </c>
      <c r="AC1686" s="4"/>
      <c r="AD1686" s="84"/>
      <c r="AE1686" s="84" t="s">
        <v>1374</v>
      </c>
      <c r="AF1686" s="84"/>
      <c r="AG1686" s="84"/>
    </row>
    <row r="1687" spans="1:33" s="91" customFormat="1" ht="36" customHeight="1" x14ac:dyDescent="0.2">
      <c r="A1687" s="13">
        <f t="shared" si="65"/>
        <v>151</v>
      </c>
      <c r="B1687" s="11"/>
      <c r="C1687" s="82" t="s">
        <v>1375</v>
      </c>
      <c r="D1687" s="1"/>
      <c r="E1687" s="87"/>
      <c r="F1687" s="87"/>
      <c r="G1687" s="84"/>
      <c r="H1687" s="85"/>
      <c r="I1687" s="18"/>
      <c r="J1687" s="5"/>
      <c r="K1687" s="5"/>
      <c r="L1687" s="4"/>
      <c r="M1687" s="4"/>
      <c r="N1687" s="82"/>
      <c r="O1687" s="86"/>
      <c r="P1687" s="4"/>
      <c r="Q1687" s="4"/>
      <c r="R1687" s="47" t="s">
        <v>1959</v>
      </c>
      <c r="S1687" s="87" t="s">
        <v>1133</v>
      </c>
      <c r="T1687" s="88">
        <v>3.2199999999999998</v>
      </c>
      <c r="U1687" s="89"/>
      <c r="V1687" s="4"/>
      <c r="W1687" s="4"/>
      <c r="X1687" s="9"/>
      <c r="Y1687" s="84"/>
      <c r="Z1687" s="90"/>
      <c r="AA1687" s="84"/>
      <c r="AB1687" s="84"/>
      <c r="AC1687" s="84"/>
      <c r="AD1687" s="84"/>
      <c r="AE1687" s="264" t="s">
        <v>1976</v>
      </c>
      <c r="AF1687" s="84"/>
      <c r="AG1687" s="84"/>
    </row>
    <row r="1688" spans="1:33" s="91" customFormat="1" ht="38.25" x14ac:dyDescent="0.2">
      <c r="A1688" s="13">
        <f t="shared" si="65"/>
        <v>151</v>
      </c>
      <c r="B1688" s="11"/>
      <c r="C1688" s="82" t="s">
        <v>1622</v>
      </c>
      <c r="D1688" s="1"/>
      <c r="E1688" s="83"/>
      <c r="F1688" s="83"/>
      <c r="G1688" s="84"/>
      <c r="H1688" s="85"/>
      <c r="I1688" s="18"/>
      <c r="J1688" s="5"/>
      <c r="K1688" s="5"/>
      <c r="L1688" s="4"/>
      <c r="M1688" s="4"/>
      <c r="N1688" s="82"/>
      <c r="O1688" s="86"/>
      <c r="P1688" s="4"/>
      <c r="Q1688" s="4"/>
      <c r="R1688" s="47" t="s">
        <v>1960</v>
      </c>
      <c r="S1688" s="87" t="s">
        <v>1133</v>
      </c>
      <c r="T1688" s="88">
        <v>18</v>
      </c>
      <c r="U1688" s="89"/>
      <c r="V1688" s="4"/>
      <c r="W1688" s="4"/>
      <c r="X1688" s="9"/>
      <c r="Y1688" s="84"/>
      <c r="Z1688" s="90"/>
      <c r="AA1688" s="84"/>
      <c r="AB1688" s="84"/>
      <c r="AC1688" s="84"/>
      <c r="AD1688" s="84"/>
      <c r="AE1688" s="84"/>
      <c r="AF1688" s="84"/>
      <c r="AG1688" s="84"/>
    </row>
    <row r="1689" spans="1:33" s="91" customFormat="1" ht="37.5" customHeight="1" x14ac:dyDescent="0.2">
      <c r="A1689" s="13">
        <f t="shared" si="65"/>
        <v>151</v>
      </c>
      <c r="B1689" s="11"/>
      <c r="C1689" s="82"/>
      <c r="D1689" s="1"/>
      <c r="E1689" s="83"/>
      <c r="F1689" s="83"/>
      <c r="G1689" s="84"/>
      <c r="H1689" s="85"/>
      <c r="I1689" s="1"/>
      <c r="J1689" s="5"/>
      <c r="K1689" s="5"/>
      <c r="L1689" s="4"/>
      <c r="M1689" s="4"/>
      <c r="N1689" s="82"/>
      <c r="O1689" s="86"/>
      <c r="P1689" s="4"/>
      <c r="Q1689" s="4"/>
      <c r="R1689" s="47" t="s">
        <v>1977</v>
      </c>
      <c r="S1689" s="87" t="s">
        <v>1133</v>
      </c>
      <c r="T1689" s="88">
        <v>10.920000000000002</v>
      </c>
      <c r="U1689" s="89"/>
      <c r="V1689" s="4"/>
      <c r="W1689" s="4"/>
      <c r="X1689" s="9"/>
      <c r="Y1689" s="84"/>
      <c r="Z1689" s="90"/>
      <c r="AA1689" s="84"/>
      <c r="AB1689" s="84"/>
      <c r="AC1689" s="84"/>
      <c r="AD1689" s="84"/>
      <c r="AE1689" s="84"/>
      <c r="AF1689" s="84"/>
      <c r="AG1689" s="84"/>
    </row>
    <row r="1690" spans="1:33" s="91" customFormat="1" ht="12.75" x14ac:dyDescent="0.2">
      <c r="A1690" s="13">
        <f t="shared" si="65"/>
        <v>151</v>
      </c>
      <c r="B1690" s="11"/>
      <c r="C1690" s="82"/>
      <c r="D1690" s="1"/>
      <c r="E1690" s="83"/>
      <c r="F1690" s="83"/>
      <c r="G1690" s="84"/>
      <c r="H1690" s="85"/>
      <c r="I1690" s="1"/>
      <c r="J1690" s="5"/>
      <c r="K1690" s="5"/>
      <c r="L1690" s="4"/>
      <c r="M1690" s="4"/>
      <c r="N1690" s="82"/>
      <c r="O1690" s="86"/>
      <c r="P1690" s="4"/>
      <c r="Q1690" s="4"/>
      <c r="R1690" s="47"/>
      <c r="S1690" s="87"/>
      <c r="T1690" s="88"/>
      <c r="U1690" s="89"/>
      <c r="V1690" s="4"/>
      <c r="W1690" s="4"/>
      <c r="X1690" s="9"/>
      <c r="Y1690" s="84"/>
      <c r="Z1690" s="90"/>
      <c r="AA1690" s="84"/>
      <c r="AB1690" s="84"/>
      <c r="AC1690" s="84"/>
      <c r="AD1690" s="84"/>
      <c r="AE1690" s="84"/>
      <c r="AF1690" s="84"/>
      <c r="AG1690" s="84"/>
    </row>
    <row r="1691" spans="1:33" s="91" customFormat="1" ht="12.75" x14ac:dyDescent="0.2">
      <c r="A1691" s="13">
        <f t="shared" si="65"/>
        <v>151</v>
      </c>
      <c r="B1691" s="11"/>
      <c r="C1691" s="82"/>
      <c r="D1691" s="1"/>
      <c r="E1691" s="83"/>
      <c r="F1691" s="83"/>
      <c r="G1691" s="84"/>
      <c r="H1691" s="85"/>
      <c r="I1691" s="1"/>
      <c r="J1691" s="5"/>
      <c r="K1691" s="5"/>
      <c r="L1691" s="4"/>
      <c r="M1691" s="4"/>
      <c r="N1691" s="82"/>
      <c r="O1691" s="86"/>
      <c r="P1691" s="4"/>
      <c r="Q1691" s="4"/>
      <c r="R1691" s="82"/>
      <c r="S1691" s="87"/>
      <c r="T1691" s="88"/>
      <c r="U1691" s="89"/>
      <c r="V1691" s="4"/>
      <c r="W1691" s="4"/>
      <c r="X1691" s="9"/>
      <c r="Y1691" s="84"/>
      <c r="Z1691" s="90"/>
      <c r="AA1691" s="84"/>
      <c r="AB1691" s="84"/>
      <c r="AC1691" s="84"/>
      <c r="AD1691" s="84"/>
      <c r="AE1691" s="82"/>
      <c r="AF1691" s="82"/>
      <c r="AG1691" s="82"/>
    </row>
    <row r="1692" spans="1:33" s="91" customFormat="1" ht="12.75" x14ac:dyDescent="0.2">
      <c r="A1692" s="13">
        <f t="shared" si="65"/>
        <v>151</v>
      </c>
      <c r="B1692" s="11"/>
      <c r="C1692" s="82"/>
      <c r="D1692" s="1"/>
      <c r="E1692" s="83"/>
      <c r="F1692" s="83"/>
      <c r="G1692" s="84"/>
      <c r="H1692" s="85"/>
      <c r="I1692" s="1"/>
      <c r="J1692" s="5"/>
      <c r="K1692" s="5"/>
      <c r="L1692" s="4"/>
      <c r="M1692" s="4"/>
      <c r="N1692" s="82"/>
      <c r="O1692" s="86"/>
      <c r="P1692" s="4"/>
      <c r="Q1692" s="4"/>
      <c r="R1692" s="82"/>
      <c r="S1692" s="87"/>
      <c r="T1692" s="88"/>
      <c r="U1692" s="89"/>
      <c r="V1692" s="4"/>
      <c r="W1692" s="4"/>
      <c r="X1692" s="9"/>
      <c r="Y1692" s="84"/>
      <c r="Z1692" s="90"/>
      <c r="AA1692" s="84"/>
      <c r="AB1692" s="84"/>
      <c r="AC1692" s="84"/>
      <c r="AD1692" s="84"/>
      <c r="AE1692" s="82"/>
      <c r="AF1692" s="82"/>
      <c r="AG1692" s="82"/>
    </row>
    <row r="1693" spans="1:33" s="91" customFormat="1" ht="36.75" customHeight="1" x14ac:dyDescent="0.2">
      <c r="A1693" s="13">
        <f t="shared" si="65"/>
        <v>152</v>
      </c>
      <c r="B1693" s="11">
        <v>152</v>
      </c>
      <c r="C1693" s="92" t="s">
        <v>1376</v>
      </c>
      <c r="D1693" s="1"/>
      <c r="E1693" s="87"/>
      <c r="F1693" s="87"/>
      <c r="G1693" s="84"/>
      <c r="H1693" s="85"/>
      <c r="I1693" s="18"/>
      <c r="J1693" s="5"/>
      <c r="K1693" s="5"/>
      <c r="L1693" s="4"/>
      <c r="M1693" s="4"/>
      <c r="N1693" s="82"/>
      <c r="O1693" s="86"/>
      <c r="P1693" s="4"/>
      <c r="Q1693" s="4"/>
      <c r="R1693" s="47" t="s">
        <v>1763</v>
      </c>
      <c r="S1693" s="87" t="s">
        <v>1133</v>
      </c>
      <c r="T1693" s="88">
        <v>26.42</v>
      </c>
      <c r="U1693" s="89"/>
      <c r="V1693" s="4"/>
      <c r="W1693" s="4"/>
      <c r="X1693" s="158" t="s">
        <v>1138</v>
      </c>
      <c r="Y1693" s="4" t="s">
        <v>1139</v>
      </c>
      <c r="Z1693" s="4" t="s">
        <v>56</v>
      </c>
      <c r="AA1693" s="32" t="s">
        <v>269</v>
      </c>
      <c r="AB1693" s="3" t="s">
        <v>1138</v>
      </c>
      <c r="AC1693" s="4"/>
      <c r="AD1693" s="84"/>
      <c r="AE1693" s="84" t="s">
        <v>1377</v>
      </c>
      <c r="AF1693" s="84"/>
      <c r="AG1693" s="84"/>
    </row>
    <row r="1694" spans="1:33" s="91" customFormat="1" ht="37.5" customHeight="1" x14ac:dyDescent="0.2">
      <c r="A1694" s="13">
        <f t="shared" si="65"/>
        <v>152</v>
      </c>
      <c r="B1694" s="11"/>
      <c r="C1694" s="82" t="s">
        <v>1378</v>
      </c>
      <c r="D1694" s="1"/>
      <c r="E1694" s="87"/>
      <c r="F1694" s="87"/>
      <c r="G1694" s="84"/>
      <c r="H1694" s="85"/>
      <c r="I1694" s="18"/>
      <c r="J1694" s="5"/>
      <c r="K1694" s="5"/>
      <c r="L1694" s="4"/>
      <c r="M1694" s="4"/>
      <c r="N1694" s="82"/>
      <c r="O1694" s="86"/>
      <c r="P1694" s="4"/>
      <c r="Q1694" s="4"/>
      <c r="R1694" s="47" t="s">
        <v>1959</v>
      </c>
      <c r="S1694" s="87" t="s">
        <v>1133</v>
      </c>
      <c r="T1694" s="88">
        <v>3.2199999999999998</v>
      </c>
      <c r="U1694" s="89"/>
      <c r="V1694" s="4"/>
      <c r="W1694" s="4"/>
      <c r="X1694" s="9"/>
      <c r="Y1694" s="84"/>
      <c r="Z1694" s="90"/>
      <c r="AA1694" s="84"/>
      <c r="AB1694" s="84"/>
      <c r="AC1694" s="84"/>
      <c r="AD1694" s="84"/>
      <c r="AE1694" s="264" t="s">
        <v>1976</v>
      </c>
      <c r="AF1694" s="84"/>
      <c r="AG1694" s="84"/>
    </row>
    <row r="1695" spans="1:33" s="91" customFormat="1" ht="46.5" customHeight="1" x14ac:dyDescent="0.2">
      <c r="A1695" s="13">
        <f t="shared" si="65"/>
        <v>152</v>
      </c>
      <c r="B1695" s="11"/>
      <c r="C1695" s="82" t="s">
        <v>1623</v>
      </c>
      <c r="D1695" s="1"/>
      <c r="E1695" s="83"/>
      <c r="F1695" s="83"/>
      <c r="G1695" s="84"/>
      <c r="H1695" s="85"/>
      <c r="I1695" s="18"/>
      <c r="J1695" s="5"/>
      <c r="K1695" s="5"/>
      <c r="L1695" s="4"/>
      <c r="M1695" s="4"/>
      <c r="N1695" s="82"/>
      <c r="O1695" s="86"/>
      <c r="P1695" s="4"/>
      <c r="Q1695" s="4"/>
      <c r="R1695" s="47" t="s">
        <v>1960</v>
      </c>
      <c r="S1695" s="87" t="s">
        <v>1133</v>
      </c>
      <c r="T1695" s="88">
        <v>22.8</v>
      </c>
      <c r="U1695" s="89"/>
      <c r="V1695" s="4"/>
      <c r="W1695" s="4"/>
      <c r="X1695" s="9"/>
      <c r="Y1695" s="84"/>
      <c r="Z1695" s="90"/>
      <c r="AA1695" s="84"/>
      <c r="AB1695" s="84"/>
      <c r="AC1695" s="84"/>
      <c r="AD1695" s="84"/>
      <c r="AE1695" s="84"/>
      <c r="AF1695" s="84"/>
      <c r="AG1695" s="84"/>
    </row>
    <row r="1696" spans="1:33" s="91" customFormat="1" ht="12.75" x14ac:dyDescent="0.2">
      <c r="A1696" s="13">
        <f t="shared" si="65"/>
        <v>152</v>
      </c>
      <c r="B1696" s="11"/>
      <c r="C1696" s="82"/>
      <c r="D1696" s="1"/>
      <c r="E1696" s="83"/>
      <c r="F1696" s="83"/>
      <c r="G1696" s="84"/>
      <c r="H1696" s="85"/>
      <c r="I1696" s="1"/>
      <c r="J1696" s="5"/>
      <c r="K1696" s="5"/>
      <c r="L1696" s="4"/>
      <c r="M1696" s="4"/>
      <c r="N1696" s="82"/>
      <c r="O1696" s="86"/>
      <c r="P1696" s="4"/>
      <c r="Q1696" s="4"/>
      <c r="R1696" s="47"/>
      <c r="S1696" s="87"/>
      <c r="T1696" s="88"/>
      <c r="U1696" s="89"/>
      <c r="V1696" s="4"/>
      <c r="W1696" s="4"/>
      <c r="X1696" s="9"/>
      <c r="Y1696" s="84"/>
      <c r="Z1696" s="90"/>
      <c r="AA1696" s="84"/>
      <c r="AB1696" s="84"/>
      <c r="AC1696" s="84"/>
      <c r="AD1696" s="84"/>
      <c r="AE1696" s="84"/>
      <c r="AF1696" s="84"/>
      <c r="AG1696" s="84"/>
    </row>
    <row r="1697" spans="1:33" s="91" customFormat="1" ht="12.75" x14ac:dyDescent="0.2">
      <c r="A1697" s="13">
        <f t="shared" si="65"/>
        <v>152</v>
      </c>
      <c r="B1697" s="11"/>
      <c r="C1697" s="82"/>
      <c r="D1697" s="1"/>
      <c r="E1697" s="83"/>
      <c r="F1697" s="83"/>
      <c r="G1697" s="84"/>
      <c r="H1697" s="85"/>
      <c r="I1697" s="1"/>
      <c r="J1697" s="5"/>
      <c r="K1697" s="5"/>
      <c r="L1697" s="4"/>
      <c r="M1697" s="4"/>
      <c r="N1697" s="82"/>
      <c r="O1697" s="86"/>
      <c r="P1697" s="4"/>
      <c r="Q1697" s="4"/>
      <c r="R1697" s="47"/>
      <c r="S1697" s="87"/>
      <c r="T1697" s="88"/>
      <c r="U1697" s="89"/>
      <c r="V1697" s="4"/>
      <c r="W1697" s="4"/>
      <c r="X1697" s="9"/>
      <c r="Y1697" s="84"/>
      <c r="Z1697" s="90"/>
      <c r="AA1697" s="84"/>
      <c r="AB1697" s="84"/>
      <c r="AC1697" s="84"/>
      <c r="AD1697" s="84"/>
      <c r="AE1697" s="84"/>
      <c r="AF1697" s="84"/>
      <c r="AG1697" s="84"/>
    </row>
    <row r="1698" spans="1:33" s="91" customFormat="1" ht="12.75" x14ac:dyDescent="0.2">
      <c r="A1698" s="13">
        <f t="shared" si="65"/>
        <v>152</v>
      </c>
      <c r="B1698" s="11"/>
      <c r="C1698" s="82"/>
      <c r="D1698" s="1"/>
      <c r="E1698" s="83"/>
      <c r="F1698" s="83"/>
      <c r="G1698" s="84"/>
      <c r="H1698" s="85"/>
      <c r="I1698" s="1"/>
      <c r="J1698" s="5"/>
      <c r="K1698" s="5"/>
      <c r="L1698" s="4"/>
      <c r="M1698" s="4"/>
      <c r="N1698" s="82"/>
      <c r="O1698" s="86"/>
      <c r="P1698" s="4"/>
      <c r="Q1698" s="4"/>
      <c r="R1698" s="82"/>
      <c r="S1698" s="87"/>
      <c r="T1698" s="88"/>
      <c r="U1698" s="89"/>
      <c r="V1698" s="4"/>
      <c r="W1698" s="4"/>
      <c r="X1698" s="9"/>
      <c r="Y1698" s="84"/>
      <c r="Z1698" s="90"/>
      <c r="AA1698" s="84"/>
      <c r="AB1698" s="84"/>
      <c r="AC1698" s="84"/>
      <c r="AD1698" s="84"/>
      <c r="AE1698" s="84"/>
      <c r="AF1698" s="84"/>
      <c r="AG1698" s="84"/>
    </row>
    <row r="1699" spans="1:33" s="91" customFormat="1" ht="12.75" x14ac:dyDescent="0.2">
      <c r="A1699" s="13">
        <f t="shared" si="65"/>
        <v>152</v>
      </c>
      <c r="B1699" s="11"/>
      <c r="C1699" s="84"/>
      <c r="D1699" s="1"/>
      <c r="E1699" s="83"/>
      <c r="F1699" s="83"/>
      <c r="G1699" s="84"/>
      <c r="H1699" s="85"/>
      <c r="I1699" s="1"/>
      <c r="J1699" s="5"/>
      <c r="K1699" s="5"/>
      <c r="L1699" s="4"/>
      <c r="M1699" s="4"/>
      <c r="N1699" s="82"/>
      <c r="O1699" s="86"/>
      <c r="P1699" s="4"/>
      <c r="Q1699" s="4"/>
      <c r="R1699" s="82"/>
      <c r="S1699" s="87"/>
      <c r="T1699" s="88"/>
      <c r="U1699" s="89"/>
      <c r="V1699" s="4"/>
      <c r="W1699" s="4"/>
      <c r="X1699" s="9"/>
      <c r="Y1699" s="84"/>
      <c r="Z1699" s="90"/>
      <c r="AA1699" s="84"/>
      <c r="AB1699" s="84"/>
      <c r="AC1699" s="84"/>
      <c r="AD1699" s="84"/>
      <c r="AE1699" s="82"/>
      <c r="AF1699" s="82"/>
      <c r="AG1699" s="82"/>
    </row>
    <row r="1700" spans="1:33" s="91" customFormat="1" ht="33.75" customHeight="1" x14ac:dyDescent="0.2">
      <c r="A1700" s="13">
        <f t="shared" si="65"/>
        <v>153</v>
      </c>
      <c r="B1700" s="11">
        <v>153</v>
      </c>
      <c r="C1700" s="92" t="s">
        <v>1379</v>
      </c>
      <c r="D1700" s="1"/>
      <c r="E1700" s="87"/>
      <c r="F1700" s="87"/>
      <c r="G1700" s="84"/>
      <c r="H1700" s="85"/>
      <c r="I1700" s="18"/>
      <c r="J1700" s="5"/>
      <c r="K1700" s="5"/>
      <c r="L1700" s="4"/>
      <c r="M1700" s="4"/>
      <c r="N1700" s="82"/>
      <c r="O1700" s="86"/>
      <c r="P1700" s="4"/>
      <c r="Q1700" s="4"/>
      <c r="R1700" s="47" t="s">
        <v>1763</v>
      </c>
      <c r="S1700" s="87" t="s">
        <v>1133</v>
      </c>
      <c r="T1700" s="88">
        <v>19.95</v>
      </c>
      <c r="U1700" s="89"/>
      <c r="V1700" s="4"/>
      <c r="W1700" s="4"/>
      <c r="X1700" s="158" t="s">
        <v>1138</v>
      </c>
      <c r="Y1700" s="4" t="s">
        <v>1139</v>
      </c>
      <c r="Z1700" s="4" t="s">
        <v>56</v>
      </c>
      <c r="AA1700" s="32" t="s">
        <v>269</v>
      </c>
      <c r="AB1700" s="3" t="s">
        <v>1138</v>
      </c>
      <c r="AC1700" s="4"/>
      <c r="AD1700" s="84"/>
      <c r="AE1700" s="84" t="s">
        <v>1380</v>
      </c>
      <c r="AF1700" s="84"/>
      <c r="AG1700" s="84"/>
    </row>
    <row r="1701" spans="1:33" s="91" customFormat="1" ht="40.5" customHeight="1" x14ac:dyDescent="0.2">
      <c r="A1701" s="13">
        <f t="shared" si="65"/>
        <v>153</v>
      </c>
      <c r="B1701" s="11"/>
      <c r="C1701" s="82" t="s">
        <v>1381</v>
      </c>
      <c r="D1701" s="1"/>
      <c r="E1701" s="87"/>
      <c r="F1701" s="87"/>
      <c r="G1701" s="84"/>
      <c r="H1701" s="85"/>
      <c r="I1701" s="18"/>
      <c r="J1701" s="5"/>
      <c r="K1701" s="5"/>
      <c r="L1701" s="4"/>
      <c r="M1701" s="4"/>
      <c r="N1701" s="82"/>
      <c r="O1701" s="86"/>
      <c r="P1701" s="4"/>
      <c r="Q1701" s="4"/>
      <c r="R1701" s="47" t="s">
        <v>1959</v>
      </c>
      <c r="S1701" s="87" t="s">
        <v>1133</v>
      </c>
      <c r="T1701" s="88">
        <v>3</v>
      </c>
      <c r="U1701" s="89"/>
      <c r="V1701" s="4"/>
      <c r="W1701" s="4"/>
      <c r="X1701" s="9"/>
      <c r="Y1701" s="84"/>
      <c r="Z1701" s="90"/>
      <c r="AA1701" s="84"/>
      <c r="AB1701" s="84"/>
      <c r="AC1701" s="84"/>
      <c r="AD1701" s="84"/>
      <c r="AE1701" s="264" t="s">
        <v>1976</v>
      </c>
      <c r="AF1701" s="84"/>
      <c r="AG1701" s="84"/>
    </row>
    <row r="1702" spans="1:33" s="91" customFormat="1" ht="38.25" x14ac:dyDescent="0.2">
      <c r="A1702" s="13">
        <f t="shared" si="65"/>
        <v>153</v>
      </c>
      <c r="B1702" s="11"/>
      <c r="C1702" s="82" t="s">
        <v>1624</v>
      </c>
      <c r="D1702" s="1"/>
      <c r="E1702" s="87"/>
      <c r="F1702" s="87"/>
      <c r="G1702" s="84"/>
      <c r="H1702" s="85"/>
      <c r="I1702" s="18"/>
      <c r="J1702" s="5"/>
      <c r="K1702" s="5"/>
      <c r="L1702" s="4"/>
      <c r="M1702" s="4"/>
      <c r="N1702" s="82"/>
      <c r="O1702" s="86"/>
      <c r="P1702" s="4"/>
      <c r="Q1702" s="4"/>
      <c r="R1702" s="47" t="s">
        <v>1960</v>
      </c>
      <c r="S1702" s="87" t="s">
        <v>1133</v>
      </c>
      <c r="T1702" s="88">
        <v>18</v>
      </c>
      <c r="U1702" s="89"/>
      <c r="V1702" s="4"/>
      <c r="W1702" s="4"/>
      <c r="X1702" s="9"/>
      <c r="Y1702" s="84"/>
      <c r="Z1702" s="90"/>
      <c r="AA1702" s="84"/>
      <c r="AB1702" s="84"/>
      <c r="AC1702" s="84"/>
      <c r="AD1702" s="84"/>
      <c r="AE1702" s="84"/>
      <c r="AF1702" s="84"/>
      <c r="AG1702" s="84"/>
    </row>
    <row r="1703" spans="1:33" s="91" customFormat="1" ht="37.5" customHeight="1" x14ac:dyDescent="0.2">
      <c r="A1703" s="13">
        <f t="shared" si="65"/>
        <v>153</v>
      </c>
      <c r="B1703" s="11"/>
      <c r="C1703" s="82"/>
      <c r="D1703" s="1"/>
      <c r="E1703" s="83"/>
      <c r="F1703" s="83"/>
      <c r="G1703" s="84"/>
      <c r="H1703" s="85"/>
      <c r="I1703" s="1"/>
      <c r="J1703" s="5"/>
      <c r="K1703" s="5"/>
      <c r="L1703" s="4"/>
      <c r="M1703" s="4"/>
      <c r="N1703" s="82"/>
      <c r="O1703" s="86"/>
      <c r="P1703" s="4"/>
      <c r="Q1703" s="4"/>
      <c r="R1703" s="47" t="s">
        <v>1977</v>
      </c>
      <c r="S1703" s="87" t="s">
        <v>1133</v>
      </c>
      <c r="T1703" s="88">
        <v>10.920000000000002</v>
      </c>
      <c r="U1703" s="89"/>
      <c r="V1703" s="4"/>
      <c r="W1703" s="4"/>
      <c r="X1703" s="9"/>
      <c r="Y1703" s="84"/>
      <c r="Z1703" s="90"/>
      <c r="AA1703" s="84"/>
      <c r="AB1703" s="84"/>
      <c r="AC1703" s="84"/>
      <c r="AD1703" s="84"/>
      <c r="AE1703" s="84"/>
      <c r="AF1703" s="84"/>
      <c r="AG1703" s="84"/>
    </row>
    <row r="1704" spans="1:33" s="91" customFormat="1" ht="12.75" x14ac:dyDescent="0.2">
      <c r="A1704" s="13"/>
      <c r="B1704" s="11"/>
      <c r="C1704" s="82"/>
      <c r="D1704" s="1"/>
      <c r="E1704" s="83"/>
      <c r="F1704" s="83"/>
      <c r="G1704" s="84"/>
      <c r="H1704" s="85"/>
      <c r="I1704" s="1"/>
      <c r="J1704" s="5"/>
      <c r="K1704" s="5"/>
      <c r="L1704" s="4"/>
      <c r="M1704" s="4"/>
      <c r="N1704" s="82"/>
      <c r="O1704" s="86"/>
      <c r="P1704" s="4"/>
      <c r="Q1704" s="4"/>
      <c r="R1704" s="47"/>
      <c r="S1704" s="87"/>
      <c r="T1704" s="88"/>
      <c r="U1704" s="89"/>
      <c r="V1704" s="4"/>
      <c r="W1704" s="4"/>
      <c r="X1704" s="9"/>
      <c r="Y1704" s="84"/>
      <c r="Z1704" s="90"/>
      <c r="AA1704" s="84"/>
      <c r="AB1704" s="84"/>
      <c r="AC1704" s="84"/>
      <c r="AD1704" s="84"/>
      <c r="AE1704" s="84"/>
      <c r="AF1704" s="84"/>
      <c r="AG1704" s="84"/>
    </row>
    <row r="1705" spans="1:33" s="91" customFormat="1" ht="12.75" x14ac:dyDescent="0.2">
      <c r="A1705" s="13">
        <f>IF(B1705&lt;&gt;0,B1705,A1703)</f>
        <v>153</v>
      </c>
      <c r="B1705" s="11"/>
      <c r="C1705" s="82"/>
      <c r="D1705" s="1"/>
      <c r="E1705" s="83"/>
      <c r="F1705" s="83"/>
      <c r="G1705" s="84"/>
      <c r="H1705" s="85"/>
      <c r="I1705" s="1"/>
      <c r="J1705" s="5"/>
      <c r="K1705" s="5"/>
      <c r="L1705" s="4"/>
      <c r="M1705" s="4"/>
      <c r="N1705" s="82"/>
      <c r="O1705" s="86"/>
      <c r="P1705" s="4"/>
      <c r="Q1705" s="4"/>
      <c r="R1705" s="82"/>
      <c r="S1705" s="87"/>
      <c r="T1705" s="88"/>
      <c r="U1705" s="89"/>
      <c r="V1705" s="4"/>
      <c r="W1705" s="4"/>
      <c r="X1705" s="9"/>
      <c r="Y1705" s="84"/>
      <c r="Z1705" s="90"/>
      <c r="AA1705" s="84"/>
      <c r="AB1705" s="84"/>
      <c r="AC1705" s="84"/>
      <c r="AD1705" s="84"/>
      <c r="AE1705" s="84"/>
      <c r="AF1705" s="84"/>
      <c r="AG1705" s="84"/>
    </row>
    <row r="1706" spans="1:33" s="91" customFormat="1" ht="12.75" x14ac:dyDescent="0.2">
      <c r="A1706" s="13">
        <f t="shared" ref="A1706:A1720" si="66">IF(B1706&lt;&gt;0,B1706,A1705)</f>
        <v>153</v>
      </c>
      <c r="B1706" s="11"/>
      <c r="C1706" s="84"/>
      <c r="D1706" s="1"/>
      <c r="E1706" s="83"/>
      <c r="F1706" s="83"/>
      <c r="G1706" s="84"/>
      <c r="H1706" s="85"/>
      <c r="I1706" s="1"/>
      <c r="J1706" s="5"/>
      <c r="K1706" s="5"/>
      <c r="L1706" s="4"/>
      <c r="M1706" s="4"/>
      <c r="N1706" s="82"/>
      <c r="O1706" s="86"/>
      <c r="P1706" s="4"/>
      <c r="Q1706" s="4"/>
      <c r="R1706" s="82"/>
      <c r="S1706" s="87"/>
      <c r="T1706" s="88"/>
      <c r="U1706" s="89"/>
      <c r="V1706" s="4"/>
      <c r="W1706" s="4"/>
      <c r="X1706" s="9"/>
      <c r="Y1706" s="84"/>
      <c r="Z1706" s="90"/>
      <c r="AA1706" s="84"/>
      <c r="AB1706" s="84"/>
      <c r="AC1706" s="84"/>
      <c r="AD1706" s="84"/>
      <c r="AE1706" s="82"/>
      <c r="AF1706" s="82"/>
      <c r="AG1706" s="82"/>
    </row>
    <row r="1707" spans="1:33" s="91" customFormat="1" ht="51" x14ac:dyDescent="0.2">
      <c r="A1707" s="13">
        <f t="shared" si="66"/>
        <v>154</v>
      </c>
      <c r="B1707" s="11">
        <v>154</v>
      </c>
      <c r="C1707" s="92" t="s">
        <v>1382</v>
      </c>
      <c r="D1707" s="1"/>
      <c r="E1707" s="87">
        <v>86</v>
      </c>
      <c r="F1707" s="83">
        <v>293</v>
      </c>
      <c r="G1707" s="264" t="s">
        <v>1120</v>
      </c>
      <c r="H1707" s="265">
        <f>116.8+23.2</f>
        <v>140</v>
      </c>
      <c r="I1707" s="18"/>
      <c r="J1707" s="5"/>
      <c r="K1707" s="5"/>
      <c r="L1707" s="4"/>
      <c r="M1707" s="4"/>
      <c r="N1707" s="82" t="s">
        <v>1383</v>
      </c>
      <c r="O1707" s="86">
        <v>1</v>
      </c>
      <c r="P1707" s="4"/>
      <c r="Q1707" s="4"/>
      <c r="R1707" s="47" t="s">
        <v>283</v>
      </c>
      <c r="S1707" s="87" t="s">
        <v>1133</v>
      </c>
      <c r="T1707" s="88">
        <v>50.9</v>
      </c>
      <c r="U1707" s="89"/>
      <c r="V1707" s="4"/>
      <c r="W1707" s="4"/>
      <c r="X1707" s="158" t="s">
        <v>139</v>
      </c>
      <c r="Y1707" s="4" t="s">
        <v>1139</v>
      </c>
      <c r="Z1707" s="4" t="s">
        <v>1262</v>
      </c>
      <c r="AA1707" s="32" t="s">
        <v>1263</v>
      </c>
      <c r="AB1707" s="3" t="s">
        <v>1326</v>
      </c>
      <c r="AC1707" s="4"/>
      <c r="AD1707" s="84"/>
      <c r="AE1707" s="84" t="s">
        <v>1384</v>
      </c>
      <c r="AF1707" s="238" t="s">
        <v>1745</v>
      </c>
      <c r="AG1707" s="84"/>
    </row>
    <row r="1708" spans="1:33" s="91" customFormat="1" ht="43.5" customHeight="1" x14ac:dyDescent="0.2">
      <c r="A1708" s="13">
        <f t="shared" si="66"/>
        <v>154</v>
      </c>
      <c r="B1708" s="11"/>
      <c r="C1708" s="82" t="s">
        <v>1385</v>
      </c>
      <c r="D1708" s="1"/>
      <c r="E1708" s="87">
        <v>86</v>
      </c>
      <c r="F1708" s="83">
        <v>293</v>
      </c>
      <c r="G1708" s="84" t="s">
        <v>1270</v>
      </c>
      <c r="H1708" s="85">
        <v>50</v>
      </c>
      <c r="I1708" s="18"/>
      <c r="J1708" s="5"/>
      <c r="K1708" s="5"/>
      <c r="L1708" s="4"/>
      <c r="M1708" s="4"/>
      <c r="N1708" s="82" t="s">
        <v>1332</v>
      </c>
      <c r="O1708" s="86">
        <v>63</v>
      </c>
      <c r="P1708" s="4"/>
      <c r="Q1708" s="4"/>
      <c r="R1708" s="47" t="s">
        <v>1386</v>
      </c>
      <c r="S1708" s="87" t="s">
        <v>1133</v>
      </c>
      <c r="T1708" s="88">
        <v>3.8</v>
      </c>
      <c r="U1708" s="89"/>
      <c r="V1708" s="4"/>
      <c r="W1708" s="4"/>
      <c r="X1708" s="9"/>
      <c r="Y1708" s="84"/>
      <c r="Z1708" s="90"/>
      <c r="AA1708" s="84"/>
      <c r="AB1708" s="84"/>
      <c r="AC1708" s="84"/>
      <c r="AD1708" s="84"/>
      <c r="AE1708" s="84" t="s">
        <v>1387</v>
      </c>
      <c r="AF1708" s="84"/>
      <c r="AG1708" s="84"/>
    </row>
    <row r="1709" spans="1:33" s="91" customFormat="1" ht="49.5" customHeight="1" x14ac:dyDescent="0.2">
      <c r="A1709" s="13">
        <f t="shared" si="66"/>
        <v>154</v>
      </c>
      <c r="B1709" s="11"/>
      <c r="C1709" s="82" t="s">
        <v>1625</v>
      </c>
      <c r="D1709" s="1"/>
      <c r="E1709" s="83"/>
      <c r="F1709" s="83"/>
      <c r="G1709" s="84"/>
      <c r="H1709" s="85"/>
      <c r="I1709" s="18"/>
      <c r="J1709" s="5"/>
      <c r="K1709" s="5"/>
      <c r="L1709" s="4"/>
      <c r="M1709" s="4"/>
      <c r="N1709" s="82"/>
      <c r="O1709" s="86"/>
      <c r="P1709" s="4"/>
      <c r="Q1709" s="4"/>
      <c r="R1709" s="47" t="s">
        <v>1167</v>
      </c>
      <c r="S1709" s="87" t="s">
        <v>1133</v>
      </c>
      <c r="T1709" s="88">
        <v>22.8</v>
      </c>
      <c r="U1709" s="89"/>
      <c r="V1709" s="4"/>
      <c r="W1709" s="4"/>
      <c r="X1709" s="9"/>
      <c r="Y1709" s="84"/>
      <c r="Z1709" s="90"/>
      <c r="AA1709" s="84"/>
      <c r="AB1709" s="84"/>
      <c r="AC1709" s="84"/>
      <c r="AD1709" s="84"/>
      <c r="AE1709" s="266" t="s">
        <v>404</v>
      </c>
      <c r="AF1709" s="84"/>
      <c r="AG1709" s="84"/>
    </row>
    <row r="1710" spans="1:33" s="91" customFormat="1" ht="25.5" x14ac:dyDescent="0.2">
      <c r="A1710" s="13">
        <f t="shared" si="66"/>
        <v>154</v>
      </c>
      <c r="B1710" s="11"/>
      <c r="C1710" s="82"/>
      <c r="D1710" s="1"/>
      <c r="E1710" s="83"/>
      <c r="F1710" s="83"/>
      <c r="G1710" s="84"/>
      <c r="H1710" s="85"/>
      <c r="I1710" s="1"/>
      <c r="J1710" s="5"/>
      <c r="K1710" s="5"/>
      <c r="L1710" s="4"/>
      <c r="M1710" s="4"/>
      <c r="N1710" s="82"/>
      <c r="O1710" s="86"/>
      <c r="P1710" s="4"/>
      <c r="Q1710" s="4"/>
      <c r="R1710" s="82" t="s">
        <v>1168</v>
      </c>
      <c r="S1710" s="87" t="s">
        <v>1133</v>
      </c>
      <c r="T1710" s="88">
        <v>27.7</v>
      </c>
      <c r="U1710" s="89">
        <v>4.2</v>
      </c>
      <c r="V1710" s="4"/>
      <c r="W1710" s="4"/>
      <c r="X1710" s="9"/>
      <c r="Y1710" s="84"/>
      <c r="Z1710" s="90"/>
      <c r="AA1710" s="84"/>
      <c r="AB1710" s="84"/>
      <c r="AC1710" s="84"/>
      <c r="AD1710" s="84"/>
      <c r="AE1710" s="84" t="s">
        <v>1388</v>
      </c>
      <c r="AF1710" s="84"/>
      <c r="AG1710" s="84"/>
    </row>
    <row r="1711" spans="1:33" s="91" customFormat="1" ht="25.5" x14ac:dyDescent="0.2">
      <c r="A1711" s="13">
        <f t="shared" si="66"/>
        <v>154</v>
      </c>
      <c r="B1711" s="11"/>
      <c r="C1711" s="82"/>
      <c r="D1711" s="1"/>
      <c r="E1711" s="83"/>
      <c r="F1711" s="83"/>
      <c r="G1711" s="84"/>
      <c r="H1711" s="85"/>
      <c r="I1711" s="1"/>
      <c r="J1711" s="5"/>
      <c r="K1711" s="5"/>
      <c r="L1711" s="4"/>
      <c r="M1711" s="4"/>
      <c r="N1711" s="82"/>
      <c r="O1711" s="86"/>
      <c r="P1711" s="4"/>
      <c r="Q1711" s="4"/>
      <c r="R1711" s="82" t="s">
        <v>1148</v>
      </c>
      <c r="S1711" s="87" t="s">
        <v>1133</v>
      </c>
      <c r="T1711" s="88">
        <v>14.06</v>
      </c>
      <c r="U1711" s="89"/>
      <c r="V1711" s="4"/>
      <c r="W1711" s="4"/>
      <c r="X1711" s="9"/>
      <c r="Y1711" s="84"/>
      <c r="Z1711" s="90"/>
      <c r="AA1711" s="84"/>
      <c r="AB1711" s="84"/>
      <c r="AC1711" s="84"/>
      <c r="AD1711" s="84"/>
      <c r="AE1711" s="82" t="s">
        <v>1389</v>
      </c>
      <c r="AF1711" s="82"/>
      <c r="AG1711" s="82"/>
    </row>
    <row r="1712" spans="1:33" s="91" customFormat="1" ht="21.75" customHeight="1" x14ac:dyDescent="0.2">
      <c r="A1712" s="13">
        <f t="shared" si="66"/>
        <v>154</v>
      </c>
      <c r="B1712" s="11"/>
      <c r="C1712" s="82"/>
      <c r="D1712" s="1"/>
      <c r="E1712" s="83"/>
      <c r="F1712" s="83"/>
      <c r="G1712" s="84"/>
      <c r="H1712" s="85"/>
      <c r="I1712" s="1"/>
      <c r="J1712" s="5"/>
      <c r="K1712" s="5"/>
      <c r="L1712" s="4"/>
      <c r="M1712" s="4"/>
      <c r="N1712" s="82"/>
      <c r="O1712" s="86"/>
      <c r="P1712" s="4"/>
      <c r="Q1712" s="4"/>
      <c r="R1712" s="82" t="s">
        <v>1390</v>
      </c>
      <c r="S1712" s="87" t="s">
        <v>1133</v>
      </c>
      <c r="T1712" s="88">
        <v>22.4</v>
      </c>
      <c r="U1712" s="89"/>
      <c r="V1712" s="4"/>
      <c r="W1712" s="4"/>
      <c r="X1712" s="9"/>
      <c r="Y1712" s="84"/>
      <c r="Z1712" s="90"/>
      <c r="AA1712" s="84"/>
      <c r="AB1712" s="84"/>
      <c r="AC1712" s="84"/>
      <c r="AD1712" s="84"/>
      <c r="AE1712" s="1"/>
      <c r="AF1712" s="1"/>
      <c r="AG1712" s="1"/>
    </row>
    <row r="1713" spans="1:33" s="91" customFormat="1" ht="12.75" x14ac:dyDescent="0.2">
      <c r="A1713" s="13">
        <f t="shared" si="66"/>
        <v>154</v>
      </c>
      <c r="B1713" s="11"/>
      <c r="C1713" s="82"/>
      <c r="D1713" s="1"/>
      <c r="E1713" s="83"/>
      <c r="F1713" s="83"/>
      <c r="G1713" s="84"/>
      <c r="H1713" s="85"/>
      <c r="I1713" s="1"/>
      <c r="J1713" s="5"/>
      <c r="K1713" s="5"/>
      <c r="L1713" s="4"/>
      <c r="M1713" s="4"/>
      <c r="N1713" s="82"/>
      <c r="O1713" s="86"/>
      <c r="P1713" s="4"/>
      <c r="Q1713" s="4"/>
      <c r="R1713" s="82"/>
      <c r="S1713" s="87"/>
      <c r="T1713" s="88"/>
      <c r="U1713" s="89"/>
      <c r="V1713" s="4"/>
      <c r="W1713" s="4"/>
      <c r="X1713" s="9"/>
      <c r="Y1713" s="84"/>
      <c r="Z1713" s="90"/>
      <c r="AA1713" s="84"/>
      <c r="AB1713" s="84"/>
      <c r="AC1713" s="84"/>
      <c r="AD1713" s="84"/>
      <c r="AE1713" s="1"/>
      <c r="AF1713" s="1"/>
      <c r="AG1713" s="1"/>
    </row>
    <row r="1714" spans="1:33" s="91" customFormat="1" ht="12.75" x14ac:dyDescent="0.2">
      <c r="A1714" s="13">
        <f t="shared" si="66"/>
        <v>154</v>
      </c>
      <c r="B1714" s="11"/>
      <c r="C1714" s="82"/>
      <c r="D1714" s="1"/>
      <c r="E1714" s="83"/>
      <c r="F1714" s="83"/>
      <c r="G1714" s="84"/>
      <c r="H1714" s="85"/>
      <c r="I1714" s="1"/>
      <c r="J1714" s="5"/>
      <c r="K1714" s="5"/>
      <c r="L1714" s="4"/>
      <c r="M1714" s="4"/>
      <c r="N1714" s="82"/>
      <c r="O1714" s="86"/>
      <c r="P1714" s="4"/>
      <c r="Q1714" s="4"/>
      <c r="R1714" s="82"/>
      <c r="S1714" s="87"/>
      <c r="T1714" s="88"/>
      <c r="U1714" s="89"/>
      <c r="V1714" s="4"/>
      <c r="W1714" s="4"/>
      <c r="X1714" s="9"/>
      <c r="Y1714" s="84"/>
      <c r="Z1714" s="90"/>
      <c r="AA1714" s="84"/>
      <c r="AB1714" s="84"/>
      <c r="AC1714" s="84"/>
      <c r="AD1714" s="84"/>
      <c r="AE1714" s="1"/>
      <c r="AF1714" s="1"/>
      <c r="AG1714" s="1"/>
    </row>
    <row r="1715" spans="1:33" s="91" customFormat="1" ht="12.75" x14ac:dyDescent="0.2">
      <c r="A1715" s="13">
        <f t="shared" si="66"/>
        <v>154</v>
      </c>
      <c r="B1715" s="11"/>
      <c r="C1715" s="82"/>
      <c r="D1715" s="1"/>
      <c r="E1715" s="83"/>
      <c r="F1715" s="83"/>
      <c r="G1715" s="84"/>
      <c r="H1715" s="85"/>
      <c r="I1715" s="1"/>
      <c r="J1715" s="5"/>
      <c r="K1715" s="5"/>
      <c r="L1715" s="4"/>
      <c r="M1715" s="4"/>
      <c r="N1715" s="82"/>
      <c r="O1715" s="86"/>
      <c r="P1715" s="4"/>
      <c r="Q1715" s="4"/>
      <c r="R1715" s="82"/>
      <c r="S1715" s="87"/>
      <c r="T1715" s="88"/>
      <c r="U1715" s="89"/>
      <c r="V1715" s="4"/>
      <c r="W1715" s="4"/>
      <c r="X1715" s="9"/>
      <c r="Y1715" s="84"/>
      <c r="Z1715" s="90"/>
      <c r="AA1715" s="84"/>
      <c r="AB1715" s="84"/>
      <c r="AC1715" s="84"/>
      <c r="AD1715" s="84"/>
      <c r="AE1715" s="84"/>
      <c r="AF1715" s="84"/>
      <c r="AG1715" s="84"/>
    </row>
    <row r="1716" spans="1:33" s="91" customFormat="1" ht="38.25" x14ac:dyDescent="0.2">
      <c r="A1716" s="13">
        <f t="shared" si="66"/>
        <v>155</v>
      </c>
      <c r="B1716" s="11">
        <v>155</v>
      </c>
      <c r="C1716" s="92" t="s">
        <v>1391</v>
      </c>
      <c r="D1716" s="1"/>
      <c r="E1716" s="87">
        <v>86</v>
      </c>
      <c r="F1716" s="87">
        <v>406</v>
      </c>
      <c r="G1716" s="84" t="s">
        <v>1120</v>
      </c>
      <c r="H1716" s="85">
        <v>144.1</v>
      </c>
      <c r="I1716" s="18"/>
      <c r="J1716" s="5"/>
      <c r="K1716" s="5"/>
      <c r="L1716" s="4"/>
      <c r="M1716" s="4"/>
      <c r="N1716" s="82" t="s">
        <v>347</v>
      </c>
      <c r="O1716" s="94">
        <v>92.6</v>
      </c>
      <c r="P1716" s="4"/>
      <c r="Q1716" s="4"/>
      <c r="R1716" s="47"/>
      <c r="S1716" s="87"/>
      <c r="T1716" s="88"/>
      <c r="U1716" s="89"/>
      <c r="V1716" s="4"/>
      <c r="W1716" s="4"/>
      <c r="X1716" s="9"/>
      <c r="Y1716" s="84"/>
      <c r="Z1716" s="90"/>
      <c r="AA1716" s="84"/>
      <c r="AB1716" s="84"/>
      <c r="AC1716" s="84"/>
      <c r="AD1716" s="84"/>
      <c r="AE1716" s="84" t="s">
        <v>1392</v>
      </c>
      <c r="AF1716" s="84"/>
      <c r="AG1716" s="84"/>
    </row>
    <row r="1717" spans="1:33" s="91" customFormat="1" ht="33.75" customHeight="1" x14ac:dyDescent="0.2">
      <c r="A1717" s="13">
        <f t="shared" si="66"/>
        <v>155</v>
      </c>
      <c r="B1717" s="11"/>
      <c r="C1717" s="82" t="s">
        <v>1393</v>
      </c>
      <c r="D1717" s="1"/>
      <c r="E1717" s="87">
        <v>86</v>
      </c>
      <c r="F1717" s="87" t="s">
        <v>1394</v>
      </c>
      <c r="G1717" s="84" t="s">
        <v>1109</v>
      </c>
      <c r="H1717" s="85">
        <v>9</v>
      </c>
      <c r="I1717" s="18"/>
      <c r="J1717" s="5"/>
      <c r="K1717" s="5"/>
      <c r="L1717" s="4"/>
      <c r="M1717" s="4"/>
      <c r="N1717" s="82"/>
      <c r="O1717" s="86"/>
      <c r="P1717" s="4"/>
      <c r="Q1717" s="4"/>
      <c r="R1717" s="47"/>
      <c r="S1717" s="87"/>
      <c r="T1717" s="88"/>
      <c r="U1717" s="89"/>
      <c r="V1717" s="4"/>
      <c r="W1717" s="4"/>
      <c r="X1717" s="9"/>
      <c r="Y1717" s="84"/>
      <c r="Z1717" s="90"/>
      <c r="AA1717" s="84"/>
      <c r="AB1717" s="84"/>
      <c r="AC1717" s="84"/>
      <c r="AD1717" s="84"/>
      <c r="AE1717" s="84" t="s">
        <v>1395</v>
      </c>
      <c r="AF1717" s="84"/>
      <c r="AG1717" s="84"/>
    </row>
    <row r="1718" spans="1:33" s="91" customFormat="1" ht="32.25" customHeight="1" x14ac:dyDescent="0.2">
      <c r="A1718" s="13">
        <f t="shared" si="66"/>
        <v>155</v>
      </c>
      <c r="B1718" s="11"/>
      <c r="C1718" s="92" t="s">
        <v>1396</v>
      </c>
      <c r="D1718" s="1"/>
      <c r="E1718" s="87"/>
      <c r="F1718" s="87"/>
      <c r="G1718" s="84"/>
      <c r="H1718" s="85"/>
      <c r="I1718" s="18"/>
      <c r="J1718" s="5"/>
      <c r="K1718" s="5"/>
      <c r="L1718" s="4"/>
      <c r="M1718" s="4"/>
      <c r="N1718" s="82"/>
      <c r="O1718" s="86"/>
      <c r="P1718" s="4"/>
      <c r="Q1718" s="4"/>
      <c r="R1718" s="47"/>
      <c r="S1718" s="87"/>
      <c r="T1718" s="88"/>
      <c r="U1718" s="89"/>
      <c r="V1718" s="4"/>
      <c r="W1718" s="4"/>
      <c r="X1718" s="9"/>
      <c r="Y1718" s="84"/>
      <c r="Z1718" s="90"/>
      <c r="AA1718" s="84"/>
      <c r="AB1718" s="84"/>
      <c r="AC1718" s="84"/>
      <c r="AD1718" s="84"/>
      <c r="AE1718" s="84" t="s">
        <v>1188</v>
      </c>
      <c r="AF1718" s="84"/>
      <c r="AG1718" s="84"/>
    </row>
    <row r="1719" spans="1:33" s="91" customFormat="1" ht="69.75" customHeight="1" x14ac:dyDescent="0.2">
      <c r="A1719" s="13">
        <f t="shared" si="66"/>
        <v>155</v>
      </c>
      <c r="B1719" s="11"/>
      <c r="C1719" s="82" t="s">
        <v>1397</v>
      </c>
      <c r="D1719" s="1"/>
      <c r="E1719" s="83"/>
      <c r="F1719" s="83"/>
      <c r="G1719" s="84"/>
      <c r="H1719" s="85"/>
      <c r="I1719" s="1"/>
      <c r="J1719" s="5"/>
      <c r="K1719" s="5"/>
      <c r="L1719" s="4"/>
      <c r="M1719" s="4"/>
      <c r="N1719" s="82"/>
      <c r="O1719" s="86"/>
      <c r="P1719" s="4"/>
      <c r="Q1719" s="4"/>
      <c r="R1719" s="82"/>
      <c r="S1719" s="87"/>
      <c r="T1719" s="88"/>
      <c r="U1719" s="89"/>
      <c r="V1719" s="4"/>
      <c r="W1719" s="4"/>
      <c r="X1719" s="9"/>
      <c r="Y1719" s="84"/>
      <c r="Z1719" s="90"/>
      <c r="AA1719" s="84"/>
      <c r="AB1719" s="84"/>
      <c r="AC1719" s="84"/>
      <c r="AD1719" s="84"/>
      <c r="AE1719" s="84" t="s">
        <v>1398</v>
      </c>
      <c r="AF1719" s="84"/>
      <c r="AG1719" s="84"/>
    </row>
    <row r="1720" spans="1:33" s="91" customFormat="1" ht="43.5" customHeight="1" x14ac:dyDescent="0.2">
      <c r="A1720" s="13">
        <f t="shared" si="66"/>
        <v>155</v>
      </c>
      <c r="B1720" s="11"/>
      <c r="C1720" s="82" t="s">
        <v>1626</v>
      </c>
      <c r="D1720" s="1"/>
      <c r="E1720" s="83"/>
      <c r="F1720" s="83"/>
      <c r="G1720" s="84"/>
      <c r="H1720" s="85"/>
      <c r="I1720" s="1"/>
      <c r="J1720" s="5"/>
      <c r="K1720" s="5"/>
      <c r="L1720" s="4"/>
      <c r="M1720" s="4"/>
      <c r="N1720" s="82"/>
      <c r="O1720" s="86"/>
      <c r="P1720" s="4"/>
      <c r="Q1720" s="4"/>
      <c r="R1720" s="82"/>
      <c r="S1720" s="87"/>
      <c r="T1720" s="88"/>
      <c r="U1720" s="89"/>
      <c r="V1720" s="4"/>
      <c r="W1720" s="4"/>
      <c r="X1720" s="9"/>
      <c r="Y1720" s="84"/>
      <c r="Z1720" s="90"/>
      <c r="AA1720" s="84"/>
      <c r="AB1720" s="84"/>
      <c r="AC1720" s="84"/>
      <c r="AD1720" s="84"/>
      <c r="AE1720" s="82"/>
      <c r="AF1720" s="82"/>
      <c r="AG1720" s="82"/>
    </row>
    <row r="1721" spans="1:33" s="91" customFormat="1" ht="12.75" x14ac:dyDescent="0.2">
      <c r="A1721" s="13"/>
      <c r="B1721" s="11"/>
      <c r="C1721" s="82"/>
      <c r="D1721" s="1"/>
      <c r="E1721" s="83"/>
      <c r="F1721" s="83"/>
      <c r="G1721" s="84"/>
      <c r="H1721" s="85"/>
      <c r="I1721" s="1"/>
      <c r="J1721" s="5"/>
      <c r="K1721" s="5"/>
      <c r="L1721" s="4"/>
      <c r="M1721" s="4"/>
      <c r="N1721" s="82"/>
      <c r="O1721" s="86"/>
      <c r="P1721" s="4"/>
      <c r="Q1721" s="4"/>
      <c r="R1721" s="82"/>
      <c r="S1721" s="87"/>
      <c r="T1721" s="88"/>
      <c r="U1721" s="89"/>
      <c r="V1721" s="4"/>
      <c r="W1721" s="4"/>
      <c r="X1721" s="9"/>
      <c r="Y1721" s="84"/>
      <c r="Z1721" s="90"/>
      <c r="AA1721" s="84"/>
      <c r="AB1721" s="84"/>
      <c r="AC1721" s="84"/>
      <c r="AD1721" s="84"/>
      <c r="AE1721" s="82"/>
      <c r="AF1721" s="82"/>
      <c r="AG1721" s="82"/>
    </row>
    <row r="1722" spans="1:33" s="91" customFormat="1" ht="12.75" x14ac:dyDescent="0.2">
      <c r="A1722" s="13"/>
      <c r="B1722" s="11"/>
      <c r="C1722" s="82"/>
      <c r="D1722" s="1"/>
      <c r="E1722" s="83"/>
      <c r="F1722" s="83"/>
      <c r="G1722" s="84"/>
      <c r="H1722" s="85"/>
      <c r="I1722" s="1"/>
      <c r="J1722" s="5"/>
      <c r="K1722" s="5"/>
      <c r="L1722" s="4"/>
      <c r="M1722" s="4"/>
      <c r="N1722" s="82"/>
      <c r="O1722" s="86"/>
      <c r="P1722" s="4"/>
      <c r="Q1722" s="4"/>
      <c r="R1722" s="82"/>
      <c r="S1722" s="87"/>
      <c r="T1722" s="88"/>
      <c r="U1722" s="89"/>
      <c r="V1722" s="4"/>
      <c r="W1722" s="4"/>
      <c r="X1722" s="9"/>
      <c r="Y1722" s="84"/>
      <c r="Z1722" s="90"/>
      <c r="AA1722" s="84"/>
      <c r="AB1722" s="84"/>
      <c r="AC1722" s="84"/>
      <c r="AD1722" s="84"/>
      <c r="AE1722" s="82"/>
      <c r="AF1722" s="82"/>
      <c r="AG1722" s="82"/>
    </row>
    <row r="1723" spans="1:33" s="91" customFormat="1" ht="12.75" x14ac:dyDescent="0.2">
      <c r="A1723" s="13">
        <f>IF(B1723&lt;&gt;0,B1723,A1720)</f>
        <v>155</v>
      </c>
      <c r="B1723" s="11"/>
      <c r="C1723" s="82"/>
      <c r="D1723" s="1"/>
      <c r="E1723" s="83"/>
      <c r="F1723" s="83"/>
      <c r="G1723" s="84"/>
      <c r="H1723" s="85"/>
      <c r="I1723" s="1"/>
      <c r="J1723" s="5"/>
      <c r="K1723" s="5"/>
      <c r="L1723" s="4"/>
      <c r="M1723" s="4"/>
      <c r="N1723" s="82"/>
      <c r="O1723" s="86"/>
      <c r="P1723" s="4"/>
      <c r="Q1723" s="4"/>
      <c r="R1723" s="82"/>
      <c r="S1723" s="87"/>
      <c r="T1723" s="88"/>
      <c r="U1723" s="89"/>
      <c r="V1723" s="4"/>
      <c r="W1723" s="4"/>
      <c r="X1723" s="9"/>
      <c r="Y1723" s="84"/>
      <c r="Z1723" s="90"/>
      <c r="AA1723" s="84"/>
      <c r="AB1723" s="84"/>
      <c r="AC1723" s="84"/>
      <c r="AD1723" s="84"/>
      <c r="AE1723" s="1"/>
      <c r="AF1723" s="1"/>
      <c r="AG1723" s="1"/>
    </row>
    <row r="1724" spans="1:33" s="91" customFormat="1" ht="12.75" x14ac:dyDescent="0.2">
      <c r="A1724" s="13">
        <f t="shared" ref="A1724:A1787" si="67">IF(B1724&lt;&gt;0,B1724,A1723)</f>
        <v>155</v>
      </c>
      <c r="B1724" s="11"/>
      <c r="C1724" s="82"/>
      <c r="D1724" s="1"/>
      <c r="E1724" s="83"/>
      <c r="F1724" s="83"/>
      <c r="G1724" s="84"/>
      <c r="H1724" s="85"/>
      <c r="I1724" s="1"/>
      <c r="J1724" s="5"/>
      <c r="K1724" s="5"/>
      <c r="L1724" s="4"/>
      <c r="M1724" s="4"/>
      <c r="N1724" s="82"/>
      <c r="O1724" s="86"/>
      <c r="P1724" s="4"/>
      <c r="Q1724" s="4"/>
      <c r="R1724" s="82"/>
      <c r="S1724" s="87"/>
      <c r="T1724" s="88"/>
      <c r="U1724" s="89"/>
      <c r="V1724" s="4"/>
      <c r="W1724" s="4"/>
      <c r="X1724" s="9"/>
      <c r="Y1724" s="84"/>
      <c r="Z1724" s="90"/>
      <c r="AA1724" s="84"/>
      <c r="AB1724" s="84"/>
      <c r="AC1724" s="84"/>
      <c r="AD1724" s="84"/>
      <c r="AE1724" s="84"/>
      <c r="AF1724" s="84"/>
      <c r="AG1724" s="84"/>
    </row>
    <row r="1725" spans="1:33" s="91" customFormat="1" ht="38.25" x14ac:dyDescent="0.2">
      <c r="A1725" s="13">
        <f t="shared" si="67"/>
        <v>156</v>
      </c>
      <c r="B1725" s="11">
        <v>156</v>
      </c>
      <c r="C1725" s="92" t="s">
        <v>1399</v>
      </c>
      <c r="D1725" s="1"/>
      <c r="E1725" s="87">
        <v>86</v>
      </c>
      <c r="F1725" s="87">
        <v>405</v>
      </c>
      <c r="G1725" s="84" t="s">
        <v>1120</v>
      </c>
      <c r="H1725" s="85">
        <v>142.9</v>
      </c>
      <c r="I1725" s="18"/>
      <c r="J1725" s="5"/>
      <c r="K1725" s="5"/>
      <c r="L1725" s="4"/>
      <c r="M1725" s="4"/>
      <c r="N1725" s="82" t="s">
        <v>347</v>
      </c>
      <c r="O1725" s="95">
        <v>93.4</v>
      </c>
      <c r="P1725" s="4"/>
      <c r="Q1725" s="4"/>
      <c r="R1725" s="47"/>
      <c r="S1725" s="87"/>
      <c r="T1725" s="88"/>
      <c r="U1725" s="89"/>
      <c r="V1725" s="4"/>
      <c r="W1725" s="4"/>
      <c r="X1725" s="9"/>
      <c r="Y1725" s="84"/>
      <c r="Z1725" s="90"/>
      <c r="AA1725" s="84"/>
      <c r="AB1725" s="84"/>
      <c r="AC1725" s="84"/>
      <c r="AD1725" s="84"/>
      <c r="AE1725" s="84" t="s">
        <v>1400</v>
      </c>
      <c r="AF1725" s="84"/>
      <c r="AG1725" s="84"/>
    </row>
    <row r="1726" spans="1:33" s="91" customFormat="1" ht="30.75" customHeight="1" x14ac:dyDescent="0.2">
      <c r="A1726" s="13">
        <f t="shared" si="67"/>
        <v>156</v>
      </c>
      <c r="B1726" s="11"/>
      <c r="C1726" s="82" t="s">
        <v>1401</v>
      </c>
      <c r="D1726" s="1"/>
      <c r="E1726" s="87">
        <v>86</v>
      </c>
      <c r="F1726" s="87" t="s">
        <v>1402</v>
      </c>
      <c r="G1726" s="84" t="s">
        <v>1109</v>
      </c>
      <c r="H1726" s="85">
        <v>10.6</v>
      </c>
      <c r="I1726" s="18"/>
      <c r="J1726" s="5"/>
      <c r="K1726" s="5"/>
      <c r="L1726" s="4"/>
      <c r="M1726" s="4"/>
      <c r="N1726" s="82"/>
      <c r="O1726" s="86"/>
      <c r="P1726" s="4"/>
      <c r="Q1726" s="4"/>
      <c r="R1726" s="47"/>
      <c r="S1726" s="87"/>
      <c r="T1726" s="88"/>
      <c r="U1726" s="89"/>
      <c r="V1726" s="4"/>
      <c r="W1726" s="4"/>
      <c r="X1726" s="9"/>
      <c r="Y1726" s="84"/>
      <c r="Z1726" s="90"/>
      <c r="AA1726" s="84"/>
      <c r="AB1726" s="84"/>
      <c r="AC1726" s="84"/>
      <c r="AD1726" s="84"/>
      <c r="AE1726" s="84" t="s">
        <v>1403</v>
      </c>
      <c r="AF1726" s="84"/>
      <c r="AG1726" s="84"/>
    </row>
    <row r="1727" spans="1:33" s="91" customFormat="1" ht="38.25" x14ac:dyDescent="0.2">
      <c r="A1727" s="13">
        <f t="shared" si="67"/>
        <v>156</v>
      </c>
      <c r="B1727" s="11"/>
      <c r="C1727" s="82" t="s">
        <v>1627</v>
      </c>
      <c r="D1727" s="1"/>
      <c r="E1727" s="83"/>
      <c r="F1727" s="83"/>
      <c r="G1727" s="84"/>
      <c r="H1727" s="85"/>
      <c r="I1727" s="18"/>
      <c r="J1727" s="5"/>
      <c r="K1727" s="5"/>
      <c r="L1727" s="4"/>
      <c r="M1727" s="4"/>
      <c r="N1727" s="82"/>
      <c r="O1727" s="86"/>
      <c r="P1727" s="4"/>
      <c r="Q1727" s="4"/>
      <c r="R1727" s="47"/>
      <c r="S1727" s="87"/>
      <c r="T1727" s="88"/>
      <c r="U1727" s="89"/>
      <c r="V1727" s="4"/>
      <c r="W1727" s="4"/>
      <c r="X1727" s="9"/>
      <c r="Y1727" s="84"/>
      <c r="Z1727" s="90"/>
      <c r="AA1727" s="84"/>
      <c r="AB1727" s="84"/>
      <c r="AC1727" s="84"/>
      <c r="AD1727" s="84"/>
      <c r="AE1727" s="84" t="s">
        <v>404</v>
      </c>
      <c r="AF1727" s="84"/>
      <c r="AG1727" s="84"/>
    </row>
    <row r="1728" spans="1:33" s="91" customFormat="1" ht="63.75" x14ac:dyDescent="0.2">
      <c r="A1728" s="13">
        <f t="shared" si="67"/>
        <v>156</v>
      </c>
      <c r="B1728" s="11"/>
      <c r="C1728" s="92" t="s">
        <v>1404</v>
      </c>
      <c r="D1728" s="1"/>
      <c r="E1728" s="83"/>
      <c r="F1728" s="83"/>
      <c r="G1728" s="84"/>
      <c r="H1728" s="85"/>
      <c r="I1728" s="1"/>
      <c r="J1728" s="5"/>
      <c r="K1728" s="5"/>
      <c r="L1728" s="4"/>
      <c r="M1728" s="4"/>
      <c r="N1728" s="82"/>
      <c r="O1728" s="86"/>
      <c r="P1728" s="4"/>
      <c r="Q1728" s="4"/>
      <c r="R1728" s="82"/>
      <c r="S1728" s="87"/>
      <c r="T1728" s="88"/>
      <c r="U1728" s="89"/>
      <c r="V1728" s="4"/>
      <c r="W1728" s="4"/>
      <c r="X1728" s="9"/>
      <c r="Y1728" s="84"/>
      <c r="Z1728" s="90"/>
      <c r="AA1728" s="84"/>
      <c r="AB1728" s="84"/>
      <c r="AC1728" s="84"/>
      <c r="AD1728" s="84"/>
      <c r="AE1728" s="84" t="s">
        <v>1405</v>
      </c>
      <c r="AF1728" s="84"/>
      <c r="AG1728" s="84"/>
    </row>
    <row r="1729" spans="1:33" s="91" customFormat="1" ht="12.75" x14ac:dyDescent="0.2">
      <c r="A1729" s="13">
        <f t="shared" si="67"/>
        <v>156</v>
      </c>
      <c r="B1729" s="11"/>
      <c r="C1729" s="82" t="s">
        <v>1406</v>
      </c>
      <c r="D1729" s="1"/>
      <c r="E1729" s="83"/>
      <c r="F1729" s="83"/>
      <c r="G1729" s="84"/>
      <c r="H1729" s="85"/>
      <c r="I1729" s="1"/>
      <c r="J1729" s="5"/>
      <c r="K1729" s="5"/>
      <c r="L1729" s="4"/>
      <c r="M1729" s="4"/>
      <c r="N1729" s="82"/>
      <c r="O1729" s="86"/>
      <c r="P1729" s="4"/>
      <c r="Q1729" s="4"/>
      <c r="R1729" s="82"/>
      <c r="S1729" s="87"/>
      <c r="T1729" s="88"/>
      <c r="U1729" s="89"/>
      <c r="V1729" s="4"/>
      <c r="W1729" s="4"/>
      <c r="X1729" s="9"/>
      <c r="Y1729" s="84"/>
      <c r="Z1729" s="90"/>
      <c r="AA1729" s="84"/>
      <c r="AB1729" s="84"/>
      <c r="AC1729" s="84"/>
      <c r="AD1729" s="84"/>
      <c r="AE1729" s="84"/>
      <c r="AF1729" s="84"/>
      <c r="AG1729" s="84"/>
    </row>
    <row r="1730" spans="1:33" s="91" customFormat="1" ht="38.25" x14ac:dyDescent="0.2">
      <c r="A1730" s="13">
        <f t="shared" si="67"/>
        <v>156</v>
      </c>
      <c r="B1730" s="11"/>
      <c r="C1730" s="82" t="s">
        <v>1628</v>
      </c>
      <c r="D1730" s="1"/>
      <c r="E1730" s="83"/>
      <c r="F1730" s="83"/>
      <c r="G1730" s="84"/>
      <c r="H1730" s="85"/>
      <c r="I1730" s="1"/>
      <c r="J1730" s="5"/>
      <c r="K1730" s="5"/>
      <c r="L1730" s="4"/>
      <c r="M1730" s="4"/>
      <c r="N1730" s="82"/>
      <c r="O1730" s="86"/>
      <c r="P1730" s="4"/>
      <c r="Q1730" s="4"/>
      <c r="R1730" s="82"/>
      <c r="S1730" s="87"/>
      <c r="T1730" s="88"/>
      <c r="U1730" s="89"/>
      <c r="V1730" s="4"/>
      <c r="W1730" s="4"/>
      <c r="X1730" s="9"/>
      <c r="Y1730" s="84"/>
      <c r="Z1730" s="90"/>
      <c r="AA1730" s="84"/>
      <c r="AB1730" s="84"/>
      <c r="AC1730" s="84"/>
      <c r="AD1730" s="84"/>
      <c r="AE1730" s="84"/>
      <c r="AF1730" s="84"/>
      <c r="AG1730" s="84"/>
    </row>
    <row r="1731" spans="1:33" s="91" customFormat="1" ht="12.75" x14ac:dyDescent="0.2">
      <c r="A1731" s="13">
        <f t="shared" si="67"/>
        <v>156</v>
      </c>
      <c r="B1731" s="11"/>
      <c r="C1731" s="82"/>
      <c r="D1731" s="1"/>
      <c r="E1731" s="83"/>
      <c r="F1731" s="83"/>
      <c r="G1731" s="84"/>
      <c r="H1731" s="85"/>
      <c r="I1731" s="1"/>
      <c r="J1731" s="5"/>
      <c r="K1731" s="5"/>
      <c r="L1731" s="4"/>
      <c r="M1731" s="4"/>
      <c r="N1731" s="82"/>
      <c r="O1731" s="86"/>
      <c r="P1731" s="4"/>
      <c r="Q1731" s="4"/>
      <c r="R1731" s="82"/>
      <c r="S1731" s="87"/>
      <c r="T1731" s="88"/>
      <c r="U1731" s="89"/>
      <c r="V1731" s="4"/>
      <c r="W1731" s="4"/>
      <c r="X1731" s="9"/>
      <c r="Y1731" s="84"/>
      <c r="Z1731" s="90"/>
      <c r="AA1731" s="84"/>
      <c r="AB1731" s="84"/>
      <c r="AC1731" s="84"/>
      <c r="AD1731" s="84"/>
      <c r="AE1731" s="84"/>
      <c r="AF1731" s="84"/>
      <c r="AG1731" s="84"/>
    </row>
    <row r="1732" spans="1:33" s="91" customFormat="1" ht="12.75" x14ac:dyDescent="0.2">
      <c r="A1732" s="13">
        <f t="shared" si="67"/>
        <v>156</v>
      </c>
      <c r="B1732" s="11"/>
      <c r="C1732" s="82"/>
      <c r="D1732" s="1"/>
      <c r="E1732" s="83"/>
      <c r="F1732" s="83"/>
      <c r="G1732" s="84"/>
      <c r="H1732" s="85"/>
      <c r="I1732" s="1"/>
      <c r="J1732" s="5"/>
      <c r="K1732" s="5"/>
      <c r="L1732" s="4"/>
      <c r="M1732" s="4"/>
      <c r="N1732" s="82"/>
      <c r="O1732" s="86"/>
      <c r="P1732" s="4"/>
      <c r="Q1732" s="4"/>
      <c r="R1732" s="82"/>
      <c r="S1732" s="87"/>
      <c r="T1732" s="88"/>
      <c r="U1732" s="89"/>
      <c r="V1732" s="4"/>
      <c r="W1732" s="4"/>
      <c r="X1732" s="9"/>
      <c r="Y1732" s="84"/>
      <c r="Z1732" s="90"/>
      <c r="AA1732" s="84"/>
      <c r="AB1732" s="84"/>
      <c r="AC1732" s="84"/>
      <c r="AD1732" s="84"/>
      <c r="AE1732" s="82"/>
      <c r="AF1732" s="82"/>
      <c r="AG1732" s="82"/>
    </row>
    <row r="1733" spans="1:33" s="91" customFormat="1" ht="12.75" x14ac:dyDescent="0.2">
      <c r="A1733" s="13">
        <f t="shared" si="67"/>
        <v>156</v>
      </c>
      <c r="B1733" s="11"/>
      <c r="C1733" s="82"/>
      <c r="D1733" s="1"/>
      <c r="E1733" s="83"/>
      <c r="F1733" s="83"/>
      <c r="G1733" s="84"/>
      <c r="H1733" s="85"/>
      <c r="I1733" s="1"/>
      <c r="J1733" s="5"/>
      <c r="K1733" s="5"/>
      <c r="L1733" s="4"/>
      <c r="M1733" s="4"/>
      <c r="N1733" s="82"/>
      <c r="O1733" s="86"/>
      <c r="P1733" s="4"/>
      <c r="Q1733" s="4"/>
      <c r="R1733" s="82"/>
      <c r="S1733" s="87"/>
      <c r="T1733" s="88"/>
      <c r="U1733" s="89"/>
      <c r="V1733" s="4"/>
      <c r="W1733" s="4"/>
      <c r="X1733" s="9"/>
      <c r="Y1733" s="84"/>
      <c r="Z1733" s="90"/>
      <c r="AA1733" s="84"/>
      <c r="AB1733" s="84"/>
      <c r="AC1733" s="84"/>
      <c r="AD1733" s="84"/>
      <c r="AE1733" s="1"/>
      <c r="AF1733" s="1"/>
      <c r="AG1733" s="1"/>
    </row>
    <row r="1734" spans="1:33" s="91" customFormat="1" ht="12.75" x14ac:dyDescent="0.2">
      <c r="A1734" s="13">
        <f t="shared" si="67"/>
        <v>156</v>
      </c>
      <c r="B1734" s="11"/>
      <c r="C1734" s="82"/>
      <c r="D1734" s="1"/>
      <c r="E1734" s="83"/>
      <c r="F1734" s="83"/>
      <c r="G1734" s="84"/>
      <c r="H1734" s="85"/>
      <c r="I1734" s="1"/>
      <c r="J1734" s="5"/>
      <c r="K1734" s="5"/>
      <c r="L1734" s="4"/>
      <c r="M1734" s="4"/>
      <c r="N1734" s="82"/>
      <c r="O1734" s="86"/>
      <c r="P1734" s="4"/>
      <c r="Q1734" s="4"/>
      <c r="R1734" s="82"/>
      <c r="S1734" s="87"/>
      <c r="T1734" s="88"/>
      <c r="U1734" s="89"/>
      <c r="V1734" s="4"/>
      <c r="W1734" s="4"/>
      <c r="X1734" s="9"/>
      <c r="Y1734" s="84"/>
      <c r="Z1734" s="90"/>
      <c r="AA1734" s="84"/>
      <c r="AB1734" s="84"/>
      <c r="AC1734" s="84"/>
      <c r="AD1734" s="84"/>
      <c r="AE1734" s="84"/>
      <c r="AF1734" s="84"/>
      <c r="AG1734" s="84"/>
    </row>
    <row r="1735" spans="1:33" s="91" customFormat="1" ht="41.25" customHeight="1" x14ac:dyDescent="0.2">
      <c r="A1735" s="13">
        <f t="shared" si="67"/>
        <v>157</v>
      </c>
      <c r="B1735" s="11">
        <v>157</v>
      </c>
      <c r="C1735" s="92" t="s">
        <v>1407</v>
      </c>
      <c r="D1735" s="1"/>
      <c r="E1735" s="87">
        <v>86</v>
      </c>
      <c r="F1735" s="87" t="s">
        <v>1408</v>
      </c>
      <c r="G1735" s="84" t="s">
        <v>1120</v>
      </c>
      <c r="H1735" s="85">
        <v>1284.5999999999999</v>
      </c>
      <c r="I1735" s="18"/>
      <c r="J1735" s="5"/>
      <c r="K1735" s="5"/>
      <c r="L1735" s="4"/>
      <c r="M1735" s="4"/>
      <c r="N1735" s="195" t="s">
        <v>1409</v>
      </c>
      <c r="O1735" s="86">
        <v>1</v>
      </c>
      <c r="P1735" s="4"/>
      <c r="Q1735" s="4"/>
      <c r="R1735" s="47" t="s">
        <v>1978</v>
      </c>
      <c r="S1735" s="87" t="s">
        <v>1133</v>
      </c>
      <c r="T1735" s="88">
        <v>2.16</v>
      </c>
      <c r="U1735" s="89"/>
      <c r="V1735" s="4"/>
      <c r="W1735" s="4"/>
      <c r="X1735" s="9"/>
      <c r="Y1735" s="84"/>
      <c r="Z1735" s="90"/>
      <c r="AA1735" s="84"/>
      <c r="AB1735" s="84"/>
      <c r="AC1735" s="84"/>
      <c r="AD1735" s="84"/>
      <c r="AE1735" s="84" t="s">
        <v>1410</v>
      </c>
      <c r="AF1735" s="84"/>
      <c r="AG1735" s="84"/>
    </row>
    <row r="1736" spans="1:33" s="91" customFormat="1" ht="73.5" customHeight="1" x14ac:dyDescent="0.2">
      <c r="A1736" s="13">
        <f t="shared" si="67"/>
        <v>157</v>
      </c>
      <c r="B1736" s="11"/>
      <c r="C1736" s="82" t="s">
        <v>1411</v>
      </c>
      <c r="D1736" s="1"/>
      <c r="E1736" s="87">
        <v>86</v>
      </c>
      <c r="F1736" s="87" t="s">
        <v>1569</v>
      </c>
      <c r="G1736" s="84" t="s">
        <v>1109</v>
      </c>
      <c r="H1736" s="85">
        <v>38.5</v>
      </c>
      <c r="I1736" s="18"/>
      <c r="J1736" s="5"/>
      <c r="K1736" s="5"/>
      <c r="L1736" s="4"/>
      <c r="M1736" s="4"/>
      <c r="N1736" s="195" t="s">
        <v>1412</v>
      </c>
      <c r="O1736" s="86">
        <v>4</v>
      </c>
      <c r="P1736" s="4"/>
      <c r="Q1736" s="4"/>
      <c r="R1736" s="47" t="s">
        <v>1979</v>
      </c>
      <c r="S1736" s="87" t="s">
        <v>1133</v>
      </c>
      <c r="T1736" s="88">
        <v>8.6999999999999993</v>
      </c>
      <c r="U1736" s="89"/>
      <c r="V1736" s="4"/>
      <c r="W1736" s="4"/>
      <c r="X1736" s="9"/>
      <c r="Y1736" s="84"/>
      <c r="Z1736" s="90"/>
      <c r="AA1736" s="84"/>
      <c r="AB1736" s="84"/>
      <c r="AC1736" s="84"/>
      <c r="AD1736" s="84"/>
      <c r="AE1736" s="84" t="s">
        <v>1566</v>
      </c>
      <c r="AF1736" s="84"/>
      <c r="AG1736" s="84"/>
    </row>
    <row r="1737" spans="1:33" s="91" customFormat="1" ht="38.25" x14ac:dyDescent="0.2">
      <c r="A1737" s="13">
        <f t="shared" si="67"/>
        <v>157</v>
      </c>
      <c r="B1737" s="11"/>
      <c r="C1737" s="82" t="s">
        <v>1629</v>
      </c>
      <c r="D1737" s="1"/>
      <c r="E1737" s="87">
        <v>86</v>
      </c>
      <c r="F1737" s="87" t="s">
        <v>1563</v>
      </c>
      <c r="G1737" s="84" t="s">
        <v>1564</v>
      </c>
      <c r="H1737" s="85">
        <v>252.3</v>
      </c>
      <c r="I1737" s="18"/>
      <c r="J1737" s="5"/>
      <c r="K1737" s="5"/>
      <c r="L1737" s="4"/>
      <c r="M1737" s="4"/>
      <c r="N1737" s="195" t="s">
        <v>1413</v>
      </c>
      <c r="O1737" s="86">
        <v>4</v>
      </c>
      <c r="P1737" s="4"/>
      <c r="Q1737" s="4"/>
      <c r="R1737" s="47" t="s">
        <v>1980</v>
      </c>
      <c r="S1737" s="87" t="s">
        <v>1133</v>
      </c>
      <c r="T1737" s="88">
        <v>14.4</v>
      </c>
      <c r="U1737" s="89"/>
      <c r="V1737" s="4"/>
      <c r="W1737" s="4"/>
      <c r="X1737" s="9"/>
      <c r="Y1737" s="84"/>
      <c r="Z1737" s="90"/>
      <c r="AA1737" s="84"/>
      <c r="AB1737" s="84"/>
      <c r="AC1737" s="84"/>
      <c r="AD1737" s="84"/>
      <c r="AE1737" s="84" t="s">
        <v>1188</v>
      </c>
      <c r="AF1737" s="84"/>
      <c r="AG1737" s="84"/>
    </row>
    <row r="1738" spans="1:33" s="91" customFormat="1" ht="25.5" x14ac:dyDescent="0.2">
      <c r="A1738" s="13">
        <f t="shared" si="67"/>
        <v>157</v>
      </c>
      <c r="B1738" s="11"/>
      <c r="C1738" s="92" t="s">
        <v>1414</v>
      </c>
      <c r="D1738" s="1"/>
      <c r="E1738" s="87">
        <v>86</v>
      </c>
      <c r="F1738" s="87" t="s">
        <v>1565</v>
      </c>
      <c r="G1738" s="84" t="s">
        <v>1564</v>
      </c>
      <c r="H1738" s="85">
        <v>170.4</v>
      </c>
      <c r="I1738" s="1"/>
      <c r="J1738" s="5"/>
      <c r="K1738" s="5"/>
      <c r="L1738" s="4"/>
      <c r="M1738" s="4"/>
      <c r="N1738" s="195" t="s">
        <v>1415</v>
      </c>
      <c r="O1738" s="86">
        <v>1</v>
      </c>
      <c r="P1738" s="4"/>
      <c r="Q1738" s="4"/>
      <c r="R1738" s="47" t="s">
        <v>1838</v>
      </c>
      <c r="S1738" s="87" t="s">
        <v>1133</v>
      </c>
      <c r="T1738" s="88">
        <v>55.52</v>
      </c>
      <c r="U1738" s="89"/>
      <c r="V1738" s="4"/>
      <c r="W1738" s="4"/>
      <c r="X1738" s="158" t="s">
        <v>1138</v>
      </c>
      <c r="Y1738" s="4" t="s">
        <v>1139</v>
      </c>
      <c r="Z1738" s="4" t="s">
        <v>56</v>
      </c>
      <c r="AA1738" s="32" t="s">
        <v>269</v>
      </c>
      <c r="AB1738" s="3" t="s">
        <v>1138</v>
      </c>
      <c r="AC1738" s="84"/>
      <c r="AD1738" s="84"/>
      <c r="AE1738" s="84" t="s">
        <v>1416</v>
      </c>
      <c r="AF1738" s="84"/>
      <c r="AG1738" s="84"/>
    </row>
    <row r="1739" spans="1:33" s="91" customFormat="1" ht="51" x14ac:dyDescent="0.2">
      <c r="A1739" s="13">
        <f t="shared" si="67"/>
        <v>157</v>
      </c>
      <c r="B1739" s="11"/>
      <c r="C1739" s="82" t="s">
        <v>1417</v>
      </c>
      <c r="D1739" s="1"/>
      <c r="E1739" s="83"/>
      <c r="F1739" s="83"/>
      <c r="G1739" s="84"/>
      <c r="H1739" s="85"/>
      <c r="I1739" s="1"/>
      <c r="J1739" s="5"/>
      <c r="K1739" s="5"/>
      <c r="L1739" s="4"/>
      <c r="M1739" s="4"/>
      <c r="N1739" s="82" t="s">
        <v>1418</v>
      </c>
      <c r="O1739" s="86">
        <v>1</v>
      </c>
      <c r="P1739" s="4"/>
      <c r="Q1739" s="4"/>
      <c r="R1739" s="47" t="s">
        <v>1981</v>
      </c>
      <c r="S1739" s="87" t="s">
        <v>1133</v>
      </c>
      <c r="T1739" s="88">
        <v>2.8</v>
      </c>
      <c r="U1739" s="89"/>
      <c r="V1739" s="4"/>
      <c r="W1739" s="4"/>
      <c r="X1739" s="9"/>
      <c r="Y1739" s="84"/>
      <c r="Z1739" s="90"/>
      <c r="AA1739" s="84"/>
      <c r="AB1739" s="84"/>
      <c r="AC1739" s="84"/>
      <c r="AD1739" s="84"/>
      <c r="AE1739" s="84" t="s">
        <v>1567</v>
      </c>
      <c r="AF1739" s="84"/>
      <c r="AG1739" s="82"/>
    </row>
    <row r="1740" spans="1:33" s="91" customFormat="1" ht="76.5" x14ac:dyDescent="0.2">
      <c r="A1740" s="13">
        <f t="shared" si="67"/>
        <v>157</v>
      </c>
      <c r="B1740" s="11"/>
      <c r="C1740" s="82" t="s">
        <v>1630</v>
      </c>
      <c r="D1740" s="1"/>
      <c r="E1740" s="83"/>
      <c r="F1740" s="83"/>
      <c r="G1740" s="84"/>
      <c r="H1740" s="85"/>
      <c r="I1740" s="1"/>
      <c r="J1740" s="5"/>
      <c r="K1740" s="5"/>
      <c r="L1740" s="4"/>
      <c r="M1740" s="4"/>
      <c r="N1740" s="82" t="s">
        <v>1419</v>
      </c>
      <c r="O1740" s="86">
        <v>1</v>
      </c>
      <c r="P1740" s="4"/>
      <c r="Q1740" s="4"/>
      <c r="R1740" s="82" t="s">
        <v>1938</v>
      </c>
      <c r="S1740" s="87" t="s">
        <v>1133</v>
      </c>
      <c r="T1740" s="88">
        <v>13.32</v>
      </c>
      <c r="U1740" s="89"/>
      <c r="V1740" s="4"/>
      <c r="W1740" s="4"/>
      <c r="X1740" s="9"/>
      <c r="Y1740" s="84"/>
      <c r="Z1740" s="90"/>
      <c r="AA1740" s="84"/>
      <c r="AB1740" s="84"/>
      <c r="AC1740" s="84"/>
      <c r="AD1740" s="84"/>
      <c r="AE1740" s="84" t="s">
        <v>1568</v>
      </c>
      <c r="AF1740" s="84"/>
      <c r="AG1740" s="1"/>
    </row>
    <row r="1741" spans="1:33" s="91" customFormat="1" ht="31.5" customHeight="1" x14ac:dyDescent="0.2">
      <c r="A1741" s="13">
        <f t="shared" si="67"/>
        <v>157</v>
      </c>
      <c r="B1741" s="11"/>
      <c r="C1741" s="82"/>
      <c r="D1741" s="1"/>
      <c r="E1741" s="83"/>
      <c r="F1741" s="83"/>
      <c r="G1741" s="84"/>
      <c r="H1741" s="85"/>
      <c r="I1741" s="1"/>
      <c r="J1741" s="5"/>
      <c r="K1741" s="5"/>
      <c r="L1741" s="4"/>
      <c r="M1741" s="4"/>
      <c r="N1741" s="16" t="s">
        <v>429</v>
      </c>
      <c r="O1741" s="86">
        <v>22</v>
      </c>
      <c r="P1741" s="4"/>
      <c r="Q1741" s="4"/>
      <c r="R1741" s="47" t="s">
        <v>1980</v>
      </c>
      <c r="S1741" s="87" t="s">
        <v>1133</v>
      </c>
      <c r="T1741" s="88">
        <v>76.400000000000006</v>
      </c>
      <c r="U1741" s="89"/>
      <c r="V1741" s="4"/>
      <c r="W1741" s="4"/>
      <c r="X1741" s="9"/>
      <c r="Y1741" s="84"/>
      <c r="Z1741" s="90"/>
      <c r="AA1741" s="84"/>
      <c r="AB1741" s="84"/>
      <c r="AC1741" s="84"/>
      <c r="AD1741" s="84"/>
      <c r="AE1741" s="1"/>
      <c r="AF1741" s="1"/>
      <c r="AG1741" s="1"/>
    </row>
    <row r="1742" spans="1:33" s="91" customFormat="1" ht="27" customHeight="1" x14ac:dyDescent="0.2">
      <c r="A1742" s="13">
        <f t="shared" si="67"/>
        <v>157</v>
      </c>
      <c r="B1742" s="11"/>
      <c r="C1742" s="82"/>
      <c r="D1742" s="1"/>
      <c r="E1742" s="83"/>
      <c r="F1742" s="83"/>
      <c r="G1742" s="84"/>
      <c r="H1742" s="85"/>
      <c r="I1742" s="1"/>
      <c r="J1742" s="5"/>
      <c r="K1742" s="5"/>
      <c r="L1742" s="4"/>
      <c r="M1742" s="4"/>
      <c r="N1742" s="82" t="s">
        <v>145</v>
      </c>
      <c r="O1742" s="86">
        <v>6</v>
      </c>
      <c r="P1742" s="4"/>
      <c r="Q1742" s="4"/>
      <c r="R1742" s="47" t="s">
        <v>1838</v>
      </c>
      <c r="S1742" s="87" t="s">
        <v>1133</v>
      </c>
      <c r="T1742" s="88">
        <v>15.12</v>
      </c>
      <c r="U1742" s="89"/>
      <c r="V1742" s="4"/>
      <c r="W1742" s="4"/>
      <c r="X1742" s="9"/>
      <c r="Y1742" s="84"/>
      <c r="Z1742" s="90"/>
      <c r="AA1742" s="84"/>
      <c r="AB1742" s="84"/>
      <c r="AC1742" s="84"/>
      <c r="AD1742" s="84"/>
      <c r="AE1742" s="1"/>
      <c r="AF1742" s="1"/>
      <c r="AG1742" s="1"/>
    </row>
    <row r="1743" spans="1:33" s="91" customFormat="1" ht="27" customHeight="1" x14ac:dyDescent="0.2">
      <c r="A1743" s="13">
        <f t="shared" si="67"/>
        <v>157</v>
      </c>
      <c r="B1743" s="11"/>
      <c r="C1743" s="82"/>
      <c r="D1743" s="1"/>
      <c r="E1743" s="83"/>
      <c r="F1743" s="83"/>
      <c r="G1743" s="84"/>
      <c r="H1743" s="85"/>
      <c r="I1743" s="1"/>
      <c r="J1743" s="5"/>
      <c r="K1743" s="5"/>
      <c r="L1743" s="4"/>
      <c r="M1743" s="4"/>
      <c r="N1743" s="82" t="s">
        <v>80</v>
      </c>
      <c r="O1743" s="86">
        <v>1</v>
      </c>
      <c r="P1743" s="4"/>
      <c r="Q1743" s="4"/>
      <c r="R1743" s="82" t="s">
        <v>1980</v>
      </c>
      <c r="S1743" s="87" t="s">
        <v>1133</v>
      </c>
      <c r="T1743" s="88">
        <v>152</v>
      </c>
      <c r="U1743" s="89"/>
      <c r="V1743" s="4"/>
      <c r="W1743" s="4"/>
      <c r="X1743" s="9"/>
      <c r="Y1743" s="84"/>
      <c r="Z1743" s="90"/>
      <c r="AA1743" s="84"/>
      <c r="AB1743" s="84"/>
      <c r="AC1743" s="84"/>
      <c r="AD1743" s="84"/>
      <c r="AE1743" s="1"/>
      <c r="AF1743" s="1"/>
      <c r="AG1743" s="1"/>
    </row>
    <row r="1744" spans="1:33" s="91" customFormat="1" ht="27" customHeight="1" x14ac:dyDescent="0.2">
      <c r="A1744" s="13">
        <f t="shared" si="67"/>
        <v>157</v>
      </c>
      <c r="B1744" s="11"/>
      <c r="C1744" s="82"/>
      <c r="D1744" s="1"/>
      <c r="E1744" s="83"/>
      <c r="F1744" s="83"/>
      <c r="G1744" s="84"/>
      <c r="H1744" s="85"/>
      <c r="I1744" s="1"/>
      <c r="J1744" s="5"/>
      <c r="K1744" s="5"/>
      <c r="L1744" s="4"/>
      <c r="M1744" s="4"/>
      <c r="N1744" s="82" t="s">
        <v>61</v>
      </c>
      <c r="O1744" s="86">
        <v>25</v>
      </c>
      <c r="P1744" s="4"/>
      <c r="Q1744" s="4"/>
      <c r="R1744" s="82" t="s">
        <v>1981</v>
      </c>
      <c r="S1744" s="87" t="s">
        <v>1133</v>
      </c>
      <c r="T1744" s="88">
        <v>4</v>
      </c>
      <c r="U1744" s="89"/>
      <c r="V1744" s="4"/>
      <c r="W1744" s="4"/>
      <c r="X1744" s="9"/>
      <c r="Y1744" s="84"/>
      <c r="Z1744" s="90"/>
      <c r="AA1744" s="84"/>
      <c r="AB1744" s="84"/>
      <c r="AC1744" s="84"/>
      <c r="AD1744" s="84"/>
      <c r="AE1744" s="1"/>
      <c r="AF1744" s="1"/>
      <c r="AG1744" s="1"/>
    </row>
    <row r="1745" spans="1:33" s="91" customFormat="1" ht="27" customHeight="1" x14ac:dyDescent="0.2">
      <c r="A1745" s="13">
        <f t="shared" si="67"/>
        <v>157</v>
      </c>
      <c r="B1745" s="11"/>
      <c r="C1745" s="82"/>
      <c r="D1745" s="1"/>
      <c r="E1745" s="83"/>
      <c r="F1745" s="83"/>
      <c r="G1745" s="84"/>
      <c r="H1745" s="85"/>
      <c r="I1745" s="1"/>
      <c r="J1745" s="5"/>
      <c r="K1745" s="5"/>
      <c r="L1745" s="4"/>
      <c r="M1745" s="4"/>
      <c r="N1745" s="82" t="s">
        <v>64</v>
      </c>
      <c r="O1745" s="86">
        <v>18</v>
      </c>
      <c r="P1745" s="4"/>
      <c r="Q1745" s="4"/>
      <c r="R1745" s="82" t="s">
        <v>1938</v>
      </c>
      <c r="S1745" s="87" t="s">
        <v>1133</v>
      </c>
      <c r="T1745" s="88">
        <v>15.120000000000001</v>
      </c>
      <c r="U1745" s="89"/>
      <c r="V1745" s="4"/>
      <c r="W1745" s="4"/>
      <c r="X1745" s="9"/>
      <c r="Y1745" s="84"/>
      <c r="Z1745" s="90"/>
      <c r="AA1745" s="84"/>
      <c r="AB1745" s="84"/>
      <c r="AC1745" s="84"/>
      <c r="AD1745" s="84"/>
      <c r="AE1745" s="1"/>
      <c r="AF1745" s="1"/>
      <c r="AG1745" s="1"/>
    </row>
    <row r="1746" spans="1:33" s="91" customFormat="1" ht="27" customHeight="1" x14ac:dyDescent="0.2">
      <c r="A1746" s="13">
        <f t="shared" si="67"/>
        <v>157</v>
      </c>
      <c r="B1746" s="11"/>
      <c r="C1746" s="82"/>
      <c r="D1746" s="1"/>
      <c r="E1746" s="83"/>
      <c r="F1746" s="83"/>
      <c r="G1746" s="84"/>
      <c r="H1746" s="85"/>
      <c r="I1746" s="1"/>
      <c r="J1746" s="5"/>
      <c r="K1746" s="5"/>
      <c r="L1746" s="4"/>
      <c r="M1746" s="4"/>
      <c r="N1746" s="82" t="s">
        <v>67</v>
      </c>
      <c r="O1746" s="86">
        <v>25</v>
      </c>
      <c r="P1746" s="4"/>
      <c r="Q1746" s="4"/>
      <c r="R1746" s="82" t="s">
        <v>1978</v>
      </c>
      <c r="S1746" s="87" t="s">
        <v>1133</v>
      </c>
      <c r="T1746" s="88">
        <v>81.900000000000006</v>
      </c>
      <c r="U1746" s="89">
        <v>6.4</v>
      </c>
      <c r="V1746" s="4"/>
      <c r="W1746" s="4"/>
      <c r="X1746" s="9"/>
      <c r="Y1746" s="84"/>
      <c r="Z1746" s="90"/>
      <c r="AA1746" s="84"/>
      <c r="AB1746" s="84"/>
      <c r="AC1746" s="84"/>
      <c r="AD1746" s="84"/>
      <c r="AE1746" s="1"/>
      <c r="AF1746" s="1"/>
      <c r="AG1746" s="1"/>
    </row>
    <row r="1747" spans="1:33" s="91" customFormat="1" ht="27" customHeight="1" x14ac:dyDescent="0.2">
      <c r="A1747" s="13">
        <f t="shared" si="67"/>
        <v>157</v>
      </c>
      <c r="B1747" s="11"/>
      <c r="C1747" s="82"/>
      <c r="D1747" s="1"/>
      <c r="E1747" s="83"/>
      <c r="F1747" s="83"/>
      <c r="G1747" s="84"/>
      <c r="H1747" s="85"/>
      <c r="I1747" s="1"/>
      <c r="J1747" s="5"/>
      <c r="K1747" s="5"/>
      <c r="L1747" s="4"/>
      <c r="M1747" s="4"/>
      <c r="N1747" s="82" t="s">
        <v>69</v>
      </c>
      <c r="O1747" s="86">
        <v>15</v>
      </c>
      <c r="P1747" s="4"/>
      <c r="Q1747" s="4"/>
      <c r="R1747" s="47" t="s">
        <v>1982</v>
      </c>
      <c r="S1747" s="87" t="s">
        <v>1420</v>
      </c>
      <c r="T1747" s="88">
        <v>1</v>
      </c>
      <c r="U1747" s="89"/>
      <c r="V1747" s="4"/>
      <c r="W1747" s="4"/>
      <c r="X1747" s="9"/>
      <c r="Y1747" s="84"/>
      <c r="Z1747" s="90"/>
      <c r="AA1747" s="84"/>
      <c r="AB1747" s="84"/>
      <c r="AC1747" s="84"/>
      <c r="AD1747" s="84"/>
      <c r="AE1747" s="1"/>
      <c r="AF1747" s="1"/>
      <c r="AG1747" s="1"/>
    </row>
    <row r="1748" spans="1:33" s="91" customFormat="1" ht="27" customHeight="1" x14ac:dyDescent="0.2">
      <c r="A1748" s="13">
        <f t="shared" si="67"/>
        <v>157</v>
      </c>
      <c r="B1748" s="11"/>
      <c r="C1748" s="82"/>
      <c r="D1748" s="1"/>
      <c r="E1748" s="83"/>
      <c r="F1748" s="83"/>
      <c r="G1748" s="84"/>
      <c r="H1748" s="85"/>
      <c r="I1748" s="1"/>
      <c r="J1748" s="5"/>
      <c r="K1748" s="5"/>
      <c r="L1748" s="4"/>
      <c r="M1748" s="4"/>
      <c r="N1748" s="82" t="s">
        <v>76</v>
      </c>
      <c r="O1748" s="86">
        <v>29</v>
      </c>
      <c r="P1748" s="4"/>
      <c r="Q1748" s="4"/>
      <c r="R1748" s="82" t="s">
        <v>1979</v>
      </c>
      <c r="S1748" s="87" t="s">
        <v>1133</v>
      </c>
      <c r="T1748" s="88">
        <v>12.48</v>
      </c>
      <c r="U1748" s="89"/>
      <c r="V1748" s="4"/>
      <c r="W1748" s="4"/>
      <c r="X1748" s="9"/>
      <c r="Y1748" s="84"/>
      <c r="Z1748" s="90"/>
      <c r="AA1748" s="84"/>
      <c r="AB1748" s="84"/>
      <c r="AC1748" s="84"/>
      <c r="AD1748" s="84"/>
      <c r="AE1748" s="1"/>
      <c r="AF1748" s="1"/>
      <c r="AG1748" s="1"/>
    </row>
    <row r="1749" spans="1:33" s="91" customFormat="1" ht="27" customHeight="1" x14ac:dyDescent="0.2">
      <c r="A1749" s="13">
        <f t="shared" si="67"/>
        <v>157</v>
      </c>
      <c r="B1749" s="11"/>
      <c r="C1749" s="82"/>
      <c r="D1749" s="1"/>
      <c r="E1749" s="83"/>
      <c r="F1749" s="83"/>
      <c r="G1749" s="84"/>
      <c r="H1749" s="85"/>
      <c r="I1749" s="1"/>
      <c r="J1749" s="5"/>
      <c r="K1749" s="5"/>
      <c r="L1749" s="4"/>
      <c r="M1749" s="4"/>
      <c r="N1749" s="82" t="s">
        <v>156</v>
      </c>
      <c r="O1749" s="86">
        <v>3</v>
      </c>
      <c r="P1749" s="4"/>
      <c r="Q1749" s="4"/>
      <c r="R1749" s="82" t="s">
        <v>1978</v>
      </c>
      <c r="S1749" s="87" t="s">
        <v>1133</v>
      </c>
      <c r="T1749" s="88">
        <v>16.100000000000001</v>
      </c>
      <c r="U1749" s="89"/>
      <c r="V1749" s="4"/>
      <c r="W1749" s="4"/>
      <c r="X1749" s="9"/>
      <c r="Y1749" s="84"/>
      <c r="Z1749" s="90"/>
      <c r="AA1749" s="84"/>
      <c r="AB1749" s="84"/>
      <c r="AC1749" s="84"/>
      <c r="AD1749" s="84"/>
      <c r="AE1749" s="1"/>
      <c r="AF1749" s="1"/>
      <c r="AG1749" s="1"/>
    </row>
    <row r="1750" spans="1:33" s="91" customFormat="1" ht="27" customHeight="1" x14ac:dyDescent="0.2">
      <c r="A1750" s="13">
        <f t="shared" si="67"/>
        <v>157</v>
      </c>
      <c r="B1750" s="11"/>
      <c r="C1750" s="82"/>
      <c r="D1750" s="1"/>
      <c r="E1750" s="83"/>
      <c r="F1750" s="83"/>
      <c r="G1750" s="84"/>
      <c r="H1750" s="85"/>
      <c r="I1750" s="1"/>
      <c r="J1750" s="5"/>
      <c r="K1750" s="5"/>
      <c r="L1750" s="4"/>
      <c r="M1750" s="4"/>
      <c r="N1750" s="82" t="s">
        <v>405</v>
      </c>
      <c r="O1750" s="86">
        <v>15</v>
      </c>
      <c r="P1750" s="4"/>
      <c r="Q1750" s="4"/>
      <c r="R1750" s="82" t="s">
        <v>1978</v>
      </c>
      <c r="S1750" s="87" t="s">
        <v>1133</v>
      </c>
      <c r="T1750" s="88">
        <v>25.9</v>
      </c>
      <c r="U1750" s="89"/>
      <c r="V1750" s="4"/>
      <c r="W1750" s="4"/>
      <c r="X1750" s="9"/>
      <c r="Y1750" s="84"/>
      <c r="Z1750" s="90"/>
      <c r="AA1750" s="84"/>
      <c r="AB1750" s="84"/>
      <c r="AC1750" s="84"/>
      <c r="AD1750" s="84"/>
      <c r="AE1750" s="1"/>
      <c r="AF1750" s="1"/>
      <c r="AG1750" s="1"/>
    </row>
    <row r="1751" spans="1:33" s="91" customFormat="1" ht="27" customHeight="1" x14ac:dyDescent="0.2">
      <c r="A1751" s="13">
        <f t="shared" si="67"/>
        <v>157</v>
      </c>
      <c r="B1751" s="11"/>
      <c r="C1751" s="82"/>
      <c r="D1751" s="1"/>
      <c r="E1751" s="83"/>
      <c r="F1751" s="83"/>
      <c r="G1751" s="84"/>
      <c r="H1751" s="85"/>
      <c r="I1751" s="1"/>
      <c r="J1751" s="5"/>
      <c r="K1751" s="5"/>
      <c r="L1751" s="4"/>
      <c r="M1751" s="4"/>
      <c r="N1751" s="82" t="s">
        <v>72</v>
      </c>
      <c r="O1751" s="86">
        <v>31</v>
      </c>
      <c r="P1751" s="4"/>
      <c r="Q1751" s="4"/>
      <c r="R1751" s="82" t="s">
        <v>1983</v>
      </c>
      <c r="S1751" s="87" t="s">
        <v>1133</v>
      </c>
      <c r="T1751" s="88">
        <v>13.2</v>
      </c>
      <c r="U1751" s="89"/>
      <c r="V1751" s="4"/>
      <c r="W1751" s="4"/>
      <c r="X1751" s="9"/>
      <c r="Y1751" s="84"/>
      <c r="Z1751" s="90"/>
      <c r="AA1751" s="84"/>
      <c r="AB1751" s="84"/>
      <c r="AC1751" s="84"/>
      <c r="AD1751" s="84"/>
      <c r="AE1751" s="1"/>
      <c r="AF1751" s="1"/>
      <c r="AG1751" s="1"/>
    </row>
    <row r="1752" spans="1:33" s="91" customFormat="1" ht="27" customHeight="1" x14ac:dyDescent="0.2">
      <c r="A1752" s="13">
        <f t="shared" si="67"/>
        <v>157</v>
      </c>
      <c r="B1752" s="11"/>
      <c r="C1752" s="82"/>
      <c r="D1752" s="1"/>
      <c r="E1752" s="83"/>
      <c r="F1752" s="83"/>
      <c r="G1752" s="84"/>
      <c r="H1752" s="85"/>
      <c r="I1752" s="1"/>
      <c r="J1752" s="5"/>
      <c r="K1752" s="5"/>
      <c r="L1752" s="4"/>
      <c r="M1752" s="4"/>
      <c r="N1752" s="82" t="s">
        <v>73</v>
      </c>
      <c r="O1752" s="86">
        <v>27</v>
      </c>
      <c r="P1752" s="4"/>
      <c r="Q1752" s="4"/>
      <c r="R1752" s="82" t="s">
        <v>1983</v>
      </c>
      <c r="S1752" s="87" t="s">
        <v>1133</v>
      </c>
      <c r="T1752" s="88">
        <v>14.04</v>
      </c>
      <c r="U1752" s="89"/>
      <c r="V1752" s="4"/>
      <c r="W1752" s="4"/>
      <c r="X1752" s="9"/>
      <c r="Y1752" s="84"/>
      <c r="Z1752" s="90"/>
      <c r="AA1752" s="84"/>
      <c r="AB1752" s="84"/>
      <c r="AC1752" s="84"/>
      <c r="AD1752" s="84"/>
      <c r="AE1752" s="1"/>
      <c r="AF1752" s="1"/>
      <c r="AG1752" s="1"/>
    </row>
    <row r="1753" spans="1:33" s="91" customFormat="1" ht="27" customHeight="1" x14ac:dyDescent="0.2">
      <c r="A1753" s="13">
        <f t="shared" si="67"/>
        <v>157</v>
      </c>
      <c r="B1753" s="11"/>
      <c r="C1753" s="82"/>
      <c r="D1753" s="1"/>
      <c r="E1753" s="83"/>
      <c r="F1753" s="83"/>
      <c r="G1753" s="84"/>
      <c r="H1753" s="85"/>
      <c r="I1753" s="1"/>
      <c r="J1753" s="5"/>
      <c r="K1753" s="5"/>
      <c r="L1753" s="4"/>
      <c r="M1753" s="4"/>
      <c r="N1753" s="82" t="s">
        <v>75</v>
      </c>
      <c r="O1753" s="86">
        <v>38</v>
      </c>
      <c r="P1753" s="4"/>
      <c r="Q1753" s="4"/>
      <c r="R1753" s="82" t="s">
        <v>1984</v>
      </c>
      <c r="S1753" s="87" t="s">
        <v>1133</v>
      </c>
      <c r="T1753" s="88">
        <v>25.92</v>
      </c>
      <c r="U1753" s="89"/>
      <c r="V1753" s="4"/>
      <c r="W1753" s="4"/>
      <c r="X1753" s="9"/>
      <c r="Y1753" s="84"/>
      <c r="Z1753" s="90"/>
      <c r="AA1753" s="84"/>
      <c r="AB1753" s="84"/>
      <c r="AC1753" s="84"/>
      <c r="AD1753" s="84"/>
      <c r="AE1753" s="1"/>
      <c r="AF1753" s="1"/>
      <c r="AG1753" s="1"/>
    </row>
    <row r="1754" spans="1:33" s="91" customFormat="1" ht="27" customHeight="1" x14ac:dyDescent="0.2">
      <c r="A1754" s="13">
        <f t="shared" si="67"/>
        <v>157</v>
      </c>
      <c r="B1754" s="11"/>
      <c r="C1754" s="82"/>
      <c r="D1754" s="1"/>
      <c r="E1754" s="83"/>
      <c r="F1754" s="83"/>
      <c r="G1754" s="84"/>
      <c r="H1754" s="85"/>
      <c r="I1754" s="1"/>
      <c r="J1754" s="5"/>
      <c r="K1754" s="5"/>
      <c r="L1754" s="4"/>
      <c r="M1754" s="4"/>
      <c r="N1754" s="82" t="s">
        <v>1353</v>
      </c>
      <c r="O1754" s="86">
        <v>1</v>
      </c>
      <c r="P1754" s="4"/>
      <c r="Q1754" s="4"/>
      <c r="R1754" s="82" t="s">
        <v>1985</v>
      </c>
      <c r="S1754" s="87" t="s">
        <v>1133</v>
      </c>
      <c r="T1754" s="88">
        <v>144</v>
      </c>
      <c r="U1754" s="89"/>
      <c r="V1754" s="4"/>
      <c r="W1754" s="4"/>
      <c r="X1754" s="9"/>
      <c r="Y1754" s="84"/>
      <c r="Z1754" s="90"/>
      <c r="AA1754" s="84"/>
      <c r="AB1754" s="84"/>
      <c r="AC1754" s="84"/>
      <c r="AD1754" s="84"/>
      <c r="AE1754" s="1"/>
      <c r="AF1754" s="1"/>
      <c r="AG1754" s="1"/>
    </row>
    <row r="1755" spans="1:33" s="91" customFormat="1" ht="27" customHeight="1" x14ac:dyDescent="0.2">
      <c r="A1755" s="13">
        <f t="shared" si="67"/>
        <v>157</v>
      </c>
      <c r="B1755" s="11"/>
      <c r="C1755" s="82"/>
      <c r="D1755" s="1"/>
      <c r="E1755" s="83"/>
      <c r="F1755" s="83"/>
      <c r="G1755" s="84"/>
      <c r="H1755" s="85"/>
      <c r="I1755" s="1"/>
      <c r="J1755" s="5"/>
      <c r="K1755" s="5"/>
      <c r="L1755" s="4"/>
      <c r="M1755" s="4"/>
      <c r="N1755" s="82" t="s">
        <v>132</v>
      </c>
      <c r="O1755" s="86">
        <v>1</v>
      </c>
      <c r="P1755" s="4"/>
      <c r="Q1755" s="4"/>
      <c r="R1755" s="82" t="s">
        <v>1986</v>
      </c>
      <c r="S1755" s="87" t="s">
        <v>1286</v>
      </c>
      <c r="T1755" s="88">
        <v>0.2</v>
      </c>
      <c r="U1755" s="89"/>
      <c r="V1755" s="4"/>
      <c r="W1755" s="4"/>
      <c r="X1755" s="9"/>
      <c r="Y1755" s="84"/>
      <c r="Z1755" s="90"/>
      <c r="AA1755" s="84"/>
      <c r="AB1755" s="84"/>
      <c r="AC1755" s="84"/>
      <c r="AD1755" s="84"/>
      <c r="AE1755" s="1"/>
      <c r="AF1755" s="1"/>
      <c r="AG1755" s="1"/>
    </row>
    <row r="1756" spans="1:33" s="91" customFormat="1" ht="30.75" customHeight="1" x14ac:dyDescent="0.2">
      <c r="A1756" s="13">
        <f t="shared" si="67"/>
        <v>157</v>
      </c>
      <c r="B1756" s="11"/>
      <c r="C1756" s="82"/>
      <c r="D1756" s="1"/>
      <c r="E1756" s="83"/>
      <c r="F1756" s="83"/>
      <c r="G1756" s="84"/>
      <c r="H1756" s="85"/>
      <c r="I1756" s="1"/>
      <c r="J1756" s="5"/>
      <c r="K1756" s="5"/>
      <c r="L1756" s="4"/>
      <c r="M1756" s="4"/>
      <c r="N1756" s="82" t="s">
        <v>1421</v>
      </c>
      <c r="O1756" s="86">
        <v>5</v>
      </c>
      <c r="P1756" s="4"/>
      <c r="Q1756" s="4"/>
      <c r="R1756" s="82" t="s">
        <v>1987</v>
      </c>
      <c r="S1756" s="87" t="s">
        <v>101</v>
      </c>
      <c r="T1756" s="88">
        <v>5</v>
      </c>
      <c r="U1756" s="89"/>
      <c r="V1756" s="4"/>
      <c r="W1756" s="4"/>
      <c r="X1756" s="9"/>
      <c r="Y1756" s="84"/>
      <c r="Z1756" s="90"/>
      <c r="AA1756" s="84"/>
      <c r="AB1756" s="84"/>
      <c r="AC1756" s="84"/>
      <c r="AD1756" s="84"/>
      <c r="AE1756" s="1"/>
      <c r="AF1756" s="1"/>
      <c r="AG1756" s="1"/>
    </row>
    <row r="1757" spans="1:33" s="91" customFormat="1" ht="30.75" customHeight="1" x14ac:dyDescent="0.2">
      <c r="A1757" s="13">
        <f t="shared" si="67"/>
        <v>157</v>
      </c>
      <c r="B1757" s="11"/>
      <c r="C1757" s="82"/>
      <c r="D1757" s="1"/>
      <c r="E1757" s="83"/>
      <c r="F1757" s="83"/>
      <c r="G1757" s="84"/>
      <c r="H1757" s="85"/>
      <c r="I1757" s="1"/>
      <c r="J1757" s="5"/>
      <c r="K1757" s="5"/>
      <c r="L1757" s="4"/>
      <c r="M1757" s="4"/>
      <c r="N1757" s="82" t="s">
        <v>1253</v>
      </c>
      <c r="O1757" s="86">
        <v>1</v>
      </c>
      <c r="P1757" s="4"/>
      <c r="Q1757" s="4"/>
      <c r="R1757" s="82" t="s">
        <v>1988</v>
      </c>
      <c r="S1757" s="87" t="s">
        <v>1133</v>
      </c>
      <c r="T1757" s="88">
        <v>96</v>
      </c>
      <c r="U1757" s="89"/>
      <c r="V1757" s="4"/>
      <c r="W1757" s="4"/>
      <c r="X1757" s="9"/>
      <c r="Y1757" s="84"/>
      <c r="Z1757" s="90"/>
      <c r="AA1757" s="84"/>
      <c r="AB1757" s="84"/>
      <c r="AC1757" s="84"/>
      <c r="AD1757" s="84"/>
      <c r="AE1757" s="1"/>
      <c r="AF1757" s="1"/>
      <c r="AG1757" s="1"/>
    </row>
    <row r="1758" spans="1:33" s="91" customFormat="1" ht="30.75" customHeight="1" x14ac:dyDescent="0.2">
      <c r="A1758" s="13">
        <f t="shared" si="67"/>
        <v>157</v>
      </c>
      <c r="B1758" s="11"/>
      <c r="C1758" s="82"/>
      <c r="D1758" s="1"/>
      <c r="E1758" s="83"/>
      <c r="F1758" s="83"/>
      <c r="G1758" s="84"/>
      <c r="H1758" s="85"/>
      <c r="I1758" s="1"/>
      <c r="J1758" s="5"/>
      <c r="K1758" s="5"/>
      <c r="L1758" s="4"/>
      <c r="M1758" s="4"/>
      <c r="N1758" s="82" t="s">
        <v>1254</v>
      </c>
      <c r="O1758" s="86">
        <v>1</v>
      </c>
      <c r="P1758" s="4"/>
      <c r="Q1758" s="4"/>
      <c r="R1758" s="82" t="s">
        <v>1989</v>
      </c>
      <c r="S1758" s="87" t="s">
        <v>1133</v>
      </c>
      <c r="T1758" s="88">
        <v>2.1</v>
      </c>
      <c r="U1758" s="89"/>
      <c r="V1758" s="4"/>
      <c r="W1758" s="4"/>
      <c r="X1758" s="9"/>
      <c r="Y1758" s="84"/>
      <c r="Z1758" s="90"/>
      <c r="AA1758" s="84"/>
      <c r="AB1758" s="84"/>
      <c r="AC1758" s="84"/>
      <c r="AD1758" s="84"/>
      <c r="AE1758" s="1"/>
      <c r="AF1758" s="1"/>
      <c r="AG1758" s="1"/>
    </row>
    <row r="1759" spans="1:33" s="91" customFormat="1" ht="24" customHeight="1" x14ac:dyDescent="0.2">
      <c r="A1759" s="13">
        <f t="shared" si="67"/>
        <v>157</v>
      </c>
      <c r="B1759" s="11"/>
      <c r="C1759" s="82"/>
      <c r="D1759" s="1"/>
      <c r="E1759" s="83"/>
      <c r="F1759" s="83"/>
      <c r="G1759" s="84"/>
      <c r="H1759" s="85"/>
      <c r="I1759" s="1"/>
      <c r="J1759" s="5"/>
      <c r="K1759" s="5"/>
      <c r="L1759" s="4"/>
      <c r="M1759" s="4"/>
      <c r="N1759" s="82" t="s">
        <v>1422</v>
      </c>
      <c r="O1759" s="86">
        <v>16</v>
      </c>
      <c r="P1759" s="4"/>
      <c r="Q1759" s="4"/>
      <c r="R1759" s="82" t="s">
        <v>1990</v>
      </c>
      <c r="S1759" s="87" t="s">
        <v>1133</v>
      </c>
      <c r="T1759" s="88">
        <v>1.1000000000000001</v>
      </c>
      <c r="U1759" s="89"/>
      <c r="V1759" s="4"/>
      <c r="W1759" s="4"/>
      <c r="X1759" s="9"/>
      <c r="Y1759" s="84"/>
      <c r="Z1759" s="90"/>
      <c r="AA1759" s="84"/>
      <c r="AB1759" s="84"/>
      <c r="AC1759" s="84"/>
      <c r="AD1759" s="84"/>
      <c r="AE1759" s="1"/>
      <c r="AF1759" s="1"/>
      <c r="AG1759" s="1"/>
    </row>
    <row r="1760" spans="1:33" s="91" customFormat="1" ht="24" customHeight="1" x14ac:dyDescent="0.2">
      <c r="A1760" s="13">
        <f t="shared" si="67"/>
        <v>157</v>
      </c>
      <c r="B1760" s="11"/>
      <c r="C1760" s="82"/>
      <c r="D1760" s="1"/>
      <c r="E1760" s="83"/>
      <c r="F1760" s="83"/>
      <c r="G1760" s="84"/>
      <c r="H1760" s="85"/>
      <c r="I1760" s="1"/>
      <c r="J1760" s="5"/>
      <c r="K1760" s="5"/>
      <c r="L1760" s="4"/>
      <c r="M1760" s="4"/>
      <c r="N1760" s="82" t="s">
        <v>1423</v>
      </c>
      <c r="O1760" s="86">
        <v>3</v>
      </c>
      <c r="P1760" s="4"/>
      <c r="Q1760" s="4"/>
      <c r="R1760" s="82"/>
      <c r="S1760" s="87"/>
      <c r="T1760" s="88"/>
      <c r="U1760" s="89"/>
      <c r="V1760" s="4"/>
      <c r="W1760" s="4"/>
      <c r="X1760" s="9"/>
      <c r="Y1760" s="84"/>
      <c r="Z1760" s="90"/>
      <c r="AA1760" s="84"/>
      <c r="AB1760" s="84"/>
      <c r="AC1760" s="84"/>
      <c r="AD1760" s="84"/>
      <c r="AE1760" s="1"/>
      <c r="AF1760" s="1"/>
      <c r="AG1760" s="1"/>
    </row>
    <row r="1761" spans="1:33" s="91" customFormat="1" ht="24" customHeight="1" x14ac:dyDescent="0.2">
      <c r="A1761" s="13">
        <f t="shared" si="67"/>
        <v>157</v>
      </c>
      <c r="B1761" s="11"/>
      <c r="C1761" s="82"/>
      <c r="D1761" s="1"/>
      <c r="E1761" s="83"/>
      <c r="F1761" s="83"/>
      <c r="G1761" s="84"/>
      <c r="H1761" s="85"/>
      <c r="I1761" s="1"/>
      <c r="J1761" s="5"/>
      <c r="K1761" s="5"/>
      <c r="L1761" s="4"/>
      <c r="M1761" s="4"/>
      <c r="N1761" s="82" t="s">
        <v>1424</v>
      </c>
      <c r="O1761" s="86">
        <v>1</v>
      </c>
      <c r="P1761" s="4"/>
      <c r="Q1761" s="4"/>
      <c r="R1761" s="82"/>
      <c r="S1761" s="87"/>
      <c r="T1761" s="88"/>
      <c r="U1761" s="89"/>
      <c r="V1761" s="4"/>
      <c r="W1761" s="4"/>
      <c r="X1761" s="9"/>
      <c r="Y1761" s="84"/>
      <c r="Z1761" s="90"/>
      <c r="AA1761" s="84"/>
      <c r="AB1761" s="84"/>
      <c r="AC1761" s="84"/>
      <c r="AD1761" s="84"/>
      <c r="AE1761" s="1"/>
      <c r="AF1761" s="1"/>
      <c r="AG1761" s="1"/>
    </row>
    <row r="1762" spans="1:33" s="91" customFormat="1" ht="24" customHeight="1" x14ac:dyDescent="0.2">
      <c r="A1762" s="13">
        <f t="shared" si="67"/>
        <v>157</v>
      </c>
      <c r="B1762" s="11"/>
      <c r="C1762" s="82"/>
      <c r="D1762" s="1"/>
      <c r="E1762" s="83"/>
      <c r="F1762" s="83"/>
      <c r="G1762" s="84"/>
      <c r="H1762" s="85"/>
      <c r="I1762" s="1"/>
      <c r="J1762" s="5"/>
      <c r="K1762" s="5"/>
      <c r="L1762" s="4"/>
      <c r="M1762" s="4"/>
      <c r="N1762" s="82" t="s">
        <v>1425</v>
      </c>
      <c r="O1762" s="86">
        <v>1</v>
      </c>
      <c r="P1762" s="4"/>
      <c r="Q1762" s="4"/>
      <c r="R1762" s="82"/>
      <c r="S1762" s="87"/>
      <c r="T1762" s="88"/>
      <c r="U1762" s="89"/>
      <c r="V1762" s="4"/>
      <c r="W1762" s="4"/>
      <c r="X1762" s="9"/>
      <c r="Y1762" s="84"/>
      <c r="Z1762" s="90"/>
      <c r="AA1762" s="84"/>
      <c r="AB1762" s="84"/>
      <c r="AC1762" s="84"/>
      <c r="AD1762" s="84"/>
      <c r="AE1762" s="1"/>
      <c r="AF1762" s="1"/>
      <c r="AG1762" s="1"/>
    </row>
    <row r="1763" spans="1:33" s="91" customFormat="1" ht="24" customHeight="1" x14ac:dyDescent="0.2">
      <c r="A1763" s="13">
        <f t="shared" si="67"/>
        <v>157</v>
      </c>
      <c r="B1763" s="11"/>
      <c r="C1763" s="82"/>
      <c r="D1763" s="1"/>
      <c r="E1763" s="83"/>
      <c r="F1763" s="83"/>
      <c r="G1763" s="84"/>
      <c r="H1763" s="85"/>
      <c r="I1763" s="1"/>
      <c r="J1763" s="5"/>
      <c r="K1763" s="5"/>
      <c r="L1763" s="4"/>
      <c r="M1763" s="4"/>
      <c r="N1763" s="82" t="s">
        <v>1224</v>
      </c>
      <c r="O1763" s="86">
        <v>1</v>
      </c>
      <c r="P1763" s="4"/>
      <c r="Q1763" s="4"/>
      <c r="R1763" s="82"/>
      <c r="S1763" s="87"/>
      <c r="T1763" s="88"/>
      <c r="U1763" s="89"/>
      <c r="V1763" s="4"/>
      <c r="W1763" s="4"/>
      <c r="X1763" s="9"/>
      <c r="Y1763" s="84"/>
      <c r="Z1763" s="90"/>
      <c r="AA1763" s="84"/>
      <c r="AB1763" s="84"/>
      <c r="AC1763" s="84"/>
      <c r="AD1763" s="84"/>
      <c r="AE1763" s="1"/>
      <c r="AF1763" s="1"/>
      <c r="AG1763" s="1"/>
    </row>
    <row r="1764" spans="1:33" s="91" customFormat="1" ht="24" customHeight="1" x14ac:dyDescent="0.2">
      <c r="A1764" s="13">
        <f t="shared" si="67"/>
        <v>157</v>
      </c>
      <c r="B1764" s="11"/>
      <c r="C1764" s="82"/>
      <c r="D1764" s="1"/>
      <c r="E1764" s="83"/>
      <c r="F1764" s="83"/>
      <c r="G1764" s="84"/>
      <c r="H1764" s="85"/>
      <c r="I1764" s="1"/>
      <c r="J1764" s="5"/>
      <c r="K1764" s="5"/>
      <c r="L1764" s="4"/>
      <c r="M1764" s="4"/>
      <c r="N1764" s="82" t="s">
        <v>1278</v>
      </c>
      <c r="O1764" s="86">
        <v>1</v>
      </c>
      <c r="P1764" s="4"/>
      <c r="Q1764" s="4"/>
      <c r="R1764" s="82"/>
      <c r="S1764" s="87"/>
      <c r="T1764" s="88"/>
      <c r="U1764" s="89"/>
      <c r="V1764" s="4"/>
      <c r="W1764" s="4"/>
      <c r="X1764" s="9"/>
      <c r="Y1764" s="84"/>
      <c r="Z1764" s="90"/>
      <c r="AA1764" s="84"/>
      <c r="AB1764" s="84"/>
      <c r="AC1764" s="84"/>
      <c r="AD1764" s="84"/>
      <c r="AE1764" s="1"/>
      <c r="AF1764" s="1"/>
      <c r="AG1764" s="1"/>
    </row>
    <row r="1765" spans="1:33" s="91" customFormat="1" ht="24" customHeight="1" x14ac:dyDescent="0.2">
      <c r="A1765" s="13">
        <f t="shared" si="67"/>
        <v>157</v>
      </c>
      <c r="B1765" s="11"/>
      <c r="C1765" s="82"/>
      <c r="D1765" s="1"/>
      <c r="E1765" s="83"/>
      <c r="F1765" s="83"/>
      <c r="G1765" s="84"/>
      <c r="H1765" s="85"/>
      <c r="I1765" s="1"/>
      <c r="J1765" s="5"/>
      <c r="K1765" s="5"/>
      <c r="L1765" s="4"/>
      <c r="M1765" s="4"/>
      <c r="N1765" s="82" t="s">
        <v>409</v>
      </c>
      <c r="O1765" s="86">
        <v>1</v>
      </c>
      <c r="P1765" s="4"/>
      <c r="Q1765" s="4"/>
      <c r="R1765" s="82"/>
      <c r="S1765" s="87"/>
      <c r="T1765" s="88"/>
      <c r="U1765" s="89"/>
      <c r="V1765" s="4"/>
      <c r="W1765" s="4"/>
      <c r="X1765" s="9"/>
      <c r="Y1765" s="84"/>
      <c r="Z1765" s="90"/>
      <c r="AA1765" s="84"/>
      <c r="AB1765" s="84"/>
      <c r="AC1765" s="84"/>
      <c r="AD1765" s="84"/>
      <c r="AE1765" s="1"/>
      <c r="AF1765" s="1"/>
      <c r="AG1765" s="1"/>
    </row>
    <row r="1766" spans="1:33" s="91" customFormat="1" ht="24" customHeight="1" x14ac:dyDescent="0.2">
      <c r="A1766" s="13">
        <f t="shared" si="67"/>
        <v>157</v>
      </c>
      <c r="B1766" s="11"/>
      <c r="C1766" s="82"/>
      <c r="D1766" s="1"/>
      <c r="E1766" s="83"/>
      <c r="F1766" s="83"/>
      <c r="G1766" s="84"/>
      <c r="H1766" s="85"/>
      <c r="I1766" s="1"/>
      <c r="J1766" s="5"/>
      <c r="K1766" s="5"/>
      <c r="L1766" s="4"/>
      <c r="M1766" s="4"/>
      <c r="N1766" s="82" t="s">
        <v>1426</v>
      </c>
      <c r="O1766" s="86">
        <v>1</v>
      </c>
      <c r="P1766" s="4"/>
      <c r="Q1766" s="4"/>
      <c r="R1766" s="82"/>
      <c r="S1766" s="87"/>
      <c r="T1766" s="88"/>
      <c r="U1766" s="89"/>
      <c r="V1766" s="4"/>
      <c r="W1766" s="4"/>
      <c r="X1766" s="9"/>
      <c r="Y1766" s="84"/>
      <c r="Z1766" s="90"/>
      <c r="AA1766" s="84"/>
      <c r="AB1766" s="84"/>
      <c r="AC1766" s="84"/>
      <c r="AD1766" s="84"/>
      <c r="AE1766" s="1"/>
      <c r="AF1766" s="1"/>
      <c r="AG1766" s="1"/>
    </row>
    <row r="1767" spans="1:33" s="91" customFormat="1" ht="24" customHeight="1" x14ac:dyDescent="0.2">
      <c r="A1767" s="13">
        <f t="shared" si="67"/>
        <v>157</v>
      </c>
      <c r="B1767" s="11"/>
      <c r="C1767" s="82"/>
      <c r="D1767" s="1"/>
      <c r="E1767" s="83"/>
      <c r="F1767" s="83"/>
      <c r="G1767" s="84"/>
      <c r="H1767" s="85"/>
      <c r="I1767" s="1"/>
      <c r="J1767" s="5"/>
      <c r="K1767" s="5"/>
      <c r="L1767" s="4"/>
      <c r="M1767" s="4"/>
      <c r="N1767" s="82" t="s">
        <v>1427</v>
      </c>
      <c r="O1767" s="86">
        <v>2</v>
      </c>
      <c r="P1767" s="4"/>
      <c r="Q1767" s="4"/>
      <c r="R1767" s="82"/>
      <c r="S1767" s="87"/>
      <c r="T1767" s="88"/>
      <c r="U1767" s="89"/>
      <c r="V1767" s="4"/>
      <c r="W1767" s="4"/>
      <c r="X1767" s="9"/>
      <c r="Y1767" s="84"/>
      <c r="Z1767" s="90"/>
      <c r="AA1767" s="84"/>
      <c r="AB1767" s="84"/>
      <c r="AC1767" s="84"/>
      <c r="AD1767" s="84"/>
      <c r="AE1767" s="1"/>
      <c r="AF1767" s="1"/>
      <c r="AG1767" s="1"/>
    </row>
    <row r="1768" spans="1:33" s="91" customFormat="1" ht="24" customHeight="1" x14ac:dyDescent="0.2">
      <c r="A1768" s="13">
        <f t="shared" si="67"/>
        <v>157</v>
      </c>
      <c r="B1768" s="11"/>
      <c r="C1768" s="82"/>
      <c r="D1768" s="1"/>
      <c r="E1768" s="83"/>
      <c r="F1768" s="83"/>
      <c r="G1768" s="84"/>
      <c r="H1768" s="85"/>
      <c r="I1768" s="1"/>
      <c r="J1768" s="5"/>
      <c r="K1768" s="5"/>
      <c r="L1768" s="4"/>
      <c r="M1768" s="4"/>
      <c r="N1768" s="82" t="s">
        <v>401</v>
      </c>
      <c r="O1768" s="86">
        <v>95</v>
      </c>
      <c r="P1768" s="4"/>
      <c r="Q1768" s="4"/>
      <c r="R1768" s="82"/>
      <c r="S1768" s="87"/>
      <c r="T1768" s="88"/>
      <c r="U1768" s="89"/>
      <c r="V1768" s="4"/>
      <c r="W1768" s="4"/>
      <c r="X1768" s="9"/>
      <c r="Y1768" s="84"/>
      <c r="Z1768" s="90"/>
      <c r="AA1768" s="84"/>
      <c r="AB1768" s="84"/>
      <c r="AC1768" s="84"/>
      <c r="AD1768" s="84"/>
      <c r="AE1768" s="1"/>
      <c r="AF1768" s="1"/>
      <c r="AG1768" s="1"/>
    </row>
    <row r="1769" spans="1:33" s="91" customFormat="1" ht="24" customHeight="1" x14ac:dyDescent="0.2">
      <c r="A1769" s="13">
        <f t="shared" si="67"/>
        <v>157</v>
      </c>
      <c r="B1769" s="11"/>
      <c r="C1769" s="82"/>
      <c r="D1769" s="1"/>
      <c r="E1769" s="83"/>
      <c r="F1769" s="83"/>
      <c r="G1769" s="84"/>
      <c r="H1769" s="85"/>
      <c r="I1769" s="1"/>
      <c r="J1769" s="5"/>
      <c r="K1769" s="5"/>
      <c r="L1769" s="4"/>
      <c r="M1769" s="4"/>
      <c r="N1769" s="82" t="s">
        <v>1383</v>
      </c>
      <c r="O1769" s="86">
        <v>2</v>
      </c>
      <c r="P1769" s="4"/>
      <c r="Q1769" s="4"/>
      <c r="R1769" s="82"/>
      <c r="S1769" s="87"/>
      <c r="T1769" s="88"/>
      <c r="U1769" s="89"/>
      <c r="V1769" s="4"/>
      <c r="W1769" s="4"/>
      <c r="X1769" s="9"/>
      <c r="Y1769" s="84"/>
      <c r="Z1769" s="90"/>
      <c r="AA1769" s="84"/>
      <c r="AB1769" s="84"/>
      <c r="AC1769" s="84"/>
      <c r="AD1769" s="84"/>
      <c r="AE1769" s="1"/>
      <c r="AF1769" s="1"/>
      <c r="AG1769" s="1"/>
    </row>
    <row r="1770" spans="1:33" s="91" customFormat="1" ht="24" customHeight="1" x14ac:dyDescent="0.2">
      <c r="A1770" s="13">
        <f t="shared" si="67"/>
        <v>157</v>
      </c>
      <c r="B1770" s="11"/>
      <c r="C1770" s="82"/>
      <c r="D1770" s="1"/>
      <c r="E1770" s="83"/>
      <c r="F1770" s="83"/>
      <c r="G1770" s="84"/>
      <c r="H1770" s="85"/>
      <c r="I1770" s="1"/>
      <c r="J1770" s="5"/>
      <c r="K1770" s="5"/>
      <c r="L1770" s="4"/>
      <c r="M1770" s="4"/>
      <c r="N1770" s="82" t="s">
        <v>352</v>
      </c>
      <c r="O1770" s="86">
        <v>3</v>
      </c>
      <c r="P1770" s="4"/>
      <c r="Q1770" s="4"/>
      <c r="R1770" s="82"/>
      <c r="S1770" s="87"/>
      <c r="T1770" s="88"/>
      <c r="U1770" s="89"/>
      <c r="V1770" s="4"/>
      <c r="W1770" s="4"/>
      <c r="X1770" s="9"/>
      <c r="Y1770" s="84"/>
      <c r="Z1770" s="90"/>
      <c r="AA1770" s="84"/>
      <c r="AB1770" s="84"/>
      <c r="AC1770" s="84"/>
      <c r="AD1770" s="84"/>
      <c r="AE1770" s="1"/>
      <c r="AF1770" s="1"/>
      <c r="AG1770" s="1"/>
    </row>
    <row r="1771" spans="1:33" s="91" customFormat="1" ht="24" customHeight="1" x14ac:dyDescent="0.2">
      <c r="A1771" s="13">
        <f t="shared" si="67"/>
        <v>157</v>
      </c>
      <c r="B1771" s="11"/>
      <c r="C1771" s="82"/>
      <c r="D1771" s="1"/>
      <c r="E1771" s="83"/>
      <c r="F1771" s="83"/>
      <c r="G1771" s="84"/>
      <c r="H1771" s="85"/>
      <c r="I1771" s="1"/>
      <c r="J1771" s="5"/>
      <c r="K1771" s="5"/>
      <c r="L1771" s="4"/>
      <c r="M1771" s="4"/>
      <c r="N1771" s="82" t="s">
        <v>1428</v>
      </c>
      <c r="O1771" s="86">
        <v>1</v>
      </c>
      <c r="P1771" s="4"/>
      <c r="Q1771" s="4"/>
      <c r="R1771" s="82"/>
      <c r="S1771" s="87"/>
      <c r="T1771" s="88"/>
      <c r="U1771" s="89"/>
      <c r="V1771" s="4"/>
      <c r="W1771" s="4"/>
      <c r="X1771" s="9"/>
      <c r="Y1771" s="84"/>
      <c r="Z1771" s="90"/>
      <c r="AA1771" s="84"/>
      <c r="AB1771" s="84"/>
      <c r="AC1771" s="84"/>
      <c r="AD1771" s="84"/>
      <c r="AE1771" s="1"/>
      <c r="AF1771" s="1"/>
      <c r="AG1771" s="1"/>
    </row>
    <row r="1772" spans="1:33" s="91" customFormat="1" ht="24" customHeight="1" x14ac:dyDescent="0.2">
      <c r="A1772" s="13">
        <f t="shared" si="67"/>
        <v>157</v>
      </c>
      <c r="B1772" s="11"/>
      <c r="C1772" s="82"/>
      <c r="D1772" s="1"/>
      <c r="E1772" s="83"/>
      <c r="F1772" s="83"/>
      <c r="G1772" s="84"/>
      <c r="H1772" s="85"/>
      <c r="I1772" s="1"/>
      <c r="J1772" s="5"/>
      <c r="K1772" s="5"/>
      <c r="L1772" s="4"/>
      <c r="M1772" s="4"/>
      <c r="N1772" s="82" t="s">
        <v>1351</v>
      </c>
      <c r="O1772" s="86">
        <v>1</v>
      </c>
      <c r="P1772" s="4"/>
      <c r="Q1772" s="4"/>
      <c r="R1772" s="82"/>
      <c r="S1772" s="87"/>
      <c r="T1772" s="88"/>
      <c r="U1772" s="89"/>
      <c r="V1772" s="4"/>
      <c r="W1772" s="4"/>
      <c r="X1772" s="9"/>
      <c r="Y1772" s="84"/>
      <c r="Z1772" s="90"/>
      <c r="AA1772" s="84"/>
      <c r="AB1772" s="84"/>
      <c r="AC1772" s="84"/>
      <c r="AD1772" s="84"/>
      <c r="AE1772" s="1"/>
      <c r="AF1772" s="1"/>
      <c r="AG1772" s="1"/>
    </row>
    <row r="1773" spans="1:33" s="91" customFormat="1" ht="24" customHeight="1" x14ac:dyDescent="0.2">
      <c r="A1773" s="13">
        <f t="shared" si="67"/>
        <v>157</v>
      </c>
      <c r="B1773" s="11"/>
      <c r="C1773" s="82"/>
      <c r="D1773" s="1"/>
      <c r="E1773" s="83"/>
      <c r="F1773" s="83"/>
      <c r="G1773" s="84"/>
      <c r="H1773" s="85"/>
      <c r="I1773" s="1"/>
      <c r="J1773" s="5"/>
      <c r="K1773" s="5"/>
      <c r="L1773" s="4"/>
      <c r="M1773" s="4"/>
      <c r="N1773" s="82" t="s">
        <v>1429</v>
      </c>
      <c r="O1773" s="86">
        <v>3</v>
      </c>
      <c r="P1773" s="4"/>
      <c r="Q1773" s="4"/>
      <c r="R1773" s="82"/>
      <c r="S1773" s="87"/>
      <c r="T1773" s="88"/>
      <c r="U1773" s="89"/>
      <c r="V1773" s="4"/>
      <c r="W1773" s="4"/>
      <c r="X1773" s="9"/>
      <c r="Y1773" s="84"/>
      <c r="Z1773" s="90"/>
      <c r="AA1773" s="84"/>
      <c r="AB1773" s="84"/>
      <c r="AC1773" s="84"/>
      <c r="AD1773" s="84"/>
      <c r="AE1773" s="1"/>
      <c r="AF1773" s="1"/>
      <c r="AG1773" s="1"/>
    </row>
    <row r="1774" spans="1:33" s="91" customFormat="1" ht="24" customHeight="1" x14ac:dyDescent="0.2">
      <c r="A1774" s="13">
        <f t="shared" si="67"/>
        <v>157</v>
      </c>
      <c r="B1774" s="11"/>
      <c r="C1774" s="82"/>
      <c r="D1774" s="1"/>
      <c r="E1774" s="83"/>
      <c r="F1774" s="83"/>
      <c r="G1774" s="84"/>
      <c r="H1774" s="85"/>
      <c r="I1774" s="1"/>
      <c r="J1774" s="5"/>
      <c r="K1774" s="5"/>
      <c r="L1774" s="4"/>
      <c r="M1774" s="4"/>
      <c r="N1774" s="82" t="s">
        <v>1430</v>
      </c>
      <c r="O1774" s="86">
        <v>1</v>
      </c>
      <c r="P1774" s="4"/>
      <c r="Q1774" s="4"/>
      <c r="R1774" s="82"/>
      <c r="S1774" s="87"/>
      <c r="T1774" s="88"/>
      <c r="U1774" s="89"/>
      <c r="V1774" s="4"/>
      <c r="W1774" s="4"/>
      <c r="X1774" s="9"/>
      <c r="Y1774" s="84"/>
      <c r="Z1774" s="90"/>
      <c r="AA1774" s="84"/>
      <c r="AB1774" s="84"/>
      <c r="AC1774" s="84"/>
      <c r="AD1774" s="84"/>
      <c r="AE1774" s="1"/>
      <c r="AF1774" s="1"/>
      <c r="AG1774" s="1"/>
    </row>
    <row r="1775" spans="1:33" s="91" customFormat="1" ht="24" customHeight="1" x14ac:dyDescent="0.2">
      <c r="A1775" s="13">
        <f t="shared" si="67"/>
        <v>157</v>
      </c>
      <c r="B1775" s="11"/>
      <c r="C1775" s="82"/>
      <c r="D1775" s="1"/>
      <c r="E1775" s="83"/>
      <c r="F1775" s="83"/>
      <c r="G1775" s="84"/>
      <c r="H1775" s="85"/>
      <c r="I1775" s="1"/>
      <c r="J1775" s="5"/>
      <c r="K1775" s="5"/>
      <c r="L1775" s="4"/>
      <c r="M1775" s="4"/>
      <c r="N1775" s="82" t="s">
        <v>1431</v>
      </c>
      <c r="O1775" s="86">
        <v>1</v>
      </c>
      <c r="P1775" s="4"/>
      <c r="Q1775" s="4"/>
      <c r="R1775" s="82"/>
      <c r="S1775" s="87"/>
      <c r="T1775" s="88"/>
      <c r="U1775" s="89"/>
      <c r="V1775" s="4"/>
      <c r="W1775" s="4"/>
      <c r="X1775" s="9"/>
      <c r="Y1775" s="84"/>
      <c r="Z1775" s="90"/>
      <c r="AA1775" s="84"/>
      <c r="AB1775" s="84"/>
      <c r="AC1775" s="84"/>
      <c r="AD1775" s="84"/>
      <c r="AE1775" s="1"/>
      <c r="AF1775" s="1"/>
      <c r="AG1775" s="1"/>
    </row>
    <row r="1776" spans="1:33" s="91" customFormat="1" ht="24" customHeight="1" x14ac:dyDescent="0.2">
      <c r="A1776" s="13">
        <f t="shared" si="67"/>
        <v>157</v>
      </c>
      <c r="B1776" s="11"/>
      <c r="C1776" s="82"/>
      <c r="D1776" s="1"/>
      <c r="E1776" s="83"/>
      <c r="F1776" s="83"/>
      <c r="G1776" s="84"/>
      <c r="H1776" s="85"/>
      <c r="I1776" s="1"/>
      <c r="J1776" s="5"/>
      <c r="K1776" s="5"/>
      <c r="L1776" s="4"/>
      <c r="M1776" s="4"/>
      <c r="N1776" s="82" t="s">
        <v>1432</v>
      </c>
      <c r="O1776" s="86">
        <v>9</v>
      </c>
      <c r="P1776" s="4"/>
      <c r="Q1776" s="4"/>
      <c r="R1776" s="82"/>
      <c r="S1776" s="87"/>
      <c r="T1776" s="88"/>
      <c r="U1776" s="89"/>
      <c r="V1776" s="4"/>
      <c r="W1776" s="4"/>
      <c r="X1776" s="9"/>
      <c r="Y1776" s="84"/>
      <c r="Z1776" s="90"/>
      <c r="AA1776" s="84"/>
      <c r="AB1776" s="84"/>
      <c r="AC1776" s="84"/>
      <c r="AD1776" s="84"/>
      <c r="AE1776" s="1"/>
      <c r="AF1776" s="1"/>
      <c r="AG1776" s="1"/>
    </row>
    <row r="1777" spans="1:33" s="91" customFormat="1" ht="24" customHeight="1" x14ac:dyDescent="0.2">
      <c r="A1777" s="13">
        <f t="shared" si="67"/>
        <v>157</v>
      </c>
      <c r="B1777" s="11"/>
      <c r="C1777" s="82"/>
      <c r="D1777" s="1"/>
      <c r="E1777" s="83"/>
      <c r="F1777" s="83"/>
      <c r="G1777" s="84"/>
      <c r="H1777" s="85"/>
      <c r="I1777" s="1"/>
      <c r="J1777" s="5"/>
      <c r="K1777" s="5"/>
      <c r="L1777" s="4"/>
      <c r="M1777" s="4"/>
      <c r="N1777" s="82" t="s">
        <v>1433</v>
      </c>
      <c r="O1777" s="86">
        <v>1</v>
      </c>
      <c r="P1777" s="4"/>
      <c r="Q1777" s="4"/>
      <c r="R1777" s="82"/>
      <c r="S1777" s="87"/>
      <c r="T1777" s="88"/>
      <c r="U1777" s="89"/>
      <c r="V1777" s="4"/>
      <c r="W1777" s="4"/>
      <c r="X1777" s="9"/>
      <c r="Y1777" s="84"/>
      <c r="Z1777" s="90"/>
      <c r="AA1777" s="84"/>
      <c r="AB1777" s="84"/>
      <c r="AC1777" s="84"/>
      <c r="AD1777" s="84"/>
      <c r="AE1777" s="1"/>
      <c r="AF1777" s="1"/>
      <c r="AG1777" s="1"/>
    </row>
    <row r="1778" spans="1:33" s="91" customFormat="1" ht="24" customHeight="1" x14ac:dyDescent="0.2">
      <c r="A1778" s="13">
        <f t="shared" si="67"/>
        <v>157</v>
      </c>
      <c r="B1778" s="11"/>
      <c r="C1778" s="82"/>
      <c r="D1778" s="1"/>
      <c r="E1778" s="83"/>
      <c r="F1778" s="83"/>
      <c r="G1778" s="84"/>
      <c r="H1778" s="85"/>
      <c r="I1778" s="1"/>
      <c r="J1778" s="5"/>
      <c r="K1778" s="5"/>
      <c r="L1778" s="4"/>
      <c r="M1778" s="4"/>
      <c r="N1778" s="82" t="s">
        <v>1434</v>
      </c>
      <c r="O1778" s="86">
        <v>1</v>
      </c>
      <c r="P1778" s="4"/>
      <c r="Q1778" s="4"/>
      <c r="R1778" s="82"/>
      <c r="S1778" s="87"/>
      <c r="T1778" s="88"/>
      <c r="U1778" s="89"/>
      <c r="V1778" s="4"/>
      <c r="W1778" s="4"/>
      <c r="X1778" s="9"/>
      <c r="Y1778" s="84"/>
      <c r="Z1778" s="90"/>
      <c r="AA1778" s="84"/>
      <c r="AB1778" s="84"/>
      <c r="AC1778" s="84"/>
      <c r="AD1778" s="84"/>
      <c r="AE1778" s="1"/>
      <c r="AF1778" s="1"/>
      <c r="AG1778" s="1"/>
    </row>
    <row r="1779" spans="1:33" s="91" customFormat="1" ht="24" customHeight="1" x14ac:dyDescent="0.2">
      <c r="A1779" s="13">
        <f t="shared" si="67"/>
        <v>157</v>
      </c>
      <c r="B1779" s="11"/>
      <c r="C1779" s="82"/>
      <c r="D1779" s="1"/>
      <c r="E1779" s="83"/>
      <c r="F1779" s="83"/>
      <c r="G1779" s="84"/>
      <c r="H1779" s="85"/>
      <c r="I1779" s="1"/>
      <c r="J1779" s="5"/>
      <c r="K1779" s="5"/>
      <c r="L1779" s="4"/>
      <c r="M1779" s="4"/>
      <c r="N1779" s="82" t="s">
        <v>1435</v>
      </c>
      <c r="O1779" s="86">
        <v>3</v>
      </c>
      <c r="P1779" s="4"/>
      <c r="Q1779" s="4"/>
      <c r="R1779" s="82"/>
      <c r="S1779" s="87"/>
      <c r="T1779" s="88"/>
      <c r="U1779" s="89"/>
      <c r="V1779" s="4"/>
      <c r="W1779" s="4"/>
      <c r="X1779" s="9"/>
      <c r="Y1779" s="84"/>
      <c r="Z1779" s="90"/>
      <c r="AA1779" s="84"/>
      <c r="AB1779" s="84"/>
      <c r="AC1779" s="84"/>
      <c r="AD1779" s="84"/>
      <c r="AE1779" s="1"/>
      <c r="AF1779" s="1"/>
      <c r="AG1779" s="1"/>
    </row>
    <row r="1780" spans="1:33" s="91" customFormat="1" ht="24" customHeight="1" x14ac:dyDescent="0.2">
      <c r="A1780" s="13">
        <f t="shared" si="67"/>
        <v>157</v>
      </c>
      <c r="B1780" s="11"/>
      <c r="C1780" s="82"/>
      <c r="D1780" s="1"/>
      <c r="E1780" s="83"/>
      <c r="F1780" s="83"/>
      <c r="G1780" s="84"/>
      <c r="H1780" s="85"/>
      <c r="I1780" s="1"/>
      <c r="J1780" s="5"/>
      <c r="K1780" s="5"/>
      <c r="L1780" s="4"/>
      <c r="M1780" s="4"/>
      <c r="N1780" s="82" t="s">
        <v>193</v>
      </c>
      <c r="O1780" s="86">
        <v>2</v>
      </c>
      <c r="P1780" s="4"/>
      <c r="Q1780" s="4"/>
      <c r="R1780" s="82"/>
      <c r="S1780" s="87"/>
      <c r="T1780" s="88"/>
      <c r="U1780" s="89"/>
      <c r="V1780" s="4"/>
      <c r="W1780" s="4"/>
      <c r="X1780" s="9"/>
      <c r="Y1780" s="84"/>
      <c r="Z1780" s="90"/>
      <c r="AA1780" s="84"/>
      <c r="AB1780" s="84"/>
      <c r="AC1780" s="84"/>
      <c r="AD1780" s="84"/>
      <c r="AE1780" s="1"/>
      <c r="AF1780" s="1"/>
      <c r="AG1780" s="1"/>
    </row>
    <row r="1781" spans="1:33" s="91" customFormat="1" ht="24" customHeight="1" x14ac:dyDescent="0.2">
      <c r="A1781" s="13">
        <f t="shared" si="67"/>
        <v>157</v>
      </c>
      <c r="B1781" s="11"/>
      <c r="C1781" s="82"/>
      <c r="D1781" s="1"/>
      <c r="E1781" s="83"/>
      <c r="F1781" s="83"/>
      <c r="G1781" s="84"/>
      <c r="H1781" s="85"/>
      <c r="I1781" s="1"/>
      <c r="J1781" s="5"/>
      <c r="K1781" s="5"/>
      <c r="L1781" s="4"/>
      <c r="M1781" s="4"/>
      <c r="N1781" s="82" t="s">
        <v>1436</v>
      </c>
      <c r="O1781" s="86">
        <v>3</v>
      </c>
      <c r="P1781" s="4"/>
      <c r="Q1781" s="4"/>
      <c r="R1781" s="82"/>
      <c r="S1781" s="87"/>
      <c r="T1781" s="88"/>
      <c r="U1781" s="89"/>
      <c r="V1781" s="4"/>
      <c r="W1781" s="4"/>
      <c r="X1781" s="9"/>
      <c r="Y1781" s="84"/>
      <c r="Z1781" s="90"/>
      <c r="AA1781" s="84"/>
      <c r="AB1781" s="84"/>
      <c r="AC1781" s="84"/>
      <c r="AD1781" s="84"/>
      <c r="AE1781" s="1"/>
      <c r="AF1781" s="1"/>
      <c r="AG1781" s="1"/>
    </row>
    <row r="1782" spans="1:33" s="91" customFormat="1" ht="24" customHeight="1" x14ac:dyDescent="0.2">
      <c r="A1782" s="13">
        <f t="shared" si="67"/>
        <v>157</v>
      </c>
      <c r="B1782" s="11"/>
      <c r="C1782" s="82"/>
      <c r="D1782" s="1"/>
      <c r="E1782" s="83"/>
      <c r="F1782" s="83"/>
      <c r="G1782" s="84"/>
      <c r="H1782" s="85"/>
      <c r="I1782" s="1"/>
      <c r="J1782" s="5"/>
      <c r="K1782" s="5"/>
      <c r="L1782" s="4"/>
      <c r="M1782" s="4"/>
      <c r="N1782" s="82" t="s">
        <v>736</v>
      </c>
      <c r="O1782" s="86">
        <v>1</v>
      </c>
      <c r="P1782" s="4"/>
      <c r="Q1782" s="4"/>
      <c r="R1782" s="82"/>
      <c r="S1782" s="87"/>
      <c r="T1782" s="88"/>
      <c r="U1782" s="89"/>
      <c r="V1782" s="4"/>
      <c r="W1782" s="4"/>
      <c r="X1782" s="9"/>
      <c r="Y1782" s="84"/>
      <c r="Z1782" s="90"/>
      <c r="AA1782" s="84"/>
      <c r="AB1782" s="84"/>
      <c r="AC1782" s="84"/>
      <c r="AD1782" s="84"/>
      <c r="AE1782" s="1"/>
      <c r="AF1782" s="1"/>
      <c r="AG1782" s="1"/>
    </row>
    <row r="1783" spans="1:33" s="91" customFormat="1" ht="24" customHeight="1" x14ac:dyDescent="0.2">
      <c r="A1783" s="13">
        <f t="shared" si="67"/>
        <v>157</v>
      </c>
      <c r="B1783" s="11"/>
      <c r="C1783" s="82"/>
      <c r="D1783" s="1"/>
      <c r="E1783" s="83"/>
      <c r="F1783" s="83"/>
      <c r="G1783" s="84"/>
      <c r="H1783" s="85"/>
      <c r="I1783" s="1"/>
      <c r="J1783" s="5"/>
      <c r="K1783" s="5"/>
      <c r="L1783" s="4"/>
      <c r="M1783" s="4"/>
      <c r="N1783" s="82" t="s">
        <v>1437</v>
      </c>
      <c r="O1783" s="86">
        <v>1</v>
      </c>
      <c r="P1783" s="4"/>
      <c r="Q1783" s="4"/>
      <c r="R1783" s="82"/>
      <c r="S1783" s="87"/>
      <c r="T1783" s="88"/>
      <c r="U1783" s="89"/>
      <c r="V1783" s="4"/>
      <c r="W1783" s="4"/>
      <c r="X1783" s="9"/>
      <c r="Y1783" s="84"/>
      <c r="Z1783" s="90"/>
      <c r="AA1783" s="84"/>
      <c r="AB1783" s="84"/>
      <c r="AC1783" s="84"/>
      <c r="AD1783" s="84"/>
      <c r="AE1783" s="1"/>
      <c r="AF1783" s="1"/>
      <c r="AG1783" s="1"/>
    </row>
    <row r="1784" spans="1:33" s="91" customFormat="1" ht="24" customHeight="1" x14ac:dyDescent="0.2">
      <c r="A1784" s="13">
        <f t="shared" si="67"/>
        <v>157</v>
      </c>
      <c r="B1784" s="11"/>
      <c r="C1784" s="82"/>
      <c r="D1784" s="1"/>
      <c r="E1784" s="83"/>
      <c r="F1784" s="83"/>
      <c r="G1784" s="84"/>
      <c r="H1784" s="85"/>
      <c r="I1784" s="1"/>
      <c r="J1784" s="5"/>
      <c r="K1784" s="5"/>
      <c r="L1784" s="4"/>
      <c r="M1784" s="4"/>
      <c r="N1784" s="82" t="s">
        <v>347</v>
      </c>
      <c r="O1784" s="86">
        <v>591</v>
      </c>
      <c r="P1784" s="4"/>
      <c r="Q1784" s="4"/>
      <c r="R1784" s="82"/>
      <c r="S1784" s="87"/>
      <c r="T1784" s="88"/>
      <c r="U1784" s="89"/>
      <c r="V1784" s="4"/>
      <c r="W1784" s="4"/>
      <c r="X1784" s="9"/>
      <c r="Y1784" s="84"/>
      <c r="Z1784" s="90"/>
      <c r="AA1784" s="84"/>
      <c r="AB1784" s="84"/>
      <c r="AC1784" s="84"/>
      <c r="AD1784" s="84"/>
      <c r="AE1784" s="1"/>
      <c r="AF1784" s="1"/>
      <c r="AG1784" s="1"/>
    </row>
    <row r="1785" spans="1:33" s="91" customFormat="1" ht="12.75" x14ac:dyDescent="0.2">
      <c r="A1785" s="13">
        <f t="shared" si="67"/>
        <v>157</v>
      </c>
      <c r="B1785" s="11"/>
      <c r="C1785" s="82"/>
      <c r="D1785" s="1"/>
      <c r="E1785" s="83"/>
      <c r="F1785" s="83"/>
      <c r="G1785" s="84"/>
      <c r="H1785" s="85"/>
      <c r="I1785" s="1"/>
      <c r="J1785" s="5"/>
      <c r="K1785" s="5"/>
      <c r="L1785" s="4"/>
      <c r="M1785" s="4"/>
      <c r="N1785" s="82"/>
      <c r="O1785" s="86"/>
      <c r="P1785" s="4"/>
      <c r="Q1785" s="4"/>
      <c r="R1785" s="82"/>
      <c r="S1785" s="87"/>
      <c r="T1785" s="88"/>
      <c r="U1785" s="89"/>
      <c r="V1785" s="4"/>
      <c r="W1785" s="4"/>
      <c r="X1785" s="9"/>
      <c r="Y1785" s="84"/>
      <c r="Z1785" s="90"/>
      <c r="AA1785" s="84"/>
      <c r="AB1785" s="84"/>
      <c r="AC1785" s="84"/>
      <c r="AD1785" s="84"/>
      <c r="AE1785" s="1"/>
      <c r="AF1785" s="1"/>
      <c r="AG1785" s="1"/>
    </row>
    <row r="1786" spans="1:33" s="91" customFormat="1" ht="12.75" x14ac:dyDescent="0.2">
      <c r="A1786" s="13">
        <f t="shared" si="67"/>
        <v>157</v>
      </c>
      <c r="B1786" s="11"/>
      <c r="C1786" s="82"/>
      <c r="D1786" s="1"/>
      <c r="E1786" s="83"/>
      <c r="F1786" s="83"/>
      <c r="G1786" s="84"/>
      <c r="H1786" s="85"/>
      <c r="I1786" s="1"/>
      <c r="J1786" s="5"/>
      <c r="K1786" s="5"/>
      <c r="L1786" s="4"/>
      <c r="M1786" s="4"/>
      <c r="N1786" s="82"/>
      <c r="O1786" s="86"/>
      <c r="P1786" s="4"/>
      <c r="Q1786" s="4"/>
      <c r="R1786" s="82"/>
      <c r="S1786" s="87"/>
      <c r="T1786" s="88"/>
      <c r="U1786" s="89"/>
      <c r="V1786" s="4"/>
      <c r="W1786" s="4"/>
      <c r="X1786" s="9"/>
      <c r="Y1786" s="84"/>
      <c r="Z1786" s="90"/>
      <c r="AA1786" s="84"/>
      <c r="AB1786" s="84"/>
      <c r="AC1786" s="84"/>
      <c r="AD1786" s="84"/>
      <c r="AE1786" s="1"/>
      <c r="AF1786" s="1"/>
      <c r="AG1786" s="1"/>
    </row>
    <row r="1787" spans="1:33" s="91" customFormat="1" ht="12.75" x14ac:dyDescent="0.2">
      <c r="A1787" s="13">
        <f t="shared" si="67"/>
        <v>157</v>
      </c>
      <c r="B1787" s="11"/>
      <c r="C1787" s="82"/>
      <c r="D1787" s="1"/>
      <c r="E1787" s="83"/>
      <c r="F1787" s="83"/>
      <c r="G1787" s="84"/>
      <c r="H1787" s="85"/>
      <c r="I1787" s="1"/>
      <c r="J1787" s="5"/>
      <c r="K1787" s="5"/>
      <c r="L1787" s="4"/>
      <c r="M1787" s="4"/>
      <c r="N1787" s="82"/>
      <c r="O1787" s="86"/>
      <c r="P1787" s="4"/>
      <c r="Q1787" s="4"/>
      <c r="R1787" s="82"/>
      <c r="S1787" s="87"/>
      <c r="T1787" s="88"/>
      <c r="U1787" s="89"/>
      <c r="V1787" s="4"/>
      <c r="W1787" s="4"/>
      <c r="X1787" s="9"/>
      <c r="Y1787" s="84"/>
      <c r="Z1787" s="90"/>
      <c r="AA1787" s="84"/>
      <c r="AB1787" s="84"/>
      <c r="AC1787" s="84"/>
      <c r="AD1787" s="84"/>
      <c r="AE1787" s="1"/>
      <c r="AF1787" s="1"/>
      <c r="AG1787" s="1"/>
    </row>
    <row r="1788" spans="1:33" s="91" customFormat="1" ht="12.75" x14ac:dyDescent="0.2">
      <c r="A1788" s="13">
        <f t="shared" ref="A1788:A1791" si="68">IF(B1788&lt;&gt;0,B1788,A1787)</f>
        <v>157</v>
      </c>
      <c r="B1788" s="11"/>
      <c r="C1788" s="82"/>
      <c r="D1788" s="1"/>
      <c r="E1788" s="83"/>
      <c r="F1788" s="83"/>
      <c r="G1788" s="84"/>
      <c r="H1788" s="85"/>
      <c r="I1788" s="1"/>
      <c r="J1788" s="5"/>
      <c r="K1788" s="5"/>
      <c r="L1788" s="4"/>
      <c r="M1788" s="4"/>
      <c r="N1788" s="82"/>
      <c r="O1788" s="86"/>
      <c r="P1788" s="4"/>
      <c r="Q1788" s="4"/>
      <c r="R1788" s="82"/>
      <c r="S1788" s="87"/>
      <c r="T1788" s="88"/>
      <c r="U1788" s="89"/>
      <c r="V1788" s="4"/>
      <c r="W1788" s="4"/>
      <c r="X1788" s="9"/>
      <c r="Y1788" s="84"/>
      <c r="Z1788" s="90"/>
      <c r="AA1788" s="84"/>
      <c r="AB1788" s="84"/>
      <c r="AC1788" s="84"/>
      <c r="AD1788" s="84"/>
      <c r="AE1788" s="1"/>
      <c r="AF1788" s="1"/>
      <c r="AG1788" s="1"/>
    </row>
    <row r="1789" spans="1:33" s="91" customFormat="1" ht="33" customHeight="1" x14ac:dyDescent="0.2">
      <c r="A1789" s="13">
        <f t="shared" si="68"/>
        <v>158</v>
      </c>
      <c r="B1789" s="11">
        <v>158</v>
      </c>
      <c r="C1789" s="92" t="s">
        <v>1438</v>
      </c>
      <c r="D1789" s="1"/>
      <c r="E1789" s="87"/>
      <c r="F1789" s="87"/>
      <c r="G1789" s="84"/>
      <c r="H1789" s="85"/>
      <c r="I1789" s="18"/>
      <c r="J1789" s="5"/>
      <c r="K1789" s="5"/>
      <c r="L1789" s="4"/>
      <c r="M1789" s="4"/>
      <c r="N1789" s="82"/>
      <c r="O1789" s="86"/>
      <c r="P1789" s="4"/>
      <c r="Q1789" s="4"/>
      <c r="R1789" s="47" t="s">
        <v>1926</v>
      </c>
      <c r="S1789" s="87" t="s">
        <v>1133</v>
      </c>
      <c r="T1789" s="88">
        <v>28.9</v>
      </c>
      <c r="U1789" s="89"/>
      <c r="V1789" s="4"/>
      <c r="W1789" s="4"/>
      <c r="X1789" s="89" t="s">
        <v>139</v>
      </c>
      <c r="Y1789" s="32" t="s">
        <v>1139</v>
      </c>
      <c r="Z1789" s="32" t="s">
        <v>1262</v>
      </c>
      <c r="AA1789" s="32" t="s">
        <v>1263</v>
      </c>
      <c r="AB1789" s="45" t="s">
        <v>1264</v>
      </c>
      <c r="AC1789" s="32"/>
      <c r="AD1789" s="84"/>
      <c r="AE1789" s="84" t="s">
        <v>1439</v>
      </c>
      <c r="AF1789" s="84"/>
      <c r="AG1789" s="84"/>
    </row>
    <row r="1790" spans="1:33" s="91" customFormat="1" ht="41.25" customHeight="1" x14ac:dyDescent="0.2">
      <c r="A1790" s="13">
        <f t="shared" si="68"/>
        <v>158</v>
      </c>
      <c r="B1790" s="11"/>
      <c r="C1790" s="82" t="s">
        <v>1440</v>
      </c>
      <c r="D1790" s="1"/>
      <c r="E1790" s="87"/>
      <c r="F1790" s="87"/>
      <c r="G1790" s="84"/>
      <c r="H1790" s="85"/>
      <c r="I1790" s="18"/>
      <c r="J1790" s="5"/>
      <c r="K1790" s="5"/>
      <c r="L1790" s="4"/>
      <c r="M1790" s="4"/>
      <c r="N1790" s="82"/>
      <c r="O1790" s="86"/>
      <c r="P1790" s="4"/>
      <c r="Q1790" s="4"/>
      <c r="R1790" s="47" t="s">
        <v>1991</v>
      </c>
      <c r="S1790" s="87" t="s">
        <v>1133</v>
      </c>
      <c r="T1790" s="88">
        <v>1.95</v>
      </c>
      <c r="U1790" s="89"/>
      <c r="V1790" s="4"/>
      <c r="W1790" s="4"/>
      <c r="X1790" s="9"/>
      <c r="Y1790" s="84"/>
      <c r="Z1790" s="90"/>
      <c r="AA1790" s="84"/>
      <c r="AB1790" s="84"/>
      <c r="AC1790" s="84"/>
      <c r="AD1790" s="84"/>
      <c r="AE1790" s="84" t="s">
        <v>1416</v>
      </c>
      <c r="AF1790" s="84"/>
      <c r="AG1790" s="84"/>
    </row>
    <row r="1791" spans="1:33" s="91" customFormat="1" ht="47.25" customHeight="1" x14ac:dyDescent="0.2">
      <c r="A1791" s="13">
        <f t="shared" si="68"/>
        <v>158</v>
      </c>
      <c r="B1791" s="11"/>
      <c r="C1791" s="82" t="s">
        <v>1631</v>
      </c>
      <c r="D1791" s="1"/>
      <c r="E1791" s="87"/>
      <c r="F1791" s="87"/>
      <c r="G1791" s="84"/>
      <c r="H1791" s="85"/>
      <c r="I1791" s="18"/>
      <c r="J1791" s="5"/>
      <c r="K1791" s="5"/>
      <c r="L1791" s="4"/>
      <c r="M1791" s="4"/>
      <c r="N1791" s="82"/>
      <c r="O1791" s="86"/>
      <c r="P1791" s="4"/>
      <c r="Q1791" s="4"/>
      <c r="R1791" s="47"/>
      <c r="S1791" s="87"/>
      <c r="T1791" s="88"/>
      <c r="U1791" s="89"/>
      <c r="V1791" s="4"/>
      <c r="W1791" s="4"/>
      <c r="X1791" s="9"/>
      <c r="Y1791" s="84"/>
      <c r="Z1791" s="90"/>
      <c r="AA1791" s="84"/>
      <c r="AB1791" s="84"/>
      <c r="AC1791" s="84"/>
      <c r="AD1791" s="84"/>
      <c r="AE1791" s="84"/>
      <c r="AF1791" s="84"/>
      <c r="AG1791" s="84"/>
    </row>
    <row r="1792" spans="1:33" s="91" customFormat="1" ht="12.75" x14ac:dyDescent="0.2">
      <c r="A1792" s="13"/>
      <c r="B1792" s="11"/>
      <c r="C1792" s="82"/>
      <c r="D1792" s="1"/>
      <c r="E1792" s="87"/>
      <c r="F1792" s="87"/>
      <c r="G1792" s="84"/>
      <c r="H1792" s="85"/>
      <c r="I1792" s="18"/>
      <c r="J1792" s="5"/>
      <c r="K1792" s="5"/>
      <c r="L1792" s="4"/>
      <c r="M1792" s="4"/>
      <c r="N1792" s="82"/>
      <c r="O1792" s="86"/>
      <c r="P1792" s="4"/>
      <c r="Q1792" s="4"/>
      <c r="R1792" s="47"/>
      <c r="S1792" s="87"/>
      <c r="T1792" s="88"/>
      <c r="U1792" s="89"/>
      <c r="V1792" s="4"/>
      <c r="W1792" s="4"/>
      <c r="X1792" s="9"/>
      <c r="Y1792" s="84"/>
      <c r="Z1792" s="90"/>
      <c r="AA1792" s="84"/>
      <c r="AB1792" s="84"/>
      <c r="AC1792" s="84"/>
      <c r="AD1792" s="84"/>
      <c r="AE1792" s="84"/>
      <c r="AF1792" s="84"/>
      <c r="AG1792" s="84"/>
    </row>
    <row r="1793" spans="1:33" s="91" customFormat="1" ht="12.75" x14ac:dyDescent="0.2">
      <c r="A1793" s="13">
        <f>IF(B1793&lt;&gt;0,B1793,A1791)</f>
        <v>158</v>
      </c>
      <c r="B1793" s="11"/>
      <c r="C1793" s="82"/>
      <c r="D1793" s="1"/>
      <c r="E1793" s="83"/>
      <c r="F1793" s="83"/>
      <c r="G1793" s="84"/>
      <c r="H1793" s="85"/>
      <c r="I1793" s="18"/>
      <c r="J1793" s="5"/>
      <c r="K1793" s="5"/>
      <c r="L1793" s="4"/>
      <c r="M1793" s="4"/>
      <c r="N1793" s="82"/>
      <c r="O1793" s="86"/>
      <c r="P1793" s="4"/>
      <c r="Q1793" s="4"/>
      <c r="R1793" s="47"/>
      <c r="S1793" s="87"/>
      <c r="T1793" s="88"/>
      <c r="U1793" s="89"/>
      <c r="V1793" s="4"/>
      <c r="W1793" s="4"/>
      <c r="X1793" s="9"/>
      <c r="Y1793" s="84"/>
      <c r="Z1793" s="90"/>
      <c r="AA1793" s="84"/>
      <c r="AB1793" s="84"/>
      <c r="AC1793" s="84"/>
      <c r="AD1793" s="84"/>
      <c r="AE1793" s="84"/>
      <c r="AF1793" s="84"/>
      <c r="AG1793" s="84"/>
    </row>
    <row r="1794" spans="1:33" s="91" customFormat="1" ht="12.75" x14ac:dyDescent="0.2">
      <c r="A1794" s="13">
        <f t="shared" ref="A1794:A1857" si="69">IF(B1794&lt;&gt;0,B1794,A1793)</f>
        <v>158</v>
      </c>
      <c r="B1794" s="11"/>
      <c r="C1794" s="82"/>
      <c r="D1794" s="1"/>
      <c r="E1794" s="83"/>
      <c r="F1794" s="83"/>
      <c r="G1794" s="84"/>
      <c r="H1794" s="85"/>
      <c r="I1794" s="18"/>
      <c r="J1794" s="5"/>
      <c r="K1794" s="5"/>
      <c r="L1794" s="4"/>
      <c r="M1794" s="4"/>
      <c r="N1794" s="82"/>
      <c r="O1794" s="86"/>
      <c r="P1794" s="4"/>
      <c r="Q1794" s="4"/>
      <c r="R1794" s="47"/>
      <c r="S1794" s="87"/>
      <c r="T1794" s="88"/>
      <c r="U1794" s="89"/>
      <c r="V1794" s="4"/>
      <c r="W1794" s="4"/>
      <c r="X1794" s="9"/>
      <c r="Y1794" s="84"/>
      <c r="Z1794" s="90"/>
      <c r="AA1794" s="84"/>
      <c r="AB1794" s="84"/>
      <c r="AC1794" s="84"/>
      <c r="AD1794" s="84"/>
      <c r="AE1794" s="84"/>
      <c r="AF1794" s="84"/>
      <c r="AG1794" s="84"/>
    </row>
    <row r="1795" spans="1:33" s="91" customFormat="1" ht="33" customHeight="1" x14ac:dyDescent="0.2">
      <c r="A1795" s="13">
        <f t="shared" si="69"/>
        <v>159</v>
      </c>
      <c r="B1795" s="11">
        <v>159</v>
      </c>
      <c r="C1795" s="92" t="s">
        <v>1441</v>
      </c>
      <c r="D1795" s="1"/>
      <c r="E1795" s="87"/>
      <c r="F1795" s="87"/>
      <c r="G1795" s="84"/>
      <c r="H1795" s="85"/>
      <c r="I1795" s="18"/>
      <c r="J1795" s="5"/>
      <c r="K1795" s="5"/>
      <c r="L1795" s="4"/>
      <c r="M1795" s="4"/>
      <c r="N1795" s="82"/>
      <c r="O1795" s="86"/>
      <c r="P1795" s="4"/>
      <c r="Q1795" s="4"/>
      <c r="R1795" s="47" t="s">
        <v>1926</v>
      </c>
      <c r="S1795" s="87" t="s">
        <v>1133</v>
      </c>
      <c r="T1795" s="88">
        <v>25.2</v>
      </c>
      <c r="U1795" s="89"/>
      <c r="V1795" s="4"/>
      <c r="W1795" s="4"/>
      <c r="X1795" s="89" t="s">
        <v>139</v>
      </c>
      <c r="Y1795" s="32" t="s">
        <v>1139</v>
      </c>
      <c r="Z1795" s="32" t="s">
        <v>1262</v>
      </c>
      <c r="AA1795" s="32" t="s">
        <v>1263</v>
      </c>
      <c r="AB1795" s="45" t="s">
        <v>1264</v>
      </c>
      <c r="AC1795" s="32"/>
      <c r="AD1795" s="84"/>
      <c r="AE1795" s="84" t="s">
        <v>1442</v>
      </c>
      <c r="AF1795" s="84"/>
      <c r="AG1795" s="84"/>
    </row>
    <row r="1796" spans="1:33" s="91" customFormat="1" ht="24" customHeight="1" x14ac:dyDescent="0.2">
      <c r="A1796" s="13">
        <f t="shared" si="69"/>
        <v>159</v>
      </c>
      <c r="B1796" s="11"/>
      <c r="C1796" s="82" t="s">
        <v>1443</v>
      </c>
      <c r="D1796" s="1"/>
      <c r="E1796" s="87"/>
      <c r="F1796" s="87"/>
      <c r="G1796" s="84"/>
      <c r="H1796" s="85"/>
      <c r="I1796" s="18"/>
      <c r="J1796" s="5"/>
      <c r="K1796" s="5"/>
      <c r="L1796" s="4"/>
      <c r="M1796" s="4"/>
      <c r="N1796" s="82"/>
      <c r="O1796" s="86"/>
      <c r="P1796" s="4"/>
      <c r="Q1796" s="4"/>
      <c r="R1796" s="47"/>
      <c r="S1796" s="87"/>
      <c r="T1796" s="88"/>
      <c r="U1796" s="89"/>
      <c r="V1796" s="4"/>
      <c r="W1796" s="4"/>
      <c r="X1796" s="9"/>
      <c r="Y1796" s="84"/>
      <c r="Z1796" s="90"/>
      <c r="AA1796" s="84"/>
      <c r="AB1796" s="84"/>
      <c r="AC1796" s="84"/>
      <c r="AD1796" s="84"/>
      <c r="AE1796" s="84" t="s">
        <v>1416</v>
      </c>
      <c r="AF1796" s="84"/>
      <c r="AG1796" s="84"/>
    </row>
    <row r="1797" spans="1:33" s="91" customFormat="1" ht="49.5" customHeight="1" x14ac:dyDescent="0.2">
      <c r="A1797" s="13">
        <f t="shared" si="69"/>
        <v>159</v>
      </c>
      <c r="B1797" s="11"/>
      <c r="C1797" s="82" t="s">
        <v>1632</v>
      </c>
      <c r="D1797" s="1"/>
      <c r="E1797" s="83"/>
      <c r="F1797" s="83"/>
      <c r="G1797" s="84"/>
      <c r="H1797" s="85"/>
      <c r="I1797" s="18"/>
      <c r="J1797" s="5"/>
      <c r="K1797" s="5"/>
      <c r="L1797" s="4"/>
      <c r="M1797" s="4"/>
      <c r="N1797" s="82"/>
      <c r="O1797" s="86"/>
      <c r="P1797" s="4"/>
      <c r="Q1797" s="4"/>
      <c r="R1797" s="47"/>
      <c r="S1797" s="87"/>
      <c r="T1797" s="88"/>
      <c r="U1797" s="89"/>
      <c r="V1797" s="4"/>
      <c r="W1797" s="4"/>
      <c r="X1797" s="9"/>
      <c r="Y1797" s="84"/>
      <c r="Z1797" s="90"/>
      <c r="AA1797" s="84"/>
      <c r="AB1797" s="84"/>
      <c r="AC1797" s="84"/>
      <c r="AD1797" s="84"/>
      <c r="AE1797" s="84"/>
      <c r="AF1797" s="84"/>
      <c r="AG1797" s="84"/>
    </row>
    <row r="1798" spans="1:33" s="91" customFormat="1" ht="12.75" x14ac:dyDescent="0.2">
      <c r="A1798" s="13">
        <f t="shared" si="69"/>
        <v>159</v>
      </c>
      <c r="B1798" s="11"/>
      <c r="C1798" s="82"/>
      <c r="D1798" s="1"/>
      <c r="E1798" s="83"/>
      <c r="F1798" s="83"/>
      <c r="G1798" s="84"/>
      <c r="H1798" s="85"/>
      <c r="I1798" s="18"/>
      <c r="J1798" s="5"/>
      <c r="K1798" s="5"/>
      <c r="L1798" s="4"/>
      <c r="M1798" s="4"/>
      <c r="N1798" s="82"/>
      <c r="O1798" s="86"/>
      <c r="P1798" s="4"/>
      <c r="Q1798" s="4"/>
      <c r="R1798" s="47"/>
      <c r="S1798" s="87"/>
      <c r="T1798" s="88"/>
      <c r="U1798" s="89"/>
      <c r="V1798" s="4"/>
      <c r="W1798" s="4"/>
      <c r="X1798" s="9"/>
      <c r="Y1798" s="84"/>
      <c r="Z1798" s="90"/>
      <c r="AA1798" s="84"/>
      <c r="AB1798" s="84"/>
      <c r="AC1798" s="84"/>
      <c r="AD1798" s="84"/>
      <c r="AE1798" s="84"/>
      <c r="AF1798" s="84"/>
      <c r="AG1798" s="84"/>
    </row>
    <row r="1799" spans="1:33" s="91" customFormat="1" ht="12.75" x14ac:dyDescent="0.2">
      <c r="A1799" s="13">
        <f t="shared" si="69"/>
        <v>159</v>
      </c>
      <c r="B1799" s="11"/>
      <c r="C1799" s="82"/>
      <c r="D1799" s="1"/>
      <c r="E1799" s="83"/>
      <c r="F1799" s="83"/>
      <c r="G1799" s="84"/>
      <c r="H1799" s="85"/>
      <c r="I1799" s="1"/>
      <c r="J1799" s="5"/>
      <c r="K1799" s="5"/>
      <c r="L1799" s="4"/>
      <c r="M1799" s="4"/>
      <c r="N1799" s="82"/>
      <c r="O1799" s="86"/>
      <c r="P1799" s="4"/>
      <c r="Q1799" s="4"/>
      <c r="R1799" s="82"/>
      <c r="S1799" s="87"/>
      <c r="T1799" s="88"/>
      <c r="U1799" s="89"/>
      <c r="V1799" s="4"/>
      <c r="W1799" s="4"/>
      <c r="X1799" s="9"/>
      <c r="Y1799" s="84"/>
      <c r="Z1799" s="90"/>
      <c r="AA1799" s="84"/>
      <c r="AB1799" s="84"/>
      <c r="AC1799" s="84"/>
      <c r="AD1799" s="84"/>
      <c r="AE1799" s="84"/>
      <c r="AF1799" s="84"/>
      <c r="AG1799" s="84"/>
    </row>
    <row r="1800" spans="1:33" s="91" customFormat="1" ht="12.75" x14ac:dyDescent="0.2">
      <c r="A1800" s="13">
        <f t="shared" si="69"/>
        <v>159</v>
      </c>
      <c r="B1800" s="11"/>
      <c r="C1800" s="82"/>
      <c r="D1800" s="1"/>
      <c r="E1800" s="83"/>
      <c r="F1800" s="83"/>
      <c r="G1800" s="84"/>
      <c r="H1800" s="85"/>
      <c r="I1800" s="1"/>
      <c r="J1800" s="5"/>
      <c r="K1800" s="5"/>
      <c r="L1800" s="4"/>
      <c r="M1800" s="4"/>
      <c r="N1800" s="82"/>
      <c r="O1800" s="86"/>
      <c r="P1800" s="4"/>
      <c r="Q1800" s="4"/>
      <c r="R1800" s="82"/>
      <c r="S1800" s="87"/>
      <c r="T1800" s="88"/>
      <c r="U1800" s="89"/>
      <c r="V1800" s="4"/>
      <c r="W1800" s="4"/>
      <c r="X1800" s="9"/>
      <c r="Y1800" s="84"/>
      <c r="Z1800" s="90"/>
      <c r="AA1800" s="84"/>
      <c r="AB1800" s="84"/>
      <c r="AC1800" s="84"/>
      <c r="AD1800" s="84"/>
      <c r="AE1800" s="84"/>
      <c r="AF1800" s="84"/>
      <c r="AG1800" s="84"/>
    </row>
    <row r="1801" spans="1:33" s="91" customFormat="1" ht="12.75" x14ac:dyDescent="0.2">
      <c r="A1801" s="13">
        <f t="shared" si="69"/>
        <v>159</v>
      </c>
      <c r="B1801" s="11"/>
      <c r="C1801" s="82"/>
      <c r="D1801" s="1"/>
      <c r="E1801" s="83"/>
      <c r="F1801" s="83"/>
      <c r="G1801" s="84"/>
      <c r="H1801" s="85"/>
      <c r="I1801" s="1"/>
      <c r="J1801" s="5"/>
      <c r="K1801" s="5"/>
      <c r="L1801" s="4"/>
      <c r="M1801" s="4"/>
      <c r="N1801" s="82"/>
      <c r="O1801" s="86"/>
      <c r="P1801" s="4"/>
      <c r="Q1801" s="4"/>
      <c r="R1801" s="82"/>
      <c r="S1801" s="87"/>
      <c r="T1801" s="88"/>
      <c r="U1801" s="89"/>
      <c r="V1801" s="4"/>
      <c r="W1801" s="4"/>
      <c r="X1801" s="9"/>
      <c r="Y1801" s="84"/>
      <c r="Z1801" s="90"/>
      <c r="AA1801" s="84"/>
      <c r="AB1801" s="84"/>
      <c r="AC1801" s="84"/>
      <c r="AD1801" s="84"/>
      <c r="AE1801" s="84"/>
      <c r="AF1801" s="84"/>
      <c r="AG1801" s="84"/>
    </row>
    <row r="1802" spans="1:33" s="91" customFormat="1" ht="38.25" x14ac:dyDescent="0.2">
      <c r="A1802" s="13">
        <f t="shared" si="69"/>
        <v>160</v>
      </c>
      <c r="B1802" s="11">
        <v>160</v>
      </c>
      <c r="C1802" s="92" t="s">
        <v>1444</v>
      </c>
      <c r="D1802" s="1">
        <v>4</v>
      </c>
      <c r="E1802" s="87">
        <v>86</v>
      </c>
      <c r="F1802" s="87">
        <v>351</v>
      </c>
      <c r="G1802" s="84" t="s">
        <v>1105</v>
      </c>
      <c r="H1802" s="85">
        <v>596</v>
      </c>
      <c r="I1802" s="18"/>
      <c r="J1802" s="5"/>
      <c r="K1802" s="5"/>
      <c r="L1802" s="4"/>
      <c r="M1802" s="4"/>
      <c r="N1802" s="82"/>
      <c r="O1802" s="86"/>
      <c r="P1802" s="4"/>
      <c r="Q1802" s="4"/>
      <c r="R1802" s="47" t="s">
        <v>1978</v>
      </c>
      <c r="S1802" s="87" t="s">
        <v>1133</v>
      </c>
      <c r="T1802" s="88">
        <v>2.9</v>
      </c>
      <c r="U1802" s="89"/>
      <c r="V1802" s="4"/>
      <c r="W1802" s="4"/>
      <c r="X1802" s="9"/>
      <c r="Y1802" s="84"/>
      <c r="Z1802" s="90"/>
      <c r="AA1802" s="84"/>
      <c r="AB1802" s="84"/>
      <c r="AC1802" s="84"/>
      <c r="AD1802" s="84"/>
      <c r="AE1802" s="84" t="s">
        <v>1445</v>
      </c>
      <c r="AF1802" s="84"/>
      <c r="AG1802" s="84"/>
    </row>
    <row r="1803" spans="1:33" s="91" customFormat="1" ht="37.5" customHeight="1" x14ac:dyDescent="0.2">
      <c r="A1803" s="13">
        <f t="shared" si="69"/>
        <v>160</v>
      </c>
      <c r="B1803" s="11"/>
      <c r="C1803" s="82" t="s">
        <v>1446</v>
      </c>
      <c r="D1803" s="1"/>
      <c r="E1803" s="87"/>
      <c r="F1803" s="87"/>
      <c r="G1803" s="84"/>
      <c r="H1803" s="85"/>
      <c r="I1803" s="18"/>
      <c r="J1803" s="5"/>
      <c r="K1803" s="5"/>
      <c r="L1803" s="4"/>
      <c r="M1803" s="4"/>
      <c r="N1803" s="82"/>
      <c r="O1803" s="86"/>
      <c r="P1803" s="4"/>
      <c r="Q1803" s="4"/>
      <c r="R1803" s="47" t="s">
        <v>1979</v>
      </c>
      <c r="S1803" s="87" t="s">
        <v>1133</v>
      </c>
      <c r="T1803" s="88">
        <v>12</v>
      </c>
      <c r="U1803" s="89"/>
      <c r="V1803" s="4"/>
      <c r="W1803" s="4"/>
      <c r="X1803" s="9"/>
      <c r="Y1803" s="84"/>
      <c r="Z1803" s="90"/>
      <c r="AA1803" s="84"/>
      <c r="AB1803" s="84"/>
      <c r="AC1803" s="84"/>
      <c r="AD1803" s="84"/>
      <c r="AE1803" s="84" t="s">
        <v>1447</v>
      </c>
      <c r="AF1803" s="84"/>
      <c r="AG1803" s="84"/>
    </row>
    <row r="1804" spans="1:33" s="91" customFormat="1" ht="49.5" customHeight="1" x14ac:dyDescent="0.2">
      <c r="A1804" s="13">
        <f t="shared" si="69"/>
        <v>160</v>
      </c>
      <c r="B1804" s="11"/>
      <c r="C1804" s="82" t="s">
        <v>1633</v>
      </c>
      <c r="D1804" s="1"/>
      <c r="E1804" s="83"/>
      <c r="F1804" s="83"/>
      <c r="G1804" s="84"/>
      <c r="H1804" s="85"/>
      <c r="I1804" s="18"/>
      <c r="J1804" s="5"/>
      <c r="K1804" s="5"/>
      <c r="L1804" s="4"/>
      <c r="M1804" s="4"/>
      <c r="N1804" s="82"/>
      <c r="O1804" s="86"/>
      <c r="P1804" s="4"/>
      <c r="Q1804" s="4"/>
      <c r="R1804" s="47" t="s">
        <v>1992</v>
      </c>
      <c r="S1804" s="87" t="s">
        <v>1133</v>
      </c>
      <c r="T1804" s="88">
        <v>22.4</v>
      </c>
      <c r="U1804" s="89"/>
      <c r="V1804" s="4"/>
      <c r="W1804" s="4"/>
      <c r="X1804" s="4" t="s">
        <v>1139</v>
      </c>
      <c r="Y1804" s="4" t="s">
        <v>56</v>
      </c>
      <c r="Z1804" s="4"/>
      <c r="AA1804" s="45" t="s">
        <v>1138</v>
      </c>
      <c r="AB1804" s="84"/>
      <c r="AC1804" s="84"/>
      <c r="AD1804" s="84"/>
      <c r="AE1804" s="84" t="s">
        <v>1667</v>
      </c>
      <c r="AF1804" s="84"/>
      <c r="AG1804" s="84"/>
    </row>
    <row r="1805" spans="1:33" s="91" customFormat="1" ht="24.75" customHeight="1" x14ac:dyDescent="0.2">
      <c r="A1805" s="13">
        <f t="shared" si="69"/>
        <v>160</v>
      </c>
      <c r="B1805" s="11"/>
      <c r="C1805" s="82"/>
      <c r="D1805" s="1"/>
      <c r="E1805" s="83"/>
      <c r="F1805" s="83"/>
      <c r="G1805" s="84"/>
      <c r="H1805" s="85"/>
      <c r="I1805" s="18"/>
      <c r="J1805" s="5"/>
      <c r="K1805" s="5"/>
      <c r="L1805" s="4"/>
      <c r="M1805" s="4"/>
      <c r="N1805" s="82"/>
      <c r="O1805" s="86"/>
      <c r="P1805" s="4"/>
      <c r="Q1805" s="4"/>
      <c r="R1805" s="47" t="s">
        <v>1838</v>
      </c>
      <c r="S1805" s="87" t="s">
        <v>1133</v>
      </c>
      <c r="T1805" s="88">
        <v>87.9</v>
      </c>
      <c r="U1805" s="89"/>
      <c r="V1805" s="4"/>
      <c r="W1805" s="4"/>
      <c r="X1805" s="4" t="s">
        <v>1139</v>
      </c>
      <c r="Y1805" s="4" t="s">
        <v>56</v>
      </c>
      <c r="Z1805" s="4" t="s">
        <v>269</v>
      </c>
      <c r="AA1805" s="45" t="s">
        <v>1138</v>
      </c>
      <c r="AB1805" s="84"/>
      <c r="AC1805" s="84"/>
      <c r="AD1805" s="84"/>
      <c r="AE1805" s="84" t="s">
        <v>1416</v>
      </c>
      <c r="AF1805" s="84"/>
      <c r="AG1805" s="84"/>
    </row>
    <row r="1806" spans="1:33" s="91" customFormat="1" ht="30.75" customHeight="1" x14ac:dyDescent="0.2">
      <c r="A1806" s="13">
        <f t="shared" si="69"/>
        <v>160</v>
      </c>
      <c r="B1806" s="11"/>
      <c r="C1806" s="82"/>
      <c r="D1806" s="1"/>
      <c r="E1806" s="83"/>
      <c r="F1806" s="83"/>
      <c r="G1806" s="84"/>
      <c r="H1806" s="85"/>
      <c r="I1806" s="18"/>
      <c r="J1806" s="5"/>
      <c r="K1806" s="5"/>
      <c r="L1806" s="4"/>
      <c r="M1806" s="4"/>
      <c r="N1806" s="82"/>
      <c r="O1806" s="86"/>
      <c r="P1806" s="4"/>
      <c r="Q1806" s="4"/>
      <c r="R1806" s="47" t="s">
        <v>1981</v>
      </c>
      <c r="S1806" s="87" t="s">
        <v>1133</v>
      </c>
      <c r="T1806" s="88">
        <v>2.8</v>
      </c>
      <c r="U1806" s="89"/>
      <c r="V1806" s="4"/>
      <c r="W1806" s="4"/>
      <c r="X1806" s="4"/>
      <c r="Y1806" s="4"/>
      <c r="Z1806" s="4"/>
      <c r="AA1806" s="45"/>
      <c r="AB1806" s="84"/>
      <c r="AC1806" s="84"/>
      <c r="AD1806" s="84"/>
      <c r="AE1806" s="84"/>
      <c r="AF1806" s="84"/>
      <c r="AG1806" s="84"/>
    </row>
    <row r="1807" spans="1:33" s="91" customFormat="1" ht="29.25" customHeight="1" x14ac:dyDescent="0.2">
      <c r="A1807" s="13">
        <f t="shared" si="69"/>
        <v>160</v>
      </c>
      <c r="B1807" s="11"/>
      <c r="C1807" s="82"/>
      <c r="D1807" s="1"/>
      <c r="E1807" s="83"/>
      <c r="F1807" s="83"/>
      <c r="G1807" s="84"/>
      <c r="H1807" s="85"/>
      <c r="I1807" s="18"/>
      <c r="J1807" s="5"/>
      <c r="K1807" s="5"/>
      <c r="L1807" s="4"/>
      <c r="M1807" s="4"/>
      <c r="N1807" s="82"/>
      <c r="O1807" s="86"/>
      <c r="P1807" s="4"/>
      <c r="Q1807" s="4"/>
      <c r="R1807" s="82" t="s">
        <v>1838</v>
      </c>
      <c r="S1807" s="87" t="s">
        <v>1133</v>
      </c>
      <c r="T1807" s="88">
        <v>21.3</v>
      </c>
      <c r="U1807" s="89"/>
      <c r="V1807" s="4"/>
      <c r="W1807" s="4"/>
      <c r="X1807" s="4" t="s">
        <v>1139</v>
      </c>
      <c r="Y1807" s="4" t="s">
        <v>56</v>
      </c>
      <c r="Z1807" s="4" t="s">
        <v>269</v>
      </c>
      <c r="AA1807" s="45" t="s">
        <v>139</v>
      </c>
      <c r="AB1807" s="84"/>
      <c r="AC1807" s="84"/>
      <c r="AD1807" s="84"/>
      <c r="AE1807" s="84"/>
      <c r="AF1807" s="84"/>
      <c r="AG1807" s="84"/>
    </row>
    <row r="1808" spans="1:33" s="91" customFormat="1" ht="12.75" x14ac:dyDescent="0.2">
      <c r="A1808" s="13">
        <f t="shared" si="69"/>
        <v>160</v>
      </c>
      <c r="B1808" s="11"/>
      <c r="C1808" s="82"/>
      <c r="D1808" s="1"/>
      <c r="E1808" s="83"/>
      <c r="F1808" s="83"/>
      <c r="G1808" s="84"/>
      <c r="H1808" s="85"/>
      <c r="I1808" s="18"/>
      <c r="J1808" s="5"/>
      <c r="K1808" s="5"/>
      <c r="L1808" s="4"/>
      <c r="M1808" s="4"/>
      <c r="N1808" s="82"/>
      <c r="O1808" s="86"/>
      <c r="P1808" s="4"/>
      <c r="Q1808" s="4"/>
      <c r="R1808" s="47"/>
      <c r="S1808" s="87"/>
      <c r="T1808" s="88"/>
      <c r="U1808" s="89"/>
      <c r="V1808" s="4"/>
      <c r="W1808" s="4"/>
      <c r="X1808" s="9"/>
      <c r="Y1808" s="84"/>
      <c r="Z1808" s="90"/>
      <c r="AA1808" s="84"/>
      <c r="AB1808" s="84"/>
      <c r="AC1808" s="84"/>
      <c r="AD1808" s="84"/>
      <c r="AE1808" s="84"/>
      <c r="AF1808" s="84"/>
      <c r="AG1808" s="84"/>
    </row>
    <row r="1809" spans="1:33" s="91" customFormat="1" ht="12.75" x14ac:dyDescent="0.2">
      <c r="A1809" s="13">
        <f t="shared" si="69"/>
        <v>160</v>
      </c>
      <c r="B1809" s="11"/>
      <c r="C1809" s="82"/>
      <c r="D1809" s="1"/>
      <c r="E1809" s="83"/>
      <c r="F1809" s="83"/>
      <c r="G1809" s="84"/>
      <c r="H1809" s="85"/>
      <c r="I1809" s="18"/>
      <c r="J1809" s="5"/>
      <c r="K1809" s="5"/>
      <c r="L1809" s="4"/>
      <c r="M1809" s="4"/>
      <c r="N1809" s="82"/>
      <c r="O1809" s="86"/>
      <c r="P1809" s="4"/>
      <c r="Q1809" s="4"/>
      <c r="R1809" s="47"/>
      <c r="S1809" s="87"/>
      <c r="T1809" s="88"/>
      <c r="U1809" s="89"/>
      <c r="V1809" s="4"/>
      <c r="W1809" s="4"/>
      <c r="X1809" s="9"/>
      <c r="Y1809" s="84"/>
      <c r="Z1809" s="90"/>
      <c r="AA1809" s="84"/>
      <c r="AB1809" s="84"/>
      <c r="AC1809" s="84"/>
      <c r="AD1809" s="84"/>
      <c r="AE1809" s="84"/>
      <c r="AF1809" s="84"/>
      <c r="AG1809" s="84"/>
    </row>
    <row r="1810" spans="1:33" s="91" customFormat="1" ht="12.75" x14ac:dyDescent="0.2">
      <c r="A1810" s="13">
        <f t="shared" si="69"/>
        <v>160</v>
      </c>
      <c r="B1810" s="11"/>
      <c r="C1810" s="82"/>
      <c r="D1810" s="1"/>
      <c r="E1810" s="83"/>
      <c r="F1810" s="83"/>
      <c r="G1810" s="84"/>
      <c r="H1810" s="85"/>
      <c r="I1810" s="18"/>
      <c r="J1810" s="5"/>
      <c r="K1810" s="5"/>
      <c r="L1810" s="4"/>
      <c r="M1810" s="4"/>
      <c r="N1810" s="82"/>
      <c r="O1810" s="86"/>
      <c r="P1810" s="4"/>
      <c r="Q1810" s="4"/>
      <c r="R1810" s="47"/>
      <c r="S1810" s="87"/>
      <c r="T1810" s="88"/>
      <c r="U1810" s="89"/>
      <c r="V1810" s="4"/>
      <c r="W1810" s="4"/>
      <c r="X1810" s="9"/>
      <c r="Y1810" s="84"/>
      <c r="Z1810" s="90"/>
      <c r="AA1810" s="84"/>
      <c r="AB1810" s="84"/>
      <c r="AC1810" s="84"/>
      <c r="AD1810" s="84"/>
      <c r="AE1810" s="84"/>
      <c r="AF1810" s="84"/>
      <c r="AG1810" s="84"/>
    </row>
    <row r="1811" spans="1:33" s="91" customFormat="1" ht="12.75" x14ac:dyDescent="0.2">
      <c r="A1811" s="13">
        <f t="shared" si="69"/>
        <v>160</v>
      </c>
      <c r="B1811" s="11"/>
      <c r="C1811" s="82"/>
      <c r="D1811" s="1"/>
      <c r="E1811" s="83"/>
      <c r="F1811" s="83"/>
      <c r="G1811" s="84"/>
      <c r="H1811" s="85"/>
      <c r="I1811" s="18"/>
      <c r="J1811" s="5"/>
      <c r="K1811" s="5"/>
      <c r="L1811" s="4"/>
      <c r="M1811" s="4"/>
      <c r="N1811" s="82"/>
      <c r="O1811" s="86"/>
      <c r="P1811" s="4"/>
      <c r="Q1811" s="4"/>
      <c r="R1811" s="47"/>
      <c r="S1811" s="87"/>
      <c r="T1811" s="88"/>
      <c r="U1811" s="89"/>
      <c r="V1811" s="4"/>
      <c r="W1811" s="4"/>
      <c r="X1811" s="9"/>
      <c r="Y1811" s="84"/>
      <c r="Z1811" s="90"/>
      <c r="AA1811" s="84"/>
      <c r="AB1811" s="84"/>
      <c r="AC1811" s="84"/>
      <c r="AD1811" s="84"/>
      <c r="AE1811" s="84"/>
      <c r="AF1811" s="84"/>
      <c r="AG1811" s="84"/>
    </row>
    <row r="1812" spans="1:33" s="91" customFormat="1" ht="12.75" x14ac:dyDescent="0.2">
      <c r="A1812" s="13">
        <f t="shared" si="69"/>
        <v>160</v>
      </c>
      <c r="B1812" s="11"/>
      <c r="C1812" s="82"/>
      <c r="D1812" s="1"/>
      <c r="E1812" s="83"/>
      <c r="F1812" s="83"/>
      <c r="G1812" s="84"/>
      <c r="H1812" s="85"/>
      <c r="I1812" s="18"/>
      <c r="J1812" s="5"/>
      <c r="K1812" s="5"/>
      <c r="L1812" s="4"/>
      <c r="M1812" s="4"/>
      <c r="N1812" s="82"/>
      <c r="O1812" s="86"/>
      <c r="P1812" s="4"/>
      <c r="Q1812" s="4"/>
      <c r="R1812" s="47"/>
      <c r="S1812" s="87"/>
      <c r="T1812" s="88"/>
      <c r="U1812" s="89"/>
      <c r="V1812" s="4"/>
      <c r="W1812" s="4"/>
      <c r="X1812" s="9"/>
      <c r="Y1812" s="84"/>
      <c r="Z1812" s="90"/>
      <c r="AA1812" s="84"/>
      <c r="AB1812" s="84"/>
      <c r="AC1812" s="84"/>
      <c r="AD1812" s="84"/>
      <c r="AE1812" s="82"/>
      <c r="AF1812" s="82"/>
      <c r="AG1812" s="82"/>
    </row>
    <row r="1813" spans="1:33" s="91" customFormat="1" ht="12.75" x14ac:dyDescent="0.2">
      <c r="A1813" s="13">
        <f t="shared" si="69"/>
        <v>160</v>
      </c>
      <c r="B1813" s="11"/>
      <c r="C1813" s="82"/>
      <c r="D1813" s="1"/>
      <c r="E1813" s="83"/>
      <c r="F1813" s="83"/>
      <c r="G1813" s="84"/>
      <c r="H1813" s="85"/>
      <c r="I1813" s="18"/>
      <c r="J1813" s="5"/>
      <c r="K1813" s="5"/>
      <c r="L1813" s="4"/>
      <c r="M1813" s="4"/>
      <c r="N1813" s="82"/>
      <c r="O1813" s="86"/>
      <c r="P1813" s="4"/>
      <c r="Q1813" s="4"/>
      <c r="R1813" s="47"/>
      <c r="S1813" s="87"/>
      <c r="T1813" s="88"/>
      <c r="U1813" s="89"/>
      <c r="V1813" s="4"/>
      <c r="W1813" s="4"/>
      <c r="X1813" s="9"/>
      <c r="Y1813" s="84"/>
      <c r="Z1813" s="90"/>
      <c r="AA1813" s="84"/>
      <c r="AB1813" s="84"/>
      <c r="AC1813" s="84"/>
      <c r="AD1813" s="84"/>
      <c r="AE1813" s="1"/>
      <c r="AF1813" s="1"/>
      <c r="AG1813" s="1"/>
    </row>
    <row r="1814" spans="1:33" s="91" customFormat="1" ht="12.75" x14ac:dyDescent="0.2">
      <c r="A1814" s="13">
        <f t="shared" si="69"/>
        <v>160</v>
      </c>
      <c r="B1814" s="11"/>
      <c r="C1814" s="82"/>
      <c r="D1814" s="1"/>
      <c r="E1814" s="83"/>
      <c r="F1814" s="83"/>
      <c r="G1814" s="84"/>
      <c r="H1814" s="85"/>
      <c r="I1814" s="18"/>
      <c r="J1814" s="5"/>
      <c r="K1814" s="5"/>
      <c r="L1814" s="4"/>
      <c r="M1814" s="4"/>
      <c r="N1814" s="82"/>
      <c r="O1814" s="86"/>
      <c r="P1814" s="4"/>
      <c r="Q1814" s="4"/>
      <c r="R1814" s="47"/>
      <c r="S1814" s="87"/>
      <c r="T1814" s="88"/>
      <c r="U1814" s="89"/>
      <c r="V1814" s="4"/>
      <c r="W1814" s="4"/>
      <c r="X1814" s="9"/>
      <c r="Y1814" s="84"/>
      <c r="Z1814" s="90"/>
      <c r="AA1814" s="84"/>
      <c r="AB1814" s="84"/>
      <c r="AC1814" s="84"/>
      <c r="AD1814" s="84"/>
      <c r="AE1814" s="84"/>
      <c r="AF1814" s="84"/>
      <c r="AG1814" s="84"/>
    </row>
    <row r="1815" spans="1:33" s="91" customFormat="1" ht="48.75" customHeight="1" x14ac:dyDescent="0.2">
      <c r="A1815" s="13">
        <f t="shared" si="69"/>
        <v>161</v>
      </c>
      <c r="B1815" s="11">
        <v>161</v>
      </c>
      <c r="C1815" s="92" t="s">
        <v>1448</v>
      </c>
      <c r="D1815" s="1"/>
      <c r="E1815" s="87">
        <v>86</v>
      </c>
      <c r="F1815" s="87">
        <v>25</v>
      </c>
      <c r="G1815" s="84" t="s">
        <v>1232</v>
      </c>
      <c r="H1815" s="85">
        <f>1145.4-H1816</f>
        <v>590.80000000000007</v>
      </c>
      <c r="I1815" s="18"/>
      <c r="J1815" s="5"/>
      <c r="K1815" s="5"/>
      <c r="L1815" s="4"/>
      <c r="M1815" s="4"/>
      <c r="N1815" s="82" t="s">
        <v>145</v>
      </c>
      <c r="O1815" s="86">
        <v>1</v>
      </c>
      <c r="P1815" s="4"/>
      <c r="Q1815" s="4"/>
      <c r="R1815" s="47" t="s">
        <v>1993</v>
      </c>
      <c r="S1815" s="87" t="s">
        <v>1133</v>
      </c>
      <c r="T1815" s="88">
        <v>104.4</v>
      </c>
      <c r="U1815" s="89"/>
      <c r="V1815" s="4"/>
      <c r="W1815" s="4"/>
      <c r="X1815" s="9"/>
      <c r="Y1815" s="84"/>
      <c r="Z1815" s="90"/>
      <c r="AA1815" s="84"/>
      <c r="AB1815" s="84"/>
      <c r="AC1815" s="84"/>
      <c r="AD1815" s="84"/>
      <c r="AE1815" s="84" t="s">
        <v>1449</v>
      </c>
      <c r="AF1815" s="84"/>
      <c r="AG1815" s="84"/>
    </row>
    <row r="1816" spans="1:33" s="91" customFormat="1" ht="37.5" customHeight="1" x14ac:dyDescent="0.2">
      <c r="A1816" s="13">
        <f t="shared" si="69"/>
        <v>161</v>
      </c>
      <c r="B1816" s="11"/>
      <c r="C1816" s="82" t="s">
        <v>1450</v>
      </c>
      <c r="D1816" s="1"/>
      <c r="E1816" s="87">
        <v>86</v>
      </c>
      <c r="F1816" s="87">
        <v>25</v>
      </c>
      <c r="G1816" s="84" t="s">
        <v>1232</v>
      </c>
      <c r="H1816" s="85">
        <v>554.6</v>
      </c>
      <c r="I1816" s="18"/>
      <c r="J1816" s="5"/>
      <c r="K1816" s="5"/>
      <c r="L1816" s="4"/>
      <c r="M1816" s="4"/>
      <c r="N1816" s="82" t="s">
        <v>77</v>
      </c>
      <c r="O1816" s="86">
        <v>1</v>
      </c>
      <c r="P1816" s="4"/>
      <c r="Q1816" s="4"/>
      <c r="R1816" s="47" t="s">
        <v>1980</v>
      </c>
      <c r="S1816" s="87" t="s">
        <v>1133</v>
      </c>
      <c r="T1816" s="88">
        <v>8.4</v>
      </c>
      <c r="U1816" s="89"/>
      <c r="V1816" s="4"/>
      <c r="W1816" s="4"/>
      <c r="X1816" s="9"/>
      <c r="Y1816" s="84"/>
      <c r="Z1816" s="90"/>
      <c r="AA1816" s="84"/>
      <c r="AB1816" s="84"/>
      <c r="AC1816" s="84"/>
      <c r="AD1816" s="84"/>
      <c r="AE1816" s="84" t="s">
        <v>1451</v>
      </c>
      <c r="AF1816" s="84"/>
      <c r="AG1816" s="84"/>
    </row>
    <row r="1817" spans="1:33" s="91" customFormat="1" ht="39.75" customHeight="1" x14ac:dyDescent="0.2">
      <c r="A1817" s="13">
        <f t="shared" si="69"/>
        <v>161</v>
      </c>
      <c r="B1817" s="11"/>
      <c r="C1817" s="82" t="s">
        <v>1634</v>
      </c>
      <c r="D1817" s="1"/>
      <c r="E1817" s="83"/>
      <c r="F1817" s="83"/>
      <c r="G1817" s="84"/>
      <c r="H1817" s="85"/>
      <c r="I1817" s="18"/>
      <c r="J1817" s="5"/>
      <c r="K1817" s="5"/>
      <c r="L1817" s="4"/>
      <c r="M1817" s="4"/>
      <c r="N1817" s="82" t="s">
        <v>61</v>
      </c>
      <c r="O1817" s="86">
        <v>31</v>
      </c>
      <c r="P1817" s="4"/>
      <c r="Q1817" s="4"/>
      <c r="R1817" s="47" t="s">
        <v>1994</v>
      </c>
      <c r="S1817" s="87" t="s">
        <v>1133</v>
      </c>
      <c r="T1817" s="88">
        <v>3.61</v>
      </c>
      <c r="U1817" s="89"/>
      <c r="V1817" s="4"/>
      <c r="W1817" s="4"/>
      <c r="X1817" s="9"/>
      <c r="Y1817" s="84"/>
      <c r="Z1817" s="90"/>
      <c r="AA1817" s="84"/>
      <c r="AB1817" s="84"/>
      <c r="AC1817" s="84"/>
      <c r="AD1817" s="84"/>
      <c r="AE1817" s="84" t="s">
        <v>1452</v>
      </c>
      <c r="AF1817" s="84"/>
      <c r="AG1817" s="84"/>
    </row>
    <row r="1818" spans="1:33" s="91" customFormat="1" ht="23.25" customHeight="1" x14ac:dyDescent="0.2">
      <c r="A1818" s="13">
        <f t="shared" si="69"/>
        <v>161</v>
      </c>
      <c r="B1818" s="11"/>
      <c r="C1818" s="82"/>
      <c r="D1818" s="1"/>
      <c r="E1818" s="83"/>
      <c r="F1818" s="83"/>
      <c r="G1818" s="84"/>
      <c r="H1818" s="85"/>
      <c r="I1818" s="18"/>
      <c r="J1818" s="5"/>
      <c r="K1818" s="5"/>
      <c r="L1818" s="4"/>
      <c r="M1818" s="4"/>
      <c r="N1818" s="82" t="s">
        <v>69</v>
      </c>
      <c r="O1818" s="86">
        <v>9</v>
      </c>
      <c r="P1818" s="4"/>
      <c r="Q1818" s="4"/>
      <c r="R1818" s="47" t="s">
        <v>1995</v>
      </c>
      <c r="S1818" s="87" t="s">
        <v>1133</v>
      </c>
      <c r="T1818" s="88">
        <v>4.75</v>
      </c>
      <c r="U1818" s="89"/>
      <c r="V1818" s="4"/>
      <c r="W1818" s="4"/>
      <c r="X1818" s="158" t="s">
        <v>139</v>
      </c>
      <c r="Y1818" s="4" t="s">
        <v>1139</v>
      </c>
      <c r="Z1818" s="4" t="s">
        <v>1262</v>
      </c>
      <c r="AA1818" s="32" t="s">
        <v>269</v>
      </c>
      <c r="AB1818" s="3" t="s">
        <v>139</v>
      </c>
      <c r="AC1818" s="84"/>
      <c r="AD1818" s="84"/>
      <c r="AE1818" s="84" t="s">
        <v>1226</v>
      </c>
      <c r="AF1818" s="84"/>
      <c r="AG1818" s="84"/>
    </row>
    <row r="1819" spans="1:33" s="91" customFormat="1" ht="23.25" customHeight="1" x14ac:dyDescent="0.2">
      <c r="A1819" s="13">
        <f t="shared" si="69"/>
        <v>161</v>
      </c>
      <c r="B1819" s="11"/>
      <c r="C1819" s="82"/>
      <c r="D1819" s="1"/>
      <c r="E1819" s="83"/>
      <c r="F1819" s="83"/>
      <c r="G1819" s="84"/>
      <c r="H1819" s="85"/>
      <c r="I1819" s="18"/>
      <c r="J1819" s="5"/>
      <c r="K1819" s="5"/>
      <c r="L1819" s="4"/>
      <c r="M1819" s="4"/>
      <c r="N1819" s="82" t="s">
        <v>72</v>
      </c>
      <c r="O1819" s="86">
        <v>42</v>
      </c>
      <c r="P1819" s="4"/>
      <c r="Q1819" s="4"/>
      <c r="R1819" s="47" t="s">
        <v>1996</v>
      </c>
      <c r="S1819" s="87" t="s">
        <v>1133</v>
      </c>
      <c r="T1819" s="88">
        <v>9</v>
      </c>
      <c r="U1819" s="89"/>
      <c r="V1819" s="4"/>
      <c r="W1819" s="4"/>
      <c r="X1819" s="158" t="s">
        <v>139</v>
      </c>
      <c r="Y1819" s="32" t="s">
        <v>1453</v>
      </c>
      <c r="Z1819" s="4" t="s">
        <v>56</v>
      </c>
      <c r="AA1819" s="32" t="s">
        <v>1263</v>
      </c>
      <c r="AB1819" s="3" t="s">
        <v>267</v>
      </c>
      <c r="AC1819" s="84"/>
      <c r="AD1819" s="84"/>
      <c r="AE1819" s="82"/>
      <c r="AF1819" s="82"/>
      <c r="AG1819" s="82"/>
    </row>
    <row r="1820" spans="1:33" s="91" customFormat="1" ht="23.25" customHeight="1" x14ac:dyDescent="0.2">
      <c r="A1820" s="13">
        <f t="shared" si="69"/>
        <v>161</v>
      </c>
      <c r="B1820" s="11"/>
      <c r="C1820" s="82"/>
      <c r="D1820" s="1"/>
      <c r="E1820" s="83"/>
      <c r="F1820" s="83"/>
      <c r="G1820" s="84"/>
      <c r="H1820" s="85"/>
      <c r="I1820" s="18"/>
      <c r="J1820" s="5"/>
      <c r="K1820" s="5"/>
      <c r="L1820" s="4"/>
      <c r="M1820" s="4"/>
      <c r="N1820" s="82" t="s">
        <v>73</v>
      </c>
      <c r="O1820" s="86">
        <v>46</v>
      </c>
      <c r="P1820" s="4"/>
      <c r="Q1820" s="4"/>
      <c r="R1820" s="47" t="s">
        <v>1997</v>
      </c>
      <c r="S1820" s="87" t="s">
        <v>1133</v>
      </c>
      <c r="T1820" s="88">
        <v>9</v>
      </c>
      <c r="U1820" s="89"/>
      <c r="V1820" s="4"/>
      <c r="W1820" s="4"/>
      <c r="X1820" s="158"/>
      <c r="Y1820" s="32" t="s">
        <v>1453</v>
      </c>
      <c r="Z1820" s="32" t="s">
        <v>1454</v>
      </c>
      <c r="AA1820" s="32" t="s">
        <v>1263</v>
      </c>
      <c r="AB1820" s="3" t="s">
        <v>267</v>
      </c>
      <c r="AC1820" s="84"/>
      <c r="AD1820" s="84"/>
      <c r="AE1820" s="82"/>
      <c r="AF1820" s="82"/>
      <c r="AG1820" s="82"/>
    </row>
    <row r="1821" spans="1:33" s="91" customFormat="1" ht="30.75" customHeight="1" x14ac:dyDescent="0.2">
      <c r="A1821" s="13">
        <f t="shared" si="69"/>
        <v>161</v>
      </c>
      <c r="B1821" s="11"/>
      <c r="C1821" s="82"/>
      <c r="D1821" s="1"/>
      <c r="E1821" s="83"/>
      <c r="F1821" s="83"/>
      <c r="G1821" s="84"/>
      <c r="H1821" s="85"/>
      <c r="I1821" s="18"/>
      <c r="J1821" s="5"/>
      <c r="K1821" s="5"/>
      <c r="L1821" s="4"/>
      <c r="M1821" s="4"/>
      <c r="N1821" s="82" t="s">
        <v>75</v>
      </c>
      <c r="O1821" s="86">
        <v>53</v>
      </c>
      <c r="P1821" s="4"/>
      <c r="Q1821" s="4"/>
      <c r="R1821" s="47" t="s">
        <v>1978</v>
      </c>
      <c r="S1821" s="87" t="s">
        <v>1133</v>
      </c>
      <c r="T1821" s="88">
        <v>72.5</v>
      </c>
      <c r="U1821" s="89"/>
      <c r="V1821" s="4"/>
      <c r="W1821" s="4"/>
      <c r="X1821" s="9"/>
      <c r="Y1821" s="84"/>
      <c r="Z1821" s="90"/>
      <c r="AA1821" s="84"/>
      <c r="AB1821" s="84"/>
      <c r="AC1821" s="84"/>
      <c r="AD1821" s="84"/>
      <c r="AE1821" s="82"/>
      <c r="AF1821" s="82"/>
      <c r="AG1821" s="82"/>
    </row>
    <row r="1822" spans="1:33" s="91" customFormat="1" ht="30.75" customHeight="1" x14ac:dyDescent="0.2">
      <c r="A1822" s="13">
        <f t="shared" si="69"/>
        <v>161</v>
      </c>
      <c r="B1822" s="11"/>
      <c r="C1822" s="82"/>
      <c r="D1822" s="1"/>
      <c r="E1822" s="83"/>
      <c r="F1822" s="83"/>
      <c r="G1822" s="84"/>
      <c r="H1822" s="85"/>
      <c r="I1822" s="18"/>
      <c r="J1822" s="5"/>
      <c r="K1822" s="5"/>
      <c r="L1822" s="4"/>
      <c r="M1822" s="4"/>
      <c r="N1822" s="82" t="s">
        <v>400</v>
      </c>
      <c r="O1822" s="86">
        <v>8</v>
      </c>
      <c r="P1822" s="4"/>
      <c r="Q1822" s="4"/>
      <c r="R1822" s="47" t="s">
        <v>1998</v>
      </c>
      <c r="S1822" s="87" t="s">
        <v>1133</v>
      </c>
      <c r="T1822" s="88">
        <v>9</v>
      </c>
      <c r="U1822" s="89"/>
      <c r="V1822" s="4"/>
      <c r="W1822" s="4"/>
      <c r="X1822" s="9"/>
      <c r="Y1822" s="84"/>
      <c r="Z1822" s="90"/>
      <c r="AA1822" s="84"/>
      <c r="AB1822" s="84"/>
      <c r="AC1822" s="84"/>
      <c r="AD1822" s="84"/>
      <c r="AE1822" s="82"/>
      <c r="AF1822" s="82"/>
      <c r="AG1822" s="82"/>
    </row>
    <row r="1823" spans="1:33" s="91" customFormat="1" ht="30.75" customHeight="1" x14ac:dyDescent="0.2">
      <c r="A1823" s="13">
        <f t="shared" si="69"/>
        <v>161</v>
      </c>
      <c r="B1823" s="11"/>
      <c r="C1823" s="82"/>
      <c r="D1823" s="1"/>
      <c r="E1823" s="83"/>
      <c r="F1823" s="83"/>
      <c r="G1823" s="84"/>
      <c r="H1823" s="85"/>
      <c r="I1823" s="18"/>
      <c r="J1823" s="5"/>
      <c r="K1823" s="5"/>
      <c r="L1823" s="4"/>
      <c r="M1823" s="4"/>
      <c r="N1823" s="82" t="s">
        <v>401</v>
      </c>
      <c r="O1823" s="86">
        <v>38</v>
      </c>
      <c r="P1823" s="4"/>
      <c r="Q1823" s="4"/>
      <c r="R1823" s="47" t="s">
        <v>1998</v>
      </c>
      <c r="S1823" s="87" t="s">
        <v>1133</v>
      </c>
      <c r="T1823" s="88">
        <v>18</v>
      </c>
      <c r="U1823" s="89"/>
      <c r="V1823" s="4"/>
      <c r="W1823" s="4"/>
      <c r="X1823" s="9"/>
      <c r="Y1823" s="84"/>
      <c r="Z1823" s="90"/>
      <c r="AA1823" s="84"/>
      <c r="AB1823" s="84"/>
      <c r="AC1823" s="84"/>
      <c r="AD1823" s="84"/>
      <c r="AE1823" s="82"/>
      <c r="AF1823" s="82"/>
      <c r="AG1823" s="82"/>
    </row>
    <row r="1824" spans="1:33" s="91" customFormat="1" ht="30.75" customHeight="1" x14ac:dyDescent="0.2">
      <c r="A1824" s="13">
        <f t="shared" si="69"/>
        <v>161</v>
      </c>
      <c r="B1824" s="11"/>
      <c r="C1824" s="82"/>
      <c r="D1824" s="1"/>
      <c r="E1824" s="83"/>
      <c r="F1824" s="83"/>
      <c r="G1824" s="84"/>
      <c r="H1824" s="85"/>
      <c r="I1824" s="18"/>
      <c r="J1824" s="5"/>
      <c r="K1824" s="5"/>
      <c r="L1824" s="4"/>
      <c r="M1824" s="4"/>
      <c r="N1824" s="82" t="s">
        <v>1455</v>
      </c>
      <c r="O1824" s="86">
        <v>20</v>
      </c>
      <c r="P1824" s="4"/>
      <c r="Q1824" s="4"/>
      <c r="R1824" s="47" t="s">
        <v>1999</v>
      </c>
      <c r="S1824" s="87" t="s">
        <v>93</v>
      </c>
      <c r="T1824" s="88">
        <v>1</v>
      </c>
      <c r="U1824" s="89"/>
      <c r="V1824" s="4"/>
      <c r="W1824" s="4"/>
      <c r="X1824" s="9"/>
      <c r="Y1824" s="84"/>
      <c r="Z1824" s="90"/>
      <c r="AA1824" s="84"/>
      <c r="AB1824" s="84"/>
      <c r="AC1824" s="84"/>
      <c r="AD1824" s="84"/>
      <c r="AE1824" s="82"/>
      <c r="AF1824" s="82"/>
      <c r="AG1824" s="82"/>
    </row>
    <row r="1825" spans="1:33" s="91" customFormat="1" ht="24.75" customHeight="1" x14ac:dyDescent="0.2">
      <c r="A1825" s="13">
        <f t="shared" si="69"/>
        <v>161</v>
      </c>
      <c r="B1825" s="11"/>
      <c r="C1825" s="82"/>
      <c r="D1825" s="1"/>
      <c r="E1825" s="83"/>
      <c r="F1825" s="83"/>
      <c r="G1825" s="84"/>
      <c r="H1825" s="85"/>
      <c r="I1825" s="18"/>
      <c r="J1825" s="5"/>
      <c r="K1825" s="5"/>
      <c r="L1825" s="4"/>
      <c r="M1825" s="4"/>
      <c r="N1825" s="82" t="s">
        <v>1332</v>
      </c>
      <c r="O1825" s="86">
        <v>12</v>
      </c>
      <c r="P1825" s="4"/>
      <c r="Q1825" s="4"/>
      <c r="R1825" s="47" t="s">
        <v>2000</v>
      </c>
      <c r="S1825" s="87" t="s">
        <v>1286</v>
      </c>
      <c r="T1825" s="88">
        <v>1.7</v>
      </c>
      <c r="U1825" s="89"/>
      <c r="V1825" s="4"/>
      <c r="W1825" s="4"/>
      <c r="X1825" s="9"/>
      <c r="Y1825" s="84"/>
      <c r="Z1825" s="90"/>
      <c r="AA1825" s="84"/>
      <c r="AB1825" s="84"/>
      <c r="AC1825" s="84"/>
      <c r="AD1825" s="84"/>
      <c r="AE1825" s="82"/>
      <c r="AF1825" s="82"/>
      <c r="AG1825" s="82"/>
    </row>
    <row r="1826" spans="1:33" s="91" customFormat="1" ht="24.75" customHeight="1" x14ac:dyDescent="0.2">
      <c r="A1826" s="13">
        <f t="shared" si="69"/>
        <v>161</v>
      </c>
      <c r="B1826" s="11"/>
      <c r="C1826" s="82"/>
      <c r="D1826" s="1"/>
      <c r="E1826" s="83"/>
      <c r="F1826" s="83"/>
      <c r="G1826" s="84"/>
      <c r="H1826" s="85"/>
      <c r="I1826" s="18"/>
      <c r="J1826" s="5"/>
      <c r="K1826" s="5"/>
      <c r="L1826" s="4"/>
      <c r="M1826" s="4"/>
      <c r="N1826" s="82" t="s">
        <v>1456</v>
      </c>
      <c r="O1826" s="86">
        <v>8</v>
      </c>
      <c r="P1826" s="4"/>
      <c r="Q1826" s="4"/>
      <c r="R1826" s="47"/>
      <c r="S1826" s="87"/>
      <c r="T1826" s="88"/>
      <c r="U1826" s="89"/>
      <c r="V1826" s="4"/>
      <c r="W1826" s="4"/>
      <c r="X1826" s="9"/>
      <c r="Y1826" s="84"/>
      <c r="Z1826" s="90"/>
      <c r="AA1826" s="84"/>
      <c r="AB1826" s="84"/>
      <c r="AC1826" s="84"/>
      <c r="AD1826" s="84"/>
      <c r="AE1826" s="82"/>
      <c r="AF1826" s="82"/>
      <c r="AG1826" s="82"/>
    </row>
    <row r="1827" spans="1:33" s="91" customFormat="1" ht="12.75" x14ac:dyDescent="0.2">
      <c r="A1827" s="13">
        <f t="shared" si="69"/>
        <v>161</v>
      </c>
      <c r="B1827" s="11"/>
      <c r="C1827" s="82"/>
      <c r="D1827" s="1"/>
      <c r="E1827" s="83"/>
      <c r="F1827" s="83"/>
      <c r="G1827" s="84"/>
      <c r="H1827" s="85"/>
      <c r="I1827" s="18"/>
      <c r="J1827" s="5"/>
      <c r="K1827" s="5"/>
      <c r="L1827" s="4"/>
      <c r="M1827" s="4"/>
      <c r="N1827" s="82"/>
      <c r="O1827" s="86"/>
      <c r="P1827" s="4"/>
      <c r="Q1827" s="4"/>
      <c r="R1827" s="47"/>
      <c r="S1827" s="87"/>
      <c r="T1827" s="88"/>
      <c r="U1827" s="89"/>
      <c r="V1827" s="4"/>
      <c r="W1827" s="4"/>
      <c r="X1827" s="9"/>
      <c r="Y1827" s="84"/>
      <c r="Z1827" s="90"/>
      <c r="AA1827" s="84"/>
      <c r="AB1827" s="84"/>
      <c r="AC1827" s="84"/>
      <c r="AD1827" s="84"/>
      <c r="AE1827" s="82"/>
      <c r="AF1827" s="82"/>
      <c r="AG1827" s="82"/>
    </row>
    <row r="1828" spans="1:33" s="91" customFormat="1" ht="12.75" x14ac:dyDescent="0.2">
      <c r="A1828" s="13">
        <f t="shared" si="69"/>
        <v>161</v>
      </c>
      <c r="B1828" s="11"/>
      <c r="C1828" s="82"/>
      <c r="D1828" s="1"/>
      <c r="E1828" s="83"/>
      <c r="F1828" s="83"/>
      <c r="G1828" s="84"/>
      <c r="H1828" s="85"/>
      <c r="I1828" s="18"/>
      <c r="J1828" s="5"/>
      <c r="K1828" s="5"/>
      <c r="L1828" s="4"/>
      <c r="M1828" s="4"/>
      <c r="N1828" s="82"/>
      <c r="O1828" s="86"/>
      <c r="P1828" s="4"/>
      <c r="Q1828" s="4"/>
      <c r="R1828" s="47"/>
      <c r="S1828" s="87"/>
      <c r="T1828" s="88"/>
      <c r="U1828" s="89"/>
      <c r="V1828" s="4"/>
      <c r="W1828" s="4"/>
      <c r="X1828" s="9"/>
      <c r="Y1828" s="84"/>
      <c r="Z1828" s="90"/>
      <c r="AA1828" s="84"/>
      <c r="AB1828" s="84"/>
      <c r="AC1828" s="84"/>
      <c r="AD1828" s="84"/>
      <c r="AE1828" s="82"/>
      <c r="AF1828" s="82"/>
      <c r="AG1828" s="82"/>
    </row>
    <row r="1829" spans="1:33" s="91" customFormat="1" ht="12.75" x14ac:dyDescent="0.2">
      <c r="A1829" s="13">
        <f t="shared" si="69"/>
        <v>161</v>
      </c>
      <c r="B1829" s="11"/>
      <c r="C1829" s="82"/>
      <c r="D1829" s="1"/>
      <c r="E1829" s="83"/>
      <c r="F1829" s="83"/>
      <c r="G1829" s="84"/>
      <c r="H1829" s="85"/>
      <c r="I1829" s="18"/>
      <c r="J1829" s="5"/>
      <c r="K1829" s="5"/>
      <c r="L1829" s="4"/>
      <c r="M1829" s="4"/>
      <c r="N1829" s="82"/>
      <c r="O1829" s="86"/>
      <c r="P1829" s="4"/>
      <c r="Q1829" s="4"/>
      <c r="R1829" s="47"/>
      <c r="S1829" s="87"/>
      <c r="T1829" s="88"/>
      <c r="U1829" s="89"/>
      <c r="V1829" s="4"/>
      <c r="W1829" s="4"/>
      <c r="X1829" s="9"/>
      <c r="Y1829" s="84"/>
      <c r="Z1829" s="90"/>
      <c r="AA1829" s="84"/>
      <c r="AB1829" s="84"/>
      <c r="AC1829" s="84"/>
      <c r="AD1829" s="84"/>
      <c r="AE1829" s="82"/>
      <c r="AF1829" s="82"/>
      <c r="AG1829" s="82"/>
    </row>
    <row r="1830" spans="1:33" s="91" customFormat="1" ht="12.75" x14ac:dyDescent="0.2">
      <c r="A1830" s="13">
        <f t="shared" si="69"/>
        <v>161</v>
      </c>
      <c r="B1830" s="11"/>
      <c r="C1830" s="82"/>
      <c r="D1830" s="1"/>
      <c r="E1830" s="83"/>
      <c r="F1830" s="83"/>
      <c r="G1830" s="84"/>
      <c r="H1830" s="85"/>
      <c r="I1830" s="18"/>
      <c r="J1830" s="5"/>
      <c r="K1830" s="5"/>
      <c r="L1830" s="4"/>
      <c r="M1830" s="4"/>
      <c r="N1830" s="82"/>
      <c r="O1830" s="86"/>
      <c r="P1830" s="4"/>
      <c r="Q1830" s="4"/>
      <c r="R1830" s="47"/>
      <c r="S1830" s="87"/>
      <c r="T1830" s="88"/>
      <c r="U1830" s="89"/>
      <c r="V1830" s="4"/>
      <c r="W1830" s="4"/>
      <c r="X1830" s="9"/>
      <c r="Y1830" s="84"/>
      <c r="Z1830" s="90"/>
      <c r="AA1830" s="84"/>
      <c r="AB1830" s="84"/>
      <c r="AC1830" s="84"/>
      <c r="AD1830" s="84"/>
      <c r="AE1830" s="82"/>
      <c r="AF1830" s="82"/>
      <c r="AG1830" s="82"/>
    </row>
    <row r="1831" spans="1:33" s="91" customFormat="1" ht="47.25" customHeight="1" x14ac:dyDescent="0.2">
      <c r="A1831" s="13">
        <f t="shared" si="69"/>
        <v>162</v>
      </c>
      <c r="B1831" s="11">
        <v>162</v>
      </c>
      <c r="C1831" s="92" t="s">
        <v>1457</v>
      </c>
      <c r="D1831" s="1"/>
      <c r="E1831" s="87">
        <v>86</v>
      </c>
      <c r="F1831" s="87">
        <v>51</v>
      </c>
      <c r="G1831" s="84" t="s">
        <v>1458</v>
      </c>
      <c r="H1831" s="85">
        <v>1320.4</v>
      </c>
      <c r="I1831" s="18"/>
      <c r="J1831" s="5"/>
      <c r="K1831" s="5"/>
      <c r="L1831" s="4"/>
      <c r="M1831" s="4"/>
      <c r="N1831" s="82" t="s">
        <v>61</v>
      </c>
      <c r="O1831" s="86">
        <v>22</v>
      </c>
      <c r="P1831" s="4"/>
      <c r="Q1831" s="4"/>
      <c r="R1831" s="47" t="s">
        <v>2001</v>
      </c>
      <c r="S1831" s="87" t="s">
        <v>1133</v>
      </c>
      <c r="T1831" s="88">
        <v>30</v>
      </c>
      <c r="U1831" s="89"/>
      <c r="V1831" s="4"/>
      <c r="W1831" s="4"/>
      <c r="X1831" s="4" t="s">
        <v>1263</v>
      </c>
      <c r="Y1831" s="4" t="s">
        <v>82</v>
      </c>
      <c r="Z1831" s="4" t="s">
        <v>1263</v>
      </c>
      <c r="AA1831" s="45" t="s">
        <v>143</v>
      </c>
      <c r="AB1831" s="84"/>
      <c r="AC1831" s="84"/>
      <c r="AD1831" s="84"/>
      <c r="AE1831" s="84" t="s">
        <v>1459</v>
      </c>
      <c r="AF1831" s="84"/>
      <c r="AG1831" s="84"/>
    </row>
    <row r="1832" spans="1:33" s="91" customFormat="1" ht="33.75" customHeight="1" x14ac:dyDescent="0.2">
      <c r="A1832" s="13">
        <f t="shared" si="69"/>
        <v>162</v>
      </c>
      <c r="B1832" s="11"/>
      <c r="C1832" s="82" t="s">
        <v>1460</v>
      </c>
      <c r="D1832" s="1"/>
      <c r="E1832" s="87"/>
      <c r="F1832" s="87"/>
      <c r="G1832" s="84"/>
      <c r="H1832" s="85"/>
      <c r="I1832" s="18"/>
      <c r="J1832" s="5"/>
      <c r="K1832" s="5"/>
      <c r="L1832" s="4"/>
      <c r="M1832" s="4"/>
      <c r="N1832" s="82" t="s">
        <v>64</v>
      </c>
      <c r="O1832" s="86">
        <v>2</v>
      </c>
      <c r="P1832" s="4"/>
      <c r="Q1832" s="4"/>
      <c r="R1832" s="47" t="s">
        <v>1945</v>
      </c>
      <c r="S1832" s="87" t="s">
        <v>1133</v>
      </c>
      <c r="T1832" s="88">
        <v>6.16</v>
      </c>
      <c r="U1832" s="89"/>
      <c r="V1832" s="4"/>
      <c r="W1832" s="4"/>
      <c r="X1832" s="4" t="s">
        <v>1263</v>
      </c>
      <c r="Y1832" s="4" t="s">
        <v>82</v>
      </c>
      <c r="Z1832" s="4" t="s">
        <v>1263</v>
      </c>
      <c r="AA1832" s="45" t="s">
        <v>143</v>
      </c>
      <c r="AB1832" s="84"/>
      <c r="AC1832" s="84"/>
      <c r="AD1832" s="84"/>
      <c r="AE1832" s="84" t="s">
        <v>1461</v>
      </c>
      <c r="AF1832" s="84"/>
      <c r="AG1832" s="84" t="s">
        <v>1372</v>
      </c>
    </row>
    <row r="1833" spans="1:33" s="91" customFormat="1" ht="57" customHeight="1" x14ac:dyDescent="0.2">
      <c r="A1833" s="13">
        <f t="shared" si="69"/>
        <v>162</v>
      </c>
      <c r="B1833" s="11"/>
      <c r="C1833" s="82" t="s">
        <v>1635</v>
      </c>
      <c r="D1833" s="1"/>
      <c r="E1833" s="83"/>
      <c r="F1833" s="83"/>
      <c r="G1833" s="84"/>
      <c r="H1833" s="85"/>
      <c r="I1833" s="18"/>
      <c r="J1833" s="5"/>
      <c r="K1833" s="5"/>
      <c r="L1833" s="4"/>
      <c r="M1833" s="4"/>
      <c r="N1833" s="82" t="s">
        <v>932</v>
      </c>
      <c r="O1833" s="86">
        <v>4</v>
      </c>
      <c r="P1833" s="4"/>
      <c r="Q1833" s="4"/>
      <c r="R1833" s="47" t="s">
        <v>2001</v>
      </c>
      <c r="S1833" s="87" t="s">
        <v>1133</v>
      </c>
      <c r="T1833" s="88">
        <v>17.64</v>
      </c>
      <c r="U1833" s="89"/>
      <c r="V1833" s="4"/>
      <c r="W1833" s="4"/>
      <c r="X1833" s="4" t="s">
        <v>1263</v>
      </c>
      <c r="Y1833" s="4" t="s">
        <v>82</v>
      </c>
      <c r="Z1833" s="4" t="s">
        <v>1263</v>
      </c>
      <c r="AA1833" s="45" t="s">
        <v>143</v>
      </c>
      <c r="AB1833" s="84"/>
      <c r="AC1833" s="84"/>
      <c r="AD1833" s="84"/>
      <c r="AE1833" s="84" t="s">
        <v>1462</v>
      </c>
      <c r="AF1833" s="84"/>
      <c r="AG1833" s="84"/>
    </row>
    <row r="1834" spans="1:33" s="91" customFormat="1" ht="22.5" customHeight="1" x14ac:dyDescent="0.2">
      <c r="A1834" s="13">
        <f t="shared" si="69"/>
        <v>162</v>
      </c>
      <c r="B1834" s="11"/>
      <c r="C1834" s="82"/>
      <c r="D1834" s="1"/>
      <c r="E1834" s="83"/>
      <c r="F1834" s="83"/>
      <c r="G1834" s="84"/>
      <c r="H1834" s="85"/>
      <c r="I1834" s="1"/>
      <c r="J1834" s="5"/>
      <c r="K1834" s="5"/>
      <c r="L1834" s="4"/>
      <c r="M1834" s="4"/>
      <c r="N1834" s="82" t="s">
        <v>355</v>
      </c>
      <c r="O1834" s="86">
        <v>1</v>
      </c>
      <c r="P1834" s="4"/>
      <c r="Q1834" s="4"/>
      <c r="R1834" s="47" t="s">
        <v>2001</v>
      </c>
      <c r="S1834" s="87" t="s">
        <v>1133</v>
      </c>
      <c r="T1834" s="88">
        <v>11.2</v>
      </c>
      <c r="U1834" s="89"/>
      <c r="V1834" s="4"/>
      <c r="W1834" s="4"/>
      <c r="X1834" s="4" t="s">
        <v>1263</v>
      </c>
      <c r="Y1834" s="4" t="s">
        <v>82</v>
      </c>
      <c r="Z1834" s="4" t="s">
        <v>1263</v>
      </c>
      <c r="AA1834" s="45" t="s">
        <v>143</v>
      </c>
      <c r="AB1834" s="84"/>
      <c r="AC1834" s="84"/>
      <c r="AD1834" s="84"/>
      <c r="AE1834" s="264" t="s">
        <v>1465</v>
      </c>
      <c r="AF1834" s="84"/>
      <c r="AG1834" s="84"/>
    </row>
    <row r="1835" spans="1:33" s="91" customFormat="1" ht="22.5" customHeight="1" x14ac:dyDescent="0.2">
      <c r="A1835" s="13">
        <f t="shared" si="69"/>
        <v>162</v>
      </c>
      <c r="B1835" s="11"/>
      <c r="C1835" s="82"/>
      <c r="D1835" s="1"/>
      <c r="E1835" s="83"/>
      <c r="F1835" s="83"/>
      <c r="G1835" s="84"/>
      <c r="H1835" s="85"/>
      <c r="I1835" s="1"/>
      <c r="J1835" s="5"/>
      <c r="K1835" s="5"/>
      <c r="L1835" s="4"/>
      <c r="M1835" s="4"/>
      <c r="N1835" s="82" t="s">
        <v>145</v>
      </c>
      <c r="O1835" s="86">
        <v>3</v>
      </c>
      <c r="P1835" s="4"/>
      <c r="Q1835" s="4"/>
      <c r="R1835" s="47" t="s">
        <v>2001</v>
      </c>
      <c r="S1835" s="87" t="s">
        <v>1133</v>
      </c>
      <c r="T1835" s="88">
        <v>38.03</v>
      </c>
      <c r="U1835" s="89"/>
      <c r="V1835" s="4"/>
      <c r="W1835" s="4"/>
      <c r="X1835" s="4" t="s">
        <v>1263</v>
      </c>
      <c r="Y1835" s="4" t="s">
        <v>82</v>
      </c>
      <c r="Z1835" s="4" t="s">
        <v>1263</v>
      </c>
      <c r="AA1835" s="45" t="s">
        <v>143</v>
      </c>
      <c r="AB1835" s="84"/>
      <c r="AC1835" s="84"/>
      <c r="AD1835" s="84"/>
      <c r="AF1835" s="84"/>
      <c r="AG1835" s="84"/>
    </row>
    <row r="1836" spans="1:33" s="91" customFormat="1" ht="22.5" customHeight="1" x14ac:dyDescent="0.2">
      <c r="A1836" s="13">
        <f t="shared" si="69"/>
        <v>162</v>
      </c>
      <c r="B1836" s="11"/>
      <c r="C1836" s="82"/>
      <c r="D1836" s="1"/>
      <c r="E1836" s="83"/>
      <c r="F1836" s="83"/>
      <c r="G1836" s="84"/>
      <c r="H1836" s="85"/>
      <c r="I1836" s="1"/>
      <c r="J1836" s="5"/>
      <c r="K1836" s="5"/>
      <c r="L1836" s="4"/>
      <c r="M1836" s="4"/>
      <c r="N1836" s="82" t="s">
        <v>1463</v>
      </c>
      <c r="O1836" s="86">
        <v>1</v>
      </c>
      <c r="P1836" s="4"/>
      <c r="Q1836" s="4"/>
      <c r="R1836" s="47" t="s">
        <v>2001</v>
      </c>
      <c r="S1836" s="87" t="s">
        <v>1133</v>
      </c>
      <c r="T1836" s="88">
        <v>37.019999999999996</v>
      </c>
      <c r="U1836" s="89"/>
      <c r="V1836" s="4"/>
      <c r="W1836" s="4"/>
      <c r="X1836" s="4" t="s">
        <v>1263</v>
      </c>
      <c r="Y1836" s="4" t="s">
        <v>82</v>
      </c>
      <c r="Z1836" s="4" t="s">
        <v>1263</v>
      </c>
      <c r="AA1836" s="45" t="s">
        <v>143</v>
      </c>
      <c r="AB1836" s="84"/>
      <c r="AC1836" s="84"/>
      <c r="AD1836" s="84"/>
      <c r="AE1836" s="84"/>
      <c r="AF1836" s="84"/>
      <c r="AG1836" s="84"/>
    </row>
    <row r="1837" spans="1:33" s="91" customFormat="1" ht="22.5" customHeight="1" x14ac:dyDescent="0.2">
      <c r="A1837" s="13">
        <f t="shared" si="69"/>
        <v>162</v>
      </c>
      <c r="B1837" s="11"/>
      <c r="C1837" s="82"/>
      <c r="D1837" s="1"/>
      <c r="E1837" s="83"/>
      <c r="F1837" s="83"/>
      <c r="G1837" s="84"/>
      <c r="H1837" s="85"/>
      <c r="I1837" s="1"/>
      <c r="J1837" s="5"/>
      <c r="K1837" s="5"/>
      <c r="L1837" s="4"/>
      <c r="M1837" s="4"/>
      <c r="N1837" s="82" t="s">
        <v>1464</v>
      </c>
      <c r="O1837" s="86">
        <v>1</v>
      </c>
      <c r="P1837" s="4"/>
      <c r="Q1837" s="4"/>
      <c r="R1837" s="47" t="s">
        <v>1965</v>
      </c>
      <c r="S1837" s="87" t="s">
        <v>1133</v>
      </c>
      <c r="T1837" s="88">
        <v>10.54</v>
      </c>
      <c r="U1837" s="89"/>
      <c r="V1837" s="4"/>
      <c r="W1837" s="4"/>
      <c r="X1837" s="9"/>
      <c r="Y1837" s="84"/>
      <c r="Z1837" s="90"/>
      <c r="AA1837" s="84"/>
      <c r="AB1837" s="84"/>
      <c r="AC1837" s="84"/>
      <c r="AD1837" s="84"/>
      <c r="AF1837" s="84"/>
      <c r="AG1837" s="84"/>
    </row>
    <row r="1838" spans="1:33" s="91" customFormat="1" ht="48.75" customHeight="1" x14ac:dyDescent="0.2">
      <c r="A1838" s="13">
        <f t="shared" si="69"/>
        <v>162</v>
      </c>
      <c r="B1838" s="11"/>
      <c r="C1838" s="82"/>
      <c r="D1838" s="1"/>
      <c r="E1838" s="83"/>
      <c r="F1838" s="83"/>
      <c r="G1838" s="84"/>
      <c r="H1838" s="85"/>
      <c r="I1838" s="1"/>
      <c r="J1838" s="5"/>
      <c r="K1838" s="5"/>
      <c r="L1838" s="4"/>
      <c r="M1838" s="4"/>
      <c r="N1838" s="82" t="s">
        <v>1466</v>
      </c>
      <c r="O1838" s="86">
        <v>1</v>
      </c>
      <c r="P1838" s="4"/>
      <c r="Q1838" s="4"/>
      <c r="R1838" s="82" t="s">
        <v>2002</v>
      </c>
      <c r="S1838" s="87" t="s">
        <v>1133</v>
      </c>
      <c r="T1838" s="88">
        <v>2.21</v>
      </c>
      <c r="U1838" s="89"/>
      <c r="V1838" s="4"/>
      <c r="W1838" s="4"/>
      <c r="X1838" s="9"/>
      <c r="Y1838" s="84"/>
      <c r="Z1838" s="90"/>
      <c r="AA1838" s="84"/>
      <c r="AB1838" s="84"/>
      <c r="AC1838" s="84"/>
      <c r="AD1838" s="84"/>
      <c r="AE1838" s="84"/>
      <c r="AF1838" s="84"/>
      <c r="AG1838" s="84"/>
    </row>
    <row r="1839" spans="1:33" s="91" customFormat="1" ht="49.5" customHeight="1" x14ac:dyDescent="0.2">
      <c r="A1839" s="13">
        <f t="shared" si="69"/>
        <v>162</v>
      </c>
      <c r="B1839" s="11"/>
      <c r="C1839" s="82"/>
      <c r="D1839" s="1"/>
      <c r="E1839" s="83"/>
      <c r="F1839" s="83"/>
      <c r="G1839" s="84"/>
      <c r="H1839" s="85"/>
      <c r="I1839" s="1"/>
      <c r="J1839" s="5"/>
      <c r="K1839" s="5"/>
      <c r="L1839" s="4"/>
      <c r="M1839" s="4"/>
      <c r="N1839" s="82" t="s">
        <v>1467</v>
      </c>
      <c r="O1839" s="86">
        <v>1</v>
      </c>
      <c r="P1839" s="4"/>
      <c r="Q1839" s="4"/>
      <c r="R1839" s="82" t="s">
        <v>2003</v>
      </c>
      <c r="S1839" s="87" t="s">
        <v>1133</v>
      </c>
      <c r="T1839" s="88">
        <v>2.8499999999999996</v>
      </c>
      <c r="U1839" s="89"/>
      <c r="V1839" s="4"/>
      <c r="W1839" s="4"/>
      <c r="X1839" s="9"/>
      <c r="Y1839" s="84"/>
      <c r="Z1839" s="90"/>
      <c r="AA1839" s="84"/>
      <c r="AB1839" s="84"/>
      <c r="AC1839" s="84"/>
      <c r="AD1839" s="84"/>
      <c r="AE1839" s="84"/>
      <c r="AF1839" s="84"/>
      <c r="AG1839" s="84"/>
    </row>
    <row r="1840" spans="1:33" s="91" customFormat="1" ht="34.5" customHeight="1" x14ac:dyDescent="0.2">
      <c r="A1840" s="13">
        <f t="shared" si="69"/>
        <v>162</v>
      </c>
      <c r="B1840" s="11"/>
      <c r="C1840" s="82"/>
      <c r="D1840" s="1"/>
      <c r="E1840" s="83"/>
      <c r="F1840" s="83"/>
      <c r="G1840" s="84"/>
      <c r="H1840" s="85"/>
      <c r="I1840" s="1"/>
      <c r="J1840" s="5"/>
      <c r="K1840" s="5"/>
      <c r="L1840" s="4"/>
      <c r="M1840" s="4"/>
      <c r="N1840" s="82" t="s">
        <v>1353</v>
      </c>
      <c r="O1840" s="86">
        <v>2</v>
      </c>
      <c r="P1840" s="4"/>
      <c r="Q1840" s="4"/>
      <c r="R1840" s="82" t="s">
        <v>2004</v>
      </c>
      <c r="S1840" s="87" t="s">
        <v>1133</v>
      </c>
      <c r="T1840" s="88">
        <v>133.19999999999999</v>
      </c>
      <c r="U1840" s="89"/>
      <c r="V1840" s="4"/>
      <c r="W1840" s="4"/>
      <c r="X1840" s="9"/>
      <c r="Y1840" s="84"/>
      <c r="Z1840" s="90"/>
      <c r="AA1840" s="84"/>
      <c r="AB1840" s="84"/>
      <c r="AC1840" s="84"/>
      <c r="AD1840" s="84"/>
      <c r="AE1840" s="84"/>
      <c r="AF1840" s="84"/>
      <c r="AG1840" s="84"/>
    </row>
    <row r="1841" spans="1:33" s="91" customFormat="1" ht="34.5" customHeight="1" x14ac:dyDescent="0.2">
      <c r="A1841" s="13">
        <f t="shared" si="69"/>
        <v>162</v>
      </c>
      <c r="B1841" s="11"/>
      <c r="C1841" s="82"/>
      <c r="D1841" s="1"/>
      <c r="E1841" s="83"/>
      <c r="F1841" s="83"/>
      <c r="G1841" s="84"/>
      <c r="H1841" s="85"/>
      <c r="I1841" s="1"/>
      <c r="J1841" s="5"/>
      <c r="K1841" s="5"/>
      <c r="L1841" s="4"/>
      <c r="M1841" s="4"/>
      <c r="N1841" s="82" t="s">
        <v>1431</v>
      </c>
      <c r="O1841" s="86">
        <v>1</v>
      </c>
      <c r="P1841" s="4"/>
      <c r="Q1841" s="4"/>
      <c r="R1841" s="82" t="s">
        <v>2005</v>
      </c>
      <c r="S1841" s="87" t="s">
        <v>1133</v>
      </c>
      <c r="T1841" s="88">
        <v>11</v>
      </c>
      <c r="U1841" s="89"/>
      <c r="V1841" s="4"/>
      <c r="W1841" s="4"/>
      <c r="X1841" s="9"/>
      <c r="Y1841" s="84"/>
      <c r="Z1841" s="90"/>
      <c r="AA1841" s="84"/>
      <c r="AB1841" s="84"/>
      <c r="AC1841" s="84"/>
      <c r="AD1841" s="84"/>
      <c r="AE1841" s="84"/>
      <c r="AF1841" s="84"/>
      <c r="AG1841" s="84"/>
    </row>
    <row r="1842" spans="1:33" s="91" customFormat="1" ht="34.5" customHeight="1" x14ac:dyDescent="0.2">
      <c r="A1842" s="13">
        <f t="shared" si="69"/>
        <v>162</v>
      </c>
      <c r="B1842" s="11"/>
      <c r="C1842" s="82"/>
      <c r="D1842" s="1"/>
      <c r="E1842" s="83"/>
      <c r="F1842" s="83"/>
      <c r="G1842" s="84"/>
      <c r="H1842" s="85"/>
      <c r="I1842" s="1"/>
      <c r="J1842" s="5"/>
      <c r="K1842" s="5"/>
      <c r="L1842" s="4"/>
      <c r="M1842" s="4"/>
      <c r="N1842" s="82" t="s">
        <v>727</v>
      </c>
      <c r="O1842" s="86">
        <v>1</v>
      </c>
      <c r="P1842" s="4"/>
      <c r="Q1842" s="4"/>
      <c r="R1842" s="82" t="s">
        <v>2006</v>
      </c>
      <c r="S1842" s="87" t="s">
        <v>1133</v>
      </c>
      <c r="T1842" s="88">
        <v>123</v>
      </c>
      <c r="U1842" s="89"/>
      <c r="V1842" s="4"/>
      <c r="W1842" s="4"/>
      <c r="X1842" s="9"/>
      <c r="Y1842" s="84"/>
      <c r="Z1842" s="90"/>
      <c r="AA1842" s="84"/>
      <c r="AB1842" s="84"/>
      <c r="AC1842" s="84"/>
      <c r="AD1842" s="84"/>
      <c r="AE1842" s="84"/>
      <c r="AF1842" s="84"/>
      <c r="AG1842" s="84"/>
    </row>
    <row r="1843" spans="1:33" s="91" customFormat="1" ht="27.75" customHeight="1" x14ac:dyDescent="0.2">
      <c r="A1843" s="13">
        <f t="shared" si="69"/>
        <v>162</v>
      </c>
      <c r="B1843" s="11"/>
      <c r="C1843" s="82"/>
      <c r="D1843" s="1"/>
      <c r="E1843" s="83"/>
      <c r="F1843" s="83"/>
      <c r="G1843" s="84"/>
      <c r="H1843" s="85"/>
      <c r="I1843" s="1"/>
      <c r="J1843" s="5"/>
      <c r="K1843" s="5"/>
      <c r="L1843" s="4"/>
      <c r="M1843" s="4"/>
      <c r="N1843" s="82" t="s">
        <v>754</v>
      </c>
      <c r="O1843" s="86">
        <v>6</v>
      </c>
      <c r="P1843" s="4"/>
      <c r="Q1843" s="4"/>
      <c r="R1843" s="82"/>
      <c r="S1843" s="87"/>
      <c r="T1843" s="88"/>
      <c r="U1843" s="89"/>
      <c r="V1843" s="4"/>
      <c r="W1843" s="4"/>
      <c r="X1843" s="9"/>
      <c r="Y1843" s="84"/>
      <c r="Z1843" s="90"/>
      <c r="AA1843" s="84"/>
      <c r="AB1843" s="84"/>
      <c r="AC1843" s="84"/>
      <c r="AD1843" s="84"/>
      <c r="AE1843" s="84"/>
      <c r="AF1843" s="84"/>
      <c r="AG1843" s="84"/>
    </row>
    <row r="1844" spans="1:33" s="91" customFormat="1" ht="27.75" customHeight="1" x14ac:dyDescent="0.2">
      <c r="A1844" s="13">
        <f t="shared" si="69"/>
        <v>162</v>
      </c>
      <c r="B1844" s="11"/>
      <c r="C1844" s="82"/>
      <c r="D1844" s="1"/>
      <c r="E1844" s="83"/>
      <c r="F1844" s="83"/>
      <c r="G1844" s="84"/>
      <c r="H1844" s="85"/>
      <c r="I1844" s="1"/>
      <c r="J1844" s="5"/>
      <c r="K1844" s="5"/>
      <c r="L1844" s="4"/>
      <c r="M1844" s="4"/>
      <c r="N1844" s="82" t="s">
        <v>744</v>
      </c>
      <c r="O1844" s="86">
        <v>1</v>
      </c>
      <c r="P1844" s="4"/>
      <c r="Q1844" s="4"/>
      <c r="R1844" s="82"/>
      <c r="S1844" s="87"/>
      <c r="T1844" s="88"/>
      <c r="U1844" s="89"/>
      <c r="V1844" s="4"/>
      <c r="W1844" s="4"/>
      <c r="X1844" s="9"/>
      <c r="Y1844" s="84"/>
      <c r="Z1844" s="90"/>
      <c r="AA1844" s="84"/>
      <c r="AB1844" s="84"/>
      <c r="AC1844" s="84"/>
      <c r="AD1844" s="84"/>
      <c r="AE1844" s="84"/>
      <c r="AF1844" s="84"/>
      <c r="AG1844" s="84"/>
    </row>
    <row r="1845" spans="1:33" s="91" customFormat="1" ht="27.75" customHeight="1" x14ac:dyDescent="0.2">
      <c r="A1845" s="13">
        <f t="shared" si="69"/>
        <v>162</v>
      </c>
      <c r="B1845" s="11"/>
      <c r="C1845" s="82"/>
      <c r="D1845" s="1"/>
      <c r="E1845" s="83"/>
      <c r="F1845" s="83"/>
      <c r="G1845" s="84"/>
      <c r="H1845" s="85"/>
      <c r="I1845" s="1"/>
      <c r="J1845" s="5"/>
      <c r="K1845" s="5"/>
      <c r="L1845" s="4"/>
      <c r="M1845" s="4"/>
      <c r="N1845" s="16" t="s">
        <v>429</v>
      </c>
      <c r="O1845" s="86">
        <v>32</v>
      </c>
      <c r="P1845" s="4"/>
      <c r="Q1845" s="4"/>
      <c r="R1845" s="82"/>
      <c r="S1845" s="87"/>
      <c r="T1845" s="88"/>
      <c r="U1845" s="89"/>
      <c r="V1845" s="4"/>
      <c r="W1845" s="4"/>
      <c r="X1845" s="9"/>
      <c r="Y1845" s="84"/>
      <c r="Z1845" s="90"/>
      <c r="AA1845" s="84"/>
      <c r="AB1845" s="84"/>
      <c r="AC1845" s="84"/>
      <c r="AD1845" s="84"/>
      <c r="AE1845" s="84"/>
      <c r="AF1845" s="84"/>
      <c r="AG1845" s="84"/>
    </row>
    <row r="1846" spans="1:33" s="91" customFormat="1" ht="27.75" customHeight="1" x14ac:dyDescent="0.2">
      <c r="A1846" s="13">
        <f t="shared" si="69"/>
        <v>162</v>
      </c>
      <c r="B1846" s="11"/>
      <c r="C1846" s="82"/>
      <c r="D1846" s="1"/>
      <c r="E1846" s="83"/>
      <c r="F1846" s="83"/>
      <c r="G1846" s="84"/>
      <c r="H1846" s="85"/>
      <c r="I1846" s="1"/>
      <c r="J1846" s="5"/>
      <c r="K1846" s="5"/>
      <c r="L1846" s="4"/>
      <c r="M1846" s="4"/>
      <c r="N1846" s="82" t="s">
        <v>1427</v>
      </c>
      <c r="O1846" s="86">
        <v>2</v>
      </c>
      <c r="P1846" s="4"/>
      <c r="Q1846" s="4"/>
      <c r="R1846" s="82"/>
      <c r="S1846" s="87"/>
      <c r="T1846" s="88"/>
      <c r="U1846" s="89"/>
      <c r="V1846" s="4"/>
      <c r="W1846" s="4"/>
      <c r="X1846" s="9"/>
      <c r="Y1846" s="84"/>
      <c r="Z1846" s="90"/>
      <c r="AA1846" s="84"/>
      <c r="AB1846" s="84"/>
      <c r="AC1846" s="84"/>
      <c r="AD1846" s="84"/>
      <c r="AE1846" s="84"/>
      <c r="AF1846" s="84"/>
      <c r="AG1846" s="84"/>
    </row>
    <row r="1847" spans="1:33" s="91" customFormat="1" ht="27.75" customHeight="1" x14ac:dyDescent="0.2">
      <c r="A1847" s="13">
        <f t="shared" si="69"/>
        <v>162</v>
      </c>
      <c r="B1847" s="11"/>
      <c r="C1847" s="82"/>
      <c r="D1847" s="1"/>
      <c r="E1847" s="83"/>
      <c r="F1847" s="83"/>
      <c r="G1847" s="84"/>
      <c r="H1847" s="85"/>
      <c r="I1847" s="1"/>
      <c r="J1847" s="5"/>
      <c r="K1847" s="5"/>
      <c r="L1847" s="4"/>
      <c r="M1847" s="4"/>
      <c r="N1847" s="82" t="s">
        <v>401</v>
      </c>
      <c r="O1847" s="86">
        <v>46</v>
      </c>
      <c r="P1847" s="4"/>
      <c r="Q1847" s="4"/>
      <c r="R1847" s="82"/>
      <c r="S1847" s="87"/>
      <c r="T1847" s="88"/>
      <c r="U1847" s="89"/>
      <c r="V1847" s="4"/>
      <c r="W1847" s="4"/>
      <c r="X1847" s="9"/>
      <c r="Y1847" s="84"/>
      <c r="Z1847" s="90"/>
      <c r="AA1847" s="84"/>
      <c r="AB1847" s="84"/>
      <c r="AC1847" s="84"/>
      <c r="AD1847" s="84"/>
      <c r="AE1847" s="84"/>
      <c r="AF1847" s="84"/>
      <c r="AG1847" s="84"/>
    </row>
    <row r="1848" spans="1:33" s="91" customFormat="1" ht="35.25" customHeight="1" x14ac:dyDescent="0.2">
      <c r="A1848" s="13">
        <f t="shared" si="69"/>
        <v>162</v>
      </c>
      <c r="B1848" s="11"/>
      <c r="C1848" s="82"/>
      <c r="D1848" s="1"/>
      <c r="E1848" s="83"/>
      <c r="F1848" s="83"/>
      <c r="G1848" s="84"/>
      <c r="H1848" s="85"/>
      <c r="I1848" s="1"/>
      <c r="J1848" s="5"/>
      <c r="K1848" s="5"/>
      <c r="L1848" s="4"/>
      <c r="M1848" s="4"/>
      <c r="N1848" s="82" t="s">
        <v>1468</v>
      </c>
      <c r="O1848" s="86">
        <v>808</v>
      </c>
      <c r="P1848" s="4"/>
      <c r="Q1848" s="4"/>
      <c r="R1848" s="82"/>
      <c r="S1848" s="87"/>
      <c r="T1848" s="88"/>
      <c r="U1848" s="89"/>
      <c r="V1848" s="4"/>
      <c r="W1848" s="4"/>
      <c r="X1848" s="9"/>
      <c r="Y1848" s="84"/>
      <c r="Z1848" s="90"/>
      <c r="AA1848" s="84"/>
      <c r="AB1848" s="84"/>
      <c r="AC1848" s="84"/>
      <c r="AD1848" s="84"/>
      <c r="AE1848" s="84"/>
      <c r="AF1848" s="84"/>
      <c r="AG1848" s="84"/>
    </row>
    <row r="1849" spans="1:33" s="91" customFormat="1" ht="12.75" x14ac:dyDescent="0.2">
      <c r="A1849" s="13">
        <f t="shared" si="69"/>
        <v>162</v>
      </c>
      <c r="B1849" s="11"/>
      <c r="C1849" s="82"/>
      <c r="D1849" s="1"/>
      <c r="E1849" s="83"/>
      <c r="F1849" s="83"/>
      <c r="G1849" s="84"/>
      <c r="H1849" s="85"/>
      <c r="I1849" s="1"/>
      <c r="J1849" s="5"/>
      <c r="K1849" s="5"/>
      <c r="L1849" s="4"/>
      <c r="M1849" s="4"/>
      <c r="N1849" s="82"/>
      <c r="O1849" s="86"/>
      <c r="P1849" s="4"/>
      <c r="Q1849" s="4"/>
      <c r="R1849" s="82"/>
      <c r="S1849" s="87"/>
      <c r="T1849" s="88"/>
      <c r="U1849" s="89"/>
      <c r="V1849" s="4"/>
      <c r="W1849" s="4"/>
      <c r="X1849" s="9"/>
      <c r="Y1849" s="84"/>
      <c r="Z1849" s="90"/>
      <c r="AA1849" s="84"/>
      <c r="AB1849" s="84"/>
      <c r="AC1849" s="84"/>
      <c r="AD1849" s="84"/>
      <c r="AE1849" s="84"/>
      <c r="AF1849" s="84"/>
      <c r="AG1849" s="84"/>
    </row>
    <row r="1850" spans="1:33" s="91" customFormat="1" ht="12.75" x14ac:dyDescent="0.2">
      <c r="A1850" s="13">
        <f t="shared" si="69"/>
        <v>162</v>
      </c>
      <c r="B1850" s="11"/>
      <c r="C1850" s="82"/>
      <c r="D1850" s="1"/>
      <c r="E1850" s="83"/>
      <c r="F1850" s="83"/>
      <c r="G1850" s="84"/>
      <c r="H1850" s="85"/>
      <c r="I1850" s="1"/>
      <c r="J1850" s="5"/>
      <c r="K1850" s="5"/>
      <c r="L1850" s="4"/>
      <c r="M1850" s="4"/>
      <c r="N1850" s="82"/>
      <c r="O1850" s="86"/>
      <c r="P1850" s="4"/>
      <c r="Q1850" s="4"/>
      <c r="R1850" s="82"/>
      <c r="S1850" s="87"/>
      <c r="T1850" s="88"/>
      <c r="U1850" s="89"/>
      <c r="V1850" s="4"/>
      <c r="W1850" s="4"/>
      <c r="X1850" s="9"/>
      <c r="Y1850" s="84"/>
      <c r="Z1850" s="90"/>
      <c r="AA1850" s="84"/>
      <c r="AB1850" s="84"/>
      <c r="AC1850" s="84"/>
      <c r="AD1850" s="84"/>
      <c r="AE1850" s="1"/>
      <c r="AF1850" s="1"/>
      <c r="AG1850" s="1"/>
    </row>
    <row r="1851" spans="1:33" s="91" customFormat="1" ht="12.75" x14ac:dyDescent="0.2">
      <c r="A1851" s="13">
        <f t="shared" si="69"/>
        <v>162</v>
      </c>
      <c r="B1851" s="11"/>
      <c r="C1851" s="82"/>
      <c r="D1851" s="1"/>
      <c r="E1851" s="83"/>
      <c r="F1851" s="83"/>
      <c r="G1851" s="84"/>
      <c r="H1851" s="85"/>
      <c r="I1851" s="1"/>
      <c r="J1851" s="5"/>
      <c r="K1851" s="5"/>
      <c r="L1851" s="4"/>
      <c r="M1851" s="4"/>
      <c r="N1851" s="82"/>
      <c r="O1851" s="86"/>
      <c r="P1851" s="4"/>
      <c r="Q1851" s="4"/>
      <c r="R1851" s="82"/>
      <c r="S1851" s="87"/>
      <c r="T1851" s="88"/>
      <c r="U1851" s="89"/>
      <c r="V1851" s="4"/>
      <c r="W1851" s="4"/>
      <c r="X1851" s="9"/>
      <c r="Y1851" s="84"/>
      <c r="Z1851" s="90"/>
      <c r="AA1851" s="84"/>
      <c r="AB1851" s="84"/>
      <c r="AC1851" s="84"/>
      <c r="AD1851" s="84"/>
      <c r="AE1851" s="84"/>
      <c r="AF1851" s="84"/>
      <c r="AG1851" s="84"/>
    </row>
    <row r="1852" spans="1:33" s="91" customFormat="1" ht="12.75" x14ac:dyDescent="0.2">
      <c r="A1852" s="13">
        <f t="shared" si="69"/>
        <v>162</v>
      </c>
      <c r="B1852" s="11"/>
      <c r="C1852" s="82"/>
      <c r="D1852" s="1"/>
      <c r="E1852" s="83"/>
      <c r="F1852" s="83"/>
      <c r="G1852" s="84"/>
      <c r="H1852" s="85"/>
      <c r="I1852" s="1"/>
      <c r="J1852" s="5"/>
      <c r="K1852" s="5"/>
      <c r="L1852" s="4"/>
      <c r="M1852" s="4"/>
      <c r="N1852" s="82"/>
      <c r="O1852" s="86"/>
      <c r="P1852" s="4"/>
      <c r="Q1852" s="4"/>
      <c r="R1852" s="82"/>
      <c r="S1852" s="87"/>
      <c r="T1852" s="88"/>
      <c r="U1852" s="89"/>
      <c r="V1852" s="4"/>
      <c r="W1852" s="4"/>
      <c r="X1852" s="9"/>
      <c r="Y1852" s="84"/>
      <c r="Z1852" s="90"/>
      <c r="AA1852" s="84"/>
      <c r="AB1852" s="84"/>
      <c r="AC1852" s="84"/>
      <c r="AD1852" s="84"/>
      <c r="AE1852" s="84"/>
      <c r="AF1852" s="84"/>
      <c r="AG1852" s="84"/>
    </row>
    <row r="1853" spans="1:33" s="91" customFormat="1" ht="12.75" x14ac:dyDescent="0.2">
      <c r="A1853" s="13">
        <f t="shared" si="69"/>
        <v>162</v>
      </c>
      <c r="B1853" s="11"/>
      <c r="C1853" s="82"/>
      <c r="D1853" s="1"/>
      <c r="E1853" s="83"/>
      <c r="F1853" s="83"/>
      <c r="G1853" s="84"/>
      <c r="H1853" s="85"/>
      <c r="I1853" s="1"/>
      <c r="J1853" s="5"/>
      <c r="K1853" s="5"/>
      <c r="L1853" s="4"/>
      <c r="M1853" s="4"/>
      <c r="N1853" s="82"/>
      <c r="O1853" s="86"/>
      <c r="P1853" s="4"/>
      <c r="Q1853" s="4"/>
      <c r="R1853" s="82"/>
      <c r="S1853" s="87"/>
      <c r="T1853" s="88"/>
      <c r="U1853" s="89"/>
      <c r="V1853" s="4"/>
      <c r="W1853" s="4"/>
      <c r="X1853" s="9"/>
      <c r="Y1853" s="84"/>
      <c r="Z1853" s="90"/>
      <c r="AA1853" s="84"/>
      <c r="AB1853" s="84"/>
      <c r="AC1853" s="84"/>
      <c r="AD1853" s="84"/>
      <c r="AE1853" s="84"/>
      <c r="AF1853" s="84"/>
      <c r="AG1853" s="84"/>
    </row>
    <row r="1854" spans="1:33" s="91" customFormat="1" ht="38.25" x14ac:dyDescent="0.2">
      <c r="A1854" s="13">
        <f t="shared" si="69"/>
        <v>163</v>
      </c>
      <c r="B1854" s="11">
        <v>163</v>
      </c>
      <c r="C1854" s="92" t="s">
        <v>1469</v>
      </c>
      <c r="D1854" s="1"/>
      <c r="E1854" s="87">
        <v>86</v>
      </c>
      <c r="F1854" s="87">
        <v>716</v>
      </c>
      <c r="G1854" s="84" t="s">
        <v>1206</v>
      </c>
      <c r="H1854" s="85">
        <v>85.8</v>
      </c>
      <c r="I1854" s="18"/>
      <c r="J1854" s="5"/>
      <c r="K1854" s="5"/>
      <c r="L1854" s="4"/>
      <c r="M1854" s="4"/>
      <c r="N1854" s="82" t="s">
        <v>61</v>
      </c>
      <c r="O1854" s="86">
        <v>3</v>
      </c>
      <c r="P1854" s="4"/>
      <c r="Q1854" s="4"/>
      <c r="R1854" s="47" t="s">
        <v>1763</v>
      </c>
      <c r="S1854" s="87" t="s">
        <v>1133</v>
      </c>
      <c r="T1854" s="88">
        <v>26.5</v>
      </c>
      <c r="U1854" s="89"/>
      <c r="V1854" s="4"/>
      <c r="W1854" s="4"/>
      <c r="X1854" s="89" t="s">
        <v>1138</v>
      </c>
      <c r="Y1854" s="32" t="s">
        <v>1139</v>
      </c>
      <c r="Z1854" s="32" t="s">
        <v>56</v>
      </c>
      <c r="AA1854" s="32" t="s">
        <v>269</v>
      </c>
      <c r="AB1854" s="45" t="s">
        <v>1138</v>
      </c>
      <c r="AC1854" s="84"/>
      <c r="AD1854" s="84"/>
      <c r="AE1854" s="84" t="s">
        <v>1470</v>
      </c>
      <c r="AF1854" s="84"/>
      <c r="AG1854" s="84"/>
    </row>
    <row r="1855" spans="1:33" s="91" customFormat="1" ht="39.75" customHeight="1" x14ac:dyDescent="0.2">
      <c r="A1855" s="13">
        <f t="shared" si="69"/>
        <v>163</v>
      </c>
      <c r="B1855" s="11"/>
      <c r="C1855" s="82" t="s">
        <v>1471</v>
      </c>
      <c r="D1855" s="1"/>
      <c r="E1855" s="87"/>
      <c r="F1855" s="87"/>
      <c r="G1855" s="84"/>
      <c r="H1855" s="85"/>
      <c r="I1855" s="18"/>
      <c r="J1855" s="5"/>
      <c r="K1855" s="5"/>
      <c r="L1855" s="4"/>
      <c r="M1855" s="4"/>
      <c r="N1855" s="82" t="s">
        <v>69</v>
      </c>
      <c r="O1855" s="86">
        <v>1</v>
      </c>
      <c r="P1855" s="4"/>
      <c r="Q1855" s="4"/>
      <c r="R1855" s="47" t="s">
        <v>2007</v>
      </c>
      <c r="S1855" s="87" t="s">
        <v>1133</v>
      </c>
      <c r="T1855" s="88">
        <v>8.19</v>
      </c>
      <c r="U1855" s="89"/>
      <c r="V1855" s="4"/>
      <c r="W1855" s="4"/>
      <c r="X1855" s="32"/>
      <c r="Y1855" s="32" t="s">
        <v>1263</v>
      </c>
      <c r="Z1855" s="32" t="s">
        <v>1262</v>
      </c>
      <c r="AA1855" s="32" t="s">
        <v>269</v>
      </c>
      <c r="AB1855" s="45" t="s">
        <v>1264</v>
      </c>
      <c r="AC1855" s="84"/>
      <c r="AD1855" s="84"/>
      <c r="AE1855" s="84" t="s">
        <v>1472</v>
      </c>
      <c r="AF1855" s="84"/>
      <c r="AG1855" s="84"/>
    </row>
    <row r="1856" spans="1:33" s="91" customFormat="1" ht="50.25" customHeight="1" x14ac:dyDescent="0.2">
      <c r="A1856" s="13">
        <f t="shared" si="69"/>
        <v>163</v>
      </c>
      <c r="B1856" s="11"/>
      <c r="C1856" s="82" t="s">
        <v>1636</v>
      </c>
      <c r="D1856" s="1"/>
      <c r="E1856" s="83"/>
      <c r="F1856" s="83"/>
      <c r="G1856" s="84"/>
      <c r="H1856" s="85"/>
      <c r="I1856" s="18"/>
      <c r="J1856" s="5"/>
      <c r="K1856" s="5"/>
      <c r="L1856" s="4"/>
      <c r="M1856" s="4"/>
      <c r="N1856" s="82" t="s">
        <v>77</v>
      </c>
      <c r="O1856" s="86">
        <v>1</v>
      </c>
      <c r="P1856" s="4"/>
      <c r="Q1856" s="4"/>
      <c r="R1856" s="47" t="s">
        <v>2008</v>
      </c>
      <c r="S1856" s="87" t="s">
        <v>1133</v>
      </c>
      <c r="T1856" s="88">
        <v>29.51</v>
      </c>
      <c r="U1856" s="89"/>
      <c r="V1856" s="4"/>
      <c r="W1856" s="4"/>
      <c r="X1856" s="9"/>
      <c r="Y1856" s="84"/>
      <c r="Z1856" s="90"/>
      <c r="AA1856" s="84"/>
      <c r="AB1856" s="84"/>
      <c r="AC1856" s="84"/>
      <c r="AD1856" s="84"/>
      <c r="AE1856" s="84" t="s">
        <v>1473</v>
      </c>
      <c r="AF1856" s="84"/>
      <c r="AG1856" s="84"/>
    </row>
    <row r="1857" spans="1:33" s="91" customFormat="1" ht="33" customHeight="1" x14ac:dyDescent="0.2">
      <c r="A1857" s="13">
        <f t="shared" si="69"/>
        <v>163</v>
      </c>
      <c r="B1857" s="11"/>
      <c r="C1857" s="82"/>
      <c r="D1857" s="1"/>
      <c r="E1857" s="83"/>
      <c r="F1857" s="83"/>
      <c r="G1857" s="84"/>
      <c r="H1857" s="85"/>
      <c r="I1857" s="18"/>
      <c r="J1857" s="5"/>
      <c r="K1857" s="5"/>
      <c r="L1857" s="4"/>
      <c r="M1857" s="4"/>
      <c r="N1857" s="82" t="s">
        <v>72</v>
      </c>
      <c r="O1857" s="86">
        <v>4</v>
      </c>
      <c r="P1857" s="4"/>
      <c r="Q1857" s="4"/>
      <c r="R1857" s="47" t="s">
        <v>1921</v>
      </c>
      <c r="S1857" s="87" t="s">
        <v>1133</v>
      </c>
      <c r="T1857" s="88">
        <v>15.6</v>
      </c>
      <c r="U1857" s="89"/>
      <c r="V1857" s="4"/>
      <c r="W1857" s="4"/>
      <c r="X1857" s="9"/>
      <c r="Y1857" s="84"/>
      <c r="Z1857" s="90"/>
      <c r="AA1857" s="84"/>
      <c r="AB1857" s="84"/>
      <c r="AC1857" s="84"/>
      <c r="AD1857" s="84"/>
      <c r="AE1857" s="84" t="s">
        <v>1465</v>
      </c>
      <c r="AF1857" s="84"/>
      <c r="AG1857" s="84"/>
    </row>
    <row r="1858" spans="1:33" s="91" customFormat="1" ht="24.75" customHeight="1" x14ac:dyDescent="0.2">
      <c r="A1858" s="13">
        <f t="shared" ref="A1858:A1862" si="70">IF(B1858&lt;&gt;0,B1858,A1857)</f>
        <v>163</v>
      </c>
      <c r="B1858" s="11"/>
      <c r="C1858" s="82"/>
      <c r="D1858" s="1"/>
      <c r="E1858" s="83"/>
      <c r="F1858" s="83"/>
      <c r="G1858" s="84"/>
      <c r="H1858" s="85"/>
      <c r="I1858" s="18"/>
      <c r="J1858" s="5"/>
      <c r="K1858" s="5"/>
      <c r="L1858" s="4"/>
      <c r="M1858" s="4"/>
      <c r="N1858" s="82" t="s">
        <v>73</v>
      </c>
      <c r="O1858" s="86">
        <v>6</v>
      </c>
      <c r="P1858" s="4"/>
      <c r="Q1858" s="4"/>
      <c r="R1858" s="47"/>
      <c r="S1858" s="87"/>
      <c r="T1858" s="88"/>
      <c r="U1858" s="89"/>
      <c r="V1858" s="4"/>
      <c r="W1858" s="4"/>
      <c r="X1858" s="9"/>
      <c r="Y1858" s="84"/>
      <c r="Z1858" s="90"/>
      <c r="AA1858" s="84"/>
      <c r="AB1858" s="84"/>
      <c r="AC1858" s="84"/>
      <c r="AD1858" s="84"/>
      <c r="AE1858" s="84"/>
      <c r="AF1858" s="84"/>
      <c r="AG1858" s="84"/>
    </row>
    <row r="1859" spans="1:33" s="91" customFormat="1" ht="24.75" customHeight="1" x14ac:dyDescent="0.2">
      <c r="A1859" s="13">
        <f t="shared" si="70"/>
        <v>163</v>
      </c>
      <c r="B1859" s="11"/>
      <c r="C1859" s="82"/>
      <c r="D1859" s="1"/>
      <c r="E1859" s="83"/>
      <c r="F1859" s="83"/>
      <c r="G1859" s="84"/>
      <c r="H1859" s="85"/>
      <c r="I1859" s="18"/>
      <c r="J1859" s="5"/>
      <c r="K1859" s="5"/>
      <c r="L1859" s="4"/>
      <c r="M1859" s="4"/>
      <c r="N1859" s="82" t="s">
        <v>75</v>
      </c>
      <c r="O1859" s="86">
        <v>7</v>
      </c>
      <c r="P1859" s="4"/>
      <c r="Q1859" s="4"/>
      <c r="R1859" s="47"/>
      <c r="S1859" s="87"/>
      <c r="T1859" s="88"/>
      <c r="U1859" s="89"/>
      <c r="V1859" s="4"/>
      <c r="W1859" s="4"/>
      <c r="X1859" s="9"/>
      <c r="Y1859" s="84"/>
      <c r="Z1859" s="90"/>
      <c r="AA1859" s="84"/>
      <c r="AB1859" s="84"/>
      <c r="AC1859" s="84"/>
      <c r="AD1859" s="84"/>
      <c r="AE1859" s="84"/>
      <c r="AF1859" s="84"/>
      <c r="AG1859" s="84"/>
    </row>
    <row r="1860" spans="1:33" s="91" customFormat="1" ht="24.75" customHeight="1" x14ac:dyDescent="0.2">
      <c r="A1860" s="13">
        <f t="shared" si="70"/>
        <v>163</v>
      </c>
      <c r="B1860" s="11"/>
      <c r="C1860" s="82"/>
      <c r="D1860" s="1"/>
      <c r="E1860" s="83"/>
      <c r="F1860" s="83"/>
      <c r="G1860" s="84"/>
      <c r="H1860" s="85"/>
      <c r="I1860" s="18"/>
      <c r="J1860" s="5"/>
      <c r="K1860" s="5"/>
      <c r="L1860" s="4"/>
      <c r="M1860" s="4"/>
      <c r="N1860" s="82" t="s">
        <v>754</v>
      </c>
      <c r="O1860" s="86">
        <v>4</v>
      </c>
      <c r="P1860" s="4"/>
      <c r="Q1860" s="4"/>
      <c r="R1860" s="47"/>
      <c r="S1860" s="87"/>
      <c r="T1860" s="88"/>
      <c r="U1860" s="89"/>
      <c r="V1860" s="4"/>
      <c r="W1860" s="4"/>
      <c r="X1860" s="9"/>
      <c r="Y1860" s="84"/>
      <c r="Z1860" s="90"/>
      <c r="AA1860" s="84"/>
      <c r="AB1860" s="84"/>
      <c r="AC1860" s="84"/>
      <c r="AD1860" s="84"/>
      <c r="AE1860" s="84"/>
      <c r="AF1860" s="84"/>
      <c r="AG1860" s="84"/>
    </row>
    <row r="1861" spans="1:33" s="91" customFormat="1" ht="29.25" customHeight="1" x14ac:dyDescent="0.2">
      <c r="A1861" s="13">
        <f t="shared" si="70"/>
        <v>163</v>
      </c>
      <c r="B1861" s="11"/>
      <c r="C1861" s="82"/>
      <c r="D1861" s="1"/>
      <c r="E1861" s="83"/>
      <c r="F1861" s="83"/>
      <c r="G1861" s="84"/>
      <c r="H1861" s="85"/>
      <c r="I1861" s="18"/>
      <c r="J1861" s="5"/>
      <c r="K1861" s="5"/>
      <c r="L1861" s="4"/>
      <c r="M1861" s="4"/>
      <c r="N1861" s="16" t="s">
        <v>429</v>
      </c>
      <c r="O1861" s="86">
        <v>10</v>
      </c>
      <c r="P1861" s="4"/>
      <c r="Q1861" s="4"/>
      <c r="R1861" s="47"/>
      <c r="S1861" s="87"/>
      <c r="T1861" s="88"/>
      <c r="U1861" s="89"/>
      <c r="V1861" s="4"/>
      <c r="W1861" s="4"/>
      <c r="X1861" s="9"/>
      <c r="Y1861" s="84"/>
      <c r="Z1861" s="90"/>
      <c r="AA1861" s="84"/>
      <c r="AB1861" s="84"/>
      <c r="AC1861" s="84"/>
      <c r="AD1861" s="84"/>
      <c r="AE1861" s="84"/>
      <c r="AF1861" s="84"/>
      <c r="AG1861" s="84"/>
    </row>
    <row r="1862" spans="1:33" s="91" customFormat="1" ht="12.75" x14ac:dyDescent="0.2">
      <c r="A1862" s="13">
        <f t="shared" si="70"/>
        <v>163</v>
      </c>
      <c r="B1862" s="11"/>
      <c r="C1862" s="82"/>
      <c r="D1862" s="1"/>
      <c r="E1862" s="83"/>
      <c r="F1862" s="83"/>
      <c r="G1862" s="84"/>
      <c r="H1862" s="85"/>
      <c r="I1862" s="18"/>
      <c r="J1862" s="5"/>
      <c r="K1862" s="5"/>
      <c r="L1862" s="4"/>
      <c r="M1862" s="4"/>
      <c r="N1862" s="82"/>
      <c r="O1862" s="86"/>
      <c r="P1862" s="4"/>
      <c r="Q1862" s="4"/>
      <c r="R1862" s="47"/>
      <c r="S1862" s="87"/>
      <c r="T1862" s="88"/>
      <c r="U1862" s="89"/>
      <c r="V1862" s="4"/>
      <c r="W1862" s="4"/>
      <c r="X1862" s="9"/>
      <c r="Y1862" s="84"/>
      <c r="Z1862" s="90"/>
      <c r="AA1862" s="84"/>
      <c r="AB1862" s="84"/>
      <c r="AC1862" s="84"/>
      <c r="AD1862" s="84"/>
      <c r="AE1862" s="84"/>
      <c r="AF1862" s="84"/>
      <c r="AG1862" s="84"/>
    </row>
    <row r="1863" spans="1:33" s="91" customFormat="1" ht="12.75" x14ac:dyDescent="0.2">
      <c r="A1863" s="13" t="e">
        <f>IF(B1863&lt;&gt;0,B1863,#REF!)</f>
        <v>#REF!</v>
      </c>
      <c r="B1863" s="11"/>
      <c r="C1863" s="82"/>
      <c r="D1863" s="1"/>
      <c r="E1863" s="83"/>
      <c r="F1863" s="83"/>
      <c r="G1863" s="84"/>
      <c r="H1863" s="85"/>
      <c r="I1863" s="18"/>
      <c r="J1863" s="5"/>
      <c r="K1863" s="5"/>
      <c r="L1863" s="4"/>
      <c r="M1863" s="4"/>
      <c r="N1863" s="82"/>
      <c r="O1863" s="86"/>
      <c r="P1863" s="4"/>
      <c r="Q1863" s="4"/>
      <c r="R1863" s="47"/>
      <c r="S1863" s="87"/>
      <c r="T1863" s="88"/>
      <c r="U1863" s="89"/>
      <c r="V1863" s="4"/>
      <c r="W1863" s="4"/>
      <c r="X1863" s="9"/>
      <c r="Y1863" s="84"/>
      <c r="Z1863" s="90"/>
      <c r="AA1863" s="84"/>
      <c r="AB1863" s="84"/>
      <c r="AC1863" s="84"/>
      <c r="AD1863" s="84"/>
      <c r="AE1863" s="84"/>
      <c r="AF1863" s="84"/>
      <c r="AG1863" s="84"/>
    </row>
    <row r="1864" spans="1:33" s="91" customFormat="1" ht="12.75" x14ac:dyDescent="0.2">
      <c r="A1864" s="13" t="e">
        <f t="shared" ref="A1864:A1927" si="71">IF(B1864&lt;&gt;0,B1864,A1863)</f>
        <v>#REF!</v>
      </c>
      <c r="B1864" s="11"/>
      <c r="C1864" s="82"/>
      <c r="D1864" s="1"/>
      <c r="E1864" s="83"/>
      <c r="F1864" s="83"/>
      <c r="G1864" s="84"/>
      <c r="H1864" s="85"/>
      <c r="I1864" s="18"/>
      <c r="J1864" s="5"/>
      <c r="K1864" s="5"/>
      <c r="L1864" s="4"/>
      <c r="M1864" s="4"/>
      <c r="N1864" s="82"/>
      <c r="O1864" s="86"/>
      <c r="P1864" s="4"/>
      <c r="Q1864" s="4"/>
      <c r="R1864" s="47"/>
      <c r="S1864" s="87"/>
      <c r="T1864" s="88"/>
      <c r="U1864" s="89"/>
      <c r="V1864" s="4"/>
      <c r="W1864" s="4"/>
      <c r="X1864" s="9"/>
      <c r="Y1864" s="84"/>
      <c r="Z1864" s="90"/>
      <c r="AA1864" s="84"/>
      <c r="AB1864" s="84"/>
      <c r="AC1864" s="84"/>
      <c r="AD1864" s="84"/>
      <c r="AE1864" s="84"/>
      <c r="AF1864" s="84"/>
      <c r="AG1864" s="84"/>
    </row>
    <row r="1865" spans="1:33" s="91" customFormat="1" ht="12.75" x14ac:dyDescent="0.2">
      <c r="A1865" s="13" t="e">
        <f t="shared" si="71"/>
        <v>#REF!</v>
      </c>
      <c r="B1865" s="11"/>
      <c r="C1865" s="82"/>
      <c r="D1865" s="1"/>
      <c r="E1865" s="83"/>
      <c r="F1865" s="83"/>
      <c r="G1865" s="84"/>
      <c r="H1865" s="85"/>
      <c r="I1865" s="18"/>
      <c r="J1865" s="5"/>
      <c r="K1865" s="5"/>
      <c r="L1865" s="4"/>
      <c r="M1865" s="4"/>
      <c r="N1865" s="82"/>
      <c r="O1865" s="86"/>
      <c r="P1865" s="4"/>
      <c r="Q1865" s="4"/>
      <c r="R1865" s="47"/>
      <c r="S1865" s="87"/>
      <c r="T1865" s="88"/>
      <c r="U1865" s="89"/>
      <c r="V1865" s="4"/>
      <c r="W1865" s="4"/>
      <c r="X1865" s="9"/>
      <c r="Y1865" s="84"/>
      <c r="Z1865" s="90"/>
      <c r="AA1865" s="84"/>
      <c r="AB1865" s="84"/>
      <c r="AC1865" s="84"/>
      <c r="AD1865" s="84"/>
      <c r="AE1865" s="84"/>
      <c r="AF1865" s="84"/>
      <c r="AG1865" s="84"/>
    </row>
    <row r="1866" spans="1:33" s="91" customFormat="1" ht="12.75" x14ac:dyDescent="0.2">
      <c r="A1866" s="13" t="e">
        <f t="shared" si="71"/>
        <v>#REF!</v>
      </c>
      <c r="B1866" s="11"/>
      <c r="C1866" s="82"/>
      <c r="D1866" s="1"/>
      <c r="E1866" s="83"/>
      <c r="F1866" s="83"/>
      <c r="G1866" s="84"/>
      <c r="H1866" s="85"/>
      <c r="I1866" s="1"/>
      <c r="J1866" s="5"/>
      <c r="K1866" s="5"/>
      <c r="L1866" s="4"/>
      <c r="M1866" s="4"/>
      <c r="N1866" s="82"/>
      <c r="O1866" s="86"/>
      <c r="P1866" s="4"/>
      <c r="Q1866" s="4"/>
      <c r="R1866" s="82"/>
      <c r="S1866" s="87"/>
      <c r="T1866" s="88"/>
      <c r="U1866" s="89"/>
      <c r="V1866" s="4"/>
      <c r="W1866" s="4"/>
      <c r="X1866" s="9"/>
      <c r="Y1866" s="84"/>
      <c r="Z1866" s="90"/>
      <c r="AA1866" s="84"/>
      <c r="AB1866" s="84"/>
      <c r="AC1866" s="84"/>
      <c r="AD1866" s="84"/>
      <c r="AE1866" s="84"/>
      <c r="AF1866" s="84"/>
      <c r="AG1866" s="84"/>
    </row>
    <row r="1867" spans="1:33" s="91" customFormat="1" ht="22.5" customHeight="1" x14ac:dyDescent="0.2">
      <c r="A1867" s="13">
        <f t="shared" si="71"/>
        <v>164</v>
      </c>
      <c r="B1867" s="11">
        <v>164</v>
      </c>
      <c r="C1867" s="92" t="s">
        <v>1474</v>
      </c>
      <c r="D1867" s="1"/>
      <c r="E1867" s="87"/>
      <c r="F1867" s="87"/>
      <c r="G1867" s="84"/>
      <c r="H1867" s="85"/>
      <c r="I1867" s="18"/>
      <c r="J1867" s="5"/>
      <c r="K1867" s="5"/>
      <c r="L1867" s="4"/>
      <c r="M1867" s="4"/>
      <c r="N1867" s="82"/>
      <c r="O1867" s="86"/>
      <c r="P1867" s="4"/>
      <c r="Q1867" s="4"/>
      <c r="R1867" s="47" t="s">
        <v>1838</v>
      </c>
      <c r="S1867" s="87" t="s">
        <v>1133</v>
      </c>
      <c r="T1867" s="88">
        <v>10.199999999999999</v>
      </c>
      <c r="U1867" s="89"/>
      <c r="V1867" s="4"/>
      <c r="W1867" s="4"/>
      <c r="X1867" s="158" t="s">
        <v>139</v>
      </c>
      <c r="Y1867" s="4" t="s">
        <v>1139</v>
      </c>
      <c r="Z1867" s="4" t="s">
        <v>56</v>
      </c>
      <c r="AA1867" s="32" t="s">
        <v>269</v>
      </c>
      <c r="AB1867" s="3" t="s">
        <v>139</v>
      </c>
      <c r="AC1867" s="84"/>
      <c r="AD1867" s="84"/>
      <c r="AE1867" s="84" t="s">
        <v>1475</v>
      </c>
      <c r="AF1867" s="84"/>
      <c r="AG1867" s="84"/>
    </row>
    <row r="1868" spans="1:33" s="91" customFormat="1" ht="31.5" customHeight="1" x14ac:dyDescent="0.2">
      <c r="A1868" s="13">
        <f t="shared" si="71"/>
        <v>164</v>
      </c>
      <c r="B1868" s="11"/>
      <c r="C1868" s="82" t="s">
        <v>1476</v>
      </c>
      <c r="D1868" s="1"/>
      <c r="E1868" s="87"/>
      <c r="F1868" s="87"/>
      <c r="G1868" s="84"/>
      <c r="H1868" s="85"/>
      <c r="I1868" s="18"/>
      <c r="J1868" s="5"/>
      <c r="K1868" s="5"/>
      <c r="L1868" s="4"/>
      <c r="M1868" s="4"/>
      <c r="N1868" s="82"/>
      <c r="O1868" s="86"/>
      <c r="P1868" s="4"/>
      <c r="Q1868" s="4"/>
      <c r="R1868" s="47" t="s">
        <v>2009</v>
      </c>
      <c r="S1868" s="87" t="s">
        <v>1133</v>
      </c>
      <c r="T1868" s="89">
        <v>2.4</v>
      </c>
      <c r="U1868" s="89"/>
      <c r="V1868" s="4"/>
      <c r="W1868" s="4"/>
      <c r="X1868" s="9"/>
      <c r="Y1868" s="84"/>
      <c r="Z1868" s="90"/>
      <c r="AA1868" s="84"/>
      <c r="AB1868" s="84"/>
      <c r="AC1868" s="84"/>
      <c r="AD1868" s="84"/>
      <c r="AE1868" s="84" t="s">
        <v>1477</v>
      </c>
      <c r="AF1868" s="84"/>
      <c r="AG1868" s="84"/>
    </row>
    <row r="1869" spans="1:33" s="91" customFormat="1" ht="38.25" x14ac:dyDescent="0.2">
      <c r="A1869" s="13">
        <f t="shared" si="71"/>
        <v>164</v>
      </c>
      <c r="B1869" s="11"/>
      <c r="C1869" s="82" t="s">
        <v>1637</v>
      </c>
      <c r="D1869" s="1"/>
      <c r="E1869" s="83"/>
      <c r="F1869" s="87"/>
      <c r="G1869" s="84"/>
      <c r="H1869" s="85"/>
      <c r="I1869" s="18"/>
      <c r="J1869" s="5"/>
      <c r="K1869" s="5"/>
      <c r="L1869" s="4"/>
      <c r="M1869" s="4"/>
      <c r="N1869" s="82"/>
      <c r="O1869" s="86"/>
      <c r="P1869" s="4"/>
      <c r="Q1869" s="4"/>
      <c r="R1869" s="47" t="s">
        <v>1980</v>
      </c>
      <c r="S1869" s="87" t="s">
        <v>1133</v>
      </c>
      <c r="T1869" s="88">
        <v>10.5</v>
      </c>
      <c r="U1869" s="89"/>
      <c r="V1869" s="4"/>
      <c r="W1869" s="4"/>
      <c r="X1869" s="9"/>
      <c r="Y1869" s="84"/>
      <c r="Z1869" s="90"/>
      <c r="AA1869" s="84"/>
      <c r="AB1869" s="84"/>
      <c r="AC1869" s="84"/>
      <c r="AD1869" s="84"/>
      <c r="AE1869" s="84"/>
      <c r="AF1869" s="84"/>
      <c r="AG1869" s="84"/>
    </row>
    <row r="1870" spans="1:33" s="91" customFormat="1" ht="42" customHeight="1" x14ac:dyDescent="0.2">
      <c r="A1870" s="13">
        <f t="shared" si="71"/>
        <v>164</v>
      </c>
      <c r="B1870" s="11"/>
      <c r="C1870" s="82"/>
      <c r="D1870" s="1"/>
      <c r="E1870" s="83"/>
      <c r="F1870" s="83"/>
      <c r="G1870" s="84"/>
      <c r="H1870" s="85"/>
      <c r="I1870" s="1"/>
      <c r="J1870" s="5"/>
      <c r="K1870" s="5"/>
      <c r="L1870" s="4"/>
      <c r="M1870" s="4"/>
      <c r="N1870" s="82"/>
      <c r="O1870" s="86"/>
      <c r="P1870" s="4"/>
      <c r="Q1870" s="4"/>
      <c r="R1870" s="82" t="s">
        <v>1978</v>
      </c>
      <c r="S1870" s="87" t="s">
        <v>1133</v>
      </c>
      <c r="T1870" s="88">
        <v>11.9</v>
      </c>
      <c r="U1870" s="89"/>
      <c r="V1870" s="4"/>
      <c r="W1870" s="4"/>
      <c r="X1870" s="9"/>
      <c r="Y1870" s="84"/>
      <c r="Z1870" s="90"/>
      <c r="AA1870" s="84"/>
      <c r="AB1870" s="84"/>
      <c r="AC1870" s="84"/>
      <c r="AD1870" s="84"/>
      <c r="AE1870" s="84"/>
      <c r="AF1870" s="84"/>
      <c r="AG1870" s="84"/>
    </row>
    <row r="1871" spans="1:33" s="91" customFormat="1" ht="33.75" customHeight="1" x14ac:dyDescent="0.2">
      <c r="A1871" s="13">
        <f t="shared" si="71"/>
        <v>164</v>
      </c>
      <c r="B1871" s="11"/>
      <c r="C1871" s="82"/>
      <c r="D1871" s="1"/>
      <c r="E1871" s="83"/>
      <c r="F1871" s="83"/>
      <c r="G1871" s="84"/>
      <c r="H1871" s="85"/>
      <c r="I1871" s="1"/>
      <c r="J1871" s="5"/>
      <c r="K1871" s="5"/>
      <c r="L1871" s="4"/>
      <c r="M1871" s="4"/>
      <c r="N1871" s="82"/>
      <c r="O1871" s="86"/>
      <c r="P1871" s="4"/>
      <c r="Q1871" s="4"/>
      <c r="R1871" s="82" t="s">
        <v>2010</v>
      </c>
      <c r="S1871" s="87" t="s">
        <v>1133</v>
      </c>
      <c r="T1871" s="88">
        <v>11.200000000000001</v>
      </c>
      <c r="U1871" s="89"/>
      <c r="V1871" s="4"/>
      <c r="W1871" s="4"/>
      <c r="X1871" s="9"/>
      <c r="Y1871" s="84"/>
      <c r="Z1871" s="90"/>
      <c r="AA1871" s="84"/>
      <c r="AB1871" s="84"/>
      <c r="AC1871" s="84"/>
      <c r="AD1871" s="84"/>
      <c r="AE1871" s="84"/>
      <c r="AF1871" s="84"/>
      <c r="AG1871" s="84"/>
    </row>
    <row r="1872" spans="1:33" s="91" customFormat="1" ht="12.75" x14ac:dyDescent="0.2">
      <c r="A1872" s="13">
        <f t="shared" si="71"/>
        <v>164</v>
      </c>
      <c r="B1872" s="11"/>
      <c r="C1872" s="82"/>
      <c r="D1872" s="1"/>
      <c r="E1872" s="83"/>
      <c r="F1872" s="83"/>
      <c r="G1872" s="84"/>
      <c r="H1872" s="85"/>
      <c r="I1872" s="1"/>
      <c r="J1872" s="5"/>
      <c r="K1872" s="5"/>
      <c r="L1872" s="4"/>
      <c r="M1872" s="4"/>
      <c r="N1872" s="82"/>
      <c r="O1872" s="86"/>
      <c r="P1872" s="4"/>
      <c r="Q1872" s="4"/>
      <c r="R1872" s="47"/>
      <c r="S1872" s="87"/>
      <c r="T1872" s="88"/>
      <c r="U1872" s="89"/>
      <c r="V1872" s="4"/>
      <c r="W1872" s="4"/>
      <c r="X1872" s="9"/>
      <c r="Y1872" s="84"/>
      <c r="Z1872" s="90"/>
      <c r="AA1872" s="84"/>
      <c r="AB1872" s="84"/>
      <c r="AC1872" s="84"/>
      <c r="AD1872" s="84"/>
      <c r="AE1872" s="82"/>
      <c r="AF1872" s="82"/>
      <c r="AG1872" s="82"/>
    </row>
    <row r="1873" spans="1:33" s="91" customFormat="1" ht="12.75" x14ac:dyDescent="0.2">
      <c r="A1873" s="13">
        <f t="shared" si="71"/>
        <v>164</v>
      </c>
      <c r="B1873" s="11"/>
      <c r="C1873" s="82"/>
      <c r="D1873" s="1"/>
      <c r="E1873" s="83"/>
      <c r="F1873" s="83"/>
      <c r="G1873" s="84"/>
      <c r="H1873" s="85"/>
      <c r="I1873" s="1"/>
      <c r="J1873" s="5"/>
      <c r="K1873" s="5"/>
      <c r="L1873" s="4"/>
      <c r="M1873" s="4"/>
      <c r="N1873" s="82"/>
      <c r="O1873" s="86"/>
      <c r="P1873" s="4"/>
      <c r="Q1873" s="4"/>
      <c r="R1873" s="82"/>
      <c r="S1873" s="87"/>
      <c r="T1873" s="88"/>
      <c r="U1873" s="89"/>
      <c r="V1873" s="4"/>
      <c r="W1873" s="4"/>
      <c r="X1873" s="9"/>
      <c r="Y1873" s="84"/>
      <c r="Z1873" s="90"/>
      <c r="AA1873" s="84"/>
      <c r="AB1873" s="84"/>
      <c r="AC1873" s="84"/>
      <c r="AD1873" s="84"/>
      <c r="AE1873" s="1"/>
      <c r="AF1873" s="1"/>
      <c r="AG1873" s="1"/>
    </row>
    <row r="1874" spans="1:33" s="91" customFormat="1" ht="12.75" x14ac:dyDescent="0.2">
      <c r="A1874" s="13">
        <f t="shared" si="71"/>
        <v>164</v>
      </c>
      <c r="B1874" s="11"/>
      <c r="C1874" s="82"/>
      <c r="D1874" s="1"/>
      <c r="E1874" s="83"/>
      <c r="F1874" s="83"/>
      <c r="G1874" s="84"/>
      <c r="H1874" s="85"/>
      <c r="I1874" s="1"/>
      <c r="J1874" s="5"/>
      <c r="K1874" s="5"/>
      <c r="L1874" s="4"/>
      <c r="M1874" s="4"/>
      <c r="N1874" s="82"/>
      <c r="O1874" s="86"/>
      <c r="P1874" s="4"/>
      <c r="Q1874" s="4"/>
      <c r="R1874" s="82"/>
      <c r="S1874" s="87"/>
      <c r="T1874" s="88"/>
      <c r="U1874" s="89"/>
      <c r="V1874" s="4"/>
      <c r="W1874" s="4"/>
      <c r="X1874" s="9"/>
      <c r="Y1874" s="84"/>
      <c r="Z1874" s="90"/>
      <c r="AA1874" s="84"/>
      <c r="AB1874" s="84"/>
      <c r="AC1874" s="84"/>
      <c r="AD1874" s="84"/>
      <c r="AE1874" s="84"/>
      <c r="AF1874" s="84"/>
      <c r="AG1874" s="84"/>
    </row>
    <row r="1875" spans="1:33" s="91" customFormat="1" ht="12.75" x14ac:dyDescent="0.2">
      <c r="A1875" s="13">
        <f t="shared" si="71"/>
        <v>164</v>
      </c>
      <c r="B1875" s="11"/>
      <c r="C1875" s="82"/>
      <c r="D1875" s="1"/>
      <c r="E1875" s="83"/>
      <c r="F1875" s="83"/>
      <c r="G1875" s="84"/>
      <c r="H1875" s="85"/>
      <c r="I1875" s="1"/>
      <c r="J1875" s="5"/>
      <c r="K1875" s="5"/>
      <c r="L1875" s="4"/>
      <c r="M1875" s="4"/>
      <c r="N1875" s="82"/>
      <c r="O1875" s="86"/>
      <c r="P1875" s="4"/>
      <c r="Q1875" s="4"/>
      <c r="R1875" s="82"/>
      <c r="S1875" s="87"/>
      <c r="T1875" s="88"/>
      <c r="U1875" s="89"/>
      <c r="V1875" s="4"/>
      <c r="W1875" s="4"/>
      <c r="X1875" s="9"/>
      <c r="Y1875" s="84"/>
      <c r="Z1875" s="90"/>
      <c r="AA1875" s="84"/>
      <c r="AB1875" s="84"/>
      <c r="AC1875" s="84"/>
      <c r="AD1875" s="84"/>
      <c r="AE1875" s="84"/>
      <c r="AF1875" s="84"/>
      <c r="AG1875" s="84"/>
    </row>
    <row r="1876" spans="1:33" s="91" customFormat="1" ht="54" customHeight="1" x14ac:dyDescent="0.2">
      <c r="A1876" s="13">
        <f t="shared" si="71"/>
        <v>165</v>
      </c>
      <c r="B1876" s="11">
        <v>165</v>
      </c>
      <c r="C1876" s="92" t="s">
        <v>1478</v>
      </c>
      <c r="D1876" s="1"/>
      <c r="E1876" s="87">
        <v>86</v>
      </c>
      <c r="F1876" s="83">
        <v>412</v>
      </c>
      <c r="G1876" s="84" t="s">
        <v>1232</v>
      </c>
      <c r="H1876" s="85">
        <v>13</v>
      </c>
      <c r="I1876" s="18"/>
      <c r="J1876" s="5"/>
      <c r="K1876" s="5"/>
      <c r="L1876" s="4"/>
      <c r="M1876" s="4"/>
      <c r="N1876" s="82" t="s">
        <v>145</v>
      </c>
      <c r="O1876" s="86">
        <v>1</v>
      </c>
      <c r="P1876" s="4"/>
      <c r="Q1876" s="4"/>
      <c r="R1876" s="47" t="s">
        <v>1479</v>
      </c>
      <c r="S1876" s="87" t="s">
        <v>1133</v>
      </c>
      <c r="T1876" s="88">
        <v>54.6</v>
      </c>
      <c r="U1876" s="89"/>
      <c r="V1876" s="4"/>
      <c r="W1876" s="4"/>
      <c r="X1876" s="9"/>
      <c r="Y1876" s="84"/>
      <c r="Z1876" s="90"/>
      <c r="AA1876" s="84"/>
      <c r="AB1876" s="84"/>
      <c r="AC1876" s="84"/>
      <c r="AD1876" s="84"/>
      <c r="AE1876" s="84" t="s">
        <v>1480</v>
      </c>
      <c r="AF1876" s="84"/>
      <c r="AG1876" s="84"/>
    </row>
    <row r="1877" spans="1:33" s="91" customFormat="1" ht="58.5" customHeight="1" x14ac:dyDescent="0.2">
      <c r="A1877" s="13">
        <f t="shared" si="71"/>
        <v>165</v>
      </c>
      <c r="B1877" s="11"/>
      <c r="C1877" s="82" t="s">
        <v>1481</v>
      </c>
      <c r="D1877" s="1"/>
      <c r="E1877" s="87">
        <v>86</v>
      </c>
      <c r="F1877" s="83">
        <v>412</v>
      </c>
      <c r="G1877" s="84" t="s">
        <v>1270</v>
      </c>
      <c r="H1877" s="85">
        <v>20.100000000000001</v>
      </c>
      <c r="I1877" s="18"/>
      <c r="J1877" s="5"/>
      <c r="K1877" s="5"/>
      <c r="L1877" s="4"/>
      <c r="M1877" s="4"/>
      <c r="N1877" s="82" t="s">
        <v>1482</v>
      </c>
      <c r="O1877" s="86">
        <v>5</v>
      </c>
      <c r="P1877" s="4"/>
      <c r="Q1877" s="4"/>
      <c r="R1877" s="47" t="s">
        <v>1483</v>
      </c>
      <c r="S1877" s="87" t="s">
        <v>93</v>
      </c>
      <c r="T1877" s="88">
        <v>1</v>
      </c>
      <c r="U1877" s="89"/>
      <c r="V1877" s="4"/>
      <c r="W1877" s="4"/>
      <c r="X1877" s="9"/>
      <c r="Y1877" s="84"/>
      <c r="Z1877" s="90"/>
      <c r="AA1877" s="84"/>
      <c r="AB1877" s="84"/>
      <c r="AC1877" s="84"/>
      <c r="AD1877" s="84"/>
      <c r="AE1877" s="84" t="s">
        <v>1484</v>
      </c>
      <c r="AF1877" s="84"/>
      <c r="AG1877" s="84"/>
    </row>
    <row r="1878" spans="1:33" s="91" customFormat="1" ht="51" customHeight="1" x14ac:dyDescent="0.2">
      <c r="A1878" s="13">
        <f t="shared" si="71"/>
        <v>165</v>
      </c>
      <c r="B1878" s="11"/>
      <c r="C1878" s="82" t="s">
        <v>1638</v>
      </c>
      <c r="D1878" s="1"/>
      <c r="E1878" s="87"/>
      <c r="F1878" s="83"/>
      <c r="G1878" s="84"/>
      <c r="H1878" s="85"/>
      <c r="I1878" s="18"/>
      <c r="J1878" s="5"/>
      <c r="K1878" s="5"/>
      <c r="L1878" s="4"/>
      <c r="M1878" s="4"/>
      <c r="N1878" s="82" t="s">
        <v>156</v>
      </c>
      <c r="O1878" s="86">
        <v>3</v>
      </c>
      <c r="P1878" s="4"/>
      <c r="Q1878" s="4"/>
      <c r="R1878" s="47"/>
      <c r="S1878" s="87"/>
      <c r="T1878" s="88"/>
      <c r="U1878" s="89"/>
      <c r="V1878" s="4"/>
      <c r="W1878" s="4"/>
      <c r="X1878" s="9"/>
      <c r="Y1878" s="84"/>
      <c r="Z1878" s="90"/>
      <c r="AA1878" s="84"/>
      <c r="AB1878" s="84"/>
      <c r="AC1878" s="84"/>
      <c r="AD1878" s="84"/>
      <c r="AE1878" s="84" t="s">
        <v>1485</v>
      </c>
      <c r="AF1878" s="84"/>
      <c r="AG1878" s="84"/>
    </row>
    <row r="1879" spans="1:33" s="91" customFormat="1" ht="20.25" customHeight="1" x14ac:dyDescent="0.2">
      <c r="A1879" s="13">
        <f t="shared" si="71"/>
        <v>165</v>
      </c>
      <c r="B1879" s="11"/>
      <c r="C1879" s="82"/>
      <c r="D1879" s="1"/>
      <c r="E1879" s="83"/>
      <c r="F1879" s="83"/>
      <c r="G1879" s="84"/>
      <c r="H1879" s="85"/>
      <c r="I1879" s="18"/>
      <c r="J1879" s="5"/>
      <c r="K1879" s="5"/>
      <c r="L1879" s="4"/>
      <c r="M1879" s="4"/>
      <c r="N1879" s="82" t="s">
        <v>1218</v>
      </c>
      <c r="O1879" s="86">
        <v>1</v>
      </c>
      <c r="P1879" s="4"/>
      <c r="Q1879" s="4"/>
      <c r="R1879" s="47"/>
      <c r="S1879" s="87"/>
      <c r="T1879" s="88"/>
      <c r="U1879" s="89"/>
      <c r="V1879" s="4"/>
      <c r="W1879" s="4"/>
      <c r="X1879" s="9"/>
      <c r="Y1879" s="84"/>
      <c r="Z1879" s="90"/>
      <c r="AA1879" s="84"/>
      <c r="AB1879" s="84"/>
      <c r="AC1879" s="84"/>
      <c r="AD1879" s="84"/>
      <c r="AE1879" s="84"/>
      <c r="AF1879" s="84"/>
      <c r="AG1879" s="84"/>
    </row>
    <row r="1880" spans="1:33" s="91" customFormat="1" ht="20.25" customHeight="1" x14ac:dyDescent="0.2">
      <c r="A1880" s="13">
        <f t="shared" si="71"/>
        <v>165</v>
      </c>
      <c r="B1880" s="11"/>
      <c r="C1880" s="82"/>
      <c r="D1880" s="1"/>
      <c r="E1880" s="83"/>
      <c r="F1880" s="83"/>
      <c r="G1880" s="84"/>
      <c r="H1880" s="85"/>
      <c r="I1880" s="18"/>
      <c r="J1880" s="5"/>
      <c r="K1880" s="5"/>
      <c r="L1880" s="4"/>
      <c r="M1880" s="4"/>
      <c r="N1880" s="82" t="s">
        <v>1486</v>
      </c>
      <c r="O1880" s="86">
        <v>2</v>
      </c>
      <c r="P1880" s="4"/>
      <c r="Q1880" s="4"/>
      <c r="R1880" s="47"/>
      <c r="S1880" s="87"/>
      <c r="T1880" s="88"/>
      <c r="U1880" s="89"/>
      <c r="V1880" s="4"/>
      <c r="W1880" s="4"/>
      <c r="X1880" s="9"/>
      <c r="Y1880" s="84"/>
      <c r="Z1880" s="90"/>
      <c r="AA1880" s="84"/>
      <c r="AB1880" s="84"/>
      <c r="AC1880" s="84"/>
      <c r="AD1880" s="84"/>
      <c r="AE1880" s="82"/>
      <c r="AF1880" s="82"/>
      <c r="AG1880" s="82"/>
    </row>
    <row r="1881" spans="1:33" s="91" customFormat="1" ht="20.25" customHeight="1" x14ac:dyDescent="0.2">
      <c r="A1881" s="13">
        <f t="shared" si="71"/>
        <v>165</v>
      </c>
      <c r="B1881" s="11"/>
      <c r="C1881" s="82"/>
      <c r="D1881" s="1"/>
      <c r="E1881" s="83"/>
      <c r="F1881" s="83"/>
      <c r="G1881" s="84"/>
      <c r="H1881" s="85"/>
      <c r="I1881" s="18"/>
      <c r="J1881" s="5"/>
      <c r="K1881" s="5"/>
      <c r="L1881" s="4"/>
      <c r="M1881" s="4"/>
      <c r="N1881" s="82" t="s">
        <v>76</v>
      </c>
      <c r="O1881" s="86">
        <v>3</v>
      </c>
      <c r="P1881" s="4"/>
      <c r="Q1881" s="4"/>
      <c r="R1881" s="47"/>
      <c r="S1881" s="87"/>
      <c r="T1881" s="88"/>
      <c r="U1881" s="89"/>
      <c r="V1881" s="4"/>
      <c r="W1881" s="4"/>
      <c r="X1881" s="9"/>
      <c r="Y1881" s="84"/>
      <c r="Z1881" s="90"/>
      <c r="AA1881" s="84"/>
      <c r="AB1881" s="84"/>
      <c r="AC1881" s="84"/>
      <c r="AD1881" s="84"/>
      <c r="AE1881" s="1"/>
      <c r="AF1881" s="1"/>
      <c r="AG1881" s="1"/>
    </row>
    <row r="1882" spans="1:33" s="91" customFormat="1" ht="20.25" customHeight="1" x14ac:dyDescent="0.2">
      <c r="A1882" s="13">
        <f t="shared" si="71"/>
        <v>165</v>
      </c>
      <c r="B1882" s="11"/>
      <c r="C1882" s="82"/>
      <c r="D1882" s="1"/>
      <c r="E1882" s="83"/>
      <c r="F1882" s="83"/>
      <c r="G1882" s="84"/>
      <c r="H1882" s="85"/>
      <c r="I1882" s="18"/>
      <c r="J1882" s="5"/>
      <c r="K1882" s="5"/>
      <c r="L1882" s="4"/>
      <c r="M1882" s="4"/>
      <c r="N1882" s="82" t="s">
        <v>147</v>
      </c>
      <c r="O1882" s="86">
        <v>2</v>
      </c>
      <c r="P1882" s="4"/>
      <c r="Q1882" s="4"/>
      <c r="R1882" s="47"/>
      <c r="S1882" s="87"/>
      <c r="T1882" s="88"/>
      <c r="U1882" s="89"/>
      <c r="V1882" s="4"/>
      <c r="W1882" s="4"/>
      <c r="X1882" s="9"/>
      <c r="Y1882" s="84"/>
      <c r="Z1882" s="90"/>
      <c r="AA1882" s="84"/>
      <c r="AB1882" s="84"/>
      <c r="AC1882" s="84"/>
      <c r="AD1882" s="84"/>
      <c r="AE1882" s="84"/>
      <c r="AF1882" s="84"/>
      <c r="AG1882" s="84"/>
    </row>
    <row r="1883" spans="1:33" s="91" customFormat="1" ht="20.25" customHeight="1" x14ac:dyDescent="0.2">
      <c r="A1883" s="13">
        <f t="shared" si="71"/>
        <v>165</v>
      </c>
      <c r="B1883" s="11"/>
      <c r="C1883" s="82"/>
      <c r="D1883" s="1"/>
      <c r="E1883" s="83"/>
      <c r="F1883" s="83"/>
      <c r="G1883" s="84"/>
      <c r="H1883" s="85"/>
      <c r="I1883" s="18"/>
      <c r="J1883" s="5"/>
      <c r="K1883" s="5"/>
      <c r="L1883" s="4"/>
      <c r="M1883" s="4"/>
      <c r="N1883" s="82" t="s">
        <v>165</v>
      </c>
      <c r="O1883" s="86">
        <v>1</v>
      </c>
      <c r="P1883" s="4"/>
      <c r="Q1883" s="4"/>
      <c r="R1883" s="47"/>
      <c r="S1883" s="87"/>
      <c r="T1883" s="88"/>
      <c r="U1883" s="89"/>
      <c r="V1883" s="4"/>
      <c r="W1883" s="4"/>
      <c r="X1883" s="9"/>
      <c r="Y1883" s="84"/>
      <c r="Z1883" s="90"/>
      <c r="AA1883" s="84"/>
      <c r="AB1883" s="84"/>
      <c r="AC1883" s="84"/>
      <c r="AD1883" s="84"/>
      <c r="AE1883" s="84"/>
      <c r="AF1883" s="84"/>
      <c r="AG1883" s="84"/>
    </row>
    <row r="1884" spans="1:33" s="91" customFormat="1" ht="20.25" customHeight="1" x14ac:dyDescent="0.2">
      <c r="A1884" s="13">
        <f t="shared" si="71"/>
        <v>165</v>
      </c>
      <c r="B1884" s="11"/>
      <c r="C1884" s="82"/>
      <c r="D1884" s="1"/>
      <c r="E1884" s="83"/>
      <c r="F1884" s="83"/>
      <c r="G1884" s="84"/>
      <c r="H1884" s="85"/>
      <c r="I1884" s="18"/>
      <c r="J1884" s="5"/>
      <c r="K1884" s="5"/>
      <c r="L1884" s="4"/>
      <c r="M1884" s="4"/>
      <c r="N1884" s="82" t="s">
        <v>1487</v>
      </c>
      <c r="O1884" s="86">
        <v>1</v>
      </c>
      <c r="P1884" s="4"/>
      <c r="Q1884" s="4"/>
      <c r="R1884" s="47"/>
      <c r="S1884" s="87"/>
      <c r="T1884" s="88"/>
      <c r="U1884" s="89"/>
      <c r="V1884" s="4"/>
      <c r="W1884" s="4"/>
      <c r="X1884" s="9"/>
      <c r="Y1884" s="84"/>
      <c r="Z1884" s="90"/>
      <c r="AA1884" s="84"/>
      <c r="AB1884" s="84"/>
      <c r="AC1884" s="84"/>
      <c r="AD1884" s="84"/>
      <c r="AE1884" s="84"/>
      <c r="AF1884" s="84"/>
      <c r="AG1884" s="84"/>
    </row>
    <row r="1885" spans="1:33" s="91" customFormat="1" ht="20.25" customHeight="1" x14ac:dyDescent="0.2">
      <c r="A1885" s="13">
        <f t="shared" si="71"/>
        <v>165</v>
      </c>
      <c r="B1885" s="11"/>
      <c r="C1885" s="82"/>
      <c r="D1885" s="1"/>
      <c r="E1885" s="83"/>
      <c r="F1885" s="83"/>
      <c r="G1885" s="84"/>
      <c r="H1885" s="85"/>
      <c r="I1885" s="18"/>
      <c r="J1885" s="5"/>
      <c r="K1885" s="5"/>
      <c r="L1885" s="4"/>
      <c r="M1885" s="4"/>
      <c r="N1885" s="82" t="s">
        <v>1488</v>
      </c>
      <c r="O1885" s="86">
        <v>2</v>
      </c>
      <c r="P1885" s="4"/>
      <c r="Q1885" s="4"/>
      <c r="R1885" s="47"/>
      <c r="S1885" s="87"/>
      <c r="T1885" s="88"/>
      <c r="U1885" s="89"/>
      <c r="V1885" s="4"/>
      <c r="W1885" s="4"/>
      <c r="X1885" s="9"/>
      <c r="Y1885" s="84"/>
      <c r="Z1885" s="90"/>
      <c r="AA1885" s="84"/>
      <c r="AB1885" s="84"/>
      <c r="AC1885" s="84"/>
      <c r="AD1885" s="84"/>
      <c r="AE1885" s="84"/>
      <c r="AF1885" s="84"/>
      <c r="AG1885" s="84"/>
    </row>
    <row r="1886" spans="1:33" s="91" customFormat="1" ht="20.25" customHeight="1" x14ac:dyDescent="0.2">
      <c r="A1886" s="13">
        <f t="shared" si="71"/>
        <v>165</v>
      </c>
      <c r="B1886" s="11"/>
      <c r="C1886" s="82"/>
      <c r="D1886" s="1"/>
      <c r="E1886" s="83"/>
      <c r="F1886" s="83"/>
      <c r="G1886" s="84"/>
      <c r="H1886" s="85"/>
      <c r="I1886" s="18"/>
      <c r="J1886" s="5"/>
      <c r="K1886" s="5"/>
      <c r="L1886" s="4"/>
      <c r="M1886" s="4"/>
      <c r="N1886" s="82" t="s">
        <v>1489</v>
      </c>
      <c r="O1886" s="86">
        <v>1</v>
      </c>
      <c r="P1886" s="4"/>
      <c r="Q1886" s="4"/>
      <c r="R1886" s="47"/>
      <c r="S1886" s="87"/>
      <c r="T1886" s="88"/>
      <c r="U1886" s="89"/>
      <c r="V1886" s="4"/>
      <c r="W1886" s="4"/>
      <c r="X1886" s="9"/>
      <c r="Y1886" s="84"/>
      <c r="Z1886" s="90"/>
      <c r="AA1886" s="84"/>
      <c r="AB1886" s="84"/>
      <c r="AC1886" s="84"/>
      <c r="AD1886" s="84"/>
      <c r="AE1886" s="84"/>
      <c r="AF1886" s="84"/>
      <c r="AG1886" s="84"/>
    </row>
    <row r="1887" spans="1:33" s="91" customFormat="1" ht="30.75" customHeight="1" x14ac:dyDescent="0.2">
      <c r="A1887" s="13">
        <f t="shared" si="71"/>
        <v>165</v>
      </c>
      <c r="B1887" s="11"/>
      <c r="C1887" s="82"/>
      <c r="D1887" s="1"/>
      <c r="E1887" s="83"/>
      <c r="F1887" s="83"/>
      <c r="G1887" s="84"/>
      <c r="H1887" s="85"/>
      <c r="I1887" s="1"/>
      <c r="J1887" s="5"/>
      <c r="K1887" s="5"/>
      <c r="L1887" s="4"/>
      <c r="M1887" s="4"/>
      <c r="N1887" s="16" t="s">
        <v>429</v>
      </c>
      <c r="O1887" s="86">
        <v>15</v>
      </c>
      <c r="P1887" s="4"/>
      <c r="Q1887" s="4"/>
      <c r="R1887" s="82"/>
      <c r="S1887" s="87"/>
      <c r="T1887" s="88"/>
      <c r="U1887" s="89"/>
      <c r="V1887" s="4"/>
      <c r="W1887" s="4"/>
      <c r="X1887" s="9"/>
      <c r="Y1887" s="84"/>
      <c r="Z1887" s="90"/>
      <c r="AA1887" s="84"/>
      <c r="AB1887" s="84"/>
      <c r="AC1887" s="84"/>
      <c r="AD1887" s="84"/>
      <c r="AE1887" s="84"/>
      <c r="AF1887" s="84"/>
      <c r="AG1887" s="84"/>
    </row>
    <row r="1888" spans="1:33" s="91" customFormat="1" ht="12.75" x14ac:dyDescent="0.2">
      <c r="A1888" s="13">
        <f t="shared" si="71"/>
        <v>165</v>
      </c>
      <c r="B1888" s="11"/>
      <c r="C1888" s="82"/>
      <c r="D1888" s="1"/>
      <c r="E1888" s="83"/>
      <c r="F1888" s="83"/>
      <c r="G1888" s="84"/>
      <c r="H1888" s="85"/>
      <c r="I1888" s="1"/>
      <c r="J1888" s="5"/>
      <c r="K1888" s="5"/>
      <c r="L1888" s="4"/>
      <c r="M1888" s="4"/>
      <c r="N1888" s="82"/>
      <c r="O1888" s="86"/>
      <c r="P1888" s="4"/>
      <c r="Q1888" s="4"/>
      <c r="R1888" s="82"/>
      <c r="S1888" s="87"/>
      <c r="T1888" s="88"/>
      <c r="U1888" s="89"/>
      <c r="V1888" s="4"/>
      <c r="W1888" s="4"/>
      <c r="X1888" s="9"/>
      <c r="Y1888" s="84"/>
      <c r="Z1888" s="90"/>
      <c r="AA1888" s="84"/>
      <c r="AB1888" s="84"/>
      <c r="AC1888" s="84"/>
      <c r="AD1888" s="84"/>
      <c r="AE1888" s="84"/>
      <c r="AF1888" s="84"/>
      <c r="AG1888" s="84"/>
    </row>
    <row r="1889" spans="1:33" s="91" customFormat="1" ht="12.75" x14ac:dyDescent="0.2">
      <c r="A1889" s="13">
        <f t="shared" si="71"/>
        <v>165</v>
      </c>
      <c r="B1889" s="11"/>
      <c r="C1889" s="82"/>
      <c r="D1889" s="1"/>
      <c r="E1889" s="83"/>
      <c r="F1889" s="83"/>
      <c r="G1889" s="84"/>
      <c r="H1889" s="85"/>
      <c r="I1889" s="1"/>
      <c r="J1889" s="5"/>
      <c r="K1889" s="5"/>
      <c r="L1889" s="4"/>
      <c r="M1889" s="4"/>
      <c r="N1889" s="82"/>
      <c r="O1889" s="86"/>
      <c r="P1889" s="4"/>
      <c r="Q1889" s="4"/>
      <c r="R1889" s="82"/>
      <c r="S1889" s="87"/>
      <c r="T1889" s="88"/>
      <c r="U1889" s="89"/>
      <c r="V1889" s="4"/>
      <c r="W1889" s="4"/>
      <c r="X1889" s="9"/>
      <c r="Y1889" s="84"/>
      <c r="Z1889" s="90"/>
      <c r="AA1889" s="84"/>
      <c r="AB1889" s="84"/>
      <c r="AC1889" s="84"/>
      <c r="AD1889" s="84"/>
      <c r="AE1889" s="84"/>
      <c r="AF1889" s="84"/>
      <c r="AG1889" s="84"/>
    </row>
    <row r="1890" spans="1:33" s="91" customFormat="1" ht="12.75" x14ac:dyDescent="0.2">
      <c r="A1890" s="13">
        <f t="shared" si="71"/>
        <v>165</v>
      </c>
      <c r="B1890" s="11"/>
      <c r="C1890" s="82"/>
      <c r="D1890" s="1"/>
      <c r="E1890" s="83"/>
      <c r="F1890" s="83"/>
      <c r="G1890" s="84"/>
      <c r="H1890" s="85"/>
      <c r="I1890" s="1"/>
      <c r="J1890" s="5"/>
      <c r="K1890" s="5"/>
      <c r="L1890" s="4"/>
      <c r="M1890" s="4"/>
      <c r="N1890" s="82"/>
      <c r="O1890" s="86"/>
      <c r="P1890" s="4"/>
      <c r="Q1890" s="4"/>
      <c r="R1890" s="82"/>
      <c r="S1890" s="87"/>
      <c r="T1890" s="88"/>
      <c r="U1890" s="89"/>
      <c r="V1890" s="4"/>
      <c r="W1890" s="4"/>
      <c r="X1890" s="9"/>
      <c r="Y1890" s="84"/>
      <c r="Z1890" s="90"/>
      <c r="AA1890" s="84"/>
      <c r="AB1890" s="84"/>
      <c r="AC1890" s="84"/>
      <c r="AD1890" s="84"/>
      <c r="AE1890" s="84"/>
      <c r="AF1890" s="84"/>
      <c r="AG1890" s="84"/>
    </row>
    <row r="1891" spans="1:33" s="91" customFormat="1" ht="42.75" customHeight="1" x14ac:dyDescent="0.2">
      <c r="A1891" s="13">
        <f t="shared" si="71"/>
        <v>166</v>
      </c>
      <c r="B1891" s="11">
        <v>166</v>
      </c>
      <c r="C1891" s="92" t="s">
        <v>1490</v>
      </c>
      <c r="D1891" s="1">
        <v>4</v>
      </c>
      <c r="E1891" s="87">
        <v>86</v>
      </c>
      <c r="F1891" s="87">
        <v>260</v>
      </c>
      <c r="G1891" s="84" t="s">
        <v>1206</v>
      </c>
      <c r="H1891" s="85">
        <v>9.6</v>
      </c>
      <c r="I1891" s="18"/>
      <c r="J1891" s="5"/>
      <c r="K1891" s="5"/>
      <c r="L1891" s="4"/>
      <c r="M1891" s="4"/>
      <c r="N1891" s="82"/>
      <c r="O1891" s="86"/>
      <c r="P1891" s="4"/>
      <c r="Q1891" s="4"/>
      <c r="R1891" s="47"/>
      <c r="S1891" s="87"/>
      <c r="T1891" s="88"/>
      <c r="U1891" s="89"/>
      <c r="V1891" s="4"/>
      <c r="W1891" s="4"/>
      <c r="X1891" s="9"/>
      <c r="Y1891" s="84"/>
      <c r="Z1891" s="90"/>
      <c r="AA1891" s="84"/>
      <c r="AB1891" s="84"/>
      <c r="AC1891" s="84"/>
      <c r="AD1891" s="84"/>
      <c r="AE1891" s="84" t="s">
        <v>1491</v>
      </c>
      <c r="AF1891" s="84"/>
      <c r="AG1891" s="84"/>
    </row>
    <row r="1892" spans="1:33" s="91" customFormat="1" ht="32.25" customHeight="1" x14ac:dyDescent="0.2">
      <c r="A1892" s="13">
        <f t="shared" si="71"/>
        <v>166</v>
      </c>
      <c r="B1892" s="11"/>
      <c r="C1892" s="82" t="s">
        <v>1492</v>
      </c>
      <c r="D1892" s="1"/>
      <c r="E1892" s="87"/>
      <c r="F1892" s="87"/>
      <c r="G1892" s="84"/>
      <c r="H1892" s="85"/>
      <c r="I1892" s="18"/>
      <c r="J1892" s="5"/>
      <c r="K1892" s="5"/>
      <c r="L1892" s="4"/>
      <c r="M1892" s="4"/>
      <c r="N1892" s="82"/>
      <c r="O1892" s="86"/>
      <c r="P1892" s="4"/>
      <c r="Q1892" s="4"/>
      <c r="R1892" s="47"/>
      <c r="S1892" s="87"/>
      <c r="T1892" s="88"/>
      <c r="U1892" s="89"/>
      <c r="V1892" s="4"/>
      <c r="W1892" s="4"/>
      <c r="X1892" s="9"/>
      <c r="Y1892" s="84"/>
      <c r="Z1892" s="90"/>
      <c r="AA1892" s="84"/>
      <c r="AB1892" s="84"/>
      <c r="AC1892" s="84"/>
      <c r="AD1892" s="84"/>
      <c r="AE1892" s="84" t="s">
        <v>1493</v>
      </c>
      <c r="AF1892" s="84"/>
      <c r="AG1892" s="84"/>
    </row>
    <row r="1893" spans="1:33" s="91" customFormat="1" ht="38.25" x14ac:dyDescent="0.2">
      <c r="A1893" s="13">
        <f t="shared" si="71"/>
        <v>166</v>
      </c>
      <c r="B1893" s="11"/>
      <c r="C1893" s="82" t="s">
        <v>1639</v>
      </c>
      <c r="D1893" s="1"/>
      <c r="E1893" s="83"/>
      <c r="F1893" s="83"/>
      <c r="G1893" s="84"/>
      <c r="H1893" s="85"/>
      <c r="I1893" s="18"/>
      <c r="J1893" s="5"/>
      <c r="K1893" s="5"/>
      <c r="L1893" s="4"/>
      <c r="M1893" s="4"/>
      <c r="N1893" s="82"/>
      <c r="O1893" s="86"/>
      <c r="P1893" s="4"/>
      <c r="Q1893" s="4"/>
      <c r="R1893" s="47"/>
      <c r="S1893" s="87"/>
      <c r="T1893" s="88"/>
      <c r="U1893" s="89"/>
      <c r="V1893" s="4"/>
      <c r="W1893" s="4"/>
      <c r="X1893" s="9"/>
      <c r="Y1893" s="84"/>
      <c r="Z1893" s="90"/>
      <c r="AA1893" s="84"/>
      <c r="AB1893" s="84"/>
      <c r="AC1893" s="84"/>
      <c r="AD1893" s="84"/>
      <c r="AE1893" s="84" t="s">
        <v>1669</v>
      </c>
      <c r="AF1893" s="84"/>
      <c r="AG1893" s="84"/>
    </row>
    <row r="1894" spans="1:33" s="91" customFormat="1" ht="12.75" x14ac:dyDescent="0.2">
      <c r="A1894" s="13">
        <f t="shared" si="71"/>
        <v>166</v>
      </c>
      <c r="B1894" s="11"/>
      <c r="C1894" s="82"/>
      <c r="D1894" s="1"/>
      <c r="E1894" s="83"/>
      <c r="F1894" s="83"/>
      <c r="G1894" s="84"/>
      <c r="H1894" s="85"/>
      <c r="I1894" s="1"/>
      <c r="J1894" s="5"/>
      <c r="K1894" s="5"/>
      <c r="L1894" s="4"/>
      <c r="M1894" s="4"/>
      <c r="N1894" s="82"/>
      <c r="O1894" s="86"/>
      <c r="P1894" s="4"/>
      <c r="Q1894" s="4"/>
      <c r="R1894" s="82"/>
      <c r="S1894" s="87"/>
      <c r="T1894" s="88"/>
      <c r="U1894" s="89"/>
      <c r="V1894" s="4"/>
      <c r="W1894" s="4"/>
      <c r="X1894" s="9"/>
      <c r="Y1894" s="84"/>
      <c r="Z1894" s="90"/>
      <c r="AA1894" s="84"/>
      <c r="AB1894" s="84"/>
      <c r="AC1894" s="84"/>
      <c r="AD1894" s="84"/>
      <c r="AE1894" s="84"/>
      <c r="AF1894" s="84"/>
      <c r="AG1894" s="84"/>
    </row>
    <row r="1895" spans="1:33" s="91" customFormat="1" ht="12.75" x14ac:dyDescent="0.2">
      <c r="A1895" s="13">
        <f t="shared" si="71"/>
        <v>166</v>
      </c>
      <c r="B1895" s="11"/>
      <c r="C1895" s="82"/>
      <c r="D1895" s="1"/>
      <c r="E1895" s="83"/>
      <c r="F1895" s="83"/>
      <c r="G1895" s="84"/>
      <c r="H1895" s="85"/>
      <c r="I1895" s="1"/>
      <c r="J1895" s="5"/>
      <c r="K1895" s="5"/>
      <c r="L1895" s="4"/>
      <c r="M1895" s="4"/>
      <c r="N1895" s="82"/>
      <c r="O1895" s="86"/>
      <c r="P1895" s="4"/>
      <c r="Q1895" s="4"/>
      <c r="R1895" s="82"/>
      <c r="S1895" s="87"/>
      <c r="T1895" s="88"/>
      <c r="U1895" s="89"/>
      <c r="V1895" s="4"/>
      <c r="W1895" s="4"/>
      <c r="X1895" s="9"/>
      <c r="Y1895" s="84"/>
      <c r="Z1895" s="90"/>
      <c r="AA1895" s="84"/>
      <c r="AB1895" s="84"/>
      <c r="AC1895" s="84"/>
      <c r="AD1895" s="84"/>
      <c r="AE1895" s="84"/>
      <c r="AF1895" s="84"/>
      <c r="AG1895" s="84"/>
    </row>
    <row r="1896" spans="1:33" s="91" customFormat="1" ht="12.75" x14ac:dyDescent="0.2">
      <c r="A1896" s="13">
        <f t="shared" si="71"/>
        <v>166</v>
      </c>
      <c r="B1896" s="11"/>
      <c r="C1896" s="82"/>
      <c r="D1896" s="1"/>
      <c r="E1896" s="83"/>
      <c r="F1896" s="83"/>
      <c r="G1896" s="84"/>
      <c r="H1896" s="85"/>
      <c r="I1896" s="1"/>
      <c r="J1896" s="5"/>
      <c r="K1896" s="5"/>
      <c r="L1896" s="4"/>
      <c r="M1896" s="4"/>
      <c r="N1896" s="82"/>
      <c r="O1896" s="86"/>
      <c r="P1896" s="4"/>
      <c r="Q1896" s="4"/>
      <c r="R1896" s="82"/>
      <c r="S1896" s="87"/>
      <c r="T1896" s="88"/>
      <c r="U1896" s="89"/>
      <c r="V1896" s="4"/>
      <c r="W1896" s="4"/>
      <c r="X1896" s="9"/>
      <c r="Y1896" s="84"/>
      <c r="Z1896" s="90"/>
      <c r="AA1896" s="84"/>
      <c r="AB1896" s="84"/>
      <c r="AC1896" s="84"/>
      <c r="AD1896" s="84"/>
      <c r="AE1896" s="84"/>
      <c r="AF1896" s="84"/>
      <c r="AG1896" s="84"/>
    </row>
    <row r="1897" spans="1:33" s="91" customFormat="1" ht="12.75" x14ac:dyDescent="0.2">
      <c r="A1897" s="13">
        <f t="shared" si="71"/>
        <v>166</v>
      </c>
      <c r="B1897" s="11"/>
      <c r="C1897" s="82"/>
      <c r="D1897" s="1"/>
      <c r="E1897" s="83"/>
      <c r="F1897" s="83"/>
      <c r="G1897" s="84"/>
      <c r="H1897" s="85"/>
      <c r="I1897" s="1"/>
      <c r="J1897" s="5"/>
      <c r="K1897" s="5"/>
      <c r="L1897" s="4"/>
      <c r="M1897" s="4"/>
      <c r="N1897" s="82"/>
      <c r="O1897" s="86"/>
      <c r="P1897" s="4"/>
      <c r="Q1897" s="4"/>
      <c r="R1897" s="82"/>
      <c r="S1897" s="87"/>
      <c r="T1897" s="88"/>
      <c r="U1897" s="89"/>
      <c r="V1897" s="4"/>
      <c r="W1897" s="4"/>
      <c r="X1897" s="9"/>
      <c r="Y1897" s="84"/>
      <c r="Z1897" s="90"/>
      <c r="AA1897" s="84"/>
      <c r="AB1897" s="84"/>
      <c r="AC1897" s="84"/>
      <c r="AD1897" s="84"/>
      <c r="AE1897" s="82"/>
      <c r="AF1897" s="82"/>
      <c r="AG1897" s="82"/>
    </row>
    <row r="1898" spans="1:33" s="91" customFormat="1" ht="12.75" x14ac:dyDescent="0.2">
      <c r="A1898" s="13">
        <f t="shared" si="71"/>
        <v>166</v>
      </c>
      <c r="B1898" s="11"/>
      <c r="C1898" s="82"/>
      <c r="D1898" s="1"/>
      <c r="E1898" s="83"/>
      <c r="F1898" s="83"/>
      <c r="G1898" s="84"/>
      <c r="H1898" s="85"/>
      <c r="I1898" s="1"/>
      <c r="J1898" s="5"/>
      <c r="K1898" s="5"/>
      <c r="L1898" s="4"/>
      <c r="M1898" s="4"/>
      <c r="N1898" s="82"/>
      <c r="O1898" s="86"/>
      <c r="P1898" s="4"/>
      <c r="Q1898" s="4"/>
      <c r="R1898" s="82"/>
      <c r="S1898" s="87"/>
      <c r="T1898" s="88"/>
      <c r="U1898" s="89"/>
      <c r="V1898" s="4"/>
      <c r="W1898" s="4"/>
      <c r="X1898" s="9"/>
      <c r="Y1898" s="84"/>
      <c r="Z1898" s="90"/>
      <c r="AA1898" s="84"/>
      <c r="AB1898" s="84"/>
      <c r="AC1898" s="84"/>
      <c r="AD1898" s="84"/>
      <c r="AE1898" s="1"/>
      <c r="AF1898" s="1"/>
      <c r="AG1898" s="1"/>
    </row>
    <row r="1899" spans="1:33" s="91" customFormat="1" ht="12.75" x14ac:dyDescent="0.2">
      <c r="A1899" s="13">
        <f t="shared" si="71"/>
        <v>166</v>
      </c>
      <c r="B1899" s="11"/>
      <c r="C1899" s="82"/>
      <c r="D1899" s="1"/>
      <c r="E1899" s="83"/>
      <c r="F1899" s="83"/>
      <c r="G1899" s="84"/>
      <c r="H1899" s="85"/>
      <c r="I1899" s="1"/>
      <c r="J1899" s="5"/>
      <c r="K1899" s="5"/>
      <c r="L1899" s="4"/>
      <c r="M1899" s="4"/>
      <c r="N1899" s="82"/>
      <c r="O1899" s="86"/>
      <c r="P1899" s="4"/>
      <c r="Q1899" s="4"/>
      <c r="R1899" s="82"/>
      <c r="S1899" s="87"/>
      <c r="T1899" s="88"/>
      <c r="U1899" s="89"/>
      <c r="V1899" s="4"/>
      <c r="W1899" s="4"/>
      <c r="X1899" s="9"/>
      <c r="Y1899" s="84"/>
      <c r="Z1899" s="90"/>
      <c r="AA1899" s="84"/>
      <c r="AB1899" s="84"/>
      <c r="AC1899" s="84"/>
      <c r="AD1899" s="84"/>
      <c r="AE1899" s="84"/>
      <c r="AF1899" s="84"/>
      <c r="AG1899" s="84"/>
    </row>
    <row r="1900" spans="1:33" s="91" customFormat="1" ht="51" x14ac:dyDescent="0.2">
      <c r="A1900" s="13">
        <f t="shared" si="71"/>
        <v>167</v>
      </c>
      <c r="B1900" s="11">
        <v>167</v>
      </c>
      <c r="C1900" s="92" t="s">
        <v>1494</v>
      </c>
      <c r="D1900" s="1"/>
      <c r="E1900" s="87">
        <v>86</v>
      </c>
      <c r="F1900" s="87">
        <v>399</v>
      </c>
      <c r="G1900" s="84" t="s">
        <v>1206</v>
      </c>
      <c r="H1900" s="85">
        <v>2.5</v>
      </c>
      <c r="I1900" s="18"/>
      <c r="J1900" s="5"/>
      <c r="K1900" s="5"/>
      <c r="L1900" s="4"/>
      <c r="M1900" s="4"/>
      <c r="N1900" s="82"/>
      <c r="O1900" s="86"/>
      <c r="P1900" s="4"/>
      <c r="Q1900" s="4"/>
      <c r="R1900" s="47"/>
      <c r="S1900" s="87"/>
      <c r="T1900" s="88"/>
      <c r="U1900" s="89"/>
      <c r="V1900" s="4"/>
      <c r="W1900" s="4"/>
      <c r="X1900" s="9"/>
      <c r="Y1900" s="84"/>
      <c r="Z1900" s="90"/>
      <c r="AA1900" s="84"/>
      <c r="AB1900" s="84"/>
      <c r="AC1900" s="84"/>
      <c r="AD1900" s="84"/>
      <c r="AE1900" s="84" t="s">
        <v>1495</v>
      </c>
      <c r="AF1900" s="84"/>
      <c r="AG1900" s="84"/>
    </row>
    <row r="1901" spans="1:33" s="91" customFormat="1" ht="25.5" x14ac:dyDescent="0.2">
      <c r="A1901" s="13">
        <f t="shared" si="71"/>
        <v>167</v>
      </c>
      <c r="B1901" s="11"/>
      <c r="C1901" s="82" t="s">
        <v>1492</v>
      </c>
      <c r="D1901" s="1"/>
      <c r="E1901" s="87"/>
      <c r="F1901" s="87"/>
      <c r="G1901" s="84"/>
      <c r="H1901" s="85"/>
      <c r="I1901" s="18"/>
      <c r="J1901" s="5"/>
      <c r="K1901" s="5"/>
      <c r="L1901" s="4"/>
      <c r="M1901" s="4"/>
      <c r="N1901" s="82"/>
      <c r="O1901" s="86"/>
      <c r="P1901" s="4"/>
      <c r="Q1901" s="4"/>
      <c r="R1901" s="47"/>
      <c r="S1901" s="87"/>
      <c r="T1901" s="88"/>
      <c r="U1901" s="89"/>
      <c r="V1901" s="4"/>
      <c r="W1901" s="4"/>
      <c r="X1901" s="9"/>
      <c r="Y1901" s="84"/>
      <c r="Z1901" s="90"/>
      <c r="AA1901" s="84"/>
      <c r="AB1901" s="84"/>
      <c r="AC1901" s="84"/>
      <c r="AD1901" s="84"/>
      <c r="AE1901" s="84" t="s">
        <v>1496</v>
      </c>
      <c r="AF1901" s="84"/>
      <c r="AG1901" s="84"/>
    </row>
    <row r="1902" spans="1:33" s="91" customFormat="1" ht="38.25" x14ac:dyDescent="0.2">
      <c r="A1902" s="13">
        <f t="shared" si="71"/>
        <v>167</v>
      </c>
      <c r="B1902" s="11"/>
      <c r="C1902" s="82" t="s">
        <v>1639</v>
      </c>
      <c r="D1902" s="1"/>
      <c r="E1902" s="83"/>
      <c r="F1902" s="83"/>
      <c r="G1902" s="84"/>
      <c r="H1902" s="85"/>
      <c r="I1902" s="18"/>
      <c r="J1902" s="5"/>
      <c r="K1902" s="5"/>
      <c r="L1902" s="4"/>
      <c r="M1902" s="4"/>
      <c r="N1902" s="82"/>
      <c r="O1902" s="86"/>
      <c r="P1902" s="4"/>
      <c r="Q1902" s="4"/>
      <c r="R1902" s="47"/>
      <c r="S1902" s="87"/>
      <c r="T1902" s="88"/>
      <c r="U1902" s="89"/>
      <c r="V1902" s="4"/>
      <c r="W1902" s="4"/>
      <c r="X1902" s="9"/>
      <c r="Y1902" s="84"/>
      <c r="Z1902" s="90"/>
      <c r="AA1902" s="84"/>
      <c r="AB1902" s="84"/>
      <c r="AC1902" s="84"/>
      <c r="AD1902" s="84"/>
      <c r="AE1902" s="84" t="s">
        <v>1670</v>
      </c>
      <c r="AF1902" s="84"/>
      <c r="AG1902" s="84"/>
    </row>
    <row r="1903" spans="1:33" s="91" customFormat="1" ht="12.75" x14ac:dyDescent="0.2">
      <c r="A1903" s="13">
        <f t="shared" si="71"/>
        <v>167</v>
      </c>
      <c r="B1903" s="11"/>
      <c r="C1903" s="82"/>
      <c r="D1903" s="1"/>
      <c r="E1903" s="83"/>
      <c r="F1903" s="83"/>
      <c r="G1903" s="84"/>
      <c r="H1903" s="85"/>
      <c r="I1903" s="1"/>
      <c r="J1903" s="5"/>
      <c r="K1903" s="5"/>
      <c r="L1903" s="4"/>
      <c r="M1903" s="4"/>
      <c r="N1903" s="82"/>
      <c r="O1903" s="86"/>
      <c r="P1903" s="4"/>
      <c r="Q1903" s="4"/>
      <c r="R1903" s="82"/>
      <c r="S1903" s="87"/>
      <c r="T1903" s="88"/>
      <c r="U1903" s="89"/>
      <c r="V1903" s="4"/>
      <c r="W1903" s="4"/>
      <c r="X1903" s="9"/>
      <c r="Y1903" s="84"/>
      <c r="Z1903" s="90"/>
      <c r="AA1903" s="84"/>
      <c r="AB1903" s="84"/>
      <c r="AC1903" s="84"/>
      <c r="AD1903" s="84"/>
      <c r="AE1903" s="84"/>
      <c r="AF1903" s="84"/>
      <c r="AG1903" s="84"/>
    </row>
    <row r="1904" spans="1:33" s="91" customFormat="1" ht="12.75" x14ac:dyDescent="0.2">
      <c r="A1904" s="13">
        <f t="shared" si="71"/>
        <v>167</v>
      </c>
      <c r="B1904" s="11"/>
      <c r="C1904" s="82"/>
      <c r="D1904" s="1"/>
      <c r="E1904" s="83"/>
      <c r="F1904" s="83"/>
      <c r="G1904" s="84"/>
      <c r="H1904" s="85"/>
      <c r="I1904" s="1"/>
      <c r="J1904" s="5"/>
      <c r="K1904" s="5"/>
      <c r="L1904" s="4"/>
      <c r="M1904" s="4"/>
      <c r="N1904" s="82"/>
      <c r="O1904" s="86"/>
      <c r="P1904" s="4"/>
      <c r="Q1904" s="4"/>
      <c r="R1904" s="82"/>
      <c r="S1904" s="87"/>
      <c r="T1904" s="88"/>
      <c r="U1904" s="89"/>
      <c r="V1904" s="4"/>
      <c r="W1904" s="4"/>
      <c r="X1904" s="9"/>
      <c r="Y1904" s="84"/>
      <c r="Z1904" s="90"/>
      <c r="AA1904" s="84"/>
      <c r="AB1904" s="84"/>
      <c r="AC1904" s="84"/>
      <c r="AD1904" s="84"/>
      <c r="AE1904" s="82"/>
      <c r="AF1904" s="82"/>
      <c r="AG1904" s="82"/>
    </row>
    <row r="1905" spans="1:33" s="91" customFormat="1" ht="12.75" x14ac:dyDescent="0.2">
      <c r="A1905" s="13">
        <f t="shared" si="71"/>
        <v>167</v>
      </c>
      <c r="B1905" s="11"/>
      <c r="C1905" s="82"/>
      <c r="D1905" s="1"/>
      <c r="E1905" s="83"/>
      <c r="F1905" s="83"/>
      <c r="G1905" s="84"/>
      <c r="H1905" s="85"/>
      <c r="I1905" s="1"/>
      <c r="J1905" s="5"/>
      <c r="K1905" s="5"/>
      <c r="L1905" s="4"/>
      <c r="M1905" s="4"/>
      <c r="N1905" s="82"/>
      <c r="O1905" s="86"/>
      <c r="P1905" s="4"/>
      <c r="Q1905" s="4"/>
      <c r="R1905" s="82"/>
      <c r="S1905" s="87"/>
      <c r="T1905" s="88"/>
      <c r="U1905" s="89"/>
      <c r="V1905" s="4"/>
      <c r="W1905" s="4"/>
      <c r="X1905" s="9"/>
      <c r="Y1905" s="84"/>
      <c r="Z1905" s="90"/>
      <c r="AA1905" s="84"/>
      <c r="AB1905" s="84"/>
      <c r="AC1905" s="84"/>
      <c r="AD1905" s="84"/>
      <c r="AE1905" s="1"/>
      <c r="AF1905" s="1"/>
      <c r="AG1905" s="1"/>
    </row>
    <row r="1906" spans="1:33" s="91" customFormat="1" ht="12.75" x14ac:dyDescent="0.2">
      <c r="A1906" s="13">
        <f t="shared" si="71"/>
        <v>167</v>
      </c>
      <c r="B1906" s="11"/>
      <c r="C1906" s="82"/>
      <c r="D1906" s="1"/>
      <c r="E1906" s="83"/>
      <c r="F1906" s="83"/>
      <c r="G1906" s="84"/>
      <c r="H1906" s="85"/>
      <c r="I1906" s="1"/>
      <c r="J1906" s="5"/>
      <c r="K1906" s="5"/>
      <c r="L1906" s="4"/>
      <c r="M1906" s="4"/>
      <c r="N1906" s="82"/>
      <c r="O1906" s="86"/>
      <c r="P1906" s="4"/>
      <c r="Q1906" s="4"/>
      <c r="R1906" s="82"/>
      <c r="S1906" s="87"/>
      <c r="T1906" s="88"/>
      <c r="U1906" s="89"/>
      <c r="V1906" s="4"/>
      <c r="W1906" s="4"/>
      <c r="X1906" s="9"/>
      <c r="Y1906" s="84"/>
      <c r="Z1906" s="90"/>
      <c r="AA1906" s="84"/>
      <c r="AB1906" s="84"/>
      <c r="AC1906" s="84"/>
      <c r="AD1906" s="84"/>
      <c r="AE1906" s="84"/>
      <c r="AF1906" s="84"/>
      <c r="AG1906" s="84"/>
    </row>
    <row r="1907" spans="1:33" s="91" customFormat="1" ht="12.75" x14ac:dyDescent="0.2">
      <c r="A1907" s="13">
        <f t="shared" si="71"/>
        <v>167</v>
      </c>
      <c r="B1907" s="11"/>
      <c r="C1907" s="82"/>
      <c r="D1907" s="1"/>
      <c r="E1907" s="83"/>
      <c r="F1907" s="83"/>
      <c r="G1907" s="84"/>
      <c r="H1907" s="85"/>
      <c r="I1907" s="1"/>
      <c r="J1907" s="5"/>
      <c r="K1907" s="5"/>
      <c r="L1907" s="4"/>
      <c r="M1907" s="4"/>
      <c r="N1907" s="82"/>
      <c r="O1907" s="86"/>
      <c r="P1907" s="4"/>
      <c r="Q1907" s="4"/>
      <c r="R1907" s="82"/>
      <c r="S1907" s="87"/>
      <c r="T1907" s="88"/>
      <c r="U1907" s="89"/>
      <c r="V1907" s="4"/>
      <c r="W1907" s="4"/>
      <c r="X1907" s="9"/>
      <c r="Y1907" s="84"/>
      <c r="Z1907" s="90"/>
      <c r="AA1907" s="84"/>
      <c r="AB1907" s="84"/>
      <c r="AC1907" s="84"/>
      <c r="AD1907" s="84"/>
      <c r="AE1907" s="84"/>
      <c r="AF1907" s="84"/>
      <c r="AG1907" s="84"/>
    </row>
    <row r="1908" spans="1:33" s="91" customFormat="1" ht="12.75" x14ac:dyDescent="0.2">
      <c r="A1908" s="13">
        <f t="shared" si="71"/>
        <v>167</v>
      </c>
      <c r="B1908" s="11"/>
      <c r="C1908" s="82"/>
      <c r="D1908" s="1"/>
      <c r="E1908" s="83"/>
      <c r="F1908" s="83"/>
      <c r="G1908" s="84"/>
      <c r="H1908" s="85"/>
      <c r="I1908" s="1"/>
      <c r="J1908" s="5"/>
      <c r="K1908" s="5"/>
      <c r="L1908" s="4"/>
      <c r="M1908" s="4"/>
      <c r="N1908" s="82"/>
      <c r="O1908" s="86"/>
      <c r="P1908" s="4"/>
      <c r="Q1908" s="4"/>
      <c r="R1908" s="82"/>
      <c r="S1908" s="87"/>
      <c r="T1908" s="88"/>
      <c r="U1908" s="89"/>
      <c r="V1908" s="4"/>
      <c r="W1908" s="4"/>
      <c r="X1908" s="9"/>
      <c r="Y1908" s="84"/>
      <c r="Z1908" s="90"/>
      <c r="AA1908" s="84"/>
      <c r="AB1908" s="84"/>
      <c r="AC1908" s="84"/>
      <c r="AD1908" s="84"/>
      <c r="AE1908" s="84"/>
      <c r="AF1908" s="84"/>
      <c r="AG1908" s="84"/>
    </row>
    <row r="1909" spans="1:33" s="91" customFormat="1" ht="38.25" x14ac:dyDescent="0.2">
      <c r="A1909" s="13">
        <f t="shared" si="71"/>
        <v>168</v>
      </c>
      <c r="B1909" s="11">
        <v>168</v>
      </c>
      <c r="C1909" s="92" t="s">
        <v>1497</v>
      </c>
      <c r="D1909" s="1"/>
      <c r="E1909" s="87">
        <v>86</v>
      </c>
      <c r="F1909" s="87">
        <v>123</v>
      </c>
      <c r="G1909" s="84" t="s">
        <v>1105</v>
      </c>
      <c r="H1909" s="85">
        <v>119.2</v>
      </c>
      <c r="I1909" s="18"/>
      <c r="J1909" s="5"/>
      <c r="K1909" s="5"/>
      <c r="L1909" s="4"/>
      <c r="M1909" s="4"/>
      <c r="N1909" s="82"/>
      <c r="O1909" s="86"/>
      <c r="P1909" s="4"/>
      <c r="Q1909" s="4"/>
      <c r="R1909" s="47"/>
      <c r="S1909" s="87"/>
      <c r="T1909" s="88"/>
      <c r="U1909" s="89"/>
      <c r="V1909" s="4"/>
      <c r="W1909" s="4"/>
      <c r="X1909" s="9"/>
      <c r="Y1909" s="84"/>
      <c r="Z1909" s="90"/>
      <c r="AA1909" s="84"/>
      <c r="AB1909" s="84"/>
      <c r="AC1909" s="84"/>
      <c r="AD1909" s="84"/>
      <c r="AE1909" s="84" t="s">
        <v>1498</v>
      </c>
      <c r="AF1909" s="84"/>
      <c r="AG1909" s="84"/>
    </row>
    <row r="1910" spans="1:33" s="91" customFormat="1" ht="25.5" x14ac:dyDescent="0.2">
      <c r="A1910" s="13">
        <f t="shared" si="71"/>
        <v>168</v>
      </c>
      <c r="B1910" s="11"/>
      <c r="C1910" s="82" t="s">
        <v>1499</v>
      </c>
      <c r="D1910" s="1"/>
      <c r="E1910" s="87"/>
      <c r="F1910" s="87"/>
      <c r="G1910" s="84"/>
      <c r="H1910" s="85"/>
      <c r="I1910" s="18"/>
      <c r="J1910" s="5"/>
      <c r="K1910" s="5"/>
      <c r="L1910" s="4"/>
      <c r="M1910" s="4"/>
      <c r="N1910" s="82"/>
      <c r="O1910" s="86"/>
      <c r="P1910" s="4"/>
      <c r="Q1910" s="4"/>
      <c r="R1910" s="47"/>
      <c r="S1910" s="87"/>
      <c r="T1910" s="88"/>
      <c r="U1910" s="89"/>
      <c r="V1910" s="4"/>
      <c r="W1910" s="4"/>
      <c r="X1910" s="9"/>
      <c r="Y1910" s="84"/>
      <c r="Z1910" s="90"/>
      <c r="AA1910" s="84"/>
      <c r="AB1910" s="84"/>
      <c r="AC1910" s="84"/>
      <c r="AD1910" s="84"/>
      <c r="AE1910" s="84" t="s">
        <v>1500</v>
      </c>
      <c r="AF1910" s="84"/>
      <c r="AG1910" s="84"/>
    </row>
    <row r="1911" spans="1:33" s="91" customFormat="1" ht="38.25" x14ac:dyDescent="0.2">
      <c r="A1911" s="13">
        <f t="shared" si="71"/>
        <v>168</v>
      </c>
      <c r="B1911" s="11"/>
      <c r="C1911" s="82" t="s">
        <v>1501</v>
      </c>
      <c r="D1911" s="1"/>
      <c r="E1911" s="87"/>
      <c r="F1911" s="87"/>
      <c r="G1911" s="84"/>
      <c r="H1911" s="85"/>
      <c r="I1911" s="18"/>
      <c r="J1911" s="5"/>
      <c r="K1911" s="5"/>
      <c r="L1911" s="4"/>
      <c r="M1911" s="4"/>
      <c r="N1911" s="82"/>
      <c r="O1911" s="86"/>
      <c r="P1911" s="4"/>
      <c r="Q1911" s="4"/>
      <c r="R1911" s="47"/>
      <c r="S1911" s="87"/>
      <c r="T1911" s="88"/>
      <c r="U1911" s="89"/>
      <c r="V1911" s="4"/>
      <c r="W1911" s="4"/>
      <c r="X1911" s="9"/>
      <c r="Y1911" s="84"/>
      <c r="Z1911" s="90"/>
      <c r="AA1911" s="84"/>
      <c r="AB1911" s="84"/>
      <c r="AC1911" s="84"/>
      <c r="AD1911" s="84"/>
      <c r="AE1911" s="84" t="s">
        <v>1502</v>
      </c>
      <c r="AF1911" s="84"/>
      <c r="AG1911" s="84"/>
    </row>
    <row r="1912" spans="1:33" s="91" customFormat="1" ht="12.75" x14ac:dyDescent="0.2">
      <c r="A1912" s="13">
        <f t="shared" si="71"/>
        <v>168</v>
      </c>
      <c r="B1912" s="11"/>
      <c r="C1912" s="82"/>
      <c r="D1912" s="1"/>
      <c r="E1912" s="83"/>
      <c r="F1912" s="83"/>
      <c r="G1912" s="84"/>
      <c r="H1912" s="85"/>
      <c r="I1912" s="1"/>
      <c r="J1912" s="5"/>
      <c r="K1912" s="5"/>
      <c r="L1912" s="4"/>
      <c r="M1912" s="4"/>
      <c r="N1912" s="82"/>
      <c r="O1912" s="86"/>
      <c r="P1912" s="4"/>
      <c r="Q1912" s="4"/>
      <c r="R1912" s="82"/>
      <c r="S1912" s="87"/>
      <c r="T1912" s="88"/>
      <c r="U1912" s="89"/>
      <c r="V1912" s="4"/>
      <c r="W1912" s="4"/>
      <c r="X1912" s="9"/>
      <c r="Y1912" s="84"/>
      <c r="Z1912" s="90"/>
      <c r="AA1912" s="84"/>
      <c r="AB1912" s="84"/>
      <c r="AC1912" s="84"/>
      <c r="AD1912" s="84"/>
      <c r="AE1912" s="84"/>
      <c r="AF1912" s="84"/>
      <c r="AG1912" s="84"/>
    </row>
    <row r="1913" spans="1:33" s="91" customFormat="1" ht="12.75" x14ac:dyDescent="0.2">
      <c r="A1913" s="13">
        <f t="shared" si="71"/>
        <v>168</v>
      </c>
      <c r="B1913" s="11"/>
      <c r="C1913" s="82"/>
      <c r="D1913" s="1"/>
      <c r="E1913" s="83"/>
      <c r="F1913" s="83"/>
      <c r="G1913" s="84"/>
      <c r="H1913" s="85"/>
      <c r="I1913" s="1"/>
      <c r="J1913" s="5"/>
      <c r="K1913" s="5"/>
      <c r="L1913" s="4"/>
      <c r="M1913" s="4"/>
      <c r="N1913" s="82"/>
      <c r="O1913" s="86"/>
      <c r="P1913" s="4"/>
      <c r="Q1913" s="4"/>
      <c r="R1913" s="82"/>
      <c r="S1913" s="87"/>
      <c r="T1913" s="88"/>
      <c r="U1913" s="89"/>
      <c r="V1913" s="4"/>
      <c r="W1913" s="4"/>
      <c r="X1913" s="9"/>
      <c r="Y1913" s="84"/>
      <c r="Z1913" s="90"/>
      <c r="AA1913" s="84"/>
      <c r="AB1913" s="84"/>
      <c r="AC1913" s="84"/>
      <c r="AD1913" s="84"/>
      <c r="AE1913" s="84"/>
      <c r="AF1913" s="84"/>
      <c r="AG1913" s="84"/>
    </row>
    <row r="1914" spans="1:33" s="91" customFormat="1" ht="12.75" x14ac:dyDescent="0.2">
      <c r="A1914" s="13">
        <f t="shared" si="71"/>
        <v>168</v>
      </c>
      <c r="B1914" s="11"/>
      <c r="C1914" s="84"/>
      <c r="D1914" s="1"/>
      <c r="E1914" s="83"/>
      <c r="F1914" s="83"/>
      <c r="G1914" s="84"/>
      <c r="H1914" s="85"/>
      <c r="I1914" s="1"/>
      <c r="J1914" s="5"/>
      <c r="K1914" s="5"/>
      <c r="L1914" s="4"/>
      <c r="M1914" s="4"/>
      <c r="N1914" s="82"/>
      <c r="O1914" s="86"/>
      <c r="P1914" s="4"/>
      <c r="Q1914" s="4"/>
      <c r="R1914" s="82"/>
      <c r="S1914" s="87"/>
      <c r="T1914" s="88"/>
      <c r="U1914" s="89"/>
      <c r="V1914" s="4"/>
      <c r="W1914" s="4"/>
      <c r="X1914" s="9"/>
      <c r="Y1914" s="84"/>
      <c r="Z1914" s="90"/>
      <c r="AA1914" s="84"/>
      <c r="AB1914" s="84"/>
      <c r="AC1914" s="84"/>
      <c r="AD1914" s="84"/>
      <c r="AE1914" s="82"/>
      <c r="AF1914" s="82"/>
      <c r="AG1914" s="82"/>
    </row>
    <row r="1915" spans="1:33" s="91" customFormat="1" ht="12.75" x14ac:dyDescent="0.2">
      <c r="A1915" s="13">
        <f t="shared" si="71"/>
        <v>168</v>
      </c>
      <c r="B1915" s="11"/>
      <c r="C1915" s="84"/>
      <c r="D1915" s="1"/>
      <c r="E1915" s="83"/>
      <c r="F1915" s="83"/>
      <c r="G1915" s="84"/>
      <c r="H1915" s="85"/>
      <c r="I1915" s="1"/>
      <c r="J1915" s="5"/>
      <c r="K1915" s="5"/>
      <c r="L1915" s="4"/>
      <c r="M1915" s="4"/>
      <c r="N1915" s="82"/>
      <c r="O1915" s="86"/>
      <c r="P1915" s="4"/>
      <c r="Q1915" s="4"/>
      <c r="R1915" s="82"/>
      <c r="S1915" s="87"/>
      <c r="T1915" s="88"/>
      <c r="U1915" s="89"/>
      <c r="V1915" s="4"/>
      <c r="W1915" s="4"/>
      <c r="X1915" s="9"/>
      <c r="Y1915" s="84"/>
      <c r="Z1915" s="90"/>
      <c r="AA1915" s="84"/>
      <c r="AB1915" s="84"/>
      <c r="AC1915" s="84"/>
      <c r="AD1915" s="84"/>
      <c r="AE1915" s="1"/>
      <c r="AF1915" s="1"/>
      <c r="AG1915" s="1"/>
    </row>
    <row r="1916" spans="1:33" s="91" customFormat="1" ht="12.75" x14ac:dyDescent="0.2">
      <c r="A1916" s="13">
        <f t="shared" si="71"/>
        <v>168</v>
      </c>
      <c r="B1916" s="11"/>
      <c r="C1916" s="82"/>
      <c r="D1916" s="1"/>
      <c r="E1916" s="83"/>
      <c r="F1916" s="83"/>
      <c r="G1916" s="84"/>
      <c r="H1916" s="85"/>
      <c r="I1916" s="1"/>
      <c r="J1916" s="5"/>
      <c r="K1916" s="5"/>
      <c r="L1916" s="4"/>
      <c r="M1916" s="4"/>
      <c r="N1916" s="82"/>
      <c r="O1916" s="86"/>
      <c r="P1916" s="4"/>
      <c r="Q1916" s="4"/>
      <c r="R1916" s="82"/>
      <c r="S1916" s="87"/>
      <c r="T1916" s="88"/>
      <c r="U1916" s="89"/>
      <c r="V1916" s="4"/>
      <c r="W1916" s="4"/>
      <c r="X1916" s="9"/>
      <c r="Y1916" s="84"/>
      <c r="Z1916" s="90"/>
      <c r="AA1916" s="84"/>
      <c r="AB1916" s="84"/>
      <c r="AC1916" s="84"/>
      <c r="AD1916" s="84"/>
      <c r="AE1916" s="84"/>
      <c r="AF1916" s="84"/>
      <c r="AG1916" s="84"/>
    </row>
    <row r="1917" spans="1:33" s="91" customFormat="1" ht="12.75" x14ac:dyDescent="0.2">
      <c r="A1917" s="13">
        <f t="shared" si="71"/>
        <v>168</v>
      </c>
      <c r="B1917" s="11"/>
      <c r="C1917" s="82"/>
      <c r="D1917" s="1"/>
      <c r="E1917" s="83"/>
      <c r="F1917" s="83"/>
      <c r="G1917" s="84"/>
      <c r="H1917" s="85"/>
      <c r="I1917" s="1"/>
      <c r="J1917" s="5"/>
      <c r="K1917" s="5"/>
      <c r="L1917" s="4"/>
      <c r="M1917" s="4"/>
      <c r="N1917" s="82"/>
      <c r="O1917" s="86"/>
      <c r="P1917" s="4"/>
      <c r="Q1917" s="4"/>
      <c r="R1917" s="82"/>
      <c r="S1917" s="87"/>
      <c r="T1917" s="88"/>
      <c r="U1917" s="89"/>
      <c r="V1917" s="4"/>
      <c r="W1917" s="4"/>
      <c r="X1917" s="9"/>
      <c r="Y1917" s="84"/>
      <c r="Z1917" s="90"/>
      <c r="AA1917" s="84"/>
      <c r="AB1917" s="84"/>
      <c r="AC1917" s="84"/>
      <c r="AD1917" s="84"/>
      <c r="AE1917" s="84"/>
      <c r="AF1917" s="84"/>
      <c r="AG1917" s="84"/>
    </row>
    <row r="1918" spans="1:33" s="91" customFormat="1" ht="25.5" x14ac:dyDescent="0.2">
      <c r="A1918" s="13">
        <f t="shared" si="71"/>
        <v>169</v>
      </c>
      <c r="B1918" s="11">
        <v>169</v>
      </c>
      <c r="C1918" s="92" t="s">
        <v>1503</v>
      </c>
      <c r="D1918" s="1"/>
      <c r="E1918" s="87">
        <v>86</v>
      </c>
      <c r="F1918" s="87">
        <v>378</v>
      </c>
      <c r="G1918" s="84" t="s">
        <v>1105</v>
      </c>
      <c r="H1918" s="85">
        <v>147</v>
      </c>
      <c r="I1918" s="18"/>
      <c r="J1918" s="5"/>
      <c r="K1918" s="5"/>
      <c r="L1918" s="4"/>
      <c r="M1918" s="4"/>
      <c r="N1918" s="82" t="s">
        <v>1429</v>
      </c>
      <c r="O1918" s="86">
        <v>1</v>
      </c>
      <c r="P1918" s="4"/>
      <c r="Q1918" s="4"/>
      <c r="R1918" s="47"/>
      <c r="S1918" s="87"/>
      <c r="T1918" s="88"/>
      <c r="U1918" s="89"/>
      <c r="V1918" s="4"/>
      <c r="W1918" s="4"/>
      <c r="X1918" s="9"/>
      <c r="Y1918" s="84"/>
      <c r="Z1918" s="90"/>
      <c r="AA1918" s="84"/>
      <c r="AB1918" s="84"/>
      <c r="AC1918" s="84"/>
      <c r="AD1918" s="84"/>
      <c r="AE1918" s="84" t="s">
        <v>1504</v>
      </c>
      <c r="AF1918" s="84"/>
      <c r="AG1918" s="84"/>
    </row>
    <row r="1919" spans="1:33" s="91" customFormat="1" ht="25.5" x14ac:dyDescent="0.2">
      <c r="A1919" s="13">
        <f t="shared" si="71"/>
        <v>169</v>
      </c>
      <c r="B1919" s="11"/>
      <c r="C1919" s="82" t="s">
        <v>1505</v>
      </c>
      <c r="D1919" s="1"/>
      <c r="E1919" s="87"/>
      <c r="F1919" s="87"/>
      <c r="G1919" s="84"/>
      <c r="H1919" s="85"/>
      <c r="I1919" s="18"/>
      <c r="J1919" s="5"/>
      <c r="K1919" s="5"/>
      <c r="L1919" s="4"/>
      <c r="M1919" s="4"/>
      <c r="N1919" s="82" t="s">
        <v>408</v>
      </c>
      <c r="O1919" s="86">
        <v>1</v>
      </c>
      <c r="P1919" s="4"/>
      <c r="Q1919" s="4"/>
      <c r="R1919" s="47"/>
      <c r="S1919" s="87"/>
      <c r="T1919" s="88"/>
      <c r="U1919" s="89"/>
      <c r="V1919" s="4"/>
      <c r="W1919" s="4"/>
      <c r="X1919" s="9"/>
      <c r="Y1919" s="84"/>
      <c r="Z1919" s="90"/>
      <c r="AA1919" s="84"/>
      <c r="AB1919" s="84"/>
      <c r="AC1919" s="84"/>
      <c r="AD1919" s="84"/>
      <c r="AE1919" s="84" t="s">
        <v>1506</v>
      </c>
      <c r="AF1919" s="84"/>
      <c r="AG1919" s="84"/>
    </row>
    <row r="1920" spans="1:33" s="91" customFormat="1" ht="38.25" x14ac:dyDescent="0.2">
      <c r="A1920" s="13">
        <f t="shared" si="71"/>
        <v>169</v>
      </c>
      <c r="B1920" s="11"/>
      <c r="C1920" s="82" t="s">
        <v>1640</v>
      </c>
      <c r="D1920" s="1"/>
      <c r="E1920" s="83"/>
      <c r="F1920" s="83"/>
      <c r="G1920" s="84"/>
      <c r="H1920" s="85"/>
      <c r="I1920" s="18"/>
      <c r="J1920" s="5"/>
      <c r="K1920" s="5"/>
      <c r="L1920" s="4"/>
      <c r="M1920" s="4"/>
      <c r="N1920" s="82"/>
      <c r="O1920" s="86"/>
      <c r="P1920" s="4"/>
      <c r="Q1920" s="4"/>
      <c r="R1920" s="47"/>
      <c r="S1920" s="87"/>
      <c r="T1920" s="88"/>
      <c r="U1920" s="89"/>
      <c r="V1920" s="4"/>
      <c r="W1920" s="4"/>
      <c r="X1920" s="9"/>
      <c r="Y1920" s="84"/>
      <c r="Z1920" s="90"/>
      <c r="AA1920" s="84"/>
      <c r="AB1920" s="84"/>
      <c r="AC1920" s="84"/>
      <c r="AD1920" s="84"/>
      <c r="AE1920" s="84" t="s">
        <v>404</v>
      </c>
      <c r="AF1920" s="84"/>
      <c r="AG1920" s="84"/>
    </row>
    <row r="1921" spans="1:33" s="91" customFormat="1" ht="12.75" x14ac:dyDescent="0.2">
      <c r="A1921" s="13">
        <f t="shared" si="71"/>
        <v>169</v>
      </c>
      <c r="B1921" s="11"/>
      <c r="C1921" s="82"/>
      <c r="D1921" s="1"/>
      <c r="E1921" s="83"/>
      <c r="F1921" s="83"/>
      <c r="G1921" s="84"/>
      <c r="H1921" s="85"/>
      <c r="I1921" s="1"/>
      <c r="J1921" s="5"/>
      <c r="K1921" s="5"/>
      <c r="L1921" s="4"/>
      <c r="M1921" s="4"/>
      <c r="N1921" s="82"/>
      <c r="O1921" s="86"/>
      <c r="P1921" s="4"/>
      <c r="Q1921" s="4"/>
      <c r="R1921" s="82"/>
      <c r="S1921" s="87"/>
      <c r="T1921" s="88"/>
      <c r="U1921" s="89"/>
      <c r="V1921" s="4"/>
      <c r="W1921" s="4"/>
      <c r="X1921" s="9"/>
      <c r="Y1921" s="84"/>
      <c r="Z1921" s="90"/>
      <c r="AA1921" s="84"/>
      <c r="AB1921" s="84"/>
      <c r="AC1921" s="84"/>
      <c r="AD1921" s="84"/>
      <c r="AE1921" s="84"/>
      <c r="AF1921" s="84"/>
      <c r="AG1921" s="84"/>
    </row>
    <row r="1922" spans="1:33" s="91" customFormat="1" ht="12.75" x14ac:dyDescent="0.2">
      <c r="A1922" s="13">
        <f t="shared" si="71"/>
        <v>169</v>
      </c>
      <c r="B1922" s="11"/>
      <c r="C1922" s="82"/>
      <c r="D1922" s="1"/>
      <c r="E1922" s="83"/>
      <c r="F1922" s="83"/>
      <c r="G1922" s="84"/>
      <c r="H1922" s="85"/>
      <c r="I1922" s="1"/>
      <c r="J1922" s="5"/>
      <c r="K1922" s="5"/>
      <c r="L1922" s="4"/>
      <c r="M1922" s="4"/>
      <c r="N1922" s="82"/>
      <c r="O1922" s="86"/>
      <c r="P1922" s="4"/>
      <c r="Q1922" s="4"/>
      <c r="R1922" s="82"/>
      <c r="S1922" s="87"/>
      <c r="T1922" s="88"/>
      <c r="U1922" s="89"/>
      <c r="V1922" s="4"/>
      <c r="W1922" s="4"/>
      <c r="X1922" s="9"/>
      <c r="Y1922" s="84"/>
      <c r="Z1922" s="90"/>
      <c r="AA1922" s="84"/>
      <c r="AB1922" s="84"/>
      <c r="AC1922" s="84"/>
      <c r="AD1922" s="84"/>
      <c r="AE1922" s="82"/>
      <c r="AF1922" s="82"/>
      <c r="AG1922" s="82"/>
    </row>
    <row r="1923" spans="1:33" s="91" customFormat="1" ht="12.75" x14ac:dyDescent="0.2">
      <c r="A1923" s="13">
        <f t="shared" si="71"/>
        <v>169</v>
      </c>
      <c r="B1923" s="11"/>
      <c r="C1923" s="82"/>
      <c r="D1923" s="1"/>
      <c r="E1923" s="83"/>
      <c r="F1923" s="83"/>
      <c r="G1923" s="84"/>
      <c r="H1923" s="85"/>
      <c r="I1923" s="1"/>
      <c r="J1923" s="5"/>
      <c r="K1923" s="5"/>
      <c r="L1923" s="4"/>
      <c r="M1923" s="4"/>
      <c r="N1923" s="82"/>
      <c r="O1923" s="86"/>
      <c r="P1923" s="4"/>
      <c r="Q1923" s="4"/>
      <c r="R1923" s="82"/>
      <c r="S1923" s="87"/>
      <c r="T1923" s="88"/>
      <c r="U1923" s="89"/>
      <c r="V1923" s="4"/>
      <c r="W1923" s="4"/>
      <c r="X1923" s="9"/>
      <c r="Y1923" s="84"/>
      <c r="Z1923" s="90"/>
      <c r="AA1923" s="84"/>
      <c r="AB1923" s="84"/>
      <c r="AC1923" s="84"/>
      <c r="AD1923" s="84"/>
      <c r="AE1923" s="1"/>
      <c r="AF1923" s="1"/>
      <c r="AG1923" s="1"/>
    </row>
    <row r="1924" spans="1:33" s="91" customFormat="1" ht="12.75" x14ac:dyDescent="0.2">
      <c r="A1924" s="13">
        <f t="shared" si="71"/>
        <v>169</v>
      </c>
      <c r="B1924" s="11"/>
      <c r="C1924" s="82"/>
      <c r="D1924" s="1"/>
      <c r="E1924" s="83"/>
      <c r="F1924" s="83"/>
      <c r="G1924" s="84"/>
      <c r="H1924" s="85"/>
      <c r="I1924" s="1"/>
      <c r="J1924" s="5"/>
      <c r="K1924" s="5"/>
      <c r="L1924" s="4"/>
      <c r="M1924" s="4"/>
      <c r="N1924" s="82"/>
      <c r="O1924" s="86"/>
      <c r="P1924" s="4"/>
      <c r="Q1924" s="4"/>
      <c r="R1924" s="82"/>
      <c r="S1924" s="87"/>
      <c r="T1924" s="88"/>
      <c r="U1924" s="89"/>
      <c r="V1924" s="4"/>
      <c r="W1924" s="4"/>
      <c r="X1924" s="9"/>
      <c r="Y1924" s="84"/>
      <c r="Z1924" s="90"/>
      <c r="AA1924" s="84"/>
      <c r="AB1924" s="84"/>
      <c r="AC1924" s="84"/>
      <c r="AD1924" s="84"/>
      <c r="AE1924" s="84"/>
      <c r="AF1924" s="84"/>
      <c r="AG1924" s="84"/>
    </row>
    <row r="1925" spans="1:33" s="91" customFormat="1" ht="12.75" x14ac:dyDescent="0.2">
      <c r="A1925" s="13">
        <f t="shared" si="71"/>
        <v>169</v>
      </c>
      <c r="B1925" s="11"/>
      <c r="C1925" s="82"/>
      <c r="D1925" s="1"/>
      <c r="E1925" s="83"/>
      <c r="F1925" s="83"/>
      <c r="G1925" s="84"/>
      <c r="H1925" s="85"/>
      <c r="I1925" s="1"/>
      <c r="J1925" s="5"/>
      <c r="K1925" s="5"/>
      <c r="L1925" s="4"/>
      <c r="M1925" s="4"/>
      <c r="N1925" s="82"/>
      <c r="O1925" s="86"/>
      <c r="P1925" s="4"/>
      <c r="Q1925" s="4"/>
      <c r="R1925" s="82"/>
      <c r="S1925" s="87"/>
      <c r="T1925" s="88"/>
      <c r="U1925" s="89"/>
      <c r="V1925" s="4"/>
      <c r="W1925" s="4"/>
      <c r="X1925" s="9"/>
      <c r="Y1925" s="84"/>
      <c r="Z1925" s="90"/>
      <c r="AA1925" s="84"/>
      <c r="AB1925" s="84"/>
      <c r="AC1925" s="84"/>
      <c r="AD1925" s="84"/>
      <c r="AE1925" s="84"/>
      <c r="AF1925" s="84"/>
      <c r="AG1925" s="84"/>
    </row>
    <row r="1926" spans="1:33" s="91" customFormat="1" ht="12.75" x14ac:dyDescent="0.2">
      <c r="A1926" s="13">
        <f t="shared" si="71"/>
        <v>169</v>
      </c>
      <c r="B1926" s="11"/>
      <c r="C1926" s="82"/>
      <c r="D1926" s="1"/>
      <c r="E1926" s="83"/>
      <c r="F1926" s="83"/>
      <c r="G1926" s="84"/>
      <c r="H1926" s="85"/>
      <c r="I1926" s="1"/>
      <c r="J1926" s="5"/>
      <c r="K1926" s="5"/>
      <c r="L1926" s="4"/>
      <c r="M1926" s="4"/>
      <c r="N1926" s="82"/>
      <c r="O1926" s="86"/>
      <c r="P1926" s="4"/>
      <c r="Q1926" s="4"/>
      <c r="R1926" s="82"/>
      <c r="S1926" s="87"/>
      <c r="T1926" s="88"/>
      <c r="U1926" s="89"/>
      <c r="V1926" s="4"/>
      <c r="W1926" s="4"/>
      <c r="X1926" s="9"/>
      <c r="Y1926" s="84"/>
      <c r="Z1926" s="90"/>
      <c r="AA1926" s="84"/>
      <c r="AB1926" s="84"/>
      <c r="AC1926" s="84"/>
      <c r="AD1926" s="84"/>
      <c r="AE1926" s="84"/>
      <c r="AF1926" s="84"/>
      <c r="AG1926" s="84"/>
    </row>
    <row r="1927" spans="1:33" s="91" customFormat="1" ht="38.25" x14ac:dyDescent="0.2">
      <c r="A1927" s="13">
        <f t="shared" si="71"/>
        <v>170</v>
      </c>
      <c r="B1927" s="11">
        <v>170</v>
      </c>
      <c r="C1927" s="92" t="s">
        <v>1507</v>
      </c>
      <c r="D1927" s="1"/>
      <c r="E1927" s="87">
        <v>86</v>
      </c>
      <c r="F1927" s="87">
        <v>288</v>
      </c>
      <c r="G1927" s="84" t="s">
        <v>1105</v>
      </c>
      <c r="H1927" s="85">
        <v>154</v>
      </c>
      <c r="I1927" s="18"/>
      <c r="J1927" s="5"/>
      <c r="K1927" s="5"/>
      <c r="L1927" s="4"/>
      <c r="M1927" s="4"/>
      <c r="N1927" s="82" t="s">
        <v>145</v>
      </c>
      <c r="O1927" s="86">
        <v>1</v>
      </c>
      <c r="P1927" s="4"/>
      <c r="Q1927" s="4"/>
      <c r="R1927" s="47" t="s">
        <v>1508</v>
      </c>
      <c r="S1927" s="87" t="s">
        <v>101</v>
      </c>
      <c r="T1927" s="88">
        <v>10</v>
      </c>
      <c r="U1927" s="89"/>
      <c r="V1927" s="4"/>
      <c r="W1927" s="4"/>
      <c r="X1927" s="9"/>
      <c r="Y1927" s="84"/>
      <c r="Z1927" s="90"/>
      <c r="AA1927" s="84"/>
      <c r="AB1927" s="84"/>
      <c r="AC1927" s="84"/>
      <c r="AD1927" s="84"/>
      <c r="AE1927" s="84" t="s">
        <v>1509</v>
      </c>
      <c r="AF1927" s="84"/>
      <c r="AG1927" s="84" t="s">
        <v>1372</v>
      </c>
    </row>
    <row r="1928" spans="1:33" s="91" customFormat="1" ht="56.25" customHeight="1" x14ac:dyDescent="0.2">
      <c r="A1928" s="13">
        <f t="shared" ref="A1928:A1991" si="72">IF(B1928&lt;&gt;0,B1928,A1927)</f>
        <v>170</v>
      </c>
      <c r="B1928" s="11"/>
      <c r="C1928" s="82" t="s">
        <v>1510</v>
      </c>
      <c r="D1928" s="1"/>
      <c r="E1928" s="87">
        <v>86</v>
      </c>
      <c r="F1928" s="87">
        <v>288</v>
      </c>
      <c r="G1928" s="84" t="s">
        <v>1511</v>
      </c>
      <c r="H1928" s="85">
        <v>36</v>
      </c>
      <c r="I1928" s="18"/>
      <c r="J1928" s="5"/>
      <c r="K1928" s="5"/>
      <c r="L1928" s="4"/>
      <c r="M1928" s="4"/>
      <c r="N1928" s="82"/>
      <c r="O1928" s="86"/>
      <c r="P1928" s="4"/>
      <c r="Q1928" s="4"/>
      <c r="R1928" s="47"/>
      <c r="S1928" s="87"/>
      <c r="T1928" s="88"/>
      <c r="U1928" s="89"/>
      <c r="V1928" s="4"/>
      <c r="W1928" s="4"/>
      <c r="X1928" s="9"/>
      <c r="Y1928" s="84"/>
      <c r="Z1928" s="90"/>
      <c r="AA1928" s="84"/>
      <c r="AB1928" s="84"/>
      <c r="AC1928" s="84"/>
      <c r="AD1928" s="84"/>
      <c r="AE1928" s="84" t="s">
        <v>1512</v>
      </c>
      <c r="AF1928" s="84"/>
      <c r="AG1928" s="84"/>
    </row>
    <row r="1929" spans="1:33" s="91" customFormat="1" ht="38.25" x14ac:dyDescent="0.2">
      <c r="A1929" s="13">
        <f t="shared" si="72"/>
        <v>170</v>
      </c>
      <c r="B1929" s="11"/>
      <c r="C1929" s="82" t="s">
        <v>1641</v>
      </c>
      <c r="D1929" s="1"/>
      <c r="E1929" s="83"/>
      <c r="F1929" s="83"/>
      <c r="G1929" s="84"/>
      <c r="H1929" s="85"/>
      <c r="I1929" s="18"/>
      <c r="J1929" s="5"/>
      <c r="K1929" s="5"/>
      <c r="L1929" s="4"/>
      <c r="M1929" s="4"/>
      <c r="N1929" s="82"/>
      <c r="O1929" s="86"/>
      <c r="P1929" s="4"/>
      <c r="Q1929" s="4"/>
      <c r="R1929" s="47"/>
      <c r="S1929" s="87"/>
      <c r="T1929" s="88"/>
      <c r="U1929" s="89"/>
      <c r="V1929" s="4"/>
      <c r="W1929" s="4"/>
      <c r="X1929" s="9"/>
      <c r="Y1929" s="84"/>
      <c r="Z1929" s="90"/>
      <c r="AA1929" s="84"/>
      <c r="AB1929" s="84"/>
      <c r="AC1929" s="84"/>
      <c r="AD1929" s="84"/>
      <c r="AE1929" s="84" t="s">
        <v>404</v>
      </c>
      <c r="AF1929" s="84"/>
      <c r="AG1929" s="84"/>
    </row>
    <row r="1930" spans="1:33" s="91" customFormat="1" ht="12.75" x14ac:dyDescent="0.2">
      <c r="A1930" s="13">
        <f t="shared" si="72"/>
        <v>170</v>
      </c>
      <c r="B1930" s="11"/>
      <c r="C1930" s="82"/>
      <c r="D1930" s="1"/>
      <c r="E1930" s="83"/>
      <c r="F1930" s="83"/>
      <c r="G1930" s="84"/>
      <c r="H1930" s="85"/>
      <c r="I1930" s="1"/>
      <c r="J1930" s="5"/>
      <c r="K1930" s="5"/>
      <c r="L1930" s="4"/>
      <c r="M1930" s="4"/>
      <c r="N1930" s="82"/>
      <c r="O1930" s="86"/>
      <c r="P1930" s="4"/>
      <c r="Q1930" s="4"/>
      <c r="R1930" s="82"/>
      <c r="S1930" s="87"/>
      <c r="T1930" s="88"/>
      <c r="U1930" s="89"/>
      <c r="V1930" s="4"/>
      <c r="W1930" s="4"/>
      <c r="X1930" s="9"/>
      <c r="Y1930" s="84"/>
      <c r="Z1930" s="90"/>
      <c r="AA1930" s="84"/>
      <c r="AB1930" s="84"/>
      <c r="AC1930" s="84"/>
      <c r="AD1930" s="84"/>
      <c r="AE1930" s="84"/>
      <c r="AF1930" s="84"/>
      <c r="AG1930" s="84"/>
    </row>
    <row r="1931" spans="1:33" s="91" customFormat="1" ht="12.75" x14ac:dyDescent="0.2">
      <c r="A1931" s="13">
        <f t="shared" si="72"/>
        <v>170</v>
      </c>
      <c r="B1931" s="11"/>
      <c r="C1931" s="82"/>
      <c r="D1931" s="1"/>
      <c r="E1931" s="83"/>
      <c r="F1931" s="83"/>
      <c r="G1931" s="84"/>
      <c r="H1931" s="85"/>
      <c r="I1931" s="1"/>
      <c r="J1931" s="5"/>
      <c r="K1931" s="5"/>
      <c r="L1931" s="4"/>
      <c r="M1931" s="4"/>
      <c r="N1931" s="82"/>
      <c r="O1931" s="86"/>
      <c r="P1931" s="4"/>
      <c r="Q1931" s="4"/>
      <c r="R1931" s="82"/>
      <c r="S1931" s="87"/>
      <c r="T1931" s="88"/>
      <c r="U1931" s="89"/>
      <c r="V1931" s="4"/>
      <c r="W1931" s="4"/>
      <c r="X1931" s="9"/>
      <c r="Y1931" s="84"/>
      <c r="Z1931" s="90"/>
      <c r="AA1931" s="84"/>
      <c r="AB1931" s="84"/>
      <c r="AC1931" s="84"/>
      <c r="AD1931" s="84"/>
      <c r="AE1931" s="84"/>
      <c r="AF1931" s="84"/>
      <c r="AG1931" s="84"/>
    </row>
    <row r="1932" spans="1:33" s="91" customFormat="1" ht="12.75" x14ac:dyDescent="0.2">
      <c r="A1932" s="13">
        <f t="shared" si="72"/>
        <v>170</v>
      </c>
      <c r="B1932" s="11"/>
      <c r="C1932" s="82"/>
      <c r="D1932" s="1"/>
      <c r="E1932" s="83"/>
      <c r="F1932" s="83"/>
      <c r="G1932" s="84"/>
      <c r="H1932" s="85"/>
      <c r="I1932" s="1"/>
      <c r="J1932" s="5"/>
      <c r="K1932" s="5"/>
      <c r="L1932" s="4"/>
      <c r="M1932" s="4"/>
      <c r="N1932" s="82"/>
      <c r="O1932" s="86"/>
      <c r="P1932" s="4"/>
      <c r="Q1932" s="4"/>
      <c r="R1932" s="82"/>
      <c r="S1932" s="87"/>
      <c r="T1932" s="88"/>
      <c r="U1932" s="89"/>
      <c r="V1932" s="4"/>
      <c r="W1932" s="4"/>
      <c r="X1932" s="9"/>
      <c r="Y1932" s="84"/>
      <c r="Z1932" s="90"/>
      <c r="AA1932" s="84"/>
      <c r="AB1932" s="84"/>
      <c r="AC1932" s="84"/>
      <c r="AD1932" s="84"/>
      <c r="AE1932" s="82"/>
      <c r="AF1932" s="82"/>
      <c r="AG1932" s="82"/>
    </row>
    <row r="1933" spans="1:33" s="91" customFormat="1" ht="12.75" x14ac:dyDescent="0.2">
      <c r="A1933" s="13">
        <f t="shared" si="72"/>
        <v>170</v>
      </c>
      <c r="B1933" s="11"/>
      <c r="C1933" s="82"/>
      <c r="D1933" s="1"/>
      <c r="E1933" s="83"/>
      <c r="F1933" s="83"/>
      <c r="G1933" s="84"/>
      <c r="H1933" s="85"/>
      <c r="I1933" s="1"/>
      <c r="J1933" s="5"/>
      <c r="K1933" s="5"/>
      <c r="L1933" s="4"/>
      <c r="M1933" s="4"/>
      <c r="N1933" s="82"/>
      <c r="O1933" s="86"/>
      <c r="P1933" s="4"/>
      <c r="Q1933" s="4"/>
      <c r="R1933" s="82"/>
      <c r="S1933" s="87"/>
      <c r="T1933" s="88"/>
      <c r="U1933" s="89"/>
      <c r="V1933" s="4"/>
      <c r="W1933" s="4"/>
      <c r="X1933" s="9"/>
      <c r="Y1933" s="84"/>
      <c r="Z1933" s="90"/>
      <c r="AA1933" s="84"/>
      <c r="AB1933" s="84"/>
      <c r="AC1933" s="84"/>
      <c r="AD1933" s="84"/>
      <c r="AE1933" s="1"/>
      <c r="AF1933" s="1"/>
      <c r="AG1933" s="1"/>
    </row>
    <row r="1934" spans="1:33" s="91" customFormat="1" ht="12.75" x14ac:dyDescent="0.2">
      <c r="A1934" s="13">
        <f t="shared" si="72"/>
        <v>170</v>
      </c>
      <c r="B1934" s="11"/>
      <c r="C1934" s="82"/>
      <c r="D1934" s="1"/>
      <c r="E1934" s="83"/>
      <c r="F1934" s="83"/>
      <c r="G1934" s="84"/>
      <c r="H1934" s="85"/>
      <c r="I1934" s="1"/>
      <c r="J1934" s="5"/>
      <c r="K1934" s="5"/>
      <c r="L1934" s="4"/>
      <c r="M1934" s="4"/>
      <c r="N1934" s="82"/>
      <c r="O1934" s="86"/>
      <c r="P1934" s="4"/>
      <c r="Q1934" s="4"/>
      <c r="R1934" s="82"/>
      <c r="S1934" s="87"/>
      <c r="T1934" s="88"/>
      <c r="U1934" s="89"/>
      <c r="V1934" s="4"/>
      <c r="W1934" s="4"/>
      <c r="X1934" s="9"/>
      <c r="Y1934" s="84"/>
      <c r="Z1934" s="90"/>
      <c r="AA1934" s="84"/>
      <c r="AB1934" s="84"/>
      <c r="AC1934" s="84"/>
      <c r="AD1934" s="84"/>
      <c r="AE1934" s="84"/>
      <c r="AF1934" s="84"/>
      <c r="AG1934" s="84"/>
    </row>
    <row r="1935" spans="1:33" s="91" customFormat="1" ht="12.75" x14ac:dyDescent="0.2">
      <c r="A1935" s="13">
        <f t="shared" si="72"/>
        <v>170</v>
      </c>
      <c r="B1935" s="11"/>
      <c r="C1935" s="82"/>
      <c r="D1935" s="1"/>
      <c r="E1935" s="83"/>
      <c r="F1935" s="83"/>
      <c r="G1935" s="84"/>
      <c r="H1935" s="85"/>
      <c r="I1935" s="1"/>
      <c r="J1935" s="5"/>
      <c r="K1935" s="5"/>
      <c r="L1935" s="4"/>
      <c r="M1935" s="4"/>
      <c r="N1935" s="82"/>
      <c r="O1935" s="86"/>
      <c r="P1935" s="4"/>
      <c r="Q1935" s="4"/>
      <c r="R1935" s="82"/>
      <c r="S1935" s="87"/>
      <c r="T1935" s="88"/>
      <c r="U1935" s="89"/>
      <c r="V1935" s="4"/>
      <c r="W1935" s="4"/>
      <c r="X1935" s="9"/>
      <c r="Y1935" s="84"/>
      <c r="Z1935" s="90"/>
      <c r="AA1935" s="84"/>
      <c r="AB1935" s="84"/>
      <c r="AC1935" s="84"/>
      <c r="AD1935" s="84"/>
      <c r="AE1935" s="84"/>
      <c r="AF1935" s="84"/>
      <c r="AG1935" s="84"/>
    </row>
    <row r="1936" spans="1:33" s="91" customFormat="1" ht="58.5" customHeight="1" x14ac:dyDescent="0.2">
      <c r="A1936" s="13">
        <f t="shared" si="72"/>
        <v>171</v>
      </c>
      <c r="B1936" s="11">
        <v>171</v>
      </c>
      <c r="C1936" s="92" t="s">
        <v>1513</v>
      </c>
      <c r="D1936" s="1"/>
      <c r="E1936" s="87">
        <v>86</v>
      </c>
      <c r="F1936" s="83">
        <v>272</v>
      </c>
      <c r="G1936" s="84" t="s">
        <v>1206</v>
      </c>
      <c r="H1936" s="85">
        <v>266.3</v>
      </c>
      <c r="I1936" s="18"/>
      <c r="J1936" s="5"/>
      <c r="K1936" s="5"/>
      <c r="L1936" s="4"/>
      <c r="M1936" s="4"/>
      <c r="N1936" s="82"/>
      <c r="O1936" s="86"/>
      <c r="P1936" s="4"/>
      <c r="Q1936" s="4"/>
      <c r="R1936" s="47" t="s">
        <v>2011</v>
      </c>
      <c r="S1936" s="87" t="s">
        <v>1133</v>
      </c>
      <c r="T1936" s="88">
        <v>113.19</v>
      </c>
      <c r="U1936" s="89"/>
      <c r="V1936" s="4"/>
      <c r="W1936" s="4"/>
      <c r="X1936" s="9"/>
      <c r="Y1936" s="84"/>
      <c r="Z1936" s="90"/>
      <c r="AA1936" s="84"/>
      <c r="AB1936" s="84"/>
      <c r="AC1936" s="84"/>
      <c r="AD1936" s="84"/>
      <c r="AE1936" s="84" t="s">
        <v>1514</v>
      </c>
      <c r="AF1936" s="84"/>
      <c r="AG1936" s="84"/>
    </row>
    <row r="1937" spans="1:33" s="91" customFormat="1" ht="52.5" customHeight="1" x14ac:dyDescent="0.2">
      <c r="A1937" s="13">
        <f t="shared" si="72"/>
        <v>171</v>
      </c>
      <c r="B1937" s="11"/>
      <c r="C1937" s="82" t="s">
        <v>1515</v>
      </c>
      <c r="D1937" s="1"/>
      <c r="E1937" s="87"/>
      <c r="F1937" s="83"/>
      <c r="G1937" s="84"/>
      <c r="H1937" s="85"/>
      <c r="I1937" s="18"/>
      <c r="J1937" s="5"/>
      <c r="K1937" s="5"/>
      <c r="L1937" s="4"/>
      <c r="M1937" s="4"/>
      <c r="N1937" s="82"/>
      <c r="O1937" s="86"/>
      <c r="P1937" s="4"/>
      <c r="Q1937" s="4"/>
      <c r="R1937" s="47" t="s">
        <v>1763</v>
      </c>
      <c r="S1937" s="87" t="s">
        <v>1133</v>
      </c>
      <c r="T1937" s="88">
        <v>157.5</v>
      </c>
      <c r="U1937" s="89"/>
      <c r="V1937" s="4"/>
      <c r="W1937" s="4"/>
      <c r="X1937" s="158" t="s">
        <v>1138</v>
      </c>
      <c r="Y1937" s="4" t="s">
        <v>1139</v>
      </c>
      <c r="Z1937" s="4" t="s">
        <v>56</v>
      </c>
      <c r="AA1937" s="32" t="s">
        <v>269</v>
      </c>
      <c r="AB1937" s="3" t="s">
        <v>1138</v>
      </c>
      <c r="AC1937" s="84"/>
      <c r="AD1937" s="84"/>
      <c r="AE1937" s="84" t="s">
        <v>1516</v>
      </c>
      <c r="AF1937" s="84"/>
      <c r="AG1937" s="84"/>
    </row>
    <row r="1938" spans="1:33" s="91" customFormat="1" ht="38.25" x14ac:dyDescent="0.2">
      <c r="A1938" s="13">
        <f t="shared" si="72"/>
        <v>171</v>
      </c>
      <c r="B1938" s="11"/>
      <c r="C1938" s="82" t="s">
        <v>1642</v>
      </c>
      <c r="D1938" s="1"/>
      <c r="E1938" s="87"/>
      <c r="F1938" s="83"/>
      <c r="G1938" s="84"/>
      <c r="H1938" s="85"/>
      <c r="I1938" s="18"/>
      <c r="J1938" s="5"/>
      <c r="K1938" s="5"/>
      <c r="L1938" s="4"/>
      <c r="M1938" s="4"/>
      <c r="N1938" s="82"/>
      <c r="O1938" s="86"/>
      <c r="P1938" s="4"/>
      <c r="Q1938" s="4"/>
      <c r="R1938" s="47" t="s">
        <v>2012</v>
      </c>
      <c r="S1938" s="87" t="s">
        <v>1133</v>
      </c>
      <c r="T1938" s="88">
        <v>28.73</v>
      </c>
      <c r="U1938" s="89"/>
      <c r="V1938" s="4"/>
      <c r="W1938" s="4"/>
      <c r="X1938" s="9"/>
      <c r="Y1938" s="84"/>
      <c r="Z1938" s="90"/>
      <c r="AA1938" s="84"/>
      <c r="AB1938" s="84"/>
      <c r="AC1938" s="84"/>
      <c r="AD1938" s="84"/>
      <c r="AE1938" s="84" t="s">
        <v>1517</v>
      </c>
      <c r="AF1938" s="84"/>
      <c r="AG1938" s="84"/>
    </row>
    <row r="1939" spans="1:33" s="91" customFormat="1" ht="33" customHeight="1" x14ac:dyDescent="0.2">
      <c r="A1939" s="13">
        <f t="shared" si="72"/>
        <v>171</v>
      </c>
      <c r="B1939" s="11"/>
      <c r="C1939" s="92" t="s">
        <v>1518</v>
      </c>
      <c r="D1939" s="1"/>
      <c r="E1939" s="83"/>
      <c r="F1939" s="83"/>
      <c r="G1939" s="84"/>
      <c r="H1939" s="85"/>
      <c r="I1939" s="1"/>
      <c r="J1939" s="5"/>
      <c r="K1939" s="5"/>
      <c r="L1939" s="4"/>
      <c r="M1939" s="4"/>
      <c r="N1939" s="82"/>
      <c r="O1939" s="86"/>
      <c r="P1939" s="4"/>
      <c r="Q1939" s="4"/>
      <c r="R1939" s="82" t="s">
        <v>2013</v>
      </c>
      <c r="S1939" s="87" t="s">
        <v>1133</v>
      </c>
      <c r="T1939" s="88">
        <v>114.4</v>
      </c>
      <c r="U1939" s="89"/>
      <c r="V1939" s="4"/>
      <c r="W1939" s="4"/>
      <c r="X1939" s="9"/>
      <c r="Y1939" s="84"/>
      <c r="Z1939" s="90"/>
      <c r="AA1939" s="84"/>
      <c r="AB1939" s="84"/>
      <c r="AC1939" s="84"/>
      <c r="AD1939" s="84"/>
      <c r="AE1939" s="84" t="s">
        <v>1303</v>
      </c>
      <c r="AF1939" s="84"/>
      <c r="AG1939" s="84"/>
    </row>
    <row r="1940" spans="1:33" s="91" customFormat="1" ht="28.5" customHeight="1" x14ac:dyDescent="0.2">
      <c r="A1940" s="13">
        <f t="shared" si="72"/>
        <v>171</v>
      </c>
      <c r="B1940" s="11"/>
      <c r="C1940" s="82" t="s">
        <v>1519</v>
      </c>
      <c r="D1940" s="1"/>
      <c r="E1940" s="83"/>
      <c r="F1940" s="83"/>
      <c r="G1940" s="84"/>
      <c r="H1940" s="85"/>
      <c r="I1940" s="1"/>
      <c r="J1940" s="5"/>
      <c r="K1940" s="5"/>
      <c r="L1940" s="4"/>
      <c r="M1940" s="4"/>
      <c r="N1940" s="82"/>
      <c r="O1940" s="86"/>
      <c r="P1940" s="4"/>
      <c r="Q1940" s="4"/>
      <c r="R1940" s="82" t="s">
        <v>2014</v>
      </c>
      <c r="S1940" s="87" t="s">
        <v>1133</v>
      </c>
      <c r="T1940" s="88">
        <v>22.05</v>
      </c>
      <c r="U1940" s="89"/>
      <c r="V1940" s="4"/>
      <c r="W1940" s="4"/>
      <c r="X1940" s="9"/>
      <c r="Y1940" s="84"/>
      <c r="Z1940" s="90"/>
      <c r="AA1940" s="84"/>
      <c r="AB1940" s="84"/>
      <c r="AC1940" s="84"/>
      <c r="AD1940" s="84"/>
      <c r="AE1940" s="84"/>
      <c r="AF1940" s="84"/>
      <c r="AG1940" s="84"/>
    </row>
    <row r="1941" spans="1:33" s="91" customFormat="1" ht="38.25" x14ac:dyDescent="0.2">
      <c r="A1941" s="13">
        <f t="shared" si="72"/>
        <v>171</v>
      </c>
      <c r="B1941" s="11"/>
      <c r="C1941" s="82" t="s">
        <v>1643</v>
      </c>
      <c r="D1941" s="1"/>
      <c r="E1941" s="83"/>
      <c r="F1941" s="83"/>
      <c r="G1941" s="84"/>
      <c r="H1941" s="85"/>
      <c r="I1941" s="1"/>
      <c r="J1941" s="5"/>
      <c r="K1941" s="5"/>
      <c r="L1941" s="4"/>
      <c r="M1941" s="4"/>
      <c r="N1941" s="82"/>
      <c r="O1941" s="86"/>
      <c r="P1941" s="4"/>
      <c r="Q1941" s="4"/>
      <c r="R1941" s="82" t="s">
        <v>1912</v>
      </c>
      <c r="S1941" s="87" t="s">
        <v>1133</v>
      </c>
      <c r="T1941" s="88">
        <v>86.3</v>
      </c>
      <c r="U1941" s="89"/>
      <c r="V1941" s="4"/>
      <c r="W1941" s="4"/>
      <c r="X1941" s="9"/>
      <c r="Y1941" s="84"/>
      <c r="Z1941" s="90"/>
      <c r="AA1941" s="84"/>
      <c r="AB1941" s="84"/>
      <c r="AC1941" s="84"/>
      <c r="AD1941" s="84"/>
      <c r="AE1941" s="82"/>
      <c r="AF1941" s="82"/>
      <c r="AG1941" s="82"/>
    </row>
    <row r="1942" spans="1:33" s="91" customFormat="1" ht="12.75" x14ac:dyDescent="0.2">
      <c r="A1942" s="13">
        <f t="shared" si="72"/>
        <v>171</v>
      </c>
      <c r="B1942" s="11"/>
      <c r="C1942" s="82"/>
      <c r="D1942" s="1"/>
      <c r="E1942" s="83"/>
      <c r="F1942" s="83"/>
      <c r="G1942" s="84"/>
      <c r="H1942" s="85"/>
      <c r="I1942" s="1"/>
      <c r="J1942" s="5"/>
      <c r="K1942" s="5"/>
      <c r="L1942" s="4"/>
      <c r="M1942" s="4"/>
      <c r="N1942" s="82"/>
      <c r="O1942" s="86"/>
      <c r="P1942" s="4"/>
      <c r="Q1942" s="4"/>
      <c r="R1942" s="82"/>
      <c r="S1942" s="87"/>
      <c r="T1942" s="88"/>
      <c r="U1942" s="89"/>
      <c r="V1942" s="4"/>
      <c r="W1942" s="4"/>
      <c r="X1942" s="9"/>
      <c r="Y1942" s="84"/>
      <c r="Z1942" s="90"/>
      <c r="AA1942" s="84"/>
      <c r="AB1942" s="84"/>
      <c r="AC1942" s="84"/>
      <c r="AD1942" s="84"/>
      <c r="AE1942" s="93"/>
      <c r="AF1942" s="93"/>
      <c r="AG1942" s="93"/>
    </row>
    <row r="1943" spans="1:33" s="91" customFormat="1" ht="12.75" x14ac:dyDescent="0.2">
      <c r="A1943" s="13">
        <f t="shared" si="72"/>
        <v>171</v>
      </c>
      <c r="B1943" s="11"/>
      <c r="C1943" s="82"/>
      <c r="D1943" s="1"/>
      <c r="E1943" s="83"/>
      <c r="F1943" s="83"/>
      <c r="G1943" s="84"/>
      <c r="H1943" s="85"/>
      <c r="I1943" s="1"/>
      <c r="J1943" s="5"/>
      <c r="K1943" s="5"/>
      <c r="L1943" s="4"/>
      <c r="M1943" s="4"/>
      <c r="N1943" s="82"/>
      <c r="O1943" s="86"/>
      <c r="P1943" s="4"/>
      <c r="Q1943" s="4"/>
      <c r="R1943" s="82"/>
      <c r="S1943" s="87"/>
      <c r="T1943" s="88"/>
      <c r="U1943" s="89"/>
      <c r="V1943" s="4"/>
      <c r="W1943" s="4"/>
      <c r="X1943" s="9"/>
      <c r="Y1943" s="84"/>
      <c r="Z1943" s="90"/>
      <c r="AA1943" s="84"/>
      <c r="AB1943" s="84"/>
      <c r="AC1943" s="84"/>
      <c r="AD1943" s="84"/>
      <c r="AE1943" s="1"/>
      <c r="AF1943" s="1"/>
      <c r="AG1943" s="1"/>
    </row>
    <row r="1944" spans="1:33" s="91" customFormat="1" ht="12.75" x14ac:dyDescent="0.2">
      <c r="A1944" s="13">
        <f t="shared" si="72"/>
        <v>171</v>
      </c>
      <c r="B1944" s="11"/>
      <c r="C1944" s="82"/>
      <c r="D1944" s="1"/>
      <c r="E1944" s="83"/>
      <c r="F1944" s="83"/>
      <c r="G1944" s="84"/>
      <c r="H1944" s="85"/>
      <c r="I1944" s="1"/>
      <c r="J1944" s="5"/>
      <c r="K1944" s="5"/>
      <c r="L1944" s="4"/>
      <c r="M1944" s="4"/>
      <c r="N1944" s="82"/>
      <c r="O1944" s="86"/>
      <c r="P1944" s="4"/>
      <c r="Q1944" s="4"/>
      <c r="R1944" s="82"/>
      <c r="S1944" s="87"/>
      <c r="T1944" s="88"/>
      <c r="U1944" s="89"/>
      <c r="V1944" s="4"/>
      <c r="W1944" s="4"/>
      <c r="X1944" s="9"/>
      <c r="Y1944" s="84"/>
      <c r="Z1944" s="90"/>
      <c r="AA1944" s="84"/>
      <c r="AB1944" s="84"/>
      <c r="AC1944" s="84"/>
      <c r="AD1944" s="84"/>
      <c r="AE1944" s="84"/>
      <c r="AF1944" s="84"/>
      <c r="AG1944" s="84"/>
    </row>
    <row r="1945" spans="1:33" s="91" customFormat="1" ht="12.75" x14ac:dyDescent="0.2">
      <c r="A1945" s="13">
        <f t="shared" si="72"/>
        <v>171</v>
      </c>
      <c r="B1945" s="11"/>
      <c r="C1945" s="82"/>
      <c r="D1945" s="1"/>
      <c r="E1945" s="83"/>
      <c r="F1945" s="83"/>
      <c r="G1945" s="84"/>
      <c r="H1945" s="85"/>
      <c r="I1945" s="1"/>
      <c r="J1945" s="5"/>
      <c r="K1945" s="5"/>
      <c r="L1945" s="4"/>
      <c r="M1945" s="4"/>
      <c r="N1945" s="82"/>
      <c r="O1945" s="86"/>
      <c r="P1945" s="4"/>
      <c r="Q1945" s="4"/>
      <c r="R1945" s="82"/>
      <c r="S1945" s="87"/>
      <c r="T1945" s="88"/>
      <c r="U1945" s="89"/>
      <c r="V1945" s="4"/>
      <c r="W1945" s="4"/>
      <c r="X1945" s="9"/>
      <c r="Y1945" s="84"/>
      <c r="Z1945" s="90"/>
      <c r="AA1945" s="84"/>
      <c r="AB1945" s="84"/>
      <c r="AC1945" s="84"/>
      <c r="AD1945" s="84"/>
      <c r="AE1945" s="84"/>
      <c r="AF1945" s="84"/>
      <c r="AG1945" s="84"/>
    </row>
    <row r="1946" spans="1:33" s="91" customFormat="1" ht="12.75" x14ac:dyDescent="0.2">
      <c r="A1946" s="13">
        <f t="shared" si="72"/>
        <v>171</v>
      </c>
      <c r="B1946" s="11"/>
      <c r="C1946" s="82"/>
      <c r="D1946" s="1"/>
      <c r="E1946" s="83"/>
      <c r="F1946" s="83"/>
      <c r="G1946" s="84"/>
      <c r="H1946" s="85"/>
      <c r="I1946" s="1"/>
      <c r="J1946" s="5"/>
      <c r="K1946" s="5"/>
      <c r="L1946" s="4"/>
      <c r="M1946" s="4"/>
      <c r="N1946" s="82"/>
      <c r="O1946" s="86"/>
      <c r="P1946" s="4"/>
      <c r="Q1946" s="4"/>
      <c r="R1946" s="82"/>
      <c r="S1946" s="87"/>
      <c r="T1946" s="88"/>
      <c r="U1946" s="89"/>
      <c r="V1946" s="4"/>
      <c r="W1946" s="4"/>
      <c r="X1946" s="9"/>
      <c r="Y1946" s="84"/>
      <c r="Z1946" s="90"/>
      <c r="AA1946" s="84"/>
      <c r="AB1946" s="84"/>
      <c r="AC1946" s="84"/>
      <c r="AD1946" s="84"/>
      <c r="AE1946" s="84"/>
      <c r="AF1946" s="84"/>
      <c r="AG1946" s="84"/>
    </row>
    <row r="1947" spans="1:33" s="91" customFormat="1" ht="38.25" x14ac:dyDescent="0.2">
      <c r="A1947" s="13">
        <f t="shared" si="72"/>
        <v>172</v>
      </c>
      <c r="B1947" s="11">
        <v>172</v>
      </c>
      <c r="C1947" s="92" t="s">
        <v>1520</v>
      </c>
      <c r="D1947" s="1"/>
      <c r="E1947" s="87">
        <v>86</v>
      </c>
      <c r="F1947" s="87">
        <v>284</v>
      </c>
      <c r="G1947" s="84" t="s">
        <v>1206</v>
      </c>
      <c r="H1947" s="85">
        <v>563.29999999999995</v>
      </c>
      <c r="I1947" s="18"/>
      <c r="J1947" s="5"/>
      <c r="K1947" s="5"/>
      <c r="L1947" s="4"/>
      <c r="M1947" s="4"/>
      <c r="N1947" s="82" t="s">
        <v>347</v>
      </c>
      <c r="O1947" s="86">
        <v>527</v>
      </c>
      <c r="P1947" s="4"/>
      <c r="Q1947" s="4"/>
      <c r="R1947" s="47"/>
      <c r="S1947" s="87"/>
      <c r="T1947" s="88"/>
      <c r="U1947" s="89"/>
      <c r="V1947" s="4"/>
      <c r="W1947" s="4"/>
      <c r="X1947" s="9"/>
      <c r="Y1947" s="84"/>
      <c r="Z1947" s="90"/>
      <c r="AA1947" s="84"/>
      <c r="AB1947" s="84"/>
      <c r="AC1947" s="84"/>
      <c r="AD1947" s="84"/>
      <c r="AE1947" s="84" t="s">
        <v>1521</v>
      </c>
      <c r="AF1947" s="84"/>
      <c r="AG1947" s="84"/>
    </row>
    <row r="1948" spans="1:33" s="91" customFormat="1" ht="25.5" x14ac:dyDescent="0.2">
      <c r="A1948" s="13">
        <f t="shared" si="72"/>
        <v>172</v>
      </c>
      <c r="B1948" s="11"/>
      <c r="C1948" s="82" t="s">
        <v>1522</v>
      </c>
      <c r="D1948" s="1"/>
      <c r="E1948" s="87"/>
      <c r="F1948" s="87"/>
      <c r="G1948" s="84"/>
      <c r="H1948" s="85"/>
      <c r="I1948" s="18"/>
      <c r="J1948" s="5"/>
      <c r="K1948" s="5"/>
      <c r="L1948" s="4"/>
      <c r="M1948" s="4"/>
      <c r="N1948" s="82"/>
      <c r="O1948" s="86"/>
      <c r="P1948" s="4"/>
      <c r="Q1948" s="4"/>
      <c r="R1948" s="47"/>
      <c r="S1948" s="87"/>
      <c r="T1948" s="88"/>
      <c r="U1948" s="89"/>
      <c r="V1948" s="4"/>
      <c r="W1948" s="4"/>
      <c r="X1948" s="9"/>
      <c r="Y1948" s="84"/>
      <c r="Z1948" s="90"/>
      <c r="AA1948" s="84"/>
      <c r="AB1948" s="84"/>
      <c r="AC1948" s="84"/>
      <c r="AD1948" s="84"/>
      <c r="AE1948" s="84" t="s">
        <v>1523</v>
      </c>
      <c r="AF1948" s="84"/>
      <c r="AG1948" s="84"/>
    </row>
    <row r="1949" spans="1:33" s="91" customFormat="1" ht="46.5" customHeight="1" x14ac:dyDescent="0.2">
      <c r="A1949" s="13">
        <f t="shared" si="72"/>
        <v>172</v>
      </c>
      <c r="B1949" s="11"/>
      <c r="C1949" s="82" t="s">
        <v>1645</v>
      </c>
      <c r="D1949" s="1"/>
      <c r="E1949" s="83"/>
      <c r="F1949" s="83"/>
      <c r="G1949" s="84"/>
      <c r="H1949" s="85"/>
      <c r="I1949" s="18"/>
      <c r="J1949" s="5"/>
      <c r="K1949" s="5"/>
      <c r="L1949" s="4"/>
      <c r="M1949" s="4"/>
      <c r="N1949" s="82"/>
      <c r="O1949" s="86"/>
      <c r="P1949" s="4"/>
      <c r="Q1949" s="4"/>
      <c r="R1949" s="47"/>
      <c r="S1949" s="87"/>
      <c r="T1949" s="88"/>
      <c r="U1949" s="89"/>
      <c r="V1949" s="4"/>
      <c r="W1949" s="4"/>
      <c r="X1949" s="9"/>
      <c r="Y1949" s="84"/>
      <c r="Z1949" s="90"/>
      <c r="AA1949" s="84"/>
      <c r="AB1949" s="84"/>
      <c r="AC1949" s="84"/>
      <c r="AD1949" s="84"/>
      <c r="AE1949" s="84" t="s">
        <v>404</v>
      </c>
      <c r="AF1949" s="84"/>
      <c r="AG1949" s="84"/>
    </row>
    <row r="1950" spans="1:33" s="91" customFormat="1" ht="12.75" x14ac:dyDescent="0.2">
      <c r="A1950" s="13">
        <f t="shared" si="72"/>
        <v>172</v>
      </c>
      <c r="B1950" s="11"/>
      <c r="C1950" s="82"/>
      <c r="D1950" s="1"/>
      <c r="E1950" s="83"/>
      <c r="F1950" s="83"/>
      <c r="G1950" s="84"/>
      <c r="H1950" s="85"/>
      <c r="I1950" s="1"/>
      <c r="J1950" s="5"/>
      <c r="K1950" s="5"/>
      <c r="L1950" s="4"/>
      <c r="M1950" s="4"/>
      <c r="N1950" s="82"/>
      <c r="O1950" s="86"/>
      <c r="P1950" s="4"/>
      <c r="Q1950" s="4"/>
      <c r="R1950" s="82"/>
      <c r="S1950" s="87"/>
      <c r="T1950" s="88"/>
      <c r="U1950" s="89"/>
      <c r="V1950" s="4"/>
      <c r="W1950" s="4"/>
      <c r="X1950" s="9"/>
      <c r="Y1950" s="84"/>
      <c r="Z1950" s="90"/>
      <c r="AA1950" s="84"/>
      <c r="AB1950" s="84"/>
      <c r="AC1950" s="84"/>
      <c r="AD1950" s="84"/>
      <c r="AE1950" s="84"/>
      <c r="AF1950" s="84"/>
      <c r="AG1950" s="84"/>
    </row>
    <row r="1951" spans="1:33" s="91" customFormat="1" ht="12.75" x14ac:dyDescent="0.2">
      <c r="A1951" s="13">
        <f t="shared" si="72"/>
        <v>172</v>
      </c>
      <c r="B1951" s="11"/>
      <c r="C1951" s="82"/>
      <c r="D1951" s="1"/>
      <c r="E1951" s="83"/>
      <c r="F1951" s="83"/>
      <c r="G1951" s="84"/>
      <c r="H1951" s="85"/>
      <c r="I1951" s="1"/>
      <c r="J1951" s="5"/>
      <c r="K1951" s="5"/>
      <c r="L1951" s="4"/>
      <c r="M1951" s="4"/>
      <c r="N1951" s="82"/>
      <c r="O1951" s="86"/>
      <c r="P1951" s="4"/>
      <c r="Q1951" s="4"/>
      <c r="R1951" s="82"/>
      <c r="S1951" s="87"/>
      <c r="T1951" s="88"/>
      <c r="U1951" s="89"/>
      <c r="V1951" s="4"/>
      <c r="W1951" s="4"/>
      <c r="X1951" s="9"/>
      <c r="Y1951" s="84"/>
      <c r="Z1951" s="90"/>
      <c r="AA1951" s="84"/>
      <c r="AB1951" s="84"/>
      <c r="AC1951" s="84"/>
      <c r="AD1951" s="84"/>
      <c r="AE1951" s="84"/>
      <c r="AF1951" s="84"/>
      <c r="AG1951" s="84"/>
    </row>
    <row r="1952" spans="1:33" s="91" customFormat="1" ht="12.75" x14ac:dyDescent="0.2">
      <c r="A1952" s="13">
        <f t="shared" si="72"/>
        <v>172</v>
      </c>
      <c r="B1952" s="11"/>
      <c r="C1952" s="82"/>
      <c r="D1952" s="1"/>
      <c r="E1952" s="83"/>
      <c r="F1952" s="83"/>
      <c r="G1952" s="84"/>
      <c r="H1952" s="85"/>
      <c r="I1952" s="1"/>
      <c r="J1952" s="5"/>
      <c r="K1952" s="5"/>
      <c r="L1952" s="4"/>
      <c r="M1952" s="4"/>
      <c r="N1952" s="82"/>
      <c r="O1952" s="86"/>
      <c r="P1952" s="4"/>
      <c r="Q1952" s="4"/>
      <c r="R1952" s="82"/>
      <c r="S1952" s="87"/>
      <c r="T1952" s="88"/>
      <c r="U1952" s="89"/>
      <c r="V1952" s="4"/>
      <c r="W1952" s="4"/>
      <c r="X1952" s="9"/>
      <c r="Y1952" s="84"/>
      <c r="Z1952" s="90"/>
      <c r="AA1952" s="84"/>
      <c r="AB1952" s="84"/>
      <c r="AC1952" s="84"/>
      <c r="AD1952" s="84"/>
      <c r="AE1952" s="82"/>
      <c r="AF1952" s="82"/>
      <c r="AG1952" s="82"/>
    </row>
    <row r="1953" spans="1:33" s="91" customFormat="1" ht="12.75" x14ac:dyDescent="0.2">
      <c r="A1953" s="13">
        <f t="shared" si="72"/>
        <v>172</v>
      </c>
      <c r="B1953" s="11"/>
      <c r="C1953" s="82"/>
      <c r="D1953" s="1"/>
      <c r="E1953" s="83"/>
      <c r="F1953" s="83"/>
      <c r="G1953" s="84"/>
      <c r="H1953" s="85"/>
      <c r="I1953" s="1"/>
      <c r="J1953" s="5"/>
      <c r="K1953" s="5"/>
      <c r="L1953" s="4"/>
      <c r="M1953" s="4"/>
      <c r="N1953" s="82"/>
      <c r="O1953" s="86"/>
      <c r="P1953" s="4"/>
      <c r="Q1953" s="4"/>
      <c r="R1953" s="82"/>
      <c r="S1953" s="87"/>
      <c r="T1953" s="88"/>
      <c r="U1953" s="89"/>
      <c r="V1953" s="4"/>
      <c r="W1953" s="4"/>
      <c r="X1953" s="9"/>
      <c r="Y1953" s="84"/>
      <c r="Z1953" s="90"/>
      <c r="AA1953" s="84"/>
      <c r="AB1953" s="84"/>
      <c r="AC1953" s="84"/>
      <c r="AD1953" s="84"/>
      <c r="AE1953" s="1"/>
      <c r="AF1953" s="1"/>
      <c r="AG1953" s="1"/>
    </row>
    <row r="1954" spans="1:33" s="91" customFormat="1" ht="12.75" x14ac:dyDescent="0.2">
      <c r="A1954" s="13">
        <f t="shared" si="72"/>
        <v>172</v>
      </c>
      <c r="B1954" s="11"/>
      <c r="C1954" s="82"/>
      <c r="D1954" s="1"/>
      <c r="E1954" s="83"/>
      <c r="F1954" s="83"/>
      <c r="G1954" s="84"/>
      <c r="H1954" s="85"/>
      <c r="I1954" s="1"/>
      <c r="J1954" s="5"/>
      <c r="K1954" s="5"/>
      <c r="L1954" s="4"/>
      <c r="M1954" s="4"/>
      <c r="N1954" s="82"/>
      <c r="O1954" s="86"/>
      <c r="P1954" s="4"/>
      <c r="Q1954" s="4"/>
      <c r="R1954" s="82"/>
      <c r="S1954" s="87"/>
      <c r="T1954" s="88"/>
      <c r="U1954" s="89"/>
      <c r="V1954" s="4"/>
      <c r="W1954" s="4"/>
      <c r="X1954" s="9"/>
      <c r="Y1954" s="84"/>
      <c r="Z1954" s="90"/>
      <c r="AA1954" s="84"/>
      <c r="AB1954" s="84"/>
      <c r="AC1954" s="84"/>
      <c r="AD1954" s="84"/>
      <c r="AE1954" s="84"/>
      <c r="AF1954" s="84"/>
      <c r="AG1954" s="84"/>
    </row>
    <row r="1955" spans="1:33" s="91" customFormat="1" ht="12.75" x14ac:dyDescent="0.2">
      <c r="A1955" s="13">
        <f t="shared" si="72"/>
        <v>172</v>
      </c>
      <c r="B1955" s="11"/>
      <c r="C1955" s="82"/>
      <c r="D1955" s="1"/>
      <c r="E1955" s="83"/>
      <c r="F1955" s="83"/>
      <c r="G1955" s="84"/>
      <c r="H1955" s="85"/>
      <c r="I1955" s="1"/>
      <c r="J1955" s="5"/>
      <c r="K1955" s="5"/>
      <c r="L1955" s="4"/>
      <c r="M1955" s="4"/>
      <c r="N1955" s="82"/>
      <c r="O1955" s="86"/>
      <c r="P1955" s="4"/>
      <c r="Q1955" s="4"/>
      <c r="R1955" s="82"/>
      <c r="S1955" s="87"/>
      <c r="T1955" s="88"/>
      <c r="U1955" s="89"/>
      <c r="V1955" s="4"/>
      <c r="W1955" s="4"/>
      <c r="X1955" s="9"/>
      <c r="Y1955" s="84"/>
      <c r="Z1955" s="90"/>
      <c r="AA1955" s="84"/>
      <c r="AB1955" s="84"/>
      <c r="AC1955" s="84"/>
      <c r="AD1955" s="84"/>
      <c r="AE1955" s="84"/>
      <c r="AF1955" s="84"/>
      <c r="AG1955" s="84"/>
    </row>
    <row r="1956" spans="1:33" s="91" customFormat="1" ht="25.5" x14ac:dyDescent="0.2">
      <c r="A1956" s="13">
        <f t="shared" si="72"/>
        <v>173</v>
      </c>
      <c r="B1956" s="11">
        <v>173</v>
      </c>
      <c r="C1956" s="92" t="s">
        <v>50</v>
      </c>
      <c r="D1956" s="1"/>
      <c r="E1956" s="87">
        <v>86</v>
      </c>
      <c r="F1956" s="87">
        <v>310</v>
      </c>
      <c r="G1956" s="84" t="s">
        <v>1206</v>
      </c>
      <c r="H1956" s="85">
        <v>1000</v>
      </c>
      <c r="I1956" s="18"/>
      <c r="J1956" s="5"/>
      <c r="K1956" s="5"/>
      <c r="L1956" s="4"/>
      <c r="M1956" s="4"/>
      <c r="N1956" s="82"/>
      <c r="O1956" s="86"/>
      <c r="P1956" s="4"/>
      <c r="Q1956" s="4"/>
      <c r="R1956" s="47"/>
      <c r="S1956" s="87"/>
      <c r="T1956" s="88"/>
      <c r="U1956" s="89"/>
      <c r="V1956" s="4"/>
      <c r="W1956" s="4"/>
      <c r="X1956" s="9"/>
      <c r="Y1956" s="84"/>
      <c r="Z1956" s="90"/>
      <c r="AA1956" s="84"/>
      <c r="AB1956" s="84"/>
      <c r="AC1956" s="84"/>
      <c r="AD1956" s="84"/>
      <c r="AE1956" s="84" t="s">
        <v>1524</v>
      </c>
      <c r="AF1956" s="84"/>
      <c r="AG1956" s="84"/>
    </row>
    <row r="1957" spans="1:33" s="91" customFormat="1" ht="33" customHeight="1" x14ac:dyDescent="0.2">
      <c r="A1957" s="13">
        <f t="shared" si="72"/>
        <v>173</v>
      </c>
      <c r="B1957" s="11"/>
      <c r="C1957" s="82" t="s">
        <v>112</v>
      </c>
      <c r="D1957" s="1"/>
      <c r="E1957" s="87"/>
      <c r="F1957" s="87"/>
      <c r="G1957" s="84"/>
      <c r="H1957" s="85"/>
      <c r="I1957" s="18"/>
      <c r="J1957" s="5"/>
      <c r="K1957" s="5"/>
      <c r="L1957" s="4"/>
      <c r="M1957" s="4"/>
      <c r="N1957" s="82"/>
      <c r="O1957" s="86"/>
      <c r="P1957" s="4"/>
      <c r="Q1957" s="4"/>
      <c r="R1957" s="47"/>
      <c r="S1957" s="87"/>
      <c r="T1957" s="88"/>
      <c r="U1957" s="89"/>
      <c r="V1957" s="4"/>
      <c r="W1957" s="4"/>
      <c r="X1957" s="9"/>
      <c r="Y1957" s="84"/>
      <c r="Z1957" s="90"/>
      <c r="AA1957" s="84"/>
      <c r="AB1957" s="84"/>
      <c r="AC1957" s="84"/>
      <c r="AD1957" s="84"/>
      <c r="AE1957" s="84" t="s">
        <v>1525</v>
      </c>
      <c r="AF1957" s="84"/>
      <c r="AG1957" s="84"/>
    </row>
    <row r="1958" spans="1:33" s="91" customFormat="1" ht="38.25" x14ac:dyDescent="0.2">
      <c r="A1958" s="13">
        <f t="shared" si="72"/>
        <v>173</v>
      </c>
      <c r="B1958" s="11"/>
      <c r="C1958" s="82" t="s">
        <v>1644</v>
      </c>
      <c r="D1958" s="1"/>
      <c r="E1958" s="83"/>
      <c r="F1958" s="83"/>
      <c r="G1958" s="84"/>
      <c r="H1958" s="85"/>
      <c r="I1958" s="18"/>
      <c r="J1958" s="5"/>
      <c r="K1958" s="5"/>
      <c r="L1958" s="4"/>
      <c r="M1958" s="4"/>
      <c r="N1958" s="82"/>
      <c r="O1958" s="86"/>
      <c r="P1958" s="4"/>
      <c r="Q1958" s="4"/>
      <c r="R1958" s="47"/>
      <c r="S1958" s="87"/>
      <c r="T1958" s="88"/>
      <c r="U1958" s="89"/>
      <c r="V1958" s="4"/>
      <c r="W1958" s="4"/>
      <c r="X1958" s="9"/>
      <c r="Y1958" s="84"/>
      <c r="Z1958" s="90"/>
      <c r="AA1958" s="84"/>
      <c r="AB1958" s="84"/>
      <c r="AC1958" s="84"/>
      <c r="AD1958" s="84"/>
      <c r="AE1958" s="1" t="s">
        <v>1009</v>
      </c>
      <c r="AF1958" s="1"/>
      <c r="AG1958" s="84"/>
    </row>
    <row r="1959" spans="1:33" s="91" customFormat="1" ht="12.75" x14ac:dyDescent="0.2">
      <c r="A1959" s="13">
        <f t="shared" si="72"/>
        <v>173</v>
      </c>
      <c r="B1959" s="11"/>
      <c r="C1959" s="96"/>
      <c r="D1959" s="1"/>
      <c r="E1959" s="83"/>
      <c r="F1959" s="83"/>
      <c r="G1959" s="84"/>
      <c r="H1959" s="85"/>
      <c r="I1959" s="1"/>
      <c r="J1959" s="5"/>
      <c r="K1959" s="5"/>
      <c r="L1959" s="4"/>
      <c r="M1959" s="4"/>
      <c r="N1959" s="82"/>
      <c r="O1959" s="86"/>
      <c r="P1959" s="4"/>
      <c r="Q1959" s="4"/>
      <c r="R1959" s="82"/>
      <c r="S1959" s="87"/>
      <c r="T1959" s="88"/>
      <c r="U1959" s="89"/>
      <c r="V1959" s="4"/>
      <c r="W1959" s="4"/>
      <c r="X1959" s="9"/>
      <c r="Y1959" s="84"/>
      <c r="Z1959" s="90"/>
      <c r="AA1959" s="84"/>
      <c r="AB1959" s="84"/>
      <c r="AC1959" s="84"/>
      <c r="AD1959" s="84"/>
      <c r="AE1959" s="84"/>
      <c r="AF1959" s="84"/>
      <c r="AG1959" s="84"/>
    </row>
    <row r="1960" spans="1:33" s="91" customFormat="1" ht="12.75" x14ac:dyDescent="0.2">
      <c r="A1960" s="13">
        <f t="shared" si="72"/>
        <v>173</v>
      </c>
      <c r="B1960" s="11"/>
      <c r="C1960" s="82"/>
      <c r="D1960" s="1"/>
      <c r="E1960" s="83"/>
      <c r="F1960" s="83"/>
      <c r="G1960" s="84"/>
      <c r="H1960" s="85"/>
      <c r="I1960" s="1"/>
      <c r="J1960" s="5"/>
      <c r="K1960" s="5"/>
      <c r="L1960" s="4"/>
      <c r="M1960" s="4"/>
      <c r="N1960" s="82"/>
      <c r="O1960" s="86"/>
      <c r="P1960" s="4"/>
      <c r="Q1960" s="4"/>
      <c r="R1960" s="82"/>
      <c r="S1960" s="87"/>
      <c r="T1960" s="88"/>
      <c r="U1960" s="89"/>
      <c r="V1960" s="4"/>
      <c r="W1960" s="4"/>
      <c r="X1960" s="9"/>
      <c r="Y1960" s="84"/>
      <c r="Z1960" s="90"/>
      <c r="AA1960" s="84"/>
      <c r="AB1960" s="84"/>
      <c r="AC1960" s="84"/>
      <c r="AD1960" s="84"/>
      <c r="AE1960" s="1"/>
      <c r="AF1960" s="1"/>
      <c r="AG1960" s="1"/>
    </row>
    <row r="1961" spans="1:33" s="91" customFormat="1" ht="12.75" x14ac:dyDescent="0.2">
      <c r="A1961" s="13">
        <f t="shared" si="72"/>
        <v>173</v>
      </c>
      <c r="B1961" s="11"/>
      <c r="C1961" s="82"/>
      <c r="D1961" s="1"/>
      <c r="E1961" s="83"/>
      <c r="F1961" s="83"/>
      <c r="G1961" s="84"/>
      <c r="H1961" s="85"/>
      <c r="I1961" s="1"/>
      <c r="J1961" s="5"/>
      <c r="K1961" s="5"/>
      <c r="L1961" s="4"/>
      <c r="M1961" s="4"/>
      <c r="N1961" s="82"/>
      <c r="O1961" s="86"/>
      <c r="P1961" s="4"/>
      <c r="Q1961" s="4"/>
      <c r="R1961" s="82"/>
      <c r="S1961" s="87"/>
      <c r="T1961" s="88"/>
      <c r="U1961" s="89"/>
      <c r="V1961" s="4"/>
      <c r="W1961" s="4"/>
      <c r="X1961" s="9"/>
      <c r="Y1961" s="84"/>
      <c r="Z1961" s="90"/>
      <c r="AA1961" s="84"/>
      <c r="AB1961" s="84"/>
      <c r="AC1961" s="84"/>
      <c r="AD1961" s="84"/>
      <c r="AE1961" s="84"/>
      <c r="AF1961" s="84"/>
      <c r="AG1961" s="84"/>
    </row>
    <row r="1962" spans="1:33" s="91" customFormat="1" ht="12.75" x14ac:dyDescent="0.2">
      <c r="A1962" s="13">
        <f t="shared" si="72"/>
        <v>173</v>
      </c>
      <c r="B1962" s="11"/>
      <c r="C1962" s="82"/>
      <c r="D1962" s="1"/>
      <c r="E1962" s="83"/>
      <c r="F1962" s="83"/>
      <c r="G1962" s="84"/>
      <c r="H1962" s="85"/>
      <c r="I1962" s="1"/>
      <c r="J1962" s="5"/>
      <c r="K1962" s="5"/>
      <c r="L1962" s="4"/>
      <c r="M1962" s="4"/>
      <c r="N1962" s="82"/>
      <c r="O1962" s="86"/>
      <c r="P1962" s="4"/>
      <c r="Q1962" s="4"/>
      <c r="R1962" s="82"/>
      <c r="S1962" s="87"/>
      <c r="T1962" s="88"/>
      <c r="U1962" s="89"/>
      <c r="V1962" s="4"/>
      <c r="W1962" s="4"/>
      <c r="X1962" s="9"/>
      <c r="Y1962" s="84"/>
      <c r="Z1962" s="90"/>
      <c r="AA1962" s="84"/>
      <c r="AB1962" s="84"/>
      <c r="AC1962" s="84"/>
      <c r="AD1962" s="84"/>
      <c r="AE1962" s="84"/>
      <c r="AF1962" s="84"/>
      <c r="AG1962" s="84"/>
    </row>
    <row r="1963" spans="1:33" s="91" customFormat="1" ht="12.75" x14ac:dyDescent="0.2">
      <c r="A1963" s="13">
        <f t="shared" si="72"/>
        <v>173</v>
      </c>
      <c r="B1963" s="11"/>
      <c r="C1963" s="82"/>
      <c r="D1963" s="1"/>
      <c r="E1963" s="83"/>
      <c r="F1963" s="83"/>
      <c r="G1963" s="84"/>
      <c r="H1963" s="85"/>
      <c r="I1963" s="1"/>
      <c r="J1963" s="5"/>
      <c r="K1963" s="5"/>
      <c r="L1963" s="4"/>
      <c r="M1963" s="4"/>
      <c r="N1963" s="82"/>
      <c r="O1963" s="86"/>
      <c r="P1963" s="4"/>
      <c r="Q1963" s="4"/>
      <c r="R1963" s="82"/>
      <c r="S1963" s="87"/>
      <c r="T1963" s="88"/>
      <c r="U1963" s="89"/>
      <c r="V1963" s="4"/>
      <c r="W1963" s="4"/>
      <c r="X1963" s="9"/>
      <c r="Y1963" s="84"/>
      <c r="Z1963" s="90"/>
      <c r="AA1963" s="84"/>
      <c r="AB1963" s="84"/>
      <c r="AC1963" s="84"/>
      <c r="AD1963" s="84"/>
      <c r="AE1963" s="84"/>
      <c r="AF1963" s="84"/>
      <c r="AG1963" s="84"/>
    </row>
    <row r="1964" spans="1:33" s="91" customFormat="1" ht="12.75" x14ac:dyDescent="0.2">
      <c r="A1964" s="13">
        <f t="shared" si="72"/>
        <v>173</v>
      </c>
      <c r="B1964" s="11"/>
      <c r="C1964" s="82"/>
      <c r="D1964" s="1"/>
      <c r="E1964" s="83"/>
      <c r="F1964" s="83"/>
      <c r="G1964" s="84"/>
      <c r="H1964" s="85"/>
      <c r="I1964" s="1"/>
      <c r="J1964" s="5"/>
      <c r="K1964" s="5"/>
      <c r="L1964" s="4"/>
      <c r="M1964" s="4"/>
      <c r="N1964" s="82"/>
      <c r="O1964" s="86"/>
      <c r="P1964" s="4"/>
      <c r="Q1964" s="4"/>
      <c r="R1964" s="82"/>
      <c r="S1964" s="87"/>
      <c r="T1964" s="88"/>
      <c r="U1964" s="89"/>
      <c r="V1964" s="4"/>
      <c r="W1964" s="4"/>
      <c r="X1964" s="9"/>
      <c r="Y1964" s="84"/>
      <c r="Z1964" s="90"/>
      <c r="AA1964" s="84"/>
      <c r="AB1964" s="84"/>
      <c r="AC1964" s="84"/>
      <c r="AD1964" s="84"/>
      <c r="AE1964" s="84"/>
      <c r="AF1964" s="84"/>
      <c r="AG1964" s="84"/>
    </row>
    <row r="1965" spans="1:33" s="91" customFormat="1" ht="25.5" x14ac:dyDescent="0.2">
      <c r="A1965" s="13">
        <f t="shared" si="72"/>
        <v>174</v>
      </c>
      <c r="B1965" s="11">
        <v>174</v>
      </c>
      <c r="C1965" s="92" t="s">
        <v>1526</v>
      </c>
      <c r="D1965" s="1">
        <v>1</v>
      </c>
      <c r="E1965" s="87">
        <v>30</v>
      </c>
      <c r="F1965" s="87">
        <v>86</v>
      </c>
      <c r="G1965" s="84" t="s">
        <v>1206</v>
      </c>
      <c r="H1965" s="85">
        <v>1155.8</v>
      </c>
      <c r="I1965" s="18"/>
      <c r="J1965" s="5"/>
      <c r="K1965" s="5"/>
      <c r="L1965" s="4"/>
      <c r="M1965" s="4"/>
      <c r="N1965" s="82"/>
      <c r="O1965" s="86"/>
      <c r="P1965" s="4"/>
      <c r="Q1965" s="4"/>
      <c r="R1965" s="47"/>
      <c r="S1965" s="87"/>
      <c r="T1965" s="88"/>
      <c r="U1965" s="89"/>
      <c r="V1965" s="4"/>
      <c r="W1965" s="4"/>
      <c r="X1965" s="9"/>
      <c r="Y1965" s="84"/>
      <c r="Z1965" s="90"/>
      <c r="AA1965" s="84"/>
      <c r="AB1965" s="84"/>
      <c r="AC1965" s="84"/>
      <c r="AD1965" s="84"/>
      <c r="AE1965" s="84" t="s">
        <v>1527</v>
      </c>
      <c r="AF1965" s="84"/>
      <c r="AG1965" s="84"/>
    </row>
    <row r="1966" spans="1:33" s="91" customFormat="1" ht="25.5" x14ac:dyDescent="0.2">
      <c r="A1966" s="13">
        <f t="shared" si="72"/>
        <v>174</v>
      </c>
      <c r="B1966" s="11"/>
      <c r="C1966" s="82" t="s">
        <v>1528</v>
      </c>
      <c r="D1966" s="1"/>
      <c r="E1966" s="87"/>
      <c r="F1966" s="87"/>
      <c r="G1966" s="84"/>
      <c r="H1966" s="85"/>
      <c r="I1966" s="18"/>
      <c r="J1966" s="5"/>
      <c r="K1966" s="5"/>
      <c r="L1966" s="4"/>
      <c r="M1966" s="4"/>
      <c r="N1966" s="82"/>
      <c r="O1966" s="86"/>
      <c r="P1966" s="4"/>
      <c r="Q1966" s="4"/>
      <c r="R1966" s="47"/>
      <c r="S1966" s="87"/>
      <c r="T1966" s="88"/>
      <c r="U1966" s="89"/>
      <c r="V1966" s="4"/>
      <c r="W1966" s="4"/>
      <c r="X1966" s="9"/>
      <c r="Y1966" s="84"/>
      <c r="Z1966" s="90"/>
      <c r="AA1966" s="84"/>
      <c r="AB1966" s="84"/>
      <c r="AC1966" s="84"/>
      <c r="AD1966" s="84"/>
      <c r="AE1966" s="84" t="s">
        <v>1529</v>
      </c>
      <c r="AF1966" s="84"/>
      <c r="AG1966" s="84"/>
    </row>
    <row r="1967" spans="1:33" s="91" customFormat="1" ht="38.25" x14ac:dyDescent="0.2">
      <c r="A1967" s="13">
        <f t="shared" si="72"/>
        <v>174</v>
      </c>
      <c r="B1967" s="11"/>
      <c r="C1967" s="82" t="s">
        <v>1646</v>
      </c>
      <c r="D1967" s="1"/>
      <c r="E1967" s="87"/>
      <c r="F1967" s="87"/>
      <c r="G1967" s="84"/>
      <c r="H1967" s="85"/>
      <c r="I1967" s="18"/>
      <c r="J1967" s="5"/>
      <c r="K1967" s="5"/>
      <c r="L1967" s="4"/>
      <c r="M1967" s="4"/>
      <c r="N1967" s="82"/>
      <c r="O1967" s="86"/>
      <c r="P1967" s="4"/>
      <c r="Q1967" s="4"/>
      <c r="R1967" s="47"/>
      <c r="S1967" s="87"/>
      <c r="T1967" s="88"/>
      <c r="U1967" s="89"/>
      <c r="V1967" s="4"/>
      <c r="W1967" s="4"/>
      <c r="X1967" s="9"/>
      <c r="Y1967" s="84"/>
      <c r="Z1967" s="90"/>
      <c r="AA1967" s="84"/>
      <c r="AB1967" s="84"/>
      <c r="AC1967" s="84"/>
      <c r="AD1967" s="84"/>
      <c r="AE1967" s="84" t="s">
        <v>1671</v>
      </c>
      <c r="AF1967" s="84"/>
      <c r="AG1967" s="84"/>
    </row>
    <row r="1968" spans="1:33" s="91" customFormat="1" ht="12.75" x14ac:dyDescent="0.2">
      <c r="A1968" s="13">
        <f t="shared" si="72"/>
        <v>174</v>
      </c>
      <c r="B1968" s="11"/>
      <c r="C1968" s="82"/>
      <c r="D1968" s="1"/>
      <c r="E1968" s="83"/>
      <c r="F1968" s="83"/>
      <c r="G1968" s="84"/>
      <c r="H1968" s="85"/>
      <c r="I1968" s="18"/>
      <c r="J1968" s="5"/>
      <c r="K1968" s="5"/>
      <c r="L1968" s="4"/>
      <c r="M1968" s="4"/>
      <c r="N1968" s="82"/>
      <c r="O1968" s="86"/>
      <c r="P1968" s="4"/>
      <c r="Q1968" s="4"/>
      <c r="R1968" s="47"/>
      <c r="S1968" s="87"/>
      <c r="T1968" s="88"/>
      <c r="U1968" s="89"/>
      <c r="V1968" s="4"/>
      <c r="W1968" s="4"/>
      <c r="X1968" s="9"/>
      <c r="Y1968" s="84"/>
      <c r="Z1968" s="90"/>
      <c r="AA1968" s="84"/>
      <c r="AB1968" s="84"/>
      <c r="AC1968" s="84"/>
      <c r="AD1968" s="84"/>
      <c r="AE1968" s="84"/>
      <c r="AF1968" s="84"/>
      <c r="AG1968" s="84"/>
    </row>
    <row r="1969" spans="1:33" s="91" customFormat="1" ht="12.75" x14ac:dyDescent="0.2">
      <c r="A1969" s="13">
        <f t="shared" si="72"/>
        <v>174</v>
      </c>
      <c r="B1969" s="11"/>
      <c r="C1969" s="82"/>
      <c r="D1969" s="1"/>
      <c r="E1969" s="83"/>
      <c r="F1969" s="83"/>
      <c r="G1969" s="84"/>
      <c r="H1969" s="85"/>
      <c r="I1969" s="18"/>
      <c r="J1969" s="5"/>
      <c r="K1969" s="5"/>
      <c r="L1969" s="4"/>
      <c r="M1969" s="4"/>
      <c r="N1969" s="82"/>
      <c r="O1969" s="86"/>
      <c r="P1969" s="4"/>
      <c r="Q1969" s="4"/>
      <c r="R1969" s="47"/>
      <c r="S1969" s="87"/>
      <c r="T1969" s="88"/>
      <c r="U1969" s="89"/>
      <c r="V1969" s="4"/>
      <c r="W1969" s="4"/>
      <c r="X1969" s="9"/>
      <c r="Y1969" s="84"/>
      <c r="Z1969" s="90"/>
      <c r="AA1969" s="84"/>
      <c r="AB1969" s="84"/>
      <c r="AC1969" s="84"/>
      <c r="AD1969" s="84"/>
      <c r="AE1969" s="82"/>
      <c r="AF1969" s="82"/>
      <c r="AG1969" s="82"/>
    </row>
    <row r="1970" spans="1:33" s="91" customFormat="1" ht="12.75" x14ac:dyDescent="0.2">
      <c r="A1970" s="13">
        <f t="shared" si="72"/>
        <v>174</v>
      </c>
      <c r="B1970" s="11"/>
      <c r="C1970" s="82"/>
      <c r="D1970" s="1"/>
      <c r="E1970" s="83"/>
      <c r="F1970" s="83"/>
      <c r="G1970" s="84"/>
      <c r="H1970" s="85"/>
      <c r="I1970" s="1"/>
      <c r="J1970" s="5"/>
      <c r="K1970" s="5"/>
      <c r="L1970" s="4"/>
      <c r="M1970" s="4"/>
      <c r="N1970" s="82"/>
      <c r="O1970" s="86"/>
      <c r="P1970" s="4"/>
      <c r="Q1970" s="4"/>
      <c r="R1970" s="82"/>
      <c r="S1970" s="87"/>
      <c r="T1970" s="88"/>
      <c r="U1970" s="89"/>
      <c r="V1970" s="4"/>
      <c r="W1970" s="4"/>
      <c r="X1970" s="9"/>
      <c r="Y1970" s="84"/>
      <c r="Z1970" s="90"/>
      <c r="AA1970" s="84"/>
      <c r="AB1970" s="84"/>
      <c r="AC1970" s="84"/>
      <c r="AD1970" s="84"/>
      <c r="AE1970" s="1"/>
      <c r="AF1970" s="1"/>
      <c r="AG1970" s="1"/>
    </row>
    <row r="1971" spans="1:33" s="91" customFormat="1" ht="12.75" x14ac:dyDescent="0.2">
      <c r="A1971" s="13">
        <f t="shared" si="72"/>
        <v>174</v>
      </c>
      <c r="B1971" s="11"/>
      <c r="C1971" s="82"/>
      <c r="D1971" s="1"/>
      <c r="E1971" s="83"/>
      <c r="F1971" s="83"/>
      <c r="G1971" s="84"/>
      <c r="H1971" s="85"/>
      <c r="I1971" s="1"/>
      <c r="J1971" s="5"/>
      <c r="K1971" s="5"/>
      <c r="L1971" s="4"/>
      <c r="M1971" s="4"/>
      <c r="N1971" s="82"/>
      <c r="O1971" s="86"/>
      <c r="P1971" s="4"/>
      <c r="Q1971" s="4"/>
      <c r="R1971" s="82"/>
      <c r="S1971" s="87"/>
      <c r="T1971" s="88"/>
      <c r="U1971" s="89"/>
      <c r="V1971" s="4"/>
      <c r="W1971" s="4"/>
      <c r="X1971" s="9"/>
      <c r="Y1971" s="84"/>
      <c r="Z1971" s="90"/>
      <c r="AA1971" s="84"/>
      <c r="AB1971" s="84"/>
      <c r="AC1971" s="84"/>
      <c r="AD1971" s="84"/>
      <c r="AE1971" s="84"/>
      <c r="AF1971" s="84"/>
      <c r="AG1971" s="84"/>
    </row>
    <row r="1972" spans="1:33" s="91" customFormat="1" ht="12.75" x14ac:dyDescent="0.2">
      <c r="A1972" s="13">
        <f t="shared" si="72"/>
        <v>174</v>
      </c>
      <c r="B1972" s="11"/>
      <c r="C1972" s="82"/>
      <c r="D1972" s="1"/>
      <c r="E1972" s="83"/>
      <c r="F1972" s="83"/>
      <c r="G1972" s="84"/>
      <c r="H1972" s="85"/>
      <c r="I1972" s="1"/>
      <c r="J1972" s="5"/>
      <c r="K1972" s="5"/>
      <c r="L1972" s="4"/>
      <c r="M1972" s="4"/>
      <c r="N1972" s="82"/>
      <c r="O1972" s="86"/>
      <c r="P1972" s="4"/>
      <c r="Q1972" s="4"/>
      <c r="R1972" s="82"/>
      <c r="S1972" s="87"/>
      <c r="T1972" s="88"/>
      <c r="U1972" s="89"/>
      <c r="V1972" s="4"/>
      <c r="W1972" s="4"/>
      <c r="X1972" s="9"/>
      <c r="Y1972" s="84"/>
      <c r="Z1972" s="90"/>
      <c r="AA1972" s="84"/>
      <c r="AB1972" s="84"/>
      <c r="AC1972" s="84"/>
      <c r="AD1972" s="84"/>
      <c r="AE1972" s="84"/>
      <c r="AF1972" s="84"/>
      <c r="AG1972" s="84"/>
    </row>
    <row r="1973" spans="1:33" s="91" customFormat="1" ht="25.5" x14ac:dyDescent="0.2">
      <c r="A1973" s="13">
        <f t="shared" si="72"/>
        <v>175</v>
      </c>
      <c r="B1973" s="11">
        <v>175</v>
      </c>
      <c r="C1973" s="92" t="s">
        <v>1526</v>
      </c>
      <c r="D1973" s="1"/>
      <c r="E1973" s="87">
        <v>86</v>
      </c>
      <c r="F1973" s="87">
        <v>311</v>
      </c>
      <c r="G1973" s="84" t="s">
        <v>1206</v>
      </c>
      <c r="H1973" s="85">
        <v>1000</v>
      </c>
      <c r="I1973" s="18"/>
      <c r="J1973" s="5"/>
      <c r="K1973" s="5"/>
      <c r="L1973" s="4"/>
      <c r="M1973" s="4"/>
      <c r="N1973" s="82"/>
      <c r="O1973" s="86"/>
      <c r="P1973" s="4"/>
      <c r="Q1973" s="4"/>
      <c r="R1973" s="47"/>
      <c r="S1973" s="87"/>
      <c r="T1973" s="88"/>
      <c r="U1973" s="89"/>
      <c r="V1973" s="4"/>
      <c r="W1973" s="4"/>
      <c r="X1973" s="9"/>
      <c r="Y1973" s="84"/>
      <c r="Z1973" s="90"/>
      <c r="AA1973" s="84"/>
      <c r="AB1973" s="84"/>
      <c r="AC1973" s="84"/>
      <c r="AD1973" s="84"/>
      <c r="AE1973" s="84" t="s">
        <v>1530</v>
      </c>
      <c r="AF1973" s="84"/>
      <c r="AG1973" s="84"/>
    </row>
    <row r="1974" spans="1:33" s="91" customFormat="1" ht="25.5" x14ac:dyDescent="0.2">
      <c r="A1974" s="13">
        <f t="shared" si="72"/>
        <v>175</v>
      </c>
      <c r="B1974" s="11"/>
      <c r="C1974" s="82" t="s">
        <v>1528</v>
      </c>
      <c r="D1974" s="1"/>
      <c r="E1974" s="87"/>
      <c r="F1974" s="87"/>
      <c r="G1974" s="84"/>
      <c r="H1974" s="85"/>
      <c r="I1974" s="18"/>
      <c r="J1974" s="5"/>
      <c r="K1974" s="5"/>
      <c r="L1974" s="4"/>
      <c r="M1974" s="4"/>
      <c r="N1974" s="82"/>
      <c r="O1974" s="86"/>
      <c r="P1974" s="4"/>
      <c r="Q1974" s="4"/>
      <c r="R1974" s="47"/>
      <c r="S1974" s="87"/>
      <c r="T1974" s="88"/>
      <c r="U1974" s="89"/>
      <c r="V1974" s="4"/>
      <c r="W1974" s="4"/>
      <c r="X1974" s="9"/>
      <c r="Y1974" s="84"/>
      <c r="Z1974" s="90"/>
      <c r="AA1974" s="84"/>
      <c r="AB1974" s="84"/>
      <c r="AC1974" s="84"/>
      <c r="AD1974" s="84"/>
      <c r="AE1974" s="84" t="s">
        <v>1531</v>
      </c>
      <c r="AF1974" s="84"/>
      <c r="AG1974" s="84"/>
    </row>
    <row r="1975" spans="1:33" s="91" customFormat="1" ht="38.25" x14ac:dyDescent="0.2">
      <c r="A1975" s="13">
        <f t="shared" si="72"/>
        <v>175</v>
      </c>
      <c r="B1975" s="11"/>
      <c r="C1975" s="82" t="s">
        <v>1646</v>
      </c>
      <c r="D1975" s="1"/>
      <c r="E1975" s="87"/>
      <c r="F1975" s="87"/>
      <c r="G1975" s="84"/>
      <c r="H1975" s="85"/>
      <c r="I1975" s="18"/>
      <c r="J1975" s="5"/>
      <c r="K1975" s="5"/>
      <c r="L1975" s="4"/>
      <c r="M1975" s="4"/>
      <c r="N1975" s="82"/>
      <c r="O1975" s="86"/>
      <c r="P1975" s="4"/>
      <c r="Q1975" s="4"/>
      <c r="R1975" s="47"/>
      <c r="S1975" s="87"/>
      <c r="T1975" s="88"/>
      <c r="U1975" s="89"/>
      <c r="V1975" s="4"/>
      <c r="W1975" s="4"/>
      <c r="X1975" s="9"/>
      <c r="Y1975" s="84"/>
      <c r="Z1975" s="90"/>
      <c r="AA1975" s="84"/>
      <c r="AB1975" s="84"/>
      <c r="AC1975" s="84"/>
      <c r="AD1975" s="84"/>
      <c r="AE1975" s="84" t="s">
        <v>1672</v>
      </c>
      <c r="AF1975" s="84"/>
      <c r="AG1975" s="84"/>
    </row>
    <row r="1976" spans="1:33" s="91" customFormat="1" ht="12.75" x14ac:dyDescent="0.2">
      <c r="A1976" s="13">
        <f t="shared" si="72"/>
        <v>175</v>
      </c>
      <c r="B1976" s="11"/>
      <c r="C1976" s="82"/>
      <c r="D1976" s="1"/>
      <c r="E1976" s="83"/>
      <c r="F1976" s="83"/>
      <c r="G1976" s="84"/>
      <c r="H1976" s="85"/>
      <c r="I1976" s="18"/>
      <c r="J1976" s="5"/>
      <c r="K1976" s="5"/>
      <c r="L1976" s="4"/>
      <c r="M1976" s="4"/>
      <c r="N1976" s="82"/>
      <c r="O1976" s="86"/>
      <c r="P1976" s="4"/>
      <c r="Q1976" s="4"/>
      <c r="R1976" s="47"/>
      <c r="S1976" s="87"/>
      <c r="T1976" s="88"/>
      <c r="U1976" s="89"/>
      <c r="V1976" s="4"/>
      <c r="W1976" s="4"/>
      <c r="X1976" s="9"/>
      <c r="Y1976" s="84"/>
      <c r="Z1976" s="90"/>
      <c r="AA1976" s="84"/>
      <c r="AB1976" s="84"/>
      <c r="AC1976" s="84"/>
      <c r="AD1976" s="84"/>
      <c r="AE1976" s="84"/>
      <c r="AF1976" s="84"/>
      <c r="AG1976" s="84"/>
    </row>
    <row r="1977" spans="1:33" s="91" customFormat="1" ht="12.75" x14ac:dyDescent="0.2">
      <c r="A1977" s="13">
        <f t="shared" si="72"/>
        <v>175</v>
      </c>
      <c r="B1977" s="11"/>
      <c r="C1977" s="82"/>
      <c r="D1977" s="1"/>
      <c r="E1977" s="83"/>
      <c r="F1977" s="83"/>
      <c r="G1977" s="84"/>
      <c r="H1977" s="85"/>
      <c r="I1977" s="18"/>
      <c r="J1977" s="5"/>
      <c r="K1977" s="5"/>
      <c r="L1977" s="4"/>
      <c r="M1977" s="4"/>
      <c r="N1977" s="82"/>
      <c r="O1977" s="86"/>
      <c r="P1977" s="4"/>
      <c r="Q1977" s="4"/>
      <c r="R1977" s="47"/>
      <c r="S1977" s="87"/>
      <c r="T1977" s="88"/>
      <c r="U1977" s="89"/>
      <c r="V1977" s="4"/>
      <c r="W1977" s="4"/>
      <c r="X1977" s="9"/>
      <c r="Y1977" s="84"/>
      <c r="Z1977" s="90"/>
      <c r="AA1977" s="84"/>
      <c r="AB1977" s="84"/>
      <c r="AC1977" s="84"/>
      <c r="AD1977" s="84"/>
      <c r="AE1977" s="84"/>
      <c r="AF1977" s="84"/>
      <c r="AG1977" s="84"/>
    </row>
    <row r="1978" spans="1:33" s="91" customFormat="1" ht="12.75" x14ac:dyDescent="0.2">
      <c r="A1978" s="13">
        <f t="shared" si="72"/>
        <v>175</v>
      </c>
      <c r="B1978" s="11"/>
      <c r="C1978" s="82"/>
      <c r="D1978" s="1"/>
      <c r="E1978" s="83"/>
      <c r="F1978" s="83"/>
      <c r="G1978" s="84"/>
      <c r="H1978" s="85"/>
      <c r="I1978" s="18"/>
      <c r="J1978" s="5"/>
      <c r="K1978" s="5"/>
      <c r="L1978" s="4"/>
      <c r="M1978" s="4"/>
      <c r="N1978" s="82"/>
      <c r="O1978" s="86"/>
      <c r="P1978" s="4"/>
      <c r="Q1978" s="4"/>
      <c r="R1978" s="47"/>
      <c r="S1978" s="87"/>
      <c r="T1978" s="88"/>
      <c r="U1978" s="89"/>
      <c r="V1978" s="4"/>
      <c r="W1978" s="4"/>
      <c r="X1978" s="9"/>
      <c r="Y1978" s="84"/>
      <c r="Z1978" s="90"/>
      <c r="AA1978" s="84"/>
      <c r="AB1978" s="84"/>
      <c r="AC1978" s="84"/>
      <c r="AD1978" s="84"/>
      <c r="AE1978" s="84"/>
      <c r="AF1978" s="84"/>
      <c r="AG1978" s="84"/>
    </row>
    <row r="1979" spans="1:33" s="91" customFormat="1" ht="12.75" x14ac:dyDescent="0.2">
      <c r="A1979" s="13">
        <f t="shared" si="72"/>
        <v>175</v>
      </c>
      <c r="B1979" s="11"/>
      <c r="C1979" s="82"/>
      <c r="D1979" s="1"/>
      <c r="E1979" s="83"/>
      <c r="F1979" s="83"/>
      <c r="G1979" s="84"/>
      <c r="H1979" s="85"/>
      <c r="I1979" s="18"/>
      <c r="J1979" s="5"/>
      <c r="K1979" s="5"/>
      <c r="L1979" s="4"/>
      <c r="M1979" s="4"/>
      <c r="N1979" s="82"/>
      <c r="O1979" s="86"/>
      <c r="P1979" s="4"/>
      <c r="Q1979" s="4"/>
      <c r="R1979" s="47"/>
      <c r="S1979" s="87"/>
      <c r="T1979" s="88"/>
      <c r="U1979" s="89"/>
      <c r="V1979" s="4"/>
      <c r="W1979" s="4"/>
      <c r="X1979" s="9"/>
      <c r="Y1979" s="84"/>
      <c r="Z1979" s="90"/>
      <c r="AA1979" s="84"/>
      <c r="AB1979" s="84"/>
      <c r="AC1979" s="84"/>
      <c r="AD1979" s="84"/>
      <c r="AE1979" s="84"/>
      <c r="AF1979" s="84"/>
      <c r="AG1979" s="84"/>
    </row>
    <row r="1980" spans="1:33" s="91" customFormat="1" ht="38.25" x14ac:dyDescent="0.2">
      <c r="A1980" s="13">
        <f t="shared" si="72"/>
        <v>176</v>
      </c>
      <c r="B1980" s="11">
        <v>176</v>
      </c>
      <c r="C1980" s="92" t="s">
        <v>1532</v>
      </c>
      <c r="D1980" s="1"/>
      <c r="E1980" s="87">
        <v>86</v>
      </c>
      <c r="F1980" s="87">
        <v>1513</v>
      </c>
      <c r="G1980" s="84" t="s">
        <v>1206</v>
      </c>
      <c r="H1980" s="85">
        <v>52.8</v>
      </c>
      <c r="I1980" s="18"/>
      <c r="J1980" s="5"/>
      <c r="K1980" s="5"/>
      <c r="L1980" s="4"/>
      <c r="M1980" s="4"/>
      <c r="N1980" s="82"/>
      <c r="O1980" s="86"/>
      <c r="P1980" s="4"/>
      <c r="Q1980" s="4"/>
      <c r="R1980" s="47"/>
      <c r="S1980" s="87"/>
      <c r="T1980" s="88"/>
      <c r="U1980" s="89"/>
      <c r="V1980" s="4"/>
      <c r="W1980" s="4"/>
      <c r="X1980" s="9"/>
      <c r="Y1980" s="84"/>
      <c r="Z1980" s="90"/>
      <c r="AA1980" s="84"/>
      <c r="AB1980" s="84"/>
      <c r="AC1980" s="84"/>
      <c r="AD1980" s="84"/>
      <c r="AE1980" s="84" t="s">
        <v>1533</v>
      </c>
      <c r="AF1980" s="84"/>
      <c r="AG1980" s="84"/>
    </row>
    <row r="1981" spans="1:33" s="91" customFormat="1" ht="38.25" x14ac:dyDescent="0.2">
      <c r="A1981" s="13">
        <f t="shared" si="72"/>
        <v>176</v>
      </c>
      <c r="B1981" s="11"/>
      <c r="C1981" s="82" t="s">
        <v>1534</v>
      </c>
      <c r="D1981" s="1"/>
      <c r="E1981" s="87">
        <v>86</v>
      </c>
      <c r="F1981" s="87">
        <v>1513</v>
      </c>
      <c r="G1981" s="84" t="s">
        <v>1511</v>
      </c>
      <c r="H1981" s="85">
        <v>40</v>
      </c>
      <c r="I1981" s="18"/>
      <c r="J1981" s="5"/>
      <c r="K1981" s="5"/>
      <c r="L1981" s="4"/>
      <c r="M1981" s="4"/>
      <c r="N1981" s="82"/>
      <c r="O1981" s="86"/>
      <c r="P1981" s="4"/>
      <c r="Q1981" s="4"/>
      <c r="R1981" s="47"/>
      <c r="S1981" s="87"/>
      <c r="T1981" s="88"/>
      <c r="U1981" s="89"/>
      <c r="V1981" s="4"/>
      <c r="W1981" s="4"/>
      <c r="X1981" s="9"/>
      <c r="Y1981" s="84"/>
      <c r="Z1981" s="90"/>
      <c r="AA1981" s="84"/>
      <c r="AB1981" s="84"/>
      <c r="AC1981" s="84"/>
      <c r="AD1981" s="84"/>
      <c r="AE1981" s="84" t="s">
        <v>1535</v>
      </c>
      <c r="AF1981" s="84"/>
      <c r="AG1981" s="84"/>
    </row>
    <row r="1982" spans="1:33" s="91" customFormat="1" ht="25.5" x14ac:dyDescent="0.2">
      <c r="A1982" s="13">
        <f t="shared" si="72"/>
        <v>176</v>
      </c>
      <c r="B1982" s="11"/>
      <c r="C1982" s="82" t="s">
        <v>1647</v>
      </c>
      <c r="D1982" s="1"/>
      <c r="E1982" s="87">
        <v>86</v>
      </c>
      <c r="F1982" s="87">
        <v>25</v>
      </c>
      <c r="G1982" s="84" t="s">
        <v>1187</v>
      </c>
      <c r="H1982" s="85">
        <v>11.9</v>
      </c>
      <c r="I1982" s="18"/>
      <c r="J1982" s="5"/>
      <c r="K1982" s="5"/>
      <c r="L1982" s="4"/>
      <c r="M1982" s="4"/>
      <c r="N1982" s="82"/>
      <c r="O1982" s="86"/>
      <c r="P1982" s="4"/>
      <c r="Q1982" s="4"/>
      <c r="R1982" s="47"/>
      <c r="S1982" s="87"/>
      <c r="T1982" s="88"/>
      <c r="U1982" s="89"/>
      <c r="V1982" s="4"/>
      <c r="W1982" s="4"/>
      <c r="X1982" s="9"/>
      <c r="Y1982" s="84"/>
      <c r="Z1982" s="90"/>
      <c r="AA1982" s="84"/>
      <c r="AB1982" s="84"/>
      <c r="AC1982" s="84"/>
      <c r="AD1982" s="84"/>
      <c r="AE1982" s="84" t="s">
        <v>404</v>
      </c>
      <c r="AF1982" s="84"/>
      <c r="AG1982" s="84"/>
    </row>
    <row r="1983" spans="1:33" s="91" customFormat="1" ht="158.25" customHeight="1" x14ac:dyDescent="0.2">
      <c r="A1983" s="13">
        <f t="shared" si="72"/>
        <v>176</v>
      </c>
      <c r="B1983" s="11"/>
      <c r="C1983" s="92" t="s">
        <v>1536</v>
      </c>
      <c r="D1983" s="1"/>
      <c r="E1983" s="83"/>
      <c r="F1983" s="83"/>
      <c r="G1983" s="84"/>
      <c r="H1983" s="85"/>
      <c r="I1983" s="18"/>
      <c r="J1983" s="5"/>
      <c r="K1983" s="5"/>
      <c r="L1983" s="4"/>
      <c r="M1983" s="4"/>
      <c r="N1983" s="82"/>
      <c r="O1983" s="86"/>
      <c r="P1983" s="4"/>
      <c r="Q1983" s="4"/>
      <c r="R1983" s="47"/>
      <c r="S1983" s="87"/>
      <c r="T1983" s="88"/>
      <c r="U1983" s="89"/>
      <c r="V1983" s="4"/>
      <c r="W1983" s="4"/>
      <c r="X1983" s="9"/>
      <c r="Y1983" s="84"/>
      <c r="Z1983" s="90"/>
      <c r="AA1983" s="84"/>
      <c r="AB1983" s="84"/>
      <c r="AC1983" s="84"/>
      <c r="AD1983" s="84"/>
      <c r="AE1983" s="84" t="s">
        <v>1537</v>
      </c>
      <c r="AF1983" s="84"/>
      <c r="AG1983" s="84"/>
    </row>
    <row r="1984" spans="1:33" s="91" customFormat="1" ht="12.75" x14ac:dyDescent="0.2">
      <c r="A1984" s="13">
        <f t="shared" si="72"/>
        <v>176</v>
      </c>
      <c r="B1984" s="11"/>
      <c r="C1984" s="82" t="s">
        <v>1538</v>
      </c>
      <c r="D1984" s="1"/>
      <c r="E1984" s="83"/>
      <c r="F1984" s="83"/>
      <c r="G1984" s="84"/>
      <c r="H1984" s="85"/>
      <c r="I1984" s="18"/>
      <c r="J1984" s="5"/>
      <c r="K1984" s="5"/>
      <c r="L1984" s="4"/>
      <c r="M1984" s="4"/>
      <c r="N1984" s="82"/>
      <c r="O1984" s="86"/>
      <c r="P1984" s="4"/>
      <c r="Q1984" s="4"/>
      <c r="R1984" s="47"/>
      <c r="S1984" s="87"/>
      <c r="T1984" s="88"/>
      <c r="U1984" s="89"/>
      <c r="V1984" s="4"/>
      <c r="W1984" s="4"/>
      <c r="X1984" s="9"/>
      <c r="Y1984" s="84"/>
      <c r="Z1984" s="90"/>
      <c r="AA1984" s="84"/>
      <c r="AB1984" s="84"/>
      <c r="AC1984" s="84"/>
      <c r="AD1984" s="84"/>
      <c r="AE1984" s="84"/>
      <c r="AF1984" s="84"/>
      <c r="AG1984" s="84"/>
    </row>
    <row r="1985" spans="1:33" s="91" customFormat="1" ht="38.25" x14ac:dyDescent="0.2">
      <c r="A1985" s="13">
        <f t="shared" si="72"/>
        <v>176</v>
      </c>
      <c r="B1985" s="11"/>
      <c r="C1985" s="82" t="s">
        <v>1648</v>
      </c>
      <c r="D1985" s="1"/>
      <c r="E1985" s="83"/>
      <c r="F1985" s="83"/>
      <c r="G1985" s="84"/>
      <c r="H1985" s="85"/>
      <c r="I1985" s="18"/>
      <c r="J1985" s="5"/>
      <c r="K1985" s="5"/>
      <c r="L1985" s="4"/>
      <c r="M1985" s="4"/>
      <c r="N1985" s="82"/>
      <c r="O1985" s="86"/>
      <c r="P1985" s="4"/>
      <c r="Q1985" s="4"/>
      <c r="R1985" s="47"/>
      <c r="S1985" s="87"/>
      <c r="T1985" s="88"/>
      <c r="U1985" s="89"/>
      <c r="V1985" s="4"/>
      <c r="W1985" s="4"/>
      <c r="X1985" s="9"/>
      <c r="Y1985" s="84"/>
      <c r="Z1985" s="90"/>
      <c r="AA1985" s="84"/>
      <c r="AB1985" s="84"/>
      <c r="AC1985" s="84"/>
      <c r="AD1985" s="84"/>
      <c r="AE1985" s="84"/>
      <c r="AF1985" s="84"/>
      <c r="AG1985" s="84"/>
    </row>
    <row r="1986" spans="1:33" s="91" customFormat="1" ht="12.75" x14ac:dyDescent="0.2">
      <c r="A1986" s="13">
        <f t="shared" si="72"/>
        <v>176</v>
      </c>
      <c r="B1986" s="11"/>
      <c r="C1986" s="82"/>
      <c r="D1986" s="1"/>
      <c r="E1986" s="83"/>
      <c r="F1986" s="83"/>
      <c r="G1986" s="84"/>
      <c r="H1986" s="85"/>
      <c r="I1986" s="18"/>
      <c r="J1986" s="5"/>
      <c r="K1986" s="5"/>
      <c r="L1986" s="4"/>
      <c r="M1986" s="4"/>
      <c r="N1986" s="82"/>
      <c r="O1986" s="86"/>
      <c r="P1986" s="4"/>
      <c r="Q1986" s="4"/>
      <c r="R1986" s="47"/>
      <c r="S1986" s="87"/>
      <c r="T1986" s="88"/>
      <c r="U1986" s="89"/>
      <c r="V1986" s="4"/>
      <c r="W1986" s="4"/>
      <c r="X1986" s="9"/>
      <c r="Y1986" s="84"/>
      <c r="Z1986" s="90"/>
      <c r="AA1986" s="84"/>
      <c r="AB1986" s="84"/>
      <c r="AC1986" s="84"/>
      <c r="AD1986" s="84"/>
      <c r="AE1986" s="84"/>
      <c r="AF1986" s="84"/>
      <c r="AG1986" s="84"/>
    </row>
    <row r="1987" spans="1:33" s="91" customFormat="1" ht="12.75" x14ac:dyDescent="0.2">
      <c r="A1987" s="13">
        <f t="shared" si="72"/>
        <v>176</v>
      </c>
      <c r="B1987" s="11"/>
      <c r="C1987" s="82"/>
      <c r="D1987" s="1"/>
      <c r="E1987" s="83"/>
      <c r="F1987" s="83"/>
      <c r="G1987" s="84"/>
      <c r="H1987" s="85"/>
      <c r="I1987" s="18"/>
      <c r="J1987" s="5"/>
      <c r="K1987" s="5"/>
      <c r="L1987" s="4"/>
      <c r="M1987" s="4"/>
      <c r="N1987" s="82"/>
      <c r="O1987" s="86"/>
      <c r="P1987" s="4"/>
      <c r="Q1987" s="4"/>
      <c r="R1987" s="47"/>
      <c r="S1987" s="87"/>
      <c r="T1987" s="88"/>
      <c r="U1987" s="89"/>
      <c r="V1987" s="4"/>
      <c r="W1987" s="4"/>
      <c r="X1987" s="9"/>
      <c r="Y1987" s="84"/>
      <c r="Z1987" s="90"/>
      <c r="AA1987" s="84"/>
      <c r="AB1987" s="84"/>
      <c r="AC1987" s="84"/>
      <c r="AD1987" s="84"/>
      <c r="AE1987" s="82"/>
      <c r="AF1987" s="82"/>
      <c r="AG1987" s="82"/>
    </row>
    <row r="1988" spans="1:33" s="91" customFormat="1" ht="12.75" x14ac:dyDescent="0.2">
      <c r="A1988" s="13">
        <f t="shared" si="72"/>
        <v>176</v>
      </c>
      <c r="B1988" s="11"/>
      <c r="C1988" s="82"/>
      <c r="D1988" s="1"/>
      <c r="E1988" s="83"/>
      <c r="F1988" s="83"/>
      <c r="G1988" s="84"/>
      <c r="H1988" s="85"/>
      <c r="I1988" s="18"/>
      <c r="J1988" s="5"/>
      <c r="K1988" s="5"/>
      <c r="L1988" s="4"/>
      <c r="M1988" s="4"/>
      <c r="N1988" s="82"/>
      <c r="O1988" s="86"/>
      <c r="P1988" s="4"/>
      <c r="Q1988" s="4"/>
      <c r="R1988" s="47"/>
      <c r="S1988" s="87"/>
      <c r="T1988" s="88"/>
      <c r="U1988" s="89"/>
      <c r="V1988" s="4"/>
      <c r="W1988" s="4"/>
      <c r="X1988" s="9"/>
      <c r="Y1988" s="84"/>
      <c r="Z1988" s="90"/>
      <c r="AA1988" s="84"/>
      <c r="AB1988" s="84"/>
      <c r="AC1988" s="84"/>
      <c r="AD1988" s="84"/>
      <c r="AE1988" s="1"/>
      <c r="AF1988" s="1"/>
      <c r="AG1988" s="1"/>
    </row>
    <row r="1989" spans="1:33" s="91" customFormat="1" ht="38.25" x14ac:dyDescent="0.2">
      <c r="A1989" s="13">
        <f t="shared" si="72"/>
        <v>177</v>
      </c>
      <c r="B1989" s="11">
        <v>177</v>
      </c>
      <c r="C1989" s="92" t="s">
        <v>1539</v>
      </c>
      <c r="D1989" s="1"/>
      <c r="E1989" s="87">
        <v>86</v>
      </c>
      <c r="F1989" s="87">
        <v>345</v>
      </c>
      <c r="G1989" s="84" t="s">
        <v>1206</v>
      </c>
      <c r="H1989" s="85">
        <v>57.8</v>
      </c>
      <c r="I1989" s="18"/>
      <c r="J1989" s="5"/>
      <c r="K1989" s="5"/>
      <c r="L1989" s="4"/>
      <c r="M1989" s="4"/>
      <c r="N1989" s="82"/>
      <c r="O1989" s="86"/>
      <c r="P1989" s="4"/>
      <c r="Q1989" s="4"/>
      <c r="R1989" s="47"/>
      <c r="S1989" s="87"/>
      <c r="T1989" s="88"/>
      <c r="U1989" s="89"/>
      <c r="V1989" s="4"/>
      <c r="W1989" s="4"/>
      <c r="X1989" s="9"/>
      <c r="Y1989" s="84"/>
      <c r="Z1989" s="90"/>
      <c r="AA1989" s="84"/>
      <c r="AB1989" s="84"/>
      <c r="AC1989" s="84"/>
      <c r="AD1989" s="84"/>
      <c r="AE1989" s="84" t="s">
        <v>1540</v>
      </c>
      <c r="AF1989" s="84"/>
      <c r="AG1989" s="84"/>
    </row>
    <row r="1990" spans="1:33" s="91" customFormat="1" ht="38.25" x14ac:dyDescent="0.2">
      <c r="A1990" s="13">
        <f t="shared" si="72"/>
        <v>177</v>
      </c>
      <c r="B1990" s="11"/>
      <c r="C1990" s="82" t="s">
        <v>1541</v>
      </c>
      <c r="D1990" s="1"/>
      <c r="E1990" s="87">
        <v>86</v>
      </c>
      <c r="F1990" s="87">
        <v>345</v>
      </c>
      <c r="G1990" s="84" t="s">
        <v>1270</v>
      </c>
      <c r="H1990" s="85">
        <v>36</v>
      </c>
      <c r="I1990" s="18"/>
      <c r="J1990" s="5"/>
      <c r="K1990" s="5"/>
      <c r="L1990" s="4"/>
      <c r="M1990" s="4"/>
      <c r="N1990" s="82"/>
      <c r="O1990" s="86"/>
      <c r="P1990" s="4"/>
      <c r="Q1990" s="4"/>
      <c r="R1990" s="47"/>
      <c r="S1990" s="87"/>
      <c r="T1990" s="88"/>
      <c r="U1990" s="89"/>
      <c r="V1990" s="4"/>
      <c r="W1990" s="4"/>
      <c r="X1990" s="9"/>
      <c r="Y1990" s="84"/>
      <c r="Z1990" s="90"/>
      <c r="AA1990" s="84"/>
      <c r="AB1990" s="84"/>
      <c r="AC1990" s="84"/>
      <c r="AD1990" s="84"/>
      <c r="AE1990" s="84" t="s">
        <v>1542</v>
      </c>
      <c r="AF1990" s="84"/>
      <c r="AG1990" s="84"/>
    </row>
    <row r="1991" spans="1:33" s="91" customFormat="1" ht="38.25" x14ac:dyDescent="0.2">
      <c r="A1991" s="13">
        <f t="shared" si="72"/>
        <v>177</v>
      </c>
      <c r="B1991" s="11"/>
      <c r="C1991" s="82" t="s">
        <v>1649</v>
      </c>
      <c r="D1991" s="1"/>
      <c r="E1991" s="87">
        <v>86</v>
      </c>
      <c r="F1991" s="87">
        <v>25</v>
      </c>
      <c r="G1991" s="84" t="s">
        <v>1187</v>
      </c>
      <c r="H1991" s="85">
        <v>12</v>
      </c>
      <c r="I1991" s="18"/>
      <c r="J1991" s="5"/>
      <c r="K1991" s="5"/>
      <c r="L1991" s="4"/>
      <c r="M1991" s="4"/>
      <c r="N1991" s="82"/>
      <c r="O1991" s="86"/>
      <c r="P1991" s="4"/>
      <c r="Q1991" s="4"/>
      <c r="R1991" s="47"/>
      <c r="S1991" s="87"/>
      <c r="T1991" s="88"/>
      <c r="U1991" s="89"/>
      <c r="V1991" s="4"/>
      <c r="W1991" s="4"/>
      <c r="X1991" s="9"/>
      <c r="Y1991" s="84"/>
      <c r="Z1991" s="90"/>
      <c r="AA1991" s="84"/>
      <c r="AB1991" s="84"/>
      <c r="AC1991" s="84"/>
      <c r="AD1991" s="84"/>
      <c r="AE1991" s="84" t="s">
        <v>404</v>
      </c>
      <c r="AF1991" s="84"/>
      <c r="AG1991" s="84"/>
    </row>
    <row r="1992" spans="1:33" s="91" customFormat="1" ht="140.25" x14ac:dyDescent="0.2">
      <c r="A1992" s="13">
        <f t="shared" ref="A1992:A2030" si="73">IF(B1992&lt;&gt;0,B1992,A1991)</f>
        <v>177</v>
      </c>
      <c r="B1992" s="11"/>
      <c r="C1992" s="82"/>
      <c r="D1992" s="1"/>
      <c r="E1992" s="87"/>
      <c r="F1992" s="87"/>
      <c r="G1992" s="84"/>
      <c r="H1992" s="85"/>
      <c r="I1992" s="18"/>
      <c r="J1992" s="5"/>
      <c r="K1992" s="5"/>
      <c r="L1992" s="4"/>
      <c r="M1992" s="4"/>
      <c r="N1992" s="82"/>
      <c r="O1992" s="86"/>
      <c r="P1992" s="4"/>
      <c r="Q1992" s="4"/>
      <c r="R1992" s="47"/>
      <c r="S1992" s="87"/>
      <c r="T1992" s="88"/>
      <c r="U1992" s="89"/>
      <c r="V1992" s="4"/>
      <c r="W1992" s="4"/>
      <c r="X1992" s="9"/>
      <c r="Y1992" s="84"/>
      <c r="Z1992" s="90"/>
      <c r="AA1992" s="84"/>
      <c r="AB1992" s="84"/>
      <c r="AC1992" s="84"/>
      <c r="AD1992" s="84"/>
      <c r="AE1992" s="84" t="s">
        <v>1543</v>
      </c>
      <c r="AF1992" s="84"/>
      <c r="AG1992" s="84"/>
    </row>
    <row r="1993" spans="1:33" s="91" customFormat="1" ht="12.75" x14ac:dyDescent="0.2">
      <c r="A1993" s="13">
        <f t="shared" si="73"/>
        <v>177</v>
      </c>
      <c r="B1993" s="11"/>
      <c r="C1993" s="82"/>
      <c r="D1993" s="1"/>
      <c r="E1993" s="83"/>
      <c r="F1993" s="83"/>
      <c r="G1993" s="84"/>
      <c r="H1993" s="85"/>
      <c r="I1993" s="18"/>
      <c r="J1993" s="5"/>
      <c r="K1993" s="5"/>
      <c r="L1993" s="4"/>
      <c r="M1993" s="4"/>
      <c r="N1993" s="82"/>
      <c r="O1993" s="86"/>
      <c r="P1993" s="4"/>
      <c r="Q1993" s="4"/>
      <c r="R1993" s="47"/>
      <c r="S1993" s="87"/>
      <c r="T1993" s="88"/>
      <c r="U1993" s="89"/>
      <c r="V1993" s="4"/>
      <c r="W1993" s="4"/>
      <c r="X1993" s="9"/>
      <c r="Y1993" s="84"/>
      <c r="Z1993" s="90"/>
      <c r="AA1993" s="84"/>
      <c r="AB1993" s="84"/>
      <c r="AC1993" s="84"/>
      <c r="AD1993" s="84"/>
      <c r="AE1993" s="84"/>
      <c r="AF1993" s="84"/>
      <c r="AG1993" s="84"/>
    </row>
    <row r="1994" spans="1:33" s="91" customFormat="1" ht="12.75" x14ac:dyDescent="0.2">
      <c r="A1994" s="13">
        <f t="shared" si="73"/>
        <v>177</v>
      </c>
      <c r="B1994" s="11"/>
      <c r="C1994" s="82"/>
      <c r="D1994" s="1"/>
      <c r="E1994" s="83"/>
      <c r="F1994" s="83"/>
      <c r="G1994" s="84"/>
      <c r="H1994" s="85"/>
      <c r="I1994" s="18"/>
      <c r="J1994" s="5"/>
      <c r="K1994" s="5"/>
      <c r="L1994" s="4"/>
      <c r="M1994" s="4"/>
      <c r="N1994" s="82"/>
      <c r="O1994" s="86"/>
      <c r="P1994" s="4"/>
      <c r="Q1994" s="4"/>
      <c r="R1994" s="47"/>
      <c r="S1994" s="87"/>
      <c r="T1994" s="88"/>
      <c r="U1994" s="89"/>
      <c r="V1994" s="4"/>
      <c r="W1994" s="4"/>
      <c r="X1994" s="9"/>
      <c r="Y1994" s="84"/>
      <c r="Z1994" s="90"/>
      <c r="AA1994" s="84"/>
      <c r="AB1994" s="84"/>
      <c r="AC1994" s="84"/>
      <c r="AD1994" s="84"/>
      <c r="AE1994" s="84"/>
      <c r="AF1994" s="84"/>
      <c r="AG1994" s="84"/>
    </row>
    <row r="1995" spans="1:33" s="91" customFormat="1" ht="25.5" x14ac:dyDescent="0.2">
      <c r="A1995" s="13">
        <f t="shared" si="73"/>
        <v>178</v>
      </c>
      <c r="B1995" s="11">
        <v>178</v>
      </c>
      <c r="C1995" s="92" t="s">
        <v>1544</v>
      </c>
      <c r="D1995" s="1"/>
      <c r="E1995" s="87">
        <v>86</v>
      </c>
      <c r="F1995" s="87">
        <v>414</v>
      </c>
      <c r="G1995" s="84" t="s">
        <v>1206</v>
      </c>
      <c r="H1995" s="85">
        <v>20.6</v>
      </c>
      <c r="I1995" s="18"/>
      <c r="J1995" s="5"/>
      <c r="K1995" s="5"/>
      <c r="L1995" s="4"/>
      <c r="M1995" s="4"/>
      <c r="N1995" s="82"/>
      <c r="O1995" s="86"/>
      <c r="P1995" s="4"/>
      <c r="Q1995" s="4"/>
      <c r="R1995" s="47" t="s">
        <v>1225</v>
      </c>
      <c r="S1995" s="87" t="s">
        <v>1133</v>
      </c>
      <c r="T1995" s="88">
        <v>21</v>
      </c>
      <c r="U1995" s="89"/>
      <c r="V1995" s="4"/>
      <c r="W1995" s="4"/>
      <c r="X1995" s="9"/>
      <c r="Y1995" s="84"/>
      <c r="Z1995" s="90"/>
      <c r="AA1995" s="84"/>
      <c r="AB1995" s="84"/>
      <c r="AC1995" s="84"/>
      <c r="AD1995" s="84"/>
      <c r="AE1995" s="84" t="s">
        <v>1545</v>
      </c>
      <c r="AF1995" s="84"/>
      <c r="AG1995" s="84"/>
    </row>
    <row r="1996" spans="1:33" s="91" customFormat="1" ht="37.5" customHeight="1" x14ac:dyDescent="0.2">
      <c r="A1996" s="13">
        <f t="shared" si="73"/>
        <v>178</v>
      </c>
      <c r="B1996" s="11"/>
      <c r="C1996" s="82" t="s">
        <v>1546</v>
      </c>
      <c r="D1996" s="1"/>
      <c r="E1996" s="87"/>
      <c r="F1996" s="87"/>
      <c r="G1996" s="84"/>
      <c r="H1996" s="85"/>
      <c r="I1996" s="18"/>
      <c r="J1996" s="5"/>
      <c r="K1996" s="5"/>
      <c r="L1996" s="4"/>
      <c r="M1996" s="4"/>
      <c r="N1996" s="82"/>
      <c r="O1996" s="86"/>
      <c r="P1996" s="4"/>
      <c r="Q1996" s="4"/>
      <c r="R1996" s="47" t="s">
        <v>1547</v>
      </c>
      <c r="S1996" s="87" t="s">
        <v>1133</v>
      </c>
      <c r="T1996" s="88">
        <v>9.8000000000000007</v>
      </c>
      <c r="U1996" s="89"/>
      <c r="V1996" s="4"/>
      <c r="W1996" s="4"/>
      <c r="X1996" s="9"/>
      <c r="Y1996" s="84"/>
      <c r="Z1996" s="90"/>
      <c r="AA1996" s="84"/>
      <c r="AB1996" s="84"/>
      <c r="AC1996" s="84"/>
      <c r="AD1996" s="84"/>
      <c r="AE1996" s="84" t="s">
        <v>1548</v>
      </c>
      <c r="AF1996" s="84"/>
      <c r="AG1996" s="84"/>
    </row>
    <row r="1997" spans="1:33" s="91" customFormat="1" ht="38.25" x14ac:dyDescent="0.2">
      <c r="A1997" s="13">
        <f t="shared" si="73"/>
        <v>178</v>
      </c>
      <c r="B1997" s="11"/>
      <c r="C1997" s="82" t="s">
        <v>1650</v>
      </c>
      <c r="D1997" s="1"/>
      <c r="E1997" s="87"/>
      <c r="F1997" s="87"/>
      <c r="G1997" s="84"/>
      <c r="H1997" s="85"/>
      <c r="I1997" s="18"/>
      <c r="J1997" s="5"/>
      <c r="K1997" s="5"/>
      <c r="L1997" s="4"/>
      <c r="M1997" s="4"/>
      <c r="N1997" s="82"/>
      <c r="O1997" s="86"/>
      <c r="P1997" s="4"/>
      <c r="Q1997" s="4"/>
      <c r="R1997" s="47"/>
      <c r="S1997" s="87"/>
      <c r="T1997" s="88"/>
      <c r="U1997" s="89"/>
      <c r="V1997" s="4"/>
      <c r="W1997" s="4"/>
      <c r="X1997" s="9"/>
      <c r="Y1997" s="84"/>
      <c r="Z1997" s="90"/>
      <c r="AA1997" s="84"/>
      <c r="AB1997" s="84"/>
      <c r="AC1997" s="84"/>
      <c r="AD1997" s="84"/>
      <c r="AE1997" s="84" t="s">
        <v>1729</v>
      </c>
      <c r="AF1997" s="84"/>
      <c r="AG1997" s="84"/>
    </row>
    <row r="1998" spans="1:33" s="91" customFormat="1" ht="12.75" x14ac:dyDescent="0.2">
      <c r="A1998" s="13">
        <f t="shared" si="73"/>
        <v>178</v>
      </c>
      <c r="B1998" s="11"/>
      <c r="C1998" s="82"/>
      <c r="D1998" s="1"/>
      <c r="E1998" s="83"/>
      <c r="F1998" s="83"/>
      <c r="G1998" s="84"/>
      <c r="H1998" s="85"/>
      <c r="I1998" s="18"/>
      <c r="J1998" s="5"/>
      <c r="K1998" s="5"/>
      <c r="L1998" s="4"/>
      <c r="M1998" s="4"/>
      <c r="N1998" s="82"/>
      <c r="O1998" s="86"/>
      <c r="P1998" s="4"/>
      <c r="Q1998" s="4"/>
      <c r="R1998" s="47"/>
      <c r="S1998" s="87"/>
      <c r="T1998" s="88"/>
      <c r="U1998" s="89"/>
      <c r="V1998" s="4"/>
      <c r="W1998" s="4"/>
      <c r="X1998" s="9"/>
      <c r="Y1998" s="84"/>
      <c r="Z1998" s="90"/>
      <c r="AA1998" s="84"/>
      <c r="AB1998" s="84"/>
      <c r="AC1998" s="84"/>
      <c r="AD1998" s="84"/>
      <c r="AE1998" s="84"/>
      <c r="AF1998" s="84"/>
      <c r="AG1998" s="84"/>
    </row>
    <row r="1999" spans="1:33" s="91" customFormat="1" ht="12.75" x14ac:dyDescent="0.2">
      <c r="A1999" s="13">
        <f t="shared" si="73"/>
        <v>178</v>
      </c>
      <c r="B1999" s="11"/>
      <c r="C1999" s="82"/>
      <c r="D1999" s="1"/>
      <c r="E1999" s="83"/>
      <c r="F1999" s="83"/>
      <c r="G1999" s="84"/>
      <c r="H1999" s="85"/>
      <c r="I1999" s="18"/>
      <c r="J1999" s="5"/>
      <c r="K1999" s="5"/>
      <c r="L1999" s="4"/>
      <c r="M1999" s="4"/>
      <c r="N1999" s="82"/>
      <c r="O1999" s="86"/>
      <c r="P1999" s="4"/>
      <c r="Q1999" s="4"/>
      <c r="R1999" s="47"/>
      <c r="S1999" s="87"/>
      <c r="T1999" s="88"/>
      <c r="U1999" s="89"/>
      <c r="V1999" s="4"/>
      <c r="W1999" s="4"/>
      <c r="X1999" s="9"/>
      <c r="Y1999" s="84"/>
      <c r="Z1999" s="90"/>
      <c r="AA1999" s="84"/>
      <c r="AB1999" s="84"/>
      <c r="AC1999" s="84"/>
      <c r="AD1999" s="84"/>
      <c r="AE1999" s="84"/>
      <c r="AF1999" s="84"/>
      <c r="AG1999" s="84"/>
    </row>
    <row r="2000" spans="1:33" s="91" customFormat="1" ht="38.25" x14ac:dyDescent="0.2">
      <c r="A2000" s="13">
        <f t="shared" si="73"/>
        <v>179</v>
      </c>
      <c r="B2000" s="11">
        <v>179</v>
      </c>
      <c r="C2000" s="92" t="s">
        <v>1549</v>
      </c>
      <c r="D2000" s="1"/>
      <c r="E2000" s="87">
        <v>86</v>
      </c>
      <c r="F2000" s="87">
        <v>225</v>
      </c>
      <c r="G2000" s="84" t="s">
        <v>1120</v>
      </c>
      <c r="H2000" s="85">
        <v>95</v>
      </c>
      <c r="I2000" s="18"/>
      <c r="J2000" s="5"/>
      <c r="K2000" s="5"/>
      <c r="L2000" s="4"/>
      <c r="M2000" s="4"/>
      <c r="N2000" s="82"/>
      <c r="O2000" s="86"/>
      <c r="P2000" s="4"/>
      <c r="Q2000" s="4"/>
      <c r="R2000" s="47"/>
      <c r="S2000" s="87"/>
      <c r="T2000" s="88"/>
      <c r="U2000" s="89"/>
      <c r="V2000" s="4"/>
      <c r="W2000" s="4"/>
      <c r="X2000" s="9"/>
      <c r="Y2000" s="84"/>
      <c r="Z2000" s="90"/>
      <c r="AA2000" s="84"/>
      <c r="AB2000" s="84"/>
      <c r="AC2000" s="84"/>
      <c r="AD2000" s="84"/>
      <c r="AE2000" s="84" t="s">
        <v>1550</v>
      </c>
      <c r="AF2000" s="84"/>
      <c r="AG2000" s="84"/>
    </row>
    <row r="2001" spans="1:33" s="91" customFormat="1" ht="32.25" customHeight="1" x14ac:dyDescent="0.2">
      <c r="A2001" s="13">
        <f t="shared" si="73"/>
        <v>179</v>
      </c>
      <c r="B2001" s="11"/>
      <c r="C2001" s="82" t="s">
        <v>1551</v>
      </c>
      <c r="D2001" s="1"/>
      <c r="E2001" s="87"/>
      <c r="F2001" s="87"/>
      <c r="G2001" s="84"/>
      <c r="H2001" s="85"/>
      <c r="I2001" s="18"/>
      <c r="J2001" s="5"/>
      <c r="K2001" s="5"/>
      <c r="L2001" s="4"/>
      <c r="M2001" s="4"/>
      <c r="N2001" s="82"/>
      <c r="O2001" s="86"/>
      <c r="P2001" s="4"/>
      <c r="Q2001" s="4"/>
      <c r="R2001" s="47"/>
      <c r="S2001" s="87"/>
      <c r="T2001" s="88"/>
      <c r="U2001" s="89"/>
      <c r="V2001" s="4"/>
      <c r="W2001" s="4"/>
      <c r="X2001" s="9"/>
      <c r="Y2001" s="84"/>
      <c r="Z2001" s="90"/>
      <c r="AA2001" s="84"/>
      <c r="AB2001" s="84"/>
      <c r="AC2001" s="84"/>
      <c r="AD2001" s="84"/>
      <c r="AE2001" s="84" t="s">
        <v>1552</v>
      </c>
      <c r="AF2001" s="84"/>
      <c r="AG2001" s="84"/>
    </row>
    <row r="2002" spans="1:33" s="91" customFormat="1" ht="38.25" x14ac:dyDescent="0.2">
      <c r="A2002" s="13">
        <f t="shared" si="73"/>
        <v>179</v>
      </c>
      <c r="B2002" s="11"/>
      <c r="C2002" s="82" t="s">
        <v>1651</v>
      </c>
      <c r="D2002" s="1"/>
      <c r="E2002" s="87"/>
      <c r="F2002" s="87"/>
      <c r="G2002" s="84"/>
      <c r="H2002" s="85"/>
      <c r="I2002" s="18"/>
      <c r="J2002" s="5"/>
      <c r="K2002" s="5"/>
      <c r="L2002" s="4"/>
      <c r="M2002" s="4"/>
      <c r="N2002" s="82"/>
      <c r="O2002" s="86"/>
      <c r="P2002" s="4"/>
      <c r="Q2002" s="4"/>
      <c r="R2002" s="47"/>
      <c r="S2002" s="87"/>
      <c r="T2002" s="88"/>
      <c r="U2002" s="89"/>
      <c r="V2002" s="4"/>
      <c r="W2002" s="4"/>
      <c r="X2002" s="9"/>
      <c r="Y2002" s="84"/>
      <c r="Z2002" s="90"/>
      <c r="AA2002" s="84"/>
      <c r="AB2002" s="84"/>
      <c r="AC2002" s="84"/>
      <c r="AD2002" s="84"/>
      <c r="AE2002" s="84" t="s">
        <v>1188</v>
      </c>
      <c r="AF2002" s="84"/>
      <c r="AG2002" s="84"/>
    </row>
    <row r="2003" spans="1:33" s="91" customFormat="1" ht="12.75" x14ac:dyDescent="0.2">
      <c r="A2003" s="13">
        <f t="shared" si="73"/>
        <v>179</v>
      </c>
      <c r="B2003" s="11"/>
      <c r="C2003" s="82"/>
      <c r="D2003" s="1"/>
      <c r="E2003" s="83"/>
      <c r="F2003" s="83"/>
      <c r="G2003" s="84"/>
      <c r="H2003" s="85"/>
      <c r="I2003" s="18"/>
      <c r="J2003" s="5"/>
      <c r="K2003" s="5"/>
      <c r="L2003" s="4"/>
      <c r="M2003" s="4"/>
      <c r="N2003" s="82"/>
      <c r="O2003" s="86"/>
      <c r="P2003" s="4"/>
      <c r="Q2003" s="4"/>
      <c r="R2003" s="47"/>
      <c r="S2003" s="87"/>
      <c r="T2003" s="88"/>
      <c r="U2003" s="89"/>
      <c r="V2003" s="4"/>
      <c r="W2003" s="4"/>
      <c r="X2003" s="9"/>
      <c r="Y2003" s="84"/>
      <c r="Z2003" s="90"/>
      <c r="AA2003" s="84"/>
      <c r="AB2003" s="84"/>
      <c r="AC2003" s="84"/>
      <c r="AD2003" s="84"/>
      <c r="AE2003" s="84"/>
      <c r="AF2003" s="84"/>
      <c r="AG2003" s="84"/>
    </row>
    <row r="2004" spans="1:33" s="91" customFormat="1" ht="12.75" x14ac:dyDescent="0.2">
      <c r="A2004" s="13">
        <f t="shared" si="73"/>
        <v>179</v>
      </c>
      <c r="B2004" s="11"/>
      <c r="C2004" s="92"/>
      <c r="D2004" s="1"/>
      <c r="E2004" s="87"/>
      <c r="F2004" s="87"/>
      <c r="G2004" s="84"/>
      <c r="H2004" s="85"/>
      <c r="I2004" s="18"/>
      <c r="J2004" s="5"/>
      <c r="K2004" s="5"/>
      <c r="L2004" s="4"/>
      <c r="M2004" s="4"/>
      <c r="N2004" s="82"/>
      <c r="O2004" s="86"/>
      <c r="P2004" s="4"/>
      <c r="Q2004" s="4"/>
      <c r="R2004" s="47"/>
      <c r="S2004" s="87"/>
      <c r="T2004" s="88"/>
      <c r="U2004" s="89"/>
      <c r="V2004" s="4"/>
      <c r="W2004" s="4"/>
      <c r="X2004" s="9"/>
      <c r="Y2004" s="84"/>
      <c r="Z2004" s="90"/>
      <c r="AA2004" s="84"/>
      <c r="AB2004" s="84"/>
      <c r="AC2004" s="84"/>
      <c r="AD2004" s="84"/>
      <c r="AE2004" s="84"/>
      <c r="AF2004" s="84"/>
      <c r="AG2004" s="84"/>
    </row>
    <row r="2005" spans="1:33" s="91" customFormat="1" ht="12.75" x14ac:dyDescent="0.2">
      <c r="A2005" s="13">
        <f t="shared" si="73"/>
        <v>180</v>
      </c>
      <c r="B2005" s="11">
        <v>180</v>
      </c>
      <c r="C2005" s="92" t="s">
        <v>1553</v>
      </c>
      <c r="D2005" s="1"/>
      <c r="E2005" s="87">
        <v>86</v>
      </c>
      <c r="F2005" s="87">
        <v>221</v>
      </c>
      <c r="G2005" s="84" t="s">
        <v>1109</v>
      </c>
      <c r="H2005" s="85">
        <v>95</v>
      </c>
      <c r="I2005" s="18"/>
      <c r="J2005" s="5"/>
      <c r="K2005" s="5"/>
      <c r="L2005" s="4"/>
      <c r="M2005" s="4"/>
      <c r="N2005" s="82"/>
      <c r="O2005" s="86"/>
      <c r="P2005" s="4"/>
      <c r="Q2005" s="4"/>
      <c r="R2005" s="47"/>
      <c r="S2005" s="87"/>
      <c r="T2005" s="88"/>
      <c r="U2005" s="89"/>
      <c r="V2005" s="4"/>
      <c r="W2005" s="4"/>
      <c r="X2005" s="9"/>
      <c r="Y2005" s="84"/>
      <c r="Z2005" s="90"/>
      <c r="AA2005" s="84"/>
      <c r="AB2005" s="84"/>
      <c r="AC2005" s="84"/>
      <c r="AD2005" s="84"/>
      <c r="AE2005" s="84"/>
      <c r="AF2005" s="84"/>
      <c r="AG2005" s="84"/>
    </row>
    <row r="2006" spans="1:33" s="91" customFormat="1" ht="12.75" x14ac:dyDescent="0.2">
      <c r="A2006" s="13">
        <f t="shared" si="73"/>
        <v>180</v>
      </c>
      <c r="B2006" s="11"/>
      <c r="C2006" s="82" t="s">
        <v>1554</v>
      </c>
      <c r="D2006" s="1"/>
      <c r="E2006" s="87"/>
      <c r="F2006" s="87"/>
      <c r="G2006" s="84"/>
      <c r="H2006" s="85"/>
      <c r="I2006" s="18"/>
      <c r="J2006" s="5"/>
      <c r="K2006" s="5"/>
      <c r="L2006" s="4"/>
      <c r="M2006" s="4"/>
      <c r="N2006" s="82"/>
      <c r="O2006" s="86"/>
      <c r="P2006" s="4"/>
      <c r="Q2006" s="4"/>
      <c r="R2006" s="47"/>
      <c r="S2006" s="87"/>
      <c r="T2006" s="88"/>
      <c r="U2006" s="89"/>
      <c r="V2006" s="4"/>
      <c r="W2006" s="4"/>
      <c r="X2006" s="9"/>
      <c r="Y2006" s="84"/>
      <c r="Z2006" s="90"/>
      <c r="AA2006" s="84"/>
      <c r="AB2006" s="84"/>
      <c r="AC2006" s="84"/>
      <c r="AD2006" s="84"/>
      <c r="AE2006" s="84"/>
      <c r="AF2006" s="84"/>
      <c r="AG2006" s="84"/>
    </row>
    <row r="2007" spans="1:33" s="91" customFormat="1" ht="12.75" x14ac:dyDescent="0.2">
      <c r="A2007" s="13">
        <f t="shared" si="73"/>
        <v>180</v>
      </c>
      <c r="B2007" s="11"/>
      <c r="C2007" s="82"/>
      <c r="D2007" s="1"/>
      <c r="E2007" s="87"/>
      <c r="F2007" s="87"/>
      <c r="G2007" s="84"/>
      <c r="H2007" s="85"/>
      <c r="I2007" s="18"/>
      <c r="J2007" s="5"/>
      <c r="K2007" s="5"/>
      <c r="L2007" s="4"/>
      <c r="M2007" s="4"/>
      <c r="N2007" s="82"/>
      <c r="O2007" s="86"/>
      <c r="P2007" s="4"/>
      <c r="Q2007" s="4"/>
      <c r="R2007" s="47"/>
      <c r="S2007" s="87"/>
      <c r="T2007" s="88"/>
      <c r="U2007" s="89"/>
      <c r="V2007" s="4"/>
      <c r="W2007" s="4"/>
      <c r="X2007" s="9"/>
      <c r="Y2007" s="84"/>
      <c r="Z2007" s="90"/>
      <c r="AA2007" s="84"/>
      <c r="AB2007" s="84"/>
      <c r="AC2007" s="84"/>
      <c r="AD2007" s="84"/>
      <c r="AE2007" s="84"/>
      <c r="AF2007" s="84"/>
      <c r="AG2007" s="84"/>
    </row>
    <row r="2008" spans="1:33" s="91" customFormat="1" ht="12.75" x14ac:dyDescent="0.2">
      <c r="A2008" s="13">
        <f t="shared" si="73"/>
        <v>180</v>
      </c>
      <c r="B2008" s="11"/>
      <c r="C2008" s="82"/>
      <c r="D2008" s="1"/>
      <c r="E2008" s="83"/>
      <c r="F2008" s="83"/>
      <c r="G2008" s="84"/>
      <c r="H2008" s="85"/>
      <c r="I2008" s="18"/>
      <c r="J2008" s="5"/>
      <c r="K2008" s="5"/>
      <c r="L2008" s="4"/>
      <c r="M2008" s="4"/>
      <c r="N2008" s="82"/>
      <c r="O2008" s="86"/>
      <c r="P2008" s="4"/>
      <c r="Q2008" s="4"/>
      <c r="R2008" s="47"/>
      <c r="S2008" s="87"/>
      <c r="T2008" s="88"/>
      <c r="U2008" s="89"/>
      <c r="V2008" s="4"/>
      <c r="W2008" s="4"/>
      <c r="X2008" s="9"/>
      <c r="Y2008" s="84"/>
      <c r="Z2008" s="90"/>
      <c r="AA2008" s="84"/>
      <c r="AB2008" s="84"/>
      <c r="AC2008" s="84"/>
      <c r="AD2008" s="84"/>
      <c r="AE2008" s="84"/>
      <c r="AF2008" s="84"/>
      <c r="AG2008" s="84"/>
    </row>
    <row r="2009" spans="1:33" s="91" customFormat="1" ht="12.75" x14ac:dyDescent="0.2">
      <c r="A2009" s="13">
        <f t="shared" si="73"/>
        <v>180</v>
      </c>
      <c r="B2009" s="11"/>
      <c r="C2009" s="82"/>
      <c r="D2009" s="1"/>
      <c r="E2009" s="83"/>
      <c r="F2009" s="83"/>
      <c r="G2009" s="84"/>
      <c r="H2009" s="85"/>
      <c r="I2009" s="18"/>
      <c r="J2009" s="5"/>
      <c r="K2009" s="5"/>
      <c r="L2009" s="4"/>
      <c r="M2009" s="4"/>
      <c r="N2009" s="82"/>
      <c r="O2009" s="86"/>
      <c r="P2009" s="4"/>
      <c r="Q2009" s="4"/>
      <c r="R2009" s="47"/>
      <c r="S2009" s="87"/>
      <c r="T2009" s="88"/>
      <c r="U2009" s="89"/>
      <c r="V2009" s="4"/>
      <c r="W2009" s="4"/>
      <c r="X2009" s="9"/>
      <c r="Y2009" s="84"/>
      <c r="Z2009" s="90"/>
      <c r="AA2009" s="84"/>
      <c r="AB2009" s="84"/>
      <c r="AC2009" s="84"/>
      <c r="AD2009" s="84"/>
      <c r="AE2009" s="84"/>
      <c r="AF2009" s="84"/>
      <c r="AG2009" s="84"/>
    </row>
    <row r="2010" spans="1:33" s="91" customFormat="1" ht="12.75" x14ac:dyDescent="0.2">
      <c r="A2010" s="13">
        <f t="shared" si="73"/>
        <v>181</v>
      </c>
      <c r="B2010" s="11">
        <v>181</v>
      </c>
      <c r="C2010" s="92" t="s">
        <v>1555</v>
      </c>
      <c r="D2010" s="1"/>
      <c r="E2010" s="87">
        <v>86</v>
      </c>
      <c r="F2010" s="87">
        <v>223</v>
      </c>
      <c r="G2010" s="84" t="s">
        <v>1109</v>
      </c>
      <c r="H2010" s="85">
        <v>95</v>
      </c>
      <c r="I2010" s="18"/>
      <c r="J2010" s="5"/>
      <c r="K2010" s="5"/>
      <c r="L2010" s="4"/>
      <c r="M2010" s="4"/>
      <c r="N2010" s="82"/>
      <c r="O2010" s="86"/>
      <c r="P2010" s="4"/>
      <c r="Q2010" s="4"/>
      <c r="R2010" s="47"/>
      <c r="S2010" s="87"/>
      <c r="T2010" s="88"/>
      <c r="U2010" s="89"/>
      <c r="V2010" s="4"/>
      <c r="W2010" s="4"/>
      <c r="X2010" s="9"/>
      <c r="Y2010" s="84"/>
      <c r="Z2010" s="90"/>
      <c r="AA2010" s="84"/>
      <c r="AB2010" s="84"/>
      <c r="AC2010" s="84"/>
      <c r="AD2010" s="84"/>
      <c r="AE2010" s="84"/>
      <c r="AF2010" s="84"/>
      <c r="AG2010" s="84"/>
    </row>
    <row r="2011" spans="1:33" s="91" customFormat="1" ht="12.75" x14ac:dyDescent="0.2">
      <c r="A2011" s="13">
        <f t="shared" si="73"/>
        <v>181</v>
      </c>
      <c r="B2011" s="11"/>
      <c r="C2011" s="82" t="s">
        <v>1554</v>
      </c>
      <c r="D2011" s="1"/>
      <c r="E2011" s="87"/>
      <c r="F2011" s="87"/>
      <c r="G2011" s="84"/>
      <c r="H2011" s="85"/>
      <c r="I2011" s="18"/>
      <c r="J2011" s="5"/>
      <c r="K2011" s="5"/>
      <c r="L2011" s="4"/>
      <c r="M2011" s="4"/>
      <c r="N2011" s="82"/>
      <c r="O2011" s="86"/>
      <c r="P2011" s="4"/>
      <c r="Q2011" s="4"/>
      <c r="R2011" s="47"/>
      <c r="S2011" s="87"/>
      <c r="T2011" s="88"/>
      <c r="U2011" s="89"/>
      <c r="V2011" s="4"/>
      <c r="W2011" s="4"/>
      <c r="X2011" s="9"/>
      <c r="Y2011" s="84"/>
      <c r="Z2011" s="90"/>
      <c r="AA2011" s="84"/>
      <c r="AB2011" s="84"/>
      <c r="AC2011" s="84"/>
      <c r="AD2011" s="84"/>
      <c r="AE2011" s="84"/>
      <c r="AF2011" s="84"/>
      <c r="AG2011" s="84"/>
    </row>
    <row r="2012" spans="1:33" s="91" customFormat="1" ht="12.75" x14ac:dyDescent="0.2">
      <c r="A2012" s="13">
        <f t="shared" si="73"/>
        <v>181</v>
      </c>
      <c r="B2012" s="11"/>
      <c r="C2012" s="82"/>
      <c r="D2012" s="1"/>
      <c r="E2012" s="87"/>
      <c r="F2012" s="87"/>
      <c r="G2012" s="84"/>
      <c r="H2012" s="85"/>
      <c r="I2012" s="18"/>
      <c r="J2012" s="5"/>
      <c r="K2012" s="5"/>
      <c r="L2012" s="4"/>
      <c r="M2012" s="4"/>
      <c r="N2012" s="82"/>
      <c r="O2012" s="86"/>
      <c r="P2012" s="4"/>
      <c r="Q2012" s="4"/>
      <c r="R2012" s="47"/>
      <c r="S2012" s="87"/>
      <c r="T2012" s="88"/>
      <c r="U2012" s="89"/>
      <c r="V2012" s="4"/>
      <c r="W2012" s="4"/>
      <c r="X2012" s="9"/>
      <c r="Y2012" s="84"/>
      <c r="Z2012" s="90"/>
      <c r="AA2012" s="84"/>
      <c r="AB2012" s="84"/>
      <c r="AC2012" s="84"/>
      <c r="AD2012" s="84"/>
      <c r="AE2012" s="84"/>
      <c r="AF2012" s="84"/>
      <c r="AG2012" s="84"/>
    </row>
    <row r="2013" spans="1:33" s="91" customFormat="1" ht="12.75" x14ac:dyDescent="0.2">
      <c r="A2013" s="13">
        <f t="shared" si="73"/>
        <v>181</v>
      </c>
      <c r="B2013" s="11"/>
      <c r="C2013" s="82"/>
      <c r="D2013" s="1"/>
      <c r="E2013" s="83"/>
      <c r="F2013" s="83"/>
      <c r="G2013" s="84"/>
      <c r="H2013" s="85"/>
      <c r="I2013" s="18"/>
      <c r="J2013" s="5"/>
      <c r="K2013" s="5"/>
      <c r="L2013" s="4"/>
      <c r="M2013" s="4"/>
      <c r="N2013" s="82"/>
      <c r="O2013" s="86"/>
      <c r="P2013" s="4"/>
      <c r="Q2013" s="4"/>
      <c r="R2013" s="47"/>
      <c r="S2013" s="87"/>
      <c r="T2013" s="88"/>
      <c r="U2013" s="89"/>
      <c r="V2013" s="4"/>
      <c r="W2013" s="4"/>
      <c r="X2013" s="9"/>
      <c r="Y2013" s="84"/>
      <c r="Z2013" s="90"/>
      <c r="AA2013" s="84"/>
      <c r="AB2013" s="84"/>
      <c r="AC2013" s="84"/>
      <c r="AD2013" s="84"/>
      <c r="AE2013" s="84"/>
      <c r="AF2013" s="84"/>
      <c r="AG2013" s="84"/>
    </row>
    <row r="2014" spans="1:33" s="91" customFormat="1" ht="12.75" x14ac:dyDescent="0.2">
      <c r="A2014" s="13">
        <f t="shared" si="73"/>
        <v>181</v>
      </c>
      <c r="B2014" s="11"/>
      <c r="C2014" s="82"/>
      <c r="D2014" s="1"/>
      <c r="E2014" s="83"/>
      <c r="F2014" s="83"/>
      <c r="G2014" s="84"/>
      <c r="H2014" s="85"/>
      <c r="I2014" s="18"/>
      <c r="J2014" s="5"/>
      <c r="K2014" s="5"/>
      <c r="L2014" s="4"/>
      <c r="M2014" s="4"/>
      <c r="N2014" s="82"/>
      <c r="O2014" s="86"/>
      <c r="P2014" s="4"/>
      <c r="Q2014" s="4"/>
      <c r="R2014" s="47"/>
      <c r="S2014" s="87"/>
      <c r="T2014" s="88"/>
      <c r="U2014" s="89"/>
      <c r="V2014" s="4"/>
      <c r="W2014" s="4"/>
      <c r="X2014" s="9"/>
      <c r="Y2014" s="84"/>
      <c r="Z2014" s="90"/>
      <c r="AA2014" s="84"/>
      <c r="AB2014" s="84"/>
      <c r="AC2014" s="84"/>
      <c r="AD2014" s="84"/>
      <c r="AE2014" s="84"/>
      <c r="AF2014" s="84"/>
      <c r="AG2014" s="84"/>
    </row>
    <row r="2015" spans="1:33" s="91" customFormat="1" ht="12.75" x14ac:dyDescent="0.2">
      <c r="A2015" s="13">
        <f t="shared" si="73"/>
        <v>182</v>
      </c>
      <c r="B2015" s="11">
        <v>182</v>
      </c>
      <c r="C2015" s="92" t="s">
        <v>1556</v>
      </c>
      <c r="D2015" s="1"/>
      <c r="E2015" s="87">
        <v>86</v>
      </c>
      <c r="F2015" s="87">
        <v>224</v>
      </c>
      <c r="G2015" s="84" t="s">
        <v>1109</v>
      </c>
      <c r="H2015" s="85">
        <v>95</v>
      </c>
      <c r="I2015" s="18"/>
      <c r="J2015" s="5"/>
      <c r="K2015" s="5"/>
      <c r="L2015" s="4"/>
      <c r="M2015" s="4"/>
      <c r="N2015" s="82"/>
      <c r="O2015" s="86"/>
      <c r="P2015" s="4"/>
      <c r="Q2015" s="4"/>
      <c r="R2015" s="47"/>
      <c r="S2015" s="87"/>
      <c r="T2015" s="88"/>
      <c r="U2015" s="89"/>
      <c r="V2015" s="4"/>
      <c r="W2015" s="4"/>
      <c r="X2015" s="9"/>
      <c r="Y2015" s="84"/>
      <c r="Z2015" s="90"/>
      <c r="AA2015" s="84"/>
      <c r="AB2015" s="84"/>
      <c r="AC2015" s="84"/>
      <c r="AD2015" s="84"/>
      <c r="AE2015" s="84"/>
      <c r="AF2015" s="84"/>
      <c r="AG2015" s="84"/>
    </row>
    <row r="2016" spans="1:33" s="91" customFormat="1" ht="12.75" x14ac:dyDescent="0.2">
      <c r="A2016" s="13">
        <f t="shared" si="73"/>
        <v>182</v>
      </c>
      <c r="B2016" s="11"/>
      <c r="C2016" s="82" t="s">
        <v>1554</v>
      </c>
      <c r="D2016" s="1"/>
      <c r="E2016" s="87"/>
      <c r="F2016" s="87"/>
      <c r="G2016" s="84"/>
      <c r="H2016" s="85"/>
      <c r="I2016" s="18"/>
      <c r="J2016" s="5"/>
      <c r="K2016" s="5"/>
      <c r="L2016" s="4"/>
      <c r="M2016" s="4"/>
      <c r="N2016" s="82"/>
      <c r="O2016" s="86"/>
      <c r="P2016" s="4"/>
      <c r="Q2016" s="4"/>
      <c r="R2016" s="47"/>
      <c r="S2016" s="87"/>
      <c r="T2016" s="88"/>
      <c r="U2016" s="89"/>
      <c r="V2016" s="4"/>
      <c r="W2016" s="4"/>
      <c r="X2016" s="9"/>
      <c r="Y2016" s="84"/>
      <c r="Z2016" s="90"/>
      <c r="AA2016" s="84"/>
      <c r="AB2016" s="84"/>
      <c r="AC2016" s="84"/>
      <c r="AD2016" s="84"/>
      <c r="AE2016" s="84"/>
      <c r="AF2016" s="84"/>
      <c r="AG2016" s="84"/>
    </row>
    <row r="2017" spans="1:33" s="91" customFormat="1" ht="12.75" x14ac:dyDescent="0.2">
      <c r="A2017" s="13">
        <f t="shared" si="73"/>
        <v>182</v>
      </c>
      <c r="B2017" s="11"/>
      <c r="C2017" s="82"/>
      <c r="D2017" s="1"/>
      <c r="E2017" s="87"/>
      <c r="F2017" s="87"/>
      <c r="G2017" s="84"/>
      <c r="H2017" s="85"/>
      <c r="I2017" s="18"/>
      <c r="J2017" s="5"/>
      <c r="K2017" s="5"/>
      <c r="L2017" s="4"/>
      <c r="M2017" s="4"/>
      <c r="N2017" s="82"/>
      <c r="O2017" s="86"/>
      <c r="P2017" s="4"/>
      <c r="Q2017" s="4"/>
      <c r="R2017" s="47"/>
      <c r="S2017" s="87"/>
      <c r="T2017" s="88"/>
      <c r="U2017" s="89"/>
      <c r="V2017" s="4"/>
      <c r="W2017" s="4"/>
      <c r="X2017" s="9"/>
      <c r="Y2017" s="84"/>
      <c r="Z2017" s="90"/>
      <c r="AA2017" s="84"/>
      <c r="AB2017" s="84"/>
      <c r="AC2017" s="84"/>
      <c r="AD2017" s="84"/>
      <c r="AE2017" s="84"/>
      <c r="AF2017" s="84"/>
      <c r="AG2017" s="84"/>
    </row>
    <row r="2018" spans="1:33" s="91" customFormat="1" ht="12.75" x14ac:dyDescent="0.2">
      <c r="A2018" s="13">
        <f t="shared" si="73"/>
        <v>182</v>
      </c>
      <c r="B2018" s="11"/>
      <c r="C2018" s="82"/>
      <c r="D2018" s="1"/>
      <c r="E2018" s="83"/>
      <c r="F2018" s="83"/>
      <c r="G2018" s="84"/>
      <c r="H2018" s="85"/>
      <c r="I2018" s="18"/>
      <c r="J2018" s="5"/>
      <c r="K2018" s="5"/>
      <c r="L2018" s="4"/>
      <c r="M2018" s="4"/>
      <c r="N2018" s="82"/>
      <c r="O2018" s="86"/>
      <c r="P2018" s="4"/>
      <c r="Q2018" s="4"/>
      <c r="R2018" s="47"/>
      <c r="S2018" s="87"/>
      <c r="T2018" s="88"/>
      <c r="U2018" s="89"/>
      <c r="V2018" s="4"/>
      <c r="W2018" s="4"/>
      <c r="X2018" s="9"/>
      <c r="Y2018" s="84"/>
      <c r="Z2018" s="90"/>
      <c r="AA2018" s="84"/>
      <c r="AB2018" s="84"/>
      <c r="AC2018" s="84"/>
      <c r="AD2018" s="84"/>
      <c r="AE2018" s="84"/>
      <c r="AF2018" s="84"/>
      <c r="AG2018" s="84"/>
    </row>
    <row r="2019" spans="1:33" s="91" customFormat="1" ht="12.75" x14ac:dyDescent="0.2">
      <c r="A2019" s="13">
        <f t="shared" si="73"/>
        <v>182</v>
      </c>
      <c r="B2019" s="11"/>
      <c r="C2019" s="82"/>
      <c r="D2019" s="1"/>
      <c r="E2019" s="83"/>
      <c r="F2019" s="83"/>
      <c r="G2019" s="84"/>
      <c r="H2019" s="85"/>
      <c r="I2019" s="18"/>
      <c r="J2019" s="5"/>
      <c r="K2019" s="5"/>
      <c r="L2019" s="4"/>
      <c r="M2019" s="4"/>
      <c r="N2019" s="82"/>
      <c r="O2019" s="86"/>
      <c r="P2019" s="4"/>
      <c r="Q2019" s="4"/>
      <c r="R2019" s="47"/>
      <c r="S2019" s="87"/>
      <c r="T2019" s="88"/>
      <c r="U2019" s="89"/>
      <c r="V2019" s="4"/>
      <c r="W2019" s="4"/>
      <c r="X2019" s="9"/>
      <c r="Y2019" s="84"/>
      <c r="Z2019" s="90"/>
      <c r="AA2019" s="84"/>
      <c r="AB2019" s="84"/>
      <c r="AC2019" s="84"/>
      <c r="AD2019" s="84"/>
      <c r="AE2019" s="84"/>
      <c r="AF2019" s="84"/>
      <c r="AG2019" s="84"/>
    </row>
    <row r="2020" spans="1:33" s="91" customFormat="1" ht="51.75" customHeight="1" x14ac:dyDescent="0.2">
      <c r="A2020" s="13">
        <f t="shared" si="73"/>
        <v>183</v>
      </c>
      <c r="B2020" s="11">
        <v>183</v>
      </c>
      <c r="C2020" s="92" t="s">
        <v>2015</v>
      </c>
      <c r="D2020" s="1"/>
      <c r="E2020" s="87">
        <v>86</v>
      </c>
      <c r="F2020" s="87">
        <v>116</v>
      </c>
      <c r="G2020" s="84" t="s">
        <v>1120</v>
      </c>
      <c r="H2020" s="265">
        <v>490</v>
      </c>
      <c r="I2020" s="18"/>
      <c r="J2020" s="5"/>
      <c r="K2020" s="5"/>
      <c r="L2020" s="4"/>
      <c r="M2020" s="4"/>
      <c r="N2020" s="82"/>
      <c r="O2020" s="86"/>
      <c r="P2020" s="4"/>
      <c r="Q2020" s="4"/>
      <c r="R2020" s="47" t="s">
        <v>2020</v>
      </c>
      <c r="S2020" s="87" t="s">
        <v>1133</v>
      </c>
      <c r="T2020" s="88">
        <v>81.599999999999994</v>
      </c>
      <c r="U2020" s="89"/>
      <c r="V2020" s="4"/>
      <c r="W2020" s="4"/>
      <c r="X2020" s="9"/>
      <c r="Y2020" s="84"/>
      <c r="Z2020" s="90"/>
      <c r="AA2020" s="84"/>
      <c r="AB2020" s="84"/>
      <c r="AC2020" s="84"/>
      <c r="AD2020" s="84"/>
      <c r="AE2020" s="84" t="s">
        <v>2016</v>
      </c>
      <c r="AF2020" s="84"/>
      <c r="AG2020" s="84"/>
    </row>
    <row r="2021" spans="1:33" s="91" customFormat="1" ht="64.5" customHeight="1" x14ac:dyDescent="0.2">
      <c r="A2021" s="13">
        <f t="shared" si="73"/>
        <v>183</v>
      </c>
      <c r="B2021" s="11"/>
      <c r="C2021" s="82" t="s">
        <v>1557</v>
      </c>
      <c r="D2021" s="1"/>
      <c r="E2021" s="87"/>
      <c r="F2021" s="87"/>
      <c r="G2021" s="84"/>
      <c r="H2021" s="85"/>
      <c r="I2021" s="18"/>
      <c r="J2021" s="5"/>
      <c r="K2021" s="5"/>
      <c r="L2021" s="4"/>
      <c r="M2021" s="4"/>
      <c r="N2021" s="82"/>
      <c r="O2021" s="86"/>
      <c r="P2021" s="4"/>
      <c r="Q2021" s="4"/>
      <c r="R2021" s="47" t="s">
        <v>2021</v>
      </c>
      <c r="S2021" s="87" t="s">
        <v>1133</v>
      </c>
      <c r="T2021" s="88">
        <v>40.799999999999997</v>
      </c>
      <c r="U2021" s="89"/>
      <c r="V2021" s="4"/>
      <c r="W2021" s="4"/>
      <c r="X2021" s="9"/>
      <c r="Y2021" s="84"/>
      <c r="Z2021" s="90"/>
      <c r="AA2021" s="84"/>
      <c r="AB2021" s="84"/>
      <c r="AC2021" s="84"/>
      <c r="AD2021" s="84"/>
      <c r="AE2021" s="84" t="s">
        <v>2017</v>
      </c>
      <c r="AF2021" s="84"/>
      <c r="AG2021" s="84"/>
    </row>
    <row r="2022" spans="1:33" s="91" customFormat="1" ht="54" customHeight="1" x14ac:dyDescent="0.2">
      <c r="A2022" s="13">
        <f t="shared" si="73"/>
        <v>183</v>
      </c>
      <c r="B2022" s="11"/>
      <c r="C2022" s="82" t="s">
        <v>1652</v>
      </c>
      <c r="D2022" s="1"/>
      <c r="E2022" s="87"/>
      <c r="F2022" s="87"/>
      <c r="G2022" s="84"/>
      <c r="H2022" s="85"/>
      <c r="I2022" s="18"/>
      <c r="J2022" s="5"/>
      <c r="K2022" s="5"/>
      <c r="L2022" s="4"/>
      <c r="M2022" s="4"/>
      <c r="N2022" s="82"/>
      <c r="O2022" s="86"/>
      <c r="P2022" s="4"/>
      <c r="Q2022" s="4"/>
      <c r="R2022" s="47" t="s">
        <v>2022</v>
      </c>
      <c r="S2022" s="87" t="s">
        <v>1133</v>
      </c>
      <c r="T2022" s="88">
        <v>43.2</v>
      </c>
      <c r="U2022" s="89"/>
      <c r="V2022" s="4"/>
      <c r="W2022" s="4"/>
      <c r="X2022" s="9"/>
      <c r="Y2022" s="84"/>
      <c r="Z2022" s="90"/>
      <c r="AA2022" s="84"/>
      <c r="AB2022" s="84"/>
      <c r="AC2022" s="84"/>
      <c r="AD2022" s="84"/>
      <c r="AE2022" s="84" t="s">
        <v>2018</v>
      </c>
      <c r="AF2022" s="84"/>
      <c r="AG2022" s="84"/>
    </row>
    <row r="2023" spans="1:33" s="91" customFormat="1" ht="18.75" customHeight="1" x14ac:dyDescent="0.2">
      <c r="A2023" s="13">
        <f t="shared" si="73"/>
        <v>183</v>
      </c>
      <c r="B2023" s="11"/>
      <c r="C2023" s="82"/>
      <c r="D2023" s="1"/>
      <c r="E2023" s="87"/>
      <c r="F2023" s="87"/>
      <c r="G2023" s="84"/>
      <c r="H2023" s="85"/>
      <c r="I2023" s="18"/>
      <c r="J2023" s="5"/>
      <c r="K2023" s="5"/>
      <c r="L2023" s="4"/>
      <c r="M2023" s="4"/>
      <c r="N2023" s="82"/>
      <c r="O2023" s="86"/>
      <c r="P2023" s="4"/>
      <c r="Q2023" s="4"/>
      <c r="R2023" s="47" t="s">
        <v>2023</v>
      </c>
      <c r="S2023" s="87" t="s">
        <v>1133</v>
      </c>
      <c r="T2023" s="88">
        <v>158.4</v>
      </c>
      <c r="U2023" s="89"/>
      <c r="V2023" s="4"/>
      <c r="W2023" s="4"/>
      <c r="X2023" s="9"/>
      <c r="Y2023" s="84"/>
      <c r="Z2023" s="90"/>
      <c r="AA2023" s="84"/>
      <c r="AB2023" s="84"/>
      <c r="AC2023" s="84"/>
      <c r="AD2023" s="84"/>
      <c r="AE2023" s="264" t="s">
        <v>2019</v>
      </c>
      <c r="AF2023" s="84"/>
      <c r="AG2023" s="84"/>
    </row>
    <row r="2024" spans="1:33" s="91" customFormat="1" ht="18.75" customHeight="1" x14ac:dyDescent="0.2">
      <c r="A2024" s="13">
        <f t="shared" si="73"/>
        <v>183</v>
      </c>
      <c r="B2024" s="11"/>
      <c r="C2024" s="82"/>
      <c r="D2024" s="1"/>
      <c r="E2024" s="87"/>
      <c r="F2024" s="87"/>
      <c r="G2024" s="84"/>
      <c r="H2024" s="85"/>
      <c r="I2024" s="18"/>
      <c r="J2024" s="5"/>
      <c r="K2024" s="5"/>
      <c r="L2024" s="4"/>
      <c r="M2024" s="4"/>
      <c r="N2024" s="82"/>
      <c r="O2024" s="86"/>
      <c r="P2024" s="4"/>
      <c r="Q2024" s="4"/>
      <c r="R2024" s="47" t="s">
        <v>1754</v>
      </c>
      <c r="S2024" s="87" t="s">
        <v>1133</v>
      </c>
      <c r="T2024" s="88">
        <v>330.8</v>
      </c>
      <c r="U2024" s="89"/>
      <c r="V2024" s="4"/>
      <c r="W2024" s="4"/>
      <c r="X2024" s="4" t="s">
        <v>1138</v>
      </c>
      <c r="Y2024" s="84" t="s">
        <v>1558</v>
      </c>
      <c r="Z2024" s="90" t="s">
        <v>56</v>
      </c>
      <c r="AA2024" s="84" t="s">
        <v>57</v>
      </c>
      <c r="AB2024" s="84" t="s">
        <v>1138</v>
      </c>
      <c r="AC2024" s="84" t="s">
        <v>1047</v>
      </c>
      <c r="AD2024" s="84"/>
      <c r="AE2024" s="84"/>
      <c r="AF2024" s="84"/>
      <c r="AG2024" s="84"/>
    </row>
    <row r="2025" spans="1:33" s="91" customFormat="1" ht="33" customHeight="1" x14ac:dyDescent="0.2">
      <c r="A2025" s="13">
        <f t="shared" si="73"/>
        <v>183</v>
      </c>
      <c r="B2025" s="11"/>
      <c r="C2025" s="82"/>
      <c r="D2025" s="1"/>
      <c r="E2025" s="87"/>
      <c r="F2025" s="87"/>
      <c r="G2025" s="84"/>
      <c r="H2025" s="85"/>
      <c r="I2025" s="18"/>
      <c r="J2025" s="5"/>
      <c r="K2025" s="5"/>
      <c r="L2025" s="4"/>
      <c r="M2025" s="4"/>
      <c r="N2025" s="82"/>
      <c r="O2025" s="86"/>
      <c r="P2025" s="4"/>
      <c r="Q2025" s="4"/>
      <c r="R2025" s="47" t="s">
        <v>2024</v>
      </c>
      <c r="S2025" s="87" t="s">
        <v>1133</v>
      </c>
      <c r="T2025" s="88">
        <v>14.4</v>
      </c>
      <c r="U2025" s="89"/>
      <c r="V2025" s="4"/>
      <c r="W2025" s="4"/>
      <c r="X2025" s="9"/>
      <c r="Y2025" s="84"/>
      <c r="Z2025" s="90"/>
      <c r="AA2025" s="84"/>
      <c r="AB2025" s="84"/>
      <c r="AC2025" s="84"/>
      <c r="AD2025" s="84"/>
      <c r="AE2025" s="84"/>
      <c r="AF2025" s="84"/>
      <c r="AG2025" s="84"/>
    </row>
    <row r="2026" spans="1:33" s="91" customFormat="1" ht="39.75" customHeight="1" x14ac:dyDescent="0.2">
      <c r="A2026" s="13">
        <f t="shared" si="73"/>
        <v>183</v>
      </c>
      <c r="B2026" s="11"/>
      <c r="C2026" s="82"/>
      <c r="D2026" s="1"/>
      <c r="E2026" s="87"/>
      <c r="F2026" s="87"/>
      <c r="G2026" s="84"/>
      <c r="H2026" s="85"/>
      <c r="I2026" s="18"/>
      <c r="J2026" s="5"/>
      <c r="K2026" s="5"/>
      <c r="L2026" s="4"/>
      <c r="M2026" s="4"/>
      <c r="N2026" s="82"/>
      <c r="O2026" s="86"/>
      <c r="P2026" s="4"/>
      <c r="Q2026" s="4"/>
      <c r="R2026" s="47" t="s">
        <v>2025</v>
      </c>
      <c r="S2026" s="87" t="s">
        <v>1133</v>
      </c>
      <c r="T2026" s="88">
        <v>484</v>
      </c>
      <c r="U2026" s="89"/>
      <c r="V2026" s="4"/>
      <c r="W2026" s="4"/>
      <c r="X2026" s="9"/>
      <c r="Y2026" s="84"/>
      <c r="Z2026" s="90"/>
      <c r="AA2026" s="84"/>
      <c r="AB2026" s="84"/>
      <c r="AC2026" s="84"/>
      <c r="AD2026" s="84"/>
      <c r="AE2026" s="84"/>
      <c r="AF2026" s="84"/>
      <c r="AG2026" s="84"/>
    </row>
    <row r="2027" spans="1:33" s="91" customFormat="1" ht="30" customHeight="1" x14ac:dyDescent="0.2">
      <c r="A2027" s="13">
        <f t="shared" si="73"/>
        <v>183</v>
      </c>
      <c r="B2027" s="11"/>
      <c r="C2027" s="82"/>
      <c r="D2027" s="1"/>
      <c r="E2027" s="87"/>
      <c r="F2027" s="87"/>
      <c r="G2027" s="84"/>
      <c r="H2027" s="85"/>
      <c r="I2027" s="18"/>
      <c r="J2027" s="5"/>
      <c r="K2027" s="5"/>
      <c r="L2027" s="4"/>
      <c r="M2027" s="4"/>
      <c r="N2027" s="82"/>
      <c r="O2027" s="86"/>
      <c r="P2027" s="4"/>
      <c r="Q2027" s="4"/>
      <c r="R2027" s="47" t="s">
        <v>2026</v>
      </c>
      <c r="S2027" s="87" t="s">
        <v>1133</v>
      </c>
      <c r="T2027" s="88">
        <v>52</v>
      </c>
      <c r="U2027" s="89"/>
      <c r="V2027" s="4"/>
      <c r="W2027" s="4"/>
      <c r="X2027" s="9"/>
      <c r="Y2027" s="84"/>
      <c r="Z2027" s="90"/>
      <c r="AA2027" s="84"/>
      <c r="AB2027" s="84"/>
      <c r="AC2027" s="84"/>
      <c r="AD2027" s="84"/>
      <c r="AE2027" s="84"/>
      <c r="AF2027" s="84"/>
      <c r="AG2027" s="84"/>
    </row>
    <row r="2028" spans="1:33" s="91" customFormat="1" ht="18.75" customHeight="1" x14ac:dyDescent="0.2">
      <c r="A2028" s="13">
        <f t="shared" si="73"/>
        <v>183</v>
      </c>
      <c r="B2028" s="11"/>
      <c r="C2028" s="82"/>
      <c r="D2028" s="1"/>
      <c r="E2028" s="87"/>
      <c r="F2028" s="87"/>
      <c r="G2028" s="84"/>
      <c r="H2028" s="85"/>
      <c r="I2028" s="18"/>
      <c r="J2028" s="5"/>
      <c r="K2028" s="5"/>
      <c r="L2028" s="4"/>
      <c r="M2028" s="4"/>
      <c r="N2028" s="82"/>
      <c r="O2028" s="86"/>
      <c r="P2028" s="4"/>
      <c r="Q2028" s="4"/>
      <c r="R2028" s="47" t="s">
        <v>2027</v>
      </c>
      <c r="S2028" s="87" t="s">
        <v>101</v>
      </c>
      <c r="T2028" s="88">
        <v>68</v>
      </c>
      <c r="U2028" s="89"/>
      <c r="V2028" s="4"/>
      <c r="W2028" s="4"/>
      <c r="X2028" s="9"/>
      <c r="Y2028" s="84"/>
      <c r="Z2028" s="90"/>
      <c r="AA2028" s="84"/>
      <c r="AB2028" s="84"/>
      <c r="AC2028" s="84"/>
      <c r="AD2028" s="84"/>
      <c r="AE2028" s="84"/>
      <c r="AF2028" s="84"/>
      <c r="AG2028" s="84"/>
    </row>
    <row r="2029" spans="1:33" s="91" customFormat="1" ht="18.75" customHeight="1" x14ac:dyDescent="0.2">
      <c r="A2029" s="13">
        <f t="shared" si="73"/>
        <v>183</v>
      </c>
      <c r="B2029" s="11"/>
      <c r="C2029" s="82"/>
      <c r="D2029" s="1"/>
      <c r="E2029" s="83"/>
      <c r="F2029" s="83"/>
      <c r="G2029" s="84"/>
      <c r="H2029" s="85"/>
      <c r="I2029" s="18"/>
      <c r="J2029" s="5"/>
      <c r="K2029" s="5"/>
      <c r="L2029" s="4"/>
      <c r="M2029" s="4"/>
      <c r="N2029" s="82"/>
      <c r="O2029" s="86"/>
      <c r="P2029" s="4"/>
      <c r="Q2029" s="4"/>
      <c r="R2029" s="47" t="s">
        <v>2028</v>
      </c>
      <c r="S2029" s="87" t="s">
        <v>1559</v>
      </c>
      <c r="T2029" s="97">
        <v>3</v>
      </c>
      <c r="U2029" s="89"/>
      <c r="V2029" s="4"/>
      <c r="W2029" s="4"/>
      <c r="X2029" s="9"/>
      <c r="Y2029" s="84"/>
      <c r="Z2029" s="90"/>
      <c r="AA2029" s="84"/>
      <c r="AB2029" s="84"/>
      <c r="AC2029" s="84"/>
      <c r="AD2029" s="84"/>
      <c r="AE2029" s="84"/>
      <c r="AF2029" s="84"/>
      <c r="AG2029" s="84"/>
    </row>
    <row r="2030" spans="1:33" s="91" customFormat="1" ht="18.75" customHeight="1" x14ac:dyDescent="0.2">
      <c r="A2030" s="13">
        <f t="shared" si="73"/>
        <v>183</v>
      </c>
      <c r="B2030" s="11"/>
      <c r="C2030" s="82"/>
      <c r="D2030" s="1"/>
      <c r="E2030" s="83"/>
      <c r="F2030" s="83"/>
      <c r="G2030" s="84"/>
      <c r="H2030" s="85"/>
      <c r="I2030" s="18"/>
      <c r="J2030" s="5"/>
      <c r="K2030" s="5"/>
      <c r="L2030" s="4"/>
      <c r="M2030" s="4"/>
      <c r="N2030" s="82"/>
      <c r="O2030" s="86"/>
      <c r="P2030" s="4"/>
      <c r="Q2030" s="4"/>
      <c r="R2030" s="47" t="s">
        <v>1757</v>
      </c>
      <c r="S2030" s="87" t="s">
        <v>1133</v>
      </c>
      <c r="T2030" s="88">
        <v>330.8</v>
      </c>
      <c r="U2030" s="89"/>
      <c r="V2030" s="4"/>
      <c r="W2030" s="4"/>
      <c r="X2030" s="9"/>
      <c r="Y2030" s="84"/>
      <c r="Z2030" s="90"/>
      <c r="AA2030" s="84"/>
      <c r="AB2030" s="84"/>
      <c r="AC2030" s="84"/>
      <c r="AD2030" s="84"/>
      <c r="AE2030" s="84"/>
      <c r="AF2030" s="84"/>
      <c r="AG2030" s="84"/>
    </row>
    <row r="2031" spans="1:33" s="91" customFormat="1" ht="12.75" x14ac:dyDescent="0.2">
      <c r="A2031" s="13"/>
      <c r="B2031" s="11"/>
      <c r="C2031" s="82"/>
      <c r="D2031" s="1"/>
      <c r="E2031" s="83"/>
      <c r="F2031" s="83"/>
      <c r="G2031" s="84"/>
      <c r="H2031" s="85"/>
      <c r="I2031" s="18"/>
      <c r="J2031" s="5"/>
      <c r="K2031" s="5"/>
      <c r="L2031" s="4"/>
      <c r="M2031" s="4"/>
      <c r="N2031" s="82"/>
      <c r="O2031" s="86"/>
      <c r="P2031" s="4"/>
      <c r="Q2031" s="4"/>
      <c r="R2031" s="47"/>
      <c r="S2031" s="87"/>
      <c r="T2031" s="88"/>
      <c r="U2031" s="89"/>
      <c r="V2031" s="4"/>
      <c r="W2031" s="4"/>
      <c r="X2031" s="9"/>
      <c r="Y2031" s="84"/>
      <c r="Z2031" s="90"/>
      <c r="AA2031" s="84"/>
      <c r="AB2031" s="84"/>
      <c r="AC2031" s="84"/>
      <c r="AD2031" s="84"/>
      <c r="AE2031" s="84"/>
      <c r="AF2031" s="84"/>
      <c r="AG2031" s="84"/>
    </row>
    <row r="2032" spans="1:33" s="91" customFormat="1" ht="12.75" x14ac:dyDescent="0.2">
      <c r="A2032" s="13"/>
      <c r="B2032" s="11"/>
      <c r="C2032" s="82"/>
      <c r="D2032" s="1"/>
      <c r="E2032" s="83"/>
      <c r="F2032" s="83"/>
      <c r="G2032" s="84"/>
      <c r="H2032" s="85"/>
      <c r="I2032" s="18"/>
      <c r="J2032" s="5"/>
      <c r="K2032" s="5"/>
      <c r="L2032" s="4"/>
      <c r="M2032" s="4"/>
      <c r="N2032" s="82"/>
      <c r="O2032" s="86"/>
      <c r="P2032" s="4"/>
      <c r="Q2032" s="4"/>
      <c r="R2032" s="47"/>
      <c r="S2032" s="87"/>
      <c r="T2032" s="88"/>
      <c r="U2032" s="89"/>
      <c r="V2032" s="4"/>
      <c r="W2032" s="4"/>
      <c r="X2032" s="9"/>
      <c r="Y2032" s="84"/>
      <c r="Z2032" s="90"/>
      <c r="AA2032" s="84"/>
      <c r="AB2032" s="84"/>
      <c r="AC2032" s="84"/>
      <c r="AD2032" s="84"/>
      <c r="AE2032" s="84"/>
      <c r="AF2032" s="84"/>
      <c r="AG2032" s="84"/>
    </row>
    <row r="2033" spans="1:33" s="91" customFormat="1" ht="12.75" x14ac:dyDescent="0.2">
      <c r="A2033" s="13">
        <f>IF(B2033&lt;&gt;0,B2033,A2030)</f>
        <v>183</v>
      </c>
      <c r="B2033" s="11"/>
      <c r="C2033" s="82"/>
      <c r="D2033" s="1"/>
      <c r="E2033" s="83"/>
      <c r="F2033" s="83"/>
      <c r="G2033" s="84"/>
      <c r="H2033" s="85"/>
      <c r="I2033" s="18"/>
      <c r="J2033" s="5"/>
      <c r="K2033" s="5"/>
      <c r="L2033" s="4"/>
      <c r="M2033" s="4"/>
      <c r="N2033" s="82"/>
      <c r="O2033" s="86"/>
      <c r="P2033" s="4"/>
      <c r="Q2033" s="4"/>
      <c r="R2033" s="47"/>
      <c r="S2033" s="87"/>
      <c r="T2033" s="88"/>
      <c r="U2033" s="89"/>
      <c r="V2033" s="4"/>
      <c r="W2033" s="4"/>
      <c r="X2033" s="9"/>
      <c r="Y2033" s="84"/>
      <c r="Z2033" s="90"/>
      <c r="AA2033" s="84"/>
      <c r="AB2033" s="84"/>
      <c r="AC2033" s="84"/>
      <c r="AD2033" s="84"/>
      <c r="AE2033" s="84"/>
      <c r="AF2033" s="84"/>
      <c r="AG2033" s="84"/>
    </row>
    <row r="2034" spans="1:33" s="91" customFormat="1" ht="12.75" x14ac:dyDescent="0.2">
      <c r="A2034" s="13">
        <f>IF(B2034&lt;&gt;0,B2034,A2033)</f>
        <v>184</v>
      </c>
      <c r="B2034" s="11">
        <v>184</v>
      </c>
      <c r="C2034" s="92" t="s">
        <v>1560</v>
      </c>
      <c r="D2034" s="1"/>
      <c r="E2034" s="87">
        <v>86</v>
      </c>
      <c r="F2034" s="87">
        <v>717</v>
      </c>
      <c r="G2034" s="84" t="s">
        <v>1187</v>
      </c>
      <c r="H2034" s="85">
        <v>106</v>
      </c>
      <c r="I2034" s="18"/>
      <c r="J2034" s="5"/>
      <c r="K2034" s="5"/>
      <c r="L2034" s="4"/>
      <c r="M2034" s="4"/>
      <c r="N2034" s="82"/>
      <c r="O2034" s="86"/>
      <c r="P2034" s="4"/>
      <c r="Q2034" s="4"/>
      <c r="R2034" s="47"/>
      <c r="S2034" s="87"/>
      <c r="T2034" s="88"/>
      <c r="U2034" s="89"/>
      <c r="V2034" s="4"/>
      <c r="W2034" s="4"/>
      <c r="X2034" s="9"/>
      <c r="Y2034" s="84"/>
      <c r="Z2034" s="90"/>
      <c r="AA2034" s="84"/>
      <c r="AB2034" s="84"/>
      <c r="AC2034" s="84"/>
      <c r="AD2034" s="84"/>
      <c r="AE2034" s="84"/>
      <c r="AF2034" s="84"/>
      <c r="AG2034" s="84"/>
    </row>
    <row r="2035" spans="1:33" s="91" customFormat="1" ht="12.75" x14ac:dyDescent="0.2">
      <c r="A2035" s="13">
        <f>IF(B2035&lt;&gt;0,B2035,A2034)</f>
        <v>184</v>
      </c>
      <c r="B2035" s="11"/>
      <c r="C2035" s="82" t="s">
        <v>1554</v>
      </c>
      <c r="D2035" s="1"/>
      <c r="E2035" s="87"/>
      <c r="F2035" s="87"/>
      <c r="G2035" s="84"/>
      <c r="H2035" s="85"/>
      <c r="I2035" s="18"/>
      <c r="J2035" s="5"/>
      <c r="K2035" s="5"/>
      <c r="L2035" s="4"/>
      <c r="M2035" s="4"/>
      <c r="N2035" s="82"/>
      <c r="O2035" s="86"/>
      <c r="P2035" s="4"/>
      <c r="Q2035" s="4"/>
      <c r="R2035" s="47"/>
      <c r="S2035" s="87"/>
      <c r="T2035" s="88"/>
      <c r="U2035" s="89"/>
      <c r="V2035" s="4"/>
      <c r="W2035" s="4"/>
      <c r="X2035" s="9"/>
      <c r="Y2035" s="84"/>
      <c r="Z2035" s="90"/>
      <c r="AA2035" s="84"/>
      <c r="AB2035" s="84"/>
      <c r="AC2035" s="84"/>
      <c r="AD2035" s="84"/>
      <c r="AE2035" s="84"/>
      <c r="AF2035" s="84"/>
      <c r="AG2035" s="84"/>
    </row>
    <row r="2036" spans="1:33" s="91" customFormat="1" ht="12.75" x14ac:dyDescent="0.2">
      <c r="A2036" s="13">
        <f>IF(B2036&lt;&gt;0,B2036,A2035)</f>
        <v>184</v>
      </c>
      <c r="B2036" s="11"/>
      <c r="C2036" s="82"/>
      <c r="D2036" s="1"/>
      <c r="E2036" s="87"/>
      <c r="F2036" s="87"/>
      <c r="G2036" s="84"/>
      <c r="H2036" s="85"/>
      <c r="I2036" s="18"/>
      <c r="J2036" s="5"/>
      <c r="K2036" s="5"/>
      <c r="L2036" s="4"/>
      <c r="M2036" s="4"/>
      <c r="N2036" s="82"/>
      <c r="O2036" s="86"/>
      <c r="P2036" s="4"/>
      <c r="Q2036" s="4"/>
      <c r="R2036" s="47"/>
      <c r="S2036" s="87"/>
      <c r="T2036" s="88"/>
      <c r="U2036" s="89"/>
      <c r="V2036" s="4"/>
      <c r="W2036" s="4"/>
      <c r="X2036" s="9"/>
      <c r="Y2036" s="84"/>
      <c r="Z2036" s="90"/>
      <c r="AA2036" s="84"/>
      <c r="AB2036" s="84"/>
      <c r="AC2036" s="84"/>
      <c r="AD2036" s="84"/>
      <c r="AE2036" s="84"/>
      <c r="AF2036" s="84"/>
      <c r="AG2036" s="84"/>
    </row>
    <row r="2037" spans="1:33" s="91" customFormat="1" ht="12.75" x14ac:dyDescent="0.2">
      <c r="A2037" s="13">
        <f>IF(B2037&lt;&gt;0,B2037,A2036)</f>
        <v>184</v>
      </c>
      <c r="B2037" s="11"/>
      <c r="C2037" s="82"/>
      <c r="D2037" s="1"/>
      <c r="E2037" s="83"/>
      <c r="F2037" s="83"/>
      <c r="G2037" s="84"/>
      <c r="H2037" s="85"/>
      <c r="I2037" s="18"/>
      <c r="J2037" s="5"/>
      <c r="K2037" s="5"/>
      <c r="L2037" s="4"/>
      <c r="M2037" s="4"/>
      <c r="N2037" s="82"/>
      <c r="O2037" s="86"/>
      <c r="P2037" s="4"/>
      <c r="Q2037" s="4"/>
      <c r="R2037" s="47"/>
      <c r="S2037" s="87"/>
      <c r="T2037" s="88"/>
      <c r="U2037" s="89"/>
      <c r="V2037" s="4"/>
      <c r="W2037" s="4"/>
      <c r="X2037" s="9"/>
      <c r="Y2037" s="84"/>
      <c r="Z2037" s="90"/>
      <c r="AA2037" s="84"/>
      <c r="AB2037" s="84"/>
      <c r="AC2037" s="84"/>
      <c r="AD2037" s="84"/>
      <c r="AE2037" s="84"/>
      <c r="AF2037" s="84"/>
      <c r="AG2037" s="84"/>
    </row>
    <row r="2038" spans="1:33" s="91" customFormat="1" ht="12.75" x14ac:dyDescent="0.2">
      <c r="A2038" s="13">
        <f>IF(B2038&lt;&gt;0,B2038,A2037)</f>
        <v>184</v>
      </c>
      <c r="B2038" s="160"/>
      <c r="C2038" s="98"/>
      <c r="D2038" s="99"/>
      <c r="E2038" s="100"/>
      <c r="F2038" s="100"/>
      <c r="G2038" s="101"/>
      <c r="H2038" s="102"/>
      <c r="I2038" s="103"/>
      <c r="J2038" s="104"/>
      <c r="K2038" s="104"/>
      <c r="L2038" s="105"/>
      <c r="M2038" s="105"/>
      <c r="N2038" s="98"/>
      <c r="O2038" s="106"/>
      <c r="P2038" s="105"/>
      <c r="Q2038" s="105"/>
      <c r="R2038" s="107"/>
      <c r="S2038" s="108"/>
      <c r="T2038" s="109"/>
      <c r="U2038" s="110"/>
      <c r="V2038" s="105"/>
      <c r="W2038" s="105"/>
      <c r="X2038" s="111"/>
      <c r="Y2038" s="101"/>
      <c r="Z2038" s="112"/>
      <c r="AA2038" s="101"/>
      <c r="AB2038" s="101"/>
      <c r="AC2038" s="101"/>
      <c r="AD2038" s="101"/>
      <c r="AE2038" s="101"/>
      <c r="AF2038" s="101"/>
      <c r="AG2038" s="101"/>
    </row>
    <row r="2040" spans="1:33" ht="16.5" x14ac:dyDescent="0.25">
      <c r="B2040" s="228"/>
      <c r="C2040" s="228" t="s">
        <v>1740</v>
      </c>
      <c r="D2040" s="227"/>
      <c r="E2040" s="227"/>
      <c r="F2040" s="227"/>
      <c r="G2040" s="227"/>
      <c r="H2040" s="227"/>
      <c r="I2040" s="227"/>
      <c r="J2040" s="229"/>
      <c r="K2040" s="229"/>
      <c r="L2040" s="229"/>
      <c r="M2040" s="229"/>
      <c r="N2040" s="229"/>
      <c r="O2040" s="229"/>
      <c r="P2040" s="230"/>
      <c r="Q2040" s="229"/>
      <c r="R2040" s="229"/>
      <c r="S2040" s="229"/>
      <c r="T2040" s="229"/>
      <c r="U2040" s="231"/>
      <c r="V2040" s="229"/>
      <c r="W2040" s="229"/>
      <c r="X2040" s="229"/>
      <c r="Y2040" s="228"/>
      <c r="Z2040" s="228"/>
      <c r="AA2040" s="259"/>
      <c r="AB2040" s="228"/>
      <c r="AC2040" s="228"/>
      <c r="AD2040" s="228"/>
      <c r="AE2040" s="228"/>
      <c r="AF2040" s="228"/>
    </row>
    <row r="2041" spans="1:33" ht="16.5" x14ac:dyDescent="0.25">
      <c r="B2041" s="228"/>
      <c r="C2041" s="228"/>
      <c r="D2041" s="232"/>
      <c r="E2041" s="227"/>
      <c r="F2041" s="233"/>
      <c r="G2041" s="233"/>
      <c r="H2041" s="232"/>
      <c r="I2041" s="234"/>
      <c r="J2041" s="229"/>
      <c r="K2041" s="229"/>
      <c r="L2041" s="229"/>
      <c r="M2041" s="229"/>
      <c r="N2041" s="229"/>
      <c r="O2041" s="229"/>
      <c r="P2041" s="230"/>
      <c r="Q2041" s="229"/>
      <c r="R2041" s="229"/>
      <c r="S2041" s="229"/>
      <c r="T2041" s="229"/>
      <c r="U2041" s="231"/>
      <c r="V2041" s="229"/>
      <c r="W2041" s="229"/>
      <c r="X2041" s="229"/>
      <c r="Y2041" s="228"/>
      <c r="Z2041" s="228"/>
      <c r="AA2041" s="259"/>
      <c r="AB2041" s="228"/>
      <c r="AC2041" s="228"/>
      <c r="AD2041" s="228"/>
      <c r="AE2041" s="228"/>
      <c r="AF2041" s="228"/>
    </row>
    <row r="2042" spans="1:33" ht="16.5" x14ac:dyDescent="0.25">
      <c r="B2042" s="228"/>
      <c r="C2042" s="228"/>
      <c r="D2042" s="232"/>
      <c r="E2042" s="227"/>
      <c r="F2042" s="233"/>
      <c r="G2042" s="233"/>
      <c r="H2042" s="232"/>
      <c r="I2042" s="234"/>
      <c r="J2042" s="229"/>
      <c r="K2042" s="229"/>
      <c r="L2042" s="229"/>
      <c r="M2042" s="229"/>
      <c r="N2042" s="229"/>
      <c r="O2042" s="229"/>
      <c r="P2042" s="230"/>
      <c r="Q2042" s="229"/>
      <c r="R2042" s="229"/>
      <c r="S2042" s="229"/>
      <c r="T2042" s="229"/>
      <c r="U2042" s="231"/>
      <c r="V2042" s="229"/>
      <c r="W2042" s="229"/>
      <c r="X2042" s="229"/>
      <c r="Y2042" s="228"/>
      <c r="Z2042" s="228"/>
      <c r="AA2042" s="259"/>
      <c r="AB2042" s="228"/>
      <c r="AC2042" s="228"/>
      <c r="AD2042" s="228"/>
      <c r="AE2042" s="228"/>
      <c r="AF2042" s="228"/>
    </row>
    <row r="2043" spans="1:33" ht="16.5" x14ac:dyDescent="0.25">
      <c r="B2043" s="228"/>
      <c r="C2043" s="228"/>
      <c r="D2043" s="232"/>
      <c r="E2043" s="227"/>
      <c r="F2043" s="233"/>
      <c r="G2043" s="233"/>
      <c r="H2043" s="232"/>
      <c r="I2043" s="234"/>
      <c r="J2043" s="229"/>
      <c r="K2043" s="229"/>
      <c r="L2043" s="229"/>
      <c r="M2043" s="229"/>
      <c r="N2043" s="229"/>
      <c r="O2043" s="229"/>
      <c r="P2043" s="230"/>
      <c r="Q2043" s="229"/>
      <c r="R2043" s="229"/>
      <c r="S2043" s="229"/>
      <c r="T2043" s="229"/>
      <c r="U2043" s="231"/>
      <c r="V2043" s="229"/>
      <c r="W2043" s="229"/>
      <c r="X2043" s="229"/>
      <c r="Y2043" s="228"/>
      <c r="Z2043" s="228"/>
      <c r="AA2043" s="259"/>
      <c r="AB2043" s="228"/>
      <c r="AC2043" s="228"/>
      <c r="AD2043" s="228"/>
      <c r="AE2043" s="228"/>
      <c r="AF2043" s="228"/>
    </row>
    <row r="2044" spans="1:33" ht="16.5" x14ac:dyDescent="0.25">
      <c r="B2044" s="228"/>
      <c r="C2044" s="228"/>
      <c r="D2044" s="235"/>
      <c r="E2044" s="227"/>
      <c r="F2044" s="236"/>
      <c r="G2044" s="236"/>
      <c r="H2044" s="235"/>
      <c r="I2044" s="234"/>
      <c r="J2044" s="229"/>
      <c r="K2044" s="229"/>
      <c r="L2044" s="229"/>
      <c r="M2044" s="229"/>
      <c r="N2044" s="229"/>
      <c r="O2044" s="229"/>
      <c r="P2044" s="230"/>
      <c r="Q2044" s="229"/>
      <c r="R2044" s="229"/>
      <c r="S2044" s="229"/>
      <c r="T2044" s="229"/>
      <c r="U2044" s="231"/>
      <c r="V2044" s="229"/>
      <c r="W2044" s="229"/>
      <c r="X2044" s="229"/>
      <c r="Y2044" s="228"/>
      <c r="Z2044" s="228"/>
      <c r="AA2044" s="259"/>
      <c r="AB2044" s="228"/>
      <c r="AC2044" s="228"/>
      <c r="AD2044" s="228"/>
      <c r="AE2044" s="228"/>
      <c r="AF2044" s="228"/>
    </row>
    <row r="2045" spans="1:33" ht="16.5" x14ac:dyDescent="0.25">
      <c r="B2045" s="228"/>
      <c r="C2045" s="228"/>
      <c r="D2045" s="232"/>
      <c r="E2045" s="227"/>
      <c r="F2045" s="233"/>
      <c r="G2045" s="233"/>
      <c r="H2045" s="232"/>
      <c r="I2045" s="234"/>
      <c r="J2045" s="229"/>
      <c r="K2045" s="229"/>
      <c r="L2045" s="229"/>
      <c r="M2045" s="229"/>
      <c r="N2045" s="229"/>
      <c r="O2045" s="229"/>
      <c r="P2045" s="230"/>
      <c r="Q2045" s="229"/>
      <c r="R2045" s="229"/>
      <c r="S2045" s="229"/>
      <c r="T2045" s="229"/>
      <c r="U2045" s="231"/>
      <c r="V2045" s="229"/>
      <c r="W2045" s="229"/>
      <c r="X2045" s="229"/>
      <c r="Y2045" s="228"/>
      <c r="Z2045" s="228"/>
      <c r="AA2045" s="259"/>
      <c r="AB2045" s="228"/>
      <c r="AC2045" s="228"/>
      <c r="AD2045" s="228"/>
      <c r="AE2045" s="228"/>
      <c r="AF2045" s="228"/>
    </row>
    <row r="2046" spans="1:33" ht="16.5" x14ac:dyDescent="0.25">
      <c r="B2046" s="228"/>
      <c r="C2046" s="228"/>
      <c r="D2046" s="227"/>
      <c r="E2046" s="227"/>
      <c r="F2046" s="227"/>
      <c r="G2046" s="227"/>
      <c r="H2046" s="227"/>
      <c r="I2046" s="227"/>
      <c r="J2046" s="229"/>
      <c r="K2046" s="229"/>
      <c r="L2046" s="229"/>
      <c r="M2046" s="229"/>
      <c r="N2046" s="229"/>
      <c r="O2046" s="229"/>
      <c r="P2046" s="230"/>
      <c r="Q2046" s="229"/>
      <c r="R2046" s="229"/>
      <c r="S2046" s="229"/>
      <c r="T2046" s="229"/>
      <c r="U2046" s="231"/>
      <c r="V2046" s="229"/>
      <c r="W2046" s="229"/>
      <c r="X2046" s="229"/>
      <c r="Y2046" s="228"/>
      <c r="Z2046" s="228"/>
      <c r="AA2046" s="259"/>
      <c r="AB2046" s="228"/>
      <c r="AC2046" s="228"/>
      <c r="AD2046" s="228"/>
      <c r="AE2046" s="228"/>
      <c r="AF2046" s="228"/>
    </row>
    <row r="2047" spans="1:33" ht="16.5" x14ac:dyDescent="0.25">
      <c r="B2047" s="228"/>
      <c r="C2047" s="228"/>
      <c r="D2047" s="227"/>
      <c r="E2047" s="227"/>
      <c r="F2047" s="227"/>
      <c r="G2047" s="227"/>
      <c r="H2047" s="227"/>
      <c r="I2047" s="227"/>
      <c r="J2047" s="229"/>
      <c r="K2047" s="229"/>
      <c r="L2047" s="229"/>
      <c r="M2047" s="229"/>
      <c r="N2047" s="229"/>
      <c r="O2047" s="229"/>
      <c r="P2047" s="230"/>
      <c r="Q2047" s="229"/>
      <c r="R2047" s="229"/>
      <c r="S2047" s="229"/>
      <c r="T2047" s="229"/>
      <c r="U2047" s="231"/>
      <c r="V2047" s="229"/>
      <c r="W2047" s="229"/>
      <c r="X2047" s="229"/>
      <c r="Y2047" s="228"/>
      <c r="Z2047" s="228"/>
      <c r="AA2047" s="259"/>
      <c r="AB2047" s="228"/>
      <c r="AC2047" s="228"/>
      <c r="AD2047" s="228"/>
      <c r="AE2047" s="228"/>
      <c r="AF2047" s="228"/>
    </row>
    <row r="2048" spans="1:33" ht="16.5" x14ac:dyDescent="0.25">
      <c r="B2048" s="228"/>
      <c r="C2048" s="228"/>
      <c r="D2048" s="227"/>
      <c r="E2048" s="227"/>
      <c r="F2048" s="227"/>
      <c r="G2048" s="227"/>
      <c r="H2048" s="227"/>
      <c r="I2048" s="227"/>
      <c r="J2048" s="229"/>
      <c r="K2048" s="229"/>
      <c r="L2048" s="229"/>
      <c r="M2048" s="229"/>
      <c r="N2048" s="229"/>
      <c r="O2048" s="229"/>
      <c r="P2048" s="230"/>
      <c r="Q2048" s="229"/>
      <c r="R2048" s="229"/>
      <c r="S2048" s="229"/>
      <c r="T2048" s="229"/>
      <c r="U2048" s="231"/>
      <c r="V2048" s="229"/>
      <c r="W2048" s="229"/>
      <c r="X2048" s="229"/>
      <c r="Y2048" s="228"/>
      <c r="Z2048" s="228"/>
      <c r="AA2048" s="259"/>
      <c r="AB2048" s="228"/>
      <c r="AC2048" s="228"/>
      <c r="AD2048" s="228"/>
      <c r="AE2048" s="228"/>
      <c r="AF2048" s="228"/>
    </row>
    <row r="2049" spans="2:32" ht="16.5" x14ac:dyDescent="0.25">
      <c r="B2049" s="228"/>
      <c r="C2049" s="228"/>
      <c r="D2049" s="227"/>
      <c r="E2049" s="227"/>
      <c r="F2049" s="227"/>
      <c r="G2049" s="227"/>
      <c r="H2049" s="227"/>
      <c r="I2049" s="227"/>
      <c r="J2049" s="229"/>
      <c r="K2049" s="229"/>
      <c r="L2049" s="229"/>
      <c r="M2049" s="229"/>
      <c r="N2049" s="229"/>
      <c r="O2049" s="229"/>
      <c r="P2049" s="230"/>
      <c r="Q2049" s="229"/>
      <c r="R2049" s="229"/>
      <c r="S2049" s="229"/>
      <c r="T2049" s="229"/>
      <c r="U2049" s="231"/>
      <c r="V2049" s="229"/>
      <c r="W2049" s="229"/>
      <c r="X2049" s="229"/>
      <c r="Y2049" s="228"/>
      <c r="Z2049" s="228"/>
      <c r="AA2049" s="259"/>
      <c r="AB2049" s="228"/>
      <c r="AC2049" s="228"/>
      <c r="AD2049" s="228"/>
      <c r="AE2049" s="228"/>
      <c r="AF2049" s="228"/>
    </row>
    <row r="2050" spans="2:32" ht="16.5" x14ac:dyDescent="0.25">
      <c r="B2050" s="228"/>
      <c r="C2050" s="228"/>
      <c r="D2050" s="232"/>
      <c r="E2050" s="227"/>
      <c r="F2050" s="233"/>
      <c r="G2050" s="233"/>
      <c r="H2050" s="232"/>
      <c r="I2050" s="234"/>
      <c r="J2050" s="229"/>
      <c r="K2050" s="229"/>
      <c r="L2050" s="229"/>
      <c r="M2050" s="229"/>
      <c r="N2050" s="229"/>
      <c r="O2050" s="229"/>
      <c r="P2050" s="230"/>
      <c r="Q2050" s="229"/>
      <c r="R2050" s="229"/>
      <c r="S2050" s="229"/>
      <c r="T2050" s="229"/>
      <c r="U2050" s="231"/>
      <c r="V2050" s="229"/>
      <c r="W2050" s="229"/>
      <c r="X2050" s="229"/>
      <c r="Y2050" s="228"/>
      <c r="Z2050" s="228"/>
      <c r="AA2050" s="259"/>
      <c r="AB2050" s="228"/>
      <c r="AC2050" s="228"/>
      <c r="AD2050" s="228"/>
      <c r="AE2050" s="228"/>
      <c r="AF2050" s="228"/>
    </row>
    <row r="2051" spans="2:32" ht="16.5" x14ac:dyDescent="0.25">
      <c r="B2051" s="228"/>
      <c r="C2051" s="228" t="s">
        <v>1740</v>
      </c>
      <c r="D2051" s="227"/>
      <c r="E2051" s="227"/>
      <c r="F2051" s="227"/>
      <c r="G2051" s="227"/>
      <c r="H2051" s="227"/>
      <c r="I2051" s="227"/>
      <c r="J2051" s="229"/>
      <c r="K2051" s="229"/>
      <c r="L2051" s="229"/>
      <c r="M2051" s="229"/>
      <c r="N2051" s="229"/>
      <c r="O2051" s="229"/>
      <c r="P2051" s="230"/>
      <c r="Q2051" s="229"/>
      <c r="R2051" s="229"/>
      <c r="S2051" s="229"/>
      <c r="T2051" s="229"/>
      <c r="U2051" s="231"/>
      <c r="V2051" s="229"/>
      <c r="W2051" s="229"/>
      <c r="X2051" s="229"/>
      <c r="Y2051" s="228"/>
      <c r="Z2051" s="228"/>
      <c r="AA2051" s="259"/>
      <c r="AB2051" s="228"/>
      <c r="AC2051" s="228"/>
      <c r="AD2051" s="228"/>
      <c r="AE2051" s="228"/>
      <c r="AF2051" s="228"/>
    </row>
  </sheetData>
  <autoFilter ref="B2:B2051"/>
  <mergeCells count="2">
    <mergeCell ref="A2:AE2"/>
    <mergeCell ref="A3:AE3"/>
  </mergeCells>
  <printOptions horizontalCentered="1"/>
  <pageMargins left="0.2" right="0.2" top="0.75" bottom="0.75" header="0.3" footer="0.3"/>
  <pageSetup paperSize="8" scale="90" orientation="landscape" r:id="rId1"/>
  <headerFooter>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Q2458"/>
  <sheetViews>
    <sheetView zoomScale="50" zoomScaleNormal="50" workbookViewId="0">
      <pane xSplit="2" ySplit="7" topLeftCell="O8" activePane="bottomRight" state="frozen"/>
      <selection activeCell="B1" sqref="B1"/>
      <selection pane="topRight" activeCell="D1" sqref="D1"/>
      <selection pane="bottomLeft" activeCell="B8" sqref="B8"/>
      <selection pane="bottomRight" activeCell="AH8" sqref="AH8:AH2426"/>
    </sheetView>
  </sheetViews>
  <sheetFormatPr defaultColWidth="9" defaultRowHeight="15.75" outlineLevelRow="2" x14ac:dyDescent="0.25"/>
  <cols>
    <col min="1" max="1" width="9.25" style="449" customWidth="1"/>
    <col min="2" max="2" width="19.875" style="411" customWidth="1"/>
    <col min="3" max="3" width="33.625" style="411" customWidth="1"/>
    <col min="4" max="4" width="5.75" style="460" customWidth="1"/>
    <col min="5" max="5" width="8.125" style="460" customWidth="1"/>
    <col min="6" max="6" width="23.75" style="411" customWidth="1"/>
    <col min="7" max="7" width="18.25" style="497" customWidth="1"/>
    <col min="8" max="8" width="19.25" style="497" customWidth="1"/>
    <col min="9" max="9" width="16.5" style="451" customWidth="1"/>
    <col min="10" max="10" width="12" style="451" bestFit="1" customWidth="1"/>
    <col min="11" max="11" width="20.875" style="451" customWidth="1"/>
    <col min="12" max="12" width="21" style="451" customWidth="1"/>
    <col min="13" max="13" width="11.375" style="401" customWidth="1"/>
    <col min="14" max="14" width="13.875" style="401" customWidth="1"/>
    <col min="15" max="15" width="12.125" style="451" customWidth="1"/>
    <col min="16" max="16" width="12.625" style="451" bestFit="1" customWidth="1"/>
    <col min="17" max="17" width="19.125" style="451" customWidth="1"/>
    <col min="18" max="18" width="19.625" style="401" customWidth="1"/>
    <col min="19" max="19" width="3.875" style="401" customWidth="1"/>
    <col min="20" max="20" width="14.25" style="412" customWidth="1"/>
    <col min="21" max="21" width="12.25" style="401" hidden="1" customWidth="1"/>
    <col min="22" max="22" width="15" style="451" customWidth="1"/>
    <col min="23" max="23" width="22.25" style="456" customWidth="1"/>
    <col min="24" max="24" width="5.75" style="413" hidden="1" customWidth="1"/>
    <col min="25" max="25" width="10.375" style="413" hidden="1" customWidth="1"/>
    <col min="26" max="26" width="10.125" style="413" hidden="1" customWidth="1"/>
    <col min="27" max="27" width="9.875" style="413" hidden="1" customWidth="1"/>
    <col min="28" max="28" width="9.25" style="413" hidden="1" customWidth="1"/>
    <col min="29" max="29" width="9.625" style="413" hidden="1" customWidth="1"/>
    <col min="30" max="30" width="14.375" style="413" customWidth="1"/>
    <col min="31" max="31" width="7.75" style="457" bestFit="1" customWidth="1"/>
    <col min="32" max="32" width="13.5" style="457" bestFit="1" customWidth="1"/>
    <col min="33" max="33" width="19.125" style="457" customWidth="1"/>
    <col min="34" max="34" width="22" style="451" customWidth="1"/>
    <col min="35" max="35" width="39.25" style="401" customWidth="1"/>
    <col min="36" max="36" width="38.25" style="373" customWidth="1"/>
    <col min="37" max="37" width="18.625" style="401" customWidth="1"/>
    <col min="38" max="38" width="30.625" style="401" customWidth="1"/>
    <col min="39" max="16384" width="9" style="401"/>
  </cols>
  <sheetData>
    <row r="1" spans="1:68" ht="22.5" customHeight="1" x14ac:dyDescent="0.25">
      <c r="B1" s="771">
        <f>0.4+5.9-0.5</f>
        <v>5.8000000000000007</v>
      </c>
      <c r="C1" s="771"/>
      <c r="AL1" s="401" t="s">
        <v>2250</v>
      </c>
    </row>
    <row r="2" spans="1:68" s="373" customFormat="1" ht="35.25" customHeight="1" x14ac:dyDescent="0.25">
      <c r="A2" s="1098" t="s">
        <v>2850</v>
      </c>
      <c r="B2" s="1098"/>
      <c r="C2" s="1098"/>
      <c r="D2" s="1098"/>
      <c r="E2" s="1098"/>
      <c r="F2" s="1098"/>
      <c r="G2" s="1098"/>
      <c r="H2" s="1098"/>
      <c r="I2" s="1098"/>
      <c r="J2" s="1098"/>
      <c r="K2" s="1098"/>
      <c r="L2" s="1098"/>
      <c r="M2" s="1098"/>
      <c r="N2" s="1098"/>
      <c r="O2" s="1098"/>
      <c r="P2" s="1098"/>
      <c r="Q2" s="1098"/>
      <c r="R2" s="1098"/>
      <c r="S2" s="1098"/>
      <c r="T2" s="1098"/>
      <c r="U2" s="1098"/>
      <c r="V2" s="1098"/>
      <c r="W2" s="1098"/>
      <c r="X2" s="1098"/>
      <c r="Y2" s="1098"/>
      <c r="Z2" s="1098"/>
      <c r="AA2" s="1098"/>
      <c r="AB2" s="1098"/>
      <c r="AC2" s="1098"/>
      <c r="AD2" s="1098"/>
      <c r="AE2" s="1098"/>
      <c r="AF2" s="1098"/>
      <c r="AG2" s="1098"/>
      <c r="AH2" s="1098"/>
      <c r="AI2" s="1098"/>
      <c r="AJ2" s="374"/>
      <c r="AK2" s="374"/>
      <c r="AL2" s="374"/>
      <c r="AM2" s="374"/>
      <c r="AN2" s="374"/>
      <c r="AO2" s="374"/>
      <c r="AP2" s="374"/>
      <c r="AQ2" s="374"/>
      <c r="AR2" s="374"/>
      <c r="AS2" s="374"/>
      <c r="AT2" s="374"/>
      <c r="AU2" s="374"/>
      <c r="AV2" s="374"/>
      <c r="AW2" s="374"/>
      <c r="AX2" s="374"/>
      <c r="AY2" s="374"/>
      <c r="AZ2" s="374"/>
      <c r="BA2" s="374"/>
      <c r="BB2" s="374"/>
      <c r="BC2" s="374"/>
      <c r="BD2" s="374"/>
      <c r="BE2" s="374"/>
      <c r="BF2" s="374"/>
      <c r="BG2" s="374"/>
      <c r="BH2" s="374"/>
      <c r="BI2" s="374"/>
      <c r="BJ2" s="374"/>
      <c r="BK2" s="374"/>
      <c r="BL2" s="374"/>
      <c r="BM2" s="374"/>
      <c r="BN2" s="374"/>
      <c r="BO2" s="374"/>
      <c r="BP2" s="374"/>
    </row>
    <row r="3" spans="1:68" s="373" customFormat="1" ht="24" customHeight="1" x14ac:dyDescent="0.25">
      <c r="A3" s="1098" t="s">
        <v>2851</v>
      </c>
      <c r="B3" s="1098"/>
      <c r="C3" s="1098"/>
      <c r="D3" s="1098"/>
      <c r="E3" s="1098"/>
      <c r="F3" s="1098"/>
      <c r="G3" s="1098"/>
      <c r="H3" s="1098"/>
      <c r="I3" s="1098"/>
      <c r="J3" s="1098"/>
      <c r="K3" s="1098"/>
      <c r="L3" s="1098"/>
      <c r="M3" s="1098"/>
      <c r="N3" s="1098"/>
      <c r="O3" s="1098"/>
      <c r="P3" s="1098"/>
      <c r="Q3" s="1098"/>
      <c r="R3" s="1098"/>
      <c r="S3" s="1098"/>
      <c r="T3" s="1098"/>
      <c r="U3" s="1098"/>
      <c r="V3" s="1098"/>
      <c r="W3" s="1098"/>
      <c r="X3" s="1098"/>
      <c r="Y3" s="1098"/>
      <c r="Z3" s="1098"/>
      <c r="AA3" s="1098"/>
      <c r="AB3" s="1098"/>
      <c r="AC3" s="1098"/>
      <c r="AD3" s="1098"/>
      <c r="AE3" s="1098"/>
      <c r="AF3" s="1098"/>
      <c r="AG3" s="1098"/>
      <c r="AH3" s="1098"/>
      <c r="AI3" s="1098"/>
      <c r="AJ3" s="374"/>
      <c r="AK3" s="374"/>
      <c r="AL3" s="374"/>
      <c r="AM3" s="374"/>
      <c r="AN3" s="374"/>
      <c r="AO3" s="374"/>
      <c r="AP3" s="374"/>
      <c r="AQ3" s="374"/>
      <c r="AR3" s="374"/>
      <c r="AS3" s="374"/>
      <c r="AT3" s="374"/>
      <c r="AU3" s="374"/>
      <c r="AV3" s="374"/>
      <c r="AW3" s="374"/>
      <c r="AX3" s="374"/>
      <c r="AY3" s="374"/>
      <c r="AZ3" s="374"/>
      <c r="BA3" s="374"/>
      <c r="BB3" s="374"/>
      <c r="BC3" s="374"/>
      <c r="BD3" s="374"/>
      <c r="BE3" s="374"/>
      <c r="BF3" s="374"/>
      <c r="BG3" s="374"/>
      <c r="BH3" s="374"/>
      <c r="BI3" s="374"/>
      <c r="BJ3" s="374"/>
      <c r="BK3" s="374"/>
      <c r="BL3" s="374"/>
      <c r="BM3" s="374"/>
      <c r="BN3" s="374"/>
      <c r="BO3" s="374"/>
      <c r="BP3" s="374"/>
    </row>
    <row r="4" spans="1:68" x14ac:dyDescent="0.25">
      <c r="B4" s="770">
        <v>82997</v>
      </c>
      <c r="C4" s="772"/>
      <c r="F4" s="483"/>
    </row>
    <row r="5" spans="1:68" s="375" customFormat="1" ht="20.25" x14ac:dyDescent="0.25">
      <c r="A5" s="446"/>
      <c r="B5" s="504" t="s">
        <v>0</v>
      </c>
      <c r="C5" s="504"/>
      <c r="D5" s="505" t="s">
        <v>619</v>
      </c>
      <c r="E5" s="505" t="s">
        <v>617</v>
      </c>
      <c r="F5" s="506" t="s">
        <v>1</v>
      </c>
      <c r="G5" s="507"/>
      <c r="H5" s="507"/>
      <c r="I5" s="508"/>
      <c r="J5" s="508"/>
      <c r="K5" s="508"/>
      <c r="L5" s="508"/>
      <c r="M5" s="504" t="s">
        <v>2</v>
      </c>
      <c r="N5" s="504"/>
      <c r="O5" s="509"/>
      <c r="P5" s="508"/>
      <c r="Q5" s="508"/>
      <c r="R5" s="504" t="s">
        <v>3</v>
      </c>
      <c r="S5" s="504"/>
      <c r="T5" s="510"/>
      <c r="U5" s="504"/>
      <c r="V5" s="508"/>
      <c r="W5" s="508"/>
      <c r="X5" s="511" t="s">
        <v>395</v>
      </c>
      <c r="Y5" s="511"/>
      <c r="Z5" s="511"/>
      <c r="AA5" s="511"/>
      <c r="AB5" s="511"/>
      <c r="AC5" s="511"/>
      <c r="AD5" s="512" t="s">
        <v>2134</v>
      </c>
      <c r="AE5" s="509"/>
      <c r="AF5" s="509"/>
      <c r="AG5" s="509"/>
      <c r="AH5" s="513" t="s">
        <v>4</v>
      </c>
      <c r="AI5" s="504" t="s">
        <v>2853</v>
      </c>
      <c r="AJ5" s="504"/>
    </row>
    <row r="6" spans="1:68" s="375" customFormat="1" ht="105" customHeight="1" x14ac:dyDescent="0.25">
      <c r="A6" s="446" t="s">
        <v>5</v>
      </c>
      <c r="B6" s="517" t="s">
        <v>0</v>
      </c>
      <c r="C6" s="515" t="s">
        <v>2901</v>
      </c>
      <c r="D6" s="516" t="s">
        <v>620</v>
      </c>
      <c r="E6" s="516" t="s">
        <v>621</v>
      </c>
      <c r="F6" s="517" t="s">
        <v>6</v>
      </c>
      <c r="G6" s="518" t="s">
        <v>2803</v>
      </c>
      <c r="H6" s="518" t="s">
        <v>2900</v>
      </c>
      <c r="I6" s="520" t="s">
        <v>9</v>
      </c>
      <c r="J6" s="520" t="s">
        <v>10</v>
      </c>
      <c r="K6" s="520" t="s">
        <v>11</v>
      </c>
      <c r="L6" s="520" t="s">
        <v>12</v>
      </c>
      <c r="M6" s="521" t="s">
        <v>13</v>
      </c>
      <c r="N6" s="521" t="s">
        <v>2904</v>
      </c>
      <c r="O6" s="520" t="s">
        <v>14</v>
      </c>
      <c r="P6" s="520" t="s">
        <v>15</v>
      </c>
      <c r="Q6" s="520" t="s">
        <v>16</v>
      </c>
      <c r="R6" s="521" t="s">
        <v>17</v>
      </c>
      <c r="S6" s="521" t="s">
        <v>18</v>
      </c>
      <c r="T6" s="522" t="s">
        <v>7</v>
      </c>
      <c r="U6" s="519" t="s">
        <v>8</v>
      </c>
      <c r="V6" s="520" t="s">
        <v>15</v>
      </c>
      <c r="W6" s="523" t="s">
        <v>16</v>
      </c>
      <c r="X6" s="524" t="s">
        <v>19</v>
      </c>
      <c r="Y6" s="524" t="s">
        <v>20</v>
      </c>
      <c r="Z6" s="524" t="s">
        <v>21</v>
      </c>
      <c r="AA6" s="524" t="s">
        <v>22</v>
      </c>
      <c r="AB6" s="524" t="s">
        <v>23</v>
      </c>
      <c r="AC6" s="524" t="s">
        <v>24</v>
      </c>
      <c r="AD6" s="525" t="s">
        <v>2135</v>
      </c>
      <c r="AE6" s="523" t="s">
        <v>2136</v>
      </c>
      <c r="AF6" s="523" t="s">
        <v>15</v>
      </c>
      <c r="AG6" s="523" t="s">
        <v>16</v>
      </c>
      <c r="AH6" s="520" t="s">
        <v>16</v>
      </c>
      <c r="AI6" s="517" t="s">
        <v>2855</v>
      </c>
      <c r="AJ6" s="517" t="s">
        <v>2854</v>
      </c>
    </row>
    <row r="7" spans="1:68" s="474" customFormat="1" ht="32.25" customHeight="1" x14ac:dyDescent="0.3">
      <c r="A7" s="446" t="s">
        <v>2081</v>
      </c>
      <c r="B7" s="527" t="s">
        <v>4</v>
      </c>
      <c r="C7" s="527"/>
      <c r="D7" s="529"/>
      <c r="E7" s="529"/>
      <c r="F7" s="530"/>
      <c r="G7" s="531">
        <v>82991.200000000012</v>
      </c>
      <c r="H7" s="531">
        <v>43626.2</v>
      </c>
      <c r="I7" s="533"/>
      <c r="J7" s="533"/>
      <c r="K7" s="534">
        <v>66035954000</v>
      </c>
      <c r="L7" s="534">
        <v>62265448000</v>
      </c>
      <c r="M7" s="535"/>
      <c r="N7" s="535"/>
      <c r="O7" s="533">
        <v>16033.5</v>
      </c>
      <c r="P7" s="534"/>
      <c r="Q7" s="534">
        <v>2065249500</v>
      </c>
      <c r="R7" s="536"/>
      <c r="S7" s="532"/>
      <c r="T7" s="537">
        <v>23019.545500000011</v>
      </c>
      <c r="U7" s="532"/>
      <c r="V7" s="534"/>
      <c r="W7" s="534">
        <v>25201681000</v>
      </c>
      <c r="X7" s="532"/>
      <c r="Y7" s="538"/>
      <c r="Z7" s="538"/>
      <c r="AA7" s="538"/>
      <c r="AB7" s="538"/>
      <c r="AC7" s="538"/>
      <c r="AD7" s="539"/>
      <c r="AE7" s="533">
        <f>SUBTOTAL(9,AE36:AE2426)</f>
        <v>31</v>
      </c>
      <c r="AF7" s="540"/>
      <c r="AG7" s="540">
        <v>309000000</v>
      </c>
      <c r="AH7" s="534">
        <v>155877332500</v>
      </c>
      <c r="AI7" s="541"/>
      <c r="AJ7" s="541"/>
    </row>
    <row r="8" spans="1:68" s="376" customFormat="1" ht="94.5" customHeight="1" outlineLevel="1" x14ac:dyDescent="0.25">
      <c r="A8" s="467">
        <v>3</v>
      </c>
      <c r="B8" s="574" t="s">
        <v>59</v>
      </c>
      <c r="C8" s="773" t="s">
        <v>2902</v>
      </c>
      <c r="D8" s="587">
        <v>85</v>
      </c>
      <c r="E8" s="560">
        <v>37</v>
      </c>
      <c r="F8" s="578"/>
      <c r="G8" s="596">
        <v>587.1</v>
      </c>
      <c r="H8" s="579">
        <v>405.4</v>
      </c>
      <c r="I8" s="581"/>
      <c r="J8" s="581"/>
      <c r="K8" s="571">
        <v>2987514000</v>
      </c>
      <c r="L8" s="571">
        <v>674261000</v>
      </c>
      <c r="M8" s="598"/>
      <c r="N8" s="598"/>
      <c r="O8" s="599">
        <v>605</v>
      </c>
      <c r="P8" s="571"/>
      <c r="Q8" s="571">
        <v>76300000</v>
      </c>
      <c r="R8" s="582"/>
      <c r="S8" s="597"/>
      <c r="T8" s="600">
        <v>670.2</v>
      </c>
      <c r="U8" s="597"/>
      <c r="V8" s="571"/>
      <c r="W8" s="571">
        <v>1667759000</v>
      </c>
      <c r="X8" s="562"/>
      <c r="Y8" s="592"/>
      <c r="Z8" s="592"/>
      <c r="AA8" s="568"/>
      <c r="AB8" s="592"/>
      <c r="AC8" s="601"/>
      <c r="AD8" s="602"/>
      <c r="AE8" s="599">
        <f>SUBTOTAL(9,AE9:AE34)</f>
        <v>0</v>
      </c>
      <c r="AF8" s="585"/>
      <c r="AG8" s="585">
        <v>0</v>
      </c>
      <c r="AH8" s="571">
        <v>5405834000</v>
      </c>
      <c r="AI8" s="578"/>
      <c r="AJ8" s="578"/>
    </row>
    <row r="9" spans="1:68" s="376" customFormat="1" ht="145.5" customHeight="1" outlineLevel="2" x14ac:dyDescent="0.3">
      <c r="A9" s="447">
        <v>3</v>
      </c>
      <c r="B9" s="558" t="s">
        <v>60</v>
      </c>
      <c r="C9" s="558"/>
      <c r="D9" s="587">
        <v>85</v>
      </c>
      <c r="E9" s="560">
        <v>37</v>
      </c>
      <c r="F9" s="586" t="s">
        <v>2030</v>
      </c>
      <c r="G9" s="604">
        <v>124.2</v>
      </c>
      <c r="H9" s="546" t="s">
        <v>2899</v>
      </c>
      <c r="I9" s="563">
        <v>16800000</v>
      </c>
      <c r="J9" s="563">
        <v>0</v>
      </c>
      <c r="K9" s="564">
        <v>2086560000</v>
      </c>
      <c r="L9" s="564">
        <v>0</v>
      </c>
      <c r="M9" s="565" t="s">
        <v>61</v>
      </c>
      <c r="N9" s="565"/>
      <c r="O9" s="590">
        <v>5</v>
      </c>
      <c r="P9" s="564">
        <v>1708000</v>
      </c>
      <c r="Q9" s="564">
        <v>8540000</v>
      </c>
      <c r="R9" s="566" t="s">
        <v>2251</v>
      </c>
      <c r="S9" s="589" t="s">
        <v>53</v>
      </c>
      <c r="T9" s="591">
        <v>104.4</v>
      </c>
      <c r="U9" s="589"/>
      <c r="V9" s="564">
        <v>5789151</v>
      </c>
      <c r="W9" s="564">
        <v>604387000</v>
      </c>
      <c r="X9" s="562" t="s">
        <v>63</v>
      </c>
      <c r="Y9" s="592" t="s">
        <v>63</v>
      </c>
      <c r="Z9" s="592" t="s">
        <v>56</v>
      </c>
      <c r="AA9" s="568" t="s">
        <v>57</v>
      </c>
      <c r="AB9" s="592" t="s">
        <v>63</v>
      </c>
      <c r="AC9" s="601"/>
      <c r="AD9" s="569"/>
      <c r="AE9" s="590"/>
      <c r="AF9" s="570" t="s">
        <v>2899</v>
      </c>
      <c r="AG9" s="570"/>
      <c r="AH9" s="571" t="s">
        <v>25</v>
      </c>
      <c r="AI9" s="586" t="s">
        <v>626</v>
      </c>
      <c r="AJ9" s="586" t="s">
        <v>2771</v>
      </c>
    </row>
    <row r="10" spans="1:68" s="376" customFormat="1" ht="123.75" customHeight="1" outlineLevel="2" x14ac:dyDescent="0.3">
      <c r="A10" s="447">
        <v>3</v>
      </c>
      <c r="B10" s="572" t="s">
        <v>627</v>
      </c>
      <c r="C10" s="572"/>
      <c r="D10" s="587">
        <v>85</v>
      </c>
      <c r="E10" s="560">
        <v>37</v>
      </c>
      <c r="F10" s="586" t="s">
        <v>2032</v>
      </c>
      <c r="G10" s="604">
        <v>57.499999999999986</v>
      </c>
      <c r="H10" s="546" t="s">
        <v>2899</v>
      </c>
      <c r="I10" s="563">
        <v>11760000</v>
      </c>
      <c r="J10" s="563">
        <v>0</v>
      </c>
      <c r="K10" s="564">
        <v>676200000</v>
      </c>
      <c r="L10" s="564">
        <v>0</v>
      </c>
      <c r="M10" s="558" t="s">
        <v>64</v>
      </c>
      <c r="N10" s="558"/>
      <c r="O10" s="590">
        <v>2</v>
      </c>
      <c r="P10" s="564">
        <v>1122000</v>
      </c>
      <c r="Q10" s="564">
        <v>2244000</v>
      </c>
      <c r="R10" s="566" t="s">
        <v>1844</v>
      </c>
      <c r="S10" s="589" t="s">
        <v>53</v>
      </c>
      <c r="T10" s="591">
        <v>47.940000000000005</v>
      </c>
      <c r="U10" s="589"/>
      <c r="V10" s="564">
        <v>770070</v>
      </c>
      <c r="W10" s="564">
        <v>36917000</v>
      </c>
      <c r="X10" s="589"/>
      <c r="Y10" s="592" t="s">
        <v>55</v>
      </c>
      <c r="Z10" s="592" t="s">
        <v>56</v>
      </c>
      <c r="AA10" s="568"/>
      <c r="AB10" s="592" t="s">
        <v>66</v>
      </c>
      <c r="AC10" s="592"/>
      <c r="AD10" s="569"/>
      <c r="AE10" s="590"/>
      <c r="AF10" s="570" t="s">
        <v>2899</v>
      </c>
      <c r="AG10" s="570" t="s">
        <v>25</v>
      </c>
      <c r="AH10" s="571" t="s">
        <v>25</v>
      </c>
      <c r="AI10" s="558" t="s">
        <v>418</v>
      </c>
      <c r="AJ10" s="605" t="s">
        <v>2448</v>
      </c>
    </row>
    <row r="11" spans="1:68" s="376" customFormat="1" ht="121.5" outlineLevel="2" x14ac:dyDescent="0.3">
      <c r="A11" s="447">
        <v>3</v>
      </c>
      <c r="B11" s="558" t="s">
        <v>306</v>
      </c>
      <c r="C11" s="558"/>
      <c r="D11" s="587"/>
      <c r="E11" s="560"/>
      <c r="F11" s="558" t="s">
        <v>2182</v>
      </c>
      <c r="G11" s="588">
        <v>354.5</v>
      </c>
      <c r="H11" s="546">
        <v>354.5</v>
      </c>
      <c r="I11" s="563">
        <v>554400</v>
      </c>
      <c r="J11" s="563">
        <v>1663200</v>
      </c>
      <c r="K11" s="564">
        <v>196535000</v>
      </c>
      <c r="L11" s="564">
        <v>589604000</v>
      </c>
      <c r="M11" s="558" t="s">
        <v>67</v>
      </c>
      <c r="N11" s="558"/>
      <c r="O11" s="590">
        <v>5</v>
      </c>
      <c r="P11" s="564">
        <v>494000</v>
      </c>
      <c r="Q11" s="564">
        <v>2470000</v>
      </c>
      <c r="R11" s="566" t="s">
        <v>1846</v>
      </c>
      <c r="S11" s="589" t="s">
        <v>53</v>
      </c>
      <c r="T11" s="591">
        <v>17.7</v>
      </c>
      <c r="U11" s="589">
        <v>12.7</v>
      </c>
      <c r="V11" s="564">
        <v>238288</v>
      </c>
      <c r="W11" s="564">
        <v>4218000</v>
      </c>
      <c r="X11" s="589"/>
      <c r="Y11" s="592"/>
      <c r="Z11" s="592"/>
      <c r="AA11" s="568"/>
      <c r="AB11" s="592"/>
      <c r="AC11" s="592"/>
      <c r="AD11" s="606"/>
      <c r="AE11" s="590"/>
      <c r="AF11" s="570" t="s">
        <v>2899</v>
      </c>
      <c r="AG11" s="570" t="s">
        <v>25</v>
      </c>
      <c r="AH11" s="571" t="s">
        <v>25</v>
      </c>
      <c r="AI11" s="558" t="s">
        <v>720</v>
      </c>
      <c r="AJ11" s="558" t="s">
        <v>2450</v>
      </c>
      <c r="AK11" s="417" t="s">
        <v>2181</v>
      </c>
    </row>
    <row r="12" spans="1:68" s="376" customFormat="1" ht="150" customHeight="1" outlineLevel="2" x14ac:dyDescent="0.3">
      <c r="A12" s="447">
        <v>3</v>
      </c>
      <c r="B12" s="558"/>
      <c r="C12" s="558"/>
      <c r="D12" s="587"/>
      <c r="E12" s="560"/>
      <c r="F12" s="558" t="s">
        <v>2067</v>
      </c>
      <c r="G12" s="588">
        <v>50.9</v>
      </c>
      <c r="H12" s="546">
        <v>50.9</v>
      </c>
      <c r="I12" s="563">
        <v>554400</v>
      </c>
      <c r="J12" s="563">
        <v>1663200</v>
      </c>
      <c r="K12" s="564">
        <v>28219000</v>
      </c>
      <c r="L12" s="564">
        <v>84657000</v>
      </c>
      <c r="M12" s="565" t="s">
        <v>69</v>
      </c>
      <c r="N12" s="565"/>
      <c r="O12" s="590">
        <v>6</v>
      </c>
      <c r="P12" s="564">
        <v>211000</v>
      </c>
      <c r="Q12" s="564">
        <v>1266000</v>
      </c>
      <c r="R12" s="566" t="s">
        <v>1768</v>
      </c>
      <c r="S12" s="589" t="s">
        <v>53</v>
      </c>
      <c r="T12" s="591">
        <v>17.899999999999999</v>
      </c>
      <c r="U12" s="589">
        <v>9.1</v>
      </c>
      <c r="V12" s="564">
        <v>238288</v>
      </c>
      <c r="W12" s="564">
        <v>4265000</v>
      </c>
      <c r="X12" s="589"/>
      <c r="Y12" s="592"/>
      <c r="Z12" s="592"/>
      <c r="AA12" s="568"/>
      <c r="AB12" s="592"/>
      <c r="AC12" s="592"/>
      <c r="AD12" s="592"/>
      <c r="AE12" s="590"/>
      <c r="AF12" s="570" t="s">
        <v>2899</v>
      </c>
      <c r="AG12" s="570" t="s">
        <v>25</v>
      </c>
      <c r="AH12" s="571" t="s">
        <v>25</v>
      </c>
      <c r="AI12" s="558" t="s">
        <v>721</v>
      </c>
      <c r="AJ12" s="558" t="s">
        <v>2449</v>
      </c>
    </row>
    <row r="13" spans="1:68" s="376" customFormat="1" ht="121.5" outlineLevel="2" x14ac:dyDescent="0.3">
      <c r="A13" s="447">
        <v>3</v>
      </c>
      <c r="B13" s="607"/>
      <c r="C13" s="607"/>
      <c r="D13" s="587"/>
      <c r="E13" s="560"/>
      <c r="F13" s="558"/>
      <c r="G13" s="588"/>
      <c r="H13" s="546"/>
      <c r="I13" s="563" t="s">
        <v>25</v>
      </c>
      <c r="J13" s="563" t="s">
        <v>25</v>
      </c>
      <c r="K13" s="564" t="s">
        <v>25</v>
      </c>
      <c r="L13" s="564" t="s">
        <v>25</v>
      </c>
      <c r="M13" s="558" t="s">
        <v>70</v>
      </c>
      <c r="N13" s="558"/>
      <c r="O13" s="590">
        <v>4</v>
      </c>
      <c r="P13" s="564">
        <v>1632000</v>
      </c>
      <c r="Q13" s="564">
        <v>6528000</v>
      </c>
      <c r="R13" s="566" t="s">
        <v>1799</v>
      </c>
      <c r="S13" s="589" t="s">
        <v>53</v>
      </c>
      <c r="T13" s="591">
        <v>53.51</v>
      </c>
      <c r="U13" s="589"/>
      <c r="V13" s="564">
        <v>275180</v>
      </c>
      <c r="W13" s="564">
        <v>14725000</v>
      </c>
      <c r="X13" s="589"/>
      <c r="Y13" s="592"/>
      <c r="Z13" s="592"/>
      <c r="AA13" s="568"/>
      <c r="AB13" s="592"/>
      <c r="AC13" s="592"/>
      <c r="AD13" s="592"/>
      <c r="AE13" s="590"/>
      <c r="AF13" s="570" t="s">
        <v>2899</v>
      </c>
      <c r="AG13" s="570" t="s">
        <v>25</v>
      </c>
      <c r="AH13" s="571" t="s">
        <v>25</v>
      </c>
      <c r="AI13" s="558" t="s">
        <v>419</v>
      </c>
      <c r="AJ13" s="558" t="s">
        <v>2451</v>
      </c>
    </row>
    <row r="14" spans="1:68" s="376" customFormat="1" ht="101.25" outlineLevel="2" x14ac:dyDescent="0.3">
      <c r="A14" s="447">
        <v>3</v>
      </c>
      <c r="B14" s="558"/>
      <c r="C14" s="558"/>
      <c r="D14" s="587"/>
      <c r="E14" s="560"/>
      <c r="F14" s="586"/>
      <c r="G14" s="588"/>
      <c r="H14" s="546"/>
      <c r="I14" s="563" t="s">
        <v>25</v>
      </c>
      <c r="J14" s="563" t="s">
        <v>25</v>
      </c>
      <c r="K14" s="564" t="s">
        <v>25</v>
      </c>
      <c r="L14" s="564" t="s">
        <v>25</v>
      </c>
      <c r="M14" s="565" t="s">
        <v>72</v>
      </c>
      <c r="N14" s="565"/>
      <c r="O14" s="590">
        <v>152</v>
      </c>
      <c r="P14" s="564">
        <v>132000</v>
      </c>
      <c r="Q14" s="564">
        <v>20064000</v>
      </c>
      <c r="R14" s="566" t="s">
        <v>1766</v>
      </c>
      <c r="S14" s="589" t="s">
        <v>53</v>
      </c>
      <c r="T14" s="591">
        <v>73.680000000000007</v>
      </c>
      <c r="U14" s="589"/>
      <c r="V14" s="564">
        <v>265836</v>
      </c>
      <c r="W14" s="564">
        <v>19587000</v>
      </c>
      <c r="X14" s="562"/>
      <c r="Y14" s="592"/>
      <c r="Z14" s="592"/>
      <c r="AA14" s="568"/>
      <c r="AB14" s="592"/>
      <c r="AC14" s="601"/>
      <c r="AD14" s="601"/>
      <c r="AE14" s="599"/>
      <c r="AF14" s="570" t="s">
        <v>2899</v>
      </c>
      <c r="AG14" s="570" t="s">
        <v>25</v>
      </c>
      <c r="AH14" s="571" t="s">
        <v>25</v>
      </c>
      <c r="AI14" s="593" t="s">
        <v>370</v>
      </c>
      <c r="AJ14" s="558" t="s">
        <v>2800</v>
      </c>
    </row>
    <row r="15" spans="1:68" s="376" customFormat="1" ht="138.75" customHeight="1" outlineLevel="2" x14ac:dyDescent="0.3">
      <c r="A15" s="447">
        <v>3</v>
      </c>
      <c r="B15" s="572"/>
      <c r="C15" s="572"/>
      <c r="D15" s="587"/>
      <c r="E15" s="560"/>
      <c r="F15" s="586"/>
      <c r="G15" s="588"/>
      <c r="H15" s="546"/>
      <c r="I15" s="563" t="s">
        <v>25</v>
      </c>
      <c r="J15" s="563" t="s">
        <v>25</v>
      </c>
      <c r="K15" s="564" t="s">
        <v>25</v>
      </c>
      <c r="L15" s="564" t="s">
        <v>25</v>
      </c>
      <c r="M15" s="558" t="s">
        <v>73</v>
      </c>
      <c r="N15" s="558"/>
      <c r="O15" s="590">
        <v>101</v>
      </c>
      <c r="P15" s="564">
        <v>76000</v>
      </c>
      <c r="Q15" s="564">
        <v>7676000</v>
      </c>
      <c r="R15" s="566" t="s">
        <v>1886</v>
      </c>
      <c r="S15" s="589" t="s">
        <v>53</v>
      </c>
      <c r="T15" s="591">
        <v>8.3000000000000007</v>
      </c>
      <c r="U15" s="589"/>
      <c r="V15" s="564">
        <v>9347414</v>
      </c>
      <c r="W15" s="564">
        <v>77584000</v>
      </c>
      <c r="X15" s="589" t="s">
        <v>63</v>
      </c>
      <c r="Y15" s="592" t="s">
        <v>63</v>
      </c>
      <c r="Z15" s="592" t="s">
        <v>56</v>
      </c>
      <c r="AA15" s="568" t="s">
        <v>57</v>
      </c>
      <c r="AB15" s="592" t="s">
        <v>63</v>
      </c>
      <c r="AC15" s="592"/>
      <c r="AD15" s="592"/>
      <c r="AE15" s="590"/>
      <c r="AF15" s="570" t="s">
        <v>2899</v>
      </c>
      <c r="AG15" s="570" t="s">
        <v>25</v>
      </c>
      <c r="AH15" s="571" t="s">
        <v>25</v>
      </c>
      <c r="AI15" s="558" t="s">
        <v>1730</v>
      </c>
      <c r="AJ15" s="593"/>
    </row>
    <row r="16" spans="1:68" s="376" customFormat="1" ht="81.75" customHeight="1" outlineLevel="2" x14ac:dyDescent="0.3">
      <c r="A16" s="447">
        <v>3</v>
      </c>
      <c r="B16" s="574"/>
      <c r="C16" s="574"/>
      <c r="D16" s="595"/>
      <c r="E16" s="577"/>
      <c r="F16" s="558"/>
      <c r="G16" s="588"/>
      <c r="H16" s="546"/>
      <c r="I16" s="563" t="s">
        <v>25</v>
      </c>
      <c r="J16" s="563" t="s">
        <v>25</v>
      </c>
      <c r="K16" s="564" t="s">
        <v>25</v>
      </c>
      <c r="L16" s="564" t="s">
        <v>25</v>
      </c>
      <c r="M16" s="565" t="s">
        <v>75</v>
      </c>
      <c r="N16" s="565"/>
      <c r="O16" s="590">
        <v>145</v>
      </c>
      <c r="P16" s="564">
        <v>34000</v>
      </c>
      <c r="Q16" s="564">
        <v>4930000</v>
      </c>
      <c r="R16" s="566" t="s">
        <v>1767</v>
      </c>
      <c r="S16" s="589" t="s">
        <v>53</v>
      </c>
      <c r="T16" s="591">
        <v>8.0500000000000007</v>
      </c>
      <c r="U16" s="589"/>
      <c r="V16" s="564">
        <v>0</v>
      </c>
      <c r="W16" s="564">
        <v>0</v>
      </c>
      <c r="X16" s="589"/>
      <c r="Y16" s="592"/>
      <c r="Z16" s="592"/>
      <c r="AA16" s="568"/>
      <c r="AB16" s="592"/>
      <c r="AC16" s="592"/>
      <c r="AD16" s="592"/>
      <c r="AE16" s="590"/>
      <c r="AF16" s="570" t="s">
        <v>2899</v>
      </c>
      <c r="AG16" s="570" t="s">
        <v>25</v>
      </c>
      <c r="AH16" s="571" t="s">
        <v>25</v>
      </c>
      <c r="AI16" s="558" t="s">
        <v>2074</v>
      </c>
      <c r="AJ16" s="558"/>
    </row>
    <row r="17" spans="1:36" s="376" customFormat="1" ht="67.5" customHeight="1" outlineLevel="2" x14ac:dyDescent="0.3">
      <c r="A17" s="447">
        <v>3</v>
      </c>
      <c r="B17" s="574"/>
      <c r="C17" s="574"/>
      <c r="D17" s="595"/>
      <c r="E17" s="577"/>
      <c r="F17" s="574"/>
      <c r="G17" s="588"/>
      <c r="H17" s="546"/>
      <c r="I17" s="563" t="s">
        <v>25</v>
      </c>
      <c r="J17" s="563" t="s">
        <v>25</v>
      </c>
      <c r="K17" s="564" t="s">
        <v>25</v>
      </c>
      <c r="L17" s="564" t="s">
        <v>25</v>
      </c>
      <c r="M17" s="558" t="s">
        <v>76</v>
      </c>
      <c r="N17" s="558"/>
      <c r="O17" s="590">
        <v>1</v>
      </c>
      <c r="P17" s="564">
        <v>45000</v>
      </c>
      <c r="Q17" s="564">
        <v>45000</v>
      </c>
      <c r="R17" s="566" t="s">
        <v>1799</v>
      </c>
      <c r="S17" s="589" t="s">
        <v>53</v>
      </c>
      <c r="T17" s="591">
        <v>8.0500000000000007</v>
      </c>
      <c r="U17" s="597"/>
      <c r="V17" s="564">
        <v>275180</v>
      </c>
      <c r="W17" s="564">
        <v>2215000</v>
      </c>
      <c r="X17" s="589"/>
      <c r="Y17" s="592"/>
      <c r="Z17" s="592"/>
      <c r="AA17" s="568"/>
      <c r="AB17" s="592"/>
      <c r="AC17" s="592"/>
      <c r="AD17" s="592"/>
      <c r="AE17" s="590"/>
      <c r="AF17" s="570" t="s">
        <v>2899</v>
      </c>
      <c r="AG17" s="570" t="s">
        <v>25</v>
      </c>
      <c r="AH17" s="571" t="s">
        <v>25</v>
      </c>
      <c r="AI17" s="575"/>
      <c r="AJ17" s="558"/>
    </row>
    <row r="18" spans="1:36" s="376" customFormat="1" ht="83.25" customHeight="1" outlineLevel="2" x14ac:dyDescent="0.3">
      <c r="A18" s="447">
        <v>3</v>
      </c>
      <c r="B18" s="574"/>
      <c r="C18" s="574"/>
      <c r="D18" s="595"/>
      <c r="E18" s="577"/>
      <c r="F18" s="574"/>
      <c r="G18" s="588"/>
      <c r="H18" s="546"/>
      <c r="I18" s="563" t="s">
        <v>25</v>
      </c>
      <c r="J18" s="563" t="s">
        <v>25</v>
      </c>
      <c r="K18" s="564" t="s">
        <v>25</v>
      </c>
      <c r="L18" s="564" t="s">
        <v>25</v>
      </c>
      <c r="M18" s="558" t="s">
        <v>77</v>
      </c>
      <c r="N18" s="558"/>
      <c r="O18" s="590">
        <v>2</v>
      </c>
      <c r="P18" s="564">
        <v>3064000</v>
      </c>
      <c r="Q18" s="564">
        <v>6128000</v>
      </c>
      <c r="R18" s="566" t="s">
        <v>2252</v>
      </c>
      <c r="S18" s="589" t="s">
        <v>78</v>
      </c>
      <c r="T18" s="591">
        <v>20.13</v>
      </c>
      <c r="U18" s="597"/>
      <c r="V18" s="564">
        <v>3878211</v>
      </c>
      <c r="W18" s="564">
        <v>78068000</v>
      </c>
      <c r="X18" s="589"/>
      <c r="Y18" s="592"/>
      <c r="Z18" s="592"/>
      <c r="AA18" s="568"/>
      <c r="AB18" s="592"/>
      <c r="AC18" s="592"/>
      <c r="AD18" s="592"/>
      <c r="AE18" s="590"/>
      <c r="AF18" s="570" t="s">
        <v>2899</v>
      </c>
      <c r="AG18" s="570" t="s">
        <v>25</v>
      </c>
      <c r="AH18" s="571" t="s">
        <v>25</v>
      </c>
      <c r="AI18" s="608"/>
      <c r="AJ18" s="608"/>
    </row>
    <row r="19" spans="1:36" s="376" customFormat="1" ht="137.25" customHeight="1" outlineLevel="2" x14ac:dyDescent="0.3">
      <c r="A19" s="447">
        <v>3</v>
      </c>
      <c r="B19" s="607"/>
      <c r="C19" s="607"/>
      <c r="D19" s="587"/>
      <c r="E19" s="560"/>
      <c r="F19" s="574"/>
      <c r="G19" s="588"/>
      <c r="H19" s="546"/>
      <c r="I19" s="563" t="s">
        <v>25</v>
      </c>
      <c r="J19" s="563" t="s">
        <v>25</v>
      </c>
      <c r="K19" s="564" t="s">
        <v>25</v>
      </c>
      <c r="L19" s="564" t="s">
        <v>25</v>
      </c>
      <c r="M19" s="565" t="s">
        <v>79</v>
      </c>
      <c r="N19" s="565"/>
      <c r="O19" s="590">
        <v>1</v>
      </c>
      <c r="P19" s="564">
        <v>1035000</v>
      </c>
      <c r="Q19" s="564">
        <v>1035000</v>
      </c>
      <c r="R19" s="566" t="s">
        <v>2253</v>
      </c>
      <c r="S19" s="589" t="s">
        <v>53</v>
      </c>
      <c r="T19" s="591">
        <v>23.45</v>
      </c>
      <c r="U19" s="597"/>
      <c r="V19" s="564">
        <v>890132</v>
      </c>
      <c r="W19" s="564">
        <v>20874000</v>
      </c>
      <c r="X19" s="580"/>
      <c r="Y19" s="601"/>
      <c r="Z19" s="601"/>
      <c r="AA19" s="584"/>
      <c r="AB19" s="601"/>
      <c r="AC19" s="592"/>
      <c r="AD19" s="592"/>
      <c r="AE19" s="590"/>
      <c r="AF19" s="570" t="s">
        <v>2899</v>
      </c>
      <c r="AG19" s="570" t="s">
        <v>25</v>
      </c>
      <c r="AH19" s="571" t="s">
        <v>25</v>
      </c>
      <c r="AI19" s="608"/>
      <c r="AJ19" s="608"/>
    </row>
    <row r="20" spans="1:36" s="376" customFormat="1" ht="51" customHeight="1" outlineLevel="2" x14ac:dyDescent="0.3">
      <c r="A20" s="447">
        <v>3</v>
      </c>
      <c r="B20" s="558"/>
      <c r="C20" s="558"/>
      <c r="D20" s="587"/>
      <c r="E20" s="560"/>
      <c r="F20" s="558"/>
      <c r="G20" s="588"/>
      <c r="H20" s="546"/>
      <c r="I20" s="563" t="s">
        <v>25</v>
      </c>
      <c r="J20" s="563" t="s">
        <v>25</v>
      </c>
      <c r="K20" s="564" t="s">
        <v>25</v>
      </c>
      <c r="L20" s="564" t="s">
        <v>25</v>
      </c>
      <c r="M20" s="565" t="s">
        <v>80</v>
      </c>
      <c r="N20" s="565"/>
      <c r="O20" s="590">
        <v>2</v>
      </c>
      <c r="P20" s="564">
        <v>400000</v>
      </c>
      <c r="Q20" s="564">
        <v>800000</v>
      </c>
      <c r="R20" s="566" t="s">
        <v>1899</v>
      </c>
      <c r="S20" s="589" t="s">
        <v>53</v>
      </c>
      <c r="T20" s="591">
        <v>4.5999999999999996</v>
      </c>
      <c r="U20" s="589"/>
      <c r="V20" s="564">
        <v>0</v>
      </c>
      <c r="W20" s="564">
        <v>0</v>
      </c>
      <c r="X20" s="562"/>
      <c r="Y20" s="592" t="s">
        <v>55</v>
      </c>
      <c r="Z20" s="592" t="s">
        <v>82</v>
      </c>
      <c r="AA20" s="568" t="s">
        <v>83</v>
      </c>
      <c r="AB20" s="592" t="s">
        <v>66</v>
      </c>
      <c r="AC20" s="601"/>
      <c r="AD20" s="601"/>
      <c r="AE20" s="599"/>
      <c r="AF20" s="570" t="s">
        <v>2899</v>
      </c>
      <c r="AG20" s="570" t="s">
        <v>25</v>
      </c>
      <c r="AH20" s="571" t="s">
        <v>25</v>
      </c>
      <c r="AI20" s="608"/>
      <c r="AJ20" s="608"/>
    </row>
    <row r="21" spans="1:36" s="376" customFormat="1" ht="51" customHeight="1" outlineLevel="2" x14ac:dyDescent="0.3">
      <c r="A21" s="447">
        <v>3</v>
      </c>
      <c r="B21" s="572"/>
      <c r="C21" s="572"/>
      <c r="D21" s="587"/>
      <c r="E21" s="560"/>
      <c r="F21" s="586"/>
      <c r="G21" s="588"/>
      <c r="H21" s="546"/>
      <c r="I21" s="563" t="s">
        <v>25</v>
      </c>
      <c r="J21" s="563" t="s">
        <v>25</v>
      </c>
      <c r="K21" s="564" t="s">
        <v>25</v>
      </c>
      <c r="L21" s="564" t="s">
        <v>25</v>
      </c>
      <c r="M21" s="558" t="s">
        <v>84</v>
      </c>
      <c r="N21" s="558"/>
      <c r="O21" s="590">
        <v>1</v>
      </c>
      <c r="P21" s="564">
        <v>300000</v>
      </c>
      <c r="Q21" s="564">
        <v>300000</v>
      </c>
      <c r="R21" s="566" t="s">
        <v>2254</v>
      </c>
      <c r="S21" s="589" t="s">
        <v>53</v>
      </c>
      <c r="T21" s="591">
        <v>1.2</v>
      </c>
      <c r="U21" s="589"/>
      <c r="V21" s="564">
        <v>3764632</v>
      </c>
      <c r="W21" s="564">
        <v>4518000</v>
      </c>
      <c r="X21" s="589"/>
      <c r="Y21" s="592" t="s">
        <v>85</v>
      </c>
      <c r="Z21" s="592" t="s">
        <v>56</v>
      </c>
      <c r="AA21" s="568" t="s">
        <v>57</v>
      </c>
      <c r="AB21" s="592" t="s">
        <v>54</v>
      </c>
      <c r="AC21" s="592"/>
      <c r="AD21" s="592"/>
      <c r="AE21" s="590"/>
      <c r="AF21" s="570" t="s">
        <v>2899</v>
      </c>
      <c r="AG21" s="570" t="s">
        <v>25</v>
      </c>
      <c r="AH21" s="571" t="s">
        <v>25</v>
      </c>
      <c r="AI21" s="593"/>
      <c r="AJ21" s="593"/>
    </row>
    <row r="22" spans="1:36" s="376" customFormat="1" ht="60" customHeight="1" outlineLevel="2" x14ac:dyDescent="0.3">
      <c r="A22" s="447">
        <v>3</v>
      </c>
      <c r="B22" s="574"/>
      <c r="C22" s="574"/>
      <c r="D22" s="587"/>
      <c r="E22" s="560"/>
      <c r="F22" s="558"/>
      <c r="G22" s="588"/>
      <c r="H22" s="546"/>
      <c r="I22" s="563" t="s">
        <v>25</v>
      </c>
      <c r="J22" s="563" t="s">
        <v>25</v>
      </c>
      <c r="K22" s="564" t="s">
        <v>25</v>
      </c>
      <c r="L22" s="564" t="s">
        <v>25</v>
      </c>
      <c r="M22" s="558" t="s">
        <v>725</v>
      </c>
      <c r="N22" s="558"/>
      <c r="O22" s="590">
        <v>1</v>
      </c>
      <c r="P22" s="564">
        <v>360000</v>
      </c>
      <c r="Q22" s="564">
        <v>360000</v>
      </c>
      <c r="R22" s="566" t="s">
        <v>1899</v>
      </c>
      <c r="S22" s="589" t="s">
        <v>53</v>
      </c>
      <c r="T22" s="591">
        <v>4.5599999999999996</v>
      </c>
      <c r="U22" s="589"/>
      <c r="V22" s="564">
        <v>0</v>
      </c>
      <c r="W22" s="564">
        <v>0</v>
      </c>
      <c r="X22" s="589"/>
      <c r="Y22" s="592" t="s">
        <v>86</v>
      </c>
      <c r="Z22" s="592" t="s">
        <v>87</v>
      </c>
      <c r="AA22" s="568" t="s">
        <v>83</v>
      </c>
      <c r="AB22" s="592" t="s">
        <v>88</v>
      </c>
      <c r="AC22" s="592"/>
      <c r="AD22" s="592"/>
      <c r="AE22" s="590"/>
      <c r="AF22" s="570" t="s">
        <v>2899</v>
      </c>
      <c r="AG22" s="570" t="s">
        <v>25</v>
      </c>
      <c r="AH22" s="571" t="s">
        <v>25</v>
      </c>
      <c r="AI22" s="586"/>
      <c r="AJ22" s="586"/>
    </row>
    <row r="23" spans="1:36" s="376" customFormat="1" ht="138.75" customHeight="1" outlineLevel="2" x14ac:dyDescent="0.3">
      <c r="A23" s="447">
        <v>3</v>
      </c>
      <c r="B23" s="574"/>
      <c r="C23" s="574"/>
      <c r="D23" s="587"/>
      <c r="E23" s="560"/>
      <c r="F23" s="558"/>
      <c r="G23" s="588"/>
      <c r="H23" s="546"/>
      <c r="I23" s="563" t="s">
        <v>25</v>
      </c>
      <c r="J23" s="563" t="s">
        <v>25</v>
      </c>
      <c r="K23" s="564" t="s">
        <v>25</v>
      </c>
      <c r="L23" s="564" t="s">
        <v>25</v>
      </c>
      <c r="M23" s="558" t="s">
        <v>726</v>
      </c>
      <c r="N23" s="558"/>
      <c r="O23" s="590">
        <v>1</v>
      </c>
      <c r="P23" s="564">
        <v>60000</v>
      </c>
      <c r="Q23" s="564">
        <v>60000</v>
      </c>
      <c r="R23" s="566" t="s">
        <v>2255</v>
      </c>
      <c r="S23" s="589" t="s">
        <v>53</v>
      </c>
      <c r="T23" s="591">
        <v>74.16</v>
      </c>
      <c r="U23" s="589"/>
      <c r="V23" s="564">
        <v>830536</v>
      </c>
      <c r="W23" s="564">
        <v>61593000</v>
      </c>
      <c r="X23" s="589"/>
      <c r="Y23" s="592"/>
      <c r="Z23" s="592"/>
      <c r="AA23" s="568"/>
      <c r="AB23" s="592"/>
      <c r="AC23" s="592"/>
      <c r="AD23" s="592"/>
      <c r="AE23" s="590"/>
      <c r="AF23" s="570" t="s">
        <v>2899</v>
      </c>
      <c r="AG23" s="570" t="s">
        <v>25</v>
      </c>
      <c r="AH23" s="571" t="s">
        <v>25</v>
      </c>
      <c r="AI23" s="593"/>
      <c r="AJ23" s="593"/>
    </row>
    <row r="24" spans="1:36" s="376" customFormat="1" ht="108" customHeight="1" outlineLevel="2" x14ac:dyDescent="0.3">
      <c r="A24" s="447">
        <v>3</v>
      </c>
      <c r="B24" s="574"/>
      <c r="C24" s="574"/>
      <c r="D24" s="595"/>
      <c r="E24" s="577"/>
      <c r="F24" s="558"/>
      <c r="G24" s="588"/>
      <c r="H24" s="546"/>
      <c r="I24" s="563" t="s">
        <v>25</v>
      </c>
      <c r="J24" s="563" t="s">
        <v>25</v>
      </c>
      <c r="K24" s="564" t="s">
        <v>25</v>
      </c>
      <c r="L24" s="564" t="s">
        <v>25</v>
      </c>
      <c r="M24" s="558" t="s">
        <v>727</v>
      </c>
      <c r="N24" s="558"/>
      <c r="O24" s="590">
        <v>1</v>
      </c>
      <c r="P24" s="564">
        <v>32000</v>
      </c>
      <c r="Q24" s="564">
        <v>32000</v>
      </c>
      <c r="R24" s="566" t="s">
        <v>2256</v>
      </c>
      <c r="S24" s="589" t="s">
        <v>53</v>
      </c>
      <c r="T24" s="591">
        <v>15.08</v>
      </c>
      <c r="U24" s="589"/>
      <c r="V24" s="564">
        <v>4631321</v>
      </c>
      <c r="W24" s="564">
        <v>69840000</v>
      </c>
      <c r="X24" s="589"/>
      <c r="Y24" s="592" t="s">
        <v>63</v>
      </c>
      <c r="Z24" s="592" t="s">
        <v>56</v>
      </c>
      <c r="AA24" s="568"/>
      <c r="AB24" s="592" t="s">
        <v>63</v>
      </c>
      <c r="AC24" s="592"/>
      <c r="AD24" s="592"/>
      <c r="AE24" s="590"/>
      <c r="AF24" s="570" t="s">
        <v>2899</v>
      </c>
      <c r="AG24" s="570" t="s">
        <v>25</v>
      </c>
      <c r="AH24" s="571" t="s">
        <v>25</v>
      </c>
      <c r="AI24" s="593"/>
      <c r="AJ24" s="593"/>
    </row>
    <row r="25" spans="1:36" s="376" customFormat="1" ht="94.5" customHeight="1" outlineLevel="2" x14ac:dyDescent="0.3">
      <c r="A25" s="447">
        <v>3</v>
      </c>
      <c r="B25" s="607"/>
      <c r="C25" s="607"/>
      <c r="D25" s="587"/>
      <c r="E25" s="560"/>
      <c r="F25" s="574"/>
      <c r="G25" s="588"/>
      <c r="H25" s="546"/>
      <c r="I25" s="563" t="s">
        <v>25</v>
      </c>
      <c r="J25" s="563" t="s">
        <v>25</v>
      </c>
      <c r="K25" s="564" t="s">
        <v>25</v>
      </c>
      <c r="L25" s="564" t="s">
        <v>25</v>
      </c>
      <c r="M25" s="586" t="s">
        <v>728</v>
      </c>
      <c r="N25" s="586"/>
      <c r="O25" s="590">
        <v>1</v>
      </c>
      <c r="P25" s="564">
        <v>60000</v>
      </c>
      <c r="Q25" s="564">
        <v>60000</v>
      </c>
      <c r="R25" s="586" t="s">
        <v>2404</v>
      </c>
      <c r="S25" s="609" t="s">
        <v>53</v>
      </c>
      <c r="T25" s="591">
        <v>14.75</v>
      </c>
      <c r="U25" s="610"/>
      <c r="V25" s="564">
        <v>4631321</v>
      </c>
      <c r="W25" s="564">
        <v>68312000</v>
      </c>
      <c r="X25" s="580"/>
      <c r="Y25" s="592" t="s">
        <v>63</v>
      </c>
      <c r="Z25" s="592" t="s">
        <v>56</v>
      </c>
      <c r="AA25" s="568"/>
      <c r="AB25" s="592" t="s">
        <v>63</v>
      </c>
      <c r="AC25" s="592"/>
      <c r="AD25" s="592"/>
      <c r="AE25" s="590"/>
      <c r="AF25" s="570" t="s">
        <v>2899</v>
      </c>
      <c r="AG25" s="570" t="s">
        <v>25</v>
      </c>
      <c r="AH25" s="571" t="s">
        <v>25</v>
      </c>
      <c r="AI25" s="593"/>
      <c r="AJ25" s="593"/>
    </row>
    <row r="26" spans="1:36" s="376" customFormat="1" ht="85.5" customHeight="1" outlineLevel="2" x14ac:dyDescent="0.3">
      <c r="A26" s="447">
        <v>3</v>
      </c>
      <c r="B26" s="572"/>
      <c r="C26" s="572"/>
      <c r="D26" s="613"/>
      <c r="E26" s="612"/>
      <c r="F26" s="558"/>
      <c r="G26" s="588"/>
      <c r="H26" s="546"/>
      <c r="I26" s="563" t="s">
        <v>25</v>
      </c>
      <c r="J26" s="563" t="s">
        <v>25</v>
      </c>
      <c r="K26" s="564" t="s">
        <v>25</v>
      </c>
      <c r="L26" s="564" t="s">
        <v>25</v>
      </c>
      <c r="M26" s="586" t="s">
        <v>89</v>
      </c>
      <c r="N26" s="586"/>
      <c r="O26" s="590">
        <v>1</v>
      </c>
      <c r="P26" s="564">
        <v>283000</v>
      </c>
      <c r="Q26" s="564">
        <v>283000</v>
      </c>
      <c r="R26" s="586" t="s">
        <v>2257</v>
      </c>
      <c r="S26" s="609" t="s">
        <v>53</v>
      </c>
      <c r="T26" s="591">
        <v>88</v>
      </c>
      <c r="U26" s="611"/>
      <c r="V26" s="564">
        <v>5469063</v>
      </c>
      <c r="W26" s="564">
        <v>481278000</v>
      </c>
      <c r="X26" s="562"/>
      <c r="Y26" s="568" t="s">
        <v>90</v>
      </c>
      <c r="Z26" s="592" t="s">
        <v>56</v>
      </c>
      <c r="AA26" s="568" t="s">
        <v>57</v>
      </c>
      <c r="AB26" s="592" t="s">
        <v>63</v>
      </c>
      <c r="AC26" s="601"/>
      <c r="AD26" s="601"/>
      <c r="AE26" s="599"/>
      <c r="AF26" s="570" t="s">
        <v>2899</v>
      </c>
      <c r="AG26" s="570" t="s">
        <v>25</v>
      </c>
      <c r="AH26" s="571" t="s">
        <v>25</v>
      </c>
      <c r="AI26" s="608"/>
      <c r="AJ26" s="608"/>
    </row>
    <row r="27" spans="1:36" s="376" customFormat="1" ht="102" customHeight="1" outlineLevel="2" x14ac:dyDescent="0.3">
      <c r="A27" s="447">
        <v>3</v>
      </c>
      <c r="B27" s="586"/>
      <c r="C27" s="586"/>
      <c r="D27" s="613"/>
      <c r="E27" s="560"/>
      <c r="F27" s="586"/>
      <c r="G27" s="588"/>
      <c r="H27" s="546"/>
      <c r="I27" s="563" t="s">
        <v>25</v>
      </c>
      <c r="J27" s="563" t="s">
        <v>25</v>
      </c>
      <c r="K27" s="564" t="s">
        <v>25</v>
      </c>
      <c r="L27" s="564" t="s">
        <v>25</v>
      </c>
      <c r="M27" s="586" t="s">
        <v>91</v>
      </c>
      <c r="N27" s="586"/>
      <c r="O27" s="590">
        <v>1</v>
      </c>
      <c r="P27" s="564">
        <v>93000</v>
      </c>
      <c r="Q27" s="564">
        <v>93000</v>
      </c>
      <c r="R27" s="586" t="s">
        <v>2258</v>
      </c>
      <c r="S27" s="609" t="s">
        <v>53</v>
      </c>
      <c r="T27" s="591">
        <v>2.66</v>
      </c>
      <c r="U27" s="611"/>
      <c r="V27" s="564">
        <v>9347414</v>
      </c>
      <c r="W27" s="564">
        <v>24864000</v>
      </c>
      <c r="X27" s="589"/>
      <c r="Y27" s="592" t="s">
        <v>63</v>
      </c>
      <c r="Z27" s="592" t="s">
        <v>56</v>
      </c>
      <c r="AA27" s="568" t="s">
        <v>57</v>
      </c>
      <c r="AB27" s="592" t="s">
        <v>63</v>
      </c>
      <c r="AC27" s="592" t="s">
        <v>58</v>
      </c>
      <c r="AD27" s="592"/>
      <c r="AE27" s="590"/>
      <c r="AF27" s="570" t="s">
        <v>2899</v>
      </c>
      <c r="AG27" s="570" t="s">
        <v>25</v>
      </c>
      <c r="AH27" s="571" t="s">
        <v>25</v>
      </c>
      <c r="AI27" s="593"/>
      <c r="AJ27" s="593"/>
    </row>
    <row r="28" spans="1:36" s="376" customFormat="1" ht="90.75" customHeight="1" outlineLevel="2" x14ac:dyDescent="0.3">
      <c r="A28" s="447">
        <v>3</v>
      </c>
      <c r="B28" s="586"/>
      <c r="C28" s="586"/>
      <c r="D28" s="587"/>
      <c r="E28" s="560"/>
      <c r="F28" s="558"/>
      <c r="G28" s="588"/>
      <c r="H28" s="546"/>
      <c r="I28" s="563" t="s">
        <v>25</v>
      </c>
      <c r="J28" s="563" t="s">
        <v>25</v>
      </c>
      <c r="K28" s="564" t="s">
        <v>25</v>
      </c>
      <c r="L28" s="564" t="s">
        <v>25</v>
      </c>
      <c r="M28" s="586" t="s">
        <v>72</v>
      </c>
      <c r="N28" s="586"/>
      <c r="O28" s="590">
        <v>63</v>
      </c>
      <c r="P28" s="564">
        <v>132000</v>
      </c>
      <c r="Q28" s="564">
        <v>8316000</v>
      </c>
      <c r="R28" s="586" t="s">
        <v>2259</v>
      </c>
      <c r="S28" s="609" t="s">
        <v>53</v>
      </c>
      <c r="T28" s="591">
        <v>4</v>
      </c>
      <c r="U28" s="611"/>
      <c r="V28" s="564">
        <v>3141561</v>
      </c>
      <c r="W28" s="564">
        <v>12566000</v>
      </c>
      <c r="X28" s="589"/>
      <c r="Y28" s="592" t="s">
        <v>63</v>
      </c>
      <c r="Z28" s="592" t="s">
        <v>56</v>
      </c>
      <c r="AA28" s="568" t="s">
        <v>57</v>
      </c>
      <c r="AB28" s="592" t="s">
        <v>63</v>
      </c>
      <c r="AC28" s="592"/>
      <c r="AD28" s="592"/>
      <c r="AE28" s="590"/>
      <c r="AF28" s="570" t="s">
        <v>2899</v>
      </c>
      <c r="AG28" s="570" t="s">
        <v>25</v>
      </c>
      <c r="AH28" s="571" t="s">
        <v>25</v>
      </c>
      <c r="AI28" s="593"/>
      <c r="AJ28" s="593"/>
    </row>
    <row r="29" spans="1:36" s="376" customFormat="1" ht="61.5" customHeight="1" outlineLevel="2" x14ac:dyDescent="0.3">
      <c r="A29" s="447">
        <v>3</v>
      </c>
      <c r="B29" s="574"/>
      <c r="C29" s="574"/>
      <c r="D29" s="587"/>
      <c r="E29" s="560"/>
      <c r="F29" s="558"/>
      <c r="G29" s="588"/>
      <c r="H29" s="546"/>
      <c r="I29" s="563" t="s">
        <v>25</v>
      </c>
      <c r="J29" s="563" t="s">
        <v>25</v>
      </c>
      <c r="K29" s="564" t="s">
        <v>25</v>
      </c>
      <c r="L29" s="564" t="s">
        <v>25</v>
      </c>
      <c r="M29" s="586" t="s">
        <v>73</v>
      </c>
      <c r="N29" s="586"/>
      <c r="O29" s="590">
        <v>44</v>
      </c>
      <c r="P29" s="564">
        <v>76000</v>
      </c>
      <c r="Q29" s="564">
        <v>3344000</v>
      </c>
      <c r="R29" s="586" t="s">
        <v>1799</v>
      </c>
      <c r="S29" s="609" t="s">
        <v>53</v>
      </c>
      <c r="T29" s="591">
        <v>47.940000000000005</v>
      </c>
      <c r="U29" s="611"/>
      <c r="V29" s="564">
        <v>275180</v>
      </c>
      <c r="W29" s="564">
        <v>13192000</v>
      </c>
      <c r="X29" s="589"/>
      <c r="Y29" s="592"/>
      <c r="Z29" s="592"/>
      <c r="AA29" s="568"/>
      <c r="AB29" s="592"/>
      <c r="AC29" s="592"/>
      <c r="AD29" s="592"/>
      <c r="AE29" s="590"/>
      <c r="AF29" s="570" t="s">
        <v>2899</v>
      </c>
      <c r="AG29" s="570" t="s">
        <v>25</v>
      </c>
      <c r="AH29" s="571" t="s">
        <v>25</v>
      </c>
      <c r="AI29" s="593"/>
      <c r="AJ29" s="593"/>
    </row>
    <row r="30" spans="1:36" s="376" customFormat="1" ht="75.75" customHeight="1" outlineLevel="2" x14ac:dyDescent="0.3">
      <c r="A30" s="447">
        <v>3</v>
      </c>
      <c r="B30" s="574"/>
      <c r="C30" s="574"/>
      <c r="D30" s="587"/>
      <c r="E30" s="560"/>
      <c r="F30" s="558"/>
      <c r="G30" s="588"/>
      <c r="H30" s="546"/>
      <c r="I30" s="563" t="s">
        <v>25</v>
      </c>
      <c r="J30" s="563" t="s">
        <v>25</v>
      </c>
      <c r="K30" s="564" t="s">
        <v>25</v>
      </c>
      <c r="L30" s="564" t="s">
        <v>25</v>
      </c>
      <c r="M30" s="586" t="s">
        <v>75</v>
      </c>
      <c r="N30" s="586"/>
      <c r="O30" s="590">
        <v>43</v>
      </c>
      <c r="P30" s="564">
        <v>34000</v>
      </c>
      <c r="Q30" s="564">
        <v>1462000</v>
      </c>
      <c r="R30" s="586" t="s">
        <v>2260</v>
      </c>
      <c r="S30" s="609" t="s">
        <v>53</v>
      </c>
      <c r="T30" s="591">
        <v>15.84</v>
      </c>
      <c r="U30" s="611"/>
      <c r="V30" s="564">
        <v>4092245</v>
      </c>
      <c r="W30" s="564">
        <v>64821000</v>
      </c>
      <c r="X30" s="589"/>
      <c r="Y30" s="592"/>
      <c r="Z30" s="609"/>
      <c r="AA30" s="609"/>
      <c r="AB30" s="614"/>
      <c r="AC30" s="592"/>
      <c r="AD30" s="592"/>
      <c r="AE30" s="590"/>
      <c r="AF30" s="570" t="s">
        <v>2899</v>
      </c>
      <c r="AG30" s="570" t="s">
        <v>25</v>
      </c>
      <c r="AH30" s="571" t="s">
        <v>25</v>
      </c>
      <c r="AI30" s="593"/>
      <c r="AJ30" s="593"/>
    </row>
    <row r="31" spans="1:36" s="376" customFormat="1" ht="60.75" outlineLevel="2" x14ac:dyDescent="0.3">
      <c r="A31" s="447">
        <v>3</v>
      </c>
      <c r="B31" s="574"/>
      <c r="C31" s="574"/>
      <c r="D31" s="587"/>
      <c r="E31" s="615"/>
      <c r="F31" s="558"/>
      <c r="G31" s="588"/>
      <c r="H31" s="546"/>
      <c r="I31" s="563" t="s">
        <v>25</v>
      </c>
      <c r="J31" s="563" t="s">
        <v>25</v>
      </c>
      <c r="K31" s="564" t="s">
        <v>25</v>
      </c>
      <c r="L31" s="564" t="s">
        <v>25</v>
      </c>
      <c r="M31" s="586" t="s">
        <v>429</v>
      </c>
      <c r="N31" s="586"/>
      <c r="O31" s="590">
        <v>22</v>
      </c>
      <c r="P31" s="564">
        <v>12000</v>
      </c>
      <c r="Q31" s="564">
        <v>264000</v>
      </c>
      <c r="R31" s="586" t="s">
        <v>1799</v>
      </c>
      <c r="S31" s="609" t="s">
        <v>53</v>
      </c>
      <c r="T31" s="591">
        <v>14.3</v>
      </c>
      <c r="U31" s="611"/>
      <c r="V31" s="564">
        <v>275180</v>
      </c>
      <c r="W31" s="564">
        <v>3935000</v>
      </c>
      <c r="X31" s="589"/>
      <c r="Y31" s="592"/>
      <c r="Z31" s="609"/>
      <c r="AA31" s="609"/>
      <c r="AB31" s="614"/>
      <c r="AC31" s="592"/>
      <c r="AD31" s="592"/>
      <c r="AE31" s="590"/>
      <c r="AF31" s="570" t="s">
        <v>2899</v>
      </c>
      <c r="AG31" s="570" t="s">
        <v>25</v>
      </c>
      <c r="AH31" s="571" t="s">
        <v>25</v>
      </c>
      <c r="AI31" s="593"/>
      <c r="AJ31" s="593"/>
    </row>
    <row r="32" spans="1:36" s="376" customFormat="1" ht="20.25" outlineLevel="2" x14ac:dyDescent="0.3">
      <c r="A32" s="447">
        <v>3</v>
      </c>
      <c r="B32" s="574"/>
      <c r="C32" s="574"/>
      <c r="D32" s="587"/>
      <c r="E32" s="615"/>
      <c r="F32" s="558"/>
      <c r="G32" s="604"/>
      <c r="H32" s="546"/>
      <c r="I32" s="563" t="s">
        <v>25</v>
      </c>
      <c r="J32" s="563" t="s">
        <v>25</v>
      </c>
      <c r="K32" s="564" t="s">
        <v>25</v>
      </c>
      <c r="L32" s="564" t="s">
        <v>25</v>
      </c>
      <c r="M32" s="593"/>
      <c r="N32" s="593"/>
      <c r="O32" s="616"/>
      <c r="P32" s="564" t="s">
        <v>25</v>
      </c>
      <c r="Q32" s="564" t="s">
        <v>25</v>
      </c>
      <c r="R32" s="593"/>
      <c r="S32" s="593"/>
      <c r="T32" s="617"/>
      <c r="U32" s="589"/>
      <c r="V32" s="564" t="s">
        <v>2899</v>
      </c>
      <c r="W32" s="564" t="s">
        <v>25</v>
      </c>
      <c r="X32" s="589"/>
      <c r="Y32" s="589"/>
      <c r="Z32" s="589"/>
      <c r="AA32" s="562"/>
      <c r="AB32" s="589"/>
      <c r="AC32" s="592"/>
      <c r="AD32" s="592"/>
      <c r="AE32" s="590"/>
      <c r="AF32" s="570" t="s">
        <v>2899</v>
      </c>
      <c r="AG32" s="570" t="s">
        <v>25</v>
      </c>
      <c r="AH32" s="571" t="s">
        <v>25</v>
      </c>
      <c r="AI32" s="593"/>
      <c r="AJ32" s="593"/>
    </row>
    <row r="33" spans="1:37" s="376" customFormat="1" ht="20.25" outlineLevel="2" x14ac:dyDescent="0.3">
      <c r="A33" s="447">
        <v>3</v>
      </c>
      <c r="B33" s="574"/>
      <c r="C33" s="574"/>
      <c r="D33" s="587"/>
      <c r="E33" s="615"/>
      <c r="F33" s="558"/>
      <c r="G33" s="604"/>
      <c r="H33" s="546"/>
      <c r="I33" s="563" t="s">
        <v>25</v>
      </c>
      <c r="J33" s="563" t="s">
        <v>25</v>
      </c>
      <c r="K33" s="564" t="s">
        <v>25</v>
      </c>
      <c r="L33" s="564" t="s">
        <v>25</v>
      </c>
      <c r="M33" s="593"/>
      <c r="N33" s="593"/>
      <c r="O33" s="616"/>
      <c r="P33" s="564"/>
      <c r="Q33" s="564"/>
      <c r="R33" s="593"/>
      <c r="S33" s="593"/>
      <c r="T33" s="617"/>
      <c r="U33" s="589"/>
      <c r="V33" s="564" t="s">
        <v>2899</v>
      </c>
      <c r="W33" s="564" t="s">
        <v>25</v>
      </c>
      <c r="X33" s="589"/>
      <c r="Y33" s="589"/>
      <c r="Z33" s="589"/>
      <c r="AA33" s="562"/>
      <c r="AB33" s="589"/>
      <c r="AC33" s="592"/>
      <c r="AD33" s="592"/>
      <c r="AE33" s="590"/>
      <c r="AF33" s="570" t="s">
        <v>2899</v>
      </c>
      <c r="AG33" s="570"/>
      <c r="AH33" s="571" t="s">
        <v>25</v>
      </c>
      <c r="AI33" s="593"/>
      <c r="AJ33" s="593"/>
    </row>
    <row r="34" spans="1:37" s="376" customFormat="1" ht="20.25" outlineLevel="2" x14ac:dyDescent="0.3">
      <c r="A34" s="447">
        <v>3</v>
      </c>
      <c r="B34" s="574"/>
      <c r="C34" s="574"/>
      <c r="D34" s="595"/>
      <c r="E34" s="577"/>
      <c r="F34" s="558"/>
      <c r="G34" s="604"/>
      <c r="H34" s="546"/>
      <c r="I34" s="563" t="s">
        <v>25</v>
      </c>
      <c r="J34" s="563" t="s">
        <v>25</v>
      </c>
      <c r="K34" s="564" t="s">
        <v>25</v>
      </c>
      <c r="L34" s="564" t="s">
        <v>25</v>
      </c>
      <c r="M34" s="593"/>
      <c r="N34" s="593"/>
      <c r="O34" s="616"/>
      <c r="P34" s="564"/>
      <c r="Q34" s="564"/>
      <c r="R34" s="593"/>
      <c r="S34" s="593"/>
      <c r="T34" s="617"/>
      <c r="U34" s="589"/>
      <c r="V34" s="564" t="s">
        <v>2899</v>
      </c>
      <c r="W34" s="564" t="s">
        <v>25</v>
      </c>
      <c r="X34" s="589"/>
      <c r="Y34" s="589"/>
      <c r="Z34" s="589"/>
      <c r="AA34" s="562"/>
      <c r="AB34" s="589"/>
      <c r="AC34" s="592"/>
      <c r="AD34" s="592"/>
      <c r="AE34" s="590"/>
      <c r="AF34" s="570" t="s">
        <v>2899</v>
      </c>
      <c r="AG34" s="570"/>
      <c r="AH34" s="571" t="s">
        <v>25</v>
      </c>
      <c r="AI34" s="593"/>
      <c r="AJ34" s="593"/>
    </row>
    <row r="35" spans="1:37" s="376" customFormat="1" ht="51" customHeight="1" outlineLevel="1" x14ac:dyDescent="0.3">
      <c r="A35" s="446">
        <v>1</v>
      </c>
      <c r="B35" s="543" t="s">
        <v>413</v>
      </c>
      <c r="C35" s="773" t="s">
        <v>2902</v>
      </c>
      <c r="D35" s="505"/>
      <c r="E35" s="505"/>
      <c r="F35" s="545"/>
      <c r="G35" s="546">
        <v>0</v>
      </c>
      <c r="H35" s="546">
        <v>0</v>
      </c>
      <c r="I35" s="548"/>
      <c r="J35" s="548"/>
      <c r="K35" s="549">
        <v>0</v>
      </c>
      <c r="L35" s="549">
        <v>0</v>
      </c>
      <c r="M35" s="550"/>
      <c r="N35" s="550"/>
      <c r="O35" s="548">
        <v>0</v>
      </c>
      <c r="P35" s="549"/>
      <c r="Q35" s="549">
        <v>0</v>
      </c>
      <c r="R35" s="551"/>
      <c r="S35" s="547"/>
      <c r="T35" s="552">
        <v>50.55</v>
      </c>
      <c r="U35" s="547"/>
      <c r="V35" s="549"/>
      <c r="W35" s="549">
        <v>61518000</v>
      </c>
      <c r="X35" s="553"/>
      <c r="Y35" s="554"/>
      <c r="Z35" s="554"/>
      <c r="AA35" s="554"/>
      <c r="AB35" s="554"/>
      <c r="AC35" s="554"/>
      <c r="AD35" s="555"/>
      <c r="AE35" s="548">
        <f>SUBTOTAL(9,AE36:AE41)</f>
        <v>1</v>
      </c>
      <c r="AF35" s="556"/>
      <c r="AG35" s="556">
        <v>5000000</v>
      </c>
      <c r="AH35" s="549">
        <v>66518000</v>
      </c>
      <c r="AI35" s="545"/>
      <c r="AJ35" s="545"/>
    </row>
    <row r="36" spans="1:37" s="376" customFormat="1" ht="117.75" customHeight="1" outlineLevel="2" x14ac:dyDescent="0.3">
      <c r="A36" s="447">
        <v>1</v>
      </c>
      <c r="B36" s="558" t="s">
        <v>51</v>
      </c>
      <c r="C36" s="558"/>
      <c r="D36" s="560"/>
      <c r="E36" s="560"/>
      <c r="F36" s="558"/>
      <c r="G36" s="561"/>
      <c r="H36" s="546"/>
      <c r="I36" s="563" t="s">
        <v>25</v>
      </c>
      <c r="J36" s="563" t="s">
        <v>25</v>
      </c>
      <c r="K36" s="564" t="s">
        <v>25</v>
      </c>
      <c r="L36" s="564" t="s">
        <v>25</v>
      </c>
      <c r="M36" s="565"/>
      <c r="N36" s="565"/>
      <c r="O36" s="563"/>
      <c r="P36" s="564" t="s">
        <v>25</v>
      </c>
      <c r="Q36" s="564" t="s">
        <v>25</v>
      </c>
      <c r="R36" s="566" t="s">
        <v>1763</v>
      </c>
      <c r="S36" s="562" t="s">
        <v>53</v>
      </c>
      <c r="T36" s="567">
        <v>15.3</v>
      </c>
      <c r="U36" s="562"/>
      <c r="V36" s="564">
        <v>3550600</v>
      </c>
      <c r="W36" s="564">
        <v>54324000</v>
      </c>
      <c r="X36" s="562" t="s">
        <v>54</v>
      </c>
      <c r="Y36" s="568" t="s">
        <v>55</v>
      </c>
      <c r="Z36" s="568" t="s">
        <v>56</v>
      </c>
      <c r="AA36" s="568" t="s">
        <v>57</v>
      </c>
      <c r="AB36" s="568" t="s">
        <v>54</v>
      </c>
      <c r="AC36" s="568" t="s">
        <v>414</v>
      </c>
      <c r="AD36" s="569" t="s">
        <v>2137</v>
      </c>
      <c r="AE36" s="563">
        <v>1</v>
      </c>
      <c r="AF36" s="570">
        <v>5000000</v>
      </c>
      <c r="AG36" s="570">
        <v>5000000</v>
      </c>
      <c r="AH36" s="571" t="s">
        <v>25</v>
      </c>
      <c r="AI36" s="558" t="s">
        <v>2452</v>
      </c>
      <c r="AJ36" s="558" t="s">
        <v>2450</v>
      </c>
    </row>
    <row r="37" spans="1:37" s="376" customFormat="1" ht="112.5" customHeight="1" outlineLevel="2" x14ac:dyDescent="0.3">
      <c r="A37" s="447">
        <v>1</v>
      </c>
      <c r="B37" s="572" t="s">
        <v>625</v>
      </c>
      <c r="C37" s="572"/>
      <c r="D37" s="560"/>
      <c r="E37" s="560"/>
      <c r="F37" s="558"/>
      <c r="G37" s="573"/>
      <c r="H37" s="546"/>
      <c r="I37" s="563" t="s">
        <v>25</v>
      </c>
      <c r="J37" s="563" t="s">
        <v>25</v>
      </c>
      <c r="K37" s="564" t="s">
        <v>25</v>
      </c>
      <c r="L37" s="564" t="s">
        <v>25</v>
      </c>
      <c r="M37" s="558"/>
      <c r="N37" s="558"/>
      <c r="O37" s="563"/>
      <c r="P37" s="564" t="s">
        <v>25</v>
      </c>
      <c r="Q37" s="564" t="s">
        <v>25</v>
      </c>
      <c r="R37" s="566" t="s">
        <v>1767</v>
      </c>
      <c r="S37" s="562" t="s">
        <v>53</v>
      </c>
      <c r="T37" s="567">
        <v>5.85</v>
      </c>
      <c r="U37" s="562"/>
      <c r="V37" s="564">
        <v>0</v>
      </c>
      <c r="W37" s="564">
        <v>0</v>
      </c>
      <c r="X37" s="562"/>
      <c r="Y37" s="568"/>
      <c r="Z37" s="568"/>
      <c r="AA37" s="568"/>
      <c r="AB37" s="568"/>
      <c r="AC37" s="568"/>
      <c r="AD37" s="568"/>
      <c r="AE37" s="563"/>
      <c r="AF37" s="570" t="s">
        <v>2899</v>
      </c>
      <c r="AG37" s="570" t="s">
        <v>25</v>
      </c>
      <c r="AH37" s="571" t="s">
        <v>25</v>
      </c>
      <c r="AI37" s="574" t="s">
        <v>415</v>
      </c>
      <c r="AJ37" s="558" t="s">
        <v>2447</v>
      </c>
    </row>
    <row r="38" spans="1:37" s="376" customFormat="1" ht="121.5" customHeight="1" outlineLevel="2" x14ac:dyDescent="0.3">
      <c r="A38" s="447">
        <v>1</v>
      </c>
      <c r="B38" s="558" t="s">
        <v>295</v>
      </c>
      <c r="C38" s="558"/>
      <c r="D38" s="560"/>
      <c r="E38" s="560"/>
      <c r="F38" s="558"/>
      <c r="G38" s="573"/>
      <c r="H38" s="546"/>
      <c r="I38" s="563" t="s">
        <v>25</v>
      </c>
      <c r="J38" s="563" t="s">
        <v>25</v>
      </c>
      <c r="K38" s="564" t="s">
        <v>25</v>
      </c>
      <c r="L38" s="564" t="s">
        <v>25</v>
      </c>
      <c r="M38" s="558"/>
      <c r="N38" s="558"/>
      <c r="O38" s="563"/>
      <c r="P38" s="564" t="s">
        <v>25</v>
      </c>
      <c r="Q38" s="564" t="s">
        <v>25</v>
      </c>
      <c r="R38" s="566" t="s">
        <v>1768</v>
      </c>
      <c r="S38" s="562" t="s">
        <v>53</v>
      </c>
      <c r="T38" s="567">
        <v>14.1</v>
      </c>
      <c r="U38" s="562"/>
      <c r="V38" s="564">
        <v>238288</v>
      </c>
      <c r="W38" s="564">
        <v>3360000</v>
      </c>
      <c r="X38" s="562"/>
      <c r="Y38" s="568"/>
      <c r="Z38" s="568"/>
      <c r="AA38" s="568"/>
      <c r="AB38" s="568"/>
      <c r="AC38" s="568"/>
      <c r="AD38" s="568"/>
      <c r="AE38" s="563"/>
      <c r="AF38" s="570" t="s">
        <v>2899</v>
      </c>
      <c r="AG38" s="570" t="s">
        <v>25</v>
      </c>
      <c r="AH38" s="571" t="s">
        <v>25</v>
      </c>
      <c r="AI38" s="575"/>
      <c r="AJ38" s="558" t="s">
        <v>2800</v>
      </c>
    </row>
    <row r="39" spans="1:37" s="376" customFormat="1" ht="60" customHeight="1" outlineLevel="2" x14ac:dyDescent="0.3">
      <c r="A39" s="447">
        <v>1</v>
      </c>
      <c r="B39" s="558"/>
      <c r="C39" s="558"/>
      <c r="D39" s="560"/>
      <c r="E39" s="560"/>
      <c r="F39" s="558"/>
      <c r="G39" s="573"/>
      <c r="H39" s="546"/>
      <c r="I39" s="563" t="s">
        <v>25</v>
      </c>
      <c r="J39" s="563" t="s">
        <v>25</v>
      </c>
      <c r="K39" s="564" t="s">
        <v>25</v>
      </c>
      <c r="L39" s="564" t="s">
        <v>25</v>
      </c>
      <c r="M39" s="558"/>
      <c r="N39" s="558"/>
      <c r="O39" s="563"/>
      <c r="P39" s="564" t="s">
        <v>25</v>
      </c>
      <c r="Q39" s="564" t="s">
        <v>25</v>
      </c>
      <c r="R39" s="566" t="s">
        <v>1826</v>
      </c>
      <c r="S39" s="562" t="s">
        <v>53</v>
      </c>
      <c r="T39" s="567">
        <v>15.3</v>
      </c>
      <c r="U39" s="562"/>
      <c r="V39" s="564">
        <v>250583</v>
      </c>
      <c r="W39" s="564">
        <v>3834000</v>
      </c>
      <c r="X39" s="562"/>
      <c r="Y39" s="568"/>
      <c r="Z39" s="568"/>
      <c r="AA39" s="568"/>
      <c r="AB39" s="568"/>
      <c r="AC39" s="568"/>
      <c r="AD39" s="568"/>
      <c r="AE39" s="563"/>
      <c r="AF39" s="570" t="s">
        <v>2899</v>
      </c>
      <c r="AG39" s="570" t="s">
        <v>25</v>
      </c>
      <c r="AH39" s="571" t="s">
        <v>25</v>
      </c>
      <c r="AI39" s="575"/>
      <c r="AJ39" s="574"/>
      <c r="AK39" s="373"/>
    </row>
    <row r="40" spans="1:37" s="376" customFormat="1" ht="20.25" outlineLevel="2" x14ac:dyDescent="0.3">
      <c r="A40" s="447">
        <v>1</v>
      </c>
      <c r="B40" s="558"/>
      <c r="C40" s="558"/>
      <c r="D40" s="560"/>
      <c r="E40" s="560"/>
      <c r="F40" s="558"/>
      <c r="G40" s="573"/>
      <c r="H40" s="546"/>
      <c r="I40" s="563" t="s">
        <v>25</v>
      </c>
      <c r="J40" s="563" t="s">
        <v>25</v>
      </c>
      <c r="K40" s="564" t="s">
        <v>25</v>
      </c>
      <c r="L40" s="564" t="s">
        <v>25</v>
      </c>
      <c r="M40" s="558"/>
      <c r="N40" s="558"/>
      <c r="O40" s="563"/>
      <c r="P40" s="564"/>
      <c r="Q40" s="564"/>
      <c r="R40" s="566"/>
      <c r="S40" s="562"/>
      <c r="T40" s="567"/>
      <c r="U40" s="562"/>
      <c r="V40" s="564" t="s">
        <v>2899</v>
      </c>
      <c r="W40" s="564" t="s">
        <v>25</v>
      </c>
      <c r="X40" s="562"/>
      <c r="Y40" s="568"/>
      <c r="Z40" s="568"/>
      <c r="AA40" s="568"/>
      <c r="AB40" s="568"/>
      <c r="AC40" s="568"/>
      <c r="AD40" s="568"/>
      <c r="AE40" s="563"/>
      <c r="AF40" s="570" t="s">
        <v>2899</v>
      </c>
      <c r="AG40" s="570"/>
      <c r="AH40" s="571" t="s">
        <v>25</v>
      </c>
      <c r="AI40" s="574"/>
      <c r="AJ40" s="574"/>
      <c r="AK40" s="373"/>
    </row>
    <row r="41" spans="1:37" s="376" customFormat="1" ht="20.25" outlineLevel="2" x14ac:dyDescent="0.3">
      <c r="A41" s="447">
        <v>1</v>
      </c>
      <c r="B41" s="574"/>
      <c r="C41" s="574"/>
      <c r="D41" s="560"/>
      <c r="E41" s="560"/>
      <c r="F41" s="558"/>
      <c r="G41" s="573"/>
      <c r="H41" s="546"/>
      <c r="I41" s="563" t="s">
        <v>25</v>
      </c>
      <c r="J41" s="563" t="s">
        <v>25</v>
      </c>
      <c r="K41" s="564" t="s">
        <v>25</v>
      </c>
      <c r="L41" s="564" t="s">
        <v>25</v>
      </c>
      <c r="M41" s="558"/>
      <c r="N41" s="558"/>
      <c r="O41" s="563"/>
      <c r="P41" s="564"/>
      <c r="Q41" s="564"/>
      <c r="R41" s="566"/>
      <c r="S41" s="562"/>
      <c r="T41" s="567"/>
      <c r="U41" s="562"/>
      <c r="V41" s="564" t="s">
        <v>2899</v>
      </c>
      <c r="W41" s="564" t="s">
        <v>25</v>
      </c>
      <c r="X41" s="562"/>
      <c r="Y41" s="568"/>
      <c r="Z41" s="568"/>
      <c r="AA41" s="568"/>
      <c r="AB41" s="568"/>
      <c r="AC41" s="568"/>
      <c r="AD41" s="568"/>
      <c r="AE41" s="563"/>
      <c r="AF41" s="570" t="s">
        <v>2899</v>
      </c>
      <c r="AG41" s="570"/>
      <c r="AH41" s="571" t="s">
        <v>25</v>
      </c>
      <c r="AI41" s="574"/>
      <c r="AJ41" s="574"/>
      <c r="AK41" s="373"/>
    </row>
    <row r="42" spans="1:37" s="376" customFormat="1" ht="70.5" customHeight="1" outlineLevel="1" x14ac:dyDescent="0.25">
      <c r="A42" s="467">
        <v>2</v>
      </c>
      <c r="B42" s="574" t="s">
        <v>59</v>
      </c>
      <c r="C42" s="773" t="s">
        <v>2902</v>
      </c>
      <c r="D42" s="577"/>
      <c r="E42" s="577"/>
      <c r="F42" s="578"/>
      <c r="G42" s="579">
        <v>25.9</v>
      </c>
      <c r="H42" s="579">
        <v>0</v>
      </c>
      <c r="I42" s="581"/>
      <c r="J42" s="581"/>
      <c r="K42" s="571">
        <v>14359000</v>
      </c>
      <c r="L42" s="571">
        <v>0</v>
      </c>
      <c r="M42" s="574"/>
      <c r="N42" s="574"/>
      <c r="O42" s="581">
        <v>0</v>
      </c>
      <c r="P42" s="571"/>
      <c r="Q42" s="571">
        <v>0</v>
      </c>
      <c r="R42" s="582"/>
      <c r="S42" s="580"/>
      <c r="T42" s="583">
        <v>0</v>
      </c>
      <c r="U42" s="580"/>
      <c r="V42" s="571"/>
      <c r="W42" s="571">
        <v>0</v>
      </c>
      <c r="X42" s="562"/>
      <c r="Y42" s="568"/>
      <c r="Z42" s="568"/>
      <c r="AA42" s="568"/>
      <c r="AB42" s="568"/>
      <c r="AC42" s="568"/>
      <c r="AD42" s="584"/>
      <c r="AE42" s="581">
        <f>SUBTOTAL(9,AE43:AE48)</f>
        <v>0</v>
      </c>
      <c r="AF42" s="585"/>
      <c r="AG42" s="585">
        <v>0</v>
      </c>
      <c r="AH42" s="571">
        <v>14359000</v>
      </c>
      <c r="AI42" s="574"/>
      <c r="AJ42" s="574"/>
      <c r="AK42" s="373"/>
    </row>
    <row r="43" spans="1:37" s="376" customFormat="1" ht="249" customHeight="1" outlineLevel="2" x14ac:dyDescent="0.3">
      <c r="A43" s="447">
        <v>2</v>
      </c>
      <c r="B43" s="558" t="s">
        <v>60</v>
      </c>
      <c r="C43" s="558"/>
      <c r="D43" s="560"/>
      <c r="E43" s="560"/>
      <c r="F43" s="586" t="s">
        <v>2061</v>
      </c>
      <c r="G43" s="573">
        <v>25.9</v>
      </c>
      <c r="H43" s="546" t="s">
        <v>2899</v>
      </c>
      <c r="I43" s="563">
        <v>554400</v>
      </c>
      <c r="J43" s="563">
        <v>0</v>
      </c>
      <c r="K43" s="564">
        <v>14359000</v>
      </c>
      <c r="L43" s="564">
        <v>0</v>
      </c>
      <c r="M43" s="558"/>
      <c r="N43" s="558"/>
      <c r="O43" s="563"/>
      <c r="P43" s="564"/>
      <c r="Q43" s="564"/>
      <c r="R43" s="566"/>
      <c r="S43" s="562"/>
      <c r="T43" s="567"/>
      <c r="U43" s="562"/>
      <c r="V43" s="564" t="s">
        <v>2899</v>
      </c>
      <c r="W43" s="564" t="s">
        <v>25</v>
      </c>
      <c r="X43" s="562"/>
      <c r="Y43" s="568"/>
      <c r="Z43" s="568"/>
      <c r="AA43" s="568"/>
      <c r="AB43" s="568"/>
      <c r="AC43" s="568"/>
      <c r="AD43" s="568"/>
      <c r="AE43" s="563"/>
      <c r="AF43" s="570" t="s">
        <v>2899</v>
      </c>
      <c r="AG43" s="570"/>
      <c r="AH43" s="571" t="s">
        <v>25</v>
      </c>
      <c r="AI43" s="558" t="s">
        <v>2184</v>
      </c>
      <c r="AJ43" s="558" t="s">
        <v>2771</v>
      </c>
      <c r="AK43" s="373"/>
    </row>
    <row r="44" spans="1:37" s="376" customFormat="1" ht="135" customHeight="1" outlineLevel="2" x14ac:dyDescent="0.3">
      <c r="A44" s="447">
        <v>2</v>
      </c>
      <c r="B44" s="572" t="s">
        <v>627</v>
      </c>
      <c r="C44" s="572"/>
      <c r="D44" s="560"/>
      <c r="E44" s="560"/>
      <c r="F44" s="586"/>
      <c r="G44" s="573"/>
      <c r="H44" s="546"/>
      <c r="I44" s="563" t="s">
        <v>25</v>
      </c>
      <c r="J44" s="563" t="s">
        <v>25</v>
      </c>
      <c r="K44" s="564" t="s">
        <v>25</v>
      </c>
      <c r="L44" s="564" t="s">
        <v>25</v>
      </c>
      <c r="M44" s="558"/>
      <c r="N44" s="558"/>
      <c r="O44" s="563"/>
      <c r="P44" s="564"/>
      <c r="Q44" s="564"/>
      <c r="R44" s="566"/>
      <c r="S44" s="562"/>
      <c r="T44" s="567"/>
      <c r="U44" s="562"/>
      <c r="V44" s="564" t="s">
        <v>2899</v>
      </c>
      <c r="W44" s="564" t="s">
        <v>25</v>
      </c>
      <c r="X44" s="562"/>
      <c r="Y44" s="568"/>
      <c r="Z44" s="568"/>
      <c r="AA44" s="568"/>
      <c r="AB44" s="568"/>
      <c r="AC44" s="568"/>
      <c r="AD44" s="568"/>
      <c r="AE44" s="563"/>
      <c r="AF44" s="570" t="s">
        <v>2899</v>
      </c>
      <c r="AG44" s="570"/>
      <c r="AH44" s="571" t="s">
        <v>25</v>
      </c>
      <c r="AI44" s="574"/>
      <c r="AJ44" s="574"/>
      <c r="AK44" s="373"/>
    </row>
    <row r="45" spans="1:37" s="376" customFormat="1" ht="40.5" outlineLevel="2" x14ac:dyDescent="0.3">
      <c r="A45" s="447">
        <v>2</v>
      </c>
      <c r="B45" s="558" t="s">
        <v>306</v>
      </c>
      <c r="C45" s="558"/>
      <c r="D45" s="560"/>
      <c r="E45" s="560"/>
      <c r="F45" s="558"/>
      <c r="G45" s="573"/>
      <c r="H45" s="546"/>
      <c r="I45" s="563" t="s">
        <v>25</v>
      </c>
      <c r="J45" s="563" t="s">
        <v>25</v>
      </c>
      <c r="K45" s="564" t="s">
        <v>25</v>
      </c>
      <c r="L45" s="564" t="s">
        <v>25</v>
      </c>
      <c r="M45" s="558"/>
      <c r="N45" s="558"/>
      <c r="O45" s="563"/>
      <c r="P45" s="564"/>
      <c r="Q45" s="564"/>
      <c r="R45" s="566"/>
      <c r="S45" s="562"/>
      <c r="T45" s="567"/>
      <c r="U45" s="562"/>
      <c r="V45" s="564" t="s">
        <v>2899</v>
      </c>
      <c r="W45" s="564" t="s">
        <v>25</v>
      </c>
      <c r="X45" s="562"/>
      <c r="Y45" s="568"/>
      <c r="Z45" s="568"/>
      <c r="AA45" s="568"/>
      <c r="AB45" s="568"/>
      <c r="AC45" s="568"/>
      <c r="AD45" s="568"/>
      <c r="AE45" s="563"/>
      <c r="AF45" s="570" t="s">
        <v>2899</v>
      </c>
      <c r="AG45" s="570"/>
      <c r="AH45" s="571" t="s">
        <v>25</v>
      </c>
      <c r="AI45" s="574"/>
      <c r="AJ45" s="574"/>
      <c r="AK45" s="373"/>
    </row>
    <row r="46" spans="1:37" s="376" customFormat="1" ht="20.25" outlineLevel="2" x14ac:dyDescent="0.3">
      <c r="A46" s="447">
        <v>2</v>
      </c>
      <c r="B46" s="558"/>
      <c r="C46" s="558"/>
      <c r="D46" s="560"/>
      <c r="E46" s="560"/>
      <c r="F46" s="558"/>
      <c r="G46" s="573"/>
      <c r="H46" s="546"/>
      <c r="I46" s="563" t="s">
        <v>25</v>
      </c>
      <c r="J46" s="563" t="s">
        <v>25</v>
      </c>
      <c r="K46" s="564" t="s">
        <v>25</v>
      </c>
      <c r="L46" s="564" t="s">
        <v>25</v>
      </c>
      <c r="M46" s="558"/>
      <c r="N46" s="558"/>
      <c r="O46" s="563"/>
      <c r="P46" s="564"/>
      <c r="Q46" s="564"/>
      <c r="R46" s="566"/>
      <c r="S46" s="562"/>
      <c r="T46" s="567"/>
      <c r="U46" s="562"/>
      <c r="V46" s="564" t="s">
        <v>2899</v>
      </c>
      <c r="W46" s="564" t="s">
        <v>25</v>
      </c>
      <c r="X46" s="562"/>
      <c r="Y46" s="568"/>
      <c r="Z46" s="568"/>
      <c r="AA46" s="568"/>
      <c r="AB46" s="568"/>
      <c r="AC46" s="568"/>
      <c r="AD46" s="568"/>
      <c r="AE46" s="563"/>
      <c r="AF46" s="570" t="s">
        <v>2899</v>
      </c>
      <c r="AG46" s="570"/>
      <c r="AH46" s="571" t="s">
        <v>25</v>
      </c>
      <c r="AI46" s="574"/>
      <c r="AJ46" s="574"/>
      <c r="AK46" s="373"/>
    </row>
    <row r="47" spans="1:37" s="376" customFormat="1" ht="20.25" outlineLevel="2" x14ac:dyDescent="0.3">
      <c r="A47" s="447">
        <v>2</v>
      </c>
      <c r="B47" s="558"/>
      <c r="C47" s="558"/>
      <c r="D47" s="587"/>
      <c r="E47" s="560"/>
      <c r="F47" s="558"/>
      <c r="G47" s="588"/>
      <c r="H47" s="546"/>
      <c r="I47" s="563" t="s">
        <v>25</v>
      </c>
      <c r="J47" s="563" t="s">
        <v>25</v>
      </c>
      <c r="K47" s="564" t="s">
        <v>25</v>
      </c>
      <c r="L47" s="564" t="s">
        <v>25</v>
      </c>
      <c r="M47" s="558"/>
      <c r="N47" s="558"/>
      <c r="O47" s="590"/>
      <c r="P47" s="564" t="s">
        <v>25</v>
      </c>
      <c r="Q47" s="564" t="s">
        <v>25</v>
      </c>
      <c r="R47" s="566"/>
      <c r="S47" s="589"/>
      <c r="T47" s="591"/>
      <c r="U47" s="589"/>
      <c r="V47" s="564" t="s">
        <v>2899</v>
      </c>
      <c r="W47" s="564" t="s">
        <v>25</v>
      </c>
      <c r="X47" s="589"/>
      <c r="Y47" s="592"/>
      <c r="Z47" s="592"/>
      <c r="AA47" s="568"/>
      <c r="AB47" s="592"/>
      <c r="AC47" s="592"/>
      <c r="AD47" s="592"/>
      <c r="AE47" s="590"/>
      <c r="AF47" s="570" t="s">
        <v>2899</v>
      </c>
      <c r="AG47" s="570" t="s">
        <v>25</v>
      </c>
      <c r="AH47" s="571" t="s">
        <v>25</v>
      </c>
      <c r="AI47" s="593"/>
      <c r="AJ47" s="593"/>
    </row>
    <row r="48" spans="1:37" s="376" customFormat="1" ht="20.25" outlineLevel="2" x14ac:dyDescent="0.3">
      <c r="A48" s="447">
        <v>2</v>
      </c>
      <c r="B48" s="574"/>
      <c r="C48" s="574"/>
      <c r="D48" s="587"/>
      <c r="E48" s="560"/>
      <c r="F48" s="558"/>
      <c r="G48" s="588"/>
      <c r="H48" s="546"/>
      <c r="I48" s="563" t="s">
        <v>25</v>
      </c>
      <c r="J48" s="563" t="s">
        <v>25</v>
      </c>
      <c r="K48" s="564" t="s">
        <v>25</v>
      </c>
      <c r="L48" s="564" t="s">
        <v>25</v>
      </c>
      <c r="M48" s="558"/>
      <c r="N48" s="558"/>
      <c r="O48" s="590"/>
      <c r="P48" s="564" t="s">
        <v>25</v>
      </c>
      <c r="Q48" s="564" t="s">
        <v>25</v>
      </c>
      <c r="R48" s="566"/>
      <c r="S48" s="589"/>
      <c r="T48" s="591"/>
      <c r="U48" s="589"/>
      <c r="V48" s="564" t="s">
        <v>2899</v>
      </c>
      <c r="W48" s="564" t="s">
        <v>25</v>
      </c>
      <c r="X48" s="589"/>
      <c r="Y48" s="592"/>
      <c r="Z48" s="592"/>
      <c r="AA48" s="568"/>
      <c r="AB48" s="592"/>
      <c r="AC48" s="592"/>
      <c r="AD48" s="592"/>
      <c r="AE48" s="590"/>
      <c r="AF48" s="570" t="s">
        <v>2899</v>
      </c>
      <c r="AG48" s="570" t="s">
        <v>25</v>
      </c>
      <c r="AH48" s="571" t="s">
        <v>25</v>
      </c>
      <c r="AI48" s="593"/>
      <c r="AJ48" s="593"/>
    </row>
    <row r="49" spans="1:36" s="376" customFormat="1" ht="40.5" outlineLevel="1" x14ac:dyDescent="0.25">
      <c r="A49" s="467">
        <v>4</v>
      </c>
      <c r="B49" s="574" t="s">
        <v>59</v>
      </c>
      <c r="C49" s="773" t="s">
        <v>2902</v>
      </c>
      <c r="D49" s="587">
        <v>85</v>
      </c>
      <c r="E49" s="560">
        <v>37</v>
      </c>
      <c r="F49" s="578"/>
      <c r="G49" s="618">
        <v>35.700000000000003</v>
      </c>
      <c r="H49" s="579">
        <v>0</v>
      </c>
      <c r="I49" s="581"/>
      <c r="J49" s="581"/>
      <c r="K49" s="571">
        <v>48927000</v>
      </c>
      <c r="L49" s="571">
        <v>0</v>
      </c>
      <c r="M49" s="608"/>
      <c r="N49" s="608"/>
      <c r="O49" s="619">
        <v>0</v>
      </c>
      <c r="P49" s="571"/>
      <c r="Q49" s="571">
        <v>0</v>
      </c>
      <c r="R49" s="608"/>
      <c r="S49" s="608"/>
      <c r="T49" s="620">
        <v>0</v>
      </c>
      <c r="U49" s="597"/>
      <c r="V49" s="571"/>
      <c r="W49" s="571">
        <v>0</v>
      </c>
      <c r="X49" s="589"/>
      <c r="Y49" s="589"/>
      <c r="Z49" s="589"/>
      <c r="AA49" s="562"/>
      <c r="AB49" s="589"/>
      <c r="AC49" s="592"/>
      <c r="AD49" s="601"/>
      <c r="AE49" s="599">
        <f>SUBTOTAL(9,AE50:AE57)</f>
        <v>0</v>
      </c>
      <c r="AF49" s="585"/>
      <c r="AG49" s="585">
        <v>0</v>
      </c>
      <c r="AH49" s="571">
        <v>48927000</v>
      </c>
      <c r="AI49" s="574"/>
      <c r="AJ49" s="578"/>
    </row>
    <row r="50" spans="1:36" s="376" customFormat="1" ht="268.5" customHeight="1" outlineLevel="2" x14ac:dyDescent="0.3">
      <c r="A50" s="447">
        <v>4</v>
      </c>
      <c r="B50" s="558" t="s">
        <v>60</v>
      </c>
      <c r="C50" s="558"/>
      <c r="D50" s="587">
        <v>85</v>
      </c>
      <c r="E50" s="560">
        <v>37</v>
      </c>
      <c r="F50" s="586" t="s">
        <v>2032</v>
      </c>
      <c r="G50" s="588">
        <v>2.6</v>
      </c>
      <c r="H50" s="546" t="s">
        <v>2899</v>
      </c>
      <c r="I50" s="563">
        <v>11760000</v>
      </c>
      <c r="J50" s="563">
        <v>0</v>
      </c>
      <c r="K50" s="564">
        <v>30576000</v>
      </c>
      <c r="L50" s="564">
        <v>0</v>
      </c>
      <c r="M50" s="593"/>
      <c r="N50" s="593"/>
      <c r="O50" s="616"/>
      <c r="P50" s="564"/>
      <c r="Q50" s="564"/>
      <c r="R50" s="593"/>
      <c r="S50" s="593"/>
      <c r="T50" s="617"/>
      <c r="U50" s="589"/>
      <c r="V50" s="564" t="s">
        <v>2899</v>
      </c>
      <c r="W50" s="564" t="s">
        <v>25</v>
      </c>
      <c r="X50" s="589"/>
      <c r="Y50" s="589"/>
      <c r="Z50" s="589"/>
      <c r="AA50" s="562"/>
      <c r="AB50" s="589"/>
      <c r="AC50" s="592"/>
      <c r="AD50" s="592"/>
      <c r="AE50" s="590"/>
      <c r="AF50" s="570" t="s">
        <v>2899</v>
      </c>
      <c r="AG50" s="570"/>
      <c r="AH50" s="571" t="s">
        <v>25</v>
      </c>
      <c r="AI50" s="558" t="s">
        <v>2185</v>
      </c>
      <c r="AJ50" s="586" t="s">
        <v>2771</v>
      </c>
    </row>
    <row r="51" spans="1:36" s="376" customFormat="1" ht="121.5" outlineLevel="2" x14ac:dyDescent="0.3">
      <c r="A51" s="447">
        <v>4</v>
      </c>
      <c r="B51" s="572" t="s">
        <v>627</v>
      </c>
      <c r="C51" s="572"/>
      <c r="D51" s="587"/>
      <c r="E51" s="615"/>
      <c r="F51" s="586" t="s">
        <v>2183</v>
      </c>
      <c r="G51" s="588">
        <v>33.1</v>
      </c>
      <c r="H51" s="546" t="s">
        <v>2899</v>
      </c>
      <c r="I51" s="563">
        <v>554400</v>
      </c>
      <c r="J51" s="563">
        <v>0</v>
      </c>
      <c r="K51" s="564">
        <v>18351000</v>
      </c>
      <c r="L51" s="564">
        <v>0</v>
      </c>
      <c r="M51" s="593"/>
      <c r="N51" s="593"/>
      <c r="O51" s="616"/>
      <c r="P51" s="564"/>
      <c r="Q51" s="564"/>
      <c r="R51" s="593"/>
      <c r="S51" s="593"/>
      <c r="T51" s="617"/>
      <c r="U51" s="589"/>
      <c r="V51" s="564" t="s">
        <v>2899</v>
      </c>
      <c r="W51" s="564" t="s">
        <v>25</v>
      </c>
      <c r="X51" s="589"/>
      <c r="Y51" s="589"/>
      <c r="Z51" s="589"/>
      <c r="AA51" s="562"/>
      <c r="AB51" s="589"/>
      <c r="AC51" s="592"/>
      <c r="AD51" s="592"/>
      <c r="AE51" s="590"/>
      <c r="AF51" s="570" t="s">
        <v>2899</v>
      </c>
      <c r="AG51" s="570"/>
      <c r="AH51" s="571" t="s">
        <v>25</v>
      </c>
      <c r="AI51" s="593"/>
      <c r="AJ51" s="605"/>
    </row>
    <row r="52" spans="1:36" s="376" customFormat="1" ht="48" customHeight="1" outlineLevel="2" x14ac:dyDescent="0.3">
      <c r="A52" s="447">
        <v>4</v>
      </c>
      <c r="B52" s="558" t="s">
        <v>306</v>
      </c>
      <c r="C52" s="558"/>
      <c r="D52" s="587"/>
      <c r="E52" s="615"/>
      <c r="F52" s="558"/>
      <c r="G52" s="604"/>
      <c r="H52" s="546"/>
      <c r="I52" s="563" t="s">
        <v>25</v>
      </c>
      <c r="J52" s="563" t="s">
        <v>25</v>
      </c>
      <c r="K52" s="564" t="s">
        <v>25</v>
      </c>
      <c r="L52" s="564" t="s">
        <v>25</v>
      </c>
      <c r="M52" s="593"/>
      <c r="N52" s="593"/>
      <c r="O52" s="616"/>
      <c r="P52" s="564"/>
      <c r="Q52" s="564"/>
      <c r="R52" s="593"/>
      <c r="S52" s="593"/>
      <c r="T52" s="617"/>
      <c r="U52" s="589"/>
      <c r="V52" s="564" t="s">
        <v>2899</v>
      </c>
      <c r="W52" s="564" t="s">
        <v>25</v>
      </c>
      <c r="X52" s="589"/>
      <c r="Y52" s="589"/>
      <c r="Z52" s="589"/>
      <c r="AA52" s="562"/>
      <c r="AB52" s="589"/>
      <c r="AC52" s="592"/>
      <c r="AD52" s="592"/>
      <c r="AE52" s="590"/>
      <c r="AF52" s="570" t="s">
        <v>2899</v>
      </c>
      <c r="AG52" s="570"/>
      <c r="AH52" s="571" t="s">
        <v>25</v>
      </c>
      <c r="AI52" s="593"/>
      <c r="AJ52" s="558"/>
    </row>
    <row r="53" spans="1:36" s="376" customFormat="1" ht="20.25" outlineLevel="2" x14ac:dyDescent="0.3">
      <c r="A53" s="447">
        <v>4</v>
      </c>
      <c r="B53" s="574"/>
      <c r="C53" s="574"/>
      <c r="D53" s="587"/>
      <c r="E53" s="560"/>
      <c r="F53" s="558"/>
      <c r="G53" s="604"/>
      <c r="H53" s="546"/>
      <c r="I53" s="563" t="s">
        <v>25</v>
      </c>
      <c r="J53" s="563" t="s">
        <v>25</v>
      </c>
      <c r="K53" s="564" t="s">
        <v>25</v>
      </c>
      <c r="L53" s="564" t="s">
        <v>25</v>
      </c>
      <c r="M53" s="593"/>
      <c r="N53" s="593"/>
      <c r="O53" s="616"/>
      <c r="P53" s="564"/>
      <c r="Q53" s="564"/>
      <c r="R53" s="593"/>
      <c r="S53" s="593"/>
      <c r="T53" s="617"/>
      <c r="U53" s="589"/>
      <c r="V53" s="564" t="s">
        <v>2899</v>
      </c>
      <c r="W53" s="564" t="s">
        <v>25</v>
      </c>
      <c r="X53" s="589"/>
      <c r="Y53" s="589"/>
      <c r="Z53" s="589"/>
      <c r="AA53" s="562"/>
      <c r="AB53" s="589"/>
      <c r="AC53" s="592"/>
      <c r="AD53" s="592"/>
      <c r="AE53" s="590"/>
      <c r="AF53" s="570" t="s">
        <v>2899</v>
      </c>
      <c r="AG53" s="570"/>
      <c r="AH53" s="571" t="s">
        <v>25</v>
      </c>
      <c r="AI53" s="593"/>
      <c r="AJ53" s="558"/>
    </row>
    <row r="54" spans="1:36" s="376" customFormat="1" ht="20.25" outlineLevel="2" x14ac:dyDescent="0.3">
      <c r="A54" s="447">
        <v>4</v>
      </c>
      <c r="B54" s="574"/>
      <c r="C54" s="574"/>
      <c r="D54" s="587"/>
      <c r="E54" s="560"/>
      <c r="F54" s="558"/>
      <c r="G54" s="588"/>
      <c r="H54" s="546"/>
      <c r="I54" s="563" t="s">
        <v>25</v>
      </c>
      <c r="J54" s="563" t="s">
        <v>25</v>
      </c>
      <c r="K54" s="564" t="s">
        <v>25</v>
      </c>
      <c r="L54" s="564" t="s">
        <v>25</v>
      </c>
      <c r="M54" s="586"/>
      <c r="N54" s="586"/>
      <c r="O54" s="590"/>
      <c r="P54" s="564" t="s">
        <v>25</v>
      </c>
      <c r="Q54" s="564" t="s">
        <v>25</v>
      </c>
      <c r="R54" s="586"/>
      <c r="S54" s="609"/>
      <c r="T54" s="591"/>
      <c r="U54" s="611"/>
      <c r="V54" s="564" t="s">
        <v>2899</v>
      </c>
      <c r="W54" s="564" t="s">
        <v>25</v>
      </c>
      <c r="X54" s="589"/>
      <c r="Y54" s="592"/>
      <c r="Z54" s="609"/>
      <c r="AA54" s="609"/>
      <c r="AB54" s="614"/>
      <c r="AC54" s="592"/>
      <c r="AD54" s="592"/>
      <c r="AE54" s="590"/>
      <c r="AF54" s="570" t="s">
        <v>2899</v>
      </c>
      <c r="AG54" s="570" t="s">
        <v>25</v>
      </c>
      <c r="AH54" s="571" t="s">
        <v>25</v>
      </c>
      <c r="AI54" s="593"/>
      <c r="AJ54" s="593"/>
    </row>
    <row r="55" spans="1:36" s="376" customFormat="1" ht="20.25" outlineLevel="2" x14ac:dyDescent="0.3">
      <c r="A55" s="447">
        <v>4</v>
      </c>
      <c r="B55" s="574"/>
      <c r="C55" s="574"/>
      <c r="D55" s="587"/>
      <c r="E55" s="560"/>
      <c r="F55" s="558"/>
      <c r="G55" s="588"/>
      <c r="H55" s="546"/>
      <c r="I55" s="563" t="s">
        <v>25</v>
      </c>
      <c r="J55" s="563" t="s">
        <v>25</v>
      </c>
      <c r="K55" s="564" t="s">
        <v>25</v>
      </c>
      <c r="L55" s="564" t="s">
        <v>25</v>
      </c>
      <c r="M55" s="586"/>
      <c r="N55" s="586"/>
      <c r="O55" s="590"/>
      <c r="P55" s="564" t="s">
        <v>25</v>
      </c>
      <c r="Q55" s="564" t="s">
        <v>25</v>
      </c>
      <c r="R55" s="586"/>
      <c r="S55" s="609"/>
      <c r="T55" s="591"/>
      <c r="U55" s="611"/>
      <c r="V55" s="564" t="s">
        <v>2899</v>
      </c>
      <c r="W55" s="564" t="s">
        <v>25</v>
      </c>
      <c r="X55" s="589"/>
      <c r="Y55" s="592"/>
      <c r="Z55" s="592"/>
      <c r="AA55" s="568"/>
      <c r="AB55" s="592"/>
      <c r="AC55" s="592"/>
      <c r="AD55" s="592"/>
      <c r="AE55" s="590"/>
      <c r="AF55" s="570" t="s">
        <v>2899</v>
      </c>
      <c r="AG55" s="570" t="s">
        <v>25</v>
      </c>
      <c r="AH55" s="571" t="s">
        <v>25</v>
      </c>
      <c r="AI55" s="593"/>
      <c r="AJ55" s="593"/>
    </row>
    <row r="56" spans="1:36" s="376" customFormat="1" ht="20.25" outlineLevel="2" x14ac:dyDescent="0.3">
      <c r="A56" s="447">
        <v>4</v>
      </c>
      <c r="B56" s="574"/>
      <c r="C56" s="574"/>
      <c r="D56" s="587"/>
      <c r="E56" s="560"/>
      <c r="F56" s="558"/>
      <c r="G56" s="588"/>
      <c r="H56" s="546"/>
      <c r="I56" s="563" t="s">
        <v>25</v>
      </c>
      <c r="J56" s="563" t="s">
        <v>25</v>
      </c>
      <c r="K56" s="564" t="s">
        <v>25</v>
      </c>
      <c r="L56" s="564" t="s">
        <v>25</v>
      </c>
      <c r="M56" s="586"/>
      <c r="N56" s="586"/>
      <c r="O56" s="590"/>
      <c r="P56" s="564"/>
      <c r="Q56" s="564"/>
      <c r="R56" s="586"/>
      <c r="S56" s="609"/>
      <c r="T56" s="591"/>
      <c r="U56" s="611"/>
      <c r="V56" s="564" t="s">
        <v>2899</v>
      </c>
      <c r="W56" s="564" t="s">
        <v>25</v>
      </c>
      <c r="X56" s="589"/>
      <c r="Y56" s="592"/>
      <c r="Z56" s="592"/>
      <c r="AA56" s="568"/>
      <c r="AB56" s="592"/>
      <c r="AC56" s="592"/>
      <c r="AD56" s="592"/>
      <c r="AE56" s="590"/>
      <c r="AF56" s="570" t="s">
        <v>2899</v>
      </c>
      <c r="AG56" s="570"/>
      <c r="AH56" s="571" t="s">
        <v>25</v>
      </c>
      <c r="AI56" s="593"/>
      <c r="AJ56" s="593"/>
    </row>
    <row r="57" spans="1:36" s="376" customFormat="1" ht="20.25" outlineLevel="2" x14ac:dyDescent="0.3">
      <c r="A57" s="447">
        <v>4</v>
      </c>
      <c r="B57" s="574"/>
      <c r="C57" s="574"/>
      <c r="D57" s="595"/>
      <c r="E57" s="577"/>
      <c r="F57" s="558"/>
      <c r="G57" s="588"/>
      <c r="H57" s="546"/>
      <c r="I57" s="563" t="s">
        <v>25</v>
      </c>
      <c r="J57" s="563" t="s">
        <v>25</v>
      </c>
      <c r="K57" s="564" t="s">
        <v>25</v>
      </c>
      <c r="L57" s="564" t="s">
        <v>25</v>
      </c>
      <c r="M57" s="586"/>
      <c r="N57" s="586"/>
      <c r="O57" s="590"/>
      <c r="P57" s="564"/>
      <c r="Q57" s="564"/>
      <c r="R57" s="586"/>
      <c r="S57" s="609"/>
      <c r="T57" s="591"/>
      <c r="U57" s="611"/>
      <c r="V57" s="564" t="s">
        <v>2899</v>
      </c>
      <c r="W57" s="564" t="s">
        <v>25</v>
      </c>
      <c r="X57" s="589"/>
      <c r="Y57" s="592"/>
      <c r="Z57" s="592"/>
      <c r="AA57" s="568"/>
      <c r="AB57" s="592"/>
      <c r="AC57" s="592"/>
      <c r="AD57" s="592"/>
      <c r="AE57" s="590"/>
      <c r="AF57" s="570" t="s">
        <v>2899</v>
      </c>
      <c r="AG57" s="570"/>
      <c r="AH57" s="571" t="s">
        <v>25</v>
      </c>
      <c r="AI57" s="593"/>
      <c r="AJ57" s="593"/>
    </row>
    <row r="58" spans="1:36" s="376" customFormat="1" ht="40.5" outlineLevel="1" x14ac:dyDescent="0.25">
      <c r="A58" s="467">
        <v>5</v>
      </c>
      <c r="B58" s="574" t="s">
        <v>59</v>
      </c>
      <c r="C58" s="773" t="s">
        <v>2902</v>
      </c>
      <c r="D58" s="587">
        <v>85</v>
      </c>
      <c r="E58" s="560">
        <v>37</v>
      </c>
      <c r="F58" s="578"/>
      <c r="G58" s="618">
        <v>35.6</v>
      </c>
      <c r="H58" s="579">
        <v>0</v>
      </c>
      <c r="I58" s="581"/>
      <c r="J58" s="581"/>
      <c r="K58" s="571">
        <v>19737000</v>
      </c>
      <c r="L58" s="571">
        <v>0</v>
      </c>
      <c r="M58" s="578"/>
      <c r="N58" s="578"/>
      <c r="O58" s="599">
        <v>0</v>
      </c>
      <c r="P58" s="571"/>
      <c r="Q58" s="571">
        <v>0</v>
      </c>
      <c r="R58" s="578"/>
      <c r="S58" s="621"/>
      <c r="T58" s="600">
        <v>0</v>
      </c>
      <c r="U58" s="622"/>
      <c r="V58" s="571"/>
      <c r="W58" s="571">
        <v>0</v>
      </c>
      <c r="X58" s="589"/>
      <c r="Y58" s="592"/>
      <c r="Z58" s="592"/>
      <c r="AA58" s="568"/>
      <c r="AB58" s="592"/>
      <c r="AC58" s="592"/>
      <c r="AD58" s="601"/>
      <c r="AE58" s="599">
        <f>SUBTOTAL(9,AE59:AE66)</f>
        <v>0</v>
      </c>
      <c r="AF58" s="585"/>
      <c r="AG58" s="585">
        <v>0</v>
      </c>
      <c r="AH58" s="571">
        <v>19737000</v>
      </c>
      <c r="AI58" s="574"/>
      <c r="AJ58" s="578"/>
    </row>
    <row r="59" spans="1:36" s="376" customFormat="1" ht="246" customHeight="1" outlineLevel="2" x14ac:dyDescent="0.3">
      <c r="A59" s="447">
        <v>5</v>
      </c>
      <c r="B59" s="558" t="s">
        <v>60</v>
      </c>
      <c r="C59" s="558"/>
      <c r="D59" s="587"/>
      <c r="E59" s="560"/>
      <c r="F59" s="586" t="s">
        <v>2183</v>
      </c>
      <c r="G59" s="588">
        <v>35.6</v>
      </c>
      <c r="H59" s="546" t="s">
        <v>2899</v>
      </c>
      <c r="I59" s="563">
        <v>554400</v>
      </c>
      <c r="J59" s="563">
        <v>0</v>
      </c>
      <c r="K59" s="564">
        <v>19737000</v>
      </c>
      <c r="L59" s="564">
        <v>0</v>
      </c>
      <c r="M59" s="586"/>
      <c r="N59" s="586"/>
      <c r="O59" s="590"/>
      <c r="P59" s="564"/>
      <c r="Q59" s="564"/>
      <c r="R59" s="586"/>
      <c r="S59" s="609"/>
      <c r="T59" s="591"/>
      <c r="U59" s="611"/>
      <c r="V59" s="564" t="s">
        <v>2899</v>
      </c>
      <c r="W59" s="564" t="s">
        <v>25</v>
      </c>
      <c r="X59" s="589"/>
      <c r="Y59" s="592"/>
      <c r="Z59" s="592"/>
      <c r="AA59" s="568"/>
      <c r="AB59" s="592"/>
      <c r="AC59" s="592"/>
      <c r="AD59" s="592"/>
      <c r="AE59" s="590"/>
      <c r="AF59" s="570" t="s">
        <v>2899</v>
      </c>
      <c r="AG59" s="570"/>
      <c r="AH59" s="571" t="s">
        <v>25</v>
      </c>
      <c r="AI59" s="558" t="s">
        <v>2186</v>
      </c>
      <c r="AJ59" s="586" t="s">
        <v>2771</v>
      </c>
    </row>
    <row r="60" spans="1:36" s="376" customFormat="1" ht="120" customHeight="1" outlineLevel="2" x14ac:dyDescent="0.3">
      <c r="A60" s="447">
        <v>5</v>
      </c>
      <c r="B60" s="572" t="s">
        <v>627</v>
      </c>
      <c r="C60" s="572"/>
      <c r="D60" s="587"/>
      <c r="E60" s="560"/>
      <c r="F60" s="558"/>
      <c r="G60" s="588"/>
      <c r="H60" s="546"/>
      <c r="I60" s="563" t="s">
        <v>25</v>
      </c>
      <c r="J60" s="563" t="s">
        <v>25</v>
      </c>
      <c r="K60" s="564" t="s">
        <v>25</v>
      </c>
      <c r="L60" s="564" t="s">
        <v>25</v>
      </c>
      <c r="M60" s="586"/>
      <c r="N60" s="586"/>
      <c r="O60" s="590"/>
      <c r="P60" s="564"/>
      <c r="Q60" s="564"/>
      <c r="R60" s="586"/>
      <c r="S60" s="609"/>
      <c r="T60" s="591"/>
      <c r="U60" s="611"/>
      <c r="V60" s="564" t="s">
        <v>2899</v>
      </c>
      <c r="W60" s="564" t="s">
        <v>25</v>
      </c>
      <c r="X60" s="589"/>
      <c r="Y60" s="592"/>
      <c r="Z60" s="592"/>
      <c r="AA60" s="568"/>
      <c r="AB60" s="592"/>
      <c r="AC60" s="592"/>
      <c r="AD60" s="592"/>
      <c r="AE60" s="590"/>
      <c r="AF60" s="570" t="s">
        <v>2899</v>
      </c>
      <c r="AG60" s="570"/>
      <c r="AH60" s="571" t="s">
        <v>25</v>
      </c>
      <c r="AI60" s="593"/>
      <c r="AJ60" s="605"/>
    </row>
    <row r="61" spans="1:36" s="376" customFormat="1" ht="70.5" customHeight="1" outlineLevel="2" x14ac:dyDescent="0.3">
      <c r="A61" s="447">
        <v>5</v>
      </c>
      <c r="B61" s="558" t="s">
        <v>306</v>
      </c>
      <c r="C61" s="558"/>
      <c r="D61" s="587"/>
      <c r="E61" s="560"/>
      <c r="F61" s="558"/>
      <c r="G61" s="588"/>
      <c r="H61" s="546"/>
      <c r="I61" s="563" t="s">
        <v>25</v>
      </c>
      <c r="J61" s="563" t="s">
        <v>25</v>
      </c>
      <c r="K61" s="564" t="s">
        <v>25</v>
      </c>
      <c r="L61" s="564" t="s">
        <v>25</v>
      </c>
      <c r="M61" s="586"/>
      <c r="N61" s="586"/>
      <c r="O61" s="590"/>
      <c r="P61" s="564"/>
      <c r="Q61" s="564"/>
      <c r="R61" s="586"/>
      <c r="S61" s="609"/>
      <c r="T61" s="591"/>
      <c r="U61" s="611"/>
      <c r="V61" s="564" t="s">
        <v>2899</v>
      </c>
      <c r="W61" s="564" t="s">
        <v>25</v>
      </c>
      <c r="X61" s="589"/>
      <c r="Y61" s="592"/>
      <c r="Z61" s="592"/>
      <c r="AA61" s="568"/>
      <c r="AB61" s="592"/>
      <c r="AC61" s="592"/>
      <c r="AD61" s="592"/>
      <c r="AE61" s="590"/>
      <c r="AF61" s="570" t="s">
        <v>2899</v>
      </c>
      <c r="AG61" s="570"/>
      <c r="AH61" s="571" t="s">
        <v>25</v>
      </c>
      <c r="AI61" s="593"/>
      <c r="AJ61" s="558"/>
    </row>
    <row r="62" spans="1:36" s="376" customFormat="1" ht="20.25" outlineLevel="2" x14ac:dyDescent="0.3">
      <c r="A62" s="447">
        <v>5</v>
      </c>
      <c r="B62" s="574"/>
      <c r="C62" s="574"/>
      <c r="D62" s="587"/>
      <c r="E62" s="560"/>
      <c r="F62" s="558"/>
      <c r="G62" s="588"/>
      <c r="H62" s="546"/>
      <c r="I62" s="563" t="s">
        <v>25</v>
      </c>
      <c r="J62" s="563" t="s">
        <v>25</v>
      </c>
      <c r="K62" s="564" t="s">
        <v>25</v>
      </c>
      <c r="L62" s="564" t="s">
        <v>25</v>
      </c>
      <c r="M62" s="586"/>
      <c r="N62" s="586"/>
      <c r="O62" s="590"/>
      <c r="P62" s="564"/>
      <c r="Q62" s="564"/>
      <c r="R62" s="586"/>
      <c r="S62" s="609"/>
      <c r="T62" s="591"/>
      <c r="U62" s="611"/>
      <c r="V62" s="564" t="s">
        <v>2899</v>
      </c>
      <c r="W62" s="564" t="s">
        <v>25</v>
      </c>
      <c r="X62" s="589"/>
      <c r="Y62" s="592"/>
      <c r="Z62" s="592"/>
      <c r="AA62" s="568"/>
      <c r="AB62" s="592"/>
      <c r="AC62" s="592"/>
      <c r="AD62" s="592"/>
      <c r="AE62" s="590"/>
      <c r="AF62" s="570" t="s">
        <v>2899</v>
      </c>
      <c r="AG62" s="570"/>
      <c r="AH62" s="571" t="s">
        <v>25</v>
      </c>
      <c r="AI62" s="593"/>
      <c r="AJ62" s="558"/>
    </row>
    <row r="63" spans="1:36" s="376" customFormat="1" ht="20.25" outlineLevel="2" x14ac:dyDescent="0.3">
      <c r="A63" s="447">
        <v>5</v>
      </c>
      <c r="B63" s="574"/>
      <c r="C63" s="574"/>
      <c r="D63" s="587"/>
      <c r="E63" s="560"/>
      <c r="F63" s="558"/>
      <c r="G63" s="588"/>
      <c r="H63" s="546"/>
      <c r="I63" s="563" t="s">
        <v>25</v>
      </c>
      <c r="J63" s="563" t="s">
        <v>25</v>
      </c>
      <c r="K63" s="564" t="s">
        <v>25</v>
      </c>
      <c r="L63" s="564" t="s">
        <v>25</v>
      </c>
      <c r="M63" s="586"/>
      <c r="N63" s="586"/>
      <c r="O63" s="590"/>
      <c r="P63" s="564"/>
      <c r="Q63" s="564"/>
      <c r="R63" s="586"/>
      <c r="S63" s="609"/>
      <c r="T63" s="591"/>
      <c r="U63" s="611"/>
      <c r="V63" s="564" t="s">
        <v>2899</v>
      </c>
      <c r="W63" s="564" t="s">
        <v>25</v>
      </c>
      <c r="X63" s="589"/>
      <c r="Y63" s="592"/>
      <c r="Z63" s="592"/>
      <c r="AA63" s="568"/>
      <c r="AB63" s="592"/>
      <c r="AC63" s="592"/>
      <c r="AD63" s="592"/>
      <c r="AE63" s="590"/>
      <c r="AF63" s="570" t="s">
        <v>2899</v>
      </c>
      <c r="AG63" s="570"/>
      <c r="AH63" s="571" t="s">
        <v>25</v>
      </c>
      <c r="AI63" s="593"/>
      <c r="AJ63" s="593"/>
    </row>
    <row r="64" spans="1:36" s="376" customFormat="1" ht="20.25" outlineLevel="2" x14ac:dyDescent="0.3">
      <c r="A64" s="447">
        <v>5</v>
      </c>
      <c r="B64" s="574"/>
      <c r="C64" s="574"/>
      <c r="D64" s="587"/>
      <c r="E64" s="560"/>
      <c r="F64" s="558"/>
      <c r="G64" s="588"/>
      <c r="H64" s="546"/>
      <c r="I64" s="563" t="s">
        <v>25</v>
      </c>
      <c r="J64" s="563" t="s">
        <v>25</v>
      </c>
      <c r="K64" s="564" t="s">
        <v>25</v>
      </c>
      <c r="L64" s="564" t="s">
        <v>25</v>
      </c>
      <c r="M64" s="586"/>
      <c r="N64" s="586"/>
      <c r="O64" s="590"/>
      <c r="P64" s="564"/>
      <c r="Q64" s="564"/>
      <c r="R64" s="586"/>
      <c r="S64" s="609"/>
      <c r="T64" s="591"/>
      <c r="U64" s="611"/>
      <c r="V64" s="564" t="s">
        <v>2899</v>
      </c>
      <c r="W64" s="564" t="s">
        <v>25</v>
      </c>
      <c r="X64" s="589"/>
      <c r="Y64" s="592"/>
      <c r="Z64" s="592"/>
      <c r="AA64" s="568"/>
      <c r="AB64" s="592"/>
      <c r="AC64" s="592"/>
      <c r="AD64" s="592"/>
      <c r="AE64" s="590"/>
      <c r="AF64" s="570" t="s">
        <v>2899</v>
      </c>
      <c r="AG64" s="570"/>
      <c r="AH64" s="571" t="s">
        <v>25</v>
      </c>
      <c r="AI64" s="593"/>
      <c r="AJ64" s="593"/>
    </row>
    <row r="65" spans="1:36" s="376" customFormat="1" ht="20.25" outlineLevel="2" x14ac:dyDescent="0.3">
      <c r="A65" s="447">
        <v>5</v>
      </c>
      <c r="B65" s="574"/>
      <c r="C65" s="574"/>
      <c r="D65" s="587"/>
      <c r="E65" s="560"/>
      <c r="F65" s="558"/>
      <c r="G65" s="588"/>
      <c r="H65" s="546"/>
      <c r="I65" s="563" t="s">
        <v>25</v>
      </c>
      <c r="J65" s="563" t="s">
        <v>25</v>
      </c>
      <c r="K65" s="564" t="s">
        <v>25</v>
      </c>
      <c r="L65" s="564" t="s">
        <v>25</v>
      </c>
      <c r="M65" s="586"/>
      <c r="N65" s="586"/>
      <c r="O65" s="590"/>
      <c r="P65" s="564"/>
      <c r="Q65" s="564"/>
      <c r="R65" s="586"/>
      <c r="S65" s="609"/>
      <c r="T65" s="591"/>
      <c r="U65" s="611"/>
      <c r="V65" s="564" t="s">
        <v>2899</v>
      </c>
      <c r="W65" s="564" t="s">
        <v>25</v>
      </c>
      <c r="X65" s="589"/>
      <c r="Y65" s="592"/>
      <c r="Z65" s="592"/>
      <c r="AA65" s="568"/>
      <c r="AB65" s="592"/>
      <c r="AC65" s="592"/>
      <c r="AD65" s="592"/>
      <c r="AE65" s="590"/>
      <c r="AF65" s="570" t="s">
        <v>2899</v>
      </c>
      <c r="AG65" s="570"/>
      <c r="AH65" s="571" t="s">
        <v>25</v>
      </c>
      <c r="AI65" s="593"/>
      <c r="AJ65" s="593"/>
    </row>
    <row r="66" spans="1:36" s="376" customFormat="1" ht="20.25" outlineLevel="2" x14ac:dyDescent="0.3">
      <c r="A66" s="447">
        <v>5</v>
      </c>
      <c r="B66" s="607"/>
      <c r="C66" s="607"/>
      <c r="D66" s="623"/>
      <c r="E66" s="623"/>
      <c r="F66" s="558"/>
      <c r="G66" s="588"/>
      <c r="H66" s="546"/>
      <c r="I66" s="563" t="s">
        <v>25</v>
      </c>
      <c r="J66" s="563" t="s">
        <v>25</v>
      </c>
      <c r="K66" s="564" t="s">
        <v>25</v>
      </c>
      <c r="L66" s="564" t="s">
        <v>25</v>
      </c>
      <c r="M66" s="586"/>
      <c r="N66" s="586"/>
      <c r="O66" s="590"/>
      <c r="P66" s="564"/>
      <c r="Q66" s="564"/>
      <c r="R66" s="586"/>
      <c r="S66" s="609"/>
      <c r="T66" s="591"/>
      <c r="U66" s="611"/>
      <c r="V66" s="564" t="s">
        <v>2899</v>
      </c>
      <c r="W66" s="564" t="s">
        <v>25</v>
      </c>
      <c r="X66" s="589"/>
      <c r="Y66" s="592"/>
      <c r="Z66" s="592"/>
      <c r="AA66" s="568"/>
      <c r="AB66" s="592"/>
      <c r="AC66" s="592"/>
      <c r="AD66" s="592"/>
      <c r="AE66" s="590"/>
      <c r="AF66" s="570" t="s">
        <v>2899</v>
      </c>
      <c r="AG66" s="570"/>
      <c r="AH66" s="571" t="s">
        <v>25</v>
      </c>
      <c r="AI66" s="593"/>
      <c r="AJ66" s="593"/>
    </row>
    <row r="67" spans="1:36" s="376" customFormat="1" ht="40.5" outlineLevel="1" x14ac:dyDescent="0.3">
      <c r="A67" s="467">
        <v>6</v>
      </c>
      <c r="B67" s="607" t="s">
        <v>2164</v>
      </c>
      <c r="C67" s="773" t="s">
        <v>2902</v>
      </c>
      <c r="D67" s="627"/>
      <c r="E67" s="627"/>
      <c r="F67" s="624"/>
      <c r="G67" s="625">
        <v>0</v>
      </c>
      <c r="H67" s="579">
        <v>0</v>
      </c>
      <c r="I67" s="581"/>
      <c r="J67" s="581"/>
      <c r="K67" s="571">
        <v>0</v>
      </c>
      <c r="L67" s="571">
        <v>0</v>
      </c>
      <c r="M67" s="578"/>
      <c r="N67" s="578"/>
      <c r="O67" s="599">
        <v>0</v>
      </c>
      <c r="P67" s="571"/>
      <c r="Q67" s="571">
        <v>0</v>
      </c>
      <c r="R67" s="578"/>
      <c r="S67" s="621"/>
      <c r="T67" s="600">
        <v>56.05</v>
      </c>
      <c r="U67" s="622"/>
      <c r="V67" s="571"/>
      <c r="W67" s="571">
        <v>180951000</v>
      </c>
      <c r="X67" s="562"/>
      <c r="Y67" s="592"/>
      <c r="Z67" s="592"/>
      <c r="AA67" s="568"/>
      <c r="AB67" s="592"/>
      <c r="AC67" s="568"/>
      <c r="AD67" s="584"/>
      <c r="AE67" s="581">
        <f>SUBTOTAL(9,AE68:AE76)</f>
        <v>0</v>
      </c>
      <c r="AF67" s="585"/>
      <c r="AG67" s="585">
        <v>0</v>
      </c>
      <c r="AH67" s="571">
        <v>180951000</v>
      </c>
      <c r="AI67" s="626"/>
      <c r="AJ67" s="574"/>
    </row>
    <row r="68" spans="1:36" s="376" customFormat="1" ht="137.25" customHeight="1" outlineLevel="2" x14ac:dyDescent="0.3">
      <c r="A68" s="447">
        <v>6</v>
      </c>
      <c r="B68" s="572" t="s">
        <v>95</v>
      </c>
      <c r="C68" s="572"/>
      <c r="D68" s="627"/>
      <c r="E68" s="627"/>
      <c r="F68" s="575"/>
      <c r="G68" s="561"/>
      <c r="H68" s="546"/>
      <c r="I68" s="563" t="s">
        <v>25</v>
      </c>
      <c r="J68" s="563" t="s">
        <v>25</v>
      </c>
      <c r="K68" s="564" t="s">
        <v>25</v>
      </c>
      <c r="L68" s="564" t="s">
        <v>25</v>
      </c>
      <c r="M68" s="578"/>
      <c r="N68" s="578"/>
      <c r="O68" s="590"/>
      <c r="P68" s="564" t="s">
        <v>25</v>
      </c>
      <c r="Q68" s="564" t="s">
        <v>25</v>
      </c>
      <c r="R68" s="586" t="s">
        <v>1827</v>
      </c>
      <c r="S68" s="609" t="s">
        <v>53</v>
      </c>
      <c r="T68" s="591">
        <v>31.5</v>
      </c>
      <c r="U68" s="611"/>
      <c r="V68" s="564">
        <v>5469063</v>
      </c>
      <c r="W68" s="564">
        <v>172275000</v>
      </c>
      <c r="X68" s="562" t="s">
        <v>63</v>
      </c>
      <c r="Y68" s="592" t="s">
        <v>55</v>
      </c>
      <c r="Z68" s="592" t="s">
        <v>56</v>
      </c>
      <c r="AA68" s="568" t="s">
        <v>57</v>
      </c>
      <c r="AB68" s="592" t="s">
        <v>63</v>
      </c>
      <c r="AC68" s="568" t="s">
        <v>430</v>
      </c>
      <c r="AD68" s="568"/>
      <c r="AE68" s="563"/>
      <c r="AF68" s="570" t="s">
        <v>2899</v>
      </c>
      <c r="AG68" s="570" t="s">
        <v>25</v>
      </c>
      <c r="AH68" s="571" t="s">
        <v>25</v>
      </c>
      <c r="AI68" s="628" t="s">
        <v>432</v>
      </c>
      <c r="AJ68" s="558" t="s">
        <v>2450</v>
      </c>
    </row>
    <row r="69" spans="1:36" s="376" customFormat="1" ht="146.25" customHeight="1" outlineLevel="2" x14ac:dyDescent="0.3">
      <c r="A69" s="447">
        <v>6</v>
      </c>
      <c r="B69" s="572" t="s">
        <v>629</v>
      </c>
      <c r="C69" s="572"/>
      <c r="D69" s="612"/>
      <c r="E69" s="612"/>
      <c r="F69" s="575"/>
      <c r="G69" s="561"/>
      <c r="H69" s="546"/>
      <c r="I69" s="563" t="s">
        <v>25</v>
      </c>
      <c r="J69" s="563" t="s">
        <v>25</v>
      </c>
      <c r="K69" s="564" t="s">
        <v>25</v>
      </c>
      <c r="L69" s="564" t="s">
        <v>25</v>
      </c>
      <c r="M69" s="586"/>
      <c r="N69" s="586"/>
      <c r="O69" s="590"/>
      <c r="P69" s="564" t="s">
        <v>25</v>
      </c>
      <c r="Q69" s="564" t="s">
        <v>25</v>
      </c>
      <c r="R69" s="586" t="s">
        <v>1768</v>
      </c>
      <c r="S69" s="609" t="s">
        <v>53</v>
      </c>
      <c r="T69" s="591">
        <v>5.4</v>
      </c>
      <c r="U69" s="611"/>
      <c r="V69" s="564">
        <v>238288</v>
      </c>
      <c r="W69" s="564">
        <v>1287000</v>
      </c>
      <c r="X69" s="562"/>
      <c r="Y69" s="592"/>
      <c r="Z69" s="592"/>
      <c r="AA69" s="568"/>
      <c r="AB69" s="592"/>
      <c r="AC69" s="592"/>
      <c r="AD69" s="592"/>
      <c r="AE69" s="590"/>
      <c r="AF69" s="570" t="s">
        <v>2899</v>
      </c>
      <c r="AG69" s="570" t="s">
        <v>25</v>
      </c>
      <c r="AH69" s="571" t="s">
        <v>25</v>
      </c>
      <c r="AI69" s="575"/>
      <c r="AJ69" s="558" t="s">
        <v>2800</v>
      </c>
    </row>
    <row r="70" spans="1:36" s="376" customFormat="1" ht="58.5" customHeight="1" outlineLevel="2" x14ac:dyDescent="0.3">
      <c r="A70" s="447">
        <v>6</v>
      </c>
      <c r="B70" s="572"/>
      <c r="C70" s="572"/>
      <c r="D70" s="587"/>
      <c r="E70" s="560"/>
      <c r="F70" s="575"/>
      <c r="G70" s="561"/>
      <c r="H70" s="546"/>
      <c r="I70" s="563" t="s">
        <v>25</v>
      </c>
      <c r="J70" s="563" t="s">
        <v>25</v>
      </c>
      <c r="K70" s="564" t="s">
        <v>25</v>
      </c>
      <c r="L70" s="564" t="s">
        <v>25</v>
      </c>
      <c r="M70" s="586"/>
      <c r="N70" s="586"/>
      <c r="O70" s="590"/>
      <c r="P70" s="564" t="s">
        <v>25</v>
      </c>
      <c r="Q70" s="564" t="s">
        <v>25</v>
      </c>
      <c r="R70" s="586" t="s">
        <v>1799</v>
      </c>
      <c r="S70" s="609" t="s">
        <v>53</v>
      </c>
      <c r="T70" s="591">
        <v>9.84</v>
      </c>
      <c r="U70" s="611"/>
      <c r="V70" s="564">
        <v>275180</v>
      </c>
      <c r="W70" s="564">
        <v>2708000</v>
      </c>
      <c r="X70" s="562"/>
      <c r="Y70" s="592"/>
      <c r="Z70" s="592"/>
      <c r="AA70" s="568"/>
      <c r="AB70" s="592"/>
      <c r="AC70" s="592"/>
      <c r="AD70" s="592"/>
      <c r="AE70" s="590"/>
      <c r="AF70" s="570" t="s">
        <v>2899</v>
      </c>
      <c r="AG70" s="570" t="s">
        <v>25</v>
      </c>
      <c r="AH70" s="571" t="s">
        <v>25</v>
      </c>
      <c r="AI70" s="575"/>
      <c r="AJ70" s="628"/>
    </row>
    <row r="71" spans="1:36" s="376" customFormat="1" ht="91.5" customHeight="1" outlineLevel="2" x14ac:dyDescent="0.3">
      <c r="A71" s="447">
        <v>6</v>
      </c>
      <c r="B71" s="572"/>
      <c r="C71" s="572"/>
      <c r="D71" s="587"/>
      <c r="E71" s="560"/>
      <c r="F71" s="558"/>
      <c r="G71" s="588"/>
      <c r="H71" s="546"/>
      <c r="I71" s="563" t="s">
        <v>25</v>
      </c>
      <c r="J71" s="563" t="s">
        <v>25</v>
      </c>
      <c r="K71" s="564" t="s">
        <v>25</v>
      </c>
      <c r="L71" s="564" t="s">
        <v>25</v>
      </c>
      <c r="M71" s="586"/>
      <c r="N71" s="586"/>
      <c r="O71" s="590"/>
      <c r="P71" s="564" t="s">
        <v>25</v>
      </c>
      <c r="Q71" s="564" t="s">
        <v>25</v>
      </c>
      <c r="R71" s="586" t="s">
        <v>1828</v>
      </c>
      <c r="S71" s="609" t="s">
        <v>53</v>
      </c>
      <c r="T71" s="591">
        <v>9.2799999999999994</v>
      </c>
      <c r="U71" s="611"/>
      <c r="V71" s="564">
        <v>496651</v>
      </c>
      <c r="W71" s="564">
        <v>4609000</v>
      </c>
      <c r="X71" s="589"/>
      <c r="Y71" s="592"/>
      <c r="Z71" s="592"/>
      <c r="AA71" s="568"/>
      <c r="AB71" s="592"/>
      <c r="AC71" s="592"/>
      <c r="AD71" s="592"/>
      <c r="AE71" s="590"/>
      <c r="AF71" s="570" t="s">
        <v>2899</v>
      </c>
      <c r="AG71" s="570" t="s">
        <v>25</v>
      </c>
      <c r="AH71" s="571" t="s">
        <v>25</v>
      </c>
      <c r="AI71" s="558"/>
      <c r="AJ71" s="593"/>
    </row>
    <row r="72" spans="1:36" s="376" customFormat="1" ht="84" customHeight="1" outlineLevel="2" x14ac:dyDescent="0.3">
      <c r="A72" s="447">
        <v>6</v>
      </c>
      <c r="B72" s="572"/>
      <c r="C72" s="572"/>
      <c r="D72" s="587"/>
      <c r="E72" s="560"/>
      <c r="F72" s="558"/>
      <c r="G72" s="588"/>
      <c r="H72" s="546"/>
      <c r="I72" s="563" t="s">
        <v>25</v>
      </c>
      <c r="J72" s="563" t="s">
        <v>25</v>
      </c>
      <c r="K72" s="564" t="s">
        <v>25</v>
      </c>
      <c r="L72" s="564" t="s">
        <v>25</v>
      </c>
      <c r="M72" s="586"/>
      <c r="N72" s="586"/>
      <c r="O72" s="590"/>
      <c r="P72" s="564" t="s">
        <v>25</v>
      </c>
      <c r="Q72" s="564" t="s">
        <v>25</v>
      </c>
      <c r="R72" s="586" t="s">
        <v>1829</v>
      </c>
      <c r="S72" s="609" t="s">
        <v>78</v>
      </c>
      <c r="T72" s="591">
        <v>0.01</v>
      </c>
      <c r="U72" s="611"/>
      <c r="V72" s="564">
        <v>0</v>
      </c>
      <c r="W72" s="564">
        <v>0</v>
      </c>
      <c r="X72" s="589"/>
      <c r="Y72" s="592"/>
      <c r="Z72" s="592"/>
      <c r="AA72" s="568"/>
      <c r="AB72" s="592"/>
      <c r="AC72" s="592"/>
      <c r="AD72" s="592"/>
      <c r="AE72" s="590"/>
      <c r="AF72" s="570" t="s">
        <v>2899</v>
      </c>
      <c r="AG72" s="570" t="s">
        <v>25</v>
      </c>
      <c r="AH72" s="571" t="s">
        <v>25</v>
      </c>
      <c r="AI72" s="593"/>
      <c r="AJ72" s="593"/>
    </row>
    <row r="73" spans="1:36" s="376" customFormat="1" ht="67.5" customHeight="1" outlineLevel="2" x14ac:dyDescent="0.3">
      <c r="A73" s="447">
        <v>6</v>
      </c>
      <c r="B73" s="572"/>
      <c r="C73" s="572"/>
      <c r="D73" s="587"/>
      <c r="E73" s="560"/>
      <c r="F73" s="558"/>
      <c r="G73" s="588"/>
      <c r="H73" s="546"/>
      <c r="I73" s="563" t="s">
        <v>25</v>
      </c>
      <c r="J73" s="563" t="s">
        <v>25</v>
      </c>
      <c r="K73" s="564" t="s">
        <v>25</v>
      </c>
      <c r="L73" s="564" t="s">
        <v>25</v>
      </c>
      <c r="M73" s="558"/>
      <c r="N73" s="558"/>
      <c r="O73" s="590"/>
      <c r="P73" s="564" t="s">
        <v>25</v>
      </c>
      <c r="Q73" s="564" t="s">
        <v>25</v>
      </c>
      <c r="R73" s="566" t="s">
        <v>1770</v>
      </c>
      <c r="S73" s="589" t="s">
        <v>78</v>
      </c>
      <c r="T73" s="591">
        <v>0.02</v>
      </c>
      <c r="U73" s="589"/>
      <c r="V73" s="564">
        <v>3591896</v>
      </c>
      <c r="W73" s="564">
        <v>72000</v>
      </c>
      <c r="X73" s="589"/>
      <c r="Y73" s="592"/>
      <c r="Z73" s="592"/>
      <c r="AA73" s="568"/>
      <c r="AB73" s="592"/>
      <c r="AC73" s="592"/>
      <c r="AD73" s="592"/>
      <c r="AE73" s="590"/>
      <c r="AF73" s="570" t="s">
        <v>2899</v>
      </c>
      <c r="AG73" s="570" t="s">
        <v>25</v>
      </c>
      <c r="AH73" s="571" t="s">
        <v>25</v>
      </c>
      <c r="AI73" s="593"/>
      <c r="AJ73" s="593"/>
    </row>
    <row r="74" spans="1:36" s="376" customFormat="1" ht="20.25" outlineLevel="2" x14ac:dyDescent="0.3">
      <c r="A74" s="447">
        <v>6</v>
      </c>
      <c r="B74" s="574"/>
      <c r="C74" s="574"/>
      <c r="D74" s="587"/>
      <c r="E74" s="615"/>
      <c r="F74" s="558"/>
      <c r="G74" s="588"/>
      <c r="H74" s="546"/>
      <c r="I74" s="563" t="s">
        <v>25</v>
      </c>
      <c r="J74" s="563" t="s">
        <v>25</v>
      </c>
      <c r="K74" s="564" t="s">
        <v>25</v>
      </c>
      <c r="L74" s="564" t="s">
        <v>25</v>
      </c>
      <c r="M74" s="558"/>
      <c r="N74" s="558"/>
      <c r="O74" s="590"/>
      <c r="P74" s="564" t="s">
        <v>25</v>
      </c>
      <c r="Q74" s="564" t="s">
        <v>25</v>
      </c>
      <c r="R74" s="566"/>
      <c r="S74" s="589"/>
      <c r="T74" s="591"/>
      <c r="U74" s="589"/>
      <c r="V74" s="564" t="s">
        <v>2899</v>
      </c>
      <c r="W74" s="564" t="s">
        <v>25</v>
      </c>
      <c r="X74" s="589"/>
      <c r="Y74" s="592"/>
      <c r="Z74" s="592"/>
      <c r="AA74" s="568"/>
      <c r="AB74" s="592"/>
      <c r="AC74" s="592"/>
      <c r="AD74" s="592"/>
      <c r="AE74" s="590"/>
      <c r="AF74" s="570" t="s">
        <v>2899</v>
      </c>
      <c r="AG74" s="570" t="s">
        <v>25</v>
      </c>
      <c r="AH74" s="571" t="s">
        <v>25</v>
      </c>
      <c r="AI74" s="593"/>
      <c r="AJ74" s="593"/>
    </row>
    <row r="75" spans="1:36" s="376" customFormat="1" ht="20.25" outlineLevel="2" x14ac:dyDescent="0.3">
      <c r="A75" s="447">
        <v>6</v>
      </c>
      <c r="B75" s="574"/>
      <c r="C75" s="574"/>
      <c r="D75" s="587"/>
      <c r="E75" s="560"/>
      <c r="F75" s="558"/>
      <c r="G75" s="604"/>
      <c r="H75" s="546"/>
      <c r="I75" s="563" t="s">
        <v>25</v>
      </c>
      <c r="J75" s="563" t="s">
        <v>25</v>
      </c>
      <c r="K75" s="564" t="s">
        <v>25</v>
      </c>
      <c r="L75" s="564" t="s">
        <v>25</v>
      </c>
      <c r="M75" s="593"/>
      <c r="N75" s="593"/>
      <c r="O75" s="616"/>
      <c r="P75" s="564" t="s">
        <v>25</v>
      </c>
      <c r="Q75" s="564" t="s">
        <v>25</v>
      </c>
      <c r="R75" s="593"/>
      <c r="S75" s="593"/>
      <c r="T75" s="617"/>
      <c r="U75" s="589"/>
      <c r="V75" s="564" t="s">
        <v>2899</v>
      </c>
      <c r="W75" s="564" t="s">
        <v>25</v>
      </c>
      <c r="X75" s="589"/>
      <c r="Y75" s="589"/>
      <c r="Z75" s="589"/>
      <c r="AA75" s="562"/>
      <c r="AB75" s="589"/>
      <c r="AC75" s="589"/>
      <c r="AD75" s="589"/>
      <c r="AE75" s="629"/>
      <c r="AF75" s="570" t="s">
        <v>2899</v>
      </c>
      <c r="AG75" s="570" t="s">
        <v>25</v>
      </c>
      <c r="AH75" s="571" t="s">
        <v>25</v>
      </c>
      <c r="AI75" s="593"/>
      <c r="AJ75" s="593"/>
    </row>
    <row r="76" spans="1:36" s="376" customFormat="1" ht="20.25" outlineLevel="2" x14ac:dyDescent="0.3">
      <c r="A76" s="447">
        <v>6</v>
      </c>
      <c r="B76" s="607"/>
      <c r="C76" s="607"/>
      <c r="D76" s="623"/>
      <c r="E76" s="623"/>
      <c r="F76" s="558"/>
      <c r="G76" s="588"/>
      <c r="H76" s="546"/>
      <c r="I76" s="563" t="s">
        <v>25</v>
      </c>
      <c r="J76" s="563" t="s">
        <v>25</v>
      </c>
      <c r="K76" s="564" t="s">
        <v>25</v>
      </c>
      <c r="L76" s="564" t="s">
        <v>25</v>
      </c>
      <c r="M76" s="586"/>
      <c r="N76" s="586"/>
      <c r="O76" s="630"/>
      <c r="P76" s="564" t="s">
        <v>25</v>
      </c>
      <c r="Q76" s="564" t="s">
        <v>25</v>
      </c>
      <c r="R76" s="586"/>
      <c r="S76" s="609"/>
      <c r="T76" s="591"/>
      <c r="U76" s="611"/>
      <c r="V76" s="564" t="s">
        <v>2899</v>
      </c>
      <c r="W76" s="564" t="s">
        <v>25</v>
      </c>
      <c r="X76" s="589"/>
      <c r="Y76" s="592"/>
      <c r="Z76" s="592"/>
      <c r="AA76" s="568"/>
      <c r="AB76" s="592"/>
      <c r="AC76" s="592"/>
      <c r="AD76" s="592"/>
      <c r="AE76" s="590"/>
      <c r="AF76" s="570" t="s">
        <v>2899</v>
      </c>
      <c r="AG76" s="570" t="s">
        <v>25</v>
      </c>
      <c r="AH76" s="571" t="s">
        <v>25</v>
      </c>
      <c r="AI76" s="593"/>
      <c r="AJ76" s="593"/>
    </row>
    <row r="77" spans="1:36" s="376" customFormat="1" ht="40.5" outlineLevel="1" x14ac:dyDescent="0.3">
      <c r="A77" s="467">
        <v>7</v>
      </c>
      <c r="B77" s="607" t="s">
        <v>2165</v>
      </c>
      <c r="C77" s="773" t="s">
        <v>2902</v>
      </c>
      <c r="D77" s="627"/>
      <c r="E77" s="627"/>
      <c r="F77" s="624"/>
      <c r="G77" s="625">
        <v>0</v>
      </c>
      <c r="H77" s="579">
        <v>0</v>
      </c>
      <c r="I77" s="581"/>
      <c r="J77" s="581"/>
      <c r="K77" s="571">
        <v>0</v>
      </c>
      <c r="L77" s="571">
        <v>0</v>
      </c>
      <c r="M77" s="574"/>
      <c r="N77" s="574"/>
      <c r="O77" s="599">
        <v>0</v>
      </c>
      <c r="P77" s="571"/>
      <c r="Q77" s="571">
        <v>0</v>
      </c>
      <c r="R77" s="582"/>
      <c r="S77" s="597"/>
      <c r="T77" s="600">
        <v>59.469999999999992</v>
      </c>
      <c r="U77" s="597"/>
      <c r="V77" s="571"/>
      <c r="W77" s="571">
        <v>173830000</v>
      </c>
      <c r="X77" s="589"/>
      <c r="Y77" s="592"/>
      <c r="Z77" s="592"/>
      <c r="AA77" s="568"/>
      <c r="AB77" s="592"/>
      <c r="AC77" s="568"/>
      <c r="AD77" s="584"/>
      <c r="AE77" s="581">
        <f>SUBTOTAL(9,AE78:AE84)</f>
        <v>0</v>
      </c>
      <c r="AF77" s="585"/>
      <c r="AG77" s="585">
        <v>0</v>
      </c>
      <c r="AH77" s="571">
        <v>173830000</v>
      </c>
      <c r="AI77" s="608"/>
      <c r="AJ77" s="574"/>
    </row>
    <row r="78" spans="1:36" s="376" customFormat="1" ht="147.75" customHeight="1" outlineLevel="2" x14ac:dyDescent="0.3">
      <c r="A78" s="447">
        <v>7</v>
      </c>
      <c r="B78" s="572" t="s">
        <v>98</v>
      </c>
      <c r="C78" s="572"/>
      <c r="D78" s="587"/>
      <c r="E78" s="560"/>
      <c r="F78" s="575"/>
      <c r="G78" s="561"/>
      <c r="H78" s="546"/>
      <c r="I78" s="563" t="s">
        <v>25</v>
      </c>
      <c r="J78" s="563" t="s">
        <v>25</v>
      </c>
      <c r="K78" s="564" t="s">
        <v>25</v>
      </c>
      <c r="L78" s="564" t="s">
        <v>25</v>
      </c>
      <c r="M78" s="558"/>
      <c r="N78" s="558"/>
      <c r="O78" s="590"/>
      <c r="P78" s="564" t="s">
        <v>25</v>
      </c>
      <c r="Q78" s="564" t="s">
        <v>25</v>
      </c>
      <c r="R78" s="566" t="s">
        <v>1820</v>
      </c>
      <c r="S78" s="589" t="s">
        <v>53</v>
      </c>
      <c r="T78" s="591">
        <v>31.95</v>
      </c>
      <c r="U78" s="589"/>
      <c r="V78" s="564">
        <v>5307665</v>
      </c>
      <c r="W78" s="564">
        <v>169580000</v>
      </c>
      <c r="X78" s="589" t="s">
        <v>63</v>
      </c>
      <c r="Y78" s="592" t="s">
        <v>55</v>
      </c>
      <c r="Z78" s="592" t="s">
        <v>56</v>
      </c>
      <c r="AA78" s="568" t="s">
        <v>57</v>
      </c>
      <c r="AB78" s="592" t="s">
        <v>63</v>
      </c>
      <c r="AC78" s="568" t="s">
        <v>430</v>
      </c>
      <c r="AD78" s="568"/>
      <c r="AE78" s="563"/>
      <c r="AF78" s="570" t="s">
        <v>2899</v>
      </c>
      <c r="AG78" s="570" t="s">
        <v>25</v>
      </c>
      <c r="AH78" s="571" t="s">
        <v>25</v>
      </c>
      <c r="AI78" s="593" t="s">
        <v>372</v>
      </c>
      <c r="AJ78" s="558" t="s">
        <v>2450</v>
      </c>
    </row>
    <row r="79" spans="1:36" s="376" customFormat="1" ht="131.25" customHeight="1" outlineLevel="2" x14ac:dyDescent="0.3">
      <c r="A79" s="447">
        <v>7</v>
      </c>
      <c r="B79" s="572" t="s">
        <v>631</v>
      </c>
      <c r="C79" s="572"/>
      <c r="D79" s="587"/>
      <c r="E79" s="560"/>
      <c r="F79" s="575"/>
      <c r="G79" s="561"/>
      <c r="H79" s="546"/>
      <c r="I79" s="563" t="s">
        <v>25</v>
      </c>
      <c r="J79" s="563" t="s">
        <v>25</v>
      </c>
      <c r="K79" s="564" t="s">
        <v>25</v>
      </c>
      <c r="L79" s="564" t="s">
        <v>25</v>
      </c>
      <c r="M79" s="558"/>
      <c r="N79" s="558"/>
      <c r="O79" s="590"/>
      <c r="P79" s="564" t="s">
        <v>25</v>
      </c>
      <c r="Q79" s="564" t="s">
        <v>25</v>
      </c>
      <c r="R79" s="566" t="s">
        <v>1768</v>
      </c>
      <c r="S79" s="589" t="s">
        <v>53</v>
      </c>
      <c r="T79" s="591">
        <v>7.2</v>
      </c>
      <c r="U79" s="589"/>
      <c r="V79" s="564">
        <v>238288</v>
      </c>
      <c r="W79" s="564">
        <v>1716000</v>
      </c>
      <c r="X79" s="589"/>
      <c r="Y79" s="592"/>
      <c r="Z79" s="592"/>
      <c r="AA79" s="568"/>
      <c r="AB79" s="592"/>
      <c r="AC79" s="592"/>
      <c r="AD79" s="592"/>
      <c r="AE79" s="590"/>
      <c r="AF79" s="570" t="s">
        <v>2899</v>
      </c>
      <c r="AG79" s="570" t="s">
        <v>25</v>
      </c>
      <c r="AH79" s="571" t="s">
        <v>25</v>
      </c>
      <c r="AI79" s="575"/>
      <c r="AJ79" s="558" t="s">
        <v>2800</v>
      </c>
    </row>
    <row r="80" spans="1:36" s="376" customFormat="1" ht="81.75" customHeight="1" outlineLevel="2" x14ac:dyDescent="0.3">
      <c r="A80" s="447">
        <v>7</v>
      </c>
      <c r="B80" s="558"/>
      <c r="C80" s="558"/>
      <c r="D80" s="587"/>
      <c r="E80" s="560"/>
      <c r="F80" s="558"/>
      <c r="G80" s="588"/>
      <c r="H80" s="546"/>
      <c r="I80" s="563" t="s">
        <v>25</v>
      </c>
      <c r="J80" s="563" t="s">
        <v>25</v>
      </c>
      <c r="K80" s="564" t="s">
        <v>25</v>
      </c>
      <c r="L80" s="564" t="s">
        <v>25</v>
      </c>
      <c r="M80" s="558"/>
      <c r="N80" s="558"/>
      <c r="O80" s="590"/>
      <c r="P80" s="564" t="s">
        <v>25</v>
      </c>
      <c r="Q80" s="564" t="s">
        <v>25</v>
      </c>
      <c r="R80" s="566" t="s">
        <v>1768</v>
      </c>
      <c r="S80" s="589" t="s">
        <v>53</v>
      </c>
      <c r="T80" s="591">
        <v>10.44</v>
      </c>
      <c r="U80" s="589"/>
      <c r="V80" s="564">
        <v>238288</v>
      </c>
      <c r="W80" s="564">
        <v>2488000</v>
      </c>
      <c r="X80" s="589"/>
      <c r="Y80" s="592" t="s">
        <v>63</v>
      </c>
      <c r="Z80" s="592" t="s">
        <v>56</v>
      </c>
      <c r="AA80" s="568" t="s">
        <v>57</v>
      </c>
      <c r="AB80" s="592" t="s">
        <v>63</v>
      </c>
      <c r="AC80" s="592"/>
      <c r="AD80" s="592"/>
      <c r="AE80" s="590"/>
      <c r="AF80" s="570" t="s">
        <v>2899</v>
      </c>
      <c r="AG80" s="570" t="s">
        <v>25</v>
      </c>
      <c r="AH80" s="571" t="s">
        <v>25</v>
      </c>
      <c r="AI80" s="593"/>
      <c r="AJ80" s="593"/>
    </row>
    <row r="81" spans="1:37" s="376" customFormat="1" ht="55.5" customHeight="1" outlineLevel="2" x14ac:dyDescent="0.3">
      <c r="A81" s="447">
        <v>7</v>
      </c>
      <c r="B81" s="558"/>
      <c r="C81" s="558"/>
      <c r="D81" s="587"/>
      <c r="E81" s="615"/>
      <c r="F81" s="558"/>
      <c r="G81" s="588"/>
      <c r="H81" s="546"/>
      <c r="I81" s="563" t="s">
        <v>25</v>
      </c>
      <c r="J81" s="563" t="s">
        <v>25</v>
      </c>
      <c r="K81" s="564" t="s">
        <v>25</v>
      </c>
      <c r="L81" s="564" t="s">
        <v>25</v>
      </c>
      <c r="M81" s="558"/>
      <c r="N81" s="558"/>
      <c r="O81" s="590"/>
      <c r="P81" s="564" t="s">
        <v>25</v>
      </c>
      <c r="Q81" s="564" t="s">
        <v>25</v>
      </c>
      <c r="R81" s="566" t="s">
        <v>1767</v>
      </c>
      <c r="S81" s="589" t="s">
        <v>53</v>
      </c>
      <c r="T81" s="591">
        <v>8.1</v>
      </c>
      <c r="U81" s="589" t="s">
        <v>25</v>
      </c>
      <c r="V81" s="564">
        <v>0</v>
      </c>
      <c r="W81" s="564">
        <v>0</v>
      </c>
      <c r="X81" s="589"/>
      <c r="Y81" s="592"/>
      <c r="Z81" s="592"/>
      <c r="AA81" s="568"/>
      <c r="AB81" s="592"/>
      <c r="AC81" s="592"/>
      <c r="AD81" s="592"/>
      <c r="AE81" s="590"/>
      <c r="AF81" s="570" t="s">
        <v>2899</v>
      </c>
      <c r="AG81" s="570" t="s">
        <v>25</v>
      </c>
      <c r="AH81" s="571" t="s">
        <v>25</v>
      </c>
      <c r="AI81" s="558"/>
      <c r="AJ81" s="593"/>
    </row>
    <row r="82" spans="1:37" s="376" customFormat="1" ht="57.75" customHeight="1" outlineLevel="2" x14ac:dyDescent="0.3">
      <c r="A82" s="447">
        <v>7</v>
      </c>
      <c r="B82" s="558"/>
      <c r="C82" s="558"/>
      <c r="D82" s="587"/>
      <c r="E82" s="560"/>
      <c r="F82" s="558"/>
      <c r="G82" s="604"/>
      <c r="H82" s="546"/>
      <c r="I82" s="563" t="s">
        <v>25</v>
      </c>
      <c r="J82" s="563" t="s">
        <v>25</v>
      </c>
      <c r="K82" s="564" t="s">
        <v>25</v>
      </c>
      <c r="L82" s="564" t="s">
        <v>25</v>
      </c>
      <c r="M82" s="593"/>
      <c r="N82" s="593"/>
      <c r="O82" s="616"/>
      <c r="P82" s="564" t="s">
        <v>25</v>
      </c>
      <c r="Q82" s="564" t="s">
        <v>25</v>
      </c>
      <c r="R82" s="558" t="s">
        <v>1830</v>
      </c>
      <c r="S82" s="589" t="s">
        <v>78</v>
      </c>
      <c r="T82" s="591">
        <v>1.62</v>
      </c>
      <c r="U82" s="589"/>
      <c r="V82" s="564">
        <v>0</v>
      </c>
      <c r="W82" s="564">
        <v>0</v>
      </c>
      <c r="X82" s="589"/>
      <c r="Y82" s="589"/>
      <c r="Z82" s="589"/>
      <c r="AA82" s="562"/>
      <c r="AB82" s="589"/>
      <c r="AC82" s="589"/>
      <c r="AD82" s="589"/>
      <c r="AE82" s="629"/>
      <c r="AF82" s="570" t="s">
        <v>2899</v>
      </c>
      <c r="AG82" s="570" t="s">
        <v>25</v>
      </c>
      <c r="AH82" s="571" t="s">
        <v>25</v>
      </c>
      <c r="AI82" s="593"/>
      <c r="AJ82" s="593"/>
    </row>
    <row r="83" spans="1:37" s="376" customFormat="1" ht="60" customHeight="1" outlineLevel="2" x14ac:dyDescent="0.3">
      <c r="A83" s="447">
        <v>7</v>
      </c>
      <c r="B83" s="558"/>
      <c r="C83" s="558"/>
      <c r="D83" s="587"/>
      <c r="E83" s="560"/>
      <c r="F83" s="558"/>
      <c r="G83" s="588"/>
      <c r="H83" s="546"/>
      <c r="I83" s="563" t="s">
        <v>25</v>
      </c>
      <c r="J83" s="563" t="s">
        <v>25</v>
      </c>
      <c r="K83" s="564" t="s">
        <v>25</v>
      </c>
      <c r="L83" s="564" t="s">
        <v>25</v>
      </c>
      <c r="M83" s="558"/>
      <c r="N83" s="558"/>
      <c r="O83" s="590"/>
      <c r="P83" s="564" t="s">
        <v>25</v>
      </c>
      <c r="Q83" s="564" t="s">
        <v>25</v>
      </c>
      <c r="R83" s="566" t="s">
        <v>1831</v>
      </c>
      <c r="S83" s="589" t="s">
        <v>53</v>
      </c>
      <c r="T83" s="591">
        <v>0.16</v>
      </c>
      <c r="U83" s="589"/>
      <c r="V83" s="564">
        <v>286855</v>
      </c>
      <c r="W83" s="564">
        <v>46000</v>
      </c>
      <c r="X83" s="589"/>
      <c r="Y83" s="592"/>
      <c r="Z83" s="592"/>
      <c r="AA83" s="568"/>
      <c r="AB83" s="592"/>
      <c r="AC83" s="592"/>
      <c r="AD83" s="592"/>
      <c r="AE83" s="590"/>
      <c r="AF83" s="570" t="s">
        <v>2899</v>
      </c>
      <c r="AG83" s="570" t="s">
        <v>25</v>
      </c>
      <c r="AH83" s="571" t="s">
        <v>25</v>
      </c>
      <c r="AI83" s="593"/>
      <c r="AJ83" s="593"/>
    </row>
    <row r="84" spans="1:37" s="376" customFormat="1" ht="20.25" outlineLevel="2" x14ac:dyDescent="0.3">
      <c r="A84" s="447">
        <v>7</v>
      </c>
      <c r="B84" s="574"/>
      <c r="C84" s="574"/>
      <c r="D84" s="595"/>
      <c r="E84" s="577"/>
      <c r="F84" s="558"/>
      <c r="G84" s="588"/>
      <c r="H84" s="546"/>
      <c r="I84" s="563" t="s">
        <v>25</v>
      </c>
      <c r="J84" s="563" t="s">
        <v>25</v>
      </c>
      <c r="K84" s="564" t="s">
        <v>25</v>
      </c>
      <c r="L84" s="564" t="s">
        <v>25</v>
      </c>
      <c r="M84" s="558"/>
      <c r="N84" s="558"/>
      <c r="O84" s="590"/>
      <c r="P84" s="564" t="s">
        <v>25</v>
      </c>
      <c r="Q84" s="564" t="s">
        <v>25</v>
      </c>
      <c r="R84" s="566"/>
      <c r="S84" s="589"/>
      <c r="T84" s="591"/>
      <c r="U84" s="589"/>
      <c r="V84" s="564" t="s">
        <v>2899</v>
      </c>
      <c r="W84" s="564" t="s">
        <v>25</v>
      </c>
      <c r="X84" s="589"/>
      <c r="Y84" s="592"/>
      <c r="Z84" s="592"/>
      <c r="AA84" s="568"/>
      <c r="AB84" s="592"/>
      <c r="AC84" s="592"/>
      <c r="AD84" s="592"/>
      <c r="AE84" s="590"/>
      <c r="AF84" s="570" t="s">
        <v>2899</v>
      </c>
      <c r="AG84" s="570" t="s">
        <v>25</v>
      </c>
      <c r="AH84" s="571" t="s">
        <v>25</v>
      </c>
      <c r="AI84" s="593"/>
      <c r="AJ84" s="593"/>
    </row>
    <row r="85" spans="1:37" s="376" customFormat="1" ht="124.5" customHeight="1" outlineLevel="1" x14ac:dyDescent="0.3">
      <c r="A85" s="467">
        <v>8</v>
      </c>
      <c r="B85" s="574" t="s">
        <v>2166</v>
      </c>
      <c r="C85" s="773" t="s">
        <v>2902</v>
      </c>
      <c r="D85" s="587">
        <v>86</v>
      </c>
      <c r="E85" s="560">
        <v>1582</v>
      </c>
      <c r="F85" s="574"/>
      <c r="G85" s="618">
        <v>24.6</v>
      </c>
      <c r="H85" s="579">
        <v>0</v>
      </c>
      <c r="I85" s="581"/>
      <c r="J85" s="581"/>
      <c r="K85" s="571">
        <v>13638000</v>
      </c>
      <c r="L85" s="571">
        <v>0</v>
      </c>
      <c r="M85" s="624"/>
      <c r="N85" s="624"/>
      <c r="O85" s="631">
        <v>0</v>
      </c>
      <c r="P85" s="631"/>
      <c r="Q85" s="631">
        <v>0</v>
      </c>
      <c r="R85" s="578"/>
      <c r="S85" s="621"/>
      <c r="T85" s="600">
        <v>0</v>
      </c>
      <c r="U85" s="622"/>
      <c r="V85" s="571"/>
      <c r="W85" s="571">
        <v>0</v>
      </c>
      <c r="X85" s="589"/>
      <c r="Y85" s="592"/>
      <c r="Z85" s="592"/>
      <c r="AA85" s="568"/>
      <c r="AB85" s="592"/>
      <c r="AC85" s="592"/>
      <c r="AD85" s="601"/>
      <c r="AE85" s="599">
        <f>SUBTOTAL(9,AE86:AE91)</f>
        <v>0</v>
      </c>
      <c r="AF85" s="585"/>
      <c r="AG85" s="585">
        <v>0</v>
      </c>
      <c r="AH85" s="571">
        <v>13638000</v>
      </c>
      <c r="AI85" s="574"/>
      <c r="AJ85" s="578"/>
    </row>
    <row r="86" spans="1:37" s="376" customFormat="1" ht="273.75" customHeight="1" outlineLevel="2" x14ac:dyDescent="0.3">
      <c r="A86" s="447">
        <v>8</v>
      </c>
      <c r="B86" s="558" t="s">
        <v>2793</v>
      </c>
      <c r="C86" s="558"/>
      <c r="D86" s="587"/>
      <c r="E86" s="560"/>
      <c r="F86" s="558" t="s">
        <v>2891</v>
      </c>
      <c r="G86" s="588">
        <v>24.6</v>
      </c>
      <c r="H86" s="546" t="s">
        <v>2899</v>
      </c>
      <c r="I86" s="563">
        <v>554400</v>
      </c>
      <c r="J86" s="563">
        <v>0</v>
      </c>
      <c r="K86" s="564">
        <v>13638000</v>
      </c>
      <c r="L86" s="564">
        <v>0</v>
      </c>
      <c r="M86" s="575"/>
      <c r="N86" s="575"/>
      <c r="O86" s="632"/>
      <c r="P86" s="632"/>
      <c r="Q86" s="632"/>
      <c r="R86" s="586"/>
      <c r="S86" s="609"/>
      <c r="T86" s="591"/>
      <c r="U86" s="611"/>
      <c r="V86" s="564" t="s">
        <v>2899</v>
      </c>
      <c r="W86" s="564" t="s">
        <v>25</v>
      </c>
      <c r="X86" s="589"/>
      <c r="Y86" s="592"/>
      <c r="Z86" s="592"/>
      <c r="AA86" s="568"/>
      <c r="AB86" s="592"/>
      <c r="AC86" s="592"/>
      <c r="AD86" s="592"/>
      <c r="AE86" s="590"/>
      <c r="AF86" s="570" t="s">
        <v>2899</v>
      </c>
      <c r="AG86" s="570" t="s">
        <v>25</v>
      </c>
      <c r="AH86" s="571" t="s">
        <v>25</v>
      </c>
      <c r="AI86" s="558" t="s">
        <v>2187</v>
      </c>
      <c r="AJ86" s="586" t="s">
        <v>2771</v>
      </c>
      <c r="AK86" s="376" t="s">
        <v>2188</v>
      </c>
    </row>
    <row r="87" spans="1:37" s="376" customFormat="1" ht="109.5" customHeight="1" outlineLevel="2" x14ac:dyDescent="0.3">
      <c r="A87" s="447">
        <v>8</v>
      </c>
      <c r="B87" s="558" t="s">
        <v>2792</v>
      </c>
      <c r="C87" s="558"/>
      <c r="D87" s="587"/>
      <c r="E87" s="560"/>
      <c r="F87" s="558"/>
      <c r="G87" s="588"/>
      <c r="H87" s="546"/>
      <c r="I87" s="563" t="s">
        <v>25</v>
      </c>
      <c r="J87" s="563" t="s">
        <v>25</v>
      </c>
      <c r="K87" s="564" t="s">
        <v>25</v>
      </c>
      <c r="L87" s="564" t="s">
        <v>25</v>
      </c>
      <c r="M87" s="586"/>
      <c r="N87" s="586"/>
      <c r="O87" s="630"/>
      <c r="P87" s="564"/>
      <c r="Q87" s="564"/>
      <c r="R87" s="586"/>
      <c r="S87" s="609"/>
      <c r="T87" s="591"/>
      <c r="U87" s="611"/>
      <c r="V87" s="564" t="s">
        <v>2899</v>
      </c>
      <c r="W87" s="564" t="s">
        <v>25</v>
      </c>
      <c r="X87" s="589"/>
      <c r="Y87" s="592"/>
      <c r="Z87" s="592"/>
      <c r="AA87" s="568"/>
      <c r="AB87" s="592"/>
      <c r="AC87" s="592"/>
      <c r="AD87" s="592"/>
      <c r="AE87" s="590"/>
      <c r="AF87" s="570" t="s">
        <v>2899</v>
      </c>
      <c r="AG87" s="570"/>
      <c r="AH87" s="571" t="s">
        <v>25</v>
      </c>
      <c r="AI87" s="558" t="s">
        <v>2453</v>
      </c>
      <c r="AJ87" s="593"/>
    </row>
    <row r="88" spans="1:37" s="376" customFormat="1" ht="20.25" outlineLevel="2" x14ac:dyDescent="0.3">
      <c r="A88" s="447">
        <v>8</v>
      </c>
      <c r="B88" s="574"/>
      <c r="C88" s="574"/>
      <c r="D88" s="587"/>
      <c r="E88" s="560"/>
      <c r="F88" s="558"/>
      <c r="G88" s="588"/>
      <c r="H88" s="546"/>
      <c r="I88" s="563" t="s">
        <v>25</v>
      </c>
      <c r="J88" s="563" t="s">
        <v>25</v>
      </c>
      <c r="K88" s="564" t="s">
        <v>25</v>
      </c>
      <c r="L88" s="564" t="s">
        <v>25</v>
      </c>
      <c r="M88" s="586"/>
      <c r="N88" s="586"/>
      <c r="O88" s="630"/>
      <c r="P88" s="564"/>
      <c r="Q88" s="564"/>
      <c r="R88" s="586"/>
      <c r="S88" s="609"/>
      <c r="T88" s="591"/>
      <c r="U88" s="611"/>
      <c r="V88" s="564" t="s">
        <v>2899</v>
      </c>
      <c r="W88" s="564" t="s">
        <v>25</v>
      </c>
      <c r="X88" s="589"/>
      <c r="Y88" s="592"/>
      <c r="Z88" s="592"/>
      <c r="AA88" s="568"/>
      <c r="AB88" s="592"/>
      <c r="AC88" s="592"/>
      <c r="AD88" s="592"/>
      <c r="AE88" s="590"/>
      <c r="AF88" s="570" t="s">
        <v>2899</v>
      </c>
      <c r="AG88" s="570"/>
      <c r="AH88" s="571" t="s">
        <v>25</v>
      </c>
      <c r="AI88" s="593"/>
      <c r="AJ88" s="593"/>
    </row>
    <row r="89" spans="1:37" s="376" customFormat="1" ht="20.25" outlineLevel="2" x14ac:dyDescent="0.3">
      <c r="A89" s="447">
        <v>8</v>
      </c>
      <c r="B89" s="574"/>
      <c r="C89" s="574"/>
      <c r="D89" s="587"/>
      <c r="E89" s="560"/>
      <c r="F89" s="558"/>
      <c r="G89" s="588"/>
      <c r="H89" s="546"/>
      <c r="I89" s="563" t="s">
        <v>25</v>
      </c>
      <c r="J89" s="563" t="s">
        <v>25</v>
      </c>
      <c r="K89" s="564" t="s">
        <v>25</v>
      </c>
      <c r="L89" s="564" t="s">
        <v>25</v>
      </c>
      <c r="M89" s="586"/>
      <c r="N89" s="586"/>
      <c r="O89" s="630"/>
      <c r="P89" s="564"/>
      <c r="Q89" s="564"/>
      <c r="R89" s="586"/>
      <c r="S89" s="609"/>
      <c r="T89" s="591"/>
      <c r="U89" s="611"/>
      <c r="V89" s="564" t="s">
        <v>2899</v>
      </c>
      <c r="W89" s="564" t="s">
        <v>25</v>
      </c>
      <c r="X89" s="589"/>
      <c r="Y89" s="592"/>
      <c r="Z89" s="592"/>
      <c r="AA89" s="568"/>
      <c r="AB89" s="592"/>
      <c r="AC89" s="592"/>
      <c r="AD89" s="592"/>
      <c r="AE89" s="590"/>
      <c r="AF89" s="570" t="s">
        <v>2899</v>
      </c>
      <c r="AG89" s="570"/>
      <c r="AH89" s="571" t="s">
        <v>25</v>
      </c>
      <c r="AI89" s="593"/>
      <c r="AJ89" s="593"/>
    </row>
    <row r="90" spans="1:37" s="376" customFormat="1" ht="20.25" outlineLevel="2" x14ac:dyDescent="0.3">
      <c r="A90" s="447">
        <v>8</v>
      </c>
      <c r="B90" s="574"/>
      <c r="C90" s="574"/>
      <c r="D90" s="587"/>
      <c r="E90" s="560"/>
      <c r="F90" s="558"/>
      <c r="G90" s="588"/>
      <c r="H90" s="546"/>
      <c r="I90" s="563" t="s">
        <v>25</v>
      </c>
      <c r="J90" s="563" t="s">
        <v>25</v>
      </c>
      <c r="K90" s="564" t="s">
        <v>25</v>
      </c>
      <c r="L90" s="564" t="s">
        <v>25</v>
      </c>
      <c r="M90" s="586"/>
      <c r="N90" s="586"/>
      <c r="O90" s="630"/>
      <c r="P90" s="564"/>
      <c r="Q90" s="564"/>
      <c r="R90" s="586"/>
      <c r="S90" s="609"/>
      <c r="T90" s="591"/>
      <c r="U90" s="611"/>
      <c r="V90" s="564" t="s">
        <v>2899</v>
      </c>
      <c r="W90" s="564" t="s">
        <v>25</v>
      </c>
      <c r="X90" s="589"/>
      <c r="Y90" s="592"/>
      <c r="Z90" s="592"/>
      <c r="AA90" s="568"/>
      <c r="AB90" s="592"/>
      <c r="AC90" s="592"/>
      <c r="AD90" s="592"/>
      <c r="AE90" s="590"/>
      <c r="AF90" s="570" t="s">
        <v>2899</v>
      </c>
      <c r="AG90" s="570"/>
      <c r="AH90" s="571" t="s">
        <v>25</v>
      </c>
      <c r="AI90" s="593"/>
      <c r="AJ90" s="593"/>
    </row>
    <row r="91" spans="1:37" s="376" customFormat="1" ht="20.25" outlineLevel="2" x14ac:dyDescent="0.3">
      <c r="A91" s="447">
        <v>8</v>
      </c>
      <c r="B91" s="574"/>
      <c r="C91" s="574"/>
      <c r="D91" s="595"/>
      <c r="E91" s="577"/>
      <c r="F91" s="558"/>
      <c r="G91" s="588"/>
      <c r="H91" s="546"/>
      <c r="I91" s="563" t="s">
        <v>25</v>
      </c>
      <c r="J91" s="563" t="s">
        <v>25</v>
      </c>
      <c r="K91" s="564" t="s">
        <v>25</v>
      </c>
      <c r="L91" s="564" t="s">
        <v>25</v>
      </c>
      <c r="M91" s="586"/>
      <c r="N91" s="586"/>
      <c r="O91" s="630"/>
      <c r="P91" s="564"/>
      <c r="Q91" s="564"/>
      <c r="R91" s="586"/>
      <c r="S91" s="609"/>
      <c r="T91" s="591"/>
      <c r="U91" s="611"/>
      <c r="V91" s="564" t="s">
        <v>2899</v>
      </c>
      <c r="W91" s="564" t="s">
        <v>25</v>
      </c>
      <c r="X91" s="589"/>
      <c r="Y91" s="592"/>
      <c r="Z91" s="592"/>
      <c r="AA91" s="568"/>
      <c r="AB91" s="592"/>
      <c r="AC91" s="592"/>
      <c r="AD91" s="592"/>
      <c r="AE91" s="590"/>
      <c r="AF91" s="570" t="s">
        <v>2899</v>
      </c>
      <c r="AG91" s="570"/>
      <c r="AH91" s="571" t="s">
        <v>25</v>
      </c>
      <c r="AI91" s="593"/>
      <c r="AJ91" s="593"/>
    </row>
    <row r="92" spans="1:37" s="376" customFormat="1" ht="111" customHeight="1" outlineLevel="1" x14ac:dyDescent="0.25">
      <c r="A92" s="467">
        <v>9</v>
      </c>
      <c r="B92" s="574" t="s">
        <v>2166</v>
      </c>
      <c r="C92" s="773" t="s">
        <v>2902</v>
      </c>
      <c r="D92" s="587">
        <v>86</v>
      </c>
      <c r="E92" s="560">
        <v>1582</v>
      </c>
      <c r="F92" s="574"/>
      <c r="G92" s="618">
        <v>23.9</v>
      </c>
      <c r="H92" s="579">
        <v>0</v>
      </c>
      <c r="I92" s="581"/>
      <c r="J92" s="581"/>
      <c r="K92" s="571">
        <v>13250000</v>
      </c>
      <c r="L92" s="571">
        <v>0</v>
      </c>
      <c r="M92" s="578"/>
      <c r="N92" s="578"/>
      <c r="O92" s="633">
        <v>0</v>
      </c>
      <c r="P92" s="571"/>
      <c r="Q92" s="571">
        <v>0</v>
      </c>
      <c r="R92" s="578"/>
      <c r="S92" s="621"/>
      <c r="T92" s="600">
        <v>0</v>
      </c>
      <c r="U92" s="622"/>
      <c r="V92" s="571"/>
      <c r="W92" s="571">
        <v>0</v>
      </c>
      <c r="X92" s="589"/>
      <c r="Y92" s="592"/>
      <c r="Z92" s="592"/>
      <c r="AA92" s="568"/>
      <c r="AB92" s="592"/>
      <c r="AC92" s="592"/>
      <c r="AD92" s="601"/>
      <c r="AE92" s="599">
        <f>SUBTOTAL(9,AE93:AE97)</f>
        <v>0</v>
      </c>
      <c r="AF92" s="585"/>
      <c r="AG92" s="585">
        <v>0</v>
      </c>
      <c r="AH92" s="571">
        <v>13250000</v>
      </c>
      <c r="AI92" s="574"/>
      <c r="AJ92" s="578"/>
    </row>
    <row r="93" spans="1:37" s="376" customFormat="1" ht="255.75" customHeight="1" outlineLevel="2" x14ac:dyDescent="0.3">
      <c r="A93" s="447">
        <v>9</v>
      </c>
      <c r="B93" s="558" t="s">
        <v>2793</v>
      </c>
      <c r="C93" s="558"/>
      <c r="D93" s="587"/>
      <c r="E93" s="560"/>
      <c r="F93" s="558" t="s">
        <v>2891</v>
      </c>
      <c r="G93" s="588">
        <v>23.9</v>
      </c>
      <c r="H93" s="546" t="s">
        <v>2899</v>
      </c>
      <c r="I93" s="563">
        <v>554400</v>
      </c>
      <c r="J93" s="563">
        <v>0</v>
      </c>
      <c r="K93" s="564">
        <v>13250000</v>
      </c>
      <c r="L93" s="564">
        <v>0</v>
      </c>
      <c r="M93" s="586"/>
      <c r="N93" s="586"/>
      <c r="O93" s="630"/>
      <c r="P93" s="564"/>
      <c r="Q93" s="564"/>
      <c r="R93" s="586"/>
      <c r="S93" s="609"/>
      <c r="T93" s="591"/>
      <c r="U93" s="611"/>
      <c r="V93" s="564" t="s">
        <v>2899</v>
      </c>
      <c r="W93" s="564" t="s">
        <v>25</v>
      </c>
      <c r="X93" s="589"/>
      <c r="Y93" s="592"/>
      <c r="Z93" s="592"/>
      <c r="AA93" s="568"/>
      <c r="AB93" s="592"/>
      <c r="AC93" s="592"/>
      <c r="AD93" s="592"/>
      <c r="AE93" s="590"/>
      <c r="AF93" s="570" t="s">
        <v>2899</v>
      </c>
      <c r="AG93" s="570"/>
      <c r="AH93" s="571" t="s">
        <v>25</v>
      </c>
      <c r="AI93" s="558" t="s">
        <v>2189</v>
      </c>
      <c r="AJ93" s="586" t="s">
        <v>2771</v>
      </c>
      <c r="AK93" s="376" t="s">
        <v>2188</v>
      </c>
    </row>
    <row r="94" spans="1:37" s="376" customFormat="1" ht="97.5" customHeight="1" outlineLevel="2" x14ac:dyDescent="0.3">
      <c r="A94" s="447">
        <v>9</v>
      </c>
      <c r="B94" s="558" t="s">
        <v>2792</v>
      </c>
      <c r="C94" s="558"/>
      <c r="D94" s="587"/>
      <c r="E94" s="560"/>
      <c r="F94" s="558"/>
      <c r="G94" s="588"/>
      <c r="H94" s="546"/>
      <c r="I94" s="563" t="s">
        <v>25</v>
      </c>
      <c r="J94" s="563" t="s">
        <v>25</v>
      </c>
      <c r="K94" s="564" t="s">
        <v>25</v>
      </c>
      <c r="L94" s="564" t="s">
        <v>25</v>
      </c>
      <c r="M94" s="586"/>
      <c r="N94" s="586"/>
      <c r="O94" s="630"/>
      <c r="P94" s="564"/>
      <c r="Q94" s="564"/>
      <c r="R94" s="586"/>
      <c r="S94" s="609"/>
      <c r="T94" s="591"/>
      <c r="U94" s="611"/>
      <c r="V94" s="564" t="s">
        <v>2899</v>
      </c>
      <c r="W94" s="564" t="s">
        <v>25</v>
      </c>
      <c r="X94" s="589"/>
      <c r="Y94" s="592"/>
      <c r="Z94" s="592"/>
      <c r="AA94" s="568"/>
      <c r="AB94" s="592"/>
      <c r="AC94" s="592"/>
      <c r="AD94" s="592"/>
      <c r="AE94" s="590"/>
      <c r="AF94" s="570" t="s">
        <v>2899</v>
      </c>
      <c r="AG94" s="570"/>
      <c r="AH94" s="571" t="s">
        <v>25</v>
      </c>
      <c r="AI94" s="558" t="s">
        <v>2453</v>
      </c>
      <c r="AJ94" s="593"/>
    </row>
    <row r="95" spans="1:37" s="376" customFormat="1" ht="20.25" outlineLevel="2" x14ac:dyDescent="0.3">
      <c r="A95" s="447">
        <v>9</v>
      </c>
      <c r="B95" s="574"/>
      <c r="C95" s="574"/>
      <c r="D95" s="587"/>
      <c r="E95" s="560"/>
      <c r="F95" s="558"/>
      <c r="G95" s="588"/>
      <c r="H95" s="546"/>
      <c r="I95" s="563" t="s">
        <v>25</v>
      </c>
      <c r="J95" s="563" t="s">
        <v>25</v>
      </c>
      <c r="K95" s="564" t="s">
        <v>25</v>
      </c>
      <c r="L95" s="564" t="s">
        <v>25</v>
      </c>
      <c r="M95" s="586"/>
      <c r="N95" s="586"/>
      <c r="O95" s="630"/>
      <c r="P95" s="564"/>
      <c r="Q95" s="564"/>
      <c r="R95" s="586"/>
      <c r="S95" s="609"/>
      <c r="T95" s="591"/>
      <c r="U95" s="611"/>
      <c r="V95" s="564" t="s">
        <v>2899</v>
      </c>
      <c r="W95" s="564" t="s">
        <v>25</v>
      </c>
      <c r="X95" s="589"/>
      <c r="Y95" s="592"/>
      <c r="Z95" s="592"/>
      <c r="AA95" s="568"/>
      <c r="AB95" s="592"/>
      <c r="AC95" s="592"/>
      <c r="AD95" s="592"/>
      <c r="AE95" s="590"/>
      <c r="AF95" s="570" t="s">
        <v>2899</v>
      </c>
      <c r="AG95" s="570"/>
      <c r="AH95" s="571" t="s">
        <v>25</v>
      </c>
      <c r="AI95" s="593"/>
      <c r="AJ95" s="593"/>
    </row>
    <row r="96" spans="1:37" s="376" customFormat="1" ht="20.25" outlineLevel="2" x14ac:dyDescent="0.3">
      <c r="A96" s="447">
        <v>9</v>
      </c>
      <c r="B96" s="574"/>
      <c r="C96" s="574"/>
      <c r="D96" s="587"/>
      <c r="E96" s="560"/>
      <c r="F96" s="558"/>
      <c r="G96" s="588"/>
      <c r="H96" s="546"/>
      <c r="I96" s="563" t="s">
        <v>25</v>
      </c>
      <c r="J96" s="563" t="s">
        <v>25</v>
      </c>
      <c r="K96" s="564" t="s">
        <v>25</v>
      </c>
      <c r="L96" s="564" t="s">
        <v>25</v>
      </c>
      <c r="M96" s="586"/>
      <c r="N96" s="586"/>
      <c r="O96" s="630"/>
      <c r="P96" s="564"/>
      <c r="Q96" s="564"/>
      <c r="R96" s="586"/>
      <c r="S96" s="609"/>
      <c r="T96" s="591"/>
      <c r="U96" s="611"/>
      <c r="V96" s="564" t="s">
        <v>2899</v>
      </c>
      <c r="W96" s="564" t="s">
        <v>25</v>
      </c>
      <c r="X96" s="589"/>
      <c r="Y96" s="592"/>
      <c r="Z96" s="592"/>
      <c r="AA96" s="568"/>
      <c r="AB96" s="592"/>
      <c r="AC96" s="592"/>
      <c r="AD96" s="592"/>
      <c r="AE96" s="590"/>
      <c r="AF96" s="570" t="s">
        <v>2899</v>
      </c>
      <c r="AG96" s="570"/>
      <c r="AH96" s="571" t="s">
        <v>25</v>
      </c>
      <c r="AI96" s="593"/>
      <c r="AJ96" s="593"/>
    </row>
    <row r="97" spans="1:38" s="376" customFormat="1" ht="20.25" outlineLevel="2" x14ac:dyDescent="0.3">
      <c r="A97" s="447">
        <v>9</v>
      </c>
      <c r="B97" s="574"/>
      <c r="C97" s="574"/>
      <c r="D97" s="595"/>
      <c r="E97" s="577"/>
      <c r="F97" s="558"/>
      <c r="G97" s="588"/>
      <c r="H97" s="546"/>
      <c r="I97" s="563" t="s">
        <v>25</v>
      </c>
      <c r="J97" s="563" t="s">
        <v>25</v>
      </c>
      <c r="K97" s="564" t="s">
        <v>25</v>
      </c>
      <c r="L97" s="564" t="s">
        <v>25</v>
      </c>
      <c r="M97" s="586"/>
      <c r="N97" s="586"/>
      <c r="O97" s="630"/>
      <c r="P97" s="564"/>
      <c r="Q97" s="564"/>
      <c r="R97" s="586"/>
      <c r="S97" s="609"/>
      <c r="T97" s="591"/>
      <c r="U97" s="611"/>
      <c r="V97" s="564" t="s">
        <v>2899</v>
      </c>
      <c r="W97" s="564" t="s">
        <v>25</v>
      </c>
      <c r="X97" s="589"/>
      <c r="Y97" s="592"/>
      <c r="Z97" s="592"/>
      <c r="AA97" s="568"/>
      <c r="AB97" s="592"/>
      <c r="AC97" s="592"/>
      <c r="AD97" s="592"/>
      <c r="AE97" s="590"/>
      <c r="AF97" s="570" t="s">
        <v>2899</v>
      </c>
      <c r="AG97" s="570"/>
      <c r="AH97" s="571" t="s">
        <v>25</v>
      </c>
      <c r="AI97" s="593"/>
      <c r="AJ97" s="593"/>
    </row>
    <row r="98" spans="1:38" s="376" customFormat="1" ht="81" outlineLevel="1" x14ac:dyDescent="0.25">
      <c r="A98" s="467">
        <v>10</v>
      </c>
      <c r="B98" s="574" t="s">
        <v>2166</v>
      </c>
      <c r="C98" s="773" t="s">
        <v>2902</v>
      </c>
      <c r="D98" s="587">
        <v>86</v>
      </c>
      <c r="E98" s="560">
        <v>1582</v>
      </c>
      <c r="F98" s="574"/>
      <c r="G98" s="618">
        <v>16.600000000000001</v>
      </c>
      <c r="H98" s="579">
        <v>0</v>
      </c>
      <c r="I98" s="581"/>
      <c r="J98" s="581"/>
      <c r="K98" s="571">
        <v>9203000</v>
      </c>
      <c r="L98" s="571">
        <v>0</v>
      </c>
      <c r="M98" s="578"/>
      <c r="N98" s="578"/>
      <c r="O98" s="633">
        <v>0</v>
      </c>
      <c r="P98" s="571"/>
      <c r="Q98" s="571">
        <v>0</v>
      </c>
      <c r="R98" s="578"/>
      <c r="S98" s="621"/>
      <c r="T98" s="600">
        <v>0</v>
      </c>
      <c r="U98" s="622"/>
      <c r="V98" s="571"/>
      <c r="W98" s="571">
        <v>0</v>
      </c>
      <c r="X98" s="589"/>
      <c r="Y98" s="592"/>
      <c r="Z98" s="592"/>
      <c r="AA98" s="568"/>
      <c r="AB98" s="592"/>
      <c r="AC98" s="592"/>
      <c r="AD98" s="601"/>
      <c r="AE98" s="599">
        <f>SUBTOTAL(9,AE99:AE102)</f>
        <v>0</v>
      </c>
      <c r="AF98" s="585"/>
      <c r="AG98" s="585">
        <v>0</v>
      </c>
      <c r="AH98" s="571">
        <v>9203000</v>
      </c>
      <c r="AI98" s="574"/>
      <c r="AJ98" s="578"/>
    </row>
    <row r="99" spans="1:38" s="376" customFormat="1" ht="272.25" customHeight="1" outlineLevel="2" x14ac:dyDescent="0.3">
      <c r="A99" s="447">
        <v>10</v>
      </c>
      <c r="B99" s="558" t="s">
        <v>2793</v>
      </c>
      <c r="C99" s="558"/>
      <c r="D99" s="587"/>
      <c r="E99" s="560"/>
      <c r="F99" s="558" t="s">
        <v>2891</v>
      </c>
      <c r="G99" s="588">
        <v>16.600000000000001</v>
      </c>
      <c r="H99" s="546" t="s">
        <v>2899</v>
      </c>
      <c r="I99" s="563">
        <v>554400</v>
      </c>
      <c r="J99" s="563">
        <v>0</v>
      </c>
      <c r="K99" s="564">
        <v>9203000</v>
      </c>
      <c r="L99" s="564">
        <v>0</v>
      </c>
      <c r="M99" s="586"/>
      <c r="N99" s="586"/>
      <c r="O99" s="630"/>
      <c r="P99" s="564"/>
      <c r="Q99" s="564"/>
      <c r="R99" s="586"/>
      <c r="S99" s="609"/>
      <c r="T99" s="591"/>
      <c r="U99" s="611"/>
      <c r="V99" s="564" t="s">
        <v>2899</v>
      </c>
      <c r="W99" s="564" t="s">
        <v>25</v>
      </c>
      <c r="X99" s="589"/>
      <c r="Y99" s="592"/>
      <c r="Z99" s="592"/>
      <c r="AA99" s="568"/>
      <c r="AB99" s="592"/>
      <c r="AC99" s="592"/>
      <c r="AD99" s="592"/>
      <c r="AE99" s="590"/>
      <c r="AF99" s="570" t="s">
        <v>2899</v>
      </c>
      <c r="AG99" s="570"/>
      <c r="AH99" s="571" t="s">
        <v>25</v>
      </c>
      <c r="AI99" s="558" t="s">
        <v>2190</v>
      </c>
      <c r="AJ99" s="586" t="s">
        <v>2771</v>
      </c>
      <c r="AK99" s="376" t="s">
        <v>2188</v>
      </c>
    </row>
    <row r="100" spans="1:38" s="376" customFormat="1" ht="106.5" customHeight="1" outlineLevel="2" x14ac:dyDescent="0.3">
      <c r="A100" s="447">
        <v>10</v>
      </c>
      <c r="B100" s="558" t="s">
        <v>2792</v>
      </c>
      <c r="C100" s="558"/>
      <c r="D100" s="587"/>
      <c r="E100" s="560"/>
      <c r="F100" s="558"/>
      <c r="G100" s="588"/>
      <c r="H100" s="546"/>
      <c r="I100" s="563" t="s">
        <v>25</v>
      </c>
      <c r="J100" s="563" t="s">
        <v>25</v>
      </c>
      <c r="K100" s="564" t="s">
        <v>25</v>
      </c>
      <c r="L100" s="564" t="s">
        <v>25</v>
      </c>
      <c r="M100" s="586"/>
      <c r="N100" s="586"/>
      <c r="O100" s="630"/>
      <c r="P100" s="564"/>
      <c r="Q100" s="564"/>
      <c r="R100" s="586"/>
      <c r="S100" s="609"/>
      <c r="T100" s="591"/>
      <c r="U100" s="611"/>
      <c r="V100" s="564" t="s">
        <v>2899</v>
      </c>
      <c r="W100" s="564" t="s">
        <v>25</v>
      </c>
      <c r="X100" s="589"/>
      <c r="Y100" s="592"/>
      <c r="Z100" s="592"/>
      <c r="AA100" s="568"/>
      <c r="AB100" s="592"/>
      <c r="AC100" s="592"/>
      <c r="AD100" s="592"/>
      <c r="AE100" s="590"/>
      <c r="AF100" s="570" t="s">
        <v>2899</v>
      </c>
      <c r="AG100" s="570"/>
      <c r="AH100" s="571" t="s">
        <v>25</v>
      </c>
      <c r="AI100" s="558" t="s">
        <v>2453</v>
      </c>
      <c r="AJ100" s="593"/>
    </row>
    <row r="101" spans="1:38" s="376" customFormat="1" ht="20.25" outlineLevel="2" x14ac:dyDescent="0.3">
      <c r="A101" s="447">
        <v>10</v>
      </c>
      <c r="B101" s="574"/>
      <c r="C101" s="574"/>
      <c r="D101" s="587"/>
      <c r="E101" s="560"/>
      <c r="F101" s="558"/>
      <c r="G101" s="588"/>
      <c r="H101" s="546"/>
      <c r="I101" s="563" t="s">
        <v>25</v>
      </c>
      <c r="J101" s="563" t="s">
        <v>25</v>
      </c>
      <c r="K101" s="564" t="s">
        <v>25</v>
      </c>
      <c r="L101" s="564" t="s">
        <v>25</v>
      </c>
      <c r="M101" s="586"/>
      <c r="N101" s="586"/>
      <c r="O101" s="630"/>
      <c r="P101" s="564"/>
      <c r="Q101" s="564"/>
      <c r="R101" s="586"/>
      <c r="S101" s="609"/>
      <c r="T101" s="591"/>
      <c r="U101" s="611"/>
      <c r="V101" s="564" t="s">
        <v>2899</v>
      </c>
      <c r="W101" s="564" t="s">
        <v>25</v>
      </c>
      <c r="X101" s="589"/>
      <c r="Y101" s="592"/>
      <c r="Z101" s="592"/>
      <c r="AA101" s="568"/>
      <c r="AB101" s="592"/>
      <c r="AC101" s="592"/>
      <c r="AD101" s="592"/>
      <c r="AE101" s="590"/>
      <c r="AF101" s="570" t="s">
        <v>2899</v>
      </c>
      <c r="AG101" s="570"/>
      <c r="AH101" s="571" t="s">
        <v>25</v>
      </c>
      <c r="AI101" s="593"/>
      <c r="AJ101" s="593"/>
    </row>
    <row r="102" spans="1:38" s="376" customFormat="1" ht="20.25" outlineLevel="2" x14ac:dyDescent="0.3">
      <c r="A102" s="447">
        <v>10</v>
      </c>
      <c r="B102" s="574"/>
      <c r="C102" s="574"/>
      <c r="D102" s="595"/>
      <c r="E102" s="577"/>
      <c r="F102" s="558"/>
      <c r="G102" s="588"/>
      <c r="H102" s="546"/>
      <c r="I102" s="563" t="s">
        <v>25</v>
      </c>
      <c r="J102" s="563" t="s">
        <v>25</v>
      </c>
      <c r="K102" s="564" t="s">
        <v>25</v>
      </c>
      <c r="L102" s="564" t="s">
        <v>25</v>
      </c>
      <c r="M102" s="586"/>
      <c r="N102" s="586"/>
      <c r="O102" s="630"/>
      <c r="P102" s="564"/>
      <c r="Q102" s="564"/>
      <c r="R102" s="586"/>
      <c r="S102" s="609"/>
      <c r="T102" s="591"/>
      <c r="U102" s="611"/>
      <c r="V102" s="564" t="s">
        <v>2899</v>
      </c>
      <c r="W102" s="564" t="s">
        <v>25</v>
      </c>
      <c r="X102" s="589"/>
      <c r="Y102" s="592"/>
      <c r="Z102" s="592"/>
      <c r="AA102" s="568"/>
      <c r="AB102" s="592"/>
      <c r="AC102" s="592"/>
      <c r="AD102" s="592"/>
      <c r="AE102" s="590"/>
      <c r="AF102" s="570" t="s">
        <v>2899</v>
      </c>
      <c r="AG102" s="570"/>
      <c r="AH102" s="571" t="s">
        <v>25</v>
      </c>
      <c r="AI102" s="593"/>
      <c r="AJ102" s="593"/>
    </row>
    <row r="103" spans="1:38" s="376" customFormat="1" ht="117" customHeight="1" outlineLevel="1" x14ac:dyDescent="0.25">
      <c r="A103" s="467">
        <v>11</v>
      </c>
      <c r="B103" s="574" t="s">
        <v>2166</v>
      </c>
      <c r="C103" s="773" t="s">
        <v>2902</v>
      </c>
      <c r="D103" s="587">
        <v>86</v>
      </c>
      <c r="E103" s="560">
        <v>1582</v>
      </c>
      <c r="F103" s="574"/>
      <c r="G103" s="618">
        <v>23.5</v>
      </c>
      <c r="H103" s="579">
        <v>0</v>
      </c>
      <c r="I103" s="581"/>
      <c r="J103" s="581"/>
      <c r="K103" s="571">
        <v>13029000</v>
      </c>
      <c r="L103" s="571">
        <v>0</v>
      </c>
      <c r="M103" s="578"/>
      <c r="N103" s="578"/>
      <c r="O103" s="633">
        <v>0</v>
      </c>
      <c r="P103" s="571"/>
      <c r="Q103" s="571">
        <v>0</v>
      </c>
      <c r="R103" s="578"/>
      <c r="S103" s="621"/>
      <c r="T103" s="600">
        <v>0</v>
      </c>
      <c r="U103" s="622"/>
      <c r="V103" s="571"/>
      <c r="W103" s="571">
        <v>0</v>
      </c>
      <c r="X103" s="589"/>
      <c r="Y103" s="592"/>
      <c r="Z103" s="592"/>
      <c r="AA103" s="568"/>
      <c r="AB103" s="592"/>
      <c r="AC103" s="592"/>
      <c r="AD103" s="601"/>
      <c r="AE103" s="599">
        <f>SUBTOTAL(9,AE104:AE107)</f>
        <v>0</v>
      </c>
      <c r="AF103" s="585"/>
      <c r="AG103" s="585">
        <v>0</v>
      </c>
      <c r="AH103" s="571">
        <v>13029000</v>
      </c>
      <c r="AI103" s="574"/>
      <c r="AJ103" s="578"/>
    </row>
    <row r="104" spans="1:38" s="376" customFormat="1" ht="266.25" customHeight="1" outlineLevel="2" x14ac:dyDescent="0.3">
      <c r="A104" s="447">
        <v>11</v>
      </c>
      <c r="B104" s="558" t="s">
        <v>2793</v>
      </c>
      <c r="C104" s="558"/>
      <c r="D104" s="612"/>
      <c r="E104" s="612"/>
      <c r="F104" s="558" t="s">
        <v>2891</v>
      </c>
      <c r="G104" s="588">
        <v>6.1000000000000014</v>
      </c>
      <c r="H104" s="546" t="s">
        <v>2899</v>
      </c>
      <c r="I104" s="563">
        <v>554400</v>
      </c>
      <c r="J104" s="563">
        <v>0</v>
      </c>
      <c r="K104" s="564">
        <v>3382000</v>
      </c>
      <c r="L104" s="564">
        <v>0</v>
      </c>
      <c r="M104" s="586"/>
      <c r="N104" s="586"/>
      <c r="O104" s="630"/>
      <c r="P104" s="564"/>
      <c r="Q104" s="564"/>
      <c r="R104" s="586"/>
      <c r="S104" s="609"/>
      <c r="T104" s="591"/>
      <c r="U104" s="611"/>
      <c r="V104" s="564" t="s">
        <v>2899</v>
      </c>
      <c r="W104" s="564" t="s">
        <v>25</v>
      </c>
      <c r="X104" s="589"/>
      <c r="Y104" s="592"/>
      <c r="Z104" s="592"/>
      <c r="AA104" s="568"/>
      <c r="AB104" s="592"/>
      <c r="AC104" s="592"/>
      <c r="AD104" s="592"/>
      <c r="AE104" s="590"/>
      <c r="AF104" s="570" t="s">
        <v>2899</v>
      </c>
      <c r="AG104" s="570"/>
      <c r="AH104" s="571" t="s">
        <v>25</v>
      </c>
      <c r="AI104" s="558" t="s">
        <v>2191</v>
      </c>
      <c r="AJ104" s="586" t="s">
        <v>2771</v>
      </c>
      <c r="AK104" s="376" t="s">
        <v>2188</v>
      </c>
    </row>
    <row r="105" spans="1:38" s="376" customFormat="1" ht="101.25" outlineLevel="2" x14ac:dyDescent="0.3">
      <c r="A105" s="447">
        <v>11</v>
      </c>
      <c r="B105" s="558" t="s">
        <v>2792</v>
      </c>
      <c r="C105" s="558"/>
      <c r="D105" s="587"/>
      <c r="E105" s="560"/>
      <c r="F105" s="558" t="s">
        <v>2894</v>
      </c>
      <c r="G105" s="588">
        <v>17.399999999999999</v>
      </c>
      <c r="H105" s="546" t="s">
        <v>2899</v>
      </c>
      <c r="I105" s="563">
        <v>554400</v>
      </c>
      <c r="J105" s="563">
        <v>0</v>
      </c>
      <c r="K105" s="564">
        <v>9647000</v>
      </c>
      <c r="L105" s="564">
        <v>0</v>
      </c>
      <c r="M105" s="586"/>
      <c r="N105" s="586"/>
      <c r="O105" s="630"/>
      <c r="P105" s="564"/>
      <c r="Q105" s="564"/>
      <c r="R105" s="586"/>
      <c r="S105" s="609"/>
      <c r="T105" s="591"/>
      <c r="U105" s="611"/>
      <c r="V105" s="564" t="s">
        <v>2899</v>
      </c>
      <c r="W105" s="564" t="s">
        <v>25</v>
      </c>
      <c r="X105" s="589"/>
      <c r="Y105" s="592"/>
      <c r="Z105" s="592"/>
      <c r="AA105" s="568"/>
      <c r="AB105" s="592"/>
      <c r="AC105" s="592"/>
      <c r="AD105" s="592"/>
      <c r="AE105" s="590"/>
      <c r="AF105" s="570" t="s">
        <v>2899</v>
      </c>
      <c r="AG105" s="570"/>
      <c r="AH105" s="571" t="s">
        <v>25</v>
      </c>
      <c r="AI105" s="558" t="s">
        <v>2453</v>
      </c>
      <c r="AJ105" s="593"/>
    </row>
    <row r="106" spans="1:38" s="376" customFormat="1" ht="20.25" outlineLevel="2" x14ac:dyDescent="0.3">
      <c r="A106" s="447">
        <v>11</v>
      </c>
      <c r="B106" s="574"/>
      <c r="C106" s="574"/>
      <c r="D106" s="587"/>
      <c r="E106" s="560"/>
      <c r="F106" s="558"/>
      <c r="G106" s="588"/>
      <c r="H106" s="546"/>
      <c r="I106" s="563" t="s">
        <v>25</v>
      </c>
      <c r="J106" s="563" t="s">
        <v>25</v>
      </c>
      <c r="K106" s="564" t="s">
        <v>25</v>
      </c>
      <c r="L106" s="564" t="s">
        <v>25</v>
      </c>
      <c r="M106" s="586"/>
      <c r="N106" s="586"/>
      <c r="O106" s="630"/>
      <c r="P106" s="564"/>
      <c r="Q106" s="564"/>
      <c r="R106" s="586"/>
      <c r="S106" s="609"/>
      <c r="T106" s="591"/>
      <c r="U106" s="611"/>
      <c r="V106" s="564" t="s">
        <v>2899</v>
      </c>
      <c r="W106" s="564" t="s">
        <v>25</v>
      </c>
      <c r="X106" s="589"/>
      <c r="Y106" s="592"/>
      <c r="Z106" s="592"/>
      <c r="AA106" s="568"/>
      <c r="AB106" s="592"/>
      <c r="AC106" s="592"/>
      <c r="AD106" s="592"/>
      <c r="AE106" s="590"/>
      <c r="AF106" s="570" t="s">
        <v>2899</v>
      </c>
      <c r="AG106" s="570"/>
      <c r="AH106" s="571" t="s">
        <v>25</v>
      </c>
      <c r="AI106" s="593"/>
      <c r="AJ106" s="593"/>
    </row>
    <row r="107" spans="1:38" s="376" customFormat="1" ht="20.25" outlineLevel="2" x14ac:dyDescent="0.3">
      <c r="A107" s="447">
        <v>11</v>
      </c>
      <c r="B107" s="607"/>
      <c r="C107" s="607"/>
      <c r="D107" s="623"/>
      <c r="E107" s="623"/>
      <c r="F107" s="558"/>
      <c r="G107" s="588"/>
      <c r="H107" s="546"/>
      <c r="I107" s="563" t="s">
        <v>25</v>
      </c>
      <c r="J107" s="563" t="s">
        <v>25</v>
      </c>
      <c r="K107" s="564" t="s">
        <v>25</v>
      </c>
      <c r="L107" s="564" t="s">
        <v>25</v>
      </c>
      <c r="M107" s="586"/>
      <c r="N107" s="586"/>
      <c r="O107" s="630"/>
      <c r="P107" s="564"/>
      <c r="Q107" s="564"/>
      <c r="R107" s="586"/>
      <c r="S107" s="609"/>
      <c r="T107" s="591"/>
      <c r="U107" s="611"/>
      <c r="V107" s="564" t="s">
        <v>2899</v>
      </c>
      <c r="W107" s="564" t="s">
        <v>25</v>
      </c>
      <c r="X107" s="589"/>
      <c r="Y107" s="592"/>
      <c r="Z107" s="592"/>
      <c r="AA107" s="568"/>
      <c r="AB107" s="592"/>
      <c r="AC107" s="592"/>
      <c r="AD107" s="592"/>
      <c r="AE107" s="590"/>
      <c r="AF107" s="570" t="s">
        <v>2899</v>
      </c>
      <c r="AG107" s="570"/>
      <c r="AH107" s="571" t="s">
        <v>25</v>
      </c>
      <c r="AI107" s="593"/>
      <c r="AJ107" s="593"/>
    </row>
    <row r="108" spans="1:38" s="376" customFormat="1" ht="60" customHeight="1" outlineLevel="1" x14ac:dyDescent="0.3">
      <c r="A108" s="467">
        <v>12</v>
      </c>
      <c r="B108" s="607" t="s">
        <v>2167</v>
      </c>
      <c r="C108" s="773" t="s">
        <v>2902</v>
      </c>
      <c r="D108" s="627"/>
      <c r="E108" s="627"/>
      <c r="F108" s="624"/>
      <c r="G108" s="625">
        <v>0</v>
      </c>
      <c r="H108" s="579">
        <v>0</v>
      </c>
      <c r="I108" s="581"/>
      <c r="J108" s="581"/>
      <c r="K108" s="571">
        <v>0</v>
      </c>
      <c r="L108" s="571">
        <v>0</v>
      </c>
      <c r="M108" s="574"/>
      <c r="N108" s="574"/>
      <c r="O108" s="599">
        <v>8</v>
      </c>
      <c r="P108" s="571"/>
      <c r="Q108" s="571">
        <v>7330000</v>
      </c>
      <c r="R108" s="582"/>
      <c r="S108" s="597"/>
      <c r="T108" s="600">
        <v>76.439999999999984</v>
      </c>
      <c r="U108" s="597"/>
      <c r="V108" s="571"/>
      <c r="W108" s="571">
        <v>38028000</v>
      </c>
      <c r="X108" s="589"/>
      <c r="Y108" s="592"/>
      <c r="Z108" s="592"/>
      <c r="AA108" s="568"/>
      <c r="AB108" s="592"/>
      <c r="AC108" s="592"/>
      <c r="AD108" s="601"/>
      <c r="AE108" s="599">
        <f>SUBTOTAL(9,AE109:AE118)</f>
        <v>0</v>
      </c>
      <c r="AF108" s="585"/>
      <c r="AG108" s="585">
        <v>0</v>
      </c>
      <c r="AH108" s="571">
        <v>45358000</v>
      </c>
      <c r="AI108" s="624"/>
      <c r="AJ108" s="574"/>
      <c r="AL108" s="473"/>
    </row>
    <row r="109" spans="1:38" s="376" customFormat="1" ht="135.75" customHeight="1" outlineLevel="2" x14ac:dyDescent="0.3">
      <c r="A109" s="447">
        <v>12</v>
      </c>
      <c r="B109" s="558" t="s">
        <v>100</v>
      </c>
      <c r="C109" s="558"/>
      <c r="D109" s="587"/>
      <c r="E109" s="560"/>
      <c r="F109" s="575"/>
      <c r="G109" s="561"/>
      <c r="H109" s="546"/>
      <c r="I109" s="563" t="s">
        <v>25</v>
      </c>
      <c r="J109" s="563" t="s">
        <v>25</v>
      </c>
      <c r="K109" s="564" t="s">
        <v>25</v>
      </c>
      <c r="L109" s="564" t="s">
        <v>25</v>
      </c>
      <c r="M109" s="558" t="s">
        <v>61</v>
      </c>
      <c r="N109" s="558"/>
      <c r="O109" s="590">
        <v>4</v>
      </c>
      <c r="P109" s="564">
        <v>1708000</v>
      </c>
      <c r="Q109" s="564">
        <v>6832000</v>
      </c>
      <c r="R109" s="566" t="s">
        <v>2261</v>
      </c>
      <c r="S109" s="589" t="s">
        <v>53</v>
      </c>
      <c r="T109" s="591">
        <v>29.2</v>
      </c>
      <c r="U109" s="589"/>
      <c r="V109" s="564">
        <v>211811</v>
      </c>
      <c r="W109" s="564">
        <v>6185000</v>
      </c>
      <c r="X109" s="589"/>
      <c r="Y109" s="592"/>
      <c r="Z109" s="592"/>
      <c r="AA109" s="568"/>
      <c r="AB109" s="592"/>
      <c r="AC109" s="592"/>
      <c r="AD109" s="592"/>
      <c r="AE109" s="590"/>
      <c r="AF109" s="570" t="s">
        <v>2899</v>
      </c>
      <c r="AG109" s="570" t="s">
        <v>25</v>
      </c>
      <c r="AH109" s="571" t="s">
        <v>25</v>
      </c>
      <c r="AI109" s="575"/>
      <c r="AJ109" s="558" t="s">
        <v>2450</v>
      </c>
      <c r="AL109" s="378" t="s">
        <v>2156</v>
      </c>
    </row>
    <row r="110" spans="1:38" s="376" customFormat="1" ht="134.25" customHeight="1" outlineLevel="2" x14ac:dyDescent="0.3">
      <c r="A110" s="447">
        <v>12</v>
      </c>
      <c r="B110" s="572" t="s">
        <v>629</v>
      </c>
      <c r="C110" s="572"/>
      <c r="D110" s="587"/>
      <c r="E110" s="560"/>
      <c r="F110" s="558"/>
      <c r="G110" s="588"/>
      <c r="H110" s="546"/>
      <c r="I110" s="563" t="s">
        <v>25</v>
      </c>
      <c r="J110" s="563" t="s">
        <v>25</v>
      </c>
      <c r="K110" s="564" t="s">
        <v>25</v>
      </c>
      <c r="L110" s="564" t="s">
        <v>25</v>
      </c>
      <c r="M110" s="558" t="s">
        <v>726</v>
      </c>
      <c r="N110" s="558"/>
      <c r="O110" s="590">
        <v>1</v>
      </c>
      <c r="P110" s="564">
        <v>60000</v>
      </c>
      <c r="Q110" s="564">
        <v>60000</v>
      </c>
      <c r="R110" s="566" t="s">
        <v>2262</v>
      </c>
      <c r="S110" s="589" t="s">
        <v>53</v>
      </c>
      <c r="T110" s="591">
        <v>1.3</v>
      </c>
      <c r="U110" s="589"/>
      <c r="V110" s="564">
        <v>3346339</v>
      </c>
      <c r="W110" s="564">
        <v>4350000</v>
      </c>
      <c r="X110" s="589"/>
      <c r="Y110" s="568" t="s">
        <v>433</v>
      </c>
      <c r="Z110" s="592" t="s">
        <v>56</v>
      </c>
      <c r="AA110" s="568" t="s">
        <v>57</v>
      </c>
      <c r="AB110" s="592" t="s">
        <v>54</v>
      </c>
      <c r="AC110" s="592"/>
      <c r="AD110" s="592"/>
      <c r="AE110" s="590"/>
      <c r="AF110" s="570" t="s">
        <v>2899</v>
      </c>
      <c r="AG110" s="570" t="s">
        <v>25</v>
      </c>
      <c r="AH110" s="571" t="s">
        <v>25</v>
      </c>
      <c r="AI110" s="575"/>
      <c r="AJ110" s="558" t="s">
        <v>2449</v>
      </c>
    </row>
    <row r="111" spans="1:38" s="376" customFormat="1" ht="137.25" customHeight="1" outlineLevel="2" x14ac:dyDescent="0.3">
      <c r="A111" s="447">
        <v>12</v>
      </c>
      <c r="B111" s="558" t="s">
        <v>307</v>
      </c>
      <c r="C111" s="558"/>
      <c r="D111" s="587"/>
      <c r="E111" s="560"/>
      <c r="F111" s="558"/>
      <c r="G111" s="588"/>
      <c r="H111" s="546"/>
      <c r="I111" s="563" t="s">
        <v>25</v>
      </c>
      <c r="J111" s="563" t="s">
        <v>25</v>
      </c>
      <c r="K111" s="564" t="s">
        <v>25</v>
      </c>
      <c r="L111" s="564" t="s">
        <v>25</v>
      </c>
      <c r="M111" s="558" t="s">
        <v>352</v>
      </c>
      <c r="N111" s="558"/>
      <c r="O111" s="590">
        <v>1</v>
      </c>
      <c r="P111" s="564">
        <v>60000</v>
      </c>
      <c r="Q111" s="564">
        <v>60000</v>
      </c>
      <c r="R111" s="566" t="s">
        <v>2263</v>
      </c>
      <c r="S111" s="589" t="s">
        <v>53</v>
      </c>
      <c r="T111" s="591">
        <v>22.88</v>
      </c>
      <c r="U111" s="589"/>
      <c r="V111" s="564">
        <v>791229</v>
      </c>
      <c r="W111" s="564">
        <v>18103000</v>
      </c>
      <c r="X111" s="589"/>
      <c r="Y111" s="592"/>
      <c r="Z111" s="592"/>
      <c r="AA111" s="568"/>
      <c r="AB111" s="592"/>
      <c r="AC111" s="592"/>
      <c r="AD111" s="592"/>
      <c r="AE111" s="590"/>
      <c r="AF111" s="570" t="s">
        <v>2899</v>
      </c>
      <c r="AG111" s="570" t="s">
        <v>25</v>
      </c>
      <c r="AH111" s="571" t="s">
        <v>25</v>
      </c>
      <c r="AI111" s="593"/>
      <c r="AJ111" s="558" t="s">
        <v>2800</v>
      </c>
    </row>
    <row r="112" spans="1:38" s="376" customFormat="1" ht="75.75" customHeight="1" outlineLevel="2" x14ac:dyDescent="0.3">
      <c r="A112" s="447">
        <v>12</v>
      </c>
      <c r="B112" s="558"/>
      <c r="C112" s="558"/>
      <c r="D112" s="595"/>
      <c r="E112" s="577"/>
      <c r="F112" s="558"/>
      <c r="G112" s="588"/>
      <c r="H112" s="546"/>
      <c r="I112" s="563" t="s">
        <v>25</v>
      </c>
      <c r="J112" s="563" t="s">
        <v>25</v>
      </c>
      <c r="K112" s="564" t="s">
        <v>25</v>
      </c>
      <c r="L112" s="564" t="s">
        <v>25</v>
      </c>
      <c r="M112" s="558" t="s">
        <v>729</v>
      </c>
      <c r="N112" s="558"/>
      <c r="O112" s="590">
        <v>1</v>
      </c>
      <c r="P112" s="564">
        <v>150000</v>
      </c>
      <c r="Q112" s="564">
        <v>150000</v>
      </c>
      <c r="R112" s="566" t="s">
        <v>2264</v>
      </c>
      <c r="S112" s="589" t="s">
        <v>101</v>
      </c>
      <c r="T112" s="591">
        <v>12</v>
      </c>
      <c r="U112" s="589"/>
      <c r="V112" s="564">
        <v>538142</v>
      </c>
      <c r="W112" s="564">
        <v>6458000</v>
      </c>
      <c r="X112" s="589"/>
      <c r="Y112" s="592"/>
      <c r="Z112" s="592"/>
      <c r="AA112" s="568"/>
      <c r="AB112" s="592"/>
      <c r="AC112" s="592"/>
      <c r="AD112" s="592"/>
      <c r="AE112" s="590"/>
      <c r="AF112" s="570" t="s">
        <v>2899</v>
      </c>
      <c r="AG112" s="570" t="s">
        <v>25</v>
      </c>
      <c r="AH112" s="571" t="s">
        <v>25</v>
      </c>
      <c r="AI112" s="575"/>
      <c r="AJ112" s="593"/>
    </row>
    <row r="113" spans="1:38" s="376" customFormat="1" ht="64.5" customHeight="1" outlineLevel="2" x14ac:dyDescent="0.3">
      <c r="A113" s="447">
        <v>12</v>
      </c>
      <c r="B113" s="607"/>
      <c r="C113" s="607"/>
      <c r="D113" s="595"/>
      <c r="E113" s="577"/>
      <c r="F113" s="574"/>
      <c r="G113" s="588"/>
      <c r="H113" s="546"/>
      <c r="I113" s="563" t="s">
        <v>25</v>
      </c>
      <c r="J113" s="563" t="s">
        <v>25</v>
      </c>
      <c r="K113" s="564" t="s">
        <v>25</v>
      </c>
      <c r="L113" s="564" t="s">
        <v>25</v>
      </c>
      <c r="M113" s="586" t="s">
        <v>400</v>
      </c>
      <c r="N113" s="586"/>
      <c r="O113" s="590">
        <v>1</v>
      </c>
      <c r="P113" s="564">
        <v>228000</v>
      </c>
      <c r="Q113" s="564">
        <v>228000</v>
      </c>
      <c r="R113" s="586" t="s">
        <v>2265</v>
      </c>
      <c r="S113" s="589" t="s">
        <v>101</v>
      </c>
      <c r="T113" s="591">
        <v>6</v>
      </c>
      <c r="U113" s="597"/>
      <c r="V113" s="564">
        <v>75574</v>
      </c>
      <c r="W113" s="564">
        <v>453000</v>
      </c>
      <c r="X113" s="580"/>
      <c r="Y113" s="601"/>
      <c r="Z113" s="601"/>
      <c r="AA113" s="584"/>
      <c r="AB113" s="601"/>
      <c r="AC113" s="601"/>
      <c r="AD113" s="601"/>
      <c r="AE113" s="599"/>
      <c r="AF113" s="570" t="s">
        <v>2899</v>
      </c>
      <c r="AG113" s="570" t="s">
        <v>25</v>
      </c>
      <c r="AH113" s="571" t="s">
        <v>25</v>
      </c>
      <c r="AI113" s="575"/>
      <c r="AJ113" s="608"/>
    </row>
    <row r="114" spans="1:38" s="376" customFormat="1" ht="96" customHeight="1" outlineLevel="2" x14ac:dyDescent="0.3">
      <c r="A114" s="447">
        <v>12</v>
      </c>
      <c r="B114" s="607"/>
      <c r="C114" s="607"/>
      <c r="D114" s="587"/>
      <c r="E114" s="615"/>
      <c r="F114" s="574"/>
      <c r="G114" s="588"/>
      <c r="H114" s="546"/>
      <c r="I114" s="563" t="s">
        <v>25</v>
      </c>
      <c r="J114" s="563" t="s">
        <v>25</v>
      </c>
      <c r="K114" s="564" t="s">
        <v>25</v>
      </c>
      <c r="L114" s="564" t="s">
        <v>25</v>
      </c>
      <c r="M114" s="586"/>
      <c r="N114" s="586"/>
      <c r="O114" s="590"/>
      <c r="P114" s="564" t="s">
        <v>25</v>
      </c>
      <c r="Q114" s="564" t="s">
        <v>25</v>
      </c>
      <c r="R114" s="586" t="s">
        <v>2266</v>
      </c>
      <c r="S114" s="589" t="s">
        <v>53</v>
      </c>
      <c r="T114" s="591">
        <v>4.8</v>
      </c>
      <c r="U114" s="597"/>
      <c r="V114" s="564">
        <v>441467</v>
      </c>
      <c r="W114" s="564">
        <v>2119000</v>
      </c>
      <c r="X114" s="580"/>
      <c r="Y114" s="601"/>
      <c r="Z114" s="601"/>
      <c r="AA114" s="584"/>
      <c r="AB114" s="601"/>
      <c r="AC114" s="601"/>
      <c r="AD114" s="601"/>
      <c r="AE114" s="599"/>
      <c r="AF114" s="570" t="s">
        <v>2899</v>
      </c>
      <c r="AG114" s="570" t="s">
        <v>25</v>
      </c>
      <c r="AH114" s="571" t="s">
        <v>25</v>
      </c>
      <c r="AI114" s="608"/>
      <c r="AJ114" s="608"/>
    </row>
    <row r="115" spans="1:38" s="376" customFormat="1" ht="57" customHeight="1" outlineLevel="2" x14ac:dyDescent="0.3">
      <c r="A115" s="447">
        <v>12</v>
      </c>
      <c r="B115" s="607"/>
      <c r="C115" s="607"/>
      <c r="D115" s="587"/>
      <c r="E115" s="615"/>
      <c r="F115" s="558"/>
      <c r="G115" s="604"/>
      <c r="H115" s="546"/>
      <c r="I115" s="563" t="s">
        <v>25</v>
      </c>
      <c r="J115" s="563" t="s">
        <v>25</v>
      </c>
      <c r="K115" s="564" t="s">
        <v>25</v>
      </c>
      <c r="L115" s="564" t="s">
        <v>25</v>
      </c>
      <c r="M115" s="593"/>
      <c r="N115" s="593"/>
      <c r="O115" s="616"/>
      <c r="P115" s="564" t="s">
        <v>25</v>
      </c>
      <c r="Q115" s="564" t="s">
        <v>25</v>
      </c>
      <c r="R115" s="558" t="s">
        <v>2267</v>
      </c>
      <c r="S115" s="589" t="s">
        <v>78</v>
      </c>
      <c r="T115" s="591">
        <v>0.1</v>
      </c>
      <c r="U115" s="589"/>
      <c r="V115" s="564">
        <v>3192796</v>
      </c>
      <c r="W115" s="564">
        <v>319000</v>
      </c>
      <c r="X115" s="589"/>
      <c r="Y115" s="589"/>
      <c r="Z115" s="589"/>
      <c r="AA115" s="562"/>
      <c r="AB115" s="589"/>
      <c r="AC115" s="589"/>
      <c r="AD115" s="589"/>
      <c r="AE115" s="629"/>
      <c r="AF115" s="570" t="s">
        <v>2899</v>
      </c>
      <c r="AG115" s="570" t="s">
        <v>25</v>
      </c>
      <c r="AH115" s="571" t="s">
        <v>25</v>
      </c>
      <c r="AI115" s="593"/>
      <c r="AJ115" s="593"/>
    </row>
    <row r="116" spans="1:38" s="376" customFormat="1" ht="66" customHeight="1" outlineLevel="2" x14ac:dyDescent="0.3">
      <c r="A116" s="447">
        <v>12</v>
      </c>
      <c r="B116" s="607"/>
      <c r="C116" s="607"/>
      <c r="D116" s="587"/>
      <c r="E116" s="615"/>
      <c r="F116" s="558"/>
      <c r="G116" s="604"/>
      <c r="H116" s="546"/>
      <c r="I116" s="563" t="s">
        <v>25</v>
      </c>
      <c r="J116" s="563" t="s">
        <v>25</v>
      </c>
      <c r="K116" s="564" t="s">
        <v>25</v>
      </c>
      <c r="L116" s="564" t="s">
        <v>25</v>
      </c>
      <c r="M116" s="593"/>
      <c r="N116" s="593"/>
      <c r="O116" s="616"/>
      <c r="P116" s="564" t="s">
        <v>25</v>
      </c>
      <c r="Q116" s="564" t="s">
        <v>25</v>
      </c>
      <c r="R116" s="558" t="s">
        <v>2268</v>
      </c>
      <c r="S116" s="589" t="s">
        <v>53</v>
      </c>
      <c r="T116" s="591">
        <v>0.16</v>
      </c>
      <c r="U116" s="589"/>
      <c r="V116" s="564">
        <v>254982</v>
      </c>
      <c r="W116" s="564">
        <v>41000</v>
      </c>
      <c r="X116" s="589"/>
      <c r="Y116" s="589"/>
      <c r="Z116" s="589"/>
      <c r="AA116" s="562"/>
      <c r="AB116" s="589"/>
      <c r="AC116" s="589"/>
      <c r="AD116" s="589"/>
      <c r="AE116" s="629"/>
      <c r="AF116" s="570" t="s">
        <v>2899</v>
      </c>
      <c r="AG116" s="570" t="s">
        <v>25</v>
      </c>
      <c r="AH116" s="571" t="s">
        <v>25</v>
      </c>
      <c r="AI116" s="593"/>
      <c r="AJ116" s="593"/>
    </row>
    <row r="117" spans="1:38" s="376" customFormat="1" ht="20.25" outlineLevel="2" x14ac:dyDescent="0.3">
      <c r="A117" s="447">
        <v>12</v>
      </c>
      <c r="B117" s="572"/>
      <c r="C117" s="572"/>
      <c r="D117" s="587"/>
      <c r="E117" s="560"/>
      <c r="F117" s="558"/>
      <c r="G117" s="604"/>
      <c r="H117" s="546"/>
      <c r="I117" s="563" t="s">
        <v>25</v>
      </c>
      <c r="J117" s="563" t="s">
        <v>25</v>
      </c>
      <c r="K117" s="564" t="s">
        <v>25</v>
      </c>
      <c r="L117" s="564" t="s">
        <v>25</v>
      </c>
      <c r="M117" s="593"/>
      <c r="N117" s="593"/>
      <c r="O117" s="616"/>
      <c r="P117" s="564" t="s">
        <v>25</v>
      </c>
      <c r="Q117" s="564" t="s">
        <v>25</v>
      </c>
      <c r="R117" s="593"/>
      <c r="S117" s="589"/>
      <c r="T117" s="591"/>
      <c r="U117" s="589"/>
      <c r="V117" s="564" t="s">
        <v>2899</v>
      </c>
      <c r="W117" s="564" t="s">
        <v>25</v>
      </c>
      <c r="X117" s="589"/>
      <c r="Y117" s="589"/>
      <c r="Z117" s="589"/>
      <c r="AA117" s="562"/>
      <c r="AB117" s="589"/>
      <c r="AC117" s="589"/>
      <c r="AD117" s="589"/>
      <c r="AE117" s="629"/>
      <c r="AF117" s="570" t="s">
        <v>2899</v>
      </c>
      <c r="AG117" s="570" t="s">
        <v>25</v>
      </c>
      <c r="AH117" s="571" t="s">
        <v>25</v>
      </c>
      <c r="AI117" s="593"/>
      <c r="AJ117" s="593"/>
    </row>
    <row r="118" spans="1:38" s="376" customFormat="1" ht="20.25" outlineLevel="2" x14ac:dyDescent="0.3">
      <c r="A118" s="447">
        <v>12</v>
      </c>
      <c r="B118" s="607"/>
      <c r="C118" s="607"/>
      <c r="D118" s="623"/>
      <c r="E118" s="623"/>
      <c r="F118" s="558"/>
      <c r="G118" s="588"/>
      <c r="H118" s="546"/>
      <c r="I118" s="563" t="s">
        <v>25</v>
      </c>
      <c r="J118" s="563" t="s">
        <v>25</v>
      </c>
      <c r="K118" s="564" t="s">
        <v>25</v>
      </c>
      <c r="L118" s="564" t="s">
        <v>25</v>
      </c>
      <c r="M118" s="586"/>
      <c r="N118" s="586"/>
      <c r="O118" s="630"/>
      <c r="P118" s="564" t="s">
        <v>25</v>
      </c>
      <c r="Q118" s="564" t="s">
        <v>25</v>
      </c>
      <c r="R118" s="586"/>
      <c r="S118" s="609"/>
      <c r="T118" s="591"/>
      <c r="U118" s="611"/>
      <c r="V118" s="564" t="s">
        <v>2899</v>
      </c>
      <c r="W118" s="564" t="s">
        <v>25</v>
      </c>
      <c r="X118" s="589"/>
      <c r="Y118" s="592"/>
      <c r="Z118" s="592"/>
      <c r="AA118" s="568"/>
      <c r="AB118" s="592"/>
      <c r="AC118" s="592"/>
      <c r="AD118" s="592"/>
      <c r="AE118" s="590"/>
      <c r="AF118" s="570" t="s">
        <v>2899</v>
      </c>
      <c r="AG118" s="570" t="s">
        <v>25</v>
      </c>
      <c r="AH118" s="571" t="s">
        <v>25</v>
      </c>
      <c r="AI118" s="593"/>
      <c r="AJ118" s="593"/>
    </row>
    <row r="119" spans="1:38" s="376" customFormat="1" ht="60" customHeight="1" outlineLevel="1" x14ac:dyDescent="0.3">
      <c r="A119" s="467">
        <v>13</v>
      </c>
      <c r="B119" s="607" t="s">
        <v>2168</v>
      </c>
      <c r="C119" s="773" t="s">
        <v>2902</v>
      </c>
      <c r="D119" s="627"/>
      <c r="E119" s="627"/>
      <c r="F119" s="624"/>
      <c r="G119" s="625">
        <v>0</v>
      </c>
      <c r="H119" s="579">
        <v>0</v>
      </c>
      <c r="I119" s="581"/>
      <c r="J119" s="581"/>
      <c r="K119" s="571">
        <v>0</v>
      </c>
      <c r="L119" s="571">
        <v>0</v>
      </c>
      <c r="M119" s="598"/>
      <c r="N119" s="598"/>
      <c r="O119" s="599">
        <v>0</v>
      </c>
      <c r="P119" s="571"/>
      <c r="Q119" s="571">
        <v>0</v>
      </c>
      <c r="R119" s="582"/>
      <c r="S119" s="597"/>
      <c r="T119" s="600">
        <v>9.4</v>
      </c>
      <c r="U119" s="597"/>
      <c r="V119" s="571"/>
      <c r="W119" s="571">
        <v>1991000</v>
      </c>
      <c r="X119" s="589"/>
      <c r="Y119" s="592"/>
      <c r="Z119" s="592"/>
      <c r="AA119" s="568"/>
      <c r="AB119" s="592"/>
      <c r="AC119" s="592"/>
      <c r="AD119" s="601"/>
      <c r="AE119" s="599">
        <f>SUBTOTAL(9,AE120:AE125)</f>
        <v>0</v>
      </c>
      <c r="AF119" s="585"/>
      <c r="AG119" s="585">
        <v>0</v>
      </c>
      <c r="AH119" s="571">
        <v>1991000</v>
      </c>
      <c r="AI119" s="624"/>
      <c r="AJ119" s="574"/>
      <c r="AL119" s="473"/>
    </row>
    <row r="120" spans="1:38" s="376" customFormat="1" ht="143.25" customHeight="1" outlineLevel="2" x14ac:dyDescent="0.3">
      <c r="A120" s="447">
        <v>13</v>
      </c>
      <c r="B120" s="558" t="s">
        <v>103</v>
      </c>
      <c r="C120" s="558"/>
      <c r="D120" s="595"/>
      <c r="E120" s="577"/>
      <c r="F120" s="575"/>
      <c r="G120" s="561"/>
      <c r="H120" s="546"/>
      <c r="I120" s="563" t="s">
        <v>25</v>
      </c>
      <c r="J120" s="563" t="s">
        <v>25</v>
      </c>
      <c r="K120" s="564" t="s">
        <v>25</v>
      </c>
      <c r="L120" s="564" t="s">
        <v>25</v>
      </c>
      <c r="M120" s="565"/>
      <c r="N120" s="565"/>
      <c r="O120" s="590"/>
      <c r="P120" s="564" t="s">
        <v>25</v>
      </c>
      <c r="Q120" s="564" t="s">
        <v>25</v>
      </c>
      <c r="R120" s="566" t="s">
        <v>1749</v>
      </c>
      <c r="S120" s="589" t="s">
        <v>53</v>
      </c>
      <c r="T120" s="591">
        <v>9.4</v>
      </c>
      <c r="U120" s="589"/>
      <c r="V120" s="564">
        <v>211811</v>
      </c>
      <c r="W120" s="564">
        <v>1991000</v>
      </c>
      <c r="X120" s="589"/>
      <c r="Y120" s="592"/>
      <c r="Z120" s="592"/>
      <c r="AA120" s="568"/>
      <c r="AB120" s="592"/>
      <c r="AC120" s="592"/>
      <c r="AD120" s="592"/>
      <c r="AE120" s="590"/>
      <c r="AF120" s="570" t="s">
        <v>2899</v>
      </c>
      <c r="AG120" s="570" t="s">
        <v>25</v>
      </c>
      <c r="AH120" s="571" t="s">
        <v>25</v>
      </c>
      <c r="AI120" s="575"/>
      <c r="AJ120" s="558" t="s">
        <v>2450</v>
      </c>
      <c r="AL120" s="378" t="s">
        <v>2157</v>
      </c>
    </row>
    <row r="121" spans="1:38" s="376" customFormat="1" ht="116.25" customHeight="1" outlineLevel="2" x14ac:dyDescent="0.3">
      <c r="A121" s="447">
        <v>13</v>
      </c>
      <c r="B121" s="572" t="s">
        <v>634</v>
      </c>
      <c r="C121" s="572"/>
      <c r="D121" s="587"/>
      <c r="E121" s="615"/>
      <c r="F121" s="574"/>
      <c r="G121" s="588"/>
      <c r="H121" s="546"/>
      <c r="I121" s="563" t="s">
        <v>25</v>
      </c>
      <c r="J121" s="563" t="s">
        <v>25</v>
      </c>
      <c r="K121" s="564" t="s">
        <v>25</v>
      </c>
      <c r="L121" s="564" t="s">
        <v>25</v>
      </c>
      <c r="M121" s="578"/>
      <c r="N121" s="578"/>
      <c r="O121" s="590"/>
      <c r="P121" s="564" t="s">
        <v>25</v>
      </c>
      <c r="Q121" s="564" t="s">
        <v>25</v>
      </c>
      <c r="R121" s="578"/>
      <c r="S121" s="621"/>
      <c r="T121" s="591"/>
      <c r="U121" s="597"/>
      <c r="V121" s="564" t="s">
        <v>2899</v>
      </c>
      <c r="W121" s="564" t="s">
        <v>25</v>
      </c>
      <c r="X121" s="597"/>
      <c r="Y121" s="601"/>
      <c r="Z121" s="601"/>
      <c r="AA121" s="584"/>
      <c r="AB121" s="601"/>
      <c r="AC121" s="601"/>
      <c r="AD121" s="601"/>
      <c r="AE121" s="599"/>
      <c r="AF121" s="570" t="s">
        <v>2899</v>
      </c>
      <c r="AG121" s="570" t="s">
        <v>25</v>
      </c>
      <c r="AH121" s="571" t="s">
        <v>25</v>
      </c>
      <c r="AI121" s="575"/>
      <c r="AJ121" s="558"/>
    </row>
    <row r="122" spans="1:38" s="376" customFormat="1" ht="20.25" outlineLevel="2" x14ac:dyDescent="0.3">
      <c r="A122" s="447">
        <v>13</v>
      </c>
      <c r="B122" s="572"/>
      <c r="C122" s="572"/>
      <c r="D122" s="587"/>
      <c r="E122" s="560"/>
      <c r="F122" s="558"/>
      <c r="G122" s="604"/>
      <c r="H122" s="546"/>
      <c r="I122" s="563" t="s">
        <v>25</v>
      </c>
      <c r="J122" s="563" t="s">
        <v>25</v>
      </c>
      <c r="K122" s="564" t="s">
        <v>25</v>
      </c>
      <c r="L122" s="564" t="s">
        <v>25</v>
      </c>
      <c r="M122" s="593"/>
      <c r="N122" s="593"/>
      <c r="O122" s="616"/>
      <c r="P122" s="564" t="s">
        <v>25</v>
      </c>
      <c r="Q122" s="564" t="s">
        <v>25</v>
      </c>
      <c r="R122" s="593"/>
      <c r="S122" s="593"/>
      <c r="T122" s="617"/>
      <c r="U122" s="589"/>
      <c r="V122" s="564" t="s">
        <v>2899</v>
      </c>
      <c r="W122" s="564" t="s">
        <v>25</v>
      </c>
      <c r="X122" s="589"/>
      <c r="Y122" s="589"/>
      <c r="Z122" s="589"/>
      <c r="AA122" s="562"/>
      <c r="AB122" s="589"/>
      <c r="AC122" s="589"/>
      <c r="AD122" s="589"/>
      <c r="AE122" s="629"/>
      <c r="AF122" s="570" t="s">
        <v>2899</v>
      </c>
      <c r="AG122" s="570" t="s">
        <v>25</v>
      </c>
      <c r="AH122" s="571" t="s">
        <v>25</v>
      </c>
      <c r="AI122" s="593"/>
      <c r="AJ122" s="593"/>
    </row>
    <row r="123" spans="1:38" s="376" customFormat="1" ht="20.25" outlineLevel="2" x14ac:dyDescent="0.3">
      <c r="A123" s="447">
        <v>13</v>
      </c>
      <c r="B123" s="572"/>
      <c r="C123" s="572"/>
      <c r="D123" s="612"/>
      <c r="E123" s="612"/>
      <c r="F123" s="558"/>
      <c r="G123" s="588"/>
      <c r="H123" s="546"/>
      <c r="I123" s="563" t="s">
        <v>25</v>
      </c>
      <c r="J123" s="563" t="s">
        <v>25</v>
      </c>
      <c r="K123" s="564" t="s">
        <v>25</v>
      </c>
      <c r="L123" s="564" t="s">
        <v>25</v>
      </c>
      <c r="M123" s="586"/>
      <c r="N123" s="586"/>
      <c r="O123" s="590"/>
      <c r="P123" s="564" t="s">
        <v>25</v>
      </c>
      <c r="Q123" s="564" t="s">
        <v>25</v>
      </c>
      <c r="R123" s="586"/>
      <c r="S123" s="609"/>
      <c r="T123" s="591"/>
      <c r="U123" s="589"/>
      <c r="V123" s="564" t="s">
        <v>2899</v>
      </c>
      <c r="W123" s="564" t="s">
        <v>25</v>
      </c>
      <c r="X123" s="589"/>
      <c r="Y123" s="592"/>
      <c r="Z123" s="592"/>
      <c r="AA123" s="568"/>
      <c r="AB123" s="592"/>
      <c r="AC123" s="592"/>
      <c r="AD123" s="592"/>
      <c r="AE123" s="590"/>
      <c r="AF123" s="570" t="s">
        <v>2899</v>
      </c>
      <c r="AG123" s="570" t="s">
        <v>25</v>
      </c>
      <c r="AH123" s="571" t="s">
        <v>25</v>
      </c>
      <c r="AI123" s="575"/>
      <c r="AJ123" s="593"/>
    </row>
    <row r="124" spans="1:38" s="376" customFormat="1" ht="20.25" outlineLevel="2" x14ac:dyDescent="0.3">
      <c r="A124" s="447">
        <v>13</v>
      </c>
      <c r="B124" s="558"/>
      <c r="C124" s="558"/>
      <c r="D124" s="587"/>
      <c r="E124" s="560"/>
      <c r="F124" s="586"/>
      <c r="G124" s="588"/>
      <c r="H124" s="546"/>
      <c r="I124" s="563" t="s">
        <v>25</v>
      </c>
      <c r="J124" s="563" t="s">
        <v>25</v>
      </c>
      <c r="K124" s="564" t="s">
        <v>25</v>
      </c>
      <c r="L124" s="564" t="s">
        <v>25</v>
      </c>
      <c r="M124" s="586"/>
      <c r="N124" s="586"/>
      <c r="O124" s="590"/>
      <c r="P124" s="564" t="s">
        <v>25</v>
      </c>
      <c r="Q124" s="564" t="s">
        <v>25</v>
      </c>
      <c r="R124" s="586"/>
      <c r="S124" s="609"/>
      <c r="T124" s="591"/>
      <c r="U124" s="589"/>
      <c r="V124" s="564" t="s">
        <v>2899</v>
      </c>
      <c r="W124" s="564" t="s">
        <v>25</v>
      </c>
      <c r="X124" s="589"/>
      <c r="Y124" s="592"/>
      <c r="Z124" s="592"/>
      <c r="AA124" s="568"/>
      <c r="AB124" s="592"/>
      <c r="AC124" s="592"/>
      <c r="AD124" s="592"/>
      <c r="AE124" s="590"/>
      <c r="AF124" s="570" t="s">
        <v>2899</v>
      </c>
      <c r="AG124" s="570" t="s">
        <v>25</v>
      </c>
      <c r="AH124" s="571" t="s">
        <v>25</v>
      </c>
      <c r="AI124" s="575"/>
      <c r="AJ124" s="593"/>
    </row>
    <row r="125" spans="1:38" s="376" customFormat="1" ht="20.25" outlineLevel="2" x14ac:dyDescent="0.3">
      <c r="A125" s="447">
        <v>13</v>
      </c>
      <c r="B125" s="607"/>
      <c r="C125" s="607"/>
      <c r="D125" s="623"/>
      <c r="E125" s="623"/>
      <c r="F125" s="558"/>
      <c r="G125" s="588"/>
      <c r="H125" s="546"/>
      <c r="I125" s="563" t="s">
        <v>25</v>
      </c>
      <c r="J125" s="563" t="s">
        <v>25</v>
      </c>
      <c r="K125" s="564" t="s">
        <v>25</v>
      </c>
      <c r="L125" s="564" t="s">
        <v>25</v>
      </c>
      <c r="M125" s="558"/>
      <c r="N125" s="558"/>
      <c r="O125" s="590"/>
      <c r="P125" s="564" t="s">
        <v>25</v>
      </c>
      <c r="Q125" s="564" t="s">
        <v>25</v>
      </c>
      <c r="R125" s="566"/>
      <c r="S125" s="589"/>
      <c r="T125" s="591"/>
      <c r="U125" s="589"/>
      <c r="V125" s="564" t="s">
        <v>2899</v>
      </c>
      <c r="W125" s="564" t="s">
        <v>25</v>
      </c>
      <c r="X125" s="589"/>
      <c r="Y125" s="592"/>
      <c r="Z125" s="592"/>
      <c r="AA125" s="568"/>
      <c r="AB125" s="592"/>
      <c r="AC125" s="592"/>
      <c r="AD125" s="592"/>
      <c r="AE125" s="590"/>
      <c r="AF125" s="570" t="s">
        <v>2899</v>
      </c>
      <c r="AG125" s="570" t="s">
        <v>25</v>
      </c>
      <c r="AH125" s="571" t="s">
        <v>25</v>
      </c>
      <c r="AI125" s="593"/>
      <c r="AJ125" s="593"/>
    </row>
    <row r="126" spans="1:38" s="376" customFormat="1" ht="76.5" customHeight="1" outlineLevel="1" x14ac:dyDescent="0.3">
      <c r="A126" s="467">
        <v>14</v>
      </c>
      <c r="B126" s="607" t="s">
        <v>2169</v>
      </c>
      <c r="C126" s="773" t="s">
        <v>2902</v>
      </c>
      <c r="D126" s="627"/>
      <c r="E126" s="627"/>
      <c r="F126" s="624"/>
      <c r="G126" s="625">
        <v>0</v>
      </c>
      <c r="H126" s="579">
        <v>0</v>
      </c>
      <c r="I126" s="581"/>
      <c r="J126" s="581"/>
      <c r="K126" s="571">
        <v>0</v>
      </c>
      <c r="L126" s="571">
        <v>0</v>
      </c>
      <c r="M126" s="598"/>
      <c r="N126" s="598"/>
      <c r="O126" s="599">
        <v>0</v>
      </c>
      <c r="P126" s="571"/>
      <c r="Q126" s="571">
        <v>0</v>
      </c>
      <c r="R126" s="582"/>
      <c r="S126" s="597"/>
      <c r="T126" s="600">
        <v>22.9</v>
      </c>
      <c r="U126" s="597"/>
      <c r="V126" s="571"/>
      <c r="W126" s="571">
        <v>4850000</v>
      </c>
      <c r="X126" s="589"/>
      <c r="Y126" s="592"/>
      <c r="Z126" s="592"/>
      <c r="AA126" s="568"/>
      <c r="AB126" s="592"/>
      <c r="AC126" s="592"/>
      <c r="AD126" s="601"/>
      <c r="AE126" s="599">
        <f>SUBTOTAL(9,AE127:AE132)</f>
        <v>0</v>
      </c>
      <c r="AF126" s="585"/>
      <c r="AG126" s="585">
        <v>0</v>
      </c>
      <c r="AH126" s="571">
        <v>4850000</v>
      </c>
      <c r="AI126" s="624"/>
      <c r="AJ126" s="574"/>
      <c r="AL126" s="473"/>
    </row>
    <row r="127" spans="1:38" s="376" customFormat="1" ht="147.75" customHeight="1" outlineLevel="2" x14ac:dyDescent="0.3">
      <c r="A127" s="447">
        <v>14</v>
      </c>
      <c r="B127" s="558" t="s">
        <v>105</v>
      </c>
      <c r="C127" s="558"/>
      <c r="D127" s="587"/>
      <c r="E127" s="560"/>
      <c r="F127" s="575"/>
      <c r="G127" s="561"/>
      <c r="H127" s="546"/>
      <c r="I127" s="563" t="s">
        <v>25</v>
      </c>
      <c r="J127" s="563" t="s">
        <v>25</v>
      </c>
      <c r="K127" s="564" t="s">
        <v>25</v>
      </c>
      <c r="L127" s="564" t="s">
        <v>25</v>
      </c>
      <c r="M127" s="565"/>
      <c r="N127" s="565"/>
      <c r="O127" s="590"/>
      <c r="P127" s="564" t="s">
        <v>25</v>
      </c>
      <c r="Q127" s="564" t="s">
        <v>25</v>
      </c>
      <c r="R127" s="566" t="s">
        <v>1749</v>
      </c>
      <c r="S127" s="589" t="s">
        <v>53</v>
      </c>
      <c r="T127" s="591">
        <v>22.9</v>
      </c>
      <c r="U127" s="589"/>
      <c r="V127" s="564">
        <v>211811</v>
      </c>
      <c r="W127" s="564">
        <v>4850000</v>
      </c>
      <c r="X127" s="589"/>
      <c r="Y127" s="592"/>
      <c r="Z127" s="592"/>
      <c r="AA127" s="568"/>
      <c r="AB127" s="592"/>
      <c r="AC127" s="592"/>
      <c r="AD127" s="592"/>
      <c r="AE127" s="590"/>
      <c r="AF127" s="570" t="s">
        <v>2899</v>
      </c>
      <c r="AG127" s="570" t="s">
        <v>25</v>
      </c>
      <c r="AH127" s="571" t="s">
        <v>25</v>
      </c>
      <c r="AI127" s="575"/>
      <c r="AJ127" s="558" t="s">
        <v>2450</v>
      </c>
      <c r="AL127" s="378" t="s">
        <v>2157</v>
      </c>
    </row>
    <row r="128" spans="1:38" s="376" customFormat="1" ht="125.25" customHeight="1" outlineLevel="2" x14ac:dyDescent="0.3">
      <c r="A128" s="447">
        <v>14</v>
      </c>
      <c r="B128" s="572" t="s">
        <v>636</v>
      </c>
      <c r="C128" s="572"/>
      <c r="D128" s="587"/>
      <c r="E128" s="615"/>
      <c r="F128" s="558"/>
      <c r="G128" s="588"/>
      <c r="H128" s="546"/>
      <c r="I128" s="563" t="s">
        <v>25</v>
      </c>
      <c r="J128" s="563" t="s">
        <v>25</v>
      </c>
      <c r="K128" s="564" t="s">
        <v>25</v>
      </c>
      <c r="L128" s="564" t="s">
        <v>25</v>
      </c>
      <c r="M128" s="565"/>
      <c r="N128" s="565"/>
      <c r="O128" s="590"/>
      <c r="P128" s="564" t="s">
        <v>25</v>
      </c>
      <c r="Q128" s="564" t="s">
        <v>25</v>
      </c>
      <c r="R128" s="566"/>
      <c r="S128" s="589"/>
      <c r="T128" s="591"/>
      <c r="U128" s="589"/>
      <c r="V128" s="564" t="s">
        <v>2899</v>
      </c>
      <c r="W128" s="564" t="s">
        <v>25</v>
      </c>
      <c r="X128" s="589"/>
      <c r="Y128" s="592"/>
      <c r="Z128" s="592"/>
      <c r="AA128" s="568"/>
      <c r="AB128" s="592"/>
      <c r="AC128" s="592"/>
      <c r="AD128" s="592"/>
      <c r="AE128" s="590"/>
      <c r="AF128" s="570" t="s">
        <v>2899</v>
      </c>
      <c r="AG128" s="570" t="s">
        <v>25</v>
      </c>
      <c r="AH128" s="571" t="s">
        <v>25</v>
      </c>
      <c r="AI128" s="558"/>
      <c r="AJ128" s="558"/>
    </row>
    <row r="129" spans="1:38" s="376" customFormat="1" ht="20.25" outlineLevel="2" x14ac:dyDescent="0.3">
      <c r="A129" s="447">
        <v>14</v>
      </c>
      <c r="B129" s="558"/>
      <c r="C129" s="558"/>
      <c r="D129" s="587"/>
      <c r="E129" s="560"/>
      <c r="F129" s="558"/>
      <c r="G129" s="604"/>
      <c r="H129" s="546"/>
      <c r="I129" s="563" t="s">
        <v>25</v>
      </c>
      <c r="J129" s="563" t="s">
        <v>25</v>
      </c>
      <c r="K129" s="564" t="s">
        <v>25</v>
      </c>
      <c r="L129" s="564" t="s">
        <v>25</v>
      </c>
      <c r="M129" s="593"/>
      <c r="N129" s="593"/>
      <c r="O129" s="616"/>
      <c r="P129" s="564" t="s">
        <v>25</v>
      </c>
      <c r="Q129" s="564" t="s">
        <v>25</v>
      </c>
      <c r="R129" s="593"/>
      <c r="S129" s="593"/>
      <c r="T129" s="617"/>
      <c r="U129" s="589"/>
      <c r="V129" s="564" t="s">
        <v>2899</v>
      </c>
      <c r="W129" s="564" t="s">
        <v>25</v>
      </c>
      <c r="X129" s="589"/>
      <c r="Y129" s="589"/>
      <c r="Z129" s="589"/>
      <c r="AA129" s="562"/>
      <c r="AB129" s="589"/>
      <c r="AC129" s="589"/>
      <c r="AD129" s="589"/>
      <c r="AE129" s="629"/>
      <c r="AF129" s="570" t="s">
        <v>2899</v>
      </c>
      <c r="AG129" s="570" t="s">
        <v>25</v>
      </c>
      <c r="AH129" s="571" t="s">
        <v>25</v>
      </c>
      <c r="AI129" s="593"/>
      <c r="AJ129" s="593"/>
    </row>
    <row r="130" spans="1:38" s="376" customFormat="1" ht="20.25" outlineLevel="2" x14ac:dyDescent="0.3">
      <c r="A130" s="447">
        <v>14</v>
      </c>
      <c r="B130" s="558"/>
      <c r="C130" s="558"/>
      <c r="D130" s="587"/>
      <c r="E130" s="560"/>
      <c r="F130" s="558"/>
      <c r="G130" s="588"/>
      <c r="H130" s="546"/>
      <c r="I130" s="563" t="s">
        <v>25</v>
      </c>
      <c r="J130" s="563" t="s">
        <v>25</v>
      </c>
      <c r="K130" s="564" t="s">
        <v>25</v>
      </c>
      <c r="L130" s="564" t="s">
        <v>25</v>
      </c>
      <c r="M130" s="565"/>
      <c r="N130" s="565"/>
      <c r="O130" s="590"/>
      <c r="P130" s="564" t="s">
        <v>25</v>
      </c>
      <c r="Q130" s="564" t="s">
        <v>25</v>
      </c>
      <c r="R130" s="566"/>
      <c r="S130" s="589"/>
      <c r="T130" s="591"/>
      <c r="U130" s="589"/>
      <c r="V130" s="564" t="s">
        <v>2899</v>
      </c>
      <c r="W130" s="564" t="s">
        <v>25</v>
      </c>
      <c r="X130" s="589"/>
      <c r="Y130" s="592"/>
      <c r="Z130" s="592"/>
      <c r="AA130" s="568"/>
      <c r="AB130" s="592"/>
      <c r="AC130" s="592"/>
      <c r="AD130" s="592"/>
      <c r="AE130" s="590"/>
      <c r="AF130" s="570" t="s">
        <v>2899</v>
      </c>
      <c r="AG130" s="570" t="s">
        <v>25</v>
      </c>
      <c r="AH130" s="571" t="s">
        <v>25</v>
      </c>
      <c r="AI130" s="558"/>
      <c r="AJ130" s="593"/>
    </row>
    <row r="131" spans="1:38" s="376" customFormat="1" ht="20.25" outlineLevel="2" x14ac:dyDescent="0.3">
      <c r="A131" s="447">
        <v>14</v>
      </c>
      <c r="B131" s="558"/>
      <c r="C131" s="558"/>
      <c r="D131" s="587"/>
      <c r="E131" s="560"/>
      <c r="F131" s="558"/>
      <c r="G131" s="588"/>
      <c r="H131" s="546"/>
      <c r="I131" s="563" t="s">
        <v>25</v>
      </c>
      <c r="J131" s="563" t="s">
        <v>25</v>
      </c>
      <c r="K131" s="564" t="s">
        <v>25</v>
      </c>
      <c r="L131" s="564" t="s">
        <v>25</v>
      </c>
      <c r="M131" s="558"/>
      <c r="N131" s="558"/>
      <c r="O131" s="590"/>
      <c r="P131" s="564" t="s">
        <v>25</v>
      </c>
      <c r="Q131" s="564" t="s">
        <v>25</v>
      </c>
      <c r="R131" s="566"/>
      <c r="S131" s="589"/>
      <c r="T131" s="591"/>
      <c r="U131" s="589"/>
      <c r="V131" s="564" t="s">
        <v>2899</v>
      </c>
      <c r="W131" s="564" t="s">
        <v>25</v>
      </c>
      <c r="X131" s="589"/>
      <c r="Y131" s="592"/>
      <c r="Z131" s="592"/>
      <c r="AA131" s="568"/>
      <c r="AB131" s="592"/>
      <c r="AC131" s="592"/>
      <c r="AD131" s="592"/>
      <c r="AE131" s="590"/>
      <c r="AF131" s="570" t="s">
        <v>2899</v>
      </c>
      <c r="AG131" s="570" t="s">
        <v>25</v>
      </c>
      <c r="AH131" s="571" t="s">
        <v>25</v>
      </c>
      <c r="AI131" s="575"/>
      <c r="AJ131" s="593"/>
    </row>
    <row r="132" spans="1:38" s="376" customFormat="1" ht="20.25" outlineLevel="2" x14ac:dyDescent="0.3">
      <c r="A132" s="447">
        <v>14</v>
      </c>
      <c r="B132" s="607"/>
      <c r="C132" s="607"/>
      <c r="D132" s="623"/>
      <c r="E132" s="623"/>
      <c r="F132" s="558"/>
      <c r="G132" s="588"/>
      <c r="H132" s="546"/>
      <c r="I132" s="563" t="s">
        <v>25</v>
      </c>
      <c r="J132" s="563" t="s">
        <v>25</v>
      </c>
      <c r="K132" s="564" t="s">
        <v>25</v>
      </c>
      <c r="L132" s="564" t="s">
        <v>25</v>
      </c>
      <c r="M132" s="558"/>
      <c r="N132" s="558"/>
      <c r="O132" s="590"/>
      <c r="P132" s="564" t="s">
        <v>25</v>
      </c>
      <c r="Q132" s="564" t="s">
        <v>25</v>
      </c>
      <c r="R132" s="566"/>
      <c r="S132" s="589"/>
      <c r="T132" s="591"/>
      <c r="U132" s="589"/>
      <c r="V132" s="564" t="s">
        <v>2899</v>
      </c>
      <c r="W132" s="564" t="s">
        <v>25</v>
      </c>
      <c r="X132" s="589"/>
      <c r="Y132" s="592"/>
      <c r="Z132" s="592"/>
      <c r="AA132" s="568"/>
      <c r="AB132" s="592"/>
      <c r="AC132" s="592"/>
      <c r="AD132" s="592"/>
      <c r="AE132" s="590"/>
      <c r="AF132" s="570" t="s">
        <v>2899</v>
      </c>
      <c r="AG132" s="570" t="s">
        <v>25</v>
      </c>
      <c r="AH132" s="571" t="s">
        <v>25</v>
      </c>
      <c r="AI132" s="593"/>
      <c r="AJ132" s="593"/>
    </row>
    <row r="133" spans="1:38" s="376" customFormat="1" ht="69" customHeight="1" outlineLevel="1" x14ac:dyDescent="0.3">
      <c r="A133" s="467">
        <v>15</v>
      </c>
      <c r="B133" s="607" t="s">
        <v>2170</v>
      </c>
      <c r="C133" s="773" t="s">
        <v>2902</v>
      </c>
      <c r="D133" s="627"/>
      <c r="E133" s="627"/>
      <c r="F133" s="624"/>
      <c r="G133" s="625">
        <v>0</v>
      </c>
      <c r="H133" s="579">
        <v>0</v>
      </c>
      <c r="I133" s="581"/>
      <c r="J133" s="581"/>
      <c r="K133" s="571">
        <v>0</v>
      </c>
      <c r="L133" s="571">
        <v>0</v>
      </c>
      <c r="M133" s="578"/>
      <c r="N133" s="578"/>
      <c r="O133" s="599">
        <v>0</v>
      </c>
      <c r="P133" s="571"/>
      <c r="Q133" s="571">
        <v>0</v>
      </c>
      <c r="R133" s="578"/>
      <c r="S133" s="621"/>
      <c r="T133" s="600">
        <v>28.19</v>
      </c>
      <c r="U133" s="597"/>
      <c r="V133" s="571"/>
      <c r="W133" s="571">
        <v>57526000</v>
      </c>
      <c r="X133" s="562"/>
      <c r="Y133" s="592"/>
      <c r="Z133" s="592"/>
      <c r="AA133" s="568"/>
      <c r="AB133" s="592"/>
      <c r="AC133" s="592"/>
      <c r="AD133" s="601"/>
      <c r="AE133" s="599">
        <f>SUBTOTAL(9,AE134:AE140)</f>
        <v>0</v>
      </c>
      <c r="AF133" s="585"/>
      <c r="AG133" s="585">
        <v>0</v>
      </c>
      <c r="AH133" s="571">
        <v>57526000</v>
      </c>
      <c r="AI133" s="608"/>
      <c r="AJ133" s="574"/>
    </row>
    <row r="134" spans="1:38" s="376" customFormat="1" ht="146.25" customHeight="1" outlineLevel="2" x14ac:dyDescent="0.3">
      <c r="A134" s="447">
        <v>15</v>
      </c>
      <c r="B134" s="572" t="s">
        <v>106</v>
      </c>
      <c r="C134" s="572"/>
      <c r="D134" s="627"/>
      <c r="E134" s="627"/>
      <c r="F134" s="575"/>
      <c r="G134" s="561"/>
      <c r="H134" s="546"/>
      <c r="I134" s="563" t="s">
        <v>25</v>
      </c>
      <c r="J134" s="563" t="s">
        <v>25</v>
      </c>
      <c r="K134" s="564" t="s">
        <v>25</v>
      </c>
      <c r="L134" s="564" t="s">
        <v>25</v>
      </c>
      <c r="M134" s="586"/>
      <c r="N134" s="586"/>
      <c r="O134" s="590"/>
      <c r="P134" s="564" t="s">
        <v>25</v>
      </c>
      <c r="Q134" s="564" t="s">
        <v>25</v>
      </c>
      <c r="R134" s="586" t="s">
        <v>1838</v>
      </c>
      <c r="S134" s="609" t="s">
        <v>53</v>
      </c>
      <c r="T134" s="591">
        <v>17.39</v>
      </c>
      <c r="U134" s="589"/>
      <c r="V134" s="564">
        <v>3156089</v>
      </c>
      <c r="W134" s="564">
        <v>54884000</v>
      </c>
      <c r="X134" s="562" t="s">
        <v>54</v>
      </c>
      <c r="Y134" s="592" t="s">
        <v>55</v>
      </c>
      <c r="Z134" s="592" t="s">
        <v>56</v>
      </c>
      <c r="AA134" s="568" t="s">
        <v>137</v>
      </c>
      <c r="AB134" s="592" t="s">
        <v>54</v>
      </c>
      <c r="AC134" s="592"/>
      <c r="AD134" s="592"/>
      <c r="AE134" s="590"/>
      <c r="AF134" s="570" t="s">
        <v>2899</v>
      </c>
      <c r="AG134" s="570" t="s">
        <v>25</v>
      </c>
      <c r="AH134" s="571" t="s">
        <v>25</v>
      </c>
      <c r="AI134" s="593" t="s">
        <v>207</v>
      </c>
      <c r="AJ134" s="558" t="s">
        <v>2450</v>
      </c>
    </row>
    <row r="135" spans="1:38" s="376" customFormat="1" ht="126.75" customHeight="1" outlineLevel="2" x14ac:dyDescent="0.3">
      <c r="A135" s="447">
        <v>15</v>
      </c>
      <c r="B135" s="572" t="s">
        <v>638</v>
      </c>
      <c r="C135" s="572"/>
      <c r="D135" s="587"/>
      <c r="E135" s="560"/>
      <c r="F135" s="575"/>
      <c r="G135" s="561"/>
      <c r="H135" s="546"/>
      <c r="I135" s="563" t="s">
        <v>25</v>
      </c>
      <c r="J135" s="563" t="s">
        <v>25</v>
      </c>
      <c r="K135" s="564" t="s">
        <v>25</v>
      </c>
      <c r="L135" s="564" t="s">
        <v>25</v>
      </c>
      <c r="M135" s="586"/>
      <c r="N135" s="586"/>
      <c r="O135" s="590"/>
      <c r="P135" s="564" t="s">
        <v>25</v>
      </c>
      <c r="Q135" s="564" t="s">
        <v>25</v>
      </c>
      <c r="R135" s="586" t="s">
        <v>1839</v>
      </c>
      <c r="S135" s="609" t="s">
        <v>53</v>
      </c>
      <c r="T135" s="591">
        <v>10.8</v>
      </c>
      <c r="U135" s="589"/>
      <c r="V135" s="564">
        <v>244604</v>
      </c>
      <c r="W135" s="564">
        <v>2642000</v>
      </c>
      <c r="X135" s="589"/>
      <c r="Y135" s="592"/>
      <c r="Z135" s="592"/>
      <c r="AA135" s="568"/>
      <c r="AB135" s="592"/>
      <c r="AC135" s="592"/>
      <c r="AD135" s="592"/>
      <c r="AE135" s="590"/>
      <c r="AF135" s="570" t="s">
        <v>2899</v>
      </c>
      <c r="AG135" s="570" t="s">
        <v>25</v>
      </c>
      <c r="AH135" s="571" t="s">
        <v>25</v>
      </c>
      <c r="AI135" s="558"/>
      <c r="AJ135" s="558"/>
    </row>
    <row r="136" spans="1:38" s="376" customFormat="1" ht="20.25" outlineLevel="2" x14ac:dyDescent="0.3">
      <c r="A136" s="447">
        <v>15</v>
      </c>
      <c r="B136" s="574"/>
      <c r="C136" s="574"/>
      <c r="D136" s="587"/>
      <c r="E136" s="615"/>
      <c r="F136" s="558"/>
      <c r="G136" s="588"/>
      <c r="H136" s="546"/>
      <c r="I136" s="563" t="s">
        <v>25</v>
      </c>
      <c r="J136" s="563" t="s">
        <v>25</v>
      </c>
      <c r="K136" s="564" t="s">
        <v>25</v>
      </c>
      <c r="L136" s="564" t="s">
        <v>25</v>
      </c>
      <c r="M136" s="586"/>
      <c r="N136" s="586"/>
      <c r="O136" s="590"/>
      <c r="P136" s="564" t="s">
        <v>25</v>
      </c>
      <c r="Q136" s="564" t="s">
        <v>25</v>
      </c>
      <c r="R136" s="586"/>
      <c r="S136" s="609"/>
      <c r="T136" s="591"/>
      <c r="U136" s="589"/>
      <c r="V136" s="564" t="s">
        <v>2899</v>
      </c>
      <c r="W136" s="564" t="s">
        <v>25</v>
      </c>
      <c r="X136" s="589"/>
      <c r="Y136" s="592"/>
      <c r="Z136" s="592"/>
      <c r="AA136" s="568"/>
      <c r="AB136" s="592"/>
      <c r="AC136" s="592"/>
      <c r="AD136" s="592"/>
      <c r="AE136" s="590"/>
      <c r="AF136" s="570" t="s">
        <v>2899</v>
      </c>
      <c r="AG136" s="570" t="s">
        <v>25</v>
      </c>
      <c r="AH136" s="571" t="s">
        <v>25</v>
      </c>
      <c r="AI136" s="593"/>
      <c r="AJ136" s="593"/>
    </row>
    <row r="137" spans="1:38" s="376" customFormat="1" ht="20.25" outlineLevel="2" x14ac:dyDescent="0.3">
      <c r="A137" s="447">
        <v>15</v>
      </c>
      <c r="B137" s="558"/>
      <c r="C137" s="558"/>
      <c r="D137" s="587"/>
      <c r="E137" s="560"/>
      <c r="F137" s="558"/>
      <c r="G137" s="604"/>
      <c r="H137" s="546"/>
      <c r="I137" s="563" t="s">
        <v>25</v>
      </c>
      <c r="J137" s="563" t="s">
        <v>25</v>
      </c>
      <c r="K137" s="564" t="s">
        <v>25</v>
      </c>
      <c r="L137" s="564" t="s">
        <v>25</v>
      </c>
      <c r="M137" s="593"/>
      <c r="N137" s="593"/>
      <c r="O137" s="616"/>
      <c r="P137" s="564" t="s">
        <v>25</v>
      </c>
      <c r="Q137" s="564" t="s">
        <v>25</v>
      </c>
      <c r="R137" s="593"/>
      <c r="S137" s="593"/>
      <c r="T137" s="617"/>
      <c r="U137" s="589"/>
      <c r="V137" s="564" t="s">
        <v>2899</v>
      </c>
      <c r="W137" s="564" t="s">
        <v>25</v>
      </c>
      <c r="X137" s="589"/>
      <c r="Y137" s="589"/>
      <c r="Z137" s="589"/>
      <c r="AA137" s="562"/>
      <c r="AB137" s="589"/>
      <c r="AC137" s="589"/>
      <c r="AD137" s="589"/>
      <c r="AE137" s="629"/>
      <c r="AF137" s="570" t="s">
        <v>2899</v>
      </c>
      <c r="AG137" s="570" t="s">
        <v>25</v>
      </c>
      <c r="AH137" s="571" t="s">
        <v>25</v>
      </c>
      <c r="AI137" s="575"/>
      <c r="AJ137" s="593"/>
    </row>
    <row r="138" spans="1:38" s="376" customFormat="1" ht="20.25" outlineLevel="2" x14ac:dyDescent="0.3">
      <c r="A138" s="447">
        <v>15</v>
      </c>
      <c r="B138" s="558"/>
      <c r="C138" s="558"/>
      <c r="D138" s="587"/>
      <c r="E138" s="560"/>
      <c r="F138" s="558"/>
      <c r="G138" s="588"/>
      <c r="H138" s="546"/>
      <c r="I138" s="563" t="s">
        <v>25</v>
      </c>
      <c r="J138" s="563" t="s">
        <v>25</v>
      </c>
      <c r="K138" s="564" t="s">
        <v>25</v>
      </c>
      <c r="L138" s="564" t="s">
        <v>25</v>
      </c>
      <c r="M138" s="558"/>
      <c r="N138" s="558"/>
      <c r="O138" s="590"/>
      <c r="P138" s="564" t="s">
        <v>25</v>
      </c>
      <c r="Q138" s="564" t="s">
        <v>25</v>
      </c>
      <c r="R138" s="566"/>
      <c r="S138" s="589"/>
      <c r="T138" s="591"/>
      <c r="U138" s="589"/>
      <c r="V138" s="564" t="s">
        <v>2899</v>
      </c>
      <c r="W138" s="564" t="s">
        <v>25</v>
      </c>
      <c r="X138" s="589"/>
      <c r="Y138" s="592"/>
      <c r="Z138" s="592"/>
      <c r="AA138" s="568"/>
      <c r="AB138" s="592"/>
      <c r="AC138" s="592"/>
      <c r="AD138" s="592"/>
      <c r="AE138" s="590"/>
      <c r="AF138" s="570" t="s">
        <v>2899</v>
      </c>
      <c r="AG138" s="570" t="s">
        <v>25</v>
      </c>
      <c r="AH138" s="571" t="s">
        <v>25</v>
      </c>
      <c r="AI138" s="575"/>
      <c r="AJ138" s="593"/>
    </row>
    <row r="139" spans="1:38" s="376" customFormat="1" ht="20.25" outlineLevel="2" x14ac:dyDescent="0.3">
      <c r="A139" s="447">
        <v>15</v>
      </c>
      <c r="B139" s="572"/>
      <c r="C139" s="572"/>
      <c r="D139" s="587"/>
      <c r="E139" s="560"/>
      <c r="F139" s="558"/>
      <c r="G139" s="588"/>
      <c r="H139" s="546"/>
      <c r="I139" s="563" t="s">
        <v>25</v>
      </c>
      <c r="J139" s="563" t="s">
        <v>25</v>
      </c>
      <c r="K139" s="564" t="s">
        <v>25</v>
      </c>
      <c r="L139" s="564" t="s">
        <v>25</v>
      </c>
      <c r="M139" s="558"/>
      <c r="N139" s="558"/>
      <c r="O139" s="590"/>
      <c r="P139" s="564" t="s">
        <v>25</v>
      </c>
      <c r="Q139" s="564" t="s">
        <v>25</v>
      </c>
      <c r="R139" s="566"/>
      <c r="S139" s="589"/>
      <c r="T139" s="591"/>
      <c r="U139" s="589"/>
      <c r="V139" s="564" t="s">
        <v>2899</v>
      </c>
      <c r="W139" s="564" t="s">
        <v>25</v>
      </c>
      <c r="X139" s="589"/>
      <c r="Y139" s="592"/>
      <c r="Z139" s="592"/>
      <c r="AA139" s="568"/>
      <c r="AB139" s="592"/>
      <c r="AC139" s="592"/>
      <c r="AD139" s="592"/>
      <c r="AE139" s="590"/>
      <c r="AF139" s="570" t="s">
        <v>2899</v>
      </c>
      <c r="AG139" s="570" t="s">
        <v>25</v>
      </c>
      <c r="AH139" s="571" t="s">
        <v>25</v>
      </c>
      <c r="AI139" s="593"/>
      <c r="AJ139" s="593"/>
    </row>
    <row r="140" spans="1:38" s="376" customFormat="1" ht="20.25" outlineLevel="2" x14ac:dyDescent="0.3">
      <c r="A140" s="447">
        <v>15</v>
      </c>
      <c r="B140" s="574"/>
      <c r="C140" s="574"/>
      <c r="D140" s="595"/>
      <c r="E140" s="577"/>
      <c r="F140" s="558"/>
      <c r="G140" s="588"/>
      <c r="H140" s="546"/>
      <c r="I140" s="563" t="s">
        <v>25</v>
      </c>
      <c r="J140" s="563" t="s">
        <v>25</v>
      </c>
      <c r="K140" s="564" t="s">
        <v>25</v>
      </c>
      <c r="L140" s="564" t="s">
        <v>25</v>
      </c>
      <c r="M140" s="558"/>
      <c r="N140" s="558"/>
      <c r="O140" s="590"/>
      <c r="P140" s="564" t="s">
        <v>25</v>
      </c>
      <c r="Q140" s="564" t="s">
        <v>25</v>
      </c>
      <c r="R140" s="566"/>
      <c r="S140" s="589"/>
      <c r="T140" s="591"/>
      <c r="U140" s="589"/>
      <c r="V140" s="564" t="s">
        <v>2899</v>
      </c>
      <c r="W140" s="564" t="s">
        <v>25</v>
      </c>
      <c r="X140" s="589"/>
      <c r="Y140" s="592"/>
      <c r="Z140" s="592"/>
      <c r="AA140" s="568"/>
      <c r="AB140" s="592"/>
      <c r="AC140" s="592"/>
      <c r="AD140" s="592"/>
      <c r="AE140" s="590"/>
      <c r="AF140" s="570" t="s">
        <v>2899</v>
      </c>
      <c r="AG140" s="570" t="s">
        <v>25</v>
      </c>
      <c r="AH140" s="571" t="s">
        <v>25</v>
      </c>
      <c r="AI140" s="558"/>
      <c r="AJ140" s="558"/>
    </row>
    <row r="141" spans="1:38" s="376" customFormat="1" ht="54" customHeight="1" outlineLevel="1" x14ac:dyDescent="0.25">
      <c r="A141" s="467">
        <v>16</v>
      </c>
      <c r="B141" s="574" t="s">
        <v>107</v>
      </c>
      <c r="C141" s="773" t="s">
        <v>2902</v>
      </c>
      <c r="D141" s="587">
        <v>86</v>
      </c>
      <c r="E141" s="560">
        <v>1581</v>
      </c>
      <c r="F141" s="574"/>
      <c r="G141" s="618">
        <v>98.6</v>
      </c>
      <c r="H141" s="579">
        <v>49.3</v>
      </c>
      <c r="I141" s="581"/>
      <c r="J141" s="581"/>
      <c r="K141" s="571">
        <v>54664000</v>
      </c>
      <c r="L141" s="571">
        <v>81996000</v>
      </c>
      <c r="M141" s="574"/>
      <c r="N141" s="574"/>
      <c r="O141" s="599">
        <v>0</v>
      </c>
      <c r="P141" s="571"/>
      <c r="Q141" s="571">
        <v>0</v>
      </c>
      <c r="R141" s="582"/>
      <c r="S141" s="597"/>
      <c r="T141" s="600">
        <v>7.6</v>
      </c>
      <c r="U141" s="597"/>
      <c r="V141" s="571"/>
      <c r="W141" s="571">
        <v>1859000</v>
      </c>
      <c r="X141" s="589"/>
      <c r="Y141" s="592"/>
      <c r="Z141" s="592"/>
      <c r="AA141" s="568"/>
      <c r="AB141" s="592"/>
      <c r="AC141" s="592"/>
      <c r="AD141" s="634"/>
      <c r="AE141" s="599">
        <f>SUBTOTAL(9,AE142:AE148)</f>
        <v>0</v>
      </c>
      <c r="AF141" s="585"/>
      <c r="AG141" s="585">
        <v>0</v>
      </c>
      <c r="AH141" s="571">
        <v>138519000</v>
      </c>
      <c r="AI141" s="574"/>
      <c r="AJ141" s="578"/>
      <c r="AL141" s="473"/>
    </row>
    <row r="142" spans="1:38" s="376" customFormat="1" ht="166.5" customHeight="1" outlineLevel="2" x14ac:dyDescent="0.3">
      <c r="A142" s="447">
        <v>16</v>
      </c>
      <c r="B142" s="558" t="s">
        <v>108</v>
      </c>
      <c r="C142" s="558"/>
      <c r="D142" s="587"/>
      <c r="E142" s="560"/>
      <c r="F142" s="558" t="s">
        <v>2891</v>
      </c>
      <c r="G142" s="588">
        <v>49.3</v>
      </c>
      <c r="H142" s="546" t="s">
        <v>2899</v>
      </c>
      <c r="I142" s="563">
        <v>554400</v>
      </c>
      <c r="J142" s="563">
        <v>0</v>
      </c>
      <c r="K142" s="564">
        <v>27332000</v>
      </c>
      <c r="L142" s="564">
        <v>0</v>
      </c>
      <c r="M142" s="558"/>
      <c r="N142" s="558"/>
      <c r="O142" s="590"/>
      <c r="P142" s="564" t="s">
        <v>25</v>
      </c>
      <c r="Q142" s="564" t="s">
        <v>25</v>
      </c>
      <c r="R142" s="566" t="s">
        <v>1839</v>
      </c>
      <c r="S142" s="589" t="s">
        <v>53</v>
      </c>
      <c r="T142" s="591">
        <v>7.6</v>
      </c>
      <c r="U142" s="589"/>
      <c r="V142" s="564">
        <v>244604</v>
      </c>
      <c r="W142" s="564">
        <v>1859000</v>
      </c>
      <c r="X142" s="589"/>
      <c r="Y142" s="592"/>
      <c r="Z142" s="592"/>
      <c r="AA142" s="568"/>
      <c r="AB142" s="592"/>
      <c r="AC142" s="592"/>
      <c r="AD142" s="606"/>
      <c r="AE142" s="590"/>
      <c r="AF142" s="570" t="s">
        <v>2899</v>
      </c>
      <c r="AG142" s="570"/>
      <c r="AH142" s="571" t="s">
        <v>25</v>
      </c>
      <c r="AI142" s="558" t="s">
        <v>639</v>
      </c>
      <c r="AJ142" s="586" t="s">
        <v>2771</v>
      </c>
      <c r="AL142" s="378" t="s">
        <v>2157</v>
      </c>
    </row>
    <row r="143" spans="1:38" s="376" customFormat="1" ht="101.25" outlineLevel="2" x14ac:dyDescent="0.3">
      <c r="A143" s="447">
        <v>16</v>
      </c>
      <c r="B143" s="574" t="s">
        <v>109</v>
      </c>
      <c r="C143" s="574"/>
      <c r="D143" s="587"/>
      <c r="E143" s="560"/>
      <c r="F143" s="558" t="s">
        <v>2893</v>
      </c>
      <c r="G143" s="588">
        <v>49.3</v>
      </c>
      <c r="H143" s="546">
        <v>49.3</v>
      </c>
      <c r="I143" s="563">
        <v>554400</v>
      </c>
      <c r="J143" s="563">
        <v>1663200</v>
      </c>
      <c r="K143" s="564">
        <v>27332000</v>
      </c>
      <c r="L143" s="564">
        <v>81996000</v>
      </c>
      <c r="M143" s="558"/>
      <c r="N143" s="558"/>
      <c r="O143" s="590"/>
      <c r="P143" s="564" t="s">
        <v>25</v>
      </c>
      <c r="Q143" s="564" t="s">
        <v>25</v>
      </c>
      <c r="R143" s="566"/>
      <c r="S143" s="589"/>
      <c r="T143" s="591"/>
      <c r="U143" s="589"/>
      <c r="V143" s="564" t="s">
        <v>2899</v>
      </c>
      <c r="W143" s="564" t="s">
        <v>25</v>
      </c>
      <c r="X143" s="589"/>
      <c r="Y143" s="592"/>
      <c r="Z143" s="592"/>
      <c r="AA143" s="568"/>
      <c r="AB143" s="592"/>
      <c r="AC143" s="592"/>
      <c r="AD143" s="592"/>
      <c r="AE143" s="590"/>
      <c r="AF143" s="570" t="s">
        <v>2899</v>
      </c>
      <c r="AG143" s="570" t="s">
        <v>25</v>
      </c>
      <c r="AH143" s="571" t="s">
        <v>25</v>
      </c>
      <c r="AI143" s="558" t="s">
        <v>436</v>
      </c>
      <c r="AJ143" s="605" t="s">
        <v>2448</v>
      </c>
    </row>
    <row r="144" spans="1:38" s="376" customFormat="1" ht="121.5" outlineLevel="2" x14ac:dyDescent="0.3">
      <c r="A144" s="447">
        <v>16</v>
      </c>
      <c r="B144" s="572" t="s">
        <v>110</v>
      </c>
      <c r="C144" s="572"/>
      <c r="D144" s="587"/>
      <c r="E144" s="560"/>
      <c r="F144" s="558"/>
      <c r="G144" s="588"/>
      <c r="H144" s="546"/>
      <c r="I144" s="563" t="s">
        <v>25</v>
      </c>
      <c r="J144" s="563" t="s">
        <v>25</v>
      </c>
      <c r="K144" s="564" t="s">
        <v>25</v>
      </c>
      <c r="L144" s="564" t="s">
        <v>25</v>
      </c>
      <c r="M144" s="578"/>
      <c r="N144" s="578"/>
      <c r="O144" s="590"/>
      <c r="P144" s="564" t="s">
        <v>25</v>
      </c>
      <c r="Q144" s="564" t="s">
        <v>25</v>
      </c>
      <c r="R144" s="578"/>
      <c r="S144" s="621"/>
      <c r="T144" s="591"/>
      <c r="U144" s="597"/>
      <c r="V144" s="564" t="s">
        <v>2899</v>
      </c>
      <c r="W144" s="564" t="s">
        <v>25</v>
      </c>
      <c r="X144" s="580"/>
      <c r="Y144" s="601"/>
      <c r="Z144" s="601"/>
      <c r="AA144" s="584"/>
      <c r="AB144" s="601"/>
      <c r="AC144" s="601"/>
      <c r="AD144" s="601"/>
      <c r="AE144" s="599"/>
      <c r="AF144" s="570" t="s">
        <v>2899</v>
      </c>
      <c r="AG144" s="570" t="s">
        <v>25</v>
      </c>
      <c r="AH144" s="571" t="s">
        <v>25</v>
      </c>
      <c r="AI144" s="608" t="s">
        <v>111</v>
      </c>
      <c r="AJ144" s="558" t="s">
        <v>2450</v>
      </c>
    </row>
    <row r="145" spans="1:36" s="376" customFormat="1" ht="101.25" outlineLevel="2" x14ac:dyDescent="0.3">
      <c r="A145" s="447">
        <v>16</v>
      </c>
      <c r="B145" s="628" t="s">
        <v>640</v>
      </c>
      <c r="C145" s="628"/>
      <c r="D145" s="587"/>
      <c r="E145" s="615"/>
      <c r="F145" s="558"/>
      <c r="G145" s="588"/>
      <c r="H145" s="546"/>
      <c r="I145" s="563" t="s">
        <v>25</v>
      </c>
      <c r="J145" s="563" t="s">
        <v>25</v>
      </c>
      <c r="K145" s="564" t="s">
        <v>25</v>
      </c>
      <c r="L145" s="564" t="s">
        <v>25</v>
      </c>
      <c r="M145" s="586"/>
      <c r="N145" s="586"/>
      <c r="O145" s="590"/>
      <c r="P145" s="564" t="s">
        <v>25</v>
      </c>
      <c r="Q145" s="564" t="s">
        <v>25</v>
      </c>
      <c r="R145" s="586"/>
      <c r="S145" s="609"/>
      <c r="T145" s="591"/>
      <c r="U145" s="589"/>
      <c r="V145" s="564" t="s">
        <v>2899</v>
      </c>
      <c r="W145" s="564" t="s">
        <v>25</v>
      </c>
      <c r="X145" s="562"/>
      <c r="Y145" s="592"/>
      <c r="Z145" s="592"/>
      <c r="AA145" s="568"/>
      <c r="AB145" s="592"/>
      <c r="AC145" s="592"/>
      <c r="AD145" s="592"/>
      <c r="AE145" s="590"/>
      <c r="AF145" s="570" t="s">
        <v>2899</v>
      </c>
      <c r="AG145" s="570" t="s">
        <v>25</v>
      </c>
      <c r="AH145" s="571" t="s">
        <v>25</v>
      </c>
      <c r="AI145" s="558" t="s">
        <v>2192</v>
      </c>
      <c r="AJ145" s="558" t="s">
        <v>2800</v>
      </c>
    </row>
    <row r="146" spans="1:36" s="376" customFormat="1" ht="20.25" outlineLevel="2" x14ac:dyDescent="0.3">
      <c r="A146" s="447">
        <v>16</v>
      </c>
      <c r="B146" s="628"/>
      <c r="C146" s="628"/>
      <c r="D146" s="587"/>
      <c r="E146" s="615"/>
      <c r="F146" s="558"/>
      <c r="G146" s="604"/>
      <c r="H146" s="546"/>
      <c r="I146" s="563" t="s">
        <v>25</v>
      </c>
      <c r="J146" s="563" t="s">
        <v>25</v>
      </c>
      <c r="K146" s="564" t="s">
        <v>25</v>
      </c>
      <c r="L146" s="564" t="s">
        <v>25</v>
      </c>
      <c r="M146" s="593"/>
      <c r="N146" s="593"/>
      <c r="O146" s="616"/>
      <c r="P146" s="564" t="s">
        <v>25</v>
      </c>
      <c r="Q146" s="564" t="s">
        <v>25</v>
      </c>
      <c r="R146" s="593"/>
      <c r="S146" s="593"/>
      <c r="T146" s="617"/>
      <c r="U146" s="589"/>
      <c r="V146" s="564" t="s">
        <v>2899</v>
      </c>
      <c r="W146" s="564" t="s">
        <v>25</v>
      </c>
      <c r="X146" s="589"/>
      <c r="Y146" s="589"/>
      <c r="Z146" s="589"/>
      <c r="AA146" s="562"/>
      <c r="AB146" s="589"/>
      <c r="AC146" s="589"/>
      <c r="AD146" s="589"/>
      <c r="AE146" s="629"/>
      <c r="AF146" s="570" t="s">
        <v>2899</v>
      </c>
      <c r="AG146" s="570" t="s">
        <v>25</v>
      </c>
      <c r="AH146" s="571" t="s">
        <v>25</v>
      </c>
      <c r="AI146" s="575"/>
      <c r="AJ146" s="593"/>
    </row>
    <row r="147" spans="1:36" s="376" customFormat="1" ht="20.25" outlineLevel="2" x14ac:dyDescent="0.3">
      <c r="A147" s="447">
        <v>16</v>
      </c>
      <c r="B147" s="607"/>
      <c r="C147" s="607"/>
      <c r="D147" s="595"/>
      <c r="E147" s="577"/>
      <c r="F147" s="558"/>
      <c r="G147" s="604"/>
      <c r="H147" s="546"/>
      <c r="I147" s="563" t="s">
        <v>25</v>
      </c>
      <c r="J147" s="563" t="s">
        <v>25</v>
      </c>
      <c r="K147" s="564" t="s">
        <v>25</v>
      </c>
      <c r="L147" s="564" t="s">
        <v>25</v>
      </c>
      <c r="M147" s="593"/>
      <c r="N147" s="593"/>
      <c r="O147" s="616"/>
      <c r="P147" s="564" t="s">
        <v>25</v>
      </c>
      <c r="Q147" s="564" t="s">
        <v>25</v>
      </c>
      <c r="R147" s="593"/>
      <c r="S147" s="593"/>
      <c r="T147" s="617"/>
      <c r="U147" s="589"/>
      <c r="V147" s="564" t="s">
        <v>2899</v>
      </c>
      <c r="W147" s="564" t="s">
        <v>25</v>
      </c>
      <c r="X147" s="589"/>
      <c r="Y147" s="589"/>
      <c r="Z147" s="589"/>
      <c r="AA147" s="562"/>
      <c r="AB147" s="589"/>
      <c r="AC147" s="589"/>
      <c r="AD147" s="589"/>
      <c r="AE147" s="629"/>
      <c r="AF147" s="570" t="s">
        <v>2899</v>
      </c>
      <c r="AG147" s="570" t="s">
        <v>25</v>
      </c>
      <c r="AH147" s="571" t="s">
        <v>25</v>
      </c>
      <c r="AI147" s="575"/>
      <c r="AJ147" s="593"/>
    </row>
    <row r="148" spans="1:36" s="376" customFormat="1" ht="20.25" outlineLevel="2" x14ac:dyDescent="0.3">
      <c r="A148" s="447">
        <v>16</v>
      </c>
      <c r="B148" s="574"/>
      <c r="C148" s="574"/>
      <c r="D148" s="595"/>
      <c r="E148" s="577"/>
      <c r="F148" s="574"/>
      <c r="G148" s="588"/>
      <c r="H148" s="546"/>
      <c r="I148" s="563" t="s">
        <v>25</v>
      </c>
      <c r="J148" s="563" t="s">
        <v>25</v>
      </c>
      <c r="K148" s="564" t="s">
        <v>25</v>
      </c>
      <c r="L148" s="564" t="s">
        <v>25</v>
      </c>
      <c r="M148" s="578"/>
      <c r="N148" s="578"/>
      <c r="O148" s="633"/>
      <c r="P148" s="564" t="s">
        <v>25</v>
      </c>
      <c r="Q148" s="564" t="s">
        <v>25</v>
      </c>
      <c r="R148" s="578"/>
      <c r="S148" s="621"/>
      <c r="T148" s="591"/>
      <c r="U148" s="597"/>
      <c r="V148" s="564" t="s">
        <v>2899</v>
      </c>
      <c r="W148" s="564" t="s">
        <v>25</v>
      </c>
      <c r="X148" s="580"/>
      <c r="Y148" s="601"/>
      <c r="Z148" s="601"/>
      <c r="AA148" s="584"/>
      <c r="AB148" s="601"/>
      <c r="AC148" s="601"/>
      <c r="AD148" s="601"/>
      <c r="AE148" s="599"/>
      <c r="AF148" s="570" t="s">
        <v>2899</v>
      </c>
      <c r="AG148" s="570" t="s">
        <v>25</v>
      </c>
      <c r="AH148" s="571" t="s">
        <v>25</v>
      </c>
      <c r="AI148" s="608"/>
      <c r="AJ148" s="608"/>
    </row>
    <row r="149" spans="1:36" s="376" customFormat="1" ht="40.5" outlineLevel="1" x14ac:dyDescent="0.25">
      <c r="A149" s="467">
        <v>17</v>
      </c>
      <c r="B149" s="574" t="s">
        <v>50</v>
      </c>
      <c r="C149" s="773" t="s">
        <v>2902</v>
      </c>
      <c r="D149" s="587">
        <v>86</v>
      </c>
      <c r="E149" s="560">
        <v>198</v>
      </c>
      <c r="F149" s="574"/>
      <c r="G149" s="618">
        <v>123.5</v>
      </c>
      <c r="H149" s="579">
        <v>44.1</v>
      </c>
      <c r="I149" s="581"/>
      <c r="J149" s="581"/>
      <c r="K149" s="571">
        <v>344723000</v>
      </c>
      <c r="L149" s="571">
        <v>73347000</v>
      </c>
      <c r="M149" s="578"/>
      <c r="N149" s="578"/>
      <c r="O149" s="599">
        <v>0</v>
      </c>
      <c r="P149" s="571"/>
      <c r="Q149" s="571">
        <v>0</v>
      </c>
      <c r="R149" s="582"/>
      <c r="S149" s="597"/>
      <c r="T149" s="600">
        <v>80</v>
      </c>
      <c r="U149" s="597"/>
      <c r="V149" s="571"/>
      <c r="W149" s="571">
        <v>50045000</v>
      </c>
      <c r="X149" s="589"/>
      <c r="Y149" s="592"/>
      <c r="Z149" s="592"/>
      <c r="AA149" s="568"/>
      <c r="AB149" s="592"/>
      <c r="AC149" s="592"/>
      <c r="AD149" s="634"/>
      <c r="AE149" s="599">
        <f>SUBTOTAL(9,AE150:AE156)</f>
        <v>0</v>
      </c>
      <c r="AF149" s="585"/>
      <c r="AG149" s="585">
        <v>0</v>
      </c>
      <c r="AH149" s="571">
        <v>468115000</v>
      </c>
      <c r="AI149" s="574"/>
      <c r="AJ149" s="578"/>
    </row>
    <row r="150" spans="1:36" s="376" customFormat="1" ht="121.5" outlineLevel="2" x14ac:dyDescent="0.3">
      <c r="A150" s="447">
        <v>17</v>
      </c>
      <c r="B150" s="558" t="s">
        <v>112</v>
      </c>
      <c r="C150" s="558"/>
      <c r="D150" s="587">
        <v>86</v>
      </c>
      <c r="E150" s="560">
        <v>198</v>
      </c>
      <c r="F150" s="558" t="s">
        <v>2034</v>
      </c>
      <c r="G150" s="588">
        <v>79.400000000000006</v>
      </c>
      <c r="H150" s="546" t="s">
        <v>2899</v>
      </c>
      <c r="I150" s="563">
        <v>4033679.9999999995</v>
      </c>
      <c r="J150" s="563">
        <v>0</v>
      </c>
      <c r="K150" s="564">
        <v>320274000</v>
      </c>
      <c r="L150" s="564">
        <v>0</v>
      </c>
      <c r="M150" s="586"/>
      <c r="N150" s="586"/>
      <c r="O150" s="590"/>
      <c r="P150" s="564" t="s">
        <v>25</v>
      </c>
      <c r="Q150" s="564" t="s">
        <v>25</v>
      </c>
      <c r="R150" s="566" t="s">
        <v>2269</v>
      </c>
      <c r="S150" s="589" t="s">
        <v>53</v>
      </c>
      <c r="T150" s="591">
        <v>80</v>
      </c>
      <c r="U150" s="589"/>
      <c r="V150" s="564">
        <v>625568</v>
      </c>
      <c r="W150" s="564">
        <v>50045000</v>
      </c>
      <c r="X150" s="589"/>
      <c r="Y150" s="592"/>
      <c r="Z150" s="592"/>
      <c r="AA150" s="568"/>
      <c r="AB150" s="592"/>
      <c r="AC150" s="592"/>
      <c r="AD150" s="606"/>
      <c r="AE150" s="590"/>
      <c r="AF150" s="570" t="s">
        <v>2899</v>
      </c>
      <c r="AG150" s="570" t="s">
        <v>25</v>
      </c>
      <c r="AH150" s="571" t="s">
        <v>25</v>
      </c>
      <c r="AI150" s="558" t="s">
        <v>641</v>
      </c>
      <c r="AJ150" s="586" t="s">
        <v>2771</v>
      </c>
    </row>
    <row r="151" spans="1:36" s="376" customFormat="1" ht="101.25" outlineLevel="2" x14ac:dyDescent="0.3">
      <c r="A151" s="447">
        <v>17</v>
      </c>
      <c r="B151" s="628" t="s">
        <v>642</v>
      </c>
      <c r="C151" s="628"/>
      <c r="D151" s="587"/>
      <c r="E151" s="560"/>
      <c r="F151" s="558" t="s">
        <v>2892</v>
      </c>
      <c r="G151" s="588">
        <v>44.1</v>
      </c>
      <c r="H151" s="546">
        <v>44.1</v>
      </c>
      <c r="I151" s="563">
        <v>554400</v>
      </c>
      <c r="J151" s="563">
        <v>1663200</v>
      </c>
      <c r="K151" s="564">
        <v>24449000</v>
      </c>
      <c r="L151" s="564">
        <v>73347000</v>
      </c>
      <c r="M151" s="565"/>
      <c r="N151" s="565"/>
      <c r="O151" s="590"/>
      <c r="P151" s="564" t="s">
        <v>25</v>
      </c>
      <c r="Q151" s="564" t="s">
        <v>25</v>
      </c>
      <c r="R151" s="566"/>
      <c r="S151" s="589"/>
      <c r="T151" s="591"/>
      <c r="U151" s="589"/>
      <c r="V151" s="564" t="s">
        <v>2899</v>
      </c>
      <c r="W151" s="564" t="s">
        <v>25</v>
      </c>
      <c r="X151" s="589"/>
      <c r="Y151" s="592"/>
      <c r="Z151" s="592"/>
      <c r="AA151" s="568"/>
      <c r="AB151" s="592"/>
      <c r="AC151" s="592"/>
      <c r="AD151" s="592"/>
      <c r="AE151" s="590"/>
      <c r="AF151" s="570" t="s">
        <v>2899</v>
      </c>
      <c r="AG151" s="570" t="s">
        <v>25</v>
      </c>
      <c r="AH151" s="571" t="s">
        <v>25</v>
      </c>
      <c r="AI151" s="558" t="s">
        <v>440</v>
      </c>
      <c r="AJ151" s="605" t="s">
        <v>2448</v>
      </c>
    </row>
    <row r="152" spans="1:36" s="376" customFormat="1" ht="121.5" outlineLevel="2" x14ac:dyDescent="0.3">
      <c r="A152" s="447">
        <v>17</v>
      </c>
      <c r="B152" s="635"/>
      <c r="C152" s="635"/>
      <c r="D152" s="587"/>
      <c r="E152" s="560"/>
      <c r="F152" s="558"/>
      <c r="G152" s="588"/>
      <c r="H152" s="546"/>
      <c r="I152" s="563" t="s">
        <v>25</v>
      </c>
      <c r="J152" s="563" t="s">
        <v>25</v>
      </c>
      <c r="K152" s="564" t="s">
        <v>25</v>
      </c>
      <c r="L152" s="564" t="s">
        <v>25</v>
      </c>
      <c r="M152" s="565"/>
      <c r="N152" s="565"/>
      <c r="O152" s="590"/>
      <c r="P152" s="564" t="s">
        <v>25</v>
      </c>
      <c r="Q152" s="564" t="s">
        <v>25</v>
      </c>
      <c r="R152" s="566"/>
      <c r="S152" s="589"/>
      <c r="T152" s="591"/>
      <c r="U152" s="589"/>
      <c r="V152" s="564" t="s">
        <v>2899</v>
      </c>
      <c r="W152" s="564" t="s">
        <v>25</v>
      </c>
      <c r="X152" s="589"/>
      <c r="Y152" s="592"/>
      <c r="Z152" s="592"/>
      <c r="AA152" s="568"/>
      <c r="AB152" s="592"/>
      <c r="AC152" s="592"/>
      <c r="AD152" s="592"/>
      <c r="AE152" s="590"/>
      <c r="AF152" s="570" t="s">
        <v>2899</v>
      </c>
      <c r="AG152" s="570" t="s">
        <v>25</v>
      </c>
      <c r="AH152" s="571" t="s">
        <v>25</v>
      </c>
      <c r="AI152" s="593" t="s">
        <v>2140</v>
      </c>
      <c r="AJ152" s="558" t="s">
        <v>2450</v>
      </c>
    </row>
    <row r="153" spans="1:36" s="376" customFormat="1" ht="101.25" outlineLevel="2" x14ac:dyDescent="0.3">
      <c r="A153" s="447">
        <v>17</v>
      </c>
      <c r="B153" s="558"/>
      <c r="C153" s="558"/>
      <c r="D153" s="587"/>
      <c r="E153" s="615"/>
      <c r="F153" s="558"/>
      <c r="G153" s="588"/>
      <c r="H153" s="546"/>
      <c r="I153" s="563" t="s">
        <v>25</v>
      </c>
      <c r="J153" s="563" t="s">
        <v>25</v>
      </c>
      <c r="K153" s="564" t="s">
        <v>25</v>
      </c>
      <c r="L153" s="564" t="s">
        <v>25</v>
      </c>
      <c r="M153" s="558"/>
      <c r="N153" s="558"/>
      <c r="O153" s="590"/>
      <c r="P153" s="564" t="s">
        <v>25</v>
      </c>
      <c r="Q153" s="564" t="s">
        <v>25</v>
      </c>
      <c r="R153" s="566"/>
      <c r="S153" s="589"/>
      <c r="T153" s="591"/>
      <c r="U153" s="589"/>
      <c r="V153" s="564" t="s">
        <v>2899</v>
      </c>
      <c r="W153" s="564" t="s">
        <v>25</v>
      </c>
      <c r="X153" s="589"/>
      <c r="Y153" s="592"/>
      <c r="Z153" s="592"/>
      <c r="AA153" s="568"/>
      <c r="AB153" s="592"/>
      <c r="AC153" s="592"/>
      <c r="AD153" s="592"/>
      <c r="AE153" s="590"/>
      <c r="AF153" s="570" t="s">
        <v>2899</v>
      </c>
      <c r="AG153" s="570" t="s">
        <v>25</v>
      </c>
      <c r="AH153" s="571" t="s">
        <v>25</v>
      </c>
      <c r="AI153" s="558" t="s">
        <v>2074</v>
      </c>
      <c r="AJ153" s="558" t="s">
        <v>2800</v>
      </c>
    </row>
    <row r="154" spans="1:36" s="376" customFormat="1" ht="20.25" outlineLevel="2" x14ac:dyDescent="0.3">
      <c r="A154" s="447">
        <v>17</v>
      </c>
      <c r="B154" s="558"/>
      <c r="C154" s="558"/>
      <c r="D154" s="587"/>
      <c r="E154" s="615"/>
      <c r="F154" s="558"/>
      <c r="G154" s="604"/>
      <c r="H154" s="546"/>
      <c r="I154" s="563" t="s">
        <v>25</v>
      </c>
      <c r="J154" s="563" t="s">
        <v>25</v>
      </c>
      <c r="K154" s="564" t="s">
        <v>25</v>
      </c>
      <c r="L154" s="564" t="s">
        <v>25</v>
      </c>
      <c r="M154" s="593"/>
      <c r="N154" s="593"/>
      <c r="O154" s="616"/>
      <c r="P154" s="564" t="s">
        <v>25</v>
      </c>
      <c r="Q154" s="564" t="s">
        <v>25</v>
      </c>
      <c r="R154" s="593"/>
      <c r="S154" s="593"/>
      <c r="T154" s="617"/>
      <c r="U154" s="589"/>
      <c r="V154" s="564" t="s">
        <v>2899</v>
      </c>
      <c r="W154" s="564" t="s">
        <v>25</v>
      </c>
      <c r="X154" s="589"/>
      <c r="Y154" s="589"/>
      <c r="Z154" s="589"/>
      <c r="AA154" s="562"/>
      <c r="AB154" s="589"/>
      <c r="AC154" s="589"/>
      <c r="AD154" s="589"/>
      <c r="AE154" s="629"/>
      <c r="AF154" s="570" t="s">
        <v>2899</v>
      </c>
      <c r="AG154" s="570" t="s">
        <v>25</v>
      </c>
      <c r="AH154" s="571" t="s">
        <v>25</v>
      </c>
      <c r="AI154" s="575"/>
      <c r="AJ154" s="593"/>
    </row>
    <row r="155" spans="1:36" s="376" customFormat="1" ht="20.25" outlineLevel="2" x14ac:dyDescent="0.3">
      <c r="A155" s="447">
        <v>17</v>
      </c>
      <c r="B155" s="558"/>
      <c r="C155" s="558"/>
      <c r="D155" s="587"/>
      <c r="E155" s="615"/>
      <c r="F155" s="558"/>
      <c r="G155" s="604"/>
      <c r="H155" s="546"/>
      <c r="I155" s="563" t="s">
        <v>25</v>
      </c>
      <c r="J155" s="563" t="s">
        <v>25</v>
      </c>
      <c r="K155" s="564" t="s">
        <v>25</v>
      </c>
      <c r="L155" s="564" t="s">
        <v>25</v>
      </c>
      <c r="M155" s="593"/>
      <c r="N155" s="593"/>
      <c r="O155" s="616"/>
      <c r="P155" s="564" t="s">
        <v>25</v>
      </c>
      <c r="Q155" s="564" t="s">
        <v>25</v>
      </c>
      <c r="R155" s="593"/>
      <c r="S155" s="593"/>
      <c r="T155" s="617"/>
      <c r="U155" s="589"/>
      <c r="V155" s="564" t="s">
        <v>2899</v>
      </c>
      <c r="W155" s="564" t="s">
        <v>25</v>
      </c>
      <c r="X155" s="589"/>
      <c r="Y155" s="589"/>
      <c r="Z155" s="589"/>
      <c r="AA155" s="562"/>
      <c r="AB155" s="589"/>
      <c r="AC155" s="589"/>
      <c r="AD155" s="589"/>
      <c r="AE155" s="629"/>
      <c r="AF155" s="570" t="s">
        <v>2899</v>
      </c>
      <c r="AG155" s="570" t="s">
        <v>25</v>
      </c>
      <c r="AH155" s="571" t="s">
        <v>25</v>
      </c>
      <c r="AI155" s="593"/>
      <c r="AJ155" s="593"/>
    </row>
    <row r="156" spans="1:36" s="376" customFormat="1" ht="20.25" outlineLevel="2" x14ac:dyDescent="0.3">
      <c r="A156" s="447">
        <v>17</v>
      </c>
      <c r="B156" s="607"/>
      <c r="C156" s="607"/>
      <c r="D156" s="595"/>
      <c r="E156" s="577"/>
      <c r="F156" s="558"/>
      <c r="G156" s="604"/>
      <c r="H156" s="546"/>
      <c r="I156" s="563" t="s">
        <v>25</v>
      </c>
      <c r="J156" s="563" t="s">
        <v>25</v>
      </c>
      <c r="K156" s="564" t="s">
        <v>25</v>
      </c>
      <c r="L156" s="564" t="s">
        <v>25</v>
      </c>
      <c r="M156" s="593"/>
      <c r="N156" s="593"/>
      <c r="O156" s="616"/>
      <c r="P156" s="564" t="s">
        <v>25</v>
      </c>
      <c r="Q156" s="564" t="s">
        <v>25</v>
      </c>
      <c r="R156" s="593"/>
      <c r="S156" s="593"/>
      <c r="T156" s="617"/>
      <c r="U156" s="589"/>
      <c r="V156" s="564" t="s">
        <v>2899</v>
      </c>
      <c r="W156" s="564" t="s">
        <v>25</v>
      </c>
      <c r="X156" s="589"/>
      <c r="Y156" s="589"/>
      <c r="Z156" s="589"/>
      <c r="AA156" s="562"/>
      <c r="AB156" s="589"/>
      <c r="AC156" s="589"/>
      <c r="AD156" s="589"/>
      <c r="AE156" s="629"/>
      <c r="AF156" s="570" t="s">
        <v>2899</v>
      </c>
      <c r="AG156" s="570" t="s">
        <v>25</v>
      </c>
      <c r="AH156" s="571" t="s">
        <v>25</v>
      </c>
      <c r="AI156" s="593"/>
      <c r="AJ156" s="593"/>
    </row>
    <row r="157" spans="1:36" s="376" customFormat="1" ht="40.5" outlineLevel="1" x14ac:dyDescent="0.25">
      <c r="A157" s="467">
        <v>18</v>
      </c>
      <c r="B157" s="607" t="s">
        <v>26</v>
      </c>
      <c r="C157" s="773" t="s">
        <v>2902</v>
      </c>
      <c r="D157" s="587">
        <v>86</v>
      </c>
      <c r="E157" s="560">
        <v>318</v>
      </c>
      <c r="F157" s="574"/>
      <c r="G157" s="618">
        <v>29.8</v>
      </c>
      <c r="H157" s="579">
        <v>8.8000000000000007</v>
      </c>
      <c r="I157" s="581"/>
      <c r="J157" s="581"/>
      <c r="K157" s="571">
        <v>89586000</v>
      </c>
      <c r="L157" s="571">
        <v>14636000</v>
      </c>
      <c r="M157" s="578"/>
      <c r="N157" s="578"/>
      <c r="O157" s="599">
        <v>0</v>
      </c>
      <c r="P157" s="571"/>
      <c r="Q157" s="571">
        <v>0</v>
      </c>
      <c r="R157" s="578"/>
      <c r="S157" s="621"/>
      <c r="T157" s="600">
        <v>0</v>
      </c>
      <c r="U157" s="597"/>
      <c r="V157" s="571"/>
      <c r="W157" s="571">
        <v>0</v>
      </c>
      <c r="X157" s="589"/>
      <c r="Y157" s="592"/>
      <c r="Z157" s="592"/>
      <c r="AA157" s="568"/>
      <c r="AB157" s="592"/>
      <c r="AC157" s="592"/>
      <c r="AD157" s="634"/>
      <c r="AE157" s="599">
        <f>SUBTOTAL(9,AE158:AE164)</f>
        <v>0</v>
      </c>
      <c r="AF157" s="585"/>
      <c r="AG157" s="585">
        <v>0</v>
      </c>
      <c r="AH157" s="571">
        <v>104222000</v>
      </c>
      <c r="AI157" s="574"/>
      <c r="AJ157" s="578"/>
    </row>
    <row r="158" spans="1:36" s="376" customFormat="1" ht="121.5" outlineLevel="2" x14ac:dyDescent="0.3">
      <c r="A158" s="447">
        <v>18</v>
      </c>
      <c r="B158" s="558" t="s">
        <v>113</v>
      </c>
      <c r="C158" s="558"/>
      <c r="D158" s="587"/>
      <c r="E158" s="560"/>
      <c r="F158" s="558" t="s">
        <v>2035</v>
      </c>
      <c r="G158" s="588">
        <v>21</v>
      </c>
      <c r="H158" s="546" t="s">
        <v>2899</v>
      </c>
      <c r="I158" s="563">
        <v>4033679.9999999995</v>
      </c>
      <c r="J158" s="563">
        <v>0</v>
      </c>
      <c r="K158" s="564">
        <v>84707000</v>
      </c>
      <c r="L158" s="564">
        <v>0</v>
      </c>
      <c r="M158" s="586"/>
      <c r="N158" s="586"/>
      <c r="O158" s="590"/>
      <c r="P158" s="564" t="s">
        <v>25</v>
      </c>
      <c r="Q158" s="564" t="s">
        <v>25</v>
      </c>
      <c r="R158" s="586"/>
      <c r="S158" s="609"/>
      <c r="T158" s="591"/>
      <c r="U158" s="589"/>
      <c r="V158" s="564" t="s">
        <v>2899</v>
      </c>
      <c r="W158" s="564" t="s">
        <v>25</v>
      </c>
      <c r="X158" s="589"/>
      <c r="Y158" s="592"/>
      <c r="Z158" s="592"/>
      <c r="AA158" s="568"/>
      <c r="AB158" s="592"/>
      <c r="AC158" s="592"/>
      <c r="AD158" s="606"/>
      <c r="AE158" s="590"/>
      <c r="AF158" s="570" t="s">
        <v>2899</v>
      </c>
      <c r="AG158" s="570"/>
      <c r="AH158" s="571" t="s">
        <v>25</v>
      </c>
      <c r="AI158" s="558" t="s">
        <v>2193</v>
      </c>
      <c r="AJ158" s="586" t="s">
        <v>2771</v>
      </c>
    </row>
    <row r="159" spans="1:36" s="376" customFormat="1" ht="101.25" outlineLevel="2" x14ac:dyDescent="0.3">
      <c r="A159" s="447">
        <v>18</v>
      </c>
      <c r="B159" s="558" t="s">
        <v>643</v>
      </c>
      <c r="C159" s="558"/>
      <c r="D159" s="587"/>
      <c r="E159" s="560"/>
      <c r="F159" s="558" t="s">
        <v>2898</v>
      </c>
      <c r="G159" s="588">
        <v>8.8000000000000007</v>
      </c>
      <c r="H159" s="546">
        <v>8.8000000000000007</v>
      </c>
      <c r="I159" s="563">
        <v>554400</v>
      </c>
      <c r="J159" s="563">
        <v>1663200</v>
      </c>
      <c r="K159" s="564">
        <v>4879000</v>
      </c>
      <c r="L159" s="564">
        <v>14636000</v>
      </c>
      <c r="M159" s="558"/>
      <c r="N159" s="558"/>
      <c r="O159" s="590"/>
      <c r="P159" s="564" t="s">
        <v>25</v>
      </c>
      <c r="Q159" s="564" t="s">
        <v>25</v>
      </c>
      <c r="R159" s="566"/>
      <c r="S159" s="589"/>
      <c r="T159" s="591"/>
      <c r="U159" s="589"/>
      <c r="V159" s="564" t="s">
        <v>2899</v>
      </c>
      <c r="W159" s="564" t="s">
        <v>25</v>
      </c>
      <c r="X159" s="589"/>
      <c r="Y159" s="592"/>
      <c r="Z159" s="592"/>
      <c r="AA159" s="568"/>
      <c r="AB159" s="592"/>
      <c r="AC159" s="592"/>
      <c r="AD159" s="592"/>
      <c r="AE159" s="590"/>
      <c r="AF159" s="570" t="s">
        <v>2899</v>
      </c>
      <c r="AG159" s="570" t="s">
        <v>25</v>
      </c>
      <c r="AH159" s="571" t="s">
        <v>25</v>
      </c>
      <c r="AI159" s="558" t="s">
        <v>2194</v>
      </c>
      <c r="AJ159" s="605" t="s">
        <v>2448</v>
      </c>
    </row>
    <row r="160" spans="1:36" s="376" customFormat="1" ht="40.5" outlineLevel="2" x14ac:dyDescent="0.3">
      <c r="A160" s="447">
        <v>18</v>
      </c>
      <c r="B160" s="558" t="s">
        <v>443</v>
      </c>
      <c r="C160" s="558"/>
      <c r="D160" s="587"/>
      <c r="E160" s="615"/>
      <c r="F160" s="558"/>
      <c r="G160" s="588"/>
      <c r="H160" s="546"/>
      <c r="I160" s="563" t="s">
        <v>25</v>
      </c>
      <c r="J160" s="563" t="s">
        <v>25</v>
      </c>
      <c r="K160" s="564" t="s">
        <v>25</v>
      </c>
      <c r="L160" s="564" t="s">
        <v>25</v>
      </c>
      <c r="M160" s="558"/>
      <c r="N160" s="558"/>
      <c r="O160" s="590"/>
      <c r="P160" s="564" t="s">
        <v>25</v>
      </c>
      <c r="Q160" s="564" t="s">
        <v>25</v>
      </c>
      <c r="R160" s="566"/>
      <c r="S160" s="589"/>
      <c r="T160" s="591"/>
      <c r="U160" s="589"/>
      <c r="V160" s="564" t="s">
        <v>2899</v>
      </c>
      <c r="W160" s="564" t="s">
        <v>25</v>
      </c>
      <c r="X160" s="589"/>
      <c r="Y160" s="592"/>
      <c r="Z160" s="592"/>
      <c r="AA160" s="568"/>
      <c r="AB160" s="592"/>
      <c r="AC160" s="592"/>
      <c r="AD160" s="592"/>
      <c r="AE160" s="590"/>
      <c r="AF160" s="570" t="s">
        <v>2899</v>
      </c>
      <c r="AG160" s="570" t="s">
        <v>25</v>
      </c>
      <c r="AH160" s="571" t="s">
        <v>25</v>
      </c>
      <c r="AI160" s="593" t="s">
        <v>442</v>
      </c>
      <c r="AJ160" s="593"/>
    </row>
    <row r="161" spans="1:36" s="376" customFormat="1" ht="60.75" outlineLevel="2" x14ac:dyDescent="0.3">
      <c r="A161" s="447">
        <v>18</v>
      </c>
      <c r="B161" s="558"/>
      <c r="C161" s="558"/>
      <c r="D161" s="587"/>
      <c r="E161" s="615"/>
      <c r="F161" s="558"/>
      <c r="G161" s="604"/>
      <c r="H161" s="546"/>
      <c r="I161" s="563" t="s">
        <v>25</v>
      </c>
      <c r="J161" s="563" t="s">
        <v>25</v>
      </c>
      <c r="K161" s="564" t="s">
        <v>25</v>
      </c>
      <c r="L161" s="564" t="s">
        <v>25</v>
      </c>
      <c r="M161" s="593"/>
      <c r="N161" s="593"/>
      <c r="O161" s="616"/>
      <c r="P161" s="564" t="s">
        <v>25</v>
      </c>
      <c r="Q161" s="564" t="s">
        <v>25</v>
      </c>
      <c r="R161" s="593"/>
      <c r="S161" s="593"/>
      <c r="T161" s="617"/>
      <c r="U161" s="589"/>
      <c r="V161" s="564" t="s">
        <v>2899</v>
      </c>
      <c r="W161" s="564" t="s">
        <v>25</v>
      </c>
      <c r="X161" s="589"/>
      <c r="Y161" s="589"/>
      <c r="Z161" s="589"/>
      <c r="AA161" s="562"/>
      <c r="AB161" s="589"/>
      <c r="AC161" s="589"/>
      <c r="AD161" s="589"/>
      <c r="AE161" s="629"/>
      <c r="AF161" s="570" t="s">
        <v>2899</v>
      </c>
      <c r="AG161" s="570" t="s">
        <v>25</v>
      </c>
      <c r="AH161" s="571" t="s">
        <v>25</v>
      </c>
      <c r="AI161" s="558" t="s">
        <v>2074</v>
      </c>
      <c r="AJ161" s="593"/>
    </row>
    <row r="162" spans="1:36" s="376" customFormat="1" ht="20.25" outlineLevel="2" x14ac:dyDescent="0.3">
      <c r="A162" s="447">
        <v>18</v>
      </c>
      <c r="B162" s="558"/>
      <c r="C162" s="558"/>
      <c r="D162" s="587"/>
      <c r="E162" s="615"/>
      <c r="F162" s="558"/>
      <c r="G162" s="604"/>
      <c r="H162" s="546"/>
      <c r="I162" s="563" t="s">
        <v>25</v>
      </c>
      <c r="J162" s="563" t="s">
        <v>25</v>
      </c>
      <c r="K162" s="564" t="s">
        <v>25</v>
      </c>
      <c r="L162" s="564" t="s">
        <v>25</v>
      </c>
      <c r="M162" s="593"/>
      <c r="N162" s="593"/>
      <c r="O162" s="616"/>
      <c r="P162" s="564" t="s">
        <v>25</v>
      </c>
      <c r="Q162" s="564" t="s">
        <v>25</v>
      </c>
      <c r="R162" s="593"/>
      <c r="S162" s="593"/>
      <c r="T162" s="617"/>
      <c r="U162" s="589"/>
      <c r="V162" s="564" t="s">
        <v>2899</v>
      </c>
      <c r="W162" s="564" t="s">
        <v>25</v>
      </c>
      <c r="X162" s="589"/>
      <c r="Y162" s="589"/>
      <c r="Z162" s="589"/>
      <c r="AA162" s="562"/>
      <c r="AB162" s="589"/>
      <c r="AC162" s="589"/>
      <c r="AD162" s="589"/>
      <c r="AE162" s="629"/>
      <c r="AF162" s="570" t="s">
        <v>2899</v>
      </c>
      <c r="AG162" s="570" t="s">
        <v>25</v>
      </c>
      <c r="AH162" s="571" t="s">
        <v>25</v>
      </c>
      <c r="AI162" s="593"/>
      <c r="AJ162" s="593"/>
    </row>
    <row r="163" spans="1:36" s="376" customFormat="1" ht="20.25" outlineLevel="2" x14ac:dyDescent="0.3">
      <c r="A163" s="447">
        <v>18</v>
      </c>
      <c r="B163" s="607"/>
      <c r="C163" s="607"/>
      <c r="D163" s="587"/>
      <c r="E163" s="560"/>
      <c r="F163" s="558"/>
      <c r="G163" s="604"/>
      <c r="H163" s="546"/>
      <c r="I163" s="563" t="s">
        <v>25</v>
      </c>
      <c r="J163" s="563" t="s">
        <v>25</v>
      </c>
      <c r="K163" s="564" t="s">
        <v>25</v>
      </c>
      <c r="L163" s="564" t="s">
        <v>25</v>
      </c>
      <c r="M163" s="593"/>
      <c r="N163" s="593"/>
      <c r="O163" s="616"/>
      <c r="P163" s="564" t="s">
        <v>25</v>
      </c>
      <c r="Q163" s="564" t="s">
        <v>25</v>
      </c>
      <c r="R163" s="593"/>
      <c r="S163" s="593"/>
      <c r="T163" s="617"/>
      <c r="U163" s="589"/>
      <c r="V163" s="564" t="s">
        <v>2899</v>
      </c>
      <c r="W163" s="564" t="s">
        <v>25</v>
      </c>
      <c r="X163" s="589"/>
      <c r="Y163" s="589"/>
      <c r="Z163" s="589"/>
      <c r="AA163" s="562"/>
      <c r="AB163" s="589"/>
      <c r="AC163" s="589"/>
      <c r="AD163" s="589"/>
      <c r="AE163" s="629"/>
      <c r="AF163" s="570" t="s">
        <v>2899</v>
      </c>
      <c r="AG163" s="570" t="s">
        <v>25</v>
      </c>
      <c r="AH163" s="571" t="s">
        <v>25</v>
      </c>
      <c r="AI163" s="593"/>
      <c r="AJ163" s="593"/>
    </row>
    <row r="164" spans="1:36" s="376" customFormat="1" ht="20.25" outlineLevel="2" x14ac:dyDescent="0.3">
      <c r="A164" s="447">
        <v>18</v>
      </c>
      <c r="B164" s="574"/>
      <c r="C164" s="574"/>
      <c r="D164" s="595"/>
      <c r="E164" s="577"/>
      <c r="F164" s="558"/>
      <c r="G164" s="588"/>
      <c r="H164" s="546"/>
      <c r="I164" s="563" t="s">
        <v>25</v>
      </c>
      <c r="J164" s="563" t="s">
        <v>25</v>
      </c>
      <c r="K164" s="564" t="s">
        <v>25</v>
      </c>
      <c r="L164" s="564" t="s">
        <v>25</v>
      </c>
      <c r="M164" s="586"/>
      <c r="N164" s="586"/>
      <c r="O164" s="630"/>
      <c r="P164" s="564" t="s">
        <v>25</v>
      </c>
      <c r="Q164" s="564" t="s">
        <v>25</v>
      </c>
      <c r="R164" s="586"/>
      <c r="S164" s="609"/>
      <c r="T164" s="591"/>
      <c r="U164" s="589"/>
      <c r="V164" s="564" t="s">
        <v>2899</v>
      </c>
      <c r="W164" s="564" t="s">
        <v>25</v>
      </c>
      <c r="X164" s="589"/>
      <c r="Y164" s="592"/>
      <c r="Z164" s="592"/>
      <c r="AA164" s="568"/>
      <c r="AB164" s="592"/>
      <c r="AC164" s="592"/>
      <c r="AD164" s="592"/>
      <c r="AE164" s="590"/>
      <c r="AF164" s="570" t="s">
        <v>2899</v>
      </c>
      <c r="AG164" s="570" t="s">
        <v>25</v>
      </c>
      <c r="AH164" s="571" t="s">
        <v>25</v>
      </c>
      <c r="AI164" s="593"/>
      <c r="AJ164" s="593"/>
    </row>
    <row r="165" spans="1:36" s="376" customFormat="1" ht="40.5" outlineLevel="1" x14ac:dyDescent="0.25">
      <c r="A165" s="467">
        <v>19</v>
      </c>
      <c r="B165" s="574" t="s">
        <v>27</v>
      </c>
      <c r="C165" s="773" t="s">
        <v>2902</v>
      </c>
      <c r="D165" s="587">
        <v>86</v>
      </c>
      <c r="E165" s="560">
        <v>706</v>
      </c>
      <c r="F165" s="574"/>
      <c r="G165" s="618">
        <v>31.1</v>
      </c>
      <c r="H165" s="579">
        <v>0</v>
      </c>
      <c r="I165" s="581"/>
      <c r="J165" s="581"/>
      <c r="K165" s="571">
        <v>17242000</v>
      </c>
      <c r="L165" s="571">
        <v>0</v>
      </c>
      <c r="M165" s="574"/>
      <c r="N165" s="574"/>
      <c r="O165" s="599">
        <v>0</v>
      </c>
      <c r="P165" s="571"/>
      <c r="Q165" s="571">
        <v>0</v>
      </c>
      <c r="R165" s="582"/>
      <c r="S165" s="597"/>
      <c r="T165" s="600">
        <v>0</v>
      </c>
      <c r="U165" s="597"/>
      <c r="V165" s="571"/>
      <c r="W165" s="571">
        <v>0</v>
      </c>
      <c r="X165" s="589"/>
      <c r="Y165" s="592"/>
      <c r="Z165" s="592"/>
      <c r="AA165" s="568"/>
      <c r="AB165" s="592"/>
      <c r="AC165" s="592"/>
      <c r="AD165" s="634"/>
      <c r="AE165" s="599">
        <f>SUBTOTAL(9,AE166:AE171)</f>
        <v>0</v>
      </c>
      <c r="AF165" s="585"/>
      <c r="AG165" s="585">
        <v>0</v>
      </c>
      <c r="AH165" s="571">
        <v>17242000</v>
      </c>
      <c r="AI165" s="574"/>
      <c r="AJ165" s="578"/>
    </row>
    <row r="166" spans="1:36" s="376" customFormat="1" ht="121.5" outlineLevel="2" x14ac:dyDescent="0.3">
      <c r="A166" s="447">
        <v>19</v>
      </c>
      <c r="B166" s="558" t="s">
        <v>114</v>
      </c>
      <c r="C166" s="558"/>
      <c r="D166" s="587"/>
      <c r="E166" s="560"/>
      <c r="F166" s="558" t="s">
        <v>2891</v>
      </c>
      <c r="G166" s="588">
        <v>31.1</v>
      </c>
      <c r="H166" s="546" t="s">
        <v>2899</v>
      </c>
      <c r="I166" s="563">
        <v>554400</v>
      </c>
      <c r="J166" s="563">
        <v>0</v>
      </c>
      <c r="K166" s="564">
        <v>17242000</v>
      </c>
      <c r="L166" s="564">
        <v>0</v>
      </c>
      <c r="M166" s="558"/>
      <c r="N166" s="558"/>
      <c r="O166" s="590"/>
      <c r="P166" s="564" t="s">
        <v>25</v>
      </c>
      <c r="Q166" s="564" t="s">
        <v>25</v>
      </c>
      <c r="R166" s="566"/>
      <c r="S166" s="589"/>
      <c r="T166" s="591"/>
      <c r="U166" s="589"/>
      <c r="V166" s="564" t="s">
        <v>2899</v>
      </c>
      <c r="W166" s="564" t="s">
        <v>25</v>
      </c>
      <c r="X166" s="589"/>
      <c r="Y166" s="592"/>
      <c r="Z166" s="592"/>
      <c r="AA166" s="568"/>
      <c r="AB166" s="592"/>
      <c r="AC166" s="592"/>
      <c r="AD166" s="606"/>
      <c r="AE166" s="590"/>
      <c r="AF166" s="570" t="s">
        <v>2899</v>
      </c>
      <c r="AG166" s="570"/>
      <c r="AH166" s="571" t="s">
        <v>25</v>
      </c>
      <c r="AI166" s="558" t="s">
        <v>1688</v>
      </c>
      <c r="AJ166" s="586" t="s">
        <v>2771</v>
      </c>
    </row>
    <row r="167" spans="1:36" s="376" customFormat="1" ht="101.25" outlineLevel="2" x14ac:dyDescent="0.3">
      <c r="A167" s="447">
        <v>19</v>
      </c>
      <c r="B167" s="558" t="s">
        <v>644</v>
      </c>
      <c r="C167" s="558"/>
      <c r="D167" s="595"/>
      <c r="E167" s="577"/>
      <c r="F167" s="558"/>
      <c r="G167" s="588"/>
      <c r="H167" s="546"/>
      <c r="I167" s="563" t="s">
        <v>25</v>
      </c>
      <c r="J167" s="563" t="s">
        <v>25</v>
      </c>
      <c r="K167" s="564" t="s">
        <v>25</v>
      </c>
      <c r="L167" s="564" t="s">
        <v>25</v>
      </c>
      <c r="M167" s="558"/>
      <c r="N167" s="558"/>
      <c r="O167" s="590"/>
      <c r="P167" s="564" t="s">
        <v>25</v>
      </c>
      <c r="Q167" s="564" t="s">
        <v>25</v>
      </c>
      <c r="R167" s="566"/>
      <c r="S167" s="589"/>
      <c r="T167" s="591"/>
      <c r="U167" s="589"/>
      <c r="V167" s="564" t="s">
        <v>2899</v>
      </c>
      <c r="W167" s="564" t="s">
        <v>25</v>
      </c>
      <c r="X167" s="589"/>
      <c r="Y167" s="592"/>
      <c r="Z167" s="592"/>
      <c r="AA167" s="568"/>
      <c r="AB167" s="592"/>
      <c r="AC167" s="592"/>
      <c r="AD167" s="592"/>
      <c r="AE167" s="590"/>
      <c r="AF167" s="570" t="s">
        <v>2899</v>
      </c>
      <c r="AG167" s="570" t="s">
        <v>25</v>
      </c>
      <c r="AH167" s="571" t="s">
        <v>25</v>
      </c>
      <c r="AI167" s="558" t="s">
        <v>444</v>
      </c>
      <c r="AJ167" s="605"/>
    </row>
    <row r="168" spans="1:36" s="376" customFormat="1" ht="81" outlineLevel="2" x14ac:dyDescent="0.3">
      <c r="A168" s="447">
        <v>19</v>
      </c>
      <c r="B168" s="572" t="s">
        <v>322</v>
      </c>
      <c r="C168" s="572"/>
      <c r="D168" s="587"/>
      <c r="E168" s="615"/>
      <c r="F168" s="574"/>
      <c r="G168" s="588"/>
      <c r="H168" s="546"/>
      <c r="I168" s="563" t="s">
        <v>25</v>
      </c>
      <c r="J168" s="563" t="s">
        <v>25</v>
      </c>
      <c r="K168" s="564" t="s">
        <v>25</v>
      </c>
      <c r="L168" s="564" t="s">
        <v>25</v>
      </c>
      <c r="M168" s="578"/>
      <c r="N168" s="578"/>
      <c r="O168" s="590"/>
      <c r="P168" s="564" t="s">
        <v>25</v>
      </c>
      <c r="Q168" s="564" t="s">
        <v>25</v>
      </c>
      <c r="R168" s="578"/>
      <c r="S168" s="621"/>
      <c r="T168" s="591"/>
      <c r="U168" s="610"/>
      <c r="V168" s="564" t="s">
        <v>2899</v>
      </c>
      <c r="W168" s="564" t="s">
        <v>25</v>
      </c>
      <c r="X168" s="580"/>
      <c r="Y168" s="601"/>
      <c r="Z168" s="601"/>
      <c r="AA168" s="584"/>
      <c r="AB168" s="601"/>
      <c r="AC168" s="601"/>
      <c r="AD168" s="601"/>
      <c r="AE168" s="599"/>
      <c r="AF168" s="570" t="s">
        <v>2899</v>
      </c>
      <c r="AG168" s="570" t="s">
        <v>25</v>
      </c>
      <c r="AH168" s="571" t="s">
        <v>25</v>
      </c>
      <c r="AI168" s="558" t="s">
        <v>2195</v>
      </c>
      <c r="AJ168" s="593"/>
    </row>
    <row r="169" spans="1:36" s="376" customFormat="1" ht="20.25" outlineLevel="2" x14ac:dyDescent="0.3">
      <c r="A169" s="447">
        <v>19</v>
      </c>
      <c r="B169" s="572"/>
      <c r="C169" s="572"/>
      <c r="D169" s="587"/>
      <c r="E169" s="615"/>
      <c r="F169" s="558"/>
      <c r="G169" s="604"/>
      <c r="H169" s="546"/>
      <c r="I169" s="563" t="s">
        <v>25</v>
      </c>
      <c r="J169" s="563" t="s">
        <v>25</v>
      </c>
      <c r="K169" s="564" t="s">
        <v>25</v>
      </c>
      <c r="L169" s="564" t="s">
        <v>25</v>
      </c>
      <c r="M169" s="593"/>
      <c r="N169" s="593"/>
      <c r="O169" s="616"/>
      <c r="P169" s="564" t="s">
        <v>25</v>
      </c>
      <c r="Q169" s="564" t="s">
        <v>25</v>
      </c>
      <c r="R169" s="593"/>
      <c r="S169" s="593"/>
      <c r="T169" s="617"/>
      <c r="U169" s="589"/>
      <c r="V169" s="564" t="s">
        <v>2899</v>
      </c>
      <c r="W169" s="564" t="s">
        <v>25</v>
      </c>
      <c r="X169" s="589"/>
      <c r="Y169" s="589"/>
      <c r="Z169" s="589"/>
      <c r="AA169" s="562"/>
      <c r="AB169" s="589"/>
      <c r="AC169" s="589"/>
      <c r="AD169" s="589"/>
      <c r="AE169" s="629"/>
      <c r="AF169" s="570" t="s">
        <v>2899</v>
      </c>
      <c r="AG169" s="570" t="s">
        <v>25</v>
      </c>
      <c r="AH169" s="571" t="s">
        <v>25</v>
      </c>
      <c r="AI169" s="575"/>
      <c r="AJ169" s="593"/>
    </row>
    <row r="170" spans="1:36" s="376" customFormat="1" ht="20.25" outlineLevel="2" x14ac:dyDescent="0.3">
      <c r="A170" s="447">
        <v>19</v>
      </c>
      <c r="B170" s="607"/>
      <c r="C170" s="607"/>
      <c r="D170" s="595"/>
      <c r="E170" s="577"/>
      <c r="F170" s="558"/>
      <c r="G170" s="604"/>
      <c r="H170" s="546"/>
      <c r="I170" s="563" t="s">
        <v>25</v>
      </c>
      <c r="J170" s="563" t="s">
        <v>25</v>
      </c>
      <c r="K170" s="564" t="s">
        <v>25</v>
      </c>
      <c r="L170" s="564" t="s">
        <v>25</v>
      </c>
      <c r="M170" s="593"/>
      <c r="N170" s="593"/>
      <c r="O170" s="616"/>
      <c r="P170" s="564" t="s">
        <v>25</v>
      </c>
      <c r="Q170" s="564" t="s">
        <v>25</v>
      </c>
      <c r="R170" s="593"/>
      <c r="S170" s="593"/>
      <c r="T170" s="617"/>
      <c r="U170" s="589"/>
      <c r="V170" s="564" t="s">
        <v>2899</v>
      </c>
      <c r="W170" s="564" t="s">
        <v>25</v>
      </c>
      <c r="X170" s="589"/>
      <c r="Y170" s="589"/>
      <c r="Z170" s="589"/>
      <c r="AA170" s="562"/>
      <c r="AB170" s="589"/>
      <c r="AC170" s="589"/>
      <c r="AD170" s="589"/>
      <c r="AE170" s="629"/>
      <c r="AF170" s="570" t="s">
        <v>2899</v>
      </c>
      <c r="AG170" s="570" t="s">
        <v>25</v>
      </c>
      <c r="AH170" s="571" t="s">
        <v>25</v>
      </c>
      <c r="AI170" s="593"/>
      <c r="AJ170" s="593"/>
    </row>
    <row r="171" spans="1:36" s="376" customFormat="1" ht="20.25" outlineLevel="2" x14ac:dyDescent="0.3">
      <c r="A171" s="447">
        <v>19</v>
      </c>
      <c r="B171" s="607"/>
      <c r="C171" s="607"/>
      <c r="D171" s="595"/>
      <c r="E171" s="577"/>
      <c r="F171" s="574"/>
      <c r="G171" s="588"/>
      <c r="H171" s="546"/>
      <c r="I171" s="563" t="s">
        <v>25</v>
      </c>
      <c r="J171" s="563" t="s">
        <v>25</v>
      </c>
      <c r="K171" s="564" t="s">
        <v>25</v>
      </c>
      <c r="L171" s="564" t="s">
        <v>25</v>
      </c>
      <c r="M171" s="578"/>
      <c r="N171" s="578"/>
      <c r="O171" s="633"/>
      <c r="P171" s="564" t="s">
        <v>25</v>
      </c>
      <c r="Q171" s="564" t="s">
        <v>25</v>
      </c>
      <c r="R171" s="578"/>
      <c r="S171" s="621"/>
      <c r="T171" s="591"/>
      <c r="U171" s="597"/>
      <c r="V171" s="564" t="s">
        <v>2899</v>
      </c>
      <c r="W171" s="564" t="s">
        <v>25</v>
      </c>
      <c r="X171" s="580"/>
      <c r="Y171" s="601"/>
      <c r="Z171" s="601"/>
      <c r="AA171" s="584"/>
      <c r="AB171" s="601"/>
      <c r="AC171" s="601"/>
      <c r="AD171" s="601"/>
      <c r="AE171" s="599"/>
      <c r="AF171" s="570" t="s">
        <v>2899</v>
      </c>
      <c r="AG171" s="570" t="s">
        <v>25</v>
      </c>
      <c r="AH171" s="571" t="s">
        <v>25</v>
      </c>
      <c r="AI171" s="608"/>
      <c r="AJ171" s="608"/>
    </row>
    <row r="172" spans="1:36" s="376" customFormat="1" ht="40.5" outlineLevel="1" x14ac:dyDescent="0.25">
      <c r="A172" s="467">
        <v>20</v>
      </c>
      <c r="B172" s="607" t="s">
        <v>28</v>
      </c>
      <c r="C172" s="773" t="s">
        <v>2902</v>
      </c>
      <c r="D172" s="587">
        <v>86</v>
      </c>
      <c r="E172" s="560">
        <v>705</v>
      </c>
      <c r="F172" s="574"/>
      <c r="G172" s="618">
        <v>31.2</v>
      </c>
      <c r="H172" s="579">
        <v>0</v>
      </c>
      <c r="I172" s="581"/>
      <c r="J172" s="581"/>
      <c r="K172" s="571">
        <v>17297000</v>
      </c>
      <c r="L172" s="571">
        <v>0</v>
      </c>
      <c r="M172" s="578"/>
      <c r="N172" s="578"/>
      <c r="O172" s="599">
        <v>0</v>
      </c>
      <c r="P172" s="571"/>
      <c r="Q172" s="571">
        <v>0</v>
      </c>
      <c r="R172" s="582"/>
      <c r="S172" s="597"/>
      <c r="T172" s="600">
        <v>0</v>
      </c>
      <c r="U172" s="622"/>
      <c r="V172" s="571"/>
      <c r="W172" s="571">
        <v>0</v>
      </c>
      <c r="X172" s="589"/>
      <c r="Y172" s="592"/>
      <c r="Z172" s="592"/>
      <c r="AA172" s="568"/>
      <c r="AB172" s="592"/>
      <c r="AC172" s="592"/>
      <c r="AD172" s="634"/>
      <c r="AE172" s="599">
        <f>SUBTOTAL(9,AE173:AE180)</f>
        <v>0</v>
      </c>
      <c r="AF172" s="585"/>
      <c r="AG172" s="585">
        <v>0</v>
      </c>
      <c r="AH172" s="571">
        <v>17297000</v>
      </c>
      <c r="AI172" s="578"/>
      <c r="AJ172" s="578"/>
    </row>
    <row r="173" spans="1:36" s="376" customFormat="1" ht="121.5" outlineLevel="2" x14ac:dyDescent="0.3">
      <c r="A173" s="447">
        <v>20</v>
      </c>
      <c r="B173" s="558" t="s">
        <v>115</v>
      </c>
      <c r="C173" s="558"/>
      <c r="D173" s="587"/>
      <c r="E173" s="560"/>
      <c r="F173" s="558" t="s">
        <v>2891</v>
      </c>
      <c r="G173" s="588">
        <v>31.2</v>
      </c>
      <c r="H173" s="546" t="s">
        <v>2899</v>
      </c>
      <c r="I173" s="563">
        <v>554400</v>
      </c>
      <c r="J173" s="563">
        <v>0</v>
      </c>
      <c r="K173" s="564">
        <v>17297000</v>
      </c>
      <c r="L173" s="564">
        <v>0</v>
      </c>
      <c r="M173" s="586"/>
      <c r="N173" s="586"/>
      <c r="O173" s="590"/>
      <c r="P173" s="564" t="s">
        <v>25</v>
      </c>
      <c r="Q173" s="564" t="s">
        <v>25</v>
      </c>
      <c r="R173" s="566"/>
      <c r="S173" s="589"/>
      <c r="T173" s="591"/>
      <c r="U173" s="611"/>
      <c r="V173" s="564" t="s">
        <v>2899</v>
      </c>
      <c r="W173" s="564" t="s">
        <v>25</v>
      </c>
      <c r="X173" s="589"/>
      <c r="Y173" s="592"/>
      <c r="Z173" s="592"/>
      <c r="AA173" s="568"/>
      <c r="AB173" s="592"/>
      <c r="AC173" s="592"/>
      <c r="AD173" s="606"/>
      <c r="AE173" s="590"/>
      <c r="AF173" s="570" t="s">
        <v>2899</v>
      </c>
      <c r="AG173" s="570"/>
      <c r="AH173" s="571" t="s">
        <v>25</v>
      </c>
      <c r="AI173" s="586" t="s">
        <v>1689</v>
      </c>
      <c r="AJ173" s="586" t="s">
        <v>2771</v>
      </c>
    </row>
    <row r="174" spans="1:36" s="376" customFormat="1" ht="60.75" outlineLevel="2" x14ac:dyDescent="0.3">
      <c r="A174" s="447">
        <v>20</v>
      </c>
      <c r="B174" s="574" t="s">
        <v>116</v>
      </c>
      <c r="C174" s="574"/>
      <c r="D174" s="587"/>
      <c r="E174" s="560"/>
      <c r="F174" s="558"/>
      <c r="G174" s="588"/>
      <c r="H174" s="546"/>
      <c r="I174" s="563" t="s">
        <v>25</v>
      </c>
      <c r="J174" s="563" t="s">
        <v>25</v>
      </c>
      <c r="K174" s="564" t="s">
        <v>25</v>
      </c>
      <c r="L174" s="564" t="s">
        <v>25</v>
      </c>
      <c r="M174" s="586"/>
      <c r="N174" s="586"/>
      <c r="O174" s="590"/>
      <c r="P174" s="564" t="s">
        <v>25</v>
      </c>
      <c r="Q174" s="564" t="s">
        <v>25</v>
      </c>
      <c r="R174" s="586"/>
      <c r="S174" s="609"/>
      <c r="T174" s="591"/>
      <c r="U174" s="611"/>
      <c r="V174" s="564" t="s">
        <v>2899</v>
      </c>
      <c r="W174" s="564" t="s">
        <v>25</v>
      </c>
      <c r="X174" s="589"/>
      <c r="Y174" s="592"/>
      <c r="Z174" s="592"/>
      <c r="AA174" s="568"/>
      <c r="AB174" s="592"/>
      <c r="AC174" s="592"/>
      <c r="AD174" s="592"/>
      <c r="AE174" s="590"/>
      <c r="AF174" s="570" t="s">
        <v>2899</v>
      </c>
      <c r="AG174" s="570" t="s">
        <v>25</v>
      </c>
      <c r="AH174" s="571" t="s">
        <v>25</v>
      </c>
      <c r="AI174" s="558" t="s">
        <v>446</v>
      </c>
      <c r="AJ174" s="605"/>
    </row>
    <row r="175" spans="1:36" s="376" customFormat="1" ht="40.5" outlineLevel="2" x14ac:dyDescent="0.3">
      <c r="A175" s="447">
        <v>20</v>
      </c>
      <c r="B175" s="558" t="s">
        <v>117</v>
      </c>
      <c r="C175" s="558"/>
      <c r="D175" s="587"/>
      <c r="E175" s="560"/>
      <c r="F175" s="558"/>
      <c r="G175" s="588"/>
      <c r="H175" s="546"/>
      <c r="I175" s="563" t="s">
        <v>25</v>
      </c>
      <c r="J175" s="563" t="s">
        <v>25</v>
      </c>
      <c r="K175" s="564" t="s">
        <v>25</v>
      </c>
      <c r="L175" s="564" t="s">
        <v>25</v>
      </c>
      <c r="M175" s="586"/>
      <c r="N175" s="586"/>
      <c r="O175" s="590"/>
      <c r="P175" s="564" t="s">
        <v>25</v>
      </c>
      <c r="Q175" s="564" t="s">
        <v>25</v>
      </c>
      <c r="R175" s="586"/>
      <c r="S175" s="609"/>
      <c r="T175" s="591"/>
      <c r="U175" s="611"/>
      <c r="V175" s="564" t="s">
        <v>2899</v>
      </c>
      <c r="W175" s="564" t="s">
        <v>25</v>
      </c>
      <c r="X175" s="589"/>
      <c r="Y175" s="592"/>
      <c r="Z175" s="592"/>
      <c r="AA175" s="568"/>
      <c r="AB175" s="592"/>
      <c r="AC175" s="592"/>
      <c r="AD175" s="592"/>
      <c r="AE175" s="590"/>
      <c r="AF175" s="570" t="s">
        <v>2899</v>
      </c>
      <c r="AG175" s="570" t="s">
        <v>25</v>
      </c>
      <c r="AH175" s="571" t="s">
        <v>25</v>
      </c>
      <c r="AI175" s="608" t="s">
        <v>111</v>
      </c>
      <c r="AJ175" s="593"/>
    </row>
    <row r="176" spans="1:36" s="376" customFormat="1" ht="60.75" outlineLevel="2" x14ac:dyDescent="0.3">
      <c r="A176" s="447">
        <v>20</v>
      </c>
      <c r="B176" s="558" t="s">
        <v>645</v>
      </c>
      <c r="C176" s="558"/>
      <c r="D176" s="587"/>
      <c r="E176" s="615"/>
      <c r="F176" s="558"/>
      <c r="G176" s="588"/>
      <c r="H176" s="546"/>
      <c r="I176" s="563" t="s">
        <v>25</v>
      </c>
      <c r="J176" s="563" t="s">
        <v>25</v>
      </c>
      <c r="K176" s="564" t="s">
        <v>25</v>
      </c>
      <c r="L176" s="564" t="s">
        <v>25</v>
      </c>
      <c r="M176" s="586"/>
      <c r="N176" s="586"/>
      <c r="O176" s="590"/>
      <c r="P176" s="564" t="s">
        <v>25</v>
      </c>
      <c r="Q176" s="564" t="s">
        <v>25</v>
      </c>
      <c r="R176" s="586"/>
      <c r="S176" s="609"/>
      <c r="T176" s="591"/>
      <c r="U176" s="611"/>
      <c r="V176" s="564" t="s">
        <v>2899</v>
      </c>
      <c r="W176" s="564" t="s">
        <v>25</v>
      </c>
      <c r="X176" s="589"/>
      <c r="Y176" s="592"/>
      <c r="Z176" s="592"/>
      <c r="AA176" s="568"/>
      <c r="AB176" s="592"/>
      <c r="AC176" s="592"/>
      <c r="AD176" s="592"/>
      <c r="AE176" s="590"/>
      <c r="AF176" s="570" t="s">
        <v>2899</v>
      </c>
      <c r="AG176" s="570" t="s">
        <v>25</v>
      </c>
      <c r="AH176" s="571" t="s">
        <v>25</v>
      </c>
      <c r="AI176" s="575"/>
      <c r="AJ176" s="608"/>
    </row>
    <row r="177" spans="1:36" s="376" customFormat="1" ht="20.25" outlineLevel="2" x14ac:dyDescent="0.3">
      <c r="A177" s="447">
        <v>20</v>
      </c>
      <c r="B177" s="558"/>
      <c r="C177" s="558"/>
      <c r="D177" s="587"/>
      <c r="E177" s="615"/>
      <c r="F177" s="558"/>
      <c r="G177" s="604"/>
      <c r="H177" s="546"/>
      <c r="I177" s="563" t="s">
        <v>25</v>
      </c>
      <c r="J177" s="563" t="s">
        <v>25</v>
      </c>
      <c r="K177" s="564" t="s">
        <v>25</v>
      </c>
      <c r="L177" s="564" t="s">
        <v>25</v>
      </c>
      <c r="M177" s="593"/>
      <c r="N177" s="593"/>
      <c r="O177" s="616"/>
      <c r="P177" s="564" t="s">
        <v>25</v>
      </c>
      <c r="Q177" s="564" t="s">
        <v>25</v>
      </c>
      <c r="R177" s="593"/>
      <c r="S177" s="593"/>
      <c r="T177" s="617"/>
      <c r="U177" s="589"/>
      <c r="V177" s="564" t="s">
        <v>2899</v>
      </c>
      <c r="W177" s="564" t="s">
        <v>25</v>
      </c>
      <c r="X177" s="589"/>
      <c r="Y177" s="589"/>
      <c r="Z177" s="589"/>
      <c r="AA177" s="562"/>
      <c r="AB177" s="589"/>
      <c r="AC177" s="589"/>
      <c r="AD177" s="589"/>
      <c r="AE177" s="629"/>
      <c r="AF177" s="570" t="s">
        <v>2899</v>
      </c>
      <c r="AG177" s="570" t="s">
        <v>25</v>
      </c>
      <c r="AH177" s="571" t="s">
        <v>25</v>
      </c>
      <c r="AI177" s="593"/>
      <c r="AJ177" s="593"/>
    </row>
    <row r="178" spans="1:36" s="376" customFormat="1" ht="20.25" outlineLevel="2" x14ac:dyDescent="0.3">
      <c r="A178" s="447">
        <v>20</v>
      </c>
      <c r="B178" s="558"/>
      <c r="C178" s="558"/>
      <c r="D178" s="587"/>
      <c r="E178" s="615"/>
      <c r="F178" s="558"/>
      <c r="G178" s="604"/>
      <c r="H178" s="546"/>
      <c r="I178" s="563" t="s">
        <v>25</v>
      </c>
      <c r="J178" s="563" t="s">
        <v>25</v>
      </c>
      <c r="K178" s="564" t="s">
        <v>25</v>
      </c>
      <c r="L178" s="564" t="s">
        <v>25</v>
      </c>
      <c r="M178" s="593"/>
      <c r="N178" s="593"/>
      <c r="O178" s="616"/>
      <c r="P178" s="564" t="s">
        <v>25</v>
      </c>
      <c r="Q178" s="564" t="s">
        <v>25</v>
      </c>
      <c r="R178" s="593"/>
      <c r="S178" s="593"/>
      <c r="T178" s="617"/>
      <c r="U178" s="589"/>
      <c r="V178" s="564" t="s">
        <v>2899</v>
      </c>
      <c r="W178" s="564" t="s">
        <v>25</v>
      </c>
      <c r="X178" s="589"/>
      <c r="Y178" s="589"/>
      <c r="Z178" s="589"/>
      <c r="AA178" s="562"/>
      <c r="AB178" s="589"/>
      <c r="AC178" s="589"/>
      <c r="AD178" s="589"/>
      <c r="AE178" s="629"/>
      <c r="AF178" s="570" t="s">
        <v>2899</v>
      </c>
      <c r="AG178" s="570" t="s">
        <v>25</v>
      </c>
      <c r="AH178" s="571" t="s">
        <v>25</v>
      </c>
      <c r="AI178" s="593"/>
      <c r="AJ178" s="593"/>
    </row>
    <row r="179" spans="1:36" s="376" customFormat="1" ht="20.25" outlineLevel="2" x14ac:dyDescent="0.3">
      <c r="A179" s="447">
        <v>20</v>
      </c>
      <c r="B179" s="572"/>
      <c r="C179" s="572"/>
      <c r="D179" s="595"/>
      <c r="E179" s="577"/>
      <c r="F179" s="558"/>
      <c r="G179" s="604"/>
      <c r="H179" s="546"/>
      <c r="I179" s="563" t="s">
        <v>25</v>
      </c>
      <c r="J179" s="563" t="s">
        <v>25</v>
      </c>
      <c r="K179" s="564" t="s">
        <v>25</v>
      </c>
      <c r="L179" s="564" t="s">
        <v>25</v>
      </c>
      <c r="M179" s="593"/>
      <c r="N179" s="593"/>
      <c r="O179" s="616"/>
      <c r="P179" s="564" t="s">
        <v>25</v>
      </c>
      <c r="Q179" s="564" t="s">
        <v>25</v>
      </c>
      <c r="R179" s="593"/>
      <c r="S179" s="593"/>
      <c r="T179" s="617"/>
      <c r="U179" s="589"/>
      <c r="V179" s="564" t="s">
        <v>2899</v>
      </c>
      <c r="W179" s="564" t="s">
        <v>25</v>
      </c>
      <c r="X179" s="589"/>
      <c r="Y179" s="589"/>
      <c r="Z179" s="589"/>
      <c r="AA179" s="562"/>
      <c r="AB179" s="589"/>
      <c r="AC179" s="589"/>
      <c r="AD179" s="589"/>
      <c r="AE179" s="629"/>
      <c r="AF179" s="570" t="s">
        <v>2899</v>
      </c>
      <c r="AG179" s="570" t="s">
        <v>25</v>
      </c>
      <c r="AH179" s="571" t="s">
        <v>25</v>
      </c>
      <c r="AI179" s="593"/>
      <c r="AJ179" s="593"/>
    </row>
    <row r="180" spans="1:36" s="376" customFormat="1" ht="20.25" outlineLevel="2" x14ac:dyDescent="0.3">
      <c r="A180" s="447">
        <v>20</v>
      </c>
      <c r="B180" s="607"/>
      <c r="C180" s="607"/>
      <c r="D180" s="595"/>
      <c r="E180" s="577"/>
      <c r="F180" s="574"/>
      <c r="G180" s="588"/>
      <c r="H180" s="546"/>
      <c r="I180" s="563" t="s">
        <v>25</v>
      </c>
      <c r="J180" s="563" t="s">
        <v>25</v>
      </c>
      <c r="K180" s="564" t="s">
        <v>25</v>
      </c>
      <c r="L180" s="564" t="s">
        <v>25</v>
      </c>
      <c r="M180" s="578"/>
      <c r="N180" s="578"/>
      <c r="O180" s="633"/>
      <c r="P180" s="564" t="s">
        <v>25</v>
      </c>
      <c r="Q180" s="564" t="s">
        <v>25</v>
      </c>
      <c r="R180" s="578"/>
      <c r="S180" s="621"/>
      <c r="T180" s="591"/>
      <c r="U180" s="597"/>
      <c r="V180" s="564" t="s">
        <v>2899</v>
      </c>
      <c r="W180" s="564" t="s">
        <v>25</v>
      </c>
      <c r="X180" s="597"/>
      <c r="Y180" s="601"/>
      <c r="Z180" s="601"/>
      <c r="AA180" s="584"/>
      <c r="AB180" s="601"/>
      <c r="AC180" s="601"/>
      <c r="AD180" s="601"/>
      <c r="AE180" s="599"/>
      <c r="AF180" s="570" t="s">
        <v>2899</v>
      </c>
      <c r="AG180" s="570" t="s">
        <v>25</v>
      </c>
      <c r="AH180" s="571" t="s">
        <v>25</v>
      </c>
      <c r="AI180" s="558"/>
      <c r="AJ180" s="558"/>
    </row>
    <row r="181" spans="1:36" s="376" customFormat="1" ht="40.5" outlineLevel="1" x14ac:dyDescent="0.25">
      <c r="A181" s="467">
        <v>21</v>
      </c>
      <c r="B181" s="607" t="s">
        <v>28</v>
      </c>
      <c r="C181" s="773" t="s">
        <v>2902</v>
      </c>
      <c r="D181" s="587">
        <v>86</v>
      </c>
      <c r="E181" s="560">
        <v>704</v>
      </c>
      <c r="F181" s="574"/>
      <c r="G181" s="618">
        <v>31.1</v>
      </c>
      <c r="H181" s="579">
        <v>0</v>
      </c>
      <c r="I181" s="581"/>
      <c r="J181" s="581"/>
      <c r="K181" s="571">
        <v>17242000</v>
      </c>
      <c r="L181" s="571">
        <v>0</v>
      </c>
      <c r="M181" s="578"/>
      <c r="N181" s="578"/>
      <c r="O181" s="599">
        <v>0</v>
      </c>
      <c r="P181" s="571"/>
      <c r="Q181" s="571">
        <v>0</v>
      </c>
      <c r="R181" s="582"/>
      <c r="S181" s="597"/>
      <c r="T181" s="600">
        <v>0</v>
      </c>
      <c r="U181" s="622"/>
      <c r="V181" s="571"/>
      <c r="W181" s="571">
        <v>0</v>
      </c>
      <c r="X181" s="562"/>
      <c r="Y181" s="592"/>
      <c r="Z181" s="592"/>
      <c r="AA181" s="568"/>
      <c r="AB181" s="592"/>
      <c r="AC181" s="592"/>
      <c r="AD181" s="601"/>
      <c r="AE181" s="599">
        <f>SUBTOTAL(9,AE182:AE189)</f>
        <v>0</v>
      </c>
      <c r="AF181" s="585"/>
      <c r="AG181" s="585">
        <v>0</v>
      </c>
      <c r="AH181" s="571">
        <v>17242000</v>
      </c>
      <c r="AI181" s="574"/>
      <c r="AJ181" s="578"/>
    </row>
    <row r="182" spans="1:36" s="376" customFormat="1" ht="121.5" outlineLevel="2" x14ac:dyDescent="0.3">
      <c r="A182" s="447">
        <v>21</v>
      </c>
      <c r="B182" s="558" t="s">
        <v>115</v>
      </c>
      <c r="C182" s="558"/>
      <c r="D182" s="612"/>
      <c r="E182" s="612"/>
      <c r="F182" s="558" t="s">
        <v>2891</v>
      </c>
      <c r="G182" s="588">
        <v>31.1</v>
      </c>
      <c r="H182" s="546" t="s">
        <v>2899</v>
      </c>
      <c r="I182" s="563">
        <v>554400</v>
      </c>
      <c r="J182" s="563">
        <v>0</v>
      </c>
      <c r="K182" s="564">
        <v>17242000</v>
      </c>
      <c r="L182" s="564">
        <v>0</v>
      </c>
      <c r="M182" s="586"/>
      <c r="N182" s="586"/>
      <c r="O182" s="590"/>
      <c r="P182" s="564" t="s">
        <v>25</v>
      </c>
      <c r="Q182" s="564" t="s">
        <v>25</v>
      </c>
      <c r="R182" s="566"/>
      <c r="S182" s="589"/>
      <c r="T182" s="591"/>
      <c r="U182" s="611"/>
      <c r="V182" s="564" t="s">
        <v>2899</v>
      </c>
      <c r="W182" s="564" t="s">
        <v>25</v>
      </c>
      <c r="X182" s="562"/>
      <c r="Y182" s="592"/>
      <c r="Z182" s="592"/>
      <c r="AA182" s="568"/>
      <c r="AB182" s="592"/>
      <c r="AC182" s="592"/>
      <c r="AD182" s="592"/>
      <c r="AE182" s="590"/>
      <c r="AF182" s="570" t="s">
        <v>2899</v>
      </c>
      <c r="AG182" s="570" t="s">
        <v>25</v>
      </c>
      <c r="AH182" s="571" t="s">
        <v>25</v>
      </c>
      <c r="AI182" s="558" t="s">
        <v>1690</v>
      </c>
      <c r="AJ182" s="586" t="s">
        <v>2771</v>
      </c>
    </row>
    <row r="183" spans="1:36" s="376" customFormat="1" ht="60.75" outlineLevel="2" x14ac:dyDescent="0.3">
      <c r="A183" s="447">
        <v>21</v>
      </c>
      <c r="B183" s="558" t="s">
        <v>645</v>
      </c>
      <c r="C183" s="558"/>
      <c r="D183" s="587"/>
      <c r="E183" s="560"/>
      <c r="F183" s="586"/>
      <c r="G183" s="588"/>
      <c r="H183" s="546"/>
      <c r="I183" s="563" t="s">
        <v>25</v>
      </c>
      <c r="J183" s="563" t="s">
        <v>25</v>
      </c>
      <c r="K183" s="564" t="s">
        <v>25</v>
      </c>
      <c r="L183" s="564" t="s">
        <v>25</v>
      </c>
      <c r="M183" s="586"/>
      <c r="N183" s="586"/>
      <c r="O183" s="590"/>
      <c r="P183" s="564" t="s">
        <v>25</v>
      </c>
      <c r="Q183" s="564" t="s">
        <v>25</v>
      </c>
      <c r="R183" s="586"/>
      <c r="S183" s="609"/>
      <c r="T183" s="591"/>
      <c r="U183" s="611"/>
      <c r="V183" s="564" t="s">
        <v>2899</v>
      </c>
      <c r="W183" s="564" t="s">
        <v>25</v>
      </c>
      <c r="X183" s="589"/>
      <c r="Y183" s="592"/>
      <c r="Z183" s="592"/>
      <c r="AA183" s="568"/>
      <c r="AB183" s="592"/>
      <c r="AC183" s="592"/>
      <c r="AD183" s="592"/>
      <c r="AE183" s="590"/>
      <c r="AF183" s="570" t="s">
        <v>2899</v>
      </c>
      <c r="AG183" s="570" t="s">
        <v>25</v>
      </c>
      <c r="AH183" s="571" t="s">
        <v>25</v>
      </c>
      <c r="AI183" s="558" t="s">
        <v>447</v>
      </c>
      <c r="AJ183" s="558"/>
    </row>
    <row r="184" spans="1:36" s="376" customFormat="1" ht="40.5" outlineLevel="2" x14ac:dyDescent="0.3">
      <c r="A184" s="447">
        <v>21</v>
      </c>
      <c r="B184" s="558" t="s">
        <v>323</v>
      </c>
      <c r="C184" s="558"/>
      <c r="D184" s="587"/>
      <c r="E184" s="615"/>
      <c r="F184" s="558"/>
      <c r="G184" s="588"/>
      <c r="H184" s="546"/>
      <c r="I184" s="563" t="s">
        <v>25</v>
      </c>
      <c r="J184" s="563" t="s">
        <v>25</v>
      </c>
      <c r="K184" s="564" t="s">
        <v>25</v>
      </c>
      <c r="L184" s="564" t="s">
        <v>25</v>
      </c>
      <c r="M184" s="565"/>
      <c r="N184" s="565"/>
      <c r="O184" s="590"/>
      <c r="P184" s="564" t="s">
        <v>25</v>
      </c>
      <c r="Q184" s="564" t="s">
        <v>25</v>
      </c>
      <c r="R184" s="566"/>
      <c r="S184" s="589"/>
      <c r="T184" s="591"/>
      <c r="U184" s="589"/>
      <c r="V184" s="564" t="s">
        <v>2899</v>
      </c>
      <c r="W184" s="564" t="s">
        <v>25</v>
      </c>
      <c r="X184" s="589"/>
      <c r="Y184" s="592"/>
      <c r="Z184" s="592"/>
      <c r="AA184" s="568"/>
      <c r="AB184" s="592"/>
      <c r="AC184" s="592"/>
      <c r="AD184" s="592"/>
      <c r="AE184" s="590"/>
      <c r="AF184" s="570" t="s">
        <v>2899</v>
      </c>
      <c r="AG184" s="570" t="s">
        <v>25</v>
      </c>
      <c r="AH184" s="571" t="s">
        <v>25</v>
      </c>
      <c r="AI184" s="558" t="s">
        <v>1674</v>
      </c>
      <c r="AJ184" s="558"/>
    </row>
    <row r="185" spans="1:36" s="376" customFormat="1" ht="20.25" outlineLevel="2" x14ac:dyDescent="0.3">
      <c r="A185" s="447">
        <v>21</v>
      </c>
      <c r="B185" s="572"/>
      <c r="C185" s="572"/>
      <c r="D185" s="587"/>
      <c r="E185" s="560"/>
      <c r="F185" s="558"/>
      <c r="G185" s="604"/>
      <c r="H185" s="546"/>
      <c r="I185" s="563" t="s">
        <v>25</v>
      </c>
      <c r="J185" s="563" t="s">
        <v>25</v>
      </c>
      <c r="K185" s="564" t="s">
        <v>25</v>
      </c>
      <c r="L185" s="564" t="s">
        <v>25</v>
      </c>
      <c r="M185" s="593"/>
      <c r="N185" s="593"/>
      <c r="O185" s="616"/>
      <c r="P185" s="564" t="s">
        <v>25</v>
      </c>
      <c r="Q185" s="564" t="s">
        <v>25</v>
      </c>
      <c r="R185" s="593"/>
      <c r="S185" s="593"/>
      <c r="T185" s="617"/>
      <c r="U185" s="589"/>
      <c r="V185" s="564" t="s">
        <v>2899</v>
      </c>
      <c r="W185" s="564" t="s">
        <v>25</v>
      </c>
      <c r="X185" s="589"/>
      <c r="Y185" s="589"/>
      <c r="Z185" s="589"/>
      <c r="AA185" s="562"/>
      <c r="AB185" s="589"/>
      <c r="AC185" s="589"/>
      <c r="AD185" s="589"/>
      <c r="AE185" s="629"/>
      <c r="AF185" s="570" t="s">
        <v>2899</v>
      </c>
      <c r="AG185" s="570" t="s">
        <v>25</v>
      </c>
      <c r="AH185" s="571" t="s">
        <v>25</v>
      </c>
      <c r="AI185" s="593"/>
      <c r="AJ185" s="593"/>
    </row>
    <row r="186" spans="1:36" s="376" customFormat="1" ht="20.25" outlineLevel="2" x14ac:dyDescent="0.3">
      <c r="A186" s="447">
        <v>21</v>
      </c>
      <c r="B186" s="572"/>
      <c r="C186" s="572"/>
      <c r="D186" s="587"/>
      <c r="E186" s="560"/>
      <c r="F186" s="558"/>
      <c r="G186" s="588"/>
      <c r="H186" s="546"/>
      <c r="I186" s="563" t="s">
        <v>25</v>
      </c>
      <c r="J186" s="563" t="s">
        <v>25</v>
      </c>
      <c r="K186" s="564" t="s">
        <v>25</v>
      </c>
      <c r="L186" s="564" t="s">
        <v>25</v>
      </c>
      <c r="M186" s="565"/>
      <c r="N186" s="565"/>
      <c r="O186" s="590"/>
      <c r="P186" s="564" t="s">
        <v>25</v>
      </c>
      <c r="Q186" s="564" t="s">
        <v>25</v>
      </c>
      <c r="R186" s="566"/>
      <c r="S186" s="589"/>
      <c r="T186" s="591"/>
      <c r="U186" s="589"/>
      <c r="V186" s="564" t="s">
        <v>2899</v>
      </c>
      <c r="W186" s="564" t="s">
        <v>25</v>
      </c>
      <c r="X186" s="589"/>
      <c r="Y186" s="592"/>
      <c r="Z186" s="592"/>
      <c r="AA186" s="568"/>
      <c r="AB186" s="592"/>
      <c r="AC186" s="592"/>
      <c r="AD186" s="592"/>
      <c r="AE186" s="590"/>
      <c r="AF186" s="570" t="s">
        <v>2899</v>
      </c>
      <c r="AG186" s="570" t="s">
        <v>25</v>
      </c>
      <c r="AH186" s="571" t="s">
        <v>25</v>
      </c>
      <c r="AI186" s="593"/>
      <c r="AJ186" s="593"/>
    </row>
    <row r="187" spans="1:36" s="376" customFormat="1" ht="20.25" outlineLevel="2" x14ac:dyDescent="0.3">
      <c r="A187" s="447">
        <v>21</v>
      </c>
      <c r="B187" s="572"/>
      <c r="C187" s="572"/>
      <c r="D187" s="587"/>
      <c r="E187" s="560"/>
      <c r="F187" s="558"/>
      <c r="G187" s="588"/>
      <c r="H187" s="546"/>
      <c r="I187" s="563" t="s">
        <v>25</v>
      </c>
      <c r="J187" s="563" t="s">
        <v>25</v>
      </c>
      <c r="K187" s="564" t="s">
        <v>25</v>
      </c>
      <c r="L187" s="564" t="s">
        <v>25</v>
      </c>
      <c r="M187" s="565"/>
      <c r="N187" s="565"/>
      <c r="O187" s="590"/>
      <c r="P187" s="564" t="s">
        <v>25</v>
      </c>
      <c r="Q187" s="564" t="s">
        <v>25</v>
      </c>
      <c r="R187" s="566"/>
      <c r="S187" s="589"/>
      <c r="T187" s="591"/>
      <c r="U187" s="589"/>
      <c r="V187" s="564" t="s">
        <v>2899</v>
      </c>
      <c r="W187" s="564" t="s">
        <v>25</v>
      </c>
      <c r="X187" s="589"/>
      <c r="Y187" s="592"/>
      <c r="Z187" s="592"/>
      <c r="AA187" s="568"/>
      <c r="AB187" s="592"/>
      <c r="AC187" s="592"/>
      <c r="AD187" s="592"/>
      <c r="AE187" s="590"/>
      <c r="AF187" s="570" t="s">
        <v>2899</v>
      </c>
      <c r="AG187" s="570" t="s">
        <v>25</v>
      </c>
      <c r="AH187" s="571" t="s">
        <v>25</v>
      </c>
      <c r="AI187" s="593"/>
      <c r="AJ187" s="593"/>
    </row>
    <row r="188" spans="1:36" s="376" customFormat="1" ht="20.25" outlineLevel="2" x14ac:dyDescent="0.3">
      <c r="A188" s="447">
        <v>21</v>
      </c>
      <c r="B188" s="558"/>
      <c r="C188" s="558"/>
      <c r="D188" s="587"/>
      <c r="E188" s="560"/>
      <c r="F188" s="558"/>
      <c r="G188" s="588"/>
      <c r="H188" s="546"/>
      <c r="I188" s="563" t="s">
        <v>25</v>
      </c>
      <c r="J188" s="563" t="s">
        <v>25</v>
      </c>
      <c r="K188" s="564" t="s">
        <v>25</v>
      </c>
      <c r="L188" s="564" t="s">
        <v>25</v>
      </c>
      <c r="M188" s="565"/>
      <c r="N188" s="565"/>
      <c r="O188" s="590"/>
      <c r="P188" s="564" t="s">
        <v>25</v>
      </c>
      <c r="Q188" s="564" t="s">
        <v>25</v>
      </c>
      <c r="R188" s="566"/>
      <c r="S188" s="589"/>
      <c r="T188" s="591"/>
      <c r="U188" s="589"/>
      <c r="V188" s="564" t="s">
        <v>2899</v>
      </c>
      <c r="W188" s="564" t="s">
        <v>25</v>
      </c>
      <c r="X188" s="589"/>
      <c r="Y188" s="592"/>
      <c r="Z188" s="592"/>
      <c r="AA188" s="568"/>
      <c r="AB188" s="592"/>
      <c r="AC188" s="592"/>
      <c r="AD188" s="592"/>
      <c r="AE188" s="590"/>
      <c r="AF188" s="570" t="s">
        <v>2899</v>
      </c>
      <c r="AG188" s="570" t="s">
        <v>25</v>
      </c>
      <c r="AH188" s="571" t="s">
        <v>25</v>
      </c>
      <c r="AI188" s="593"/>
      <c r="AJ188" s="593"/>
    </row>
    <row r="189" spans="1:36" s="376" customFormat="1" ht="20.25" outlineLevel="2" x14ac:dyDescent="0.3">
      <c r="A189" s="447">
        <v>21</v>
      </c>
      <c r="B189" s="574"/>
      <c r="C189" s="574"/>
      <c r="D189" s="595"/>
      <c r="E189" s="577"/>
      <c r="F189" s="558"/>
      <c r="G189" s="588"/>
      <c r="H189" s="546"/>
      <c r="I189" s="563" t="s">
        <v>25</v>
      </c>
      <c r="J189" s="563" t="s">
        <v>25</v>
      </c>
      <c r="K189" s="564" t="s">
        <v>25</v>
      </c>
      <c r="L189" s="564" t="s">
        <v>25</v>
      </c>
      <c r="M189" s="565"/>
      <c r="N189" s="565"/>
      <c r="O189" s="590"/>
      <c r="P189" s="564" t="s">
        <v>25</v>
      </c>
      <c r="Q189" s="564" t="s">
        <v>25</v>
      </c>
      <c r="R189" s="566"/>
      <c r="S189" s="589"/>
      <c r="T189" s="591"/>
      <c r="U189" s="589"/>
      <c r="V189" s="564" t="s">
        <v>2899</v>
      </c>
      <c r="W189" s="564" t="s">
        <v>25</v>
      </c>
      <c r="X189" s="589"/>
      <c r="Y189" s="592"/>
      <c r="Z189" s="592"/>
      <c r="AA189" s="568"/>
      <c r="AB189" s="592"/>
      <c r="AC189" s="592"/>
      <c r="AD189" s="592"/>
      <c r="AE189" s="590"/>
      <c r="AF189" s="570" t="s">
        <v>2899</v>
      </c>
      <c r="AG189" s="570" t="s">
        <v>25</v>
      </c>
      <c r="AH189" s="571" t="s">
        <v>25</v>
      </c>
      <c r="AI189" s="558"/>
      <c r="AJ189" s="558"/>
    </row>
    <row r="190" spans="1:36" s="376" customFormat="1" ht="40.5" outlineLevel="1" x14ac:dyDescent="0.25">
      <c r="A190" s="467">
        <v>22</v>
      </c>
      <c r="B190" s="574" t="s">
        <v>118</v>
      </c>
      <c r="C190" s="773" t="s">
        <v>2902</v>
      </c>
      <c r="D190" s="587">
        <v>86</v>
      </c>
      <c r="E190" s="560">
        <v>703</v>
      </c>
      <c r="F190" s="574"/>
      <c r="G190" s="618">
        <v>30.7</v>
      </c>
      <c r="H190" s="579">
        <v>0</v>
      </c>
      <c r="I190" s="581"/>
      <c r="J190" s="581"/>
      <c r="K190" s="571">
        <v>17020000</v>
      </c>
      <c r="L190" s="571">
        <v>0</v>
      </c>
      <c r="M190" s="578"/>
      <c r="N190" s="578"/>
      <c r="O190" s="599">
        <v>0</v>
      </c>
      <c r="P190" s="571"/>
      <c r="Q190" s="571">
        <v>0</v>
      </c>
      <c r="R190" s="582"/>
      <c r="S190" s="597"/>
      <c r="T190" s="600">
        <v>0</v>
      </c>
      <c r="U190" s="622"/>
      <c r="V190" s="571"/>
      <c r="W190" s="571">
        <v>0</v>
      </c>
      <c r="X190" s="589"/>
      <c r="Y190" s="592"/>
      <c r="Z190" s="592"/>
      <c r="AA190" s="568"/>
      <c r="AB190" s="592"/>
      <c r="AC190" s="592"/>
      <c r="AD190" s="601"/>
      <c r="AE190" s="599">
        <f>SUBTOTAL(9,AE191:AE199)</f>
        <v>0</v>
      </c>
      <c r="AF190" s="585"/>
      <c r="AG190" s="585">
        <v>0</v>
      </c>
      <c r="AH190" s="571">
        <v>17020000</v>
      </c>
      <c r="AI190" s="574"/>
      <c r="AJ190" s="578"/>
    </row>
    <row r="191" spans="1:36" s="376" customFormat="1" ht="121.5" outlineLevel="2" x14ac:dyDescent="0.3">
      <c r="A191" s="447">
        <v>22</v>
      </c>
      <c r="B191" s="558" t="s">
        <v>119</v>
      </c>
      <c r="C191" s="558"/>
      <c r="D191" s="587"/>
      <c r="E191" s="560"/>
      <c r="F191" s="558" t="s">
        <v>2891</v>
      </c>
      <c r="G191" s="588">
        <v>30.7</v>
      </c>
      <c r="H191" s="546" t="s">
        <v>2899</v>
      </c>
      <c r="I191" s="563">
        <v>554400</v>
      </c>
      <c r="J191" s="563">
        <v>0</v>
      </c>
      <c r="K191" s="564">
        <v>17020000</v>
      </c>
      <c r="L191" s="564">
        <v>0</v>
      </c>
      <c r="M191" s="586"/>
      <c r="N191" s="586"/>
      <c r="O191" s="590"/>
      <c r="P191" s="564" t="s">
        <v>25</v>
      </c>
      <c r="Q191" s="564" t="s">
        <v>25</v>
      </c>
      <c r="R191" s="566"/>
      <c r="S191" s="589"/>
      <c r="T191" s="591"/>
      <c r="U191" s="611"/>
      <c r="V191" s="564" t="s">
        <v>2899</v>
      </c>
      <c r="W191" s="564" t="s">
        <v>25</v>
      </c>
      <c r="X191" s="589"/>
      <c r="Y191" s="592"/>
      <c r="Z191" s="592"/>
      <c r="AA191" s="568"/>
      <c r="AB191" s="592"/>
      <c r="AC191" s="592"/>
      <c r="AD191" s="592"/>
      <c r="AE191" s="590"/>
      <c r="AF191" s="570" t="s">
        <v>2899</v>
      </c>
      <c r="AG191" s="570"/>
      <c r="AH191" s="571" t="s">
        <v>25</v>
      </c>
      <c r="AI191" s="558" t="s">
        <v>1691</v>
      </c>
      <c r="AJ191" s="586" t="s">
        <v>2771</v>
      </c>
    </row>
    <row r="192" spans="1:36" s="376" customFormat="1" ht="60.75" outlineLevel="2" x14ac:dyDescent="0.3">
      <c r="A192" s="447">
        <v>22</v>
      </c>
      <c r="B192" s="574" t="s">
        <v>120</v>
      </c>
      <c r="C192" s="574"/>
      <c r="D192" s="587"/>
      <c r="E192" s="560"/>
      <c r="F192" s="558"/>
      <c r="G192" s="588"/>
      <c r="H192" s="546"/>
      <c r="I192" s="563" t="s">
        <v>25</v>
      </c>
      <c r="J192" s="563" t="s">
        <v>25</v>
      </c>
      <c r="K192" s="564" t="s">
        <v>25</v>
      </c>
      <c r="L192" s="564" t="s">
        <v>25</v>
      </c>
      <c r="M192" s="586"/>
      <c r="N192" s="586"/>
      <c r="O192" s="590"/>
      <c r="P192" s="564" t="s">
        <v>25</v>
      </c>
      <c r="Q192" s="564" t="s">
        <v>25</v>
      </c>
      <c r="R192" s="586"/>
      <c r="S192" s="609"/>
      <c r="T192" s="591"/>
      <c r="U192" s="611"/>
      <c r="V192" s="564" t="s">
        <v>2899</v>
      </c>
      <c r="W192" s="564" t="s">
        <v>25</v>
      </c>
      <c r="X192" s="589"/>
      <c r="Y192" s="592"/>
      <c r="Z192" s="592"/>
      <c r="AA192" s="568"/>
      <c r="AB192" s="592"/>
      <c r="AC192" s="592"/>
      <c r="AD192" s="592"/>
      <c r="AE192" s="590"/>
      <c r="AF192" s="570" t="s">
        <v>2899</v>
      </c>
      <c r="AG192" s="570" t="s">
        <v>25</v>
      </c>
      <c r="AH192" s="571" t="s">
        <v>25</v>
      </c>
      <c r="AI192" s="558" t="s">
        <v>448</v>
      </c>
      <c r="AJ192" s="558"/>
    </row>
    <row r="193" spans="1:36" s="376" customFormat="1" ht="40.5" outlineLevel="2" x14ac:dyDescent="0.3">
      <c r="A193" s="447">
        <v>22</v>
      </c>
      <c r="B193" s="558" t="s">
        <v>121</v>
      </c>
      <c r="C193" s="558"/>
      <c r="D193" s="587"/>
      <c r="E193" s="560"/>
      <c r="F193" s="558"/>
      <c r="G193" s="588"/>
      <c r="H193" s="546"/>
      <c r="I193" s="563" t="s">
        <v>25</v>
      </c>
      <c r="J193" s="563" t="s">
        <v>25</v>
      </c>
      <c r="K193" s="564" t="s">
        <v>25</v>
      </c>
      <c r="L193" s="564" t="s">
        <v>25</v>
      </c>
      <c r="M193" s="586"/>
      <c r="N193" s="586"/>
      <c r="O193" s="590"/>
      <c r="P193" s="564" t="s">
        <v>25</v>
      </c>
      <c r="Q193" s="564" t="s">
        <v>25</v>
      </c>
      <c r="R193" s="586"/>
      <c r="S193" s="609"/>
      <c r="T193" s="591"/>
      <c r="U193" s="611"/>
      <c r="V193" s="564" t="s">
        <v>2899</v>
      </c>
      <c r="W193" s="564" t="s">
        <v>25</v>
      </c>
      <c r="X193" s="589"/>
      <c r="Y193" s="592"/>
      <c r="Z193" s="592"/>
      <c r="AA193" s="568"/>
      <c r="AB193" s="592"/>
      <c r="AC193" s="592"/>
      <c r="AD193" s="592"/>
      <c r="AE193" s="590"/>
      <c r="AF193" s="570" t="s">
        <v>2899</v>
      </c>
      <c r="AG193" s="570" t="s">
        <v>25</v>
      </c>
      <c r="AH193" s="571" t="s">
        <v>25</v>
      </c>
      <c r="AI193" s="558" t="s">
        <v>449</v>
      </c>
      <c r="AJ193" s="558"/>
    </row>
    <row r="194" spans="1:36" s="376" customFormat="1" ht="101.25" outlineLevel="2" x14ac:dyDescent="0.3">
      <c r="A194" s="447">
        <v>22</v>
      </c>
      <c r="B194" s="558" t="s">
        <v>646</v>
      </c>
      <c r="C194" s="558"/>
      <c r="D194" s="595"/>
      <c r="E194" s="577"/>
      <c r="F194" s="558"/>
      <c r="G194" s="588"/>
      <c r="H194" s="546"/>
      <c r="I194" s="563" t="s">
        <v>25</v>
      </c>
      <c r="J194" s="563" t="s">
        <v>25</v>
      </c>
      <c r="K194" s="564" t="s">
        <v>25</v>
      </c>
      <c r="L194" s="564" t="s">
        <v>25</v>
      </c>
      <c r="M194" s="586"/>
      <c r="N194" s="586"/>
      <c r="O194" s="590"/>
      <c r="P194" s="564" t="s">
        <v>25</v>
      </c>
      <c r="Q194" s="564" t="s">
        <v>25</v>
      </c>
      <c r="R194" s="586"/>
      <c r="S194" s="609"/>
      <c r="T194" s="591"/>
      <c r="U194" s="611"/>
      <c r="V194" s="564" t="s">
        <v>2899</v>
      </c>
      <c r="W194" s="564" t="s">
        <v>25</v>
      </c>
      <c r="X194" s="589"/>
      <c r="Y194" s="592"/>
      <c r="Z194" s="592"/>
      <c r="AA194" s="568"/>
      <c r="AB194" s="592"/>
      <c r="AC194" s="592"/>
      <c r="AD194" s="592"/>
      <c r="AE194" s="590"/>
      <c r="AF194" s="570" t="s">
        <v>2899</v>
      </c>
      <c r="AG194" s="570" t="s">
        <v>25</v>
      </c>
      <c r="AH194" s="571" t="s">
        <v>25</v>
      </c>
      <c r="AI194" s="608" t="s">
        <v>111</v>
      </c>
      <c r="AJ194" s="608"/>
    </row>
    <row r="195" spans="1:36" s="376" customFormat="1" ht="101.25" outlineLevel="2" x14ac:dyDescent="0.3">
      <c r="A195" s="447">
        <v>22</v>
      </c>
      <c r="B195" s="558"/>
      <c r="C195" s="558"/>
      <c r="D195" s="587"/>
      <c r="E195" s="615"/>
      <c r="F195" s="574"/>
      <c r="G195" s="588"/>
      <c r="H195" s="546"/>
      <c r="I195" s="563" t="s">
        <v>25</v>
      </c>
      <c r="J195" s="563" t="s">
        <v>25</v>
      </c>
      <c r="K195" s="564" t="s">
        <v>25</v>
      </c>
      <c r="L195" s="564" t="s">
        <v>25</v>
      </c>
      <c r="M195" s="578"/>
      <c r="N195" s="578"/>
      <c r="O195" s="590"/>
      <c r="P195" s="564" t="s">
        <v>25</v>
      </c>
      <c r="Q195" s="564" t="s">
        <v>25</v>
      </c>
      <c r="R195" s="578"/>
      <c r="S195" s="621"/>
      <c r="T195" s="591"/>
      <c r="U195" s="611"/>
      <c r="V195" s="564" t="s">
        <v>2899</v>
      </c>
      <c r="W195" s="564" t="s">
        <v>25</v>
      </c>
      <c r="X195" s="580"/>
      <c r="Y195" s="601"/>
      <c r="Z195" s="601"/>
      <c r="AA195" s="584"/>
      <c r="AB195" s="601"/>
      <c r="AC195" s="601"/>
      <c r="AD195" s="601"/>
      <c r="AE195" s="599"/>
      <c r="AF195" s="570" t="s">
        <v>2899</v>
      </c>
      <c r="AG195" s="570" t="s">
        <v>25</v>
      </c>
      <c r="AH195" s="571" t="s">
        <v>25</v>
      </c>
      <c r="AI195" s="558" t="s">
        <v>2196</v>
      </c>
      <c r="AJ195" s="608"/>
    </row>
    <row r="196" spans="1:36" s="376" customFormat="1" ht="20.25" outlineLevel="2" x14ac:dyDescent="0.3">
      <c r="A196" s="447">
        <v>22</v>
      </c>
      <c r="B196" s="558"/>
      <c r="C196" s="558"/>
      <c r="D196" s="587"/>
      <c r="E196" s="615"/>
      <c r="F196" s="558"/>
      <c r="G196" s="604"/>
      <c r="H196" s="546"/>
      <c r="I196" s="563" t="s">
        <v>25</v>
      </c>
      <c r="J196" s="563" t="s">
        <v>25</v>
      </c>
      <c r="K196" s="564" t="s">
        <v>25</v>
      </c>
      <c r="L196" s="564" t="s">
        <v>25</v>
      </c>
      <c r="M196" s="593"/>
      <c r="N196" s="593"/>
      <c r="O196" s="616"/>
      <c r="P196" s="564" t="s">
        <v>25</v>
      </c>
      <c r="Q196" s="564" t="s">
        <v>25</v>
      </c>
      <c r="R196" s="593"/>
      <c r="S196" s="593"/>
      <c r="T196" s="617"/>
      <c r="U196" s="589"/>
      <c r="V196" s="564" t="s">
        <v>2899</v>
      </c>
      <c r="W196" s="564" t="s">
        <v>25</v>
      </c>
      <c r="X196" s="589"/>
      <c r="Y196" s="589"/>
      <c r="Z196" s="589"/>
      <c r="AA196" s="562"/>
      <c r="AB196" s="589"/>
      <c r="AC196" s="589"/>
      <c r="AD196" s="589"/>
      <c r="AE196" s="629"/>
      <c r="AF196" s="570" t="s">
        <v>2899</v>
      </c>
      <c r="AG196" s="570" t="s">
        <v>25</v>
      </c>
      <c r="AH196" s="571" t="s">
        <v>25</v>
      </c>
      <c r="AI196" s="593"/>
      <c r="AJ196" s="593"/>
    </row>
    <row r="197" spans="1:36" s="376" customFormat="1" ht="20.25" outlineLevel="2" x14ac:dyDescent="0.3">
      <c r="A197" s="447">
        <v>22</v>
      </c>
      <c r="B197" s="558"/>
      <c r="C197" s="558"/>
      <c r="D197" s="587"/>
      <c r="E197" s="615"/>
      <c r="F197" s="558"/>
      <c r="G197" s="604"/>
      <c r="H197" s="546"/>
      <c r="I197" s="563" t="s">
        <v>25</v>
      </c>
      <c r="J197" s="563" t="s">
        <v>25</v>
      </c>
      <c r="K197" s="564" t="s">
        <v>25</v>
      </c>
      <c r="L197" s="564" t="s">
        <v>25</v>
      </c>
      <c r="M197" s="593"/>
      <c r="N197" s="593"/>
      <c r="O197" s="616"/>
      <c r="P197" s="564" t="s">
        <v>25</v>
      </c>
      <c r="Q197" s="564" t="s">
        <v>25</v>
      </c>
      <c r="R197" s="593"/>
      <c r="S197" s="593"/>
      <c r="T197" s="617"/>
      <c r="U197" s="589"/>
      <c r="V197" s="564" t="s">
        <v>2899</v>
      </c>
      <c r="W197" s="564" t="s">
        <v>25</v>
      </c>
      <c r="X197" s="589"/>
      <c r="Y197" s="589"/>
      <c r="Z197" s="589"/>
      <c r="AA197" s="562"/>
      <c r="AB197" s="589"/>
      <c r="AC197" s="589"/>
      <c r="AD197" s="589"/>
      <c r="AE197" s="629"/>
      <c r="AF197" s="570" t="s">
        <v>2899</v>
      </c>
      <c r="AG197" s="570" t="s">
        <v>25</v>
      </c>
      <c r="AH197" s="571" t="s">
        <v>25</v>
      </c>
      <c r="AI197" s="593"/>
      <c r="AJ197" s="593"/>
    </row>
    <row r="198" spans="1:36" s="376" customFormat="1" ht="20.25" outlineLevel="2" x14ac:dyDescent="0.3">
      <c r="A198" s="447">
        <v>22</v>
      </c>
      <c r="B198" s="558"/>
      <c r="C198" s="558"/>
      <c r="D198" s="587"/>
      <c r="E198" s="560"/>
      <c r="F198" s="558"/>
      <c r="G198" s="604"/>
      <c r="H198" s="546"/>
      <c r="I198" s="563" t="s">
        <v>25</v>
      </c>
      <c r="J198" s="563" t="s">
        <v>25</v>
      </c>
      <c r="K198" s="564" t="s">
        <v>25</v>
      </c>
      <c r="L198" s="564" t="s">
        <v>25</v>
      </c>
      <c r="M198" s="593"/>
      <c r="N198" s="593"/>
      <c r="O198" s="616"/>
      <c r="P198" s="564" t="s">
        <v>25</v>
      </c>
      <c r="Q198" s="564" t="s">
        <v>25</v>
      </c>
      <c r="R198" s="593"/>
      <c r="S198" s="593"/>
      <c r="T198" s="617"/>
      <c r="U198" s="589"/>
      <c r="V198" s="564" t="s">
        <v>2899</v>
      </c>
      <c r="W198" s="564" t="s">
        <v>25</v>
      </c>
      <c r="X198" s="589"/>
      <c r="Y198" s="589"/>
      <c r="Z198" s="589"/>
      <c r="AA198" s="562"/>
      <c r="AB198" s="589"/>
      <c r="AC198" s="589"/>
      <c r="AD198" s="589"/>
      <c r="AE198" s="629"/>
      <c r="AF198" s="570" t="s">
        <v>2899</v>
      </c>
      <c r="AG198" s="570" t="s">
        <v>25</v>
      </c>
      <c r="AH198" s="571" t="s">
        <v>25</v>
      </c>
      <c r="AI198" s="593"/>
      <c r="AJ198" s="593"/>
    </row>
    <row r="199" spans="1:36" s="376" customFormat="1" ht="20.25" outlineLevel="2" x14ac:dyDescent="0.3">
      <c r="A199" s="447">
        <v>22</v>
      </c>
      <c r="B199" s="574"/>
      <c r="C199" s="574"/>
      <c r="D199" s="595"/>
      <c r="E199" s="577"/>
      <c r="F199" s="558"/>
      <c r="G199" s="588"/>
      <c r="H199" s="546"/>
      <c r="I199" s="563" t="s">
        <v>25</v>
      </c>
      <c r="J199" s="563" t="s">
        <v>25</v>
      </c>
      <c r="K199" s="564" t="s">
        <v>25</v>
      </c>
      <c r="L199" s="564" t="s">
        <v>25</v>
      </c>
      <c r="M199" s="558"/>
      <c r="N199" s="558"/>
      <c r="O199" s="590"/>
      <c r="P199" s="564" t="s">
        <v>25</v>
      </c>
      <c r="Q199" s="564" t="s">
        <v>25</v>
      </c>
      <c r="R199" s="566"/>
      <c r="S199" s="589"/>
      <c r="T199" s="591"/>
      <c r="U199" s="589"/>
      <c r="V199" s="564" t="s">
        <v>2899</v>
      </c>
      <c r="W199" s="564" t="s">
        <v>25</v>
      </c>
      <c r="X199" s="589"/>
      <c r="Y199" s="592"/>
      <c r="Z199" s="592"/>
      <c r="AA199" s="568"/>
      <c r="AB199" s="592"/>
      <c r="AC199" s="592"/>
      <c r="AD199" s="592"/>
      <c r="AE199" s="590"/>
      <c r="AF199" s="570" t="s">
        <v>2899</v>
      </c>
      <c r="AG199" s="570" t="s">
        <v>25</v>
      </c>
      <c r="AH199" s="571" t="s">
        <v>25</v>
      </c>
      <c r="AI199" s="593"/>
      <c r="AJ199" s="593"/>
    </row>
    <row r="200" spans="1:36" s="376" customFormat="1" ht="40.5" outlineLevel="1" x14ac:dyDescent="0.25">
      <c r="A200" s="467">
        <v>23</v>
      </c>
      <c r="B200" s="574" t="s">
        <v>29</v>
      </c>
      <c r="C200" s="773" t="s">
        <v>2902</v>
      </c>
      <c r="D200" s="587">
        <v>86</v>
      </c>
      <c r="E200" s="560">
        <v>702</v>
      </c>
      <c r="F200" s="574"/>
      <c r="G200" s="618">
        <v>30.4</v>
      </c>
      <c r="H200" s="579">
        <v>30.4</v>
      </c>
      <c r="I200" s="581"/>
      <c r="J200" s="581"/>
      <c r="K200" s="571">
        <v>16854000</v>
      </c>
      <c r="L200" s="571">
        <v>50561000</v>
      </c>
      <c r="M200" s="574"/>
      <c r="N200" s="574"/>
      <c r="O200" s="599">
        <v>0</v>
      </c>
      <c r="P200" s="571"/>
      <c r="Q200" s="571">
        <v>0</v>
      </c>
      <c r="R200" s="582"/>
      <c r="S200" s="597"/>
      <c r="T200" s="600">
        <v>0</v>
      </c>
      <c r="U200" s="597"/>
      <c r="V200" s="571"/>
      <c r="W200" s="571">
        <v>0</v>
      </c>
      <c r="X200" s="589"/>
      <c r="Y200" s="592"/>
      <c r="Z200" s="592"/>
      <c r="AA200" s="568"/>
      <c r="AB200" s="592"/>
      <c r="AC200" s="592"/>
      <c r="AD200" s="634"/>
      <c r="AE200" s="599">
        <f>SUBTOTAL(9,AE201:AE207)</f>
        <v>0</v>
      </c>
      <c r="AF200" s="585"/>
      <c r="AG200" s="585">
        <v>0</v>
      </c>
      <c r="AH200" s="571">
        <v>67415000</v>
      </c>
      <c r="AI200" s="574"/>
      <c r="AJ200" s="578"/>
    </row>
    <row r="201" spans="1:36" s="376" customFormat="1" ht="121.5" outlineLevel="2" x14ac:dyDescent="0.3">
      <c r="A201" s="447">
        <v>23</v>
      </c>
      <c r="B201" s="558" t="s">
        <v>122</v>
      </c>
      <c r="C201" s="558"/>
      <c r="D201" s="595"/>
      <c r="E201" s="577"/>
      <c r="F201" s="558" t="s">
        <v>2892</v>
      </c>
      <c r="G201" s="588">
        <v>30.4</v>
      </c>
      <c r="H201" s="546">
        <v>30.4</v>
      </c>
      <c r="I201" s="563">
        <v>554400</v>
      </c>
      <c r="J201" s="563">
        <v>1663200</v>
      </c>
      <c r="K201" s="564">
        <v>16854000</v>
      </c>
      <c r="L201" s="564">
        <v>50561000</v>
      </c>
      <c r="M201" s="558"/>
      <c r="N201" s="558"/>
      <c r="O201" s="590"/>
      <c r="P201" s="564" t="s">
        <v>25</v>
      </c>
      <c r="Q201" s="564" t="s">
        <v>25</v>
      </c>
      <c r="R201" s="566"/>
      <c r="S201" s="589"/>
      <c r="T201" s="591"/>
      <c r="U201" s="589"/>
      <c r="V201" s="564" t="s">
        <v>2899</v>
      </c>
      <c r="W201" s="564" t="s">
        <v>25</v>
      </c>
      <c r="X201" s="589"/>
      <c r="Y201" s="592"/>
      <c r="Z201" s="592"/>
      <c r="AA201" s="568"/>
      <c r="AB201" s="592"/>
      <c r="AC201" s="592"/>
      <c r="AD201" s="606"/>
      <c r="AE201" s="590"/>
      <c r="AF201" s="570" t="s">
        <v>2899</v>
      </c>
      <c r="AG201" s="570"/>
      <c r="AH201" s="571" t="s">
        <v>25</v>
      </c>
      <c r="AI201" s="558" t="s">
        <v>1692</v>
      </c>
      <c r="AJ201" s="586" t="s">
        <v>2771</v>
      </c>
    </row>
    <row r="202" spans="1:36" s="376" customFormat="1" ht="81" outlineLevel="2" x14ac:dyDescent="0.3">
      <c r="A202" s="447">
        <v>23</v>
      </c>
      <c r="B202" s="558" t="s">
        <v>647</v>
      </c>
      <c r="C202" s="558"/>
      <c r="D202" s="587"/>
      <c r="E202" s="560"/>
      <c r="F202" s="558"/>
      <c r="G202" s="588"/>
      <c r="H202" s="546"/>
      <c r="I202" s="563" t="s">
        <v>25</v>
      </c>
      <c r="J202" s="563" t="s">
        <v>25</v>
      </c>
      <c r="K202" s="564" t="s">
        <v>25</v>
      </c>
      <c r="L202" s="564" t="s">
        <v>25</v>
      </c>
      <c r="M202" s="578"/>
      <c r="N202" s="578"/>
      <c r="O202" s="590"/>
      <c r="P202" s="564" t="s">
        <v>25</v>
      </c>
      <c r="Q202" s="564" t="s">
        <v>25</v>
      </c>
      <c r="R202" s="578"/>
      <c r="S202" s="621"/>
      <c r="T202" s="591"/>
      <c r="U202" s="597"/>
      <c r="V202" s="564" t="s">
        <v>2899</v>
      </c>
      <c r="W202" s="564" t="s">
        <v>25</v>
      </c>
      <c r="X202" s="580"/>
      <c r="Y202" s="601"/>
      <c r="Z202" s="601"/>
      <c r="AA202" s="584"/>
      <c r="AB202" s="601"/>
      <c r="AC202" s="601"/>
      <c r="AD202" s="601"/>
      <c r="AE202" s="599"/>
      <c r="AF202" s="570" t="s">
        <v>2899</v>
      </c>
      <c r="AG202" s="570" t="s">
        <v>25</v>
      </c>
      <c r="AH202" s="571" t="s">
        <v>25</v>
      </c>
      <c r="AI202" s="558" t="s">
        <v>450</v>
      </c>
      <c r="AJ202" s="605" t="s">
        <v>2448</v>
      </c>
    </row>
    <row r="203" spans="1:36" s="376" customFormat="1" ht="40.5" outlineLevel="2" x14ac:dyDescent="0.3">
      <c r="A203" s="447">
        <v>23</v>
      </c>
      <c r="B203" s="572" t="s">
        <v>308</v>
      </c>
      <c r="C203" s="572"/>
      <c r="D203" s="587"/>
      <c r="E203" s="615"/>
      <c r="F203" s="558"/>
      <c r="G203" s="588"/>
      <c r="H203" s="546"/>
      <c r="I203" s="563" t="s">
        <v>25</v>
      </c>
      <c r="J203" s="563" t="s">
        <v>25</v>
      </c>
      <c r="K203" s="564" t="s">
        <v>25</v>
      </c>
      <c r="L203" s="564" t="s">
        <v>25</v>
      </c>
      <c r="M203" s="586"/>
      <c r="N203" s="586"/>
      <c r="O203" s="590"/>
      <c r="P203" s="564" t="s">
        <v>25</v>
      </c>
      <c r="Q203" s="564" t="s">
        <v>25</v>
      </c>
      <c r="R203" s="586"/>
      <c r="S203" s="609"/>
      <c r="T203" s="591"/>
      <c r="U203" s="589"/>
      <c r="V203" s="564" t="s">
        <v>2899</v>
      </c>
      <c r="W203" s="564" t="s">
        <v>25</v>
      </c>
      <c r="X203" s="562"/>
      <c r="Y203" s="592"/>
      <c r="Z203" s="592"/>
      <c r="AA203" s="568"/>
      <c r="AB203" s="592"/>
      <c r="AC203" s="592"/>
      <c r="AD203" s="592"/>
      <c r="AE203" s="590"/>
      <c r="AF203" s="570" t="s">
        <v>2899</v>
      </c>
      <c r="AG203" s="570" t="s">
        <v>25</v>
      </c>
      <c r="AH203" s="571" t="s">
        <v>25</v>
      </c>
      <c r="AI203" s="593" t="s">
        <v>451</v>
      </c>
      <c r="AJ203" s="593"/>
    </row>
    <row r="204" spans="1:36" s="376" customFormat="1" ht="60.75" outlineLevel="2" x14ac:dyDescent="0.3">
      <c r="A204" s="447">
        <v>23</v>
      </c>
      <c r="B204" s="572"/>
      <c r="C204" s="572"/>
      <c r="D204" s="587"/>
      <c r="E204" s="615"/>
      <c r="F204" s="558"/>
      <c r="G204" s="604"/>
      <c r="H204" s="546"/>
      <c r="I204" s="563" t="s">
        <v>25</v>
      </c>
      <c r="J204" s="563" t="s">
        <v>25</v>
      </c>
      <c r="K204" s="564" t="s">
        <v>25</v>
      </c>
      <c r="L204" s="564" t="s">
        <v>25</v>
      </c>
      <c r="M204" s="593"/>
      <c r="N204" s="593"/>
      <c r="O204" s="616"/>
      <c r="P204" s="564" t="s">
        <v>25</v>
      </c>
      <c r="Q204" s="564" t="s">
        <v>25</v>
      </c>
      <c r="R204" s="593"/>
      <c r="S204" s="593"/>
      <c r="T204" s="617"/>
      <c r="U204" s="589"/>
      <c r="V204" s="564" t="s">
        <v>2899</v>
      </c>
      <c r="W204" s="564" t="s">
        <v>25</v>
      </c>
      <c r="X204" s="589"/>
      <c r="Y204" s="589"/>
      <c r="Z204" s="589"/>
      <c r="AA204" s="562"/>
      <c r="AB204" s="589"/>
      <c r="AC204" s="589"/>
      <c r="AD204" s="589"/>
      <c r="AE204" s="629"/>
      <c r="AF204" s="570" t="s">
        <v>2899</v>
      </c>
      <c r="AG204" s="570" t="s">
        <v>25</v>
      </c>
      <c r="AH204" s="571" t="s">
        <v>25</v>
      </c>
      <c r="AI204" s="558" t="s">
        <v>2074</v>
      </c>
      <c r="AJ204" s="593"/>
    </row>
    <row r="205" spans="1:36" s="376" customFormat="1" ht="20.25" outlineLevel="2" x14ac:dyDescent="0.3">
      <c r="A205" s="447">
        <v>23</v>
      </c>
      <c r="B205" s="572"/>
      <c r="C205" s="572"/>
      <c r="D205" s="587"/>
      <c r="E205" s="615"/>
      <c r="F205" s="558"/>
      <c r="G205" s="604"/>
      <c r="H205" s="546"/>
      <c r="I205" s="563" t="s">
        <v>25</v>
      </c>
      <c r="J205" s="563" t="s">
        <v>25</v>
      </c>
      <c r="K205" s="564" t="s">
        <v>25</v>
      </c>
      <c r="L205" s="564" t="s">
        <v>25</v>
      </c>
      <c r="M205" s="593"/>
      <c r="N205" s="593"/>
      <c r="O205" s="616"/>
      <c r="P205" s="564" t="s">
        <v>25</v>
      </c>
      <c r="Q205" s="564" t="s">
        <v>25</v>
      </c>
      <c r="R205" s="593"/>
      <c r="S205" s="593"/>
      <c r="T205" s="617"/>
      <c r="U205" s="589"/>
      <c r="V205" s="564" t="s">
        <v>2899</v>
      </c>
      <c r="W205" s="564" t="s">
        <v>25</v>
      </c>
      <c r="X205" s="589"/>
      <c r="Y205" s="589"/>
      <c r="Z205" s="589"/>
      <c r="AA205" s="562"/>
      <c r="AB205" s="589"/>
      <c r="AC205" s="589"/>
      <c r="AD205" s="589"/>
      <c r="AE205" s="629"/>
      <c r="AF205" s="570" t="s">
        <v>2899</v>
      </c>
      <c r="AG205" s="570" t="s">
        <v>25</v>
      </c>
      <c r="AH205" s="571" t="s">
        <v>25</v>
      </c>
      <c r="AI205" s="593"/>
      <c r="AJ205" s="593"/>
    </row>
    <row r="206" spans="1:36" s="376" customFormat="1" ht="20.25" outlineLevel="2" x14ac:dyDescent="0.3">
      <c r="A206" s="447">
        <v>23</v>
      </c>
      <c r="B206" s="572"/>
      <c r="C206" s="572"/>
      <c r="D206" s="587"/>
      <c r="E206" s="560"/>
      <c r="F206" s="558"/>
      <c r="G206" s="604"/>
      <c r="H206" s="546"/>
      <c r="I206" s="563" t="s">
        <v>25</v>
      </c>
      <c r="J206" s="563" t="s">
        <v>25</v>
      </c>
      <c r="K206" s="564" t="s">
        <v>25</v>
      </c>
      <c r="L206" s="564" t="s">
        <v>25</v>
      </c>
      <c r="M206" s="593"/>
      <c r="N206" s="593"/>
      <c r="O206" s="616"/>
      <c r="P206" s="564" t="s">
        <v>25</v>
      </c>
      <c r="Q206" s="564" t="s">
        <v>25</v>
      </c>
      <c r="R206" s="593"/>
      <c r="S206" s="593"/>
      <c r="T206" s="617"/>
      <c r="U206" s="589"/>
      <c r="V206" s="564" t="s">
        <v>2899</v>
      </c>
      <c r="W206" s="564" t="s">
        <v>25</v>
      </c>
      <c r="X206" s="589"/>
      <c r="Y206" s="589"/>
      <c r="Z206" s="589"/>
      <c r="AA206" s="562"/>
      <c r="AB206" s="589"/>
      <c r="AC206" s="589"/>
      <c r="AD206" s="589"/>
      <c r="AE206" s="629"/>
      <c r="AF206" s="570" t="s">
        <v>2899</v>
      </c>
      <c r="AG206" s="570" t="s">
        <v>25</v>
      </c>
      <c r="AH206" s="571" t="s">
        <v>25</v>
      </c>
      <c r="AI206" s="593"/>
      <c r="AJ206" s="593"/>
    </row>
    <row r="207" spans="1:36" s="376" customFormat="1" ht="20.25" outlineLevel="2" x14ac:dyDescent="0.3">
      <c r="A207" s="447">
        <v>23</v>
      </c>
      <c r="B207" s="574"/>
      <c r="C207" s="574"/>
      <c r="D207" s="595"/>
      <c r="E207" s="577"/>
      <c r="F207" s="558"/>
      <c r="G207" s="588"/>
      <c r="H207" s="546"/>
      <c r="I207" s="563" t="s">
        <v>25</v>
      </c>
      <c r="J207" s="563" t="s">
        <v>25</v>
      </c>
      <c r="K207" s="564" t="s">
        <v>25</v>
      </c>
      <c r="L207" s="564" t="s">
        <v>25</v>
      </c>
      <c r="M207" s="586"/>
      <c r="N207" s="586"/>
      <c r="O207" s="630"/>
      <c r="P207" s="564" t="s">
        <v>25</v>
      </c>
      <c r="Q207" s="564" t="s">
        <v>25</v>
      </c>
      <c r="R207" s="586"/>
      <c r="S207" s="609"/>
      <c r="T207" s="591"/>
      <c r="U207" s="589"/>
      <c r="V207" s="564" t="s">
        <v>2899</v>
      </c>
      <c r="W207" s="564" t="s">
        <v>25</v>
      </c>
      <c r="X207" s="562"/>
      <c r="Y207" s="592"/>
      <c r="Z207" s="592"/>
      <c r="AA207" s="568"/>
      <c r="AB207" s="592"/>
      <c r="AC207" s="592"/>
      <c r="AD207" s="592"/>
      <c r="AE207" s="590"/>
      <c r="AF207" s="570" t="s">
        <v>2899</v>
      </c>
      <c r="AG207" s="570" t="s">
        <v>25</v>
      </c>
      <c r="AH207" s="571" t="s">
        <v>25</v>
      </c>
      <c r="AI207" s="593"/>
      <c r="AJ207" s="593"/>
    </row>
    <row r="208" spans="1:36" s="376" customFormat="1" ht="40.5" outlineLevel="1" x14ac:dyDescent="0.25">
      <c r="A208" s="467">
        <v>24</v>
      </c>
      <c r="B208" s="574" t="s">
        <v>123</v>
      </c>
      <c r="C208" s="773" t="s">
        <v>2902</v>
      </c>
      <c r="D208" s="587">
        <v>86</v>
      </c>
      <c r="E208" s="560">
        <v>1589</v>
      </c>
      <c r="F208" s="574"/>
      <c r="G208" s="618">
        <v>89.8</v>
      </c>
      <c r="H208" s="579">
        <v>76</v>
      </c>
      <c r="I208" s="581"/>
      <c r="J208" s="581"/>
      <c r="K208" s="571">
        <v>97799000</v>
      </c>
      <c r="L208" s="571">
        <v>126403000</v>
      </c>
      <c r="M208" s="598"/>
      <c r="N208" s="598"/>
      <c r="O208" s="599">
        <v>27</v>
      </c>
      <c r="P208" s="571"/>
      <c r="Q208" s="571">
        <v>2067000</v>
      </c>
      <c r="R208" s="582"/>
      <c r="S208" s="597"/>
      <c r="T208" s="600">
        <v>185.83999999999997</v>
      </c>
      <c r="U208" s="597"/>
      <c r="V208" s="571"/>
      <c r="W208" s="571">
        <v>278148000</v>
      </c>
      <c r="X208" s="589"/>
      <c r="Y208" s="592"/>
      <c r="Z208" s="592"/>
      <c r="AA208" s="568"/>
      <c r="AB208" s="592"/>
      <c r="AC208" s="568"/>
      <c r="AD208" s="584"/>
      <c r="AE208" s="581">
        <f>SUBTOTAL(9,AE209:AE219)</f>
        <v>0</v>
      </c>
      <c r="AF208" s="585"/>
      <c r="AG208" s="585">
        <v>0</v>
      </c>
      <c r="AH208" s="571">
        <v>504417000</v>
      </c>
      <c r="AI208" s="574"/>
      <c r="AJ208" s="578"/>
    </row>
    <row r="209" spans="1:36" s="376" customFormat="1" ht="121.5" outlineLevel="2" x14ac:dyDescent="0.3">
      <c r="A209" s="447">
        <v>24</v>
      </c>
      <c r="B209" s="558" t="s">
        <v>124</v>
      </c>
      <c r="C209" s="558"/>
      <c r="D209" s="587">
        <v>86</v>
      </c>
      <c r="E209" s="560">
        <v>178</v>
      </c>
      <c r="F209" s="558" t="s">
        <v>2033</v>
      </c>
      <c r="G209" s="588">
        <v>13.8</v>
      </c>
      <c r="H209" s="546" t="s">
        <v>2899</v>
      </c>
      <c r="I209" s="563">
        <v>4033679.9999999995</v>
      </c>
      <c r="J209" s="563">
        <v>0</v>
      </c>
      <c r="K209" s="564">
        <v>55665000</v>
      </c>
      <c r="L209" s="564">
        <v>0</v>
      </c>
      <c r="M209" s="565" t="s">
        <v>730</v>
      </c>
      <c r="N209" s="565"/>
      <c r="O209" s="590">
        <v>2</v>
      </c>
      <c r="P209" s="564">
        <v>390000</v>
      </c>
      <c r="Q209" s="564">
        <v>780000</v>
      </c>
      <c r="R209" s="566" t="s">
        <v>1820</v>
      </c>
      <c r="S209" s="589" t="s">
        <v>53</v>
      </c>
      <c r="T209" s="591">
        <v>33.32</v>
      </c>
      <c r="U209" s="589"/>
      <c r="V209" s="564">
        <v>5307665</v>
      </c>
      <c r="W209" s="564">
        <v>176851000</v>
      </c>
      <c r="X209" s="589" t="s">
        <v>63</v>
      </c>
      <c r="Y209" s="592" t="s">
        <v>55</v>
      </c>
      <c r="Z209" s="592" t="s">
        <v>56</v>
      </c>
      <c r="AA209" s="568" t="s">
        <v>57</v>
      </c>
      <c r="AB209" s="592" t="s">
        <v>63</v>
      </c>
      <c r="AC209" s="568" t="s">
        <v>430</v>
      </c>
      <c r="AD209" s="568"/>
      <c r="AE209" s="563"/>
      <c r="AF209" s="570" t="s">
        <v>2899</v>
      </c>
      <c r="AG209" s="570"/>
      <c r="AH209" s="571" t="s">
        <v>25</v>
      </c>
      <c r="AI209" s="558" t="s">
        <v>648</v>
      </c>
      <c r="AJ209" s="586" t="s">
        <v>2771</v>
      </c>
    </row>
    <row r="210" spans="1:36" s="376" customFormat="1" ht="141.75" outlineLevel="2" x14ac:dyDescent="0.3">
      <c r="A210" s="447">
        <v>24</v>
      </c>
      <c r="B210" s="574" t="s">
        <v>125</v>
      </c>
      <c r="C210" s="574"/>
      <c r="D210" s="587"/>
      <c r="E210" s="560"/>
      <c r="F210" s="558" t="s">
        <v>2892</v>
      </c>
      <c r="G210" s="588">
        <v>39.799999999999997</v>
      </c>
      <c r="H210" s="546">
        <v>39.799999999999997</v>
      </c>
      <c r="I210" s="563">
        <v>554400</v>
      </c>
      <c r="J210" s="563">
        <v>1663200</v>
      </c>
      <c r="K210" s="564">
        <v>22065000</v>
      </c>
      <c r="L210" s="564">
        <v>66195000</v>
      </c>
      <c r="M210" s="565" t="s">
        <v>731</v>
      </c>
      <c r="N210" s="565"/>
      <c r="O210" s="590">
        <v>1</v>
      </c>
      <c r="P210" s="564">
        <v>165000</v>
      </c>
      <c r="Q210" s="564">
        <v>165000</v>
      </c>
      <c r="R210" s="566" t="s">
        <v>2270</v>
      </c>
      <c r="S210" s="589" t="s">
        <v>53</v>
      </c>
      <c r="T210" s="591">
        <v>10.7</v>
      </c>
      <c r="U210" s="589"/>
      <c r="V210" s="564">
        <v>0</v>
      </c>
      <c r="W210" s="564">
        <v>0</v>
      </c>
      <c r="X210" s="589"/>
      <c r="Y210" s="592"/>
      <c r="Z210" s="592"/>
      <c r="AA210" s="568"/>
      <c r="AB210" s="592"/>
      <c r="AC210" s="592"/>
      <c r="AD210" s="592"/>
      <c r="AE210" s="590"/>
      <c r="AF210" s="570" t="s">
        <v>2899</v>
      </c>
      <c r="AG210" s="570" t="s">
        <v>25</v>
      </c>
      <c r="AH210" s="571" t="s">
        <v>25</v>
      </c>
      <c r="AI210" s="558" t="s">
        <v>452</v>
      </c>
      <c r="AJ210" s="605" t="s">
        <v>2448</v>
      </c>
    </row>
    <row r="211" spans="1:36" s="376" customFormat="1" ht="121.5" outlineLevel="2" x14ac:dyDescent="0.3">
      <c r="A211" s="447">
        <v>24</v>
      </c>
      <c r="B211" s="558" t="s">
        <v>126</v>
      </c>
      <c r="C211" s="558"/>
      <c r="D211" s="587"/>
      <c r="E211" s="560"/>
      <c r="F211" s="558" t="s">
        <v>2898</v>
      </c>
      <c r="G211" s="588">
        <v>36.200000000000003</v>
      </c>
      <c r="H211" s="546">
        <v>36.200000000000003</v>
      </c>
      <c r="I211" s="563">
        <v>554400</v>
      </c>
      <c r="J211" s="563">
        <v>1663200</v>
      </c>
      <c r="K211" s="564">
        <v>20069000</v>
      </c>
      <c r="L211" s="564">
        <v>60208000</v>
      </c>
      <c r="M211" s="558" t="s">
        <v>729</v>
      </c>
      <c r="N211" s="558"/>
      <c r="O211" s="590">
        <v>1</v>
      </c>
      <c r="P211" s="564">
        <v>150000</v>
      </c>
      <c r="Q211" s="564">
        <v>150000</v>
      </c>
      <c r="R211" s="566" t="s">
        <v>1799</v>
      </c>
      <c r="S211" s="589" t="s">
        <v>53</v>
      </c>
      <c r="T211" s="591">
        <v>7</v>
      </c>
      <c r="U211" s="589"/>
      <c r="V211" s="564">
        <v>275180</v>
      </c>
      <c r="W211" s="564">
        <v>1926000</v>
      </c>
      <c r="X211" s="589"/>
      <c r="Y211" s="592"/>
      <c r="Z211" s="592"/>
      <c r="AA211" s="568"/>
      <c r="AB211" s="592"/>
      <c r="AC211" s="592"/>
      <c r="AD211" s="592"/>
      <c r="AE211" s="590"/>
      <c r="AF211" s="570" t="s">
        <v>2899</v>
      </c>
      <c r="AG211" s="570" t="s">
        <v>25</v>
      </c>
      <c r="AH211" s="571" t="s">
        <v>25</v>
      </c>
      <c r="AI211" s="608" t="s">
        <v>111</v>
      </c>
      <c r="AJ211" s="558" t="s">
        <v>2450</v>
      </c>
    </row>
    <row r="212" spans="1:36" s="376" customFormat="1" ht="121.5" outlineLevel="2" x14ac:dyDescent="0.3">
      <c r="A212" s="447">
        <v>24</v>
      </c>
      <c r="B212" s="558" t="s">
        <v>649</v>
      </c>
      <c r="C212" s="558"/>
      <c r="D212" s="587"/>
      <c r="E212" s="560"/>
      <c r="F212" s="558"/>
      <c r="G212" s="588"/>
      <c r="H212" s="546"/>
      <c r="I212" s="563" t="s">
        <v>25</v>
      </c>
      <c r="J212" s="563" t="s">
        <v>25</v>
      </c>
      <c r="K212" s="564" t="s">
        <v>25</v>
      </c>
      <c r="L212" s="564" t="s">
        <v>25</v>
      </c>
      <c r="M212" s="558" t="s">
        <v>732</v>
      </c>
      <c r="N212" s="558"/>
      <c r="O212" s="590">
        <v>1</v>
      </c>
      <c r="P212" s="564">
        <v>72000</v>
      </c>
      <c r="Q212" s="564">
        <v>72000</v>
      </c>
      <c r="R212" s="566" t="s">
        <v>2271</v>
      </c>
      <c r="S212" s="589" t="s">
        <v>53</v>
      </c>
      <c r="T212" s="591">
        <v>37.53</v>
      </c>
      <c r="U212" s="589"/>
      <c r="V212" s="564">
        <v>805811</v>
      </c>
      <c r="W212" s="564">
        <v>30242000</v>
      </c>
      <c r="X212" s="589"/>
      <c r="Y212" s="592"/>
      <c r="Z212" s="592"/>
      <c r="AA212" s="568"/>
      <c r="AB212" s="592"/>
      <c r="AC212" s="592"/>
      <c r="AD212" s="592"/>
      <c r="AE212" s="590"/>
      <c r="AF212" s="570" t="s">
        <v>2899</v>
      </c>
      <c r="AG212" s="570" t="s">
        <v>25</v>
      </c>
      <c r="AH212" s="571" t="s">
        <v>25</v>
      </c>
      <c r="AI212" s="558" t="s">
        <v>2042</v>
      </c>
      <c r="AJ212" s="558" t="s">
        <v>2449</v>
      </c>
    </row>
    <row r="213" spans="1:36" s="376" customFormat="1" ht="101.25" outlineLevel="2" x14ac:dyDescent="0.3">
      <c r="A213" s="447">
        <v>24</v>
      </c>
      <c r="B213" s="558"/>
      <c r="C213" s="558"/>
      <c r="D213" s="595"/>
      <c r="E213" s="577"/>
      <c r="F213" s="558"/>
      <c r="G213" s="588"/>
      <c r="H213" s="546"/>
      <c r="I213" s="563" t="s">
        <v>25</v>
      </c>
      <c r="J213" s="563" t="s">
        <v>25</v>
      </c>
      <c r="K213" s="564" t="s">
        <v>25</v>
      </c>
      <c r="L213" s="564" t="s">
        <v>25</v>
      </c>
      <c r="M213" s="558" t="s">
        <v>733</v>
      </c>
      <c r="N213" s="558"/>
      <c r="O213" s="590">
        <v>1</v>
      </c>
      <c r="P213" s="564">
        <v>150000</v>
      </c>
      <c r="Q213" s="564">
        <v>150000</v>
      </c>
      <c r="R213" s="566" t="s">
        <v>2272</v>
      </c>
      <c r="S213" s="589" t="s">
        <v>53</v>
      </c>
      <c r="T213" s="591">
        <v>49.55</v>
      </c>
      <c r="U213" s="589"/>
      <c r="V213" s="564">
        <v>1067915</v>
      </c>
      <c r="W213" s="564">
        <v>52915000</v>
      </c>
      <c r="X213" s="589"/>
      <c r="Y213" s="592"/>
      <c r="Z213" s="592"/>
      <c r="AA213" s="568"/>
      <c r="AB213" s="592"/>
      <c r="AC213" s="592"/>
      <c r="AD213" s="592"/>
      <c r="AE213" s="590"/>
      <c r="AF213" s="570" t="s">
        <v>2899</v>
      </c>
      <c r="AG213" s="570" t="s">
        <v>25</v>
      </c>
      <c r="AH213" s="571" t="s">
        <v>25</v>
      </c>
      <c r="AI213" s="558" t="s">
        <v>457</v>
      </c>
      <c r="AJ213" s="558" t="s">
        <v>2800</v>
      </c>
    </row>
    <row r="214" spans="1:36" s="376" customFormat="1" ht="60.75" outlineLevel="2" x14ac:dyDescent="0.3">
      <c r="A214" s="447">
        <v>24</v>
      </c>
      <c r="B214" s="607"/>
      <c r="C214" s="607"/>
      <c r="D214" s="587"/>
      <c r="E214" s="560"/>
      <c r="F214" s="574"/>
      <c r="G214" s="588"/>
      <c r="H214" s="546"/>
      <c r="I214" s="563" t="s">
        <v>25</v>
      </c>
      <c r="J214" s="563" t="s">
        <v>25</v>
      </c>
      <c r="K214" s="564" t="s">
        <v>25</v>
      </c>
      <c r="L214" s="564" t="s">
        <v>25</v>
      </c>
      <c r="M214" s="586" t="s">
        <v>734</v>
      </c>
      <c r="N214" s="586"/>
      <c r="O214" s="590">
        <v>1</v>
      </c>
      <c r="P214" s="564">
        <v>150000</v>
      </c>
      <c r="Q214" s="564">
        <v>150000</v>
      </c>
      <c r="R214" s="586" t="s">
        <v>2273</v>
      </c>
      <c r="S214" s="609" t="s">
        <v>53</v>
      </c>
      <c r="T214" s="591">
        <v>46.3</v>
      </c>
      <c r="U214" s="597"/>
      <c r="V214" s="564">
        <v>334749</v>
      </c>
      <c r="W214" s="564">
        <v>15499000</v>
      </c>
      <c r="X214" s="580"/>
      <c r="Y214" s="601"/>
      <c r="Z214" s="601"/>
      <c r="AA214" s="584"/>
      <c r="AB214" s="601"/>
      <c r="AC214" s="601"/>
      <c r="AD214" s="601"/>
      <c r="AE214" s="599"/>
      <c r="AF214" s="570" t="s">
        <v>2899</v>
      </c>
      <c r="AG214" s="570" t="s">
        <v>25</v>
      </c>
      <c r="AH214" s="571" t="s">
        <v>25</v>
      </c>
      <c r="AI214" s="558" t="s">
        <v>2074</v>
      </c>
      <c r="AJ214" s="593"/>
    </row>
    <row r="215" spans="1:36" s="376" customFormat="1" ht="101.25" outlineLevel="2" x14ac:dyDescent="0.3">
      <c r="A215" s="447">
        <v>24</v>
      </c>
      <c r="B215" s="572"/>
      <c r="C215" s="572"/>
      <c r="D215" s="612"/>
      <c r="E215" s="612"/>
      <c r="F215" s="558"/>
      <c r="G215" s="588"/>
      <c r="H215" s="546"/>
      <c r="I215" s="563" t="s">
        <v>25</v>
      </c>
      <c r="J215" s="563" t="s">
        <v>25</v>
      </c>
      <c r="K215" s="564" t="s">
        <v>25</v>
      </c>
      <c r="L215" s="564" t="s">
        <v>25</v>
      </c>
      <c r="M215" s="586" t="s">
        <v>409</v>
      </c>
      <c r="N215" s="586"/>
      <c r="O215" s="590">
        <v>8</v>
      </c>
      <c r="P215" s="564">
        <v>72000</v>
      </c>
      <c r="Q215" s="564">
        <v>576000</v>
      </c>
      <c r="R215" s="586" t="s">
        <v>2274</v>
      </c>
      <c r="S215" s="609" t="s">
        <v>53</v>
      </c>
      <c r="T215" s="591">
        <v>1.44</v>
      </c>
      <c r="U215" s="589"/>
      <c r="V215" s="564">
        <v>496651</v>
      </c>
      <c r="W215" s="564">
        <v>715000</v>
      </c>
      <c r="X215" s="562"/>
      <c r="Y215" s="592"/>
      <c r="Z215" s="592"/>
      <c r="AA215" s="568"/>
      <c r="AB215" s="592"/>
      <c r="AC215" s="592"/>
      <c r="AD215" s="592"/>
      <c r="AE215" s="590"/>
      <c r="AF215" s="570" t="s">
        <v>2899</v>
      </c>
      <c r="AG215" s="570" t="s">
        <v>25</v>
      </c>
      <c r="AH215" s="571" t="s">
        <v>25</v>
      </c>
      <c r="AI215" s="575"/>
      <c r="AJ215" s="593"/>
    </row>
    <row r="216" spans="1:36" s="376" customFormat="1" ht="101.25" outlineLevel="2" x14ac:dyDescent="0.3">
      <c r="A216" s="447">
        <v>24</v>
      </c>
      <c r="B216" s="572"/>
      <c r="C216" s="572"/>
      <c r="D216" s="587"/>
      <c r="E216" s="615"/>
      <c r="F216" s="586"/>
      <c r="G216" s="588"/>
      <c r="H216" s="546"/>
      <c r="I216" s="563" t="s">
        <v>25</v>
      </c>
      <c r="J216" s="563" t="s">
        <v>25</v>
      </c>
      <c r="K216" s="564" t="s">
        <v>25</v>
      </c>
      <c r="L216" s="564" t="s">
        <v>25</v>
      </c>
      <c r="M216" s="586" t="s">
        <v>719</v>
      </c>
      <c r="N216" s="586"/>
      <c r="O216" s="590">
        <v>12</v>
      </c>
      <c r="P216" s="564">
        <v>2000</v>
      </c>
      <c r="Q216" s="564">
        <v>24000</v>
      </c>
      <c r="R216" s="586"/>
      <c r="S216" s="609"/>
      <c r="T216" s="591"/>
      <c r="U216" s="589"/>
      <c r="V216" s="564" t="s">
        <v>2899</v>
      </c>
      <c r="W216" s="564" t="s">
        <v>25</v>
      </c>
      <c r="X216" s="589"/>
      <c r="Y216" s="592"/>
      <c r="Z216" s="592"/>
      <c r="AA216" s="568"/>
      <c r="AB216" s="592"/>
      <c r="AC216" s="592"/>
      <c r="AD216" s="592"/>
      <c r="AE216" s="590"/>
      <c r="AF216" s="570" t="s">
        <v>2899</v>
      </c>
      <c r="AG216" s="570" t="s">
        <v>25</v>
      </c>
      <c r="AH216" s="571" t="s">
        <v>25</v>
      </c>
      <c r="AI216" s="593"/>
      <c r="AJ216" s="593"/>
    </row>
    <row r="217" spans="1:36" s="376" customFormat="1" ht="20.25" outlineLevel="2" x14ac:dyDescent="0.3">
      <c r="A217" s="447">
        <v>24</v>
      </c>
      <c r="B217" s="572"/>
      <c r="C217" s="572"/>
      <c r="D217" s="612"/>
      <c r="E217" s="612"/>
      <c r="F217" s="558"/>
      <c r="G217" s="604"/>
      <c r="H217" s="546"/>
      <c r="I217" s="563" t="s">
        <v>25</v>
      </c>
      <c r="J217" s="563" t="s">
        <v>25</v>
      </c>
      <c r="K217" s="564" t="s">
        <v>25</v>
      </c>
      <c r="L217" s="564" t="s">
        <v>25</v>
      </c>
      <c r="M217" s="593"/>
      <c r="N217" s="593"/>
      <c r="O217" s="616"/>
      <c r="P217" s="564" t="s">
        <v>25</v>
      </c>
      <c r="Q217" s="564" t="s">
        <v>25</v>
      </c>
      <c r="R217" s="593"/>
      <c r="S217" s="593"/>
      <c r="T217" s="617"/>
      <c r="U217" s="589"/>
      <c r="V217" s="564" t="s">
        <v>2899</v>
      </c>
      <c r="W217" s="564" t="s">
        <v>25</v>
      </c>
      <c r="X217" s="589"/>
      <c r="Y217" s="589"/>
      <c r="Z217" s="589"/>
      <c r="AA217" s="562"/>
      <c r="AB217" s="589"/>
      <c r="AC217" s="589"/>
      <c r="AD217" s="589"/>
      <c r="AE217" s="629"/>
      <c r="AF217" s="570" t="s">
        <v>2899</v>
      </c>
      <c r="AG217" s="570" t="s">
        <v>25</v>
      </c>
      <c r="AH217" s="571" t="s">
        <v>25</v>
      </c>
      <c r="AI217" s="593"/>
      <c r="AJ217" s="593"/>
    </row>
    <row r="218" spans="1:36" s="376" customFormat="1" ht="20.25" outlineLevel="2" x14ac:dyDescent="0.3">
      <c r="A218" s="447">
        <v>24</v>
      </c>
      <c r="B218" s="558"/>
      <c r="C218" s="558"/>
      <c r="D218" s="587"/>
      <c r="E218" s="560"/>
      <c r="F218" s="586"/>
      <c r="G218" s="588"/>
      <c r="H218" s="546"/>
      <c r="I218" s="563" t="s">
        <v>25</v>
      </c>
      <c r="J218" s="563" t="s">
        <v>25</v>
      </c>
      <c r="K218" s="564" t="s">
        <v>25</v>
      </c>
      <c r="L218" s="564" t="s">
        <v>25</v>
      </c>
      <c r="M218" s="586"/>
      <c r="N218" s="586"/>
      <c r="O218" s="590"/>
      <c r="P218" s="564" t="s">
        <v>25</v>
      </c>
      <c r="Q218" s="564" t="s">
        <v>25</v>
      </c>
      <c r="R218" s="586"/>
      <c r="S218" s="609"/>
      <c r="T218" s="591"/>
      <c r="U218" s="589"/>
      <c r="V218" s="564" t="s">
        <v>2899</v>
      </c>
      <c r="W218" s="564" t="s">
        <v>25</v>
      </c>
      <c r="X218" s="589"/>
      <c r="Y218" s="592"/>
      <c r="Z218" s="592"/>
      <c r="AA218" s="568"/>
      <c r="AB218" s="592"/>
      <c r="AC218" s="592"/>
      <c r="AD218" s="592"/>
      <c r="AE218" s="590"/>
      <c r="AF218" s="570" t="s">
        <v>2899</v>
      </c>
      <c r="AG218" s="570" t="s">
        <v>25</v>
      </c>
      <c r="AH218" s="571" t="s">
        <v>25</v>
      </c>
      <c r="AI218" s="593"/>
      <c r="AJ218" s="593"/>
    </row>
    <row r="219" spans="1:36" s="376" customFormat="1" ht="20.25" outlineLevel="2" x14ac:dyDescent="0.3">
      <c r="A219" s="447">
        <v>24</v>
      </c>
      <c r="B219" s="574"/>
      <c r="C219" s="574"/>
      <c r="D219" s="595"/>
      <c r="E219" s="577"/>
      <c r="F219" s="558"/>
      <c r="G219" s="588"/>
      <c r="H219" s="546"/>
      <c r="I219" s="563" t="s">
        <v>25</v>
      </c>
      <c r="J219" s="563" t="s">
        <v>25</v>
      </c>
      <c r="K219" s="564" t="s">
        <v>25</v>
      </c>
      <c r="L219" s="564" t="s">
        <v>25</v>
      </c>
      <c r="M219" s="565"/>
      <c r="N219" s="565"/>
      <c r="O219" s="590"/>
      <c r="P219" s="564" t="s">
        <v>25</v>
      </c>
      <c r="Q219" s="564" t="s">
        <v>25</v>
      </c>
      <c r="R219" s="566"/>
      <c r="S219" s="589"/>
      <c r="T219" s="591"/>
      <c r="U219" s="589"/>
      <c r="V219" s="564" t="s">
        <v>2899</v>
      </c>
      <c r="W219" s="564" t="s">
        <v>25</v>
      </c>
      <c r="X219" s="589"/>
      <c r="Y219" s="592"/>
      <c r="Z219" s="592"/>
      <c r="AA219" s="568"/>
      <c r="AB219" s="592"/>
      <c r="AC219" s="592"/>
      <c r="AD219" s="592"/>
      <c r="AE219" s="590"/>
      <c r="AF219" s="570" t="s">
        <v>2899</v>
      </c>
      <c r="AG219" s="570" t="s">
        <v>25</v>
      </c>
      <c r="AH219" s="571" t="s">
        <v>25</v>
      </c>
      <c r="AI219" s="558"/>
      <c r="AJ219" s="558"/>
    </row>
    <row r="220" spans="1:36" s="376" customFormat="1" ht="40.5" outlineLevel="1" x14ac:dyDescent="0.25">
      <c r="A220" s="467">
        <v>25</v>
      </c>
      <c r="B220" s="574" t="s">
        <v>123</v>
      </c>
      <c r="C220" s="773" t="s">
        <v>2902</v>
      </c>
      <c r="D220" s="587">
        <v>86</v>
      </c>
      <c r="E220" s="560" t="s">
        <v>459</v>
      </c>
      <c r="F220" s="574"/>
      <c r="G220" s="618">
        <v>25.9</v>
      </c>
      <c r="H220" s="579">
        <v>0</v>
      </c>
      <c r="I220" s="581"/>
      <c r="J220" s="581"/>
      <c r="K220" s="571">
        <v>104472000</v>
      </c>
      <c r="L220" s="571">
        <v>0</v>
      </c>
      <c r="M220" s="578"/>
      <c r="N220" s="578"/>
      <c r="O220" s="599">
        <v>0</v>
      </c>
      <c r="P220" s="571"/>
      <c r="Q220" s="571">
        <v>0</v>
      </c>
      <c r="R220" s="578"/>
      <c r="S220" s="621"/>
      <c r="T220" s="600">
        <v>0</v>
      </c>
      <c r="U220" s="622"/>
      <c r="V220" s="571"/>
      <c r="W220" s="571">
        <v>0</v>
      </c>
      <c r="X220" s="562"/>
      <c r="Y220" s="592"/>
      <c r="Z220" s="592"/>
      <c r="AA220" s="568"/>
      <c r="AB220" s="592"/>
      <c r="AC220" s="592"/>
      <c r="AD220" s="601"/>
      <c r="AE220" s="599">
        <f>SUBTOTAL(9,AE221:AE227)</f>
        <v>0</v>
      </c>
      <c r="AF220" s="585"/>
      <c r="AG220" s="585">
        <v>0</v>
      </c>
      <c r="AH220" s="571">
        <v>104472000</v>
      </c>
      <c r="AI220" s="578"/>
      <c r="AJ220" s="578"/>
    </row>
    <row r="221" spans="1:36" s="376" customFormat="1" ht="101.25" outlineLevel="2" x14ac:dyDescent="0.3">
      <c r="A221" s="447">
        <v>25</v>
      </c>
      <c r="B221" s="558" t="s">
        <v>124</v>
      </c>
      <c r="C221" s="558"/>
      <c r="D221" s="612"/>
      <c r="E221" s="612"/>
      <c r="F221" s="558" t="s">
        <v>2033</v>
      </c>
      <c r="G221" s="588">
        <v>25.9</v>
      </c>
      <c r="H221" s="546" t="s">
        <v>2899</v>
      </c>
      <c r="I221" s="563">
        <v>4033679.9999999995</v>
      </c>
      <c r="J221" s="563">
        <v>0</v>
      </c>
      <c r="K221" s="564">
        <v>104472000</v>
      </c>
      <c r="L221" s="564">
        <v>0</v>
      </c>
      <c r="M221" s="586"/>
      <c r="N221" s="586"/>
      <c r="O221" s="590"/>
      <c r="P221" s="564" t="s">
        <v>25</v>
      </c>
      <c r="Q221" s="564" t="s">
        <v>25</v>
      </c>
      <c r="R221" s="586"/>
      <c r="S221" s="609"/>
      <c r="T221" s="591"/>
      <c r="U221" s="611"/>
      <c r="V221" s="564" t="s">
        <v>2899</v>
      </c>
      <c r="W221" s="564" t="s">
        <v>25</v>
      </c>
      <c r="X221" s="562"/>
      <c r="Y221" s="592"/>
      <c r="Z221" s="592"/>
      <c r="AA221" s="568"/>
      <c r="AB221" s="592"/>
      <c r="AC221" s="592"/>
      <c r="AD221" s="592"/>
      <c r="AE221" s="590"/>
      <c r="AF221" s="570" t="s">
        <v>2899</v>
      </c>
      <c r="AG221" s="570" t="s">
        <v>25</v>
      </c>
      <c r="AH221" s="571" t="s">
        <v>25</v>
      </c>
      <c r="AI221" s="586" t="s">
        <v>650</v>
      </c>
      <c r="AJ221" s="586"/>
    </row>
    <row r="222" spans="1:36" s="376" customFormat="1" ht="81" outlineLevel="2" x14ac:dyDescent="0.3">
      <c r="A222" s="447">
        <v>25</v>
      </c>
      <c r="B222" s="558" t="s">
        <v>649</v>
      </c>
      <c r="C222" s="558"/>
      <c r="D222" s="587"/>
      <c r="E222" s="560"/>
      <c r="F222" s="586"/>
      <c r="G222" s="588"/>
      <c r="H222" s="546"/>
      <c r="I222" s="563" t="s">
        <v>25</v>
      </c>
      <c r="J222" s="563" t="s">
        <v>25</v>
      </c>
      <c r="K222" s="564" t="s">
        <v>25</v>
      </c>
      <c r="L222" s="564" t="s">
        <v>25</v>
      </c>
      <c r="M222" s="586"/>
      <c r="N222" s="586"/>
      <c r="O222" s="590"/>
      <c r="P222" s="564" t="s">
        <v>25</v>
      </c>
      <c r="Q222" s="564" t="s">
        <v>25</v>
      </c>
      <c r="R222" s="586"/>
      <c r="S222" s="609"/>
      <c r="T222" s="591"/>
      <c r="U222" s="611"/>
      <c r="V222" s="564" t="s">
        <v>2899</v>
      </c>
      <c r="W222" s="564" t="s">
        <v>25</v>
      </c>
      <c r="X222" s="589"/>
      <c r="Y222" s="592"/>
      <c r="Z222" s="592"/>
      <c r="AA222" s="568"/>
      <c r="AB222" s="592"/>
      <c r="AC222" s="592"/>
      <c r="AD222" s="592"/>
      <c r="AE222" s="590"/>
      <c r="AF222" s="570" t="s">
        <v>2899</v>
      </c>
      <c r="AG222" s="570" t="s">
        <v>25</v>
      </c>
      <c r="AH222" s="571" t="s">
        <v>25</v>
      </c>
      <c r="AI222" s="586" t="s">
        <v>460</v>
      </c>
      <c r="AJ222" s="586"/>
    </row>
    <row r="223" spans="1:36" s="376" customFormat="1" ht="40.5" outlineLevel="2" x14ac:dyDescent="0.3">
      <c r="A223" s="447">
        <v>25</v>
      </c>
      <c r="B223" s="558" t="s">
        <v>324</v>
      </c>
      <c r="C223" s="558"/>
      <c r="D223" s="587"/>
      <c r="E223" s="615"/>
      <c r="F223" s="558"/>
      <c r="G223" s="588"/>
      <c r="H223" s="546"/>
      <c r="I223" s="563" t="s">
        <v>25</v>
      </c>
      <c r="J223" s="563" t="s">
        <v>25</v>
      </c>
      <c r="K223" s="564" t="s">
        <v>25</v>
      </c>
      <c r="L223" s="564" t="s">
        <v>25</v>
      </c>
      <c r="M223" s="586"/>
      <c r="N223" s="586"/>
      <c r="O223" s="590"/>
      <c r="P223" s="564" t="s">
        <v>25</v>
      </c>
      <c r="Q223" s="564" t="s">
        <v>25</v>
      </c>
      <c r="R223" s="586"/>
      <c r="S223" s="609"/>
      <c r="T223" s="591"/>
      <c r="U223" s="611"/>
      <c r="V223" s="564" t="s">
        <v>2899</v>
      </c>
      <c r="W223" s="564" t="s">
        <v>25</v>
      </c>
      <c r="X223" s="589"/>
      <c r="Y223" s="592"/>
      <c r="Z223" s="592"/>
      <c r="AA223" s="568"/>
      <c r="AB223" s="592"/>
      <c r="AC223" s="592"/>
      <c r="AD223" s="592"/>
      <c r="AE223" s="590"/>
      <c r="AF223" s="570" t="s">
        <v>2899</v>
      </c>
      <c r="AG223" s="570" t="s">
        <v>25</v>
      </c>
      <c r="AH223" s="571" t="s">
        <v>25</v>
      </c>
      <c r="AI223" s="558"/>
      <c r="AJ223" s="593"/>
    </row>
    <row r="224" spans="1:36" s="376" customFormat="1" ht="20.25" outlineLevel="2" x14ac:dyDescent="0.3">
      <c r="A224" s="447">
        <v>25</v>
      </c>
      <c r="B224" s="558"/>
      <c r="C224" s="558"/>
      <c r="D224" s="587"/>
      <c r="E224" s="560"/>
      <c r="F224" s="558"/>
      <c r="G224" s="604"/>
      <c r="H224" s="546"/>
      <c r="I224" s="563" t="s">
        <v>25</v>
      </c>
      <c r="J224" s="563" t="s">
        <v>25</v>
      </c>
      <c r="K224" s="564" t="s">
        <v>25</v>
      </c>
      <c r="L224" s="564" t="s">
        <v>25</v>
      </c>
      <c r="M224" s="593"/>
      <c r="N224" s="593"/>
      <c r="O224" s="616"/>
      <c r="P224" s="564" t="s">
        <v>25</v>
      </c>
      <c r="Q224" s="564" t="s">
        <v>25</v>
      </c>
      <c r="R224" s="593"/>
      <c r="S224" s="593"/>
      <c r="T224" s="617"/>
      <c r="U224" s="589"/>
      <c r="V224" s="564" t="s">
        <v>2899</v>
      </c>
      <c r="W224" s="564" t="s">
        <v>25</v>
      </c>
      <c r="X224" s="589"/>
      <c r="Y224" s="589"/>
      <c r="Z224" s="589"/>
      <c r="AA224" s="562"/>
      <c r="AB224" s="589"/>
      <c r="AC224" s="589"/>
      <c r="AD224" s="589"/>
      <c r="AE224" s="629"/>
      <c r="AF224" s="570" t="s">
        <v>2899</v>
      </c>
      <c r="AG224" s="570" t="s">
        <v>25</v>
      </c>
      <c r="AH224" s="571" t="s">
        <v>25</v>
      </c>
      <c r="AI224" s="593"/>
      <c r="AJ224" s="593"/>
    </row>
    <row r="225" spans="1:36" s="376" customFormat="1" ht="20.25" outlineLevel="2" x14ac:dyDescent="0.3">
      <c r="A225" s="447">
        <v>25</v>
      </c>
      <c r="B225" s="558"/>
      <c r="C225" s="558"/>
      <c r="D225" s="587"/>
      <c r="E225" s="560"/>
      <c r="F225" s="558"/>
      <c r="G225" s="588"/>
      <c r="H225" s="546"/>
      <c r="I225" s="563" t="s">
        <v>25</v>
      </c>
      <c r="J225" s="563" t="s">
        <v>25</v>
      </c>
      <c r="K225" s="564" t="s">
        <v>25</v>
      </c>
      <c r="L225" s="564" t="s">
        <v>25</v>
      </c>
      <c r="M225" s="586"/>
      <c r="N225" s="586"/>
      <c r="O225" s="630"/>
      <c r="P225" s="564" t="s">
        <v>25</v>
      </c>
      <c r="Q225" s="564" t="s">
        <v>25</v>
      </c>
      <c r="R225" s="586"/>
      <c r="S225" s="609"/>
      <c r="T225" s="591"/>
      <c r="U225" s="589"/>
      <c r="V225" s="564" t="s">
        <v>2899</v>
      </c>
      <c r="W225" s="564" t="s">
        <v>25</v>
      </c>
      <c r="X225" s="589"/>
      <c r="Y225" s="592"/>
      <c r="Z225" s="592"/>
      <c r="AA225" s="568"/>
      <c r="AB225" s="592"/>
      <c r="AC225" s="592"/>
      <c r="AD225" s="592"/>
      <c r="AE225" s="590"/>
      <c r="AF225" s="570" t="s">
        <v>2899</v>
      </c>
      <c r="AG225" s="570" t="s">
        <v>25</v>
      </c>
      <c r="AH225" s="571" t="s">
        <v>25</v>
      </c>
      <c r="AI225" s="558"/>
      <c r="AJ225" s="558"/>
    </row>
    <row r="226" spans="1:36" s="376" customFormat="1" ht="20.25" outlineLevel="2" x14ac:dyDescent="0.3">
      <c r="A226" s="447">
        <v>25</v>
      </c>
      <c r="B226" s="558"/>
      <c r="C226" s="558"/>
      <c r="D226" s="587"/>
      <c r="E226" s="560"/>
      <c r="F226" s="558"/>
      <c r="G226" s="588"/>
      <c r="H226" s="546"/>
      <c r="I226" s="563" t="s">
        <v>25</v>
      </c>
      <c r="J226" s="563" t="s">
        <v>25</v>
      </c>
      <c r="K226" s="564" t="s">
        <v>25</v>
      </c>
      <c r="L226" s="564" t="s">
        <v>25</v>
      </c>
      <c r="M226" s="586"/>
      <c r="N226" s="586"/>
      <c r="O226" s="630"/>
      <c r="P226" s="564" t="s">
        <v>25</v>
      </c>
      <c r="Q226" s="564" t="s">
        <v>25</v>
      </c>
      <c r="R226" s="586"/>
      <c r="S226" s="609"/>
      <c r="T226" s="591"/>
      <c r="U226" s="589"/>
      <c r="V226" s="564" t="s">
        <v>2899</v>
      </c>
      <c r="W226" s="564" t="s">
        <v>25</v>
      </c>
      <c r="X226" s="589"/>
      <c r="Y226" s="592"/>
      <c r="Z226" s="592"/>
      <c r="AA226" s="568"/>
      <c r="AB226" s="592"/>
      <c r="AC226" s="592"/>
      <c r="AD226" s="592"/>
      <c r="AE226" s="590"/>
      <c r="AF226" s="570" t="s">
        <v>2899</v>
      </c>
      <c r="AG226" s="570" t="s">
        <v>25</v>
      </c>
      <c r="AH226" s="571" t="s">
        <v>25</v>
      </c>
      <c r="AI226" s="558"/>
      <c r="AJ226" s="558"/>
    </row>
    <row r="227" spans="1:36" s="376" customFormat="1" ht="20.25" outlineLevel="2" x14ac:dyDescent="0.3">
      <c r="A227" s="447">
        <v>25</v>
      </c>
      <c r="B227" s="607"/>
      <c r="C227" s="607"/>
      <c r="D227" s="595"/>
      <c r="E227" s="577"/>
      <c r="F227" s="558"/>
      <c r="G227" s="588"/>
      <c r="H227" s="546"/>
      <c r="I227" s="563" t="s">
        <v>25</v>
      </c>
      <c r="J227" s="563" t="s">
        <v>25</v>
      </c>
      <c r="K227" s="564" t="s">
        <v>25</v>
      </c>
      <c r="L227" s="564" t="s">
        <v>25</v>
      </c>
      <c r="M227" s="558"/>
      <c r="N227" s="558"/>
      <c r="O227" s="590"/>
      <c r="P227" s="564" t="s">
        <v>25</v>
      </c>
      <c r="Q227" s="564" t="s">
        <v>25</v>
      </c>
      <c r="R227" s="566"/>
      <c r="S227" s="589"/>
      <c r="T227" s="591"/>
      <c r="U227" s="589"/>
      <c r="V227" s="564" t="s">
        <v>2899</v>
      </c>
      <c r="W227" s="564" t="s">
        <v>25</v>
      </c>
      <c r="X227" s="589"/>
      <c r="Y227" s="592"/>
      <c r="Z227" s="592"/>
      <c r="AA227" s="568"/>
      <c r="AB227" s="592"/>
      <c r="AC227" s="592"/>
      <c r="AD227" s="592"/>
      <c r="AE227" s="590"/>
      <c r="AF227" s="570" t="s">
        <v>2899</v>
      </c>
      <c r="AG227" s="570" t="s">
        <v>25</v>
      </c>
      <c r="AH227" s="571" t="s">
        <v>25</v>
      </c>
      <c r="AI227" s="558"/>
      <c r="AJ227" s="558"/>
    </row>
    <row r="228" spans="1:36" s="376" customFormat="1" ht="40.5" outlineLevel="1" x14ac:dyDescent="0.25">
      <c r="A228" s="467">
        <v>26</v>
      </c>
      <c r="B228" s="607" t="s">
        <v>30</v>
      </c>
      <c r="C228" s="773" t="s">
        <v>2902</v>
      </c>
      <c r="D228" s="587">
        <v>86</v>
      </c>
      <c r="E228" s="560">
        <v>17</v>
      </c>
      <c r="F228" s="574"/>
      <c r="G228" s="618">
        <v>153.1</v>
      </c>
      <c r="H228" s="579">
        <v>153.1</v>
      </c>
      <c r="I228" s="581"/>
      <c r="J228" s="581"/>
      <c r="K228" s="571">
        <v>84879000</v>
      </c>
      <c r="L228" s="571">
        <v>254636000</v>
      </c>
      <c r="M228" s="578"/>
      <c r="N228" s="578"/>
      <c r="O228" s="599">
        <v>21</v>
      </c>
      <c r="P228" s="571"/>
      <c r="Q228" s="571">
        <v>1460000</v>
      </c>
      <c r="R228" s="578"/>
      <c r="S228" s="621"/>
      <c r="T228" s="600">
        <v>0</v>
      </c>
      <c r="U228" s="597"/>
      <c r="V228" s="571"/>
      <c r="W228" s="571">
        <v>0</v>
      </c>
      <c r="X228" s="589"/>
      <c r="Y228" s="592"/>
      <c r="Z228" s="592"/>
      <c r="AA228" s="568"/>
      <c r="AB228" s="592"/>
      <c r="AC228" s="592"/>
      <c r="AD228" s="601"/>
      <c r="AE228" s="599">
        <f>SUBTOTAL(9,AE229:AE235)</f>
        <v>0</v>
      </c>
      <c r="AF228" s="585"/>
      <c r="AG228" s="585">
        <v>0</v>
      </c>
      <c r="AH228" s="571">
        <v>340975000</v>
      </c>
      <c r="AI228" s="574"/>
      <c r="AJ228" s="578"/>
    </row>
    <row r="229" spans="1:36" s="376" customFormat="1" ht="121.5" outlineLevel="2" x14ac:dyDescent="0.3">
      <c r="A229" s="447">
        <v>26</v>
      </c>
      <c r="B229" s="558" t="s">
        <v>127</v>
      </c>
      <c r="C229" s="558"/>
      <c r="D229" s="587"/>
      <c r="E229" s="560"/>
      <c r="F229" s="558" t="s">
        <v>2892</v>
      </c>
      <c r="G229" s="588">
        <v>153.1</v>
      </c>
      <c r="H229" s="546">
        <v>153.1</v>
      </c>
      <c r="I229" s="563">
        <v>554400</v>
      </c>
      <c r="J229" s="563">
        <v>1663200</v>
      </c>
      <c r="K229" s="564">
        <v>84879000</v>
      </c>
      <c r="L229" s="564">
        <v>254636000</v>
      </c>
      <c r="M229" s="586" t="s">
        <v>401</v>
      </c>
      <c r="N229" s="586"/>
      <c r="O229" s="590">
        <v>17</v>
      </c>
      <c r="P229" s="564">
        <v>80000</v>
      </c>
      <c r="Q229" s="564">
        <v>1360000</v>
      </c>
      <c r="R229" s="586"/>
      <c r="S229" s="609"/>
      <c r="T229" s="591"/>
      <c r="U229" s="589"/>
      <c r="V229" s="564" t="s">
        <v>2899</v>
      </c>
      <c r="W229" s="564" t="s">
        <v>25</v>
      </c>
      <c r="X229" s="589"/>
      <c r="Y229" s="592"/>
      <c r="Z229" s="592"/>
      <c r="AA229" s="568"/>
      <c r="AB229" s="592"/>
      <c r="AC229" s="592"/>
      <c r="AD229" s="592"/>
      <c r="AE229" s="590"/>
      <c r="AF229" s="570" t="s">
        <v>2899</v>
      </c>
      <c r="AG229" s="570" t="s">
        <v>25</v>
      </c>
      <c r="AH229" s="571" t="s">
        <v>25</v>
      </c>
      <c r="AI229" s="558" t="s">
        <v>1693</v>
      </c>
      <c r="AJ229" s="586" t="s">
        <v>2771</v>
      </c>
    </row>
    <row r="230" spans="1:36" s="376" customFormat="1" ht="81" outlineLevel="2" x14ac:dyDescent="0.3">
      <c r="A230" s="447">
        <v>26</v>
      </c>
      <c r="B230" s="558" t="s">
        <v>651</v>
      </c>
      <c r="C230" s="558"/>
      <c r="D230" s="587"/>
      <c r="E230" s="560"/>
      <c r="F230" s="558"/>
      <c r="G230" s="588"/>
      <c r="H230" s="546"/>
      <c r="I230" s="563" t="s">
        <v>25</v>
      </c>
      <c r="J230" s="563" t="s">
        <v>25</v>
      </c>
      <c r="K230" s="564" t="s">
        <v>25</v>
      </c>
      <c r="L230" s="564" t="s">
        <v>25</v>
      </c>
      <c r="M230" s="586" t="s">
        <v>462</v>
      </c>
      <c r="N230" s="586"/>
      <c r="O230" s="590">
        <v>4</v>
      </c>
      <c r="P230" s="564">
        <v>25000</v>
      </c>
      <c r="Q230" s="564">
        <v>100000</v>
      </c>
      <c r="R230" s="586"/>
      <c r="S230" s="609"/>
      <c r="T230" s="591"/>
      <c r="U230" s="589"/>
      <c r="V230" s="564" t="s">
        <v>2899</v>
      </c>
      <c r="W230" s="564" t="s">
        <v>25</v>
      </c>
      <c r="X230" s="589"/>
      <c r="Y230" s="592"/>
      <c r="Z230" s="592"/>
      <c r="AA230" s="568"/>
      <c r="AB230" s="592"/>
      <c r="AC230" s="592"/>
      <c r="AD230" s="592"/>
      <c r="AE230" s="590"/>
      <c r="AF230" s="570" t="s">
        <v>2899</v>
      </c>
      <c r="AG230" s="570" t="s">
        <v>25</v>
      </c>
      <c r="AH230" s="571" t="s">
        <v>25</v>
      </c>
      <c r="AI230" s="558" t="s">
        <v>463</v>
      </c>
      <c r="AJ230" s="605" t="s">
        <v>2448</v>
      </c>
    </row>
    <row r="231" spans="1:36" s="376" customFormat="1" ht="101.25" outlineLevel="2" x14ac:dyDescent="0.3">
      <c r="A231" s="447">
        <v>26</v>
      </c>
      <c r="B231" s="558" t="s">
        <v>303</v>
      </c>
      <c r="C231" s="558"/>
      <c r="D231" s="587"/>
      <c r="E231" s="560"/>
      <c r="F231" s="558"/>
      <c r="G231" s="588"/>
      <c r="H231" s="546"/>
      <c r="I231" s="563" t="s">
        <v>25</v>
      </c>
      <c r="J231" s="563" t="s">
        <v>25</v>
      </c>
      <c r="K231" s="564" t="s">
        <v>25</v>
      </c>
      <c r="L231" s="564" t="s">
        <v>25</v>
      </c>
      <c r="M231" s="586"/>
      <c r="N231" s="586"/>
      <c r="O231" s="590"/>
      <c r="P231" s="564" t="s">
        <v>25</v>
      </c>
      <c r="Q231" s="564" t="s">
        <v>25</v>
      </c>
      <c r="R231" s="586"/>
      <c r="S231" s="609"/>
      <c r="T231" s="591"/>
      <c r="U231" s="589"/>
      <c r="V231" s="564" t="s">
        <v>2899</v>
      </c>
      <c r="W231" s="564" t="s">
        <v>25</v>
      </c>
      <c r="X231" s="589"/>
      <c r="Y231" s="592"/>
      <c r="Z231" s="592"/>
      <c r="AA231" s="568"/>
      <c r="AB231" s="592"/>
      <c r="AC231" s="592"/>
      <c r="AD231" s="592"/>
      <c r="AE231" s="590"/>
      <c r="AF231" s="570" t="s">
        <v>2899</v>
      </c>
      <c r="AG231" s="570" t="s">
        <v>25</v>
      </c>
      <c r="AH231" s="571" t="s">
        <v>25</v>
      </c>
      <c r="AI231" s="574" t="s">
        <v>1679</v>
      </c>
      <c r="AJ231" s="558" t="s">
        <v>2449</v>
      </c>
    </row>
    <row r="232" spans="1:36" s="376" customFormat="1" ht="60.75" outlineLevel="2" x14ac:dyDescent="0.3">
      <c r="A232" s="447">
        <v>26</v>
      </c>
      <c r="B232" s="558"/>
      <c r="C232" s="558"/>
      <c r="D232" s="587"/>
      <c r="E232" s="615"/>
      <c r="F232" s="558"/>
      <c r="G232" s="588"/>
      <c r="H232" s="546"/>
      <c r="I232" s="563" t="s">
        <v>25</v>
      </c>
      <c r="J232" s="563" t="s">
        <v>25</v>
      </c>
      <c r="K232" s="564" t="s">
        <v>25</v>
      </c>
      <c r="L232" s="564" t="s">
        <v>25</v>
      </c>
      <c r="M232" s="558"/>
      <c r="N232" s="558"/>
      <c r="O232" s="590"/>
      <c r="P232" s="564" t="s">
        <v>25</v>
      </c>
      <c r="Q232" s="564" t="s">
        <v>25</v>
      </c>
      <c r="R232" s="566"/>
      <c r="S232" s="589"/>
      <c r="T232" s="591"/>
      <c r="U232" s="589"/>
      <c r="V232" s="564" t="s">
        <v>2899</v>
      </c>
      <c r="W232" s="564" t="s">
        <v>25</v>
      </c>
      <c r="X232" s="589"/>
      <c r="Y232" s="592"/>
      <c r="Z232" s="592"/>
      <c r="AA232" s="568"/>
      <c r="AB232" s="592"/>
      <c r="AC232" s="592"/>
      <c r="AD232" s="592"/>
      <c r="AE232" s="590"/>
      <c r="AF232" s="570" t="s">
        <v>2899</v>
      </c>
      <c r="AG232" s="570" t="s">
        <v>25</v>
      </c>
      <c r="AH232" s="571" t="s">
        <v>25</v>
      </c>
      <c r="AI232" s="558" t="s">
        <v>2074</v>
      </c>
      <c r="AJ232" s="575"/>
    </row>
    <row r="233" spans="1:36" s="376" customFormat="1" ht="20.25" outlineLevel="2" x14ac:dyDescent="0.3">
      <c r="A233" s="447">
        <v>26</v>
      </c>
      <c r="B233" s="558"/>
      <c r="C233" s="558"/>
      <c r="D233" s="587"/>
      <c r="E233" s="615"/>
      <c r="F233" s="558"/>
      <c r="G233" s="604"/>
      <c r="H233" s="546"/>
      <c r="I233" s="563" t="s">
        <v>25</v>
      </c>
      <c r="J233" s="563" t="s">
        <v>25</v>
      </c>
      <c r="K233" s="564" t="s">
        <v>25</v>
      </c>
      <c r="L233" s="564" t="s">
        <v>25</v>
      </c>
      <c r="M233" s="593"/>
      <c r="N233" s="593"/>
      <c r="O233" s="616"/>
      <c r="P233" s="564" t="s">
        <v>25</v>
      </c>
      <c r="Q233" s="564" t="s">
        <v>25</v>
      </c>
      <c r="R233" s="593"/>
      <c r="S233" s="593"/>
      <c r="T233" s="617"/>
      <c r="U233" s="589"/>
      <c r="V233" s="564" t="s">
        <v>2899</v>
      </c>
      <c r="W233" s="564" t="s">
        <v>25</v>
      </c>
      <c r="X233" s="589"/>
      <c r="Y233" s="589"/>
      <c r="Z233" s="589"/>
      <c r="AA233" s="562"/>
      <c r="AB233" s="589"/>
      <c r="AC233" s="589"/>
      <c r="AD233" s="589"/>
      <c r="AE233" s="629"/>
      <c r="AF233" s="570" t="s">
        <v>2899</v>
      </c>
      <c r="AG233" s="570" t="s">
        <v>25</v>
      </c>
      <c r="AH233" s="571" t="s">
        <v>25</v>
      </c>
      <c r="AI233" s="593"/>
      <c r="AJ233" s="593"/>
    </row>
    <row r="234" spans="1:36" s="376" customFormat="1" ht="20.25" outlineLevel="2" x14ac:dyDescent="0.3">
      <c r="A234" s="447">
        <v>26</v>
      </c>
      <c r="B234" s="558"/>
      <c r="C234" s="558"/>
      <c r="D234" s="587"/>
      <c r="E234" s="560"/>
      <c r="F234" s="558"/>
      <c r="G234" s="604"/>
      <c r="H234" s="546"/>
      <c r="I234" s="563" t="s">
        <v>25</v>
      </c>
      <c r="J234" s="563" t="s">
        <v>25</v>
      </c>
      <c r="K234" s="564" t="s">
        <v>25</v>
      </c>
      <c r="L234" s="564" t="s">
        <v>25</v>
      </c>
      <c r="M234" s="593"/>
      <c r="N234" s="593"/>
      <c r="O234" s="616"/>
      <c r="P234" s="564" t="s">
        <v>25</v>
      </c>
      <c r="Q234" s="564" t="s">
        <v>25</v>
      </c>
      <c r="R234" s="593"/>
      <c r="S234" s="593"/>
      <c r="T234" s="617"/>
      <c r="U234" s="589"/>
      <c r="V234" s="564" t="s">
        <v>2899</v>
      </c>
      <c r="W234" s="564" t="s">
        <v>25</v>
      </c>
      <c r="X234" s="589"/>
      <c r="Y234" s="589"/>
      <c r="Z234" s="589"/>
      <c r="AA234" s="562"/>
      <c r="AB234" s="589"/>
      <c r="AC234" s="589"/>
      <c r="AD234" s="589"/>
      <c r="AE234" s="629"/>
      <c r="AF234" s="570" t="s">
        <v>2899</v>
      </c>
      <c r="AG234" s="570" t="s">
        <v>25</v>
      </c>
      <c r="AH234" s="571" t="s">
        <v>25</v>
      </c>
      <c r="AI234" s="593"/>
      <c r="AJ234" s="593"/>
    </row>
    <row r="235" spans="1:36" s="376" customFormat="1" ht="20.25" outlineLevel="2" x14ac:dyDescent="0.3">
      <c r="A235" s="447">
        <v>26</v>
      </c>
      <c r="B235" s="636"/>
      <c r="C235" s="636"/>
      <c r="D235" s="595"/>
      <c r="E235" s="577"/>
      <c r="F235" s="558"/>
      <c r="G235" s="588"/>
      <c r="H235" s="546"/>
      <c r="I235" s="563" t="s">
        <v>25</v>
      </c>
      <c r="J235" s="563" t="s">
        <v>25</v>
      </c>
      <c r="K235" s="564" t="s">
        <v>25</v>
      </c>
      <c r="L235" s="564" t="s">
        <v>25</v>
      </c>
      <c r="M235" s="558"/>
      <c r="N235" s="558"/>
      <c r="O235" s="590"/>
      <c r="P235" s="564" t="s">
        <v>25</v>
      </c>
      <c r="Q235" s="564" t="s">
        <v>25</v>
      </c>
      <c r="R235" s="566"/>
      <c r="S235" s="589"/>
      <c r="T235" s="591"/>
      <c r="U235" s="589"/>
      <c r="V235" s="564" t="s">
        <v>2899</v>
      </c>
      <c r="W235" s="564" t="s">
        <v>25</v>
      </c>
      <c r="X235" s="589"/>
      <c r="Y235" s="592"/>
      <c r="Z235" s="592"/>
      <c r="AA235" s="568"/>
      <c r="AB235" s="592"/>
      <c r="AC235" s="592"/>
      <c r="AD235" s="592"/>
      <c r="AE235" s="590"/>
      <c r="AF235" s="570" t="s">
        <v>2899</v>
      </c>
      <c r="AG235" s="570" t="s">
        <v>25</v>
      </c>
      <c r="AH235" s="571" t="s">
        <v>25</v>
      </c>
      <c r="AI235" s="558"/>
      <c r="AJ235" s="558"/>
    </row>
    <row r="236" spans="1:36" s="376" customFormat="1" ht="40.5" outlineLevel="1" x14ac:dyDescent="0.25">
      <c r="A236" s="467">
        <v>27</v>
      </c>
      <c r="B236" s="636" t="s">
        <v>31</v>
      </c>
      <c r="C236" s="773" t="s">
        <v>2902</v>
      </c>
      <c r="D236" s="587">
        <v>86</v>
      </c>
      <c r="E236" s="560">
        <v>34</v>
      </c>
      <c r="F236" s="574"/>
      <c r="G236" s="618">
        <v>156</v>
      </c>
      <c r="H236" s="579">
        <v>27</v>
      </c>
      <c r="I236" s="581"/>
      <c r="J236" s="581"/>
      <c r="K236" s="571">
        <v>86487000</v>
      </c>
      <c r="L236" s="571">
        <v>44906000</v>
      </c>
      <c r="M236" s="574"/>
      <c r="N236" s="574"/>
      <c r="O236" s="599">
        <v>13</v>
      </c>
      <c r="P236" s="571"/>
      <c r="Q236" s="571">
        <v>4145000</v>
      </c>
      <c r="R236" s="582"/>
      <c r="S236" s="597"/>
      <c r="T236" s="600">
        <v>358.03999999999996</v>
      </c>
      <c r="U236" s="597"/>
      <c r="V236" s="571"/>
      <c r="W236" s="571">
        <v>359582000</v>
      </c>
      <c r="X236" s="589"/>
      <c r="Y236" s="592"/>
      <c r="Z236" s="592"/>
      <c r="AA236" s="568"/>
      <c r="AB236" s="592"/>
      <c r="AC236" s="568"/>
      <c r="AD236" s="602"/>
      <c r="AE236" s="581">
        <f>SUBTOTAL(9,AE237:AE261)</f>
        <v>1</v>
      </c>
      <c r="AF236" s="585"/>
      <c r="AG236" s="585">
        <v>13000000</v>
      </c>
      <c r="AH236" s="571">
        <v>508120000</v>
      </c>
      <c r="AI236" s="574"/>
      <c r="AJ236" s="578"/>
    </row>
    <row r="237" spans="1:36" s="376" customFormat="1" ht="121.5" outlineLevel="2" x14ac:dyDescent="0.3">
      <c r="A237" s="447">
        <v>27</v>
      </c>
      <c r="B237" s="637" t="s">
        <v>130</v>
      </c>
      <c r="C237" s="637"/>
      <c r="D237" s="587">
        <v>86</v>
      </c>
      <c r="E237" s="560" t="s">
        <v>2069</v>
      </c>
      <c r="F237" s="558" t="s">
        <v>2062</v>
      </c>
      <c r="G237" s="588">
        <v>49.099999999999994</v>
      </c>
      <c r="H237" s="546" t="s">
        <v>2899</v>
      </c>
      <c r="I237" s="563">
        <v>554400</v>
      </c>
      <c r="J237" s="563">
        <v>0</v>
      </c>
      <c r="K237" s="564">
        <v>27221000</v>
      </c>
      <c r="L237" s="564">
        <v>0</v>
      </c>
      <c r="M237" s="558" t="s">
        <v>176</v>
      </c>
      <c r="N237" s="558"/>
      <c r="O237" s="590">
        <v>1</v>
      </c>
      <c r="P237" s="564">
        <v>390000</v>
      </c>
      <c r="Q237" s="564">
        <v>390000</v>
      </c>
      <c r="R237" s="566" t="s">
        <v>1840</v>
      </c>
      <c r="S237" s="589" t="s">
        <v>53</v>
      </c>
      <c r="T237" s="591">
        <v>37.4</v>
      </c>
      <c r="U237" s="589"/>
      <c r="V237" s="564">
        <v>1676884</v>
      </c>
      <c r="W237" s="564">
        <v>62715000</v>
      </c>
      <c r="X237" s="589"/>
      <c r="Y237" s="592" t="s">
        <v>55</v>
      </c>
      <c r="Z237" s="592" t="s">
        <v>56</v>
      </c>
      <c r="AA237" s="568" t="s">
        <v>137</v>
      </c>
      <c r="AB237" s="592" t="s">
        <v>66</v>
      </c>
      <c r="AC237" s="568" t="s">
        <v>138</v>
      </c>
      <c r="AD237" s="569"/>
      <c r="AE237" s="563"/>
      <c r="AF237" s="570"/>
      <c r="AG237" s="570"/>
      <c r="AH237" s="571" t="s">
        <v>25</v>
      </c>
      <c r="AI237" s="558" t="s">
        <v>652</v>
      </c>
      <c r="AJ237" s="586" t="s">
        <v>2771</v>
      </c>
    </row>
    <row r="238" spans="1:36" s="376" customFormat="1" ht="101.25" outlineLevel="2" x14ac:dyDescent="0.3">
      <c r="A238" s="447">
        <v>27</v>
      </c>
      <c r="B238" s="628" t="s">
        <v>653</v>
      </c>
      <c r="C238" s="628"/>
      <c r="D238" s="587">
        <v>86</v>
      </c>
      <c r="E238" s="560">
        <v>34</v>
      </c>
      <c r="F238" s="558" t="s">
        <v>2063</v>
      </c>
      <c r="G238" s="588">
        <v>79.900000000000006</v>
      </c>
      <c r="H238" s="546" t="s">
        <v>2899</v>
      </c>
      <c r="I238" s="563">
        <v>554400</v>
      </c>
      <c r="J238" s="563">
        <v>0</v>
      </c>
      <c r="K238" s="564">
        <v>44297000</v>
      </c>
      <c r="L238" s="564">
        <v>0</v>
      </c>
      <c r="M238" s="558" t="s">
        <v>131</v>
      </c>
      <c r="N238" s="558"/>
      <c r="O238" s="590">
        <v>1</v>
      </c>
      <c r="P238" s="564">
        <v>228000</v>
      </c>
      <c r="Q238" s="564">
        <v>228000</v>
      </c>
      <c r="R238" s="566" t="s">
        <v>1841</v>
      </c>
      <c r="S238" s="589" t="s">
        <v>53</v>
      </c>
      <c r="T238" s="591">
        <v>4.5</v>
      </c>
      <c r="U238" s="589"/>
      <c r="V238" s="564">
        <v>2354806</v>
      </c>
      <c r="W238" s="564">
        <v>10597000</v>
      </c>
      <c r="X238" s="589"/>
      <c r="Y238" s="592" t="s">
        <v>55</v>
      </c>
      <c r="Z238" s="592" t="s">
        <v>56</v>
      </c>
      <c r="AA238" s="568" t="s">
        <v>57</v>
      </c>
      <c r="AB238" s="592" t="s">
        <v>139</v>
      </c>
      <c r="AC238" s="592"/>
      <c r="AD238" s="569" t="s">
        <v>2789</v>
      </c>
      <c r="AE238" s="590">
        <v>1</v>
      </c>
      <c r="AF238" s="570">
        <v>13000000</v>
      </c>
      <c r="AG238" s="570">
        <v>13000000</v>
      </c>
      <c r="AH238" s="571" t="s">
        <v>25</v>
      </c>
      <c r="AI238" s="558" t="s">
        <v>465</v>
      </c>
      <c r="AJ238" s="605" t="s">
        <v>2448</v>
      </c>
    </row>
    <row r="239" spans="1:36" s="376" customFormat="1" ht="121.5" outlineLevel="2" x14ac:dyDescent="0.3">
      <c r="A239" s="447">
        <v>27</v>
      </c>
      <c r="B239" s="637" t="s">
        <v>298</v>
      </c>
      <c r="C239" s="637"/>
      <c r="D239" s="587"/>
      <c r="E239" s="560"/>
      <c r="F239" s="558" t="s">
        <v>2068</v>
      </c>
      <c r="G239" s="588">
        <v>27</v>
      </c>
      <c r="H239" s="546">
        <v>27</v>
      </c>
      <c r="I239" s="563">
        <v>554400</v>
      </c>
      <c r="J239" s="563">
        <v>1663200</v>
      </c>
      <c r="K239" s="564">
        <v>14969000</v>
      </c>
      <c r="L239" s="564">
        <v>44906000</v>
      </c>
      <c r="M239" s="558" t="s">
        <v>132</v>
      </c>
      <c r="N239" s="558"/>
      <c r="O239" s="590">
        <v>1</v>
      </c>
      <c r="P239" s="564">
        <v>473000</v>
      </c>
      <c r="Q239" s="564">
        <v>473000</v>
      </c>
      <c r="R239" s="566" t="s">
        <v>1767</v>
      </c>
      <c r="S239" s="589" t="s">
        <v>53</v>
      </c>
      <c r="T239" s="591">
        <v>15.6</v>
      </c>
      <c r="U239" s="589"/>
      <c r="V239" s="564">
        <v>0</v>
      </c>
      <c r="W239" s="564">
        <v>0</v>
      </c>
      <c r="X239" s="589"/>
      <c r="Y239" s="592"/>
      <c r="Z239" s="592"/>
      <c r="AA239" s="568"/>
      <c r="AB239" s="592"/>
      <c r="AC239" s="592"/>
      <c r="AD239" s="606"/>
      <c r="AE239" s="590"/>
      <c r="AF239" s="570" t="s">
        <v>2899</v>
      </c>
      <c r="AG239" s="570" t="s">
        <v>25</v>
      </c>
      <c r="AH239" s="571" t="s">
        <v>25</v>
      </c>
      <c r="AI239" s="558" t="s">
        <v>466</v>
      </c>
      <c r="AJ239" s="558" t="s">
        <v>2450</v>
      </c>
    </row>
    <row r="240" spans="1:36" s="376" customFormat="1" ht="101.25" outlineLevel="2" x14ac:dyDescent="0.3">
      <c r="A240" s="447">
        <v>27</v>
      </c>
      <c r="B240" s="637"/>
      <c r="C240" s="637"/>
      <c r="D240" s="587"/>
      <c r="E240" s="560"/>
      <c r="F240" s="558"/>
      <c r="G240" s="588"/>
      <c r="H240" s="546"/>
      <c r="I240" s="563" t="s">
        <v>25</v>
      </c>
      <c r="J240" s="563" t="s">
        <v>25</v>
      </c>
      <c r="K240" s="564" t="s">
        <v>25</v>
      </c>
      <c r="L240" s="564" t="s">
        <v>25</v>
      </c>
      <c r="M240" s="558" t="s">
        <v>61</v>
      </c>
      <c r="N240" s="558"/>
      <c r="O240" s="590">
        <v>1</v>
      </c>
      <c r="P240" s="564">
        <v>1708000</v>
      </c>
      <c r="Q240" s="564">
        <v>1708000</v>
      </c>
      <c r="R240" s="638" t="s">
        <v>1842</v>
      </c>
      <c r="S240" s="639" t="s">
        <v>53</v>
      </c>
      <c r="T240" s="591">
        <v>22.6</v>
      </c>
      <c r="U240" s="589"/>
      <c r="V240" s="564">
        <v>0</v>
      </c>
      <c r="W240" s="564">
        <v>0</v>
      </c>
      <c r="X240" s="589"/>
      <c r="Y240" s="592"/>
      <c r="Z240" s="592"/>
      <c r="AA240" s="568"/>
      <c r="AB240" s="592"/>
      <c r="AC240" s="592"/>
      <c r="AD240" s="592"/>
      <c r="AE240" s="590"/>
      <c r="AF240" s="570" t="s">
        <v>2899</v>
      </c>
      <c r="AG240" s="570" t="s">
        <v>25</v>
      </c>
      <c r="AH240" s="571" t="s">
        <v>25</v>
      </c>
      <c r="AI240" s="593" t="s">
        <v>296</v>
      </c>
      <c r="AJ240" s="558" t="s">
        <v>2449</v>
      </c>
    </row>
    <row r="241" spans="1:36" s="376" customFormat="1" ht="101.25" outlineLevel="2" x14ac:dyDescent="0.3">
      <c r="A241" s="447">
        <v>27</v>
      </c>
      <c r="B241" s="637"/>
      <c r="C241" s="637"/>
      <c r="D241" s="587"/>
      <c r="E241" s="560"/>
      <c r="F241" s="558"/>
      <c r="G241" s="588"/>
      <c r="H241" s="546"/>
      <c r="I241" s="563" t="s">
        <v>25</v>
      </c>
      <c r="J241" s="563" t="s">
        <v>25</v>
      </c>
      <c r="K241" s="564" t="s">
        <v>25</v>
      </c>
      <c r="L241" s="564" t="s">
        <v>25</v>
      </c>
      <c r="M241" s="558" t="s">
        <v>133</v>
      </c>
      <c r="N241" s="558"/>
      <c r="O241" s="590">
        <v>1</v>
      </c>
      <c r="P241" s="564">
        <v>758000</v>
      </c>
      <c r="Q241" s="564">
        <v>758000</v>
      </c>
      <c r="R241" s="566" t="s">
        <v>1763</v>
      </c>
      <c r="S241" s="589" t="s">
        <v>53</v>
      </c>
      <c r="T241" s="591">
        <v>50.4</v>
      </c>
      <c r="U241" s="589"/>
      <c r="V241" s="564">
        <v>3550600</v>
      </c>
      <c r="W241" s="564">
        <v>178950000</v>
      </c>
      <c r="X241" s="589" t="s">
        <v>63</v>
      </c>
      <c r="Y241" s="592" t="s">
        <v>55</v>
      </c>
      <c r="Z241" s="592" t="s">
        <v>56</v>
      </c>
      <c r="AA241" s="568" t="s">
        <v>57</v>
      </c>
      <c r="AB241" s="592" t="s">
        <v>54</v>
      </c>
      <c r="AC241" s="568" t="s">
        <v>430</v>
      </c>
      <c r="AD241" s="568"/>
      <c r="AE241" s="563"/>
      <c r="AF241" s="570" t="s">
        <v>2899</v>
      </c>
      <c r="AG241" s="570" t="s">
        <v>25</v>
      </c>
      <c r="AH241" s="571" t="s">
        <v>25</v>
      </c>
      <c r="AI241" s="558" t="s">
        <v>2041</v>
      </c>
      <c r="AJ241" s="558" t="s">
        <v>2451</v>
      </c>
    </row>
    <row r="242" spans="1:36" s="376" customFormat="1" ht="101.25" outlineLevel="2" x14ac:dyDescent="0.3">
      <c r="A242" s="447">
        <v>27</v>
      </c>
      <c r="B242" s="558"/>
      <c r="C242" s="558"/>
      <c r="D242" s="587"/>
      <c r="E242" s="560"/>
      <c r="F242" s="558"/>
      <c r="G242" s="588"/>
      <c r="H242" s="546"/>
      <c r="I242" s="563" t="s">
        <v>25</v>
      </c>
      <c r="J242" s="563" t="s">
        <v>25</v>
      </c>
      <c r="K242" s="564" t="s">
        <v>25</v>
      </c>
      <c r="L242" s="564" t="s">
        <v>25</v>
      </c>
      <c r="M242" s="558" t="s">
        <v>134</v>
      </c>
      <c r="N242" s="558"/>
      <c r="O242" s="590">
        <v>1</v>
      </c>
      <c r="P242" s="564">
        <v>203000</v>
      </c>
      <c r="Q242" s="564">
        <v>203000</v>
      </c>
      <c r="R242" s="566" t="s">
        <v>1840</v>
      </c>
      <c r="S242" s="589" t="s">
        <v>53</v>
      </c>
      <c r="T242" s="591">
        <v>15.54</v>
      </c>
      <c r="U242" s="589"/>
      <c r="V242" s="564">
        <v>1676884</v>
      </c>
      <c r="W242" s="564">
        <v>26059000</v>
      </c>
      <c r="X242" s="589"/>
      <c r="Y242" s="592" t="s">
        <v>55</v>
      </c>
      <c r="Z242" s="592" t="s">
        <v>56</v>
      </c>
      <c r="AA242" s="568" t="s">
        <v>137</v>
      </c>
      <c r="AB242" s="592" t="s">
        <v>66</v>
      </c>
      <c r="AC242" s="568" t="s">
        <v>430</v>
      </c>
      <c r="AD242" s="568"/>
      <c r="AE242" s="563"/>
      <c r="AF242" s="570" t="s">
        <v>2899</v>
      </c>
      <c r="AG242" s="570" t="s">
        <v>25</v>
      </c>
      <c r="AH242" s="571" t="s">
        <v>25</v>
      </c>
      <c r="AI242" s="558" t="s">
        <v>2074</v>
      </c>
      <c r="AJ242" s="558" t="s">
        <v>2800</v>
      </c>
    </row>
    <row r="243" spans="1:36" s="376" customFormat="1" ht="81" outlineLevel="2" x14ac:dyDescent="0.3">
      <c r="A243" s="447">
        <v>27</v>
      </c>
      <c r="B243" s="636"/>
      <c r="C243" s="636"/>
      <c r="D243" s="587"/>
      <c r="E243" s="560"/>
      <c r="F243" s="558"/>
      <c r="G243" s="588"/>
      <c r="H243" s="546"/>
      <c r="I243" s="563" t="s">
        <v>25</v>
      </c>
      <c r="J243" s="563" t="s">
        <v>25</v>
      </c>
      <c r="K243" s="564" t="s">
        <v>25</v>
      </c>
      <c r="L243" s="564" t="s">
        <v>25</v>
      </c>
      <c r="M243" s="558" t="s">
        <v>76</v>
      </c>
      <c r="N243" s="558"/>
      <c r="O243" s="590">
        <v>1</v>
      </c>
      <c r="P243" s="564">
        <v>45000</v>
      </c>
      <c r="Q243" s="564">
        <v>45000</v>
      </c>
      <c r="R243" s="566" t="s">
        <v>1843</v>
      </c>
      <c r="S243" s="589" t="s">
        <v>53</v>
      </c>
      <c r="T243" s="591">
        <v>3.2</v>
      </c>
      <c r="U243" s="589"/>
      <c r="V243" s="564">
        <v>9599897</v>
      </c>
      <c r="W243" s="564">
        <v>30720000</v>
      </c>
      <c r="X243" s="589"/>
      <c r="Y243" s="592" t="s">
        <v>55</v>
      </c>
      <c r="Z243" s="592" t="s">
        <v>56</v>
      </c>
      <c r="AA243" s="568" t="s">
        <v>57</v>
      </c>
      <c r="AB243" s="592" t="s">
        <v>54</v>
      </c>
      <c r="AC243" s="568"/>
      <c r="AD243" s="568"/>
      <c r="AE243" s="563"/>
      <c r="AF243" s="570" t="s">
        <v>2899</v>
      </c>
      <c r="AG243" s="570" t="s">
        <v>25</v>
      </c>
      <c r="AH243" s="571" t="s">
        <v>25</v>
      </c>
      <c r="AI243" s="575"/>
      <c r="AJ243" s="593"/>
    </row>
    <row r="244" spans="1:36" s="376" customFormat="1" ht="60.75" outlineLevel="2" x14ac:dyDescent="0.3">
      <c r="A244" s="447">
        <v>27</v>
      </c>
      <c r="B244" s="637"/>
      <c r="C244" s="637"/>
      <c r="D244" s="587"/>
      <c r="E244" s="560"/>
      <c r="F244" s="558"/>
      <c r="G244" s="588"/>
      <c r="H244" s="546"/>
      <c r="I244" s="563" t="s">
        <v>25</v>
      </c>
      <c r="J244" s="563" t="s">
        <v>25</v>
      </c>
      <c r="K244" s="564" t="s">
        <v>25</v>
      </c>
      <c r="L244" s="564" t="s">
        <v>25</v>
      </c>
      <c r="M244" s="638" t="s">
        <v>135</v>
      </c>
      <c r="N244" s="638"/>
      <c r="O244" s="590">
        <v>1</v>
      </c>
      <c r="P244" s="564">
        <v>228000</v>
      </c>
      <c r="Q244" s="564">
        <v>228000</v>
      </c>
      <c r="R244" s="640" t="s">
        <v>1844</v>
      </c>
      <c r="S244" s="639" t="s">
        <v>53</v>
      </c>
      <c r="T244" s="591">
        <v>9.24</v>
      </c>
      <c r="U244" s="589"/>
      <c r="V244" s="564">
        <v>770070</v>
      </c>
      <c r="W244" s="564">
        <v>7115000</v>
      </c>
      <c r="X244" s="589"/>
      <c r="Y244" s="592" t="s">
        <v>55</v>
      </c>
      <c r="Z244" s="592" t="s">
        <v>140</v>
      </c>
      <c r="AA244" s="568"/>
      <c r="AB244" s="592" t="s">
        <v>66</v>
      </c>
      <c r="AC244" s="568" t="s">
        <v>138</v>
      </c>
      <c r="AD244" s="568"/>
      <c r="AE244" s="563"/>
      <c r="AF244" s="570" t="s">
        <v>2899</v>
      </c>
      <c r="AG244" s="570" t="s">
        <v>25</v>
      </c>
      <c r="AH244" s="571" t="s">
        <v>25</v>
      </c>
      <c r="AI244" s="593"/>
      <c r="AJ244" s="593"/>
    </row>
    <row r="245" spans="1:36" s="376" customFormat="1" ht="40.5" outlineLevel="2" x14ac:dyDescent="0.3">
      <c r="A245" s="447">
        <v>27</v>
      </c>
      <c r="B245" s="637"/>
      <c r="C245" s="637"/>
      <c r="D245" s="587"/>
      <c r="E245" s="560"/>
      <c r="F245" s="558"/>
      <c r="G245" s="588"/>
      <c r="H245" s="546"/>
      <c r="I245" s="563" t="s">
        <v>25</v>
      </c>
      <c r="J245" s="563" t="s">
        <v>25</v>
      </c>
      <c r="K245" s="564" t="s">
        <v>25</v>
      </c>
      <c r="L245" s="564" t="s">
        <v>25</v>
      </c>
      <c r="M245" s="558" t="s">
        <v>409</v>
      </c>
      <c r="N245" s="558"/>
      <c r="O245" s="590">
        <v>1</v>
      </c>
      <c r="P245" s="564">
        <v>72000</v>
      </c>
      <c r="Q245" s="564">
        <v>72000</v>
      </c>
      <c r="R245" s="566" t="s">
        <v>1844</v>
      </c>
      <c r="S245" s="589" t="s">
        <v>53</v>
      </c>
      <c r="T245" s="591">
        <v>3.52</v>
      </c>
      <c r="U245" s="589"/>
      <c r="V245" s="564">
        <v>770070</v>
      </c>
      <c r="W245" s="564">
        <v>2711000</v>
      </c>
      <c r="X245" s="589"/>
      <c r="Y245" s="592" t="s">
        <v>55</v>
      </c>
      <c r="Z245" s="592" t="s">
        <v>141</v>
      </c>
      <c r="AA245" s="568"/>
      <c r="AB245" s="592" t="s">
        <v>66</v>
      </c>
      <c r="AC245" s="592"/>
      <c r="AD245" s="592"/>
      <c r="AE245" s="590"/>
      <c r="AF245" s="570" t="s">
        <v>2899</v>
      </c>
      <c r="AG245" s="570" t="s">
        <v>25</v>
      </c>
      <c r="AH245" s="571" t="s">
        <v>25</v>
      </c>
      <c r="AI245" s="593"/>
      <c r="AJ245" s="593"/>
    </row>
    <row r="246" spans="1:36" s="376" customFormat="1" ht="60.75" outlineLevel="2" x14ac:dyDescent="0.3">
      <c r="A246" s="447">
        <v>27</v>
      </c>
      <c r="B246" s="558"/>
      <c r="C246" s="558"/>
      <c r="D246" s="612"/>
      <c r="E246" s="612"/>
      <c r="F246" s="558"/>
      <c r="G246" s="588"/>
      <c r="H246" s="546"/>
      <c r="I246" s="563" t="s">
        <v>25</v>
      </c>
      <c r="J246" s="563" t="s">
        <v>25</v>
      </c>
      <c r="K246" s="564" t="s">
        <v>25</v>
      </c>
      <c r="L246" s="564" t="s">
        <v>25</v>
      </c>
      <c r="M246" s="558" t="s">
        <v>468</v>
      </c>
      <c r="N246" s="558"/>
      <c r="O246" s="590">
        <v>4</v>
      </c>
      <c r="P246" s="564">
        <v>10000</v>
      </c>
      <c r="Q246" s="564">
        <v>40000</v>
      </c>
      <c r="R246" s="566" t="s">
        <v>1844</v>
      </c>
      <c r="S246" s="589" t="s">
        <v>53</v>
      </c>
      <c r="T246" s="591">
        <v>5.2</v>
      </c>
      <c r="U246" s="589"/>
      <c r="V246" s="564">
        <v>770070</v>
      </c>
      <c r="W246" s="564">
        <v>4004000</v>
      </c>
      <c r="X246" s="589"/>
      <c r="Y246" s="592" t="s">
        <v>55</v>
      </c>
      <c r="Z246" s="592" t="s">
        <v>141</v>
      </c>
      <c r="AA246" s="568"/>
      <c r="AB246" s="592" t="s">
        <v>66</v>
      </c>
      <c r="AC246" s="592"/>
      <c r="AD246" s="592"/>
      <c r="AE246" s="590"/>
      <c r="AF246" s="570" t="s">
        <v>2899</v>
      </c>
      <c r="AG246" s="570" t="s">
        <v>25</v>
      </c>
      <c r="AH246" s="571" t="s">
        <v>25</v>
      </c>
      <c r="AI246" s="593"/>
      <c r="AJ246" s="593"/>
    </row>
    <row r="247" spans="1:36" s="376" customFormat="1" ht="40.5" outlineLevel="2" x14ac:dyDescent="0.3">
      <c r="A247" s="447">
        <v>27</v>
      </c>
      <c r="B247" s="558"/>
      <c r="C247" s="558"/>
      <c r="D247" s="587"/>
      <c r="E247" s="560"/>
      <c r="F247" s="586"/>
      <c r="G247" s="588"/>
      <c r="H247" s="546"/>
      <c r="I247" s="563" t="s">
        <v>25</v>
      </c>
      <c r="J247" s="563" t="s">
        <v>25</v>
      </c>
      <c r="K247" s="564" t="s">
        <v>25</v>
      </c>
      <c r="L247" s="564" t="s">
        <v>25</v>
      </c>
      <c r="M247" s="586"/>
      <c r="N247" s="586"/>
      <c r="O247" s="630"/>
      <c r="P247" s="564" t="s">
        <v>25</v>
      </c>
      <c r="Q247" s="564" t="s">
        <v>25</v>
      </c>
      <c r="R247" s="586" t="s">
        <v>1845</v>
      </c>
      <c r="S247" s="609" t="s">
        <v>53</v>
      </c>
      <c r="T247" s="591">
        <v>9.2799999999999994</v>
      </c>
      <c r="U247" s="611"/>
      <c r="V247" s="564">
        <v>1175490</v>
      </c>
      <c r="W247" s="564">
        <v>10909000</v>
      </c>
      <c r="X247" s="589"/>
      <c r="Y247" s="592" t="s">
        <v>55</v>
      </c>
      <c r="Z247" s="592" t="s">
        <v>141</v>
      </c>
      <c r="AA247" s="568" t="s">
        <v>142</v>
      </c>
      <c r="AB247" s="592" t="s">
        <v>143</v>
      </c>
      <c r="AC247" s="592"/>
      <c r="AD247" s="592"/>
      <c r="AE247" s="590"/>
      <c r="AF247" s="570" t="s">
        <v>2899</v>
      </c>
      <c r="AG247" s="570" t="s">
        <v>25</v>
      </c>
      <c r="AH247" s="571" t="s">
        <v>25</v>
      </c>
      <c r="AI247" s="593"/>
      <c r="AJ247" s="593"/>
    </row>
    <row r="248" spans="1:36" s="376" customFormat="1" ht="60.75" outlineLevel="2" x14ac:dyDescent="0.3">
      <c r="A248" s="447">
        <v>27</v>
      </c>
      <c r="B248" s="574"/>
      <c r="C248" s="574"/>
      <c r="D248" s="587"/>
      <c r="E248" s="560"/>
      <c r="F248" s="558"/>
      <c r="G248" s="588"/>
      <c r="H248" s="546"/>
      <c r="I248" s="563" t="s">
        <v>25</v>
      </c>
      <c r="J248" s="563" t="s">
        <v>25</v>
      </c>
      <c r="K248" s="564" t="s">
        <v>25</v>
      </c>
      <c r="L248" s="564" t="s">
        <v>25</v>
      </c>
      <c r="M248" s="586"/>
      <c r="N248" s="586"/>
      <c r="O248" s="630"/>
      <c r="P248" s="564" t="s">
        <v>25</v>
      </c>
      <c r="Q248" s="564" t="s">
        <v>25</v>
      </c>
      <c r="R248" s="586" t="s">
        <v>1846</v>
      </c>
      <c r="S248" s="609" t="s">
        <v>53</v>
      </c>
      <c r="T248" s="591">
        <v>7.34</v>
      </c>
      <c r="U248" s="611"/>
      <c r="V248" s="564">
        <v>238288</v>
      </c>
      <c r="W248" s="564">
        <v>1749000</v>
      </c>
      <c r="X248" s="589"/>
      <c r="Y248" s="592"/>
      <c r="Z248" s="592"/>
      <c r="AA248" s="568"/>
      <c r="AB248" s="592"/>
      <c r="AC248" s="592"/>
      <c r="AD248" s="592"/>
      <c r="AE248" s="590"/>
      <c r="AF248" s="570" t="s">
        <v>2899</v>
      </c>
      <c r="AG248" s="570" t="s">
        <v>25</v>
      </c>
      <c r="AH248" s="571" t="s">
        <v>25</v>
      </c>
      <c r="AI248" s="593"/>
      <c r="AJ248" s="593"/>
    </row>
    <row r="249" spans="1:36" s="376" customFormat="1" ht="60.75" outlineLevel="2" x14ac:dyDescent="0.3">
      <c r="A249" s="447">
        <v>27</v>
      </c>
      <c r="B249" s="558"/>
      <c r="C249" s="558"/>
      <c r="D249" s="587"/>
      <c r="E249" s="560"/>
      <c r="F249" s="558"/>
      <c r="G249" s="588"/>
      <c r="H249" s="546"/>
      <c r="I249" s="563" t="s">
        <v>25</v>
      </c>
      <c r="J249" s="563" t="s">
        <v>25</v>
      </c>
      <c r="K249" s="564" t="s">
        <v>25</v>
      </c>
      <c r="L249" s="564" t="s">
        <v>25</v>
      </c>
      <c r="M249" s="586"/>
      <c r="N249" s="586"/>
      <c r="O249" s="630"/>
      <c r="P249" s="564" t="s">
        <v>25</v>
      </c>
      <c r="Q249" s="564" t="s">
        <v>25</v>
      </c>
      <c r="R249" s="586" t="s">
        <v>1847</v>
      </c>
      <c r="S249" s="609" t="s">
        <v>53</v>
      </c>
      <c r="T249" s="591">
        <v>1.2</v>
      </c>
      <c r="U249" s="611"/>
      <c r="V249" s="564">
        <v>1854271</v>
      </c>
      <c r="W249" s="564">
        <v>2225000</v>
      </c>
      <c r="X249" s="589"/>
      <c r="Y249" s="592"/>
      <c r="Z249" s="592"/>
      <c r="AA249" s="568"/>
      <c r="AB249" s="592"/>
      <c r="AC249" s="592"/>
      <c r="AD249" s="592"/>
      <c r="AE249" s="590"/>
      <c r="AF249" s="570" t="s">
        <v>2899</v>
      </c>
      <c r="AG249" s="570" t="s">
        <v>25</v>
      </c>
      <c r="AH249" s="571" t="s">
        <v>25</v>
      </c>
      <c r="AI249" s="593"/>
      <c r="AJ249" s="593"/>
    </row>
    <row r="250" spans="1:36" s="376" customFormat="1" ht="40.5" outlineLevel="2" x14ac:dyDescent="0.3">
      <c r="A250" s="447">
        <v>27</v>
      </c>
      <c r="B250" s="558"/>
      <c r="C250" s="558"/>
      <c r="D250" s="587"/>
      <c r="E250" s="560"/>
      <c r="F250" s="558"/>
      <c r="G250" s="588"/>
      <c r="H250" s="546"/>
      <c r="I250" s="563" t="s">
        <v>25</v>
      </c>
      <c r="J250" s="563" t="s">
        <v>25</v>
      </c>
      <c r="K250" s="564" t="s">
        <v>25</v>
      </c>
      <c r="L250" s="564" t="s">
        <v>25</v>
      </c>
      <c r="M250" s="586"/>
      <c r="N250" s="586"/>
      <c r="O250" s="630"/>
      <c r="P250" s="564" t="s">
        <v>25</v>
      </c>
      <c r="Q250" s="564" t="s">
        <v>25</v>
      </c>
      <c r="R250" s="586" t="s">
        <v>1848</v>
      </c>
      <c r="S250" s="609" t="s">
        <v>53</v>
      </c>
      <c r="T250" s="591">
        <v>2.2000000000000002</v>
      </c>
      <c r="U250" s="611"/>
      <c r="V250" s="564">
        <v>0</v>
      </c>
      <c r="W250" s="564">
        <v>0</v>
      </c>
      <c r="X250" s="589"/>
      <c r="Y250" s="592"/>
      <c r="Z250" s="592"/>
      <c r="AA250" s="568"/>
      <c r="AB250" s="592"/>
      <c r="AC250" s="592"/>
      <c r="AD250" s="592"/>
      <c r="AE250" s="590"/>
      <c r="AF250" s="570" t="s">
        <v>2899</v>
      </c>
      <c r="AG250" s="570" t="s">
        <v>25</v>
      </c>
      <c r="AH250" s="571" t="s">
        <v>25</v>
      </c>
      <c r="AI250" s="593"/>
      <c r="AJ250" s="593"/>
    </row>
    <row r="251" spans="1:36" s="376" customFormat="1" ht="20.25" outlineLevel="2" x14ac:dyDescent="0.3">
      <c r="A251" s="447">
        <v>27</v>
      </c>
      <c r="B251" s="558"/>
      <c r="C251" s="558"/>
      <c r="D251" s="587"/>
      <c r="E251" s="560"/>
      <c r="F251" s="558"/>
      <c r="G251" s="588"/>
      <c r="H251" s="546"/>
      <c r="I251" s="563" t="s">
        <v>25</v>
      </c>
      <c r="J251" s="563" t="s">
        <v>25</v>
      </c>
      <c r="K251" s="564" t="s">
        <v>25</v>
      </c>
      <c r="L251" s="564" t="s">
        <v>25</v>
      </c>
      <c r="M251" s="586"/>
      <c r="N251" s="586"/>
      <c r="O251" s="630"/>
      <c r="P251" s="564" t="s">
        <v>25</v>
      </c>
      <c r="Q251" s="564" t="s">
        <v>25</v>
      </c>
      <c r="R251" s="593" t="s">
        <v>1848</v>
      </c>
      <c r="S251" s="609" t="s">
        <v>53</v>
      </c>
      <c r="T251" s="591">
        <v>1.6</v>
      </c>
      <c r="U251" s="611"/>
      <c r="V251" s="564">
        <v>0</v>
      </c>
      <c r="W251" s="564">
        <v>0</v>
      </c>
      <c r="X251" s="589"/>
      <c r="Y251" s="592"/>
      <c r="Z251" s="592"/>
      <c r="AA251" s="568"/>
      <c r="AB251" s="592"/>
      <c r="AC251" s="592"/>
      <c r="AD251" s="592"/>
      <c r="AE251" s="590"/>
      <c r="AF251" s="570" t="s">
        <v>2899</v>
      </c>
      <c r="AG251" s="570" t="s">
        <v>25</v>
      </c>
      <c r="AH251" s="571" t="s">
        <v>25</v>
      </c>
      <c r="AI251" s="593"/>
      <c r="AJ251" s="593"/>
    </row>
    <row r="252" spans="1:36" s="376" customFormat="1" ht="40.5" outlineLevel="2" x14ac:dyDescent="0.3">
      <c r="A252" s="447">
        <v>27</v>
      </c>
      <c r="B252" s="558"/>
      <c r="C252" s="558"/>
      <c r="D252" s="587"/>
      <c r="E252" s="560"/>
      <c r="F252" s="558"/>
      <c r="G252" s="588"/>
      <c r="H252" s="546"/>
      <c r="I252" s="563" t="s">
        <v>25</v>
      </c>
      <c r="J252" s="563" t="s">
        <v>25</v>
      </c>
      <c r="K252" s="564" t="s">
        <v>25</v>
      </c>
      <c r="L252" s="564" t="s">
        <v>25</v>
      </c>
      <c r="M252" s="586"/>
      <c r="N252" s="586"/>
      <c r="O252" s="630"/>
      <c r="P252" s="564" t="s">
        <v>25</v>
      </c>
      <c r="Q252" s="564" t="s">
        <v>25</v>
      </c>
      <c r="R252" s="586" t="s">
        <v>1849</v>
      </c>
      <c r="S252" s="609" t="s">
        <v>53</v>
      </c>
      <c r="T252" s="591">
        <v>37.4</v>
      </c>
      <c r="U252" s="611"/>
      <c r="V252" s="564">
        <v>72865</v>
      </c>
      <c r="W252" s="564">
        <v>2725000</v>
      </c>
      <c r="X252" s="609"/>
      <c r="Y252" s="641"/>
      <c r="Z252" s="592"/>
      <c r="AA252" s="568"/>
      <c r="AB252" s="592"/>
      <c r="AC252" s="592"/>
      <c r="AD252" s="592"/>
      <c r="AE252" s="590"/>
      <c r="AF252" s="570" t="s">
        <v>2899</v>
      </c>
      <c r="AG252" s="570" t="s">
        <v>25</v>
      </c>
      <c r="AH252" s="571" t="s">
        <v>25</v>
      </c>
      <c r="AI252" s="593"/>
      <c r="AJ252" s="593"/>
    </row>
    <row r="253" spans="1:36" s="376" customFormat="1" ht="40.5" outlineLevel="2" x14ac:dyDescent="0.3">
      <c r="A253" s="447">
        <v>27</v>
      </c>
      <c r="B253" s="558"/>
      <c r="C253" s="558"/>
      <c r="D253" s="587"/>
      <c r="E253" s="560"/>
      <c r="F253" s="558"/>
      <c r="G253" s="588"/>
      <c r="H253" s="546"/>
      <c r="I253" s="563" t="s">
        <v>25</v>
      </c>
      <c r="J253" s="563" t="s">
        <v>25</v>
      </c>
      <c r="K253" s="564" t="s">
        <v>25</v>
      </c>
      <c r="L253" s="564" t="s">
        <v>25</v>
      </c>
      <c r="M253" s="586"/>
      <c r="N253" s="586"/>
      <c r="O253" s="630"/>
      <c r="P253" s="564" t="s">
        <v>25</v>
      </c>
      <c r="Q253" s="564" t="s">
        <v>25</v>
      </c>
      <c r="R253" s="586" t="s">
        <v>1850</v>
      </c>
      <c r="S253" s="609" t="s">
        <v>53</v>
      </c>
      <c r="T253" s="591">
        <v>50.4</v>
      </c>
      <c r="U253" s="611"/>
      <c r="V253" s="564">
        <v>177161</v>
      </c>
      <c r="W253" s="564">
        <v>8929000</v>
      </c>
      <c r="X253" s="609"/>
      <c r="Y253" s="641"/>
      <c r="Z253" s="592"/>
      <c r="AA253" s="568"/>
      <c r="AB253" s="592"/>
      <c r="AC253" s="592"/>
      <c r="AD253" s="592"/>
      <c r="AE253" s="590"/>
      <c r="AF253" s="570" t="s">
        <v>2899</v>
      </c>
      <c r="AG253" s="570" t="s">
        <v>25</v>
      </c>
      <c r="AH253" s="571" t="s">
        <v>25</v>
      </c>
      <c r="AI253" s="593"/>
      <c r="AJ253" s="593"/>
    </row>
    <row r="254" spans="1:36" s="376" customFormat="1" ht="40.5" outlineLevel="2" x14ac:dyDescent="0.3">
      <c r="A254" s="447">
        <v>27</v>
      </c>
      <c r="B254" s="558"/>
      <c r="C254" s="558"/>
      <c r="D254" s="587"/>
      <c r="E254" s="560"/>
      <c r="F254" s="558"/>
      <c r="G254" s="588"/>
      <c r="H254" s="546"/>
      <c r="I254" s="563" t="s">
        <v>25</v>
      </c>
      <c r="J254" s="563" t="s">
        <v>25</v>
      </c>
      <c r="K254" s="564" t="s">
        <v>25</v>
      </c>
      <c r="L254" s="564" t="s">
        <v>25</v>
      </c>
      <c r="M254" s="586"/>
      <c r="N254" s="586"/>
      <c r="O254" s="630"/>
      <c r="P254" s="564" t="s">
        <v>25</v>
      </c>
      <c r="Q254" s="564" t="s">
        <v>25</v>
      </c>
      <c r="R254" s="586" t="s">
        <v>1776</v>
      </c>
      <c r="S254" s="609" t="s">
        <v>53</v>
      </c>
      <c r="T254" s="591">
        <v>15.54</v>
      </c>
      <c r="U254" s="611"/>
      <c r="V254" s="564">
        <v>177161</v>
      </c>
      <c r="W254" s="564">
        <v>2753000</v>
      </c>
      <c r="X254" s="589"/>
      <c r="Y254" s="592"/>
      <c r="Z254" s="592"/>
      <c r="AA254" s="568"/>
      <c r="AB254" s="592"/>
      <c r="AC254" s="592"/>
      <c r="AD254" s="592"/>
      <c r="AE254" s="590"/>
      <c r="AF254" s="570" t="s">
        <v>2899</v>
      </c>
      <c r="AG254" s="570" t="s">
        <v>25</v>
      </c>
      <c r="AH254" s="571" t="s">
        <v>25</v>
      </c>
      <c r="AI254" s="593"/>
      <c r="AJ254" s="593"/>
    </row>
    <row r="255" spans="1:36" s="376" customFormat="1" ht="40.5" outlineLevel="2" x14ac:dyDescent="0.3">
      <c r="A255" s="447">
        <v>27</v>
      </c>
      <c r="B255" s="558"/>
      <c r="C255" s="558"/>
      <c r="D255" s="587"/>
      <c r="E255" s="560"/>
      <c r="F255" s="558"/>
      <c r="G255" s="588"/>
      <c r="H255" s="546"/>
      <c r="I255" s="563" t="s">
        <v>25</v>
      </c>
      <c r="J255" s="563" t="s">
        <v>25</v>
      </c>
      <c r="K255" s="564" t="s">
        <v>25</v>
      </c>
      <c r="L255" s="564" t="s">
        <v>25</v>
      </c>
      <c r="M255" s="586"/>
      <c r="N255" s="586"/>
      <c r="O255" s="630"/>
      <c r="P255" s="564" t="s">
        <v>25</v>
      </c>
      <c r="Q255" s="564" t="s">
        <v>25</v>
      </c>
      <c r="R255" s="586" t="s">
        <v>1849</v>
      </c>
      <c r="S255" s="609" t="s">
        <v>53</v>
      </c>
      <c r="T255" s="591">
        <v>9.24</v>
      </c>
      <c r="U255" s="611"/>
      <c r="V255" s="564">
        <v>72865</v>
      </c>
      <c r="W255" s="564">
        <v>673000</v>
      </c>
      <c r="X255" s="589"/>
      <c r="Y255" s="592"/>
      <c r="Z255" s="592"/>
      <c r="AA255" s="568"/>
      <c r="AB255" s="592"/>
      <c r="AC255" s="592"/>
      <c r="AD255" s="592"/>
      <c r="AE255" s="590"/>
      <c r="AF255" s="570" t="s">
        <v>2899</v>
      </c>
      <c r="AG255" s="570" t="s">
        <v>25</v>
      </c>
      <c r="AH255" s="571" t="s">
        <v>25</v>
      </c>
      <c r="AI255" s="593"/>
      <c r="AJ255" s="593"/>
    </row>
    <row r="256" spans="1:36" s="376" customFormat="1" ht="40.5" outlineLevel="2" x14ac:dyDescent="0.3">
      <c r="A256" s="447">
        <v>27</v>
      </c>
      <c r="B256" s="558"/>
      <c r="C256" s="558"/>
      <c r="D256" s="587"/>
      <c r="E256" s="560"/>
      <c r="F256" s="558"/>
      <c r="G256" s="588"/>
      <c r="H256" s="546"/>
      <c r="I256" s="563" t="s">
        <v>25</v>
      </c>
      <c r="J256" s="563" t="s">
        <v>25</v>
      </c>
      <c r="K256" s="564" t="s">
        <v>25</v>
      </c>
      <c r="L256" s="564" t="s">
        <v>25</v>
      </c>
      <c r="M256" s="586"/>
      <c r="N256" s="586"/>
      <c r="O256" s="630"/>
      <c r="P256" s="564" t="s">
        <v>25</v>
      </c>
      <c r="Q256" s="564" t="s">
        <v>25</v>
      </c>
      <c r="R256" s="586" t="s">
        <v>1767</v>
      </c>
      <c r="S256" s="609" t="s">
        <v>53</v>
      </c>
      <c r="T256" s="591">
        <v>28.32</v>
      </c>
      <c r="U256" s="611"/>
      <c r="V256" s="564">
        <v>0</v>
      </c>
      <c r="W256" s="564">
        <v>0</v>
      </c>
      <c r="X256" s="589"/>
      <c r="Y256" s="592"/>
      <c r="Z256" s="592"/>
      <c r="AA256" s="568"/>
      <c r="AB256" s="592"/>
      <c r="AC256" s="592"/>
      <c r="AD256" s="592"/>
      <c r="AE256" s="590"/>
      <c r="AF256" s="570" t="s">
        <v>2899</v>
      </c>
      <c r="AG256" s="570" t="s">
        <v>25</v>
      </c>
      <c r="AH256" s="571" t="s">
        <v>25</v>
      </c>
      <c r="AI256" s="593"/>
      <c r="AJ256" s="593"/>
    </row>
    <row r="257" spans="1:38" s="376" customFormat="1" ht="60.75" outlineLevel="2" x14ac:dyDescent="0.3">
      <c r="A257" s="447">
        <v>27</v>
      </c>
      <c r="B257" s="558"/>
      <c r="C257" s="558"/>
      <c r="D257" s="587"/>
      <c r="E257" s="560"/>
      <c r="F257" s="558"/>
      <c r="G257" s="588"/>
      <c r="H257" s="546"/>
      <c r="I257" s="563" t="s">
        <v>25</v>
      </c>
      <c r="J257" s="563" t="s">
        <v>25</v>
      </c>
      <c r="K257" s="564" t="s">
        <v>25</v>
      </c>
      <c r="L257" s="564" t="s">
        <v>25</v>
      </c>
      <c r="M257" s="586"/>
      <c r="N257" s="586"/>
      <c r="O257" s="630"/>
      <c r="P257" s="564" t="s">
        <v>25</v>
      </c>
      <c r="Q257" s="564" t="s">
        <v>25</v>
      </c>
      <c r="R257" s="586" t="s">
        <v>1768</v>
      </c>
      <c r="S257" s="609" t="s">
        <v>53</v>
      </c>
      <c r="T257" s="591">
        <v>28.32</v>
      </c>
      <c r="U257" s="611"/>
      <c r="V257" s="564">
        <v>238288</v>
      </c>
      <c r="W257" s="564">
        <v>6748000</v>
      </c>
      <c r="X257" s="589"/>
      <c r="Y257" s="592"/>
      <c r="Z257" s="592"/>
      <c r="AA257" s="568"/>
      <c r="AB257" s="592"/>
      <c r="AC257" s="592"/>
      <c r="AD257" s="592"/>
      <c r="AE257" s="590"/>
      <c r="AF257" s="570" t="s">
        <v>2899</v>
      </c>
      <c r="AG257" s="570" t="s">
        <v>25</v>
      </c>
      <c r="AH257" s="571" t="s">
        <v>25</v>
      </c>
      <c r="AI257" s="593"/>
      <c r="AJ257" s="593"/>
    </row>
    <row r="258" spans="1:38" s="376" customFormat="1" ht="20.25" outlineLevel="2" x14ac:dyDescent="0.3">
      <c r="A258" s="447">
        <v>27</v>
      </c>
      <c r="B258" s="558"/>
      <c r="C258" s="558"/>
      <c r="D258" s="587"/>
      <c r="E258" s="615"/>
      <c r="F258" s="558"/>
      <c r="G258" s="588"/>
      <c r="H258" s="546"/>
      <c r="I258" s="563" t="s">
        <v>25</v>
      </c>
      <c r="J258" s="563" t="s">
        <v>25</v>
      </c>
      <c r="K258" s="564" t="s">
        <v>25</v>
      </c>
      <c r="L258" s="564" t="s">
        <v>25</v>
      </c>
      <c r="M258" s="586"/>
      <c r="N258" s="586"/>
      <c r="O258" s="630"/>
      <c r="P258" s="564" t="s">
        <v>25</v>
      </c>
      <c r="Q258" s="564" t="s">
        <v>25</v>
      </c>
      <c r="R258" s="586"/>
      <c r="S258" s="609"/>
      <c r="T258" s="591"/>
      <c r="U258" s="611"/>
      <c r="V258" s="564" t="s">
        <v>2899</v>
      </c>
      <c r="W258" s="564" t="s">
        <v>25</v>
      </c>
      <c r="X258" s="589"/>
      <c r="Y258" s="592"/>
      <c r="Z258" s="592"/>
      <c r="AA258" s="568"/>
      <c r="AB258" s="592"/>
      <c r="AC258" s="592"/>
      <c r="AD258" s="592"/>
      <c r="AE258" s="590"/>
      <c r="AF258" s="570" t="s">
        <v>2899</v>
      </c>
      <c r="AG258" s="570" t="s">
        <v>25</v>
      </c>
      <c r="AH258" s="571" t="s">
        <v>25</v>
      </c>
      <c r="AI258" s="593"/>
      <c r="AJ258" s="593"/>
    </row>
    <row r="259" spans="1:38" s="376" customFormat="1" ht="20.25" outlineLevel="2" x14ac:dyDescent="0.3">
      <c r="A259" s="447">
        <v>27</v>
      </c>
      <c r="B259" s="558"/>
      <c r="C259" s="558"/>
      <c r="D259" s="587"/>
      <c r="E259" s="615"/>
      <c r="F259" s="558"/>
      <c r="G259" s="604"/>
      <c r="H259" s="546"/>
      <c r="I259" s="563" t="s">
        <v>25</v>
      </c>
      <c r="J259" s="563" t="s">
        <v>25</v>
      </c>
      <c r="K259" s="564" t="s">
        <v>25</v>
      </c>
      <c r="L259" s="564" t="s">
        <v>25</v>
      </c>
      <c r="M259" s="593"/>
      <c r="N259" s="593"/>
      <c r="O259" s="616"/>
      <c r="P259" s="564" t="s">
        <v>25</v>
      </c>
      <c r="Q259" s="564" t="s">
        <v>25</v>
      </c>
      <c r="R259" s="593"/>
      <c r="S259" s="593"/>
      <c r="T259" s="617"/>
      <c r="U259" s="589"/>
      <c r="V259" s="564" t="s">
        <v>2899</v>
      </c>
      <c r="W259" s="564" t="s">
        <v>25</v>
      </c>
      <c r="X259" s="589"/>
      <c r="Y259" s="589"/>
      <c r="Z259" s="589"/>
      <c r="AA259" s="562"/>
      <c r="AB259" s="589"/>
      <c r="AC259" s="589"/>
      <c r="AD259" s="589"/>
      <c r="AE259" s="629"/>
      <c r="AF259" s="570" t="s">
        <v>2899</v>
      </c>
      <c r="AG259" s="570" t="s">
        <v>25</v>
      </c>
      <c r="AH259" s="571" t="s">
        <v>25</v>
      </c>
      <c r="AI259" s="593"/>
      <c r="AJ259" s="593"/>
    </row>
    <row r="260" spans="1:38" s="376" customFormat="1" ht="20.25" outlineLevel="2" x14ac:dyDescent="0.3">
      <c r="A260" s="447">
        <v>27</v>
      </c>
      <c r="B260" s="558"/>
      <c r="C260" s="558"/>
      <c r="D260" s="587"/>
      <c r="E260" s="560"/>
      <c r="F260" s="558"/>
      <c r="G260" s="604"/>
      <c r="H260" s="546"/>
      <c r="I260" s="563" t="s">
        <v>25</v>
      </c>
      <c r="J260" s="563" t="s">
        <v>25</v>
      </c>
      <c r="K260" s="564" t="s">
        <v>25</v>
      </c>
      <c r="L260" s="564" t="s">
        <v>25</v>
      </c>
      <c r="M260" s="593"/>
      <c r="N260" s="593"/>
      <c r="O260" s="616"/>
      <c r="P260" s="564" t="s">
        <v>25</v>
      </c>
      <c r="Q260" s="564" t="s">
        <v>25</v>
      </c>
      <c r="R260" s="593"/>
      <c r="S260" s="593"/>
      <c r="T260" s="617"/>
      <c r="U260" s="589"/>
      <c r="V260" s="564" t="s">
        <v>2899</v>
      </c>
      <c r="W260" s="564" t="s">
        <v>25</v>
      </c>
      <c r="X260" s="589"/>
      <c r="Y260" s="589"/>
      <c r="Z260" s="589"/>
      <c r="AA260" s="562"/>
      <c r="AB260" s="589"/>
      <c r="AC260" s="589"/>
      <c r="AD260" s="589"/>
      <c r="AE260" s="629"/>
      <c r="AF260" s="570" t="s">
        <v>2899</v>
      </c>
      <c r="AG260" s="570" t="s">
        <v>25</v>
      </c>
      <c r="AH260" s="571" t="s">
        <v>25</v>
      </c>
      <c r="AI260" s="593"/>
      <c r="AJ260" s="593"/>
    </row>
    <row r="261" spans="1:38" s="376" customFormat="1" ht="20.25" outlineLevel="2" x14ac:dyDescent="0.3">
      <c r="A261" s="447">
        <v>27</v>
      </c>
      <c r="B261" s="574"/>
      <c r="C261" s="574"/>
      <c r="D261" s="595"/>
      <c r="E261" s="577"/>
      <c r="F261" s="558"/>
      <c r="G261" s="588"/>
      <c r="H261" s="546"/>
      <c r="I261" s="563" t="s">
        <v>25</v>
      </c>
      <c r="J261" s="563" t="s">
        <v>25</v>
      </c>
      <c r="K261" s="564" t="s">
        <v>25</v>
      </c>
      <c r="L261" s="564" t="s">
        <v>25</v>
      </c>
      <c r="M261" s="586"/>
      <c r="N261" s="586"/>
      <c r="O261" s="630"/>
      <c r="P261" s="564" t="s">
        <v>25</v>
      </c>
      <c r="Q261" s="564" t="s">
        <v>25</v>
      </c>
      <c r="R261" s="593"/>
      <c r="S261" s="593"/>
      <c r="T261" s="591"/>
      <c r="U261" s="611"/>
      <c r="V261" s="564" t="s">
        <v>2899</v>
      </c>
      <c r="W261" s="564" t="s">
        <v>25</v>
      </c>
      <c r="X261" s="589"/>
      <c r="Y261" s="592"/>
      <c r="Z261" s="592"/>
      <c r="AA261" s="568"/>
      <c r="AB261" s="592"/>
      <c r="AC261" s="592"/>
      <c r="AD261" s="592"/>
      <c r="AE261" s="590"/>
      <c r="AF261" s="570" t="s">
        <v>2899</v>
      </c>
      <c r="AG261" s="570" t="s">
        <v>25</v>
      </c>
      <c r="AH261" s="571" t="s">
        <v>25</v>
      </c>
      <c r="AI261" s="593"/>
      <c r="AJ261" s="593"/>
    </row>
    <row r="262" spans="1:38" s="376" customFormat="1" ht="40.5" outlineLevel="1" x14ac:dyDescent="0.25">
      <c r="A262" s="467">
        <v>28</v>
      </c>
      <c r="B262" s="574" t="s">
        <v>654</v>
      </c>
      <c r="C262" s="773" t="s">
        <v>2902</v>
      </c>
      <c r="D262" s="587">
        <v>86</v>
      </c>
      <c r="E262" s="560">
        <v>271</v>
      </c>
      <c r="F262" s="574"/>
      <c r="G262" s="618">
        <v>253.3</v>
      </c>
      <c r="H262" s="579">
        <v>253.3</v>
      </c>
      <c r="I262" s="581"/>
      <c r="J262" s="581"/>
      <c r="K262" s="571">
        <v>140430000</v>
      </c>
      <c r="L262" s="571">
        <v>421289000</v>
      </c>
      <c r="M262" s="578"/>
      <c r="N262" s="578"/>
      <c r="O262" s="633">
        <v>0</v>
      </c>
      <c r="P262" s="571"/>
      <c r="Q262" s="571">
        <v>0</v>
      </c>
      <c r="R262" s="578"/>
      <c r="S262" s="621"/>
      <c r="T262" s="600">
        <v>7.8</v>
      </c>
      <c r="U262" s="622"/>
      <c r="V262" s="571"/>
      <c r="W262" s="571">
        <v>3443000</v>
      </c>
      <c r="X262" s="589"/>
      <c r="Y262" s="592"/>
      <c r="Z262" s="592"/>
      <c r="AA262" s="568"/>
      <c r="AB262" s="592"/>
      <c r="AC262" s="592"/>
      <c r="AD262" s="634"/>
      <c r="AE262" s="599">
        <f>SUBTOTAL(9,AE263:AE270)</f>
        <v>0</v>
      </c>
      <c r="AF262" s="585"/>
      <c r="AG262" s="585">
        <v>0</v>
      </c>
      <c r="AH262" s="571">
        <v>565162000</v>
      </c>
      <c r="AI262" s="574"/>
      <c r="AJ262" s="578"/>
    </row>
    <row r="263" spans="1:38" s="376" customFormat="1" ht="121.5" outlineLevel="2" x14ac:dyDescent="0.3">
      <c r="A263" s="447">
        <v>28</v>
      </c>
      <c r="B263" s="558" t="s">
        <v>293</v>
      </c>
      <c r="C263" s="558"/>
      <c r="D263" s="587"/>
      <c r="E263" s="560"/>
      <c r="F263" s="558" t="s">
        <v>2068</v>
      </c>
      <c r="G263" s="588">
        <v>253.3</v>
      </c>
      <c r="H263" s="546">
        <v>253.3</v>
      </c>
      <c r="I263" s="563">
        <v>554400</v>
      </c>
      <c r="J263" s="563">
        <v>1663200</v>
      </c>
      <c r="K263" s="564">
        <v>140430000</v>
      </c>
      <c r="L263" s="564">
        <v>421289000</v>
      </c>
      <c r="M263" s="586"/>
      <c r="N263" s="586"/>
      <c r="O263" s="630"/>
      <c r="P263" s="564" t="s">
        <v>25</v>
      </c>
      <c r="Q263" s="564" t="s">
        <v>25</v>
      </c>
      <c r="R263" s="586" t="s">
        <v>1905</v>
      </c>
      <c r="S263" s="609" t="s">
        <v>53</v>
      </c>
      <c r="T263" s="591">
        <v>7.8</v>
      </c>
      <c r="U263" s="611"/>
      <c r="V263" s="564">
        <v>441467</v>
      </c>
      <c r="W263" s="564">
        <v>3443000</v>
      </c>
      <c r="X263" s="589"/>
      <c r="Y263" s="592"/>
      <c r="Z263" s="592"/>
      <c r="AA263" s="568"/>
      <c r="AB263" s="592"/>
      <c r="AC263" s="592"/>
      <c r="AD263" s="606"/>
      <c r="AE263" s="590"/>
      <c r="AF263" s="570" t="s">
        <v>2899</v>
      </c>
      <c r="AG263" s="570"/>
      <c r="AH263" s="571" t="s">
        <v>25</v>
      </c>
      <c r="AI263" s="558" t="s">
        <v>469</v>
      </c>
      <c r="AJ263" s="586" t="s">
        <v>2771</v>
      </c>
    </row>
    <row r="264" spans="1:38" s="376" customFormat="1" ht="81" outlineLevel="2" x14ac:dyDescent="0.3">
      <c r="A264" s="447">
        <v>28</v>
      </c>
      <c r="B264" s="628" t="s">
        <v>655</v>
      </c>
      <c r="C264" s="628"/>
      <c r="D264" s="587"/>
      <c r="E264" s="560"/>
      <c r="F264" s="558"/>
      <c r="G264" s="588"/>
      <c r="H264" s="546"/>
      <c r="I264" s="563" t="s">
        <v>25</v>
      </c>
      <c r="J264" s="563" t="s">
        <v>25</v>
      </c>
      <c r="K264" s="564" t="s">
        <v>25</v>
      </c>
      <c r="L264" s="564" t="s">
        <v>25</v>
      </c>
      <c r="M264" s="586"/>
      <c r="N264" s="586"/>
      <c r="O264" s="630"/>
      <c r="P264" s="564" t="s">
        <v>25</v>
      </c>
      <c r="Q264" s="564" t="s">
        <v>25</v>
      </c>
      <c r="R264" s="586"/>
      <c r="S264" s="609"/>
      <c r="T264" s="591"/>
      <c r="U264" s="611"/>
      <c r="V264" s="564" t="s">
        <v>2899</v>
      </c>
      <c r="W264" s="564" t="s">
        <v>25</v>
      </c>
      <c r="X264" s="589"/>
      <c r="Y264" s="592"/>
      <c r="Z264" s="592"/>
      <c r="AA264" s="568"/>
      <c r="AB264" s="592"/>
      <c r="AC264" s="592"/>
      <c r="AD264" s="592"/>
      <c r="AE264" s="590"/>
      <c r="AF264" s="570" t="s">
        <v>2899</v>
      </c>
      <c r="AG264" s="570" t="s">
        <v>25</v>
      </c>
      <c r="AH264" s="571" t="s">
        <v>25</v>
      </c>
      <c r="AI264" s="558" t="s">
        <v>470</v>
      </c>
      <c r="AJ264" s="605" t="s">
        <v>2448</v>
      </c>
    </row>
    <row r="265" spans="1:38" s="376" customFormat="1" ht="121.5" outlineLevel="2" x14ac:dyDescent="0.3">
      <c r="A265" s="447">
        <v>28</v>
      </c>
      <c r="B265" s="558" t="s">
        <v>294</v>
      </c>
      <c r="C265" s="558"/>
      <c r="D265" s="587"/>
      <c r="E265" s="615"/>
      <c r="F265" s="558"/>
      <c r="G265" s="588"/>
      <c r="H265" s="546"/>
      <c r="I265" s="563" t="s">
        <v>25</v>
      </c>
      <c r="J265" s="563" t="s">
        <v>25</v>
      </c>
      <c r="K265" s="564" t="s">
        <v>25</v>
      </c>
      <c r="L265" s="564" t="s">
        <v>25</v>
      </c>
      <c r="M265" s="586"/>
      <c r="N265" s="586"/>
      <c r="O265" s="630"/>
      <c r="P265" s="564" t="s">
        <v>25</v>
      </c>
      <c r="Q265" s="564" t="s">
        <v>25</v>
      </c>
      <c r="R265" s="586"/>
      <c r="S265" s="609"/>
      <c r="T265" s="591"/>
      <c r="U265" s="611"/>
      <c r="V265" s="564" t="s">
        <v>2899</v>
      </c>
      <c r="W265" s="564" t="s">
        <v>25</v>
      </c>
      <c r="X265" s="589"/>
      <c r="Y265" s="592"/>
      <c r="Z265" s="592"/>
      <c r="AA265" s="568"/>
      <c r="AB265" s="592"/>
      <c r="AC265" s="592"/>
      <c r="AD265" s="592"/>
      <c r="AE265" s="590"/>
      <c r="AF265" s="570" t="s">
        <v>2899</v>
      </c>
      <c r="AG265" s="570" t="s">
        <v>25</v>
      </c>
      <c r="AH265" s="571" t="s">
        <v>25</v>
      </c>
      <c r="AI265" s="558" t="s">
        <v>2074</v>
      </c>
      <c r="AJ265" s="558" t="s">
        <v>2450</v>
      </c>
    </row>
    <row r="266" spans="1:38" s="376" customFormat="1" ht="20.25" outlineLevel="2" x14ac:dyDescent="0.3">
      <c r="A266" s="447">
        <v>28</v>
      </c>
      <c r="B266" s="558"/>
      <c r="C266" s="558"/>
      <c r="D266" s="587"/>
      <c r="E266" s="560"/>
      <c r="F266" s="558"/>
      <c r="G266" s="604"/>
      <c r="H266" s="546"/>
      <c r="I266" s="563" t="s">
        <v>25</v>
      </c>
      <c r="J266" s="563" t="s">
        <v>25</v>
      </c>
      <c r="K266" s="564" t="s">
        <v>25</v>
      </c>
      <c r="L266" s="564" t="s">
        <v>25</v>
      </c>
      <c r="M266" s="593"/>
      <c r="N266" s="593"/>
      <c r="O266" s="616"/>
      <c r="P266" s="564" t="s">
        <v>25</v>
      </c>
      <c r="Q266" s="564" t="s">
        <v>25</v>
      </c>
      <c r="R266" s="593"/>
      <c r="S266" s="593"/>
      <c r="T266" s="617"/>
      <c r="U266" s="589"/>
      <c r="V266" s="564" t="s">
        <v>2899</v>
      </c>
      <c r="W266" s="564" t="s">
        <v>25</v>
      </c>
      <c r="X266" s="589"/>
      <c r="Y266" s="589"/>
      <c r="Z266" s="589"/>
      <c r="AA266" s="562"/>
      <c r="AB266" s="589"/>
      <c r="AC266" s="589"/>
      <c r="AD266" s="589"/>
      <c r="AE266" s="629"/>
      <c r="AF266" s="570" t="s">
        <v>2899</v>
      </c>
      <c r="AG266" s="570" t="s">
        <v>25</v>
      </c>
      <c r="AH266" s="571" t="s">
        <v>25</v>
      </c>
      <c r="AI266" s="575"/>
      <c r="AJ266" s="558"/>
      <c r="AL266" s="378" t="s">
        <v>2157</v>
      </c>
    </row>
    <row r="267" spans="1:38" s="376" customFormat="1" ht="20.25" outlineLevel="2" x14ac:dyDescent="0.3">
      <c r="A267" s="447">
        <v>28</v>
      </c>
      <c r="B267" s="574"/>
      <c r="C267" s="574"/>
      <c r="D267" s="587"/>
      <c r="E267" s="560"/>
      <c r="F267" s="558"/>
      <c r="G267" s="588"/>
      <c r="H267" s="546"/>
      <c r="I267" s="563" t="s">
        <v>25</v>
      </c>
      <c r="J267" s="563" t="s">
        <v>25</v>
      </c>
      <c r="K267" s="564" t="s">
        <v>25</v>
      </c>
      <c r="L267" s="564" t="s">
        <v>25</v>
      </c>
      <c r="M267" s="586"/>
      <c r="N267" s="586"/>
      <c r="O267" s="630"/>
      <c r="P267" s="564" t="s">
        <v>25</v>
      </c>
      <c r="Q267" s="564" t="s">
        <v>25</v>
      </c>
      <c r="R267" s="586"/>
      <c r="S267" s="609"/>
      <c r="T267" s="591"/>
      <c r="U267" s="611"/>
      <c r="V267" s="564" t="s">
        <v>2899</v>
      </c>
      <c r="W267" s="564" t="s">
        <v>25</v>
      </c>
      <c r="X267" s="589"/>
      <c r="Y267" s="592"/>
      <c r="Z267" s="592"/>
      <c r="AA267" s="568"/>
      <c r="AB267" s="592"/>
      <c r="AC267" s="592"/>
      <c r="AD267" s="592"/>
      <c r="AE267" s="590"/>
      <c r="AF267" s="570" t="s">
        <v>2899</v>
      </c>
      <c r="AG267" s="570" t="s">
        <v>25</v>
      </c>
      <c r="AH267" s="571" t="s">
        <v>25</v>
      </c>
      <c r="AI267" s="575"/>
      <c r="AJ267" s="558"/>
    </row>
    <row r="268" spans="1:38" s="376" customFormat="1" ht="20.25" outlineLevel="2" x14ac:dyDescent="0.3">
      <c r="A268" s="447">
        <v>28</v>
      </c>
      <c r="B268" s="558"/>
      <c r="C268" s="558"/>
      <c r="D268" s="587"/>
      <c r="E268" s="560"/>
      <c r="F268" s="558"/>
      <c r="G268" s="588"/>
      <c r="H268" s="546"/>
      <c r="I268" s="563" t="s">
        <v>25</v>
      </c>
      <c r="J268" s="563" t="s">
        <v>25</v>
      </c>
      <c r="K268" s="564" t="s">
        <v>25</v>
      </c>
      <c r="L268" s="564" t="s">
        <v>25</v>
      </c>
      <c r="M268" s="586"/>
      <c r="N268" s="586"/>
      <c r="O268" s="630"/>
      <c r="P268" s="564" t="s">
        <v>25</v>
      </c>
      <c r="Q268" s="564" t="s">
        <v>25</v>
      </c>
      <c r="R268" s="586"/>
      <c r="S268" s="609"/>
      <c r="T268" s="591"/>
      <c r="U268" s="611"/>
      <c r="V268" s="564" t="s">
        <v>2899</v>
      </c>
      <c r="W268" s="564" t="s">
        <v>25</v>
      </c>
      <c r="X268" s="589"/>
      <c r="Y268" s="592"/>
      <c r="Z268" s="592"/>
      <c r="AA268" s="568"/>
      <c r="AB268" s="592"/>
      <c r="AC268" s="592"/>
      <c r="AD268" s="592"/>
      <c r="AE268" s="590"/>
      <c r="AF268" s="570" t="s">
        <v>2899</v>
      </c>
      <c r="AG268" s="570" t="s">
        <v>25</v>
      </c>
      <c r="AH268" s="571" t="s">
        <v>25</v>
      </c>
      <c r="AI268" s="593"/>
      <c r="AJ268" s="593"/>
    </row>
    <row r="269" spans="1:38" s="376" customFormat="1" ht="20.25" outlineLevel="2" x14ac:dyDescent="0.3">
      <c r="A269" s="447">
        <v>28</v>
      </c>
      <c r="B269" s="558"/>
      <c r="C269" s="558"/>
      <c r="D269" s="595"/>
      <c r="E269" s="577"/>
      <c r="F269" s="558"/>
      <c r="G269" s="588"/>
      <c r="H269" s="546"/>
      <c r="I269" s="563" t="s">
        <v>25</v>
      </c>
      <c r="J269" s="563" t="s">
        <v>25</v>
      </c>
      <c r="K269" s="564" t="s">
        <v>25</v>
      </c>
      <c r="L269" s="564" t="s">
        <v>25</v>
      </c>
      <c r="M269" s="586"/>
      <c r="N269" s="586"/>
      <c r="O269" s="630"/>
      <c r="P269" s="564" t="s">
        <v>25</v>
      </c>
      <c r="Q269" s="564" t="s">
        <v>25</v>
      </c>
      <c r="R269" s="586"/>
      <c r="S269" s="609"/>
      <c r="T269" s="591"/>
      <c r="U269" s="611"/>
      <c r="V269" s="564" t="s">
        <v>2899</v>
      </c>
      <c r="W269" s="564" t="s">
        <v>25</v>
      </c>
      <c r="X269" s="589"/>
      <c r="Y269" s="592"/>
      <c r="Z269" s="592"/>
      <c r="AA269" s="568"/>
      <c r="AB269" s="592"/>
      <c r="AC269" s="592"/>
      <c r="AD269" s="592"/>
      <c r="AE269" s="590"/>
      <c r="AF269" s="570" t="s">
        <v>2899</v>
      </c>
      <c r="AG269" s="570" t="s">
        <v>25</v>
      </c>
      <c r="AH269" s="571" t="s">
        <v>25</v>
      </c>
      <c r="AI269" s="593"/>
      <c r="AJ269" s="593"/>
    </row>
    <row r="270" spans="1:38" s="376" customFormat="1" ht="20.25" outlineLevel="2" x14ac:dyDescent="0.3">
      <c r="A270" s="447">
        <v>28</v>
      </c>
      <c r="B270" s="607"/>
      <c r="C270" s="607"/>
      <c r="D270" s="642"/>
      <c r="E270" s="642"/>
      <c r="F270" s="574"/>
      <c r="G270" s="588"/>
      <c r="H270" s="546"/>
      <c r="I270" s="563" t="s">
        <v>25</v>
      </c>
      <c r="J270" s="563" t="s">
        <v>25</v>
      </c>
      <c r="K270" s="564" t="s">
        <v>25</v>
      </c>
      <c r="L270" s="564" t="s">
        <v>25</v>
      </c>
      <c r="M270" s="578"/>
      <c r="N270" s="578"/>
      <c r="O270" s="633"/>
      <c r="P270" s="564" t="s">
        <v>25</v>
      </c>
      <c r="Q270" s="564" t="s">
        <v>25</v>
      </c>
      <c r="R270" s="578"/>
      <c r="S270" s="621"/>
      <c r="T270" s="591"/>
      <c r="U270" s="611"/>
      <c r="V270" s="564" t="s">
        <v>2899</v>
      </c>
      <c r="W270" s="564" t="s">
        <v>25</v>
      </c>
      <c r="X270" s="580"/>
      <c r="Y270" s="601"/>
      <c r="Z270" s="601"/>
      <c r="AA270" s="584"/>
      <c r="AB270" s="601"/>
      <c r="AC270" s="601"/>
      <c r="AD270" s="601"/>
      <c r="AE270" s="599"/>
      <c r="AF270" s="570" t="s">
        <v>2899</v>
      </c>
      <c r="AG270" s="570" t="s">
        <v>25</v>
      </c>
      <c r="AH270" s="571" t="s">
        <v>25</v>
      </c>
      <c r="AI270" s="608"/>
      <c r="AJ270" s="608"/>
    </row>
    <row r="271" spans="1:38" s="376" customFormat="1" ht="40.5" outlineLevel="1" x14ac:dyDescent="0.25">
      <c r="A271" s="467">
        <v>29</v>
      </c>
      <c r="B271" s="607" t="s">
        <v>284</v>
      </c>
      <c r="C271" s="773" t="s">
        <v>2902</v>
      </c>
      <c r="D271" s="612">
        <v>86</v>
      </c>
      <c r="E271" s="612">
        <v>270</v>
      </c>
      <c r="F271" s="578"/>
      <c r="G271" s="618">
        <v>251.6</v>
      </c>
      <c r="H271" s="579">
        <v>251.6</v>
      </c>
      <c r="I271" s="581"/>
      <c r="J271" s="581"/>
      <c r="K271" s="571">
        <v>139487000</v>
      </c>
      <c r="L271" s="571">
        <v>418461000</v>
      </c>
      <c r="M271" s="578"/>
      <c r="N271" s="578"/>
      <c r="O271" s="633">
        <v>25</v>
      </c>
      <c r="P271" s="571"/>
      <c r="Q271" s="571">
        <v>2000000</v>
      </c>
      <c r="R271" s="578"/>
      <c r="S271" s="621"/>
      <c r="T271" s="600">
        <v>7.8</v>
      </c>
      <c r="U271" s="622"/>
      <c r="V271" s="571"/>
      <c r="W271" s="571">
        <v>3443000</v>
      </c>
      <c r="X271" s="589"/>
      <c r="Y271" s="592"/>
      <c r="Z271" s="592"/>
      <c r="AA271" s="568"/>
      <c r="AB271" s="592"/>
      <c r="AC271" s="592"/>
      <c r="AD271" s="634"/>
      <c r="AE271" s="599">
        <f>SUBTOTAL(9,AE272:AE277)</f>
        <v>0</v>
      </c>
      <c r="AF271" s="585"/>
      <c r="AG271" s="585">
        <v>0</v>
      </c>
      <c r="AH271" s="571">
        <v>563391000</v>
      </c>
      <c r="AI271" s="574"/>
      <c r="AJ271" s="578"/>
      <c r="AL271" s="473"/>
    </row>
    <row r="272" spans="1:38" s="376" customFormat="1" ht="121.5" outlineLevel="2" x14ac:dyDescent="0.3">
      <c r="A272" s="447">
        <v>29</v>
      </c>
      <c r="B272" s="572" t="s">
        <v>285</v>
      </c>
      <c r="C272" s="572"/>
      <c r="D272" s="587"/>
      <c r="E272" s="560"/>
      <c r="F272" s="586" t="s">
        <v>2068</v>
      </c>
      <c r="G272" s="588">
        <v>251.6</v>
      </c>
      <c r="H272" s="546">
        <v>251.6</v>
      </c>
      <c r="I272" s="563">
        <v>554400</v>
      </c>
      <c r="J272" s="563">
        <v>1663200</v>
      </c>
      <c r="K272" s="564">
        <v>139487000</v>
      </c>
      <c r="L272" s="564">
        <v>418461000</v>
      </c>
      <c r="M272" s="586" t="s">
        <v>344</v>
      </c>
      <c r="N272" s="586"/>
      <c r="O272" s="630">
        <v>25</v>
      </c>
      <c r="P272" s="564">
        <v>80000</v>
      </c>
      <c r="Q272" s="564">
        <v>2000000</v>
      </c>
      <c r="R272" s="586" t="s">
        <v>1905</v>
      </c>
      <c r="S272" s="609" t="s">
        <v>53</v>
      </c>
      <c r="T272" s="591">
        <v>7.8</v>
      </c>
      <c r="U272" s="611"/>
      <c r="V272" s="564">
        <v>441467</v>
      </c>
      <c r="W272" s="564">
        <v>3443000</v>
      </c>
      <c r="X272" s="589"/>
      <c r="Y272" s="592"/>
      <c r="Z272" s="592"/>
      <c r="AA272" s="568"/>
      <c r="AB272" s="592"/>
      <c r="AC272" s="592"/>
      <c r="AD272" s="606"/>
      <c r="AE272" s="590"/>
      <c r="AF272" s="570" t="s">
        <v>2899</v>
      </c>
      <c r="AG272" s="570"/>
      <c r="AH272" s="571" t="s">
        <v>25</v>
      </c>
      <c r="AI272" s="558" t="s">
        <v>471</v>
      </c>
      <c r="AJ272" s="586" t="s">
        <v>2771</v>
      </c>
      <c r="AL272" s="378" t="s">
        <v>2156</v>
      </c>
    </row>
    <row r="273" spans="1:36" s="376" customFormat="1" ht="81" outlineLevel="2" x14ac:dyDescent="0.3">
      <c r="A273" s="447">
        <v>29</v>
      </c>
      <c r="B273" s="572" t="s">
        <v>656</v>
      </c>
      <c r="C273" s="572"/>
      <c r="D273" s="587"/>
      <c r="E273" s="560"/>
      <c r="F273" s="558"/>
      <c r="G273" s="588"/>
      <c r="H273" s="546"/>
      <c r="I273" s="563" t="s">
        <v>25</v>
      </c>
      <c r="J273" s="563" t="s">
        <v>25</v>
      </c>
      <c r="K273" s="564" t="s">
        <v>25</v>
      </c>
      <c r="L273" s="564" t="s">
        <v>25</v>
      </c>
      <c r="M273" s="586"/>
      <c r="N273" s="586"/>
      <c r="O273" s="630"/>
      <c r="P273" s="564" t="s">
        <v>25</v>
      </c>
      <c r="Q273" s="564" t="s">
        <v>25</v>
      </c>
      <c r="R273" s="586"/>
      <c r="S273" s="609"/>
      <c r="T273" s="591"/>
      <c r="U273" s="611"/>
      <c r="V273" s="564" t="s">
        <v>2899</v>
      </c>
      <c r="W273" s="564" t="s">
        <v>25</v>
      </c>
      <c r="X273" s="589"/>
      <c r="Y273" s="592"/>
      <c r="Z273" s="592"/>
      <c r="AA273" s="568"/>
      <c r="AB273" s="592"/>
      <c r="AC273" s="592"/>
      <c r="AD273" s="592"/>
      <c r="AE273" s="590"/>
      <c r="AF273" s="570" t="s">
        <v>2899</v>
      </c>
      <c r="AG273" s="570" t="s">
        <v>25</v>
      </c>
      <c r="AH273" s="571" t="s">
        <v>25</v>
      </c>
      <c r="AI273" s="558" t="s">
        <v>472</v>
      </c>
      <c r="AJ273" s="605" t="s">
        <v>2448</v>
      </c>
    </row>
    <row r="274" spans="1:36" s="376" customFormat="1" ht="121.5" outlineLevel="2" x14ac:dyDescent="0.3">
      <c r="A274" s="447">
        <v>29</v>
      </c>
      <c r="B274" s="558" t="s">
        <v>286</v>
      </c>
      <c r="C274" s="558"/>
      <c r="D274" s="587"/>
      <c r="E274" s="615"/>
      <c r="F274" s="558"/>
      <c r="G274" s="588"/>
      <c r="H274" s="546"/>
      <c r="I274" s="563" t="s">
        <v>25</v>
      </c>
      <c r="J274" s="563" t="s">
        <v>25</v>
      </c>
      <c r="K274" s="564" t="s">
        <v>25</v>
      </c>
      <c r="L274" s="564" t="s">
        <v>25</v>
      </c>
      <c r="M274" s="586"/>
      <c r="N274" s="586"/>
      <c r="O274" s="630"/>
      <c r="P274" s="564" t="s">
        <v>25</v>
      </c>
      <c r="Q274" s="564" t="s">
        <v>25</v>
      </c>
      <c r="R274" s="586"/>
      <c r="S274" s="609"/>
      <c r="T274" s="591"/>
      <c r="U274" s="611"/>
      <c r="V274" s="564" t="s">
        <v>2899</v>
      </c>
      <c r="W274" s="564" t="s">
        <v>25</v>
      </c>
      <c r="X274" s="589"/>
      <c r="Y274" s="592"/>
      <c r="Z274" s="592"/>
      <c r="AA274" s="568"/>
      <c r="AB274" s="592"/>
      <c r="AC274" s="592"/>
      <c r="AD274" s="592"/>
      <c r="AE274" s="590"/>
      <c r="AF274" s="570" t="s">
        <v>2899</v>
      </c>
      <c r="AG274" s="570" t="s">
        <v>25</v>
      </c>
      <c r="AH274" s="571" t="s">
        <v>25</v>
      </c>
      <c r="AI274" s="558" t="s">
        <v>2074</v>
      </c>
      <c r="AJ274" s="558" t="s">
        <v>2450</v>
      </c>
    </row>
    <row r="275" spans="1:36" s="376" customFormat="1" ht="101.25" outlineLevel="2" x14ac:dyDescent="0.3">
      <c r="A275" s="447">
        <v>29</v>
      </c>
      <c r="B275" s="574"/>
      <c r="C275" s="574"/>
      <c r="D275" s="587"/>
      <c r="E275" s="560"/>
      <c r="F275" s="558"/>
      <c r="G275" s="604"/>
      <c r="H275" s="546"/>
      <c r="I275" s="563" t="s">
        <v>25</v>
      </c>
      <c r="J275" s="563" t="s">
        <v>25</v>
      </c>
      <c r="K275" s="564" t="s">
        <v>25</v>
      </c>
      <c r="L275" s="564" t="s">
        <v>25</v>
      </c>
      <c r="M275" s="593"/>
      <c r="N275" s="593"/>
      <c r="O275" s="616"/>
      <c r="P275" s="564" t="s">
        <v>25</v>
      </c>
      <c r="Q275" s="564" t="s">
        <v>25</v>
      </c>
      <c r="R275" s="593"/>
      <c r="S275" s="593"/>
      <c r="T275" s="617"/>
      <c r="U275" s="589"/>
      <c r="V275" s="564" t="s">
        <v>2899</v>
      </c>
      <c r="W275" s="564" t="s">
        <v>25</v>
      </c>
      <c r="X275" s="589"/>
      <c r="Y275" s="589"/>
      <c r="Z275" s="589"/>
      <c r="AA275" s="562"/>
      <c r="AB275" s="589"/>
      <c r="AC275" s="589"/>
      <c r="AD275" s="589"/>
      <c r="AE275" s="629"/>
      <c r="AF275" s="570" t="s">
        <v>2899</v>
      </c>
      <c r="AG275" s="570" t="s">
        <v>25</v>
      </c>
      <c r="AH275" s="571" t="s">
        <v>25</v>
      </c>
      <c r="AI275" s="575"/>
      <c r="AJ275" s="558" t="s">
        <v>2449</v>
      </c>
    </row>
    <row r="276" spans="1:36" s="376" customFormat="1" ht="20.25" outlineLevel="2" x14ac:dyDescent="0.3">
      <c r="A276" s="447">
        <v>29</v>
      </c>
      <c r="B276" s="558"/>
      <c r="C276" s="558"/>
      <c r="D276" s="587"/>
      <c r="E276" s="560"/>
      <c r="F276" s="558"/>
      <c r="G276" s="588"/>
      <c r="H276" s="546"/>
      <c r="I276" s="563" t="s">
        <v>25</v>
      </c>
      <c r="J276" s="563" t="s">
        <v>25</v>
      </c>
      <c r="K276" s="564" t="s">
        <v>25</v>
      </c>
      <c r="L276" s="564" t="s">
        <v>25</v>
      </c>
      <c r="M276" s="586"/>
      <c r="N276" s="586"/>
      <c r="O276" s="630"/>
      <c r="P276" s="564" t="s">
        <v>25</v>
      </c>
      <c r="Q276" s="564" t="s">
        <v>25</v>
      </c>
      <c r="R276" s="586"/>
      <c r="S276" s="609"/>
      <c r="T276" s="591"/>
      <c r="U276" s="611"/>
      <c r="V276" s="564" t="s">
        <v>2899</v>
      </c>
      <c r="W276" s="564" t="s">
        <v>25</v>
      </c>
      <c r="X276" s="589"/>
      <c r="Y276" s="592"/>
      <c r="Z276" s="592"/>
      <c r="AA276" s="568"/>
      <c r="AB276" s="592"/>
      <c r="AC276" s="592"/>
      <c r="AD276" s="592"/>
      <c r="AE276" s="590"/>
      <c r="AF276" s="570" t="s">
        <v>2899</v>
      </c>
      <c r="AG276" s="570" t="s">
        <v>25</v>
      </c>
      <c r="AH276" s="571" t="s">
        <v>25</v>
      </c>
      <c r="AI276" s="575"/>
      <c r="AJ276" s="593"/>
    </row>
    <row r="277" spans="1:36" s="376" customFormat="1" ht="20.25" outlineLevel="2" x14ac:dyDescent="0.3">
      <c r="A277" s="447">
        <v>29</v>
      </c>
      <c r="B277" s="643"/>
      <c r="C277" s="643"/>
      <c r="D277" s="595"/>
      <c r="E277" s="577"/>
      <c r="F277" s="558"/>
      <c r="G277" s="588"/>
      <c r="H277" s="546"/>
      <c r="I277" s="563" t="s">
        <v>25</v>
      </c>
      <c r="J277" s="563" t="s">
        <v>25</v>
      </c>
      <c r="K277" s="564" t="s">
        <v>25</v>
      </c>
      <c r="L277" s="564" t="s">
        <v>25</v>
      </c>
      <c r="M277" s="558"/>
      <c r="N277" s="558"/>
      <c r="O277" s="590"/>
      <c r="P277" s="564" t="s">
        <v>25</v>
      </c>
      <c r="Q277" s="564" t="s">
        <v>25</v>
      </c>
      <c r="R277" s="566"/>
      <c r="S277" s="589"/>
      <c r="T277" s="591"/>
      <c r="U277" s="589"/>
      <c r="V277" s="564" t="s">
        <v>2899</v>
      </c>
      <c r="W277" s="564" t="s">
        <v>25</v>
      </c>
      <c r="X277" s="589"/>
      <c r="Y277" s="592"/>
      <c r="Z277" s="592"/>
      <c r="AA277" s="568"/>
      <c r="AB277" s="592"/>
      <c r="AC277" s="592"/>
      <c r="AD277" s="592"/>
      <c r="AE277" s="590"/>
      <c r="AF277" s="570" t="s">
        <v>2899</v>
      </c>
      <c r="AG277" s="570" t="s">
        <v>25</v>
      </c>
      <c r="AH277" s="571" t="s">
        <v>25</v>
      </c>
      <c r="AI277" s="558"/>
      <c r="AJ277" s="558"/>
    </row>
    <row r="278" spans="1:36" s="376" customFormat="1" ht="40.5" outlineLevel="1" x14ac:dyDescent="0.25">
      <c r="A278" s="467">
        <v>30</v>
      </c>
      <c r="B278" s="643" t="s">
        <v>32</v>
      </c>
      <c r="C278" s="773" t="s">
        <v>2902</v>
      </c>
      <c r="D278" s="587">
        <v>86</v>
      </c>
      <c r="E278" s="560">
        <v>269</v>
      </c>
      <c r="F278" s="574"/>
      <c r="G278" s="618">
        <v>249.6</v>
      </c>
      <c r="H278" s="579">
        <v>0</v>
      </c>
      <c r="I278" s="581"/>
      <c r="J278" s="581"/>
      <c r="K278" s="571">
        <v>1823829000</v>
      </c>
      <c r="L278" s="571">
        <v>0</v>
      </c>
      <c r="M278" s="574"/>
      <c r="N278" s="574"/>
      <c r="O278" s="599">
        <v>51</v>
      </c>
      <c r="P278" s="571"/>
      <c r="Q278" s="571">
        <v>7718000</v>
      </c>
      <c r="R278" s="644"/>
      <c r="S278" s="645"/>
      <c r="T278" s="600">
        <v>618.99999999999989</v>
      </c>
      <c r="U278" s="597"/>
      <c r="V278" s="571"/>
      <c r="W278" s="571">
        <v>932776000</v>
      </c>
      <c r="X278" s="589"/>
      <c r="Y278" s="592"/>
      <c r="Z278" s="592"/>
      <c r="AA278" s="568"/>
      <c r="AB278" s="592"/>
      <c r="AC278" s="568"/>
      <c r="AD278" s="602"/>
      <c r="AE278" s="581">
        <f>SUBTOTAL(9,AE279:AE307)</f>
        <v>2</v>
      </c>
      <c r="AF278" s="585"/>
      <c r="AG278" s="585">
        <v>17000000</v>
      </c>
      <c r="AH278" s="571">
        <v>2781323000</v>
      </c>
      <c r="AI278" s="574"/>
      <c r="AJ278" s="578"/>
    </row>
    <row r="279" spans="1:36" s="376" customFormat="1" ht="121.5" outlineLevel="2" x14ac:dyDescent="0.3">
      <c r="A279" s="447">
        <v>30</v>
      </c>
      <c r="B279" s="558" t="s">
        <v>144</v>
      </c>
      <c r="C279" s="558"/>
      <c r="D279" s="587"/>
      <c r="E279" s="560"/>
      <c r="F279" s="558" t="s">
        <v>2499</v>
      </c>
      <c r="G279" s="588">
        <v>42.3</v>
      </c>
      <c r="H279" s="546" t="s">
        <v>2899</v>
      </c>
      <c r="I279" s="563">
        <v>4645200</v>
      </c>
      <c r="J279" s="563">
        <v>0</v>
      </c>
      <c r="K279" s="564">
        <v>196492000</v>
      </c>
      <c r="L279" s="564">
        <v>0</v>
      </c>
      <c r="M279" s="558" t="s">
        <v>145</v>
      </c>
      <c r="N279" s="558"/>
      <c r="O279" s="590">
        <v>1</v>
      </c>
      <c r="P279" s="564">
        <v>4240000</v>
      </c>
      <c r="Q279" s="564">
        <v>4240000</v>
      </c>
      <c r="R279" s="646" t="s">
        <v>1840</v>
      </c>
      <c r="S279" s="647" t="s">
        <v>53</v>
      </c>
      <c r="T279" s="591">
        <v>57</v>
      </c>
      <c r="U279" s="589"/>
      <c r="V279" s="564">
        <v>1676884</v>
      </c>
      <c r="W279" s="564">
        <v>95582000</v>
      </c>
      <c r="X279" s="589"/>
      <c r="Y279" s="592" t="s">
        <v>55</v>
      </c>
      <c r="Z279" s="592" t="s">
        <v>56</v>
      </c>
      <c r="AA279" s="568" t="s">
        <v>473</v>
      </c>
      <c r="AB279" s="592" t="s">
        <v>66</v>
      </c>
      <c r="AC279" s="568" t="s">
        <v>206</v>
      </c>
      <c r="AD279" s="569" t="s">
        <v>811</v>
      </c>
      <c r="AE279" s="563">
        <v>1</v>
      </c>
      <c r="AF279" s="570">
        <v>0</v>
      </c>
      <c r="AG279" s="570">
        <v>0</v>
      </c>
      <c r="AH279" s="571" t="s">
        <v>25</v>
      </c>
      <c r="AI279" s="558" t="s">
        <v>146</v>
      </c>
      <c r="AJ279" s="586" t="s">
        <v>2797</v>
      </c>
    </row>
    <row r="280" spans="1:36" s="376" customFormat="1" ht="121.5" outlineLevel="2" x14ac:dyDescent="0.3">
      <c r="A280" s="447">
        <v>30</v>
      </c>
      <c r="B280" s="628" t="s">
        <v>657</v>
      </c>
      <c r="C280" s="628"/>
      <c r="D280" s="587"/>
      <c r="E280" s="560"/>
      <c r="F280" s="558" t="s">
        <v>2794</v>
      </c>
      <c r="G280" s="588">
        <v>118.8</v>
      </c>
      <c r="H280" s="546" t="s">
        <v>2899</v>
      </c>
      <c r="I280" s="563">
        <v>6636000</v>
      </c>
      <c r="J280" s="563">
        <v>0</v>
      </c>
      <c r="K280" s="564">
        <v>788357000</v>
      </c>
      <c r="L280" s="564">
        <v>0</v>
      </c>
      <c r="M280" s="558" t="s">
        <v>147</v>
      </c>
      <c r="N280" s="558"/>
      <c r="O280" s="590">
        <v>1</v>
      </c>
      <c r="P280" s="564">
        <v>979000</v>
      </c>
      <c r="Q280" s="564">
        <v>979000</v>
      </c>
      <c r="R280" s="646" t="s">
        <v>1827</v>
      </c>
      <c r="S280" s="647" t="s">
        <v>53</v>
      </c>
      <c r="T280" s="591">
        <v>75.5</v>
      </c>
      <c r="U280" s="589"/>
      <c r="V280" s="564">
        <v>5469063</v>
      </c>
      <c r="W280" s="564">
        <v>412914000</v>
      </c>
      <c r="X280" s="589" t="s">
        <v>63</v>
      </c>
      <c r="Y280" s="592" t="s">
        <v>55</v>
      </c>
      <c r="Z280" s="592" t="s">
        <v>56</v>
      </c>
      <c r="AA280" s="568" t="s">
        <v>57</v>
      </c>
      <c r="AB280" s="592" t="s">
        <v>63</v>
      </c>
      <c r="AC280" s="568" t="s">
        <v>206</v>
      </c>
      <c r="AD280" s="569"/>
      <c r="AE280" s="563"/>
      <c r="AF280" s="570"/>
      <c r="AG280" s="570"/>
      <c r="AH280" s="571" t="s">
        <v>25</v>
      </c>
      <c r="AI280" s="558" t="s">
        <v>474</v>
      </c>
      <c r="AJ280" s="558" t="s">
        <v>2450</v>
      </c>
    </row>
    <row r="281" spans="1:36" s="376" customFormat="1" ht="101.25" outlineLevel="2" x14ac:dyDescent="0.3">
      <c r="A281" s="447">
        <v>30</v>
      </c>
      <c r="B281" s="558" t="s">
        <v>297</v>
      </c>
      <c r="C281" s="558"/>
      <c r="D281" s="587"/>
      <c r="E281" s="560"/>
      <c r="F281" s="558" t="s">
        <v>2795</v>
      </c>
      <c r="G281" s="588">
        <v>88.5</v>
      </c>
      <c r="H281" s="546" t="s">
        <v>2899</v>
      </c>
      <c r="I281" s="563">
        <v>9480000</v>
      </c>
      <c r="J281" s="563">
        <v>0</v>
      </c>
      <c r="K281" s="564">
        <v>838980000</v>
      </c>
      <c r="L281" s="564">
        <v>0</v>
      </c>
      <c r="M281" s="558" t="s">
        <v>735</v>
      </c>
      <c r="N281" s="558"/>
      <c r="O281" s="590">
        <v>1</v>
      </c>
      <c r="P281" s="564">
        <v>165000</v>
      </c>
      <c r="Q281" s="564">
        <v>165000</v>
      </c>
      <c r="R281" s="646" t="s">
        <v>1886</v>
      </c>
      <c r="S281" s="647" t="s">
        <v>53</v>
      </c>
      <c r="T281" s="591">
        <v>3.68</v>
      </c>
      <c r="U281" s="589"/>
      <c r="V281" s="564">
        <v>9347414</v>
      </c>
      <c r="W281" s="564">
        <v>34398000</v>
      </c>
      <c r="X281" s="589" t="s">
        <v>63</v>
      </c>
      <c r="Y281" s="592" t="s">
        <v>63</v>
      </c>
      <c r="Z281" s="592" t="s">
        <v>56</v>
      </c>
      <c r="AA281" s="568" t="s">
        <v>57</v>
      </c>
      <c r="AB281" s="592" t="s">
        <v>63</v>
      </c>
      <c r="AC281" s="592"/>
      <c r="AD281" s="569" t="s">
        <v>2791</v>
      </c>
      <c r="AE281" s="590">
        <v>1</v>
      </c>
      <c r="AF281" s="570">
        <v>17000000</v>
      </c>
      <c r="AG281" s="570">
        <v>17000000</v>
      </c>
      <c r="AH281" s="571" t="s">
        <v>25</v>
      </c>
      <c r="AI281" s="558" t="s">
        <v>296</v>
      </c>
      <c r="AJ281" s="558" t="s">
        <v>2449</v>
      </c>
    </row>
    <row r="282" spans="1:36" s="376" customFormat="1" ht="81" outlineLevel="2" x14ac:dyDescent="0.3">
      <c r="A282" s="447">
        <v>30</v>
      </c>
      <c r="B282" s="558"/>
      <c r="C282" s="558"/>
      <c r="D282" s="587"/>
      <c r="E282" s="560"/>
      <c r="F282" s="558"/>
      <c r="G282" s="588"/>
      <c r="H282" s="546"/>
      <c r="I282" s="563" t="s">
        <v>25</v>
      </c>
      <c r="J282" s="563" t="s">
        <v>25</v>
      </c>
      <c r="K282" s="564" t="s">
        <v>25</v>
      </c>
      <c r="L282" s="564" t="s">
        <v>25</v>
      </c>
      <c r="M282" s="558" t="s">
        <v>736</v>
      </c>
      <c r="N282" s="558"/>
      <c r="O282" s="590">
        <v>13</v>
      </c>
      <c r="P282" s="564">
        <v>32000</v>
      </c>
      <c r="Q282" s="564">
        <v>416000</v>
      </c>
      <c r="R282" s="566" t="s">
        <v>1863</v>
      </c>
      <c r="S282" s="589" t="s">
        <v>53</v>
      </c>
      <c r="T282" s="591">
        <v>20.399999999999999</v>
      </c>
      <c r="U282" s="589"/>
      <c r="V282" s="564">
        <v>1107311</v>
      </c>
      <c r="W282" s="564">
        <v>22589000</v>
      </c>
      <c r="X282" s="589"/>
      <c r="Y282" s="592" t="s">
        <v>55</v>
      </c>
      <c r="Z282" s="592" t="s">
        <v>56</v>
      </c>
      <c r="AA282" s="568" t="s">
        <v>475</v>
      </c>
      <c r="AB282" s="592" t="s">
        <v>66</v>
      </c>
      <c r="AC282" s="592"/>
      <c r="AD282" s="606"/>
      <c r="AE282" s="590"/>
      <c r="AF282" s="570" t="s">
        <v>2899</v>
      </c>
      <c r="AG282" s="570" t="s">
        <v>25</v>
      </c>
      <c r="AH282" s="571" t="s">
        <v>25</v>
      </c>
      <c r="AI282" s="574" t="s">
        <v>476</v>
      </c>
      <c r="AJ282" s="605" t="s">
        <v>2451</v>
      </c>
    </row>
    <row r="283" spans="1:36" s="376" customFormat="1" ht="101.25" outlineLevel="2" x14ac:dyDescent="0.3">
      <c r="A283" s="447">
        <v>30</v>
      </c>
      <c r="B283" s="643"/>
      <c r="C283" s="643"/>
      <c r="D283" s="587"/>
      <c r="E283" s="560"/>
      <c r="F283" s="558"/>
      <c r="G283" s="588"/>
      <c r="H283" s="546"/>
      <c r="I283" s="563" t="s">
        <v>25</v>
      </c>
      <c r="J283" s="563" t="s">
        <v>25</v>
      </c>
      <c r="K283" s="564" t="s">
        <v>25</v>
      </c>
      <c r="L283" s="564" t="s">
        <v>25</v>
      </c>
      <c r="M283" s="558" t="s">
        <v>737</v>
      </c>
      <c r="N283" s="558"/>
      <c r="O283" s="590">
        <v>1</v>
      </c>
      <c r="P283" s="564">
        <v>0</v>
      </c>
      <c r="Q283" s="564">
        <v>0</v>
      </c>
      <c r="R283" s="566" t="s">
        <v>1844</v>
      </c>
      <c r="S283" s="589" t="s">
        <v>53</v>
      </c>
      <c r="T283" s="591">
        <v>23.4</v>
      </c>
      <c r="U283" s="589"/>
      <c r="V283" s="564">
        <v>770070</v>
      </c>
      <c r="W283" s="564">
        <v>18020000</v>
      </c>
      <c r="X283" s="589"/>
      <c r="Y283" s="592" t="s">
        <v>55</v>
      </c>
      <c r="Z283" s="592" t="s">
        <v>56</v>
      </c>
      <c r="AA283" s="568"/>
      <c r="AB283" s="592" t="s">
        <v>66</v>
      </c>
      <c r="AC283" s="592"/>
      <c r="AD283" s="592"/>
      <c r="AE283" s="590"/>
      <c r="AF283" s="570" t="s">
        <v>2899</v>
      </c>
      <c r="AG283" s="570" t="s">
        <v>25</v>
      </c>
      <c r="AH283" s="571" t="s">
        <v>25</v>
      </c>
      <c r="AI283" s="574"/>
      <c r="AJ283" s="558" t="s">
        <v>2800</v>
      </c>
    </row>
    <row r="284" spans="1:36" s="376" customFormat="1" ht="101.25" outlineLevel="2" x14ac:dyDescent="0.3">
      <c r="A284" s="447">
        <v>30</v>
      </c>
      <c r="B284" s="648"/>
      <c r="C284" s="648"/>
      <c r="D284" s="587"/>
      <c r="E284" s="560"/>
      <c r="F284" s="558"/>
      <c r="G284" s="588"/>
      <c r="H284" s="546"/>
      <c r="I284" s="563" t="s">
        <v>25</v>
      </c>
      <c r="J284" s="563" t="s">
        <v>25</v>
      </c>
      <c r="K284" s="564" t="s">
        <v>25</v>
      </c>
      <c r="L284" s="564" t="s">
        <v>25</v>
      </c>
      <c r="M284" s="646" t="s">
        <v>148</v>
      </c>
      <c r="N284" s="646"/>
      <c r="O284" s="590">
        <v>2</v>
      </c>
      <c r="P284" s="564">
        <v>70000</v>
      </c>
      <c r="Q284" s="564">
        <v>140000</v>
      </c>
      <c r="R284" s="646" t="s">
        <v>2275</v>
      </c>
      <c r="S284" s="647" t="s">
        <v>53</v>
      </c>
      <c r="T284" s="591">
        <v>178.35</v>
      </c>
      <c r="U284" s="649"/>
      <c r="V284" s="564">
        <v>1116028</v>
      </c>
      <c r="W284" s="564">
        <v>199044000</v>
      </c>
      <c r="X284" s="589"/>
      <c r="Y284" s="592"/>
      <c r="Z284" s="592"/>
      <c r="AA284" s="568"/>
      <c r="AB284" s="592"/>
      <c r="AC284" s="592"/>
      <c r="AD284" s="592"/>
      <c r="AE284" s="590"/>
      <c r="AF284" s="570" t="s">
        <v>2899</v>
      </c>
      <c r="AG284" s="570" t="s">
        <v>25</v>
      </c>
      <c r="AH284" s="571" t="s">
        <v>25</v>
      </c>
      <c r="AI284" s="558"/>
      <c r="AJ284" s="558"/>
    </row>
    <row r="285" spans="1:36" s="376" customFormat="1" ht="81" outlineLevel="2" x14ac:dyDescent="0.3">
      <c r="A285" s="447">
        <v>30</v>
      </c>
      <c r="B285" s="648"/>
      <c r="C285" s="648"/>
      <c r="D285" s="587"/>
      <c r="E285" s="560"/>
      <c r="F285" s="558"/>
      <c r="G285" s="588"/>
      <c r="H285" s="546"/>
      <c r="I285" s="563" t="s">
        <v>25</v>
      </c>
      <c r="J285" s="563" t="s">
        <v>25</v>
      </c>
      <c r="K285" s="564" t="s">
        <v>25</v>
      </c>
      <c r="L285" s="564" t="s">
        <v>25</v>
      </c>
      <c r="M285" s="646" t="s">
        <v>149</v>
      </c>
      <c r="N285" s="646"/>
      <c r="O285" s="590">
        <v>1</v>
      </c>
      <c r="P285" s="564">
        <v>146000</v>
      </c>
      <c r="Q285" s="564">
        <v>146000</v>
      </c>
      <c r="R285" s="646" t="s">
        <v>2276</v>
      </c>
      <c r="S285" s="647" t="s">
        <v>53</v>
      </c>
      <c r="T285" s="591">
        <v>100.45</v>
      </c>
      <c r="U285" s="649"/>
      <c r="V285" s="564">
        <v>1116028</v>
      </c>
      <c r="W285" s="564">
        <v>112105000</v>
      </c>
      <c r="X285" s="589"/>
      <c r="Y285" s="592"/>
      <c r="Z285" s="592"/>
      <c r="AA285" s="568"/>
      <c r="AB285" s="592"/>
      <c r="AC285" s="592"/>
      <c r="AD285" s="592"/>
      <c r="AE285" s="590"/>
      <c r="AF285" s="570" t="s">
        <v>2899</v>
      </c>
      <c r="AG285" s="570" t="s">
        <v>25</v>
      </c>
      <c r="AH285" s="571" t="s">
        <v>25</v>
      </c>
      <c r="AI285" s="593"/>
      <c r="AJ285" s="593"/>
    </row>
    <row r="286" spans="1:36" s="376" customFormat="1" ht="40.5" outlineLevel="2" x14ac:dyDescent="0.3">
      <c r="A286" s="447">
        <v>30</v>
      </c>
      <c r="B286" s="558"/>
      <c r="C286" s="558"/>
      <c r="D286" s="587"/>
      <c r="E286" s="560"/>
      <c r="F286" s="558"/>
      <c r="G286" s="588"/>
      <c r="H286" s="546"/>
      <c r="I286" s="563" t="s">
        <v>25</v>
      </c>
      <c r="J286" s="563" t="s">
        <v>25</v>
      </c>
      <c r="K286" s="564" t="s">
        <v>25</v>
      </c>
      <c r="L286" s="564" t="s">
        <v>25</v>
      </c>
      <c r="M286" s="646" t="s">
        <v>76</v>
      </c>
      <c r="N286" s="646"/>
      <c r="O286" s="590">
        <v>3</v>
      </c>
      <c r="P286" s="564">
        <v>45000</v>
      </c>
      <c r="Q286" s="564">
        <v>135000</v>
      </c>
      <c r="R286" s="646" t="s">
        <v>1799</v>
      </c>
      <c r="S286" s="647" t="s">
        <v>53</v>
      </c>
      <c r="T286" s="591">
        <v>10.199999999999999</v>
      </c>
      <c r="U286" s="649"/>
      <c r="V286" s="564">
        <v>275180</v>
      </c>
      <c r="W286" s="564">
        <v>2807000</v>
      </c>
      <c r="X286" s="589"/>
      <c r="Y286" s="592"/>
      <c r="Z286" s="592"/>
      <c r="AA286" s="568"/>
      <c r="AB286" s="592"/>
      <c r="AC286" s="592"/>
      <c r="AD286" s="592"/>
      <c r="AE286" s="590"/>
      <c r="AF286" s="570" t="s">
        <v>2899</v>
      </c>
      <c r="AG286" s="570" t="s">
        <v>25</v>
      </c>
      <c r="AH286" s="571" t="s">
        <v>25</v>
      </c>
      <c r="AI286" s="593"/>
      <c r="AJ286" s="593"/>
    </row>
    <row r="287" spans="1:36" s="376" customFormat="1" ht="40.5" outlineLevel="2" x14ac:dyDescent="0.3">
      <c r="A287" s="447">
        <v>30</v>
      </c>
      <c r="B287" s="558"/>
      <c r="C287" s="558"/>
      <c r="D287" s="587"/>
      <c r="E287" s="560"/>
      <c r="F287" s="558"/>
      <c r="G287" s="588"/>
      <c r="H287" s="546"/>
      <c r="I287" s="563" t="s">
        <v>25</v>
      </c>
      <c r="J287" s="563" t="s">
        <v>25</v>
      </c>
      <c r="K287" s="564" t="s">
        <v>25</v>
      </c>
      <c r="L287" s="564" t="s">
        <v>25</v>
      </c>
      <c r="M287" s="646" t="s">
        <v>738</v>
      </c>
      <c r="N287" s="646"/>
      <c r="O287" s="590">
        <v>10</v>
      </c>
      <c r="P287" s="564">
        <v>0</v>
      </c>
      <c r="Q287" s="564">
        <v>0</v>
      </c>
      <c r="R287" s="646" t="s">
        <v>1799</v>
      </c>
      <c r="S287" s="647" t="s">
        <v>53</v>
      </c>
      <c r="T287" s="591">
        <v>20.399999999999999</v>
      </c>
      <c r="U287" s="649"/>
      <c r="V287" s="564">
        <v>275180</v>
      </c>
      <c r="W287" s="564">
        <v>5614000</v>
      </c>
      <c r="X287" s="589"/>
      <c r="Y287" s="592"/>
      <c r="Z287" s="592"/>
      <c r="AA287" s="568"/>
      <c r="AB287" s="592"/>
      <c r="AC287" s="592"/>
      <c r="AD287" s="592"/>
      <c r="AE287" s="590"/>
      <c r="AF287" s="570" t="s">
        <v>2899</v>
      </c>
      <c r="AG287" s="570" t="s">
        <v>25</v>
      </c>
      <c r="AH287" s="571" t="s">
        <v>25</v>
      </c>
      <c r="AI287" s="593"/>
      <c r="AJ287" s="593"/>
    </row>
    <row r="288" spans="1:36" s="376" customFormat="1" ht="40.5" outlineLevel="2" x14ac:dyDescent="0.3">
      <c r="A288" s="447">
        <v>30</v>
      </c>
      <c r="B288" s="558"/>
      <c r="C288" s="558"/>
      <c r="D288" s="587"/>
      <c r="E288" s="560"/>
      <c r="F288" s="558"/>
      <c r="G288" s="588"/>
      <c r="H288" s="546"/>
      <c r="I288" s="563" t="s">
        <v>25</v>
      </c>
      <c r="J288" s="563" t="s">
        <v>25</v>
      </c>
      <c r="K288" s="564" t="s">
        <v>25</v>
      </c>
      <c r="L288" s="564" t="s">
        <v>25</v>
      </c>
      <c r="M288" s="646" t="s">
        <v>401</v>
      </c>
      <c r="N288" s="646"/>
      <c r="O288" s="590">
        <v>15</v>
      </c>
      <c r="P288" s="564">
        <v>80000</v>
      </c>
      <c r="Q288" s="564">
        <v>1200000</v>
      </c>
      <c r="R288" s="646" t="s">
        <v>1799</v>
      </c>
      <c r="S288" s="647" t="s">
        <v>53</v>
      </c>
      <c r="T288" s="591">
        <v>23.4</v>
      </c>
      <c r="U288" s="649"/>
      <c r="V288" s="564">
        <v>275180</v>
      </c>
      <c r="W288" s="564">
        <v>6439000</v>
      </c>
      <c r="X288" s="589"/>
      <c r="Y288" s="592"/>
      <c r="Z288" s="592"/>
      <c r="AA288" s="568"/>
      <c r="AB288" s="592"/>
      <c r="AC288" s="592"/>
      <c r="AD288" s="592"/>
      <c r="AE288" s="590"/>
      <c r="AF288" s="570" t="s">
        <v>2899</v>
      </c>
      <c r="AG288" s="570" t="s">
        <v>25</v>
      </c>
      <c r="AH288" s="571" t="s">
        <v>25</v>
      </c>
      <c r="AI288" s="593"/>
      <c r="AJ288" s="593"/>
    </row>
    <row r="289" spans="1:36" s="376" customFormat="1" ht="60.75" outlineLevel="2" x14ac:dyDescent="0.3">
      <c r="A289" s="447">
        <v>30</v>
      </c>
      <c r="B289" s="558"/>
      <c r="C289" s="558"/>
      <c r="D289" s="587"/>
      <c r="E289" s="560"/>
      <c r="F289" s="558"/>
      <c r="G289" s="588"/>
      <c r="H289" s="546"/>
      <c r="I289" s="563" t="s">
        <v>25</v>
      </c>
      <c r="J289" s="563" t="s">
        <v>25</v>
      </c>
      <c r="K289" s="564" t="s">
        <v>25</v>
      </c>
      <c r="L289" s="564" t="s">
        <v>25</v>
      </c>
      <c r="M289" s="646" t="s">
        <v>739</v>
      </c>
      <c r="N289" s="646"/>
      <c r="O289" s="590">
        <v>1</v>
      </c>
      <c r="P289" s="564">
        <v>72000</v>
      </c>
      <c r="Q289" s="564">
        <v>72000</v>
      </c>
      <c r="R289" s="646" t="s">
        <v>1767</v>
      </c>
      <c r="S289" s="647" t="s">
        <v>53</v>
      </c>
      <c r="T289" s="591">
        <v>4.05</v>
      </c>
      <c r="U289" s="649"/>
      <c r="V289" s="564">
        <v>0</v>
      </c>
      <c r="W289" s="564">
        <v>0</v>
      </c>
      <c r="X289" s="589"/>
      <c r="Y289" s="592"/>
      <c r="Z289" s="592"/>
      <c r="AA289" s="568"/>
      <c r="AB289" s="592"/>
      <c r="AC289" s="592"/>
      <c r="AD289" s="592"/>
      <c r="AE289" s="590"/>
      <c r="AF289" s="570" t="s">
        <v>2899</v>
      </c>
      <c r="AG289" s="570" t="s">
        <v>25</v>
      </c>
      <c r="AH289" s="571" t="s">
        <v>25</v>
      </c>
      <c r="AI289" s="593"/>
      <c r="AJ289" s="593"/>
    </row>
    <row r="290" spans="1:36" s="376" customFormat="1" ht="40.5" outlineLevel="2" x14ac:dyDescent="0.3">
      <c r="A290" s="447">
        <v>30</v>
      </c>
      <c r="B290" s="558"/>
      <c r="C290" s="558"/>
      <c r="D290" s="587"/>
      <c r="E290" s="560"/>
      <c r="F290" s="558"/>
      <c r="G290" s="588"/>
      <c r="H290" s="546"/>
      <c r="I290" s="563" t="s">
        <v>25</v>
      </c>
      <c r="J290" s="563" t="s">
        <v>25</v>
      </c>
      <c r="K290" s="564" t="s">
        <v>25</v>
      </c>
      <c r="L290" s="564" t="s">
        <v>25</v>
      </c>
      <c r="M290" s="646" t="s">
        <v>731</v>
      </c>
      <c r="N290" s="646"/>
      <c r="O290" s="590">
        <v>1</v>
      </c>
      <c r="P290" s="564">
        <v>165000</v>
      </c>
      <c r="Q290" s="564">
        <v>165000</v>
      </c>
      <c r="R290" s="586" t="s">
        <v>1801</v>
      </c>
      <c r="S290" s="609" t="s">
        <v>78</v>
      </c>
      <c r="T290" s="591">
        <v>0.12</v>
      </c>
      <c r="U290" s="649"/>
      <c r="V290" s="564">
        <v>0</v>
      </c>
      <c r="W290" s="564">
        <v>0</v>
      </c>
      <c r="X290" s="589"/>
      <c r="Y290" s="592"/>
      <c r="Z290" s="592"/>
      <c r="AA290" s="568"/>
      <c r="AB290" s="592"/>
      <c r="AC290" s="592"/>
      <c r="AD290" s="592"/>
      <c r="AE290" s="590"/>
      <c r="AF290" s="570" t="s">
        <v>2899</v>
      </c>
      <c r="AG290" s="570" t="s">
        <v>25</v>
      </c>
      <c r="AH290" s="571" t="s">
        <v>25</v>
      </c>
      <c r="AI290" s="593"/>
      <c r="AJ290" s="593"/>
    </row>
    <row r="291" spans="1:36" s="376" customFormat="1" ht="40.5" outlineLevel="2" x14ac:dyDescent="0.3">
      <c r="A291" s="447">
        <v>30</v>
      </c>
      <c r="B291" s="558"/>
      <c r="C291" s="558"/>
      <c r="D291" s="587"/>
      <c r="E291" s="560"/>
      <c r="F291" s="558"/>
      <c r="G291" s="588"/>
      <c r="H291" s="546"/>
      <c r="I291" s="563" t="s">
        <v>25</v>
      </c>
      <c r="J291" s="563" t="s">
        <v>25</v>
      </c>
      <c r="K291" s="564" t="s">
        <v>25</v>
      </c>
      <c r="L291" s="564" t="s">
        <v>25</v>
      </c>
      <c r="M291" s="646" t="s">
        <v>740</v>
      </c>
      <c r="N291" s="646"/>
      <c r="O291" s="590">
        <v>1</v>
      </c>
      <c r="P291" s="564">
        <v>60000</v>
      </c>
      <c r="Q291" s="564">
        <v>60000</v>
      </c>
      <c r="R291" s="586" t="s">
        <v>2277</v>
      </c>
      <c r="S291" s="609" t="s">
        <v>78</v>
      </c>
      <c r="T291" s="591">
        <v>15.48</v>
      </c>
      <c r="U291" s="649"/>
      <c r="V291" s="564">
        <v>0</v>
      </c>
      <c r="W291" s="564">
        <v>0</v>
      </c>
      <c r="X291" s="589"/>
      <c r="Y291" s="592"/>
      <c r="Z291" s="592"/>
      <c r="AA291" s="568"/>
      <c r="AB291" s="592"/>
      <c r="AC291" s="592"/>
      <c r="AD291" s="592"/>
      <c r="AE291" s="590"/>
      <c r="AF291" s="570" t="s">
        <v>2899</v>
      </c>
      <c r="AG291" s="570" t="s">
        <v>25</v>
      </c>
      <c r="AH291" s="571" t="s">
        <v>25</v>
      </c>
      <c r="AI291" s="593"/>
      <c r="AJ291" s="593"/>
    </row>
    <row r="292" spans="1:36" s="376" customFormat="1" ht="40.5" outlineLevel="2" x14ac:dyDescent="0.3">
      <c r="A292" s="447">
        <v>30</v>
      </c>
      <c r="B292" s="558"/>
      <c r="C292" s="558"/>
      <c r="D292" s="587"/>
      <c r="E292" s="560"/>
      <c r="F292" s="558"/>
      <c r="G292" s="588"/>
      <c r="H292" s="546"/>
      <c r="I292" s="563" t="s">
        <v>25</v>
      </c>
      <c r="J292" s="563" t="s">
        <v>25</v>
      </c>
      <c r="K292" s="564" t="s">
        <v>25</v>
      </c>
      <c r="L292" s="564" t="s">
        <v>25</v>
      </c>
      <c r="M292" s="593"/>
      <c r="N292" s="593"/>
      <c r="O292" s="616"/>
      <c r="P292" s="564" t="s">
        <v>25</v>
      </c>
      <c r="Q292" s="564" t="s">
        <v>25</v>
      </c>
      <c r="R292" s="586" t="s">
        <v>2149</v>
      </c>
      <c r="S292" s="609" t="s">
        <v>78</v>
      </c>
      <c r="T292" s="591">
        <v>1.02</v>
      </c>
      <c r="U292" s="649"/>
      <c r="V292" s="564">
        <v>0</v>
      </c>
      <c r="W292" s="564">
        <v>0</v>
      </c>
      <c r="X292" s="589"/>
      <c r="Y292" s="592"/>
      <c r="Z292" s="592"/>
      <c r="AA292" s="568"/>
      <c r="AB292" s="592"/>
      <c r="AC292" s="592"/>
      <c r="AD292" s="592"/>
      <c r="AE292" s="590"/>
      <c r="AF292" s="570" t="s">
        <v>2899</v>
      </c>
      <c r="AG292" s="570" t="s">
        <v>25</v>
      </c>
      <c r="AH292" s="571" t="s">
        <v>25</v>
      </c>
      <c r="AI292" s="593"/>
      <c r="AJ292" s="593"/>
    </row>
    <row r="293" spans="1:36" s="376" customFormat="1" ht="81" outlineLevel="2" x14ac:dyDescent="0.3">
      <c r="A293" s="447">
        <v>30</v>
      </c>
      <c r="B293" s="558"/>
      <c r="C293" s="558"/>
      <c r="D293" s="587"/>
      <c r="E293" s="560"/>
      <c r="F293" s="558"/>
      <c r="G293" s="588"/>
      <c r="H293" s="546"/>
      <c r="I293" s="563" t="s">
        <v>25</v>
      </c>
      <c r="J293" s="563" t="s">
        <v>25</v>
      </c>
      <c r="K293" s="564" t="s">
        <v>25</v>
      </c>
      <c r="L293" s="564" t="s">
        <v>25</v>
      </c>
      <c r="M293" s="586"/>
      <c r="N293" s="586"/>
      <c r="O293" s="630"/>
      <c r="P293" s="564" t="s">
        <v>25</v>
      </c>
      <c r="Q293" s="564" t="s">
        <v>25</v>
      </c>
      <c r="R293" s="586" t="s">
        <v>2278</v>
      </c>
      <c r="S293" s="609" t="s">
        <v>78</v>
      </c>
      <c r="T293" s="591">
        <v>2.15</v>
      </c>
      <c r="U293" s="589"/>
      <c r="V293" s="564">
        <v>3135130</v>
      </c>
      <c r="W293" s="564">
        <v>6741000</v>
      </c>
      <c r="X293" s="589"/>
      <c r="Y293" s="592"/>
      <c r="Z293" s="592"/>
      <c r="AA293" s="568"/>
      <c r="AB293" s="592"/>
      <c r="AC293" s="592"/>
      <c r="AD293" s="592"/>
      <c r="AE293" s="590"/>
      <c r="AF293" s="570" t="s">
        <v>2899</v>
      </c>
      <c r="AG293" s="570" t="s">
        <v>25</v>
      </c>
      <c r="AH293" s="571" t="s">
        <v>25</v>
      </c>
      <c r="AI293" s="593"/>
      <c r="AJ293" s="593"/>
    </row>
    <row r="294" spans="1:36" s="376" customFormat="1" ht="60.75" outlineLevel="2" x14ac:dyDescent="0.3">
      <c r="A294" s="447">
        <v>30</v>
      </c>
      <c r="B294" s="558"/>
      <c r="C294" s="558"/>
      <c r="D294" s="587"/>
      <c r="E294" s="560"/>
      <c r="F294" s="558"/>
      <c r="G294" s="588"/>
      <c r="H294" s="546"/>
      <c r="I294" s="563" t="s">
        <v>25</v>
      </c>
      <c r="J294" s="563" t="s">
        <v>25</v>
      </c>
      <c r="K294" s="564" t="s">
        <v>25</v>
      </c>
      <c r="L294" s="564" t="s">
        <v>25</v>
      </c>
      <c r="M294" s="586"/>
      <c r="N294" s="586"/>
      <c r="O294" s="630"/>
      <c r="P294" s="564" t="s">
        <v>25</v>
      </c>
      <c r="Q294" s="564" t="s">
        <v>25</v>
      </c>
      <c r="R294" s="586" t="s">
        <v>2279</v>
      </c>
      <c r="S294" s="609" t="s">
        <v>101</v>
      </c>
      <c r="T294" s="591">
        <v>4</v>
      </c>
      <c r="U294" s="589"/>
      <c r="V294" s="564">
        <v>85020</v>
      </c>
      <c r="W294" s="564">
        <v>340000</v>
      </c>
      <c r="X294" s="589"/>
      <c r="Y294" s="592"/>
      <c r="Z294" s="592"/>
      <c r="AA294" s="568"/>
      <c r="AB294" s="592"/>
      <c r="AC294" s="592"/>
      <c r="AD294" s="592"/>
      <c r="AE294" s="590"/>
      <c r="AF294" s="570" t="s">
        <v>2899</v>
      </c>
      <c r="AG294" s="570" t="s">
        <v>25</v>
      </c>
      <c r="AH294" s="571" t="s">
        <v>25</v>
      </c>
      <c r="AI294" s="593"/>
      <c r="AJ294" s="593"/>
    </row>
    <row r="295" spans="1:36" s="376" customFormat="1" ht="60.75" outlineLevel="2" x14ac:dyDescent="0.3">
      <c r="A295" s="447">
        <v>30</v>
      </c>
      <c r="B295" s="574"/>
      <c r="C295" s="574"/>
      <c r="D295" s="587"/>
      <c r="E295" s="560"/>
      <c r="F295" s="558"/>
      <c r="G295" s="588"/>
      <c r="H295" s="546"/>
      <c r="I295" s="563" t="s">
        <v>25</v>
      </c>
      <c r="J295" s="563" t="s">
        <v>25</v>
      </c>
      <c r="K295" s="564" t="s">
        <v>25</v>
      </c>
      <c r="L295" s="564" t="s">
        <v>25</v>
      </c>
      <c r="M295" s="586"/>
      <c r="N295" s="586"/>
      <c r="O295" s="630"/>
      <c r="P295" s="564" t="s">
        <v>25</v>
      </c>
      <c r="Q295" s="564" t="s">
        <v>25</v>
      </c>
      <c r="R295" s="586" t="s">
        <v>2280</v>
      </c>
      <c r="S295" s="609" t="s">
        <v>101</v>
      </c>
      <c r="T295" s="591">
        <v>6</v>
      </c>
      <c r="U295" s="589"/>
      <c r="V295" s="564">
        <v>107278</v>
      </c>
      <c r="W295" s="564">
        <v>644000</v>
      </c>
      <c r="X295" s="589"/>
      <c r="Y295" s="592"/>
      <c r="Z295" s="592"/>
      <c r="AA295" s="568"/>
      <c r="AB295" s="592"/>
      <c r="AC295" s="592"/>
      <c r="AD295" s="592"/>
      <c r="AE295" s="590"/>
      <c r="AF295" s="570" t="s">
        <v>2899</v>
      </c>
      <c r="AG295" s="570" t="s">
        <v>25</v>
      </c>
      <c r="AH295" s="571" t="s">
        <v>25</v>
      </c>
      <c r="AI295" s="593"/>
      <c r="AJ295" s="593"/>
    </row>
    <row r="296" spans="1:36" s="376" customFormat="1" ht="40.5" outlineLevel="2" x14ac:dyDescent="0.3">
      <c r="A296" s="447">
        <v>30</v>
      </c>
      <c r="B296" s="574"/>
      <c r="C296" s="574"/>
      <c r="D296" s="594"/>
      <c r="E296" s="577"/>
      <c r="F296" s="558"/>
      <c r="G296" s="588"/>
      <c r="H296" s="546"/>
      <c r="I296" s="563" t="s">
        <v>25</v>
      </c>
      <c r="J296" s="563" t="s">
        <v>25</v>
      </c>
      <c r="K296" s="564" t="s">
        <v>25</v>
      </c>
      <c r="L296" s="564" t="s">
        <v>25</v>
      </c>
      <c r="M296" s="586"/>
      <c r="N296" s="586"/>
      <c r="O296" s="630"/>
      <c r="P296" s="564" t="s">
        <v>25</v>
      </c>
      <c r="Q296" s="564" t="s">
        <v>25</v>
      </c>
      <c r="R296" s="586" t="s">
        <v>2281</v>
      </c>
      <c r="S296" s="609" t="s">
        <v>53</v>
      </c>
      <c r="T296" s="591">
        <v>15.4</v>
      </c>
      <c r="U296" s="589"/>
      <c r="V296" s="564">
        <v>0</v>
      </c>
      <c r="W296" s="564">
        <v>0</v>
      </c>
      <c r="X296" s="589"/>
      <c r="Y296" s="592"/>
      <c r="Z296" s="592"/>
      <c r="AA296" s="568"/>
      <c r="AB296" s="592"/>
      <c r="AC296" s="592"/>
      <c r="AD296" s="592"/>
      <c r="AE296" s="590"/>
      <c r="AF296" s="570" t="s">
        <v>2899</v>
      </c>
      <c r="AG296" s="570" t="s">
        <v>25</v>
      </c>
      <c r="AH296" s="571" t="s">
        <v>25</v>
      </c>
      <c r="AI296" s="593"/>
      <c r="AJ296" s="593"/>
    </row>
    <row r="297" spans="1:36" s="376" customFormat="1" ht="60.75" outlineLevel="2" x14ac:dyDescent="0.3">
      <c r="A297" s="447">
        <v>30</v>
      </c>
      <c r="B297" s="574"/>
      <c r="C297" s="574"/>
      <c r="D297" s="587"/>
      <c r="E297" s="560"/>
      <c r="F297" s="574"/>
      <c r="G297" s="588"/>
      <c r="H297" s="546"/>
      <c r="I297" s="563" t="s">
        <v>25</v>
      </c>
      <c r="J297" s="563" t="s">
        <v>25</v>
      </c>
      <c r="K297" s="564" t="s">
        <v>25</v>
      </c>
      <c r="L297" s="564" t="s">
        <v>25</v>
      </c>
      <c r="M297" s="578"/>
      <c r="N297" s="578"/>
      <c r="O297" s="633"/>
      <c r="P297" s="564" t="s">
        <v>25</v>
      </c>
      <c r="Q297" s="564" t="s">
        <v>25</v>
      </c>
      <c r="R297" s="586" t="s">
        <v>1825</v>
      </c>
      <c r="S297" s="609" t="s">
        <v>93</v>
      </c>
      <c r="T297" s="591">
        <v>1</v>
      </c>
      <c r="U297" s="610"/>
      <c r="V297" s="564">
        <v>0</v>
      </c>
      <c r="W297" s="564">
        <v>0</v>
      </c>
      <c r="X297" s="601"/>
      <c r="Y297" s="580"/>
      <c r="Z297" s="601"/>
      <c r="AA297" s="584"/>
      <c r="AB297" s="601"/>
      <c r="AC297" s="601"/>
      <c r="AD297" s="601"/>
      <c r="AE297" s="599"/>
      <c r="AF297" s="570" t="s">
        <v>2899</v>
      </c>
      <c r="AG297" s="570" t="s">
        <v>25</v>
      </c>
      <c r="AH297" s="571" t="s">
        <v>25</v>
      </c>
      <c r="AI297" s="650"/>
      <c r="AJ297" s="650"/>
    </row>
    <row r="298" spans="1:36" s="376" customFormat="1" ht="60.75" outlineLevel="2" x14ac:dyDescent="0.3">
      <c r="A298" s="447">
        <v>30</v>
      </c>
      <c r="B298" s="558"/>
      <c r="C298" s="558"/>
      <c r="D298" s="587"/>
      <c r="E298" s="560"/>
      <c r="F298" s="558"/>
      <c r="G298" s="588"/>
      <c r="H298" s="546"/>
      <c r="I298" s="563" t="s">
        <v>25</v>
      </c>
      <c r="J298" s="563" t="s">
        <v>25</v>
      </c>
      <c r="K298" s="564" t="s">
        <v>25</v>
      </c>
      <c r="L298" s="564" t="s">
        <v>25</v>
      </c>
      <c r="M298" s="586"/>
      <c r="N298" s="586"/>
      <c r="O298" s="630"/>
      <c r="P298" s="564" t="s">
        <v>25</v>
      </c>
      <c r="Q298" s="564" t="s">
        <v>25</v>
      </c>
      <c r="R298" s="586" t="s">
        <v>2282</v>
      </c>
      <c r="S298" s="609" t="s">
        <v>53</v>
      </c>
      <c r="T298" s="591">
        <v>57</v>
      </c>
      <c r="U298" s="611"/>
      <c r="V298" s="564">
        <v>272615</v>
      </c>
      <c r="W298" s="564">
        <v>15539000</v>
      </c>
      <c r="X298" s="562"/>
      <c r="Y298" s="592"/>
      <c r="Z298" s="592"/>
      <c r="AA298" s="568"/>
      <c r="AB298" s="592"/>
      <c r="AC298" s="592"/>
      <c r="AD298" s="592"/>
      <c r="AE298" s="590"/>
      <c r="AF298" s="570" t="s">
        <v>2899</v>
      </c>
      <c r="AG298" s="570" t="s">
        <v>25</v>
      </c>
      <c r="AH298" s="571" t="s">
        <v>25</v>
      </c>
      <c r="AI298" s="586"/>
      <c r="AJ298" s="586"/>
    </row>
    <row r="299" spans="1:36" s="376" customFormat="1" ht="20.25" outlineLevel="2" x14ac:dyDescent="0.3">
      <c r="A299" s="447">
        <v>30</v>
      </c>
      <c r="B299" s="558"/>
      <c r="C299" s="558"/>
      <c r="D299" s="587"/>
      <c r="E299" s="560"/>
      <c r="F299" s="558"/>
      <c r="G299" s="588"/>
      <c r="H299" s="546"/>
      <c r="I299" s="563" t="s">
        <v>25</v>
      </c>
      <c r="J299" s="563" t="s">
        <v>25</v>
      </c>
      <c r="K299" s="564" t="s">
        <v>25</v>
      </c>
      <c r="L299" s="564" t="s">
        <v>25</v>
      </c>
      <c r="M299" s="586"/>
      <c r="N299" s="586"/>
      <c r="O299" s="630"/>
      <c r="P299" s="564" t="s">
        <v>25</v>
      </c>
      <c r="Q299" s="564" t="s">
        <v>25</v>
      </c>
      <c r="R299" s="593"/>
      <c r="S299" s="593"/>
      <c r="T299" s="617"/>
      <c r="U299" s="611"/>
      <c r="V299" s="564" t="s">
        <v>2899</v>
      </c>
      <c r="W299" s="564" t="s">
        <v>25</v>
      </c>
      <c r="X299" s="562"/>
      <c r="Y299" s="592"/>
      <c r="Z299" s="592"/>
      <c r="AA299" s="568"/>
      <c r="AB299" s="592"/>
      <c r="AC299" s="592"/>
      <c r="AD299" s="592"/>
      <c r="AE299" s="590"/>
      <c r="AF299" s="570" t="s">
        <v>2899</v>
      </c>
      <c r="AG299" s="570" t="s">
        <v>25</v>
      </c>
      <c r="AH299" s="571" t="s">
        <v>25</v>
      </c>
      <c r="AI299" s="586"/>
      <c r="AJ299" s="586"/>
    </row>
    <row r="300" spans="1:36" s="376" customFormat="1" ht="20.25" outlineLevel="2" x14ac:dyDescent="0.3">
      <c r="A300" s="447">
        <v>30</v>
      </c>
      <c r="B300" s="558"/>
      <c r="C300" s="558"/>
      <c r="D300" s="587"/>
      <c r="E300" s="560"/>
      <c r="F300" s="558"/>
      <c r="G300" s="588"/>
      <c r="H300" s="546"/>
      <c r="I300" s="563" t="s">
        <v>25</v>
      </c>
      <c r="J300" s="563" t="s">
        <v>25</v>
      </c>
      <c r="K300" s="564" t="s">
        <v>25</v>
      </c>
      <c r="L300" s="564" t="s">
        <v>25</v>
      </c>
      <c r="M300" s="586"/>
      <c r="N300" s="586"/>
      <c r="O300" s="630"/>
      <c r="P300" s="564" t="s">
        <v>25</v>
      </c>
      <c r="Q300" s="564" t="s">
        <v>25</v>
      </c>
      <c r="R300" s="593"/>
      <c r="S300" s="593"/>
      <c r="T300" s="617"/>
      <c r="U300" s="611"/>
      <c r="V300" s="564" t="s">
        <v>2899</v>
      </c>
      <c r="W300" s="564" t="s">
        <v>25</v>
      </c>
      <c r="X300" s="562"/>
      <c r="Y300" s="592"/>
      <c r="Z300" s="592"/>
      <c r="AA300" s="568"/>
      <c r="AB300" s="592"/>
      <c r="AC300" s="592"/>
      <c r="AD300" s="592"/>
      <c r="AE300" s="590"/>
      <c r="AF300" s="570" t="s">
        <v>2899</v>
      </c>
      <c r="AG300" s="570" t="s">
        <v>25</v>
      </c>
      <c r="AH300" s="571" t="s">
        <v>25</v>
      </c>
      <c r="AI300" s="586"/>
      <c r="AJ300" s="586"/>
    </row>
    <row r="301" spans="1:36" s="376" customFormat="1" ht="20.25" outlineLevel="2" x14ac:dyDescent="0.3">
      <c r="A301" s="447">
        <v>30</v>
      </c>
      <c r="B301" s="558"/>
      <c r="C301" s="558"/>
      <c r="D301" s="587"/>
      <c r="E301" s="560"/>
      <c r="F301" s="558"/>
      <c r="G301" s="588"/>
      <c r="H301" s="546"/>
      <c r="I301" s="563" t="s">
        <v>25</v>
      </c>
      <c r="J301" s="563" t="s">
        <v>25</v>
      </c>
      <c r="K301" s="564" t="s">
        <v>25</v>
      </c>
      <c r="L301" s="564" t="s">
        <v>25</v>
      </c>
      <c r="M301" s="586"/>
      <c r="N301" s="586"/>
      <c r="O301" s="630"/>
      <c r="P301" s="564" t="s">
        <v>25</v>
      </c>
      <c r="Q301" s="564" t="s">
        <v>25</v>
      </c>
      <c r="R301" s="593"/>
      <c r="S301" s="593"/>
      <c r="T301" s="617"/>
      <c r="U301" s="611"/>
      <c r="V301" s="564" t="s">
        <v>2899</v>
      </c>
      <c r="W301" s="564" t="s">
        <v>25</v>
      </c>
      <c r="X301" s="562"/>
      <c r="Y301" s="592"/>
      <c r="Z301" s="592"/>
      <c r="AA301" s="568"/>
      <c r="AB301" s="592"/>
      <c r="AC301" s="592"/>
      <c r="AD301" s="592"/>
      <c r="AE301" s="590"/>
      <c r="AF301" s="570" t="s">
        <v>2899</v>
      </c>
      <c r="AG301" s="570" t="s">
        <v>25</v>
      </c>
      <c r="AH301" s="571" t="s">
        <v>25</v>
      </c>
      <c r="AI301" s="586"/>
      <c r="AJ301" s="586"/>
    </row>
    <row r="302" spans="1:36" s="376" customFormat="1" ht="20.25" outlineLevel="2" x14ac:dyDescent="0.3">
      <c r="A302" s="447">
        <v>30</v>
      </c>
      <c r="B302" s="558"/>
      <c r="C302" s="558"/>
      <c r="D302" s="587"/>
      <c r="E302" s="560"/>
      <c r="F302" s="558"/>
      <c r="G302" s="588"/>
      <c r="H302" s="546"/>
      <c r="I302" s="563" t="s">
        <v>25</v>
      </c>
      <c r="J302" s="563" t="s">
        <v>25</v>
      </c>
      <c r="K302" s="564" t="s">
        <v>25</v>
      </c>
      <c r="L302" s="564" t="s">
        <v>25</v>
      </c>
      <c r="M302" s="586"/>
      <c r="N302" s="586"/>
      <c r="O302" s="630"/>
      <c r="P302" s="564" t="s">
        <v>25</v>
      </c>
      <c r="Q302" s="564" t="s">
        <v>25</v>
      </c>
      <c r="R302" s="593"/>
      <c r="S302" s="593"/>
      <c r="T302" s="617"/>
      <c r="U302" s="611"/>
      <c r="V302" s="564" t="s">
        <v>2899</v>
      </c>
      <c r="W302" s="564" t="s">
        <v>25</v>
      </c>
      <c r="X302" s="562"/>
      <c r="Y302" s="592"/>
      <c r="Z302" s="592"/>
      <c r="AA302" s="568"/>
      <c r="AB302" s="592"/>
      <c r="AC302" s="592"/>
      <c r="AD302" s="592"/>
      <c r="AE302" s="590"/>
      <c r="AF302" s="570" t="s">
        <v>2899</v>
      </c>
      <c r="AG302" s="570" t="s">
        <v>25</v>
      </c>
      <c r="AH302" s="571" t="s">
        <v>25</v>
      </c>
      <c r="AI302" s="586"/>
      <c r="AJ302" s="586"/>
    </row>
    <row r="303" spans="1:36" s="376" customFormat="1" ht="20.25" outlineLevel="2" x14ac:dyDescent="0.3">
      <c r="A303" s="447">
        <v>30</v>
      </c>
      <c r="B303" s="558"/>
      <c r="C303" s="558"/>
      <c r="D303" s="587"/>
      <c r="E303" s="615"/>
      <c r="F303" s="558"/>
      <c r="G303" s="588"/>
      <c r="H303" s="546"/>
      <c r="I303" s="563" t="s">
        <v>25</v>
      </c>
      <c r="J303" s="563" t="s">
        <v>25</v>
      </c>
      <c r="K303" s="564" t="s">
        <v>25</v>
      </c>
      <c r="L303" s="564" t="s">
        <v>25</v>
      </c>
      <c r="M303" s="586"/>
      <c r="N303" s="586"/>
      <c r="O303" s="630"/>
      <c r="P303" s="564" t="s">
        <v>25</v>
      </c>
      <c r="Q303" s="564" t="s">
        <v>25</v>
      </c>
      <c r="R303" s="593"/>
      <c r="S303" s="593"/>
      <c r="T303" s="617"/>
      <c r="U303" s="611"/>
      <c r="V303" s="564" t="s">
        <v>2899</v>
      </c>
      <c r="W303" s="564" t="s">
        <v>25</v>
      </c>
      <c r="X303" s="562"/>
      <c r="Y303" s="592"/>
      <c r="Z303" s="592"/>
      <c r="AA303" s="568"/>
      <c r="AB303" s="592"/>
      <c r="AC303" s="592"/>
      <c r="AD303" s="592"/>
      <c r="AE303" s="590"/>
      <c r="AF303" s="570" t="s">
        <v>2899</v>
      </c>
      <c r="AG303" s="570" t="s">
        <v>25</v>
      </c>
      <c r="AH303" s="571" t="s">
        <v>25</v>
      </c>
      <c r="AI303" s="586"/>
      <c r="AJ303" s="586"/>
    </row>
    <row r="304" spans="1:36" s="376" customFormat="1" ht="20.25" outlineLevel="2" x14ac:dyDescent="0.3">
      <c r="A304" s="447">
        <v>30</v>
      </c>
      <c r="B304" s="558"/>
      <c r="C304" s="558"/>
      <c r="D304" s="587"/>
      <c r="E304" s="560"/>
      <c r="F304" s="558"/>
      <c r="G304" s="604"/>
      <c r="H304" s="546"/>
      <c r="I304" s="563" t="s">
        <v>25</v>
      </c>
      <c r="J304" s="563" t="s">
        <v>25</v>
      </c>
      <c r="K304" s="564" t="s">
        <v>25</v>
      </c>
      <c r="L304" s="564" t="s">
        <v>25</v>
      </c>
      <c r="M304" s="593"/>
      <c r="N304" s="593"/>
      <c r="O304" s="616"/>
      <c r="P304" s="564" t="s">
        <v>25</v>
      </c>
      <c r="Q304" s="564" t="s">
        <v>25</v>
      </c>
      <c r="R304" s="593"/>
      <c r="S304" s="593"/>
      <c r="T304" s="617"/>
      <c r="U304" s="589"/>
      <c r="V304" s="564" t="s">
        <v>2899</v>
      </c>
      <c r="W304" s="564" t="s">
        <v>25</v>
      </c>
      <c r="X304" s="589"/>
      <c r="Y304" s="589"/>
      <c r="Z304" s="589"/>
      <c r="AA304" s="562"/>
      <c r="AB304" s="589"/>
      <c r="AC304" s="589"/>
      <c r="AD304" s="589"/>
      <c r="AE304" s="629"/>
      <c r="AF304" s="570" t="s">
        <v>2899</v>
      </c>
      <c r="AG304" s="570" t="s">
        <v>25</v>
      </c>
      <c r="AH304" s="571" t="s">
        <v>25</v>
      </c>
      <c r="AI304" s="593"/>
      <c r="AJ304" s="593"/>
    </row>
    <row r="305" spans="1:36" s="376" customFormat="1" ht="20.25" outlineLevel="2" x14ac:dyDescent="0.3">
      <c r="A305" s="447">
        <v>30</v>
      </c>
      <c r="B305" s="558"/>
      <c r="C305" s="558"/>
      <c r="D305" s="587"/>
      <c r="E305" s="560"/>
      <c r="F305" s="558"/>
      <c r="G305" s="588"/>
      <c r="H305" s="546"/>
      <c r="I305" s="563" t="s">
        <v>25</v>
      </c>
      <c r="J305" s="563" t="s">
        <v>25</v>
      </c>
      <c r="K305" s="564" t="s">
        <v>25</v>
      </c>
      <c r="L305" s="564" t="s">
        <v>25</v>
      </c>
      <c r="M305" s="586"/>
      <c r="N305" s="586"/>
      <c r="O305" s="630"/>
      <c r="P305" s="564" t="s">
        <v>25</v>
      </c>
      <c r="Q305" s="564" t="s">
        <v>25</v>
      </c>
      <c r="R305" s="586"/>
      <c r="S305" s="609"/>
      <c r="T305" s="591"/>
      <c r="U305" s="611"/>
      <c r="V305" s="564" t="s">
        <v>2899</v>
      </c>
      <c r="W305" s="564" t="s">
        <v>25</v>
      </c>
      <c r="X305" s="562"/>
      <c r="Y305" s="592"/>
      <c r="Z305" s="592"/>
      <c r="AA305" s="568"/>
      <c r="AB305" s="592"/>
      <c r="AC305" s="592"/>
      <c r="AD305" s="592"/>
      <c r="AE305" s="590"/>
      <c r="AF305" s="570" t="s">
        <v>2899</v>
      </c>
      <c r="AG305" s="570" t="s">
        <v>25</v>
      </c>
      <c r="AH305" s="571" t="s">
        <v>25</v>
      </c>
      <c r="AI305" s="586"/>
      <c r="AJ305" s="586"/>
    </row>
    <row r="306" spans="1:36" s="376" customFormat="1" ht="20.25" outlineLevel="2" x14ac:dyDescent="0.3">
      <c r="A306" s="447">
        <v>30</v>
      </c>
      <c r="B306" s="558"/>
      <c r="C306" s="558"/>
      <c r="D306" s="587"/>
      <c r="E306" s="560"/>
      <c r="F306" s="558"/>
      <c r="G306" s="588"/>
      <c r="H306" s="546"/>
      <c r="I306" s="563" t="s">
        <v>25</v>
      </c>
      <c r="J306" s="563" t="s">
        <v>25</v>
      </c>
      <c r="K306" s="564" t="s">
        <v>25</v>
      </c>
      <c r="L306" s="564" t="s">
        <v>25</v>
      </c>
      <c r="M306" s="586"/>
      <c r="N306" s="586"/>
      <c r="O306" s="630"/>
      <c r="P306" s="564" t="s">
        <v>25</v>
      </c>
      <c r="Q306" s="564" t="s">
        <v>25</v>
      </c>
      <c r="R306" s="586"/>
      <c r="S306" s="609"/>
      <c r="T306" s="591"/>
      <c r="U306" s="611"/>
      <c r="V306" s="564" t="s">
        <v>2899</v>
      </c>
      <c r="W306" s="564" t="s">
        <v>25</v>
      </c>
      <c r="X306" s="562"/>
      <c r="Y306" s="592"/>
      <c r="Z306" s="592"/>
      <c r="AA306" s="568"/>
      <c r="AB306" s="592"/>
      <c r="AC306" s="592"/>
      <c r="AD306" s="592"/>
      <c r="AE306" s="590"/>
      <c r="AF306" s="570" t="s">
        <v>2899</v>
      </c>
      <c r="AG306" s="570" t="s">
        <v>25</v>
      </c>
      <c r="AH306" s="571" t="s">
        <v>25</v>
      </c>
      <c r="AI306" s="586"/>
      <c r="AJ306" s="586"/>
    </row>
    <row r="307" spans="1:36" s="376" customFormat="1" ht="20.25" outlineLevel="2" x14ac:dyDescent="0.3">
      <c r="A307" s="447">
        <v>30</v>
      </c>
      <c r="B307" s="643"/>
      <c r="C307" s="643"/>
      <c r="D307" s="595"/>
      <c r="E307" s="577"/>
      <c r="F307" s="558"/>
      <c r="G307" s="588"/>
      <c r="H307" s="546"/>
      <c r="I307" s="563" t="s">
        <v>25</v>
      </c>
      <c r="J307" s="563" t="s">
        <v>25</v>
      </c>
      <c r="K307" s="564" t="s">
        <v>25</v>
      </c>
      <c r="L307" s="564" t="s">
        <v>25</v>
      </c>
      <c r="M307" s="586"/>
      <c r="N307" s="586"/>
      <c r="O307" s="630"/>
      <c r="P307" s="564" t="s">
        <v>25</v>
      </c>
      <c r="Q307" s="564" t="s">
        <v>25</v>
      </c>
      <c r="R307" s="586"/>
      <c r="S307" s="609"/>
      <c r="T307" s="591"/>
      <c r="U307" s="611"/>
      <c r="V307" s="564" t="s">
        <v>2899</v>
      </c>
      <c r="W307" s="564" t="s">
        <v>25</v>
      </c>
      <c r="X307" s="562"/>
      <c r="Y307" s="592"/>
      <c r="Z307" s="592"/>
      <c r="AA307" s="568"/>
      <c r="AB307" s="592"/>
      <c r="AC307" s="592"/>
      <c r="AD307" s="592"/>
      <c r="AE307" s="590"/>
      <c r="AF307" s="570" t="s">
        <v>2899</v>
      </c>
      <c r="AG307" s="570" t="s">
        <v>25</v>
      </c>
      <c r="AH307" s="571" t="s">
        <v>25</v>
      </c>
      <c r="AI307" s="586"/>
      <c r="AJ307" s="586"/>
    </row>
    <row r="308" spans="1:36" s="376" customFormat="1" ht="40.5" outlineLevel="1" x14ac:dyDescent="0.25">
      <c r="A308" s="467">
        <v>31</v>
      </c>
      <c r="B308" s="643" t="s">
        <v>150</v>
      </c>
      <c r="C308" s="773" t="s">
        <v>2902</v>
      </c>
      <c r="D308" s="587">
        <v>86</v>
      </c>
      <c r="E308" s="560">
        <v>268</v>
      </c>
      <c r="F308" s="574"/>
      <c r="G308" s="618">
        <v>243</v>
      </c>
      <c r="H308" s="579">
        <v>0</v>
      </c>
      <c r="I308" s="581"/>
      <c r="J308" s="581"/>
      <c r="K308" s="571">
        <v>1780716000</v>
      </c>
      <c r="L308" s="571">
        <v>0</v>
      </c>
      <c r="M308" s="574"/>
      <c r="N308" s="574"/>
      <c r="O308" s="599">
        <v>7</v>
      </c>
      <c r="P308" s="571"/>
      <c r="Q308" s="571">
        <v>10019000</v>
      </c>
      <c r="R308" s="582"/>
      <c r="S308" s="651"/>
      <c r="T308" s="600">
        <v>280.82</v>
      </c>
      <c r="U308" s="597"/>
      <c r="V308" s="571"/>
      <c r="W308" s="571">
        <v>966043000</v>
      </c>
      <c r="X308" s="589"/>
      <c r="Y308" s="592"/>
      <c r="Z308" s="592"/>
      <c r="AA308" s="568"/>
      <c r="AB308" s="592"/>
      <c r="AC308" s="592"/>
      <c r="AD308" s="634"/>
      <c r="AE308" s="599">
        <f>SUBTOTAL(9,AE309:AE331)</f>
        <v>2</v>
      </c>
      <c r="AF308" s="585"/>
      <c r="AG308" s="585">
        <v>17000000</v>
      </c>
      <c r="AH308" s="571">
        <v>2773778000</v>
      </c>
      <c r="AI308" s="574"/>
      <c r="AJ308" s="578"/>
    </row>
    <row r="309" spans="1:36" s="376" customFormat="1" ht="121.5" outlineLevel="2" x14ac:dyDescent="0.3">
      <c r="A309" s="447">
        <v>31</v>
      </c>
      <c r="B309" s="648" t="s">
        <v>151</v>
      </c>
      <c r="C309" s="648"/>
      <c r="D309" s="587"/>
      <c r="E309" s="560"/>
      <c r="F309" s="558" t="s">
        <v>2500</v>
      </c>
      <c r="G309" s="588">
        <v>36.1</v>
      </c>
      <c r="H309" s="546" t="s">
        <v>2899</v>
      </c>
      <c r="I309" s="563">
        <v>4645200</v>
      </c>
      <c r="J309" s="563">
        <v>0</v>
      </c>
      <c r="K309" s="564">
        <v>167692000</v>
      </c>
      <c r="L309" s="564">
        <v>0</v>
      </c>
      <c r="M309" s="558" t="s">
        <v>145</v>
      </c>
      <c r="N309" s="558"/>
      <c r="O309" s="590">
        <v>2</v>
      </c>
      <c r="P309" s="564">
        <v>4240000</v>
      </c>
      <c r="Q309" s="564">
        <v>8480000</v>
      </c>
      <c r="R309" s="566" t="s">
        <v>2283</v>
      </c>
      <c r="S309" s="652" t="s">
        <v>53</v>
      </c>
      <c r="T309" s="591">
        <v>26</v>
      </c>
      <c r="U309" s="589"/>
      <c r="V309" s="564">
        <v>265836</v>
      </c>
      <c r="W309" s="564">
        <v>6912000</v>
      </c>
      <c r="X309" s="589"/>
      <c r="Y309" s="592"/>
      <c r="Z309" s="592"/>
      <c r="AA309" s="568"/>
      <c r="AB309" s="592"/>
      <c r="AC309" s="592"/>
      <c r="AD309" s="606" t="s">
        <v>811</v>
      </c>
      <c r="AE309" s="590">
        <v>1</v>
      </c>
      <c r="AF309" s="570">
        <v>0</v>
      </c>
      <c r="AG309" s="570">
        <v>0</v>
      </c>
      <c r="AH309" s="571" t="s">
        <v>25</v>
      </c>
      <c r="AI309" s="558" t="s">
        <v>658</v>
      </c>
      <c r="AJ309" s="586" t="s">
        <v>2797</v>
      </c>
    </row>
    <row r="310" spans="1:36" s="376" customFormat="1" ht="81" outlineLevel="2" x14ac:dyDescent="0.3">
      <c r="A310" s="447">
        <v>31</v>
      </c>
      <c r="B310" s="574" t="s">
        <v>152</v>
      </c>
      <c r="C310" s="574"/>
      <c r="D310" s="587"/>
      <c r="E310" s="560"/>
      <c r="F310" s="653" t="s">
        <v>2794</v>
      </c>
      <c r="G310" s="588">
        <v>102.1</v>
      </c>
      <c r="H310" s="546" t="s">
        <v>2899</v>
      </c>
      <c r="I310" s="563">
        <v>6636000</v>
      </c>
      <c r="J310" s="563">
        <v>0</v>
      </c>
      <c r="K310" s="564">
        <v>677536000</v>
      </c>
      <c r="L310" s="564">
        <v>0</v>
      </c>
      <c r="M310" s="558" t="s">
        <v>741</v>
      </c>
      <c r="N310" s="558"/>
      <c r="O310" s="590">
        <v>1</v>
      </c>
      <c r="P310" s="564">
        <v>150000</v>
      </c>
      <c r="Q310" s="564">
        <v>150000</v>
      </c>
      <c r="R310" s="566" t="s">
        <v>1820</v>
      </c>
      <c r="S310" s="652" t="s">
        <v>53</v>
      </c>
      <c r="T310" s="591">
        <v>37</v>
      </c>
      <c r="U310" s="589"/>
      <c r="V310" s="564">
        <v>5307665</v>
      </c>
      <c r="W310" s="564">
        <v>196384000</v>
      </c>
      <c r="X310" s="589" t="s">
        <v>63</v>
      </c>
      <c r="Y310" s="592" t="s">
        <v>55</v>
      </c>
      <c r="Z310" s="592" t="s">
        <v>56</v>
      </c>
      <c r="AA310" s="568" t="s">
        <v>57</v>
      </c>
      <c r="AB310" s="592" t="s">
        <v>63</v>
      </c>
      <c r="AC310" s="568" t="s">
        <v>206</v>
      </c>
      <c r="AD310" s="569"/>
      <c r="AE310" s="563"/>
      <c r="AF310" s="570"/>
      <c r="AG310" s="570"/>
      <c r="AH310" s="571" t="s">
        <v>25</v>
      </c>
      <c r="AI310" s="558" t="s">
        <v>481</v>
      </c>
      <c r="AJ310" s="605" t="s">
        <v>2448</v>
      </c>
    </row>
    <row r="311" spans="1:36" s="376" customFormat="1" ht="121.5" outlineLevel="2" x14ac:dyDescent="0.3">
      <c r="A311" s="447">
        <v>31</v>
      </c>
      <c r="B311" s="648" t="s">
        <v>153</v>
      </c>
      <c r="C311" s="648"/>
      <c r="D311" s="587"/>
      <c r="E311" s="560"/>
      <c r="F311" s="558" t="s">
        <v>2036</v>
      </c>
      <c r="G311" s="588">
        <v>6.5</v>
      </c>
      <c r="H311" s="546" t="s">
        <v>2899</v>
      </c>
      <c r="I311" s="563">
        <v>554400</v>
      </c>
      <c r="J311" s="563">
        <v>0</v>
      </c>
      <c r="K311" s="564">
        <v>3604000</v>
      </c>
      <c r="L311" s="564">
        <v>0</v>
      </c>
      <c r="M311" s="558" t="s">
        <v>740</v>
      </c>
      <c r="N311" s="558"/>
      <c r="O311" s="590">
        <v>1</v>
      </c>
      <c r="P311" s="564">
        <v>60000</v>
      </c>
      <c r="Q311" s="564">
        <v>60000</v>
      </c>
      <c r="R311" s="566" t="s">
        <v>1868</v>
      </c>
      <c r="S311" s="652" t="s">
        <v>53</v>
      </c>
      <c r="T311" s="591">
        <v>6.15</v>
      </c>
      <c r="U311" s="589"/>
      <c r="V311" s="564">
        <v>4631321</v>
      </c>
      <c r="W311" s="564">
        <v>28483000</v>
      </c>
      <c r="X311" s="589" t="s">
        <v>63</v>
      </c>
      <c r="Y311" s="592" t="s">
        <v>63</v>
      </c>
      <c r="Z311" s="592" t="s">
        <v>56</v>
      </c>
      <c r="AA311" s="568" t="s">
        <v>170</v>
      </c>
      <c r="AB311" s="592" t="s">
        <v>63</v>
      </c>
      <c r="AC311" s="592"/>
      <c r="AD311" s="569" t="s">
        <v>2791</v>
      </c>
      <c r="AE311" s="590">
        <v>1</v>
      </c>
      <c r="AF311" s="570">
        <v>17000000</v>
      </c>
      <c r="AG311" s="570">
        <v>17000000</v>
      </c>
      <c r="AH311" s="571" t="s">
        <v>25</v>
      </c>
      <c r="AI311" s="593" t="s">
        <v>296</v>
      </c>
      <c r="AJ311" s="558" t="s">
        <v>2450</v>
      </c>
    </row>
    <row r="312" spans="1:36" s="376" customFormat="1" ht="101.25" outlineLevel="2" x14ac:dyDescent="0.3">
      <c r="A312" s="447">
        <v>31</v>
      </c>
      <c r="B312" s="648" t="s">
        <v>659</v>
      </c>
      <c r="C312" s="648"/>
      <c r="D312" s="587"/>
      <c r="E312" s="560"/>
      <c r="F312" s="653" t="s">
        <v>2795</v>
      </c>
      <c r="G312" s="588">
        <v>98.3</v>
      </c>
      <c r="H312" s="546" t="s">
        <v>2899</v>
      </c>
      <c r="I312" s="563">
        <v>9480000</v>
      </c>
      <c r="J312" s="563">
        <v>0</v>
      </c>
      <c r="K312" s="564">
        <v>931884000</v>
      </c>
      <c r="L312" s="564">
        <v>0</v>
      </c>
      <c r="M312" s="646" t="s">
        <v>155</v>
      </c>
      <c r="N312" s="646"/>
      <c r="O312" s="590">
        <v>1</v>
      </c>
      <c r="P312" s="564">
        <v>758000</v>
      </c>
      <c r="Q312" s="564">
        <v>758000</v>
      </c>
      <c r="R312" s="646" t="s">
        <v>1827</v>
      </c>
      <c r="S312" s="652" t="s">
        <v>53</v>
      </c>
      <c r="T312" s="591">
        <v>87.1</v>
      </c>
      <c r="U312" s="589"/>
      <c r="V312" s="564">
        <v>5469063</v>
      </c>
      <c r="W312" s="564">
        <v>476355000</v>
      </c>
      <c r="X312" s="589" t="s">
        <v>63</v>
      </c>
      <c r="Y312" s="592" t="s">
        <v>55</v>
      </c>
      <c r="Z312" s="592" t="s">
        <v>56</v>
      </c>
      <c r="AA312" s="568" t="s">
        <v>57</v>
      </c>
      <c r="AB312" s="592" t="s">
        <v>63</v>
      </c>
      <c r="AC312" s="568" t="s">
        <v>338</v>
      </c>
      <c r="AD312" s="606"/>
      <c r="AE312" s="590"/>
      <c r="AF312" s="570" t="s">
        <v>2899</v>
      </c>
      <c r="AG312" s="570" t="s">
        <v>25</v>
      </c>
      <c r="AH312" s="571" t="s">
        <v>25</v>
      </c>
      <c r="AI312" s="608" t="s">
        <v>111</v>
      </c>
      <c r="AJ312" s="558" t="s">
        <v>2449</v>
      </c>
    </row>
    <row r="313" spans="1:36" s="376" customFormat="1" ht="81" outlineLevel="2" x14ac:dyDescent="0.3">
      <c r="A313" s="447">
        <v>31</v>
      </c>
      <c r="B313" s="648"/>
      <c r="C313" s="648"/>
      <c r="D313" s="587"/>
      <c r="E313" s="560"/>
      <c r="F313" s="558"/>
      <c r="G313" s="588"/>
      <c r="H313" s="546"/>
      <c r="I313" s="563" t="s">
        <v>25</v>
      </c>
      <c r="J313" s="563" t="s">
        <v>25</v>
      </c>
      <c r="K313" s="564" t="s">
        <v>25</v>
      </c>
      <c r="L313" s="564" t="s">
        <v>25</v>
      </c>
      <c r="M313" s="646" t="s">
        <v>156</v>
      </c>
      <c r="N313" s="646"/>
      <c r="O313" s="590">
        <v>1</v>
      </c>
      <c r="P313" s="564">
        <v>288000</v>
      </c>
      <c r="Q313" s="564">
        <v>288000</v>
      </c>
      <c r="R313" s="646" t="s">
        <v>1820</v>
      </c>
      <c r="S313" s="652" t="s">
        <v>53</v>
      </c>
      <c r="T313" s="591">
        <v>8.41</v>
      </c>
      <c r="U313" s="589"/>
      <c r="V313" s="564">
        <v>5307665</v>
      </c>
      <c r="W313" s="564">
        <v>44637000</v>
      </c>
      <c r="X313" s="589" t="s">
        <v>63</v>
      </c>
      <c r="Y313" s="592" t="s">
        <v>55</v>
      </c>
      <c r="Z313" s="592" t="s">
        <v>56</v>
      </c>
      <c r="AA313" s="568" t="s">
        <v>57</v>
      </c>
      <c r="AB313" s="592" t="s">
        <v>63</v>
      </c>
      <c r="AC313" s="568" t="s">
        <v>206</v>
      </c>
      <c r="AD313" s="568"/>
      <c r="AE313" s="563"/>
      <c r="AF313" s="570" t="s">
        <v>2899</v>
      </c>
      <c r="AG313" s="570" t="s">
        <v>25</v>
      </c>
      <c r="AH313" s="571" t="s">
        <v>25</v>
      </c>
      <c r="AI313" s="574" t="s">
        <v>483</v>
      </c>
      <c r="AJ313" s="558" t="s">
        <v>2451</v>
      </c>
    </row>
    <row r="314" spans="1:36" s="376" customFormat="1" ht="101.25" outlineLevel="2" x14ac:dyDescent="0.3">
      <c r="A314" s="447">
        <v>31</v>
      </c>
      <c r="B314" s="558"/>
      <c r="C314" s="558"/>
      <c r="D314" s="587"/>
      <c r="E314" s="560"/>
      <c r="F314" s="558"/>
      <c r="G314" s="588"/>
      <c r="H314" s="546"/>
      <c r="I314" s="563" t="s">
        <v>25</v>
      </c>
      <c r="J314" s="563" t="s">
        <v>25</v>
      </c>
      <c r="K314" s="564" t="s">
        <v>25</v>
      </c>
      <c r="L314" s="564" t="s">
        <v>25</v>
      </c>
      <c r="M314" s="646" t="s">
        <v>89</v>
      </c>
      <c r="N314" s="646"/>
      <c r="O314" s="590">
        <v>1</v>
      </c>
      <c r="P314" s="564">
        <v>283000</v>
      </c>
      <c r="Q314" s="564">
        <v>283000</v>
      </c>
      <c r="R314" s="646" t="s">
        <v>1763</v>
      </c>
      <c r="S314" s="652" t="s">
        <v>53</v>
      </c>
      <c r="T314" s="591">
        <v>10.199999999999999</v>
      </c>
      <c r="U314" s="589"/>
      <c r="V314" s="564">
        <v>3550600</v>
      </c>
      <c r="W314" s="564">
        <v>36216000</v>
      </c>
      <c r="X314" s="589" t="s">
        <v>63</v>
      </c>
      <c r="Y314" s="592" t="s">
        <v>55</v>
      </c>
      <c r="Z314" s="592" t="s">
        <v>56</v>
      </c>
      <c r="AA314" s="568" t="s">
        <v>57</v>
      </c>
      <c r="AB314" s="592" t="s">
        <v>63</v>
      </c>
      <c r="AC314" s="568" t="s">
        <v>206</v>
      </c>
      <c r="AD314" s="568"/>
      <c r="AE314" s="563"/>
      <c r="AF314" s="570" t="s">
        <v>2899</v>
      </c>
      <c r="AG314" s="570" t="s">
        <v>25</v>
      </c>
      <c r="AH314" s="571" t="s">
        <v>25</v>
      </c>
      <c r="AI314" s="558" t="s">
        <v>484</v>
      </c>
      <c r="AJ314" s="558" t="s">
        <v>2800</v>
      </c>
    </row>
    <row r="315" spans="1:36" s="376" customFormat="1" ht="101.25" outlineLevel="2" x14ac:dyDescent="0.3">
      <c r="A315" s="447">
        <v>31</v>
      </c>
      <c r="B315" s="558"/>
      <c r="C315" s="558"/>
      <c r="D315" s="587"/>
      <c r="E315" s="560"/>
      <c r="F315" s="558"/>
      <c r="G315" s="588"/>
      <c r="H315" s="546"/>
      <c r="I315" s="563" t="s">
        <v>25</v>
      </c>
      <c r="J315" s="563" t="s">
        <v>25</v>
      </c>
      <c r="K315" s="564" t="s">
        <v>25</v>
      </c>
      <c r="L315" s="564" t="s">
        <v>25</v>
      </c>
      <c r="M315" s="646"/>
      <c r="N315" s="646"/>
      <c r="O315" s="590"/>
      <c r="P315" s="564" t="s">
        <v>25</v>
      </c>
      <c r="Q315" s="564" t="s">
        <v>25</v>
      </c>
      <c r="R315" s="646" t="s">
        <v>2284</v>
      </c>
      <c r="S315" s="652" t="s">
        <v>53</v>
      </c>
      <c r="T315" s="591">
        <v>6.09</v>
      </c>
      <c r="U315" s="589"/>
      <c r="V315" s="564">
        <v>9347414</v>
      </c>
      <c r="W315" s="564">
        <v>56926000</v>
      </c>
      <c r="X315" s="589" t="s">
        <v>63</v>
      </c>
      <c r="Y315" s="592" t="s">
        <v>63</v>
      </c>
      <c r="Z315" s="592" t="s">
        <v>56</v>
      </c>
      <c r="AA315" s="568" t="s">
        <v>57</v>
      </c>
      <c r="AB315" s="592" t="s">
        <v>63</v>
      </c>
      <c r="AC315" s="568"/>
      <c r="AD315" s="568"/>
      <c r="AE315" s="563"/>
      <c r="AF315" s="570" t="s">
        <v>2899</v>
      </c>
      <c r="AG315" s="570" t="s">
        <v>25</v>
      </c>
      <c r="AH315" s="571" t="s">
        <v>25</v>
      </c>
      <c r="AI315" s="558" t="s">
        <v>2489</v>
      </c>
      <c r="AJ315" s="558"/>
    </row>
    <row r="316" spans="1:36" s="376" customFormat="1" ht="101.25" outlineLevel="2" x14ac:dyDescent="0.3">
      <c r="A316" s="447">
        <v>31</v>
      </c>
      <c r="B316" s="558"/>
      <c r="C316" s="558"/>
      <c r="D316" s="587"/>
      <c r="E316" s="560"/>
      <c r="F316" s="558"/>
      <c r="G316" s="588"/>
      <c r="H316" s="546"/>
      <c r="I316" s="563" t="s">
        <v>25</v>
      </c>
      <c r="J316" s="563" t="s">
        <v>25</v>
      </c>
      <c r="K316" s="564" t="s">
        <v>25</v>
      </c>
      <c r="L316" s="564" t="s">
        <v>25</v>
      </c>
      <c r="M316" s="586"/>
      <c r="N316" s="586"/>
      <c r="O316" s="630"/>
      <c r="P316" s="564" t="s">
        <v>25</v>
      </c>
      <c r="Q316" s="564" t="s">
        <v>25</v>
      </c>
      <c r="R316" s="586" t="s">
        <v>1886</v>
      </c>
      <c r="S316" s="652" t="s">
        <v>53</v>
      </c>
      <c r="T316" s="591">
        <v>4.8</v>
      </c>
      <c r="U316" s="589"/>
      <c r="V316" s="564">
        <v>9347414</v>
      </c>
      <c r="W316" s="564">
        <v>44868000</v>
      </c>
      <c r="X316" s="589"/>
      <c r="Y316" s="592"/>
      <c r="Z316" s="592" t="s">
        <v>56</v>
      </c>
      <c r="AA316" s="568" t="s">
        <v>57</v>
      </c>
      <c r="AB316" s="592" t="s">
        <v>63</v>
      </c>
      <c r="AC316" s="568" t="s">
        <v>338</v>
      </c>
      <c r="AD316" s="568"/>
      <c r="AE316" s="563"/>
      <c r="AF316" s="570" t="s">
        <v>2899</v>
      </c>
      <c r="AG316" s="570" t="s">
        <v>25</v>
      </c>
      <c r="AH316" s="571" t="s">
        <v>25</v>
      </c>
      <c r="AI316" s="558"/>
      <c r="AJ316" s="558"/>
    </row>
    <row r="317" spans="1:36" s="376" customFormat="1" ht="40.5" outlineLevel="2" x14ac:dyDescent="0.3">
      <c r="A317" s="447">
        <v>31</v>
      </c>
      <c r="B317" s="558"/>
      <c r="C317" s="558"/>
      <c r="D317" s="587"/>
      <c r="E317" s="560"/>
      <c r="F317" s="558"/>
      <c r="G317" s="588"/>
      <c r="H317" s="546"/>
      <c r="I317" s="563" t="s">
        <v>25</v>
      </c>
      <c r="J317" s="563" t="s">
        <v>25</v>
      </c>
      <c r="K317" s="564" t="s">
        <v>25</v>
      </c>
      <c r="L317" s="564" t="s">
        <v>25</v>
      </c>
      <c r="M317" s="586"/>
      <c r="N317" s="586"/>
      <c r="O317" s="630"/>
      <c r="P317" s="564" t="s">
        <v>25</v>
      </c>
      <c r="Q317" s="564" t="s">
        <v>25</v>
      </c>
      <c r="R317" s="586" t="s">
        <v>1863</v>
      </c>
      <c r="S317" s="652" t="s">
        <v>53</v>
      </c>
      <c r="T317" s="591">
        <v>16.2</v>
      </c>
      <c r="U317" s="589"/>
      <c r="V317" s="564">
        <v>1107311</v>
      </c>
      <c r="W317" s="564">
        <v>17938000</v>
      </c>
      <c r="X317" s="589"/>
      <c r="Y317" s="592" t="s">
        <v>55</v>
      </c>
      <c r="Z317" s="592" t="s">
        <v>56</v>
      </c>
      <c r="AA317" s="568" t="s">
        <v>339</v>
      </c>
      <c r="AB317" s="592" t="s">
        <v>66</v>
      </c>
      <c r="AC317" s="592"/>
      <c r="AD317" s="592"/>
      <c r="AE317" s="590"/>
      <c r="AF317" s="570" t="s">
        <v>2899</v>
      </c>
      <c r="AG317" s="570" t="s">
        <v>25</v>
      </c>
      <c r="AH317" s="571" t="s">
        <v>25</v>
      </c>
      <c r="AI317" s="593"/>
      <c r="AJ317" s="593"/>
    </row>
    <row r="318" spans="1:36" s="376" customFormat="1" ht="101.25" outlineLevel="2" x14ac:dyDescent="0.3">
      <c r="A318" s="447">
        <v>31</v>
      </c>
      <c r="B318" s="558"/>
      <c r="C318" s="558"/>
      <c r="D318" s="587"/>
      <c r="E318" s="560"/>
      <c r="F318" s="558"/>
      <c r="G318" s="588"/>
      <c r="H318" s="546"/>
      <c r="I318" s="563" t="s">
        <v>25</v>
      </c>
      <c r="J318" s="563" t="s">
        <v>25</v>
      </c>
      <c r="K318" s="564" t="s">
        <v>25</v>
      </c>
      <c r="L318" s="564" t="s">
        <v>25</v>
      </c>
      <c r="M318" s="586"/>
      <c r="N318" s="586"/>
      <c r="O318" s="630"/>
      <c r="P318" s="564" t="s">
        <v>25</v>
      </c>
      <c r="Q318" s="564" t="s">
        <v>25</v>
      </c>
      <c r="R318" s="586" t="s">
        <v>2275</v>
      </c>
      <c r="S318" s="652" t="s">
        <v>53</v>
      </c>
      <c r="T318" s="591">
        <v>35.19</v>
      </c>
      <c r="U318" s="589"/>
      <c r="V318" s="564">
        <v>1116028</v>
      </c>
      <c r="W318" s="564">
        <v>39273000</v>
      </c>
      <c r="X318" s="589"/>
      <c r="Y318" s="592"/>
      <c r="Z318" s="592"/>
      <c r="AA318" s="568"/>
      <c r="AB318" s="592"/>
      <c r="AC318" s="592"/>
      <c r="AD318" s="592"/>
      <c r="AE318" s="590"/>
      <c r="AF318" s="570" t="s">
        <v>2899</v>
      </c>
      <c r="AG318" s="570" t="s">
        <v>25</v>
      </c>
      <c r="AH318" s="571" t="s">
        <v>25</v>
      </c>
      <c r="AI318" s="593"/>
      <c r="AJ318" s="593"/>
    </row>
    <row r="319" spans="1:36" s="376" customFormat="1" ht="40.5" outlineLevel="2" x14ac:dyDescent="0.3">
      <c r="A319" s="447">
        <v>31</v>
      </c>
      <c r="B319" s="574"/>
      <c r="C319" s="574"/>
      <c r="D319" s="587"/>
      <c r="E319" s="560"/>
      <c r="F319" s="558"/>
      <c r="G319" s="588"/>
      <c r="H319" s="546"/>
      <c r="I319" s="563" t="s">
        <v>25</v>
      </c>
      <c r="J319" s="563" t="s">
        <v>25</v>
      </c>
      <c r="K319" s="564" t="s">
        <v>25</v>
      </c>
      <c r="L319" s="564" t="s">
        <v>25</v>
      </c>
      <c r="M319" s="586"/>
      <c r="N319" s="586"/>
      <c r="O319" s="630"/>
      <c r="P319" s="564" t="s">
        <v>25</v>
      </c>
      <c r="Q319" s="564" t="s">
        <v>25</v>
      </c>
      <c r="R319" s="586" t="s">
        <v>2149</v>
      </c>
      <c r="S319" s="652" t="s">
        <v>78</v>
      </c>
      <c r="T319" s="591">
        <v>0.03</v>
      </c>
      <c r="U319" s="589"/>
      <c r="V319" s="564">
        <v>0</v>
      </c>
      <c r="W319" s="564">
        <v>0</v>
      </c>
      <c r="X319" s="589"/>
      <c r="Y319" s="592"/>
      <c r="Z319" s="592"/>
      <c r="AA319" s="568"/>
      <c r="AB319" s="592"/>
      <c r="AC319" s="592"/>
      <c r="AD319" s="592"/>
      <c r="AE319" s="590"/>
      <c r="AF319" s="570" t="s">
        <v>2899</v>
      </c>
      <c r="AG319" s="570" t="s">
        <v>25</v>
      </c>
      <c r="AH319" s="571" t="s">
        <v>25</v>
      </c>
      <c r="AI319" s="593"/>
      <c r="AJ319" s="593"/>
    </row>
    <row r="320" spans="1:36" s="376" customFormat="1" ht="60.75" outlineLevel="2" x14ac:dyDescent="0.3">
      <c r="A320" s="447">
        <v>31</v>
      </c>
      <c r="B320" s="558"/>
      <c r="C320" s="558"/>
      <c r="D320" s="587"/>
      <c r="E320" s="560"/>
      <c r="F320" s="558"/>
      <c r="G320" s="588"/>
      <c r="H320" s="546"/>
      <c r="I320" s="563" t="s">
        <v>25</v>
      </c>
      <c r="J320" s="563" t="s">
        <v>25</v>
      </c>
      <c r="K320" s="564" t="s">
        <v>25</v>
      </c>
      <c r="L320" s="564" t="s">
        <v>25</v>
      </c>
      <c r="M320" s="586"/>
      <c r="N320" s="586"/>
      <c r="O320" s="630"/>
      <c r="P320" s="564" t="s">
        <v>25</v>
      </c>
      <c r="Q320" s="564" t="s">
        <v>25</v>
      </c>
      <c r="R320" s="586" t="s">
        <v>2285</v>
      </c>
      <c r="S320" s="652" t="s">
        <v>78</v>
      </c>
      <c r="T320" s="591">
        <v>0.08</v>
      </c>
      <c r="U320" s="589"/>
      <c r="V320" s="564">
        <v>0</v>
      </c>
      <c r="W320" s="564">
        <v>0</v>
      </c>
      <c r="X320" s="589"/>
      <c r="Y320" s="592"/>
      <c r="Z320" s="592"/>
      <c r="AA320" s="568"/>
      <c r="AB320" s="592"/>
      <c r="AC320" s="592"/>
      <c r="AD320" s="592"/>
      <c r="AE320" s="590"/>
      <c r="AF320" s="570" t="s">
        <v>2899</v>
      </c>
      <c r="AG320" s="570" t="s">
        <v>25</v>
      </c>
      <c r="AH320" s="571" t="s">
        <v>25</v>
      </c>
      <c r="AI320" s="558"/>
      <c r="AJ320" s="558"/>
    </row>
    <row r="321" spans="1:36" s="376" customFormat="1" ht="81" outlineLevel="2" x14ac:dyDescent="0.3">
      <c r="A321" s="447">
        <v>31</v>
      </c>
      <c r="B321" s="558"/>
      <c r="C321" s="558"/>
      <c r="D321" s="587"/>
      <c r="E321" s="560"/>
      <c r="F321" s="558"/>
      <c r="G321" s="588"/>
      <c r="H321" s="546"/>
      <c r="I321" s="563" t="s">
        <v>25</v>
      </c>
      <c r="J321" s="563" t="s">
        <v>25</v>
      </c>
      <c r="K321" s="564" t="s">
        <v>25</v>
      </c>
      <c r="L321" s="564" t="s">
        <v>25</v>
      </c>
      <c r="M321" s="586"/>
      <c r="N321" s="586"/>
      <c r="O321" s="630"/>
      <c r="P321" s="564" t="s">
        <v>25</v>
      </c>
      <c r="Q321" s="564" t="s">
        <v>25</v>
      </c>
      <c r="R321" s="586" t="s">
        <v>2286</v>
      </c>
      <c r="S321" s="652" t="s">
        <v>53</v>
      </c>
      <c r="T321" s="591">
        <v>27.37</v>
      </c>
      <c r="U321" s="589"/>
      <c r="V321" s="564">
        <v>496651</v>
      </c>
      <c r="W321" s="564">
        <v>13593000</v>
      </c>
      <c r="X321" s="589"/>
      <c r="Y321" s="592"/>
      <c r="Z321" s="592"/>
      <c r="AA321" s="568"/>
      <c r="AB321" s="592"/>
      <c r="AC321" s="592"/>
      <c r="AD321" s="592"/>
      <c r="AE321" s="590"/>
      <c r="AF321" s="570" t="s">
        <v>2899</v>
      </c>
      <c r="AG321" s="570" t="s">
        <v>25</v>
      </c>
      <c r="AH321" s="571" t="s">
        <v>25</v>
      </c>
      <c r="AI321" s="558"/>
      <c r="AJ321" s="558"/>
    </row>
    <row r="322" spans="1:36" s="376" customFormat="1" ht="40.5" outlineLevel="2" x14ac:dyDescent="0.3">
      <c r="A322" s="447">
        <v>31</v>
      </c>
      <c r="B322" s="558"/>
      <c r="C322" s="558"/>
      <c r="D322" s="587"/>
      <c r="E322" s="560"/>
      <c r="F322" s="558"/>
      <c r="G322" s="588"/>
      <c r="H322" s="546"/>
      <c r="I322" s="563" t="s">
        <v>25</v>
      </c>
      <c r="J322" s="563" t="s">
        <v>25</v>
      </c>
      <c r="K322" s="564" t="s">
        <v>25</v>
      </c>
      <c r="L322" s="564" t="s">
        <v>25</v>
      </c>
      <c r="M322" s="586"/>
      <c r="N322" s="586"/>
      <c r="O322" s="630"/>
      <c r="P322" s="564" t="s">
        <v>25</v>
      </c>
      <c r="Q322" s="564" t="s">
        <v>25</v>
      </c>
      <c r="R322" s="586" t="s">
        <v>1799</v>
      </c>
      <c r="S322" s="652" t="s">
        <v>53</v>
      </c>
      <c r="T322" s="591">
        <v>16.2</v>
      </c>
      <c r="U322" s="589"/>
      <c r="V322" s="564">
        <v>275180</v>
      </c>
      <c r="W322" s="564">
        <v>4458000</v>
      </c>
      <c r="X322" s="589"/>
      <c r="Y322" s="592"/>
      <c r="Z322" s="592"/>
      <c r="AA322" s="568"/>
      <c r="AB322" s="592"/>
      <c r="AC322" s="592"/>
      <c r="AD322" s="592"/>
      <c r="AE322" s="590"/>
      <c r="AF322" s="570" t="s">
        <v>2899</v>
      </c>
      <c r="AG322" s="570" t="s">
        <v>25</v>
      </c>
      <c r="AH322" s="571" t="s">
        <v>25</v>
      </c>
      <c r="AI322" s="558"/>
      <c r="AJ322" s="558"/>
    </row>
    <row r="323" spans="1:36" s="376" customFormat="1" ht="20.25" outlineLevel="2" x14ac:dyDescent="0.3">
      <c r="A323" s="447">
        <v>31</v>
      </c>
      <c r="B323" s="558"/>
      <c r="C323" s="558"/>
      <c r="D323" s="587"/>
      <c r="E323" s="560"/>
      <c r="F323" s="558"/>
      <c r="G323" s="588"/>
      <c r="H323" s="546"/>
      <c r="I323" s="563" t="s">
        <v>25</v>
      </c>
      <c r="J323" s="563" t="s">
        <v>25</v>
      </c>
      <c r="K323" s="564" t="s">
        <v>25</v>
      </c>
      <c r="L323" s="564" t="s">
        <v>25</v>
      </c>
      <c r="M323" s="586"/>
      <c r="N323" s="586"/>
      <c r="O323" s="630"/>
      <c r="P323" s="564" t="s">
        <v>25</v>
      </c>
      <c r="Q323" s="564" t="s">
        <v>25</v>
      </c>
      <c r="R323" s="586"/>
      <c r="S323" s="652"/>
      <c r="T323" s="591"/>
      <c r="U323" s="589"/>
      <c r="V323" s="564" t="s">
        <v>2899</v>
      </c>
      <c r="W323" s="564" t="s">
        <v>25</v>
      </c>
      <c r="X323" s="589"/>
      <c r="Y323" s="592"/>
      <c r="Z323" s="592"/>
      <c r="AA323" s="568"/>
      <c r="AB323" s="592"/>
      <c r="AC323" s="592"/>
      <c r="AD323" s="592"/>
      <c r="AE323" s="590"/>
      <c r="AF323" s="570" t="s">
        <v>2899</v>
      </c>
      <c r="AG323" s="570" t="s">
        <v>25</v>
      </c>
      <c r="AH323" s="571" t="s">
        <v>25</v>
      </c>
      <c r="AI323" s="593"/>
      <c r="AJ323" s="593"/>
    </row>
    <row r="324" spans="1:36" s="376" customFormat="1" ht="20.25" outlineLevel="2" x14ac:dyDescent="0.3">
      <c r="A324" s="447">
        <v>31</v>
      </c>
      <c r="B324" s="558"/>
      <c r="C324" s="558"/>
      <c r="D324" s="587"/>
      <c r="E324" s="560"/>
      <c r="F324" s="558"/>
      <c r="G324" s="588"/>
      <c r="H324" s="546"/>
      <c r="I324" s="563" t="s">
        <v>25</v>
      </c>
      <c r="J324" s="563" t="s">
        <v>25</v>
      </c>
      <c r="K324" s="564" t="s">
        <v>25</v>
      </c>
      <c r="L324" s="564" t="s">
        <v>25</v>
      </c>
      <c r="M324" s="586"/>
      <c r="N324" s="586"/>
      <c r="O324" s="630"/>
      <c r="P324" s="564" t="s">
        <v>25</v>
      </c>
      <c r="Q324" s="564" t="s">
        <v>25</v>
      </c>
      <c r="R324" s="586"/>
      <c r="S324" s="652"/>
      <c r="T324" s="591"/>
      <c r="U324" s="589"/>
      <c r="V324" s="564" t="s">
        <v>2899</v>
      </c>
      <c r="W324" s="564" t="s">
        <v>25</v>
      </c>
      <c r="X324" s="589"/>
      <c r="Y324" s="592"/>
      <c r="Z324" s="592"/>
      <c r="AA324" s="568"/>
      <c r="AB324" s="592"/>
      <c r="AC324" s="592"/>
      <c r="AD324" s="592"/>
      <c r="AE324" s="590"/>
      <c r="AF324" s="570" t="s">
        <v>2899</v>
      </c>
      <c r="AG324" s="570" t="s">
        <v>25</v>
      </c>
      <c r="AH324" s="571" t="s">
        <v>25</v>
      </c>
      <c r="AI324" s="593"/>
      <c r="AJ324" s="593"/>
    </row>
    <row r="325" spans="1:36" s="376" customFormat="1" ht="20.25" outlineLevel="2" x14ac:dyDescent="0.3">
      <c r="A325" s="447">
        <v>31</v>
      </c>
      <c r="B325" s="558"/>
      <c r="C325" s="558"/>
      <c r="D325" s="595"/>
      <c r="E325" s="577"/>
      <c r="F325" s="558"/>
      <c r="G325" s="588"/>
      <c r="H325" s="546"/>
      <c r="I325" s="563" t="s">
        <v>25</v>
      </c>
      <c r="J325" s="563" t="s">
        <v>25</v>
      </c>
      <c r="K325" s="564" t="s">
        <v>25</v>
      </c>
      <c r="L325" s="564" t="s">
        <v>25</v>
      </c>
      <c r="M325" s="586"/>
      <c r="N325" s="586"/>
      <c r="O325" s="630"/>
      <c r="P325" s="564" t="s">
        <v>25</v>
      </c>
      <c r="Q325" s="564" t="s">
        <v>25</v>
      </c>
      <c r="R325" s="586"/>
      <c r="S325" s="652"/>
      <c r="T325" s="591"/>
      <c r="U325" s="589"/>
      <c r="V325" s="564" t="s">
        <v>2899</v>
      </c>
      <c r="W325" s="564" t="s">
        <v>25</v>
      </c>
      <c r="X325" s="589"/>
      <c r="Y325" s="592"/>
      <c r="Z325" s="592"/>
      <c r="AA325" s="568"/>
      <c r="AB325" s="592"/>
      <c r="AC325" s="592"/>
      <c r="AD325" s="592"/>
      <c r="AE325" s="590"/>
      <c r="AF325" s="570" t="s">
        <v>2899</v>
      </c>
      <c r="AG325" s="570" t="s">
        <v>25</v>
      </c>
      <c r="AH325" s="571" t="s">
        <v>25</v>
      </c>
      <c r="AI325" s="593"/>
      <c r="AJ325" s="593"/>
    </row>
    <row r="326" spans="1:36" s="376" customFormat="1" ht="20.25" outlineLevel="2" x14ac:dyDescent="0.3">
      <c r="A326" s="447">
        <v>31</v>
      </c>
      <c r="B326" s="607"/>
      <c r="C326" s="607"/>
      <c r="D326" s="587"/>
      <c r="E326" s="560"/>
      <c r="F326" s="574"/>
      <c r="G326" s="588"/>
      <c r="H326" s="546"/>
      <c r="I326" s="563" t="s">
        <v>25</v>
      </c>
      <c r="J326" s="563" t="s">
        <v>25</v>
      </c>
      <c r="K326" s="564" t="s">
        <v>25</v>
      </c>
      <c r="L326" s="564" t="s">
        <v>25</v>
      </c>
      <c r="M326" s="586"/>
      <c r="N326" s="586"/>
      <c r="O326" s="630"/>
      <c r="P326" s="564" t="s">
        <v>25</v>
      </c>
      <c r="Q326" s="564" t="s">
        <v>25</v>
      </c>
      <c r="R326" s="586"/>
      <c r="S326" s="652"/>
      <c r="T326" s="591"/>
      <c r="U326" s="597"/>
      <c r="V326" s="564" t="s">
        <v>2899</v>
      </c>
      <c r="W326" s="564" t="s">
        <v>25</v>
      </c>
      <c r="X326" s="580"/>
      <c r="Y326" s="601"/>
      <c r="Z326" s="601"/>
      <c r="AA326" s="584"/>
      <c r="AB326" s="601"/>
      <c r="AC326" s="601"/>
      <c r="AD326" s="601"/>
      <c r="AE326" s="599"/>
      <c r="AF326" s="570" t="s">
        <v>2899</v>
      </c>
      <c r="AG326" s="570" t="s">
        <v>25</v>
      </c>
      <c r="AH326" s="571" t="s">
        <v>25</v>
      </c>
      <c r="AI326" s="608"/>
      <c r="AJ326" s="608"/>
    </row>
    <row r="327" spans="1:36" s="376" customFormat="1" ht="20.25" outlineLevel="2" x14ac:dyDescent="0.3">
      <c r="A327" s="447">
        <v>31</v>
      </c>
      <c r="B327" s="572"/>
      <c r="C327" s="572"/>
      <c r="D327" s="587"/>
      <c r="E327" s="560"/>
      <c r="F327" s="558"/>
      <c r="G327" s="588"/>
      <c r="H327" s="546"/>
      <c r="I327" s="563" t="s">
        <v>25</v>
      </c>
      <c r="J327" s="563" t="s">
        <v>25</v>
      </c>
      <c r="K327" s="564" t="s">
        <v>25</v>
      </c>
      <c r="L327" s="564" t="s">
        <v>25</v>
      </c>
      <c r="M327" s="586"/>
      <c r="N327" s="586"/>
      <c r="O327" s="630"/>
      <c r="P327" s="564" t="s">
        <v>25</v>
      </c>
      <c r="Q327" s="564" t="s">
        <v>25</v>
      </c>
      <c r="R327" s="586"/>
      <c r="S327" s="652"/>
      <c r="T327" s="591"/>
      <c r="U327" s="611"/>
      <c r="V327" s="564" t="s">
        <v>2899</v>
      </c>
      <c r="W327" s="564" t="s">
        <v>25</v>
      </c>
      <c r="X327" s="562"/>
      <c r="Y327" s="592"/>
      <c r="Z327" s="592"/>
      <c r="AA327" s="568"/>
      <c r="AB327" s="592"/>
      <c r="AC327" s="592"/>
      <c r="AD327" s="592"/>
      <c r="AE327" s="590"/>
      <c r="AF327" s="570" t="s">
        <v>2899</v>
      </c>
      <c r="AG327" s="570" t="s">
        <v>25</v>
      </c>
      <c r="AH327" s="571" t="s">
        <v>25</v>
      </c>
      <c r="AI327" s="593"/>
      <c r="AJ327" s="593"/>
    </row>
    <row r="328" spans="1:36" s="376" customFormat="1" ht="20.25" outlineLevel="2" x14ac:dyDescent="0.3">
      <c r="A328" s="447">
        <v>31</v>
      </c>
      <c r="B328" s="572"/>
      <c r="C328" s="572"/>
      <c r="D328" s="587"/>
      <c r="E328" s="615"/>
      <c r="F328" s="586"/>
      <c r="G328" s="588"/>
      <c r="H328" s="546"/>
      <c r="I328" s="563" t="s">
        <v>25</v>
      </c>
      <c r="J328" s="563" t="s">
        <v>25</v>
      </c>
      <c r="K328" s="564" t="s">
        <v>25</v>
      </c>
      <c r="L328" s="564" t="s">
        <v>25</v>
      </c>
      <c r="M328" s="586"/>
      <c r="N328" s="586"/>
      <c r="O328" s="630"/>
      <c r="P328" s="564" t="s">
        <v>25</v>
      </c>
      <c r="Q328" s="564" t="s">
        <v>25</v>
      </c>
      <c r="R328" s="586"/>
      <c r="S328" s="652"/>
      <c r="T328" s="591"/>
      <c r="U328" s="611"/>
      <c r="V328" s="564" t="s">
        <v>2899</v>
      </c>
      <c r="W328" s="564" t="s">
        <v>25</v>
      </c>
      <c r="X328" s="589"/>
      <c r="Y328" s="592"/>
      <c r="Z328" s="592"/>
      <c r="AA328" s="568"/>
      <c r="AB328" s="592"/>
      <c r="AC328" s="592"/>
      <c r="AD328" s="592"/>
      <c r="AE328" s="590"/>
      <c r="AF328" s="570" t="s">
        <v>2899</v>
      </c>
      <c r="AG328" s="570" t="s">
        <v>25</v>
      </c>
      <c r="AH328" s="571" t="s">
        <v>25</v>
      </c>
      <c r="AI328" s="593"/>
      <c r="AJ328" s="593"/>
    </row>
    <row r="329" spans="1:36" s="376" customFormat="1" ht="20.25" outlineLevel="2" x14ac:dyDescent="0.3">
      <c r="A329" s="447">
        <v>31</v>
      </c>
      <c r="B329" s="572"/>
      <c r="C329" s="572"/>
      <c r="D329" s="587"/>
      <c r="E329" s="560"/>
      <c r="F329" s="558"/>
      <c r="G329" s="604"/>
      <c r="H329" s="546"/>
      <c r="I329" s="563" t="s">
        <v>25</v>
      </c>
      <c r="J329" s="563" t="s">
        <v>25</v>
      </c>
      <c r="K329" s="564" t="s">
        <v>25</v>
      </c>
      <c r="L329" s="564" t="s">
        <v>25</v>
      </c>
      <c r="M329" s="593"/>
      <c r="N329" s="593"/>
      <c r="O329" s="616"/>
      <c r="P329" s="564" t="s">
        <v>25</v>
      </c>
      <c r="Q329" s="564" t="s">
        <v>25</v>
      </c>
      <c r="R329" s="593"/>
      <c r="S329" s="593"/>
      <c r="T329" s="617"/>
      <c r="U329" s="589"/>
      <c r="V329" s="564" t="s">
        <v>2899</v>
      </c>
      <c r="W329" s="564" t="s">
        <v>25</v>
      </c>
      <c r="X329" s="589"/>
      <c r="Y329" s="589"/>
      <c r="Z329" s="589"/>
      <c r="AA329" s="562"/>
      <c r="AB329" s="589"/>
      <c r="AC329" s="589"/>
      <c r="AD329" s="589"/>
      <c r="AE329" s="629"/>
      <c r="AF329" s="570" t="s">
        <v>2899</v>
      </c>
      <c r="AG329" s="570" t="s">
        <v>25</v>
      </c>
      <c r="AH329" s="571" t="s">
        <v>25</v>
      </c>
      <c r="AI329" s="593"/>
      <c r="AJ329" s="593"/>
    </row>
    <row r="330" spans="1:36" s="376" customFormat="1" ht="20.25" outlineLevel="2" x14ac:dyDescent="0.3">
      <c r="A330" s="447">
        <v>31</v>
      </c>
      <c r="B330" s="572"/>
      <c r="C330" s="572"/>
      <c r="D330" s="587"/>
      <c r="E330" s="560"/>
      <c r="F330" s="586"/>
      <c r="G330" s="588"/>
      <c r="H330" s="546"/>
      <c r="I330" s="563" t="s">
        <v>25</v>
      </c>
      <c r="J330" s="563" t="s">
        <v>25</v>
      </c>
      <c r="K330" s="564" t="s">
        <v>25</v>
      </c>
      <c r="L330" s="564" t="s">
        <v>25</v>
      </c>
      <c r="M330" s="586"/>
      <c r="N330" s="586"/>
      <c r="O330" s="630"/>
      <c r="P330" s="564" t="s">
        <v>25</v>
      </c>
      <c r="Q330" s="564" t="s">
        <v>25</v>
      </c>
      <c r="R330" s="586"/>
      <c r="S330" s="654"/>
      <c r="T330" s="591"/>
      <c r="U330" s="611"/>
      <c r="V330" s="564" t="s">
        <v>2899</v>
      </c>
      <c r="W330" s="564" t="s">
        <v>25</v>
      </c>
      <c r="X330" s="589"/>
      <c r="Y330" s="592"/>
      <c r="Z330" s="592"/>
      <c r="AA330" s="568"/>
      <c r="AB330" s="592"/>
      <c r="AC330" s="592"/>
      <c r="AD330" s="592"/>
      <c r="AE330" s="590"/>
      <c r="AF330" s="570" t="s">
        <v>2899</v>
      </c>
      <c r="AG330" s="570" t="s">
        <v>25</v>
      </c>
      <c r="AH330" s="571" t="s">
        <v>25</v>
      </c>
      <c r="AI330" s="593"/>
      <c r="AJ330" s="593"/>
    </row>
    <row r="331" spans="1:36" s="376" customFormat="1" ht="20.25" outlineLevel="2" x14ac:dyDescent="0.3">
      <c r="A331" s="447">
        <v>31</v>
      </c>
      <c r="B331" s="643"/>
      <c r="C331" s="643"/>
      <c r="D331" s="595"/>
      <c r="E331" s="577"/>
      <c r="F331" s="586"/>
      <c r="G331" s="588"/>
      <c r="H331" s="546"/>
      <c r="I331" s="563" t="s">
        <v>25</v>
      </c>
      <c r="J331" s="563" t="s">
        <v>25</v>
      </c>
      <c r="K331" s="564" t="s">
        <v>25</v>
      </c>
      <c r="L331" s="564" t="s">
        <v>25</v>
      </c>
      <c r="M331" s="586"/>
      <c r="N331" s="586"/>
      <c r="O331" s="630"/>
      <c r="P331" s="564" t="s">
        <v>25</v>
      </c>
      <c r="Q331" s="564" t="s">
        <v>25</v>
      </c>
      <c r="R331" s="586"/>
      <c r="S331" s="654"/>
      <c r="T331" s="591"/>
      <c r="U331" s="611"/>
      <c r="V331" s="564" t="s">
        <v>2899</v>
      </c>
      <c r="W331" s="564" t="s">
        <v>25</v>
      </c>
      <c r="X331" s="589"/>
      <c r="Y331" s="592"/>
      <c r="Z331" s="592"/>
      <c r="AA331" s="568"/>
      <c r="AB331" s="592"/>
      <c r="AC331" s="592"/>
      <c r="AD331" s="592"/>
      <c r="AE331" s="590"/>
      <c r="AF331" s="570" t="s">
        <v>2899</v>
      </c>
      <c r="AG331" s="570" t="s">
        <v>25</v>
      </c>
      <c r="AH331" s="571" t="s">
        <v>25</v>
      </c>
      <c r="AI331" s="593"/>
      <c r="AJ331" s="593"/>
    </row>
    <row r="332" spans="1:36" s="376" customFormat="1" ht="40.5" outlineLevel="1" x14ac:dyDescent="0.25">
      <c r="A332" s="467">
        <v>32</v>
      </c>
      <c r="B332" s="643" t="s">
        <v>33</v>
      </c>
      <c r="C332" s="773" t="s">
        <v>2902</v>
      </c>
      <c r="D332" s="587">
        <v>86</v>
      </c>
      <c r="E332" s="560">
        <v>266</v>
      </c>
      <c r="F332" s="574"/>
      <c r="G332" s="618">
        <v>342.5</v>
      </c>
      <c r="H332" s="579">
        <v>250.7</v>
      </c>
      <c r="I332" s="581"/>
      <c r="J332" s="581"/>
      <c r="K332" s="571">
        <v>189882000</v>
      </c>
      <c r="L332" s="571">
        <v>416964000</v>
      </c>
      <c r="M332" s="574"/>
      <c r="N332" s="574"/>
      <c r="O332" s="599">
        <v>0</v>
      </c>
      <c r="P332" s="571"/>
      <c r="Q332" s="571">
        <v>0</v>
      </c>
      <c r="R332" s="644"/>
      <c r="S332" s="655"/>
      <c r="T332" s="600">
        <v>125.82</v>
      </c>
      <c r="U332" s="597"/>
      <c r="V332" s="571"/>
      <c r="W332" s="571">
        <v>78892000</v>
      </c>
      <c r="X332" s="589"/>
      <c r="Y332" s="592"/>
      <c r="Z332" s="592"/>
      <c r="AA332" s="568"/>
      <c r="AB332" s="592"/>
      <c r="AC332" s="568"/>
      <c r="AD332" s="602"/>
      <c r="AE332" s="581">
        <f>SUBTOTAL(9,AE333:AE348)</f>
        <v>0</v>
      </c>
      <c r="AF332" s="585"/>
      <c r="AG332" s="585">
        <v>0</v>
      </c>
      <c r="AH332" s="571">
        <v>685738000</v>
      </c>
      <c r="AI332" s="574"/>
      <c r="AJ332" s="578"/>
    </row>
    <row r="333" spans="1:36" s="376" customFormat="1" ht="121.5" outlineLevel="2" x14ac:dyDescent="0.3">
      <c r="A333" s="447">
        <v>32</v>
      </c>
      <c r="B333" s="648" t="s">
        <v>157</v>
      </c>
      <c r="C333" s="648"/>
      <c r="D333" s="587"/>
      <c r="E333" s="560"/>
      <c r="F333" s="558" t="s">
        <v>2469</v>
      </c>
      <c r="G333" s="588">
        <v>246.39999999999998</v>
      </c>
      <c r="H333" s="546">
        <v>246.39999999999998</v>
      </c>
      <c r="I333" s="563">
        <v>554400</v>
      </c>
      <c r="J333" s="563">
        <v>1663200</v>
      </c>
      <c r="K333" s="564">
        <v>136604000</v>
      </c>
      <c r="L333" s="564">
        <v>409812000</v>
      </c>
      <c r="M333" s="558"/>
      <c r="N333" s="558"/>
      <c r="O333" s="590"/>
      <c r="P333" s="564" t="s">
        <v>25</v>
      </c>
      <c r="Q333" s="564" t="s">
        <v>25</v>
      </c>
      <c r="R333" s="646" t="s">
        <v>1852</v>
      </c>
      <c r="S333" s="649" t="s">
        <v>53</v>
      </c>
      <c r="T333" s="591">
        <v>28.2</v>
      </c>
      <c r="U333" s="589"/>
      <c r="V333" s="564">
        <v>1490563</v>
      </c>
      <c r="W333" s="564">
        <v>42034000</v>
      </c>
      <c r="X333" s="589" t="s">
        <v>54</v>
      </c>
      <c r="Y333" s="592" t="s">
        <v>55</v>
      </c>
      <c r="Z333" s="592" t="s">
        <v>56</v>
      </c>
      <c r="AA333" s="568" t="s">
        <v>137</v>
      </c>
      <c r="AB333" s="592" t="s">
        <v>66</v>
      </c>
      <c r="AC333" s="568" t="s">
        <v>430</v>
      </c>
      <c r="AD333" s="569"/>
      <c r="AE333" s="563"/>
      <c r="AF333" s="570" t="s">
        <v>2899</v>
      </c>
      <c r="AG333" s="570"/>
      <c r="AH333" s="571" t="s">
        <v>25</v>
      </c>
      <c r="AI333" s="558" t="s">
        <v>660</v>
      </c>
      <c r="AJ333" s="586" t="s">
        <v>2771</v>
      </c>
    </row>
    <row r="334" spans="1:36" s="376" customFormat="1" ht="101.25" outlineLevel="2" x14ac:dyDescent="0.3">
      <c r="A334" s="447">
        <v>32</v>
      </c>
      <c r="B334" s="648" t="s">
        <v>661</v>
      </c>
      <c r="C334" s="648"/>
      <c r="D334" s="587">
        <v>86</v>
      </c>
      <c r="E334" s="560">
        <v>266</v>
      </c>
      <c r="F334" s="558" t="s">
        <v>2470</v>
      </c>
      <c r="G334" s="588">
        <v>4.3</v>
      </c>
      <c r="H334" s="546">
        <v>4.3</v>
      </c>
      <c r="I334" s="563">
        <v>554400</v>
      </c>
      <c r="J334" s="563">
        <v>1663200</v>
      </c>
      <c r="K334" s="564">
        <v>2384000</v>
      </c>
      <c r="L334" s="564">
        <v>7152000</v>
      </c>
      <c r="M334" s="558"/>
      <c r="N334" s="558"/>
      <c r="O334" s="590"/>
      <c r="P334" s="564" t="s">
        <v>25</v>
      </c>
      <c r="Q334" s="564" t="s">
        <v>25</v>
      </c>
      <c r="R334" s="566" t="s">
        <v>1853</v>
      </c>
      <c r="S334" s="589" t="s">
        <v>53</v>
      </c>
      <c r="T334" s="591">
        <v>3</v>
      </c>
      <c r="U334" s="589"/>
      <c r="V334" s="564">
        <v>2093161</v>
      </c>
      <c r="W334" s="564">
        <v>6279000</v>
      </c>
      <c r="X334" s="589"/>
      <c r="Y334" s="592"/>
      <c r="Z334" s="592" t="s">
        <v>56</v>
      </c>
      <c r="AA334" s="568" t="s">
        <v>57</v>
      </c>
      <c r="AB334" s="592" t="s">
        <v>139</v>
      </c>
      <c r="AC334" s="592"/>
      <c r="AD334" s="592"/>
      <c r="AE334" s="590"/>
      <c r="AF334" s="570" t="s">
        <v>2899</v>
      </c>
      <c r="AG334" s="570" t="s">
        <v>25</v>
      </c>
      <c r="AH334" s="571" t="s">
        <v>25</v>
      </c>
      <c r="AI334" s="558" t="s">
        <v>487</v>
      </c>
      <c r="AJ334" s="605" t="s">
        <v>2448</v>
      </c>
    </row>
    <row r="335" spans="1:36" s="376" customFormat="1" ht="121.5" outlineLevel="2" x14ac:dyDescent="0.3">
      <c r="A335" s="447">
        <v>32</v>
      </c>
      <c r="B335" s="558" t="s">
        <v>304</v>
      </c>
      <c r="C335" s="558"/>
      <c r="D335" s="587"/>
      <c r="E335" s="560"/>
      <c r="F335" s="558" t="s">
        <v>2471</v>
      </c>
      <c r="G335" s="588">
        <v>91.8</v>
      </c>
      <c r="H335" s="546" t="s">
        <v>2899</v>
      </c>
      <c r="I335" s="563">
        <v>554400</v>
      </c>
      <c r="J335" s="563">
        <v>0</v>
      </c>
      <c r="K335" s="564">
        <v>50894000</v>
      </c>
      <c r="L335" s="564">
        <v>0</v>
      </c>
      <c r="M335" s="558"/>
      <c r="N335" s="558"/>
      <c r="O335" s="590"/>
      <c r="P335" s="564" t="s">
        <v>25</v>
      </c>
      <c r="Q335" s="564" t="s">
        <v>25</v>
      </c>
      <c r="R335" s="566" t="s">
        <v>1839</v>
      </c>
      <c r="S335" s="589" t="s">
        <v>53</v>
      </c>
      <c r="T335" s="591">
        <v>4.8</v>
      </c>
      <c r="U335" s="589"/>
      <c r="V335" s="564">
        <v>244604</v>
      </c>
      <c r="W335" s="564">
        <v>1174000</v>
      </c>
      <c r="X335" s="589"/>
      <c r="Y335" s="592"/>
      <c r="Z335" s="592"/>
      <c r="AA335" s="568"/>
      <c r="AB335" s="592"/>
      <c r="AC335" s="592"/>
      <c r="AD335" s="592"/>
      <c r="AE335" s="590"/>
      <c r="AF335" s="570" t="s">
        <v>2899</v>
      </c>
      <c r="AG335" s="570" t="s">
        <v>25</v>
      </c>
      <c r="AH335" s="571" t="s">
        <v>25</v>
      </c>
      <c r="AI335" s="593" t="s">
        <v>488</v>
      </c>
      <c r="AJ335" s="558" t="s">
        <v>2450</v>
      </c>
    </row>
    <row r="336" spans="1:36" s="376" customFormat="1" ht="101.25" outlineLevel="2" x14ac:dyDescent="0.3">
      <c r="A336" s="447">
        <v>32</v>
      </c>
      <c r="B336" s="572"/>
      <c r="C336" s="572"/>
      <c r="D336" s="612"/>
      <c r="E336" s="612"/>
      <c r="F336" s="558"/>
      <c r="G336" s="588"/>
      <c r="H336" s="546"/>
      <c r="I336" s="563" t="s">
        <v>25</v>
      </c>
      <c r="J336" s="563" t="s">
        <v>25</v>
      </c>
      <c r="K336" s="564" t="s">
        <v>25</v>
      </c>
      <c r="L336" s="564" t="s">
        <v>25</v>
      </c>
      <c r="M336" s="586"/>
      <c r="N336" s="586"/>
      <c r="O336" s="630"/>
      <c r="P336" s="564" t="s">
        <v>25</v>
      </c>
      <c r="Q336" s="564" t="s">
        <v>25</v>
      </c>
      <c r="R336" s="586" t="s">
        <v>1748</v>
      </c>
      <c r="S336" s="609" t="s">
        <v>53</v>
      </c>
      <c r="T336" s="591">
        <v>4.8</v>
      </c>
      <c r="U336" s="589"/>
      <c r="V336" s="564">
        <v>0</v>
      </c>
      <c r="W336" s="564">
        <v>0</v>
      </c>
      <c r="X336" s="562"/>
      <c r="Y336" s="592"/>
      <c r="Z336" s="592"/>
      <c r="AA336" s="568"/>
      <c r="AB336" s="592"/>
      <c r="AC336" s="592"/>
      <c r="AD336" s="592"/>
      <c r="AE336" s="590"/>
      <c r="AF336" s="570" t="s">
        <v>2899</v>
      </c>
      <c r="AG336" s="570" t="s">
        <v>25</v>
      </c>
      <c r="AH336" s="571" t="s">
        <v>25</v>
      </c>
      <c r="AI336" s="558" t="s">
        <v>662</v>
      </c>
      <c r="AJ336" s="558" t="s">
        <v>2800</v>
      </c>
    </row>
    <row r="337" spans="1:36" s="376" customFormat="1" ht="60.75" outlineLevel="2" x14ac:dyDescent="0.3">
      <c r="A337" s="447">
        <v>32</v>
      </c>
      <c r="B337" s="572"/>
      <c r="C337" s="572"/>
      <c r="D337" s="587"/>
      <c r="E337" s="560"/>
      <c r="F337" s="586"/>
      <c r="G337" s="588"/>
      <c r="H337" s="546"/>
      <c r="I337" s="563" t="s">
        <v>25</v>
      </c>
      <c r="J337" s="563" t="s">
        <v>25</v>
      </c>
      <c r="K337" s="564" t="s">
        <v>25</v>
      </c>
      <c r="L337" s="564" t="s">
        <v>25</v>
      </c>
      <c r="M337" s="586"/>
      <c r="N337" s="586"/>
      <c r="O337" s="630"/>
      <c r="P337" s="564" t="s">
        <v>25</v>
      </c>
      <c r="Q337" s="564" t="s">
        <v>25</v>
      </c>
      <c r="R337" s="586" t="s">
        <v>1748</v>
      </c>
      <c r="S337" s="609" t="s">
        <v>53</v>
      </c>
      <c r="T337" s="591">
        <v>6.8</v>
      </c>
      <c r="U337" s="589"/>
      <c r="V337" s="564">
        <v>0</v>
      </c>
      <c r="W337" s="564">
        <v>0</v>
      </c>
      <c r="X337" s="589"/>
      <c r="Y337" s="592"/>
      <c r="Z337" s="592"/>
      <c r="AA337" s="568"/>
      <c r="AB337" s="592"/>
      <c r="AC337" s="592"/>
      <c r="AD337" s="592"/>
      <c r="AE337" s="590"/>
      <c r="AF337" s="570" t="s">
        <v>2899</v>
      </c>
      <c r="AG337" s="570" t="s">
        <v>25</v>
      </c>
      <c r="AH337" s="571" t="s">
        <v>25</v>
      </c>
      <c r="AI337" s="558" t="s">
        <v>2074</v>
      </c>
      <c r="AJ337" s="558"/>
    </row>
    <row r="338" spans="1:36" s="376" customFormat="1" ht="60.75" outlineLevel="2" x14ac:dyDescent="0.3">
      <c r="A338" s="447">
        <v>32</v>
      </c>
      <c r="B338" s="574"/>
      <c r="C338" s="574"/>
      <c r="D338" s="587"/>
      <c r="E338" s="560"/>
      <c r="F338" s="558"/>
      <c r="G338" s="588"/>
      <c r="H338" s="546"/>
      <c r="I338" s="563" t="s">
        <v>25</v>
      </c>
      <c r="J338" s="563" t="s">
        <v>25</v>
      </c>
      <c r="K338" s="564" t="s">
        <v>25</v>
      </c>
      <c r="L338" s="564" t="s">
        <v>25</v>
      </c>
      <c r="M338" s="586"/>
      <c r="N338" s="586"/>
      <c r="O338" s="630"/>
      <c r="P338" s="564" t="s">
        <v>25</v>
      </c>
      <c r="Q338" s="564" t="s">
        <v>25</v>
      </c>
      <c r="R338" s="586" t="s">
        <v>1749</v>
      </c>
      <c r="S338" s="609" t="s">
        <v>53</v>
      </c>
      <c r="T338" s="591">
        <v>6.8</v>
      </c>
      <c r="U338" s="589"/>
      <c r="V338" s="564">
        <v>211811</v>
      </c>
      <c r="W338" s="564">
        <v>1440000</v>
      </c>
      <c r="X338" s="589"/>
      <c r="Y338" s="592"/>
      <c r="Z338" s="592"/>
      <c r="AA338" s="568"/>
      <c r="AB338" s="592"/>
      <c r="AC338" s="592"/>
      <c r="AD338" s="592"/>
      <c r="AE338" s="590"/>
      <c r="AF338" s="570" t="s">
        <v>2899</v>
      </c>
      <c r="AG338" s="570" t="s">
        <v>25</v>
      </c>
      <c r="AH338" s="571" t="s">
        <v>25</v>
      </c>
      <c r="AI338" s="575"/>
      <c r="AJ338" s="593"/>
    </row>
    <row r="339" spans="1:36" s="376" customFormat="1" ht="60.75" outlineLevel="2" x14ac:dyDescent="0.3">
      <c r="A339" s="447">
        <v>32</v>
      </c>
      <c r="B339" s="558"/>
      <c r="C339" s="558"/>
      <c r="D339" s="587"/>
      <c r="E339" s="560"/>
      <c r="F339" s="558"/>
      <c r="G339" s="588"/>
      <c r="H339" s="546"/>
      <c r="I339" s="563" t="s">
        <v>25</v>
      </c>
      <c r="J339" s="563" t="s">
        <v>25</v>
      </c>
      <c r="K339" s="564" t="s">
        <v>25</v>
      </c>
      <c r="L339" s="564" t="s">
        <v>25</v>
      </c>
      <c r="M339" s="586"/>
      <c r="N339" s="586"/>
      <c r="O339" s="630"/>
      <c r="P339" s="564" t="s">
        <v>25</v>
      </c>
      <c r="Q339" s="564" t="s">
        <v>25</v>
      </c>
      <c r="R339" s="586" t="s">
        <v>1854</v>
      </c>
      <c r="S339" s="609" t="s">
        <v>53</v>
      </c>
      <c r="T339" s="591">
        <v>3.57</v>
      </c>
      <c r="U339" s="589"/>
      <c r="V339" s="564">
        <v>2093161</v>
      </c>
      <c r="W339" s="564">
        <v>7473000</v>
      </c>
      <c r="X339" s="589"/>
      <c r="Y339" s="592" t="s">
        <v>55</v>
      </c>
      <c r="Z339" s="592" t="s">
        <v>56</v>
      </c>
      <c r="AA339" s="568" t="s">
        <v>57</v>
      </c>
      <c r="AB339" s="592" t="s">
        <v>54</v>
      </c>
      <c r="AC339" s="592"/>
      <c r="AD339" s="592"/>
      <c r="AE339" s="590"/>
      <c r="AF339" s="570" t="s">
        <v>2899</v>
      </c>
      <c r="AG339" s="570" t="s">
        <v>25</v>
      </c>
      <c r="AH339" s="571" t="s">
        <v>25</v>
      </c>
      <c r="AI339" s="593"/>
      <c r="AJ339" s="593"/>
    </row>
    <row r="340" spans="1:36" s="376" customFormat="1" ht="60.75" outlineLevel="2" x14ac:dyDescent="0.3">
      <c r="A340" s="447">
        <v>32</v>
      </c>
      <c r="B340" s="558"/>
      <c r="C340" s="558"/>
      <c r="D340" s="587"/>
      <c r="E340" s="560"/>
      <c r="F340" s="558"/>
      <c r="G340" s="588"/>
      <c r="H340" s="546"/>
      <c r="I340" s="563" t="s">
        <v>25</v>
      </c>
      <c r="J340" s="563" t="s">
        <v>25</v>
      </c>
      <c r="K340" s="564" t="s">
        <v>25</v>
      </c>
      <c r="L340" s="564" t="s">
        <v>25</v>
      </c>
      <c r="M340" s="586"/>
      <c r="N340" s="586"/>
      <c r="O340" s="630"/>
      <c r="P340" s="564" t="s">
        <v>25</v>
      </c>
      <c r="Q340" s="564" t="s">
        <v>25</v>
      </c>
      <c r="R340" s="586" t="s">
        <v>1749</v>
      </c>
      <c r="S340" s="609" t="s">
        <v>53</v>
      </c>
      <c r="T340" s="591">
        <v>4.0999999999999996</v>
      </c>
      <c r="U340" s="589"/>
      <c r="V340" s="564">
        <v>211811</v>
      </c>
      <c r="W340" s="564">
        <v>868000</v>
      </c>
      <c r="X340" s="589"/>
      <c r="Y340" s="592"/>
      <c r="Z340" s="592"/>
      <c r="AA340" s="568"/>
      <c r="AB340" s="592"/>
      <c r="AC340" s="592"/>
      <c r="AD340" s="592"/>
      <c r="AE340" s="590"/>
      <c r="AF340" s="570" t="s">
        <v>2899</v>
      </c>
      <c r="AG340" s="570" t="s">
        <v>25</v>
      </c>
      <c r="AH340" s="571" t="s">
        <v>25</v>
      </c>
      <c r="AI340" s="593"/>
      <c r="AJ340" s="593"/>
    </row>
    <row r="341" spans="1:36" s="376" customFormat="1" ht="60.75" outlineLevel="2" x14ac:dyDescent="0.3">
      <c r="A341" s="447">
        <v>32</v>
      </c>
      <c r="B341" s="558"/>
      <c r="C341" s="558"/>
      <c r="D341" s="587"/>
      <c r="E341" s="560"/>
      <c r="F341" s="558"/>
      <c r="G341" s="588"/>
      <c r="H341" s="546"/>
      <c r="I341" s="563" t="s">
        <v>25</v>
      </c>
      <c r="J341" s="563" t="s">
        <v>25</v>
      </c>
      <c r="K341" s="564" t="s">
        <v>25</v>
      </c>
      <c r="L341" s="564" t="s">
        <v>25</v>
      </c>
      <c r="M341" s="586"/>
      <c r="N341" s="586"/>
      <c r="O341" s="630"/>
      <c r="P341" s="564" t="s">
        <v>25</v>
      </c>
      <c r="Q341" s="564" t="s">
        <v>25</v>
      </c>
      <c r="R341" s="586" t="s">
        <v>1855</v>
      </c>
      <c r="S341" s="609" t="s">
        <v>53</v>
      </c>
      <c r="T341" s="591">
        <v>0.96</v>
      </c>
      <c r="U341" s="589"/>
      <c r="V341" s="564">
        <v>310020</v>
      </c>
      <c r="W341" s="564">
        <v>298000</v>
      </c>
      <c r="X341" s="589"/>
      <c r="Y341" s="592"/>
      <c r="Z341" s="592"/>
      <c r="AA341" s="568"/>
      <c r="AB341" s="592"/>
      <c r="AC341" s="592"/>
      <c r="AD341" s="592"/>
      <c r="AE341" s="590"/>
      <c r="AF341" s="570" t="s">
        <v>2899</v>
      </c>
      <c r="AG341" s="570" t="s">
        <v>25</v>
      </c>
      <c r="AH341" s="571" t="s">
        <v>25</v>
      </c>
      <c r="AI341" s="593"/>
      <c r="AJ341" s="593"/>
    </row>
    <row r="342" spans="1:36" s="376" customFormat="1" ht="60.75" outlineLevel="2" x14ac:dyDescent="0.3">
      <c r="A342" s="447">
        <v>32</v>
      </c>
      <c r="B342" s="558"/>
      <c r="C342" s="558"/>
      <c r="D342" s="587"/>
      <c r="E342" s="560"/>
      <c r="F342" s="558"/>
      <c r="G342" s="588"/>
      <c r="H342" s="546"/>
      <c r="I342" s="563" t="s">
        <v>25</v>
      </c>
      <c r="J342" s="563" t="s">
        <v>25</v>
      </c>
      <c r="K342" s="564" t="s">
        <v>25</v>
      </c>
      <c r="L342" s="564" t="s">
        <v>25</v>
      </c>
      <c r="M342" s="586"/>
      <c r="N342" s="586"/>
      <c r="O342" s="630"/>
      <c r="P342" s="564" t="s">
        <v>25</v>
      </c>
      <c r="Q342" s="564" t="s">
        <v>25</v>
      </c>
      <c r="R342" s="586" t="s">
        <v>1856</v>
      </c>
      <c r="S342" s="652" t="s">
        <v>78</v>
      </c>
      <c r="T342" s="591">
        <v>0.36</v>
      </c>
      <c r="U342" s="589"/>
      <c r="V342" s="564">
        <v>0</v>
      </c>
      <c r="W342" s="564">
        <v>0</v>
      </c>
      <c r="X342" s="589"/>
      <c r="Y342" s="592"/>
      <c r="Z342" s="592"/>
      <c r="AA342" s="568"/>
      <c r="AB342" s="592"/>
      <c r="AC342" s="592"/>
      <c r="AD342" s="592"/>
      <c r="AE342" s="590"/>
      <c r="AF342" s="570" t="s">
        <v>2899</v>
      </c>
      <c r="AG342" s="570" t="s">
        <v>25</v>
      </c>
      <c r="AH342" s="571" t="s">
        <v>25</v>
      </c>
      <c r="AI342" s="593"/>
      <c r="AJ342" s="593"/>
    </row>
    <row r="343" spans="1:36" s="376" customFormat="1" ht="60.75" outlineLevel="2" x14ac:dyDescent="0.3">
      <c r="A343" s="447">
        <v>32</v>
      </c>
      <c r="B343" s="558"/>
      <c r="C343" s="558"/>
      <c r="D343" s="587"/>
      <c r="E343" s="560"/>
      <c r="F343" s="558"/>
      <c r="G343" s="588"/>
      <c r="H343" s="546"/>
      <c r="I343" s="563" t="s">
        <v>25</v>
      </c>
      <c r="J343" s="563" t="s">
        <v>25</v>
      </c>
      <c r="K343" s="564" t="s">
        <v>25</v>
      </c>
      <c r="L343" s="564" t="s">
        <v>25</v>
      </c>
      <c r="M343" s="586"/>
      <c r="N343" s="586"/>
      <c r="O343" s="630"/>
      <c r="P343" s="564" t="s">
        <v>25</v>
      </c>
      <c r="Q343" s="564" t="s">
        <v>25</v>
      </c>
      <c r="R343" s="586" t="s">
        <v>1857</v>
      </c>
      <c r="S343" s="609" t="s">
        <v>53</v>
      </c>
      <c r="T343" s="591">
        <v>1.05</v>
      </c>
      <c r="U343" s="589"/>
      <c r="V343" s="564">
        <v>226126</v>
      </c>
      <c r="W343" s="564">
        <v>237000</v>
      </c>
      <c r="X343" s="589"/>
      <c r="Y343" s="592"/>
      <c r="Z343" s="592"/>
      <c r="AA343" s="568"/>
      <c r="AB343" s="592"/>
      <c r="AC343" s="592"/>
      <c r="AD343" s="592"/>
      <c r="AE343" s="590"/>
      <c r="AF343" s="570" t="s">
        <v>2899</v>
      </c>
      <c r="AG343" s="570" t="s">
        <v>25</v>
      </c>
      <c r="AH343" s="571" t="s">
        <v>25</v>
      </c>
      <c r="AI343" s="593"/>
      <c r="AJ343" s="593"/>
    </row>
    <row r="344" spans="1:36" s="376" customFormat="1" ht="40.5" outlineLevel="2" x14ac:dyDescent="0.3">
      <c r="A344" s="447">
        <v>32</v>
      </c>
      <c r="B344" s="558"/>
      <c r="C344" s="558"/>
      <c r="D344" s="587"/>
      <c r="E344" s="560"/>
      <c r="F344" s="558"/>
      <c r="G344" s="588"/>
      <c r="H344" s="546"/>
      <c r="I344" s="563" t="s">
        <v>25</v>
      </c>
      <c r="J344" s="563" t="s">
        <v>25</v>
      </c>
      <c r="K344" s="564" t="s">
        <v>25</v>
      </c>
      <c r="L344" s="564" t="s">
        <v>25</v>
      </c>
      <c r="M344" s="586"/>
      <c r="N344" s="586"/>
      <c r="O344" s="630"/>
      <c r="P344" s="564" t="s">
        <v>25</v>
      </c>
      <c r="Q344" s="564" t="s">
        <v>25</v>
      </c>
      <c r="R344" s="586" t="s">
        <v>1757</v>
      </c>
      <c r="S344" s="609" t="s">
        <v>53</v>
      </c>
      <c r="T344" s="591">
        <v>28.2</v>
      </c>
      <c r="U344" s="589"/>
      <c r="V344" s="564">
        <v>157477</v>
      </c>
      <c r="W344" s="564">
        <v>4441000</v>
      </c>
      <c r="X344" s="589"/>
      <c r="Y344" s="592"/>
      <c r="Z344" s="592"/>
      <c r="AA344" s="568"/>
      <c r="AB344" s="592"/>
      <c r="AC344" s="592"/>
      <c r="AD344" s="592"/>
      <c r="AE344" s="590"/>
      <c r="AF344" s="570" t="s">
        <v>2899</v>
      </c>
      <c r="AG344" s="570" t="s">
        <v>25</v>
      </c>
      <c r="AH344" s="571" t="s">
        <v>25</v>
      </c>
      <c r="AI344" s="593"/>
      <c r="AJ344" s="593"/>
    </row>
    <row r="345" spans="1:36" s="376" customFormat="1" ht="60.75" outlineLevel="2" x14ac:dyDescent="0.3">
      <c r="A345" s="447">
        <v>32</v>
      </c>
      <c r="B345" s="558"/>
      <c r="C345" s="558"/>
      <c r="D345" s="587"/>
      <c r="E345" s="560"/>
      <c r="F345" s="558"/>
      <c r="G345" s="588"/>
      <c r="H345" s="546"/>
      <c r="I345" s="563" t="s">
        <v>25</v>
      </c>
      <c r="J345" s="563" t="s">
        <v>25</v>
      </c>
      <c r="K345" s="564" t="s">
        <v>25</v>
      </c>
      <c r="L345" s="564" t="s">
        <v>25</v>
      </c>
      <c r="M345" s="586"/>
      <c r="N345" s="586"/>
      <c r="O345" s="630"/>
      <c r="P345" s="564" t="s">
        <v>25</v>
      </c>
      <c r="Q345" s="564" t="s">
        <v>25</v>
      </c>
      <c r="R345" s="646" t="s">
        <v>1858</v>
      </c>
      <c r="S345" s="647" t="s">
        <v>53</v>
      </c>
      <c r="T345" s="591">
        <v>33.18</v>
      </c>
      <c r="U345" s="589"/>
      <c r="V345" s="564">
        <v>441467</v>
      </c>
      <c r="W345" s="564">
        <v>14648000</v>
      </c>
      <c r="X345" s="589"/>
      <c r="Y345" s="592"/>
      <c r="Z345" s="592"/>
      <c r="AA345" s="568"/>
      <c r="AB345" s="592"/>
      <c r="AC345" s="592"/>
      <c r="AD345" s="592"/>
      <c r="AE345" s="590"/>
      <c r="AF345" s="570" t="s">
        <v>2899</v>
      </c>
      <c r="AG345" s="570" t="s">
        <v>25</v>
      </c>
      <c r="AH345" s="571" t="s">
        <v>25</v>
      </c>
      <c r="AI345" s="593"/>
      <c r="AJ345" s="593"/>
    </row>
    <row r="346" spans="1:36" s="376" customFormat="1" ht="20.25" outlineLevel="2" x14ac:dyDescent="0.3">
      <c r="A346" s="447">
        <v>32</v>
      </c>
      <c r="B346" s="558"/>
      <c r="C346" s="558"/>
      <c r="D346" s="587"/>
      <c r="E346" s="560"/>
      <c r="F346" s="558"/>
      <c r="G346" s="588"/>
      <c r="H346" s="546"/>
      <c r="I346" s="563" t="s">
        <v>25</v>
      </c>
      <c r="J346" s="563" t="s">
        <v>25</v>
      </c>
      <c r="K346" s="564" t="s">
        <v>25</v>
      </c>
      <c r="L346" s="564" t="s">
        <v>25</v>
      </c>
      <c r="M346" s="586"/>
      <c r="N346" s="586"/>
      <c r="O346" s="630"/>
      <c r="P346" s="564" t="s">
        <v>25</v>
      </c>
      <c r="Q346" s="564" t="s">
        <v>25</v>
      </c>
      <c r="R346" s="586"/>
      <c r="S346" s="609"/>
      <c r="T346" s="591"/>
      <c r="U346" s="589"/>
      <c r="V346" s="564" t="s">
        <v>2899</v>
      </c>
      <c r="W346" s="564" t="s">
        <v>25</v>
      </c>
      <c r="X346" s="589"/>
      <c r="Y346" s="592"/>
      <c r="Z346" s="592"/>
      <c r="AA346" s="568"/>
      <c r="AB346" s="592"/>
      <c r="AC346" s="592"/>
      <c r="AD346" s="592"/>
      <c r="AE346" s="590"/>
      <c r="AF346" s="570" t="s">
        <v>2899</v>
      </c>
      <c r="AG346" s="570" t="s">
        <v>25</v>
      </c>
      <c r="AH346" s="571" t="s">
        <v>25</v>
      </c>
      <c r="AI346" s="593"/>
      <c r="AJ346" s="593"/>
    </row>
    <row r="347" spans="1:36" s="376" customFormat="1" ht="20.25" outlineLevel="2" x14ac:dyDescent="0.3">
      <c r="A347" s="447">
        <v>32</v>
      </c>
      <c r="B347" s="558"/>
      <c r="C347" s="558"/>
      <c r="D347" s="587"/>
      <c r="E347" s="615"/>
      <c r="F347" s="558"/>
      <c r="G347" s="588"/>
      <c r="H347" s="546"/>
      <c r="I347" s="563" t="s">
        <v>25</v>
      </c>
      <c r="J347" s="563" t="s">
        <v>25</v>
      </c>
      <c r="K347" s="564" t="s">
        <v>25</v>
      </c>
      <c r="L347" s="564" t="s">
        <v>25</v>
      </c>
      <c r="M347" s="586"/>
      <c r="N347" s="586"/>
      <c r="O347" s="630"/>
      <c r="P347" s="564" t="s">
        <v>25</v>
      </c>
      <c r="Q347" s="564" t="s">
        <v>25</v>
      </c>
      <c r="R347" s="586"/>
      <c r="S347" s="609"/>
      <c r="T347" s="591"/>
      <c r="U347" s="589"/>
      <c r="V347" s="564" t="s">
        <v>2899</v>
      </c>
      <c r="W347" s="564" t="s">
        <v>25</v>
      </c>
      <c r="X347" s="589"/>
      <c r="Y347" s="592"/>
      <c r="Z347" s="592"/>
      <c r="AA347" s="568"/>
      <c r="AB347" s="592"/>
      <c r="AC347" s="592"/>
      <c r="AD347" s="592"/>
      <c r="AE347" s="590"/>
      <c r="AF347" s="570" t="s">
        <v>2899</v>
      </c>
      <c r="AG347" s="570" t="s">
        <v>25</v>
      </c>
      <c r="AH347" s="571" t="s">
        <v>25</v>
      </c>
      <c r="AI347" s="593"/>
      <c r="AJ347" s="593"/>
    </row>
    <row r="348" spans="1:36" s="376" customFormat="1" ht="20.25" outlineLevel="2" x14ac:dyDescent="0.3">
      <c r="A348" s="447">
        <v>32</v>
      </c>
      <c r="B348" s="643"/>
      <c r="C348" s="643"/>
      <c r="D348" s="595"/>
      <c r="E348" s="577"/>
      <c r="F348" s="558"/>
      <c r="G348" s="604"/>
      <c r="H348" s="546"/>
      <c r="I348" s="563" t="s">
        <v>25</v>
      </c>
      <c r="J348" s="563" t="s">
        <v>25</v>
      </c>
      <c r="K348" s="564" t="s">
        <v>25</v>
      </c>
      <c r="L348" s="564" t="s">
        <v>25</v>
      </c>
      <c r="M348" s="593"/>
      <c r="N348" s="593"/>
      <c r="O348" s="616"/>
      <c r="P348" s="564" t="s">
        <v>25</v>
      </c>
      <c r="Q348" s="564" t="s">
        <v>25</v>
      </c>
      <c r="R348" s="593"/>
      <c r="S348" s="593"/>
      <c r="T348" s="617"/>
      <c r="U348" s="589"/>
      <c r="V348" s="564" t="s">
        <v>2899</v>
      </c>
      <c r="W348" s="564" t="s">
        <v>25</v>
      </c>
      <c r="X348" s="589"/>
      <c r="Y348" s="589"/>
      <c r="Z348" s="589"/>
      <c r="AA348" s="562"/>
      <c r="AB348" s="589"/>
      <c r="AC348" s="589"/>
      <c r="AD348" s="589"/>
      <c r="AE348" s="629"/>
      <c r="AF348" s="570" t="s">
        <v>2899</v>
      </c>
      <c r="AG348" s="570" t="s">
        <v>25</v>
      </c>
      <c r="AH348" s="571" t="s">
        <v>25</v>
      </c>
      <c r="AI348" s="593"/>
      <c r="AJ348" s="593"/>
    </row>
    <row r="349" spans="1:36" s="376" customFormat="1" ht="40.5" outlineLevel="1" x14ac:dyDescent="0.25">
      <c r="A349" s="467">
        <v>33</v>
      </c>
      <c r="B349" s="643" t="s">
        <v>33</v>
      </c>
      <c r="C349" s="773" t="s">
        <v>2902</v>
      </c>
      <c r="D349" s="587">
        <v>86</v>
      </c>
      <c r="E349" s="560">
        <v>257</v>
      </c>
      <c r="F349" s="574"/>
      <c r="G349" s="618">
        <v>410.3</v>
      </c>
      <c r="H349" s="579">
        <v>208.8</v>
      </c>
      <c r="I349" s="581"/>
      <c r="J349" s="581"/>
      <c r="K349" s="571">
        <v>1276883000</v>
      </c>
      <c r="L349" s="571">
        <v>347277000</v>
      </c>
      <c r="M349" s="574"/>
      <c r="N349" s="574"/>
      <c r="O349" s="599">
        <v>49</v>
      </c>
      <c r="P349" s="571"/>
      <c r="Q349" s="571">
        <v>37315000</v>
      </c>
      <c r="R349" s="582"/>
      <c r="S349" s="597"/>
      <c r="T349" s="600">
        <v>291.37999999999994</v>
      </c>
      <c r="U349" s="597"/>
      <c r="V349" s="571"/>
      <c r="W349" s="571">
        <v>204368000</v>
      </c>
      <c r="X349" s="589"/>
      <c r="Y349" s="592"/>
      <c r="Z349" s="592"/>
      <c r="AA349" s="568"/>
      <c r="AB349" s="592"/>
      <c r="AC349" s="568"/>
      <c r="AD349" s="602"/>
      <c r="AE349" s="581">
        <f>SUBTOTAL(9,AE350:AE384)</f>
        <v>1</v>
      </c>
      <c r="AF349" s="585"/>
      <c r="AG349" s="585">
        <v>10000000</v>
      </c>
      <c r="AH349" s="571">
        <v>1875843000</v>
      </c>
      <c r="AI349" s="574"/>
      <c r="AJ349" s="578"/>
    </row>
    <row r="350" spans="1:36" s="376" customFormat="1" ht="121.5" outlineLevel="2" x14ac:dyDescent="0.3">
      <c r="A350" s="447">
        <v>33</v>
      </c>
      <c r="B350" s="648" t="s">
        <v>157</v>
      </c>
      <c r="C350" s="648"/>
      <c r="D350" s="587">
        <v>86</v>
      </c>
      <c r="E350" s="560">
        <v>257</v>
      </c>
      <c r="F350" s="558" t="s">
        <v>2037</v>
      </c>
      <c r="G350" s="588">
        <v>201.5</v>
      </c>
      <c r="H350" s="546" t="s">
        <v>2899</v>
      </c>
      <c r="I350" s="563">
        <v>5762400</v>
      </c>
      <c r="J350" s="563">
        <v>0</v>
      </c>
      <c r="K350" s="564">
        <v>1161124000</v>
      </c>
      <c r="L350" s="564">
        <v>0</v>
      </c>
      <c r="M350" s="558" t="s">
        <v>145</v>
      </c>
      <c r="N350" s="558"/>
      <c r="O350" s="590">
        <v>1</v>
      </c>
      <c r="P350" s="564">
        <v>4240000</v>
      </c>
      <c r="Q350" s="564">
        <v>4240000</v>
      </c>
      <c r="R350" s="566" t="s">
        <v>1852</v>
      </c>
      <c r="S350" s="589" t="s">
        <v>53</v>
      </c>
      <c r="T350" s="591">
        <v>28.2</v>
      </c>
      <c r="U350" s="589"/>
      <c r="V350" s="564">
        <v>1490563</v>
      </c>
      <c r="W350" s="564">
        <v>42034000</v>
      </c>
      <c r="X350" s="589"/>
      <c r="Y350" s="592" t="s">
        <v>55</v>
      </c>
      <c r="Z350" s="592" t="s">
        <v>56</v>
      </c>
      <c r="AA350" s="568" t="s">
        <v>137</v>
      </c>
      <c r="AB350" s="592" t="s">
        <v>66</v>
      </c>
      <c r="AC350" s="568" t="s">
        <v>430</v>
      </c>
      <c r="AD350" s="569"/>
      <c r="AE350" s="563"/>
      <c r="AF350" s="570"/>
      <c r="AG350" s="570"/>
      <c r="AH350" s="571" t="s">
        <v>25</v>
      </c>
      <c r="AI350" s="558" t="s">
        <v>663</v>
      </c>
      <c r="AJ350" s="586" t="s">
        <v>2771</v>
      </c>
    </row>
    <row r="351" spans="1:36" s="376" customFormat="1" ht="101.25" outlineLevel="2" x14ac:dyDescent="0.3">
      <c r="A351" s="447">
        <v>33</v>
      </c>
      <c r="B351" s="648" t="s">
        <v>661</v>
      </c>
      <c r="C351" s="648"/>
      <c r="D351" s="587"/>
      <c r="E351" s="560"/>
      <c r="F351" s="558" t="s">
        <v>2469</v>
      </c>
      <c r="G351" s="588">
        <v>205.5</v>
      </c>
      <c r="H351" s="546">
        <v>205.5</v>
      </c>
      <c r="I351" s="563">
        <v>554400</v>
      </c>
      <c r="J351" s="563">
        <v>1663200</v>
      </c>
      <c r="K351" s="564">
        <v>113929000</v>
      </c>
      <c r="L351" s="564">
        <v>341788000</v>
      </c>
      <c r="M351" s="558" t="s">
        <v>77</v>
      </c>
      <c r="N351" s="558"/>
      <c r="O351" s="590">
        <v>8</v>
      </c>
      <c r="P351" s="564">
        <v>3064000</v>
      </c>
      <c r="Q351" s="564">
        <v>24512000</v>
      </c>
      <c r="R351" s="566" t="s">
        <v>2287</v>
      </c>
      <c r="S351" s="589" t="s">
        <v>53</v>
      </c>
      <c r="T351" s="591">
        <v>3</v>
      </c>
      <c r="U351" s="589"/>
      <c r="V351" s="564">
        <v>2093161</v>
      </c>
      <c r="W351" s="564">
        <v>6279000</v>
      </c>
      <c r="X351" s="589"/>
      <c r="Y351" s="592"/>
      <c r="Z351" s="592" t="s">
        <v>56</v>
      </c>
      <c r="AA351" s="568" t="s">
        <v>57</v>
      </c>
      <c r="AB351" s="592" t="s">
        <v>54</v>
      </c>
      <c r="AC351" s="592"/>
      <c r="AD351" s="569" t="s">
        <v>2790</v>
      </c>
      <c r="AE351" s="590">
        <v>1</v>
      </c>
      <c r="AF351" s="570">
        <v>10000000</v>
      </c>
      <c r="AG351" s="570">
        <v>10000000</v>
      </c>
      <c r="AH351" s="571" t="s">
        <v>25</v>
      </c>
      <c r="AI351" s="558" t="s">
        <v>490</v>
      </c>
      <c r="AJ351" s="605" t="s">
        <v>2448</v>
      </c>
    </row>
    <row r="352" spans="1:36" s="376" customFormat="1" ht="121.5" outlineLevel="2" x14ac:dyDescent="0.3">
      <c r="A352" s="447">
        <v>33</v>
      </c>
      <c r="B352" s="558" t="s">
        <v>304</v>
      </c>
      <c r="C352" s="558"/>
      <c r="D352" s="587"/>
      <c r="E352" s="560"/>
      <c r="F352" s="558" t="s">
        <v>2470</v>
      </c>
      <c r="G352" s="588">
        <v>3.3</v>
      </c>
      <c r="H352" s="546">
        <v>3.3</v>
      </c>
      <c r="I352" s="563">
        <v>554400</v>
      </c>
      <c r="J352" s="563">
        <v>1663200</v>
      </c>
      <c r="K352" s="564">
        <v>1830000</v>
      </c>
      <c r="L352" s="564">
        <v>5489000</v>
      </c>
      <c r="M352" s="646" t="s">
        <v>149</v>
      </c>
      <c r="N352" s="646"/>
      <c r="O352" s="590">
        <v>1</v>
      </c>
      <c r="P352" s="564">
        <v>146000</v>
      </c>
      <c r="Q352" s="564">
        <v>146000</v>
      </c>
      <c r="R352" s="646" t="s">
        <v>1839</v>
      </c>
      <c r="S352" s="649" t="s">
        <v>53</v>
      </c>
      <c r="T352" s="591">
        <v>4.8</v>
      </c>
      <c r="U352" s="589"/>
      <c r="V352" s="564">
        <v>244604</v>
      </c>
      <c r="W352" s="564">
        <v>1174000</v>
      </c>
      <c r="X352" s="589"/>
      <c r="Y352" s="592"/>
      <c r="Z352" s="592"/>
      <c r="AA352" s="568"/>
      <c r="AB352" s="592"/>
      <c r="AC352" s="592"/>
      <c r="AD352" s="606"/>
      <c r="AE352" s="590"/>
      <c r="AF352" s="570" t="s">
        <v>2899</v>
      </c>
      <c r="AG352" s="570" t="s">
        <v>25</v>
      </c>
      <c r="AH352" s="571" t="s">
        <v>25</v>
      </c>
      <c r="AI352" s="593" t="s">
        <v>488</v>
      </c>
      <c r="AJ352" s="558" t="s">
        <v>2450</v>
      </c>
    </row>
    <row r="353" spans="1:36" s="376" customFormat="1" ht="101.25" outlineLevel="2" x14ac:dyDescent="0.3">
      <c r="A353" s="447">
        <v>33</v>
      </c>
      <c r="B353" s="648"/>
      <c r="C353" s="648"/>
      <c r="D353" s="587"/>
      <c r="E353" s="560"/>
      <c r="F353" s="558"/>
      <c r="G353" s="588"/>
      <c r="H353" s="546"/>
      <c r="I353" s="563" t="s">
        <v>25</v>
      </c>
      <c r="J353" s="563" t="s">
        <v>25</v>
      </c>
      <c r="K353" s="564" t="s">
        <v>25</v>
      </c>
      <c r="L353" s="564" t="s">
        <v>25</v>
      </c>
      <c r="M353" s="646" t="s">
        <v>76</v>
      </c>
      <c r="N353" s="646"/>
      <c r="O353" s="590">
        <v>6</v>
      </c>
      <c r="P353" s="564">
        <v>45000</v>
      </c>
      <c r="Q353" s="564">
        <v>270000</v>
      </c>
      <c r="R353" s="586" t="s">
        <v>1748</v>
      </c>
      <c r="S353" s="647" t="s">
        <v>53</v>
      </c>
      <c r="T353" s="591">
        <v>4.8</v>
      </c>
      <c r="U353" s="589"/>
      <c r="V353" s="564">
        <v>0</v>
      </c>
      <c r="W353" s="564">
        <v>0</v>
      </c>
      <c r="X353" s="589"/>
      <c r="Y353" s="592"/>
      <c r="Z353" s="592"/>
      <c r="AA353" s="568"/>
      <c r="AB353" s="592"/>
      <c r="AC353" s="592"/>
      <c r="AD353" s="592"/>
      <c r="AE353" s="590"/>
      <c r="AF353" s="570" t="s">
        <v>2899</v>
      </c>
      <c r="AG353" s="570" t="s">
        <v>25</v>
      </c>
      <c r="AH353" s="571" t="s">
        <v>25</v>
      </c>
      <c r="AI353" s="558" t="s">
        <v>491</v>
      </c>
      <c r="AJ353" s="558" t="s">
        <v>2449</v>
      </c>
    </row>
    <row r="354" spans="1:36" s="376" customFormat="1" ht="81" outlineLevel="2" x14ac:dyDescent="0.3">
      <c r="A354" s="447">
        <v>33</v>
      </c>
      <c r="B354" s="558"/>
      <c r="C354" s="558"/>
      <c r="D354" s="587"/>
      <c r="E354" s="560"/>
      <c r="F354" s="558"/>
      <c r="G354" s="588"/>
      <c r="H354" s="546"/>
      <c r="I354" s="563" t="s">
        <v>25</v>
      </c>
      <c r="J354" s="563" t="s">
        <v>25</v>
      </c>
      <c r="K354" s="564" t="s">
        <v>25</v>
      </c>
      <c r="L354" s="564" t="s">
        <v>25</v>
      </c>
      <c r="M354" s="586" t="s">
        <v>72</v>
      </c>
      <c r="N354" s="586"/>
      <c r="O354" s="630">
        <v>4</v>
      </c>
      <c r="P354" s="564">
        <v>132000</v>
      </c>
      <c r="Q354" s="564">
        <v>528000</v>
      </c>
      <c r="R354" s="586" t="s">
        <v>1748</v>
      </c>
      <c r="S354" s="609" t="s">
        <v>53</v>
      </c>
      <c r="T354" s="591">
        <v>6.8</v>
      </c>
      <c r="U354" s="589"/>
      <c r="V354" s="564">
        <v>0</v>
      </c>
      <c r="W354" s="564">
        <v>0</v>
      </c>
      <c r="X354" s="589"/>
      <c r="Y354" s="592"/>
      <c r="Z354" s="592"/>
      <c r="AA354" s="568"/>
      <c r="AB354" s="592"/>
      <c r="AC354" s="592"/>
      <c r="AD354" s="592"/>
      <c r="AE354" s="590"/>
      <c r="AF354" s="570" t="s">
        <v>2899</v>
      </c>
      <c r="AG354" s="570" t="s">
        <v>25</v>
      </c>
      <c r="AH354" s="571" t="s">
        <v>25</v>
      </c>
      <c r="AI354" s="558" t="s">
        <v>2074</v>
      </c>
      <c r="AJ354" s="558" t="s">
        <v>2451</v>
      </c>
    </row>
    <row r="355" spans="1:36" s="376" customFormat="1" ht="101.25" outlineLevel="2" x14ac:dyDescent="0.3">
      <c r="A355" s="447">
        <v>33</v>
      </c>
      <c r="B355" s="558"/>
      <c r="C355" s="558"/>
      <c r="D355" s="587"/>
      <c r="E355" s="560"/>
      <c r="F355" s="558"/>
      <c r="G355" s="588"/>
      <c r="H355" s="546"/>
      <c r="I355" s="563" t="s">
        <v>25</v>
      </c>
      <c r="J355" s="563" t="s">
        <v>25</v>
      </c>
      <c r="K355" s="564" t="s">
        <v>25</v>
      </c>
      <c r="L355" s="564" t="s">
        <v>25</v>
      </c>
      <c r="M355" s="586" t="s">
        <v>73</v>
      </c>
      <c r="N355" s="586"/>
      <c r="O355" s="630">
        <v>3</v>
      </c>
      <c r="P355" s="564">
        <v>76000</v>
      </c>
      <c r="Q355" s="564">
        <v>228000</v>
      </c>
      <c r="R355" s="586" t="s">
        <v>1749</v>
      </c>
      <c r="S355" s="609" t="s">
        <v>53</v>
      </c>
      <c r="T355" s="591">
        <v>6.8</v>
      </c>
      <c r="U355" s="589"/>
      <c r="V355" s="564">
        <v>211811</v>
      </c>
      <c r="W355" s="564">
        <v>1440000</v>
      </c>
      <c r="X355" s="589"/>
      <c r="Y355" s="592"/>
      <c r="Z355" s="592"/>
      <c r="AA355" s="568"/>
      <c r="AB355" s="592"/>
      <c r="AC355" s="592"/>
      <c r="AD355" s="592"/>
      <c r="AE355" s="590"/>
      <c r="AF355" s="570" t="s">
        <v>2899</v>
      </c>
      <c r="AG355" s="570" t="s">
        <v>25</v>
      </c>
      <c r="AH355" s="571" t="s">
        <v>25</v>
      </c>
      <c r="AI355" s="593" t="s">
        <v>492</v>
      </c>
      <c r="AJ355" s="605" t="s">
        <v>2800</v>
      </c>
    </row>
    <row r="356" spans="1:36" s="376" customFormat="1" ht="60.75" outlineLevel="2" x14ac:dyDescent="0.3">
      <c r="A356" s="447">
        <v>33</v>
      </c>
      <c r="B356" s="558"/>
      <c r="C356" s="558"/>
      <c r="D356" s="587"/>
      <c r="E356" s="560"/>
      <c r="F356" s="558"/>
      <c r="G356" s="588"/>
      <c r="H356" s="546"/>
      <c r="I356" s="563" t="s">
        <v>25</v>
      </c>
      <c r="J356" s="563" t="s">
        <v>25</v>
      </c>
      <c r="K356" s="564" t="s">
        <v>25</v>
      </c>
      <c r="L356" s="564" t="s">
        <v>25</v>
      </c>
      <c r="M356" s="586" t="s">
        <v>75</v>
      </c>
      <c r="N356" s="586"/>
      <c r="O356" s="630">
        <v>6</v>
      </c>
      <c r="P356" s="564">
        <v>34000</v>
      </c>
      <c r="Q356" s="564">
        <v>204000</v>
      </c>
      <c r="R356" s="586" t="s">
        <v>1749</v>
      </c>
      <c r="S356" s="609" t="s">
        <v>53</v>
      </c>
      <c r="T356" s="591">
        <v>8.5</v>
      </c>
      <c r="U356" s="589"/>
      <c r="V356" s="564">
        <v>211811</v>
      </c>
      <c r="W356" s="564">
        <v>1800000</v>
      </c>
      <c r="X356" s="589"/>
      <c r="Y356" s="592"/>
      <c r="Z356" s="592"/>
      <c r="AA356" s="568"/>
      <c r="AB356" s="592"/>
      <c r="AC356" s="592"/>
      <c r="AD356" s="592"/>
      <c r="AE356" s="590"/>
      <c r="AF356" s="570" t="s">
        <v>2899</v>
      </c>
      <c r="AG356" s="570" t="s">
        <v>25</v>
      </c>
      <c r="AH356" s="571" t="s">
        <v>25</v>
      </c>
      <c r="AI356" s="575"/>
      <c r="AJ356" s="593"/>
    </row>
    <row r="357" spans="1:36" s="376" customFormat="1" ht="81" outlineLevel="2" x14ac:dyDescent="0.3">
      <c r="A357" s="447">
        <v>33</v>
      </c>
      <c r="B357" s="558"/>
      <c r="C357" s="558"/>
      <c r="D357" s="587"/>
      <c r="E357" s="560"/>
      <c r="F357" s="558"/>
      <c r="G357" s="588"/>
      <c r="H357" s="546"/>
      <c r="I357" s="563" t="s">
        <v>25</v>
      </c>
      <c r="J357" s="563" t="s">
        <v>25</v>
      </c>
      <c r="K357" s="564" t="s">
        <v>25</v>
      </c>
      <c r="L357" s="564" t="s">
        <v>25</v>
      </c>
      <c r="M357" s="586" t="s">
        <v>70</v>
      </c>
      <c r="N357" s="586"/>
      <c r="O357" s="630">
        <v>2</v>
      </c>
      <c r="P357" s="564">
        <v>1632000</v>
      </c>
      <c r="Q357" s="564">
        <v>3264000</v>
      </c>
      <c r="R357" s="586" t="s">
        <v>2288</v>
      </c>
      <c r="S357" s="609" t="s">
        <v>53</v>
      </c>
      <c r="T357" s="591">
        <v>60.06</v>
      </c>
      <c r="U357" s="589"/>
      <c r="V357" s="564">
        <v>441467</v>
      </c>
      <c r="W357" s="564">
        <v>26515000</v>
      </c>
      <c r="X357" s="589"/>
      <c r="Y357" s="592"/>
      <c r="Z357" s="592"/>
      <c r="AA357" s="568"/>
      <c r="AB357" s="592"/>
      <c r="AC357" s="592"/>
      <c r="AD357" s="592"/>
      <c r="AE357" s="590"/>
      <c r="AF357" s="570" t="s">
        <v>2899</v>
      </c>
      <c r="AG357" s="570" t="s">
        <v>25</v>
      </c>
      <c r="AH357" s="571" t="s">
        <v>25</v>
      </c>
      <c r="AI357" s="593"/>
      <c r="AJ357" s="593"/>
    </row>
    <row r="358" spans="1:36" s="376" customFormat="1" ht="40.5" outlineLevel="2" x14ac:dyDescent="0.3">
      <c r="A358" s="447">
        <v>33</v>
      </c>
      <c r="B358" s="558"/>
      <c r="C358" s="558"/>
      <c r="D358" s="587"/>
      <c r="E358" s="560"/>
      <c r="F358" s="558"/>
      <c r="G358" s="588"/>
      <c r="H358" s="546"/>
      <c r="I358" s="563" t="s">
        <v>25</v>
      </c>
      <c r="J358" s="563" t="s">
        <v>25</v>
      </c>
      <c r="K358" s="564" t="s">
        <v>25</v>
      </c>
      <c r="L358" s="564" t="s">
        <v>25</v>
      </c>
      <c r="M358" s="586" t="s">
        <v>133</v>
      </c>
      <c r="N358" s="586"/>
      <c r="O358" s="630">
        <v>1</v>
      </c>
      <c r="P358" s="564">
        <v>758000</v>
      </c>
      <c r="Q358" s="564">
        <v>758000</v>
      </c>
      <c r="R358" s="586" t="s">
        <v>1852</v>
      </c>
      <c r="S358" s="609" t="s">
        <v>53</v>
      </c>
      <c r="T358" s="591">
        <v>36.049999999999997</v>
      </c>
      <c r="U358" s="589"/>
      <c r="V358" s="564">
        <v>1490563</v>
      </c>
      <c r="W358" s="564">
        <v>53735000</v>
      </c>
      <c r="X358" s="589"/>
      <c r="Y358" s="592" t="s">
        <v>55</v>
      </c>
      <c r="Z358" s="592" t="s">
        <v>56</v>
      </c>
      <c r="AA358" s="568" t="s">
        <v>137</v>
      </c>
      <c r="AB358" s="592" t="s">
        <v>66</v>
      </c>
      <c r="AC358" s="592"/>
      <c r="AD358" s="592"/>
      <c r="AE358" s="590"/>
      <c r="AF358" s="570" t="s">
        <v>2899</v>
      </c>
      <c r="AG358" s="570" t="s">
        <v>25</v>
      </c>
      <c r="AH358" s="571" t="s">
        <v>25</v>
      </c>
      <c r="AI358" s="575"/>
      <c r="AJ358" s="593"/>
    </row>
    <row r="359" spans="1:36" s="376" customFormat="1" ht="40.5" outlineLevel="2" x14ac:dyDescent="0.3">
      <c r="A359" s="447">
        <v>33</v>
      </c>
      <c r="B359" s="558"/>
      <c r="C359" s="558"/>
      <c r="D359" s="587"/>
      <c r="E359" s="560"/>
      <c r="F359" s="558"/>
      <c r="G359" s="588"/>
      <c r="H359" s="546"/>
      <c r="I359" s="563" t="s">
        <v>25</v>
      </c>
      <c r="J359" s="563" t="s">
        <v>25</v>
      </c>
      <c r="K359" s="564" t="s">
        <v>25</v>
      </c>
      <c r="L359" s="564" t="s">
        <v>25</v>
      </c>
      <c r="M359" s="586" t="s">
        <v>165</v>
      </c>
      <c r="N359" s="586"/>
      <c r="O359" s="630">
        <v>3</v>
      </c>
      <c r="P359" s="564">
        <v>180000</v>
      </c>
      <c r="Q359" s="564">
        <v>540000</v>
      </c>
      <c r="R359" s="586" t="s">
        <v>2289</v>
      </c>
      <c r="S359" s="609" t="s">
        <v>53</v>
      </c>
      <c r="T359" s="591">
        <v>17.600000000000001</v>
      </c>
      <c r="U359" s="589"/>
      <c r="V359" s="564">
        <v>684506</v>
      </c>
      <c r="W359" s="564">
        <v>12047000</v>
      </c>
      <c r="X359" s="589"/>
      <c r="Y359" s="592" t="s">
        <v>55</v>
      </c>
      <c r="Z359" s="592" t="s">
        <v>141</v>
      </c>
      <c r="AA359" s="568"/>
      <c r="AB359" s="592" t="s">
        <v>66</v>
      </c>
      <c r="AC359" s="592"/>
      <c r="AD359" s="592"/>
      <c r="AE359" s="590"/>
      <c r="AF359" s="570" t="s">
        <v>2899</v>
      </c>
      <c r="AG359" s="570" t="s">
        <v>25</v>
      </c>
      <c r="AH359" s="571" t="s">
        <v>25</v>
      </c>
      <c r="AI359" s="593"/>
      <c r="AJ359" s="593"/>
    </row>
    <row r="360" spans="1:36" s="376" customFormat="1" ht="40.5" outlineLevel="2" x14ac:dyDescent="0.3">
      <c r="A360" s="447">
        <v>33</v>
      </c>
      <c r="B360" s="558"/>
      <c r="C360" s="558"/>
      <c r="D360" s="587"/>
      <c r="E360" s="560"/>
      <c r="F360" s="558"/>
      <c r="G360" s="588"/>
      <c r="H360" s="546"/>
      <c r="I360" s="563" t="s">
        <v>25</v>
      </c>
      <c r="J360" s="563" t="s">
        <v>25</v>
      </c>
      <c r="K360" s="564" t="s">
        <v>25</v>
      </c>
      <c r="L360" s="564" t="s">
        <v>25</v>
      </c>
      <c r="M360" s="586" t="s">
        <v>84</v>
      </c>
      <c r="N360" s="586"/>
      <c r="O360" s="630">
        <v>3</v>
      </c>
      <c r="P360" s="564">
        <v>300000</v>
      </c>
      <c r="Q360" s="564">
        <v>900000</v>
      </c>
      <c r="R360" s="586" t="s">
        <v>2289</v>
      </c>
      <c r="S360" s="609" t="s">
        <v>53</v>
      </c>
      <c r="T360" s="591">
        <v>7.2</v>
      </c>
      <c r="U360" s="589"/>
      <c r="V360" s="564">
        <v>684506</v>
      </c>
      <c r="W360" s="564">
        <v>4928000</v>
      </c>
      <c r="X360" s="589"/>
      <c r="Y360" s="592" t="s">
        <v>55</v>
      </c>
      <c r="Z360" s="592" t="s">
        <v>141</v>
      </c>
      <c r="AA360" s="568"/>
      <c r="AB360" s="592" t="s">
        <v>66</v>
      </c>
      <c r="AC360" s="592"/>
      <c r="AD360" s="592"/>
      <c r="AE360" s="590"/>
      <c r="AF360" s="570" t="s">
        <v>2899</v>
      </c>
      <c r="AG360" s="570" t="s">
        <v>25</v>
      </c>
      <c r="AH360" s="571" t="s">
        <v>25</v>
      </c>
      <c r="AI360" s="593"/>
      <c r="AJ360" s="593"/>
    </row>
    <row r="361" spans="1:36" s="376" customFormat="1" ht="101.25" outlineLevel="2" x14ac:dyDescent="0.3">
      <c r="A361" s="447">
        <v>33</v>
      </c>
      <c r="B361" s="558"/>
      <c r="C361" s="558"/>
      <c r="D361" s="587"/>
      <c r="E361" s="560"/>
      <c r="F361" s="558"/>
      <c r="G361" s="588"/>
      <c r="H361" s="546"/>
      <c r="I361" s="563" t="s">
        <v>25</v>
      </c>
      <c r="J361" s="563" t="s">
        <v>25</v>
      </c>
      <c r="K361" s="564" t="s">
        <v>25</v>
      </c>
      <c r="L361" s="564" t="s">
        <v>25</v>
      </c>
      <c r="M361" s="586" t="s">
        <v>67</v>
      </c>
      <c r="N361" s="586"/>
      <c r="O361" s="630">
        <v>1</v>
      </c>
      <c r="P361" s="564">
        <v>494000</v>
      </c>
      <c r="Q361" s="564">
        <v>494000</v>
      </c>
      <c r="R361" s="586" t="s">
        <v>2290</v>
      </c>
      <c r="S361" s="609" t="s">
        <v>53</v>
      </c>
      <c r="T361" s="591">
        <v>3.15</v>
      </c>
      <c r="U361" s="589"/>
      <c r="V361" s="564">
        <v>8308812</v>
      </c>
      <c r="W361" s="564">
        <v>26173000</v>
      </c>
      <c r="X361" s="589"/>
      <c r="Y361" s="592"/>
      <c r="Z361" s="592" t="s">
        <v>56</v>
      </c>
      <c r="AA361" s="568" t="s">
        <v>57</v>
      </c>
      <c r="AB361" s="592" t="s">
        <v>54</v>
      </c>
      <c r="AC361" s="592"/>
      <c r="AD361" s="592"/>
      <c r="AE361" s="590"/>
      <c r="AF361" s="570" t="s">
        <v>2899</v>
      </c>
      <c r="AG361" s="570" t="s">
        <v>25</v>
      </c>
      <c r="AH361" s="571" t="s">
        <v>25</v>
      </c>
      <c r="AI361" s="593"/>
      <c r="AJ361" s="593"/>
    </row>
    <row r="362" spans="1:36" s="376" customFormat="1" ht="60.75" outlineLevel="2" x14ac:dyDescent="0.3">
      <c r="A362" s="447">
        <v>33</v>
      </c>
      <c r="B362" s="558"/>
      <c r="C362" s="558"/>
      <c r="D362" s="595"/>
      <c r="E362" s="577"/>
      <c r="F362" s="558"/>
      <c r="G362" s="588"/>
      <c r="H362" s="546"/>
      <c r="I362" s="563" t="s">
        <v>25</v>
      </c>
      <c r="J362" s="563" t="s">
        <v>25</v>
      </c>
      <c r="K362" s="564" t="s">
        <v>25</v>
      </c>
      <c r="L362" s="564" t="s">
        <v>25</v>
      </c>
      <c r="M362" s="565" t="s">
        <v>429</v>
      </c>
      <c r="N362" s="565"/>
      <c r="O362" s="590">
        <v>5</v>
      </c>
      <c r="P362" s="564">
        <v>12000</v>
      </c>
      <c r="Q362" s="564">
        <v>60000</v>
      </c>
      <c r="R362" s="566" t="s">
        <v>1749</v>
      </c>
      <c r="S362" s="589" t="s">
        <v>53</v>
      </c>
      <c r="T362" s="591">
        <v>20.8</v>
      </c>
      <c r="U362" s="589"/>
      <c r="V362" s="564">
        <v>211811</v>
      </c>
      <c r="W362" s="564">
        <v>4406000</v>
      </c>
      <c r="X362" s="589"/>
      <c r="Y362" s="592"/>
      <c r="Z362" s="592"/>
      <c r="AA362" s="568"/>
      <c r="AB362" s="592"/>
      <c r="AC362" s="592"/>
      <c r="AD362" s="592"/>
      <c r="AE362" s="590"/>
      <c r="AF362" s="570" t="s">
        <v>2899</v>
      </c>
      <c r="AG362" s="570" t="s">
        <v>25</v>
      </c>
      <c r="AH362" s="571" t="s">
        <v>25</v>
      </c>
      <c r="AI362" s="593"/>
      <c r="AJ362" s="593"/>
    </row>
    <row r="363" spans="1:36" s="376" customFormat="1" ht="60.75" outlineLevel="2" x14ac:dyDescent="0.3">
      <c r="A363" s="447">
        <v>33</v>
      </c>
      <c r="B363" s="607"/>
      <c r="C363" s="607"/>
      <c r="D363" s="587"/>
      <c r="E363" s="560"/>
      <c r="F363" s="574"/>
      <c r="G363" s="588"/>
      <c r="H363" s="546"/>
      <c r="I363" s="563" t="s">
        <v>25</v>
      </c>
      <c r="J363" s="563" t="s">
        <v>25</v>
      </c>
      <c r="K363" s="564" t="s">
        <v>25</v>
      </c>
      <c r="L363" s="564" t="s">
        <v>25</v>
      </c>
      <c r="M363" s="586" t="s">
        <v>166</v>
      </c>
      <c r="N363" s="586"/>
      <c r="O363" s="630">
        <v>1</v>
      </c>
      <c r="P363" s="564">
        <v>120000</v>
      </c>
      <c r="Q363" s="564">
        <v>120000</v>
      </c>
      <c r="R363" s="586" t="s">
        <v>1749</v>
      </c>
      <c r="S363" s="609" t="s">
        <v>53</v>
      </c>
      <c r="T363" s="591">
        <v>13.18</v>
      </c>
      <c r="U363" s="610"/>
      <c r="V363" s="564">
        <v>211811</v>
      </c>
      <c r="W363" s="564">
        <v>2792000</v>
      </c>
      <c r="X363" s="580"/>
      <c r="Y363" s="601"/>
      <c r="Z363" s="601"/>
      <c r="AA363" s="584"/>
      <c r="AB363" s="601"/>
      <c r="AC363" s="601"/>
      <c r="AD363" s="601"/>
      <c r="AE363" s="599"/>
      <c r="AF363" s="570" t="s">
        <v>2899</v>
      </c>
      <c r="AG363" s="570" t="s">
        <v>25</v>
      </c>
      <c r="AH363" s="571" t="s">
        <v>25</v>
      </c>
      <c r="AI363" s="608"/>
      <c r="AJ363" s="608"/>
    </row>
    <row r="364" spans="1:36" s="376" customFormat="1" ht="60.75" outlineLevel="2" x14ac:dyDescent="0.3">
      <c r="A364" s="447">
        <v>33</v>
      </c>
      <c r="B364" s="572"/>
      <c r="C364" s="572"/>
      <c r="D364" s="612"/>
      <c r="E364" s="612"/>
      <c r="F364" s="558"/>
      <c r="G364" s="588"/>
      <c r="H364" s="546"/>
      <c r="I364" s="563" t="s">
        <v>25</v>
      </c>
      <c r="J364" s="563" t="s">
        <v>25</v>
      </c>
      <c r="K364" s="564" t="s">
        <v>25</v>
      </c>
      <c r="L364" s="564" t="s">
        <v>25</v>
      </c>
      <c r="M364" s="586" t="s">
        <v>167</v>
      </c>
      <c r="N364" s="586"/>
      <c r="O364" s="630">
        <v>1</v>
      </c>
      <c r="P364" s="564">
        <v>150000</v>
      </c>
      <c r="Q364" s="564">
        <v>150000</v>
      </c>
      <c r="R364" s="586" t="s">
        <v>1749</v>
      </c>
      <c r="S364" s="609" t="s">
        <v>53</v>
      </c>
      <c r="T364" s="591">
        <v>5.5</v>
      </c>
      <c r="U364" s="611"/>
      <c r="V364" s="564">
        <v>211811</v>
      </c>
      <c r="W364" s="564">
        <v>1165000</v>
      </c>
      <c r="X364" s="562"/>
      <c r="Y364" s="592"/>
      <c r="Z364" s="592"/>
      <c r="AA364" s="568"/>
      <c r="AB364" s="592"/>
      <c r="AC364" s="592"/>
      <c r="AD364" s="592"/>
      <c r="AE364" s="590"/>
      <c r="AF364" s="570" t="s">
        <v>2899</v>
      </c>
      <c r="AG364" s="570" t="s">
        <v>25</v>
      </c>
      <c r="AH364" s="571" t="s">
        <v>25</v>
      </c>
      <c r="AI364" s="593"/>
      <c r="AJ364" s="593"/>
    </row>
    <row r="365" spans="1:36" s="376" customFormat="1" ht="40.5" outlineLevel="2" x14ac:dyDescent="0.3">
      <c r="A365" s="447">
        <v>33</v>
      </c>
      <c r="B365" s="572"/>
      <c r="C365" s="572"/>
      <c r="D365" s="587"/>
      <c r="E365" s="560"/>
      <c r="F365" s="586"/>
      <c r="G365" s="588"/>
      <c r="H365" s="546"/>
      <c r="I365" s="563" t="s">
        <v>25</v>
      </c>
      <c r="J365" s="563" t="s">
        <v>25</v>
      </c>
      <c r="K365" s="564" t="s">
        <v>25</v>
      </c>
      <c r="L365" s="564" t="s">
        <v>25</v>
      </c>
      <c r="M365" s="586" t="s">
        <v>91</v>
      </c>
      <c r="N365" s="586"/>
      <c r="O365" s="630">
        <v>1</v>
      </c>
      <c r="P365" s="564">
        <v>93000</v>
      </c>
      <c r="Q365" s="564">
        <v>93000</v>
      </c>
      <c r="R365" s="586" t="s">
        <v>2289</v>
      </c>
      <c r="S365" s="609" t="s">
        <v>53</v>
      </c>
      <c r="T365" s="591">
        <v>15.81</v>
      </c>
      <c r="U365" s="611"/>
      <c r="V365" s="564">
        <v>684506</v>
      </c>
      <c r="W365" s="564">
        <v>10822000</v>
      </c>
      <c r="X365" s="589"/>
      <c r="Y365" s="592"/>
      <c r="Z365" s="592"/>
      <c r="AA365" s="568"/>
      <c r="AB365" s="592"/>
      <c r="AC365" s="592"/>
      <c r="AD365" s="592"/>
      <c r="AE365" s="590"/>
      <c r="AF365" s="570" t="s">
        <v>2899</v>
      </c>
      <c r="AG365" s="570" t="s">
        <v>25</v>
      </c>
      <c r="AH365" s="571" t="s">
        <v>25</v>
      </c>
      <c r="AI365" s="593"/>
      <c r="AJ365" s="593"/>
    </row>
    <row r="366" spans="1:36" s="376" customFormat="1" ht="60.75" outlineLevel="2" x14ac:dyDescent="0.3">
      <c r="A366" s="447">
        <v>33</v>
      </c>
      <c r="B366" s="572"/>
      <c r="C366" s="572"/>
      <c r="D366" s="587"/>
      <c r="E366" s="560"/>
      <c r="F366" s="558"/>
      <c r="G366" s="588"/>
      <c r="H366" s="546"/>
      <c r="I366" s="563" t="s">
        <v>25</v>
      </c>
      <c r="J366" s="563" t="s">
        <v>25</v>
      </c>
      <c r="K366" s="564" t="s">
        <v>25</v>
      </c>
      <c r="L366" s="564" t="s">
        <v>25</v>
      </c>
      <c r="M366" s="586" t="s">
        <v>131</v>
      </c>
      <c r="N366" s="586"/>
      <c r="O366" s="630">
        <v>1</v>
      </c>
      <c r="P366" s="564">
        <v>228000</v>
      </c>
      <c r="Q366" s="564">
        <v>228000</v>
      </c>
      <c r="R366" s="586" t="s">
        <v>1749</v>
      </c>
      <c r="S366" s="609" t="s">
        <v>53</v>
      </c>
      <c r="T366" s="591">
        <v>3.6</v>
      </c>
      <c r="U366" s="611"/>
      <c r="V366" s="564">
        <v>211811</v>
      </c>
      <c r="W366" s="564">
        <v>763000</v>
      </c>
      <c r="X366" s="589"/>
      <c r="Y366" s="592"/>
      <c r="Z366" s="592"/>
      <c r="AA366" s="568"/>
      <c r="AB366" s="592"/>
      <c r="AC366" s="592"/>
      <c r="AD366" s="592"/>
      <c r="AE366" s="590"/>
      <c r="AF366" s="570" t="s">
        <v>2899</v>
      </c>
      <c r="AG366" s="570" t="s">
        <v>25</v>
      </c>
      <c r="AH366" s="571" t="s">
        <v>25</v>
      </c>
      <c r="AI366" s="593"/>
      <c r="AJ366" s="593"/>
    </row>
    <row r="367" spans="1:36" s="376" customFormat="1" ht="40.5" outlineLevel="2" x14ac:dyDescent="0.3">
      <c r="A367" s="447">
        <v>33</v>
      </c>
      <c r="B367" s="558"/>
      <c r="C367" s="558"/>
      <c r="D367" s="587"/>
      <c r="E367" s="560"/>
      <c r="F367" s="558"/>
      <c r="G367" s="588"/>
      <c r="H367" s="546"/>
      <c r="I367" s="563" t="s">
        <v>25</v>
      </c>
      <c r="J367" s="563" t="s">
        <v>25</v>
      </c>
      <c r="K367" s="564" t="s">
        <v>25</v>
      </c>
      <c r="L367" s="564" t="s">
        <v>25</v>
      </c>
      <c r="M367" s="586" t="s">
        <v>168</v>
      </c>
      <c r="N367" s="586"/>
      <c r="O367" s="630">
        <v>1</v>
      </c>
      <c r="P367" s="564">
        <v>580000</v>
      </c>
      <c r="Q367" s="564">
        <v>580000</v>
      </c>
      <c r="R367" s="586" t="s">
        <v>1748</v>
      </c>
      <c r="S367" s="609" t="s">
        <v>53</v>
      </c>
      <c r="T367" s="591">
        <v>1.76</v>
      </c>
      <c r="U367" s="611"/>
      <c r="V367" s="564">
        <v>0</v>
      </c>
      <c r="W367" s="564">
        <v>0</v>
      </c>
      <c r="X367" s="589"/>
      <c r="Y367" s="592"/>
      <c r="Z367" s="592"/>
      <c r="AA367" s="568"/>
      <c r="AB367" s="592"/>
      <c r="AC367" s="592"/>
      <c r="AD367" s="592"/>
      <c r="AE367" s="590"/>
      <c r="AF367" s="570" t="s">
        <v>2899</v>
      </c>
      <c r="AG367" s="570" t="s">
        <v>25</v>
      </c>
      <c r="AH367" s="571" t="s">
        <v>25</v>
      </c>
      <c r="AI367" s="593"/>
      <c r="AJ367" s="593"/>
    </row>
    <row r="368" spans="1:36" s="376" customFormat="1" ht="60.75" outlineLevel="2" x14ac:dyDescent="0.3">
      <c r="A368" s="447">
        <v>33</v>
      </c>
      <c r="B368" s="558"/>
      <c r="C368" s="558"/>
      <c r="D368" s="587"/>
      <c r="E368" s="560"/>
      <c r="F368" s="558"/>
      <c r="G368" s="588"/>
      <c r="H368" s="546"/>
      <c r="I368" s="563" t="s">
        <v>25</v>
      </c>
      <c r="J368" s="563" t="s">
        <v>25</v>
      </c>
      <c r="K368" s="564" t="s">
        <v>25</v>
      </c>
      <c r="L368" s="564" t="s">
        <v>25</v>
      </c>
      <c r="M368" s="586"/>
      <c r="N368" s="586"/>
      <c r="O368" s="630"/>
      <c r="P368" s="564" t="s">
        <v>25</v>
      </c>
      <c r="Q368" s="564" t="s">
        <v>25</v>
      </c>
      <c r="R368" s="586" t="s">
        <v>1749</v>
      </c>
      <c r="S368" s="609" t="s">
        <v>53</v>
      </c>
      <c r="T368" s="591">
        <v>1.76</v>
      </c>
      <c r="U368" s="611"/>
      <c r="V368" s="564">
        <v>211811</v>
      </c>
      <c r="W368" s="564">
        <v>373000</v>
      </c>
      <c r="X368" s="589"/>
      <c r="Y368" s="592"/>
      <c r="Z368" s="592"/>
      <c r="AA368" s="568"/>
      <c r="AB368" s="592"/>
      <c r="AC368" s="592"/>
      <c r="AD368" s="592"/>
      <c r="AE368" s="590"/>
      <c r="AF368" s="570" t="s">
        <v>2899</v>
      </c>
      <c r="AG368" s="570" t="s">
        <v>25</v>
      </c>
      <c r="AH368" s="571" t="s">
        <v>25</v>
      </c>
      <c r="AI368" s="593"/>
      <c r="AJ368" s="593"/>
    </row>
    <row r="369" spans="1:36" s="376" customFormat="1" ht="40.5" outlineLevel="2" x14ac:dyDescent="0.3">
      <c r="A369" s="447">
        <v>33</v>
      </c>
      <c r="B369" s="558"/>
      <c r="C369" s="558"/>
      <c r="D369" s="587"/>
      <c r="E369" s="560"/>
      <c r="F369" s="558"/>
      <c r="G369" s="588"/>
      <c r="H369" s="546"/>
      <c r="I369" s="563" t="s">
        <v>25</v>
      </c>
      <c r="J369" s="563" t="s">
        <v>25</v>
      </c>
      <c r="K369" s="564" t="s">
        <v>25</v>
      </c>
      <c r="L369" s="564" t="s">
        <v>25</v>
      </c>
      <c r="M369" s="586"/>
      <c r="N369" s="586"/>
      <c r="O369" s="630"/>
      <c r="P369" s="564" t="s">
        <v>25</v>
      </c>
      <c r="Q369" s="564" t="s">
        <v>25</v>
      </c>
      <c r="R369" s="586" t="s">
        <v>2291</v>
      </c>
      <c r="S369" s="609" t="s">
        <v>78</v>
      </c>
      <c r="T369" s="591">
        <v>0.03</v>
      </c>
      <c r="U369" s="611"/>
      <c r="V369" s="564">
        <v>0</v>
      </c>
      <c r="W369" s="564">
        <v>0</v>
      </c>
      <c r="X369" s="589"/>
      <c r="Y369" s="592"/>
      <c r="Z369" s="592"/>
      <c r="AA369" s="568"/>
      <c r="AB369" s="592"/>
      <c r="AC369" s="592"/>
      <c r="AD369" s="592"/>
      <c r="AE369" s="590"/>
      <c r="AF369" s="570" t="s">
        <v>2899</v>
      </c>
      <c r="AG369" s="570" t="s">
        <v>25</v>
      </c>
      <c r="AH369" s="571" t="s">
        <v>25</v>
      </c>
      <c r="AI369" s="593"/>
      <c r="AJ369" s="593"/>
    </row>
    <row r="370" spans="1:36" s="376" customFormat="1" ht="60.75" outlineLevel="2" x14ac:dyDescent="0.3">
      <c r="A370" s="447">
        <v>33</v>
      </c>
      <c r="B370" s="558"/>
      <c r="C370" s="558"/>
      <c r="D370" s="587"/>
      <c r="E370" s="560"/>
      <c r="F370" s="558"/>
      <c r="G370" s="588"/>
      <c r="H370" s="546"/>
      <c r="I370" s="563" t="s">
        <v>25</v>
      </c>
      <c r="J370" s="563" t="s">
        <v>25</v>
      </c>
      <c r="K370" s="564" t="s">
        <v>25</v>
      </c>
      <c r="L370" s="564" t="s">
        <v>25</v>
      </c>
      <c r="M370" s="586"/>
      <c r="N370" s="586"/>
      <c r="O370" s="630"/>
      <c r="P370" s="564" t="s">
        <v>25</v>
      </c>
      <c r="Q370" s="564" t="s">
        <v>25</v>
      </c>
      <c r="R370" s="586" t="s">
        <v>2292</v>
      </c>
      <c r="S370" s="609" t="s">
        <v>53</v>
      </c>
      <c r="T370" s="591">
        <v>0.8</v>
      </c>
      <c r="U370" s="611"/>
      <c r="V370" s="564">
        <v>310020</v>
      </c>
      <c r="W370" s="564">
        <v>248000</v>
      </c>
      <c r="X370" s="589"/>
      <c r="Y370" s="592"/>
      <c r="Z370" s="592"/>
      <c r="AA370" s="568"/>
      <c r="AB370" s="592"/>
      <c r="AC370" s="592"/>
      <c r="AD370" s="592"/>
      <c r="AE370" s="590"/>
      <c r="AF370" s="570" t="s">
        <v>2899</v>
      </c>
      <c r="AG370" s="570" t="s">
        <v>25</v>
      </c>
      <c r="AH370" s="571" t="s">
        <v>25</v>
      </c>
      <c r="AI370" s="593"/>
      <c r="AJ370" s="593"/>
    </row>
    <row r="371" spans="1:36" s="376" customFormat="1" ht="40.5" outlineLevel="2" x14ac:dyDescent="0.3">
      <c r="A371" s="447">
        <v>33</v>
      </c>
      <c r="B371" s="558"/>
      <c r="C371" s="558"/>
      <c r="D371" s="587"/>
      <c r="E371" s="560"/>
      <c r="F371" s="558"/>
      <c r="G371" s="588"/>
      <c r="H371" s="546"/>
      <c r="I371" s="563" t="s">
        <v>25</v>
      </c>
      <c r="J371" s="563" t="s">
        <v>25</v>
      </c>
      <c r="K371" s="564" t="s">
        <v>25</v>
      </c>
      <c r="L371" s="564" t="s">
        <v>25</v>
      </c>
      <c r="M371" s="586"/>
      <c r="N371" s="586"/>
      <c r="O371" s="630"/>
      <c r="P371" s="564" t="s">
        <v>25</v>
      </c>
      <c r="Q371" s="564" t="s">
        <v>25</v>
      </c>
      <c r="R371" s="586" t="s">
        <v>2293</v>
      </c>
      <c r="S371" s="609" t="s">
        <v>53</v>
      </c>
      <c r="T371" s="591">
        <v>0.5</v>
      </c>
      <c r="U371" s="611"/>
      <c r="V371" s="564">
        <v>254982</v>
      </c>
      <c r="W371" s="564">
        <v>127000</v>
      </c>
      <c r="X371" s="589"/>
      <c r="Y371" s="592"/>
      <c r="Z371" s="592"/>
      <c r="AA371" s="568"/>
      <c r="AB371" s="592"/>
      <c r="AC371" s="592"/>
      <c r="AD371" s="592"/>
      <c r="AE371" s="590"/>
      <c r="AF371" s="570" t="s">
        <v>2899</v>
      </c>
      <c r="AG371" s="570" t="s">
        <v>25</v>
      </c>
      <c r="AH371" s="571" t="s">
        <v>25</v>
      </c>
      <c r="AI371" s="593"/>
      <c r="AJ371" s="593"/>
    </row>
    <row r="372" spans="1:36" s="376" customFormat="1" ht="40.5" outlineLevel="2" x14ac:dyDescent="0.3">
      <c r="A372" s="447">
        <v>33</v>
      </c>
      <c r="B372" s="574"/>
      <c r="C372" s="574"/>
      <c r="D372" s="587"/>
      <c r="E372" s="560"/>
      <c r="F372" s="558"/>
      <c r="G372" s="588"/>
      <c r="H372" s="546"/>
      <c r="I372" s="563" t="s">
        <v>25</v>
      </c>
      <c r="J372" s="563" t="s">
        <v>25</v>
      </c>
      <c r="K372" s="564" t="s">
        <v>25</v>
      </c>
      <c r="L372" s="564" t="s">
        <v>25</v>
      </c>
      <c r="M372" s="586"/>
      <c r="N372" s="586"/>
      <c r="O372" s="630"/>
      <c r="P372" s="564" t="s">
        <v>25</v>
      </c>
      <c r="Q372" s="564" t="s">
        <v>25</v>
      </c>
      <c r="R372" s="586" t="s">
        <v>1748</v>
      </c>
      <c r="S372" s="609" t="s">
        <v>53</v>
      </c>
      <c r="T372" s="591">
        <v>2.66</v>
      </c>
      <c r="U372" s="641"/>
      <c r="V372" s="564">
        <v>0</v>
      </c>
      <c r="W372" s="564">
        <v>0</v>
      </c>
      <c r="X372" s="589"/>
      <c r="Y372" s="592"/>
      <c r="Z372" s="592"/>
      <c r="AA372" s="568"/>
      <c r="AB372" s="592"/>
      <c r="AC372" s="592"/>
      <c r="AD372" s="592"/>
      <c r="AE372" s="590"/>
      <c r="AF372" s="570" t="s">
        <v>2899</v>
      </c>
      <c r="AG372" s="570" t="s">
        <v>25</v>
      </c>
      <c r="AH372" s="571" t="s">
        <v>25</v>
      </c>
      <c r="AI372" s="593"/>
      <c r="AJ372" s="593"/>
    </row>
    <row r="373" spans="1:36" s="376" customFormat="1" ht="40.5" outlineLevel="2" x14ac:dyDescent="0.3">
      <c r="A373" s="447">
        <v>33</v>
      </c>
      <c r="B373" s="574"/>
      <c r="C373" s="574"/>
      <c r="D373" s="587"/>
      <c r="E373" s="560"/>
      <c r="F373" s="558"/>
      <c r="G373" s="588"/>
      <c r="H373" s="546"/>
      <c r="I373" s="563" t="s">
        <v>25</v>
      </c>
      <c r="J373" s="563" t="s">
        <v>25</v>
      </c>
      <c r="K373" s="564" t="s">
        <v>25</v>
      </c>
      <c r="L373" s="564" t="s">
        <v>25</v>
      </c>
      <c r="M373" s="586"/>
      <c r="N373" s="586"/>
      <c r="O373" s="630"/>
      <c r="P373" s="564" t="s">
        <v>25</v>
      </c>
      <c r="Q373" s="564" t="s">
        <v>25</v>
      </c>
      <c r="R373" s="586" t="s">
        <v>1839</v>
      </c>
      <c r="S373" s="609" t="s">
        <v>53</v>
      </c>
      <c r="T373" s="591">
        <v>4.8</v>
      </c>
      <c r="U373" s="641"/>
      <c r="V373" s="564">
        <v>244604</v>
      </c>
      <c r="W373" s="564">
        <v>1174000</v>
      </c>
      <c r="X373" s="589"/>
      <c r="Y373" s="592"/>
      <c r="Z373" s="592"/>
      <c r="AA373" s="568"/>
      <c r="AB373" s="592"/>
      <c r="AC373" s="592"/>
      <c r="AD373" s="592"/>
      <c r="AE373" s="590"/>
      <c r="AF373" s="570" t="s">
        <v>2899</v>
      </c>
      <c r="AG373" s="570" t="s">
        <v>25</v>
      </c>
      <c r="AH373" s="571" t="s">
        <v>25</v>
      </c>
      <c r="AI373" s="593"/>
      <c r="AJ373" s="593"/>
    </row>
    <row r="374" spans="1:36" s="376" customFormat="1" ht="81" outlineLevel="2" x14ac:dyDescent="0.3">
      <c r="A374" s="447">
        <v>33</v>
      </c>
      <c r="B374" s="574"/>
      <c r="C374" s="574"/>
      <c r="D374" s="587"/>
      <c r="E374" s="560"/>
      <c r="F374" s="558"/>
      <c r="G374" s="588"/>
      <c r="H374" s="546"/>
      <c r="I374" s="563" t="s">
        <v>25</v>
      </c>
      <c r="J374" s="563" t="s">
        <v>25</v>
      </c>
      <c r="K374" s="564" t="s">
        <v>25</v>
      </c>
      <c r="L374" s="564" t="s">
        <v>25</v>
      </c>
      <c r="M374" s="586"/>
      <c r="N374" s="586"/>
      <c r="O374" s="630"/>
      <c r="P374" s="564" t="s">
        <v>25</v>
      </c>
      <c r="Q374" s="564" t="s">
        <v>25</v>
      </c>
      <c r="R374" s="586" t="s">
        <v>2294</v>
      </c>
      <c r="S374" s="609" t="s">
        <v>53</v>
      </c>
      <c r="T374" s="591">
        <v>0.45</v>
      </c>
      <c r="U374" s="641"/>
      <c r="V374" s="564">
        <v>441467</v>
      </c>
      <c r="W374" s="564">
        <v>199000</v>
      </c>
      <c r="X374" s="589"/>
      <c r="Y374" s="592"/>
      <c r="Z374" s="592"/>
      <c r="AA374" s="568"/>
      <c r="AB374" s="592"/>
      <c r="AC374" s="592"/>
      <c r="AD374" s="592"/>
      <c r="AE374" s="590"/>
      <c r="AF374" s="570" t="s">
        <v>2899</v>
      </c>
      <c r="AG374" s="570" t="s">
        <v>25</v>
      </c>
      <c r="AH374" s="571" t="s">
        <v>25</v>
      </c>
      <c r="AI374" s="593"/>
      <c r="AJ374" s="593"/>
    </row>
    <row r="375" spans="1:36" s="376" customFormat="1" ht="60.75" outlineLevel="2" x14ac:dyDescent="0.3">
      <c r="A375" s="447">
        <v>33</v>
      </c>
      <c r="B375" s="574"/>
      <c r="C375" s="574"/>
      <c r="D375" s="587"/>
      <c r="E375" s="560"/>
      <c r="F375" s="558"/>
      <c r="G375" s="588"/>
      <c r="H375" s="546"/>
      <c r="I375" s="563" t="s">
        <v>25</v>
      </c>
      <c r="J375" s="563" t="s">
        <v>25</v>
      </c>
      <c r="K375" s="564" t="s">
        <v>25</v>
      </c>
      <c r="L375" s="564" t="s">
        <v>25</v>
      </c>
      <c r="M375" s="586"/>
      <c r="N375" s="586"/>
      <c r="O375" s="630"/>
      <c r="P375" s="564" t="s">
        <v>25</v>
      </c>
      <c r="Q375" s="564" t="s">
        <v>25</v>
      </c>
      <c r="R375" s="586" t="s">
        <v>1858</v>
      </c>
      <c r="S375" s="609" t="s">
        <v>53</v>
      </c>
      <c r="T375" s="591">
        <v>2.2000000000000002</v>
      </c>
      <c r="U375" s="641"/>
      <c r="V375" s="564">
        <v>441467</v>
      </c>
      <c r="W375" s="564">
        <v>971000</v>
      </c>
      <c r="X375" s="589"/>
      <c r="Y375" s="592"/>
      <c r="Z375" s="592"/>
      <c r="AA375" s="568"/>
      <c r="AB375" s="592"/>
      <c r="AC375" s="592"/>
      <c r="AD375" s="592"/>
      <c r="AE375" s="590"/>
      <c r="AF375" s="570" t="s">
        <v>2899</v>
      </c>
      <c r="AG375" s="570" t="s">
        <v>25</v>
      </c>
      <c r="AH375" s="571" t="s">
        <v>25</v>
      </c>
      <c r="AI375" s="593"/>
      <c r="AJ375" s="593"/>
    </row>
    <row r="376" spans="1:36" s="376" customFormat="1" ht="60.75" outlineLevel="2" x14ac:dyDescent="0.3">
      <c r="A376" s="447">
        <v>33</v>
      </c>
      <c r="B376" s="574"/>
      <c r="C376" s="574"/>
      <c r="D376" s="587"/>
      <c r="E376" s="560"/>
      <c r="F376" s="558"/>
      <c r="G376" s="588"/>
      <c r="H376" s="546"/>
      <c r="I376" s="563" t="s">
        <v>25</v>
      </c>
      <c r="J376" s="563" t="s">
        <v>25</v>
      </c>
      <c r="K376" s="564" t="s">
        <v>25</v>
      </c>
      <c r="L376" s="564" t="s">
        <v>25</v>
      </c>
      <c r="M376" s="646"/>
      <c r="N376" s="646"/>
      <c r="O376" s="590"/>
      <c r="P376" s="564" t="s">
        <v>25</v>
      </c>
      <c r="Q376" s="564" t="s">
        <v>25</v>
      </c>
      <c r="R376" s="646" t="s">
        <v>2295</v>
      </c>
      <c r="S376" s="647" t="s">
        <v>53</v>
      </c>
      <c r="T376" s="591">
        <v>1.05</v>
      </c>
      <c r="U376" s="589"/>
      <c r="V376" s="564">
        <v>441467</v>
      </c>
      <c r="W376" s="564">
        <v>464000</v>
      </c>
      <c r="X376" s="589"/>
      <c r="Y376" s="592"/>
      <c r="Z376" s="592"/>
      <c r="AA376" s="568"/>
      <c r="AB376" s="592"/>
      <c r="AC376" s="592"/>
      <c r="AD376" s="592"/>
      <c r="AE376" s="590"/>
      <c r="AF376" s="570" t="s">
        <v>2899</v>
      </c>
      <c r="AG376" s="570" t="s">
        <v>25</v>
      </c>
      <c r="AH376" s="571" t="s">
        <v>25</v>
      </c>
      <c r="AI376" s="593"/>
      <c r="AJ376" s="593"/>
    </row>
    <row r="377" spans="1:36" s="376" customFormat="1" ht="60.75" outlineLevel="2" x14ac:dyDescent="0.3">
      <c r="A377" s="447">
        <v>33</v>
      </c>
      <c r="B377" s="558"/>
      <c r="C377" s="558"/>
      <c r="D377" s="587"/>
      <c r="E377" s="560"/>
      <c r="F377" s="558"/>
      <c r="G377" s="588"/>
      <c r="H377" s="546"/>
      <c r="I377" s="563" t="s">
        <v>25</v>
      </c>
      <c r="J377" s="563" t="s">
        <v>25</v>
      </c>
      <c r="K377" s="564" t="s">
        <v>25</v>
      </c>
      <c r="L377" s="564" t="s">
        <v>25</v>
      </c>
      <c r="M377" s="558"/>
      <c r="N377" s="558"/>
      <c r="O377" s="590"/>
      <c r="P377" s="564" t="s">
        <v>25</v>
      </c>
      <c r="Q377" s="564" t="s">
        <v>25</v>
      </c>
      <c r="R377" s="566" t="s">
        <v>2296</v>
      </c>
      <c r="S377" s="589" t="s">
        <v>53</v>
      </c>
      <c r="T377" s="591">
        <v>0.96</v>
      </c>
      <c r="U377" s="589"/>
      <c r="V377" s="564">
        <v>310020</v>
      </c>
      <c r="W377" s="564">
        <v>298000</v>
      </c>
      <c r="X377" s="589"/>
      <c r="Y377" s="592"/>
      <c r="Z377" s="592"/>
      <c r="AA377" s="568"/>
      <c r="AB377" s="592"/>
      <c r="AC377" s="592"/>
      <c r="AD377" s="592"/>
      <c r="AE377" s="590"/>
      <c r="AF377" s="570" t="s">
        <v>2899</v>
      </c>
      <c r="AG377" s="570" t="s">
        <v>25</v>
      </c>
      <c r="AH377" s="571" t="s">
        <v>25</v>
      </c>
      <c r="AI377" s="558"/>
      <c r="AJ377" s="558"/>
    </row>
    <row r="378" spans="1:36" s="376" customFormat="1" ht="60.75" outlineLevel="2" x14ac:dyDescent="0.3">
      <c r="A378" s="447">
        <v>33</v>
      </c>
      <c r="B378" s="648"/>
      <c r="C378" s="648"/>
      <c r="D378" s="587"/>
      <c r="E378" s="560"/>
      <c r="F378" s="558"/>
      <c r="G378" s="588"/>
      <c r="H378" s="546"/>
      <c r="I378" s="563" t="s">
        <v>25</v>
      </c>
      <c r="J378" s="563" t="s">
        <v>25</v>
      </c>
      <c r="K378" s="564" t="s">
        <v>25</v>
      </c>
      <c r="L378" s="564" t="s">
        <v>25</v>
      </c>
      <c r="M378" s="558"/>
      <c r="N378" s="558"/>
      <c r="O378" s="590"/>
      <c r="P378" s="564" t="s">
        <v>25</v>
      </c>
      <c r="Q378" s="564" t="s">
        <v>25</v>
      </c>
      <c r="R378" s="566" t="s">
        <v>1856</v>
      </c>
      <c r="S378" s="589" t="s">
        <v>78</v>
      </c>
      <c r="T378" s="591">
        <v>0.36</v>
      </c>
      <c r="U378" s="589"/>
      <c r="V378" s="564">
        <v>0</v>
      </c>
      <c r="W378" s="564">
        <v>0</v>
      </c>
      <c r="X378" s="589"/>
      <c r="Y378" s="592"/>
      <c r="Z378" s="592"/>
      <c r="AA378" s="568"/>
      <c r="AB378" s="592"/>
      <c r="AC378" s="592"/>
      <c r="AD378" s="592"/>
      <c r="AE378" s="590"/>
      <c r="AF378" s="570" t="s">
        <v>2899</v>
      </c>
      <c r="AG378" s="570" t="s">
        <v>25</v>
      </c>
      <c r="AH378" s="571" t="s">
        <v>25</v>
      </c>
      <c r="AI378" s="558"/>
      <c r="AJ378" s="558"/>
    </row>
    <row r="379" spans="1:36" s="376" customFormat="1" ht="40.5" outlineLevel="2" x14ac:dyDescent="0.3">
      <c r="A379" s="447">
        <v>33</v>
      </c>
      <c r="B379" s="648"/>
      <c r="C379" s="648"/>
      <c r="D379" s="587"/>
      <c r="E379" s="560"/>
      <c r="F379" s="558"/>
      <c r="G379" s="588"/>
      <c r="H379" s="546"/>
      <c r="I379" s="563" t="s">
        <v>25</v>
      </c>
      <c r="J379" s="563" t="s">
        <v>25</v>
      </c>
      <c r="K379" s="564" t="s">
        <v>25</v>
      </c>
      <c r="L379" s="564" t="s">
        <v>25</v>
      </c>
      <c r="M379" s="646"/>
      <c r="N379" s="646"/>
      <c r="O379" s="590"/>
      <c r="P379" s="564" t="s">
        <v>25</v>
      </c>
      <c r="Q379" s="564" t="s">
        <v>25</v>
      </c>
      <c r="R379" s="586" t="s">
        <v>1757</v>
      </c>
      <c r="S379" s="609" t="s">
        <v>53</v>
      </c>
      <c r="T379" s="591">
        <v>28.2</v>
      </c>
      <c r="U379" s="589"/>
      <c r="V379" s="564">
        <v>157477</v>
      </c>
      <c r="W379" s="564">
        <v>4441000</v>
      </c>
      <c r="X379" s="589"/>
      <c r="Y379" s="592"/>
      <c r="Z379" s="592"/>
      <c r="AA379" s="568"/>
      <c r="AB379" s="592"/>
      <c r="AC379" s="592"/>
      <c r="AD379" s="592"/>
      <c r="AE379" s="590"/>
      <c r="AF379" s="570" t="s">
        <v>2899</v>
      </c>
      <c r="AG379" s="570" t="s">
        <v>25</v>
      </c>
      <c r="AH379" s="571" t="s">
        <v>25</v>
      </c>
      <c r="AI379" s="593"/>
      <c r="AJ379" s="593"/>
    </row>
    <row r="380" spans="1:36" s="376" customFormat="1" ht="20.25" outlineLevel="2" x14ac:dyDescent="0.3">
      <c r="A380" s="447">
        <v>33</v>
      </c>
      <c r="B380" s="572"/>
      <c r="C380" s="572"/>
      <c r="D380" s="587"/>
      <c r="E380" s="560"/>
      <c r="F380" s="558"/>
      <c r="G380" s="588"/>
      <c r="H380" s="546"/>
      <c r="I380" s="563" t="s">
        <v>25</v>
      </c>
      <c r="J380" s="563" t="s">
        <v>25</v>
      </c>
      <c r="K380" s="564" t="s">
        <v>25</v>
      </c>
      <c r="L380" s="564" t="s">
        <v>25</v>
      </c>
      <c r="M380" s="586"/>
      <c r="N380" s="586"/>
      <c r="O380" s="630"/>
      <c r="P380" s="564" t="s">
        <v>25</v>
      </c>
      <c r="Q380" s="564" t="s">
        <v>25</v>
      </c>
      <c r="R380" s="593"/>
      <c r="S380" s="593"/>
      <c r="T380" s="617"/>
      <c r="U380" s="611"/>
      <c r="V380" s="564" t="s">
        <v>2899</v>
      </c>
      <c r="W380" s="564" t="s">
        <v>25</v>
      </c>
      <c r="X380" s="562"/>
      <c r="Y380" s="592"/>
      <c r="Z380" s="592"/>
      <c r="AA380" s="568"/>
      <c r="AB380" s="592"/>
      <c r="AC380" s="592"/>
      <c r="AD380" s="592"/>
      <c r="AE380" s="590"/>
      <c r="AF380" s="570" t="s">
        <v>2899</v>
      </c>
      <c r="AG380" s="570" t="s">
        <v>25</v>
      </c>
      <c r="AH380" s="571" t="s">
        <v>25</v>
      </c>
      <c r="AI380" s="558"/>
      <c r="AJ380" s="558"/>
    </row>
    <row r="381" spans="1:36" s="376" customFormat="1" ht="20.25" outlineLevel="2" x14ac:dyDescent="0.3">
      <c r="A381" s="447">
        <v>33</v>
      </c>
      <c r="B381" s="572"/>
      <c r="C381" s="572"/>
      <c r="D381" s="587"/>
      <c r="E381" s="615"/>
      <c r="F381" s="558"/>
      <c r="G381" s="588"/>
      <c r="H381" s="546"/>
      <c r="I381" s="563" t="s">
        <v>25</v>
      </c>
      <c r="J381" s="563" t="s">
        <v>25</v>
      </c>
      <c r="K381" s="564" t="s">
        <v>25</v>
      </c>
      <c r="L381" s="564" t="s">
        <v>25</v>
      </c>
      <c r="M381" s="586"/>
      <c r="N381" s="586"/>
      <c r="O381" s="630"/>
      <c r="P381" s="564" t="s">
        <v>25</v>
      </c>
      <c r="Q381" s="564" t="s">
        <v>25</v>
      </c>
      <c r="R381" s="586"/>
      <c r="S381" s="609"/>
      <c r="T381" s="591"/>
      <c r="U381" s="611"/>
      <c r="V381" s="564" t="s">
        <v>2899</v>
      </c>
      <c r="W381" s="564" t="s">
        <v>25</v>
      </c>
      <c r="X381" s="562"/>
      <c r="Y381" s="592"/>
      <c r="Z381" s="592"/>
      <c r="AA381" s="568"/>
      <c r="AB381" s="592"/>
      <c r="AC381" s="592"/>
      <c r="AD381" s="592"/>
      <c r="AE381" s="590"/>
      <c r="AF381" s="570" t="s">
        <v>2899</v>
      </c>
      <c r="AG381" s="570" t="s">
        <v>25</v>
      </c>
      <c r="AH381" s="571" t="s">
        <v>25</v>
      </c>
      <c r="AI381" s="558"/>
      <c r="AJ381" s="558"/>
    </row>
    <row r="382" spans="1:36" s="376" customFormat="1" ht="20.25" outlineLevel="2" x14ac:dyDescent="0.3">
      <c r="A382" s="447">
        <v>33</v>
      </c>
      <c r="B382" s="572"/>
      <c r="C382" s="572"/>
      <c r="D382" s="587"/>
      <c r="E382" s="615"/>
      <c r="F382" s="558"/>
      <c r="G382" s="604"/>
      <c r="H382" s="546"/>
      <c r="I382" s="563" t="s">
        <v>25</v>
      </c>
      <c r="J382" s="563" t="s">
        <v>25</v>
      </c>
      <c r="K382" s="564" t="s">
        <v>25</v>
      </c>
      <c r="L382" s="564" t="s">
        <v>25</v>
      </c>
      <c r="M382" s="593"/>
      <c r="N382" s="593"/>
      <c r="O382" s="616"/>
      <c r="P382" s="564" t="s">
        <v>25</v>
      </c>
      <c r="Q382" s="564" t="s">
        <v>25</v>
      </c>
      <c r="R382" s="593"/>
      <c r="S382" s="593"/>
      <c r="T382" s="617"/>
      <c r="U382" s="589"/>
      <c r="V382" s="564" t="s">
        <v>2899</v>
      </c>
      <c r="W382" s="564" t="s">
        <v>25</v>
      </c>
      <c r="X382" s="589"/>
      <c r="Y382" s="589"/>
      <c r="Z382" s="589"/>
      <c r="AA382" s="562"/>
      <c r="AB382" s="589"/>
      <c r="AC382" s="589"/>
      <c r="AD382" s="589"/>
      <c r="AE382" s="629"/>
      <c r="AF382" s="570" t="s">
        <v>2899</v>
      </c>
      <c r="AG382" s="570" t="s">
        <v>25</v>
      </c>
      <c r="AH382" s="571" t="s">
        <v>25</v>
      </c>
      <c r="AI382" s="593"/>
      <c r="AJ382" s="593"/>
    </row>
    <row r="383" spans="1:36" s="376" customFormat="1" ht="20.25" outlineLevel="2" x14ac:dyDescent="0.3">
      <c r="A383" s="447">
        <v>33</v>
      </c>
      <c r="B383" s="572"/>
      <c r="C383" s="572"/>
      <c r="D383" s="612"/>
      <c r="E383" s="612"/>
      <c r="F383" s="558"/>
      <c r="G383" s="604"/>
      <c r="H383" s="546"/>
      <c r="I383" s="563" t="s">
        <v>25</v>
      </c>
      <c r="J383" s="563" t="s">
        <v>25</v>
      </c>
      <c r="K383" s="564" t="s">
        <v>25</v>
      </c>
      <c r="L383" s="564" t="s">
        <v>25</v>
      </c>
      <c r="M383" s="593"/>
      <c r="N383" s="593"/>
      <c r="O383" s="616"/>
      <c r="P383" s="564" t="s">
        <v>25</v>
      </c>
      <c r="Q383" s="564" t="s">
        <v>25</v>
      </c>
      <c r="R383" s="593"/>
      <c r="S383" s="593"/>
      <c r="T383" s="617"/>
      <c r="U383" s="589"/>
      <c r="V383" s="564" t="s">
        <v>2899</v>
      </c>
      <c r="W383" s="564" t="s">
        <v>25</v>
      </c>
      <c r="X383" s="589"/>
      <c r="Y383" s="589"/>
      <c r="Z383" s="589"/>
      <c r="AA383" s="562"/>
      <c r="AB383" s="589"/>
      <c r="AC383" s="589"/>
      <c r="AD383" s="589"/>
      <c r="AE383" s="629"/>
      <c r="AF383" s="570" t="s">
        <v>2899</v>
      </c>
      <c r="AG383" s="570" t="s">
        <v>25</v>
      </c>
      <c r="AH383" s="571" t="s">
        <v>25</v>
      </c>
      <c r="AI383" s="593"/>
      <c r="AJ383" s="593"/>
    </row>
    <row r="384" spans="1:36" s="376" customFormat="1" ht="20.25" outlineLevel="2" x14ac:dyDescent="0.3">
      <c r="A384" s="447">
        <v>33</v>
      </c>
      <c r="B384" s="574"/>
      <c r="C384" s="574"/>
      <c r="D384" s="595"/>
      <c r="E384" s="577"/>
      <c r="F384" s="586"/>
      <c r="G384" s="588"/>
      <c r="H384" s="546"/>
      <c r="I384" s="563" t="s">
        <v>25</v>
      </c>
      <c r="J384" s="563" t="s">
        <v>25</v>
      </c>
      <c r="K384" s="564" t="s">
        <v>25</v>
      </c>
      <c r="L384" s="564" t="s">
        <v>25</v>
      </c>
      <c r="M384" s="586"/>
      <c r="N384" s="586"/>
      <c r="O384" s="630"/>
      <c r="P384" s="564" t="s">
        <v>25</v>
      </c>
      <c r="Q384" s="564" t="s">
        <v>25</v>
      </c>
      <c r="R384" s="586"/>
      <c r="S384" s="609"/>
      <c r="T384" s="591"/>
      <c r="U384" s="611"/>
      <c r="V384" s="564" t="s">
        <v>2899</v>
      </c>
      <c r="W384" s="564" t="s">
        <v>25</v>
      </c>
      <c r="X384" s="589"/>
      <c r="Y384" s="592"/>
      <c r="Z384" s="592"/>
      <c r="AA384" s="568"/>
      <c r="AB384" s="592"/>
      <c r="AC384" s="592"/>
      <c r="AD384" s="592"/>
      <c r="AE384" s="590"/>
      <c r="AF384" s="570" t="s">
        <v>2899</v>
      </c>
      <c r="AG384" s="570" t="s">
        <v>25</v>
      </c>
      <c r="AH384" s="571" t="s">
        <v>25</v>
      </c>
      <c r="AI384" s="558"/>
      <c r="AJ384" s="558"/>
    </row>
    <row r="385" spans="1:36" s="376" customFormat="1" ht="40.5" outlineLevel="1" x14ac:dyDescent="0.25">
      <c r="A385" s="467">
        <v>34</v>
      </c>
      <c r="B385" s="574" t="s">
        <v>34</v>
      </c>
      <c r="C385" s="773" t="s">
        <v>2902</v>
      </c>
      <c r="D385" s="587">
        <v>86</v>
      </c>
      <c r="E385" s="560">
        <v>263</v>
      </c>
      <c r="F385" s="574"/>
      <c r="G385" s="618">
        <v>323.79999999999995</v>
      </c>
      <c r="H385" s="579">
        <v>123.60000000000001</v>
      </c>
      <c r="I385" s="581"/>
      <c r="J385" s="581"/>
      <c r="K385" s="571">
        <v>960714000</v>
      </c>
      <c r="L385" s="571">
        <v>205571000</v>
      </c>
      <c r="M385" s="574"/>
      <c r="N385" s="574"/>
      <c r="O385" s="599">
        <v>17</v>
      </c>
      <c r="P385" s="571"/>
      <c r="Q385" s="571">
        <v>3188000</v>
      </c>
      <c r="R385" s="582"/>
      <c r="S385" s="597"/>
      <c r="T385" s="600">
        <v>436.88000000000005</v>
      </c>
      <c r="U385" s="597"/>
      <c r="V385" s="571"/>
      <c r="W385" s="571">
        <v>794296000</v>
      </c>
      <c r="X385" s="589"/>
      <c r="Y385" s="592"/>
      <c r="Z385" s="592"/>
      <c r="AA385" s="568"/>
      <c r="AB385" s="592"/>
      <c r="AC385" s="592"/>
      <c r="AD385" s="602"/>
      <c r="AE385" s="581">
        <f>SUBTOTAL(9,AE386:AE410)</f>
        <v>1</v>
      </c>
      <c r="AF385" s="585"/>
      <c r="AG385" s="585">
        <v>17000000</v>
      </c>
      <c r="AH385" s="571">
        <v>1980769000</v>
      </c>
      <c r="AI385" s="574"/>
      <c r="AJ385" s="578"/>
    </row>
    <row r="386" spans="1:36" s="376" customFormat="1" ht="121.5" outlineLevel="2" x14ac:dyDescent="0.3">
      <c r="A386" s="447">
        <v>34</v>
      </c>
      <c r="B386" s="558" t="s">
        <v>162</v>
      </c>
      <c r="C386" s="558"/>
      <c r="D386" s="587">
        <v>86</v>
      </c>
      <c r="E386" s="560">
        <v>263</v>
      </c>
      <c r="F386" s="558" t="s">
        <v>2037</v>
      </c>
      <c r="G386" s="588">
        <v>150</v>
      </c>
      <c r="H386" s="546" t="s">
        <v>2899</v>
      </c>
      <c r="I386" s="563">
        <v>5762400</v>
      </c>
      <c r="J386" s="563">
        <v>0</v>
      </c>
      <c r="K386" s="564">
        <v>864360000</v>
      </c>
      <c r="L386" s="564">
        <v>0</v>
      </c>
      <c r="M386" s="558" t="s">
        <v>175</v>
      </c>
      <c r="N386" s="558"/>
      <c r="O386" s="590">
        <v>1</v>
      </c>
      <c r="P386" s="564">
        <v>979000</v>
      </c>
      <c r="Q386" s="564">
        <v>979000</v>
      </c>
      <c r="R386" s="566" t="s">
        <v>2297</v>
      </c>
      <c r="S386" s="589" t="s">
        <v>53</v>
      </c>
      <c r="T386" s="591">
        <v>8.5500000000000007</v>
      </c>
      <c r="U386" s="589"/>
      <c r="V386" s="564">
        <v>4116730</v>
      </c>
      <c r="W386" s="564">
        <v>35198000</v>
      </c>
      <c r="X386" s="589" t="s">
        <v>63</v>
      </c>
      <c r="Y386" s="592" t="s">
        <v>63</v>
      </c>
      <c r="Z386" s="592" t="s">
        <v>56</v>
      </c>
      <c r="AA386" s="568"/>
      <c r="AB386" s="592" t="s">
        <v>63</v>
      </c>
      <c r="AC386" s="592"/>
      <c r="AD386" s="569"/>
      <c r="AE386" s="563"/>
      <c r="AF386" s="570"/>
      <c r="AG386" s="570"/>
      <c r="AH386" s="571" t="s">
        <v>25</v>
      </c>
      <c r="AI386" s="558" t="s">
        <v>664</v>
      </c>
      <c r="AJ386" s="586" t="s">
        <v>2771</v>
      </c>
    </row>
    <row r="387" spans="1:36" s="376" customFormat="1" ht="101.25" outlineLevel="2" x14ac:dyDescent="0.3">
      <c r="A387" s="447">
        <v>34</v>
      </c>
      <c r="B387" s="648" t="s">
        <v>665</v>
      </c>
      <c r="C387" s="648"/>
      <c r="D387" s="587"/>
      <c r="E387" s="560"/>
      <c r="F387" s="558" t="s">
        <v>2469</v>
      </c>
      <c r="G387" s="588">
        <v>119.2</v>
      </c>
      <c r="H387" s="546">
        <v>119.2</v>
      </c>
      <c r="I387" s="563">
        <v>554400</v>
      </c>
      <c r="J387" s="563">
        <v>1663200</v>
      </c>
      <c r="K387" s="564">
        <v>66084000</v>
      </c>
      <c r="L387" s="564">
        <v>198253000</v>
      </c>
      <c r="M387" s="558" t="s">
        <v>742</v>
      </c>
      <c r="N387" s="558"/>
      <c r="O387" s="590">
        <v>3</v>
      </c>
      <c r="P387" s="564">
        <v>72000</v>
      </c>
      <c r="Q387" s="564">
        <v>216000</v>
      </c>
      <c r="R387" s="566" t="s">
        <v>1752</v>
      </c>
      <c r="S387" s="589" t="s">
        <v>53</v>
      </c>
      <c r="T387" s="591">
        <v>87.9</v>
      </c>
      <c r="U387" s="589"/>
      <c r="V387" s="564">
        <v>4861390</v>
      </c>
      <c r="W387" s="564">
        <v>427316000</v>
      </c>
      <c r="X387" s="589" t="s">
        <v>63</v>
      </c>
      <c r="Y387" s="592" t="s">
        <v>55</v>
      </c>
      <c r="Z387" s="592" t="s">
        <v>56</v>
      </c>
      <c r="AA387" s="568" t="s">
        <v>57</v>
      </c>
      <c r="AB387" s="592" t="s">
        <v>63</v>
      </c>
      <c r="AC387" s="568" t="s">
        <v>430</v>
      </c>
      <c r="AD387" s="569" t="s">
        <v>2791</v>
      </c>
      <c r="AE387" s="590">
        <v>1</v>
      </c>
      <c r="AF387" s="570">
        <v>17000000</v>
      </c>
      <c r="AG387" s="570">
        <v>17000000</v>
      </c>
      <c r="AH387" s="571" t="s">
        <v>25</v>
      </c>
      <c r="AI387" s="558" t="s">
        <v>496</v>
      </c>
      <c r="AJ387" s="605" t="s">
        <v>2448</v>
      </c>
    </row>
    <row r="388" spans="1:36" s="376" customFormat="1" ht="121.5" outlineLevel="2" x14ac:dyDescent="0.3">
      <c r="A388" s="447">
        <v>34</v>
      </c>
      <c r="B388" s="648" t="s">
        <v>305</v>
      </c>
      <c r="C388" s="648"/>
      <c r="D388" s="587">
        <v>86</v>
      </c>
      <c r="E388" s="560">
        <v>263</v>
      </c>
      <c r="F388" s="558" t="s">
        <v>2470</v>
      </c>
      <c r="G388" s="588">
        <v>4.4000000000000004</v>
      </c>
      <c r="H388" s="546">
        <v>4.4000000000000004</v>
      </c>
      <c r="I388" s="563">
        <v>554400</v>
      </c>
      <c r="J388" s="563">
        <v>1663200</v>
      </c>
      <c r="K388" s="564">
        <v>2439000</v>
      </c>
      <c r="L388" s="564">
        <v>7318000</v>
      </c>
      <c r="M388" s="586" t="s">
        <v>741</v>
      </c>
      <c r="N388" s="586"/>
      <c r="O388" s="630">
        <v>3</v>
      </c>
      <c r="P388" s="564">
        <v>150000</v>
      </c>
      <c r="Q388" s="564">
        <v>450000</v>
      </c>
      <c r="R388" s="646" t="s">
        <v>2289</v>
      </c>
      <c r="S388" s="649" t="s">
        <v>53</v>
      </c>
      <c r="T388" s="591">
        <v>22</v>
      </c>
      <c r="U388" s="589"/>
      <c r="V388" s="564">
        <v>684506</v>
      </c>
      <c r="W388" s="564">
        <v>15059000</v>
      </c>
      <c r="X388" s="589"/>
      <c r="Y388" s="592" t="s">
        <v>55</v>
      </c>
      <c r="Z388" s="592" t="s">
        <v>141</v>
      </c>
      <c r="AA388" s="568"/>
      <c r="AB388" s="592" t="s">
        <v>66</v>
      </c>
      <c r="AC388" s="568"/>
      <c r="AD388" s="606"/>
      <c r="AE388" s="590"/>
      <c r="AF388" s="570" t="s">
        <v>2899</v>
      </c>
      <c r="AG388" s="570" t="s">
        <v>25</v>
      </c>
      <c r="AH388" s="571" t="s">
        <v>25</v>
      </c>
      <c r="AI388" s="593" t="s">
        <v>169</v>
      </c>
      <c r="AJ388" s="558" t="s">
        <v>2450</v>
      </c>
    </row>
    <row r="389" spans="1:36" s="376" customFormat="1" ht="101.25" outlineLevel="2" x14ac:dyDescent="0.3">
      <c r="A389" s="447">
        <v>34</v>
      </c>
      <c r="B389" s="572"/>
      <c r="C389" s="572"/>
      <c r="D389" s="612"/>
      <c r="E389" s="612"/>
      <c r="F389" s="558" t="s">
        <v>2471</v>
      </c>
      <c r="G389" s="588">
        <v>50.2</v>
      </c>
      <c r="H389" s="546" t="s">
        <v>2899</v>
      </c>
      <c r="I389" s="563">
        <v>554400</v>
      </c>
      <c r="J389" s="563">
        <v>0</v>
      </c>
      <c r="K389" s="564">
        <v>27831000</v>
      </c>
      <c r="L389" s="564">
        <v>0</v>
      </c>
      <c r="M389" s="586" t="s">
        <v>743</v>
      </c>
      <c r="N389" s="586"/>
      <c r="O389" s="630">
        <v>5</v>
      </c>
      <c r="P389" s="564">
        <v>72000</v>
      </c>
      <c r="Q389" s="564">
        <v>360000</v>
      </c>
      <c r="R389" s="586" t="s">
        <v>2289</v>
      </c>
      <c r="S389" s="609" t="s">
        <v>53</v>
      </c>
      <c r="T389" s="591">
        <v>17.7</v>
      </c>
      <c r="U389" s="589"/>
      <c r="V389" s="564">
        <v>684506</v>
      </c>
      <c r="W389" s="564">
        <v>12116000</v>
      </c>
      <c r="X389" s="562"/>
      <c r="Y389" s="592" t="s">
        <v>55</v>
      </c>
      <c r="Z389" s="592" t="s">
        <v>56</v>
      </c>
      <c r="AA389" s="568"/>
      <c r="AB389" s="592" t="s">
        <v>66</v>
      </c>
      <c r="AC389" s="568"/>
      <c r="AD389" s="568"/>
      <c r="AE389" s="563"/>
      <c r="AF389" s="570" t="s">
        <v>2899</v>
      </c>
      <c r="AG389" s="570" t="s">
        <v>25</v>
      </c>
      <c r="AH389" s="571" t="s">
        <v>25</v>
      </c>
      <c r="AI389" s="558" t="s">
        <v>2197</v>
      </c>
      <c r="AJ389" s="558" t="s">
        <v>2449</v>
      </c>
    </row>
    <row r="390" spans="1:36" s="376" customFormat="1" ht="81" outlineLevel="2" x14ac:dyDescent="0.3">
      <c r="A390" s="447">
        <v>34</v>
      </c>
      <c r="B390" s="572"/>
      <c r="C390" s="572"/>
      <c r="D390" s="587"/>
      <c r="E390" s="560"/>
      <c r="F390" s="586"/>
      <c r="G390" s="588"/>
      <c r="H390" s="546"/>
      <c r="I390" s="563" t="s">
        <v>25</v>
      </c>
      <c r="J390" s="563" t="s">
        <v>25</v>
      </c>
      <c r="K390" s="564" t="s">
        <v>25</v>
      </c>
      <c r="L390" s="564" t="s">
        <v>25</v>
      </c>
      <c r="M390" s="586" t="s">
        <v>149</v>
      </c>
      <c r="N390" s="586"/>
      <c r="O390" s="630">
        <v>1</v>
      </c>
      <c r="P390" s="564">
        <v>146000</v>
      </c>
      <c r="Q390" s="564">
        <v>146000</v>
      </c>
      <c r="R390" s="586" t="s">
        <v>2298</v>
      </c>
      <c r="S390" s="609" t="s">
        <v>53</v>
      </c>
      <c r="T390" s="591">
        <v>3.92</v>
      </c>
      <c r="U390" s="589"/>
      <c r="V390" s="564">
        <v>1479010</v>
      </c>
      <c r="W390" s="564">
        <v>5798000</v>
      </c>
      <c r="X390" s="589"/>
      <c r="Y390" s="592" t="s">
        <v>55</v>
      </c>
      <c r="Z390" s="592" t="s">
        <v>140</v>
      </c>
      <c r="AA390" s="568" t="s">
        <v>170</v>
      </c>
      <c r="AB390" s="592" t="s">
        <v>66</v>
      </c>
      <c r="AC390" s="568"/>
      <c r="AD390" s="568"/>
      <c r="AE390" s="563"/>
      <c r="AF390" s="570" t="s">
        <v>2899</v>
      </c>
      <c r="AG390" s="570" t="s">
        <v>25</v>
      </c>
      <c r="AH390" s="571" t="s">
        <v>25</v>
      </c>
      <c r="AI390" s="558" t="s">
        <v>2074</v>
      </c>
      <c r="AJ390" s="558" t="s">
        <v>2451</v>
      </c>
    </row>
    <row r="391" spans="1:36" s="376" customFormat="1" ht="101.25" outlineLevel="2" x14ac:dyDescent="0.3">
      <c r="A391" s="447">
        <v>34</v>
      </c>
      <c r="B391" s="574"/>
      <c r="C391" s="574"/>
      <c r="D391" s="587"/>
      <c r="E391" s="560"/>
      <c r="F391" s="558"/>
      <c r="G391" s="588"/>
      <c r="H391" s="546"/>
      <c r="I391" s="563" t="s">
        <v>25</v>
      </c>
      <c r="J391" s="563" t="s">
        <v>25</v>
      </c>
      <c r="K391" s="564" t="s">
        <v>25</v>
      </c>
      <c r="L391" s="564" t="s">
        <v>25</v>
      </c>
      <c r="M391" s="586" t="s">
        <v>177</v>
      </c>
      <c r="N391" s="586"/>
      <c r="O391" s="630">
        <v>1</v>
      </c>
      <c r="P391" s="564">
        <v>473000</v>
      </c>
      <c r="Q391" s="564">
        <v>473000</v>
      </c>
      <c r="R391" s="586" t="s">
        <v>2299</v>
      </c>
      <c r="S391" s="609" t="s">
        <v>53</v>
      </c>
      <c r="T391" s="591">
        <v>3.08</v>
      </c>
      <c r="U391" s="589"/>
      <c r="V391" s="564">
        <v>8308812</v>
      </c>
      <c r="W391" s="564">
        <v>25591000</v>
      </c>
      <c r="X391" s="589"/>
      <c r="Y391" s="592" t="s">
        <v>55</v>
      </c>
      <c r="Z391" s="592" t="s">
        <v>56</v>
      </c>
      <c r="AA391" s="568" t="s">
        <v>57</v>
      </c>
      <c r="AB391" s="592" t="s">
        <v>54</v>
      </c>
      <c r="AC391" s="568" t="s">
        <v>430</v>
      </c>
      <c r="AD391" s="568"/>
      <c r="AE391" s="563"/>
      <c r="AF391" s="570" t="s">
        <v>2899</v>
      </c>
      <c r="AG391" s="570" t="s">
        <v>25</v>
      </c>
      <c r="AH391" s="571" t="s">
        <v>25</v>
      </c>
      <c r="AI391" s="575"/>
      <c r="AJ391" s="558" t="s">
        <v>2800</v>
      </c>
    </row>
    <row r="392" spans="1:36" s="376" customFormat="1" ht="81" outlineLevel="2" x14ac:dyDescent="0.3">
      <c r="A392" s="447">
        <v>34</v>
      </c>
      <c r="B392" s="558"/>
      <c r="C392" s="558"/>
      <c r="D392" s="587"/>
      <c r="E392" s="560"/>
      <c r="F392" s="558"/>
      <c r="G392" s="588"/>
      <c r="H392" s="546"/>
      <c r="I392" s="563" t="s">
        <v>25</v>
      </c>
      <c r="J392" s="563" t="s">
        <v>25</v>
      </c>
      <c r="K392" s="564" t="s">
        <v>25</v>
      </c>
      <c r="L392" s="564" t="s">
        <v>25</v>
      </c>
      <c r="M392" s="586" t="s">
        <v>744</v>
      </c>
      <c r="N392" s="586"/>
      <c r="O392" s="630">
        <v>1</v>
      </c>
      <c r="P392" s="564">
        <v>0</v>
      </c>
      <c r="Q392" s="564">
        <v>0</v>
      </c>
      <c r="R392" s="586" t="s">
        <v>2300</v>
      </c>
      <c r="S392" s="609" t="s">
        <v>53</v>
      </c>
      <c r="T392" s="591">
        <v>6.3</v>
      </c>
      <c r="U392" s="589"/>
      <c r="V392" s="564">
        <v>8308812</v>
      </c>
      <c r="W392" s="564">
        <v>52346000</v>
      </c>
      <c r="X392" s="589"/>
      <c r="Y392" s="592" t="s">
        <v>63</v>
      </c>
      <c r="Z392" s="592" t="s">
        <v>56</v>
      </c>
      <c r="AA392" s="568" t="s">
        <v>57</v>
      </c>
      <c r="AB392" s="592" t="s">
        <v>63</v>
      </c>
      <c r="AC392" s="592"/>
      <c r="AD392" s="592"/>
      <c r="AE392" s="590"/>
      <c r="AF392" s="570" t="s">
        <v>2899</v>
      </c>
      <c r="AG392" s="570" t="s">
        <v>25</v>
      </c>
      <c r="AH392" s="571" t="s">
        <v>25</v>
      </c>
      <c r="AI392" s="593"/>
      <c r="AJ392" s="558"/>
    </row>
    <row r="393" spans="1:36" s="376" customFormat="1" ht="40.5" outlineLevel="2" x14ac:dyDescent="0.3">
      <c r="A393" s="447">
        <v>34</v>
      </c>
      <c r="B393" s="635"/>
      <c r="C393" s="635"/>
      <c r="D393" s="587"/>
      <c r="E393" s="560"/>
      <c r="F393" s="558"/>
      <c r="G393" s="588"/>
      <c r="H393" s="546"/>
      <c r="I393" s="563" t="s">
        <v>25</v>
      </c>
      <c r="J393" s="563" t="s">
        <v>25</v>
      </c>
      <c r="K393" s="564" t="s">
        <v>25</v>
      </c>
      <c r="L393" s="564" t="s">
        <v>25</v>
      </c>
      <c r="M393" s="586" t="s">
        <v>178</v>
      </c>
      <c r="N393" s="586"/>
      <c r="O393" s="630">
        <v>1</v>
      </c>
      <c r="P393" s="564">
        <v>554000</v>
      </c>
      <c r="Q393" s="564">
        <v>554000</v>
      </c>
      <c r="R393" s="586" t="s">
        <v>2301</v>
      </c>
      <c r="S393" s="609" t="s">
        <v>53</v>
      </c>
      <c r="T393" s="591">
        <v>43.2</v>
      </c>
      <c r="U393" s="589"/>
      <c r="V393" s="564">
        <v>1226656</v>
      </c>
      <c r="W393" s="564">
        <v>52992000</v>
      </c>
      <c r="X393" s="589"/>
      <c r="Y393" s="592" t="s">
        <v>55</v>
      </c>
      <c r="Z393" s="592" t="s">
        <v>141</v>
      </c>
      <c r="AA393" s="568" t="s">
        <v>171</v>
      </c>
      <c r="AB393" s="592" t="s">
        <v>88</v>
      </c>
      <c r="AC393" s="592"/>
      <c r="AD393" s="592"/>
      <c r="AE393" s="590"/>
      <c r="AF393" s="570" t="s">
        <v>2899</v>
      </c>
      <c r="AG393" s="570" t="s">
        <v>25</v>
      </c>
      <c r="AH393" s="571" t="s">
        <v>25</v>
      </c>
      <c r="AI393" s="593"/>
      <c r="AJ393" s="593"/>
    </row>
    <row r="394" spans="1:36" s="376" customFormat="1" ht="40.5" outlineLevel="2" x14ac:dyDescent="0.3">
      <c r="A394" s="447">
        <v>34</v>
      </c>
      <c r="B394" s="558"/>
      <c r="C394" s="558"/>
      <c r="D394" s="587"/>
      <c r="E394" s="560"/>
      <c r="F394" s="558"/>
      <c r="G394" s="588"/>
      <c r="H394" s="546"/>
      <c r="I394" s="563" t="s">
        <v>25</v>
      </c>
      <c r="J394" s="563" t="s">
        <v>25</v>
      </c>
      <c r="K394" s="564" t="s">
        <v>25</v>
      </c>
      <c r="L394" s="564" t="s">
        <v>25</v>
      </c>
      <c r="M394" s="586" t="s">
        <v>179</v>
      </c>
      <c r="N394" s="586"/>
      <c r="O394" s="630">
        <v>1</v>
      </c>
      <c r="P394" s="564">
        <v>10000</v>
      </c>
      <c r="Q394" s="564">
        <v>10000</v>
      </c>
      <c r="R394" s="586" t="s">
        <v>2301</v>
      </c>
      <c r="S394" s="609" t="s">
        <v>53</v>
      </c>
      <c r="T394" s="591">
        <v>20.8</v>
      </c>
      <c r="U394" s="589"/>
      <c r="V394" s="564">
        <v>1226656</v>
      </c>
      <c r="W394" s="564">
        <v>25514000</v>
      </c>
      <c r="X394" s="589"/>
      <c r="Y394" s="592" t="s">
        <v>55</v>
      </c>
      <c r="Z394" s="592" t="s">
        <v>140</v>
      </c>
      <c r="AA394" s="568" t="s">
        <v>172</v>
      </c>
      <c r="AB394" s="592" t="s">
        <v>143</v>
      </c>
      <c r="AC394" s="592"/>
      <c r="AD394" s="592"/>
      <c r="AE394" s="590"/>
      <c r="AF394" s="570" t="s">
        <v>2899</v>
      </c>
      <c r="AG394" s="570" t="s">
        <v>25</v>
      </c>
      <c r="AH394" s="571" t="s">
        <v>25</v>
      </c>
      <c r="AI394" s="593"/>
      <c r="AJ394" s="593"/>
    </row>
    <row r="395" spans="1:36" s="376" customFormat="1" ht="60.75" outlineLevel="2" x14ac:dyDescent="0.3">
      <c r="A395" s="447">
        <v>34</v>
      </c>
      <c r="B395" s="558"/>
      <c r="C395" s="558"/>
      <c r="D395" s="587"/>
      <c r="E395" s="560"/>
      <c r="F395" s="558"/>
      <c r="G395" s="588"/>
      <c r="H395" s="546"/>
      <c r="I395" s="563" t="s">
        <v>25</v>
      </c>
      <c r="J395" s="563" t="s">
        <v>25</v>
      </c>
      <c r="K395" s="564" t="s">
        <v>25</v>
      </c>
      <c r="L395" s="564" t="s">
        <v>25</v>
      </c>
      <c r="M395" s="593"/>
      <c r="N395" s="593"/>
      <c r="O395" s="616"/>
      <c r="P395" s="564" t="s">
        <v>25</v>
      </c>
      <c r="Q395" s="564" t="s">
        <v>25</v>
      </c>
      <c r="R395" s="586" t="s">
        <v>1860</v>
      </c>
      <c r="S395" s="609" t="s">
        <v>53</v>
      </c>
      <c r="T395" s="591">
        <v>44.9</v>
      </c>
      <c r="U395" s="589"/>
      <c r="V395" s="564">
        <v>236298</v>
      </c>
      <c r="W395" s="564">
        <v>10610000</v>
      </c>
      <c r="X395" s="589"/>
      <c r="Y395" s="592"/>
      <c r="Z395" s="592"/>
      <c r="AA395" s="568"/>
      <c r="AB395" s="592"/>
      <c r="AC395" s="592"/>
      <c r="AD395" s="592"/>
      <c r="AE395" s="590"/>
      <c r="AF395" s="570" t="s">
        <v>2899</v>
      </c>
      <c r="AG395" s="570" t="s">
        <v>25</v>
      </c>
      <c r="AH395" s="571" t="s">
        <v>25</v>
      </c>
      <c r="AI395" s="593"/>
      <c r="AJ395" s="593"/>
    </row>
    <row r="396" spans="1:36" s="376" customFormat="1" ht="101.25" outlineLevel="2" x14ac:dyDescent="0.3">
      <c r="A396" s="447">
        <v>34</v>
      </c>
      <c r="B396" s="558"/>
      <c r="C396" s="558"/>
      <c r="D396" s="587"/>
      <c r="E396" s="560"/>
      <c r="F396" s="558"/>
      <c r="G396" s="588"/>
      <c r="H396" s="546"/>
      <c r="I396" s="563" t="s">
        <v>25</v>
      </c>
      <c r="J396" s="563" t="s">
        <v>25</v>
      </c>
      <c r="K396" s="564" t="s">
        <v>25</v>
      </c>
      <c r="L396" s="564" t="s">
        <v>25</v>
      </c>
      <c r="M396" s="586"/>
      <c r="N396" s="586"/>
      <c r="O396" s="630"/>
      <c r="P396" s="564" t="s">
        <v>25</v>
      </c>
      <c r="Q396" s="564" t="s">
        <v>25</v>
      </c>
      <c r="R396" s="566" t="s">
        <v>2302</v>
      </c>
      <c r="S396" s="589" t="s">
        <v>53</v>
      </c>
      <c r="T396" s="591">
        <v>16.8</v>
      </c>
      <c r="U396" s="589"/>
      <c r="V396" s="564">
        <v>992025</v>
      </c>
      <c r="W396" s="564">
        <v>16666000</v>
      </c>
      <c r="X396" s="589"/>
      <c r="Y396" s="592"/>
      <c r="Z396" s="592"/>
      <c r="AA396" s="568"/>
      <c r="AB396" s="592"/>
      <c r="AC396" s="592"/>
      <c r="AD396" s="592"/>
      <c r="AE396" s="590"/>
      <c r="AF396" s="570" t="s">
        <v>2899</v>
      </c>
      <c r="AG396" s="570" t="s">
        <v>25</v>
      </c>
      <c r="AH396" s="571" t="s">
        <v>25</v>
      </c>
      <c r="AI396" s="593"/>
      <c r="AJ396" s="593"/>
    </row>
    <row r="397" spans="1:36" s="376" customFormat="1" ht="101.25" outlineLevel="2" x14ac:dyDescent="0.3">
      <c r="A397" s="447">
        <v>34</v>
      </c>
      <c r="B397" s="558"/>
      <c r="C397" s="558"/>
      <c r="D397" s="587"/>
      <c r="E397" s="560"/>
      <c r="F397" s="558"/>
      <c r="G397" s="588"/>
      <c r="H397" s="546"/>
      <c r="I397" s="563" t="s">
        <v>25</v>
      </c>
      <c r="J397" s="563" t="s">
        <v>25</v>
      </c>
      <c r="K397" s="564" t="s">
        <v>25</v>
      </c>
      <c r="L397" s="564" t="s">
        <v>25</v>
      </c>
      <c r="M397" s="558"/>
      <c r="N397" s="558"/>
      <c r="O397" s="590"/>
      <c r="P397" s="564" t="s">
        <v>25</v>
      </c>
      <c r="Q397" s="564" t="s">
        <v>25</v>
      </c>
      <c r="R397" s="566" t="s">
        <v>2303</v>
      </c>
      <c r="S397" s="589" t="s">
        <v>53</v>
      </c>
      <c r="T397" s="591">
        <v>43.68</v>
      </c>
      <c r="U397" s="589"/>
      <c r="V397" s="564">
        <v>840258</v>
      </c>
      <c r="W397" s="564">
        <v>36702000</v>
      </c>
      <c r="X397" s="589"/>
      <c r="Y397" s="592"/>
      <c r="Z397" s="592"/>
      <c r="AA397" s="568"/>
      <c r="AB397" s="592"/>
      <c r="AC397" s="592"/>
      <c r="AD397" s="592"/>
      <c r="AE397" s="590"/>
      <c r="AF397" s="570" t="s">
        <v>2899</v>
      </c>
      <c r="AG397" s="570" t="s">
        <v>25</v>
      </c>
      <c r="AH397" s="571" t="s">
        <v>25</v>
      </c>
      <c r="AI397" s="593"/>
      <c r="AJ397" s="593"/>
    </row>
    <row r="398" spans="1:36" s="376" customFormat="1" ht="60.75" outlineLevel="2" x14ac:dyDescent="0.3">
      <c r="A398" s="447">
        <v>34</v>
      </c>
      <c r="B398" s="574"/>
      <c r="C398" s="574"/>
      <c r="D398" s="595"/>
      <c r="E398" s="577"/>
      <c r="F398" s="558"/>
      <c r="G398" s="588"/>
      <c r="H398" s="546"/>
      <c r="I398" s="563" t="s">
        <v>25</v>
      </c>
      <c r="J398" s="563" t="s">
        <v>25</v>
      </c>
      <c r="K398" s="564" t="s">
        <v>25</v>
      </c>
      <c r="L398" s="564" t="s">
        <v>25</v>
      </c>
      <c r="M398" s="558"/>
      <c r="N398" s="558"/>
      <c r="O398" s="590"/>
      <c r="P398" s="564" t="s">
        <v>25</v>
      </c>
      <c r="Q398" s="564" t="s">
        <v>25</v>
      </c>
      <c r="R398" s="586" t="s">
        <v>2304</v>
      </c>
      <c r="S398" s="609" t="s">
        <v>53</v>
      </c>
      <c r="T398" s="591">
        <v>3.36</v>
      </c>
      <c r="U398" s="589"/>
      <c r="V398" s="564">
        <v>441467</v>
      </c>
      <c r="W398" s="564">
        <v>1483000</v>
      </c>
      <c r="X398" s="589"/>
      <c r="Y398" s="592"/>
      <c r="Z398" s="592"/>
      <c r="AA398" s="568"/>
      <c r="AB398" s="592"/>
      <c r="AC398" s="592"/>
      <c r="AD398" s="592"/>
      <c r="AE398" s="590"/>
      <c r="AF398" s="570" t="s">
        <v>2899</v>
      </c>
      <c r="AG398" s="570" t="s">
        <v>25</v>
      </c>
      <c r="AH398" s="571" t="s">
        <v>25</v>
      </c>
      <c r="AI398" s="593"/>
      <c r="AJ398" s="593"/>
    </row>
    <row r="399" spans="1:36" s="376" customFormat="1" ht="40.5" outlineLevel="2" x14ac:dyDescent="0.3">
      <c r="A399" s="447">
        <v>34</v>
      </c>
      <c r="B399" s="607"/>
      <c r="C399" s="607"/>
      <c r="D399" s="587"/>
      <c r="E399" s="560"/>
      <c r="F399" s="574"/>
      <c r="G399" s="588"/>
      <c r="H399" s="546"/>
      <c r="I399" s="563" t="s">
        <v>25</v>
      </c>
      <c r="J399" s="563" t="s">
        <v>25</v>
      </c>
      <c r="K399" s="564" t="s">
        <v>25</v>
      </c>
      <c r="L399" s="564" t="s">
        <v>25</v>
      </c>
      <c r="M399" s="578"/>
      <c r="N399" s="578"/>
      <c r="O399" s="633"/>
      <c r="P399" s="564" t="s">
        <v>25</v>
      </c>
      <c r="Q399" s="564" t="s">
        <v>25</v>
      </c>
      <c r="R399" s="586" t="s">
        <v>2021</v>
      </c>
      <c r="S399" s="609" t="s">
        <v>53</v>
      </c>
      <c r="T399" s="591">
        <v>4.63</v>
      </c>
      <c r="U399" s="597"/>
      <c r="V399" s="564">
        <v>107866</v>
      </c>
      <c r="W399" s="564">
        <v>499000</v>
      </c>
      <c r="X399" s="580"/>
      <c r="Y399" s="601"/>
      <c r="Z399" s="601"/>
      <c r="AA399" s="584"/>
      <c r="AB399" s="601"/>
      <c r="AC399" s="601"/>
      <c r="AD399" s="601"/>
      <c r="AE399" s="599"/>
      <c r="AF399" s="570" t="s">
        <v>2899</v>
      </c>
      <c r="AG399" s="570" t="s">
        <v>25</v>
      </c>
      <c r="AH399" s="571" t="s">
        <v>25</v>
      </c>
      <c r="AI399" s="608"/>
      <c r="AJ399" s="608"/>
    </row>
    <row r="400" spans="1:36" s="376" customFormat="1" ht="81" outlineLevel="2" x14ac:dyDescent="0.3">
      <c r="A400" s="447">
        <v>34</v>
      </c>
      <c r="B400" s="572"/>
      <c r="C400" s="572"/>
      <c r="D400" s="587"/>
      <c r="E400" s="560"/>
      <c r="F400" s="558"/>
      <c r="G400" s="588"/>
      <c r="H400" s="546"/>
      <c r="I400" s="563" t="s">
        <v>25</v>
      </c>
      <c r="J400" s="563" t="s">
        <v>25</v>
      </c>
      <c r="K400" s="564" t="s">
        <v>25</v>
      </c>
      <c r="L400" s="564" t="s">
        <v>25</v>
      </c>
      <c r="M400" s="586"/>
      <c r="N400" s="586"/>
      <c r="O400" s="630"/>
      <c r="P400" s="564" t="s">
        <v>25</v>
      </c>
      <c r="Q400" s="564" t="s">
        <v>25</v>
      </c>
      <c r="R400" s="586" t="s">
        <v>2305</v>
      </c>
      <c r="S400" s="609" t="s">
        <v>53</v>
      </c>
      <c r="T400" s="591">
        <v>11.76</v>
      </c>
      <c r="U400" s="589"/>
      <c r="V400" s="564">
        <v>441467</v>
      </c>
      <c r="W400" s="564">
        <v>5192000</v>
      </c>
      <c r="X400" s="562"/>
      <c r="Y400" s="592"/>
      <c r="Z400" s="592"/>
      <c r="AA400" s="568"/>
      <c r="AB400" s="592"/>
      <c r="AC400" s="592"/>
      <c r="AD400" s="592"/>
      <c r="AE400" s="590"/>
      <c r="AF400" s="570" t="s">
        <v>2899</v>
      </c>
      <c r="AG400" s="570" t="s">
        <v>25</v>
      </c>
      <c r="AH400" s="571" t="s">
        <v>25</v>
      </c>
      <c r="AI400" s="558"/>
      <c r="AJ400" s="558"/>
    </row>
    <row r="401" spans="1:36" s="376" customFormat="1" ht="101.25" outlineLevel="2" x14ac:dyDescent="0.3">
      <c r="A401" s="447">
        <v>34</v>
      </c>
      <c r="B401" s="572"/>
      <c r="C401" s="572"/>
      <c r="D401" s="587"/>
      <c r="E401" s="560"/>
      <c r="F401" s="586"/>
      <c r="G401" s="588"/>
      <c r="H401" s="546"/>
      <c r="I401" s="563" t="s">
        <v>25</v>
      </c>
      <c r="J401" s="563" t="s">
        <v>25</v>
      </c>
      <c r="K401" s="564" t="s">
        <v>25</v>
      </c>
      <c r="L401" s="564" t="s">
        <v>25</v>
      </c>
      <c r="M401" s="586"/>
      <c r="N401" s="586"/>
      <c r="O401" s="630"/>
      <c r="P401" s="564" t="s">
        <v>25</v>
      </c>
      <c r="Q401" s="564" t="s">
        <v>25</v>
      </c>
      <c r="R401" s="566" t="s">
        <v>2306</v>
      </c>
      <c r="S401" s="589" t="s">
        <v>53</v>
      </c>
      <c r="T401" s="591">
        <v>79.599999999999994</v>
      </c>
      <c r="U401" s="589"/>
      <c r="V401" s="564">
        <v>840258</v>
      </c>
      <c r="W401" s="564">
        <v>66885000</v>
      </c>
      <c r="X401" s="589"/>
      <c r="Y401" s="592"/>
      <c r="Z401" s="592"/>
      <c r="AA401" s="568"/>
      <c r="AB401" s="592"/>
      <c r="AC401" s="592"/>
      <c r="AD401" s="592"/>
      <c r="AE401" s="590"/>
      <c r="AF401" s="570" t="s">
        <v>2899</v>
      </c>
      <c r="AG401" s="570" t="s">
        <v>25</v>
      </c>
      <c r="AH401" s="571" t="s">
        <v>25</v>
      </c>
      <c r="AI401" s="558"/>
      <c r="AJ401" s="558"/>
    </row>
    <row r="402" spans="1:36" s="376" customFormat="1" ht="60.75" outlineLevel="2" x14ac:dyDescent="0.3">
      <c r="A402" s="447">
        <v>34</v>
      </c>
      <c r="B402" s="643"/>
      <c r="C402" s="643"/>
      <c r="D402" s="587"/>
      <c r="E402" s="560"/>
      <c r="F402" s="558"/>
      <c r="G402" s="588"/>
      <c r="H402" s="546"/>
      <c r="I402" s="563" t="s">
        <v>25</v>
      </c>
      <c r="J402" s="563" t="s">
        <v>25</v>
      </c>
      <c r="K402" s="564" t="s">
        <v>25</v>
      </c>
      <c r="L402" s="564" t="s">
        <v>25</v>
      </c>
      <c r="M402" s="558"/>
      <c r="N402" s="558"/>
      <c r="O402" s="590"/>
      <c r="P402" s="564" t="s">
        <v>25</v>
      </c>
      <c r="Q402" s="564" t="s">
        <v>25</v>
      </c>
      <c r="R402" s="646" t="s">
        <v>1758</v>
      </c>
      <c r="S402" s="649" t="s">
        <v>174</v>
      </c>
      <c r="T402" s="591">
        <v>1</v>
      </c>
      <c r="U402" s="589"/>
      <c r="V402" s="564">
        <v>0</v>
      </c>
      <c r="W402" s="564">
        <v>0</v>
      </c>
      <c r="X402" s="589"/>
      <c r="Y402" s="592"/>
      <c r="Z402" s="592"/>
      <c r="AA402" s="568"/>
      <c r="AB402" s="592"/>
      <c r="AC402" s="592"/>
      <c r="AD402" s="592"/>
      <c r="AE402" s="590"/>
      <c r="AF402" s="570" t="s">
        <v>2899</v>
      </c>
      <c r="AG402" s="570" t="s">
        <v>25</v>
      </c>
      <c r="AH402" s="571" t="s">
        <v>25</v>
      </c>
      <c r="AI402" s="593"/>
      <c r="AJ402" s="593"/>
    </row>
    <row r="403" spans="1:36" s="376" customFormat="1" ht="40.5" outlineLevel="2" x14ac:dyDescent="0.3">
      <c r="A403" s="447">
        <v>34</v>
      </c>
      <c r="B403" s="648"/>
      <c r="C403" s="648"/>
      <c r="D403" s="587"/>
      <c r="E403" s="615"/>
      <c r="F403" s="558"/>
      <c r="G403" s="588"/>
      <c r="H403" s="546"/>
      <c r="I403" s="563" t="s">
        <v>25</v>
      </c>
      <c r="J403" s="563" t="s">
        <v>25</v>
      </c>
      <c r="K403" s="564" t="s">
        <v>25</v>
      </c>
      <c r="L403" s="564" t="s">
        <v>25</v>
      </c>
      <c r="M403" s="646"/>
      <c r="N403" s="646"/>
      <c r="O403" s="590"/>
      <c r="P403" s="564" t="s">
        <v>25</v>
      </c>
      <c r="Q403" s="564" t="s">
        <v>25</v>
      </c>
      <c r="R403" s="646" t="s">
        <v>1839</v>
      </c>
      <c r="S403" s="647" t="s">
        <v>53</v>
      </c>
      <c r="T403" s="591">
        <v>17.7</v>
      </c>
      <c r="U403" s="589"/>
      <c r="V403" s="564">
        <v>244604</v>
      </c>
      <c r="W403" s="564">
        <v>4329000</v>
      </c>
      <c r="X403" s="589"/>
      <c r="Y403" s="592"/>
      <c r="Z403" s="592"/>
      <c r="AA403" s="568"/>
      <c r="AB403" s="592"/>
      <c r="AC403" s="592"/>
      <c r="AD403" s="592"/>
      <c r="AE403" s="590"/>
      <c r="AF403" s="570" t="s">
        <v>2899</v>
      </c>
      <c r="AG403" s="570" t="s">
        <v>25</v>
      </c>
      <c r="AH403" s="571" t="s">
        <v>25</v>
      </c>
      <c r="AI403" s="558"/>
      <c r="AJ403" s="558"/>
    </row>
    <row r="404" spans="1:36" s="376" customFormat="1" ht="20.25" outlineLevel="2" x14ac:dyDescent="0.3">
      <c r="A404" s="447">
        <v>34</v>
      </c>
      <c r="B404" s="648"/>
      <c r="C404" s="648"/>
      <c r="D404" s="587"/>
      <c r="E404" s="560"/>
      <c r="F404" s="558"/>
      <c r="G404" s="604"/>
      <c r="H404" s="546"/>
      <c r="I404" s="563" t="s">
        <v>25</v>
      </c>
      <c r="J404" s="563" t="s">
        <v>25</v>
      </c>
      <c r="K404" s="564" t="s">
        <v>25</v>
      </c>
      <c r="L404" s="564" t="s">
        <v>25</v>
      </c>
      <c r="M404" s="593"/>
      <c r="N404" s="593"/>
      <c r="O404" s="616"/>
      <c r="P404" s="564" t="s">
        <v>25</v>
      </c>
      <c r="Q404" s="564" t="s">
        <v>25</v>
      </c>
      <c r="R404" s="593"/>
      <c r="S404" s="593"/>
      <c r="T404" s="617"/>
      <c r="U404" s="589"/>
      <c r="V404" s="564" t="s">
        <v>2899</v>
      </c>
      <c r="W404" s="564" t="s">
        <v>25</v>
      </c>
      <c r="X404" s="589"/>
      <c r="Y404" s="589"/>
      <c r="Z404" s="589"/>
      <c r="AA404" s="562"/>
      <c r="AB404" s="589"/>
      <c r="AC404" s="589"/>
      <c r="AD404" s="589"/>
      <c r="AE404" s="629"/>
      <c r="AF404" s="570" t="s">
        <v>2899</v>
      </c>
      <c r="AG404" s="570" t="s">
        <v>25</v>
      </c>
      <c r="AH404" s="571" t="s">
        <v>25</v>
      </c>
      <c r="AI404" s="593"/>
      <c r="AJ404" s="593"/>
    </row>
    <row r="405" spans="1:36" s="376" customFormat="1" ht="20.25" outlineLevel="2" x14ac:dyDescent="0.3">
      <c r="A405" s="447">
        <v>34</v>
      </c>
      <c r="B405" s="558"/>
      <c r="C405" s="558"/>
      <c r="D405" s="587"/>
      <c r="E405" s="560"/>
      <c r="F405" s="558"/>
      <c r="G405" s="588"/>
      <c r="H405" s="546"/>
      <c r="I405" s="563" t="s">
        <v>25</v>
      </c>
      <c r="J405" s="563" t="s">
        <v>25</v>
      </c>
      <c r="K405" s="564" t="s">
        <v>25</v>
      </c>
      <c r="L405" s="564" t="s">
        <v>25</v>
      </c>
      <c r="M405" s="646"/>
      <c r="N405" s="646"/>
      <c r="O405" s="590"/>
      <c r="P405" s="564" t="s">
        <v>25</v>
      </c>
      <c r="Q405" s="564" t="s">
        <v>25</v>
      </c>
      <c r="R405" s="593"/>
      <c r="S405" s="593"/>
      <c r="T405" s="617"/>
      <c r="U405" s="589"/>
      <c r="V405" s="564" t="s">
        <v>2899</v>
      </c>
      <c r="W405" s="564" t="s">
        <v>25</v>
      </c>
      <c r="X405" s="589"/>
      <c r="Y405" s="592"/>
      <c r="Z405" s="592"/>
      <c r="AA405" s="568"/>
      <c r="AB405" s="592"/>
      <c r="AC405" s="592"/>
      <c r="AD405" s="592"/>
      <c r="AE405" s="590"/>
      <c r="AF405" s="570" t="s">
        <v>2899</v>
      </c>
      <c r="AG405" s="570" t="s">
        <v>25</v>
      </c>
      <c r="AH405" s="571" t="s">
        <v>25</v>
      </c>
      <c r="AI405" s="558"/>
      <c r="AJ405" s="558"/>
    </row>
    <row r="406" spans="1:36" s="376" customFormat="1" ht="20.25" outlineLevel="2" x14ac:dyDescent="0.3">
      <c r="A406" s="447">
        <v>34</v>
      </c>
      <c r="B406" s="607"/>
      <c r="C406" s="607"/>
      <c r="D406" s="595"/>
      <c r="E406" s="577"/>
      <c r="F406" s="558"/>
      <c r="G406" s="588"/>
      <c r="H406" s="546"/>
      <c r="I406" s="563" t="s">
        <v>25</v>
      </c>
      <c r="J406" s="563" t="s">
        <v>25</v>
      </c>
      <c r="K406" s="564" t="s">
        <v>25</v>
      </c>
      <c r="L406" s="564" t="s">
        <v>25</v>
      </c>
      <c r="M406" s="646"/>
      <c r="N406" s="646"/>
      <c r="O406" s="590"/>
      <c r="P406" s="564" t="s">
        <v>25</v>
      </c>
      <c r="Q406" s="564" t="s">
        <v>25</v>
      </c>
      <c r="R406" s="646"/>
      <c r="S406" s="647"/>
      <c r="T406" s="591"/>
      <c r="U406" s="589"/>
      <c r="V406" s="564" t="s">
        <v>2899</v>
      </c>
      <c r="W406" s="564" t="s">
        <v>25</v>
      </c>
      <c r="X406" s="589"/>
      <c r="Y406" s="592"/>
      <c r="Z406" s="592"/>
      <c r="AA406" s="568"/>
      <c r="AB406" s="592"/>
      <c r="AC406" s="592"/>
      <c r="AD406" s="592"/>
      <c r="AE406" s="590"/>
      <c r="AF406" s="570" t="s">
        <v>2899</v>
      </c>
      <c r="AG406" s="570" t="s">
        <v>25</v>
      </c>
      <c r="AH406" s="571" t="s">
        <v>25</v>
      </c>
      <c r="AI406" s="558"/>
      <c r="AJ406" s="558"/>
    </row>
    <row r="407" spans="1:36" s="376" customFormat="1" ht="20.25" outlineLevel="2" x14ac:dyDescent="0.3">
      <c r="A407" s="447">
        <v>34</v>
      </c>
      <c r="B407" s="607"/>
      <c r="C407" s="607"/>
      <c r="D407" s="595"/>
      <c r="E407" s="577"/>
      <c r="F407" s="574"/>
      <c r="G407" s="588"/>
      <c r="H407" s="546"/>
      <c r="I407" s="563" t="s">
        <v>25</v>
      </c>
      <c r="J407" s="563" t="s">
        <v>25</v>
      </c>
      <c r="K407" s="564" t="s">
        <v>25</v>
      </c>
      <c r="L407" s="564" t="s">
        <v>25</v>
      </c>
      <c r="M407" s="598"/>
      <c r="N407" s="598"/>
      <c r="O407" s="599"/>
      <c r="P407" s="564" t="s">
        <v>25</v>
      </c>
      <c r="Q407" s="564" t="s">
        <v>25</v>
      </c>
      <c r="R407" s="582"/>
      <c r="S407" s="597"/>
      <c r="T407" s="591"/>
      <c r="U407" s="597"/>
      <c r="V407" s="564" t="s">
        <v>2899</v>
      </c>
      <c r="W407" s="564" t="s">
        <v>25</v>
      </c>
      <c r="X407" s="589"/>
      <c r="Y407" s="592"/>
      <c r="Z407" s="592"/>
      <c r="AA407" s="568"/>
      <c r="AB407" s="592"/>
      <c r="AC407" s="592"/>
      <c r="AD407" s="592"/>
      <c r="AE407" s="590"/>
      <c r="AF407" s="570" t="s">
        <v>2899</v>
      </c>
      <c r="AG407" s="570" t="s">
        <v>25</v>
      </c>
      <c r="AH407" s="571" t="s">
        <v>25</v>
      </c>
      <c r="AI407" s="593"/>
      <c r="AJ407" s="593"/>
    </row>
    <row r="408" spans="1:36" s="376" customFormat="1" ht="20.25" outlineLevel="2" x14ac:dyDescent="0.3">
      <c r="A408" s="447">
        <v>34</v>
      </c>
      <c r="B408" s="607"/>
      <c r="C408" s="607"/>
      <c r="D408" s="595"/>
      <c r="E408" s="577"/>
      <c r="F408" s="574"/>
      <c r="G408" s="588"/>
      <c r="H408" s="546"/>
      <c r="I408" s="563" t="s">
        <v>25</v>
      </c>
      <c r="J408" s="563" t="s">
        <v>25</v>
      </c>
      <c r="K408" s="564" t="s">
        <v>25</v>
      </c>
      <c r="L408" s="564" t="s">
        <v>25</v>
      </c>
      <c r="M408" s="598"/>
      <c r="N408" s="598"/>
      <c r="O408" s="599"/>
      <c r="P408" s="564"/>
      <c r="Q408" s="564"/>
      <c r="R408" s="582"/>
      <c r="S408" s="597"/>
      <c r="T408" s="591"/>
      <c r="U408" s="597"/>
      <c r="V408" s="564" t="s">
        <v>2899</v>
      </c>
      <c r="W408" s="564" t="s">
        <v>25</v>
      </c>
      <c r="X408" s="589"/>
      <c r="Y408" s="592"/>
      <c r="Z408" s="592"/>
      <c r="AA408" s="568"/>
      <c r="AB408" s="592"/>
      <c r="AC408" s="592"/>
      <c r="AD408" s="592"/>
      <c r="AE408" s="590"/>
      <c r="AF408" s="570" t="s">
        <v>2899</v>
      </c>
      <c r="AG408" s="570"/>
      <c r="AH408" s="571" t="s">
        <v>25</v>
      </c>
      <c r="AI408" s="593"/>
      <c r="AJ408" s="593"/>
    </row>
    <row r="409" spans="1:36" s="376" customFormat="1" ht="20.25" outlineLevel="2" x14ac:dyDescent="0.3">
      <c r="A409" s="447">
        <v>34</v>
      </c>
      <c r="B409" s="607"/>
      <c r="C409" s="607"/>
      <c r="D409" s="595"/>
      <c r="E409" s="577"/>
      <c r="F409" s="574"/>
      <c r="G409" s="588"/>
      <c r="H409" s="546"/>
      <c r="I409" s="563" t="s">
        <v>25</v>
      </c>
      <c r="J409" s="563" t="s">
        <v>25</v>
      </c>
      <c r="K409" s="564" t="s">
        <v>25</v>
      </c>
      <c r="L409" s="564" t="s">
        <v>25</v>
      </c>
      <c r="M409" s="598"/>
      <c r="N409" s="598"/>
      <c r="O409" s="599"/>
      <c r="P409" s="564"/>
      <c r="Q409" s="564"/>
      <c r="R409" s="582"/>
      <c r="S409" s="597"/>
      <c r="T409" s="591"/>
      <c r="U409" s="597"/>
      <c r="V409" s="564" t="s">
        <v>2899</v>
      </c>
      <c r="W409" s="564" t="s">
        <v>25</v>
      </c>
      <c r="X409" s="589"/>
      <c r="Y409" s="592"/>
      <c r="Z409" s="592"/>
      <c r="AA409" s="568"/>
      <c r="AB409" s="592"/>
      <c r="AC409" s="592"/>
      <c r="AD409" s="592"/>
      <c r="AE409" s="590"/>
      <c r="AF409" s="570" t="s">
        <v>2899</v>
      </c>
      <c r="AG409" s="570"/>
      <c r="AH409" s="571" t="s">
        <v>25</v>
      </c>
      <c r="AI409" s="593"/>
      <c r="AJ409" s="593"/>
    </row>
    <row r="410" spans="1:36" s="376" customFormat="1" ht="20.25" outlineLevel="2" x14ac:dyDescent="0.3">
      <c r="A410" s="447">
        <v>34</v>
      </c>
      <c r="B410" s="574"/>
      <c r="C410" s="574"/>
      <c r="D410" s="595"/>
      <c r="E410" s="577"/>
      <c r="F410" s="574"/>
      <c r="G410" s="588"/>
      <c r="H410" s="546"/>
      <c r="I410" s="563" t="s">
        <v>25</v>
      </c>
      <c r="J410" s="563" t="s">
        <v>25</v>
      </c>
      <c r="K410" s="564" t="s">
        <v>25</v>
      </c>
      <c r="L410" s="564" t="s">
        <v>25</v>
      </c>
      <c r="M410" s="598"/>
      <c r="N410" s="598"/>
      <c r="O410" s="599"/>
      <c r="P410" s="564"/>
      <c r="Q410" s="564"/>
      <c r="R410" s="582"/>
      <c r="S410" s="597"/>
      <c r="T410" s="591"/>
      <c r="U410" s="597"/>
      <c r="V410" s="564" t="s">
        <v>2899</v>
      </c>
      <c r="W410" s="564" t="s">
        <v>25</v>
      </c>
      <c r="X410" s="589"/>
      <c r="Y410" s="592"/>
      <c r="Z410" s="592"/>
      <c r="AA410" s="568"/>
      <c r="AB410" s="592"/>
      <c r="AC410" s="592"/>
      <c r="AD410" s="592"/>
      <c r="AE410" s="590"/>
      <c r="AF410" s="570" t="s">
        <v>2899</v>
      </c>
      <c r="AG410" s="570"/>
      <c r="AH410" s="571" t="s">
        <v>25</v>
      </c>
      <c r="AI410" s="593"/>
      <c r="AJ410" s="593"/>
    </row>
    <row r="411" spans="1:36" s="376" customFormat="1" ht="40.5" outlineLevel="1" x14ac:dyDescent="0.25">
      <c r="A411" s="467">
        <v>35</v>
      </c>
      <c r="B411" s="574" t="s">
        <v>34</v>
      </c>
      <c r="C411" s="773" t="s">
        <v>2902</v>
      </c>
      <c r="D411" s="587">
        <v>86</v>
      </c>
      <c r="E411" s="560">
        <v>263</v>
      </c>
      <c r="F411" s="574"/>
      <c r="G411" s="618">
        <v>67.099999999999994</v>
      </c>
      <c r="H411" s="579">
        <v>28.1</v>
      </c>
      <c r="I411" s="581"/>
      <c r="J411" s="581"/>
      <c r="K411" s="571">
        <v>37200000</v>
      </c>
      <c r="L411" s="571">
        <v>46736000</v>
      </c>
      <c r="M411" s="598"/>
      <c r="N411" s="598"/>
      <c r="O411" s="599">
        <v>0</v>
      </c>
      <c r="P411" s="571"/>
      <c r="Q411" s="571">
        <v>0</v>
      </c>
      <c r="R411" s="582"/>
      <c r="S411" s="597"/>
      <c r="T411" s="600">
        <v>0</v>
      </c>
      <c r="U411" s="597"/>
      <c r="V411" s="571"/>
      <c r="W411" s="571">
        <v>0</v>
      </c>
      <c r="X411" s="589"/>
      <c r="Y411" s="592"/>
      <c r="Z411" s="592"/>
      <c r="AA411" s="568"/>
      <c r="AB411" s="592"/>
      <c r="AC411" s="592"/>
      <c r="AD411" s="601"/>
      <c r="AE411" s="599">
        <f>SUBTOTAL(9,AE412:AE418)</f>
        <v>0</v>
      </c>
      <c r="AF411" s="585"/>
      <c r="AG411" s="585">
        <v>0</v>
      </c>
      <c r="AH411" s="571">
        <v>83936000</v>
      </c>
      <c r="AI411" s="574"/>
      <c r="AJ411" s="578"/>
    </row>
    <row r="412" spans="1:36" s="376" customFormat="1" ht="222.75" outlineLevel="2" x14ac:dyDescent="0.3">
      <c r="A412" s="447">
        <v>35</v>
      </c>
      <c r="B412" s="558" t="s">
        <v>162</v>
      </c>
      <c r="C412" s="558"/>
      <c r="D412" s="587"/>
      <c r="E412" s="560"/>
      <c r="F412" s="558" t="s">
        <v>2469</v>
      </c>
      <c r="G412" s="588">
        <v>26</v>
      </c>
      <c r="H412" s="546">
        <v>26</v>
      </c>
      <c r="I412" s="563">
        <v>554400</v>
      </c>
      <c r="J412" s="563">
        <v>1663200</v>
      </c>
      <c r="K412" s="564">
        <v>14414000</v>
      </c>
      <c r="L412" s="564">
        <v>43243000</v>
      </c>
      <c r="M412" s="598"/>
      <c r="N412" s="598"/>
      <c r="O412" s="599"/>
      <c r="P412" s="564"/>
      <c r="Q412" s="564"/>
      <c r="R412" s="582"/>
      <c r="S412" s="597"/>
      <c r="T412" s="591"/>
      <c r="U412" s="597"/>
      <c r="V412" s="564" t="s">
        <v>2899</v>
      </c>
      <c r="W412" s="564" t="s">
        <v>25</v>
      </c>
      <c r="X412" s="589"/>
      <c r="Y412" s="592"/>
      <c r="Z412" s="592"/>
      <c r="AA412" s="568"/>
      <c r="AB412" s="592"/>
      <c r="AC412" s="592"/>
      <c r="AD412" s="592"/>
      <c r="AE412" s="590"/>
      <c r="AF412" s="570" t="s">
        <v>2899</v>
      </c>
      <c r="AG412" s="570"/>
      <c r="AH412" s="571" t="s">
        <v>25</v>
      </c>
      <c r="AI412" s="558" t="s">
        <v>2198</v>
      </c>
      <c r="AJ412" s="586" t="s">
        <v>2771</v>
      </c>
    </row>
    <row r="413" spans="1:36" s="376" customFormat="1" ht="101.25" outlineLevel="2" x14ac:dyDescent="0.3">
      <c r="A413" s="447">
        <v>35</v>
      </c>
      <c r="B413" s="648" t="s">
        <v>665</v>
      </c>
      <c r="C413" s="648"/>
      <c r="D413" s="587">
        <v>86</v>
      </c>
      <c r="E413" s="560">
        <v>263</v>
      </c>
      <c r="F413" s="558" t="s">
        <v>2470</v>
      </c>
      <c r="G413" s="588">
        <v>2.1</v>
      </c>
      <c r="H413" s="546">
        <v>2.1</v>
      </c>
      <c r="I413" s="563">
        <v>554400</v>
      </c>
      <c r="J413" s="563">
        <v>1663200</v>
      </c>
      <c r="K413" s="564">
        <v>1164000</v>
      </c>
      <c r="L413" s="564">
        <v>3493000</v>
      </c>
      <c r="M413" s="598"/>
      <c r="N413" s="598"/>
      <c r="O413" s="599"/>
      <c r="P413" s="564"/>
      <c r="Q413" s="564"/>
      <c r="R413" s="582"/>
      <c r="S413" s="597"/>
      <c r="T413" s="591"/>
      <c r="U413" s="597"/>
      <c r="V413" s="564" t="s">
        <v>2899</v>
      </c>
      <c r="W413" s="564" t="s">
        <v>25</v>
      </c>
      <c r="X413" s="589"/>
      <c r="Y413" s="592"/>
      <c r="Z413" s="592"/>
      <c r="AA413" s="568"/>
      <c r="AB413" s="592"/>
      <c r="AC413" s="592"/>
      <c r="AD413" s="592"/>
      <c r="AE413" s="590"/>
      <c r="AF413" s="570" t="s">
        <v>2899</v>
      </c>
      <c r="AG413" s="570"/>
      <c r="AH413" s="571" t="s">
        <v>25</v>
      </c>
      <c r="AI413" s="558" t="s">
        <v>2802</v>
      </c>
      <c r="AJ413" s="605" t="s">
        <v>2448</v>
      </c>
    </row>
    <row r="414" spans="1:36" s="376" customFormat="1" ht="81" outlineLevel="2" x14ac:dyDescent="0.3">
      <c r="A414" s="447">
        <v>35</v>
      </c>
      <c r="B414" s="648" t="s">
        <v>305</v>
      </c>
      <c r="C414" s="648"/>
      <c r="D414" s="595"/>
      <c r="E414" s="577"/>
      <c r="F414" s="558" t="s">
        <v>2471</v>
      </c>
      <c r="G414" s="588">
        <v>39</v>
      </c>
      <c r="H414" s="546" t="s">
        <v>2899</v>
      </c>
      <c r="I414" s="563">
        <v>554400</v>
      </c>
      <c r="J414" s="563">
        <v>0</v>
      </c>
      <c r="K414" s="564">
        <v>21622000</v>
      </c>
      <c r="L414" s="564">
        <v>0</v>
      </c>
      <c r="M414" s="598"/>
      <c r="N414" s="598"/>
      <c r="O414" s="599"/>
      <c r="P414" s="564"/>
      <c r="Q414" s="564"/>
      <c r="R414" s="582"/>
      <c r="S414" s="597"/>
      <c r="T414" s="591"/>
      <c r="U414" s="597"/>
      <c r="V414" s="564" t="s">
        <v>2899</v>
      </c>
      <c r="W414" s="564" t="s">
        <v>25</v>
      </c>
      <c r="X414" s="589"/>
      <c r="Y414" s="592"/>
      <c r="Z414" s="592"/>
      <c r="AA414" s="568"/>
      <c r="AB414" s="592"/>
      <c r="AC414" s="592"/>
      <c r="AD414" s="592"/>
      <c r="AE414" s="590"/>
      <c r="AF414" s="570" t="s">
        <v>2899</v>
      </c>
      <c r="AG414" s="570"/>
      <c r="AH414" s="571" t="s">
        <v>25</v>
      </c>
      <c r="AI414" s="558" t="s">
        <v>2074</v>
      </c>
      <c r="AJ414" s="558"/>
    </row>
    <row r="415" spans="1:36" s="376" customFormat="1" ht="20.25" outlineLevel="2" x14ac:dyDescent="0.3">
      <c r="A415" s="447">
        <v>35</v>
      </c>
      <c r="B415" s="607"/>
      <c r="C415" s="607"/>
      <c r="D415" s="595"/>
      <c r="E415" s="577"/>
      <c r="F415" s="574"/>
      <c r="G415" s="588"/>
      <c r="H415" s="546"/>
      <c r="I415" s="563" t="s">
        <v>25</v>
      </c>
      <c r="J415" s="563" t="s">
        <v>25</v>
      </c>
      <c r="K415" s="564" t="s">
        <v>25</v>
      </c>
      <c r="L415" s="564" t="s">
        <v>25</v>
      </c>
      <c r="M415" s="598"/>
      <c r="N415" s="598"/>
      <c r="O415" s="599"/>
      <c r="P415" s="564"/>
      <c r="Q415" s="564"/>
      <c r="R415" s="582"/>
      <c r="S415" s="597"/>
      <c r="T415" s="591"/>
      <c r="U415" s="597"/>
      <c r="V415" s="564" t="s">
        <v>2899</v>
      </c>
      <c r="W415" s="564" t="s">
        <v>25</v>
      </c>
      <c r="X415" s="589"/>
      <c r="Y415" s="592"/>
      <c r="Z415" s="592"/>
      <c r="AA415" s="568"/>
      <c r="AB415" s="592"/>
      <c r="AC415" s="592"/>
      <c r="AD415" s="592"/>
      <c r="AE415" s="590"/>
      <c r="AF415" s="570" t="s">
        <v>2899</v>
      </c>
      <c r="AG415" s="570"/>
      <c r="AH415" s="571" t="s">
        <v>25</v>
      </c>
      <c r="AI415" s="593"/>
      <c r="AJ415" s="558"/>
    </row>
    <row r="416" spans="1:36" s="376" customFormat="1" ht="20.25" outlineLevel="2" x14ac:dyDescent="0.3">
      <c r="A416" s="447">
        <v>35</v>
      </c>
      <c r="B416" s="607"/>
      <c r="C416" s="607"/>
      <c r="D416" s="595"/>
      <c r="E416" s="577"/>
      <c r="F416" s="574"/>
      <c r="G416" s="588"/>
      <c r="H416" s="546"/>
      <c r="I416" s="563" t="s">
        <v>25</v>
      </c>
      <c r="J416" s="563" t="s">
        <v>25</v>
      </c>
      <c r="K416" s="564" t="s">
        <v>25</v>
      </c>
      <c r="L416" s="564" t="s">
        <v>25</v>
      </c>
      <c r="M416" s="598"/>
      <c r="N416" s="598"/>
      <c r="O416" s="599"/>
      <c r="P416" s="564"/>
      <c r="Q416" s="564"/>
      <c r="R416" s="582"/>
      <c r="S416" s="597"/>
      <c r="T416" s="591"/>
      <c r="U416" s="597"/>
      <c r="V416" s="564" t="s">
        <v>2899</v>
      </c>
      <c r="W416" s="564" t="s">
        <v>25</v>
      </c>
      <c r="X416" s="589"/>
      <c r="Y416" s="592"/>
      <c r="Z416" s="592"/>
      <c r="AA416" s="568"/>
      <c r="AB416" s="592"/>
      <c r="AC416" s="592"/>
      <c r="AD416" s="592"/>
      <c r="AE416" s="590"/>
      <c r="AF416" s="570" t="s">
        <v>2899</v>
      </c>
      <c r="AG416" s="570"/>
      <c r="AH416" s="571" t="s">
        <v>25</v>
      </c>
      <c r="AI416" s="593"/>
      <c r="AJ416" s="593"/>
    </row>
    <row r="417" spans="1:37" s="376" customFormat="1" ht="20.25" outlineLevel="2" x14ac:dyDescent="0.3">
      <c r="A417" s="447">
        <v>35</v>
      </c>
      <c r="B417" s="607"/>
      <c r="C417" s="607"/>
      <c r="D417" s="595"/>
      <c r="E417" s="577"/>
      <c r="F417" s="574"/>
      <c r="G417" s="588"/>
      <c r="H417" s="546"/>
      <c r="I417" s="563" t="s">
        <v>25</v>
      </c>
      <c r="J417" s="563" t="s">
        <v>25</v>
      </c>
      <c r="K417" s="564" t="s">
        <v>25</v>
      </c>
      <c r="L417" s="564" t="s">
        <v>25</v>
      </c>
      <c r="M417" s="598"/>
      <c r="N417" s="598"/>
      <c r="O417" s="599"/>
      <c r="P417" s="564"/>
      <c r="Q417" s="564"/>
      <c r="R417" s="582"/>
      <c r="S417" s="597"/>
      <c r="T417" s="591"/>
      <c r="U417" s="597"/>
      <c r="V417" s="564" t="s">
        <v>2899</v>
      </c>
      <c r="W417" s="564" t="s">
        <v>25</v>
      </c>
      <c r="X417" s="589"/>
      <c r="Y417" s="592"/>
      <c r="Z417" s="592"/>
      <c r="AA417" s="568"/>
      <c r="AB417" s="592"/>
      <c r="AC417" s="592"/>
      <c r="AD417" s="592"/>
      <c r="AE417" s="590"/>
      <c r="AF417" s="570" t="s">
        <v>2899</v>
      </c>
      <c r="AG417" s="570"/>
      <c r="AH417" s="571" t="s">
        <v>25</v>
      </c>
      <c r="AI417" s="593"/>
      <c r="AJ417" s="593"/>
    </row>
    <row r="418" spans="1:37" s="376" customFormat="1" ht="20.25" outlineLevel="2" x14ac:dyDescent="0.3">
      <c r="A418" s="447">
        <v>35</v>
      </c>
      <c r="B418" s="643"/>
      <c r="C418" s="643"/>
      <c r="D418" s="623"/>
      <c r="E418" s="623"/>
      <c r="F418" s="574"/>
      <c r="G418" s="588"/>
      <c r="H418" s="546"/>
      <c r="I418" s="563" t="s">
        <v>25</v>
      </c>
      <c r="J418" s="563" t="s">
        <v>25</v>
      </c>
      <c r="K418" s="564" t="s">
        <v>25</v>
      </c>
      <c r="L418" s="564" t="s">
        <v>25</v>
      </c>
      <c r="M418" s="598"/>
      <c r="N418" s="598"/>
      <c r="O418" s="599"/>
      <c r="P418" s="564"/>
      <c r="Q418" s="564"/>
      <c r="R418" s="582"/>
      <c r="S418" s="597"/>
      <c r="T418" s="591"/>
      <c r="U418" s="597"/>
      <c r="V418" s="564" t="s">
        <v>2899</v>
      </c>
      <c r="W418" s="564" t="s">
        <v>25</v>
      </c>
      <c r="X418" s="589"/>
      <c r="Y418" s="592"/>
      <c r="Z418" s="592"/>
      <c r="AA418" s="568"/>
      <c r="AB418" s="592"/>
      <c r="AC418" s="592"/>
      <c r="AD418" s="592"/>
      <c r="AE418" s="590"/>
      <c r="AF418" s="570" t="s">
        <v>2899</v>
      </c>
      <c r="AG418" s="570"/>
      <c r="AH418" s="571" t="s">
        <v>25</v>
      </c>
      <c r="AI418" s="593"/>
      <c r="AJ418" s="593"/>
    </row>
    <row r="419" spans="1:37" s="376" customFormat="1" ht="40.5" outlineLevel="1" x14ac:dyDescent="0.3">
      <c r="A419" s="467">
        <v>36</v>
      </c>
      <c r="B419" s="643" t="s">
        <v>2171</v>
      </c>
      <c r="C419" s="773" t="s">
        <v>2902</v>
      </c>
      <c r="D419" s="627"/>
      <c r="E419" s="627"/>
      <c r="F419" s="624"/>
      <c r="G419" s="625">
        <v>0</v>
      </c>
      <c r="H419" s="579">
        <v>0</v>
      </c>
      <c r="I419" s="581"/>
      <c r="J419" s="581"/>
      <c r="K419" s="571">
        <v>0</v>
      </c>
      <c r="L419" s="571">
        <v>0</v>
      </c>
      <c r="M419" s="644"/>
      <c r="N419" s="644"/>
      <c r="O419" s="599">
        <v>6</v>
      </c>
      <c r="P419" s="571"/>
      <c r="Q419" s="571">
        <v>12893000</v>
      </c>
      <c r="R419" s="644"/>
      <c r="S419" s="655"/>
      <c r="T419" s="600">
        <v>88.850000000000009</v>
      </c>
      <c r="U419" s="597"/>
      <c r="V419" s="571"/>
      <c r="W419" s="571">
        <v>254355000</v>
      </c>
      <c r="X419" s="589"/>
      <c r="Y419" s="592"/>
      <c r="Z419" s="592"/>
      <c r="AA419" s="568"/>
      <c r="AB419" s="592"/>
      <c r="AC419" s="568"/>
      <c r="AD419" s="584"/>
      <c r="AE419" s="581">
        <f>SUBTOTAL(9,AE420:AE427)</f>
        <v>0</v>
      </c>
      <c r="AF419" s="585"/>
      <c r="AG419" s="585">
        <v>0</v>
      </c>
      <c r="AH419" s="571">
        <v>267248000</v>
      </c>
      <c r="AI419" s="608"/>
      <c r="AJ419" s="574"/>
    </row>
    <row r="420" spans="1:37" s="376" customFormat="1" ht="121.5" outlineLevel="2" x14ac:dyDescent="0.3">
      <c r="A420" s="447">
        <v>36</v>
      </c>
      <c r="B420" s="648" t="s">
        <v>181</v>
      </c>
      <c r="C420" s="648"/>
      <c r="D420" s="627"/>
      <c r="E420" s="627"/>
      <c r="F420" s="575"/>
      <c r="G420" s="561"/>
      <c r="H420" s="546"/>
      <c r="I420" s="563" t="s">
        <v>25</v>
      </c>
      <c r="J420" s="563" t="s">
        <v>25</v>
      </c>
      <c r="K420" s="564" t="s">
        <v>25</v>
      </c>
      <c r="L420" s="564" t="s">
        <v>25</v>
      </c>
      <c r="M420" s="646" t="s">
        <v>145</v>
      </c>
      <c r="N420" s="646"/>
      <c r="O420" s="590">
        <v>2</v>
      </c>
      <c r="P420" s="564">
        <v>4240000</v>
      </c>
      <c r="Q420" s="564">
        <v>8480000</v>
      </c>
      <c r="R420" s="646" t="s">
        <v>1754</v>
      </c>
      <c r="S420" s="649" t="s">
        <v>53</v>
      </c>
      <c r="T420" s="591">
        <v>42.7</v>
      </c>
      <c r="U420" s="589"/>
      <c r="V420" s="564">
        <v>4717925</v>
      </c>
      <c r="W420" s="564">
        <v>201455000</v>
      </c>
      <c r="X420" s="589" t="s">
        <v>63</v>
      </c>
      <c r="Y420" s="592" t="s">
        <v>55</v>
      </c>
      <c r="Z420" s="592" t="s">
        <v>56</v>
      </c>
      <c r="AA420" s="568" t="s">
        <v>57</v>
      </c>
      <c r="AB420" s="592" t="s">
        <v>63</v>
      </c>
      <c r="AC420" s="568" t="s">
        <v>430</v>
      </c>
      <c r="AD420" s="568"/>
      <c r="AE420" s="563"/>
      <c r="AF420" s="570" t="s">
        <v>2899</v>
      </c>
      <c r="AG420" s="570" t="s">
        <v>25</v>
      </c>
      <c r="AH420" s="571" t="s">
        <v>25</v>
      </c>
      <c r="AI420" s="593" t="s">
        <v>182</v>
      </c>
      <c r="AJ420" s="558" t="s">
        <v>2450</v>
      </c>
    </row>
    <row r="421" spans="1:37" s="376" customFormat="1" ht="101.25" outlineLevel="2" x14ac:dyDescent="0.3">
      <c r="A421" s="447">
        <v>36</v>
      </c>
      <c r="B421" s="648" t="s">
        <v>667</v>
      </c>
      <c r="C421" s="648"/>
      <c r="D421" s="627"/>
      <c r="E421" s="627"/>
      <c r="F421" s="575"/>
      <c r="G421" s="561"/>
      <c r="H421" s="546"/>
      <c r="I421" s="563" t="s">
        <v>25</v>
      </c>
      <c r="J421" s="563" t="s">
        <v>25</v>
      </c>
      <c r="K421" s="564" t="s">
        <v>25</v>
      </c>
      <c r="L421" s="564" t="s">
        <v>25</v>
      </c>
      <c r="M421" s="646" t="s">
        <v>183</v>
      </c>
      <c r="N421" s="646"/>
      <c r="O421" s="590">
        <v>1</v>
      </c>
      <c r="P421" s="564">
        <v>2236000</v>
      </c>
      <c r="Q421" s="564">
        <v>2236000</v>
      </c>
      <c r="R421" s="586" t="s">
        <v>1859</v>
      </c>
      <c r="S421" s="647" t="s">
        <v>53</v>
      </c>
      <c r="T421" s="591">
        <v>18.350000000000001</v>
      </c>
      <c r="U421" s="589"/>
      <c r="V421" s="564">
        <v>2524871</v>
      </c>
      <c r="W421" s="564">
        <v>46331000</v>
      </c>
      <c r="X421" s="589"/>
      <c r="Y421" s="592"/>
      <c r="Z421" s="592"/>
      <c r="AA421" s="568"/>
      <c r="AB421" s="592"/>
      <c r="AC421" s="592"/>
      <c r="AD421" s="592"/>
      <c r="AE421" s="590"/>
      <c r="AF421" s="570" t="s">
        <v>2899</v>
      </c>
      <c r="AG421" s="570" t="s">
        <v>25</v>
      </c>
      <c r="AH421" s="571" t="s">
        <v>25</v>
      </c>
      <c r="AI421" s="593"/>
      <c r="AJ421" s="558" t="s">
        <v>2449</v>
      </c>
    </row>
    <row r="422" spans="1:37" s="376" customFormat="1" ht="60.75" outlineLevel="2" x14ac:dyDescent="0.3">
      <c r="A422" s="447">
        <v>36</v>
      </c>
      <c r="B422" s="558"/>
      <c r="C422" s="558"/>
      <c r="D422" s="587"/>
      <c r="E422" s="560"/>
      <c r="F422" s="575"/>
      <c r="G422" s="561"/>
      <c r="H422" s="546"/>
      <c r="I422" s="563" t="s">
        <v>25</v>
      </c>
      <c r="J422" s="563" t="s">
        <v>25</v>
      </c>
      <c r="K422" s="564" t="s">
        <v>25</v>
      </c>
      <c r="L422" s="564" t="s">
        <v>25</v>
      </c>
      <c r="M422" s="646" t="s">
        <v>184</v>
      </c>
      <c r="N422" s="646"/>
      <c r="O422" s="590">
        <v>1</v>
      </c>
      <c r="P422" s="564">
        <v>1632000</v>
      </c>
      <c r="Q422" s="564">
        <v>1632000</v>
      </c>
      <c r="R422" s="646" t="s">
        <v>1860</v>
      </c>
      <c r="S422" s="647" t="s">
        <v>53</v>
      </c>
      <c r="T422" s="591">
        <v>27.8</v>
      </c>
      <c r="U422" s="589"/>
      <c r="V422" s="564">
        <v>236298</v>
      </c>
      <c r="W422" s="564">
        <v>6569000</v>
      </c>
      <c r="X422" s="589"/>
      <c r="Y422" s="592"/>
      <c r="Z422" s="592"/>
      <c r="AA422" s="568"/>
      <c r="AB422" s="592"/>
      <c r="AC422" s="592"/>
      <c r="AD422" s="592"/>
      <c r="AE422" s="590"/>
      <c r="AF422" s="570" t="s">
        <v>2899</v>
      </c>
      <c r="AG422" s="570" t="s">
        <v>25</v>
      </c>
      <c r="AH422" s="571" t="s">
        <v>25</v>
      </c>
      <c r="AI422" s="593"/>
      <c r="AJ422" s="593"/>
    </row>
    <row r="423" spans="1:37" s="376" customFormat="1" ht="20.25" outlineLevel="2" x14ac:dyDescent="0.3">
      <c r="A423" s="447">
        <v>36</v>
      </c>
      <c r="B423" s="635"/>
      <c r="C423" s="635"/>
      <c r="D423" s="587"/>
      <c r="E423" s="560"/>
      <c r="F423" s="558"/>
      <c r="G423" s="588"/>
      <c r="H423" s="546"/>
      <c r="I423" s="563" t="s">
        <v>25</v>
      </c>
      <c r="J423" s="563" t="s">
        <v>25</v>
      </c>
      <c r="K423" s="564" t="s">
        <v>25</v>
      </c>
      <c r="L423" s="564" t="s">
        <v>25</v>
      </c>
      <c r="M423" s="558" t="s">
        <v>185</v>
      </c>
      <c r="N423" s="558"/>
      <c r="O423" s="590">
        <v>1</v>
      </c>
      <c r="P423" s="564">
        <v>473000</v>
      </c>
      <c r="Q423" s="564">
        <v>473000</v>
      </c>
      <c r="R423" s="566"/>
      <c r="S423" s="589"/>
      <c r="T423" s="591"/>
      <c r="U423" s="589"/>
      <c r="V423" s="564" t="s">
        <v>2899</v>
      </c>
      <c r="W423" s="564" t="s">
        <v>25</v>
      </c>
      <c r="X423" s="589"/>
      <c r="Y423" s="592"/>
      <c r="Z423" s="592"/>
      <c r="AA423" s="568"/>
      <c r="AB423" s="592"/>
      <c r="AC423" s="592"/>
      <c r="AD423" s="592"/>
      <c r="AE423" s="590"/>
      <c r="AF423" s="570" t="s">
        <v>2899</v>
      </c>
      <c r="AG423" s="570" t="s">
        <v>25</v>
      </c>
      <c r="AH423" s="571" t="s">
        <v>25</v>
      </c>
      <c r="AI423" s="593"/>
      <c r="AJ423" s="558"/>
    </row>
    <row r="424" spans="1:37" s="376" customFormat="1" ht="40.5" outlineLevel="2" x14ac:dyDescent="0.3">
      <c r="A424" s="447">
        <v>36</v>
      </c>
      <c r="B424" s="558"/>
      <c r="C424" s="558"/>
      <c r="D424" s="587"/>
      <c r="E424" s="560"/>
      <c r="F424" s="558"/>
      <c r="G424" s="588"/>
      <c r="H424" s="546"/>
      <c r="I424" s="563" t="s">
        <v>25</v>
      </c>
      <c r="J424" s="563" t="s">
        <v>25</v>
      </c>
      <c r="K424" s="564" t="s">
        <v>25</v>
      </c>
      <c r="L424" s="564" t="s">
        <v>25</v>
      </c>
      <c r="M424" s="558" t="s">
        <v>745</v>
      </c>
      <c r="N424" s="558"/>
      <c r="O424" s="590">
        <v>1</v>
      </c>
      <c r="P424" s="564">
        <v>72000</v>
      </c>
      <c r="Q424" s="564">
        <v>72000</v>
      </c>
      <c r="R424" s="566"/>
      <c r="S424" s="589"/>
      <c r="T424" s="591"/>
      <c r="U424" s="589"/>
      <c r="V424" s="564" t="s">
        <v>2899</v>
      </c>
      <c r="W424" s="564" t="s">
        <v>25</v>
      </c>
      <c r="X424" s="589"/>
      <c r="Y424" s="592"/>
      <c r="Z424" s="592"/>
      <c r="AA424" s="568"/>
      <c r="AB424" s="592"/>
      <c r="AC424" s="592"/>
      <c r="AD424" s="592"/>
      <c r="AE424" s="590"/>
      <c r="AF424" s="570" t="s">
        <v>2899</v>
      </c>
      <c r="AG424" s="570" t="s">
        <v>25</v>
      </c>
      <c r="AH424" s="571" t="s">
        <v>25</v>
      </c>
      <c r="AI424" s="593"/>
      <c r="AJ424" s="593"/>
    </row>
    <row r="425" spans="1:37" s="376" customFormat="1" ht="20.25" outlineLevel="2" x14ac:dyDescent="0.3">
      <c r="A425" s="447">
        <v>36</v>
      </c>
      <c r="B425" s="558"/>
      <c r="C425" s="558"/>
      <c r="D425" s="595"/>
      <c r="E425" s="577"/>
      <c r="F425" s="558"/>
      <c r="G425" s="588"/>
      <c r="H425" s="546"/>
      <c r="I425" s="563" t="s">
        <v>25</v>
      </c>
      <c r="J425" s="563" t="s">
        <v>25</v>
      </c>
      <c r="K425" s="564" t="s">
        <v>25</v>
      </c>
      <c r="L425" s="564" t="s">
        <v>25</v>
      </c>
      <c r="M425" s="558"/>
      <c r="N425" s="558"/>
      <c r="O425" s="590"/>
      <c r="P425" s="564" t="s">
        <v>25</v>
      </c>
      <c r="Q425" s="564" t="s">
        <v>25</v>
      </c>
      <c r="R425" s="566"/>
      <c r="S425" s="589"/>
      <c r="T425" s="591"/>
      <c r="U425" s="589"/>
      <c r="V425" s="564" t="s">
        <v>2899</v>
      </c>
      <c r="W425" s="564" t="s">
        <v>25</v>
      </c>
      <c r="X425" s="589"/>
      <c r="Y425" s="592"/>
      <c r="Z425" s="592"/>
      <c r="AA425" s="568"/>
      <c r="AB425" s="592"/>
      <c r="AC425" s="592"/>
      <c r="AD425" s="592"/>
      <c r="AE425" s="590"/>
      <c r="AF425" s="570" t="s">
        <v>2899</v>
      </c>
      <c r="AG425" s="570" t="s">
        <v>25</v>
      </c>
      <c r="AH425" s="571" t="s">
        <v>25</v>
      </c>
      <c r="AI425" s="593"/>
      <c r="AJ425" s="593"/>
    </row>
    <row r="426" spans="1:37" s="376" customFormat="1" ht="20.25" outlineLevel="2" x14ac:dyDescent="0.3">
      <c r="A426" s="447">
        <v>36</v>
      </c>
      <c r="B426" s="607"/>
      <c r="C426" s="607"/>
      <c r="D426" s="587"/>
      <c r="E426" s="615"/>
      <c r="F426" s="574"/>
      <c r="G426" s="588"/>
      <c r="H426" s="546"/>
      <c r="I426" s="563" t="s">
        <v>25</v>
      </c>
      <c r="J426" s="563" t="s">
        <v>25</v>
      </c>
      <c r="K426" s="564" t="s">
        <v>25</v>
      </c>
      <c r="L426" s="564" t="s">
        <v>25</v>
      </c>
      <c r="M426" s="598"/>
      <c r="N426" s="598"/>
      <c r="O426" s="599"/>
      <c r="P426" s="564" t="s">
        <v>25</v>
      </c>
      <c r="Q426" s="564" t="s">
        <v>25</v>
      </c>
      <c r="R426" s="582"/>
      <c r="S426" s="597"/>
      <c r="T426" s="591"/>
      <c r="U426" s="597"/>
      <c r="V426" s="564" t="s">
        <v>2899</v>
      </c>
      <c r="W426" s="564" t="s">
        <v>25</v>
      </c>
      <c r="X426" s="589"/>
      <c r="Y426" s="592"/>
      <c r="Z426" s="592"/>
      <c r="AA426" s="568"/>
      <c r="AB426" s="592"/>
      <c r="AC426" s="592"/>
      <c r="AD426" s="592"/>
      <c r="AE426" s="590"/>
      <c r="AF426" s="570" t="s">
        <v>2899</v>
      </c>
      <c r="AG426" s="570" t="s">
        <v>25</v>
      </c>
      <c r="AH426" s="571" t="s">
        <v>25</v>
      </c>
      <c r="AI426" s="593"/>
      <c r="AJ426" s="593"/>
    </row>
    <row r="427" spans="1:37" s="376" customFormat="1" ht="20.25" outlineLevel="2" x14ac:dyDescent="0.3">
      <c r="A427" s="447">
        <v>36</v>
      </c>
      <c r="B427" s="607"/>
      <c r="C427" s="607"/>
      <c r="D427" s="595"/>
      <c r="E427" s="577"/>
      <c r="F427" s="558"/>
      <c r="G427" s="604"/>
      <c r="H427" s="546"/>
      <c r="I427" s="563" t="s">
        <v>25</v>
      </c>
      <c r="J427" s="563" t="s">
        <v>25</v>
      </c>
      <c r="K427" s="564" t="s">
        <v>25</v>
      </c>
      <c r="L427" s="564" t="s">
        <v>25</v>
      </c>
      <c r="M427" s="593"/>
      <c r="N427" s="593"/>
      <c r="O427" s="616"/>
      <c r="P427" s="564" t="s">
        <v>25</v>
      </c>
      <c r="Q427" s="564" t="s">
        <v>25</v>
      </c>
      <c r="R427" s="593"/>
      <c r="S427" s="593"/>
      <c r="T427" s="617"/>
      <c r="U427" s="589"/>
      <c r="V427" s="564" t="s">
        <v>2899</v>
      </c>
      <c r="W427" s="564" t="s">
        <v>25</v>
      </c>
      <c r="X427" s="589"/>
      <c r="Y427" s="589"/>
      <c r="Z427" s="589"/>
      <c r="AA427" s="562"/>
      <c r="AB427" s="589"/>
      <c r="AC427" s="589"/>
      <c r="AD427" s="589"/>
      <c r="AE427" s="629"/>
      <c r="AF427" s="570" t="s">
        <v>2899</v>
      </c>
      <c r="AG427" s="570" t="s">
        <v>25</v>
      </c>
      <c r="AH427" s="571" t="s">
        <v>25</v>
      </c>
      <c r="AI427" s="593"/>
      <c r="AJ427" s="593"/>
    </row>
    <row r="428" spans="1:37" s="376" customFormat="1" ht="40.5" outlineLevel="1" x14ac:dyDescent="0.25">
      <c r="A428" s="467">
        <v>37</v>
      </c>
      <c r="B428" s="607" t="s">
        <v>2172</v>
      </c>
      <c r="C428" s="773" t="s">
        <v>2902</v>
      </c>
      <c r="D428" s="587">
        <v>86</v>
      </c>
      <c r="E428" s="560">
        <v>259</v>
      </c>
      <c r="F428" s="574"/>
      <c r="G428" s="618">
        <v>195.40000000000003</v>
      </c>
      <c r="H428" s="579">
        <v>0</v>
      </c>
      <c r="I428" s="581"/>
      <c r="J428" s="581"/>
      <c r="K428" s="571">
        <v>524449000</v>
      </c>
      <c r="L428" s="571">
        <v>0</v>
      </c>
      <c r="M428" s="608"/>
      <c r="N428" s="608"/>
      <c r="O428" s="619">
        <v>0</v>
      </c>
      <c r="P428" s="571"/>
      <c r="Q428" s="571">
        <v>0</v>
      </c>
      <c r="R428" s="608"/>
      <c r="S428" s="608"/>
      <c r="T428" s="620">
        <v>0</v>
      </c>
      <c r="U428" s="597"/>
      <c r="V428" s="571"/>
      <c r="W428" s="571">
        <v>0</v>
      </c>
      <c r="X428" s="589"/>
      <c r="Y428" s="589"/>
      <c r="Z428" s="589"/>
      <c r="AA428" s="562"/>
      <c r="AB428" s="589"/>
      <c r="AC428" s="589"/>
      <c r="AD428" s="602"/>
      <c r="AE428" s="581">
        <f>SUBTOTAL(9,AE429:AE434)</f>
        <v>0</v>
      </c>
      <c r="AF428" s="585"/>
      <c r="AG428" s="585">
        <v>0</v>
      </c>
      <c r="AH428" s="571">
        <v>524449000</v>
      </c>
      <c r="AI428" s="574"/>
      <c r="AJ428" s="578"/>
    </row>
    <row r="429" spans="1:37" s="376" customFormat="1" ht="202.5" outlineLevel="2" x14ac:dyDescent="0.3">
      <c r="A429" s="447">
        <v>37</v>
      </c>
      <c r="B429" s="572" t="s">
        <v>2798</v>
      </c>
      <c r="C429" s="572"/>
      <c r="D429" s="587">
        <v>86</v>
      </c>
      <c r="E429" s="560">
        <v>259</v>
      </c>
      <c r="F429" s="558" t="s">
        <v>2037</v>
      </c>
      <c r="G429" s="588">
        <v>79.900000000000006</v>
      </c>
      <c r="H429" s="546" t="s">
        <v>2899</v>
      </c>
      <c r="I429" s="563">
        <v>5762400</v>
      </c>
      <c r="J429" s="563">
        <v>0</v>
      </c>
      <c r="K429" s="564">
        <v>460416000</v>
      </c>
      <c r="L429" s="564">
        <v>0</v>
      </c>
      <c r="M429" s="593"/>
      <c r="N429" s="593"/>
      <c r="O429" s="616"/>
      <c r="P429" s="564"/>
      <c r="Q429" s="564"/>
      <c r="R429" s="593"/>
      <c r="S429" s="593"/>
      <c r="T429" s="617"/>
      <c r="U429" s="589"/>
      <c r="V429" s="564" t="s">
        <v>2899</v>
      </c>
      <c r="W429" s="564" t="s">
        <v>25</v>
      </c>
      <c r="X429" s="589"/>
      <c r="Y429" s="589"/>
      <c r="Z429" s="589"/>
      <c r="AA429" s="562"/>
      <c r="AB429" s="589"/>
      <c r="AC429" s="589"/>
      <c r="AD429" s="569"/>
      <c r="AE429" s="563"/>
      <c r="AF429" s="570"/>
      <c r="AG429" s="570"/>
      <c r="AH429" s="571" t="s">
        <v>25</v>
      </c>
      <c r="AI429" s="558" t="s">
        <v>2199</v>
      </c>
      <c r="AJ429" s="586" t="s">
        <v>2771</v>
      </c>
      <c r="AK429" s="376" t="s">
        <v>2202</v>
      </c>
    </row>
    <row r="430" spans="1:37" s="376" customFormat="1" ht="101.25" outlineLevel="2" x14ac:dyDescent="0.3">
      <c r="A430" s="447">
        <v>37</v>
      </c>
      <c r="B430" s="572" t="s">
        <v>2799</v>
      </c>
      <c r="C430" s="572"/>
      <c r="D430" s="587"/>
      <c r="E430" s="560"/>
      <c r="F430" s="558" t="s">
        <v>2472</v>
      </c>
      <c r="G430" s="588">
        <v>92.800000000000011</v>
      </c>
      <c r="H430" s="546" t="s">
        <v>2899</v>
      </c>
      <c r="I430" s="563">
        <v>554400</v>
      </c>
      <c r="J430" s="563">
        <v>0</v>
      </c>
      <c r="K430" s="564">
        <v>51448000</v>
      </c>
      <c r="L430" s="564">
        <v>0</v>
      </c>
      <c r="M430" s="593"/>
      <c r="N430" s="593"/>
      <c r="O430" s="616"/>
      <c r="P430" s="564"/>
      <c r="Q430" s="564"/>
      <c r="R430" s="593"/>
      <c r="S430" s="593"/>
      <c r="T430" s="617"/>
      <c r="U430" s="589"/>
      <c r="V430" s="564" t="s">
        <v>2899</v>
      </c>
      <c r="W430" s="564" t="s">
        <v>25</v>
      </c>
      <c r="X430" s="589"/>
      <c r="Y430" s="589"/>
      <c r="Z430" s="589"/>
      <c r="AA430" s="562"/>
      <c r="AB430" s="589"/>
      <c r="AC430" s="589"/>
      <c r="AD430" s="569"/>
      <c r="AE430" s="590"/>
      <c r="AF430" s="570" t="s">
        <v>2899</v>
      </c>
      <c r="AG430" s="570" t="s">
        <v>25</v>
      </c>
      <c r="AH430" s="571" t="s">
        <v>25</v>
      </c>
      <c r="AI430" s="558" t="s">
        <v>502</v>
      </c>
      <c r="AJ430" s="605" t="s">
        <v>2451</v>
      </c>
    </row>
    <row r="431" spans="1:37" s="376" customFormat="1" ht="81" outlineLevel="2" x14ac:dyDescent="0.3">
      <c r="A431" s="447">
        <v>37</v>
      </c>
      <c r="B431" s="607"/>
      <c r="C431" s="607"/>
      <c r="D431" s="587"/>
      <c r="E431" s="560"/>
      <c r="F431" s="558" t="s">
        <v>2473</v>
      </c>
      <c r="G431" s="588">
        <v>3.8</v>
      </c>
      <c r="H431" s="546" t="s">
        <v>2899</v>
      </c>
      <c r="I431" s="563">
        <v>554400</v>
      </c>
      <c r="J431" s="563">
        <v>0</v>
      </c>
      <c r="K431" s="564">
        <v>2107000</v>
      </c>
      <c r="L431" s="564">
        <v>0</v>
      </c>
      <c r="M431" s="593"/>
      <c r="N431" s="593"/>
      <c r="O431" s="616"/>
      <c r="P431" s="564"/>
      <c r="Q431" s="564"/>
      <c r="R431" s="593"/>
      <c r="S431" s="593"/>
      <c r="T431" s="617"/>
      <c r="U431" s="589"/>
      <c r="V431" s="564" t="s">
        <v>2899</v>
      </c>
      <c r="W431" s="564" t="s">
        <v>25</v>
      </c>
      <c r="X431" s="589"/>
      <c r="Y431" s="589"/>
      <c r="Z431" s="589"/>
      <c r="AA431" s="562"/>
      <c r="AB431" s="589"/>
      <c r="AC431" s="589"/>
      <c r="AD431" s="606"/>
      <c r="AE431" s="590"/>
      <c r="AF431" s="570" t="s">
        <v>2899</v>
      </c>
      <c r="AG431" s="570"/>
      <c r="AH431" s="571" t="s">
        <v>25</v>
      </c>
      <c r="AI431" s="558" t="s">
        <v>2453</v>
      </c>
      <c r="AJ431" s="558"/>
    </row>
    <row r="432" spans="1:37" s="376" customFormat="1" ht="81" outlineLevel="2" x14ac:dyDescent="0.3">
      <c r="A432" s="447">
        <v>37</v>
      </c>
      <c r="B432" s="607"/>
      <c r="C432" s="607"/>
      <c r="D432" s="587"/>
      <c r="E432" s="615"/>
      <c r="F432" s="558" t="s">
        <v>2471</v>
      </c>
      <c r="G432" s="588">
        <v>18.899999999999999</v>
      </c>
      <c r="H432" s="546" t="s">
        <v>2899</v>
      </c>
      <c r="I432" s="563">
        <v>554400</v>
      </c>
      <c r="J432" s="563">
        <v>0</v>
      </c>
      <c r="K432" s="564">
        <v>10478000</v>
      </c>
      <c r="L432" s="564">
        <v>0</v>
      </c>
      <c r="M432" s="593"/>
      <c r="N432" s="593"/>
      <c r="O432" s="616"/>
      <c r="P432" s="564"/>
      <c r="Q432" s="564"/>
      <c r="R432" s="593"/>
      <c r="S432" s="593"/>
      <c r="T432" s="617"/>
      <c r="U432" s="589"/>
      <c r="V432" s="564" t="s">
        <v>2899</v>
      </c>
      <c r="W432" s="564" t="s">
        <v>25</v>
      </c>
      <c r="X432" s="589"/>
      <c r="Y432" s="589"/>
      <c r="Z432" s="589"/>
      <c r="AA432" s="562"/>
      <c r="AB432" s="589"/>
      <c r="AC432" s="589"/>
      <c r="AD432" s="589"/>
      <c r="AE432" s="629"/>
      <c r="AF432" s="570" t="s">
        <v>2899</v>
      </c>
      <c r="AG432" s="570"/>
      <c r="AH432" s="571" t="s">
        <v>25</v>
      </c>
      <c r="AI432" s="593"/>
      <c r="AJ432" s="593"/>
    </row>
    <row r="433" spans="1:37" s="376" customFormat="1" ht="20.25" outlineLevel="2" x14ac:dyDescent="0.3">
      <c r="A433" s="447">
        <v>37</v>
      </c>
      <c r="B433" s="607"/>
      <c r="C433" s="607"/>
      <c r="D433" s="587"/>
      <c r="E433" s="615"/>
      <c r="F433" s="558"/>
      <c r="G433" s="604"/>
      <c r="H433" s="546"/>
      <c r="I433" s="563" t="s">
        <v>25</v>
      </c>
      <c r="J433" s="563" t="s">
        <v>25</v>
      </c>
      <c r="K433" s="564" t="s">
        <v>25</v>
      </c>
      <c r="L433" s="564" t="s">
        <v>25</v>
      </c>
      <c r="M433" s="593"/>
      <c r="N433" s="593"/>
      <c r="O433" s="616"/>
      <c r="P433" s="564"/>
      <c r="Q433" s="564"/>
      <c r="R433" s="593"/>
      <c r="S433" s="593"/>
      <c r="T433" s="617"/>
      <c r="U433" s="589"/>
      <c r="V433" s="564" t="s">
        <v>2899</v>
      </c>
      <c r="W433" s="564" t="s">
        <v>25</v>
      </c>
      <c r="X433" s="589"/>
      <c r="Y433" s="589"/>
      <c r="Z433" s="589"/>
      <c r="AA433" s="562"/>
      <c r="AB433" s="589"/>
      <c r="AC433" s="589"/>
      <c r="AD433" s="589"/>
      <c r="AE433" s="629"/>
      <c r="AF433" s="570" t="s">
        <v>2899</v>
      </c>
      <c r="AG433" s="570"/>
      <c r="AH433" s="571" t="s">
        <v>25</v>
      </c>
      <c r="AI433" s="593"/>
      <c r="AJ433" s="593"/>
    </row>
    <row r="434" spans="1:37" s="376" customFormat="1" ht="20.25" outlineLevel="2" x14ac:dyDescent="0.3">
      <c r="A434" s="447">
        <v>37</v>
      </c>
      <c r="B434" s="607"/>
      <c r="C434" s="607"/>
      <c r="D434" s="595"/>
      <c r="E434" s="577"/>
      <c r="F434" s="558"/>
      <c r="G434" s="604"/>
      <c r="H434" s="546"/>
      <c r="I434" s="563" t="s">
        <v>25</v>
      </c>
      <c r="J434" s="563" t="s">
        <v>25</v>
      </c>
      <c r="K434" s="564" t="s">
        <v>25</v>
      </c>
      <c r="L434" s="564" t="s">
        <v>25</v>
      </c>
      <c r="M434" s="593"/>
      <c r="N434" s="593"/>
      <c r="O434" s="616"/>
      <c r="P434" s="564"/>
      <c r="Q434" s="564"/>
      <c r="R434" s="593"/>
      <c r="S434" s="593"/>
      <c r="T434" s="617"/>
      <c r="U434" s="589"/>
      <c r="V434" s="564" t="s">
        <v>2899</v>
      </c>
      <c r="W434" s="564" t="s">
        <v>25</v>
      </c>
      <c r="X434" s="589"/>
      <c r="Y434" s="589"/>
      <c r="Z434" s="589"/>
      <c r="AA434" s="562"/>
      <c r="AB434" s="589"/>
      <c r="AC434" s="589"/>
      <c r="AD434" s="589"/>
      <c r="AE434" s="629"/>
      <c r="AF434" s="570" t="s">
        <v>2899</v>
      </c>
      <c r="AG434" s="570"/>
      <c r="AH434" s="571" t="s">
        <v>25</v>
      </c>
      <c r="AI434" s="593"/>
      <c r="AJ434" s="593"/>
    </row>
    <row r="435" spans="1:37" s="376" customFormat="1" ht="40.5" outlineLevel="1" x14ac:dyDescent="0.25">
      <c r="A435" s="467">
        <v>38</v>
      </c>
      <c r="B435" s="607" t="s">
        <v>2172</v>
      </c>
      <c r="C435" s="773" t="s">
        <v>2902</v>
      </c>
      <c r="D435" s="587">
        <v>86</v>
      </c>
      <c r="E435" s="560">
        <v>259</v>
      </c>
      <c r="F435" s="574"/>
      <c r="G435" s="618">
        <v>195.8</v>
      </c>
      <c r="H435" s="579">
        <v>0</v>
      </c>
      <c r="I435" s="581"/>
      <c r="J435" s="581"/>
      <c r="K435" s="571">
        <v>525191000</v>
      </c>
      <c r="L435" s="571">
        <v>0</v>
      </c>
      <c r="M435" s="608"/>
      <c r="N435" s="608"/>
      <c r="O435" s="619">
        <v>0</v>
      </c>
      <c r="P435" s="571"/>
      <c r="Q435" s="571">
        <v>0</v>
      </c>
      <c r="R435" s="608"/>
      <c r="S435" s="608"/>
      <c r="T435" s="620">
        <v>0</v>
      </c>
      <c r="U435" s="597"/>
      <c r="V435" s="571"/>
      <c r="W435" s="571">
        <v>0</v>
      </c>
      <c r="X435" s="589"/>
      <c r="Y435" s="589"/>
      <c r="Z435" s="589"/>
      <c r="AA435" s="562"/>
      <c r="AB435" s="589"/>
      <c r="AC435" s="589"/>
      <c r="AD435" s="597"/>
      <c r="AE435" s="656">
        <f>SUBTOTAL(9,AE436:AE441)</f>
        <v>0</v>
      </c>
      <c r="AF435" s="585"/>
      <c r="AG435" s="585">
        <v>0</v>
      </c>
      <c r="AH435" s="571">
        <v>525191000</v>
      </c>
      <c r="AI435" s="574"/>
      <c r="AJ435" s="578"/>
    </row>
    <row r="436" spans="1:37" s="376" customFormat="1" ht="202.5" outlineLevel="2" x14ac:dyDescent="0.3">
      <c r="A436" s="447">
        <v>38</v>
      </c>
      <c r="B436" s="572" t="s">
        <v>2798</v>
      </c>
      <c r="C436" s="572"/>
      <c r="D436" s="587">
        <v>86</v>
      </c>
      <c r="E436" s="560">
        <v>259</v>
      </c>
      <c r="F436" s="558" t="s">
        <v>2037</v>
      </c>
      <c r="G436" s="588">
        <v>80</v>
      </c>
      <c r="H436" s="546" t="s">
        <v>2899</v>
      </c>
      <c r="I436" s="563">
        <v>5762400</v>
      </c>
      <c r="J436" s="563">
        <v>0</v>
      </c>
      <c r="K436" s="564">
        <v>460992000</v>
      </c>
      <c r="L436" s="564">
        <v>0</v>
      </c>
      <c r="M436" s="593"/>
      <c r="N436" s="593"/>
      <c r="O436" s="616"/>
      <c r="P436" s="564"/>
      <c r="Q436" s="564"/>
      <c r="R436" s="593"/>
      <c r="S436" s="593"/>
      <c r="T436" s="617"/>
      <c r="U436" s="589"/>
      <c r="V436" s="564" t="s">
        <v>2899</v>
      </c>
      <c r="W436" s="564" t="s">
        <v>25</v>
      </c>
      <c r="X436" s="589"/>
      <c r="Y436" s="589"/>
      <c r="Z436" s="589"/>
      <c r="AA436" s="562"/>
      <c r="AB436" s="589"/>
      <c r="AC436" s="589"/>
      <c r="AD436" s="589"/>
      <c r="AE436" s="629"/>
      <c r="AF436" s="570" t="s">
        <v>2899</v>
      </c>
      <c r="AG436" s="570"/>
      <c r="AH436" s="571" t="s">
        <v>25</v>
      </c>
      <c r="AI436" s="558" t="s">
        <v>2200</v>
      </c>
      <c r="AJ436" s="586" t="s">
        <v>2771</v>
      </c>
      <c r="AK436" s="376" t="s">
        <v>2202</v>
      </c>
    </row>
    <row r="437" spans="1:37" s="376" customFormat="1" ht="101.25" outlineLevel="2" x14ac:dyDescent="0.3">
      <c r="A437" s="447">
        <v>38</v>
      </c>
      <c r="B437" s="572" t="s">
        <v>2799</v>
      </c>
      <c r="C437" s="572"/>
      <c r="D437" s="587"/>
      <c r="E437" s="560"/>
      <c r="F437" s="558" t="s">
        <v>2472</v>
      </c>
      <c r="G437" s="588">
        <v>96.9</v>
      </c>
      <c r="H437" s="546" t="s">
        <v>2899</v>
      </c>
      <c r="I437" s="563">
        <v>554400</v>
      </c>
      <c r="J437" s="563">
        <v>0</v>
      </c>
      <c r="K437" s="564">
        <v>53721000</v>
      </c>
      <c r="L437" s="564">
        <v>0</v>
      </c>
      <c r="M437" s="593"/>
      <c r="N437" s="593"/>
      <c r="O437" s="616"/>
      <c r="P437" s="564"/>
      <c r="Q437" s="564"/>
      <c r="R437" s="593"/>
      <c r="S437" s="593"/>
      <c r="T437" s="617"/>
      <c r="U437" s="589"/>
      <c r="V437" s="564" t="s">
        <v>2899</v>
      </c>
      <c r="W437" s="564" t="s">
        <v>25</v>
      </c>
      <c r="X437" s="589"/>
      <c r="Y437" s="589"/>
      <c r="Z437" s="589"/>
      <c r="AA437" s="562"/>
      <c r="AB437" s="589"/>
      <c r="AC437" s="589"/>
      <c r="AD437" s="589"/>
      <c r="AE437" s="629"/>
      <c r="AF437" s="570" t="s">
        <v>2899</v>
      </c>
      <c r="AG437" s="570"/>
      <c r="AH437" s="571" t="s">
        <v>25</v>
      </c>
      <c r="AI437" s="558" t="s">
        <v>2201</v>
      </c>
      <c r="AJ437" s="593"/>
    </row>
    <row r="438" spans="1:37" s="376" customFormat="1" ht="81" outlineLevel="2" x14ac:dyDescent="0.3">
      <c r="A438" s="447">
        <v>38</v>
      </c>
      <c r="B438" s="607"/>
      <c r="C438" s="607"/>
      <c r="D438" s="612"/>
      <c r="E438" s="612"/>
      <c r="F438" s="558" t="s">
        <v>2473</v>
      </c>
      <c r="G438" s="588">
        <v>4.0999999999999996</v>
      </c>
      <c r="H438" s="546" t="s">
        <v>2899</v>
      </c>
      <c r="I438" s="563">
        <v>554400</v>
      </c>
      <c r="J438" s="563">
        <v>0</v>
      </c>
      <c r="K438" s="564">
        <v>2273000</v>
      </c>
      <c r="L438" s="564">
        <v>0</v>
      </c>
      <c r="M438" s="593"/>
      <c r="N438" s="593"/>
      <c r="O438" s="616"/>
      <c r="P438" s="564"/>
      <c r="Q438" s="564"/>
      <c r="R438" s="593"/>
      <c r="S438" s="593"/>
      <c r="T438" s="617"/>
      <c r="U438" s="589"/>
      <c r="V438" s="564" t="s">
        <v>2899</v>
      </c>
      <c r="W438" s="564" t="s">
        <v>25</v>
      </c>
      <c r="X438" s="589"/>
      <c r="Y438" s="589"/>
      <c r="Z438" s="589"/>
      <c r="AA438" s="562"/>
      <c r="AB438" s="589"/>
      <c r="AC438" s="589"/>
      <c r="AD438" s="589"/>
      <c r="AE438" s="629"/>
      <c r="AF438" s="570" t="s">
        <v>2899</v>
      </c>
      <c r="AG438" s="570"/>
      <c r="AH438" s="571" t="s">
        <v>25</v>
      </c>
      <c r="AI438" s="558" t="s">
        <v>2453</v>
      </c>
      <c r="AJ438" s="593"/>
    </row>
    <row r="439" spans="1:37" s="376" customFormat="1" ht="81" outlineLevel="2" x14ac:dyDescent="0.3">
      <c r="A439" s="447">
        <v>38</v>
      </c>
      <c r="B439" s="607"/>
      <c r="C439" s="607"/>
      <c r="D439" s="587"/>
      <c r="E439" s="615"/>
      <c r="F439" s="558" t="s">
        <v>2471</v>
      </c>
      <c r="G439" s="588">
        <v>14.8</v>
      </c>
      <c r="H439" s="546" t="s">
        <v>2899</v>
      </c>
      <c r="I439" s="563">
        <v>554400</v>
      </c>
      <c r="J439" s="563">
        <v>0</v>
      </c>
      <c r="K439" s="564">
        <v>8205000</v>
      </c>
      <c r="L439" s="564">
        <v>0</v>
      </c>
      <c r="M439" s="593"/>
      <c r="N439" s="593"/>
      <c r="O439" s="616"/>
      <c r="P439" s="564"/>
      <c r="Q439" s="564"/>
      <c r="R439" s="593"/>
      <c r="S439" s="593"/>
      <c r="T439" s="617"/>
      <c r="U439" s="589"/>
      <c r="V439" s="564" t="s">
        <v>2899</v>
      </c>
      <c r="W439" s="564" t="s">
        <v>25</v>
      </c>
      <c r="X439" s="589"/>
      <c r="Y439" s="589"/>
      <c r="Z439" s="589"/>
      <c r="AA439" s="562"/>
      <c r="AB439" s="589"/>
      <c r="AC439" s="589"/>
      <c r="AD439" s="589"/>
      <c r="AE439" s="629"/>
      <c r="AF439" s="570" t="s">
        <v>2899</v>
      </c>
      <c r="AG439" s="570"/>
      <c r="AH439" s="571" t="s">
        <v>25</v>
      </c>
      <c r="AI439" s="593"/>
      <c r="AJ439" s="593"/>
    </row>
    <row r="440" spans="1:37" s="376" customFormat="1" ht="20.25" outlineLevel="2" x14ac:dyDescent="0.3">
      <c r="A440" s="447">
        <v>38</v>
      </c>
      <c r="B440" s="607"/>
      <c r="C440" s="607"/>
      <c r="D440" s="587"/>
      <c r="E440" s="615"/>
      <c r="F440" s="558"/>
      <c r="G440" s="604"/>
      <c r="H440" s="546"/>
      <c r="I440" s="563" t="s">
        <v>25</v>
      </c>
      <c r="J440" s="563" t="s">
        <v>25</v>
      </c>
      <c r="K440" s="564" t="s">
        <v>25</v>
      </c>
      <c r="L440" s="564" t="s">
        <v>25</v>
      </c>
      <c r="M440" s="593"/>
      <c r="N440" s="593"/>
      <c r="O440" s="616"/>
      <c r="P440" s="564"/>
      <c r="Q440" s="564"/>
      <c r="R440" s="593"/>
      <c r="S440" s="593"/>
      <c r="T440" s="617"/>
      <c r="U440" s="589"/>
      <c r="V440" s="564" t="s">
        <v>2899</v>
      </c>
      <c r="W440" s="564" t="s">
        <v>25</v>
      </c>
      <c r="X440" s="589"/>
      <c r="Y440" s="589"/>
      <c r="Z440" s="589"/>
      <c r="AA440" s="562"/>
      <c r="AB440" s="589"/>
      <c r="AC440" s="589"/>
      <c r="AD440" s="589"/>
      <c r="AE440" s="629"/>
      <c r="AF440" s="570" t="s">
        <v>2899</v>
      </c>
      <c r="AG440" s="570"/>
      <c r="AH440" s="571" t="s">
        <v>25</v>
      </c>
      <c r="AI440" s="593"/>
      <c r="AJ440" s="593"/>
    </row>
    <row r="441" spans="1:37" s="376" customFormat="1" ht="20.25" outlineLevel="2" x14ac:dyDescent="0.3">
      <c r="A441" s="447">
        <v>38</v>
      </c>
      <c r="B441" s="574"/>
      <c r="C441" s="574"/>
      <c r="D441" s="623"/>
      <c r="E441" s="623"/>
      <c r="F441" s="558"/>
      <c r="G441" s="604"/>
      <c r="H441" s="546"/>
      <c r="I441" s="563" t="s">
        <v>25</v>
      </c>
      <c r="J441" s="563" t="s">
        <v>25</v>
      </c>
      <c r="K441" s="564" t="s">
        <v>25</v>
      </c>
      <c r="L441" s="564" t="s">
        <v>25</v>
      </c>
      <c r="M441" s="593"/>
      <c r="N441" s="593"/>
      <c r="O441" s="616"/>
      <c r="P441" s="564"/>
      <c r="Q441" s="564"/>
      <c r="R441" s="593"/>
      <c r="S441" s="593"/>
      <c r="T441" s="617"/>
      <c r="U441" s="589"/>
      <c r="V441" s="564" t="s">
        <v>2899</v>
      </c>
      <c r="W441" s="564" t="s">
        <v>25</v>
      </c>
      <c r="X441" s="589"/>
      <c r="Y441" s="589"/>
      <c r="Z441" s="589"/>
      <c r="AA441" s="562"/>
      <c r="AB441" s="589"/>
      <c r="AC441" s="589"/>
      <c r="AD441" s="589"/>
      <c r="AE441" s="629"/>
      <c r="AF441" s="570" t="s">
        <v>2899</v>
      </c>
      <c r="AG441" s="570"/>
      <c r="AH441" s="571" t="s">
        <v>25</v>
      </c>
      <c r="AI441" s="593"/>
      <c r="AJ441" s="593"/>
    </row>
    <row r="442" spans="1:37" s="376" customFormat="1" ht="40.5" outlineLevel="1" x14ac:dyDescent="0.3">
      <c r="A442" s="467">
        <v>39</v>
      </c>
      <c r="B442" s="574" t="s">
        <v>2176</v>
      </c>
      <c r="C442" s="773" t="s">
        <v>2902</v>
      </c>
      <c r="D442" s="627"/>
      <c r="E442" s="627"/>
      <c r="F442" s="624"/>
      <c r="G442" s="625">
        <v>0</v>
      </c>
      <c r="H442" s="579">
        <v>0</v>
      </c>
      <c r="I442" s="581"/>
      <c r="J442" s="581"/>
      <c r="K442" s="571">
        <v>0</v>
      </c>
      <c r="L442" s="571">
        <v>0</v>
      </c>
      <c r="M442" s="578"/>
      <c r="N442" s="578"/>
      <c r="O442" s="599">
        <v>21</v>
      </c>
      <c r="P442" s="571"/>
      <c r="Q442" s="571">
        <v>11462000</v>
      </c>
      <c r="R442" s="578"/>
      <c r="S442" s="621"/>
      <c r="T442" s="600">
        <v>44.4</v>
      </c>
      <c r="U442" s="597"/>
      <c r="V442" s="571"/>
      <c r="W442" s="571">
        <v>49803000</v>
      </c>
      <c r="X442" s="589"/>
      <c r="Y442" s="592"/>
      <c r="Z442" s="592"/>
      <c r="AA442" s="568"/>
      <c r="AB442" s="592"/>
      <c r="AC442" s="592"/>
      <c r="AD442" s="601"/>
      <c r="AE442" s="599">
        <f>SUBTOTAL(9,AE443:AE454)</f>
        <v>0</v>
      </c>
      <c r="AF442" s="585"/>
      <c r="AG442" s="585">
        <v>0</v>
      </c>
      <c r="AH442" s="571">
        <v>61265000</v>
      </c>
      <c r="AI442" s="608"/>
      <c r="AJ442" s="574"/>
    </row>
    <row r="443" spans="1:37" s="376" customFormat="1" ht="121.5" outlineLevel="2" x14ac:dyDescent="0.3">
      <c r="A443" s="447">
        <v>39</v>
      </c>
      <c r="B443" s="558" t="s">
        <v>129</v>
      </c>
      <c r="C443" s="558"/>
      <c r="D443" s="627"/>
      <c r="E443" s="627"/>
      <c r="F443" s="575"/>
      <c r="G443" s="561"/>
      <c r="H443" s="546"/>
      <c r="I443" s="563" t="s">
        <v>25</v>
      </c>
      <c r="J443" s="563" t="s">
        <v>25</v>
      </c>
      <c r="K443" s="564" t="s">
        <v>25</v>
      </c>
      <c r="L443" s="564" t="s">
        <v>25</v>
      </c>
      <c r="M443" s="586" t="s">
        <v>145</v>
      </c>
      <c r="N443" s="586"/>
      <c r="O443" s="590">
        <v>1</v>
      </c>
      <c r="P443" s="564">
        <v>4240000</v>
      </c>
      <c r="Q443" s="564">
        <v>4240000</v>
      </c>
      <c r="R443" s="586" t="s">
        <v>1852</v>
      </c>
      <c r="S443" s="609" t="s">
        <v>53</v>
      </c>
      <c r="T443" s="591">
        <v>28.9</v>
      </c>
      <c r="U443" s="589"/>
      <c r="V443" s="564">
        <v>1490563</v>
      </c>
      <c r="W443" s="564">
        <v>43077000</v>
      </c>
      <c r="X443" s="589" t="s">
        <v>54</v>
      </c>
      <c r="Y443" s="592" t="s">
        <v>55</v>
      </c>
      <c r="Z443" s="592" t="s">
        <v>56</v>
      </c>
      <c r="AA443" s="568" t="s">
        <v>186</v>
      </c>
      <c r="AB443" s="592" t="s">
        <v>66</v>
      </c>
      <c r="AC443" s="592"/>
      <c r="AD443" s="592"/>
      <c r="AE443" s="590"/>
      <c r="AF443" s="570" t="s">
        <v>2899</v>
      </c>
      <c r="AG443" s="570" t="s">
        <v>25</v>
      </c>
      <c r="AH443" s="571" t="s">
        <v>25</v>
      </c>
      <c r="AI443" s="593" t="s">
        <v>488</v>
      </c>
      <c r="AJ443" s="558" t="s">
        <v>2450</v>
      </c>
    </row>
    <row r="444" spans="1:37" s="376" customFormat="1" ht="101.25" outlineLevel="2" x14ac:dyDescent="0.3">
      <c r="A444" s="447">
        <v>39</v>
      </c>
      <c r="B444" s="628" t="s">
        <v>669</v>
      </c>
      <c r="C444" s="628"/>
      <c r="D444" s="627"/>
      <c r="E444" s="627"/>
      <c r="F444" s="575"/>
      <c r="G444" s="561"/>
      <c r="H444" s="546"/>
      <c r="I444" s="563" t="s">
        <v>25</v>
      </c>
      <c r="J444" s="563" t="s">
        <v>25</v>
      </c>
      <c r="K444" s="564" t="s">
        <v>25</v>
      </c>
      <c r="L444" s="564" t="s">
        <v>25</v>
      </c>
      <c r="M444" s="586" t="s">
        <v>77</v>
      </c>
      <c r="N444" s="586"/>
      <c r="O444" s="590">
        <v>1</v>
      </c>
      <c r="P444" s="564">
        <v>3064000</v>
      </c>
      <c r="Q444" s="564">
        <v>3064000</v>
      </c>
      <c r="R444" s="586" t="s">
        <v>2307</v>
      </c>
      <c r="S444" s="609" t="s">
        <v>53</v>
      </c>
      <c r="T444" s="591">
        <v>2.6</v>
      </c>
      <c r="U444" s="589"/>
      <c r="V444" s="564">
        <v>2093161</v>
      </c>
      <c r="W444" s="564">
        <v>5442000</v>
      </c>
      <c r="X444" s="589"/>
      <c r="Y444" s="592"/>
      <c r="Z444" s="592" t="s">
        <v>56</v>
      </c>
      <c r="AA444" s="568" t="s">
        <v>57</v>
      </c>
      <c r="AB444" s="592" t="s">
        <v>139</v>
      </c>
      <c r="AC444" s="592"/>
      <c r="AD444" s="592"/>
      <c r="AE444" s="590"/>
      <c r="AF444" s="570" t="s">
        <v>2899</v>
      </c>
      <c r="AG444" s="570" t="s">
        <v>25</v>
      </c>
      <c r="AH444" s="571" t="s">
        <v>25</v>
      </c>
      <c r="AI444" s="575"/>
      <c r="AJ444" s="558" t="s">
        <v>2449</v>
      </c>
    </row>
    <row r="445" spans="1:37" s="376" customFormat="1" ht="101.25" outlineLevel="2" x14ac:dyDescent="0.3">
      <c r="A445" s="447">
        <v>39</v>
      </c>
      <c r="B445" s="558"/>
      <c r="C445" s="558"/>
      <c r="D445" s="627"/>
      <c r="E445" s="627"/>
      <c r="F445" s="575"/>
      <c r="G445" s="561"/>
      <c r="H445" s="546"/>
      <c r="I445" s="563" t="s">
        <v>25</v>
      </c>
      <c r="J445" s="563" t="s">
        <v>25</v>
      </c>
      <c r="K445" s="564" t="s">
        <v>25</v>
      </c>
      <c r="L445" s="564" t="s">
        <v>25</v>
      </c>
      <c r="M445" s="586" t="s">
        <v>61</v>
      </c>
      <c r="N445" s="586"/>
      <c r="O445" s="590">
        <v>1</v>
      </c>
      <c r="P445" s="564">
        <v>1708000</v>
      </c>
      <c r="Q445" s="564">
        <v>1708000</v>
      </c>
      <c r="R445" s="586" t="s">
        <v>1748</v>
      </c>
      <c r="S445" s="609" t="s">
        <v>53</v>
      </c>
      <c r="T445" s="591">
        <v>6.65</v>
      </c>
      <c r="U445" s="589"/>
      <c r="V445" s="564">
        <v>0</v>
      </c>
      <c r="W445" s="564">
        <v>0</v>
      </c>
      <c r="X445" s="589"/>
      <c r="Y445" s="592"/>
      <c r="Z445" s="592"/>
      <c r="AA445" s="568"/>
      <c r="AB445" s="592"/>
      <c r="AC445" s="592"/>
      <c r="AD445" s="592"/>
      <c r="AE445" s="590"/>
      <c r="AF445" s="570" t="s">
        <v>2899</v>
      </c>
      <c r="AG445" s="570" t="s">
        <v>25</v>
      </c>
      <c r="AH445" s="571" t="s">
        <v>25</v>
      </c>
      <c r="AI445" s="593"/>
      <c r="AJ445" s="558" t="s">
        <v>2800</v>
      </c>
    </row>
    <row r="446" spans="1:37" s="376" customFormat="1" ht="40.5" outlineLevel="2" x14ac:dyDescent="0.3">
      <c r="A446" s="447">
        <v>39</v>
      </c>
      <c r="B446" s="558"/>
      <c r="C446" s="558"/>
      <c r="D446" s="587"/>
      <c r="E446" s="560"/>
      <c r="F446" s="575"/>
      <c r="G446" s="561"/>
      <c r="H446" s="546"/>
      <c r="I446" s="563" t="s">
        <v>25</v>
      </c>
      <c r="J446" s="563" t="s">
        <v>25</v>
      </c>
      <c r="K446" s="564" t="s">
        <v>25</v>
      </c>
      <c r="L446" s="564" t="s">
        <v>25</v>
      </c>
      <c r="M446" s="586" t="s">
        <v>64</v>
      </c>
      <c r="N446" s="586"/>
      <c r="O446" s="590">
        <v>1</v>
      </c>
      <c r="P446" s="564">
        <v>1122000</v>
      </c>
      <c r="Q446" s="564">
        <v>1122000</v>
      </c>
      <c r="R446" s="586" t="s">
        <v>1839</v>
      </c>
      <c r="S446" s="609" t="s">
        <v>53</v>
      </c>
      <c r="T446" s="591">
        <v>5.25</v>
      </c>
      <c r="U446" s="589"/>
      <c r="V446" s="564">
        <v>244604</v>
      </c>
      <c r="W446" s="564">
        <v>1284000</v>
      </c>
      <c r="X446" s="589"/>
      <c r="Y446" s="592"/>
      <c r="Z446" s="592"/>
      <c r="AA446" s="568"/>
      <c r="AB446" s="592"/>
      <c r="AC446" s="592"/>
      <c r="AD446" s="592"/>
      <c r="AE446" s="590"/>
      <c r="AF446" s="570" t="s">
        <v>2899</v>
      </c>
      <c r="AG446" s="570" t="s">
        <v>25</v>
      </c>
      <c r="AH446" s="571" t="s">
        <v>25</v>
      </c>
      <c r="AI446" s="575"/>
      <c r="AJ446" s="558"/>
    </row>
    <row r="447" spans="1:37" s="376" customFormat="1" ht="60.75" outlineLevel="2" x14ac:dyDescent="0.3">
      <c r="A447" s="447">
        <v>39</v>
      </c>
      <c r="B447" s="572"/>
      <c r="C447" s="572"/>
      <c r="D447" s="612"/>
      <c r="E447" s="612"/>
      <c r="F447" s="558"/>
      <c r="G447" s="588"/>
      <c r="H447" s="546"/>
      <c r="I447" s="563" t="s">
        <v>25</v>
      </c>
      <c r="J447" s="563" t="s">
        <v>25</v>
      </c>
      <c r="K447" s="564" t="s">
        <v>25</v>
      </c>
      <c r="L447" s="564" t="s">
        <v>25</v>
      </c>
      <c r="M447" s="565" t="s">
        <v>746</v>
      </c>
      <c r="N447" s="565"/>
      <c r="O447" s="590">
        <v>1</v>
      </c>
      <c r="P447" s="564">
        <v>32000</v>
      </c>
      <c r="Q447" s="564">
        <v>32000</v>
      </c>
      <c r="R447" s="566" t="s">
        <v>1758</v>
      </c>
      <c r="S447" s="589" t="s">
        <v>93</v>
      </c>
      <c r="T447" s="591">
        <v>1</v>
      </c>
      <c r="U447" s="589"/>
      <c r="V447" s="564">
        <v>0</v>
      </c>
      <c r="W447" s="564">
        <v>0</v>
      </c>
      <c r="X447" s="589"/>
      <c r="Y447" s="592"/>
      <c r="Z447" s="592"/>
      <c r="AA447" s="568"/>
      <c r="AB447" s="592"/>
      <c r="AC447" s="592"/>
      <c r="AD447" s="592"/>
      <c r="AE447" s="590"/>
      <c r="AF447" s="570" t="s">
        <v>2899</v>
      </c>
      <c r="AG447" s="570" t="s">
        <v>25</v>
      </c>
      <c r="AH447" s="571" t="s">
        <v>25</v>
      </c>
      <c r="AI447" s="575"/>
      <c r="AJ447" s="593"/>
    </row>
    <row r="448" spans="1:37" s="376" customFormat="1" ht="40.5" outlineLevel="2" x14ac:dyDescent="0.3">
      <c r="A448" s="447">
        <v>39</v>
      </c>
      <c r="B448" s="572"/>
      <c r="C448" s="572"/>
      <c r="D448" s="587"/>
      <c r="E448" s="560"/>
      <c r="F448" s="586"/>
      <c r="G448" s="588"/>
      <c r="H448" s="546"/>
      <c r="I448" s="563" t="s">
        <v>25</v>
      </c>
      <c r="J448" s="563" t="s">
        <v>25</v>
      </c>
      <c r="K448" s="564" t="s">
        <v>25</v>
      </c>
      <c r="L448" s="564" t="s">
        <v>25</v>
      </c>
      <c r="M448" s="586" t="s">
        <v>187</v>
      </c>
      <c r="N448" s="586"/>
      <c r="O448" s="630">
        <v>1</v>
      </c>
      <c r="P448" s="564">
        <v>120000</v>
      </c>
      <c r="Q448" s="564">
        <v>120000</v>
      </c>
      <c r="R448" s="566"/>
      <c r="S448" s="589"/>
      <c r="T448" s="591"/>
      <c r="U448" s="589"/>
      <c r="V448" s="564" t="s">
        <v>2899</v>
      </c>
      <c r="W448" s="564" t="s">
        <v>25</v>
      </c>
      <c r="X448" s="589"/>
      <c r="Y448" s="592"/>
      <c r="Z448" s="592"/>
      <c r="AA448" s="568"/>
      <c r="AB448" s="592"/>
      <c r="AC448" s="592"/>
      <c r="AD448" s="592"/>
      <c r="AE448" s="590"/>
      <c r="AF448" s="570" t="s">
        <v>2899</v>
      </c>
      <c r="AG448" s="570" t="s">
        <v>25</v>
      </c>
      <c r="AH448" s="571" t="s">
        <v>25</v>
      </c>
      <c r="AI448" s="593"/>
      <c r="AJ448" s="593"/>
    </row>
    <row r="449" spans="1:36" s="376" customFormat="1" ht="20.25" outlineLevel="2" x14ac:dyDescent="0.3">
      <c r="A449" s="447">
        <v>39</v>
      </c>
      <c r="B449" s="558"/>
      <c r="C449" s="558"/>
      <c r="D449" s="587"/>
      <c r="E449" s="560"/>
      <c r="F449" s="558"/>
      <c r="G449" s="588"/>
      <c r="H449" s="546"/>
      <c r="I449" s="563" t="s">
        <v>25</v>
      </c>
      <c r="J449" s="563" t="s">
        <v>25</v>
      </c>
      <c r="K449" s="564" t="s">
        <v>25</v>
      </c>
      <c r="L449" s="564" t="s">
        <v>25</v>
      </c>
      <c r="M449" s="586" t="s">
        <v>747</v>
      </c>
      <c r="N449" s="586"/>
      <c r="O449" s="630">
        <v>1</v>
      </c>
      <c r="P449" s="564">
        <v>0</v>
      </c>
      <c r="Q449" s="564">
        <v>0</v>
      </c>
      <c r="R449" s="586"/>
      <c r="S449" s="609"/>
      <c r="T449" s="591"/>
      <c r="U449" s="589"/>
      <c r="V449" s="564" t="s">
        <v>2899</v>
      </c>
      <c r="W449" s="564" t="s">
        <v>25</v>
      </c>
      <c r="X449" s="589"/>
      <c r="Y449" s="592"/>
      <c r="Z449" s="592"/>
      <c r="AA449" s="568"/>
      <c r="AB449" s="592"/>
      <c r="AC449" s="592"/>
      <c r="AD449" s="592"/>
      <c r="AE449" s="590"/>
      <c r="AF449" s="570" t="s">
        <v>2899</v>
      </c>
      <c r="AG449" s="570" t="s">
        <v>25</v>
      </c>
      <c r="AH449" s="571" t="s">
        <v>25</v>
      </c>
      <c r="AI449" s="593"/>
      <c r="AJ449" s="593"/>
    </row>
    <row r="450" spans="1:36" s="376" customFormat="1" ht="20.25" outlineLevel="2" x14ac:dyDescent="0.3">
      <c r="A450" s="447">
        <v>39</v>
      </c>
      <c r="B450" s="558"/>
      <c r="C450" s="558"/>
      <c r="D450" s="587"/>
      <c r="E450" s="560"/>
      <c r="F450" s="558"/>
      <c r="G450" s="588"/>
      <c r="H450" s="546"/>
      <c r="I450" s="563" t="s">
        <v>25</v>
      </c>
      <c r="J450" s="563" t="s">
        <v>25</v>
      </c>
      <c r="K450" s="564" t="s">
        <v>25</v>
      </c>
      <c r="L450" s="564" t="s">
        <v>25</v>
      </c>
      <c r="M450" s="558" t="s">
        <v>72</v>
      </c>
      <c r="N450" s="558"/>
      <c r="O450" s="590">
        <v>5</v>
      </c>
      <c r="P450" s="564">
        <v>132000</v>
      </c>
      <c r="Q450" s="564">
        <v>660000</v>
      </c>
      <c r="R450" s="566"/>
      <c r="S450" s="589"/>
      <c r="T450" s="591"/>
      <c r="U450" s="589"/>
      <c r="V450" s="564" t="s">
        <v>2899</v>
      </c>
      <c r="W450" s="564" t="s">
        <v>25</v>
      </c>
      <c r="X450" s="589"/>
      <c r="Y450" s="592"/>
      <c r="Z450" s="592"/>
      <c r="AA450" s="568"/>
      <c r="AB450" s="592"/>
      <c r="AC450" s="592"/>
      <c r="AD450" s="592"/>
      <c r="AE450" s="590"/>
      <c r="AF450" s="570" t="s">
        <v>2899</v>
      </c>
      <c r="AG450" s="570" t="s">
        <v>25</v>
      </c>
      <c r="AH450" s="571" t="s">
        <v>25</v>
      </c>
      <c r="AI450" s="593"/>
      <c r="AJ450" s="593"/>
    </row>
    <row r="451" spans="1:36" s="376" customFormat="1" ht="20.25" outlineLevel="2" x14ac:dyDescent="0.3">
      <c r="A451" s="447">
        <v>39</v>
      </c>
      <c r="B451" s="558"/>
      <c r="C451" s="558"/>
      <c r="D451" s="587"/>
      <c r="E451" s="560"/>
      <c r="F451" s="558"/>
      <c r="G451" s="588"/>
      <c r="H451" s="546"/>
      <c r="I451" s="563" t="s">
        <v>25</v>
      </c>
      <c r="J451" s="563" t="s">
        <v>25</v>
      </c>
      <c r="K451" s="564" t="s">
        <v>25</v>
      </c>
      <c r="L451" s="564" t="s">
        <v>25</v>
      </c>
      <c r="M451" s="558" t="s">
        <v>73</v>
      </c>
      <c r="N451" s="558"/>
      <c r="O451" s="590">
        <v>5</v>
      </c>
      <c r="P451" s="564">
        <v>76000</v>
      </c>
      <c r="Q451" s="564">
        <v>380000</v>
      </c>
      <c r="R451" s="566"/>
      <c r="S451" s="589"/>
      <c r="T451" s="591"/>
      <c r="U451" s="589"/>
      <c r="V451" s="564" t="s">
        <v>2899</v>
      </c>
      <c r="W451" s="564" t="s">
        <v>25</v>
      </c>
      <c r="X451" s="589"/>
      <c r="Y451" s="592"/>
      <c r="Z451" s="592"/>
      <c r="AA451" s="568"/>
      <c r="AB451" s="592"/>
      <c r="AC451" s="592"/>
      <c r="AD451" s="592"/>
      <c r="AE451" s="590"/>
      <c r="AF451" s="570" t="s">
        <v>2899</v>
      </c>
      <c r="AG451" s="570" t="s">
        <v>25</v>
      </c>
      <c r="AH451" s="571" t="s">
        <v>25</v>
      </c>
      <c r="AI451" s="593"/>
      <c r="AJ451" s="593"/>
    </row>
    <row r="452" spans="1:36" s="376" customFormat="1" ht="20.25" outlineLevel="2" x14ac:dyDescent="0.3">
      <c r="A452" s="447">
        <v>39</v>
      </c>
      <c r="B452" s="558"/>
      <c r="C452" s="558"/>
      <c r="D452" s="587"/>
      <c r="E452" s="615"/>
      <c r="F452" s="558"/>
      <c r="G452" s="588"/>
      <c r="H452" s="546"/>
      <c r="I452" s="563" t="s">
        <v>25</v>
      </c>
      <c r="J452" s="563" t="s">
        <v>25</v>
      </c>
      <c r="K452" s="564" t="s">
        <v>25</v>
      </c>
      <c r="L452" s="564" t="s">
        <v>25</v>
      </c>
      <c r="M452" s="558" t="s">
        <v>75</v>
      </c>
      <c r="N452" s="558"/>
      <c r="O452" s="590">
        <v>4</v>
      </c>
      <c r="P452" s="564">
        <v>34000</v>
      </c>
      <c r="Q452" s="564">
        <v>136000</v>
      </c>
      <c r="R452" s="566"/>
      <c r="S452" s="589"/>
      <c r="T452" s="591"/>
      <c r="U452" s="589"/>
      <c r="V452" s="564" t="s">
        <v>2899</v>
      </c>
      <c r="W452" s="564" t="s">
        <v>25</v>
      </c>
      <c r="X452" s="589"/>
      <c r="Y452" s="592"/>
      <c r="Z452" s="592"/>
      <c r="AA452" s="568"/>
      <c r="AB452" s="592"/>
      <c r="AC452" s="592"/>
      <c r="AD452" s="592"/>
      <c r="AE452" s="590"/>
      <c r="AF452" s="570" t="s">
        <v>2899</v>
      </c>
      <c r="AG452" s="570" t="s">
        <v>25</v>
      </c>
      <c r="AH452" s="571" t="s">
        <v>25</v>
      </c>
      <c r="AI452" s="593"/>
      <c r="AJ452" s="593"/>
    </row>
    <row r="453" spans="1:36" s="376" customFormat="1" ht="20.25" outlineLevel="2" x14ac:dyDescent="0.3">
      <c r="A453" s="447">
        <v>39</v>
      </c>
      <c r="B453" s="558"/>
      <c r="C453" s="558"/>
      <c r="D453" s="587"/>
      <c r="E453" s="560"/>
      <c r="F453" s="558"/>
      <c r="G453" s="604"/>
      <c r="H453" s="546"/>
      <c r="I453" s="563" t="s">
        <v>25</v>
      </c>
      <c r="J453" s="563" t="s">
        <v>25</v>
      </c>
      <c r="K453" s="564" t="s">
        <v>25</v>
      </c>
      <c r="L453" s="564" t="s">
        <v>25</v>
      </c>
      <c r="M453" s="593"/>
      <c r="N453" s="593"/>
      <c r="O453" s="616"/>
      <c r="P453" s="564" t="s">
        <v>25</v>
      </c>
      <c r="Q453" s="564" t="s">
        <v>25</v>
      </c>
      <c r="R453" s="593"/>
      <c r="S453" s="593"/>
      <c r="T453" s="617"/>
      <c r="U453" s="589"/>
      <c r="V453" s="564" t="s">
        <v>2899</v>
      </c>
      <c r="W453" s="564" t="s">
        <v>25</v>
      </c>
      <c r="X453" s="589"/>
      <c r="Y453" s="589"/>
      <c r="Z453" s="589"/>
      <c r="AA453" s="562"/>
      <c r="AB453" s="589"/>
      <c r="AC453" s="589"/>
      <c r="AD453" s="589"/>
      <c r="AE453" s="629"/>
      <c r="AF453" s="570" t="s">
        <v>2899</v>
      </c>
      <c r="AG453" s="570" t="s">
        <v>25</v>
      </c>
      <c r="AH453" s="571" t="s">
        <v>25</v>
      </c>
      <c r="AI453" s="593"/>
      <c r="AJ453" s="593"/>
    </row>
    <row r="454" spans="1:36" s="376" customFormat="1" ht="20.25" outlineLevel="2" x14ac:dyDescent="0.3">
      <c r="A454" s="447">
        <v>39</v>
      </c>
      <c r="B454" s="574"/>
      <c r="C454" s="574"/>
      <c r="D454" s="623"/>
      <c r="E454" s="623"/>
      <c r="F454" s="558"/>
      <c r="G454" s="588"/>
      <c r="H454" s="546"/>
      <c r="I454" s="563" t="s">
        <v>25</v>
      </c>
      <c r="J454" s="563" t="s">
        <v>25</v>
      </c>
      <c r="K454" s="564" t="s">
        <v>25</v>
      </c>
      <c r="L454" s="564" t="s">
        <v>25</v>
      </c>
      <c r="M454" s="558"/>
      <c r="N454" s="558"/>
      <c r="O454" s="590"/>
      <c r="P454" s="564" t="s">
        <v>25</v>
      </c>
      <c r="Q454" s="564" t="s">
        <v>25</v>
      </c>
      <c r="R454" s="566"/>
      <c r="S454" s="589"/>
      <c r="T454" s="591"/>
      <c r="U454" s="589"/>
      <c r="V454" s="564" t="s">
        <v>2899</v>
      </c>
      <c r="W454" s="564" t="s">
        <v>25</v>
      </c>
      <c r="X454" s="589"/>
      <c r="Y454" s="592"/>
      <c r="Z454" s="592"/>
      <c r="AA454" s="568"/>
      <c r="AB454" s="592"/>
      <c r="AC454" s="592"/>
      <c r="AD454" s="592"/>
      <c r="AE454" s="590"/>
      <c r="AF454" s="570" t="s">
        <v>2899</v>
      </c>
      <c r="AG454" s="570" t="s">
        <v>25</v>
      </c>
      <c r="AH454" s="571" t="s">
        <v>25</v>
      </c>
      <c r="AI454" s="593"/>
      <c r="AJ454" s="593"/>
    </row>
    <row r="455" spans="1:36" s="376" customFormat="1" ht="40.5" outlineLevel="1" x14ac:dyDescent="0.3">
      <c r="A455" s="467">
        <v>40</v>
      </c>
      <c r="B455" s="574" t="s">
        <v>2177</v>
      </c>
      <c r="C455" s="773" t="s">
        <v>2902</v>
      </c>
      <c r="D455" s="627"/>
      <c r="E455" s="627"/>
      <c r="F455" s="624"/>
      <c r="G455" s="625">
        <v>0</v>
      </c>
      <c r="H455" s="579">
        <v>0</v>
      </c>
      <c r="I455" s="581"/>
      <c r="J455" s="581"/>
      <c r="K455" s="571">
        <v>0</v>
      </c>
      <c r="L455" s="571">
        <v>0</v>
      </c>
      <c r="M455" s="578"/>
      <c r="N455" s="578"/>
      <c r="O455" s="599">
        <v>0</v>
      </c>
      <c r="P455" s="571"/>
      <c r="Q455" s="571">
        <v>0</v>
      </c>
      <c r="R455" s="578"/>
      <c r="S455" s="621"/>
      <c r="T455" s="600">
        <v>73.2</v>
      </c>
      <c r="U455" s="597"/>
      <c r="V455" s="571"/>
      <c r="W455" s="571">
        <v>59605000</v>
      </c>
      <c r="X455" s="589"/>
      <c r="Y455" s="592"/>
      <c r="Z455" s="592"/>
      <c r="AA455" s="568"/>
      <c r="AB455" s="592"/>
      <c r="AC455" s="592"/>
      <c r="AD455" s="601"/>
      <c r="AE455" s="599">
        <f>SUBTOTAL(9,AE456:AE464)</f>
        <v>0</v>
      </c>
      <c r="AF455" s="585"/>
      <c r="AG455" s="585">
        <v>0</v>
      </c>
      <c r="AH455" s="571">
        <v>59605000</v>
      </c>
      <c r="AI455" s="608"/>
      <c r="AJ455" s="574"/>
    </row>
    <row r="456" spans="1:36" s="376" customFormat="1" ht="121.5" outlineLevel="2" x14ac:dyDescent="0.3">
      <c r="A456" s="447">
        <v>40</v>
      </c>
      <c r="B456" s="558" t="s">
        <v>189</v>
      </c>
      <c r="C456" s="558"/>
      <c r="D456" s="627"/>
      <c r="E456" s="627"/>
      <c r="F456" s="575"/>
      <c r="G456" s="561"/>
      <c r="H456" s="546"/>
      <c r="I456" s="563" t="s">
        <v>25</v>
      </c>
      <c r="J456" s="563" t="s">
        <v>25</v>
      </c>
      <c r="K456" s="564" t="s">
        <v>25</v>
      </c>
      <c r="L456" s="564" t="s">
        <v>25</v>
      </c>
      <c r="M456" s="586"/>
      <c r="N456" s="586"/>
      <c r="O456" s="590"/>
      <c r="P456" s="564" t="s">
        <v>25</v>
      </c>
      <c r="Q456" s="564" t="s">
        <v>25</v>
      </c>
      <c r="R456" s="586" t="s">
        <v>1852</v>
      </c>
      <c r="S456" s="609" t="s">
        <v>53</v>
      </c>
      <c r="T456" s="591">
        <v>28.9</v>
      </c>
      <c r="U456" s="589"/>
      <c r="V456" s="564">
        <v>1490563</v>
      </c>
      <c r="W456" s="564">
        <v>43077000</v>
      </c>
      <c r="X456" s="589" t="s">
        <v>54</v>
      </c>
      <c r="Y456" s="592" t="s">
        <v>55</v>
      </c>
      <c r="Z456" s="592" t="s">
        <v>56</v>
      </c>
      <c r="AA456" s="568" t="s">
        <v>186</v>
      </c>
      <c r="AB456" s="592" t="s">
        <v>66</v>
      </c>
      <c r="AC456" s="592"/>
      <c r="AD456" s="592"/>
      <c r="AE456" s="590"/>
      <c r="AF456" s="570" t="s">
        <v>2899</v>
      </c>
      <c r="AG456" s="570" t="s">
        <v>25</v>
      </c>
      <c r="AH456" s="571" t="s">
        <v>25</v>
      </c>
      <c r="AI456" s="593" t="s">
        <v>488</v>
      </c>
      <c r="AJ456" s="558" t="s">
        <v>2450</v>
      </c>
    </row>
    <row r="457" spans="1:36" s="376" customFormat="1" ht="101.25" outlineLevel="2" x14ac:dyDescent="0.3">
      <c r="A457" s="447">
        <v>40</v>
      </c>
      <c r="B457" s="628" t="s">
        <v>671</v>
      </c>
      <c r="C457" s="628"/>
      <c r="D457" s="627"/>
      <c r="E457" s="627"/>
      <c r="F457" s="575"/>
      <c r="G457" s="561"/>
      <c r="H457" s="546"/>
      <c r="I457" s="563" t="s">
        <v>25</v>
      </c>
      <c r="J457" s="563" t="s">
        <v>25</v>
      </c>
      <c r="K457" s="564" t="s">
        <v>25</v>
      </c>
      <c r="L457" s="564" t="s">
        <v>25</v>
      </c>
      <c r="M457" s="578"/>
      <c r="N457" s="578"/>
      <c r="O457" s="590"/>
      <c r="P457" s="564" t="s">
        <v>25</v>
      </c>
      <c r="Q457" s="564" t="s">
        <v>25</v>
      </c>
      <c r="R457" s="586" t="s">
        <v>1749</v>
      </c>
      <c r="S457" s="609" t="s">
        <v>53</v>
      </c>
      <c r="T457" s="591">
        <v>14.6</v>
      </c>
      <c r="U457" s="597"/>
      <c r="V457" s="564">
        <v>211811</v>
      </c>
      <c r="W457" s="564">
        <v>3092000</v>
      </c>
      <c r="X457" s="580"/>
      <c r="Y457" s="601"/>
      <c r="Z457" s="601"/>
      <c r="AA457" s="584"/>
      <c r="AB457" s="601"/>
      <c r="AC457" s="601"/>
      <c r="AD457" s="601"/>
      <c r="AE457" s="599"/>
      <c r="AF457" s="570" t="s">
        <v>2899</v>
      </c>
      <c r="AG457" s="570" t="s">
        <v>25</v>
      </c>
      <c r="AH457" s="571" t="s">
        <v>25</v>
      </c>
      <c r="AI457" s="558" t="s">
        <v>2074</v>
      </c>
      <c r="AJ457" s="558" t="s">
        <v>2800</v>
      </c>
    </row>
    <row r="458" spans="1:36" s="376" customFormat="1" ht="81" outlineLevel="2" x14ac:dyDescent="0.3">
      <c r="A458" s="447">
        <v>40</v>
      </c>
      <c r="B458" s="572"/>
      <c r="C458" s="572"/>
      <c r="D458" s="627"/>
      <c r="E458" s="627"/>
      <c r="F458" s="575"/>
      <c r="G458" s="561"/>
      <c r="H458" s="546"/>
      <c r="I458" s="563" t="s">
        <v>25</v>
      </c>
      <c r="J458" s="563" t="s">
        <v>25</v>
      </c>
      <c r="K458" s="564" t="s">
        <v>25</v>
      </c>
      <c r="L458" s="564" t="s">
        <v>25</v>
      </c>
      <c r="M458" s="586"/>
      <c r="N458" s="586"/>
      <c r="O458" s="590"/>
      <c r="P458" s="564" t="s">
        <v>25</v>
      </c>
      <c r="Q458" s="564" t="s">
        <v>25</v>
      </c>
      <c r="R458" s="586" t="s">
        <v>2305</v>
      </c>
      <c r="S458" s="609" t="s">
        <v>53</v>
      </c>
      <c r="T458" s="591">
        <v>15.2</v>
      </c>
      <c r="U458" s="589"/>
      <c r="V458" s="564">
        <v>441467</v>
      </c>
      <c r="W458" s="564">
        <v>6710000</v>
      </c>
      <c r="X458" s="562"/>
      <c r="Y458" s="592"/>
      <c r="Z458" s="592"/>
      <c r="AA458" s="568"/>
      <c r="AB458" s="592"/>
      <c r="AC458" s="592"/>
      <c r="AD458" s="592"/>
      <c r="AE458" s="590"/>
      <c r="AF458" s="570" t="s">
        <v>2899</v>
      </c>
      <c r="AG458" s="570" t="s">
        <v>25</v>
      </c>
      <c r="AH458" s="571" t="s">
        <v>25</v>
      </c>
      <c r="AI458" s="575"/>
      <c r="AJ458" s="593"/>
    </row>
    <row r="459" spans="1:36" s="376" customFormat="1" ht="81" outlineLevel="2" x14ac:dyDescent="0.3">
      <c r="A459" s="447">
        <v>40</v>
      </c>
      <c r="B459" s="572"/>
      <c r="C459" s="572"/>
      <c r="D459" s="587"/>
      <c r="E459" s="560"/>
      <c r="F459" s="575"/>
      <c r="G459" s="561"/>
      <c r="H459" s="546"/>
      <c r="I459" s="563" t="s">
        <v>25</v>
      </c>
      <c r="J459" s="563" t="s">
        <v>25</v>
      </c>
      <c r="K459" s="564" t="s">
        <v>25</v>
      </c>
      <c r="L459" s="564" t="s">
        <v>25</v>
      </c>
      <c r="M459" s="586"/>
      <c r="N459" s="586"/>
      <c r="O459" s="590"/>
      <c r="P459" s="564" t="s">
        <v>25</v>
      </c>
      <c r="Q459" s="564" t="s">
        <v>25</v>
      </c>
      <c r="R459" s="586" t="s">
        <v>2307</v>
      </c>
      <c r="S459" s="609" t="s">
        <v>53</v>
      </c>
      <c r="T459" s="591">
        <v>2.6</v>
      </c>
      <c r="U459" s="589"/>
      <c r="V459" s="564">
        <v>2093161</v>
      </c>
      <c r="W459" s="564">
        <v>5442000</v>
      </c>
      <c r="X459" s="589"/>
      <c r="Y459" s="592"/>
      <c r="Z459" s="592" t="s">
        <v>56</v>
      </c>
      <c r="AA459" s="568" t="s">
        <v>57</v>
      </c>
      <c r="AB459" s="592" t="s">
        <v>54</v>
      </c>
      <c r="AC459" s="592"/>
      <c r="AD459" s="592"/>
      <c r="AE459" s="590"/>
      <c r="AF459" s="570" t="s">
        <v>2899</v>
      </c>
      <c r="AG459" s="570" t="s">
        <v>25</v>
      </c>
      <c r="AH459" s="571" t="s">
        <v>25</v>
      </c>
      <c r="AI459" s="575"/>
      <c r="AJ459" s="558"/>
    </row>
    <row r="460" spans="1:36" s="376" customFormat="1" ht="40.5" outlineLevel="2" x14ac:dyDescent="0.3">
      <c r="A460" s="447">
        <v>40</v>
      </c>
      <c r="B460" s="574"/>
      <c r="C460" s="574"/>
      <c r="D460" s="595"/>
      <c r="E460" s="577"/>
      <c r="F460" s="558"/>
      <c r="G460" s="588"/>
      <c r="H460" s="546"/>
      <c r="I460" s="563" t="s">
        <v>25</v>
      </c>
      <c r="J460" s="563" t="s">
        <v>25</v>
      </c>
      <c r="K460" s="564" t="s">
        <v>25</v>
      </c>
      <c r="L460" s="564" t="s">
        <v>25</v>
      </c>
      <c r="M460" s="558"/>
      <c r="N460" s="558"/>
      <c r="O460" s="590"/>
      <c r="P460" s="564" t="s">
        <v>25</v>
      </c>
      <c r="Q460" s="564" t="s">
        <v>25</v>
      </c>
      <c r="R460" s="586" t="s">
        <v>1748</v>
      </c>
      <c r="S460" s="589" t="s">
        <v>53</v>
      </c>
      <c r="T460" s="591">
        <v>6.65</v>
      </c>
      <c r="U460" s="589"/>
      <c r="V460" s="564">
        <v>0</v>
      </c>
      <c r="W460" s="564">
        <v>0</v>
      </c>
      <c r="X460" s="589"/>
      <c r="Y460" s="592"/>
      <c r="Z460" s="592"/>
      <c r="AA460" s="568"/>
      <c r="AB460" s="592"/>
      <c r="AC460" s="592"/>
      <c r="AD460" s="592"/>
      <c r="AE460" s="590"/>
      <c r="AF460" s="570" t="s">
        <v>2899</v>
      </c>
      <c r="AG460" s="570" t="s">
        <v>25</v>
      </c>
      <c r="AH460" s="571" t="s">
        <v>25</v>
      </c>
      <c r="AI460" s="575"/>
      <c r="AJ460" s="593"/>
    </row>
    <row r="461" spans="1:36" s="376" customFormat="1" ht="40.5" outlineLevel="2" x14ac:dyDescent="0.3">
      <c r="A461" s="447">
        <v>40</v>
      </c>
      <c r="B461" s="648"/>
      <c r="C461" s="648"/>
      <c r="D461" s="587"/>
      <c r="E461" s="560"/>
      <c r="F461" s="574"/>
      <c r="G461" s="588"/>
      <c r="H461" s="546"/>
      <c r="I461" s="563" t="s">
        <v>25</v>
      </c>
      <c r="J461" s="563" t="s">
        <v>25</v>
      </c>
      <c r="K461" s="564" t="s">
        <v>25</v>
      </c>
      <c r="L461" s="564" t="s">
        <v>25</v>
      </c>
      <c r="M461" s="598"/>
      <c r="N461" s="598"/>
      <c r="O461" s="599"/>
      <c r="P461" s="564" t="s">
        <v>25</v>
      </c>
      <c r="Q461" s="564" t="s">
        <v>25</v>
      </c>
      <c r="R461" s="566" t="s">
        <v>1839</v>
      </c>
      <c r="S461" s="589" t="s">
        <v>53</v>
      </c>
      <c r="T461" s="591">
        <v>5.25</v>
      </c>
      <c r="U461" s="597"/>
      <c r="V461" s="564">
        <v>244604</v>
      </c>
      <c r="W461" s="564">
        <v>1284000</v>
      </c>
      <c r="X461" s="589"/>
      <c r="Y461" s="592"/>
      <c r="Z461" s="592"/>
      <c r="AA461" s="568"/>
      <c r="AB461" s="592"/>
      <c r="AC461" s="592"/>
      <c r="AD461" s="592"/>
      <c r="AE461" s="590"/>
      <c r="AF461" s="570" t="s">
        <v>2899</v>
      </c>
      <c r="AG461" s="570" t="s">
        <v>25</v>
      </c>
      <c r="AH461" s="571" t="s">
        <v>25</v>
      </c>
      <c r="AI461" s="593"/>
      <c r="AJ461" s="593"/>
    </row>
    <row r="462" spans="1:36" s="376" customFormat="1" ht="20.25" outlineLevel="2" x14ac:dyDescent="0.3">
      <c r="A462" s="447">
        <v>40</v>
      </c>
      <c r="B462" s="572"/>
      <c r="C462" s="572"/>
      <c r="D462" s="587"/>
      <c r="E462" s="615"/>
      <c r="F462" s="558"/>
      <c r="G462" s="588"/>
      <c r="H462" s="546"/>
      <c r="I462" s="563" t="s">
        <v>25</v>
      </c>
      <c r="J462" s="563" t="s">
        <v>25</v>
      </c>
      <c r="K462" s="564" t="s">
        <v>25</v>
      </c>
      <c r="L462" s="564" t="s">
        <v>25</v>
      </c>
      <c r="M462" s="565"/>
      <c r="N462" s="565"/>
      <c r="O462" s="590"/>
      <c r="P462" s="564" t="s">
        <v>25</v>
      </c>
      <c r="Q462" s="564" t="s">
        <v>25</v>
      </c>
      <c r="R462" s="566"/>
      <c r="S462" s="589"/>
      <c r="T462" s="591"/>
      <c r="U462" s="589"/>
      <c r="V462" s="564" t="s">
        <v>2899</v>
      </c>
      <c r="W462" s="564" t="s">
        <v>25</v>
      </c>
      <c r="X462" s="580"/>
      <c r="Y462" s="601"/>
      <c r="Z462" s="601"/>
      <c r="AA462" s="584"/>
      <c r="AB462" s="601"/>
      <c r="AC462" s="601"/>
      <c r="AD462" s="601"/>
      <c r="AE462" s="599"/>
      <c r="AF462" s="570" t="s">
        <v>2899</v>
      </c>
      <c r="AG462" s="570" t="s">
        <v>25</v>
      </c>
      <c r="AH462" s="571" t="s">
        <v>25</v>
      </c>
      <c r="AI462" s="558"/>
      <c r="AJ462" s="558"/>
    </row>
    <row r="463" spans="1:36" s="376" customFormat="1" ht="20.25" outlineLevel="2" x14ac:dyDescent="0.3">
      <c r="A463" s="447">
        <v>40</v>
      </c>
      <c r="B463" s="572"/>
      <c r="C463" s="572"/>
      <c r="D463" s="657"/>
      <c r="E463" s="657"/>
      <c r="F463" s="558"/>
      <c r="G463" s="604"/>
      <c r="H463" s="546"/>
      <c r="I463" s="563" t="s">
        <v>25</v>
      </c>
      <c r="J463" s="563" t="s">
        <v>25</v>
      </c>
      <c r="K463" s="564" t="s">
        <v>25</v>
      </c>
      <c r="L463" s="564" t="s">
        <v>25</v>
      </c>
      <c r="M463" s="593"/>
      <c r="N463" s="593"/>
      <c r="O463" s="616"/>
      <c r="P463" s="564" t="s">
        <v>25</v>
      </c>
      <c r="Q463" s="564" t="s">
        <v>25</v>
      </c>
      <c r="R463" s="593"/>
      <c r="S463" s="593"/>
      <c r="T463" s="617"/>
      <c r="U463" s="589"/>
      <c r="V463" s="564" t="s">
        <v>2899</v>
      </c>
      <c r="W463" s="564" t="s">
        <v>25</v>
      </c>
      <c r="X463" s="589"/>
      <c r="Y463" s="589"/>
      <c r="Z463" s="589"/>
      <c r="AA463" s="562"/>
      <c r="AB463" s="589"/>
      <c r="AC463" s="589"/>
      <c r="AD463" s="589"/>
      <c r="AE463" s="629"/>
      <c r="AF463" s="570" t="s">
        <v>2899</v>
      </c>
      <c r="AG463" s="570" t="s">
        <v>25</v>
      </c>
      <c r="AH463" s="571" t="s">
        <v>25</v>
      </c>
      <c r="AI463" s="593"/>
      <c r="AJ463" s="593"/>
    </row>
    <row r="464" spans="1:36" s="376" customFormat="1" ht="20.25" outlineLevel="2" x14ac:dyDescent="0.3">
      <c r="A464" s="447">
        <v>40</v>
      </c>
      <c r="B464" s="574"/>
      <c r="C464" s="574"/>
      <c r="D464" s="595"/>
      <c r="E464" s="577"/>
      <c r="F464" s="586"/>
      <c r="G464" s="588"/>
      <c r="H464" s="546"/>
      <c r="I464" s="563" t="s">
        <v>25</v>
      </c>
      <c r="J464" s="563" t="s">
        <v>25</v>
      </c>
      <c r="K464" s="564" t="s">
        <v>25</v>
      </c>
      <c r="L464" s="564" t="s">
        <v>25</v>
      </c>
      <c r="M464" s="646"/>
      <c r="N464" s="646"/>
      <c r="O464" s="658"/>
      <c r="P464" s="564" t="s">
        <v>25</v>
      </c>
      <c r="Q464" s="564" t="s">
        <v>25</v>
      </c>
      <c r="R464" s="586"/>
      <c r="S464" s="609"/>
      <c r="T464" s="591"/>
      <c r="U464" s="589"/>
      <c r="V464" s="564" t="s">
        <v>2899</v>
      </c>
      <c r="W464" s="564" t="s">
        <v>25</v>
      </c>
      <c r="X464" s="562"/>
      <c r="Y464" s="592"/>
      <c r="Z464" s="592"/>
      <c r="AA464" s="568"/>
      <c r="AB464" s="592"/>
      <c r="AC464" s="592"/>
      <c r="AD464" s="592"/>
      <c r="AE464" s="590"/>
      <c r="AF464" s="570" t="s">
        <v>2899</v>
      </c>
      <c r="AG464" s="570" t="s">
        <v>25</v>
      </c>
      <c r="AH464" s="571" t="s">
        <v>25</v>
      </c>
      <c r="AI464" s="593"/>
      <c r="AJ464" s="593"/>
    </row>
    <row r="465" spans="1:36" s="376" customFormat="1" ht="40.5" outlineLevel="1" x14ac:dyDescent="0.25">
      <c r="A465" s="467">
        <v>41</v>
      </c>
      <c r="B465" s="574" t="s">
        <v>35</v>
      </c>
      <c r="C465" s="773" t="s">
        <v>2902</v>
      </c>
      <c r="D465" s="587">
        <v>86</v>
      </c>
      <c r="E465" s="560">
        <v>256</v>
      </c>
      <c r="F465" s="574"/>
      <c r="G465" s="618">
        <v>195.5</v>
      </c>
      <c r="H465" s="579">
        <v>79.099999999999994</v>
      </c>
      <c r="I465" s="581"/>
      <c r="J465" s="581"/>
      <c r="K465" s="571">
        <v>714596000</v>
      </c>
      <c r="L465" s="571">
        <v>131559000</v>
      </c>
      <c r="M465" s="578"/>
      <c r="N465" s="578"/>
      <c r="O465" s="599">
        <v>119</v>
      </c>
      <c r="P465" s="571"/>
      <c r="Q465" s="571">
        <v>8006000</v>
      </c>
      <c r="R465" s="578"/>
      <c r="S465" s="621"/>
      <c r="T465" s="600">
        <v>357.28</v>
      </c>
      <c r="U465" s="597"/>
      <c r="V465" s="571"/>
      <c r="W465" s="571">
        <v>365853000</v>
      </c>
      <c r="X465" s="589"/>
      <c r="Y465" s="592"/>
      <c r="Z465" s="592"/>
      <c r="AA465" s="568"/>
      <c r="AB465" s="592"/>
      <c r="AC465" s="568"/>
      <c r="AD465" s="602"/>
      <c r="AE465" s="581">
        <f>SUBTOTAL(9,AE466:AE487)</f>
        <v>1</v>
      </c>
      <c r="AF465" s="585"/>
      <c r="AG465" s="585">
        <v>13000000</v>
      </c>
      <c r="AH465" s="571">
        <v>1233014000</v>
      </c>
      <c r="AI465" s="574"/>
      <c r="AJ465" s="578"/>
    </row>
    <row r="466" spans="1:36" s="376" customFormat="1" ht="121.5" outlineLevel="2" x14ac:dyDescent="0.3">
      <c r="A466" s="447">
        <v>41</v>
      </c>
      <c r="B466" s="558" t="s">
        <v>190</v>
      </c>
      <c r="C466" s="558"/>
      <c r="D466" s="587">
        <v>86</v>
      </c>
      <c r="E466" s="560">
        <v>256</v>
      </c>
      <c r="F466" s="558" t="s">
        <v>2037</v>
      </c>
      <c r="G466" s="588">
        <v>116.4</v>
      </c>
      <c r="H466" s="546" t="s">
        <v>2899</v>
      </c>
      <c r="I466" s="563">
        <v>5762400</v>
      </c>
      <c r="J466" s="563">
        <v>0</v>
      </c>
      <c r="K466" s="564">
        <v>670743000</v>
      </c>
      <c r="L466" s="564">
        <v>0</v>
      </c>
      <c r="M466" s="586" t="s">
        <v>72</v>
      </c>
      <c r="N466" s="586"/>
      <c r="O466" s="590">
        <v>19</v>
      </c>
      <c r="P466" s="564">
        <v>132000</v>
      </c>
      <c r="Q466" s="564">
        <v>2508000</v>
      </c>
      <c r="R466" s="586" t="s">
        <v>1838</v>
      </c>
      <c r="S466" s="609" t="s">
        <v>53</v>
      </c>
      <c r="T466" s="591">
        <v>79.430000000000007</v>
      </c>
      <c r="U466" s="589"/>
      <c r="V466" s="564">
        <v>3156089</v>
      </c>
      <c r="W466" s="564">
        <v>250688000</v>
      </c>
      <c r="X466" s="589" t="s">
        <v>63</v>
      </c>
      <c r="Y466" s="592" t="s">
        <v>55</v>
      </c>
      <c r="Z466" s="592" t="s">
        <v>56</v>
      </c>
      <c r="AA466" s="568" t="s">
        <v>186</v>
      </c>
      <c r="AB466" s="592" t="s">
        <v>63</v>
      </c>
      <c r="AC466" s="568" t="s">
        <v>206</v>
      </c>
      <c r="AD466" s="569"/>
      <c r="AE466" s="563"/>
      <c r="AF466" s="570"/>
      <c r="AG466" s="570"/>
      <c r="AH466" s="571" t="s">
        <v>25</v>
      </c>
      <c r="AI466" s="558" t="s">
        <v>672</v>
      </c>
      <c r="AJ466" s="586" t="s">
        <v>2771</v>
      </c>
    </row>
    <row r="467" spans="1:36" s="376" customFormat="1" ht="101.25" outlineLevel="2" x14ac:dyDescent="0.3">
      <c r="A467" s="447">
        <v>41</v>
      </c>
      <c r="B467" s="628" t="s">
        <v>673</v>
      </c>
      <c r="C467" s="628"/>
      <c r="D467" s="587"/>
      <c r="E467" s="560"/>
      <c r="F467" s="558" t="s">
        <v>2469</v>
      </c>
      <c r="G467" s="588">
        <v>72</v>
      </c>
      <c r="H467" s="546">
        <v>72</v>
      </c>
      <c r="I467" s="563">
        <v>554400</v>
      </c>
      <c r="J467" s="563">
        <v>1663200</v>
      </c>
      <c r="K467" s="564">
        <v>39917000</v>
      </c>
      <c r="L467" s="564">
        <v>119750000</v>
      </c>
      <c r="M467" s="586" t="s">
        <v>73</v>
      </c>
      <c r="N467" s="586"/>
      <c r="O467" s="590">
        <v>20</v>
      </c>
      <c r="P467" s="564">
        <v>76000</v>
      </c>
      <c r="Q467" s="564">
        <v>1520000</v>
      </c>
      <c r="R467" s="586" t="s">
        <v>1884</v>
      </c>
      <c r="S467" s="609" t="s">
        <v>53</v>
      </c>
      <c r="T467" s="591">
        <v>23.5</v>
      </c>
      <c r="U467" s="589"/>
      <c r="V467" s="564">
        <v>984277</v>
      </c>
      <c r="W467" s="564">
        <v>23131000</v>
      </c>
      <c r="X467" s="589"/>
      <c r="Y467" s="592" t="s">
        <v>55</v>
      </c>
      <c r="Z467" s="592" t="s">
        <v>56</v>
      </c>
      <c r="AA467" s="568" t="s">
        <v>186</v>
      </c>
      <c r="AB467" s="592" t="s">
        <v>66</v>
      </c>
      <c r="AC467" s="592"/>
      <c r="AD467" s="569" t="s">
        <v>2789</v>
      </c>
      <c r="AE467" s="590">
        <v>1</v>
      </c>
      <c r="AF467" s="570">
        <v>13000000</v>
      </c>
      <c r="AG467" s="570">
        <v>13000000</v>
      </c>
      <c r="AH467" s="571" t="s">
        <v>25</v>
      </c>
      <c r="AI467" s="558" t="s">
        <v>504</v>
      </c>
      <c r="AJ467" s="605" t="s">
        <v>2448</v>
      </c>
    </row>
    <row r="468" spans="1:36" s="376" customFormat="1" ht="121.5" outlineLevel="2" x14ac:dyDescent="0.3">
      <c r="A468" s="447">
        <v>41</v>
      </c>
      <c r="B468" s="558" t="s">
        <v>309</v>
      </c>
      <c r="C468" s="558"/>
      <c r="D468" s="587"/>
      <c r="E468" s="560"/>
      <c r="F468" s="558" t="s">
        <v>2470</v>
      </c>
      <c r="G468" s="588">
        <v>7.1</v>
      </c>
      <c r="H468" s="546">
        <v>7.1</v>
      </c>
      <c r="I468" s="563">
        <v>554400</v>
      </c>
      <c r="J468" s="563">
        <v>1663200</v>
      </c>
      <c r="K468" s="564">
        <v>3936000</v>
      </c>
      <c r="L468" s="564">
        <v>11809000</v>
      </c>
      <c r="M468" s="586" t="s">
        <v>75</v>
      </c>
      <c r="N468" s="586"/>
      <c r="O468" s="590">
        <v>29</v>
      </c>
      <c r="P468" s="564">
        <v>34000</v>
      </c>
      <c r="Q468" s="564">
        <v>986000</v>
      </c>
      <c r="R468" s="586" t="s">
        <v>1884</v>
      </c>
      <c r="S468" s="609" t="s">
        <v>53</v>
      </c>
      <c r="T468" s="591">
        <v>13.3</v>
      </c>
      <c r="U468" s="589"/>
      <c r="V468" s="564">
        <v>984277</v>
      </c>
      <c r="W468" s="564">
        <v>13091000</v>
      </c>
      <c r="X468" s="589"/>
      <c r="Y468" s="592" t="s">
        <v>55</v>
      </c>
      <c r="Z468" s="592" t="s">
        <v>56</v>
      </c>
      <c r="AA468" s="568" t="s">
        <v>186</v>
      </c>
      <c r="AB468" s="592" t="s">
        <v>66</v>
      </c>
      <c r="AC468" s="592"/>
      <c r="AD468" s="606"/>
      <c r="AE468" s="590"/>
      <c r="AF468" s="570" t="s">
        <v>2899</v>
      </c>
      <c r="AG468" s="570" t="s">
        <v>25</v>
      </c>
      <c r="AH468" s="571" t="s">
        <v>25</v>
      </c>
      <c r="AI468" s="593" t="s">
        <v>207</v>
      </c>
      <c r="AJ468" s="558" t="s">
        <v>2450</v>
      </c>
    </row>
    <row r="469" spans="1:36" s="376" customFormat="1" ht="101.25" outlineLevel="2" x14ac:dyDescent="0.3">
      <c r="A469" s="447">
        <v>41</v>
      </c>
      <c r="B469" s="558"/>
      <c r="C469" s="558"/>
      <c r="D469" s="587"/>
      <c r="E469" s="560"/>
      <c r="F469" s="558"/>
      <c r="G469" s="588"/>
      <c r="H469" s="546"/>
      <c r="I469" s="563" t="s">
        <v>25</v>
      </c>
      <c r="J469" s="563" t="s">
        <v>25</v>
      </c>
      <c r="K469" s="564" t="s">
        <v>25</v>
      </c>
      <c r="L469" s="564" t="s">
        <v>25</v>
      </c>
      <c r="M469" s="586" t="s">
        <v>748</v>
      </c>
      <c r="N469" s="586"/>
      <c r="O469" s="590">
        <v>1</v>
      </c>
      <c r="P469" s="564">
        <v>0</v>
      </c>
      <c r="Q469" s="564">
        <v>0</v>
      </c>
      <c r="R469" s="586" t="s">
        <v>2290</v>
      </c>
      <c r="S469" s="609" t="s">
        <v>53</v>
      </c>
      <c r="T469" s="591">
        <v>4.5599999999999996</v>
      </c>
      <c r="U469" s="589"/>
      <c r="V469" s="564">
        <v>8308812</v>
      </c>
      <c r="W469" s="564">
        <v>37888000</v>
      </c>
      <c r="X469" s="589"/>
      <c r="Y469" s="592"/>
      <c r="Z469" s="592" t="s">
        <v>56</v>
      </c>
      <c r="AA469" s="568" t="s">
        <v>57</v>
      </c>
      <c r="AB469" s="592" t="s">
        <v>54</v>
      </c>
      <c r="AC469" s="592"/>
      <c r="AD469" s="592"/>
      <c r="AE469" s="590"/>
      <c r="AF469" s="570" t="s">
        <v>2899</v>
      </c>
      <c r="AG469" s="570" t="s">
        <v>25</v>
      </c>
      <c r="AH469" s="571" t="s">
        <v>25</v>
      </c>
      <c r="AI469" s="558" t="s">
        <v>506</v>
      </c>
      <c r="AJ469" s="558" t="s">
        <v>2449</v>
      </c>
    </row>
    <row r="470" spans="1:36" s="376" customFormat="1" ht="81" outlineLevel="2" x14ac:dyDescent="0.3">
      <c r="A470" s="447">
        <v>41</v>
      </c>
      <c r="B470" s="558"/>
      <c r="C470" s="558"/>
      <c r="D470" s="587"/>
      <c r="E470" s="560"/>
      <c r="F470" s="558"/>
      <c r="G470" s="588"/>
      <c r="H470" s="546"/>
      <c r="I470" s="563" t="s">
        <v>25</v>
      </c>
      <c r="J470" s="563" t="s">
        <v>25</v>
      </c>
      <c r="K470" s="564" t="s">
        <v>25</v>
      </c>
      <c r="L470" s="564" t="s">
        <v>25</v>
      </c>
      <c r="M470" s="586" t="s">
        <v>352</v>
      </c>
      <c r="N470" s="586"/>
      <c r="O470" s="590">
        <v>1</v>
      </c>
      <c r="P470" s="564">
        <v>60000</v>
      </c>
      <c r="Q470" s="564">
        <v>60000</v>
      </c>
      <c r="R470" s="586" t="s">
        <v>2308</v>
      </c>
      <c r="S470" s="609" t="s">
        <v>53</v>
      </c>
      <c r="T470" s="591">
        <v>32.9</v>
      </c>
      <c r="U470" s="589"/>
      <c r="V470" s="564">
        <v>0</v>
      </c>
      <c r="W470" s="564">
        <v>0</v>
      </c>
      <c r="X470" s="589"/>
      <c r="Y470" s="592"/>
      <c r="Z470" s="592"/>
      <c r="AA470" s="568"/>
      <c r="AB470" s="592"/>
      <c r="AC470" s="592"/>
      <c r="AD470" s="592"/>
      <c r="AE470" s="590"/>
      <c r="AF470" s="570" t="s">
        <v>2899</v>
      </c>
      <c r="AG470" s="570" t="s">
        <v>25</v>
      </c>
      <c r="AH470" s="571" t="s">
        <v>25</v>
      </c>
      <c r="AI470" s="558" t="s">
        <v>2074</v>
      </c>
      <c r="AJ470" s="558" t="s">
        <v>2451</v>
      </c>
    </row>
    <row r="471" spans="1:36" s="376" customFormat="1" ht="101.25" outlineLevel="2" x14ac:dyDescent="0.3">
      <c r="A471" s="447">
        <v>41</v>
      </c>
      <c r="B471" s="558"/>
      <c r="C471" s="558"/>
      <c r="D471" s="587"/>
      <c r="E471" s="560"/>
      <c r="F471" s="558"/>
      <c r="G471" s="588"/>
      <c r="H471" s="546"/>
      <c r="I471" s="563" t="s">
        <v>25</v>
      </c>
      <c r="J471" s="563" t="s">
        <v>25</v>
      </c>
      <c r="K471" s="564" t="s">
        <v>25</v>
      </c>
      <c r="L471" s="564" t="s">
        <v>25</v>
      </c>
      <c r="M471" s="586" t="s">
        <v>191</v>
      </c>
      <c r="N471" s="586"/>
      <c r="O471" s="590">
        <v>16</v>
      </c>
      <c r="P471" s="564">
        <v>10000</v>
      </c>
      <c r="Q471" s="564">
        <v>160000</v>
      </c>
      <c r="R471" s="586" t="s">
        <v>1749</v>
      </c>
      <c r="S471" s="609" t="s">
        <v>53</v>
      </c>
      <c r="T471" s="591">
        <v>32.9</v>
      </c>
      <c r="U471" s="589"/>
      <c r="V471" s="564">
        <v>211811</v>
      </c>
      <c r="W471" s="564">
        <v>6969000</v>
      </c>
      <c r="X471" s="589"/>
      <c r="Y471" s="592"/>
      <c r="Z471" s="592"/>
      <c r="AA471" s="568"/>
      <c r="AB471" s="592"/>
      <c r="AC471" s="592"/>
      <c r="AD471" s="592"/>
      <c r="AE471" s="590"/>
      <c r="AF471" s="570" t="s">
        <v>2899</v>
      </c>
      <c r="AG471" s="570" t="s">
        <v>25</v>
      </c>
      <c r="AH471" s="571" t="s">
        <v>25</v>
      </c>
      <c r="AI471" s="575"/>
      <c r="AJ471" s="558" t="s">
        <v>2800</v>
      </c>
    </row>
    <row r="472" spans="1:36" s="376" customFormat="1" ht="60.75" outlineLevel="2" x14ac:dyDescent="0.3">
      <c r="A472" s="447">
        <v>41</v>
      </c>
      <c r="B472" s="558"/>
      <c r="C472" s="558"/>
      <c r="D472" s="587"/>
      <c r="E472" s="560"/>
      <c r="F472" s="558"/>
      <c r="G472" s="588"/>
      <c r="H472" s="546"/>
      <c r="I472" s="563" t="s">
        <v>25</v>
      </c>
      <c r="J472" s="563" t="s">
        <v>25</v>
      </c>
      <c r="K472" s="564" t="s">
        <v>25</v>
      </c>
      <c r="L472" s="564" t="s">
        <v>25</v>
      </c>
      <c r="M472" s="586" t="s">
        <v>192</v>
      </c>
      <c r="N472" s="586"/>
      <c r="O472" s="590">
        <v>5</v>
      </c>
      <c r="P472" s="564">
        <v>8000</v>
      </c>
      <c r="Q472" s="564">
        <v>40000</v>
      </c>
      <c r="R472" s="586" t="s">
        <v>1749</v>
      </c>
      <c r="S472" s="609" t="s">
        <v>53</v>
      </c>
      <c r="T472" s="591">
        <v>26.91</v>
      </c>
      <c r="U472" s="589"/>
      <c r="V472" s="564">
        <v>211811</v>
      </c>
      <c r="W472" s="564">
        <v>5700000</v>
      </c>
      <c r="X472" s="589"/>
      <c r="Y472" s="592"/>
      <c r="Z472" s="592"/>
      <c r="AA472" s="568"/>
      <c r="AB472" s="592"/>
      <c r="AC472" s="592"/>
      <c r="AD472" s="592"/>
      <c r="AE472" s="590"/>
      <c r="AF472" s="570" t="s">
        <v>2899</v>
      </c>
      <c r="AG472" s="570" t="s">
        <v>25</v>
      </c>
      <c r="AH472" s="571" t="s">
        <v>25</v>
      </c>
      <c r="AI472" s="575"/>
      <c r="AJ472" s="593"/>
    </row>
    <row r="473" spans="1:36" s="376" customFormat="1" ht="60.75" outlineLevel="2" x14ac:dyDescent="0.3">
      <c r="A473" s="447">
        <v>41</v>
      </c>
      <c r="B473" s="558"/>
      <c r="C473" s="558"/>
      <c r="D473" s="587"/>
      <c r="E473" s="560"/>
      <c r="F473" s="558"/>
      <c r="G473" s="588"/>
      <c r="H473" s="546"/>
      <c r="I473" s="563" t="s">
        <v>25</v>
      </c>
      <c r="J473" s="563" t="s">
        <v>25</v>
      </c>
      <c r="K473" s="564" t="s">
        <v>25</v>
      </c>
      <c r="L473" s="564" t="s">
        <v>25</v>
      </c>
      <c r="M473" s="586" t="s">
        <v>154</v>
      </c>
      <c r="N473" s="586"/>
      <c r="O473" s="590">
        <v>5</v>
      </c>
      <c r="P473" s="564">
        <v>248000</v>
      </c>
      <c r="Q473" s="564">
        <v>1240000</v>
      </c>
      <c r="R473" s="586" t="s">
        <v>1749</v>
      </c>
      <c r="S473" s="609" t="s">
        <v>53</v>
      </c>
      <c r="T473" s="591">
        <v>3.7</v>
      </c>
      <c r="U473" s="589"/>
      <c r="V473" s="564">
        <v>211811</v>
      </c>
      <c r="W473" s="564">
        <v>784000</v>
      </c>
      <c r="X473" s="589"/>
      <c r="Y473" s="592"/>
      <c r="Z473" s="592"/>
      <c r="AA473" s="568"/>
      <c r="AB473" s="592"/>
      <c r="AC473" s="592"/>
      <c r="AD473" s="592"/>
      <c r="AE473" s="590"/>
      <c r="AF473" s="570" t="s">
        <v>2899</v>
      </c>
      <c r="AG473" s="570" t="s">
        <v>25</v>
      </c>
      <c r="AH473" s="571" t="s">
        <v>25</v>
      </c>
      <c r="AI473" s="593"/>
      <c r="AJ473" s="593"/>
    </row>
    <row r="474" spans="1:36" s="376" customFormat="1" ht="40.5" outlineLevel="2" x14ac:dyDescent="0.3">
      <c r="A474" s="447">
        <v>41</v>
      </c>
      <c r="B474" s="558"/>
      <c r="C474" s="558"/>
      <c r="D474" s="587"/>
      <c r="E474" s="560"/>
      <c r="F474" s="558"/>
      <c r="G474" s="588"/>
      <c r="H474" s="546"/>
      <c r="I474" s="563" t="s">
        <v>25</v>
      </c>
      <c r="J474" s="563" t="s">
        <v>25</v>
      </c>
      <c r="K474" s="564" t="s">
        <v>25</v>
      </c>
      <c r="L474" s="564" t="s">
        <v>25</v>
      </c>
      <c r="M474" s="586" t="s">
        <v>149</v>
      </c>
      <c r="N474" s="586"/>
      <c r="O474" s="590">
        <v>7</v>
      </c>
      <c r="P474" s="564">
        <v>146000</v>
      </c>
      <c r="Q474" s="564">
        <v>1022000</v>
      </c>
      <c r="R474" s="586" t="s">
        <v>2291</v>
      </c>
      <c r="S474" s="609" t="s">
        <v>78</v>
      </c>
      <c r="T474" s="591">
        <v>7.0000000000000007E-2</v>
      </c>
      <c r="U474" s="589"/>
      <c r="V474" s="564">
        <v>0</v>
      </c>
      <c r="W474" s="564">
        <v>0</v>
      </c>
      <c r="X474" s="589"/>
      <c r="Y474" s="592"/>
      <c r="Z474" s="592"/>
      <c r="AA474" s="568"/>
      <c r="AB474" s="592"/>
      <c r="AC474" s="592"/>
      <c r="AD474" s="592"/>
      <c r="AE474" s="590"/>
      <c r="AF474" s="570" t="s">
        <v>2899</v>
      </c>
      <c r="AG474" s="570" t="s">
        <v>25</v>
      </c>
      <c r="AH474" s="571" t="s">
        <v>25</v>
      </c>
      <c r="AI474" s="593"/>
      <c r="AJ474" s="593"/>
    </row>
    <row r="475" spans="1:36" s="376" customFormat="1" ht="40.5" outlineLevel="2" x14ac:dyDescent="0.3">
      <c r="A475" s="447">
        <v>41</v>
      </c>
      <c r="B475" s="558"/>
      <c r="C475" s="558"/>
      <c r="D475" s="587"/>
      <c r="E475" s="560"/>
      <c r="F475" s="558"/>
      <c r="G475" s="588"/>
      <c r="H475" s="546"/>
      <c r="I475" s="563" t="s">
        <v>25</v>
      </c>
      <c r="J475" s="563" t="s">
        <v>25</v>
      </c>
      <c r="K475" s="564" t="s">
        <v>25</v>
      </c>
      <c r="L475" s="564" t="s">
        <v>25</v>
      </c>
      <c r="M475" s="586" t="s">
        <v>193</v>
      </c>
      <c r="N475" s="586"/>
      <c r="O475" s="590">
        <v>1</v>
      </c>
      <c r="P475" s="564">
        <v>275000</v>
      </c>
      <c r="Q475" s="564">
        <v>275000</v>
      </c>
      <c r="R475" s="586" t="s">
        <v>2293</v>
      </c>
      <c r="S475" s="609" t="s">
        <v>53</v>
      </c>
      <c r="T475" s="591">
        <v>0.9</v>
      </c>
      <c r="U475" s="589"/>
      <c r="V475" s="564">
        <v>254982</v>
      </c>
      <c r="W475" s="564">
        <v>229000</v>
      </c>
      <c r="X475" s="589"/>
      <c r="Y475" s="592"/>
      <c r="Z475" s="592"/>
      <c r="AA475" s="568"/>
      <c r="AB475" s="592"/>
      <c r="AC475" s="592"/>
      <c r="AD475" s="592"/>
      <c r="AE475" s="590"/>
      <c r="AF475" s="570" t="s">
        <v>2899</v>
      </c>
      <c r="AG475" s="570" t="s">
        <v>25</v>
      </c>
      <c r="AH475" s="571" t="s">
        <v>25</v>
      </c>
      <c r="AI475" s="593"/>
      <c r="AJ475" s="593"/>
    </row>
    <row r="476" spans="1:36" s="376" customFormat="1" ht="60.75" outlineLevel="2" x14ac:dyDescent="0.3">
      <c r="A476" s="447">
        <v>41</v>
      </c>
      <c r="B476" s="558"/>
      <c r="C476" s="558"/>
      <c r="D476" s="587"/>
      <c r="E476" s="560"/>
      <c r="F476" s="558"/>
      <c r="G476" s="588"/>
      <c r="H476" s="546"/>
      <c r="I476" s="563" t="s">
        <v>25</v>
      </c>
      <c r="J476" s="563" t="s">
        <v>25</v>
      </c>
      <c r="K476" s="564" t="s">
        <v>25</v>
      </c>
      <c r="L476" s="564" t="s">
        <v>25</v>
      </c>
      <c r="M476" s="586" t="s">
        <v>194</v>
      </c>
      <c r="N476" s="586"/>
      <c r="O476" s="590">
        <v>15</v>
      </c>
      <c r="P476" s="564">
        <v>13000</v>
      </c>
      <c r="Q476" s="564">
        <v>195000</v>
      </c>
      <c r="R476" s="586" t="s">
        <v>2292</v>
      </c>
      <c r="S476" s="609" t="s">
        <v>53</v>
      </c>
      <c r="T476" s="591">
        <v>0.9</v>
      </c>
      <c r="U476" s="589"/>
      <c r="V476" s="564">
        <v>310020</v>
      </c>
      <c r="W476" s="564">
        <v>279000</v>
      </c>
      <c r="X476" s="589"/>
      <c r="Y476" s="592"/>
      <c r="Z476" s="592"/>
      <c r="AA476" s="568"/>
      <c r="AB476" s="592"/>
      <c r="AC476" s="592"/>
      <c r="AD476" s="592"/>
      <c r="AE476" s="590"/>
      <c r="AF476" s="570" t="s">
        <v>2899</v>
      </c>
      <c r="AG476" s="570" t="s">
        <v>25</v>
      </c>
      <c r="AH476" s="571" t="s">
        <v>25</v>
      </c>
      <c r="AI476" s="593"/>
      <c r="AJ476" s="593"/>
    </row>
    <row r="477" spans="1:36" s="376" customFormat="1" ht="40.5" outlineLevel="2" x14ac:dyDescent="0.3">
      <c r="A477" s="447">
        <v>41</v>
      </c>
      <c r="B477" s="574"/>
      <c r="C477" s="574"/>
      <c r="D477" s="587"/>
      <c r="E477" s="560"/>
      <c r="F477" s="558"/>
      <c r="G477" s="588"/>
      <c r="H477" s="546"/>
      <c r="I477" s="563" t="s">
        <v>25</v>
      </c>
      <c r="J477" s="563" t="s">
        <v>25</v>
      </c>
      <c r="K477" s="564" t="s">
        <v>25</v>
      </c>
      <c r="L477" s="564" t="s">
        <v>25</v>
      </c>
      <c r="M477" s="646"/>
      <c r="N477" s="646"/>
      <c r="O477" s="658"/>
      <c r="P477" s="564" t="s">
        <v>25</v>
      </c>
      <c r="Q477" s="564" t="s">
        <v>25</v>
      </c>
      <c r="R477" s="586" t="s">
        <v>2309</v>
      </c>
      <c r="S477" s="609" t="s">
        <v>53</v>
      </c>
      <c r="T477" s="591">
        <v>5.2</v>
      </c>
      <c r="U477" s="589"/>
      <c r="V477" s="564">
        <v>0</v>
      </c>
      <c r="W477" s="564">
        <v>0</v>
      </c>
      <c r="X477" s="589"/>
      <c r="Y477" s="592"/>
      <c r="Z477" s="592"/>
      <c r="AA477" s="568"/>
      <c r="AB477" s="592"/>
      <c r="AC477" s="592"/>
      <c r="AD477" s="592"/>
      <c r="AE477" s="590"/>
      <c r="AF477" s="570" t="s">
        <v>2899</v>
      </c>
      <c r="AG477" s="570" t="s">
        <v>25</v>
      </c>
      <c r="AH477" s="571" t="s">
        <v>25</v>
      </c>
      <c r="AI477" s="593"/>
      <c r="AJ477" s="593"/>
    </row>
    <row r="478" spans="1:36" s="376" customFormat="1" ht="101.25" outlineLevel="2" x14ac:dyDescent="0.3">
      <c r="A478" s="447">
        <v>41</v>
      </c>
      <c r="B478" s="558"/>
      <c r="C478" s="558"/>
      <c r="D478" s="587"/>
      <c r="E478" s="560"/>
      <c r="F478" s="558"/>
      <c r="G478" s="588"/>
      <c r="H478" s="546"/>
      <c r="I478" s="563" t="s">
        <v>25</v>
      </c>
      <c r="J478" s="563" t="s">
        <v>25</v>
      </c>
      <c r="K478" s="564" t="s">
        <v>25</v>
      </c>
      <c r="L478" s="564" t="s">
        <v>25</v>
      </c>
      <c r="M478" s="646"/>
      <c r="N478" s="646"/>
      <c r="O478" s="658"/>
      <c r="P478" s="564" t="s">
        <v>25</v>
      </c>
      <c r="Q478" s="564" t="s">
        <v>25</v>
      </c>
      <c r="R478" s="586" t="s">
        <v>2310</v>
      </c>
      <c r="S478" s="609" t="s">
        <v>53</v>
      </c>
      <c r="T478" s="591">
        <v>18.63</v>
      </c>
      <c r="U478" s="589"/>
      <c r="V478" s="564">
        <v>441467</v>
      </c>
      <c r="W478" s="564">
        <v>8225000</v>
      </c>
      <c r="X478" s="589"/>
      <c r="Y478" s="592"/>
      <c r="Z478" s="592"/>
      <c r="AA478" s="568"/>
      <c r="AB478" s="592"/>
      <c r="AC478" s="592"/>
      <c r="AD478" s="592"/>
      <c r="AE478" s="590"/>
      <c r="AF478" s="570" t="s">
        <v>2899</v>
      </c>
      <c r="AG478" s="570" t="s">
        <v>25</v>
      </c>
      <c r="AH478" s="571" t="s">
        <v>25</v>
      </c>
      <c r="AI478" s="593"/>
      <c r="AJ478" s="593"/>
    </row>
    <row r="479" spans="1:36" s="376" customFormat="1" ht="60.75" outlineLevel="2" x14ac:dyDescent="0.3">
      <c r="A479" s="447">
        <v>41</v>
      </c>
      <c r="B479" s="635"/>
      <c r="C479" s="635"/>
      <c r="D479" s="587"/>
      <c r="E479" s="560"/>
      <c r="F479" s="558"/>
      <c r="G479" s="588"/>
      <c r="H479" s="546"/>
      <c r="I479" s="563" t="s">
        <v>25</v>
      </c>
      <c r="J479" s="563" t="s">
        <v>25</v>
      </c>
      <c r="K479" s="564" t="s">
        <v>25</v>
      </c>
      <c r="L479" s="564" t="s">
        <v>25</v>
      </c>
      <c r="M479" s="646"/>
      <c r="N479" s="646"/>
      <c r="O479" s="658"/>
      <c r="P479" s="564" t="s">
        <v>25</v>
      </c>
      <c r="Q479" s="564" t="s">
        <v>25</v>
      </c>
      <c r="R479" s="586" t="s">
        <v>2311</v>
      </c>
      <c r="S479" s="609" t="s">
        <v>53</v>
      </c>
      <c r="T479" s="591">
        <v>8.2799999999999994</v>
      </c>
      <c r="U479" s="589"/>
      <c r="V479" s="564">
        <v>441467</v>
      </c>
      <c r="W479" s="564">
        <v>3655000</v>
      </c>
      <c r="X479" s="589"/>
      <c r="Y479" s="592"/>
      <c r="Z479" s="592"/>
      <c r="AA479" s="568"/>
      <c r="AB479" s="592"/>
      <c r="AC479" s="592"/>
      <c r="AD479" s="592"/>
      <c r="AE479" s="590"/>
      <c r="AF479" s="570" t="s">
        <v>2899</v>
      </c>
      <c r="AG479" s="570" t="s">
        <v>25</v>
      </c>
      <c r="AH479" s="571" t="s">
        <v>25</v>
      </c>
      <c r="AI479" s="593"/>
      <c r="AJ479" s="593"/>
    </row>
    <row r="480" spans="1:36" s="376" customFormat="1" ht="81" outlineLevel="2" x14ac:dyDescent="0.3">
      <c r="A480" s="447">
        <v>41</v>
      </c>
      <c r="B480" s="558"/>
      <c r="C480" s="558"/>
      <c r="D480" s="587"/>
      <c r="E480" s="560"/>
      <c r="F480" s="558"/>
      <c r="G480" s="588"/>
      <c r="H480" s="546"/>
      <c r="I480" s="563" t="s">
        <v>25</v>
      </c>
      <c r="J480" s="563" t="s">
        <v>25</v>
      </c>
      <c r="K480" s="564" t="s">
        <v>25</v>
      </c>
      <c r="L480" s="564" t="s">
        <v>25</v>
      </c>
      <c r="M480" s="558"/>
      <c r="N480" s="558"/>
      <c r="O480" s="590"/>
      <c r="P480" s="564" t="s">
        <v>25</v>
      </c>
      <c r="Q480" s="564" t="s">
        <v>25</v>
      </c>
      <c r="R480" s="566" t="s">
        <v>2312</v>
      </c>
      <c r="S480" s="589" t="s">
        <v>101</v>
      </c>
      <c r="T480" s="591">
        <v>50</v>
      </c>
      <c r="U480" s="589"/>
      <c r="V480" s="564">
        <v>80723</v>
      </c>
      <c r="W480" s="564">
        <v>4036000</v>
      </c>
      <c r="X480" s="589"/>
      <c r="Y480" s="592"/>
      <c r="Z480" s="592"/>
      <c r="AA480" s="568"/>
      <c r="AB480" s="592"/>
      <c r="AC480" s="592"/>
      <c r="AD480" s="592"/>
      <c r="AE480" s="590"/>
      <c r="AF480" s="570" t="s">
        <v>2899</v>
      </c>
      <c r="AG480" s="570" t="s">
        <v>25</v>
      </c>
      <c r="AH480" s="571" t="s">
        <v>25</v>
      </c>
      <c r="AI480" s="659"/>
      <c r="AJ480" s="659"/>
    </row>
    <row r="481" spans="1:36" s="376" customFormat="1" ht="40.5" outlineLevel="2" x14ac:dyDescent="0.3">
      <c r="A481" s="447">
        <v>41</v>
      </c>
      <c r="B481" s="558"/>
      <c r="C481" s="558"/>
      <c r="D481" s="587"/>
      <c r="E481" s="560"/>
      <c r="F481" s="558"/>
      <c r="G481" s="588"/>
      <c r="H481" s="546"/>
      <c r="I481" s="563" t="s">
        <v>25</v>
      </c>
      <c r="J481" s="563" t="s">
        <v>25</v>
      </c>
      <c r="K481" s="564" t="s">
        <v>25</v>
      </c>
      <c r="L481" s="564" t="s">
        <v>25</v>
      </c>
      <c r="M481" s="558"/>
      <c r="N481" s="558"/>
      <c r="O481" s="590"/>
      <c r="P481" s="564" t="s">
        <v>25</v>
      </c>
      <c r="Q481" s="564" t="s">
        <v>25</v>
      </c>
      <c r="R481" s="586" t="s">
        <v>1748</v>
      </c>
      <c r="S481" s="589" t="s">
        <v>53</v>
      </c>
      <c r="T481" s="591">
        <v>5.88</v>
      </c>
      <c r="U481" s="589"/>
      <c r="V481" s="564">
        <v>0</v>
      </c>
      <c r="W481" s="564">
        <v>0</v>
      </c>
      <c r="X481" s="589"/>
      <c r="Y481" s="592"/>
      <c r="Z481" s="592"/>
      <c r="AA481" s="568"/>
      <c r="AB481" s="592"/>
      <c r="AC481" s="592"/>
      <c r="AD481" s="592"/>
      <c r="AE481" s="590"/>
      <c r="AF481" s="570" t="s">
        <v>2899</v>
      </c>
      <c r="AG481" s="570" t="s">
        <v>25</v>
      </c>
      <c r="AH481" s="571" t="s">
        <v>25</v>
      </c>
      <c r="AI481" s="593"/>
      <c r="AJ481" s="593"/>
    </row>
    <row r="482" spans="1:36" s="376" customFormat="1" ht="60.75" outlineLevel="2" x14ac:dyDescent="0.3">
      <c r="A482" s="447">
        <v>41</v>
      </c>
      <c r="B482" s="607"/>
      <c r="C482" s="607"/>
      <c r="D482" s="612"/>
      <c r="E482" s="612"/>
      <c r="F482" s="558"/>
      <c r="G482" s="588"/>
      <c r="H482" s="546"/>
      <c r="I482" s="563" t="s">
        <v>25</v>
      </c>
      <c r="J482" s="563" t="s">
        <v>25</v>
      </c>
      <c r="K482" s="564" t="s">
        <v>25</v>
      </c>
      <c r="L482" s="564" t="s">
        <v>25</v>
      </c>
      <c r="M482" s="558"/>
      <c r="N482" s="558"/>
      <c r="O482" s="590"/>
      <c r="P482" s="564" t="s">
        <v>25</v>
      </c>
      <c r="Q482" s="564" t="s">
        <v>25</v>
      </c>
      <c r="R482" s="566" t="s">
        <v>1749</v>
      </c>
      <c r="S482" s="589" t="s">
        <v>53</v>
      </c>
      <c r="T482" s="591">
        <v>5.88</v>
      </c>
      <c r="U482" s="589"/>
      <c r="V482" s="564">
        <v>211811</v>
      </c>
      <c r="W482" s="564">
        <v>1245000</v>
      </c>
      <c r="X482" s="589"/>
      <c r="Y482" s="592"/>
      <c r="Z482" s="592"/>
      <c r="AA482" s="568"/>
      <c r="AB482" s="592"/>
      <c r="AC482" s="592"/>
      <c r="AD482" s="592"/>
      <c r="AE482" s="590"/>
      <c r="AF482" s="570" t="s">
        <v>2899</v>
      </c>
      <c r="AG482" s="570" t="s">
        <v>25</v>
      </c>
      <c r="AH482" s="571" t="s">
        <v>25</v>
      </c>
      <c r="AI482" s="593"/>
      <c r="AJ482" s="593"/>
    </row>
    <row r="483" spans="1:36" s="376" customFormat="1" ht="40.5" outlineLevel="2" x14ac:dyDescent="0.3">
      <c r="A483" s="447">
        <v>41</v>
      </c>
      <c r="B483" s="558"/>
      <c r="C483" s="558"/>
      <c r="D483" s="612"/>
      <c r="E483" s="612"/>
      <c r="F483" s="586"/>
      <c r="G483" s="588"/>
      <c r="H483" s="546"/>
      <c r="I483" s="563" t="s">
        <v>25</v>
      </c>
      <c r="J483" s="563" t="s">
        <v>25</v>
      </c>
      <c r="K483" s="564" t="s">
        <v>25</v>
      </c>
      <c r="L483" s="564" t="s">
        <v>25</v>
      </c>
      <c r="M483" s="558"/>
      <c r="N483" s="558"/>
      <c r="O483" s="590"/>
      <c r="P483" s="564" t="s">
        <v>25</v>
      </c>
      <c r="Q483" s="564" t="s">
        <v>25</v>
      </c>
      <c r="R483" s="566" t="s">
        <v>1839</v>
      </c>
      <c r="S483" s="609" t="s">
        <v>53</v>
      </c>
      <c r="T483" s="591">
        <v>36.799999999999997</v>
      </c>
      <c r="U483" s="589"/>
      <c r="V483" s="564">
        <v>244604</v>
      </c>
      <c r="W483" s="564">
        <v>9001000</v>
      </c>
      <c r="X483" s="589"/>
      <c r="Y483" s="592"/>
      <c r="Z483" s="592"/>
      <c r="AA483" s="568"/>
      <c r="AB483" s="592"/>
      <c r="AC483" s="592"/>
      <c r="AD483" s="592"/>
      <c r="AE483" s="590"/>
      <c r="AF483" s="570" t="s">
        <v>2899</v>
      </c>
      <c r="AG483" s="570" t="s">
        <v>25</v>
      </c>
      <c r="AH483" s="571" t="s">
        <v>25</v>
      </c>
      <c r="AI483" s="593"/>
      <c r="AJ483" s="593"/>
    </row>
    <row r="484" spans="1:36" s="376" customFormat="1" ht="101.25" outlineLevel="2" x14ac:dyDescent="0.3">
      <c r="A484" s="447">
        <v>41</v>
      </c>
      <c r="B484" s="572"/>
      <c r="C484" s="572"/>
      <c r="D484" s="587"/>
      <c r="E484" s="615"/>
      <c r="F484" s="586"/>
      <c r="G484" s="588"/>
      <c r="H484" s="546"/>
      <c r="I484" s="563" t="s">
        <v>25</v>
      </c>
      <c r="J484" s="563" t="s">
        <v>25</v>
      </c>
      <c r="K484" s="564" t="s">
        <v>25</v>
      </c>
      <c r="L484" s="564" t="s">
        <v>25</v>
      </c>
      <c r="M484" s="646"/>
      <c r="N484" s="646"/>
      <c r="O484" s="658"/>
      <c r="P484" s="564" t="s">
        <v>25</v>
      </c>
      <c r="Q484" s="564" t="s">
        <v>25</v>
      </c>
      <c r="R484" s="566" t="s">
        <v>2313</v>
      </c>
      <c r="S484" s="609" t="s">
        <v>93</v>
      </c>
      <c r="T484" s="591">
        <v>1</v>
      </c>
      <c r="U484" s="589"/>
      <c r="V484" s="564">
        <v>0</v>
      </c>
      <c r="W484" s="564">
        <v>0</v>
      </c>
      <c r="X484" s="589"/>
      <c r="Y484" s="592"/>
      <c r="Z484" s="592"/>
      <c r="AA484" s="568"/>
      <c r="AB484" s="592"/>
      <c r="AC484" s="592"/>
      <c r="AD484" s="592"/>
      <c r="AE484" s="590"/>
      <c r="AF484" s="570" t="s">
        <v>2899</v>
      </c>
      <c r="AG484" s="570" t="s">
        <v>25</v>
      </c>
      <c r="AH484" s="571" t="s">
        <v>25</v>
      </c>
      <c r="AI484" s="593"/>
      <c r="AJ484" s="593"/>
    </row>
    <row r="485" spans="1:36" s="376" customFormat="1" ht="60.75" outlineLevel="2" x14ac:dyDescent="0.3">
      <c r="A485" s="447">
        <v>41</v>
      </c>
      <c r="B485" s="574"/>
      <c r="C485" s="574"/>
      <c r="D485" s="612"/>
      <c r="E485" s="612"/>
      <c r="F485" s="558"/>
      <c r="G485" s="604"/>
      <c r="H485" s="546"/>
      <c r="I485" s="563" t="s">
        <v>25</v>
      </c>
      <c r="J485" s="563" t="s">
        <v>25</v>
      </c>
      <c r="K485" s="564" t="s">
        <v>25</v>
      </c>
      <c r="L485" s="564" t="s">
        <v>25</v>
      </c>
      <c r="M485" s="593"/>
      <c r="N485" s="593"/>
      <c r="O485" s="616"/>
      <c r="P485" s="564" t="s">
        <v>25</v>
      </c>
      <c r="Q485" s="564" t="s">
        <v>25</v>
      </c>
      <c r="R485" s="558" t="s">
        <v>2314</v>
      </c>
      <c r="S485" s="609" t="s">
        <v>53</v>
      </c>
      <c r="T485" s="591">
        <v>6.54</v>
      </c>
      <c r="U485" s="589"/>
      <c r="V485" s="564">
        <v>142450</v>
      </c>
      <c r="W485" s="564">
        <v>932000</v>
      </c>
      <c r="X485" s="589"/>
      <c r="Y485" s="589"/>
      <c r="Z485" s="589"/>
      <c r="AA485" s="562"/>
      <c r="AB485" s="589"/>
      <c r="AC485" s="589"/>
      <c r="AD485" s="589"/>
      <c r="AE485" s="629"/>
      <c r="AF485" s="570" t="s">
        <v>2899</v>
      </c>
      <c r="AG485" s="570" t="s">
        <v>25</v>
      </c>
      <c r="AH485" s="571" t="s">
        <v>25</v>
      </c>
      <c r="AI485" s="593"/>
      <c r="AJ485" s="593"/>
    </row>
    <row r="486" spans="1:36" s="376" customFormat="1" ht="20.25" outlineLevel="2" x14ac:dyDescent="0.3">
      <c r="A486" s="447">
        <v>41</v>
      </c>
      <c r="B486" s="558"/>
      <c r="C486" s="558"/>
      <c r="D486" s="587"/>
      <c r="E486" s="560"/>
      <c r="F486" s="586"/>
      <c r="G486" s="588"/>
      <c r="H486" s="546"/>
      <c r="I486" s="563" t="s">
        <v>25</v>
      </c>
      <c r="J486" s="563" t="s">
        <v>25</v>
      </c>
      <c r="K486" s="564" t="s">
        <v>25</v>
      </c>
      <c r="L486" s="564" t="s">
        <v>25</v>
      </c>
      <c r="M486" s="646"/>
      <c r="N486" s="646"/>
      <c r="O486" s="658"/>
      <c r="P486" s="564" t="s">
        <v>25</v>
      </c>
      <c r="Q486" s="564" t="s">
        <v>25</v>
      </c>
      <c r="R486" s="586"/>
      <c r="S486" s="609"/>
      <c r="T486" s="591"/>
      <c r="U486" s="589"/>
      <c r="V486" s="564" t="s">
        <v>2899</v>
      </c>
      <c r="W486" s="564" t="s">
        <v>25</v>
      </c>
      <c r="X486" s="589"/>
      <c r="Y486" s="592"/>
      <c r="Z486" s="592"/>
      <c r="AA486" s="568"/>
      <c r="AB486" s="592"/>
      <c r="AC486" s="592"/>
      <c r="AD486" s="592"/>
      <c r="AE486" s="590"/>
      <c r="AF486" s="570" t="s">
        <v>2899</v>
      </c>
      <c r="AG486" s="570" t="s">
        <v>25</v>
      </c>
      <c r="AH486" s="571" t="s">
        <v>25</v>
      </c>
      <c r="AI486" s="593"/>
      <c r="AJ486" s="593"/>
    </row>
    <row r="487" spans="1:36" s="376" customFormat="1" ht="20.25" outlineLevel="2" x14ac:dyDescent="0.3">
      <c r="A487" s="447">
        <v>41</v>
      </c>
      <c r="B487" s="574"/>
      <c r="C487" s="574"/>
      <c r="D487" s="595"/>
      <c r="E487" s="577"/>
      <c r="F487" s="558"/>
      <c r="G487" s="588"/>
      <c r="H487" s="546"/>
      <c r="I487" s="563" t="s">
        <v>25</v>
      </c>
      <c r="J487" s="563" t="s">
        <v>25</v>
      </c>
      <c r="K487" s="564" t="s">
        <v>25</v>
      </c>
      <c r="L487" s="564" t="s">
        <v>25</v>
      </c>
      <c r="M487" s="558"/>
      <c r="N487" s="558"/>
      <c r="O487" s="590"/>
      <c r="P487" s="564" t="s">
        <v>25</v>
      </c>
      <c r="Q487" s="564" t="s">
        <v>25</v>
      </c>
      <c r="R487" s="566"/>
      <c r="S487" s="589"/>
      <c r="T487" s="591"/>
      <c r="U487" s="589"/>
      <c r="V487" s="564" t="s">
        <v>2899</v>
      </c>
      <c r="W487" s="564" t="s">
        <v>25</v>
      </c>
      <c r="X487" s="589"/>
      <c r="Y487" s="592"/>
      <c r="Z487" s="592"/>
      <c r="AA487" s="568"/>
      <c r="AB487" s="592"/>
      <c r="AC487" s="592"/>
      <c r="AD487" s="592"/>
      <c r="AE487" s="590"/>
      <c r="AF487" s="570" t="s">
        <v>2899</v>
      </c>
      <c r="AG487" s="570" t="s">
        <v>25</v>
      </c>
      <c r="AH487" s="571" t="s">
        <v>25</v>
      </c>
      <c r="AI487" s="593"/>
      <c r="AJ487" s="593"/>
    </row>
    <row r="488" spans="1:36" s="376" customFormat="1" ht="40.5" outlineLevel="1" x14ac:dyDescent="0.25">
      <c r="A488" s="467">
        <v>42</v>
      </c>
      <c r="B488" s="574" t="s">
        <v>35</v>
      </c>
      <c r="C488" s="773" t="s">
        <v>2902</v>
      </c>
      <c r="D488" s="587">
        <v>86</v>
      </c>
      <c r="E488" s="560">
        <v>256</v>
      </c>
      <c r="F488" s="574"/>
      <c r="G488" s="618">
        <v>49.2</v>
      </c>
      <c r="H488" s="579">
        <v>0</v>
      </c>
      <c r="I488" s="581"/>
      <c r="J488" s="581"/>
      <c r="K488" s="571">
        <v>283510000</v>
      </c>
      <c r="L488" s="571">
        <v>0</v>
      </c>
      <c r="M488" s="574"/>
      <c r="N488" s="574"/>
      <c r="O488" s="599">
        <v>0</v>
      </c>
      <c r="P488" s="571"/>
      <c r="Q488" s="571">
        <v>0</v>
      </c>
      <c r="R488" s="582"/>
      <c r="S488" s="597"/>
      <c r="T488" s="600">
        <v>0</v>
      </c>
      <c r="U488" s="597"/>
      <c r="V488" s="571"/>
      <c r="W488" s="571">
        <v>0</v>
      </c>
      <c r="X488" s="589"/>
      <c r="Y488" s="592"/>
      <c r="Z488" s="592"/>
      <c r="AA488" s="568"/>
      <c r="AB488" s="592"/>
      <c r="AC488" s="592"/>
      <c r="AD488" s="601"/>
      <c r="AE488" s="599">
        <f>SUBTOTAL(9,AE489:AE495)</f>
        <v>0</v>
      </c>
      <c r="AF488" s="585"/>
      <c r="AG488" s="585">
        <v>0</v>
      </c>
      <c r="AH488" s="571">
        <v>283510000</v>
      </c>
      <c r="AI488" s="574"/>
      <c r="AJ488" s="578"/>
    </row>
    <row r="489" spans="1:36" s="376" customFormat="1" ht="202.5" outlineLevel="2" x14ac:dyDescent="0.3">
      <c r="A489" s="447">
        <v>42</v>
      </c>
      <c r="B489" s="558" t="s">
        <v>190</v>
      </c>
      <c r="C489" s="558"/>
      <c r="D489" s="587"/>
      <c r="E489" s="560"/>
      <c r="F489" s="558" t="s">
        <v>2038</v>
      </c>
      <c r="G489" s="588">
        <v>49.2</v>
      </c>
      <c r="H489" s="546" t="s">
        <v>2899</v>
      </c>
      <c r="I489" s="563">
        <v>5762400</v>
      </c>
      <c r="J489" s="563">
        <v>0</v>
      </c>
      <c r="K489" s="564">
        <v>283510000</v>
      </c>
      <c r="L489" s="564">
        <v>0</v>
      </c>
      <c r="M489" s="558"/>
      <c r="N489" s="558"/>
      <c r="O489" s="590"/>
      <c r="P489" s="564"/>
      <c r="Q489" s="564"/>
      <c r="R489" s="566"/>
      <c r="S489" s="589"/>
      <c r="T489" s="591"/>
      <c r="U489" s="589"/>
      <c r="V489" s="564" t="s">
        <v>2899</v>
      </c>
      <c r="W489" s="564" t="s">
        <v>25</v>
      </c>
      <c r="X489" s="589"/>
      <c r="Y489" s="592"/>
      <c r="Z489" s="592"/>
      <c r="AA489" s="568"/>
      <c r="AB489" s="592"/>
      <c r="AC489" s="592"/>
      <c r="AD489" s="592"/>
      <c r="AE489" s="590"/>
      <c r="AF489" s="570" t="s">
        <v>2899</v>
      </c>
      <c r="AG489" s="570"/>
      <c r="AH489" s="571" t="s">
        <v>25</v>
      </c>
      <c r="AI489" s="558" t="s">
        <v>2203</v>
      </c>
      <c r="AJ489" s="586" t="s">
        <v>2771</v>
      </c>
    </row>
    <row r="490" spans="1:36" s="376" customFormat="1" ht="101.25" outlineLevel="2" x14ac:dyDescent="0.3">
      <c r="A490" s="447">
        <v>42</v>
      </c>
      <c r="B490" s="628" t="s">
        <v>673</v>
      </c>
      <c r="C490" s="628"/>
      <c r="D490" s="587"/>
      <c r="E490" s="560"/>
      <c r="F490" s="558"/>
      <c r="G490" s="588"/>
      <c r="H490" s="546"/>
      <c r="I490" s="563" t="s">
        <v>25</v>
      </c>
      <c r="J490" s="563" t="s">
        <v>25</v>
      </c>
      <c r="K490" s="564" t="s">
        <v>25</v>
      </c>
      <c r="L490" s="564" t="s">
        <v>25</v>
      </c>
      <c r="M490" s="558"/>
      <c r="N490" s="558"/>
      <c r="O490" s="590"/>
      <c r="P490" s="564"/>
      <c r="Q490" s="564"/>
      <c r="R490" s="566"/>
      <c r="S490" s="589"/>
      <c r="T490" s="591"/>
      <c r="U490" s="589"/>
      <c r="V490" s="564" t="s">
        <v>2899</v>
      </c>
      <c r="W490" s="564" t="s">
        <v>25</v>
      </c>
      <c r="X490" s="589"/>
      <c r="Y490" s="592"/>
      <c r="Z490" s="592"/>
      <c r="AA490" s="568"/>
      <c r="AB490" s="592"/>
      <c r="AC490" s="592"/>
      <c r="AD490" s="592"/>
      <c r="AE490" s="590"/>
      <c r="AF490" s="570" t="s">
        <v>2899</v>
      </c>
      <c r="AG490" s="570"/>
      <c r="AH490" s="571" t="s">
        <v>25</v>
      </c>
      <c r="AI490" s="558"/>
      <c r="AJ490" s="593"/>
    </row>
    <row r="491" spans="1:36" s="376" customFormat="1" ht="40.5" outlineLevel="2" x14ac:dyDescent="0.3">
      <c r="A491" s="447">
        <v>42</v>
      </c>
      <c r="B491" s="558" t="s">
        <v>309</v>
      </c>
      <c r="C491" s="558"/>
      <c r="D491" s="587"/>
      <c r="E491" s="560"/>
      <c r="F491" s="558"/>
      <c r="G491" s="588"/>
      <c r="H491" s="546"/>
      <c r="I491" s="563" t="s">
        <v>25</v>
      </c>
      <c r="J491" s="563" t="s">
        <v>25</v>
      </c>
      <c r="K491" s="564" t="s">
        <v>25</v>
      </c>
      <c r="L491" s="564" t="s">
        <v>25</v>
      </c>
      <c r="M491" s="558"/>
      <c r="N491" s="558"/>
      <c r="O491" s="590"/>
      <c r="P491" s="564"/>
      <c r="Q491" s="564"/>
      <c r="R491" s="566"/>
      <c r="S491" s="589"/>
      <c r="T491" s="591"/>
      <c r="U491" s="589"/>
      <c r="V491" s="564" t="s">
        <v>2899</v>
      </c>
      <c r="W491" s="564" t="s">
        <v>25</v>
      </c>
      <c r="X491" s="589"/>
      <c r="Y491" s="592"/>
      <c r="Z491" s="592"/>
      <c r="AA491" s="568"/>
      <c r="AB491" s="592"/>
      <c r="AC491" s="592"/>
      <c r="AD491" s="592"/>
      <c r="AE491" s="590"/>
      <c r="AF491" s="570" t="s">
        <v>2899</v>
      </c>
      <c r="AG491" s="570"/>
      <c r="AH491" s="571" t="s">
        <v>25</v>
      </c>
      <c r="AI491" s="593"/>
      <c r="AJ491" s="593"/>
    </row>
    <row r="492" spans="1:36" s="376" customFormat="1" ht="20.25" outlineLevel="2" x14ac:dyDescent="0.3">
      <c r="A492" s="447">
        <v>42</v>
      </c>
      <c r="B492" s="558"/>
      <c r="C492" s="558"/>
      <c r="D492" s="587"/>
      <c r="E492" s="560"/>
      <c r="F492" s="558"/>
      <c r="G492" s="588"/>
      <c r="H492" s="546"/>
      <c r="I492" s="563" t="s">
        <v>25</v>
      </c>
      <c r="J492" s="563" t="s">
        <v>25</v>
      </c>
      <c r="K492" s="564" t="s">
        <v>25</v>
      </c>
      <c r="L492" s="564" t="s">
        <v>25</v>
      </c>
      <c r="M492" s="558"/>
      <c r="N492" s="558"/>
      <c r="O492" s="590"/>
      <c r="P492" s="564"/>
      <c r="Q492" s="564"/>
      <c r="R492" s="566"/>
      <c r="S492" s="589"/>
      <c r="T492" s="591"/>
      <c r="U492" s="589"/>
      <c r="V492" s="564" t="s">
        <v>2899</v>
      </c>
      <c r="W492" s="564" t="s">
        <v>25</v>
      </c>
      <c r="X492" s="589"/>
      <c r="Y492" s="592"/>
      <c r="Z492" s="592"/>
      <c r="AA492" s="568"/>
      <c r="AB492" s="592"/>
      <c r="AC492" s="592"/>
      <c r="AD492" s="592"/>
      <c r="AE492" s="590"/>
      <c r="AF492" s="570" t="s">
        <v>2899</v>
      </c>
      <c r="AG492" s="570"/>
      <c r="AH492" s="571" t="s">
        <v>25</v>
      </c>
      <c r="AI492" s="593"/>
      <c r="AJ492" s="593"/>
    </row>
    <row r="493" spans="1:36" s="376" customFormat="1" ht="20.25" outlineLevel="2" x14ac:dyDescent="0.3">
      <c r="A493" s="447">
        <v>42</v>
      </c>
      <c r="B493" s="558"/>
      <c r="C493" s="558"/>
      <c r="D493" s="587"/>
      <c r="E493" s="560"/>
      <c r="F493" s="558"/>
      <c r="G493" s="588"/>
      <c r="H493" s="546"/>
      <c r="I493" s="563" t="s">
        <v>25</v>
      </c>
      <c r="J493" s="563" t="s">
        <v>25</v>
      </c>
      <c r="K493" s="564" t="s">
        <v>25</v>
      </c>
      <c r="L493" s="564" t="s">
        <v>25</v>
      </c>
      <c r="M493" s="558"/>
      <c r="N493" s="558"/>
      <c r="O493" s="590"/>
      <c r="P493" s="564"/>
      <c r="Q493" s="564"/>
      <c r="R493" s="566"/>
      <c r="S493" s="589"/>
      <c r="T493" s="591"/>
      <c r="U493" s="589"/>
      <c r="V493" s="564" t="s">
        <v>2899</v>
      </c>
      <c r="W493" s="564" t="s">
        <v>25</v>
      </c>
      <c r="X493" s="589"/>
      <c r="Y493" s="592"/>
      <c r="Z493" s="592"/>
      <c r="AA493" s="568"/>
      <c r="AB493" s="592"/>
      <c r="AC493" s="592"/>
      <c r="AD493" s="592"/>
      <c r="AE493" s="590"/>
      <c r="AF493" s="570" t="s">
        <v>2899</v>
      </c>
      <c r="AG493" s="570"/>
      <c r="AH493" s="571" t="s">
        <v>25</v>
      </c>
      <c r="AI493" s="593"/>
      <c r="AJ493" s="593"/>
    </row>
    <row r="494" spans="1:36" s="376" customFormat="1" ht="20.25" outlineLevel="2" x14ac:dyDescent="0.3">
      <c r="A494" s="447">
        <v>42</v>
      </c>
      <c r="B494" s="558"/>
      <c r="C494" s="558"/>
      <c r="D494" s="587"/>
      <c r="E494" s="560"/>
      <c r="F494" s="558"/>
      <c r="G494" s="588"/>
      <c r="H494" s="546"/>
      <c r="I494" s="563" t="s">
        <v>25</v>
      </c>
      <c r="J494" s="563" t="s">
        <v>25</v>
      </c>
      <c r="K494" s="564" t="s">
        <v>25</v>
      </c>
      <c r="L494" s="564" t="s">
        <v>25</v>
      </c>
      <c r="M494" s="558"/>
      <c r="N494" s="558"/>
      <c r="O494" s="590"/>
      <c r="P494" s="564"/>
      <c r="Q494" s="564"/>
      <c r="R494" s="566"/>
      <c r="S494" s="589"/>
      <c r="T494" s="591"/>
      <c r="U494" s="589"/>
      <c r="V494" s="564" t="s">
        <v>2899</v>
      </c>
      <c r="W494" s="564" t="s">
        <v>25</v>
      </c>
      <c r="X494" s="589"/>
      <c r="Y494" s="592"/>
      <c r="Z494" s="592"/>
      <c r="AA494" s="568"/>
      <c r="AB494" s="592"/>
      <c r="AC494" s="592"/>
      <c r="AD494" s="592"/>
      <c r="AE494" s="590"/>
      <c r="AF494" s="570" t="s">
        <v>2899</v>
      </c>
      <c r="AG494" s="570"/>
      <c r="AH494" s="571" t="s">
        <v>25</v>
      </c>
      <c r="AI494" s="593"/>
      <c r="AJ494" s="593"/>
    </row>
    <row r="495" spans="1:36" s="376" customFormat="1" ht="20.25" outlineLevel="2" x14ac:dyDescent="0.3">
      <c r="A495" s="447">
        <v>42</v>
      </c>
      <c r="B495" s="574"/>
      <c r="C495" s="574"/>
      <c r="D495" s="595"/>
      <c r="E495" s="577"/>
      <c r="F495" s="558"/>
      <c r="G495" s="588"/>
      <c r="H495" s="546"/>
      <c r="I495" s="563" t="s">
        <v>25</v>
      </c>
      <c r="J495" s="563" t="s">
        <v>25</v>
      </c>
      <c r="K495" s="564" t="s">
        <v>25</v>
      </c>
      <c r="L495" s="564" t="s">
        <v>25</v>
      </c>
      <c r="M495" s="558"/>
      <c r="N495" s="558"/>
      <c r="O495" s="590"/>
      <c r="P495" s="564"/>
      <c r="Q495" s="564"/>
      <c r="R495" s="566"/>
      <c r="S495" s="589"/>
      <c r="T495" s="591"/>
      <c r="U495" s="589"/>
      <c r="V495" s="564" t="s">
        <v>2899</v>
      </c>
      <c r="W495" s="564" t="s">
        <v>25</v>
      </c>
      <c r="X495" s="589"/>
      <c r="Y495" s="592"/>
      <c r="Z495" s="592"/>
      <c r="AA495" s="568"/>
      <c r="AB495" s="592"/>
      <c r="AC495" s="592"/>
      <c r="AD495" s="592"/>
      <c r="AE495" s="590"/>
      <c r="AF495" s="570" t="s">
        <v>2899</v>
      </c>
      <c r="AG495" s="570"/>
      <c r="AH495" s="571" t="s">
        <v>25</v>
      </c>
      <c r="AI495" s="593"/>
      <c r="AJ495" s="593"/>
    </row>
    <row r="496" spans="1:36" s="376" customFormat="1" ht="40.5" outlineLevel="1" x14ac:dyDescent="0.25">
      <c r="A496" s="467">
        <v>43</v>
      </c>
      <c r="B496" s="574" t="s">
        <v>35</v>
      </c>
      <c r="C496" s="773" t="s">
        <v>2902</v>
      </c>
      <c r="D496" s="587">
        <v>86</v>
      </c>
      <c r="E496" s="560">
        <v>256</v>
      </c>
      <c r="F496" s="574"/>
      <c r="G496" s="618">
        <v>49.2</v>
      </c>
      <c r="H496" s="579">
        <v>0</v>
      </c>
      <c r="I496" s="581"/>
      <c r="J496" s="581"/>
      <c r="K496" s="571">
        <v>283510000</v>
      </c>
      <c r="L496" s="571">
        <v>0</v>
      </c>
      <c r="M496" s="574"/>
      <c r="N496" s="574"/>
      <c r="O496" s="599">
        <v>0</v>
      </c>
      <c r="P496" s="571"/>
      <c r="Q496" s="571">
        <v>0</v>
      </c>
      <c r="R496" s="582"/>
      <c r="S496" s="597"/>
      <c r="T496" s="600">
        <v>0</v>
      </c>
      <c r="U496" s="597"/>
      <c r="V496" s="571"/>
      <c r="W496" s="571">
        <v>0</v>
      </c>
      <c r="X496" s="589"/>
      <c r="Y496" s="592"/>
      <c r="Z496" s="592"/>
      <c r="AA496" s="568"/>
      <c r="AB496" s="592"/>
      <c r="AC496" s="592"/>
      <c r="AD496" s="601"/>
      <c r="AE496" s="599">
        <f>SUBTOTAL(9,AE497:AE505)</f>
        <v>0</v>
      </c>
      <c r="AF496" s="585"/>
      <c r="AG496" s="585">
        <v>0</v>
      </c>
      <c r="AH496" s="571">
        <v>283510000</v>
      </c>
      <c r="AI496" s="574"/>
      <c r="AJ496" s="578"/>
    </row>
    <row r="497" spans="1:36" s="376" customFormat="1" ht="202.5" outlineLevel="2" x14ac:dyDescent="0.3">
      <c r="A497" s="447">
        <v>43</v>
      </c>
      <c r="B497" s="558" t="s">
        <v>190</v>
      </c>
      <c r="C497" s="558"/>
      <c r="D497" s="587"/>
      <c r="E497" s="560"/>
      <c r="F497" s="558" t="s">
        <v>2037</v>
      </c>
      <c r="G497" s="588">
        <v>49.2</v>
      </c>
      <c r="H497" s="546" t="s">
        <v>2899</v>
      </c>
      <c r="I497" s="563">
        <v>5762400</v>
      </c>
      <c r="J497" s="563">
        <v>0</v>
      </c>
      <c r="K497" s="564">
        <v>283510000</v>
      </c>
      <c r="L497" s="564">
        <v>0</v>
      </c>
      <c r="M497" s="558"/>
      <c r="N497" s="558"/>
      <c r="O497" s="590"/>
      <c r="P497" s="564"/>
      <c r="Q497" s="564"/>
      <c r="R497" s="566"/>
      <c r="S497" s="589"/>
      <c r="T497" s="591"/>
      <c r="U497" s="589"/>
      <c r="V497" s="564" t="s">
        <v>2899</v>
      </c>
      <c r="W497" s="564" t="s">
        <v>25</v>
      </c>
      <c r="X497" s="589"/>
      <c r="Y497" s="592"/>
      <c r="Z497" s="592"/>
      <c r="AA497" s="568"/>
      <c r="AB497" s="592"/>
      <c r="AC497" s="592"/>
      <c r="AD497" s="592"/>
      <c r="AE497" s="590"/>
      <c r="AF497" s="570" t="s">
        <v>2899</v>
      </c>
      <c r="AG497" s="570"/>
      <c r="AH497" s="571" t="s">
        <v>25</v>
      </c>
      <c r="AI497" s="558" t="s">
        <v>2204</v>
      </c>
      <c r="AJ497" s="586" t="s">
        <v>2771</v>
      </c>
    </row>
    <row r="498" spans="1:36" s="376" customFormat="1" ht="101.25" outlineLevel="2" x14ac:dyDescent="0.3">
      <c r="A498" s="447">
        <v>43</v>
      </c>
      <c r="B498" s="628" t="s">
        <v>673</v>
      </c>
      <c r="C498" s="628"/>
      <c r="D498" s="587"/>
      <c r="E498" s="560"/>
      <c r="F498" s="558"/>
      <c r="G498" s="588"/>
      <c r="H498" s="546"/>
      <c r="I498" s="563" t="s">
        <v>25</v>
      </c>
      <c r="J498" s="563" t="s">
        <v>25</v>
      </c>
      <c r="K498" s="564" t="s">
        <v>25</v>
      </c>
      <c r="L498" s="564" t="s">
        <v>25</v>
      </c>
      <c r="M498" s="558"/>
      <c r="N498" s="558"/>
      <c r="O498" s="590"/>
      <c r="P498" s="564"/>
      <c r="Q498" s="564"/>
      <c r="R498" s="566"/>
      <c r="S498" s="589"/>
      <c r="T498" s="591"/>
      <c r="U498" s="589"/>
      <c r="V498" s="564" t="s">
        <v>2899</v>
      </c>
      <c r="W498" s="564" t="s">
        <v>25</v>
      </c>
      <c r="X498" s="589"/>
      <c r="Y498" s="592"/>
      <c r="Z498" s="592"/>
      <c r="AA498" s="568"/>
      <c r="AB498" s="592"/>
      <c r="AC498" s="592"/>
      <c r="AD498" s="592"/>
      <c r="AE498" s="590"/>
      <c r="AF498" s="570" t="s">
        <v>2899</v>
      </c>
      <c r="AG498" s="570"/>
      <c r="AH498" s="571" t="s">
        <v>25</v>
      </c>
      <c r="AI498" s="558"/>
      <c r="AJ498" s="593"/>
    </row>
    <row r="499" spans="1:36" s="376" customFormat="1" ht="40.5" outlineLevel="2" x14ac:dyDescent="0.3">
      <c r="A499" s="447">
        <v>43</v>
      </c>
      <c r="B499" s="558" t="s">
        <v>309</v>
      </c>
      <c r="C499" s="558"/>
      <c r="D499" s="587"/>
      <c r="E499" s="560"/>
      <c r="F499" s="558"/>
      <c r="G499" s="588"/>
      <c r="H499" s="546"/>
      <c r="I499" s="563" t="s">
        <v>25</v>
      </c>
      <c r="J499" s="563" t="s">
        <v>25</v>
      </c>
      <c r="K499" s="564" t="s">
        <v>25</v>
      </c>
      <c r="L499" s="564" t="s">
        <v>25</v>
      </c>
      <c r="M499" s="558"/>
      <c r="N499" s="558"/>
      <c r="O499" s="590"/>
      <c r="P499" s="564"/>
      <c r="Q499" s="564"/>
      <c r="R499" s="566"/>
      <c r="S499" s="589"/>
      <c r="T499" s="591"/>
      <c r="U499" s="589"/>
      <c r="V499" s="564" t="s">
        <v>2899</v>
      </c>
      <c r="W499" s="564" t="s">
        <v>25</v>
      </c>
      <c r="X499" s="589"/>
      <c r="Y499" s="592"/>
      <c r="Z499" s="592"/>
      <c r="AA499" s="568"/>
      <c r="AB499" s="592"/>
      <c r="AC499" s="592"/>
      <c r="AD499" s="592"/>
      <c r="AE499" s="590"/>
      <c r="AF499" s="570" t="s">
        <v>2899</v>
      </c>
      <c r="AG499" s="570"/>
      <c r="AH499" s="571" t="s">
        <v>25</v>
      </c>
      <c r="AI499" s="593"/>
      <c r="AJ499" s="593"/>
    </row>
    <row r="500" spans="1:36" s="376" customFormat="1" ht="20.25" outlineLevel="2" x14ac:dyDescent="0.3">
      <c r="A500" s="447">
        <v>43</v>
      </c>
      <c r="B500" s="558"/>
      <c r="C500" s="558"/>
      <c r="D500" s="587"/>
      <c r="E500" s="560"/>
      <c r="F500" s="558"/>
      <c r="G500" s="588"/>
      <c r="H500" s="546"/>
      <c r="I500" s="563" t="s">
        <v>25</v>
      </c>
      <c r="J500" s="563" t="s">
        <v>25</v>
      </c>
      <c r="K500" s="564" t="s">
        <v>25</v>
      </c>
      <c r="L500" s="564" t="s">
        <v>25</v>
      </c>
      <c r="M500" s="558"/>
      <c r="N500" s="558"/>
      <c r="O500" s="590"/>
      <c r="P500" s="564"/>
      <c r="Q500" s="564"/>
      <c r="R500" s="566"/>
      <c r="S500" s="589"/>
      <c r="T500" s="591"/>
      <c r="U500" s="589"/>
      <c r="V500" s="564" t="s">
        <v>2899</v>
      </c>
      <c r="W500" s="564" t="s">
        <v>25</v>
      </c>
      <c r="X500" s="589"/>
      <c r="Y500" s="592"/>
      <c r="Z500" s="592"/>
      <c r="AA500" s="568"/>
      <c r="AB500" s="592"/>
      <c r="AC500" s="592"/>
      <c r="AD500" s="592"/>
      <c r="AE500" s="590"/>
      <c r="AF500" s="570" t="s">
        <v>2899</v>
      </c>
      <c r="AG500" s="570"/>
      <c r="AH500" s="571" t="s">
        <v>25</v>
      </c>
      <c r="AI500" s="593"/>
      <c r="AJ500" s="593"/>
    </row>
    <row r="501" spans="1:36" s="376" customFormat="1" ht="20.25" outlineLevel="2" x14ac:dyDescent="0.3">
      <c r="A501" s="447">
        <v>43</v>
      </c>
      <c r="B501" s="558"/>
      <c r="C501" s="558"/>
      <c r="D501" s="587"/>
      <c r="E501" s="560"/>
      <c r="F501" s="558"/>
      <c r="G501" s="588"/>
      <c r="H501" s="546"/>
      <c r="I501" s="563" t="s">
        <v>25</v>
      </c>
      <c r="J501" s="563" t="s">
        <v>25</v>
      </c>
      <c r="K501" s="564" t="s">
        <v>25</v>
      </c>
      <c r="L501" s="564" t="s">
        <v>25</v>
      </c>
      <c r="M501" s="558"/>
      <c r="N501" s="558"/>
      <c r="O501" s="590"/>
      <c r="P501" s="564"/>
      <c r="Q501" s="564"/>
      <c r="R501" s="566"/>
      <c r="S501" s="589"/>
      <c r="T501" s="591"/>
      <c r="U501" s="589"/>
      <c r="V501" s="564" t="s">
        <v>2899</v>
      </c>
      <c r="W501" s="564" t="s">
        <v>25</v>
      </c>
      <c r="X501" s="589"/>
      <c r="Y501" s="592"/>
      <c r="Z501" s="592"/>
      <c r="AA501" s="568"/>
      <c r="AB501" s="592"/>
      <c r="AC501" s="592"/>
      <c r="AD501" s="592"/>
      <c r="AE501" s="590"/>
      <c r="AF501" s="570" t="s">
        <v>2899</v>
      </c>
      <c r="AG501" s="570"/>
      <c r="AH501" s="571" t="s">
        <v>25</v>
      </c>
      <c r="AI501" s="593"/>
      <c r="AJ501" s="593"/>
    </row>
    <row r="502" spans="1:36" s="376" customFormat="1" ht="20.25" outlineLevel="2" x14ac:dyDescent="0.3">
      <c r="A502" s="447">
        <v>43</v>
      </c>
      <c r="B502" s="558"/>
      <c r="C502" s="558"/>
      <c r="D502" s="587"/>
      <c r="E502" s="560"/>
      <c r="F502" s="558"/>
      <c r="G502" s="588"/>
      <c r="H502" s="546"/>
      <c r="I502" s="563" t="s">
        <v>25</v>
      </c>
      <c r="J502" s="563" t="s">
        <v>25</v>
      </c>
      <c r="K502" s="564" t="s">
        <v>25</v>
      </c>
      <c r="L502" s="564" t="s">
        <v>25</v>
      </c>
      <c r="M502" s="558"/>
      <c r="N502" s="558"/>
      <c r="O502" s="590"/>
      <c r="P502" s="564"/>
      <c r="Q502" s="564"/>
      <c r="R502" s="566"/>
      <c r="S502" s="589"/>
      <c r="T502" s="591"/>
      <c r="U502" s="589"/>
      <c r="V502" s="564" t="s">
        <v>2899</v>
      </c>
      <c r="W502" s="564" t="s">
        <v>25</v>
      </c>
      <c r="X502" s="589"/>
      <c r="Y502" s="592"/>
      <c r="Z502" s="592"/>
      <c r="AA502" s="568"/>
      <c r="AB502" s="592"/>
      <c r="AC502" s="592"/>
      <c r="AD502" s="592"/>
      <c r="AE502" s="590"/>
      <c r="AF502" s="570" t="s">
        <v>2899</v>
      </c>
      <c r="AG502" s="570"/>
      <c r="AH502" s="571" t="s">
        <v>25</v>
      </c>
      <c r="AI502" s="593"/>
      <c r="AJ502" s="593"/>
    </row>
    <row r="503" spans="1:36" s="376" customFormat="1" ht="20.25" outlineLevel="2" x14ac:dyDescent="0.3">
      <c r="A503" s="447">
        <v>43</v>
      </c>
      <c r="B503" s="558"/>
      <c r="C503" s="558"/>
      <c r="D503" s="587"/>
      <c r="E503" s="560"/>
      <c r="F503" s="558"/>
      <c r="G503" s="588"/>
      <c r="H503" s="546"/>
      <c r="I503" s="563" t="s">
        <v>25</v>
      </c>
      <c r="J503" s="563" t="s">
        <v>25</v>
      </c>
      <c r="K503" s="564" t="s">
        <v>25</v>
      </c>
      <c r="L503" s="564" t="s">
        <v>25</v>
      </c>
      <c r="M503" s="558"/>
      <c r="N503" s="558"/>
      <c r="O503" s="590"/>
      <c r="P503" s="564"/>
      <c r="Q503" s="564"/>
      <c r="R503" s="566"/>
      <c r="S503" s="589"/>
      <c r="T503" s="591"/>
      <c r="U503" s="589"/>
      <c r="V503" s="564" t="s">
        <v>2899</v>
      </c>
      <c r="W503" s="564" t="s">
        <v>25</v>
      </c>
      <c r="X503" s="589"/>
      <c r="Y503" s="592"/>
      <c r="Z503" s="592"/>
      <c r="AA503" s="568"/>
      <c r="AB503" s="592"/>
      <c r="AC503" s="592"/>
      <c r="AD503" s="592"/>
      <c r="AE503" s="590"/>
      <c r="AF503" s="570" t="s">
        <v>2899</v>
      </c>
      <c r="AG503" s="570"/>
      <c r="AH503" s="571" t="s">
        <v>25</v>
      </c>
      <c r="AI503" s="593"/>
      <c r="AJ503" s="593"/>
    </row>
    <row r="504" spans="1:36" s="376" customFormat="1" ht="20.25" outlineLevel="2" x14ac:dyDescent="0.3">
      <c r="A504" s="447">
        <v>43</v>
      </c>
      <c r="B504" s="558"/>
      <c r="C504" s="558"/>
      <c r="D504" s="587"/>
      <c r="E504" s="560"/>
      <c r="F504" s="558"/>
      <c r="G504" s="588"/>
      <c r="H504" s="546"/>
      <c r="I504" s="563" t="s">
        <v>25</v>
      </c>
      <c r="J504" s="563" t="s">
        <v>25</v>
      </c>
      <c r="K504" s="564" t="s">
        <v>25</v>
      </c>
      <c r="L504" s="564" t="s">
        <v>25</v>
      </c>
      <c r="M504" s="558"/>
      <c r="N504" s="558"/>
      <c r="O504" s="590"/>
      <c r="P504" s="564"/>
      <c r="Q504" s="564"/>
      <c r="R504" s="566"/>
      <c r="S504" s="589"/>
      <c r="T504" s="591"/>
      <c r="U504" s="589"/>
      <c r="V504" s="564" t="s">
        <v>2899</v>
      </c>
      <c r="W504" s="564" t="s">
        <v>25</v>
      </c>
      <c r="X504" s="589"/>
      <c r="Y504" s="592"/>
      <c r="Z504" s="592"/>
      <c r="AA504" s="568"/>
      <c r="AB504" s="592"/>
      <c r="AC504" s="592"/>
      <c r="AD504" s="592"/>
      <c r="AE504" s="590"/>
      <c r="AF504" s="570" t="s">
        <v>2899</v>
      </c>
      <c r="AG504" s="570"/>
      <c r="AH504" s="571" t="s">
        <v>25</v>
      </c>
      <c r="AI504" s="593"/>
      <c r="AJ504" s="593"/>
    </row>
    <row r="505" spans="1:36" s="376" customFormat="1" ht="20.25" outlineLevel="2" x14ac:dyDescent="0.3">
      <c r="A505" s="447">
        <v>43</v>
      </c>
      <c r="B505" s="607"/>
      <c r="C505" s="607"/>
      <c r="D505" s="623"/>
      <c r="E505" s="623"/>
      <c r="F505" s="558"/>
      <c r="G505" s="588"/>
      <c r="H505" s="546"/>
      <c r="I505" s="563" t="s">
        <v>25</v>
      </c>
      <c r="J505" s="563" t="s">
        <v>25</v>
      </c>
      <c r="K505" s="564" t="s">
        <v>25</v>
      </c>
      <c r="L505" s="564" t="s">
        <v>25</v>
      </c>
      <c r="M505" s="558"/>
      <c r="N505" s="558"/>
      <c r="O505" s="590"/>
      <c r="P505" s="564"/>
      <c r="Q505" s="564"/>
      <c r="R505" s="566"/>
      <c r="S505" s="589"/>
      <c r="T505" s="591"/>
      <c r="U505" s="589"/>
      <c r="V505" s="564" t="s">
        <v>2899</v>
      </c>
      <c r="W505" s="564" t="s">
        <v>25</v>
      </c>
      <c r="X505" s="589"/>
      <c r="Y505" s="592"/>
      <c r="Z505" s="592"/>
      <c r="AA505" s="568"/>
      <c r="AB505" s="592"/>
      <c r="AC505" s="592"/>
      <c r="AD505" s="592"/>
      <c r="AE505" s="590"/>
      <c r="AF505" s="570" t="s">
        <v>2899</v>
      </c>
      <c r="AG505" s="570"/>
      <c r="AH505" s="571" t="s">
        <v>25</v>
      </c>
      <c r="AI505" s="593"/>
      <c r="AJ505" s="593"/>
    </row>
    <row r="506" spans="1:36" s="376" customFormat="1" ht="40.5" outlineLevel="1" x14ac:dyDescent="0.3">
      <c r="A506" s="467">
        <v>44</v>
      </c>
      <c r="B506" s="607" t="s">
        <v>2178</v>
      </c>
      <c r="C506" s="773" t="s">
        <v>2902</v>
      </c>
      <c r="D506" s="627"/>
      <c r="E506" s="627"/>
      <c r="F506" s="624"/>
      <c r="G506" s="625">
        <v>0</v>
      </c>
      <c r="H506" s="579">
        <v>0</v>
      </c>
      <c r="I506" s="581"/>
      <c r="J506" s="581"/>
      <c r="K506" s="571">
        <v>0</v>
      </c>
      <c r="L506" s="571">
        <v>0</v>
      </c>
      <c r="M506" s="578"/>
      <c r="N506" s="578"/>
      <c r="O506" s="599">
        <v>0</v>
      </c>
      <c r="P506" s="571"/>
      <c r="Q506" s="571">
        <v>0</v>
      </c>
      <c r="R506" s="578"/>
      <c r="S506" s="621"/>
      <c r="T506" s="600">
        <v>100.2</v>
      </c>
      <c r="U506" s="622"/>
      <c r="V506" s="571"/>
      <c r="W506" s="571">
        <v>116218000</v>
      </c>
      <c r="X506" s="562"/>
      <c r="Y506" s="592"/>
      <c r="Z506" s="592"/>
      <c r="AA506" s="568"/>
      <c r="AB506" s="592"/>
      <c r="AC506" s="568"/>
      <c r="AD506" s="584"/>
      <c r="AE506" s="581">
        <f>SUBTOTAL(9,AE507:AE520)</f>
        <v>0</v>
      </c>
      <c r="AF506" s="585"/>
      <c r="AG506" s="585">
        <v>0</v>
      </c>
      <c r="AH506" s="571">
        <v>116218000</v>
      </c>
      <c r="AI506" s="608"/>
      <c r="AJ506" s="574"/>
    </row>
    <row r="507" spans="1:36" s="376" customFormat="1" ht="121.5" outlineLevel="2" x14ac:dyDescent="0.3">
      <c r="A507" s="447">
        <v>44</v>
      </c>
      <c r="B507" s="572" t="s">
        <v>196</v>
      </c>
      <c r="C507" s="572"/>
      <c r="D507" s="612"/>
      <c r="E507" s="612"/>
      <c r="F507" s="575"/>
      <c r="G507" s="561"/>
      <c r="H507" s="546"/>
      <c r="I507" s="563" t="s">
        <v>25</v>
      </c>
      <c r="J507" s="563" t="s">
        <v>25</v>
      </c>
      <c r="K507" s="564" t="s">
        <v>25</v>
      </c>
      <c r="L507" s="564" t="s">
        <v>25</v>
      </c>
      <c r="M507" s="586"/>
      <c r="N507" s="586"/>
      <c r="O507" s="590"/>
      <c r="P507" s="564" t="s">
        <v>25</v>
      </c>
      <c r="Q507" s="564" t="s">
        <v>25</v>
      </c>
      <c r="R507" s="586" t="s">
        <v>1838</v>
      </c>
      <c r="S507" s="609" t="s">
        <v>53</v>
      </c>
      <c r="T507" s="591">
        <v>15.3</v>
      </c>
      <c r="U507" s="611"/>
      <c r="V507" s="564">
        <v>3156089</v>
      </c>
      <c r="W507" s="564">
        <v>48288000</v>
      </c>
      <c r="X507" s="562" t="s">
        <v>63</v>
      </c>
      <c r="Y507" s="592" t="s">
        <v>55</v>
      </c>
      <c r="Z507" s="592" t="s">
        <v>56</v>
      </c>
      <c r="AA507" s="568" t="s">
        <v>57</v>
      </c>
      <c r="AB507" s="592" t="s">
        <v>54</v>
      </c>
      <c r="AC507" s="568" t="s">
        <v>430</v>
      </c>
      <c r="AD507" s="568"/>
      <c r="AE507" s="563"/>
      <c r="AF507" s="570" t="s">
        <v>2899</v>
      </c>
      <c r="AG507" s="570" t="s">
        <v>25</v>
      </c>
      <c r="AH507" s="571" t="s">
        <v>25</v>
      </c>
      <c r="AI507" s="593" t="s">
        <v>207</v>
      </c>
      <c r="AJ507" s="558" t="s">
        <v>2450</v>
      </c>
    </row>
    <row r="508" spans="1:36" s="376" customFormat="1" ht="101.25" outlineLevel="2" x14ac:dyDescent="0.3">
      <c r="A508" s="447">
        <v>44</v>
      </c>
      <c r="B508" s="572" t="s">
        <v>675</v>
      </c>
      <c r="C508" s="572"/>
      <c r="D508" s="587"/>
      <c r="E508" s="560"/>
      <c r="F508" s="586"/>
      <c r="G508" s="588"/>
      <c r="H508" s="546"/>
      <c r="I508" s="563" t="s">
        <v>25</v>
      </c>
      <c r="J508" s="563" t="s">
        <v>25</v>
      </c>
      <c r="K508" s="564" t="s">
        <v>25</v>
      </c>
      <c r="L508" s="564" t="s">
        <v>25</v>
      </c>
      <c r="M508" s="586"/>
      <c r="N508" s="586"/>
      <c r="O508" s="590"/>
      <c r="P508" s="564" t="s">
        <v>25</v>
      </c>
      <c r="Q508" s="564" t="s">
        <v>25</v>
      </c>
      <c r="R508" s="586" t="s">
        <v>1838</v>
      </c>
      <c r="S508" s="609" t="s">
        <v>53</v>
      </c>
      <c r="T508" s="591">
        <v>15.3</v>
      </c>
      <c r="U508" s="611"/>
      <c r="V508" s="564">
        <v>3156089</v>
      </c>
      <c r="W508" s="564">
        <v>48288000</v>
      </c>
      <c r="X508" s="589" t="s">
        <v>63</v>
      </c>
      <c r="Y508" s="592" t="s">
        <v>55</v>
      </c>
      <c r="Z508" s="592" t="s">
        <v>56</v>
      </c>
      <c r="AA508" s="568" t="s">
        <v>57</v>
      </c>
      <c r="AB508" s="592" t="s">
        <v>54</v>
      </c>
      <c r="AC508" s="568" t="s">
        <v>206</v>
      </c>
      <c r="AD508" s="568"/>
      <c r="AE508" s="563"/>
      <c r="AF508" s="570" t="s">
        <v>2899</v>
      </c>
      <c r="AG508" s="570" t="s">
        <v>25</v>
      </c>
      <c r="AH508" s="571" t="s">
        <v>25</v>
      </c>
      <c r="AI508" s="575"/>
      <c r="AJ508" s="558" t="s">
        <v>2800</v>
      </c>
    </row>
    <row r="509" spans="1:36" s="376" customFormat="1" ht="81" outlineLevel="2" x14ac:dyDescent="0.3">
      <c r="A509" s="447">
        <v>44</v>
      </c>
      <c r="B509" s="558" t="s">
        <v>310</v>
      </c>
      <c r="C509" s="558"/>
      <c r="D509" s="587"/>
      <c r="E509" s="560"/>
      <c r="F509" s="558"/>
      <c r="G509" s="588"/>
      <c r="H509" s="546"/>
      <c r="I509" s="563" t="s">
        <v>25</v>
      </c>
      <c r="J509" s="563" t="s">
        <v>25</v>
      </c>
      <c r="K509" s="564" t="s">
        <v>25</v>
      </c>
      <c r="L509" s="564" t="s">
        <v>25</v>
      </c>
      <c r="M509" s="586"/>
      <c r="N509" s="586"/>
      <c r="O509" s="590"/>
      <c r="P509" s="564" t="s">
        <v>25</v>
      </c>
      <c r="Q509" s="564" t="s">
        <v>25</v>
      </c>
      <c r="R509" s="586" t="s">
        <v>2307</v>
      </c>
      <c r="S509" s="609" t="s">
        <v>53</v>
      </c>
      <c r="T509" s="591">
        <v>1.92</v>
      </c>
      <c r="U509" s="611"/>
      <c r="V509" s="564">
        <v>2093161</v>
      </c>
      <c r="W509" s="564">
        <v>4019000</v>
      </c>
      <c r="X509" s="589"/>
      <c r="Y509" s="592"/>
      <c r="Z509" s="592" t="s">
        <v>56</v>
      </c>
      <c r="AA509" s="568" t="s">
        <v>57</v>
      </c>
      <c r="AB509" s="592" t="s">
        <v>54</v>
      </c>
      <c r="AC509" s="592"/>
      <c r="AD509" s="592"/>
      <c r="AE509" s="590"/>
      <c r="AF509" s="570" t="s">
        <v>2899</v>
      </c>
      <c r="AG509" s="570" t="s">
        <v>25</v>
      </c>
      <c r="AH509" s="571" t="s">
        <v>25</v>
      </c>
      <c r="AI509" s="593"/>
      <c r="AJ509" s="593"/>
    </row>
    <row r="510" spans="1:36" s="376" customFormat="1" ht="81" outlineLevel="2" x14ac:dyDescent="0.3">
      <c r="A510" s="447">
        <v>44</v>
      </c>
      <c r="B510" s="635"/>
      <c r="C510" s="635"/>
      <c r="D510" s="587"/>
      <c r="E510" s="560"/>
      <c r="F510" s="558"/>
      <c r="G510" s="588"/>
      <c r="H510" s="546"/>
      <c r="I510" s="563" t="s">
        <v>25</v>
      </c>
      <c r="J510" s="563" t="s">
        <v>25</v>
      </c>
      <c r="K510" s="564" t="s">
        <v>25</v>
      </c>
      <c r="L510" s="564" t="s">
        <v>25</v>
      </c>
      <c r="M510" s="586"/>
      <c r="N510" s="586"/>
      <c r="O510" s="630"/>
      <c r="P510" s="564" t="s">
        <v>25</v>
      </c>
      <c r="Q510" s="564" t="s">
        <v>25</v>
      </c>
      <c r="R510" s="586" t="s">
        <v>2307</v>
      </c>
      <c r="S510" s="609" t="s">
        <v>53</v>
      </c>
      <c r="T510" s="591">
        <v>1.92</v>
      </c>
      <c r="U510" s="589"/>
      <c r="V510" s="564">
        <v>2093161</v>
      </c>
      <c r="W510" s="564">
        <v>4019000</v>
      </c>
      <c r="X510" s="589"/>
      <c r="Y510" s="592"/>
      <c r="Z510" s="592" t="s">
        <v>56</v>
      </c>
      <c r="AA510" s="568" t="s">
        <v>57</v>
      </c>
      <c r="AB510" s="592" t="s">
        <v>54</v>
      </c>
      <c r="AC510" s="592"/>
      <c r="AD510" s="592"/>
      <c r="AE510" s="590"/>
      <c r="AF510" s="570" t="s">
        <v>2899</v>
      </c>
      <c r="AG510" s="570" t="s">
        <v>25</v>
      </c>
      <c r="AH510" s="571" t="s">
        <v>25</v>
      </c>
      <c r="AI510" s="593"/>
      <c r="AJ510" s="593"/>
    </row>
    <row r="511" spans="1:36" s="376" customFormat="1" ht="40.5" outlineLevel="2" x14ac:dyDescent="0.3">
      <c r="A511" s="447">
        <v>44</v>
      </c>
      <c r="B511" s="574"/>
      <c r="C511" s="574"/>
      <c r="D511" s="587"/>
      <c r="E511" s="560"/>
      <c r="F511" s="558"/>
      <c r="G511" s="588"/>
      <c r="H511" s="546"/>
      <c r="I511" s="563" t="s">
        <v>25</v>
      </c>
      <c r="J511" s="563" t="s">
        <v>25</v>
      </c>
      <c r="K511" s="564" t="s">
        <v>25</v>
      </c>
      <c r="L511" s="564" t="s">
        <v>25</v>
      </c>
      <c r="M511" s="558"/>
      <c r="N511" s="558"/>
      <c r="O511" s="590"/>
      <c r="P511" s="564" t="s">
        <v>25</v>
      </c>
      <c r="Q511" s="564" t="s">
        <v>25</v>
      </c>
      <c r="R511" s="586" t="s">
        <v>1748</v>
      </c>
      <c r="S511" s="589" t="s">
        <v>53</v>
      </c>
      <c r="T511" s="591">
        <v>14.76</v>
      </c>
      <c r="U511" s="589"/>
      <c r="V511" s="564">
        <v>0</v>
      </c>
      <c r="W511" s="564">
        <v>0</v>
      </c>
      <c r="X511" s="589"/>
      <c r="Y511" s="592"/>
      <c r="Z511" s="592"/>
      <c r="AA511" s="568"/>
      <c r="AB511" s="592"/>
      <c r="AC511" s="592"/>
      <c r="AD511" s="592"/>
      <c r="AE511" s="590"/>
      <c r="AF511" s="570" t="s">
        <v>2899</v>
      </c>
      <c r="AG511" s="570" t="s">
        <v>25</v>
      </c>
      <c r="AH511" s="571" t="s">
        <v>25</v>
      </c>
      <c r="AI511" s="558"/>
      <c r="AJ511" s="558"/>
    </row>
    <row r="512" spans="1:36" s="376" customFormat="1" ht="60.75" outlineLevel="2" x14ac:dyDescent="0.3">
      <c r="A512" s="447">
        <v>44</v>
      </c>
      <c r="B512" s="574"/>
      <c r="C512" s="574"/>
      <c r="D512" s="587"/>
      <c r="E512" s="560"/>
      <c r="F512" s="558"/>
      <c r="G512" s="588"/>
      <c r="H512" s="546"/>
      <c r="I512" s="563" t="s">
        <v>25</v>
      </c>
      <c r="J512" s="563" t="s">
        <v>25</v>
      </c>
      <c r="K512" s="564" t="s">
        <v>25</v>
      </c>
      <c r="L512" s="564" t="s">
        <v>25</v>
      </c>
      <c r="M512" s="558"/>
      <c r="N512" s="558"/>
      <c r="O512" s="590"/>
      <c r="P512" s="564" t="s">
        <v>25</v>
      </c>
      <c r="Q512" s="564" t="s">
        <v>25</v>
      </c>
      <c r="R512" s="566" t="s">
        <v>1749</v>
      </c>
      <c r="S512" s="589" t="s">
        <v>53</v>
      </c>
      <c r="T512" s="591">
        <v>14.76</v>
      </c>
      <c r="U512" s="589"/>
      <c r="V512" s="564">
        <v>211811</v>
      </c>
      <c r="W512" s="564">
        <v>3126000</v>
      </c>
      <c r="X512" s="589"/>
      <c r="Y512" s="592"/>
      <c r="Z512" s="592"/>
      <c r="AA512" s="568"/>
      <c r="AB512" s="592"/>
      <c r="AC512" s="592"/>
      <c r="AD512" s="592"/>
      <c r="AE512" s="590"/>
      <c r="AF512" s="570" t="s">
        <v>2899</v>
      </c>
      <c r="AG512" s="570" t="s">
        <v>25</v>
      </c>
      <c r="AH512" s="571" t="s">
        <v>25</v>
      </c>
      <c r="AI512" s="593"/>
      <c r="AJ512" s="593"/>
    </row>
    <row r="513" spans="1:36" s="376" customFormat="1" ht="40.5" outlineLevel="2" x14ac:dyDescent="0.3">
      <c r="A513" s="447">
        <v>44</v>
      </c>
      <c r="B513" s="574"/>
      <c r="C513" s="574"/>
      <c r="D513" s="587"/>
      <c r="E513" s="560"/>
      <c r="F513" s="558"/>
      <c r="G513" s="588"/>
      <c r="H513" s="546"/>
      <c r="I513" s="563" t="s">
        <v>25</v>
      </c>
      <c r="J513" s="563" t="s">
        <v>25</v>
      </c>
      <c r="K513" s="564" t="s">
        <v>25</v>
      </c>
      <c r="L513" s="564" t="s">
        <v>25</v>
      </c>
      <c r="M513" s="558"/>
      <c r="N513" s="558"/>
      <c r="O513" s="590"/>
      <c r="P513" s="564" t="s">
        <v>25</v>
      </c>
      <c r="Q513" s="564" t="s">
        <v>25</v>
      </c>
      <c r="R513" s="566" t="s">
        <v>2291</v>
      </c>
      <c r="S513" s="589" t="s">
        <v>78</v>
      </c>
      <c r="T513" s="591">
        <v>0.02</v>
      </c>
      <c r="U513" s="589"/>
      <c r="V513" s="564">
        <v>0</v>
      </c>
      <c r="W513" s="564">
        <v>0</v>
      </c>
      <c r="X513" s="589"/>
      <c r="Y513" s="592"/>
      <c r="Z513" s="592"/>
      <c r="AA513" s="568"/>
      <c r="AB513" s="592"/>
      <c r="AC513" s="592"/>
      <c r="AD513" s="592"/>
      <c r="AE513" s="590"/>
      <c r="AF513" s="570" t="s">
        <v>2899</v>
      </c>
      <c r="AG513" s="570" t="s">
        <v>25</v>
      </c>
      <c r="AH513" s="571" t="s">
        <v>25</v>
      </c>
      <c r="AI513" s="593"/>
      <c r="AJ513" s="593"/>
    </row>
    <row r="514" spans="1:36" s="376" customFormat="1" ht="40.5" outlineLevel="2" x14ac:dyDescent="0.3">
      <c r="A514" s="447">
        <v>44</v>
      </c>
      <c r="B514" s="574"/>
      <c r="C514" s="574"/>
      <c r="D514" s="587"/>
      <c r="E514" s="560"/>
      <c r="F514" s="558"/>
      <c r="G514" s="588"/>
      <c r="H514" s="546"/>
      <c r="I514" s="563" t="s">
        <v>25</v>
      </c>
      <c r="J514" s="563" t="s">
        <v>25</v>
      </c>
      <c r="K514" s="564" t="s">
        <v>25</v>
      </c>
      <c r="L514" s="564" t="s">
        <v>25</v>
      </c>
      <c r="M514" s="558"/>
      <c r="N514" s="558"/>
      <c r="O514" s="590"/>
      <c r="P514" s="564" t="s">
        <v>25</v>
      </c>
      <c r="Q514" s="564" t="s">
        <v>25</v>
      </c>
      <c r="R514" s="566" t="s">
        <v>2293</v>
      </c>
      <c r="S514" s="589" t="s">
        <v>53</v>
      </c>
      <c r="T514" s="591">
        <v>0.5</v>
      </c>
      <c r="U514" s="589"/>
      <c r="V514" s="564">
        <v>254982</v>
      </c>
      <c r="W514" s="564">
        <v>127000</v>
      </c>
      <c r="X514" s="589"/>
      <c r="Y514" s="592"/>
      <c r="Z514" s="592"/>
      <c r="AA514" s="568"/>
      <c r="AB514" s="592"/>
      <c r="AC514" s="592"/>
      <c r="AD514" s="592"/>
      <c r="AE514" s="590"/>
      <c r="AF514" s="570" t="s">
        <v>2899</v>
      </c>
      <c r="AG514" s="570" t="s">
        <v>25</v>
      </c>
      <c r="AH514" s="571" t="s">
        <v>25</v>
      </c>
      <c r="AI514" s="593"/>
      <c r="AJ514" s="593"/>
    </row>
    <row r="515" spans="1:36" s="376" customFormat="1" ht="60.75" outlineLevel="2" x14ac:dyDescent="0.3">
      <c r="A515" s="447">
        <v>44</v>
      </c>
      <c r="B515" s="574"/>
      <c r="C515" s="574"/>
      <c r="D515" s="587"/>
      <c r="E515" s="560"/>
      <c r="F515" s="558"/>
      <c r="G515" s="588"/>
      <c r="H515" s="546"/>
      <c r="I515" s="563" t="s">
        <v>25</v>
      </c>
      <c r="J515" s="563" t="s">
        <v>25</v>
      </c>
      <c r="K515" s="564" t="s">
        <v>25</v>
      </c>
      <c r="L515" s="564" t="s">
        <v>25</v>
      </c>
      <c r="M515" s="558"/>
      <c r="N515" s="558"/>
      <c r="O515" s="590"/>
      <c r="P515" s="564" t="s">
        <v>25</v>
      </c>
      <c r="Q515" s="564" t="s">
        <v>25</v>
      </c>
      <c r="R515" s="566" t="s">
        <v>2315</v>
      </c>
      <c r="S515" s="589" t="s">
        <v>53</v>
      </c>
      <c r="T515" s="591">
        <v>0.2</v>
      </c>
      <c r="U515" s="589"/>
      <c r="V515" s="564">
        <v>310020</v>
      </c>
      <c r="W515" s="564">
        <v>62000</v>
      </c>
      <c r="X515" s="589"/>
      <c r="Y515" s="592"/>
      <c r="Z515" s="592"/>
      <c r="AA515" s="568"/>
      <c r="AB515" s="592"/>
      <c r="AC515" s="592"/>
      <c r="AD515" s="592"/>
      <c r="AE515" s="590"/>
      <c r="AF515" s="570" t="s">
        <v>2899</v>
      </c>
      <c r="AG515" s="570" t="s">
        <v>25</v>
      </c>
      <c r="AH515" s="571" t="s">
        <v>25</v>
      </c>
      <c r="AI515" s="593"/>
      <c r="AJ515" s="593"/>
    </row>
    <row r="516" spans="1:36" s="376" customFormat="1" ht="101.25" outlineLevel="2" x14ac:dyDescent="0.3">
      <c r="A516" s="447">
        <v>44</v>
      </c>
      <c r="B516" s="574"/>
      <c r="C516" s="574"/>
      <c r="D516" s="587"/>
      <c r="E516" s="560"/>
      <c r="F516" s="558"/>
      <c r="G516" s="588"/>
      <c r="H516" s="546"/>
      <c r="I516" s="563" t="s">
        <v>25</v>
      </c>
      <c r="J516" s="563" t="s">
        <v>25</v>
      </c>
      <c r="K516" s="564" t="s">
        <v>25</v>
      </c>
      <c r="L516" s="564" t="s">
        <v>25</v>
      </c>
      <c r="M516" s="558"/>
      <c r="N516" s="558"/>
      <c r="O516" s="590"/>
      <c r="P516" s="564" t="s">
        <v>25</v>
      </c>
      <c r="Q516" s="564" t="s">
        <v>25</v>
      </c>
      <c r="R516" s="566" t="s">
        <v>2316</v>
      </c>
      <c r="S516" s="589" t="s">
        <v>53</v>
      </c>
      <c r="T516" s="591">
        <v>4.92</v>
      </c>
      <c r="U516" s="589"/>
      <c r="V516" s="564">
        <v>441467</v>
      </c>
      <c r="W516" s="564">
        <v>2172000</v>
      </c>
      <c r="X516" s="589"/>
      <c r="Y516" s="592"/>
      <c r="Z516" s="592"/>
      <c r="AA516" s="568"/>
      <c r="AB516" s="592"/>
      <c r="AC516" s="592"/>
      <c r="AD516" s="592"/>
      <c r="AE516" s="590"/>
      <c r="AF516" s="570" t="s">
        <v>2899</v>
      </c>
      <c r="AG516" s="570" t="s">
        <v>25</v>
      </c>
      <c r="AH516" s="571" t="s">
        <v>25</v>
      </c>
      <c r="AI516" s="593"/>
      <c r="AJ516" s="593"/>
    </row>
    <row r="517" spans="1:36" s="376" customFormat="1" ht="40.5" outlineLevel="2" x14ac:dyDescent="0.3">
      <c r="A517" s="447">
        <v>44</v>
      </c>
      <c r="B517" s="574"/>
      <c r="C517" s="574"/>
      <c r="D517" s="587"/>
      <c r="E517" s="560"/>
      <c r="F517" s="558"/>
      <c r="G517" s="588"/>
      <c r="H517" s="546"/>
      <c r="I517" s="563" t="s">
        <v>25</v>
      </c>
      <c r="J517" s="563" t="s">
        <v>25</v>
      </c>
      <c r="K517" s="564" t="s">
        <v>25</v>
      </c>
      <c r="L517" s="564" t="s">
        <v>25</v>
      </c>
      <c r="M517" s="558"/>
      <c r="N517" s="558"/>
      <c r="O517" s="590"/>
      <c r="P517" s="564" t="s">
        <v>25</v>
      </c>
      <c r="Q517" s="564" t="s">
        <v>25</v>
      </c>
      <c r="R517" s="566" t="s">
        <v>1757</v>
      </c>
      <c r="S517" s="589" t="s">
        <v>53</v>
      </c>
      <c r="T517" s="591">
        <v>15.3</v>
      </c>
      <c r="U517" s="589"/>
      <c r="V517" s="564">
        <v>157477</v>
      </c>
      <c r="W517" s="564">
        <v>2409000</v>
      </c>
      <c r="X517" s="589"/>
      <c r="Y517" s="592"/>
      <c r="Z517" s="592"/>
      <c r="AA517" s="568"/>
      <c r="AB517" s="592"/>
      <c r="AC517" s="592"/>
      <c r="AD517" s="592"/>
      <c r="AE517" s="590"/>
      <c r="AF517" s="570" t="s">
        <v>2899</v>
      </c>
      <c r="AG517" s="570" t="s">
        <v>25</v>
      </c>
      <c r="AH517" s="571" t="s">
        <v>25</v>
      </c>
      <c r="AI517" s="593"/>
      <c r="AJ517" s="593"/>
    </row>
    <row r="518" spans="1:36" s="376" customFormat="1" ht="40.5" outlineLevel="2" x14ac:dyDescent="0.3">
      <c r="A518" s="447">
        <v>44</v>
      </c>
      <c r="B518" s="574"/>
      <c r="C518" s="574"/>
      <c r="D518" s="587"/>
      <c r="E518" s="615"/>
      <c r="F518" s="558"/>
      <c r="G518" s="588"/>
      <c r="H518" s="546"/>
      <c r="I518" s="563" t="s">
        <v>25</v>
      </c>
      <c r="J518" s="563" t="s">
        <v>25</v>
      </c>
      <c r="K518" s="564" t="s">
        <v>25</v>
      </c>
      <c r="L518" s="564" t="s">
        <v>25</v>
      </c>
      <c r="M518" s="558"/>
      <c r="N518" s="558"/>
      <c r="O518" s="590"/>
      <c r="P518" s="564" t="s">
        <v>25</v>
      </c>
      <c r="Q518" s="564" t="s">
        <v>25</v>
      </c>
      <c r="R518" s="566" t="s">
        <v>2317</v>
      </c>
      <c r="S518" s="589" t="s">
        <v>53</v>
      </c>
      <c r="T518" s="591">
        <v>15.3</v>
      </c>
      <c r="U518" s="589"/>
      <c r="V518" s="564">
        <v>242324</v>
      </c>
      <c r="W518" s="564">
        <v>3708000</v>
      </c>
      <c r="X518" s="589"/>
      <c r="Y518" s="592"/>
      <c r="Z518" s="592"/>
      <c r="AA518" s="568"/>
      <c r="AB518" s="592"/>
      <c r="AC518" s="592"/>
      <c r="AD518" s="592"/>
      <c r="AE518" s="590"/>
      <c r="AF518" s="570" t="s">
        <v>2899</v>
      </c>
      <c r="AG518" s="570" t="s">
        <v>25</v>
      </c>
      <c r="AH518" s="571" t="s">
        <v>25</v>
      </c>
      <c r="AI518" s="593"/>
      <c r="AJ518" s="593"/>
    </row>
    <row r="519" spans="1:36" s="376" customFormat="1" ht="20.25" outlineLevel="2" x14ac:dyDescent="0.3">
      <c r="A519" s="447">
        <v>44</v>
      </c>
      <c r="B519" s="574"/>
      <c r="C519" s="574"/>
      <c r="D519" s="587"/>
      <c r="E519" s="560"/>
      <c r="F519" s="558"/>
      <c r="G519" s="604"/>
      <c r="H519" s="546"/>
      <c r="I519" s="563" t="s">
        <v>25</v>
      </c>
      <c r="J519" s="563" t="s">
        <v>25</v>
      </c>
      <c r="K519" s="564" t="s">
        <v>25</v>
      </c>
      <c r="L519" s="564" t="s">
        <v>25</v>
      </c>
      <c r="M519" s="593"/>
      <c r="N519" s="593"/>
      <c r="O519" s="616"/>
      <c r="P519" s="564" t="s">
        <v>25</v>
      </c>
      <c r="Q519" s="564" t="s">
        <v>25</v>
      </c>
      <c r="R519" s="593"/>
      <c r="S519" s="593"/>
      <c r="T519" s="617"/>
      <c r="U519" s="589"/>
      <c r="V519" s="564" t="s">
        <v>2899</v>
      </c>
      <c r="W519" s="564" t="s">
        <v>25</v>
      </c>
      <c r="X519" s="589"/>
      <c r="Y519" s="589"/>
      <c r="Z519" s="589"/>
      <c r="AA519" s="562"/>
      <c r="AB519" s="589"/>
      <c r="AC519" s="589"/>
      <c r="AD519" s="589"/>
      <c r="AE519" s="629"/>
      <c r="AF519" s="570" t="s">
        <v>2899</v>
      </c>
      <c r="AG519" s="570" t="s">
        <v>25</v>
      </c>
      <c r="AH519" s="571" t="s">
        <v>25</v>
      </c>
      <c r="AI519" s="593"/>
      <c r="AJ519" s="593"/>
    </row>
    <row r="520" spans="1:36" s="376" customFormat="1" ht="20.25" outlineLevel="2" x14ac:dyDescent="0.3">
      <c r="A520" s="447">
        <v>44</v>
      </c>
      <c r="B520" s="607"/>
      <c r="C520" s="607"/>
      <c r="D520" s="623"/>
      <c r="E520" s="623"/>
      <c r="F520" s="558"/>
      <c r="G520" s="588"/>
      <c r="H520" s="546"/>
      <c r="I520" s="563" t="s">
        <v>25</v>
      </c>
      <c r="J520" s="563" t="s">
        <v>25</v>
      </c>
      <c r="K520" s="564" t="s">
        <v>25</v>
      </c>
      <c r="L520" s="564" t="s">
        <v>25</v>
      </c>
      <c r="M520" s="558"/>
      <c r="N520" s="558"/>
      <c r="O520" s="590"/>
      <c r="P520" s="564" t="s">
        <v>25</v>
      </c>
      <c r="Q520" s="564" t="s">
        <v>25</v>
      </c>
      <c r="R520" s="566"/>
      <c r="S520" s="589"/>
      <c r="T520" s="591"/>
      <c r="U520" s="589"/>
      <c r="V520" s="564" t="s">
        <v>2899</v>
      </c>
      <c r="W520" s="564" t="s">
        <v>25</v>
      </c>
      <c r="X520" s="589"/>
      <c r="Y520" s="592"/>
      <c r="Z520" s="592"/>
      <c r="AA520" s="568"/>
      <c r="AB520" s="592"/>
      <c r="AC520" s="592"/>
      <c r="AD520" s="592"/>
      <c r="AE520" s="590"/>
      <c r="AF520" s="570" t="s">
        <v>2899</v>
      </c>
      <c r="AG520" s="570" t="s">
        <v>25</v>
      </c>
      <c r="AH520" s="571" t="s">
        <v>25</v>
      </c>
      <c r="AI520" s="593"/>
      <c r="AJ520" s="593"/>
    </row>
    <row r="521" spans="1:36" s="376" customFormat="1" ht="40.5" outlineLevel="1" x14ac:dyDescent="0.3">
      <c r="A521" s="467">
        <v>45</v>
      </c>
      <c r="B521" s="607" t="s">
        <v>2179</v>
      </c>
      <c r="C521" s="773" t="s">
        <v>2902</v>
      </c>
      <c r="D521" s="627"/>
      <c r="E521" s="627"/>
      <c r="F521" s="624"/>
      <c r="G521" s="625">
        <v>0</v>
      </c>
      <c r="H521" s="579">
        <v>0</v>
      </c>
      <c r="I521" s="581"/>
      <c r="J521" s="581"/>
      <c r="K521" s="571">
        <v>0</v>
      </c>
      <c r="L521" s="571">
        <v>0</v>
      </c>
      <c r="M521" s="598"/>
      <c r="N521" s="598"/>
      <c r="O521" s="599">
        <v>0</v>
      </c>
      <c r="P521" s="571"/>
      <c r="Q521" s="571">
        <v>0</v>
      </c>
      <c r="R521" s="582"/>
      <c r="S521" s="597"/>
      <c r="T521" s="600">
        <v>112.16</v>
      </c>
      <c r="U521" s="597"/>
      <c r="V521" s="571"/>
      <c r="W521" s="571">
        <v>122341000</v>
      </c>
      <c r="X521" s="589"/>
      <c r="Y521" s="592"/>
      <c r="Z521" s="592"/>
      <c r="AA521" s="568"/>
      <c r="AB521" s="592"/>
      <c r="AC521" s="568"/>
      <c r="AD521" s="584"/>
      <c r="AE521" s="581">
        <f>SUBTOTAL(9,AE522:AE538)</f>
        <v>0</v>
      </c>
      <c r="AF521" s="585"/>
      <c r="AG521" s="585">
        <v>0</v>
      </c>
      <c r="AH521" s="571">
        <v>122341000</v>
      </c>
      <c r="AI521" s="608"/>
      <c r="AJ521" s="574"/>
    </row>
    <row r="522" spans="1:36" s="376" customFormat="1" ht="121.5" outlineLevel="2" x14ac:dyDescent="0.3">
      <c r="A522" s="447">
        <v>45</v>
      </c>
      <c r="B522" s="572" t="s">
        <v>198</v>
      </c>
      <c r="C522" s="572"/>
      <c r="D522" s="612"/>
      <c r="E522" s="612"/>
      <c r="F522" s="575"/>
      <c r="G522" s="561"/>
      <c r="H522" s="546"/>
      <c r="I522" s="563" t="s">
        <v>25</v>
      </c>
      <c r="J522" s="563" t="s">
        <v>25</v>
      </c>
      <c r="K522" s="564" t="s">
        <v>25</v>
      </c>
      <c r="L522" s="564" t="s">
        <v>25</v>
      </c>
      <c r="M522" s="565"/>
      <c r="N522" s="565"/>
      <c r="O522" s="590"/>
      <c r="P522" s="564" t="s">
        <v>25</v>
      </c>
      <c r="Q522" s="564" t="s">
        <v>25</v>
      </c>
      <c r="R522" s="566" t="s">
        <v>1838</v>
      </c>
      <c r="S522" s="589" t="s">
        <v>53</v>
      </c>
      <c r="T522" s="591">
        <v>15.3</v>
      </c>
      <c r="U522" s="589"/>
      <c r="V522" s="564">
        <v>3156089</v>
      </c>
      <c r="W522" s="564">
        <v>48288000</v>
      </c>
      <c r="X522" s="589" t="s">
        <v>63</v>
      </c>
      <c r="Y522" s="592" t="s">
        <v>55</v>
      </c>
      <c r="Z522" s="592" t="s">
        <v>56</v>
      </c>
      <c r="AA522" s="568" t="s">
        <v>57</v>
      </c>
      <c r="AB522" s="592" t="s">
        <v>54</v>
      </c>
      <c r="AC522" s="568" t="s">
        <v>206</v>
      </c>
      <c r="AD522" s="568"/>
      <c r="AE522" s="563"/>
      <c r="AF522" s="570" t="s">
        <v>2899</v>
      </c>
      <c r="AG522" s="570" t="s">
        <v>25</v>
      </c>
      <c r="AH522" s="571" t="s">
        <v>25</v>
      </c>
      <c r="AI522" s="593" t="s">
        <v>207</v>
      </c>
      <c r="AJ522" s="558" t="s">
        <v>2450</v>
      </c>
    </row>
    <row r="523" spans="1:36" s="376" customFormat="1" ht="101.25" outlineLevel="2" x14ac:dyDescent="0.3">
      <c r="A523" s="447">
        <v>45</v>
      </c>
      <c r="B523" s="628" t="s">
        <v>673</v>
      </c>
      <c r="C523" s="628"/>
      <c r="D523" s="587"/>
      <c r="E523" s="560"/>
      <c r="F523" s="586"/>
      <c r="G523" s="588"/>
      <c r="H523" s="546"/>
      <c r="I523" s="563" t="s">
        <v>25</v>
      </c>
      <c r="J523" s="563" t="s">
        <v>25</v>
      </c>
      <c r="K523" s="564" t="s">
        <v>25</v>
      </c>
      <c r="L523" s="564" t="s">
        <v>25</v>
      </c>
      <c r="M523" s="558"/>
      <c r="N523" s="558"/>
      <c r="O523" s="590"/>
      <c r="P523" s="564" t="s">
        <v>25</v>
      </c>
      <c r="Q523" s="564" t="s">
        <v>25</v>
      </c>
      <c r="R523" s="586" t="s">
        <v>1838</v>
      </c>
      <c r="S523" s="609" t="s">
        <v>53</v>
      </c>
      <c r="T523" s="591">
        <v>15.3</v>
      </c>
      <c r="U523" s="589"/>
      <c r="V523" s="564">
        <v>3156089</v>
      </c>
      <c r="W523" s="564">
        <v>48288000</v>
      </c>
      <c r="X523" s="589" t="s">
        <v>63</v>
      </c>
      <c r="Y523" s="592" t="s">
        <v>55</v>
      </c>
      <c r="Z523" s="592" t="s">
        <v>56</v>
      </c>
      <c r="AA523" s="568" t="s">
        <v>57</v>
      </c>
      <c r="AB523" s="592" t="s">
        <v>54</v>
      </c>
      <c r="AC523" s="568" t="s">
        <v>206</v>
      </c>
      <c r="AD523" s="568"/>
      <c r="AE523" s="563"/>
      <c r="AF523" s="570" t="s">
        <v>2899</v>
      </c>
      <c r="AG523" s="570" t="s">
        <v>25</v>
      </c>
      <c r="AH523" s="571" t="s">
        <v>25</v>
      </c>
      <c r="AI523" s="574" t="s">
        <v>1731</v>
      </c>
      <c r="AJ523" s="558" t="s">
        <v>2800</v>
      </c>
    </row>
    <row r="524" spans="1:36" s="376" customFormat="1" ht="81" outlineLevel="2" x14ac:dyDescent="0.3">
      <c r="A524" s="447">
        <v>45</v>
      </c>
      <c r="B524" s="558"/>
      <c r="C524" s="558"/>
      <c r="D524" s="587"/>
      <c r="E524" s="560"/>
      <c r="F524" s="558"/>
      <c r="G524" s="588"/>
      <c r="H524" s="546"/>
      <c r="I524" s="563" t="s">
        <v>25</v>
      </c>
      <c r="J524" s="563" t="s">
        <v>25</v>
      </c>
      <c r="K524" s="564" t="s">
        <v>25</v>
      </c>
      <c r="L524" s="564" t="s">
        <v>25</v>
      </c>
      <c r="M524" s="558"/>
      <c r="N524" s="558"/>
      <c r="O524" s="590"/>
      <c r="P524" s="564" t="s">
        <v>25</v>
      </c>
      <c r="Q524" s="564" t="s">
        <v>25</v>
      </c>
      <c r="R524" s="566" t="s">
        <v>2307</v>
      </c>
      <c r="S524" s="589" t="s">
        <v>53</v>
      </c>
      <c r="T524" s="591">
        <v>1.92</v>
      </c>
      <c r="U524" s="589"/>
      <c r="V524" s="564">
        <v>2093161</v>
      </c>
      <c r="W524" s="564">
        <v>4019000</v>
      </c>
      <c r="X524" s="589"/>
      <c r="Y524" s="592"/>
      <c r="Z524" s="592" t="s">
        <v>56</v>
      </c>
      <c r="AA524" s="568" t="s">
        <v>57</v>
      </c>
      <c r="AB524" s="592" t="s">
        <v>54</v>
      </c>
      <c r="AC524" s="592"/>
      <c r="AD524" s="592"/>
      <c r="AE524" s="590"/>
      <c r="AF524" s="570" t="s">
        <v>2899</v>
      </c>
      <c r="AG524" s="570" t="s">
        <v>25</v>
      </c>
      <c r="AH524" s="571" t="s">
        <v>25</v>
      </c>
      <c r="AI524" s="575"/>
      <c r="AJ524" s="574"/>
    </row>
    <row r="525" spans="1:36" s="376" customFormat="1" ht="81" outlineLevel="2" x14ac:dyDescent="0.3">
      <c r="A525" s="447">
        <v>45</v>
      </c>
      <c r="B525" s="558"/>
      <c r="C525" s="558"/>
      <c r="D525" s="587"/>
      <c r="E525" s="560"/>
      <c r="F525" s="558"/>
      <c r="G525" s="588"/>
      <c r="H525" s="546"/>
      <c r="I525" s="563" t="s">
        <v>25</v>
      </c>
      <c r="J525" s="563" t="s">
        <v>25</v>
      </c>
      <c r="K525" s="564" t="s">
        <v>25</v>
      </c>
      <c r="L525" s="564" t="s">
        <v>25</v>
      </c>
      <c r="M525" s="586"/>
      <c r="N525" s="586"/>
      <c r="O525" s="630"/>
      <c r="P525" s="564" t="s">
        <v>25</v>
      </c>
      <c r="Q525" s="564" t="s">
        <v>25</v>
      </c>
      <c r="R525" s="566" t="s">
        <v>2307</v>
      </c>
      <c r="S525" s="609" t="s">
        <v>53</v>
      </c>
      <c r="T525" s="591">
        <v>1.92</v>
      </c>
      <c r="U525" s="589"/>
      <c r="V525" s="564">
        <v>2093161</v>
      </c>
      <c r="W525" s="564">
        <v>4019000</v>
      </c>
      <c r="X525" s="589"/>
      <c r="Y525" s="592"/>
      <c r="Z525" s="592" t="s">
        <v>56</v>
      </c>
      <c r="AA525" s="568" t="s">
        <v>57</v>
      </c>
      <c r="AB525" s="592" t="s">
        <v>54</v>
      </c>
      <c r="AC525" s="592"/>
      <c r="AD525" s="592"/>
      <c r="AE525" s="590"/>
      <c r="AF525" s="570" t="s">
        <v>2899</v>
      </c>
      <c r="AG525" s="570" t="s">
        <v>25</v>
      </c>
      <c r="AH525" s="571" t="s">
        <v>25</v>
      </c>
      <c r="AI525" s="574"/>
      <c r="AJ525" s="574"/>
    </row>
    <row r="526" spans="1:36" s="376" customFormat="1" ht="40.5" outlineLevel="2" x14ac:dyDescent="0.3">
      <c r="A526" s="447">
        <v>45</v>
      </c>
      <c r="B526" s="558"/>
      <c r="C526" s="558"/>
      <c r="D526" s="587"/>
      <c r="E526" s="560"/>
      <c r="F526" s="558"/>
      <c r="G526" s="588"/>
      <c r="H526" s="546"/>
      <c r="I526" s="563" t="s">
        <v>25</v>
      </c>
      <c r="J526" s="563" t="s">
        <v>25</v>
      </c>
      <c r="K526" s="564" t="s">
        <v>25</v>
      </c>
      <c r="L526" s="564" t="s">
        <v>25</v>
      </c>
      <c r="M526" s="558"/>
      <c r="N526" s="558"/>
      <c r="O526" s="590"/>
      <c r="P526" s="564" t="s">
        <v>25</v>
      </c>
      <c r="Q526" s="564" t="s">
        <v>25</v>
      </c>
      <c r="R526" s="586" t="s">
        <v>1748</v>
      </c>
      <c r="S526" s="589" t="s">
        <v>53</v>
      </c>
      <c r="T526" s="591">
        <v>14.76</v>
      </c>
      <c r="U526" s="589"/>
      <c r="V526" s="564">
        <v>0</v>
      </c>
      <c r="W526" s="564">
        <v>0</v>
      </c>
      <c r="X526" s="589"/>
      <c r="Y526" s="592"/>
      <c r="Z526" s="592"/>
      <c r="AA526" s="568"/>
      <c r="AB526" s="592"/>
      <c r="AC526" s="592"/>
      <c r="AD526" s="592"/>
      <c r="AE526" s="590"/>
      <c r="AF526" s="570" t="s">
        <v>2899</v>
      </c>
      <c r="AG526" s="570" t="s">
        <v>25</v>
      </c>
      <c r="AH526" s="571" t="s">
        <v>25</v>
      </c>
      <c r="AI526" s="558"/>
      <c r="AJ526" s="558"/>
    </row>
    <row r="527" spans="1:36" s="376" customFormat="1" ht="60.75" outlineLevel="2" x14ac:dyDescent="0.3">
      <c r="A527" s="447">
        <v>45</v>
      </c>
      <c r="B527" s="574"/>
      <c r="C527" s="574"/>
      <c r="D527" s="587"/>
      <c r="E527" s="560"/>
      <c r="F527" s="558"/>
      <c r="G527" s="588"/>
      <c r="H527" s="546"/>
      <c r="I527" s="563" t="s">
        <v>25</v>
      </c>
      <c r="J527" s="563" t="s">
        <v>25</v>
      </c>
      <c r="K527" s="564" t="s">
        <v>25</v>
      </c>
      <c r="L527" s="564" t="s">
        <v>25</v>
      </c>
      <c r="M527" s="558"/>
      <c r="N527" s="558"/>
      <c r="O527" s="590"/>
      <c r="P527" s="564" t="s">
        <v>25</v>
      </c>
      <c r="Q527" s="564" t="s">
        <v>25</v>
      </c>
      <c r="R527" s="566" t="s">
        <v>1749</v>
      </c>
      <c r="S527" s="589" t="s">
        <v>53</v>
      </c>
      <c r="T527" s="591">
        <v>14.76</v>
      </c>
      <c r="U527" s="589"/>
      <c r="V527" s="564">
        <v>211811</v>
      </c>
      <c r="W527" s="564">
        <v>3126000</v>
      </c>
      <c r="X527" s="589"/>
      <c r="Y527" s="592"/>
      <c r="Z527" s="592"/>
      <c r="AA527" s="568"/>
      <c r="AB527" s="592"/>
      <c r="AC527" s="592"/>
      <c r="AD527" s="592"/>
      <c r="AE527" s="590"/>
      <c r="AF527" s="570" t="s">
        <v>2899</v>
      </c>
      <c r="AG527" s="570" t="s">
        <v>25</v>
      </c>
      <c r="AH527" s="571" t="s">
        <v>25</v>
      </c>
      <c r="AI527" s="558"/>
      <c r="AJ527" s="558"/>
    </row>
    <row r="528" spans="1:36" s="376" customFormat="1" ht="40.5" outlineLevel="2" x14ac:dyDescent="0.3">
      <c r="A528" s="447">
        <v>45</v>
      </c>
      <c r="B528" s="558"/>
      <c r="C528" s="558"/>
      <c r="D528" s="595"/>
      <c r="E528" s="577"/>
      <c r="F528" s="558"/>
      <c r="G528" s="588"/>
      <c r="H528" s="546"/>
      <c r="I528" s="563" t="s">
        <v>25</v>
      </c>
      <c r="J528" s="563" t="s">
        <v>25</v>
      </c>
      <c r="K528" s="564" t="s">
        <v>25</v>
      </c>
      <c r="L528" s="564" t="s">
        <v>25</v>
      </c>
      <c r="M528" s="558"/>
      <c r="N528" s="558"/>
      <c r="O528" s="590"/>
      <c r="P528" s="564" t="s">
        <v>25</v>
      </c>
      <c r="Q528" s="564" t="s">
        <v>25</v>
      </c>
      <c r="R528" s="566" t="s">
        <v>2291</v>
      </c>
      <c r="S528" s="589" t="s">
        <v>78</v>
      </c>
      <c r="T528" s="591">
        <v>0.06</v>
      </c>
      <c r="U528" s="589"/>
      <c r="V528" s="564">
        <v>0</v>
      </c>
      <c r="W528" s="564">
        <v>0</v>
      </c>
      <c r="X528" s="589"/>
      <c r="Y528" s="592"/>
      <c r="Z528" s="592"/>
      <c r="AA528" s="568"/>
      <c r="AB528" s="592"/>
      <c r="AC528" s="592"/>
      <c r="AD528" s="592"/>
      <c r="AE528" s="590"/>
      <c r="AF528" s="570" t="s">
        <v>2899</v>
      </c>
      <c r="AG528" s="570" t="s">
        <v>25</v>
      </c>
      <c r="AH528" s="571" t="s">
        <v>25</v>
      </c>
      <c r="AI528" s="593"/>
      <c r="AJ528" s="593"/>
    </row>
    <row r="529" spans="1:36" s="376" customFormat="1" ht="60.75" outlineLevel="2" x14ac:dyDescent="0.3">
      <c r="A529" s="447">
        <v>45</v>
      </c>
      <c r="B529" s="572"/>
      <c r="C529" s="572"/>
      <c r="D529" s="587"/>
      <c r="E529" s="560"/>
      <c r="F529" s="574"/>
      <c r="G529" s="588"/>
      <c r="H529" s="546"/>
      <c r="I529" s="563" t="s">
        <v>25</v>
      </c>
      <c r="J529" s="563" t="s">
        <v>25</v>
      </c>
      <c r="K529" s="564" t="s">
        <v>25</v>
      </c>
      <c r="L529" s="564" t="s">
        <v>25</v>
      </c>
      <c r="M529" s="598"/>
      <c r="N529" s="598"/>
      <c r="O529" s="599"/>
      <c r="P529" s="564" t="s">
        <v>25</v>
      </c>
      <c r="Q529" s="564" t="s">
        <v>25</v>
      </c>
      <c r="R529" s="566" t="s">
        <v>2318</v>
      </c>
      <c r="S529" s="589" t="s">
        <v>53</v>
      </c>
      <c r="T529" s="591">
        <v>0.9</v>
      </c>
      <c r="U529" s="597"/>
      <c r="V529" s="564">
        <v>254982</v>
      </c>
      <c r="W529" s="564">
        <v>229000</v>
      </c>
      <c r="X529" s="580"/>
      <c r="Y529" s="601"/>
      <c r="Z529" s="601"/>
      <c r="AA529" s="584"/>
      <c r="AB529" s="601"/>
      <c r="AC529" s="601"/>
      <c r="AD529" s="601"/>
      <c r="AE529" s="599"/>
      <c r="AF529" s="570" t="s">
        <v>2899</v>
      </c>
      <c r="AG529" s="570" t="s">
        <v>25</v>
      </c>
      <c r="AH529" s="571" t="s">
        <v>25</v>
      </c>
      <c r="AI529" s="608"/>
      <c r="AJ529" s="608"/>
    </row>
    <row r="530" spans="1:36" s="376" customFormat="1" ht="60.75" outlineLevel="2" x14ac:dyDescent="0.3">
      <c r="A530" s="447">
        <v>45</v>
      </c>
      <c r="B530" s="572"/>
      <c r="C530" s="572"/>
      <c r="D530" s="612"/>
      <c r="E530" s="612"/>
      <c r="F530" s="558"/>
      <c r="G530" s="588"/>
      <c r="H530" s="546"/>
      <c r="I530" s="563" t="s">
        <v>25</v>
      </c>
      <c r="J530" s="563" t="s">
        <v>25</v>
      </c>
      <c r="K530" s="564" t="s">
        <v>25</v>
      </c>
      <c r="L530" s="564" t="s">
        <v>25</v>
      </c>
      <c r="M530" s="565"/>
      <c r="N530" s="565"/>
      <c r="O530" s="590"/>
      <c r="P530" s="564" t="s">
        <v>25</v>
      </c>
      <c r="Q530" s="564" t="s">
        <v>25</v>
      </c>
      <c r="R530" s="566" t="s">
        <v>2292</v>
      </c>
      <c r="S530" s="589" t="s">
        <v>53</v>
      </c>
      <c r="T530" s="591">
        <v>0.5</v>
      </c>
      <c r="U530" s="589"/>
      <c r="V530" s="564">
        <v>310020</v>
      </c>
      <c r="W530" s="564">
        <v>155000</v>
      </c>
      <c r="X530" s="562"/>
      <c r="Y530" s="592"/>
      <c r="Z530" s="592"/>
      <c r="AA530" s="568"/>
      <c r="AB530" s="592"/>
      <c r="AC530" s="592"/>
      <c r="AD530" s="592"/>
      <c r="AE530" s="590"/>
      <c r="AF530" s="570" t="s">
        <v>2899</v>
      </c>
      <c r="AG530" s="570" t="s">
        <v>25</v>
      </c>
      <c r="AH530" s="571" t="s">
        <v>25</v>
      </c>
      <c r="AI530" s="593"/>
      <c r="AJ530" s="593"/>
    </row>
    <row r="531" spans="1:36" s="376" customFormat="1" ht="40.5" outlineLevel="2" x14ac:dyDescent="0.3">
      <c r="A531" s="447">
        <v>45</v>
      </c>
      <c r="B531" s="572"/>
      <c r="C531" s="572"/>
      <c r="D531" s="587"/>
      <c r="E531" s="560"/>
      <c r="F531" s="586"/>
      <c r="G531" s="588"/>
      <c r="H531" s="546"/>
      <c r="I531" s="563" t="s">
        <v>25</v>
      </c>
      <c r="J531" s="563" t="s">
        <v>25</v>
      </c>
      <c r="K531" s="564" t="s">
        <v>25</v>
      </c>
      <c r="L531" s="564" t="s">
        <v>25</v>
      </c>
      <c r="M531" s="586"/>
      <c r="N531" s="586"/>
      <c r="O531" s="630"/>
      <c r="P531" s="564" t="s">
        <v>25</v>
      </c>
      <c r="Q531" s="564" t="s">
        <v>25</v>
      </c>
      <c r="R531" s="586" t="s">
        <v>2319</v>
      </c>
      <c r="S531" s="609" t="s">
        <v>53</v>
      </c>
      <c r="T531" s="591">
        <v>1.08</v>
      </c>
      <c r="U531" s="589"/>
      <c r="V531" s="564">
        <v>142450</v>
      </c>
      <c r="W531" s="564">
        <v>154000</v>
      </c>
      <c r="X531" s="589"/>
      <c r="Y531" s="592"/>
      <c r="Z531" s="592"/>
      <c r="AA531" s="568"/>
      <c r="AB531" s="592"/>
      <c r="AC531" s="592"/>
      <c r="AD531" s="592"/>
      <c r="AE531" s="590"/>
      <c r="AF531" s="570" t="s">
        <v>2899</v>
      </c>
      <c r="AG531" s="570" t="s">
        <v>25</v>
      </c>
      <c r="AH531" s="571" t="s">
        <v>25</v>
      </c>
      <c r="AI531" s="593"/>
      <c r="AJ531" s="593"/>
    </row>
    <row r="532" spans="1:36" s="376" customFormat="1" ht="101.25" outlineLevel="2" x14ac:dyDescent="0.3">
      <c r="A532" s="447">
        <v>45</v>
      </c>
      <c r="B532" s="574"/>
      <c r="C532" s="574"/>
      <c r="D532" s="587"/>
      <c r="E532" s="560"/>
      <c r="F532" s="558"/>
      <c r="G532" s="588"/>
      <c r="H532" s="546"/>
      <c r="I532" s="563" t="s">
        <v>25</v>
      </c>
      <c r="J532" s="563" t="s">
        <v>25</v>
      </c>
      <c r="K532" s="564" t="s">
        <v>25</v>
      </c>
      <c r="L532" s="564" t="s">
        <v>25</v>
      </c>
      <c r="M532" s="586"/>
      <c r="N532" s="586"/>
      <c r="O532" s="630"/>
      <c r="P532" s="564" t="s">
        <v>25</v>
      </c>
      <c r="Q532" s="564" t="s">
        <v>25</v>
      </c>
      <c r="R532" s="586" t="s">
        <v>2320</v>
      </c>
      <c r="S532" s="609" t="s">
        <v>53</v>
      </c>
      <c r="T532" s="591">
        <v>4.92</v>
      </c>
      <c r="U532" s="589"/>
      <c r="V532" s="564">
        <v>441467</v>
      </c>
      <c r="W532" s="564">
        <v>2172000</v>
      </c>
      <c r="X532" s="589"/>
      <c r="Y532" s="592"/>
      <c r="Z532" s="592"/>
      <c r="AA532" s="568"/>
      <c r="AB532" s="592"/>
      <c r="AC532" s="592"/>
      <c r="AD532" s="592"/>
      <c r="AE532" s="590"/>
      <c r="AF532" s="570" t="s">
        <v>2899</v>
      </c>
      <c r="AG532" s="570" t="s">
        <v>25</v>
      </c>
      <c r="AH532" s="571" t="s">
        <v>25</v>
      </c>
      <c r="AI532" s="593"/>
      <c r="AJ532" s="593"/>
    </row>
    <row r="533" spans="1:36" s="376" customFormat="1" ht="81" outlineLevel="2" x14ac:dyDescent="0.3">
      <c r="A533" s="447">
        <v>45</v>
      </c>
      <c r="B533" s="574"/>
      <c r="C533" s="574"/>
      <c r="D533" s="587"/>
      <c r="E533" s="560"/>
      <c r="F533" s="558"/>
      <c r="G533" s="588"/>
      <c r="H533" s="546"/>
      <c r="I533" s="563" t="s">
        <v>25</v>
      </c>
      <c r="J533" s="563" t="s">
        <v>25</v>
      </c>
      <c r="K533" s="564" t="s">
        <v>25</v>
      </c>
      <c r="L533" s="564" t="s">
        <v>25</v>
      </c>
      <c r="M533" s="586"/>
      <c r="N533" s="586"/>
      <c r="O533" s="630"/>
      <c r="P533" s="564" t="s">
        <v>25</v>
      </c>
      <c r="Q533" s="564" t="s">
        <v>25</v>
      </c>
      <c r="R533" s="586" t="s">
        <v>2288</v>
      </c>
      <c r="S533" s="609" t="s">
        <v>53</v>
      </c>
      <c r="T533" s="591">
        <v>10.14</v>
      </c>
      <c r="U533" s="589"/>
      <c r="V533" s="564">
        <v>441467</v>
      </c>
      <c r="W533" s="564">
        <v>4476000</v>
      </c>
      <c r="X533" s="589"/>
      <c r="Y533" s="592"/>
      <c r="Z533" s="592"/>
      <c r="AA533" s="568"/>
      <c r="AB533" s="592"/>
      <c r="AC533" s="592"/>
      <c r="AD533" s="592"/>
      <c r="AE533" s="590"/>
      <c r="AF533" s="570" t="s">
        <v>2899</v>
      </c>
      <c r="AG533" s="570" t="s">
        <v>25</v>
      </c>
      <c r="AH533" s="571" t="s">
        <v>25</v>
      </c>
      <c r="AI533" s="593"/>
      <c r="AJ533" s="593"/>
    </row>
    <row r="534" spans="1:36" s="376" customFormat="1" ht="40.5" outlineLevel="2" x14ac:dyDescent="0.3">
      <c r="A534" s="447">
        <v>45</v>
      </c>
      <c r="B534" s="574"/>
      <c r="C534" s="574"/>
      <c r="D534" s="587"/>
      <c r="E534" s="560"/>
      <c r="F534" s="558"/>
      <c r="G534" s="588"/>
      <c r="H534" s="546"/>
      <c r="I534" s="563" t="s">
        <v>25</v>
      </c>
      <c r="J534" s="563" t="s">
        <v>25</v>
      </c>
      <c r="K534" s="564" t="s">
        <v>25</v>
      </c>
      <c r="L534" s="564" t="s">
        <v>25</v>
      </c>
      <c r="M534" s="586"/>
      <c r="N534" s="586"/>
      <c r="O534" s="630"/>
      <c r="P534" s="564" t="s">
        <v>25</v>
      </c>
      <c r="Q534" s="564" t="s">
        <v>25</v>
      </c>
      <c r="R534" s="586" t="s">
        <v>2317</v>
      </c>
      <c r="S534" s="609" t="s">
        <v>53</v>
      </c>
      <c r="T534" s="591">
        <v>30.6</v>
      </c>
      <c r="U534" s="589"/>
      <c r="V534" s="564">
        <v>242324</v>
      </c>
      <c r="W534" s="564">
        <v>7415000</v>
      </c>
      <c r="X534" s="589"/>
      <c r="Y534" s="592"/>
      <c r="Z534" s="592"/>
      <c r="AA534" s="568"/>
      <c r="AB534" s="592"/>
      <c r="AC534" s="592"/>
      <c r="AD534" s="592"/>
      <c r="AE534" s="590"/>
      <c r="AF534" s="570" t="s">
        <v>2899</v>
      </c>
      <c r="AG534" s="570" t="s">
        <v>25</v>
      </c>
      <c r="AH534" s="571" t="s">
        <v>25</v>
      </c>
      <c r="AI534" s="593"/>
      <c r="AJ534" s="593"/>
    </row>
    <row r="535" spans="1:36" s="376" customFormat="1" ht="20.25" outlineLevel="2" x14ac:dyDescent="0.3">
      <c r="A535" s="447">
        <v>45</v>
      </c>
      <c r="B535" s="574"/>
      <c r="C535" s="574"/>
      <c r="D535" s="587"/>
      <c r="E535" s="615"/>
      <c r="F535" s="558"/>
      <c r="G535" s="588"/>
      <c r="H535" s="546"/>
      <c r="I535" s="563" t="s">
        <v>25</v>
      </c>
      <c r="J535" s="563" t="s">
        <v>25</v>
      </c>
      <c r="K535" s="564" t="s">
        <v>25</v>
      </c>
      <c r="L535" s="564" t="s">
        <v>25</v>
      </c>
      <c r="M535" s="586"/>
      <c r="N535" s="586"/>
      <c r="O535" s="630"/>
      <c r="P535" s="564" t="s">
        <v>25</v>
      </c>
      <c r="Q535" s="564" t="s">
        <v>25</v>
      </c>
      <c r="R535" s="593"/>
      <c r="S535" s="593"/>
      <c r="T535" s="617"/>
      <c r="U535" s="589"/>
      <c r="V535" s="564" t="s">
        <v>2899</v>
      </c>
      <c r="W535" s="564" t="s">
        <v>25</v>
      </c>
      <c r="X535" s="589"/>
      <c r="Y535" s="592"/>
      <c r="Z535" s="592"/>
      <c r="AA535" s="568"/>
      <c r="AB535" s="592"/>
      <c r="AC535" s="592"/>
      <c r="AD535" s="592"/>
      <c r="AE535" s="590"/>
      <c r="AF535" s="570" t="s">
        <v>2899</v>
      </c>
      <c r="AG535" s="570" t="s">
        <v>25</v>
      </c>
      <c r="AH535" s="571" t="s">
        <v>25</v>
      </c>
      <c r="AI535" s="593"/>
      <c r="AJ535" s="593"/>
    </row>
    <row r="536" spans="1:36" s="376" customFormat="1" ht="20.25" outlineLevel="2" x14ac:dyDescent="0.3">
      <c r="A536" s="447">
        <v>45</v>
      </c>
      <c r="B536" s="558"/>
      <c r="C536" s="558"/>
      <c r="D536" s="587"/>
      <c r="E536" s="560"/>
      <c r="F536" s="558"/>
      <c r="G536" s="604"/>
      <c r="H536" s="546"/>
      <c r="I536" s="563" t="s">
        <v>25</v>
      </c>
      <c r="J536" s="563" t="s">
        <v>25</v>
      </c>
      <c r="K536" s="564" t="s">
        <v>25</v>
      </c>
      <c r="L536" s="564" t="s">
        <v>25</v>
      </c>
      <c r="M536" s="593"/>
      <c r="N536" s="593"/>
      <c r="O536" s="616"/>
      <c r="P536" s="564" t="s">
        <v>25</v>
      </c>
      <c r="Q536" s="564" t="s">
        <v>25</v>
      </c>
      <c r="R536" s="593"/>
      <c r="S536" s="593"/>
      <c r="T536" s="617"/>
      <c r="U536" s="589"/>
      <c r="V536" s="564" t="s">
        <v>2899</v>
      </c>
      <c r="W536" s="564" t="s">
        <v>25</v>
      </c>
      <c r="X536" s="589"/>
      <c r="Y536" s="589"/>
      <c r="Z536" s="589"/>
      <c r="AA536" s="562"/>
      <c r="AB536" s="589"/>
      <c r="AC536" s="589"/>
      <c r="AD536" s="589"/>
      <c r="AE536" s="629"/>
      <c r="AF536" s="570" t="s">
        <v>2899</v>
      </c>
      <c r="AG536" s="570" t="s">
        <v>25</v>
      </c>
      <c r="AH536" s="571" t="s">
        <v>25</v>
      </c>
      <c r="AI536" s="593"/>
      <c r="AJ536" s="593"/>
    </row>
    <row r="537" spans="1:36" s="376" customFormat="1" ht="20.25" outlineLevel="2" x14ac:dyDescent="0.3">
      <c r="A537" s="447">
        <v>45</v>
      </c>
      <c r="B537" s="558"/>
      <c r="C537" s="558"/>
      <c r="D537" s="587"/>
      <c r="E537" s="560"/>
      <c r="F537" s="558"/>
      <c r="G537" s="588"/>
      <c r="H537" s="546"/>
      <c r="I537" s="563" t="s">
        <v>25</v>
      </c>
      <c r="J537" s="563" t="s">
        <v>25</v>
      </c>
      <c r="K537" s="564" t="s">
        <v>25</v>
      </c>
      <c r="L537" s="564" t="s">
        <v>25</v>
      </c>
      <c r="M537" s="558"/>
      <c r="N537" s="558"/>
      <c r="O537" s="590"/>
      <c r="P537" s="564" t="s">
        <v>25</v>
      </c>
      <c r="Q537" s="564" t="s">
        <v>25</v>
      </c>
      <c r="R537" s="566"/>
      <c r="S537" s="609"/>
      <c r="T537" s="591"/>
      <c r="U537" s="589"/>
      <c r="V537" s="564" t="s">
        <v>2899</v>
      </c>
      <c r="W537" s="564" t="s">
        <v>25</v>
      </c>
      <c r="X537" s="589"/>
      <c r="Y537" s="592"/>
      <c r="Z537" s="592"/>
      <c r="AA537" s="568"/>
      <c r="AB537" s="592"/>
      <c r="AC537" s="592"/>
      <c r="AD537" s="592"/>
      <c r="AE537" s="590"/>
      <c r="AF537" s="570" t="s">
        <v>2899</v>
      </c>
      <c r="AG537" s="570" t="s">
        <v>25</v>
      </c>
      <c r="AH537" s="571" t="s">
        <v>25</v>
      </c>
      <c r="AI537" s="593"/>
      <c r="AJ537" s="593"/>
    </row>
    <row r="538" spans="1:36" s="376" customFormat="1" ht="20.25" outlineLevel="2" x14ac:dyDescent="0.3">
      <c r="A538" s="447">
        <v>45</v>
      </c>
      <c r="B538" s="607"/>
      <c r="C538" s="607"/>
      <c r="D538" s="595"/>
      <c r="E538" s="577"/>
      <c r="F538" s="558"/>
      <c r="G538" s="588"/>
      <c r="H538" s="546"/>
      <c r="I538" s="563" t="s">
        <v>25</v>
      </c>
      <c r="J538" s="563" t="s">
        <v>25</v>
      </c>
      <c r="K538" s="564" t="s">
        <v>25</v>
      </c>
      <c r="L538" s="564" t="s">
        <v>25</v>
      </c>
      <c r="M538" s="558"/>
      <c r="N538" s="558"/>
      <c r="O538" s="590"/>
      <c r="P538" s="564" t="s">
        <v>25</v>
      </c>
      <c r="Q538" s="564" t="s">
        <v>25</v>
      </c>
      <c r="R538" s="566"/>
      <c r="S538" s="589"/>
      <c r="T538" s="591"/>
      <c r="U538" s="589"/>
      <c r="V538" s="564" t="s">
        <v>2899</v>
      </c>
      <c r="W538" s="564" t="s">
        <v>25</v>
      </c>
      <c r="X538" s="589"/>
      <c r="Y538" s="592"/>
      <c r="Z538" s="592"/>
      <c r="AA538" s="568"/>
      <c r="AB538" s="592"/>
      <c r="AC538" s="592"/>
      <c r="AD538" s="592"/>
      <c r="AE538" s="590"/>
      <c r="AF538" s="570" t="s">
        <v>2899</v>
      </c>
      <c r="AG538" s="570" t="s">
        <v>25</v>
      </c>
      <c r="AH538" s="571" t="s">
        <v>25</v>
      </c>
      <c r="AI538" s="593"/>
      <c r="AJ538" s="593"/>
    </row>
    <row r="539" spans="1:36" s="376" customFormat="1" ht="40.5" outlineLevel="1" x14ac:dyDescent="0.25">
      <c r="A539" s="467">
        <v>46</v>
      </c>
      <c r="B539" s="607" t="s">
        <v>199</v>
      </c>
      <c r="C539" s="773" t="s">
        <v>2902</v>
      </c>
      <c r="D539" s="587">
        <v>86</v>
      </c>
      <c r="E539" s="560">
        <v>255</v>
      </c>
      <c r="F539" s="574"/>
      <c r="G539" s="618">
        <v>245</v>
      </c>
      <c r="H539" s="579">
        <v>0</v>
      </c>
      <c r="I539" s="581"/>
      <c r="J539" s="581"/>
      <c r="K539" s="571">
        <v>656108000</v>
      </c>
      <c r="L539" s="571">
        <v>0</v>
      </c>
      <c r="M539" s="578"/>
      <c r="N539" s="578"/>
      <c r="O539" s="599">
        <v>0</v>
      </c>
      <c r="P539" s="571"/>
      <c r="Q539" s="571">
        <v>0</v>
      </c>
      <c r="R539" s="578"/>
      <c r="S539" s="621"/>
      <c r="T539" s="600">
        <v>0</v>
      </c>
      <c r="U539" s="597"/>
      <c r="V539" s="571"/>
      <c r="W539" s="571">
        <v>0</v>
      </c>
      <c r="X539" s="589"/>
      <c r="Y539" s="592"/>
      <c r="Z539" s="592"/>
      <c r="AA539" s="568"/>
      <c r="AB539" s="592"/>
      <c r="AC539" s="592"/>
      <c r="AD539" s="602"/>
      <c r="AE539" s="581">
        <f>SUBTOTAL(9,AE540:AE548)</f>
        <v>0</v>
      </c>
      <c r="AF539" s="585"/>
      <c r="AG539" s="585">
        <v>0</v>
      </c>
      <c r="AH539" s="571">
        <v>656108000</v>
      </c>
      <c r="AI539" s="574"/>
      <c r="AJ539" s="578"/>
    </row>
    <row r="540" spans="1:36" s="376" customFormat="1" ht="121.5" outlineLevel="2" x14ac:dyDescent="0.3">
      <c r="A540" s="447">
        <v>46</v>
      </c>
      <c r="B540" s="558" t="s">
        <v>200</v>
      </c>
      <c r="C540" s="558"/>
      <c r="D540" s="587">
        <v>86</v>
      </c>
      <c r="E540" s="560">
        <v>255</v>
      </c>
      <c r="F540" s="558" t="s">
        <v>2037</v>
      </c>
      <c r="G540" s="588">
        <v>99.9</v>
      </c>
      <c r="H540" s="546" t="s">
        <v>2899</v>
      </c>
      <c r="I540" s="563">
        <v>5762400</v>
      </c>
      <c r="J540" s="563">
        <v>0</v>
      </c>
      <c r="K540" s="564">
        <v>575664000</v>
      </c>
      <c r="L540" s="564">
        <v>0</v>
      </c>
      <c r="M540" s="586"/>
      <c r="N540" s="586"/>
      <c r="O540" s="590"/>
      <c r="P540" s="564" t="s">
        <v>25</v>
      </c>
      <c r="Q540" s="564" t="s">
        <v>25</v>
      </c>
      <c r="R540" s="586"/>
      <c r="S540" s="609"/>
      <c r="T540" s="591"/>
      <c r="U540" s="589"/>
      <c r="V540" s="564" t="s">
        <v>2899</v>
      </c>
      <c r="W540" s="564" t="s">
        <v>25</v>
      </c>
      <c r="X540" s="589"/>
      <c r="Y540" s="592"/>
      <c r="Z540" s="592"/>
      <c r="AA540" s="568"/>
      <c r="AB540" s="592"/>
      <c r="AC540" s="592"/>
      <c r="AD540" s="569"/>
      <c r="AE540" s="563"/>
      <c r="AF540" s="570"/>
      <c r="AG540" s="570"/>
      <c r="AH540" s="571" t="s">
        <v>25</v>
      </c>
      <c r="AI540" s="558" t="s">
        <v>1694</v>
      </c>
      <c r="AJ540" s="586" t="s">
        <v>2771</v>
      </c>
    </row>
    <row r="541" spans="1:36" s="376" customFormat="1" ht="101.25" outlineLevel="2" x14ac:dyDescent="0.3">
      <c r="A541" s="447">
        <v>46</v>
      </c>
      <c r="B541" s="558" t="s">
        <v>677</v>
      </c>
      <c r="C541" s="558"/>
      <c r="D541" s="587"/>
      <c r="E541" s="560"/>
      <c r="F541" s="558" t="s">
        <v>2472</v>
      </c>
      <c r="G541" s="588">
        <v>138.6</v>
      </c>
      <c r="H541" s="546" t="s">
        <v>2899</v>
      </c>
      <c r="I541" s="563">
        <v>554400</v>
      </c>
      <c r="J541" s="563">
        <v>0</v>
      </c>
      <c r="K541" s="564">
        <v>76840000</v>
      </c>
      <c r="L541" s="564">
        <v>0</v>
      </c>
      <c r="M541" s="558"/>
      <c r="N541" s="558"/>
      <c r="O541" s="590"/>
      <c r="P541" s="564" t="s">
        <v>25</v>
      </c>
      <c r="Q541" s="564" t="s">
        <v>25</v>
      </c>
      <c r="R541" s="566"/>
      <c r="S541" s="589"/>
      <c r="T541" s="591"/>
      <c r="U541" s="589"/>
      <c r="V541" s="564" t="s">
        <v>2899</v>
      </c>
      <c r="W541" s="564" t="s">
        <v>25</v>
      </c>
      <c r="X541" s="589"/>
      <c r="Y541" s="592"/>
      <c r="Z541" s="592"/>
      <c r="AA541" s="568"/>
      <c r="AB541" s="592"/>
      <c r="AC541" s="592"/>
      <c r="AD541" s="569"/>
      <c r="AE541" s="590"/>
      <c r="AF541" s="570" t="s">
        <v>2899</v>
      </c>
      <c r="AG541" s="570" t="s">
        <v>25</v>
      </c>
      <c r="AH541" s="571" t="s">
        <v>25</v>
      </c>
      <c r="AI541" s="558" t="s">
        <v>513</v>
      </c>
      <c r="AJ541" s="558"/>
    </row>
    <row r="542" spans="1:36" s="376" customFormat="1" ht="81" outlineLevel="2" x14ac:dyDescent="0.3">
      <c r="A542" s="447">
        <v>46</v>
      </c>
      <c r="B542" s="574" t="s">
        <v>201</v>
      </c>
      <c r="C542" s="574"/>
      <c r="D542" s="595"/>
      <c r="E542" s="577"/>
      <c r="F542" s="558" t="s">
        <v>2473</v>
      </c>
      <c r="G542" s="588">
        <v>6.5</v>
      </c>
      <c r="H542" s="546" t="s">
        <v>2899</v>
      </c>
      <c r="I542" s="563">
        <v>554400</v>
      </c>
      <c r="J542" s="563">
        <v>0</v>
      </c>
      <c r="K542" s="564">
        <v>3604000</v>
      </c>
      <c r="L542" s="564">
        <v>0</v>
      </c>
      <c r="M542" s="558"/>
      <c r="N542" s="558"/>
      <c r="O542" s="590"/>
      <c r="P542" s="564" t="s">
        <v>25</v>
      </c>
      <c r="Q542" s="564" t="s">
        <v>25</v>
      </c>
      <c r="R542" s="566"/>
      <c r="S542" s="589"/>
      <c r="T542" s="591"/>
      <c r="U542" s="589"/>
      <c r="V542" s="564" t="s">
        <v>2899</v>
      </c>
      <c r="W542" s="564" t="s">
        <v>25</v>
      </c>
      <c r="X542" s="589"/>
      <c r="Y542" s="592"/>
      <c r="Z542" s="592"/>
      <c r="AA542" s="568"/>
      <c r="AB542" s="592"/>
      <c r="AC542" s="592"/>
      <c r="AD542" s="606"/>
      <c r="AE542" s="590"/>
      <c r="AF542" s="570" t="s">
        <v>2899</v>
      </c>
      <c r="AG542" s="570" t="s">
        <v>25</v>
      </c>
      <c r="AH542" s="571" t="s">
        <v>25</v>
      </c>
      <c r="AI542" s="608" t="s">
        <v>111</v>
      </c>
      <c r="AJ542" s="593"/>
    </row>
    <row r="543" spans="1:36" s="376" customFormat="1" ht="101.25" outlineLevel="2" x14ac:dyDescent="0.3">
      <c r="A543" s="447">
        <v>46</v>
      </c>
      <c r="B543" s="648" t="s">
        <v>202</v>
      </c>
      <c r="C543" s="648"/>
      <c r="D543" s="587"/>
      <c r="E543" s="560"/>
      <c r="F543" s="574"/>
      <c r="G543" s="588"/>
      <c r="H543" s="546"/>
      <c r="I543" s="563" t="s">
        <v>25</v>
      </c>
      <c r="J543" s="563" t="s">
        <v>25</v>
      </c>
      <c r="K543" s="564" t="s">
        <v>25</v>
      </c>
      <c r="L543" s="564" t="s">
        <v>25</v>
      </c>
      <c r="M543" s="598"/>
      <c r="N543" s="598"/>
      <c r="O543" s="590"/>
      <c r="P543" s="564" t="s">
        <v>25</v>
      </c>
      <c r="Q543" s="564" t="s">
        <v>25</v>
      </c>
      <c r="R543" s="582"/>
      <c r="S543" s="597"/>
      <c r="T543" s="591"/>
      <c r="U543" s="597"/>
      <c r="V543" s="564" t="s">
        <v>2899</v>
      </c>
      <c r="W543" s="564" t="s">
        <v>25</v>
      </c>
      <c r="X543" s="589"/>
      <c r="Y543" s="592"/>
      <c r="Z543" s="592"/>
      <c r="AA543" s="568"/>
      <c r="AB543" s="592"/>
      <c r="AC543" s="592"/>
      <c r="AD543" s="592"/>
      <c r="AE543" s="590"/>
      <c r="AF543" s="570" t="s">
        <v>2899</v>
      </c>
      <c r="AG543" s="570" t="s">
        <v>25</v>
      </c>
      <c r="AH543" s="571" t="s">
        <v>25</v>
      </c>
      <c r="AI543" s="558" t="s">
        <v>1695</v>
      </c>
      <c r="AJ543" s="608"/>
    </row>
    <row r="544" spans="1:36" s="376" customFormat="1" ht="81" outlineLevel="2" x14ac:dyDescent="0.3">
      <c r="A544" s="447">
        <v>46</v>
      </c>
      <c r="B544" s="572" t="s">
        <v>678</v>
      </c>
      <c r="C544" s="572"/>
      <c r="D544" s="587"/>
      <c r="E544" s="615"/>
      <c r="F544" s="558"/>
      <c r="G544" s="588"/>
      <c r="H544" s="546"/>
      <c r="I544" s="563" t="s">
        <v>25</v>
      </c>
      <c r="J544" s="563" t="s">
        <v>25</v>
      </c>
      <c r="K544" s="564" t="s">
        <v>25</v>
      </c>
      <c r="L544" s="564" t="s">
        <v>25</v>
      </c>
      <c r="M544" s="565"/>
      <c r="N544" s="565"/>
      <c r="O544" s="590"/>
      <c r="P544" s="564" t="s">
        <v>25</v>
      </c>
      <c r="Q544" s="564" t="s">
        <v>25</v>
      </c>
      <c r="R544" s="566"/>
      <c r="S544" s="589"/>
      <c r="T544" s="591"/>
      <c r="U544" s="589"/>
      <c r="V544" s="564" t="s">
        <v>2899</v>
      </c>
      <c r="W544" s="564" t="s">
        <v>25</v>
      </c>
      <c r="X544" s="580"/>
      <c r="Y544" s="601"/>
      <c r="Z544" s="601"/>
      <c r="AA544" s="584"/>
      <c r="AB544" s="601"/>
      <c r="AC544" s="601"/>
      <c r="AD544" s="601"/>
      <c r="AE544" s="599"/>
      <c r="AF544" s="570" t="s">
        <v>2899</v>
      </c>
      <c r="AG544" s="570" t="s">
        <v>25</v>
      </c>
      <c r="AH544" s="571" t="s">
        <v>25</v>
      </c>
      <c r="AI544" s="558" t="s">
        <v>2205</v>
      </c>
      <c r="AJ544" s="558"/>
    </row>
    <row r="545" spans="1:38" s="376" customFormat="1" ht="20.25" outlineLevel="2" x14ac:dyDescent="0.3">
      <c r="A545" s="447">
        <v>46</v>
      </c>
      <c r="B545" s="572"/>
      <c r="C545" s="572"/>
      <c r="D545" s="587"/>
      <c r="E545" s="615"/>
      <c r="F545" s="558"/>
      <c r="G545" s="604"/>
      <c r="H545" s="546"/>
      <c r="I545" s="563" t="s">
        <v>25</v>
      </c>
      <c r="J545" s="563" t="s">
        <v>25</v>
      </c>
      <c r="K545" s="564" t="s">
        <v>25</v>
      </c>
      <c r="L545" s="564" t="s">
        <v>25</v>
      </c>
      <c r="M545" s="593"/>
      <c r="N545" s="593"/>
      <c r="O545" s="616"/>
      <c r="P545" s="564" t="s">
        <v>25</v>
      </c>
      <c r="Q545" s="564" t="s">
        <v>25</v>
      </c>
      <c r="R545" s="593"/>
      <c r="S545" s="593"/>
      <c r="T545" s="617"/>
      <c r="U545" s="589"/>
      <c r="V545" s="564" t="s">
        <v>2899</v>
      </c>
      <c r="W545" s="564" t="s">
        <v>25</v>
      </c>
      <c r="X545" s="589"/>
      <c r="Y545" s="589"/>
      <c r="Z545" s="589"/>
      <c r="AA545" s="562"/>
      <c r="AB545" s="589"/>
      <c r="AC545" s="589"/>
      <c r="AD545" s="589"/>
      <c r="AE545" s="629"/>
      <c r="AF545" s="570" t="s">
        <v>2899</v>
      </c>
      <c r="AG545" s="570" t="s">
        <v>25</v>
      </c>
      <c r="AH545" s="571" t="s">
        <v>25</v>
      </c>
      <c r="AI545" s="575"/>
      <c r="AJ545" s="593"/>
    </row>
    <row r="546" spans="1:38" s="376" customFormat="1" ht="20.25" outlineLevel="2" x14ac:dyDescent="0.3">
      <c r="A546" s="447">
        <v>46</v>
      </c>
      <c r="B546" s="572"/>
      <c r="C546" s="572"/>
      <c r="D546" s="587"/>
      <c r="E546" s="615"/>
      <c r="F546" s="558"/>
      <c r="G546" s="604"/>
      <c r="H546" s="546"/>
      <c r="I546" s="563" t="s">
        <v>25</v>
      </c>
      <c r="J546" s="563" t="s">
        <v>25</v>
      </c>
      <c r="K546" s="564" t="s">
        <v>25</v>
      </c>
      <c r="L546" s="564" t="s">
        <v>25</v>
      </c>
      <c r="M546" s="593"/>
      <c r="N546" s="593"/>
      <c r="O546" s="616"/>
      <c r="P546" s="564" t="s">
        <v>25</v>
      </c>
      <c r="Q546" s="564" t="s">
        <v>25</v>
      </c>
      <c r="R546" s="593"/>
      <c r="S546" s="593"/>
      <c r="T546" s="617"/>
      <c r="U546" s="589"/>
      <c r="V546" s="564" t="s">
        <v>2899</v>
      </c>
      <c r="W546" s="564" t="s">
        <v>25</v>
      </c>
      <c r="X546" s="589"/>
      <c r="Y546" s="589"/>
      <c r="Z546" s="589"/>
      <c r="AA546" s="562"/>
      <c r="AB546" s="589"/>
      <c r="AC546" s="589"/>
      <c r="AD546" s="589"/>
      <c r="AE546" s="629"/>
      <c r="AF546" s="570" t="s">
        <v>2899</v>
      </c>
      <c r="AG546" s="570" t="s">
        <v>25</v>
      </c>
      <c r="AH546" s="571" t="s">
        <v>25</v>
      </c>
      <c r="AI546" s="593"/>
      <c r="AJ546" s="593"/>
    </row>
    <row r="547" spans="1:38" s="376" customFormat="1" ht="20.25" outlineLevel="2" x14ac:dyDescent="0.3">
      <c r="A547" s="447">
        <v>46</v>
      </c>
      <c r="B547" s="607"/>
      <c r="C547" s="607"/>
      <c r="D547" s="587"/>
      <c r="E547" s="560"/>
      <c r="F547" s="558"/>
      <c r="G547" s="604"/>
      <c r="H547" s="546"/>
      <c r="I547" s="563" t="s">
        <v>25</v>
      </c>
      <c r="J547" s="563" t="s">
        <v>25</v>
      </c>
      <c r="K547" s="564" t="s">
        <v>25</v>
      </c>
      <c r="L547" s="564" t="s">
        <v>25</v>
      </c>
      <c r="M547" s="593"/>
      <c r="N547" s="593"/>
      <c r="O547" s="616"/>
      <c r="P547" s="564" t="s">
        <v>25</v>
      </c>
      <c r="Q547" s="564" t="s">
        <v>25</v>
      </c>
      <c r="R547" s="593"/>
      <c r="S547" s="593"/>
      <c r="T547" s="617"/>
      <c r="U547" s="589"/>
      <c r="V547" s="564" t="s">
        <v>2899</v>
      </c>
      <c r="W547" s="564" t="s">
        <v>25</v>
      </c>
      <c r="X547" s="589"/>
      <c r="Y547" s="589"/>
      <c r="Z547" s="589"/>
      <c r="AA547" s="562"/>
      <c r="AB547" s="589"/>
      <c r="AC547" s="589"/>
      <c r="AD547" s="589"/>
      <c r="AE547" s="629"/>
      <c r="AF547" s="570" t="s">
        <v>2899</v>
      </c>
      <c r="AG547" s="570" t="s">
        <v>25</v>
      </c>
      <c r="AH547" s="571" t="s">
        <v>25</v>
      </c>
      <c r="AI547" s="593"/>
      <c r="AJ547" s="593"/>
    </row>
    <row r="548" spans="1:38" s="376" customFormat="1" ht="20.25" outlineLevel="2" x14ac:dyDescent="0.3">
      <c r="A548" s="447">
        <v>46</v>
      </c>
      <c r="B548" s="607"/>
      <c r="C548" s="607"/>
      <c r="D548" s="595"/>
      <c r="E548" s="577"/>
      <c r="F548" s="558"/>
      <c r="G548" s="588"/>
      <c r="H548" s="546"/>
      <c r="I548" s="563" t="s">
        <v>25</v>
      </c>
      <c r="J548" s="563" t="s">
        <v>25</v>
      </c>
      <c r="K548" s="564" t="s">
        <v>25</v>
      </c>
      <c r="L548" s="564" t="s">
        <v>25</v>
      </c>
      <c r="M548" s="558"/>
      <c r="N548" s="558"/>
      <c r="O548" s="590"/>
      <c r="P548" s="564" t="s">
        <v>25</v>
      </c>
      <c r="Q548" s="564" t="s">
        <v>25</v>
      </c>
      <c r="R548" s="566"/>
      <c r="S548" s="589"/>
      <c r="T548" s="591"/>
      <c r="U548" s="589"/>
      <c r="V548" s="564" t="s">
        <v>2899</v>
      </c>
      <c r="W548" s="564" t="s">
        <v>25</v>
      </c>
      <c r="X548" s="589"/>
      <c r="Y548" s="592"/>
      <c r="Z548" s="592"/>
      <c r="AA548" s="568"/>
      <c r="AB548" s="592"/>
      <c r="AC548" s="592"/>
      <c r="AD548" s="592"/>
      <c r="AE548" s="590"/>
      <c r="AF548" s="570" t="s">
        <v>2899</v>
      </c>
      <c r="AG548" s="570" t="s">
        <v>25</v>
      </c>
      <c r="AH548" s="571" t="s">
        <v>25</v>
      </c>
      <c r="AI548" s="659"/>
      <c r="AJ548" s="659"/>
    </row>
    <row r="549" spans="1:38" s="376" customFormat="1" ht="40.5" outlineLevel="1" x14ac:dyDescent="0.25">
      <c r="A549" s="467">
        <v>47</v>
      </c>
      <c r="B549" s="607" t="s">
        <v>30</v>
      </c>
      <c r="C549" s="773" t="s">
        <v>2902</v>
      </c>
      <c r="D549" s="587">
        <v>86</v>
      </c>
      <c r="E549" s="560">
        <v>151</v>
      </c>
      <c r="F549" s="574"/>
      <c r="G549" s="618">
        <v>1580.5</v>
      </c>
      <c r="H549" s="579">
        <v>493.9</v>
      </c>
      <c r="I549" s="581"/>
      <c r="J549" s="581"/>
      <c r="K549" s="571">
        <v>6535242000</v>
      </c>
      <c r="L549" s="571">
        <v>821454000</v>
      </c>
      <c r="M549" s="598"/>
      <c r="N549" s="598"/>
      <c r="O549" s="599">
        <v>0</v>
      </c>
      <c r="P549" s="571"/>
      <c r="Q549" s="571">
        <v>0</v>
      </c>
      <c r="R549" s="582"/>
      <c r="S549" s="597"/>
      <c r="T549" s="600">
        <v>0</v>
      </c>
      <c r="U549" s="597"/>
      <c r="V549" s="571"/>
      <c r="W549" s="571">
        <v>0</v>
      </c>
      <c r="X549" s="589"/>
      <c r="Y549" s="592"/>
      <c r="Z549" s="592"/>
      <c r="AA549" s="568"/>
      <c r="AB549" s="592"/>
      <c r="AC549" s="592"/>
      <c r="AD549" s="602"/>
      <c r="AE549" s="581">
        <f>SUBTOTAL(9,AE550:AE558)</f>
        <v>0</v>
      </c>
      <c r="AF549" s="585"/>
      <c r="AG549" s="585">
        <v>0</v>
      </c>
      <c r="AH549" s="571">
        <v>7356696000</v>
      </c>
      <c r="AI549" s="574"/>
      <c r="AJ549" s="578"/>
      <c r="AK549" s="414"/>
      <c r="AL549" s="383"/>
    </row>
    <row r="550" spans="1:38" s="376" customFormat="1" ht="121.5" outlineLevel="2" x14ac:dyDescent="0.3">
      <c r="A550" s="447">
        <v>47</v>
      </c>
      <c r="B550" s="558" t="s">
        <v>127</v>
      </c>
      <c r="C550" s="558"/>
      <c r="D550" s="587">
        <v>86</v>
      </c>
      <c r="E550" s="560">
        <v>151</v>
      </c>
      <c r="F550" s="558" t="s">
        <v>2037</v>
      </c>
      <c r="G550" s="588">
        <v>1086.5999999999999</v>
      </c>
      <c r="H550" s="546" t="s">
        <v>2899</v>
      </c>
      <c r="I550" s="563">
        <v>5762400</v>
      </c>
      <c r="J550" s="563">
        <v>0</v>
      </c>
      <c r="K550" s="564">
        <v>6261424000</v>
      </c>
      <c r="L550" s="564">
        <v>0</v>
      </c>
      <c r="M550" s="565"/>
      <c r="N550" s="565"/>
      <c r="O550" s="590"/>
      <c r="P550" s="564" t="s">
        <v>25</v>
      </c>
      <c r="Q550" s="564" t="s">
        <v>25</v>
      </c>
      <c r="R550" s="566"/>
      <c r="S550" s="589"/>
      <c r="T550" s="591"/>
      <c r="U550" s="589"/>
      <c r="V550" s="564" t="s">
        <v>2899</v>
      </c>
      <c r="W550" s="564" t="s">
        <v>25</v>
      </c>
      <c r="X550" s="589"/>
      <c r="Y550" s="592"/>
      <c r="Z550" s="592"/>
      <c r="AA550" s="568"/>
      <c r="AB550" s="592"/>
      <c r="AC550" s="592"/>
      <c r="AD550" s="569"/>
      <c r="AE550" s="563"/>
      <c r="AF550" s="570"/>
      <c r="AG550" s="570"/>
      <c r="AH550" s="571" t="s">
        <v>25</v>
      </c>
      <c r="AI550" s="558" t="s">
        <v>514</v>
      </c>
      <c r="AJ550" s="586" t="s">
        <v>2771</v>
      </c>
      <c r="AK550" s="414" t="s">
        <v>2206</v>
      </c>
      <c r="AL550" s="383"/>
    </row>
    <row r="551" spans="1:38" s="376" customFormat="1" ht="81" outlineLevel="2" x14ac:dyDescent="0.3">
      <c r="A551" s="447">
        <v>47</v>
      </c>
      <c r="B551" s="558" t="s">
        <v>651</v>
      </c>
      <c r="C551" s="558"/>
      <c r="D551" s="587"/>
      <c r="E551" s="560"/>
      <c r="F551" s="586" t="s">
        <v>2469</v>
      </c>
      <c r="G551" s="588">
        <v>493.9</v>
      </c>
      <c r="H551" s="546">
        <v>493.9</v>
      </c>
      <c r="I551" s="563">
        <v>554400</v>
      </c>
      <c r="J551" s="563">
        <v>1663200</v>
      </c>
      <c r="K551" s="564">
        <v>273818000</v>
      </c>
      <c r="L551" s="564">
        <v>821454000</v>
      </c>
      <c r="M551" s="586"/>
      <c r="N551" s="586"/>
      <c r="O551" s="590"/>
      <c r="P551" s="564" t="s">
        <v>25</v>
      </c>
      <c r="Q551" s="564" t="s">
        <v>25</v>
      </c>
      <c r="R551" s="586"/>
      <c r="S551" s="609"/>
      <c r="T551" s="591"/>
      <c r="U551" s="589"/>
      <c r="V551" s="564" t="s">
        <v>2899</v>
      </c>
      <c r="W551" s="564" t="s">
        <v>25</v>
      </c>
      <c r="X551" s="589"/>
      <c r="Y551" s="592"/>
      <c r="Z551" s="592"/>
      <c r="AA551" s="568"/>
      <c r="AB551" s="592"/>
      <c r="AC551" s="592"/>
      <c r="AD551" s="592"/>
      <c r="AE551" s="590"/>
      <c r="AF551" s="570" t="s">
        <v>2899</v>
      </c>
      <c r="AG551" s="570" t="s">
        <v>25</v>
      </c>
      <c r="AH551" s="571" t="s">
        <v>25</v>
      </c>
      <c r="AI551" s="558" t="s">
        <v>516</v>
      </c>
      <c r="AJ551" s="558" t="s">
        <v>2448</v>
      </c>
    </row>
    <row r="552" spans="1:38" s="376" customFormat="1" ht="20.25" outlineLevel="2" x14ac:dyDescent="0.3">
      <c r="A552" s="447">
        <v>47</v>
      </c>
      <c r="B552" s="574" t="s">
        <v>203</v>
      </c>
      <c r="C552" s="574"/>
      <c r="D552" s="587"/>
      <c r="E552" s="560"/>
      <c r="F552" s="558"/>
      <c r="G552" s="588"/>
      <c r="H552" s="546"/>
      <c r="I552" s="563" t="s">
        <v>25</v>
      </c>
      <c r="J552" s="563" t="s">
        <v>25</v>
      </c>
      <c r="K552" s="564" t="s">
        <v>25</v>
      </c>
      <c r="L552" s="564" t="s">
        <v>25</v>
      </c>
      <c r="M552" s="586"/>
      <c r="N552" s="586"/>
      <c r="O552" s="590"/>
      <c r="P552" s="564" t="s">
        <v>25</v>
      </c>
      <c r="Q552" s="564" t="s">
        <v>25</v>
      </c>
      <c r="R552" s="586"/>
      <c r="S552" s="609"/>
      <c r="T552" s="591"/>
      <c r="U552" s="589"/>
      <c r="V552" s="564" t="s">
        <v>2899</v>
      </c>
      <c r="W552" s="564" t="s">
        <v>25</v>
      </c>
      <c r="X552" s="589"/>
      <c r="Y552" s="592"/>
      <c r="Z552" s="592"/>
      <c r="AA552" s="568"/>
      <c r="AB552" s="592"/>
      <c r="AC552" s="592"/>
      <c r="AD552" s="592"/>
      <c r="AE552" s="590"/>
      <c r="AF552" s="570" t="s">
        <v>2899</v>
      </c>
      <c r="AG552" s="570" t="s">
        <v>25</v>
      </c>
      <c r="AH552" s="571" t="s">
        <v>25</v>
      </c>
      <c r="AI552" s="660" t="s">
        <v>111</v>
      </c>
      <c r="AJ552" s="558"/>
    </row>
    <row r="553" spans="1:38" s="376" customFormat="1" ht="60.75" outlineLevel="2" x14ac:dyDescent="0.3">
      <c r="A553" s="447">
        <v>47</v>
      </c>
      <c r="B553" s="558" t="s">
        <v>204</v>
      </c>
      <c r="C553" s="558"/>
      <c r="D553" s="595"/>
      <c r="E553" s="577"/>
      <c r="F553" s="558"/>
      <c r="G553" s="588"/>
      <c r="H553" s="546"/>
      <c r="I553" s="563" t="s">
        <v>25</v>
      </c>
      <c r="J553" s="563" t="s">
        <v>25</v>
      </c>
      <c r="K553" s="564" t="s">
        <v>25</v>
      </c>
      <c r="L553" s="564" t="s">
        <v>25</v>
      </c>
      <c r="M553" s="558"/>
      <c r="N553" s="558"/>
      <c r="O553" s="590"/>
      <c r="P553" s="564" t="s">
        <v>25</v>
      </c>
      <c r="Q553" s="564" t="s">
        <v>25</v>
      </c>
      <c r="R553" s="566"/>
      <c r="S553" s="589"/>
      <c r="T553" s="591"/>
      <c r="U553" s="589"/>
      <c r="V553" s="564" t="s">
        <v>2899</v>
      </c>
      <c r="W553" s="564" t="s">
        <v>25</v>
      </c>
      <c r="X553" s="589"/>
      <c r="Y553" s="592"/>
      <c r="Z553" s="592"/>
      <c r="AA553" s="568"/>
      <c r="AB553" s="592"/>
      <c r="AC553" s="592"/>
      <c r="AD553" s="592"/>
      <c r="AE553" s="590"/>
      <c r="AF553" s="570" t="s">
        <v>2899</v>
      </c>
      <c r="AG553" s="570" t="s">
        <v>25</v>
      </c>
      <c r="AH553" s="571" t="s">
        <v>25</v>
      </c>
      <c r="AI553" s="558" t="s">
        <v>2074</v>
      </c>
      <c r="AJ553" s="660"/>
    </row>
    <row r="554" spans="1:38" s="376" customFormat="1" ht="81" outlineLevel="2" x14ac:dyDescent="0.3">
      <c r="A554" s="447">
        <v>47</v>
      </c>
      <c r="B554" s="572" t="s">
        <v>679</v>
      </c>
      <c r="C554" s="572"/>
      <c r="D554" s="587"/>
      <c r="E554" s="615"/>
      <c r="F554" s="574"/>
      <c r="G554" s="588"/>
      <c r="H554" s="546"/>
      <c r="I554" s="563" t="s">
        <v>25</v>
      </c>
      <c r="J554" s="563" t="s">
        <v>25</v>
      </c>
      <c r="K554" s="564" t="s">
        <v>25</v>
      </c>
      <c r="L554" s="564" t="s">
        <v>25</v>
      </c>
      <c r="M554" s="598"/>
      <c r="N554" s="598"/>
      <c r="O554" s="590"/>
      <c r="P554" s="564" t="s">
        <v>25</v>
      </c>
      <c r="Q554" s="564" t="s">
        <v>25</v>
      </c>
      <c r="R554" s="582"/>
      <c r="S554" s="597"/>
      <c r="T554" s="591"/>
      <c r="U554" s="597"/>
      <c r="V554" s="564" t="s">
        <v>2899</v>
      </c>
      <c r="W554" s="564" t="s">
        <v>25</v>
      </c>
      <c r="X554" s="580"/>
      <c r="Y554" s="601"/>
      <c r="Z554" s="601"/>
      <c r="AA554" s="584"/>
      <c r="AB554" s="601"/>
      <c r="AC554" s="601"/>
      <c r="AD554" s="601"/>
      <c r="AE554" s="599"/>
      <c r="AF554" s="570" t="s">
        <v>2899</v>
      </c>
      <c r="AG554" s="570" t="s">
        <v>25</v>
      </c>
      <c r="AH554" s="571" t="s">
        <v>25</v>
      </c>
      <c r="AI554" s="575"/>
      <c r="AJ554" s="608"/>
    </row>
    <row r="555" spans="1:38" s="376" customFormat="1" ht="20.25" outlineLevel="2" x14ac:dyDescent="0.3">
      <c r="A555" s="447">
        <v>47</v>
      </c>
      <c r="B555" s="572"/>
      <c r="C555" s="572"/>
      <c r="D555" s="587"/>
      <c r="E555" s="615"/>
      <c r="F555" s="558"/>
      <c r="G555" s="604"/>
      <c r="H555" s="546"/>
      <c r="I555" s="563" t="s">
        <v>25</v>
      </c>
      <c r="J555" s="563" t="s">
        <v>25</v>
      </c>
      <c r="K555" s="564" t="s">
        <v>25</v>
      </c>
      <c r="L555" s="564" t="s">
        <v>25</v>
      </c>
      <c r="M555" s="593"/>
      <c r="N555" s="593"/>
      <c r="O555" s="616"/>
      <c r="P555" s="564" t="s">
        <v>25</v>
      </c>
      <c r="Q555" s="564" t="s">
        <v>25</v>
      </c>
      <c r="R555" s="593"/>
      <c r="S555" s="593"/>
      <c r="T555" s="617"/>
      <c r="U555" s="589"/>
      <c r="V555" s="564" t="s">
        <v>2899</v>
      </c>
      <c r="W555" s="564" t="s">
        <v>25</v>
      </c>
      <c r="X555" s="589"/>
      <c r="Y555" s="589"/>
      <c r="Z555" s="589"/>
      <c r="AA555" s="562"/>
      <c r="AB555" s="589"/>
      <c r="AC555" s="589"/>
      <c r="AD555" s="589"/>
      <c r="AE555" s="629"/>
      <c r="AF555" s="570" t="s">
        <v>2899</v>
      </c>
      <c r="AG555" s="570" t="s">
        <v>25</v>
      </c>
      <c r="AH555" s="571" t="s">
        <v>25</v>
      </c>
      <c r="AI555" s="593"/>
      <c r="AJ555" s="593"/>
    </row>
    <row r="556" spans="1:38" s="376" customFormat="1" ht="20.25" outlineLevel="2" x14ac:dyDescent="0.3">
      <c r="A556" s="447">
        <v>47</v>
      </c>
      <c r="B556" s="572"/>
      <c r="C556" s="572"/>
      <c r="D556" s="587"/>
      <c r="E556" s="615"/>
      <c r="F556" s="558"/>
      <c r="G556" s="604"/>
      <c r="H556" s="546"/>
      <c r="I556" s="563" t="s">
        <v>25</v>
      </c>
      <c r="J556" s="563" t="s">
        <v>25</v>
      </c>
      <c r="K556" s="564" t="s">
        <v>25</v>
      </c>
      <c r="L556" s="564" t="s">
        <v>25</v>
      </c>
      <c r="M556" s="593"/>
      <c r="N556" s="593"/>
      <c r="O556" s="616"/>
      <c r="P556" s="564" t="s">
        <v>25</v>
      </c>
      <c r="Q556" s="564" t="s">
        <v>25</v>
      </c>
      <c r="R556" s="593"/>
      <c r="S556" s="593"/>
      <c r="T556" s="617"/>
      <c r="U556" s="589"/>
      <c r="V556" s="564" t="s">
        <v>2899</v>
      </c>
      <c r="W556" s="564" t="s">
        <v>25</v>
      </c>
      <c r="X556" s="589"/>
      <c r="Y556" s="589"/>
      <c r="Z556" s="589"/>
      <c r="AA556" s="562"/>
      <c r="AB556" s="589"/>
      <c r="AC556" s="589"/>
      <c r="AD556" s="589"/>
      <c r="AE556" s="629"/>
      <c r="AF556" s="570" t="s">
        <v>2899</v>
      </c>
      <c r="AG556" s="570" t="s">
        <v>25</v>
      </c>
      <c r="AH556" s="571" t="s">
        <v>25</v>
      </c>
      <c r="AI556" s="593"/>
      <c r="AJ556" s="593"/>
    </row>
    <row r="557" spans="1:38" s="376" customFormat="1" ht="20.25" outlineLevel="2" x14ac:dyDescent="0.3">
      <c r="A557" s="447">
        <v>47</v>
      </c>
      <c r="B557" s="558"/>
      <c r="C557" s="558"/>
      <c r="D557" s="587"/>
      <c r="E557" s="560"/>
      <c r="F557" s="558"/>
      <c r="G557" s="604"/>
      <c r="H557" s="546"/>
      <c r="I557" s="563" t="s">
        <v>25</v>
      </c>
      <c r="J557" s="563" t="s">
        <v>25</v>
      </c>
      <c r="K557" s="564" t="s">
        <v>25</v>
      </c>
      <c r="L557" s="564" t="s">
        <v>25</v>
      </c>
      <c r="M557" s="593"/>
      <c r="N557" s="593"/>
      <c r="O557" s="616"/>
      <c r="P557" s="564" t="s">
        <v>25</v>
      </c>
      <c r="Q557" s="564" t="s">
        <v>25</v>
      </c>
      <c r="R557" s="593"/>
      <c r="S557" s="593"/>
      <c r="T557" s="617"/>
      <c r="U557" s="589"/>
      <c r="V557" s="564" t="s">
        <v>2899</v>
      </c>
      <c r="W557" s="564" t="s">
        <v>25</v>
      </c>
      <c r="X557" s="589"/>
      <c r="Y557" s="589"/>
      <c r="Z557" s="589"/>
      <c r="AA557" s="562"/>
      <c r="AB557" s="589"/>
      <c r="AC557" s="589"/>
      <c r="AD557" s="589"/>
      <c r="AE557" s="629"/>
      <c r="AF557" s="570" t="s">
        <v>2899</v>
      </c>
      <c r="AG557" s="570" t="s">
        <v>25</v>
      </c>
      <c r="AH557" s="571" t="s">
        <v>25</v>
      </c>
      <c r="AI557" s="593"/>
      <c r="AJ557" s="593"/>
    </row>
    <row r="558" spans="1:38" s="376" customFormat="1" ht="20.25" outlineLevel="2" x14ac:dyDescent="0.3">
      <c r="A558" s="447">
        <v>47</v>
      </c>
      <c r="B558" s="574"/>
      <c r="C558" s="574"/>
      <c r="D558" s="595"/>
      <c r="E558" s="577"/>
      <c r="F558" s="558"/>
      <c r="G558" s="588"/>
      <c r="H558" s="546"/>
      <c r="I558" s="563" t="s">
        <v>25</v>
      </c>
      <c r="J558" s="563" t="s">
        <v>25</v>
      </c>
      <c r="K558" s="564" t="s">
        <v>25</v>
      </c>
      <c r="L558" s="564" t="s">
        <v>25</v>
      </c>
      <c r="M558" s="586"/>
      <c r="N558" s="586"/>
      <c r="O558" s="630"/>
      <c r="P558" s="564" t="s">
        <v>25</v>
      </c>
      <c r="Q558" s="564" t="s">
        <v>25</v>
      </c>
      <c r="R558" s="661"/>
      <c r="S558" s="609"/>
      <c r="T558" s="591"/>
      <c r="U558" s="589"/>
      <c r="V558" s="564" t="s">
        <v>2899</v>
      </c>
      <c r="W558" s="564" t="s">
        <v>25</v>
      </c>
      <c r="X558" s="589"/>
      <c r="Y558" s="592"/>
      <c r="Z558" s="592"/>
      <c r="AA558" s="568"/>
      <c r="AB558" s="592"/>
      <c r="AC558" s="592"/>
      <c r="AD558" s="592"/>
      <c r="AE558" s="590"/>
      <c r="AF558" s="570" t="s">
        <v>2899</v>
      </c>
      <c r="AG558" s="570" t="s">
        <v>25</v>
      </c>
      <c r="AH558" s="571" t="s">
        <v>25</v>
      </c>
      <c r="AI558" s="593"/>
      <c r="AJ558" s="593"/>
    </row>
    <row r="559" spans="1:38" s="376" customFormat="1" ht="40.5" outlineLevel="1" x14ac:dyDescent="0.25">
      <c r="A559" s="467">
        <v>48</v>
      </c>
      <c r="B559" s="574" t="s">
        <v>36</v>
      </c>
      <c r="C559" s="773" t="s">
        <v>2902</v>
      </c>
      <c r="D559" s="587">
        <v>86</v>
      </c>
      <c r="E559" s="560">
        <v>370</v>
      </c>
      <c r="F559" s="574"/>
      <c r="G559" s="618">
        <v>246.5</v>
      </c>
      <c r="H559" s="579">
        <v>37.1</v>
      </c>
      <c r="I559" s="581"/>
      <c r="J559" s="581"/>
      <c r="K559" s="571">
        <v>1227215000</v>
      </c>
      <c r="L559" s="571">
        <v>61704000</v>
      </c>
      <c r="M559" s="574"/>
      <c r="N559" s="574"/>
      <c r="O559" s="599">
        <v>95</v>
      </c>
      <c r="P559" s="571"/>
      <c r="Q559" s="571">
        <v>11207000</v>
      </c>
      <c r="R559" s="582"/>
      <c r="S559" s="597"/>
      <c r="T559" s="600">
        <v>0</v>
      </c>
      <c r="U559" s="597"/>
      <c r="V559" s="571"/>
      <c r="W559" s="571">
        <v>0</v>
      </c>
      <c r="X559" s="589"/>
      <c r="Y559" s="592"/>
      <c r="Z559" s="592"/>
      <c r="AA559" s="568"/>
      <c r="AB559" s="592"/>
      <c r="AC559" s="592"/>
      <c r="AD559" s="601"/>
      <c r="AE559" s="599">
        <f>SUBTOTAL(9,AE560:AE566)</f>
        <v>0</v>
      </c>
      <c r="AF559" s="585"/>
      <c r="AG559" s="585">
        <v>0</v>
      </c>
      <c r="AH559" s="571">
        <v>1300126000</v>
      </c>
      <c r="AI559" s="574"/>
      <c r="AJ559" s="578"/>
    </row>
    <row r="560" spans="1:38" s="376" customFormat="1" ht="121.5" outlineLevel="2" x14ac:dyDescent="0.3">
      <c r="A560" s="447">
        <v>48</v>
      </c>
      <c r="B560" s="648" t="s">
        <v>205</v>
      </c>
      <c r="C560" s="648"/>
      <c r="D560" s="587">
        <v>86</v>
      </c>
      <c r="E560" s="560">
        <v>370</v>
      </c>
      <c r="F560" s="558" t="s">
        <v>2037</v>
      </c>
      <c r="G560" s="588">
        <v>209.4</v>
      </c>
      <c r="H560" s="546" t="s">
        <v>2899</v>
      </c>
      <c r="I560" s="563">
        <v>5762400</v>
      </c>
      <c r="J560" s="563">
        <v>0</v>
      </c>
      <c r="K560" s="564">
        <v>1206647000</v>
      </c>
      <c r="L560" s="564">
        <v>0</v>
      </c>
      <c r="M560" s="558" t="s">
        <v>319</v>
      </c>
      <c r="N560" s="558"/>
      <c r="O560" s="590">
        <v>71</v>
      </c>
      <c r="P560" s="564">
        <v>132000</v>
      </c>
      <c r="Q560" s="564">
        <v>9372000</v>
      </c>
      <c r="R560" s="566"/>
      <c r="S560" s="589"/>
      <c r="T560" s="591"/>
      <c r="U560" s="589"/>
      <c r="V560" s="564" t="s">
        <v>2899</v>
      </c>
      <c r="W560" s="564" t="s">
        <v>25</v>
      </c>
      <c r="X560" s="589"/>
      <c r="Y560" s="592"/>
      <c r="Z560" s="592"/>
      <c r="AA560" s="568"/>
      <c r="AB560" s="592"/>
      <c r="AC560" s="592"/>
      <c r="AD560" s="592"/>
      <c r="AE560" s="590"/>
      <c r="AF560" s="570" t="s">
        <v>2899</v>
      </c>
      <c r="AG560" s="570"/>
      <c r="AH560" s="571" t="s">
        <v>25</v>
      </c>
      <c r="AI560" s="558" t="s">
        <v>680</v>
      </c>
      <c r="AJ560" s="586" t="s">
        <v>2771</v>
      </c>
    </row>
    <row r="561" spans="1:36" s="376" customFormat="1" ht="101.25" outlineLevel="2" x14ac:dyDescent="0.3">
      <c r="A561" s="447">
        <v>48</v>
      </c>
      <c r="B561" s="648" t="s">
        <v>681</v>
      </c>
      <c r="C561" s="648"/>
      <c r="D561" s="587"/>
      <c r="E561" s="560"/>
      <c r="F561" s="558" t="s">
        <v>2469</v>
      </c>
      <c r="G561" s="588">
        <v>35.1</v>
      </c>
      <c r="H561" s="546">
        <v>35.1</v>
      </c>
      <c r="I561" s="563">
        <v>554400</v>
      </c>
      <c r="J561" s="563">
        <v>1663200</v>
      </c>
      <c r="K561" s="564">
        <v>19459000</v>
      </c>
      <c r="L561" s="564">
        <v>58378000</v>
      </c>
      <c r="M561" s="646" t="s">
        <v>73</v>
      </c>
      <c r="N561" s="646"/>
      <c r="O561" s="590">
        <v>11</v>
      </c>
      <c r="P561" s="564">
        <v>76000</v>
      </c>
      <c r="Q561" s="564">
        <v>836000</v>
      </c>
      <c r="R561" s="646"/>
      <c r="S561" s="662"/>
      <c r="T561" s="591"/>
      <c r="U561" s="589"/>
      <c r="V561" s="564" t="s">
        <v>2899</v>
      </c>
      <c r="W561" s="564" t="s">
        <v>25</v>
      </c>
      <c r="X561" s="589"/>
      <c r="Y561" s="592"/>
      <c r="Z561" s="592"/>
      <c r="AA561" s="568"/>
      <c r="AB561" s="592"/>
      <c r="AC561" s="592"/>
      <c r="AD561" s="592"/>
      <c r="AE561" s="590"/>
      <c r="AF561" s="570" t="s">
        <v>2899</v>
      </c>
      <c r="AG561" s="570" t="s">
        <v>25</v>
      </c>
      <c r="AH561" s="571" t="s">
        <v>25</v>
      </c>
      <c r="AI561" s="558" t="s">
        <v>517</v>
      </c>
      <c r="AJ561" s="605" t="s">
        <v>2448</v>
      </c>
    </row>
    <row r="562" spans="1:36" s="376" customFormat="1" ht="101.25" outlineLevel="2" x14ac:dyDescent="0.3">
      <c r="A562" s="447">
        <v>48</v>
      </c>
      <c r="B562" s="648" t="s">
        <v>311</v>
      </c>
      <c r="C562" s="648"/>
      <c r="D562" s="587"/>
      <c r="E562" s="560"/>
      <c r="F562" s="558" t="s">
        <v>2470</v>
      </c>
      <c r="G562" s="588">
        <v>2</v>
      </c>
      <c r="H562" s="546">
        <v>2</v>
      </c>
      <c r="I562" s="563">
        <v>554400</v>
      </c>
      <c r="J562" s="563">
        <v>1663200</v>
      </c>
      <c r="K562" s="564">
        <v>1109000</v>
      </c>
      <c r="L562" s="564">
        <v>3326000</v>
      </c>
      <c r="M562" s="558" t="s">
        <v>75</v>
      </c>
      <c r="N562" s="558"/>
      <c r="O562" s="590">
        <v>9</v>
      </c>
      <c r="P562" s="564">
        <v>34000</v>
      </c>
      <c r="Q562" s="564">
        <v>306000</v>
      </c>
      <c r="R562" s="566"/>
      <c r="S562" s="589"/>
      <c r="T562" s="591"/>
      <c r="U562" s="589"/>
      <c r="V562" s="564" t="s">
        <v>2899</v>
      </c>
      <c r="W562" s="564" t="s">
        <v>25</v>
      </c>
      <c r="X562" s="589"/>
      <c r="Y562" s="592"/>
      <c r="Z562" s="592"/>
      <c r="AA562" s="568"/>
      <c r="AB562" s="592"/>
      <c r="AC562" s="592"/>
      <c r="AD562" s="592"/>
      <c r="AE562" s="590"/>
      <c r="AF562" s="570" t="s">
        <v>2899</v>
      </c>
      <c r="AG562" s="570" t="s">
        <v>25</v>
      </c>
      <c r="AH562" s="571" t="s">
        <v>25</v>
      </c>
      <c r="AI562" s="558" t="s">
        <v>518</v>
      </c>
      <c r="AJ562" s="558" t="s">
        <v>2449</v>
      </c>
    </row>
    <row r="563" spans="1:36" s="376" customFormat="1" ht="60.75" outlineLevel="2" x14ac:dyDescent="0.3">
      <c r="A563" s="447">
        <v>48</v>
      </c>
      <c r="B563" s="558"/>
      <c r="C563" s="558"/>
      <c r="D563" s="587"/>
      <c r="E563" s="560"/>
      <c r="F563" s="558"/>
      <c r="G563" s="588"/>
      <c r="H563" s="546"/>
      <c r="I563" s="563" t="s">
        <v>25</v>
      </c>
      <c r="J563" s="563" t="s">
        <v>25</v>
      </c>
      <c r="K563" s="564" t="s">
        <v>25</v>
      </c>
      <c r="L563" s="564" t="s">
        <v>25</v>
      </c>
      <c r="M563" s="586" t="s">
        <v>69</v>
      </c>
      <c r="N563" s="586"/>
      <c r="O563" s="630">
        <v>3</v>
      </c>
      <c r="P563" s="564">
        <v>211000</v>
      </c>
      <c r="Q563" s="564">
        <v>633000</v>
      </c>
      <c r="R563" s="586"/>
      <c r="S563" s="609"/>
      <c r="T563" s="591"/>
      <c r="U563" s="589"/>
      <c r="V563" s="564" t="s">
        <v>2899</v>
      </c>
      <c r="W563" s="564" t="s">
        <v>25</v>
      </c>
      <c r="X563" s="589"/>
      <c r="Y563" s="592"/>
      <c r="Z563" s="592"/>
      <c r="AA563" s="568"/>
      <c r="AB563" s="592"/>
      <c r="AC563" s="592"/>
      <c r="AD563" s="592"/>
      <c r="AE563" s="590"/>
      <c r="AF563" s="570" t="s">
        <v>2899</v>
      </c>
      <c r="AG563" s="570" t="s">
        <v>25</v>
      </c>
      <c r="AH563" s="571" t="s">
        <v>25</v>
      </c>
      <c r="AI563" s="558" t="s">
        <v>2074</v>
      </c>
      <c r="AJ563" s="575"/>
    </row>
    <row r="564" spans="1:36" s="376" customFormat="1" ht="20.25" outlineLevel="2" x14ac:dyDescent="0.3">
      <c r="A564" s="447">
        <v>48</v>
      </c>
      <c r="B564" s="558"/>
      <c r="C564" s="558"/>
      <c r="D564" s="587"/>
      <c r="E564" s="615"/>
      <c r="F564" s="558"/>
      <c r="G564" s="588"/>
      <c r="H564" s="546"/>
      <c r="I564" s="563" t="s">
        <v>25</v>
      </c>
      <c r="J564" s="563" t="s">
        <v>25</v>
      </c>
      <c r="K564" s="564" t="s">
        <v>25</v>
      </c>
      <c r="L564" s="564" t="s">
        <v>25</v>
      </c>
      <c r="M564" s="558" t="s">
        <v>749</v>
      </c>
      <c r="N564" s="558"/>
      <c r="O564" s="590">
        <v>1</v>
      </c>
      <c r="P564" s="564">
        <v>60000</v>
      </c>
      <c r="Q564" s="564">
        <v>60000</v>
      </c>
      <c r="R564" s="566"/>
      <c r="S564" s="589"/>
      <c r="T564" s="591"/>
      <c r="U564" s="589"/>
      <c r="V564" s="564" t="s">
        <v>2899</v>
      </c>
      <c r="W564" s="564" t="s">
        <v>25</v>
      </c>
      <c r="X564" s="589"/>
      <c r="Y564" s="592"/>
      <c r="Z564" s="592"/>
      <c r="AA564" s="568"/>
      <c r="AB564" s="592"/>
      <c r="AC564" s="592"/>
      <c r="AD564" s="592"/>
      <c r="AE564" s="590"/>
      <c r="AF564" s="570" t="s">
        <v>2899</v>
      </c>
      <c r="AG564" s="570" t="s">
        <v>25</v>
      </c>
      <c r="AH564" s="571" t="s">
        <v>25</v>
      </c>
      <c r="AI564" s="575"/>
      <c r="AJ564" s="593"/>
    </row>
    <row r="565" spans="1:36" s="376" customFormat="1" ht="20.25" outlineLevel="2" x14ac:dyDescent="0.3">
      <c r="A565" s="447">
        <v>48</v>
      </c>
      <c r="B565" s="607"/>
      <c r="C565" s="607"/>
      <c r="D565" s="587"/>
      <c r="E565" s="560"/>
      <c r="F565" s="558"/>
      <c r="G565" s="604"/>
      <c r="H565" s="546"/>
      <c r="I565" s="563" t="s">
        <v>25</v>
      </c>
      <c r="J565" s="563" t="s">
        <v>25</v>
      </c>
      <c r="K565" s="564" t="s">
        <v>25</v>
      </c>
      <c r="L565" s="564" t="s">
        <v>25</v>
      </c>
      <c r="M565" s="593"/>
      <c r="N565" s="593"/>
      <c r="O565" s="616"/>
      <c r="P565" s="564" t="s">
        <v>25</v>
      </c>
      <c r="Q565" s="564" t="s">
        <v>25</v>
      </c>
      <c r="R565" s="593"/>
      <c r="S565" s="593"/>
      <c r="T565" s="617"/>
      <c r="U565" s="589"/>
      <c r="V565" s="564" t="s">
        <v>2899</v>
      </c>
      <c r="W565" s="564" t="s">
        <v>25</v>
      </c>
      <c r="X565" s="589"/>
      <c r="Y565" s="589"/>
      <c r="Z565" s="589"/>
      <c r="AA565" s="562"/>
      <c r="AB565" s="589"/>
      <c r="AC565" s="589"/>
      <c r="AD565" s="589"/>
      <c r="AE565" s="629"/>
      <c r="AF565" s="570" t="s">
        <v>2899</v>
      </c>
      <c r="AG565" s="570" t="s">
        <v>25</v>
      </c>
      <c r="AH565" s="571" t="s">
        <v>25</v>
      </c>
      <c r="AI565" s="593"/>
      <c r="AJ565" s="593"/>
    </row>
    <row r="566" spans="1:36" s="376" customFormat="1" ht="20.25" outlineLevel="2" x14ac:dyDescent="0.3">
      <c r="A566" s="447">
        <v>48</v>
      </c>
      <c r="B566" s="574"/>
      <c r="C566" s="574"/>
      <c r="D566" s="595"/>
      <c r="E566" s="577"/>
      <c r="F566" s="558"/>
      <c r="G566" s="588"/>
      <c r="H566" s="546"/>
      <c r="I566" s="563" t="s">
        <v>25</v>
      </c>
      <c r="J566" s="563" t="s">
        <v>25</v>
      </c>
      <c r="K566" s="564" t="s">
        <v>25</v>
      </c>
      <c r="L566" s="564" t="s">
        <v>25</v>
      </c>
      <c r="M566" s="558"/>
      <c r="N566" s="558"/>
      <c r="O566" s="590"/>
      <c r="P566" s="564" t="s">
        <v>25</v>
      </c>
      <c r="Q566" s="564" t="s">
        <v>25</v>
      </c>
      <c r="R566" s="566"/>
      <c r="S566" s="589"/>
      <c r="T566" s="591"/>
      <c r="U566" s="589"/>
      <c r="V566" s="564" t="s">
        <v>2899</v>
      </c>
      <c r="W566" s="564" t="s">
        <v>25</v>
      </c>
      <c r="X566" s="589"/>
      <c r="Y566" s="592"/>
      <c r="Z566" s="592"/>
      <c r="AA566" s="568"/>
      <c r="AB566" s="592"/>
      <c r="AC566" s="592"/>
      <c r="AD566" s="592"/>
      <c r="AE566" s="590"/>
      <c r="AF566" s="570" t="s">
        <v>2899</v>
      </c>
      <c r="AG566" s="570" t="s">
        <v>25</v>
      </c>
      <c r="AH566" s="571" t="s">
        <v>25</v>
      </c>
      <c r="AI566" s="593"/>
      <c r="AJ566" s="593"/>
    </row>
    <row r="567" spans="1:36" s="376" customFormat="1" ht="40.5" outlineLevel="1" x14ac:dyDescent="0.25">
      <c r="A567" s="467">
        <v>49</v>
      </c>
      <c r="B567" s="574" t="s">
        <v>36</v>
      </c>
      <c r="C567" s="773" t="s">
        <v>2902</v>
      </c>
      <c r="D567" s="587">
        <v>86</v>
      </c>
      <c r="E567" s="560">
        <v>695</v>
      </c>
      <c r="F567" s="574"/>
      <c r="G567" s="618">
        <v>246.1</v>
      </c>
      <c r="H567" s="579">
        <v>36.5</v>
      </c>
      <c r="I567" s="581"/>
      <c r="J567" s="581"/>
      <c r="K567" s="571">
        <v>1228035000</v>
      </c>
      <c r="L567" s="571">
        <v>60707000</v>
      </c>
      <c r="M567" s="644"/>
      <c r="N567" s="644"/>
      <c r="O567" s="599">
        <v>2</v>
      </c>
      <c r="P567" s="571"/>
      <c r="Q567" s="571">
        <v>248000</v>
      </c>
      <c r="R567" s="644"/>
      <c r="S567" s="645"/>
      <c r="T567" s="600">
        <v>153.55000000000001</v>
      </c>
      <c r="U567" s="597"/>
      <c r="V567" s="571"/>
      <c r="W567" s="571">
        <v>380029000</v>
      </c>
      <c r="X567" s="589"/>
      <c r="Y567" s="592"/>
      <c r="Z567" s="592"/>
      <c r="AA567" s="568"/>
      <c r="AB567" s="592"/>
      <c r="AC567" s="568"/>
      <c r="AD567" s="602"/>
      <c r="AE567" s="581">
        <f>SUBTOTAL(9,AE568:AE584)</f>
        <v>1</v>
      </c>
      <c r="AF567" s="585"/>
      <c r="AG567" s="585">
        <v>13000000</v>
      </c>
      <c r="AH567" s="571">
        <v>1682019000</v>
      </c>
      <c r="AI567" s="574"/>
      <c r="AJ567" s="578"/>
    </row>
    <row r="568" spans="1:36" s="376" customFormat="1" ht="121.5" outlineLevel="2" x14ac:dyDescent="0.3">
      <c r="A568" s="447">
        <v>49</v>
      </c>
      <c r="B568" s="648" t="s">
        <v>205</v>
      </c>
      <c r="C568" s="648"/>
      <c r="D568" s="587">
        <v>86</v>
      </c>
      <c r="E568" s="560">
        <v>695</v>
      </c>
      <c r="F568" s="558" t="s">
        <v>2039</v>
      </c>
      <c r="G568" s="588">
        <v>209.6</v>
      </c>
      <c r="H568" s="546" t="s">
        <v>2899</v>
      </c>
      <c r="I568" s="563">
        <v>5762400</v>
      </c>
      <c r="J568" s="563">
        <v>0</v>
      </c>
      <c r="K568" s="564">
        <v>1207799000</v>
      </c>
      <c r="L568" s="564">
        <v>0</v>
      </c>
      <c r="M568" s="646" t="s">
        <v>154</v>
      </c>
      <c r="N568" s="646"/>
      <c r="O568" s="590">
        <v>1</v>
      </c>
      <c r="P568" s="564">
        <v>248000</v>
      </c>
      <c r="Q568" s="564">
        <v>248000</v>
      </c>
      <c r="R568" s="646" t="s">
        <v>1820</v>
      </c>
      <c r="S568" s="647" t="s">
        <v>53</v>
      </c>
      <c r="T568" s="591">
        <v>43.1</v>
      </c>
      <c r="U568" s="589"/>
      <c r="V568" s="564">
        <v>5307665</v>
      </c>
      <c r="W568" s="564">
        <v>228760000</v>
      </c>
      <c r="X568" s="589" t="s">
        <v>63</v>
      </c>
      <c r="Y568" s="592" t="s">
        <v>55</v>
      </c>
      <c r="Z568" s="592" t="s">
        <v>56</v>
      </c>
      <c r="AA568" s="568" t="s">
        <v>57</v>
      </c>
      <c r="AB568" s="592" t="s">
        <v>63</v>
      </c>
      <c r="AC568" s="568" t="s">
        <v>206</v>
      </c>
      <c r="AD568" s="569"/>
      <c r="AE568" s="563"/>
      <c r="AF568" s="570"/>
      <c r="AG568" s="570"/>
      <c r="AH568" s="571" t="s">
        <v>25</v>
      </c>
      <c r="AI568" s="558" t="s">
        <v>1696</v>
      </c>
      <c r="AJ568" s="586" t="s">
        <v>2771</v>
      </c>
    </row>
    <row r="569" spans="1:36" s="376" customFormat="1" ht="101.25" outlineLevel="2" x14ac:dyDescent="0.3">
      <c r="A569" s="447">
        <v>49</v>
      </c>
      <c r="B569" s="648" t="s">
        <v>681</v>
      </c>
      <c r="C569" s="648"/>
      <c r="D569" s="587"/>
      <c r="E569" s="560"/>
      <c r="F569" s="558" t="s">
        <v>2469</v>
      </c>
      <c r="G569" s="588">
        <v>34.9</v>
      </c>
      <c r="H569" s="546">
        <v>34.9</v>
      </c>
      <c r="I569" s="563">
        <v>554400</v>
      </c>
      <c r="J569" s="563">
        <v>1663200</v>
      </c>
      <c r="K569" s="564">
        <v>19349000</v>
      </c>
      <c r="L569" s="564">
        <v>58046000</v>
      </c>
      <c r="M569" s="646" t="s">
        <v>750</v>
      </c>
      <c r="N569" s="646"/>
      <c r="O569" s="590">
        <v>1</v>
      </c>
      <c r="P569" s="564">
        <v>0</v>
      </c>
      <c r="Q569" s="564">
        <v>0</v>
      </c>
      <c r="R569" s="646" t="s">
        <v>2321</v>
      </c>
      <c r="S569" s="647" t="s">
        <v>53</v>
      </c>
      <c r="T569" s="591">
        <v>8.4</v>
      </c>
      <c r="U569" s="589"/>
      <c r="V569" s="564">
        <v>4246132</v>
      </c>
      <c r="W569" s="564">
        <v>35668000</v>
      </c>
      <c r="X569" s="589" t="s">
        <v>63</v>
      </c>
      <c r="Y569" s="592" t="s">
        <v>55</v>
      </c>
      <c r="Z569" s="592" t="s">
        <v>56</v>
      </c>
      <c r="AA569" s="568"/>
      <c r="AB569" s="592" t="s">
        <v>63</v>
      </c>
      <c r="AC569" s="592"/>
      <c r="AD569" s="569" t="s">
        <v>2789</v>
      </c>
      <c r="AE569" s="590">
        <v>1</v>
      </c>
      <c r="AF569" s="570">
        <v>13000000</v>
      </c>
      <c r="AG569" s="570">
        <v>13000000</v>
      </c>
      <c r="AH569" s="571" t="s">
        <v>25</v>
      </c>
      <c r="AI569" s="558" t="s">
        <v>521</v>
      </c>
      <c r="AJ569" s="605" t="s">
        <v>2448</v>
      </c>
    </row>
    <row r="570" spans="1:36" s="376" customFormat="1" ht="121.5" outlineLevel="2" x14ac:dyDescent="0.3">
      <c r="A570" s="447">
        <v>49</v>
      </c>
      <c r="B570" s="648" t="s">
        <v>311</v>
      </c>
      <c r="C570" s="648"/>
      <c r="D570" s="587"/>
      <c r="E570" s="560"/>
      <c r="F570" s="558" t="s">
        <v>2470</v>
      </c>
      <c r="G570" s="588">
        <v>1.6</v>
      </c>
      <c r="H570" s="546">
        <v>1.6</v>
      </c>
      <c r="I570" s="563">
        <v>554400</v>
      </c>
      <c r="J570" s="563">
        <v>1663200</v>
      </c>
      <c r="K570" s="564">
        <v>887000</v>
      </c>
      <c r="L570" s="564">
        <v>2661000</v>
      </c>
      <c r="M570" s="646"/>
      <c r="N570" s="646"/>
      <c r="O570" s="590"/>
      <c r="P570" s="564" t="s">
        <v>25</v>
      </c>
      <c r="Q570" s="564" t="s">
        <v>25</v>
      </c>
      <c r="R570" s="646" t="s">
        <v>1886</v>
      </c>
      <c r="S570" s="647" t="s">
        <v>53</v>
      </c>
      <c r="T570" s="591">
        <v>3.08</v>
      </c>
      <c r="U570" s="589"/>
      <c r="V570" s="564">
        <v>9347414</v>
      </c>
      <c r="W570" s="564">
        <v>28790000</v>
      </c>
      <c r="X570" s="589"/>
      <c r="Y570" s="592"/>
      <c r="Z570" s="592" t="s">
        <v>56</v>
      </c>
      <c r="AA570" s="568" t="s">
        <v>57</v>
      </c>
      <c r="AB570" s="592" t="s">
        <v>54</v>
      </c>
      <c r="AC570" s="592"/>
      <c r="AD570" s="606"/>
      <c r="AE570" s="590"/>
      <c r="AF570" s="570" t="s">
        <v>2899</v>
      </c>
      <c r="AG570" s="570" t="s">
        <v>25</v>
      </c>
      <c r="AH570" s="571" t="s">
        <v>25</v>
      </c>
      <c r="AI570" s="593" t="s">
        <v>250</v>
      </c>
      <c r="AJ570" s="558" t="s">
        <v>2450</v>
      </c>
    </row>
    <row r="571" spans="1:36" s="376" customFormat="1" ht="101.25" outlineLevel="2" x14ac:dyDescent="0.3">
      <c r="A571" s="447">
        <v>49</v>
      </c>
      <c r="B571" s="648"/>
      <c r="C571" s="648"/>
      <c r="D571" s="587"/>
      <c r="E571" s="560"/>
      <c r="F571" s="558"/>
      <c r="G571" s="588"/>
      <c r="H571" s="546"/>
      <c r="I571" s="563" t="s">
        <v>25</v>
      </c>
      <c r="J571" s="563" t="s">
        <v>25</v>
      </c>
      <c r="K571" s="564" t="s">
        <v>25</v>
      </c>
      <c r="L571" s="564" t="s">
        <v>25</v>
      </c>
      <c r="M571" s="646"/>
      <c r="N571" s="646"/>
      <c r="O571" s="590"/>
      <c r="P571" s="564" t="s">
        <v>25</v>
      </c>
      <c r="Q571" s="564" t="s">
        <v>25</v>
      </c>
      <c r="R571" s="646" t="s">
        <v>1844</v>
      </c>
      <c r="S571" s="647" t="s">
        <v>53</v>
      </c>
      <c r="T571" s="591">
        <v>22</v>
      </c>
      <c r="U571" s="589"/>
      <c r="V571" s="564">
        <v>770070</v>
      </c>
      <c r="W571" s="564">
        <v>16942000</v>
      </c>
      <c r="X571" s="589"/>
      <c r="Y571" s="592" t="s">
        <v>55</v>
      </c>
      <c r="Z571" s="592" t="s">
        <v>141</v>
      </c>
      <c r="AA571" s="568"/>
      <c r="AB571" s="592" t="s">
        <v>66</v>
      </c>
      <c r="AC571" s="592"/>
      <c r="AD571" s="592"/>
      <c r="AE571" s="590"/>
      <c r="AF571" s="570" t="s">
        <v>2899</v>
      </c>
      <c r="AG571" s="570" t="s">
        <v>25</v>
      </c>
      <c r="AH571" s="571" t="s">
        <v>25</v>
      </c>
      <c r="AI571" s="558" t="s">
        <v>1697</v>
      </c>
      <c r="AJ571" s="558" t="s">
        <v>2449</v>
      </c>
    </row>
    <row r="572" spans="1:36" s="376" customFormat="1" ht="81" outlineLevel="2" x14ac:dyDescent="0.3">
      <c r="A572" s="447">
        <v>49</v>
      </c>
      <c r="B572" s="648"/>
      <c r="C572" s="648"/>
      <c r="D572" s="587"/>
      <c r="E572" s="560"/>
      <c r="F572" s="558"/>
      <c r="G572" s="588"/>
      <c r="H572" s="546"/>
      <c r="I572" s="563" t="s">
        <v>25</v>
      </c>
      <c r="J572" s="563" t="s">
        <v>25</v>
      </c>
      <c r="K572" s="564" t="s">
        <v>25</v>
      </c>
      <c r="L572" s="564" t="s">
        <v>25</v>
      </c>
      <c r="M572" s="646"/>
      <c r="N572" s="646"/>
      <c r="O572" s="590"/>
      <c r="P572" s="564" t="s">
        <v>25</v>
      </c>
      <c r="Q572" s="564" t="s">
        <v>25</v>
      </c>
      <c r="R572" s="646" t="s">
        <v>1840</v>
      </c>
      <c r="S572" s="647" t="s">
        <v>53</v>
      </c>
      <c r="T572" s="591">
        <v>25</v>
      </c>
      <c r="U572" s="589"/>
      <c r="V572" s="564">
        <v>1676884</v>
      </c>
      <c r="W572" s="564">
        <v>41922000</v>
      </c>
      <c r="X572" s="589"/>
      <c r="Y572" s="592" t="s">
        <v>55</v>
      </c>
      <c r="Z572" s="592" t="s">
        <v>56</v>
      </c>
      <c r="AA572" s="568" t="s">
        <v>320</v>
      </c>
      <c r="AB572" s="592" t="s">
        <v>66</v>
      </c>
      <c r="AC572" s="592"/>
      <c r="AD572" s="592"/>
      <c r="AE572" s="590"/>
      <c r="AF572" s="570" t="s">
        <v>2899</v>
      </c>
      <c r="AG572" s="570" t="s">
        <v>25</v>
      </c>
      <c r="AH572" s="571" t="s">
        <v>25</v>
      </c>
      <c r="AI572" s="558" t="s">
        <v>2074</v>
      </c>
      <c r="AJ572" s="558" t="s">
        <v>2451</v>
      </c>
    </row>
    <row r="573" spans="1:36" s="376" customFormat="1" ht="101.25" outlineLevel="2" x14ac:dyDescent="0.3">
      <c r="A573" s="447">
        <v>49</v>
      </c>
      <c r="B573" s="648"/>
      <c r="C573" s="648"/>
      <c r="D573" s="587"/>
      <c r="E573" s="560"/>
      <c r="F573" s="558"/>
      <c r="G573" s="588"/>
      <c r="H573" s="546"/>
      <c r="I573" s="563" t="s">
        <v>25</v>
      </c>
      <c r="J573" s="563" t="s">
        <v>25</v>
      </c>
      <c r="K573" s="564" t="s">
        <v>25</v>
      </c>
      <c r="L573" s="564" t="s">
        <v>25</v>
      </c>
      <c r="M573" s="646"/>
      <c r="N573" s="646"/>
      <c r="O573" s="590"/>
      <c r="P573" s="564" t="s">
        <v>25</v>
      </c>
      <c r="Q573" s="564" t="s">
        <v>25</v>
      </c>
      <c r="R573" s="646" t="s">
        <v>1846</v>
      </c>
      <c r="S573" s="647" t="s">
        <v>53</v>
      </c>
      <c r="T573" s="591">
        <v>13</v>
      </c>
      <c r="U573" s="589"/>
      <c r="V573" s="564">
        <v>238288</v>
      </c>
      <c r="W573" s="564">
        <v>3098000</v>
      </c>
      <c r="X573" s="589"/>
      <c r="Y573" s="592"/>
      <c r="Z573" s="592"/>
      <c r="AA573" s="568"/>
      <c r="AB573" s="592"/>
      <c r="AC573" s="592"/>
      <c r="AD573" s="592"/>
      <c r="AE573" s="590"/>
      <c r="AF573" s="570" t="s">
        <v>2899</v>
      </c>
      <c r="AG573" s="570" t="s">
        <v>25</v>
      </c>
      <c r="AH573" s="571" t="s">
        <v>25</v>
      </c>
      <c r="AI573" s="575"/>
      <c r="AJ573" s="558" t="s">
        <v>2800</v>
      </c>
    </row>
    <row r="574" spans="1:36" s="376" customFormat="1" ht="60.75" outlineLevel="2" x14ac:dyDescent="0.3">
      <c r="A574" s="447">
        <v>49</v>
      </c>
      <c r="B574" s="648"/>
      <c r="C574" s="648"/>
      <c r="D574" s="587"/>
      <c r="E574" s="560"/>
      <c r="F574" s="558"/>
      <c r="G574" s="588"/>
      <c r="H574" s="546"/>
      <c r="I574" s="563" t="s">
        <v>25</v>
      </c>
      <c r="J574" s="563" t="s">
        <v>25</v>
      </c>
      <c r="K574" s="564" t="s">
        <v>25</v>
      </c>
      <c r="L574" s="564" t="s">
        <v>25</v>
      </c>
      <c r="M574" s="646"/>
      <c r="N574" s="646"/>
      <c r="O574" s="590"/>
      <c r="P574" s="564" t="s">
        <v>25</v>
      </c>
      <c r="Q574" s="564" t="s">
        <v>25</v>
      </c>
      <c r="R574" s="646" t="s">
        <v>1768</v>
      </c>
      <c r="S574" s="647" t="s">
        <v>53</v>
      </c>
      <c r="T574" s="591">
        <v>8.8000000000000007</v>
      </c>
      <c r="U574" s="589"/>
      <c r="V574" s="564">
        <v>238288</v>
      </c>
      <c r="W574" s="564">
        <v>2097000</v>
      </c>
      <c r="X574" s="589"/>
      <c r="Y574" s="592"/>
      <c r="Z574" s="592"/>
      <c r="AA574" s="568"/>
      <c r="AB574" s="592"/>
      <c r="AC574" s="592"/>
      <c r="AD574" s="592"/>
      <c r="AE574" s="590"/>
      <c r="AF574" s="570" t="s">
        <v>2899</v>
      </c>
      <c r="AG574" s="570" t="s">
        <v>25</v>
      </c>
      <c r="AH574" s="571" t="s">
        <v>25</v>
      </c>
      <c r="AI574" s="558"/>
      <c r="AJ574" s="558"/>
    </row>
    <row r="575" spans="1:36" s="376" customFormat="1" ht="81" outlineLevel="2" x14ac:dyDescent="0.3">
      <c r="A575" s="447">
        <v>49</v>
      </c>
      <c r="B575" s="648"/>
      <c r="C575" s="648"/>
      <c r="D575" s="587"/>
      <c r="E575" s="560"/>
      <c r="F575" s="558"/>
      <c r="G575" s="588"/>
      <c r="H575" s="546"/>
      <c r="I575" s="563" t="s">
        <v>25</v>
      </c>
      <c r="J575" s="563" t="s">
        <v>25</v>
      </c>
      <c r="K575" s="564" t="s">
        <v>25</v>
      </c>
      <c r="L575" s="564" t="s">
        <v>25</v>
      </c>
      <c r="M575" s="646"/>
      <c r="N575" s="646"/>
      <c r="O575" s="590"/>
      <c r="P575" s="564" t="s">
        <v>25</v>
      </c>
      <c r="Q575" s="564" t="s">
        <v>25</v>
      </c>
      <c r="R575" s="646" t="s">
        <v>2322</v>
      </c>
      <c r="S575" s="647" t="s">
        <v>53</v>
      </c>
      <c r="T575" s="591">
        <v>14</v>
      </c>
      <c r="U575" s="589"/>
      <c r="V575" s="564">
        <v>1116028</v>
      </c>
      <c r="W575" s="564">
        <v>15624000</v>
      </c>
      <c r="X575" s="589"/>
      <c r="Y575" s="592"/>
      <c r="Z575" s="592"/>
      <c r="AA575" s="568"/>
      <c r="AB575" s="592"/>
      <c r="AC575" s="592"/>
      <c r="AD575" s="592"/>
      <c r="AE575" s="590"/>
      <c r="AF575" s="570" t="s">
        <v>2899</v>
      </c>
      <c r="AG575" s="570" t="s">
        <v>25</v>
      </c>
      <c r="AH575" s="571" t="s">
        <v>25</v>
      </c>
      <c r="AI575" s="558"/>
      <c r="AJ575" s="558"/>
    </row>
    <row r="576" spans="1:36" s="376" customFormat="1" ht="40.5" outlineLevel="2" x14ac:dyDescent="0.3">
      <c r="A576" s="447">
        <v>49</v>
      </c>
      <c r="B576" s="648"/>
      <c r="C576" s="648"/>
      <c r="D576" s="587"/>
      <c r="E576" s="560"/>
      <c r="F576" s="558"/>
      <c r="G576" s="588"/>
      <c r="H576" s="546"/>
      <c r="I576" s="563" t="s">
        <v>25</v>
      </c>
      <c r="J576" s="563" t="s">
        <v>25</v>
      </c>
      <c r="K576" s="564" t="s">
        <v>25</v>
      </c>
      <c r="L576" s="564" t="s">
        <v>25</v>
      </c>
      <c r="M576" s="646"/>
      <c r="N576" s="646"/>
      <c r="O576" s="590"/>
      <c r="P576" s="564" t="s">
        <v>25</v>
      </c>
      <c r="Q576" s="564" t="s">
        <v>25</v>
      </c>
      <c r="R576" s="646" t="s">
        <v>1880</v>
      </c>
      <c r="S576" s="647" t="s">
        <v>78</v>
      </c>
      <c r="T576" s="591">
        <v>0.11</v>
      </c>
      <c r="U576" s="589"/>
      <c r="V576" s="564">
        <v>0</v>
      </c>
      <c r="W576" s="564">
        <v>0</v>
      </c>
      <c r="X576" s="589"/>
      <c r="Y576" s="592"/>
      <c r="Z576" s="592"/>
      <c r="AA576" s="568"/>
      <c r="AB576" s="592"/>
      <c r="AC576" s="592"/>
      <c r="AD576" s="592"/>
      <c r="AE576" s="590"/>
      <c r="AF576" s="570" t="s">
        <v>2899</v>
      </c>
      <c r="AG576" s="570" t="s">
        <v>25</v>
      </c>
      <c r="AH576" s="571" t="s">
        <v>25</v>
      </c>
      <c r="AI576" s="558"/>
      <c r="AJ576" s="558"/>
    </row>
    <row r="577" spans="1:36" s="376" customFormat="1" ht="60.75" outlineLevel="2" x14ac:dyDescent="0.3">
      <c r="A577" s="447">
        <v>49</v>
      </c>
      <c r="B577" s="648"/>
      <c r="C577" s="648"/>
      <c r="D577" s="587"/>
      <c r="E577" s="560"/>
      <c r="F577" s="558"/>
      <c r="G577" s="588"/>
      <c r="H577" s="546"/>
      <c r="I577" s="563" t="s">
        <v>25</v>
      </c>
      <c r="J577" s="563" t="s">
        <v>25</v>
      </c>
      <c r="K577" s="564" t="s">
        <v>25</v>
      </c>
      <c r="L577" s="564" t="s">
        <v>25</v>
      </c>
      <c r="M577" s="646"/>
      <c r="N577" s="646"/>
      <c r="O577" s="590"/>
      <c r="P577" s="564" t="s">
        <v>25</v>
      </c>
      <c r="Q577" s="564" t="s">
        <v>25</v>
      </c>
      <c r="R577" s="646" t="s">
        <v>1774</v>
      </c>
      <c r="S577" s="647" t="s">
        <v>53</v>
      </c>
      <c r="T577" s="591">
        <v>1.86</v>
      </c>
      <c r="U577" s="589"/>
      <c r="V577" s="564">
        <v>286855</v>
      </c>
      <c r="W577" s="564">
        <v>534000</v>
      </c>
      <c r="X577" s="589"/>
      <c r="Y577" s="592"/>
      <c r="Z577" s="592"/>
      <c r="AA577" s="568"/>
      <c r="AB577" s="592"/>
      <c r="AC577" s="592"/>
      <c r="AD577" s="592"/>
      <c r="AE577" s="590"/>
      <c r="AF577" s="570" t="s">
        <v>2899</v>
      </c>
      <c r="AG577" s="570" t="s">
        <v>25</v>
      </c>
      <c r="AH577" s="571" t="s">
        <v>25</v>
      </c>
      <c r="AI577" s="558"/>
      <c r="AJ577" s="558"/>
    </row>
    <row r="578" spans="1:36" s="376" customFormat="1" ht="60.75" outlineLevel="2" x14ac:dyDescent="0.3">
      <c r="A578" s="447">
        <v>49</v>
      </c>
      <c r="B578" s="648"/>
      <c r="C578" s="648"/>
      <c r="D578" s="587"/>
      <c r="E578" s="560"/>
      <c r="F578" s="558"/>
      <c r="G578" s="588"/>
      <c r="H578" s="546"/>
      <c r="I578" s="563" t="s">
        <v>25</v>
      </c>
      <c r="J578" s="563" t="s">
        <v>25</v>
      </c>
      <c r="K578" s="564" t="s">
        <v>25</v>
      </c>
      <c r="L578" s="564" t="s">
        <v>25</v>
      </c>
      <c r="M578" s="646"/>
      <c r="N578" s="646"/>
      <c r="O578" s="590"/>
      <c r="P578" s="564" t="s">
        <v>25</v>
      </c>
      <c r="Q578" s="564" t="s">
        <v>25</v>
      </c>
      <c r="R578" s="646" t="s">
        <v>1894</v>
      </c>
      <c r="S578" s="647" t="s">
        <v>53</v>
      </c>
      <c r="T578" s="591">
        <v>1.26</v>
      </c>
      <c r="U578" s="589"/>
      <c r="V578" s="564">
        <v>348773</v>
      </c>
      <c r="W578" s="564">
        <v>439000</v>
      </c>
      <c r="X578" s="589"/>
      <c r="Y578" s="592"/>
      <c r="Z578" s="592"/>
      <c r="AA578" s="568"/>
      <c r="AB578" s="592"/>
      <c r="AC578" s="592"/>
      <c r="AD578" s="592"/>
      <c r="AE578" s="590"/>
      <c r="AF578" s="570" t="s">
        <v>2899</v>
      </c>
      <c r="AG578" s="570" t="s">
        <v>25</v>
      </c>
      <c r="AH578" s="571" t="s">
        <v>25</v>
      </c>
      <c r="AI578" s="558"/>
      <c r="AJ578" s="558"/>
    </row>
    <row r="579" spans="1:36" s="376" customFormat="1" ht="60.75" outlineLevel="2" x14ac:dyDescent="0.3">
      <c r="A579" s="447">
        <v>49</v>
      </c>
      <c r="B579" s="648"/>
      <c r="C579" s="648"/>
      <c r="D579" s="587"/>
      <c r="E579" s="560"/>
      <c r="F579" s="558"/>
      <c r="G579" s="588"/>
      <c r="H579" s="546"/>
      <c r="I579" s="563" t="s">
        <v>25</v>
      </c>
      <c r="J579" s="563" t="s">
        <v>25</v>
      </c>
      <c r="K579" s="564" t="s">
        <v>25</v>
      </c>
      <c r="L579" s="564" t="s">
        <v>25</v>
      </c>
      <c r="M579" s="646"/>
      <c r="N579" s="646"/>
      <c r="O579" s="590"/>
      <c r="P579" s="564" t="s">
        <v>25</v>
      </c>
      <c r="Q579" s="564" t="s">
        <v>25</v>
      </c>
      <c r="R579" s="646" t="s">
        <v>2323</v>
      </c>
      <c r="S579" s="647" t="s">
        <v>53</v>
      </c>
      <c r="T579" s="591">
        <v>1.84</v>
      </c>
      <c r="U579" s="589"/>
      <c r="V579" s="564">
        <v>348773</v>
      </c>
      <c r="W579" s="564">
        <v>642000</v>
      </c>
      <c r="X579" s="589"/>
      <c r="Y579" s="592"/>
      <c r="Z579" s="592"/>
      <c r="AA579" s="568"/>
      <c r="AB579" s="592"/>
      <c r="AC579" s="592"/>
      <c r="AD579" s="592"/>
      <c r="AE579" s="590"/>
      <c r="AF579" s="570" t="s">
        <v>2899</v>
      </c>
      <c r="AG579" s="570" t="s">
        <v>25</v>
      </c>
      <c r="AH579" s="571" t="s">
        <v>25</v>
      </c>
      <c r="AI579" s="558"/>
      <c r="AJ579" s="558"/>
    </row>
    <row r="580" spans="1:36" s="376" customFormat="1" ht="81" outlineLevel="2" x14ac:dyDescent="0.3">
      <c r="A580" s="447">
        <v>49</v>
      </c>
      <c r="B580" s="648"/>
      <c r="C580" s="648"/>
      <c r="D580" s="587"/>
      <c r="E580" s="560"/>
      <c r="F580" s="558"/>
      <c r="G580" s="588"/>
      <c r="H580" s="546"/>
      <c r="I580" s="563" t="s">
        <v>25</v>
      </c>
      <c r="J580" s="563" t="s">
        <v>25</v>
      </c>
      <c r="K580" s="564" t="s">
        <v>25</v>
      </c>
      <c r="L580" s="564" t="s">
        <v>25</v>
      </c>
      <c r="M580" s="646"/>
      <c r="N580" s="646"/>
      <c r="O580" s="590"/>
      <c r="P580" s="564" t="s">
        <v>25</v>
      </c>
      <c r="Q580" s="564" t="s">
        <v>25</v>
      </c>
      <c r="R580" s="646" t="s">
        <v>2324</v>
      </c>
      <c r="S580" s="647" t="s">
        <v>53</v>
      </c>
      <c r="T580" s="591">
        <v>4.76</v>
      </c>
      <c r="U580" s="589"/>
      <c r="V580" s="564">
        <v>496651</v>
      </c>
      <c r="W580" s="564">
        <v>2364000</v>
      </c>
      <c r="X580" s="589"/>
      <c r="Y580" s="592"/>
      <c r="Z580" s="592"/>
      <c r="AA580" s="568"/>
      <c r="AB580" s="592"/>
      <c r="AC580" s="592"/>
      <c r="AD580" s="592"/>
      <c r="AE580" s="590"/>
      <c r="AF580" s="570" t="s">
        <v>2899</v>
      </c>
      <c r="AG580" s="570" t="s">
        <v>25</v>
      </c>
      <c r="AH580" s="571" t="s">
        <v>25</v>
      </c>
      <c r="AI580" s="558"/>
      <c r="AJ580" s="558"/>
    </row>
    <row r="581" spans="1:36" s="376" customFormat="1" ht="81" outlineLevel="2" x14ac:dyDescent="0.3">
      <c r="A581" s="447">
        <v>49</v>
      </c>
      <c r="B581" s="648"/>
      <c r="C581" s="648"/>
      <c r="D581" s="587"/>
      <c r="E581" s="560"/>
      <c r="F581" s="558"/>
      <c r="G581" s="588"/>
      <c r="H581" s="546"/>
      <c r="I581" s="563" t="s">
        <v>25</v>
      </c>
      <c r="J581" s="563" t="s">
        <v>25</v>
      </c>
      <c r="K581" s="564" t="s">
        <v>25</v>
      </c>
      <c r="L581" s="564" t="s">
        <v>25</v>
      </c>
      <c r="M581" s="646"/>
      <c r="N581" s="646"/>
      <c r="O581" s="590"/>
      <c r="P581" s="564" t="s">
        <v>25</v>
      </c>
      <c r="Q581" s="564" t="s">
        <v>25</v>
      </c>
      <c r="R581" s="646" t="s">
        <v>2325</v>
      </c>
      <c r="S581" s="647" t="s">
        <v>53</v>
      </c>
      <c r="T581" s="591">
        <v>6.34</v>
      </c>
      <c r="U581" s="589"/>
      <c r="V581" s="564">
        <v>496651</v>
      </c>
      <c r="W581" s="564">
        <v>3149000</v>
      </c>
      <c r="X581" s="589"/>
      <c r="Y581" s="592"/>
      <c r="Z581" s="592"/>
      <c r="AA581" s="568"/>
      <c r="AB581" s="592"/>
      <c r="AC581" s="592"/>
      <c r="AD581" s="592"/>
      <c r="AE581" s="590"/>
      <c r="AF581" s="570" t="s">
        <v>2899</v>
      </c>
      <c r="AG581" s="570" t="s">
        <v>25</v>
      </c>
      <c r="AH581" s="571" t="s">
        <v>25</v>
      </c>
      <c r="AI581" s="558"/>
      <c r="AJ581" s="558"/>
    </row>
    <row r="582" spans="1:36" s="376" customFormat="1" ht="20.25" outlineLevel="2" x14ac:dyDescent="0.3">
      <c r="A582" s="447">
        <v>49</v>
      </c>
      <c r="B582" s="648"/>
      <c r="C582" s="648"/>
      <c r="D582" s="587"/>
      <c r="E582" s="615"/>
      <c r="F582" s="558"/>
      <c r="G582" s="588"/>
      <c r="H582" s="546"/>
      <c r="I582" s="563" t="s">
        <v>25</v>
      </c>
      <c r="J582" s="563" t="s">
        <v>25</v>
      </c>
      <c r="K582" s="564" t="s">
        <v>25</v>
      </c>
      <c r="L582" s="564" t="s">
        <v>25</v>
      </c>
      <c r="M582" s="646"/>
      <c r="N582" s="646"/>
      <c r="O582" s="590"/>
      <c r="P582" s="564" t="s">
        <v>25</v>
      </c>
      <c r="Q582" s="564" t="s">
        <v>25</v>
      </c>
      <c r="R582" s="646"/>
      <c r="S582" s="647"/>
      <c r="T582" s="591"/>
      <c r="U582" s="589"/>
      <c r="V582" s="564" t="s">
        <v>2899</v>
      </c>
      <c r="W582" s="564" t="s">
        <v>25</v>
      </c>
      <c r="X582" s="589"/>
      <c r="Y582" s="592"/>
      <c r="Z582" s="592"/>
      <c r="AA582" s="568"/>
      <c r="AB582" s="592"/>
      <c r="AC582" s="592"/>
      <c r="AD582" s="592"/>
      <c r="AE582" s="590"/>
      <c r="AF582" s="570" t="s">
        <v>2899</v>
      </c>
      <c r="AG582" s="570" t="s">
        <v>25</v>
      </c>
      <c r="AH582" s="571" t="s">
        <v>25</v>
      </c>
      <c r="AI582" s="558"/>
      <c r="AJ582" s="558"/>
    </row>
    <row r="583" spans="1:36" s="376" customFormat="1" ht="20.25" outlineLevel="2" x14ac:dyDescent="0.3">
      <c r="A583" s="447">
        <v>49</v>
      </c>
      <c r="B583" s="648"/>
      <c r="C583" s="648"/>
      <c r="D583" s="587"/>
      <c r="E583" s="560"/>
      <c r="F583" s="558"/>
      <c r="G583" s="604"/>
      <c r="H583" s="546"/>
      <c r="I583" s="563" t="s">
        <v>25</v>
      </c>
      <c r="J583" s="563" t="s">
        <v>25</v>
      </c>
      <c r="K583" s="564" t="s">
        <v>25</v>
      </c>
      <c r="L583" s="564" t="s">
        <v>25</v>
      </c>
      <c r="M583" s="593"/>
      <c r="N583" s="593"/>
      <c r="O583" s="616"/>
      <c r="P583" s="564" t="s">
        <v>25</v>
      </c>
      <c r="Q583" s="564" t="s">
        <v>25</v>
      </c>
      <c r="R583" s="593"/>
      <c r="S583" s="593"/>
      <c r="T583" s="617"/>
      <c r="U583" s="589"/>
      <c r="V583" s="564" t="s">
        <v>2899</v>
      </c>
      <c r="W583" s="564" t="s">
        <v>25</v>
      </c>
      <c r="X583" s="589"/>
      <c r="Y583" s="589"/>
      <c r="Z583" s="589"/>
      <c r="AA583" s="562"/>
      <c r="AB583" s="589"/>
      <c r="AC583" s="589"/>
      <c r="AD583" s="589"/>
      <c r="AE583" s="629"/>
      <c r="AF583" s="570" t="s">
        <v>2899</v>
      </c>
      <c r="AG583" s="570" t="s">
        <v>25</v>
      </c>
      <c r="AH583" s="571" t="s">
        <v>25</v>
      </c>
      <c r="AI583" s="593"/>
      <c r="AJ583" s="593"/>
    </row>
    <row r="584" spans="1:36" s="376" customFormat="1" ht="20.25" outlineLevel="2" x14ac:dyDescent="0.3">
      <c r="A584" s="447">
        <v>49</v>
      </c>
      <c r="B584" s="574"/>
      <c r="C584" s="574"/>
      <c r="D584" s="595"/>
      <c r="E584" s="577"/>
      <c r="F584" s="558"/>
      <c r="G584" s="588"/>
      <c r="H584" s="546"/>
      <c r="I584" s="563" t="s">
        <v>25</v>
      </c>
      <c r="J584" s="563" t="s">
        <v>25</v>
      </c>
      <c r="K584" s="564" t="s">
        <v>25</v>
      </c>
      <c r="L584" s="564" t="s">
        <v>25</v>
      </c>
      <c r="M584" s="646"/>
      <c r="N584" s="646"/>
      <c r="O584" s="590"/>
      <c r="P584" s="564" t="s">
        <v>25</v>
      </c>
      <c r="Q584" s="564" t="s">
        <v>25</v>
      </c>
      <c r="R584" s="646"/>
      <c r="S584" s="647"/>
      <c r="T584" s="591"/>
      <c r="U584" s="589"/>
      <c r="V584" s="564" t="s">
        <v>2899</v>
      </c>
      <c r="W584" s="564" t="s">
        <v>25</v>
      </c>
      <c r="X584" s="589"/>
      <c r="Y584" s="592"/>
      <c r="Z584" s="592"/>
      <c r="AA584" s="568"/>
      <c r="AB584" s="592"/>
      <c r="AC584" s="592"/>
      <c r="AD584" s="592"/>
      <c r="AE584" s="590"/>
      <c r="AF584" s="570" t="s">
        <v>2899</v>
      </c>
      <c r="AG584" s="570" t="s">
        <v>25</v>
      </c>
      <c r="AH584" s="571" t="s">
        <v>25</v>
      </c>
      <c r="AI584" s="558"/>
      <c r="AJ584" s="558"/>
    </row>
    <row r="585" spans="1:36" s="376" customFormat="1" ht="40.5" outlineLevel="1" x14ac:dyDescent="0.25">
      <c r="A585" s="467">
        <v>50</v>
      </c>
      <c r="B585" s="574" t="s">
        <v>37</v>
      </c>
      <c r="C585" s="773" t="s">
        <v>2902</v>
      </c>
      <c r="D585" s="587">
        <v>86</v>
      </c>
      <c r="E585" s="560">
        <v>506</v>
      </c>
      <c r="F585" s="574"/>
      <c r="G585" s="618">
        <v>511.3</v>
      </c>
      <c r="H585" s="579">
        <v>0</v>
      </c>
      <c r="I585" s="581"/>
      <c r="J585" s="581"/>
      <c r="K585" s="571">
        <v>1180281000</v>
      </c>
      <c r="L585" s="571">
        <v>0</v>
      </c>
      <c r="M585" s="574"/>
      <c r="N585" s="574"/>
      <c r="O585" s="599">
        <v>20</v>
      </c>
      <c r="P585" s="571"/>
      <c r="Q585" s="571">
        <v>2956000</v>
      </c>
      <c r="R585" s="582"/>
      <c r="S585" s="597"/>
      <c r="T585" s="600">
        <v>549.25</v>
      </c>
      <c r="U585" s="597"/>
      <c r="V585" s="571"/>
      <c r="W585" s="571">
        <v>721740000</v>
      </c>
      <c r="X585" s="589"/>
      <c r="Y585" s="592"/>
      <c r="Z585" s="592"/>
      <c r="AA585" s="568"/>
      <c r="AB585" s="592"/>
      <c r="AC585" s="592"/>
      <c r="AD585" s="602"/>
      <c r="AE585" s="581">
        <f>SUBTOTAL(9,AE586:AE607)</f>
        <v>1</v>
      </c>
      <c r="AF585" s="585"/>
      <c r="AG585" s="585">
        <v>13000000</v>
      </c>
      <c r="AH585" s="571">
        <v>1917977000</v>
      </c>
      <c r="AI585" s="574"/>
      <c r="AJ585" s="578"/>
    </row>
    <row r="586" spans="1:36" s="376" customFormat="1" ht="121.5" outlineLevel="2" x14ac:dyDescent="0.3">
      <c r="A586" s="447">
        <v>50</v>
      </c>
      <c r="B586" s="558" t="s">
        <v>300</v>
      </c>
      <c r="C586" s="558"/>
      <c r="D586" s="587">
        <v>86</v>
      </c>
      <c r="E586" s="560">
        <v>506</v>
      </c>
      <c r="F586" s="558" t="s">
        <v>2037</v>
      </c>
      <c r="G586" s="588">
        <v>172.2</v>
      </c>
      <c r="H586" s="546" t="s">
        <v>2899</v>
      </c>
      <c r="I586" s="563">
        <v>5762400</v>
      </c>
      <c r="J586" s="563">
        <v>0</v>
      </c>
      <c r="K586" s="564">
        <v>992285000</v>
      </c>
      <c r="L586" s="564">
        <v>0</v>
      </c>
      <c r="M586" s="558" t="s">
        <v>72</v>
      </c>
      <c r="N586" s="558"/>
      <c r="O586" s="590">
        <v>5</v>
      </c>
      <c r="P586" s="564">
        <v>132000</v>
      </c>
      <c r="Q586" s="564">
        <v>660000</v>
      </c>
      <c r="R586" s="566" t="s">
        <v>2321</v>
      </c>
      <c r="S586" s="589" t="s">
        <v>53</v>
      </c>
      <c r="T586" s="591">
        <v>10.4</v>
      </c>
      <c r="U586" s="589"/>
      <c r="V586" s="564">
        <v>4246132</v>
      </c>
      <c r="W586" s="564">
        <v>44160000</v>
      </c>
      <c r="X586" s="589" t="s">
        <v>63</v>
      </c>
      <c r="Y586" s="592" t="s">
        <v>55</v>
      </c>
      <c r="Z586" s="592" t="s">
        <v>56</v>
      </c>
      <c r="AA586" s="568"/>
      <c r="AB586" s="592" t="s">
        <v>63</v>
      </c>
      <c r="AC586" s="592"/>
      <c r="AD586" s="569"/>
      <c r="AE586" s="563"/>
      <c r="AF586" s="570"/>
      <c r="AG586" s="570"/>
      <c r="AH586" s="571" t="s">
        <v>25</v>
      </c>
      <c r="AI586" s="558" t="s">
        <v>1698</v>
      </c>
      <c r="AJ586" s="586" t="s">
        <v>2771</v>
      </c>
    </row>
    <row r="587" spans="1:36" s="376" customFormat="1" ht="101.25" outlineLevel="2" x14ac:dyDescent="0.3">
      <c r="A587" s="447">
        <v>50</v>
      </c>
      <c r="B587" s="572" t="s">
        <v>682</v>
      </c>
      <c r="C587" s="572"/>
      <c r="D587" s="587">
        <v>86</v>
      </c>
      <c r="E587" s="560">
        <v>506</v>
      </c>
      <c r="F587" s="558" t="s">
        <v>2472</v>
      </c>
      <c r="G587" s="588">
        <v>332.1</v>
      </c>
      <c r="H587" s="546" t="s">
        <v>2899</v>
      </c>
      <c r="I587" s="563">
        <v>554400</v>
      </c>
      <c r="J587" s="563">
        <v>0</v>
      </c>
      <c r="K587" s="564">
        <v>184116000</v>
      </c>
      <c r="L587" s="564">
        <v>0</v>
      </c>
      <c r="M587" s="558" t="s">
        <v>73</v>
      </c>
      <c r="N587" s="558"/>
      <c r="O587" s="590">
        <v>4</v>
      </c>
      <c r="P587" s="564">
        <v>76000</v>
      </c>
      <c r="Q587" s="564">
        <v>304000</v>
      </c>
      <c r="R587" s="566" t="s">
        <v>1820</v>
      </c>
      <c r="S587" s="589" t="s">
        <v>53</v>
      </c>
      <c r="T587" s="591">
        <v>68.2</v>
      </c>
      <c r="U587" s="597"/>
      <c r="V587" s="564">
        <v>5307665</v>
      </c>
      <c r="W587" s="564">
        <v>361983000</v>
      </c>
      <c r="X587" s="589" t="s">
        <v>63</v>
      </c>
      <c r="Y587" s="592" t="s">
        <v>55</v>
      </c>
      <c r="Z587" s="592" t="s">
        <v>56</v>
      </c>
      <c r="AA587" s="568" t="s">
        <v>57</v>
      </c>
      <c r="AB587" s="592" t="s">
        <v>63</v>
      </c>
      <c r="AC587" s="568" t="s">
        <v>430</v>
      </c>
      <c r="AD587" s="569" t="s">
        <v>2789</v>
      </c>
      <c r="AE587" s="590">
        <v>1</v>
      </c>
      <c r="AF587" s="570">
        <v>13000000</v>
      </c>
      <c r="AG587" s="570">
        <v>13000000</v>
      </c>
      <c r="AH587" s="571" t="s">
        <v>25</v>
      </c>
      <c r="AI587" s="558" t="s">
        <v>522</v>
      </c>
      <c r="AJ587" s="605" t="s">
        <v>2448</v>
      </c>
    </row>
    <row r="588" spans="1:36" s="376" customFormat="1" ht="121.5" outlineLevel="2" x14ac:dyDescent="0.3">
      <c r="A588" s="447">
        <v>50</v>
      </c>
      <c r="B588" s="572" t="s">
        <v>312</v>
      </c>
      <c r="C588" s="572"/>
      <c r="D588" s="612"/>
      <c r="E588" s="612"/>
      <c r="F588" s="558" t="s">
        <v>2474</v>
      </c>
      <c r="G588" s="588">
        <v>1</v>
      </c>
      <c r="H588" s="546" t="s">
        <v>2899</v>
      </c>
      <c r="I588" s="563">
        <v>554400</v>
      </c>
      <c r="J588" s="563">
        <v>0</v>
      </c>
      <c r="K588" s="564">
        <v>554000</v>
      </c>
      <c r="L588" s="564">
        <v>0</v>
      </c>
      <c r="M588" s="565" t="s">
        <v>75</v>
      </c>
      <c r="N588" s="565"/>
      <c r="O588" s="590">
        <v>6</v>
      </c>
      <c r="P588" s="564">
        <v>34000</v>
      </c>
      <c r="Q588" s="564">
        <v>204000</v>
      </c>
      <c r="R588" s="566" t="s">
        <v>2326</v>
      </c>
      <c r="S588" s="589" t="s">
        <v>53</v>
      </c>
      <c r="T588" s="591">
        <v>5.04</v>
      </c>
      <c r="U588" s="589"/>
      <c r="V588" s="564">
        <v>9347414</v>
      </c>
      <c r="W588" s="564">
        <v>47111000</v>
      </c>
      <c r="X588" s="589"/>
      <c r="Y588" s="592"/>
      <c r="Z588" s="592" t="s">
        <v>56</v>
      </c>
      <c r="AA588" s="568" t="s">
        <v>57</v>
      </c>
      <c r="AB588" s="592" t="s">
        <v>139</v>
      </c>
      <c r="AC588" s="592"/>
      <c r="AD588" s="606"/>
      <c r="AE588" s="590"/>
      <c r="AF588" s="570" t="s">
        <v>2899</v>
      </c>
      <c r="AG588" s="570" t="s">
        <v>25</v>
      </c>
      <c r="AH588" s="571" t="s">
        <v>25</v>
      </c>
      <c r="AI588" s="558" t="s">
        <v>524</v>
      </c>
      <c r="AJ588" s="558" t="s">
        <v>2450</v>
      </c>
    </row>
    <row r="589" spans="1:36" s="376" customFormat="1" ht="101.25" outlineLevel="2" x14ac:dyDescent="0.3">
      <c r="A589" s="447">
        <v>50</v>
      </c>
      <c r="B589" s="572"/>
      <c r="C589" s="572"/>
      <c r="D589" s="587"/>
      <c r="E589" s="560"/>
      <c r="F589" s="586" t="s">
        <v>2473</v>
      </c>
      <c r="G589" s="588">
        <v>6</v>
      </c>
      <c r="H589" s="546" t="s">
        <v>2899</v>
      </c>
      <c r="I589" s="563">
        <v>554400</v>
      </c>
      <c r="J589" s="563">
        <v>0</v>
      </c>
      <c r="K589" s="564">
        <v>3326000</v>
      </c>
      <c r="L589" s="564">
        <v>0</v>
      </c>
      <c r="M589" s="586" t="s">
        <v>301</v>
      </c>
      <c r="N589" s="586"/>
      <c r="O589" s="590">
        <v>1</v>
      </c>
      <c r="P589" s="564">
        <v>50000</v>
      </c>
      <c r="Q589" s="564">
        <v>50000</v>
      </c>
      <c r="R589" s="586" t="s">
        <v>1768</v>
      </c>
      <c r="S589" s="609" t="s">
        <v>53</v>
      </c>
      <c r="T589" s="591">
        <v>33.15</v>
      </c>
      <c r="U589" s="589"/>
      <c r="V589" s="564">
        <v>238288</v>
      </c>
      <c r="W589" s="564">
        <v>7899000</v>
      </c>
      <c r="X589" s="562"/>
      <c r="Y589" s="592"/>
      <c r="Z589" s="592"/>
      <c r="AA589" s="568"/>
      <c r="AB589" s="592"/>
      <c r="AC589" s="592"/>
      <c r="AD589" s="592"/>
      <c r="AE589" s="590"/>
      <c r="AF589" s="570" t="s">
        <v>2899</v>
      </c>
      <c r="AG589" s="570" t="s">
        <v>25</v>
      </c>
      <c r="AH589" s="571" t="s">
        <v>25</v>
      </c>
      <c r="AI589" s="593" t="s">
        <v>250</v>
      </c>
      <c r="AJ589" s="558" t="s">
        <v>2449</v>
      </c>
    </row>
    <row r="590" spans="1:36" s="376" customFormat="1" ht="101.25" outlineLevel="2" x14ac:dyDescent="0.3">
      <c r="A590" s="447">
        <v>50</v>
      </c>
      <c r="B590" s="574"/>
      <c r="C590" s="574"/>
      <c r="D590" s="587"/>
      <c r="E590" s="560"/>
      <c r="F590" s="558"/>
      <c r="G590" s="588"/>
      <c r="H590" s="546"/>
      <c r="I590" s="563" t="s">
        <v>25</v>
      </c>
      <c r="J590" s="563" t="s">
        <v>25</v>
      </c>
      <c r="K590" s="564" t="s">
        <v>25</v>
      </c>
      <c r="L590" s="564" t="s">
        <v>25</v>
      </c>
      <c r="M590" s="586" t="s">
        <v>133</v>
      </c>
      <c r="N590" s="586"/>
      <c r="O590" s="590">
        <v>2</v>
      </c>
      <c r="P590" s="564">
        <v>758000</v>
      </c>
      <c r="Q590" s="564">
        <v>1516000</v>
      </c>
      <c r="R590" s="586" t="s">
        <v>1768</v>
      </c>
      <c r="S590" s="609" t="s">
        <v>53</v>
      </c>
      <c r="T590" s="591">
        <v>45.9</v>
      </c>
      <c r="U590" s="589"/>
      <c r="V590" s="564">
        <v>238288</v>
      </c>
      <c r="W590" s="564">
        <v>10937000</v>
      </c>
      <c r="X590" s="589"/>
      <c r="Y590" s="592"/>
      <c r="Z590" s="592"/>
      <c r="AA590" s="568"/>
      <c r="AB590" s="592"/>
      <c r="AC590" s="592"/>
      <c r="AD590" s="592"/>
      <c r="AE590" s="590"/>
      <c r="AF590" s="570" t="s">
        <v>2899</v>
      </c>
      <c r="AG590" s="570" t="s">
        <v>25</v>
      </c>
      <c r="AH590" s="571" t="s">
        <v>25</v>
      </c>
      <c r="AI590" s="558" t="s">
        <v>1699</v>
      </c>
      <c r="AJ590" s="558" t="s">
        <v>2451</v>
      </c>
    </row>
    <row r="591" spans="1:36" s="376" customFormat="1" ht="101.25" outlineLevel="2" x14ac:dyDescent="0.3">
      <c r="A591" s="447">
        <v>50</v>
      </c>
      <c r="B591" s="558"/>
      <c r="C591" s="558"/>
      <c r="D591" s="587"/>
      <c r="E591" s="560"/>
      <c r="F591" s="558"/>
      <c r="G591" s="588"/>
      <c r="H591" s="546"/>
      <c r="I591" s="563" t="s">
        <v>25</v>
      </c>
      <c r="J591" s="563" t="s">
        <v>25</v>
      </c>
      <c r="K591" s="564" t="s">
        <v>25</v>
      </c>
      <c r="L591" s="564" t="s">
        <v>25</v>
      </c>
      <c r="M591" s="586" t="s">
        <v>751</v>
      </c>
      <c r="N591" s="586"/>
      <c r="O591" s="590">
        <v>1</v>
      </c>
      <c r="P591" s="564">
        <v>72000</v>
      </c>
      <c r="Q591" s="564">
        <v>72000</v>
      </c>
      <c r="R591" s="586" t="s">
        <v>1888</v>
      </c>
      <c r="S591" s="609" t="s">
        <v>53</v>
      </c>
      <c r="T591" s="591">
        <v>51.1</v>
      </c>
      <c r="U591" s="589"/>
      <c r="V591" s="564">
        <v>1574011</v>
      </c>
      <c r="W591" s="564">
        <v>80432000</v>
      </c>
      <c r="X591" s="589" t="s">
        <v>54</v>
      </c>
      <c r="Y591" s="592" t="s">
        <v>55</v>
      </c>
      <c r="Z591" s="592" t="s">
        <v>325</v>
      </c>
      <c r="AA591" s="568" t="s">
        <v>326</v>
      </c>
      <c r="AB591" s="592" t="s">
        <v>327</v>
      </c>
      <c r="AC591" s="592"/>
      <c r="AD591" s="592"/>
      <c r="AE591" s="590"/>
      <c r="AF591" s="570" t="s">
        <v>2899</v>
      </c>
      <c r="AG591" s="570" t="s">
        <v>25</v>
      </c>
      <c r="AH591" s="571" t="s">
        <v>25</v>
      </c>
      <c r="AI591" s="575"/>
      <c r="AJ591" s="558" t="s">
        <v>2800</v>
      </c>
    </row>
    <row r="592" spans="1:36" s="376" customFormat="1" ht="60.75" outlineLevel="2" x14ac:dyDescent="0.3">
      <c r="A592" s="447">
        <v>50</v>
      </c>
      <c r="B592" s="635"/>
      <c r="C592" s="635"/>
      <c r="D592" s="587"/>
      <c r="E592" s="560"/>
      <c r="F592" s="558"/>
      <c r="G592" s="588"/>
      <c r="H592" s="546"/>
      <c r="I592" s="563" t="s">
        <v>25</v>
      </c>
      <c r="J592" s="563" t="s">
        <v>25</v>
      </c>
      <c r="K592" s="564" t="s">
        <v>25</v>
      </c>
      <c r="L592" s="564" t="s">
        <v>25</v>
      </c>
      <c r="M592" s="586" t="s">
        <v>741</v>
      </c>
      <c r="N592" s="586"/>
      <c r="O592" s="590">
        <v>1</v>
      </c>
      <c r="P592" s="564">
        <v>150000</v>
      </c>
      <c r="Q592" s="564">
        <v>150000</v>
      </c>
      <c r="R592" s="586" t="s">
        <v>2327</v>
      </c>
      <c r="S592" s="609" t="s">
        <v>53</v>
      </c>
      <c r="T592" s="591">
        <v>2.2400000000000002</v>
      </c>
      <c r="U592" s="589"/>
      <c r="V592" s="564">
        <v>2354806</v>
      </c>
      <c r="W592" s="564">
        <v>5275000</v>
      </c>
      <c r="X592" s="589"/>
      <c r="Y592" s="592"/>
      <c r="Z592" s="592" t="s">
        <v>141</v>
      </c>
      <c r="AA592" s="568" t="s">
        <v>57</v>
      </c>
      <c r="AB592" s="592" t="s">
        <v>328</v>
      </c>
      <c r="AC592" s="592"/>
      <c r="AD592" s="592"/>
      <c r="AE592" s="590"/>
      <c r="AF592" s="570" t="s">
        <v>2899</v>
      </c>
      <c r="AG592" s="570" t="s">
        <v>25</v>
      </c>
      <c r="AH592" s="571" t="s">
        <v>25</v>
      </c>
      <c r="AI592" s="593"/>
      <c r="AJ592" s="558"/>
    </row>
    <row r="593" spans="1:36" s="376" customFormat="1" ht="40.5" outlineLevel="2" x14ac:dyDescent="0.3">
      <c r="A593" s="447">
        <v>50</v>
      </c>
      <c r="B593" s="635"/>
      <c r="C593" s="635"/>
      <c r="D593" s="587"/>
      <c r="E593" s="560"/>
      <c r="F593" s="558"/>
      <c r="G593" s="588"/>
      <c r="H593" s="546"/>
      <c r="I593" s="563" t="s">
        <v>25</v>
      </c>
      <c r="J593" s="563" t="s">
        <v>25</v>
      </c>
      <c r="K593" s="564" t="s">
        <v>25</v>
      </c>
      <c r="L593" s="564" t="s">
        <v>25</v>
      </c>
      <c r="M593" s="586"/>
      <c r="N593" s="586"/>
      <c r="O593" s="590"/>
      <c r="P593" s="564" t="s">
        <v>25</v>
      </c>
      <c r="Q593" s="564" t="s">
        <v>25</v>
      </c>
      <c r="R593" s="586" t="s">
        <v>2328</v>
      </c>
      <c r="S593" s="609" t="s">
        <v>53</v>
      </c>
      <c r="T593" s="591">
        <v>28.7</v>
      </c>
      <c r="U593" s="589"/>
      <c r="V593" s="564">
        <v>1379988</v>
      </c>
      <c r="W593" s="564">
        <v>39606000</v>
      </c>
      <c r="X593" s="589" t="s">
        <v>54</v>
      </c>
      <c r="Y593" s="592" t="s">
        <v>55</v>
      </c>
      <c r="Z593" s="592" t="s">
        <v>141</v>
      </c>
      <c r="AA593" s="568" t="s">
        <v>326</v>
      </c>
      <c r="AB593" s="592" t="s">
        <v>143</v>
      </c>
      <c r="AC593" s="592"/>
      <c r="AD593" s="592"/>
      <c r="AE593" s="590"/>
      <c r="AF593" s="570" t="s">
        <v>2899</v>
      </c>
      <c r="AG593" s="570" t="s">
        <v>25</v>
      </c>
      <c r="AH593" s="571" t="s">
        <v>25</v>
      </c>
      <c r="AI593" s="593"/>
      <c r="AJ593" s="593"/>
    </row>
    <row r="594" spans="1:36" s="376" customFormat="1" ht="40.5" outlineLevel="2" x14ac:dyDescent="0.3">
      <c r="A594" s="447">
        <v>50</v>
      </c>
      <c r="B594" s="635"/>
      <c r="C594" s="635"/>
      <c r="D594" s="587"/>
      <c r="E594" s="560"/>
      <c r="F594" s="558"/>
      <c r="G594" s="588"/>
      <c r="H594" s="546"/>
      <c r="I594" s="563" t="s">
        <v>25</v>
      </c>
      <c r="J594" s="563" t="s">
        <v>25</v>
      </c>
      <c r="K594" s="564" t="s">
        <v>25</v>
      </c>
      <c r="L594" s="564" t="s">
        <v>25</v>
      </c>
      <c r="M594" s="586"/>
      <c r="N594" s="586"/>
      <c r="O594" s="590"/>
      <c r="P594" s="564" t="s">
        <v>25</v>
      </c>
      <c r="Q594" s="564" t="s">
        <v>25</v>
      </c>
      <c r="R594" s="586" t="s">
        <v>1767</v>
      </c>
      <c r="S594" s="609" t="s">
        <v>53</v>
      </c>
      <c r="T594" s="591">
        <v>13.12</v>
      </c>
      <c r="U594" s="589"/>
      <c r="V594" s="564">
        <v>0</v>
      </c>
      <c r="W594" s="564">
        <v>0</v>
      </c>
      <c r="X594" s="589"/>
      <c r="Y594" s="592" t="s">
        <v>55</v>
      </c>
      <c r="Z594" s="592" t="s">
        <v>87</v>
      </c>
      <c r="AA594" s="568" t="s">
        <v>171</v>
      </c>
      <c r="AB594" s="592" t="s">
        <v>143</v>
      </c>
      <c r="AC594" s="592"/>
      <c r="AD594" s="592"/>
      <c r="AE594" s="590"/>
      <c r="AF594" s="570" t="s">
        <v>2899</v>
      </c>
      <c r="AG594" s="570" t="s">
        <v>25</v>
      </c>
      <c r="AH594" s="571" t="s">
        <v>25</v>
      </c>
      <c r="AI594" s="593"/>
      <c r="AJ594" s="593"/>
    </row>
    <row r="595" spans="1:36" s="376" customFormat="1" ht="60.75" outlineLevel="2" x14ac:dyDescent="0.3">
      <c r="A595" s="447">
        <v>50</v>
      </c>
      <c r="B595" s="635"/>
      <c r="C595" s="635"/>
      <c r="D595" s="587"/>
      <c r="E595" s="560"/>
      <c r="F595" s="558"/>
      <c r="G595" s="588"/>
      <c r="H595" s="546"/>
      <c r="I595" s="563" t="s">
        <v>25</v>
      </c>
      <c r="J595" s="563" t="s">
        <v>25</v>
      </c>
      <c r="K595" s="564" t="s">
        <v>25</v>
      </c>
      <c r="L595" s="564" t="s">
        <v>25</v>
      </c>
      <c r="M595" s="586"/>
      <c r="N595" s="586"/>
      <c r="O595" s="590"/>
      <c r="P595" s="564" t="s">
        <v>25</v>
      </c>
      <c r="Q595" s="564" t="s">
        <v>25</v>
      </c>
      <c r="R595" s="586" t="s">
        <v>1768</v>
      </c>
      <c r="S595" s="609" t="s">
        <v>53</v>
      </c>
      <c r="T595" s="591">
        <v>13.12</v>
      </c>
      <c r="U595" s="589"/>
      <c r="V595" s="564">
        <v>238288</v>
      </c>
      <c r="W595" s="564">
        <v>3126000</v>
      </c>
      <c r="X595" s="589"/>
      <c r="Y595" s="592"/>
      <c r="Z595" s="592"/>
      <c r="AA595" s="568"/>
      <c r="AB595" s="592"/>
      <c r="AC595" s="592"/>
      <c r="AD595" s="592"/>
      <c r="AE595" s="590"/>
      <c r="AF595" s="570" t="s">
        <v>2899</v>
      </c>
      <c r="AG595" s="570" t="s">
        <v>25</v>
      </c>
      <c r="AH595" s="571" t="s">
        <v>25</v>
      </c>
      <c r="AI595" s="593"/>
      <c r="AJ595" s="593"/>
    </row>
    <row r="596" spans="1:36" s="376" customFormat="1" ht="60.75" outlineLevel="2" x14ac:dyDescent="0.3">
      <c r="A596" s="447">
        <v>50</v>
      </c>
      <c r="B596" s="635"/>
      <c r="C596" s="635"/>
      <c r="D596" s="587"/>
      <c r="E596" s="560"/>
      <c r="F596" s="558"/>
      <c r="G596" s="588"/>
      <c r="H596" s="546"/>
      <c r="I596" s="563" t="s">
        <v>25</v>
      </c>
      <c r="J596" s="563" t="s">
        <v>25</v>
      </c>
      <c r="K596" s="564" t="s">
        <v>25</v>
      </c>
      <c r="L596" s="564" t="s">
        <v>25</v>
      </c>
      <c r="M596" s="586"/>
      <c r="N596" s="586"/>
      <c r="O596" s="590"/>
      <c r="P596" s="564" t="s">
        <v>25</v>
      </c>
      <c r="Q596" s="564" t="s">
        <v>25</v>
      </c>
      <c r="R596" s="586" t="s">
        <v>1846</v>
      </c>
      <c r="S596" s="609" t="s">
        <v>53</v>
      </c>
      <c r="T596" s="591">
        <v>91.5</v>
      </c>
      <c r="U596" s="589"/>
      <c r="V596" s="564">
        <v>238288</v>
      </c>
      <c r="W596" s="564">
        <v>21803000</v>
      </c>
      <c r="X596" s="589"/>
      <c r="Y596" s="592"/>
      <c r="Z596" s="592"/>
      <c r="AA596" s="568"/>
      <c r="AB596" s="592"/>
      <c r="AC596" s="592"/>
      <c r="AD596" s="592"/>
      <c r="AE596" s="590"/>
      <c r="AF596" s="570" t="s">
        <v>2899</v>
      </c>
      <c r="AG596" s="570" t="s">
        <v>25</v>
      </c>
      <c r="AH596" s="571" t="s">
        <v>25</v>
      </c>
      <c r="AI596" s="593"/>
      <c r="AJ596" s="593"/>
    </row>
    <row r="597" spans="1:36" s="376" customFormat="1" ht="40.5" outlineLevel="2" x14ac:dyDescent="0.3">
      <c r="A597" s="447">
        <v>50</v>
      </c>
      <c r="B597" s="635"/>
      <c r="C597" s="635"/>
      <c r="D597" s="587"/>
      <c r="E597" s="560"/>
      <c r="F597" s="558"/>
      <c r="G597" s="588"/>
      <c r="H597" s="546"/>
      <c r="I597" s="563" t="s">
        <v>25</v>
      </c>
      <c r="J597" s="563" t="s">
        <v>25</v>
      </c>
      <c r="K597" s="564" t="s">
        <v>25</v>
      </c>
      <c r="L597" s="564" t="s">
        <v>25</v>
      </c>
      <c r="M597" s="586"/>
      <c r="N597" s="586"/>
      <c r="O597" s="590"/>
      <c r="P597" s="564" t="s">
        <v>25</v>
      </c>
      <c r="Q597" s="564" t="s">
        <v>25</v>
      </c>
      <c r="R597" s="586" t="s">
        <v>2007</v>
      </c>
      <c r="S597" s="609" t="s">
        <v>53</v>
      </c>
      <c r="T597" s="591">
        <v>9.57</v>
      </c>
      <c r="U597" s="589"/>
      <c r="V597" s="564">
        <v>1641213</v>
      </c>
      <c r="W597" s="564">
        <v>15706000</v>
      </c>
      <c r="X597" s="589"/>
      <c r="Y597" s="592"/>
      <c r="Z597" s="592"/>
      <c r="AA597" s="568"/>
      <c r="AB597" s="592"/>
      <c r="AC597" s="592"/>
      <c r="AD597" s="592"/>
      <c r="AE597" s="590"/>
      <c r="AF597" s="570" t="s">
        <v>2899</v>
      </c>
      <c r="AG597" s="570" t="s">
        <v>25</v>
      </c>
      <c r="AH597" s="571" t="s">
        <v>25</v>
      </c>
      <c r="AI597" s="593"/>
      <c r="AJ597" s="593"/>
    </row>
    <row r="598" spans="1:36" s="376" customFormat="1" ht="81" outlineLevel="2" x14ac:dyDescent="0.3">
      <c r="A598" s="447">
        <v>50</v>
      </c>
      <c r="B598" s="635"/>
      <c r="C598" s="635"/>
      <c r="D598" s="587"/>
      <c r="E598" s="560"/>
      <c r="F598" s="558"/>
      <c r="G598" s="588"/>
      <c r="H598" s="546"/>
      <c r="I598" s="563" t="s">
        <v>25</v>
      </c>
      <c r="J598" s="563" t="s">
        <v>25</v>
      </c>
      <c r="K598" s="564" t="s">
        <v>25</v>
      </c>
      <c r="L598" s="564" t="s">
        <v>25</v>
      </c>
      <c r="M598" s="586"/>
      <c r="N598" s="586"/>
      <c r="O598" s="590"/>
      <c r="P598" s="564" t="s">
        <v>25</v>
      </c>
      <c r="Q598" s="564" t="s">
        <v>25</v>
      </c>
      <c r="R598" s="586" t="s">
        <v>2329</v>
      </c>
      <c r="S598" s="609" t="s">
        <v>53</v>
      </c>
      <c r="T598" s="591">
        <v>24.66</v>
      </c>
      <c r="U598" s="589"/>
      <c r="V598" s="564">
        <v>300398</v>
      </c>
      <c r="W598" s="564">
        <v>7408000</v>
      </c>
      <c r="X598" s="589"/>
      <c r="Y598" s="592"/>
      <c r="Z598" s="592"/>
      <c r="AA598" s="568"/>
      <c r="AB598" s="592"/>
      <c r="AC598" s="592"/>
      <c r="AD598" s="592"/>
      <c r="AE598" s="590"/>
      <c r="AF598" s="570" t="s">
        <v>2899</v>
      </c>
      <c r="AG598" s="570" t="s">
        <v>25</v>
      </c>
      <c r="AH598" s="571" t="s">
        <v>25</v>
      </c>
      <c r="AI598" s="593"/>
      <c r="AJ598" s="593"/>
    </row>
    <row r="599" spans="1:36" s="376" customFormat="1" ht="40.5" outlineLevel="2" x14ac:dyDescent="0.3">
      <c r="A599" s="447">
        <v>50</v>
      </c>
      <c r="B599" s="635"/>
      <c r="C599" s="635"/>
      <c r="D599" s="587"/>
      <c r="E599" s="560"/>
      <c r="F599" s="558"/>
      <c r="G599" s="588"/>
      <c r="H599" s="546"/>
      <c r="I599" s="563" t="s">
        <v>25</v>
      </c>
      <c r="J599" s="563" t="s">
        <v>25</v>
      </c>
      <c r="K599" s="564" t="s">
        <v>25</v>
      </c>
      <c r="L599" s="564" t="s">
        <v>25</v>
      </c>
      <c r="M599" s="586"/>
      <c r="N599" s="586"/>
      <c r="O599" s="590"/>
      <c r="P599" s="564" t="s">
        <v>25</v>
      </c>
      <c r="Q599" s="564" t="s">
        <v>25</v>
      </c>
      <c r="R599" s="586" t="s">
        <v>1801</v>
      </c>
      <c r="S599" s="609" t="s">
        <v>78</v>
      </c>
      <c r="T599" s="591">
        <v>0.52</v>
      </c>
      <c r="U599" s="589"/>
      <c r="V599" s="564">
        <v>0</v>
      </c>
      <c r="W599" s="564">
        <v>0</v>
      </c>
      <c r="X599" s="589"/>
      <c r="Y599" s="592"/>
      <c r="Z599" s="592"/>
      <c r="AA599" s="568"/>
      <c r="AB599" s="592"/>
      <c r="AC599" s="592"/>
      <c r="AD599" s="592"/>
      <c r="AE599" s="590"/>
      <c r="AF599" s="570" t="s">
        <v>2899</v>
      </c>
      <c r="AG599" s="570" t="s">
        <v>25</v>
      </c>
      <c r="AH599" s="571" t="s">
        <v>25</v>
      </c>
      <c r="AI599" s="593"/>
      <c r="AJ599" s="593"/>
    </row>
    <row r="600" spans="1:36" s="376" customFormat="1" ht="40.5" outlineLevel="2" x14ac:dyDescent="0.3">
      <c r="A600" s="447">
        <v>50</v>
      </c>
      <c r="B600" s="635"/>
      <c r="C600" s="635"/>
      <c r="D600" s="587"/>
      <c r="E600" s="560"/>
      <c r="F600" s="558"/>
      <c r="G600" s="588"/>
      <c r="H600" s="546"/>
      <c r="I600" s="563" t="s">
        <v>25</v>
      </c>
      <c r="J600" s="563" t="s">
        <v>25</v>
      </c>
      <c r="K600" s="564" t="s">
        <v>25</v>
      </c>
      <c r="L600" s="564" t="s">
        <v>25</v>
      </c>
      <c r="M600" s="586"/>
      <c r="N600" s="586"/>
      <c r="O600" s="590"/>
      <c r="P600" s="564" t="s">
        <v>25</v>
      </c>
      <c r="Q600" s="564" t="s">
        <v>25</v>
      </c>
      <c r="R600" s="586" t="s">
        <v>1880</v>
      </c>
      <c r="S600" s="609" t="s">
        <v>78</v>
      </c>
      <c r="T600" s="591">
        <v>0.25</v>
      </c>
      <c r="U600" s="589"/>
      <c r="V600" s="564">
        <v>0</v>
      </c>
      <c r="W600" s="564">
        <v>0</v>
      </c>
      <c r="X600" s="589"/>
      <c r="Y600" s="592"/>
      <c r="Z600" s="592"/>
      <c r="AA600" s="568"/>
      <c r="AB600" s="592"/>
      <c r="AC600" s="592"/>
      <c r="AD600" s="592"/>
      <c r="AE600" s="590"/>
      <c r="AF600" s="570" t="s">
        <v>2899</v>
      </c>
      <c r="AG600" s="570" t="s">
        <v>25</v>
      </c>
      <c r="AH600" s="571" t="s">
        <v>25</v>
      </c>
      <c r="AI600" s="593"/>
      <c r="AJ600" s="593"/>
    </row>
    <row r="601" spans="1:36" s="376" customFormat="1" ht="40.5" outlineLevel="2" x14ac:dyDescent="0.3">
      <c r="A601" s="447">
        <v>50</v>
      </c>
      <c r="B601" s="635"/>
      <c r="C601" s="635"/>
      <c r="D601" s="587"/>
      <c r="E601" s="560"/>
      <c r="F601" s="558"/>
      <c r="G601" s="588"/>
      <c r="H601" s="546"/>
      <c r="I601" s="563" t="s">
        <v>25</v>
      </c>
      <c r="J601" s="563" t="s">
        <v>25</v>
      </c>
      <c r="K601" s="564" t="s">
        <v>25</v>
      </c>
      <c r="L601" s="564" t="s">
        <v>25</v>
      </c>
      <c r="M601" s="586"/>
      <c r="N601" s="586"/>
      <c r="O601" s="590"/>
      <c r="P601" s="564" t="s">
        <v>25</v>
      </c>
      <c r="Q601" s="564" t="s">
        <v>25</v>
      </c>
      <c r="R601" s="586" t="s">
        <v>1881</v>
      </c>
      <c r="S601" s="609" t="s">
        <v>53</v>
      </c>
      <c r="T601" s="591">
        <v>1.68</v>
      </c>
      <c r="U601" s="589"/>
      <c r="V601" s="564">
        <v>286855</v>
      </c>
      <c r="W601" s="564">
        <v>482000</v>
      </c>
      <c r="X601" s="589"/>
      <c r="Y601" s="592"/>
      <c r="Z601" s="592"/>
      <c r="AA601" s="568"/>
      <c r="AB601" s="592"/>
      <c r="AC601" s="592"/>
      <c r="AD601" s="592"/>
      <c r="AE601" s="590"/>
      <c r="AF601" s="570" t="s">
        <v>2899</v>
      </c>
      <c r="AG601" s="570" t="s">
        <v>25</v>
      </c>
      <c r="AH601" s="571" t="s">
        <v>25</v>
      </c>
      <c r="AI601" s="593"/>
      <c r="AJ601" s="593"/>
    </row>
    <row r="602" spans="1:36" s="376" customFormat="1" ht="60.75" outlineLevel="2" x14ac:dyDescent="0.3">
      <c r="A602" s="447">
        <v>50</v>
      </c>
      <c r="B602" s="635"/>
      <c r="C602" s="635"/>
      <c r="D602" s="587"/>
      <c r="E602" s="560"/>
      <c r="F602" s="558"/>
      <c r="G602" s="588"/>
      <c r="H602" s="546"/>
      <c r="I602" s="563" t="s">
        <v>25</v>
      </c>
      <c r="J602" s="563" t="s">
        <v>25</v>
      </c>
      <c r="K602" s="564" t="s">
        <v>25</v>
      </c>
      <c r="L602" s="564" t="s">
        <v>25</v>
      </c>
      <c r="M602" s="586"/>
      <c r="N602" s="586"/>
      <c r="O602" s="590"/>
      <c r="P602" s="564" t="s">
        <v>25</v>
      </c>
      <c r="Q602" s="564" t="s">
        <v>25</v>
      </c>
      <c r="R602" s="586" t="s">
        <v>1894</v>
      </c>
      <c r="S602" s="609" t="s">
        <v>53</v>
      </c>
      <c r="T602" s="591">
        <v>1.4</v>
      </c>
      <c r="U602" s="589"/>
      <c r="V602" s="564">
        <v>348773</v>
      </c>
      <c r="W602" s="564">
        <v>488000</v>
      </c>
      <c r="X602" s="589"/>
      <c r="Y602" s="592"/>
      <c r="Z602" s="592"/>
      <c r="AA602" s="568"/>
      <c r="AB602" s="592"/>
      <c r="AC602" s="592"/>
      <c r="AD602" s="592"/>
      <c r="AE602" s="590"/>
      <c r="AF602" s="570" t="s">
        <v>2899</v>
      </c>
      <c r="AG602" s="570" t="s">
        <v>25</v>
      </c>
      <c r="AH602" s="571" t="s">
        <v>25</v>
      </c>
      <c r="AI602" s="593"/>
      <c r="AJ602" s="593"/>
    </row>
    <row r="603" spans="1:36" s="376" customFormat="1" ht="81" outlineLevel="2" x14ac:dyDescent="0.3">
      <c r="A603" s="447">
        <v>50</v>
      </c>
      <c r="B603" s="635"/>
      <c r="C603" s="635"/>
      <c r="D603" s="587"/>
      <c r="E603" s="560"/>
      <c r="F603" s="558"/>
      <c r="G603" s="588"/>
      <c r="H603" s="546"/>
      <c r="I603" s="563" t="s">
        <v>25</v>
      </c>
      <c r="J603" s="563" t="s">
        <v>25</v>
      </c>
      <c r="K603" s="564" t="s">
        <v>25</v>
      </c>
      <c r="L603" s="564" t="s">
        <v>25</v>
      </c>
      <c r="M603" s="586"/>
      <c r="N603" s="586"/>
      <c r="O603" s="590"/>
      <c r="P603" s="564" t="s">
        <v>25</v>
      </c>
      <c r="Q603" s="564" t="s">
        <v>25</v>
      </c>
      <c r="R603" s="586" t="s">
        <v>1862</v>
      </c>
      <c r="S603" s="609" t="s">
        <v>53</v>
      </c>
      <c r="T603" s="591">
        <v>144.96</v>
      </c>
      <c r="U603" s="589"/>
      <c r="V603" s="564">
        <v>496651</v>
      </c>
      <c r="W603" s="564">
        <v>71995000</v>
      </c>
      <c r="X603" s="589"/>
      <c r="Y603" s="592"/>
      <c r="Z603" s="592"/>
      <c r="AA603" s="568"/>
      <c r="AB603" s="592"/>
      <c r="AC603" s="592"/>
      <c r="AD603" s="592"/>
      <c r="AE603" s="590"/>
      <c r="AF603" s="570" t="s">
        <v>2899</v>
      </c>
      <c r="AG603" s="570" t="s">
        <v>25</v>
      </c>
      <c r="AH603" s="571" t="s">
        <v>25</v>
      </c>
      <c r="AI603" s="593"/>
      <c r="AJ603" s="593"/>
    </row>
    <row r="604" spans="1:36" s="376" customFormat="1" ht="81" outlineLevel="2" x14ac:dyDescent="0.3">
      <c r="A604" s="447">
        <v>50</v>
      </c>
      <c r="B604" s="635"/>
      <c r="C604" s="635"/>
      <c r="D604" s="587"/>
      <c r="E604" s="560"/>
      <c r="F604" s="558"/>
      <c r="G604" s="588"/>
      <c r="H604" s="546"/>
      <c r="I604" s="563" t="s">
        <v>25</v>
      </c>
      <c r="J604" s="563" t="s">
        <v>25</v>
      </c>
      <c r="K604" s="564" t="s">
        <v>25</v>
      </c>
      <c r="L604" s="564" t="s">
        <v>25</v>
      </c>
      <c r="M604" s="586"/>
      <c r="N604" s="586"/>
      <c r="O604" s="590"/>
      <c r="P604" s="564" t="s">
        <v>25</v>
      </c>
      <c r="Q604" s="564" t="s">
        <v>25</v>
      </c>
      <c r="R604" s="586" t="s">
        <v>2330</v>
      </c>
      <c r="S604" s="609" t="s">
        <v>78</v>
      </c>
      <c r="T604" s="591">
        <v>3.74</v>
      </c>
      <c r="U604" s="589"/>
      <c r="V604" s="564">
        <v>890132</v>
      </c>
      <c r="W604" s="564">
        <v>3329000</v>
      </c>
      <c r="X604" s="589"/>
      <c r="Y604" s="592"/>
      <c r="Z604" s="592"/>
      <c r="AA604" s="568"/>
      <c r="AB604" s="592"/>
      <c r="AC604" s="592"/>
      <c r="AD604" s="592"/>
      <c r="AE604" s="590"/>
      <c r="AF604" s="570" t="s">
        <v>2899</v>
      </c>
      <c r="AG604" s="570" t="s">
        <v>25</v>
      </c>
      <c r="AH604" s="571" t="s">
        <v>25</v>
      </c>
      <c r="AI604" s="593"/>
      <c r="AJ604" s="593"/>
    </row>
    <row r="605" spans="1:36" s="376" customFormat="1" ht="20.25" outlineLevel="2" x14ac:dyDescent="0.3">
      <c r="A605" s="447">
        <v>50</v>
      </c>
      <c r="B605" s="635"/>
      <c r="C605" s="635"/>
      <c r="D605" s="587"/>
      <c r="E605" s="560"/>
      <c r="F605" s="558"/>
      <c r="G605" s="588"/>
      <c r="H605" s="546"/>
      <c r="I605" s="563" t="s">
        <v>25</v>
      </c>
      <c r="J605" s="563" t="s">
        <v>25</v>
      </c>
      <c r="K605" s="564" t="s">
        <v>25</v>
      </c>
      <c r="L605" s="564" t="s">
        <v>25</v>
      </c>
      <c r="M605" s="586"/>
      <c r="N605" s="586"/>
      <c r="O605" s="590"/>
      <c r="P605" s="564" t="s">
        <v>25</v>
      </c>
      <c r="Q605" s="564" t="s">
        <v>25</v>
      </c>
      <c r="R605" s="593"/>
      <c r="S605" s="593"/>
      <c r="T605" s="617"/>
      <c r="U605" s="589"/>
      <c r="V605" s="564" t="s">
        <v>2899</v>
      </c>
      <c r="W605" s="564" t="s">
        <v>25</v>
      </c>
      <c r="X605" s="589"/>
      <c r="Y605" s="592"/>
      <c r="Z605" s="592"/>
      <c r="AA605" s="568"/>
      <c r="AB605" s="592"/>
      <c r="AC605" s="592"/>
      <c r="AD605" s="592"/>
      <c r="AE605" s="590"/>
      <c r="AF605" s="570" t="s">
        <v>2899</v>
      </c>
      <c r="AG605" s="570" t="s">
        <v>25</v>
      </c>
      <c r="AH605" s="571" t="s">
        <v>25</v>
      </c>
      <c r="AI605" s="593"/>
      <c r="AJ605" s="593"/>
    </row>
    <row r="606" spans="1:36" s="376" customFormat="1" ht="20.25" outlineLevel="2" x14ac:dyDescent="0.3">
      <c r="A606" s="447">
        <v>50</v>
      </c>
      <c r="B606" s="635"/>
      <c r="C606" s="635"/>
      <c r="D606" s="587"/>
      <c r="E606" s="560"/>
      <c r="F606" s="558"/>
      <c r="G606" s="588"/>
      <c r="H606" s="546"/>
      <c r="I606" s="563" t="s">
        <v>25</v>
      </c>
      <c r="J606" s="563" t="s">
        <v>25</v>
      </c>
      <c r="K606" s="564" t="s">
        <v>25</v>
      </c>
      <c r="L606" s="564" t="s">
        <v>25</v>
      </c>
      <c r="M606" s="593"/>
      <c r="N606" s="593"/>
      <c r="O606" s="616"/>
      <c r="P606" s="564" t="s">
        <v>25</v>
      </c>
      <c r="Q606" s="564" t="s">
        <v>25</v>
      </c>
      <c r="R606" s="593"/>
      <c r="S606" s="593"/>
      <c r="T606" s="617"/>
      <c r="U606" s="593"/>
      <c r="V606" s="564" t="s">
        <v>2899</v>
      </c>
      <c r="W606" s="564" t="s">
        <v>25</v>
      </c>
      <c r="X606" s="593"/>
      <c r="Y606" s="593"/>
      <c r="Z606" s="593"/>
      <c r="AA606" s="558"/>
      <c r="AB606" s="593"/>
      <c r="AC606" s="593"/>
      <c r="AD606" s="593"/>
      <c r="AE606" s="629"/>
      <c r="AF606" s="570" t="s">
        <v>2899</v>
      </c>
      <c r="AG606" s="570" t="s">
        <v>25</v>
      </c>
      <c r="AH606" s="571" t="s">
        <v>25</v>
      </c>
      <c r="AI606" s="593"/>
      <c r="AJ606" s="593"/>
    </row>
    <row r="607" spans="1:36" s="376" customFormat="1" ht="20.25" outlineLevel="2" x14ac:dyDescent="0.3">
      <c r="A607" s="447">
        <v>50</v>
      </c>
      <c r="B607" s="607"/>
      <c r="C607" s="607"/>
      <c r="D607" s="595"/>
      <c r="E607" s="577"/>
      <c r="F607" s="558"/>
      <c r="G607" s="588"/>
      <c r="H607" s="546"/>
      <c r="I607" s="563" t="s">
        <v>25</v>
      </c>
      <c r="J607" s="563" t="s">
        <v>25</v>
      </c>
      <c r="K607" s="564" t="s">
        <v>25</v>
      </c>
      <c r="L607" s="564" t="s">
        <v>25</v>
      </c>
      <c r="M607" s="586"/>
      <c r="N607" s="586"/>
      <c r="O607" s="590"/>
      <c r="P607" s="564" t="s">
        <v>25</v>
      </c>
      <c r="Q607" s="564" t="s">
        <v>25</v>
      </c>
      <c r="R607" s="593"/>
      <c r="S607" s="593"/>
      <c r="T607" s="617"/>
      <c r="U607" s="589"/>
      <c r="V607" s="564" t="s">
        <v>2899</v>
      </c>
      <c r="W607" s="564" t="s">
        <v>25</v>
      </c>
      <c r="X607" s="589"/>
      <c r="Y607" s="589"/>
      <c r="Z607" s="589"/>
      <c r="AA607" s="562"/>
      <c r="AB607" s="589"/>
      <c r="AC607" s="589"/>
      <c r="AD607" s="589"/>
      <c r="AE607" s="629"/>
      <c r="AF607" s="570" t="s">
        <v>2899</v>
      </c>
      <c r="AG607" s="570" t="s">
        <v>25</v>
      </c>
      <c r="AH607" s="571" t="s">
        <v>25</v>
      </c>
      <c r="AI607" s="593"/>
      <c r="AJ607" s="593"/>
    </row>
    <row r="608" spans="1:36" s="376" customFormat="1" ht="40.5" outlineLevel="1" x14ac:dyDescent="0.25">
      <c r="A608" s="467">
        <v>51</v>
      </c>
      <c r="B608" s="607" t="s">
        <v>212</v>
      </c>
      <c r="C608" s="773" t="s">
        <v>2902</v>
      </c>
      <c r="D608" s="587">
        <v>86</v>
      </c>
      <c r="E608" s="560">
        <v>632</v>
      </c>
      <c r="F608" s="574"/>
      <c r="G608" s="618">
        <v>745.9</v>
      </c>
      <c r="H608" s="579">
        <v>452.4</v>
      </c>
      <c r="I608" s="581"/>
      <c r="J608" s="581"/>
      <c r="K608" s="571">
        <v>1942075000</v>
      </c>
      <c r="L608" s="571">
        <v>752432000</v>
      </c>
      <c r="M608" s="578"/>
      <c r="N608" s="578"/>
      <c r="O608" s="599">
        <v>46</v>
      </c>
      <c r="P608" s="571"/>
      <c r="Q608" s="571">
        <v>4518000</v>
      </c>
      <c r="R608" s="578"/>
      <c r="S608" s="621"/>
      <c r="T608" s="600">
        <v>0</v>
      </c>
      <c r="U608" s="597"/>
      <c r="V608" s="571"/>
      <c r="W608" s="571">
        <v>0</v>
      </c>
      <c r="X608" s="589"/>
      <c r="Y608" s="592"/>
      <c r="Z608" s="592"/>
      <c r="AA608" s="568"/>
      <c r="AB608" s="592"/>
      <c r="AC608" s="592"/>
      <c r="AD608" s="602"/>
      <c r="AE608" s="581">
        <f>SUBTOTAL(9,AE609:AE618)</f>
        <v>0</v>
      </c>
      <c r="AF608" s="585"/>
      <c r="AG608" s="585">
        <v>0</v>
      </c>
      <c r="AH608" s="571">
        <v>2699025000</v>
      </c>
      <c r="AI608" s="574"/>
      <c r="AJ608" s="578"/>
    </row>
    <row r="609" spans="1:36" s="376" customFormat="1" ht="121.5" outlineLevel="2" x14ac:dyDescent="0.3">
      <c r="A609" s="447">
        <v>51</v>
      </c>
      <c r="B609" s="558" t="s">
        <v>213</v>
      </c>
      <c r="C609" s="558"/>
      <c r="D609" s="587">
        <v>86</v>
      </c>
      <c r="E609" s="560">
        <v>632</v>
      </c>
      <c r="F609" s="558" t="s">
        <v>2037</v>
      </c>
      <c r="G609" s="588">
        <v>293.5</v>
      </c>
      <c r="H609" s="546" t="s">
        <v>2899</v>
      </c>
      <c r="I609" s="563">
        <v>5762400</v>
      </c>
      <c r="J609" s="563">
        <v>0</v>
      </c>
      <c r="K609" s="564">
        <v>1691264000</v>
      </c>
      <c r="L609" s="564">
        <v>0</v>
      </c>
      <c r="M609" s="586" t="s">
        <v>72</v>
      </c>
      <c r="N609" s="586"/>
      <c r="O609" s="590">
        <v>25</v>
      </c>
      <c r="P609" s="564">
        <v>132000</v>
      </c>
      <c r="Q609" s="564">
        <v>3300000</v>
      </c>
      <c r="R609" s="586"/>
      <c r="S609" s="609"/>
      <c r="T609" s="591"/>
      <c r="U609" s="589"/>
      <c r="V609" s="564" t="s">
        <v>2899</v>
      </c>
      <c r="W609" s="564" t="s">
        <v>25</v>
      </c>
      <c r="X609" s="589"/>
      <c r="Y609" s="592"/>
      <c r="Z609" s="592"/>
      <c r="AA609" s="568"/>
      <c r="AB609" s="592"/>
      <c r="AC609" s="592"/>
      <c r="AD609" s="569"/>
      <c r="AE609" s="563"/>
      <c r="AF609" s="570"/>
      <c r="AG609" s="570"/>
      <c r="AH609" s="571" t="s">
        <v>25</v>
      </c>
      <c r="AI609" s="558" t="s">
        <v>1700</v>
      </c>
      <c r="AJ609" s="586" t="s">
        <v>2771</v>
      </c>
    </row>
    <row r="610" spans="1:36" s="376" customFormat="1" ht="81" outlineLevel="2" x14ac:dyDescent="0.3">
      <c r="A610" s="447">
        <v>51</v>
      </c>
      <c r="B610" s="558" t="s">
        <v>678</v>
      </c>
      <c r="C610" s="558"/>
      <c r="D610" s="587"/>
      <c r="E610" s="560"/>
      <c r="F610" s="558" t="s">
        <v>2469</v>
      </c>
      <c r="G610" s="588">
        <v>452.4</v>
      </c>
      <c r="H610" s="546">
        <v>452.4</v>
      </c>
      <c r="I610" s="563">
        <v>554400</v>
      </c>
      <c r="J610" s="563">
        <v>1663200</v>
      </c>
      <c r="K610" s="564">
        <v>250811000</v>
      </c>
      <c r="L610" s="564">
        <v>752432000</v>
      </c>
      <c r="M610" s="558" t="s">
        <v>73</v>
      </c>
      <c r="N610" s="558"/>
      <c r="O610" s="590">
        <v>12</v>
      </c>
      <c r="P610" s="564">
        <v>76000</v>
      </c>
      <c r="Q610" s="564">
        <v>912000</v>
      </c>
      <c r="R610" s="566"/>
      <c r="S610" s="589"/>
      <c r="T610" s="591"/>
      <c r="U610" s="589"/>
      <c r="V610" s="564" t="s">
        <v>2899</v>
      </c>
      <c r="W610" s="564" t="s">
        <v>25</v>
      </c>
      <c r="X610" s="589"/>
      <c r="Y610" s="592"/>
      <c r="Z610" s="592"/>
      <c r="AA610" s="568"/>
      <c r="AB610" s="592"/>
      <c r="AC610" s="592"/>
      <c r="AD610" s="569"/>
      <c r="AE610" s="563"/>
      <c r="AF610" s="570" t="s">
        <v>2899</v>
      </c>
      <c r="AG610" s="570" t="s">
        <v>25</v>
      </c>
      <c r="AH610" s="571" t="s">
        <v>25</v>
      </c>
      <c r="AI610" s="558" t="s">
        <v>528</v>
      </c>
      <c r="AJ610" s="605" t="s">
        <v>2448</v>
      </c>
    </row>
    <row r="611" spans="1:36" s="376" customFormat="1" ht="101.25" outlineLevel="2" x14ac:dyDescent="0.3">
      <c r="A611" s="447">
        <v>51</v>
      </c>
      <c r="B611" s="574" t="s">
        <v>214</v>
      </c>
      <c r="C611" s="574"/>
      <c r="D611" s="587"/>
      <c r="E611" s="560"/>
      <c r="F611" s="558"/>
      <c r="G611" s="588"/>
      <c r="H611" s="546"/>
      <c r="I611" s="563" t="s">
        <v>25</v>
      </c>
      <c r="J611" s="563" t="s">
        <v>25</v>
      </c>
      <c r="K611" s="564" t="s">
        <v>25</v>
      </c>
      <c r="L611" s="564" t="s">
        <v>25</v>
      </c>
      <c r="M611" s="558" t="s">
        <v>75</v>
      </c>
      <c r="N611" s="558"/>
      <c r="O611" s="590">
        <v>9</v>
      </c>
      <c r="P611" s="564">
        <v>34000</v>
      </c>
      <c r="Q611" s="564">
        <v>306000</v>
      </c>
      <c r="R611" s="566"/>
      <c r="S611" s="589"/>
      <c r="T611" s="591"/>
      <c r="U611" s="589"/>
      <c r="V611" s="564" t="s">
        <v>2899</v>
      </c>
      <c r="W611" s="564" t="s">
        <v>25</v>
      </c>
      <c r="X611" s="589"/>
      <c r="Y611" s="592"/>
      <c r="Z611" s="592"/>
      <c r="AA611" s="568"/>
      <c r="AB611" s="592"/>
      <c r="AC611" s="592"/>
      <c r="AD611" s="569"/>
      <c r="AE611" s="563"/>
      <c r="AF611" s="570" t="s">
        <v>2899</v>
      </c>
      <c r="AG611" s="570" t="s">
        <v>25</v>
      </c>
      <c r="AH611" s="571" t="s">
        <v>25</v>
      </c>
      <c r="AI611" s="608" t="s">
        <v>111</v>
      </c>
      <c r="AJ611" s="558" t="s">
        <v>2449</v>
      </c>
    </row>
    <row r="612" spans="1:36" s="376" customFormat="1" ht="60.75" outlineLevel="2" x14ac:dyDescent="0.3">
      <c r="A612" s="447">
        <v>51</v>
      </c>
      <c r="B612" s="558" t="s">
        <v>215</v>
      </c>
      <c r="C612" s="558"/>
      <c r="D612" s="595"/>
      <c r="E612" s="577"/>
      <c r="F612" s="558"/>
      <c r="G612" s="588"/>
      <c r="H612" s="546"/>
      <c r="I612" s="563" t="s">
        <v>25</v>
      </c>
      <c r="J612" s="563" t="s">
        <v>25</v>
      </c>
      <c r="K612" s="564" t="s">
        <v>25</v>
      </c>
      <c r="L612" s="564" t="s">
        <v>25</v>
      </c>
      <c r="M612" s="558"/>
      <c r="N612" s="558"/>
      <c r="O612" s="590"/>
      <c r="P612" s="564" t="s">
        <v>25</v>
      </c>
      <c r="Q612" s="564" t="s">
        <v>25</v>
      </c>
      <c r="R612" s="566"/>
      <c r="S612" s="589"/>
      <c r="T612" s="591"/>
      <c r="U612" s="589"/>
      <c r="V612" s="564" t="s">
        <v>2899</v>
      </c>
      <c r="W612" s="564" t="s">
        <v>25</v>
      </c>
      <c r="X612" s="589"/>
      <c r="Y612" s="592"/>
      <c r="Z612" s="592"/>
      <c r="AA612" s="568"/>
      <c r="AB612" s="592"/>
      <c r="AC612" s="592"/>
      <c r="AD612" s="592"/>
      <c r="AE612" s="590"/>
      <c r="AF612" s="570" t="s">
        <v>2899</v>
      </c>
      <c r="AG612" s="570" t="s">
        <v>25</v>
      </c>
      <c r="AH612" s="571" t="s">
        <v>25</v>
      </c>
      <c r="AI612" s="558" t="s">
        <v>2074</v>
      </c>
      <c r="AJ612" s="605"/>
    </row>
    <row r="613" spans="1:36" s="376" customFormat="1" ht="81" outlineLevel="2" x14ac:dyDescent="0.3">
      <c r="A613" s="447">
        <v>51</v>
      </c>
      <c r="B613" s="572" t="s">
        <v>683</v>
      </c>
      <c r="C613" s="572"/>
      <c r="D613" s="587"/>
      <c r="E613" s="615"/>
      <c r="F613" s="574"/>
      <c r="G613" s="588"/>
      <c r="H613" s="546"/>
      <c r="I613" s="563" t="s">
        <v>25</v>
      </c>
      <c r="J613" s="563" t="s">
        <v>25</v>
      </c>
      <c r="K613" s="564" t="s">
        <v>25</v>
      </c>
      <c r="L613" s="564" t="s">
        <v>25</v>
      </c>
      <c r="M613" s="598"/>
      <c r="N613" s="598"/>
      <c r="O613" s="590"/>
      <c r="P613" s="564" t="s">
        <v>25</v>
      </c>
      <c r="Q613" s="564" t="s">
        <v>25</v>
      </c>
      <c r="R613" s="582"/>
      <c r="S613" s="597"/>
      <c r="T613" s="591"/>
      <c r="U613" s="597"/>
      <c r="V613" s="564" t="s">
        <v>2899</v>
      </c>
      <c r="W613" s="564" t="s">
        <v>25</v>
      </c>
      <c r="X613" s="580"/>
      <c r="Y613" s="601"/>
      <c r="Z613" s="601"/>
      <c r="AA613" s="584"/>
      <c r="AB613" s="601"/>
      <c r="AC613" s="601"/>
      <c r="AD613" s="601"/>
      <c r="AE613" s="599"/>
      <c r="AF613" s="570" t="s">
        <v>2899</v>
      </c>
      <c r="AG613" s="570" t="s">
        <v>25</v>
      </c>
      <c r="AH613" s="571" t="s">
        <v>25</v>
      </c>
      <c r="AI613" s="575"/>
      <c r="AJ613" s="608"/>
    </row>
    <row r="614" spans="1:36" s="376" customFormat="1" ht="20.25" outlineLevel="2" x14ac:dyDescent="0.3">
      <c r="A614" s="447">
        <v>51</v>
      </c>
      <c r="B614" s="572"/>
      <c r="C614" s="572"/>
      <c r="D614" s="587"/>
      <c r="E614" s="615"/>
      <c r="F614" s="558"/>
      <c r="G614" s="604"/>
      <c r="H614" s="546"/>
      <c r="I614" s="563" t="s">
        <v>25</v>
      </c>
      <c r="J614" s="563" t="s">
        <v>25</v>
      </c>
      <c r="K614" s="564" t="s">
        <v>25</v>
      </c>
      <c r="L614" s="564" t="s">
        <v>25</v>
      </c>
      <c r="M614" s="593"/>
      <c r="N614" s="593"/>
      <c r="O614" s="616"/>
      <c r="P614" s="564" t="s">
        <v>25</v>
      </c>
      <c r="Q614" s="564" t="s">
        <v>25</v>
      </c>
      <c r="R614" s="593"/>
      <c r="S614" s="593"/>
      <c r="T614" s="617"/>
      <c r="U614" s="589"/>
      <c r="V614" s="564" t="s">
        <v>2899</v>
      </c>
      <c r="W614" s="564" t="s">
        <v>25</v>
      </c>
      <c r="X614" s="589"/>
      <c r="Y614" s="589"/>
      <c r="Z614" s="589"/>
      <c r="AA614" s="562"/>
      <c r="AB614" s="589"/>
      <c r="AC614" s="589"/>
      <c r="AD614" s="589"/>
      <c r="AE614" s="629"/>
      <c r="AF614" s="570" t="s">
        <v>2899</v>
      </c>
      <c r="AG614" s="570" t="s">
        <v>25</v>
      </c>
      <c r="AH614" s="571" t="s">
        <v>25</v>
      </c>
      <c r="AI614" s="593"/>
      <c r="AJ614" s="593"/>
    </row>
    <row r="615" spans="1:36" s="376" customFormat="1" ht="20.25" outlineLevel="2" x14ac:dyDescent="0.3">
      <c r="A615" s="447">
        <v>51</v>
      </c>
      <c r="B615" s="572"/>
      <c r="C615" s="572"/>
      <c r="D615" s="587"/>
      <c r="E615" s="615"/>
      <c r="F615" s="558"/>
      <c r="G615" s="604"/>
      <c r="H615" s="546"/>
      <c r="I615" s="563" t="s">
        <v>25</v>
      </c>
      <c r="J615" s="563" t="s">
        <v>25</v>
      </c>
      <c r="K615" s="564" t="s">
        <v>25</v>
      </c>
      <c r="L615" s="564" t="s">
        <v>25</v>
      </c>
      <c r="M615" s="593"/>
      <c r="N615" s="593"/>
      <c r="O615" s="616"/>
      <c r="P615" s="564" t="s">
        <v>25</v>
      </c>
      <c r="Q615" s="564" t="s">
        <v>25</v>
      </c>
      <c r="R615" s="593"/>
      <c r="S615" s="593"/>
      <c r="T615" s="617"/>
      <c r="U615" s="589"/>
      <c r="V615" s="564" t="s">
        <v>2899</v>
      </c>
      <c r="W615" s="564" t="s">
        <v>25</v>
      </c>
      <c r="X615" s="589"/>
      <c r="Y615" s="589"/>
      <c r="Z615" s="589"/>
      <c r="AA615" s="562"/>
      <c r="AB615" s="589"/>
      <c r="AC615" s="589"/>
      <c r="AD615" s="589"/>
      <c r="AE615" s="629"/>
      <c r="AF615" s="570" t="s">
        <v>2899</v>
      </c>
      <c r="AG615" s="570" t="s">
        <v>25</v>
      </c>
      <c r="AH615" s="571" t="s">
        <v>25</v>
      </c>
      <c r="AI615" s="593"/>
      <c r="AJ615" s="593"/>
    </row>
    <row r="616" spans="1:36" s="376" customFormat="1" ht="20.25" outlineLevel="2" x14ac:dyDescent="0.3">
      <c r="A616" s="447">
        <v>51</v>
      </c>
      <c r="B616" s="572"/>
      <c r="C616" s="572"/>
      <c r="D616" s="587"/>
      <c r="E616" s="615"/>
      <c r="F616" s="558"/>
      <c r="G616" s="604"/>
      <c r="H616" s="546"/>
      <c r="I616" s="563" t="s">
        <v>25</v>
      </c>
      <c r="J616" s="563" t="s">
        <v>25</v>
      </c>
      <c r="K616" s="564" t="s">
        <v>25</v>
      </c>
      <c r="L616" s="564" t="s">
        <v>25</v>
      </c>
      <c r="M616" s="593"/>
      <c r="N616" s="593"/>
      <c r="O616" s="616"/>
      <c r="P616" s="564" t="s">
        <v>25</v>
      </c>
      <c r="Q616" s="564" t="s">
        <v>25</v>
      </c>
      <c r="R616" s="593"/>
      <c r="S616" s="593"/>
      <c r="T616" s="617"/>
      <c r="U616" s="589"/>
      <c r="V616" s="564" t="s">
        <v>2899</v>
      </c>
      <c r="W616" s="564" t="s">
        <v>25</v>
      </c>
      <c r="X616" s="589"/>
      <c r="Y616" s="589"/>
      <c r="Z616" s="589"/>
      <c r="AA616" s="562"/>
      <c r="AB616" s="589"/>
      <c r="AC616" s="589"/>
      <c r="AD616" s="589"/>
      <c r="AE616" s="629"/>
      <c r="AF616" s="570" t="s">
        <v>2899</v>
      </c>
      <c r="AG616" s="570" t="s">
        <v>25</v>
      </c>
      <c r="AH616" s="571" t="s">
        <v>25</v>
      </c>
      <c r="AI616" s="593"/>
      <c r="AJ616" s="593"/>
    </row>
    <row r="617" spans="1:36" s="376" customFormat="1" ht="20.25" outlineLevel="2" x14ac:dyDescent="0.3">
      <c r="A617" s="447">
        <v>51</v>
      </c>
      <c r="B617" s="572"/>
      <c r="C617" s="572"/>
      <c r="D617" s="587"/>
      <c r="E617" s="560"/>
      <c r="F617" s="558"/>
      <c r="G617" s="604"/>
      <c r="H617" s="546"/>
      <c r="I617" s="563" t="s">
        <v>25</v>
      </c>
      <c r="J617" s="563" t="s">
        <v>25</v>
      </c>
      <c r="K617" s="564" t="s">
        <v>25</v>
      </c>
      <c r="L617" s="564" t="s">
        <v>25</v>
      </c>
      <c r="M617" s="593"/>
      <c r="N617" s="593"/>
      <c r="O617" s="616"/>
      <c r="P617" s="564" t="s">
        <v>25</v>
      </c>
      <c r="Q617" s="564" t="s">
        <v>25</v>
      </c>
      <c r="R617" s="593"/>
      <c r="S617" s="593"/>
      <c r="T617" s="617"/>
      <c r="U617" s="589"/>
      <c r="V617" s="564" t="s">
        <v>2899</v>
      </c>
      <c r="W617" s="564" t="s">
        <v>25</v>
      </c>
      <c r="X617" s="589"/>
      <c r="Y617" s="589"/>
      <c r="Z617" s="589"/>
      <c r="AA617" s="562"/>
      <c r="AB617" s="589"/>
      <c r="AC617" s="589"/>
      <c r="AD617" s="589"/>
      <c r="AE617" s="629"/>
      <c r="AF617" s="570" t="s">
        <v>2899</v>
      </c>
      <c r="AG617" s="570" t="s">
        <v>25</v>
      </c>
      <c r="AH617" s="571" t="s">
        <v>25</v>
      </c>
      <c r="AI617" s="593"/>
      <c r="AJ617" s="593"/>
    </row>
    <row r="618" spans="1:36" s="376" customFormat="1" ht="20.25" outlineLevel="2" x14ac:dyDescent="0.3">
      <c r="A618" s="447">
        <v>51</v>
      </c>
      <c r="B618" s="574"/>
      <c r="C618" s="574"/>
      <c r="D618" s="595"/>
      <c r="E618" s="577"/>
      <c r="F618" s="558"/>
      <c r="G618" s="588"/>
      <c r="H618" s="546"/>
      <c r="I618" s="563" t="s">
        <v>25</v>
      </c>
      <c r="J618" s="563" t="s">
        <v>25</v>
      </c>
      <c r="K618" s="564" t="s">
        <v>25</v>
      </c>
      <c r="L618" s="564" t="s">
        <v>25</v>
      </c>
      <c r="M618" s="558"/>
      <c r="N618" s="558"/>
      <c r="O618" s="590"/>
      <c r="P618" s="564" t="s">
        <v>25</v>
      </c>
      <c r="Q618" s="564" t="s">
        <v>25</v>
      </c>
      <c r="R618" s="566"/>
      <c r="S618" s="589"/>
      <c r="T618" s="591"/>
      <c r="U618" s="589"/>
      <c r="V618" s="564" t="s">
        <v>2899</v>
      </c>
      <c r="W618" s="564" t="s">
        <v>25</v>
      </c>
      <c r="X618" s="589"/>
      <c r="Y618" s="592"/>
      <c r="Z618" s="592"/>
      <c r="AA618" s="568"/>
      <c r="AB618" s="592"/>
      <c r="AC618" s="592"/>
      <c r="AD618" s="592"/>
      <c r="AE618" s="590"/>
      <c r="AF618" s="570" t="s">
        <v>2899</v>
      </c>
      <c r="AG618" s="570" t="s">
        <v>25</v>
      </c>
      <c r="AH618" s="571" t="s">
        <v>25</v>
      </c>
      <c r="AI618" s="558"/>
      <c r="AJ618" s="558"/>
    </row>
    <row r="619" spans="1:36" s="376" customFormat="1" ht="40.5" outlineLevel="1" x14ac:dyDescent="0.25">
      <c r="A619" s="467">
        <v>52</v>
      </c>
      <c r="B619" s="574" t="s">
        <v>216</v>
      </c>
      <c r="C619" s="773" t="s">
        <v>2902</v>
      </c>
      <c r="D619" s="587">
        <v>86</v>
      </c>
      <c r="E619" s="560">
        <v>342</v>
      </c>
      <c r="F619" s="574"/>
      <c r="G619" s="618">
        <v>35.900000000000006</v>
      </c>
      <c r="H619" s="579">
        <v>35.1</v>
      </c>
      <c r="I619" s="581"/>
      <c r="J619" s="581"/>
      <c r="K619" s="571">
        <v>24070000</v>
      </c>
      <c r="L619" s="571">
        <v>58378000</v>
      </c>
      <c r="M619" s="578"/>
      <c r="N619" s="578"/>
      <c r="O619" s="599">
        <v>0</v>
      </c>
      <c r="P619" s="571"/>
      <c r="Q619" s="571">
        <v>0</v>
      </c>
      <c r="R619" s="663"/>
      <c r="S619" s="621"/>
      <c r="T619" s="600">
        <v>62</v>
      </c>
      <c r="U619" s="597"/>
      <c r="V619" s="571"/>
      <c r="W619" s="571">
        <v>67617000</v>
      </c>
      <c r="X619" s="589"/>
      <c r="Y619" s="592"/>
      <c r="Z619" s="592"/>
      <c r="AA619" s="568"/>
      <c r="AB619" s="592"/>
      <c r="AC619" s="592"/>
      <c r="AD619" s="601"/>
      <c r="AE619" s="599">
        <f>SUBTOTAL(9,AE620:AE628)</f>
        <v>0</v>
      </c>
      <c r="AF619" s="585"/>
      <c r="AG619" s="585">
        <v>0</v>
      </c>
      <c r="AH619" s="571">
        <v>150065000</v>
      </c>
      <c r="AI619" s="574"/>
      <c r="AJ619" s="578"/>
    </row>
    <row r="620" spans="1:36" s="376" customFormat="1" ht="121.5" outlineLevel="2" x14ac:dyDescent="0.3">
      <c r="A620" s="447">
        <v>52</v>
      </c>
      <c r="B620" s="558" t="s">
        <v>217</v>
      </c>
      <c r="C620" s="558"/>
      <c r="D620" s="587">
        <v>86</v>
      </c>
      <c r="E620" s="560">
        <v>342</v>
      </c>
      <c r="F620" s="558" t="s">
        <v>2037</v>
      </c>
      <c r="G620" s="588">
        <v>0.8</v>
      </c>
      <c r="H620" s="546" t="s">
        <v>2899</v>
      </c>
      <c r="I620" s="563">
        <v>5762400</v>
      </c>
      <c r="J620" s="563">
        <v>0</v>
      </c>
      <c r="K620" s="564">
        <v>4610000</v>
      </c>
      <c r="L620" s="564">
        <v>0</v>
      </c>
      <c r="M620" s="586"/>
      <c r="N620" s="586"/>
      <c r="O620" s="590"/>
      <c r="P620" s="564" t="s">
        <v>25</v>
      </c>
      <c r="Q620" s="564" t="s">
        <v>25</v>
      </c>
      <c r="R620" s="661" t="s">
        <v>1754</v>
      </c>
      <c r="S620" s="609" t="s">
        <v>53</v>
      </c>
      <c r="T620" s="591">
        <v>4.9000000000000004</v>
      </c>
      <c r="U620" s="589">
        <v>16.100000000000001</v>
      </c>
      <c r="V620" s="564">
        <v>4717925</v>
      </c>
      <c r="W620" s="564">
        <v>23118000</v>
      </c>
      <c r="X620" s="589" t="s">
        <v>63</v>
      </c>
      <c r="Y620" s="592" t="s">
        <v>55</v>
      </c>
      <c r="Z620" s="592" t="s">
        <v>56</v>
      </c>
      <c r="AA620" s="568" t="s">
        <v>57</v>
      </c>
      <c r="AB620" s="592" t="s">
        <v>63</v>
      </c>
      <c r="AC620" s="592" t="s">
        <v>206</v>
      </c>
      <c r="AD620" s="592"/>
      <c r="AE620" s="590"/>
      <c r="AF620" s="570" t="s">
        <v>2899</v>
      </c>
      <c r="AG620" s="570"/>
      <c r="AH620" s="571" t="s">
        <v>25</v>
      </c>
      <c r="AI620" s="558" t="s">
        <v>684</v>
      </c>
      <c r="AJ620" s="586" t="s">
        <v>2771</v>
      </c>
    </row>
    <row r="621" spans="1:36" s="376" customFormat="1" ht="81" outlineLevel="2" x14ac:dyDescent="0.3">
      <c r="A621" s="447">
        <v>52</v>
      </c>
      <c r="B621" s="574" t="s">
        <v>218</v>
      </c>
      <c r="C621" s="574"/>
      <c r="D621" s="587"/>
      <c r="E621" s="560"/>
      <c r="F621" s="558" t="s">
        <v>2469</v>
      </c>
      <c r="G621" s="588">
        <v>30.6</v>
      </c>
      <c r="H621" s="546">
        <v>30.6</v>
      </c>
      <c r="I621" s="563">
        <v>554400</v>
      </c>
      <c r="J621" s="563">
        <v>1663200</v>
      </c>
      <c r="K621" s="564">
        <v>16965000</v>
      </c>
      <c r="L621" s="564">
        <v>50894000</v>
      </c>
      <c r="M621" s="586"/>
      <c r="N621" s="586"/>
      <c r="O621" s="590"/>
      <c r="P621" s="564" t="s">
        <v>25</v>
      </c>
      <c r="Q621" s="564" t="s">
        <v>25</v>
      </c>
      <c r="R621" s="661" t="s">
        <v>1852</v>
      </c>
      <c r="S621" s="609" t="s">
        <v>53</v>
      </c>
      <c r="T621" s="591">
        <v>26.5</v>
      </c>
      <c r="U621" s="589"/>
      <c r="V621" s="564">
        <v>1490563</v>
      </c>
      <c r="W621" s="564">
        <v>39500000</v>
      </c>
      <c r="X621" s="589"/>
      <c r="Y621" s="592" t="s">
        <v>55</v>
      </c>
      <c r="Z621" s="592" t="s">
        <v>56</v>
      </c>
      <c r="AA621" s="568" t="s">
        <v>137</v>
      </c>
      <c r="AB621" s="592" t="s">
        <v>66</v>
      </c>
      <c r="AC621" s="592" t="s">
        <v>206</v>
      </c>
      <c r="AD621" s="592"/>
      <c r="AE621" s="590"/>
      <c r="AF621" s="570" t="s">
        <v>2899</v>
      </c>
      <c r="AG621" s="570" t="s">
        <v>25</v>
      </c>
      <c r="AH621" s="571" t="s">
        <v>25</v>
      </c>
      <c r="AI621" s="558" t="s">
        <v>530</v>
      </c>
      <c r="AJ621" s="605" t="s">
        <v>2448</v>
      </c>
    </row>
    <row r="622" spans="1:36" s="376" customFormat="1" ht="121.5" outlineLevel="2" x14ac:dyDescent="0.3">
      <c r="A622" s="447">
        <v>52</v>
      </c>
      <c r="B622" s="558" t="s">
        <v>219</v>
      </c>
      <c r="C622" s="558"/>
      <c r="D622" s="587"/>
      <c r="E622" s="560"/>
      <c r="F622" s="558" t="s">
        <v>2470</v>
      </c>
      <c r="G622" s="588">
        <v>4.5</v>
      </c>
      <c r="H622" s="546">
        <v>4.5</v>
      </c>
      <c r="I622" s="563">
        <v>554400</v>
      </c>
      <c r="J622" s="563">
        <v>1663200</v>
      </c>
      <c r="K622" s="564">
        <v>2495000</v>
      </c>
      <c r="L622" s="564">
        <v>7484000</v>
      </c>
      <c r="M622" s="586"/>
      <c r="N622" s="586"/>
      <c r="O622" s="590"/>
      <c r="P622" s="564" t="s">
        <v>25</v>
      </c>
      <c r="Q622" s="564" t="s">
        <v>25</v>
      </c>
      <c r="R622" s="586" t="s">
        <v>1749</v>
      </c>
      <c r="S622" s="609" t="s">
        <v>53</v>
      </c>
      <c r="T622" s="591">
        <v>3.9</v>
      </c>
      <c r="U622" s="589"/>
      <c r="V622" s="564">
        <v>211811</v>
      </c>
      <c r="W622" s="564">
        <v>826000</v>
      </c>
      <c r="X622" s="589"/>
      <c r="Y622" s="592"/>
      <c r="Z622" s="592"/>
      <c r="AA622" s="568"/>
      <c r="AB622" s="592"/>
      <c r="AC622" s="592"/>
      <c r="AD622" s="592"/>
      <c r="AE622" s="590"/>
      <c r="AF622" s="570" t="s">
        <v>2899</v>
      </c>
      <c r="AG622" s="570" t="s">
        <v>25</v>
      </c>
      <c r="AH622" s="571" t="s">
        <v>25</v>
      </c>
      <c r="AI622" s="593" t="s">
        <v>169</v>
      </c>
      <c r="AJ622" s="558" t="s">
        <v>2450</v>
      </c>
    </row>
    <row r="623" spans="1:36" s="376" customFormat="1" ht="101.25" outlineLevel="2" x14ac:dyDescent="0.3">
      <c r="A623" s="447">
        <v>52</v>
      </c>
      <c r="B623" s="628" t="s">
        <v>685</v>
      </c>
      <c r="C623" s="628"/>
      <c r="D623" s="587"/>
      <c r="E623" s="560"/>
      <c r="F623" s="558"/>
      <c r="G623" s="588"/>
      <c r="H623" s="546"/>
      <c r="I623" s="563" t="s">
        <v>25</v>
      </c>
      <c r="J623" s="563" t="s">
        <v>25</v>
      </c>
      <c r="K623" s="564" t="s">
        <v>25</v>
      </c>
      <c r="L623" s="564" t="s">
        <v>25</v>
      </c>
      <c r="M623" s="586"/>
      <c r="N623" s="586"/>
      <c r="O623" s="590"/>
      <c r="P623" s="564" t="s">
        <v>25</v>
      </c>
      <c r="Q623" s="564" t="s">
        <v>25</v>
      </c>
      <c r="R623" s="586" t="s">
        <v>2331</v>
      </c>
      <c r="S623" s="609" t="s">
        <v>78</v>
      </c>
      <c r="T623" s="591">
        <v>0.2</v>
      </c>
      <c r="U623" s="589"/>
      <c r="V623" s="564">
        <v>0</v>
      </c>
      <c r="W623" s="564">
        <v>0</v>
      </c>
      <c r="X623" s="589"/>
      <c r="Y623" s="592"/>
      <c r="Z623" s="592"/>
      <c r="AA623" s="568"/>
      <c r="AB623" s="592"/>
      <c r="AC623" s="592"/>
      <c r="AD623" s="592"/>
      <c r="AE623" s="590"/>
      <c r="AF623" s="570" t="s">
        <v>2899</v>
      </c>
      <c r="AG623" s="570" t="s">
        <v>25</v>
      </c>
      <c r="AH623" s="571" t="s">
        <v>25</v>
      </c>
      <c r="AI623" s="608" t="s">
        <v>111</v>
      </c>
      <c r="AJ623" s="558" t="s">
        <v>2800</v>
      </c>
    </row>
    <row r="624" spans="1:36" s="376" customFormat="1" ht="101.25" outlineLevel="2" x14ac:dyDescent="0.3">
      <c r="A624" s="447">
        <v>52</v>
      </c>
      <c r="B624" s="558"/>
      <c r="C624" s="558"/>
      <c r="D624" s="587"/>
      <c r="E624" s="560"/>
      <c r="F624" s="558"/>
      <c r="G624" s="588"/>
      <c r="H624" s="546"/>
      <c r="I624" s="563" t="s">
        <v>25</v>
      </c>
      <c r="J624" s="563" t="s">
        <v>25</v>
      </c>
      <c r="K624" s="564" t="s">
        <v>25</v>
      </c>
      <c r="L624" s="564" t="s">
        <v>25</v>
      </c>
      <c r="M624" s="586"/>
      <c r="N624" s="586"/>
      <c r="O624" s="590"/>
      <c r="P624" s="564" t="s">
        <v>25</v>
      </c>
      <c r="Q624" s="564" t="s">
        <v>25</v>
      </c>
      <c r="R624" s="566" t="s">
        <v>1757</v>
      </c>
      <c r="S624" s="589" t="s">
        <v>53</v>
      </c>
      <c r="T624" s="591">
        <v>26.5</v>
      </c>
      <c r="U624" s="589"/>
      <c r="V624" s="564">
        <v>157477</v>
      </c>
      <c r="W624" s="564">
        <v>4173000</v>
      </c>
      <c r="X624" s="589"/>
      <c r="Y624" s="592"/>
      <c r="Z624" s="592"/>
      <c r="AA624" s="568"/>
      <c r="AB624" s="592"/>
      <c r="AC624" s="592"/>
      <c r="AD624" s="592"/>
      <c r="AE624" s="590"/>
      <c r="AF624" s="570" t="s">
        <v>2899</v>
      </c>
      <c r="AG624" s="570" t="s">
        <v>25</v>
      </c>
      <c r="AH624" s="571" t="s">
        <v>25</v>
      </c>
      <c r="AI624" s="558" t="s">
        <v>532</v>
      </c>
      <c r="AJ624" s="593"/>
    </row>
    <row r="625" spans="1:36" s="376" customFormat="1" ht="60.75" outlineLevel="2" x14ac:dyDescent="0.3">
      <c r="A625" s="447">
        <v>52</v>
      </c>
      <c r="B625" s="558"/>
      <c r="C625" s="558"/>
      <c r="D625" s="587"/>
      <c r="E625" s="560"/>
      <c r="F625" s="558"/>
      <c r="G625" s="588"/>
      <c r="H625" s="546"/>
      <c r="I625" s="563" t="s">
        <v>25</v>
      </c>
      <c r="J625" s="563" t="s">
        <v>25</v>
      </c>
      <c r="K625" s="564" t="s">
        <v>25</v>
      </c>
      <c r="L625" s="564" t="s">
        <v>25</v>
      </c>
      <c r="M625" s="586"/>
      <c r="N625" s="586"/>
      <c r="O625" s="630"/>
      <c r="P625" s="564" t="s">
        <v>25</v>
      </c>
      <c r="Q625" s="564" t="s">
        <v>25</v>
      </c>
      <c r="R625" s="661"/>
      <c r="S625" s="609"/>
      <c r="T625" s="591"/>
      <c r="U625" s="589"/>
      <c r="V625" s="564" t="s">
        <v>2899</v>
      </c>
      <c r="W625" s="564" t="s">
        <v>25</v>
      </c>
      <c r="X625" s="589"/>
      <c r="Y625" s="592"/>
      <c r="Z625" s="592"/>
      <c r="AA625" s="568"/>
      <c r="AB625" s="592"/>
      <c r="AC625" s="592"/>
      <c r="AD625" s="592"/>
      <c r="AE625" s="590"/>
      <c r="AF625" s="570" t="s">
        <v>2899</v>
      </c>
      <c r="AG625" s="570" t="s">
        <v>25</v>
      </c>
      <c r="AH625" s="571" t="s">
        <v>25</v>
      </c>
      <c r="AI625" s="558" t="s">
        <v>2074</v>
      </c>
      <c r="AJ625" s="558"/>
    </row>
    <row r="626" spans="1:36" s="376" customFormat="1" ht="20.25" outlineLevel="2" x14ac:dyDescent="0.3">
      <c r="A626" s="447">
        <v>52</v>
      </c>
      <c r="B626" s="607"/>
      <c r="C626" s="607"/>
      <c r="D626" s="587"/>
      <c r="E626" s="560"/>
      <c r="F626" s="558"/>
      <c r="G626" s="588"/>
      <c r="H626" s="546"/>
      <c r="I626" s="563" t="s">
        <v>25</v>
      </c>
      <c r="J626" s="563" t="s">
        <v>25</v>
      </c>
      <c r="K626" s="564" t="s">
        <v>25</v>
      </c>
      <c r="L626" s="564" t="s">
        <v>25</v>
      </c>
      <c r="M626" s="586"/>
      <c r="N626" s="586"/>
      <c r="O626" s="630"/>
      <c r="P626" s="564" t="s">
        <v>25</v>
      </c>
      <c r="Q626" s="564" t="s">
        <v>25</v>
      </c>
      <c r="R626" s="566"/>
      <c r="S626" s="589"/>
      <c r="T626" s="591"/>
      <c r="U626" s="589"/>
      <c r="V626" s="564" t="s">
        <v>2899</v>
      </c>
      <c r="W626" s="564" t="s">
        <v>25</v>
      </c>
      <c r="X626" s="589"/>
      <c r="Y626" s="592"/>
      <c r="Z626" s="592"/>
      <c r="AA626" s="568"/>
      <c r="AB626" s="592"/>
      <c r="AC626" s="592"/>
      <c r="AD626" s="592"/>
      <c r="AE626" s="590"/>
      <c r="AF626" s="570" t="s">
        <v>2899</v>
      </c>
      <c r="AG626" s="570" t="s">
        <v>25</v>
      </c>
      <c r="AH626" s="571" t="s">
        <v>25</v>
      </c>
      <c r="AI626" s="575"/>
      <c r="AJ626" s="558"/>
    </row>
    <row r="627" spans="1:36" s="376" customFormat="1" ht="20.25" outlineLevel="2" x14ac:dyDescent="0.3">
      <c r="A627" s="447">
        <v>52</v>
      </c>
      <c r="B627" s="558"/>
      <c r="C627" s="558"/>
      <c r="D627" s="587"/>
      <c r="E627" s="560"/>
      <c r="F627" s="558"/>
      <c r="G627" s="588"/>
      <c r="H627" s="546"/>
      <c r="I627" s="563" t="s">
        <v>25</v>
      </c>
      <c r="J627" s="563" t="s">
        <v>25</v>
      </c>
      <c r="K627" s="564" t="s">
        <v>25</v>
      </c>
      <c r="L627" s="564" t="s">
        <v>25</v>
      </c>
      <c r="M627" s="558"/>
      <c r="N627" s="558"/>
      <c r="O627" s="590"/>
      <c r="P627" s="564" t="s">
        <v>25</v>
      </c>
      <c r="Q627" s="564" t="s">
        <v>25</v>
      </c>
      <c r="R627" s="566"/>
      <c r="S627" s="589"/>
      <c r="T627" s="591"/>
      <c r="U627" s="589"/>
      <c r="V627" s="564" t="s">
        <v>2899</v>
      </c>
      <c r="W627" s="564" t="s">
        <v>25</v>
      </c>
      <c r="X627" s="589"/>
      <c r="Y627" s="592"/>
      <c r="Z627" s="592"/>
      <c r="AA627" s="568"/>
      <c r="AB627" s="592"/>
      <c r="AC627" s="592"/>
      <c r="AD627" s="592"/>
      <c r="AE627" s="590"/>
      <c r="AF627" s="570" t="s">
        <v>2899</v>
      </c>
      <c r="AG627" s="570" t="s">
        <v>25</v>
      </c>
      <c r="AH627" s="571" t="s">
        <v>25</v>
      </c>
      <c r="AI627" s="593"/>
      <c r="AJ627" s="593"/>
    </row>
    <row r="628" spans="1:36" s="376" customFormat="1" ht="20.25" outlineLevel="2" x14ac:dyDescent="0.3">
      <c r="A628" s="447">
        <v>52</v>
      </c>
      <c r="B628" s="607"/>
      <c r="C628" s="607"/>
      <c r="D628" s="595"/>
      <c r="E628" s="577"/>
      <c r="F628" s="558"/>
      <c r="G628" s="588"/>
      <c r="H628" s="546"/>
      <c r="I628" s="563" t="s">
        <v>25</v>
      </c>
      <c r="J628" s="563" t="s">
        <v>25</v>
      </c>
      <c r="K628" s="564" t="s">
        <v>25</v>
      </c>
      <c r="L628" s="564" t="s">
        <v>25</v>
      </c>
      <c r="M628" s="586"/>
      <c r="N628" s="586"/>
      <c r="O628" s="630"/>
      <c r="P628" s="564" t="s">
        <v>25</v>
      </c>
      <c r="Q628" s="564" t="s">
        <v>25</v>
      </c>
      <c r="R628" s="586"/>
      <c r="S628" s="609"/>
      <c r="T628" s="591"/>
      <c r="U628" s="589"/>
      <c r="V628" s="564" t="s">
        <v>2899</v>
      </c>
      <c r="W628" s="564" t="s">
        <v>25</v>
      </c>
      <c r="X628" s="589"/>
      <c r="Y628" s="592"/>
      <c r="Z628" s="592"/>
      <c r="AA628" s="568"/>
      <c r="AB628" s="592"/>
      <c r="AC628" s="592"/>
      <c r="AD628" s="592"/>
      <c r="AE628" s="590"/>
      <c r="AF628" s="570" t="s">
        <v>2899</v>
      </c>
      <c r="AG628" s="570" t="s">
        <v>25</v>
      </c>
      <c r="AH628" s="571" t="s">
        <v>25</v>
      </c>
      <c r="AI628" s="558"/>
      <c r="AJ628" s="558"/>
    </row>
    <row r="629" spans="1:36" s="376" customFormat="1" ht="40.5" outlineLevel="1" x14ac:dyDescent="0.25">
      <c r="A629" s="467">
        <v>53</v>
      </c>
      <c r="B629" s="607" t="s">
        <v>38</v>
      </c>
      <c r="C629" s="773" t="s">
        <v>2902</v>
      </c>
      <c r="D629" s="587">
        <v>86</v>
      </c>
      <c r="E629" s="560">
        <v>327</v>
      </c>
      <c r="F629" s="574"/>
      <c r="G629" s="618">
        <v>48.9</v>
      </c>
      <c r="H629" s="579">
        <v>48.5</v>
      </c>
      <c r="I629" s="581"/>
      <c r="J629" s="581"/>
      <c r="K629" s="571">
        <v>29193000</v>
      </c>
      <c r="L629" s="571">
        <v>80665000</v>
      </c>
      <c r="M629" s="578"/>
      <c r="N629" s="578"/>
      <c r="O629" s="599">
        <v>0</v>
      </c>
      <c r="P629" s="571"/>
      <c r="Q629" s="571">
        <v>0</v>
      </c>
      <c r="R629" s="578"/>
      <c r="S629" s="621"/>
      <c r="T629" s="600">
        <v>78.800000000000011</v>
      </c>
      <c r="U629" s="597"/>
      <c r="V629" s="571"/>
      <c r="W629" s="571">
        <v>63492000</v>
      </c>
      <c r="X629" s="589"/>
      <c r="Y629" s="592"/>
      <c r="Z629" s="592"/>
      <c r="AA629" s="568"/>
      <c r="AB629" s="592"/>
      <c r="AC629" s="592"/>
      <c r="AD629" s="601"/>
      <c r="AE629" s="599">
        <f>SUBTOTAL(9,AE630:AE639)</f>
        <v>0</v>
      </c>
      <c r="AF629" s="585"/>
      <c r="AG629" s="585">
        <v>0</v>
      </c>
      <c r="AH629" s="571">
        <v>173350000</v>
      </c>
      <c r="AI629" s="574"/>
      <c r="AJ629" s="578"/>
    </row>
    <row r="630" spans="1:36" s="376" customFormat="1" ht="121.5" outlineLevel="2" x14ac:dyDescent="0.3">
      <c r="A630" s="447">
        <v>53</v>
      </c>
      <c r="B630" s="572" t="s">
        <v>220</v>
      </c>
      <c r="C630" s="572"/>
      <c r="D630" s="587">
        <v>86</v>
      </c>
      <c r="E630" s="560">
        <v>327</v>
      </c>
      <c r="F630" s="558" t="s">
        <v>2037</v>
      </c>
      <c r="G630" s="588">
        <v>0.4</v>
      </c>
      <c r="H630" s="546" t="s">
        <v>2899</v>
      </c>
      <c r="I630" s="563">
        <v>5762400</v>
      </c>
      <c r="J630" s="563">
        <v>0</v>
      </c>
      <c r="K630" s="564">
        <v>2305000</v>
      </c>
      <c r="L630" s="564">
        <v>0</v>
      </c>
      <c r="M630" s="586"/>
      <c r="N630" s="586"/>
      <c r="O630" s="590"/>
      <c r="P630" s="564" t="s">
        <v>25</v>
      </c>
      <c r="Q630" s="564" t="s">
        <v>25</v>
      </c>
      <c r="R630" s="586" t="s">
        <v>1820</v>
      </c>
      <c r="S630" s="609" t="s">
        <v>53</v>
      </c>
      <c r="T630" s="591">
        <v>3.6</v>
      </c>
      <c r="U630" s="589">
        <v>14.4</v>
      </c>
      <c r="V630" s="564">
        <v>5307665</v>
      </c>
      <c r="W630" s="564">
        <v>19108000</v>
      </c>
      <c r="X630" s="589" t="s">
        <v>63</v>
      </c>
      <c r="Y630" s="592" t="s">
        <v>55</v>
      </c>
      <c r="Z630" s="592" t="s">
        <v>56</v>
      </c>
      <c r="AA630" s="568" t="s">
        <v>57</v>
      </c>
      <c r="AB630" s="592" t="s">
        <v>63</v>
      </c>
      <c r="AC630" s="592" t="s">
        <v>206</v>
      </c>
      <c r="AD630" s="592"/>
      <c r="AE630" s="590"/>
      <c r="AF630" s="570" t="s">
        <v>2899</v>
      </c>
      <c r="AG630" s="570"/>
      <c r="AH630" s="571" t="s">
        <v>25</v>
      </c>
      <c r="AI630" s="558" t="s">
        <v>686</v>
      </c>
      <c r="AJ630" s="586" t="s">
        <v>2771</v>
      </c>
    </row>
    <row r="631" spans="1:36" s="376" customFormat="1" ht="81" outlineLevel="2" x14ac:dyDescent="0.3">
      <c r="A631" s="447">
        <v>53</v>
      </c>
      <c r="B631" s="574" t="s">
        <v>393</v>
      </c>
      <c r="C631" s="574"/>
      <c r="D631" s="587"/>
      <c r="E631" s="560"/>
      <c r="F631" s="558" t="s">
        <v>2469</v>
      </c>
      <c r="G631" s="588">
        <v>42.1</v>
      </c>
      <c r="H631" s="546">
        <v>42.1</v>
      </c>
      <c r="I631" s="563">
        <v>554400</v>
      </c>
      <c r="J631" s="563">
        <v>1663200</v>
      </c>
      <c r="K631" s="564">
        <v>23340000</v>
      </c>
      <c r="L631" s="564">
        <v>70021000</v>
      </c>
      <c r="M631" s="586"/>
      <c r="N631" s="586"/>
      <c r="O631" s="590"/>
      <c r="P631" s="564" t="s">
        <v>25</v>
      </c>
      <c r="Q631" s="564" t="s">
        <v>25</v>
      </c>
      <c r="R631" s="586" t="s">
        <v>1863</v>
      </c>
      <c r="S631" s="609" t="s">
        <v>53</v>
      </c>
      <c r="T631" s="591">
        <v>16.5</v>
      </c>
      <c r="U631" s="589"/>
      <c r="V631" s="564">
        <v>1107311</v>
      </c>
      <c r="W631" s="564">
        <v>18271000</v>
      </c>
      <c r="X631" s="589"/>
      <c r="Y631" s="592" t="s">
        <v>55</v>
      </c>
      <c r="Z631" s="592" t="s">
        <v>56</v>
      </c>
      <c r="AA631" s="568" t="s">
        <v>332</v>
      </c>
      <c r="AB631" s="592" t="s">
        <v>66</v>
      </c>
      <c r="AC631" s="592"/>
      <c r="AD631" s="592"/>
      <c r="AE631" s="590"/>
      <c r="AF631" s="570" t="s">
        <v>2899</v>
      </c>
      <c r="AG631" s="570" t="s">
        <v>25</v>
      </c>
      <c r="AH631" s="571" t="s">
        <v>25</v>
      </c>
      <c r="AI631" s="558" t="s">
        <v>533</v>
      </c>
      <c r="AJ631" s="605" t="s">
        <v>2448</v>
      </c>
    </row>
    <row r="632" spans="1:36" s="376" customFormat="1" ht="121.5" outlineLevel="2" x14ac:dyDescent="0.3">
      <c r="A632" s="447">
        <v>53</v>
      </c>
      <c r="B632" s="558" t="s">
        <v>394</v>
      </c>
      <c r="C632" s="558"/>
      <c r="D632" s="587"/>
      <c r="E632" s="560"/>
      <c r="F632" s="558" t="s">
        <v>2470</v>
      </c>
      <c r="G632" s="588">
        <v>6.4</v>
      </c>
      <c r="H632" s="546">
        <v>6.4</v>
      </c>
      <c r="I632" s="563">
        <v>554400</v>
      </c>
      <c r="J632" s="563">
        <v>1663200</v>
      </c>
      <c r="K632" s="564">
        <v>3548000</v>
      </c>
      <c r="L632" s="564">
        <v>10644000</v>
      </c>
      <c r="M632" s="558"/>
      <c r="N632" s="558"/>
      <c r="O632" s="590"/>
      <c r="P632" s="564" t="s">
        <v>25</v>
      </c>
      <c r="Q632" s="564" t="s">
        <v>25</v>
      </c>
      <c r="R632" s="566" t="s">
        <v>1766</v>
      </c>
      <c r="S632" s="589" t="s">
        <v>53</v>
      </c>
      <c r="T632" s="591">
        <v>11.5</v>
      </c>
      <c r="U632" s="589"/>
      <c r="V632" s="564">
        <v>265836</v>
      </c>
      <c r="W632" s="564">
        <v>3057000</v>
      </c>
      <c r="X632" s="589"/>
      <c r="Y632" s="592"/>
      <c r="Z632" s="592"/>
      <c r="AA632" s="568"/>
      <c r="AB632" s="592"/>
      <c r="AC632" s="592"/>
      <c r="AD632" s="592"/>
      <c r="AE632" s="590"/>
      <c r="AF632" s="570" t="s">
        <v>2899</v>
      </c>
      <c r="AG632" s="570" t="s">
        <v>25</v>
      </c>
      <c r="AH632" s="571" t="s">
        <v>25</v>
      </c>
      <c r="AI632" s="593" t="s">
        <v>296</v>
      </c>
      <c r="AJ632" s="558" t="s">
        <v>2450</v>
      </c>
    </row>
    <row r="633" spans="1:36" s="376" customFormat="1" ht="101.25" outlineLevel="2" x14ac:dyDescent="0.3">
      <c r="A633" s="447">
        <v>53</v>
      </c>
      <c r="B633" s="628" t="s">
        <v>687</v>
      </c>
      <c r="C633" s="628"/>
      <c r="D633" s="587"/>
      <c r="E633" s="560"/>
      <c r="F633" s="558"/>
      <c r="G633" s="588"/>
      <c r="H633" s="546"/>
      <c r="I633" s="563" t="s">
        <v>25</v>
      </c>
      <c r="J633" s="563" t="s">
        <v>25</v>
      </c>
      <c r="K633" s="564" t="s">
        <v>25</v>
      </c>
      <c r="L633" s="564" t="s">
        <v>25</v>
      </c>
      <c r="M633" s="558"/>
      <c r="N633" s="558"/>
      <c r="O633" s="590"/>
      <c r="P633" s="564" t="s">
        <v>25</v>
      </c>
      <c r="Q633" s="564" t="s">
        <v>25</v>
      </c>
      <c r="R633" s="566" t="s">
        <v>1768</v>
      </c>
      <c r="S633" s="589" t="s">
        <v>53</v>
      </c>
      <c r="T633" s="591">
        <v>3.2</v>
      </c>
      <c r="U633" s="589"/>
      <c r="V633" s="564">
        <v>238288</v>
      </c>
      <c r="W633" s="564">
        <v>763000</v>
      </c>
      <c r="X633" s="589"/>
      <c r="Y633" s="592"/>
      <c r="Z633" s="592"/>
      <c r="AA633" s="568"/>
      <c r="AB633" s="592"/>
      <c r="AC633" s="592"/>
      <c r="AD633" s="592"/>
      <c r="AE633" s="590"/>
      <c r="AF633" s="570" t="s">
        <v>2899</v>
      </c>
      <c r="AG633" s="570" t="s">
        <v>25</v>
      </c>
      <c r="AH633" s="571" t="s">
        <v>25</v>
      </c>
      <c r="AI633" s="608" t="s">
        <v>111</v>
      </c>
      <c r="AJ633" s="558" t="s">
        <v>2800</v>
      </c>
    </row>
    <row r="634" spans="1:36" s="376" customFormat="1" ht="101.25" outlineLevel="2" x14ac:dyDescent="0.3">
      <c r="A634" s="447">
        <v>53</v>
      </c>
      <c r="B634" s="558"/>
      <c r="C634" s="558"/>
      <c r="D634" s="587"/>
      <c r="E634" s="560"/>
      <c r="F634" s="558"/>
      <c r="G634" s="588"/>
      <c r="H634" s="546"/>
      <c r="I634" s="563" t="s">
        <v>25</v>
      </c>
      <c r="J634" s="563" t="s">
        <v>25</v>
      </c>
      <c r="K634" s="564" t="s">
        <v>25</v>
      </c>
      <c r="L634" s="564" t="s">
        <v>25</v>
      </c>
      <c r="M634" s="558"/>
      <c r="N634" s="558"/>
      <c r="O634" s="590"/>
      <c r="P634" s="564" t="s">
        <v>25</v>
      </c>
      <c r="Q634" s="564" t="s">
        <v>25</v>
      </c>
      <c r="R634" s="566" t="s">
        <v>1768</v>
      </c>
      <c r="S634" s="589" t="s">
        <v>53</v>
      </c>
      <c r="T634" s="591">
        <v>14</v>
      </c>
      <c r="U634" s="589"/>
      <c r="V634" s="564">
        <v>238288</v>
      </c>
      <c r="W634" s="564">
        <v>3336000</v>
      </c>
      <c r="X634" s="589"/>
      <c r="Y634" s="592"/>
      <c r="Z634" s="592"/>
      <c r="AA634" s="568"/>
      <c r="AB634" s="592"/>
      <c r="AC634" s="592"/>
      <c r="AD634" s="592"/>
      <c r="AE634" s="590"/>
      <c r="AF634" s="570" t="s">
        <v>2899</v>
      </c>
      <c r="AG634" s="570" t="s">
        <v>25</v>
      </c>
      <c r="AH634" s="571" t="s">
        <v>25</v>
      </c>
      <c r="AI634" s="558" t="s">
        <v>535</v>
      </c>
      <c r="AJ634" s="608"/>
    </row>
    <row r="635" spans="1:36" s="376" customFormat="1" ht="81" outlineLevel="2" x14ac:dyDescent="0.3">
      <c r="A635" s="447">
        <v>53</v>
      </c>
      <c r="B635" s="607"/>
      <c r="C635" s="607"/>
      <c r="D635" s="587"/>
      <c r="E635" s="560"/>
      <c r="F635" s="558"/>
      <c r="G635" s="588"/>
      <c r="H635" s="546"/>
      <c r="I635" s="563" t="s">
        <v>25</v>
      </c>
      <c r="J635" s="563" t="s">
        <v>25</v>
      </c>
      <c r="K635" s="564" t="s">
        <v>25</v>
      </c>
      <c r="L635" s="564" t="s">
        <v>25</v>
      </c>
      <c r="M635" s="558"/>
      <c r="N635" s="558"/>
      <c r="O635" s="590"/>
      <c r="P635" s="564" t="s">
        <v>25</v>
      </c>
      <c r="Q635" s="564" t="s">
        <v>25</v>
      </c>
      <c r="R635" s="566" t="s">
        <v>2150</v>
      </c>
      <c r="S635" s="589" t="s">
        <v>53</v>
      </c>
      <c r="T635" s="591">
        <v>13.5</v>
      </c>
      <c r="U635" s="589"/>
      <c r="V635" s="564">
        <v>1067915</v>
      </c>
      <c r="W635" s="564">
        <v>14417000</v>
      </c>
      <c r="X635" s="589"/>
      <c r="Y635" s="592"/>
      <c r="Z635" s="592"/>
      <c r="AA635" s="568"/>
      <c r="AB635" s="592"/>
      <c r="AC635" s="592"/>
      <c r="AD635" s="592"/>
      <c r="AE635" s="590"/>
      <c r="AF635" s="570" t="s">
        <v>2899</v>
      </c>
      <c r="AG635" s="570" t="s">
        <v>25</v>
      </c>
      <c r="AH635" s="571" t="s">
        <v>25</v>
      </c>
      <c r="AI635" s="558" t="s">
        <v>2074</v>
      </c>
      <c r="AJ635" s="558"/>
    </row>
    <row r="636" spans="1:36" s="376" customFormat="1" ht="40.5" outlineLevel="2" x14ac:dyDescent="0.3">
      <c r="A636" s="447">
        <v>53</v>
      </c>
      <c r="B636" s="572"/>
      <c r="C636" s="572"/>
      <c r="D636" s="587"/>
      <c r="E636" s="615"/>
      <c r="F636" s="558"/>
      <c r="G636" s="588"/>
      <c r="H636" s="546"/>
      <c r="I636" s="563" t="s">
        <v>25</v>
      </c>
      <c r="J636" s="563" t="s">
        <v>25</v>
      </c>
      <c r="K636" s="564" t="s">
        <v>25</v>
      </c>
      <c r="L636" s="564" t="s">
        <v>25</v>
      </c>
      <c r="M636" s="558"/>
      <c r="N636" s="558"/>
      <c r="O636" s="590"/>
      <c r="P636" s="564" t="s">
        <v>25</v>
      </c>
      <c r="Q636" s="564" t="s">
        <v>25</v>
      </c>
      <c r="R636" s="566" t="s">
        <v>1799</v>
      </c>
      <c r="S636" s="589" t="s">
        <v>53</v>
      </c>
      <c r="T636" s="591">
        <v>16.5</v>
      </c>
      <c r="U636" s="589"/>
      <c r="V636" s="564">
        <v>275180</v>
      </c>
      <c r="W636" s="564">
        <v>4540000</v>
      </c>
      <c r="X636" s="589"/>
      <c r="Y636" s="592"/>
      <c r="Z636" s="592"/>
      <c r="AA636" s="568"/>
      <c r="AB636" s="592"/>
      <c r="AC636" s="592"/>
      <c r="AD636" s="592"/>
      <c r="AE636" s="590"/>
      <c r="AF636" s="570" t="s">
        <v>2899</v>
      </c>
      <c r="AG636" s="570" t="s">
        <v>25</v>
      </c>
      <c r="AH636" s="571" t="s">
        <v>25</v>
      </c>
      <c r="AI636" s="575"/>
      <c r="AJ636" s="593"/>
    </row>
    <row r="637" spans="1:36" s="376" customFormat="1" ht="20.25" outlineLevel="2" x14ac:dyDescent="0.3">
      <c r="A637" s="447">
        <v>53</v>
      </c>
      <c r="B637" s="572"/>
      <c r="C637" s="572"/>
      <c r="D637" s="587"/>
      <c r="E637" s="615"/>
      <c r="F637" s="558"/>
      <c r="G637" s="604"/>
      <c r="H637" s="546"/>
      <c r="I637" s="563" t="s">
        <v>25</v>
      </c>
      <c r="J637" s="563" t="s">
        <v>25</v>
      </c>
      <c r="K637" s="564" t="s">
        <v>25</v>
      </c>
      <c r="L637" s="564" t="s">
        <v>25</v>
      </c>
      <c r="M637" s="593"/>
      <c r="N637" s="593"/>
      <c r="O637" s="616"/>
      <c r="P637" s="564" t="s">
        <v>25</v>
      </c>
      <c r="Q637" s="564" t="s">
        <v>25</v>
      </c>
      <c r="R637" s="586"/>
      <c r="S637" s="609"/>
      <c r="T637" s="617"/>
      <c r="U637" s="589"/>
      <c r="V637" s="564" t="s">
        <v>2899</v>
      </c>
      <c r="W637" s="564" t="s">
        <v>25</v>
      </c>
      <c r="X637" s="589"/>
      <c r="Y637" s="589"/>
      <c r="Z637" s="589"/>
      <c r="AA637" s="562"/>
      <c r="AB637" s="589"/>
      <c r="AC637" s="589"/>
      <c r="AD637" s="589"/>
      <c r="AE637" s="629"/>
      <c r="AF637" s="570" t="s">
        <v>2899</v>
      </c>
      <c r="AG637" s="570" t="s">
        <v>25</v>
      </c>
      <c r="AH637" s="571" t="s">
        <v>25</v>
      </c>
      <c r="AI637" s="593"/>
      <c r="AJ637" s="593"/>
    </row>
    <row r="638" spans="1:36" s="376" customFormat="1" ht="20.25" outlineLevel="2" x14ac:dyDescent="0.3">
      <c r="A638" s="447">
        <v>53</v>
      </c>
      <c r="B638" s="572"/>
      <c r="C638" s="572"/>
      <c r="D638" s="612"/>
      <c r="E638" s="612"/>
      <c r="F638" s="558"/>
      <c r="G638" s="604"/>
      <c r="H638" s="546"/>
      <c r="I638" s="563" t="s">
        <v>25</v>
      </c>
      <c r="J638" s="563" t="s">
        <v>25</v>
      </c>
      <c r="K638" s="564" t="s">
        <v>25</v>
      </c>
      <c r="L638" s="564" t="s">
        <v>25</v>
      </c>
      <c r="M638" s="593"/>
      <c r="N638" s="593"/>
      <c r="O638" s="616"/>
      <c r="P638" s="564" t="s">
        <v>25</v>
      </c>
      <c r="Q638" s="564" t="s">
        <v>25</v>
      </c>
      <c r="R638" s="593"/>
      <c r="S638" s="593"/>
      <c r="T638" s="617"/>
      <c r="U638" s="589"/>
      <c r="V638" s="564" t="s">
        <v>2899</v>
      </c>
      <c r="W638" s="564" t="s">
        <v>25</v>
      </c>
      <c r="X638" s="589"/>
      <c r="Y638" s="589"/>
      <c r="Z638" s="589"/>
      <c r="AA638" s="562"/>
      <c r="AB638" s="589"/>
      <c r="AC638" s="589"/>
      <c r="AD638" s="589"/>
      <c r="AE638" s="629"/>
      <c r="AF638" s="570" t="s">
        <v>2899</v>
      </c>
      <c r="AG638" s="570" t="s">
        <v>25</v>
      </c>
      <c r="AH638" s="571" t="s">
        <v>25</v>
      </c>
      <c r="AI638" s="593"/>
      <c r="AJ638" s="593"/>
    </row>
    <row r="639" spans="1:36" s="376" customFormat="1" ht="20.25" outlineLevel="2" x14ac:dyDescent="0.3">
      <c r="A639" s="447">
        <v>53</v>
      </c>
      <c r="B639" s="574"/>
      <c r="C639" s="574"/>
      <c r="D639" s="595"/>
      <c r="E639" s="577"/>
      <c r="F639" s="586"/>
      <c r="G639" s="588"/>
      <c r="H639" s="546"/>
      <c r="I639" s="563" t="s">
        <v>25</v>
      </c>
      <c r="J639" s="563" t="s">
        <v>25</v>
      </c>
      <c r="K639" s="564" t="s">
        <v>25</v>
      </c>
      <c r="L639" s="564" t="s">
        <v>25</v>
      </c>
      <c r="M639" s="586"/>
      <c r="N639" s="586"/>
      <c r="O639" s="630"/>
      <c r="P639" s="564" t="s">
        <v>25</v>
      </c>
      <c r="Q639" s="564" t="s">
        <v>25</v>
      </c>
      <c r="R639" s="586"/>
      <c r="S639" s="609"/>
      <c r="T639" s="591"/>
      <c r="U639" s="589"/>
      <c r="V639" s="564" t="s">
        <v>2899</v>
      </c>
      <c r="W639" s="564" t="s">
        <v>25</v>
      </c>
      <c r="X639" s="589"/>
      <c r="Y639" s="592"/>
      <c r="Z639" s="592"/>
      <c r="AA639" s="568"/>
      <c r="AB639" s="592"/>
      <c r="AC639" s="592"/>
      <c r="AD639" s="592"/>
      <c r="AE639" s="590"/>
      <c r="AF639" s="570" t="s">
        <v>2899</v>
      </c>
      <c r="AG639" s="570" t="s">
        <v>25</v>
      </c>
      <c r="AH639" s="571" t="s">
        <v>25</v>
      </c>
      <c r="AI639" s="593"/>
      <c r="AJ639" s="593"/>
    </row>
    <row r="640" spans="1:36" s="376" customFormat="1" ht="40.5" outlineLevel="1" x14ac:dyDescent="0.25">
      <c r="A640" s="467">
        <v>54</v>
      </c>
      <c r="B640" s="574" t="s">
        <v>39</v>
      </c>
      <c r="C640" s="773" t="s">
        <v>2902</v>
      </c>
      <c r="D640" s="587">
        <v>86</v>
      </c>
      <c r="E640" s="560">
        <v>1574</v>
      </c>
      <c r="F640" s="574"/>
      <c r="G640" s="618">
        <v>55.099999999999994</v>
      </c>
      <c r="H640" s="579">
        <v>0</v>
      </c>
      <c r="I640" s="581"/>
      <c r="J640" s="581"/>
      <c r="K640" s="571">
        <v>30548000</v>
      </c>
      <c r="L640" s="571">
        <v>0</v>
      </c>
      <c r="M640" s="574"/>
      <c r="N640" s="574"/>
      <c r="O640" s="599">
        <v>6</v>
      </c>
      <c r="P640" s="571"/>
      <c r="Q640" s="571">
        <v>637000</v>
      </c>
      <c r="R640" s="582"/>
      <c r="S640" s="597"/>
      <c r="T640" s="600">
        <v>56.22</v>
      </c>
      <c r="U640" s="597"/>
      <c r="V640" s="571"/>
      <c r="W640" s="571">
        <v>26187000</v>
      </c>
      <c r="X640" s="589"/>
      <c r="Y640" s="592"/>
      <c r="Z640" s="592"/>
      <c r="AA640" s="568"/>
      <c r="AB640" s="592"/>
      <c r="AC640" s="592"/>
      <c r="AD640" s="601"/>
      <c r="AE640" s="599">
        <f>SUBTOTAL(9,AE641:AE648)</f>
        <v>0</v>
      </c>
      <c r="AF640" s="585"/>
      <c r="AG640" s="585">
        <v>0</v>
      </c>
      <c r="AH640" s="571">
        <v>57372000</v>
      </c>
      <c r="AI640" s="574"/>
      <c r="AJ640" s="578"/>
    </row>
    <row r="641" spans="1:38" s="376" customFormat="1" ht="121.5" outlineLevel="2" x14ac:dyDescent="0.3">
      <c r="A641" s="447">
        <v>54</v>
      </c>
      <c r="B641" s="572" t="s">
        <v>221</v>
      </c>
      <c r="C641" s="572"/>
      <c r="D641" s="587"/>
      <c r="E641" s="560"/>
      <c r="F641" s="558" t="s">
        <v>2472</v>
      </c>
      <c r="G641" s="588">
        <v>48.8</v>
      </c>
      <c r="H641" s="546" t="s">
        <v>2899</v>
      </c>
      <c r="I641" s="563">
        <v>554400</v>
      </c>
      <c r="J641" s="563">
        <v>0</v>
      </c>
      <c r="K641" s="564">
        <v>27055000</v>
      </c>
      <c r="L641" s="564">
        <v>0</v>
      </c>
      <c r="M641" s="558" t="s">
        <v>408</v>
      </c>
      <c r="N641" s="558"/>
      <c r="O641" s="590">
        <v>1</v>
      </c>
      <c r="P641" s="564">
        <v>337000</v>
      </c>
      <c r="Q641" s="564">
        <v>337000</v>
      </c>
      <c r="R641" s="566" t="s">
        <v>2289</v>
      </c>
      <c r="S641" s="589" t="s">
        <v>53</v>
      </c>
      <c r="T641" s="591">
        <v>17.82</v>
      </c>
      <c r="U641" s="589"/>
      <c r="V641" s="564">
        <v>684506</v>
      </c>
      <c r="W641" s="564">
        <v>12198000</v>
      </c>
      <c r="X641" s="589"/>
      <c r="Y641" s="592" t="s">
        <v>55</v>
      </c>
      <c r="Z641" s="592" t="s">
        <v>141</v>
      </c>
      <c r="AA641" s="568"/>
      <c r="AB641" s="592" t="s">
        <v>66</v>
      </c>
      <c r="AC641" s="592"/>
      <c r="AD641" s="592"/>
      <c r="AE641" s="590"/>
      <c r="AF641" s="570" t="s">
        <v>2899</v>
      </c>
      <c r="AG641" s="570"/>
      <c r="AH641" s="571" t="s">
        <v>25</v>
      </c>
      <c r="AI641" s="558" t="s">
        <v>1701</v>
      </c>
      <c r="AJ641" s="586" t="s">
        <v>2771</v>
      </c>
    </row>
    <row r="642" spans="1:38" s="376" customFormat="1" ht="121.5" outlineLevel="2" x14ac:dyDescent="0.3">
      <c r="A642" s="447">
        <v>54</v>
      </c>
      <c r="B642" s="572" t="s">
        <v>688</v>
      </c>
      <c r="C642" s="572"/>
      <c r="D642" s="612"/>
      <c r="E642" s="612"/>
      <c r="F642" s="558" t="s">
        <v>2473</v>
      </c>
      <c r="G642" s="588">
        <v>6.3</v>
      </c>
      <c r="H642" s="546" t="s">
        <v>2899</v>
      </c>
      <c r="I642" s="563">
        <v>554400</v>
      </c>
      <c r="J642" s="563">
        <v>0</v>
      </c>
      <c r="K642" s="564">
        <v>3493000</v>
      </c>
      <c r="L642" s="564">
        <v>0</v>
      </c>
      <c r="M642" s="558" t="s">
        <v>352</v>
      </c>
      <c r="N642" s="558"/>
      <c r="O642" s="590">
        <v>5</v>
      </c>
      <c r="P642" s="564">
        <v>60000</v>
      </c>
      <c r="Q642" s="564">
        <v>300000</v>
      </c>
      <c r="R642" s="566" t="s">
        <v>1749</v>
      </c>
      <c r="S642" s="589" t="s">
        <v>53</v>
      </c>
      <c r="T642" s="591">
        <v>12.9</v>
      </c>
      <c r="U642" s="589"/>
      <c r="V642" s="564">
        <v>211811</v>
      </c>
      <c r="W642" s="564">
        <v>2732000</v>
      </c>
      <c r="X642" s="589"/>
      <c r="Y642" s="592"/>
      <c r="Z642" s="592"/>
      <c r="AA642" s="568"/>
      <c r="AB642" s="592"/>
      <c r="AC642" s="592"/>
      <c r="AD642" s="592"/>
      <c r="AE642" s="590"/>
      <c r="AF642" s="570" t="s">
        <v>2899</v>
      </c>
      <c r="AG642" s="570" t="s">
        <v>25</v>
      </c>
      <c r="AH642" s="571" t="s">
        <v>25</v>
      </c>
      <c r="AI642" s="558" t="s">
        <v>536</v>
      </c>
      <c r="AJ642" s="558" t="s">
        <v>2450</v>
      </c>
    </row>
    <row r="643" spans="1:38" s="376" customFormat="1" ht="121.5" outlineLevel="2" x14ac:dyDescent="0.3">
      <c r="A643" s="447">
        <v>54</v>
      </c>
      <c r="B643" s="572" t="s">
        <v>313</v>
      </c>
      <c r="C643" s="572"/>
      <c r="D643" s="587"/>
      <c r="E643" s="615"/>
      <c r="F643" s="558"/>
      <c r="G643" s="588"/>
      <c r="H643" s="546"/>
      <c r="I643" s="563" t="s">
        <v>25</v>
      </c>
      <c r="J643" s="563" t="s">
        <v>25</v>
      </c>
      <c r="K643" s="564" t="s">
        <v>25</v>
      </c>
      <c r="L643" s="564" t="s">
        <v>25</v>
      </c>
      <c r="M643" s="558"/>
      <c r="N643" s="558"/>
      <c r="O643" s="590"/>
      <c r="P643" s="564" t="s">
        <v>25</v>
      </c>
      <c r="Q643" s="564" t="s">
        <v>25</v>
      </c>
      <c r="R643" s="586" t="s">
        <v>1901</v>
      </c>
      <c r="S643" s="609" t="s">
        <v>53</v>
      </c>
      <c r="T643" s="591">
        <v>25.5</v>
      </c>
      <c r="U643" s="589"/>
      <c r="V643" s="564">
        <v>441467</v>
      </c>
      <c r="W643" s="564">
        <v>11257000</v>
      </c>
      <c r="X643" s="589"/>
      <c r="Y643" s="592"/>
      <c r="Z643" s="592"/>
      <c r="AA643" s="568"/>
      <c r="AB643" s="592"/>
      <c r="AC643" s="592"/>
      <c r="AD643" s="592"/>
      <c r="AE643" s="590"/>
      <c r="AF643" s="570" t="s">
        <v>2899</v>
      </c>
      <c r="AG643" s="570" t="s">
        <v>25</v>
      </c>
      <c r="AH643" s="571" t="s">
        <v>25</v>
      </c>
      <c r="AI643" s="558" t="s">
        <v>1702</v>
      </c>
      <c r="AJ643" s="558" t="s">
        <v>2449</v>
      </c>
    </row>
    <row r="644" spans="1:38" s="376" customFormat="1" ht="101.25" outlineLevel="2" x14ac:dyDescent="0.3">
      <c r="A644" s="447">
        <v>54</v>
      </c>
      <c r="B644" s="572"/>
      <c r="C644" s="572"/>
      <c r="D644" s="587"/>
      <c r="E644" s="615"/>
      <c r="F644" s="558"/>
      <c r="G644" s="604"/>
      <c r="H644" s="546"/>
      <c r="I644" s="563" t="s">
        <v>25</v>
      </c>
      <c r="J644" s="563" t="s">
        <v>25</v>
      </c>
      <c r="K644" s="564" t="s">
        <v>25</v>
      </c>
      <c r="L644" s="564" t="s">
        <v>25</v>
      </c>
      <c r="M644" s="593"/>
      <c r="N644" s="593"/>
      <c r="O644" s="616"/>
      <c r="P644" s="564" t="s">
        <v>25</v>
      </c>
      <c r="Q644" s="564" t="s">
        <v>25</v>
      </c>
      <c r="R644" s="593"/>
      <c r="S644" s="593"/>
      <c r="T644" s="617"/>
      <c r="U644" s="589"/>
      <c r="V644" s="564" t="s">
        <v>2899</v>
      </c>
      <c r="W644" s="564" t="s">
        <v>25</v>
      </c>
      <c r="X644" s="589"/>
      <c r="Y644" s="589"/>
      <c r="Z644" s="589"/>
      <c r="AA644" s="562"/>
      <c r="AB644" s="589"/>
      <c r="AC644" s="589"/>
      <c r="AD644" s="589"/>
      <c r="AE644" s="629"/>
      <c r="AF644" s="570" t="s">
        <v>2899</v>
      </c>
      <c r="AG644" s="570" t="s">
        <v>25</v>
      </c>
      <c r="AH644" s="571" t="s">
        <v>25</v>
      </c>
      <c r="AI644" s="558" t="s">
        <v>2207</v>
      </c>
      <c r="AJ644" s="605" t="s">
        <v>2800</v>
      </c>
    </row>
    <row r="645" spans="1:38" s="376" customFormat="1" ht="20.25" outlineLevel="2" x14ac:dyDescent="0.3">
      <c r="A645" s="447">
        <v>54</v>
      </c>
      <c r="B645" s="572"/>
      <c r="C645" s="572"/>
      <c r="D645" s="587"/>
      <c r="E645" s="615"/>
      <c r="F645" s="558"/>
      <c r="G645" s="604"/>
      <c r="H645" s="546"/>
      <c r="I645" s="563" t="s">
        <v>25</v>
      </c>
      <c r="J645" s="563" t="s">
        <v>25</v>
      </c>
      <c r="K645" s="564" t="s">
        <v>25</v>
      </c>
      <c r="L645" s="564" t="s">
        <v>25</v>
      </c>
      <c r="M645" s="593"/>
      <c r="N645" s="593"/>
      <c r="O645" s="616"/>
      <c r="P645" s="564" t="s">
        <v>25</v>
      </c>
      <c r="Q645" s="564" t="s">
        <v>25</v>
      </c>
      <c r="R645" s="593"/>
      <c r="S645" s="593"/>
      <c r="T645" s="617"/>
      <c r="U645" s="589"/>
      <c r="V645" s="564" t="s">
        <v>2899</v>
      </c>
      <c r="W645" s="564" t="s">
        <v>25</v>
      </c>
      <c r="X645" s="589"/>
      <c r="Y645" s="589"/>
      <c r="Z645" s="589"/>
      <c r="AA645" s="562"/>
      <c r="AB645" s="589"/>
      <c r="AC645" s="589"/>
      <c r="AD645" s="589"/>
      <c r="AE645" s="629"/>
      <c r="AF645" s="570" t="s">
        <v>2899</v>
      </c>
      <c r="AG645" s="570" t="s">
        <v>25</v>
      </c>
      <c r="AH645" s="571" t="s">
        <v>25</v>
      </c>
      <c r="AI645" s="575"/>
      <c r="AJ645" s="558"/>
    </row>
    <row r="646" spans="1:38" s="376" customFormat="1" ht="20.25" outlineLevel="2" x14ac:dyDescent="0.3">
      <c r="A646" s="447">
        <v>54</v>
      </c>
      <c r="B646" s="636"/>
      <c r="C646" s="636"/>
      <c r="D646" s="587"/>
      <c r="E646" s="560"/>
      <c r="F646" s="558"/>
      <c r="G646" s="604"/>
      <c r="H646" s="546"/>
      <c r="I646" s="563" t="s">
        <v>25</v>
      </c>
      <c r="J646" s="563" t="s">
        <v>25</v>
      </c>
      <c r="K646" s="564" t="s">
        <v>25</v>
      </c>
      <c r="L646" s="564" t="s">
        <v>25</v>
      </c>
      <c r="M646" s="593"/>
      <c r="N646" s="593"/>
      <c r="O646" s="616"/>
      <c r="P646" s="564" t="s">
        <v>25</v>
      </c>
      <c r="Q646" s="564" t="s">
        <v>25</v>
      </c>
      <c r="R646" s="593"/>
      <c r="S646" s="593"/>
      <c r="T646" s="617"/>
      <c r="U646" s="589"/>
      <c r="V646" s="564" t="s">
        <v>2899</v>
      </c>
      <c r="W646" s="564" t="s">
        <v>25</v>
      </c>
      <c r="X646" s="589"/>
      <c r="Y646" s="589"/>
      <c r="Z646" s="589"/>
      <c r="AA646" s="562"/>
      <c r="AB646" s="589"/>
      <c r="AC646" s="589"/>
      <c r="AD646" s="589"/>
      <c r="AE646" s="629"/>
      <c r="AF646" s="570" t="s">
        <v>2899</v>
      </c>
      <c r="AG646" s="570" t="s">
        <v>25</v>
      </c>
      <c r="AH646" s="571" t="s">
        <v>25</v>
      </c>
      <c r="AI646" s="575"/>
      <c r="AJ646" s="558"/>
      <c r="AL646" s="377" t="s">
        <v>2151</v>
      </c>
    </row>
    <row r="647" spans="1:38" s="376" customFormat="1" ht="20.25" outlineLevel="2" x14ac:dyDescent="0.3">
      <c r="A647" s="447">
        <v>54</v>
      </c>
      <c r="B647" s="558"/>
      <c r="C647" s="558"/>
      <c r="D647" s="587"/>
      <c r="E647" s="560"/>
      <c r="F647" s="637"/>
      <c r="G647" s="588"/>
      <c r="H647" s="546"/>
      <c r="I647" s="563" t="s">
        <v>25</v>
      </c>
      <c r="J647" s="563" t="s">
        <v>25</v>
      </c>
      <c r="K647" s="564" t="s">
        <v>25</v>
      </c>
      <c r="L647" s="564" t="s">
        <v>25</v>
      </c>
      <c r="M647" s="558"/>
      <c r="N647" s="558"/>
      <c r="O647" s="590"/>
      <c r="P647" s="564" t="s">
        <v>25</v>
      </c>
      <c r="Q647" s="564" t="s">
        <v>25</v>
      </c>
      <c r="R647" s="566"/>
      <c r="S647" s="589"/>
      <c r="T647" s="591"/>
      <c r="U647" s="589"/>
      <c r="V647" s="564" t="s">
        <v>2899</v>
      </c>
      <c r="W647" s="564" t="s">
        <v>25</v>
      </c>
      <c r="X647" s="589"/>
      <c r="Y647" s="592"/>
      <c r="Z647" s="592"/>
      <c r="AA647" s="568"/>
      <c r="AB647" s="592"/>
      <c r="AC647" s="592"/>
      <c r="AD647" s="592"/>
      <c r="AE647" s="590"/>
      <c r="AF647" s="570" t="s">
        <v>2899</v>
      </c>
      <c r="AG647" s="570" t="s">
        <v>25</v>
      </c>
      <c r="AH647" s="571" t="s">
        <v>25</v>
      </c>
      <c r="AI647" s="558"/>
      <c r="AJ647" s="558"/>
    </row>
    <row r="648" spans="1:38" s="376" customFormat="1" ht="20.25" outlineLevel="2" x14ac:dyDescent="0.3">
      <c r="A648" s="447">
        <v>54</v>
      </c>
      <c r="B648" s="574"/>
      <c r="C648" s="574"/>
      <c r="D648" s="595"/>
      <c r="E648" s="577"/>
      <c r="F648" s="558"/>
      <c r="G648" s="588"/>
      <c r="H648" s="546"/>
      <c r="I648" s="563" t="s">
        <v>25</v>
      </c>
      <c r="J648" s="563" t="s">
        <v>25</v>
      </c>
      <c r="K648" s="564" t="s">
        <v>25</v>
      </c>
      <c r="L648" s="564" t="s">
        <v>25</v>
      </c>
      <c r="M648" s="558"/>
      <c r="N648" s="558"/>
      <c r="O648" s="590"/>
      <c r="P648" s="564" t="s">
        <v>25</v>
      </c>
      <c r="Q648" s="564" t="s">
        <v>25</v>
      </c>
      <c r="R648" s="566"/>
      <c r="S648" s="589"/>
      <c r="T648" s="591"/>
      <c r="U648" s="589"/>
      <c r="V648" s="564" t="s">
        <v>2899</v>
      </c>
      <c r="W648" s="564" t="s">
        <v>25</v>
      </c>
      <c r="X648" s="589"/>
      <c r="Y648" s="592"/>
      <c r="Z648" s="592"/>
      <c r="AA648" s="568"/>
      <c r="AB648" s="592"/>
      <c r="AC648" s="592"/>
      <c r="AD648" s="592"/>
      <c r="AE648" s="590"/>
      <c r="AF648" s="570" t="s">
        <v>2899</v>
      </c>
      <c r="AG648" s="570" t="s">
        <v>25</v>
      </c>
      <c r="AH648" s="571" t="s">
        <v>25</v>
      </c>
      <c r="AI648" s="593"/>
      <c r="AJ648" s="593"/>
    </row>
    <row r="649" spans="1:38" s="376" customFormat="1" ht="40.5" outlineLevel="1" x14ac:dyDescent="0.25">
      <c r="A649" s="467">
        <v>55</v>
      </c>
      <c r="B649" s="574" t="s">
        <v>40</v>
      </c>
      <c r="C649" s="773" t="s">
        <v>2902</v>
      </c>
      <c r="D649" s="587">
        <v>86</v>
      </c>
      <c r="E649" s="560">
        <v>1573</v>
      </c>
      <c r="F649" s="574"/>
      <c r="G649" s="618">
        <v>63.4</v>
      </c>
      <c r="H649" s="579">
        <v>57.1</v>
      </c>
      <c r="I649" s="581"/>
      <c r="J649" s="581"/>
      <c r="K649" s="571">
        <v>67959000</v>
      </c>
      <c r="L649" s="571">
        <v>94968000</v>
      </c>
      <c r="M649" s="578"/>
      <c r="N649" s="578"/>
      <c r="O649" s="599">
        <v>0</v>
      </c>
      <c r="P649" s="571"/>
      <c r="Q649" s="571">
        <v>0</v>
      </c>
      <c r="R649" s="582"/>
      <c r="S649" s="597"/>
      <c r="T649" s="600">
        <v>73.12</v>
      </c>
      <c r="U649" s="597"/>
      <c r="V649" s="571"/>
      <c r="W649" s="571">
        <v>71522000</v>
      </c>
      <c r="X649" s="589"/>
      <c r="Y649" s="592"/>
      <c r="Z649" s="592"/>
      <c r="AA649" s="568"/>
      <c r="AB649" s="592"/>
      <c r="AC649" s="592"/>
      <c r="AD649" s="601"/>
      <c r="AE649" s="599">
        <f>SUBTOTAL(9,AE650:AE660)</f>
        <v>0</v>
      </c>
      <c r="AF649" s="585"/>
      <c r="AG649" s="585">
        <v>0</v>
      </c>
      <c r="AH649" s="571">
        <v>234449000</v>
      </c>
      <c r="AI649" s="574"/>
      <c r="AJ649" s="578"/>
    </row>
    <row r="650" spans="1:38" s="376" customFormat="1" ht="121.5" outlineLevel="2" x14ac:dyDescent="0.3">
      <c r="A650" s="447">
        <v>55</v>
      </c>
      <c r="B650" s="558" t="s">
        <v>222</v>
      </c>
      <c r="C650" s="558"/>
      <c r="D650" s="587">
        <v>86</v>
      </c>
      <c r="E650" s="560">
        <v>1573</v>
      </c>
      <c r="F650" s="558" t="s">
        <v>2037</v>
      </c>
      <c r="G650" s="588">
        <v>6.3</v>
      </c>
      <c r="H650" s="546" t="s">
        <v>2899</v>
      </c>
      <c r="I650" s="563">
        <v>5762400</v>
      </c>
      <c r="J650" s="563">
        <v>0</v>
      </c>
      <c r="K650" s="564">
        <v>36303000</v>
      </c>
      <c r="L650" s="564">
        <v>0</v>
      </c>
      <c r="M650" s="586"/>
      <c r="N650" s="586"/>
      <c r="O650" s="590"/>
      <c r="P650" s="564" t="s">
        <v>25</v>
      </c>
      <c r="Q650" s="564" t="s">
        <v>25</v>
      </c>
      <c r="R650" s="566" t="s">
        <v>1863</v>
      </c>
      <c r="S650" s="589" t="s">
        <v>53</v>
      </c>
      <c r="T650" s="591">
        <v>57.8</v>
      </c>
      <c r="U650" s="589">
        <v>14.4</v>
      </c>
      <c r="V650" s="564">
        <v>1107311</v>
      </c>
      <c r="W650" s="564">
        <v>64003000</v>
      </c>
      <c r="X650" s="589" t="s">
        <v>63</v>
      </c>
      <c r="Y650" s="592" t="s">
        <v>55</v>
      </c>
      <c r="Z650" s="592" t="s">
        <v>56</v>
      </c>
      <c r="AA650" s="568" t="s">
        <v>57</v>
      </c>
      <c r="AB650" s="592" t="s">
        <v>63</v>
      </c>
      <c r="AC650" s="592" t="s">
        <v>430</v>
      </c>
      <c r="AD650" s="592"/>
      <c r="AE650" s="590"/>
      <c r="AF650" s="570" t="s">
        <v>2899</v>
      </c>
      <c r="AG650" s="570"/>
      <c r="AH650" s="571" t="s">
        <v>25</v>
      </c>
      <c r="AI650" s="558" t="s">
        <v>1703</v>
      </c>
      <c r="AJ650" s="586" t="s">
        <v>2771</v>
      </c>
      <c r="AL650" s="376" t="s">
        <v>2332</v>
      </c>
    </row>
    <row r="651" spans="1:38" s="376" customFormat="1" ht="101.25" outlineLevel="2" x14ac:dyDescent="0.3">
      <c r="A651" s="447">
        <v>55</v>
      </c>
      <c r="B651" s="628" t="s">
        <v>689</v>
      </c>
      <c r="C651" s="628"/>
      <c r="D651" s="587"/>
      <c r="E651" s="560"/>
      <c r="F651" s="558" t="s">
        <v>2469</v>
      </c>
      <c r="G651" s="588">
        <v>46.7</v>
      </c>
      <c r="H651" s="546">
        <v>46.7</v>
      </c>
      <c r="I651" s="563">
        <v>554400</v>
      </c>
      <c r="J651" s="563">
        <v>1663200</v>
      </c>
      <c r="K651" s="564">
        <v>25890000</v>
      </c>
      <c r="L651" s="564">
        <v>77671000</v>
      </c>
      <c r="M651" s="558"/>
      <c r="N651" s="558"/>
      <c r="O651" s="590"/>
      <c r="P651" s="564" t="s">
        <v>25</v>
      </c>
      <c r="Q651" s="564" t="s">
        <v>25</v>
      </c>
      <c r="R651" s="638" t="s">
        <v>1799</v>
      </c>
      <c r="S651" s="639" t="s">
        <v>53</v>
      </c>
      <c r="T651" s="591">
        <v>9.9</v>
      </c>
      <c r="U651" s="589">
        <v>14.7</v>
      </c>
      <c r="V651" s="564">
        <v>275180</v>
      </c>
      <c r="W651" s="564">
        <v>2724000</v>
      </c>
      <c r="X651" s="589" t="s">
        <v>63</v>
      </c>
      <c r="Y651" s="592" t="s">
        <v>55</v>
      </c>
      <c r="Z651" s="592" t="s">
        <v>56</v>
      </c>
      <c r="AA651" s="568" t="s">
        <v>57</v>
      </c>
      <c r="AB651" s="592" t="s">
        <v>63</v>
      </c>
      <c r="AC651" s="592" t="s">
        <v>430</v>
      </c>
      <c r="AD651" s="592"/>
      <c r="AE651" s="590"/>
      <c r="AF651" s="570" t="s">
        <v>2899</v>
      </c>
      <c r="AG651" s="570" t="s">
        <v>25</v>
      </c>
      <c r="AH651" s="571" t="s">
        <v>25</v>
      </c>
      <c r="AI651" s="558" t="s">
        <v>538</v>
      </c>
      <c r="AJ651" s="605" t="s">
        <v>2448</v>
      </c>
    </row>
    <row r="652" spans="1:38" s="376" customFormat="1" ht="121.5" outlineLevel="2" x14ac:dyDescent="0.3">
      <c r="A652" s="447">
        <v>55</v>
      </c>
      <c r="B652" s="607"/>
      <c r="C652" s="607"/>
      <c r="D652" s="587"/>
      <c r="E652" s="560"/>
      <c r="F652" s="558" t="s">
        <v>2475</v>
      </c>
      <c r="G652" s="588">
        <v>10.4</v>
      </c>
      <c r="H652" s="546">
        <v>10.4</v>
      </c>
      <c r="I652" s="563">
        <v>554400</v>
      </c>
      <c r="J652" s="563">
        <v>1663200</v>
      </c>
      <c r="K652" s="564">
        <v>5766000</v>
      </c>
      <c r="L652" s="564">
        <v>17297000</v>
      </c>
      <c r="M652" s="558"/>
      <c r="N652" s="558"/>
      <c r="O652" s="590"/>
      <c r="P652" s="564" t="s">
        <v>25</v>
      </c>
      <c r="Q652" s="564" t="s">
        <v>25</v>
      </c>
      <c r="R652" s="566" t="s">
        <v>2149</v>
      </c>
      <c r="S652" s="589" t="s">
        <v>78</v>
      </c>
      <c r="T652" s="591">
        <v>1.08</v>
      </c>
      <c r="U652" s="589"/>
      <c r="V652" s="564">
        <v>0</v>
      </c>
      <c r="W652" s="564">
        <v>0</v>
      </c>
      <c r="X652" s="589"/>
      <c r="Y652" s="592" t="s">
        <v>55</v>
      </c>
      <c r="Z652" s="592" t="s">
        <v>141</v>
      </c>
      <c r="AA652" s="568" t="s">
        <v>332</v>
      </c>
      <c r="AB652" s="592" t="s">
        <v>66</v>
      </c>
      <c r="AC652" s="592"/>
      <c r="AD652" s="592"/>
      <c r="AE652" s="590"/>
      <c r="AF652" s="570" t="s">
        <v>2899</v>
      </c>
      <c r="AG652" s="570" t="s">
        <v>25</v>
      </c>
      <c r="AH652" s="571" t="s">
        <v>25</v>
      </c>
      <c r="AI652" s="593" t="s">
        <v>333</v>
      </c>
      <c r="AJ652" s="558" t="s">
        <v>2450</v>
      </c>
    </row>
    <row r="653" spans="1:38" s="376" customFormat="1" ht="101.25" outlineLevel="2" x14ac:dyDescent="0.3">
      <c r="A653" s="447">
        <v>55</v>
      </c>
      <c r="B653" s="637"/>
      <c r="C653" s="637"/>
      <c r="D653" s="587"/>
      <c r="E653" s="560"/>
      <c r="F653" s="558"/>
      <c r="G653" s="588"/>
      <c r="H653" s="546"/>
      <c r="I653" s="563" t="s">
        <v>25</v>
      </c>
      <c r="J653" s="563" t="s">
        <v>25</v>
      </c>
      <c r="K653" s="564" t="s">
        <v>25</v>
      </c>
      <c r="L653" s="564" t="s">
        <v>25</v>
      </c>
      <c r="M653" s="638"/>
      <c r="N653" s="638"/>
      <c r="O653" s="664"/>
      <c r="P653" s="564" t="s">
        <v>25</v>
      </c>
      <c r="Q653" s="564" t="s">
        <v>25</v>
      </c>
      <c r="R653" s="566" t="s">
        <v>2152</v>
      </c>
      <c r="S653" s="589" t="s">
        <v>53</v>
      </c>
      <c r="T653" s="591">
        <v>3.64</v>
      </c>
      <c r="U653" s="589"/>
      <c r="V653" s="564">
        <v>296377</v>
      </c>
      <c r="W653" s="564">
        <v>1079000</v>
      </c>
      <c r="X653" s="589"/>
      <c r="Y653" s="592"/>
      <c r="Z653" s="592"/>
      <c r="AA653" s="568"/>
      <c r="AB653" s="592"/>
      <c r="AC653" s="592"/>
      <c r="AD653" s="592"/>
      <c r="AE653" s="590"/>
      <c r="AF653" s="570" t="s">
        <v>2899</v>
      </c>
      <c r="AG653" s="570" t="s">
        <v>25</v>
      </c>
      <c r="AH653" s="571" t="s">
        <v>25</v>
      </c>
      <c r="AI653" s="558" t="s">
        <v>1738</v>
      </c>
      <c r="AJ653" s="558" t="s">
        <v>2800</v>
      </c>
    </row>
    <row r="654" spans="1:38" s="376" customFormat="1" ht="40.5" outlineLevel="2" x14ac:dyDescent="0.3">
      <c r="A654" s="447">
        <v>55</v>
      </c>
      <c r="B654" s="637"/>
      <c r="C654" s="637"/>
      <c r="D654" s="587"/>
      <c r="E654" s="560"/>
      <c r="F654" s="558"/>
      <c r="G654" s="588"/>
      <c r="H654" s="546"/>
      <c r="I654" s="563" t="s">
        <v>25</v>
      </c>
      <c r="J654" s="563" t="s">
        <v>25</v>
      </c>
      <c r="K654" s="564" t="s">
        <v>25</v>
      </c>
      <c r="L654" s="564" t="s">
        <v>25</v>
      </c>
      <c r="M654" s="638"/>
      <c r="N654" s="638"/>
      <c r="O654" s="664"/>
      <c r="P654" s="564" t="s">
        <v>25</v>
      </c>
      <c r="Q654" s="564" t="s">
        <v>25</v>
      </c>
      <c r="R654" s="665" t="s">
        <v>1820</v>
      </c>
      <c r="S654" s="666" t="s">
        <v>53</v>
      </c>
      <c r="T654" s="667">
        <v>0.5</v>
      </c>
      <c r="U654" s="668">
        <v>14.4</v>
      </c>
      <c r="V654" s="564">
        <v>5307665</v>
      </c>
      <c r="W654" s="564">
        <v>2654000</v>
      </c>
      <c r="X654" s="669" t="s">
        <v>63</v>
      </c>
      <c r="Y654" s="670" t="s">
        <v>55</v>
      </c>
      <c r="Z654" s="670" t="s">
        <v>56</v>
      </c>
      <c r="AA654" s="670" t="s">
        <v>57</v>
      </c>
      <c r="AB654" s="670" t="s">
        <v>63</v>
      </c>
      <c r="AC654" s="670" t="s">
        <v>430</v>
      </c>
      <c r="AD654" s="592"/>
      <c r="AE654" s="590"/>
      <c r="AF654" s="570" t="s">
        <v>2899</v>
      </c>
      <c r="AG654" s="570" t="s">
        <v>25</v>
      </c>
      <c r="AH654" s="571" t="s">
        <v>25</v>
      </c>
      <c r="AI654" s="558" t="s">
        <v>2410</v>
      </c>
      <c r="AJ654" s="558"/>
    </row>
    <row r="655" spans="1:38" s="376" customFormat="1" ht="60.75" outlineLevel="2" x14ac:dyDescent="0.3">
      <c r="A655" s="447">
        <v>55</v>
      </c>
      <c r="B655" s="637"/>
      <c r="C655" s="637"/>
      <c r="D655" s="587"/>
      <c r="E655" s="560"/>
      <c r="F655" s="558"/>
      <c r="G655" s="588"/>
      <c r="H655" s="546"/>
      <c r="I655" s="563" t="s">
        <v>25</v>
      </c>
      <c r="J655" s="563" t="s">
        <v>25</v>
      </c>
      <c r="K655" s="564" t="s">
        <v>25</v>
      </c>
      <c r="L655" s="564" t="s">
        <v>25</v>
      </c>
      <c r="M655" s="638"/>
      <c r="N655" s="638"/>
      <c r="O655" s="664"/>
      <c r="P655" s="564" t="s">
        <v>25</v>
      </c>
      <c r="Q655" s="564" t="s">
        <v>25</v>
      </c>
      <c r="R655" s="671" t="s">
        <v>1820</v>
      </c>
      <c r="S655" s="672" t="s">
        <v>53</v>
      </c>
      <c r="T655" s="667">
        <v>0.2</v>
      </c>
      <c r="U655" s="668">
        <v>14.7</v>
      </c>
      <c r="V655" s="564">
        <v>5307665</v>
      </c>
      <c r="W655" s="564">
        <v>1062000</v>
      </c>
      <c r="X655" s="669" t="s">
        <v>63</v>
      </c>
      <c r="Y655" s="670" t="s">
        <v>55</v>
      </c>
      <c r="Z655" s="670" t="s">
        <v>56</v>
      </c>
      <c r="AA655" s="670" t="s">
        <v>57</v>
      </c>
      <c r="AB655" s="670" t="s">
        <v>63</v>
      </c>
      <c r="AC655" s="670" t="s">
        <v>430</v>
      </c>
      <c r="AD655" s="592"/>
      <c r="AE655" s="590"/>
      <c r="AF655" s="570" t="s">
        <v>2899</v>
      </c>
      <c r="AG655" s="570" t="s">
        <v>25</v>
      </c>
      <c r="AH655" s="571" t="s">
        <v>25</v>
      </c>
      <c r="AI655" s="558" t="s">
        <v>2074</v>
      </c>
      <c r="AJ655" s="558"/>
    </row>
    <row r="656" spans="1:38" s="376" customFormat="1" ht="20.25" outlineLevel="2" x14ac:dyDescent="0.3">
      <c r="A656" s="447">
        <v>55</v>
      </c>
      <c r="B656" s="637"/>
      <c r="C656" s="637"/>
      <c r="D656" s="587"/>
      <c r="E656" s="560"/>
      <c r="F656" s="558"/>
      <c r="G656" s="588"/>
      <c r="H656" s="546"/>
      <c r="I656" s="563" t="s">
        <v>25</v>
      </c>
      <c r="J656" s="563" t="s">
        <v>25</v>
      </c>
      <c r="K656" s="564" t="s">
        <v>25</v>
      </c>
      <c r="L656" s="564" t="s">
        <v>25</v>
      </c>
      <c r="M656" s="638"/>
      <c r="N656" s="638"/>
      <c r="O656" s="664"/>
      <c r="P656" s="564" t="s">
        <v>25</v>
      </c>
      <c r="Q656" s="564" t="s">
        <v>25</v>
      </c>
      <c r="R656" s="593"/>
      <c r="S656" s="593"/>
      <c r="T656" s="617"/>
      <c r="U656" s="589"/>
      <c r="V656" s="564" t="s">
        <v>2899</v>
      </c>
      <c r="W656" s="564" t="s">
        <v>25</v>
      </c>
      <c r="X656" s="589"/>
      <c r="Y656" s="592"/>
      <c r="Z656" s="592"/>
      <c r="AA656" s="568"/>
      <c r="AB656" s="592"/>
      <c r="AC656" s="592"/>
      <c r="AD656" s="592"/>
      <c r="AE656" s="590"/>
      <c r="AF656" s="570" t="s">
        <v>2899</v>
      </c>
      <c r="AG656" s="570" t="s">
        <v>25</v>
      </c>
      <c r="AH656" s="571" t="s">
        <v>25</v>
      </c>
      <c r="AI656" s="575"/>
      <c r="AJ656" s="558"/>
    </row>
    <row r="657" spans="1:38" s="376" customFormat="1" ht="20.25" outlineLevel="2" x14ac:dyDescent="0.3">
      <c r="A657" s="447">
        <v>55</v>
      </c>
      <c r="B657" s="574"/>
      <c r="C657" s="574"/>
      <c r="D657" s="587"/>
      <c r="E657" s="615"/>
      <c r="F657" s="558"/>
      <c r="G657" s="588"/>
      <c r="H657" s="546"/>
      <c r="I657" s="563" t="s">
        <v>25</v>
      </c>
      <c r="J657" s="563" t="s">
        <v>25</v>
      </c>
      <c r="K657" s="564" t="s">
        <v>25</v>
      </c>
      <c r="L657" s="564" t="s">
        <v>25</v>
      </c>
      <c r="M657" s="558"/>
      <c r="N657" s="558"/>
      <c r="O657" s="590"/>
      <c r="P657" s="564" t="s">
        <v>25</v>
      </c>
      <c r="Q657" s="564" t="s">
        <v>25</v>
      </c>
      <c r="R657" s="593"/>
      <c r="S657" s="593"/>
      <c r="T657" s="617"/>
      <c r="U657" s="589"/>
      <c r="V657" s="564" t="s">
        <v>2899</v>
      </c>
      <c r="W657" s="564" t="s">
        <v>25</v>
      </c>
      <c r="X657" s="589"/>
      <c r="Y657" s="592"/>
      <c r="Z657" s="592"/>
      <c r="AA657" s="568"/>
      <c r="AB657" s="592"/>
      <c r="AC657" s="592"/>
      <c r="AD657" s="592"/>
      <c r="AE657" s="590"/>
      <c r="AF657" s="570" t="s">
        <v>2899</v>
      </c>
      <c r="AG657" s="570" t="s">
        <v>25</v>
      </c>
      <c r="AH657" s="571" t="s">
        <v>25</v>
      </c>
      <c r="AI657" s="593"/>
      <c r="AJ657" s="593"/>
    </row>
    <row r="658" spans="1:38" s="376" customFormat="1" ht="20.25" outlineLevel="2" x14ac:dyDescent="0.3">
      <c r="A658" s="447">
        <v>55</v>
      </c>
      <c r="B658" s="637"/>
      <c r="C658" s="637"/>
      <c r="D658" s="587"/>
      <c r="E658" s="560"/>
      <c r="F658" s="558"/>
      <c r="G658" s="604"/>
      <c r="H658" s="546"/>
      <c r="I658" s="563" t="s">
        <v>25</v>
      </c>
      <c r="J658" s="563" t="s">
        <v>25</v>
      </c>
      <c r="K658" s="564" t="s">
        <v>25</v>
      </c>
      <c r="L658" s="564" t="s">
        <v>25</v>
      </c>
      <c r="M658" s="593"/>
      <c r="N658" s="593"/>
      <c r="O658" s="616"/>
      <c r="P658" s="564" t="s">
        <v>25</v>
      </c>
      <c r="Q658" s="564" t="s">
        <v>25</v>
      </c>
      <c r="R658" s="593"/>
      <c r="S658" s="593"/>
      <c r="T658" s="617"/>
      <c r="U658" s="589"/>
      <c r="V658" s="564" t="s">
        <v>2899</v>
      </c>
      <c r="W658" s="564" t="s">
        <v>25</v>
      </c>
      <c r="X658" s="589"/>
      <c r="Y658" s="589"/>
      <c r="Z658" s="589"/>
      <c r="AA658" s="562"/>
      <c r="AB658" s="589"/>
      <c r="AC658" s="589"/>
      <c r="AD658" s="589"/>
      <c r="AE658" s="629"/>
      <c r="AF658" s="570" t="s">
        <v>2899</v>
      </c>
      <c r="AG658" s="570" t="s">
        <v>25</v>
      </c>
      <c r="AH658" s="571" t="s">
        <v>25</v>
      </c>
      <c r="AI658" s="593"/>
      <c r="AJ658" s="593"/>
    </row>
    <row r="659" spans="1:38" s="376" customFormat="1" ht="20.25" outlineLevel="2" x14ac:dyDescent="0.3">
      <c r="A659" s="447">
        <v>55</v>
      </c>
      <c r="B659" s="637"/>
      <c r="C659" s="637"/>
      <c r="D659" s="587"/>
      <c r="E659" s="560"/>
      <c r="F659" s="558"/>
      <c r="G659" s="588"/>
      <c r="H659" s="546"/>
      <c r="I659" s="563" t="s">
        <v>25</v>
      </c>
      <c r="J659" s="563" t="s">
        <v>25</v>
      </c>
      <c r="K659" s="564" t="s">
        <v>25</v>
      </c>
      <c r="L659" s="564" t="s">
        <v>25</v>
      </c>
      <c r="M659" s="558"/>
      <c r="N659" s="558"/>
      <c r="O659" s="590"/>
      <c r="P659" s="564" t="s">
        <v>25</v>
      </c>
      <c r="Q659" s="564" t="s">
        <v>25</v>
      </c>
      <c r="R659" s="566"/>
      <c r="S659" s="589"/>
      <c r="T659" s="591"/>
      <c r="U659" s="589"/>
      <c r="V659" s="564" t="s">
        <v>2899</v>
      </c>
      <c r="W659" s="564" t="s">
        <v>25</v>
      </c>
      <c r="X659" s="589"/>
      <c r="Y659" s="592"/>
      <c r="Z659" s="592"/>
      <c r="AA659" s="568"/>
      <c r="AB659" s="592"/>
      <c r="AC659" s="592"/>
      <c r="AD659" s="592"/>
      <c r="AE659" s="590"/>
      <c r="AF659" s="570" t="s">
        <v>2899</v>
      </c>
      <c r="AG659" s="570" t="s">
        <v>25</v>
      </c>
      <c r="AH659" s="571" t="s">
        <v>25</v>
      </c>
      <c r="AI659" s="558"/>
      <c r="AJ659" s="558"/>
    </row>
    <row r="660" spans="1:38" s="376" customFormat="1" ht="20.25" outlineLevel="2" x14ac:dyDescent="0.3">
      <c r="A660" s="447">
        <v>55</v>
      </c>
      <c r="B660" s="636"/>
      <c r="C660" s="636"/>
      <c r="D660" s="595"/>
      <c r="E660" s="577"/>
      <c r="F660" s="558"/>
      <c r="G660" s="588"/>
      <c r="H660" s="546"/>
      <c r="I660" s="563" t="s">
        <v>25</v>
      </c>
      <c r="J660" s="563" t="s">
        <v>25</v>
      </c>
      <c r="K660" s="564" t="s">
        <v>25</v>
      </c>
      <c r="L660" s="564" t="s">
        <v>25</v>
      </c>
      <c r="M660" s="558"/>
      <c r="N660" s="558"/>
      <c r="O660" s="590"/>
      <c r="P660" s="564" t="s">
        <v>25</v>
      </c>
      <c r="Q660" s="564" t="s">
        <v>25</v>
      </c>
      <c r="R660" s="638"/>
      <c r="S660" s="639"/>
      <c r="T660" s="591"/>
      <c r="U660" s="589"/>
      <c r="V660" s="564" t="s">
        <v>2899</v>
      </c>
      <c r="W660" s="564" t="s">
        <v>25</v>
      </c>
      <c r="X660" s="589"/>
      <c r="Y660" s="592"/>
      <c r="Z660" s="592"/>
      <c r="AA660" s="568"/>
      <c r="AB660" s="592"/>
      <c r="AC660" s="592"/>
      <c r="AD660" s="592"/>
      <c r="AE660" s="590"/>
      <c r="AF660" s="570" t="s">
        <v>2899</v>
      </c>
      <c r="AG660" s="570" t="s">
        <v>25</v>
      </c>
      <c r="AH660" s="571" t="s">
        <v>25</v>
      </c>
      <c r="AI660" s="558"/>
      <c r="AJ660" s="558"/>
    </row>
    <row r="661" spans="1:38" s="376" customFormat="1" ht="40.5" outlineLevel="1" x14ac:dyDescent="0.25">
      <c r="A661" s="467">
        <v>56</v>
      </c>
      <c r="B661" s="636" t="s">
        <v>223</v>
      </c>
      <c r="C661" s="773" t="s">
        <v>2902</v>
      </c>
      <c r="D661" s="587">
        <v>86</v>
      </c>
      <c r="E661" s="560">
        <v>37</v>
      </c>
      <c r="F661" s="574"/>
      <c r="G661" s="618">
        <v>53.5</v>
      </c>
      <c r="H661" s="579">
        <v>37.299999999999997</v>
      </c>
      <c r="I661" s="581"/>
      <c r="J661" s="581"/>
      <c r="K661" s="571">
        <v>29660000</v>
      </c>
      <c r="L661" s="571">
        <v>62037000</v>
      </c>
      <c r="M661" s="673"/>
      <c r="N661" s="673"/>
      <c r="O661" s="599">
        <v>0</v>
      </c>
      <c r="P661" s="571"/>
      <c r="Q661" s="571">
        <v>0</v>
      </c>
      <c r="R661" s="673"/>
      <c r="S661" s="674"/>
      <c r="T661" s="600">
        <v>71.53</v>
      </c>
      <c r="U661" s="597"/>
      <c r="V661" s="571"/>
      <c r="W661" s="571">
        <v>38450000</v>
      </c>
      <c r="X661" s="589"/>
      <c r="Y661" s="592"/>
      <c r="Z661" s="592"/>
      <c r="AA661" s="568"/>
      <c r="AB661" s="592"/>
      <c r="AC661" s="592"/>
      <c r="AD661" s="601"/>
      <c r="AE661" s="599">
        <f>SUBTOTAL(9,AE662:AE669)</f>
        <v>0</v>
      </c>
      <c r="AF661" s="585"/>
      <c r="AG661" s="585">
        <v>0</v>
      </c>
      <c r="AH661" s="571">
        <v>130147000</v>
      </c>
      <c r="AI661" s="574"/>
      <c r="AJ661" s="578"/>
    </row>
    <row r="662" spans="1:38" s="376" customFormat="1" ht="121.5" outlineLevel="2" x14ac:dyDescent="0.3">
      <c r="A662" s="447">
        <v>56</v>
      </c>
      <c r="B662" s="637" t="s">
        <v>224</v>
      </c>
      <c r="C662" s="637"/>
      <c r="D662" s="587">
        <v>86</v>
      </c>
      <c r="E662" s="560">
        <v>37</v>
      </c>
      <c r="F662" s="558" t="s">
        <v>2469</v>
      </c>
      <c r="G662" s="588">
        <v>37.299999999999997</v>
      </c>
      <c r="H662" s="546">
        <v>37.299999999999997</v>
      </c>
      <c r="I662" s="563">
        <v>554400</v>
      </c>
      <c r="J662" s="563">
        <v>1663200</v>
      </c>
      <c r="K662" s="564">
        <v>20679000</v>
      </c>
      <c r="L662" s="564">
        <v>62037000</v>
      </c>
      <c r="M662" s="638"/>
      <c r="N662" s="638"/>
      <c r="O662" s="590"/>
      <c r="P662" s="564" t="s">
        <v>25</v>
      </c>
      <c r="Q662" s="564" t="s">
        <v>25</v>
      </c>
      <c r="R662" s="638" t="s">
        <v>2289</v>
      </c>
      <c r="S662" s="639" t="s">
        <v>53</v>
      </c>
      <c r="T662" s="591">
        <v>16.170000000000002</v>
      </c>
      <c r="U662" s="589"/>
      <c r="V662" s="564">
        <v>684506</v>
      </c>
      <c r="W662" s="564">
        <v>11068000</v>
      </c>
      <c r="X662" s="589"/>
      <c r="Y662" s="592" t="s">
        <v>55</v>
      </c>
      <c r="Z662" s="592" t="s">
        <v>141</v>
      </c>
      <c r="AA662" s="568"/>
      <c r="AB662" s="592" t="s">
        <v>66</v>
      </c>
      <c r="AC662" s="592"/>
      <c r="AD662" s="592"/>
      <c r="AE662" s="590"/>
      <c r="AF662" s="570" t="s">
        <v>2899</v>
      </c>
      <c r="AG662" s="570"/>
      <c r="AH662" s="571" t="s">
        <v>25</v>
      </c>
      <c r="AI662" s="558" t="s">
        <v>690</v>
      </c>
      <c r="AJ662" s="586" t="s">
        <v>2771</v>
      </c>
    </row>
    <row r="663" spans="1:38" s="376" customFormat="1" ht="81" outlineLevel="2" x14ac:dyDescent="0.3">
      <c r="A663" s="447">
        <v>56</v>
      </c>
      <c r="B663" s="636" t="s">
        <v>225</v>
      </c>
      <c r="C663" s="636"/>
      <c r="D663" s="587"/>
      <c r="E663" s="560"/>
      <c r="F663" s="558" t="s">
        <v>2471</v>
      </c>
      <c r="G663" s="588">
        <v>16.2</v>
      </c>
      <c r="H663" s="546" t="s">
        <v>2899</v>
      </c>
      <c r="I663" s="563">
        <v>554400</v>
      </c>
      <c r="J663" s="563">
        <v>0</v>
      </c>
      <c r="K663" s="564">
        <v>8981000</v>
      </c>
      <c r="L663" s="564">
        <v>0</v>
      </c>
      <c r="M663" s="558"/>
      <c r="N663" s="558"/>
      <c r="O663" s="590"/>
      <c r="P663" s="564" t="s">
        <v>25</v>
      </c>
      <c r="Q663" s="564" t="s">
        <v>25</v>
      </c>
      <c r="R663" s="566" t="s">
        <v>2333</v>
      </c>
      <c r="S663" s="589" t="s">
        <v>53</v>
      </c>
      <c r="T663" s="591">
        <v>24.64</v>
      </c>
      <c r="U663" s="589"/>
      <c r="V663" s="564">
        <v>211811</v>
      </c>
      <c r="W663" s="564">
        <v>5219000</v>
      </c>
      <c r="X663" s="589"/>
      <c r="Y663" s="592"/>
      <c r="Z663" s="592"/>
      <c r="AA663" s="568"/>
      <c r="AB663" s="592"/>
      <c r="AC663" s="592"/>
      <c r="AD663" s="592"/>
      <c r="AE663" s="590"/>
      <c r="AF663" s="570" t="s">
        <v>2899</v>
      </c>
      <c r="AG663" s="570" t="s">
        <v>25</v>
      </c>
      <c r="AH663" s="571" t="s">
        <v>25</v>
      </c>
      <c r="AI663" s="558" t="s">
        <v>540</v>
      </c>
      <c r="AJ663" s="605" t="s">
        <v>2448</v>
      </c>
    </row>
    <row r="664" spans="1:38" s="376" customFormat="1" ht="121.5" outlineLevel="2" x14ac:dyDescent="0.3">
      <c r="A664" s="447">
        <v>56</v>
      </c>
      <c r="B664" s="558" t="s">
        <v>226</v>
      </c>
      <c r="C664" s="558"/>
      <c r="D664" s="587"/>
      <c r="E664" s="560"/>
      <c r="F664" s="558"/>
      <c r="G664" s="588"/>
      <c r="H664" s="546"/>
      <c r="I664" s="563" t="s">
        <v>25</v>
      </c>
      <c r="J664" s="563" t="s">
        <v>25</v>
      </c>
      <c r="K664" s="564" t="s">
        <v>25</v>
      </c>
      <c r="L664" s="564" t="s">
        <v>25</v>
      </c>
      <c r="M664" s="558"/>
      <c r="N664" s="558"/>
      <c r="O664" s="590"/>
      <c r="P664" s="564" t="s">
        <v>25</v>
      </c>
      <c r="Q664" s="564" t="s">
        <v>25</v>
      </c>
      <c r="R664" s="566" t="s">
        <v>2334</v>
      </c>
      <c r="S664" s="589" t="s">
        <v>53</v>
      </c>
      <c r="T664" s="591">
        <v>16.940000000000001</v>
      </c>
      <c r="U664" s="589"/>
      <c r="V664" s="564">
        <v>949258</v>
      </c>
      <c r="W664" s="564">
        <v>16080000</v>
      </c>
      <c r="X664" s="589"/>
      <c r="Y664" s="592"/>
      <c r="Z664" s="592"/>
      <c r="AA664" s="568"/>
      <c r="AB664" s="592"/>
      <c r="AC664" s="592"/>
      <c r="AD664" s="592"/>
      <c r="AE664" s="590"/>
      <c r="AF664" s="570" t="s">
        <v>2899</v>
      </c>
      <c r="AG664" s="570" t="s">
        <v>25</v>
      </c>
      <c r="AH664" s="571" t="s">
        <v>25</v>
      </c>
      <c r="AI664" s="608" t="s">
        <v>111</v>
      </c>
      <c r="AJ664" s="558" t="s">
        <v>2450</v>
      </c>
    </row>
    <row r="665" spans="1:38" s="376" customFormat="1" ht="101.25" outlineLevel="2" x14ac:dyDescent="0.3">
      <c r="A665" s="447">
        <v>56</v>
      </c>
      <c r="B665" s="637" t="s">
        <v>691</v>
      </c>
      <c r="C665" s="637"/>
      <c r="D665" s="587"/>
      <c r="E665" s="615"/>
      <c r="F665" s="558"/>
      <c r="G665" s="588"/>
      <c r="H665" s="546"/>
      <c r="I665" s="563" t="s">
        <v>25</v>
      </c>
      <c r="J665" s="563" t="s">
        <v>25</v>
      </c>
      <c r="K665" s="564" t="s">
        <v>25</v>
      </c>
      <c r="L665" s="564" t="s">
        <v>25</v>
      </c>
      <c r="M665" s="558"/>
      <c r="N665" s="558"/>
      <c r="O665" s="590"/>
      <c r="P665" s="564" t="s">
        <v>25</v>
      </c>
      <c r="Q665" s="564" t="s">
        <v>25</v>
      </c>
      <c r="R665" s="566" t="s">
        <v>2335</v>
      </c>
      <c r="S665" s="589" t="s">
        <v>53</v>
      </c>
      <c r="T665" s="591">
        <v>13.78</v>
      </c>
      <c r="U665" s="589"/>
      <c r="V665" s="564">
        <v>441467</v>
      </c>
      <c r="W665" s="564">
        <v>6083000</v>
      </c>
      <c r="X665" s="589"/>
      <c r="Y665" s="592"/>
      <c r="Z665" s="592"/>
      <c r="AA665" s="568"/>
      <c r="AB665" s="592"/>
      <c r="AC665" s="592"/>
      <c r="AD665" s="592"/>
      <c r="AE665" s="590"/>
      <c r="AF665" s="570" t="s">
        <v>2899</v>
      </c>
      <c r="AG665" s="570" t="s">
        <v>25</v>
      </c>
      <c r="AH665" s="571" t="s">
        <v>25</v>
      </c>
      <c r="AI665" s="558" t="s">
        <v>2074</v>
      </c>
      <c r="AJ665" s="558" t="s">
        <v>2800</v>
      </c>
    </row>
    <row r="666" spans="1:38" s="376" customFormat="1" ht="20.25" outlineLevel="2" x14ac:dyDescent="0.3">
      <c r="A666" s="447">
        <v>56</v>
      </c>
      <c r="B666" s="637"/>
      <c r="C666" s="637"/>
      <c r="D666" s="587"/>
      <c r="E666" s="615"/>
      <c r="F666" s="558"/>
      <c r="G666" s="604"/>
      <c r="H666" s="546"/>
      <c r="I666" s="563" t="s">
        <v>25</v>
      </c>
      <c r="J666" s="563" t="s">
        <v>25</v>
      </c>
      <c r="K666" s="564" t="s">
        <v>25</v>
      </c>
      <c r="L666" s="564" t="s">
        <v>25</v>
      </c>
      <c r="M666" s="593"/>
      <c r="N666" s="593"/>
      <c r="O666" s="616"/>
      <c r="P666" s="564" t="s">
        <v>25</v>
      </c>
      <c r="Q666" s="564" t="s">
        <v>25</v>
      </c>
      <c r="R666" s="593"/>
      <c r="S666" s="593"/>
      <c r="T666" s="617"/>
      <c r="U666" s="589"/>
      <c r="V666" s="564" t="s">
        <v>2899</v>
      </c>
      <c r="W666" s="564" t="s">
        <v>25</v>
      </c>
      <c r="X666" s="589"/>
      <c r="Y666" s="589"/>
      <c r="Z666" s="589"/>
      <c r="AA666" s="562"/>
      <c r="AB666" s="589"/>
      <c r="AC666" s="589"/>
      <c r="AD666" s="589"/>
      <c r="AE666" s="629"/>
      <c r="AF666" s="570" t="s">
        <v>2899</v>
      </c>
      <c r="AG666" s="570" t="s">
        <v>25</v>
      </c>
      <c r="AH666" s="571" t="s">
        <v>25</v>
      </c>
      <c r="AI666" s="575"/>
      <c r="AJ666" s="593"/>
    </row>
    <row r="667" spans="1:38" s="376" customFormat="1" ht="20.25" outlineLevel="2" x14ac:dyDescent="0.3">
      <c r="A667" s="447">
        <v>56</v>
      </c>
      <c r="B667" s="637"/>
      <c r="C667" s="637"/>
      <c r="D667" s="587"/>
      <c r="E667" s="560"/>
      <c r="F667" s="558"/>
      <c r="G667" s="604"/>
      <c r="H667" s="546"/>
      <c r="I667" s="563" t="s">
        <v>25</v>
      </c>
      <c r="J667" s="563" t="s">
        <v>25</v>
      </c>
      <c r="K667" s="564" t="s">
        <v>25</v>
      </c>
      <c r="L667" s="564" t="s">
        <v>25</v>
      </c>
      <c r="M667" s="593"/>
      <c r="N667" s="593"/>
      <c r="O667" s="616"/>
      <c r="P667" s="564" t="s">
        <v>25</v>
      </c>
      <c r="Q667" s="564" t="s">
        <v>25</v>
      </c>
      <c r="R667" s="593"/>
      <c r="S667" s="593"/>
      <c r="T667" s="617"/>
      <c r="U667" s="589"/>
      <c r="V667" s="564" t="s">
        <v>2899</v>
      </c>
      <c r="W667" s="564" t="s">
        <v>25</v>
      </c>
      <c r="X667" s="589"/>
      <c r="Y667" s="589"/>
      <c r="Z667" s="589"/>
      <c r="AA667" s="562"/>
      <c r="AB667" s="589"/>
      <c r="AC667" s="589"/>
      <c r="AD667" s="589"/>
      <c r="AE667" s="629"/>
      <c r="AF667" s="570" t="s">
        <v>2899</v>
      </c>
      <c r="AG667" s="570" t="s">
        <v>25</v>
      </c>
      <c r="AH667" s="571" t="s">
        <v>25</v>
      </c>
      <c r="AI667" s="575"/>
      <c r="AJ667" s="593"/>
      <c r="AL667" s="377" t="s">
        <v>2151</v>
      </c>
    </row>
    <row r="668" spans="1:38" s="376" customFormat="1" ht="20.25" outlineLevel="2" x14ac:dyDescent="0.3">
      <c r="A668" s="447">
        <v>56</v>
      </c>
      <c r="B668" s="574"/>
      <c r="C668" s="574"/>
      <c r="D668" s="587"/>
      <c r="E668" s="560"/>
      <c r="F668" s="558"/>
      <c r="G668" s="588"/>
      <c r="H668" s="546"/>
      <c r="I668" s="563" t="s">
        <v>25</v>
      </c>
      <c r="J668" s="563" t="s">
        <v>25</v>
      </c>
      <c r="K668" s="564" t="s">
        <v>25</v>
      </c>
      <c r="L668" s="564" t="s">
        <v>25</v>
      </c>
      <c r="M668" s="558"/>
      <c r="N668" s="558"/>
      <c r="O668" s="590"/>
      <c r="P668" s="564" t="s">
        <v>25</v>
      </c>
      <c r="Q668" s="564" t="s">
        <v>25</v>
      </c>
      <c r="R668" s="566"/>
      <c r="S668" s="589"/>
      <c r="T668" s="591"/>
      <c r="U668" s="589"/>
      <c r="V668" s="564" t="s">
        <v>2899</v>
      </c>
      <c r="W668" s="564" t="s">
        <v>25</v>
      </c>
      <c r="X668" s="589"/>
      <c r="Y668" s="592"/>
      <c r="Z668" s="592"/>
      <c r="AA668" s="568"/>
      <c r="AB668" s="592"/>
      <c r="AC668" s="592"/>
      <c r="AD668" s="592"/>
      <c r="AE668" s="590"/>
      <c r="AF668" s="570" t="s">
        <v>2899</v>
      </c>
      <c r="AG668" s="570" t="s">
        <v>25</v>
      </c>
      <c r="AH668" s="571" t="s">
        <v>25</v>
      </c>
      <c r="AI668" s="593"/>
      <c r="AJ668" s="593"/>
    </row>
    <row r="669" spans="1:38" s="376" customFormat="1" ht="20.25" outlineLevel="2" x14ac:dyDescent="0.3">
      <c r="A669" s="447">
        <v>56</v>
      </c>
      <c r="B669" s="636"/>
      <c r="C669" s="636"/>
      <c r="D669" s="577"/>
      <c r="E669" s="595"/>
      <c r="F669" s="558"/>
      <c r="G669" s="588"/>
      <c r="H669" s="546"/>
      <c r="I669" s="563" t="s">
        <v>25</v>
      </c>
      <c r="J669" s="563" t="s">
        <v>25</v>
      </c>
      <c r="K669" s="564" t="s">
        <v>25</v>
      </c>
      <c r="L669" s="564" t="s">
        <v>25</v>
      </c>
      <c r="M669" s="558"/>
      <c r="N669" s="558"/>
      <c r="O669" s="590"/>
      <c r="P669" s="564" t="s">
        <v>25</v>
      </c>
      <c r="Q669" s="564" t="s">
        <v>25</v>
      </c>
      <c r="R669" s="566"/>
      <c r="S669" s="589"/>
      <c r="T669" s="591"/>
      <c r="U669" s="589"/>
      <c r="V669" s="564" t="s">
        <v>2899</v>
      </c>
      <c r="W669" s="564" t="s">
        <v>25</v>
      </c>
      <c r="X669" s="589"/>
      <c r="Y669" s="592"/>
      <c r="Z669" s="592"/>
      <c r="AA669" s="568"/>
      <c r="AB669" s="592"/>
      <c r="AC669" s="592"/>
      <c r="AD669" s="592"/>
      <c r="AE669" s="590"/>
      <c r="AF669" s="570" t="s">
        <v>2899</v>
      </c>
      <c r="AG669" s="570" t="s">
        <v>25</v>
      </c>
      <c r="AH669" s="571" t="s">
        <v>25</v>
      </c>
      <c r="AI669" s="593"/>
      <c r="AJ669" s="593"/>
    </row>
    <row r="670" spans="1:38" s="376" customFormat="1" ht="40.5" outlineLevel="1" x14ac:dyDescent="0.25">
      <c r="A670" s="467">
        <v>57</v>
      </c>
      <c r="B670" s="636" t="s">
        <v>41</v>
      </c>
      <c r="C670" s="773" t="s">
        <v>2902</v>
      </c>
      <c r="D670" s="560">
        <v>86</v>
      </c>
      <c r="E670" s="587">
        <v>227</v>
      </c>
      <c r="F670" s="574"/>
      <c r="G670" s="618">
        <v>45.8</v>
      </c>
      <c r="H670" s="579">
        <v>20.8</v>
      </c>
      <c r="I670" s="581"/>
      <c r="J670" s="581"/>
      <c r="K670" s="571">
        <v>155592000</v>
      </c>
      <c r="L670" s="571">
        <v>34595000</v>
      </c>
      <c r="M670" s="673"/>
      <c r="N670" s="673"/>
      <c r="O670" s="675">
        <v>0</v>
      </c>
      <c r="P670" s="571"/>
      <c r="Q670" s="571">
        <v>0</v>
      </c>
      <c r="R670" s="582"/>
      <c r="S670" s="597"/>
      <c r="T670" s="600">
        <v>94.21</v>
      </c>
      <c r="U670" s="597"/>
      <c r="V670" s="571"/>
      <c r="W670" s="571">
        <v>92392000</v>
      </c>
      <c r="X670" s="589"/>
      <c r="Y670" s="592"/>
      <c r="Z670" s="592"/>
      <c r="AA670" s="568"/>
      <c r="AB670" s="592"/>
      <c r="AC670" s="592"/>
      <c r="AD670" s="601"/>
      <c r="AE670" s="599">
        <f>SUBTOTAL(9,AE671:AE679)</f>
        <v>0</v>
      </c>
      <c r="AF670" s="585"/>
      <c r="AG670" s="585">
        <v>0</v>
      </c>
      <c r="AH670" s="571">
        <v>282579000</v>
      </c>
      <c r="AI670" s="574"/>
      <c r="AJ670" s="578"/>
    </row>
    <row r="671" spans="1:38" s="376" customFormat="1" ht="121.5" outlineLevel="2" x14ac:dyDescent="0.3">
      <c r="A671" s="447">
        <v>57</v>
      </c>
      <c r="B671" s="637" t="s">
        <v>227</v>
      </c>
      <c r="C671" s="637"/>
      <c r="D671" s="560">
        <v>86</v>
      </c>
      <c r="E671" s="587">
        <v>227</v>
      </c>
      <c r="F671" s="558" t="s">
        <v>2037</v>
      </c>
      <c r="G671" s="588">
        <v>25</v>
      </c>
      <c r="H671" s="546" t="s">
        <v>2899</v>
      </c>
      <c r="I671" s="563">
        <v>5762400</v>
      </c>
      <c r="J671" s="563">
        <v>0</v>
      </c>
      <c r="K671" s="564">
        <v>144060000</v>
      </c>
      <c r="L671" s="564">
        <v>0</v>
      </c>
      <c r="M671" s="638"/>
      <c r="N671" s="638"/>
      <c r="O671" s="664"/>
      <c r="P671" s="564" t="s">
        <v>25</v>
      </c>
      <c r="Q671" s="564" t="s">
        <v>25</v>
      </c>
      <c r="R671" s="566" t="s">
        <v>1885</v>
      </c>
      <c r="S671" s="589" t="s">
        <v>53</v>
      </c>
      <c r="T671" s="591">
        <v>15.75</v>
      </c>
      <c r="U671" s="589"/>
      <c r="V671" s="564">
        <v>3460013</v>
      </c>
      <c r="W671" s="564">
        <v>54495000</v>
      </c>
      <c r="X671" s="589" t="s">
        <v>63</v>
      </c>
      <c r="Y671" s="592" t="s">
        <v>55</v>
      </c>
      <c r="Z671" s="592" t="s">
        <v>141</v>
      </c>
      <c r="AA671" s="568" t="s">
        <v>57</v>
      </c>
      <c r="AB671" s="592" t="s">
        <v>54</v>
      </c>
      <c r="AC671" s="592"/>
      <c r="AD671" s="592"/>
      <c r="AE671" s="590"/>
      <c r="AF671" s="570" t="s">
        <v>2899</v>
      </c>
      <c r="AG671" s="570"/>
      <c r="AH671" s="571" t="s">
        <v>25</v>
      </c>
      <c r="AI671" s="558" t="s">
        <v>228</v>
      </c>
      <c r="AJ671" s="586" t="s">
        <v>2771</v>
      </c>
    </row>
    <row r="672" spans="1:38" s="376" customFormat="1" ht="101.25" outlineLevel="2" x14ac:dyDescent="0.3">
      <c r="A672" s="447">
        <v>57</v>
      </c>
      <c r="B672" s="637" t="s">
        <v>692</v>
      </c>
      <c r="C672" s="637"/>
      <c r="D672" s="587"/>
      <c r="E672" s="560"/>
      <c r="F672" s="558" t="s">
        <v>2469</v>
      </c>
      <c r="G672" s="588">
        <v>20.8</v>
      </c>
      <c r="H672" s="546">
        <v>20.8</v>
      </c>
      <c r="I672" s="563">
        <v>554400</v>
      </c>
      <c r="J672" s="563">
        <v>1663200</v>
      </c>
      <c r="K672" s="564">
        <v>11532000</v>
      </c>
      <c r="L672" s="564">
        <v>34595000</v>
      </c>
      <c r="M672" s="638"/>
      <c r="N672" s="638"/>
      <c r="O672" s="664"/>
      <c r="P672" s="564" t="s">
        <v>25</v>
      </c>
      <c r="Q672" s="564" t="s">
        <v>25</v>
      </c>
      <c r="R672" s="566" t="s">
        <v>1846</v>
      </c>
      <c r="S672" s="589" t="s">
        <v>53</v>
      </c>
      <c r="T672" s="591">
        <v>7.5900000000000007</v>
      </c>
      <c r="U672" s="589"/>
      <c r="V672" s="564">
        <v>238288</v>
      </c>
      <c r="W672" s="564">
        <v>1809000</v>
      </c>
      <c r="X672" s="589"/>
      <c r="Y672" s="592"/>
      <c r="Z672" s="592"/>
      <c r="AA672" s="568"/>
      <c r="AB672" s="592"/>
      <c r="AC672" s="592"/>
      <c r="AD672" s="592"/>
      <c r="AE672" s="590"/>
      <c r="AF672" s="570" t="s">
        <v>2899</v>
      </c>
      <c r="AG672" s="570" t="s">
        <v>25</v>
      </c>
      <c r="AH672" s="571" t="s">
        <v>25</v>
      </c>
      <c r="AI672" s="558" t="s">
        <v>543</v>
      </c>
      <c r="AJ672" s="605" t="s">
        <v>2448</v>
      </c>
    </row>
    <row r="673" spans="1:38" s="376" customFormat="1" ht="121.5" outlineLevel="2" x14ac:dyDescent="0.3">
      <c r="A673" s="447">
        <v>57</v>
      </c>
      <c r="B673" s="558" t="s">
        <v>314</v>
      </c>
      <c r="C673" s="558"/>
      <c r="D673" s="587"/>
      <c r="E673" s="560"/>
      <c r="F673" s="558"/>
      <c r="G673" s="588"/>
      <c r="H673" s="546"/>
      <c r="I673" s="563" t="s">
        <v>25</v>
      </c>
      <c r="J673" s="563" t="s">
        <v>25</v>
      </c>
      <c r="K673" s="564" t="s">
        <v>25</v>
      </c>
      <c r="L673" s="564" t="s">
        <v>25</v>
      </c>
      <c r="M673" s="638"/>
      <c r="N673" s="638"/>
      <c r="O673" s="664"/>
      <c r="P673" s="564" t="s">
        <v>25</v>
      </c>
      <c r="Q673" s="564" t="s">
        <v>25</v>
      </c>
      <c r="R673" s="566" t="s">
        <v>1768</v>
      </c>
      <c r="S673" s="589" t="s">
        <v>53</v>
      </c>
      <c r="T673" s="591">
        <v>11.5</v>
      </c>
      <c r="U673" s="589"/>
      <c r="V673" s="564">
        <v>238288</v>
      </c>
      <c r="W673" s="564">
        <v>2740000</v>
      </c>
      <c r="X673" s="589"/>
      <c r="Y673" s="592"/>
      <c r="Z673" s="592"/>
      <c r="AA673" s="568"/>
      <c r="AB673" s="592"/>
      <c r="AC673" s="592"/>
      <c r="AD673" s="592"/>
      <c r="AE673" s="590"/>
      <c r="AF673" s="570" t="s">
        <v>2899</v>
      </c>
      <c r="AG673" s="570" t="s">
        <v>25</v>
      </c>
      <c r="AH673" s="571" t="s">
        <v>25</v>
      </c>
      <c r="AI673" s="593" t="s">
        <v>335</v>
      </c>
      <c r="AJ673" s="558" t="s">
        <v>2450</v>
      </c>
    </row>
    <row r="674" spans="1:38" s="376" customFormat="1" ht="101.25" outlineLevel="2" x14ac:dyDescent="0.3">
      <c r="A674" s="447">
        <v>57</v>
      </c>
      <c r="B674" s="558"/>
      <c r="C674" s="558"/>
      <c r="D674" s="587"/>
      <c r="E674" s="615"/>
      <c r="F674" s="558"/>
      <c r="G674" s="588"/>
      <c r="H674" s="546"/>
      <c r="I674" s="563" t="s">
        <v>25</v>
      </c>
      <c r="J674" s="563" t="s">
        <v>25</v>
      </c>
      <c r="K674" s="564" t="s">
        <v>25</v>
      </c>
      <c r="L674" s="564" t="s">
        <v>25</v>
      </c>
      <c r="M674" s="638"/>
      <c r="N674" s="638"/>
      <c r="O674" s="664"/>
      <c r="P674" s="564" t="s">
        <v>25</v>
      </c>
      <c r="Q674" s="564" t="s">
        <v>25</v>
      </c>
      <c r="R674" s="566" t="s">
        <v>1767</v>
      </c>
      <c r="S674" s="589" t="s">
        <v>53</v>
      </c>
      <c r="T674" s="591">
        <v>8.5500000000000007</v>
      </c>
      <c r="U674" s="589"/>
      <c r="V674" s="564">
        <v>0</v>
      </c>
      <c r="W674" s="564">
        <v>0</v>
      </c>
      <c r="X674" s="589"/>
      <c r="Y674" s="592"/>
      <c r="Z674" s="592"/>
      <c r="AA674" s="568"/>
      <c r="AB674" s="592"/>
      <c r="AC674" s="592"/>
      <c r="AD674" s="592"/>
      <c r="AE674" s="590"/>
      <c r="AF674" s="570" t="s">
        <v>2899</v>
      </c>
      <c r="AG674" s="570" t="s">
        <v>25</v>
      </c>
      <c r="AH674" s="571" t="s">
        <v>25</v>
      </c>
      <c r="AI674" s="558" t="s">
        <v>2074</v>
      </c>
      <c r="AJ674" s="558" t="s">
        <v>2800</v>
      </c>
    </row>
    <row r="675" spans="1:38" s="376" customFormat="1" ht="81" outlineLevel="2" x14ac:dyDescent="0.3">
      <c r="A675" s="447">
        <v>57</v>
      </c>
      <c r="B675" s="638"/>
      <c r="C675" s="638"/>
      <c r="D675" s="587"/>
      <c r="E675" s="560"/>
      <c r="F675" s="558"/>
      <c r="G675" s="604"/>
      <c r="H675" s="546"/>
      <c r="I675" s="563" t="s">
        <v>25</v>
      </c>
      <c r="J675" s="563" t="s">
        <v>25</v>
      </c>
      <c r="K675" s="564" t="s">
        <v>25</v>
      </c>
      <c r="L675" s="564" t="s">
        <v>25</v>
      </c>
      <c r="M675" s="593"/>
      <c r="N675" s="593"/>
      <c r="O675" s="616"/>
      <c r="P675" s="564" t="s">
        <v>25</v>
      </c>
      <c r="Q675" s="564" t="s">
        <v>25</v>
      </c>
      <c r="R675" s="558" t="s">
        <v>2336</v>
      </c>
      <c r="S675" s="589" t="s">
        <v>53</v>
      </c>
      <c r="T675" s="591">
        <v>17.68</v>
      </c>
      <c r="U675" s="589"/>
      <c r="V675" s="564">
        <v>1067915</v>
      </c>
      <c r="W675" s="564">
        <v>18881000</v>
      </c>
      <c r="X675" s="589"/>
      <c r="Y675" s="589"/>
      <c r="Z675" s="589"/>
      <c r="AA675" s="562"/>
      <c r="AB675" s="589"/>
      <c r="AC675" s="589"/>
      <c r="AD675" s="589"/>
      <c r="AE675" s="629"/>
      <c r="AF675" s="570" t="s">
        <v>2899</v>
      </c>
      <c r="AG675" s="570" t="s">
        <v>25</v>
      </c>
      <c r="AH675" s="571" t="s">
        <v>25</v>
      </c>
      <c r="AI675" s="575"/>
      <c r="AJ675" s="593"/>
    </row>
    <row r="676" spans="1:38" s="376" customFormat="1" ht="81" outlineLevel="2" x14ac:dyDescent="0.3">
      <c r="A676" s="447">
        <v>57</v>
      </c>
      <c r="B676" s="638"/>
      <c r="C676" s="638"/>
      <c r="D676" s="587"/>
      <c r="E676" s="560"/>
      <c r="F676" s="558"/>
      <c r="G676" s="588"/>
      <c r="H676" s="546"/>
      <c r="I676" s="563" t="s">
        <v>25</v>
      </c>
      <c r="J676" s="563" t="s">
        <v>25</v>
      </c>
      <c r="K676" s="564" t="s">
        <v>25</v>
      </c>
      <c r="L676" s="564" t="s">
        <v>25</v>
      </c>
      <c r="M676" s="638"/>
      <c r="N676" s="638"/>
      <c r="O676" s="664"/>
      <c r="P676" s="564" t="s">
        <v>25</v>
      </c>
      <c r="Q676" s="564" t="s">
        <v>25</v>
      </c>
      <c r="R676" s="566" t="s">
        <v>2337</v>
      </c>
      <c r="S676" s="589" t="s">
        <v>53</v>
      </c>
      <c r="T676" s="591">
        <v>25.43</v>
      </c>
      <c r="U676" s="589"/>
      <c r="V676" s="564">
        <v>496651</v>
      </c>
      <c r="W676" s="564">
        <v>12630000</v>
      </c>
      <c r="X676" s="589"/>
      <c r="Y676" s="592"/>
      <c r="Z676" s="592"/>
      <c r="AA676" s="568"/>
      <c r="AB676" s="592"/>
      <c r="AC676" s="592"/>
      <c r="AD676" s="592"/>
      <c r="AE676" s="590"/>
      <c r="AF676" s="570" t="s">
        <v>2899</v>
      </c>
      <c r="AG676" s="570" t="s">
        <v>25</v>
      </c>
      <c r="AH676" s="571" t="s">
        <v>25</v>
      </c>
      <c r="AI676" s="558"/>
      <c r="AJ676" s="558"/>
    </row>
    <row r="677" spans="1:38" s="376" customFormat="1" ht="60.75" outlineLevel="2" x14ac:dyDescent="0.3">
      <c r="A677" s="447">
        <v>57</v>
      </c>
      <c r="B677" s="638"/>
      <c r="C677" s="638"/>
      <c r="D677" s="587"/>
      <c r="E677" s="560"/>
      <c r="F677" s="558"/>
      <c r="G677" s="588"/>
      <c r="H677" s="546"/>
      <c r="I677" s="563" t="s">
        <v>25</v>
      </c>
      <c r="J677" s="563" t="s">
        <v>25</v>
      </c>
      <c r="K677" s="564" t="s">
        <v>25</v>
      </c>
      <c r="L677" s="564" t="s">
        <v>25</v>
      </c>
      <c r="M677" s="638"/>
      <c r="N677" s="638"/>
      <c r="O677" s="664"/>
      <c r="P677" s="564" t="s">
        <v>25</v>
      </c>
      <c r="Q677" s="564" t="s">
        <v>25</v>
      </c>
      <c r="R677" s="566" t="s">
        <v>1768</v>
      </c>
      <c r="S677" s="589" t="s">
        <v>53</v>
      </c>
      <c r="T677" s="591">
        <v>7.71</v>
      </c>
      <c r="U677" s="589"/>
      <c r="V677" s="564">
        <v>238288</v>
      </c>
      <c r="W677" s="564">
        <v>1837000</v>
      </c>
      <c r="X677" s="589"/>
      <c r="Y677" s="592"/>
      <c r="Z677" s="592"/>
      <c r="AA677" s="568"/>
      <c r="AB677" s="592"/>
      <c r="AC677" s="592"/>
      <c r="AD677" s="592"/>
      <c r="AE677" s="590"/>
      <c r="AF677" s="570" t="s">
        <v>2899</v>
      </c>
      <c r="AG677" s="570" t="s">
        <v>25</v>
      </c>
      <c r="AH677" s="571" t="s">
        <v>25</v>
      </c>
      <c r="AI677" s="558"/>
      <c r="AJ677" s="558"/>
    </row>
    <row r="678" spans="1:38" s="376" customFormat="1" ht="20.25" outlineLevel="2" x14ac:dyDescent="0.3">
      <c r="A678" s="447">
        <v>57</v>
      </c>
      <c r="B678" s="558"/>
      <c r="C678" s="558"/>
      <c r="D678" s="587"/>
      <c r="E678" s="560"/>
      <c r="F678" s="558"/>
      <c r="G678" s="588"/>
      <c r="H678" s="546"/>
      <c r="I678" s="563" t="s">
        <v>25</v>
      </c>
      <c r="J678" s="563" t="s">
        <v>25</v>
      </c>
      <c r="K678" s="564" t="s">
        <v>25</v>
      </c>
      <c r="L678" s="564" t="s">
        <v>25</v>
      </c>
      <c r="M678" s="638"/>
      <c r="N678" s="638"/>
      <c r="O678" s="664"/>
      <c r="P678" s="564" t="s">
        <v>25</v>
      </c>
      <c r="Q678" s="564" t="s">
        <v>25</v>
      </c>
      <c r="R678" s="566"/>
      <c r="S678" s="589"/>
      <c r="T678" s="591"/>
      <c r="U678" s="589"/>
      <c r="V678" s="564" t="s">
        <v>2899</v>
      </c>
      <c r="W678" s="564" t="s">
        <v>25</v>
      </c>
      <c r="X678" s="589"/>
      <c r="Y678" s="592"/>
      <c r="Z678" s="592"/>
      <c r="AA678" s="568"/>
      <c r="AB678" s="592"/>
      <c r="AC678" s="592"/>
      <c r="AD678" s="592"/>
      <c r="AE678" s="590"/>
      <c r="AF678" s="570" t="s">
        <v>2899</v>
      </c>
      <c r="AG678" s="570" t="s">
        <v>25</v>
      </c>
      <c r="AH678" s="571" t="s">
        <v>25</v>
      </c>
      <c r="AI678" s="558"/>
      <c r="AJ678" s="558"/>
    </row>
    <row r="679" spans="1:38" s="376" customFormat="1" ht="20.25" outlineLevel="2" x14ac:dyDescent="0.3">
      <c r="A679" s="447">
        <v>57</v>
      </c>
      <c r="B679" s="636"/>
      <c r="C679" s="636"/>
      <c r="D679" s="595"/>
      <c r="E679" s="577"/>
      <c r="F679" s="558"/>
      <c r="G679" s="588"/>
      <c r="H679" s="546"/>
      <c r="I679" s="563" t="s">
        <v>25</v>
      </c>
      <c r="J679" s="563" t="s">
        <v>25</v>
      </c>
      <c r="K679" s="564" t="s">
        <v>25</v>
      </c>
      <c r="L679" s="564" t="s">
        <v>25</v>
      </c>
      <c r="M679" s="638"/>
      <c r="N679" s="638"/>
      <c r="O679" s="664"/>
      <c r="P679" s="564" t="s">
        <v>25</v>
      </c>
      <c r="Q679" s="564" t="s">
        <v>25</v>
      </c>
      <c r="R679" s="566"/>
      <c r="S679" s="589"/>
      <c r="T679" s="591"/>
      <c r="U679" s="589"/>
      <c r="V679" s="564" t="s">
        <v>2899</v>
      </c>
      <c r="W679" s="564" t="s">
        <v>25</v>
      </c>
      <c r="X679" s="589"/>
      <c r="Y679" s="592"/>
      <c r="Z679" s="592"/>
      <c r="AA679" s="568"/>
      <c r="AB679" s="592"/>
      <c r="AC679" s="592"/>
      <c r="AD679" s="592"/>
      <c r="AE679" s="590"/>
      <c r="AF679" s="570" t="s">
        <v>2899</v>
      </c>
      <c r="AG679" s="570" t="s">
        <v>25</v>
      </c>
      <c r="AH679" s="571" t="s">
        <v>25</v>
      </c>
      <c r="AI679" s="593"/>
      <c r="AJ679" s="593"/>
    </row>
    <row r="680" spans="1:38" s="376" customFormat="1" ht="40.5" outlineLevel="1" x14ac:dyDescent="0.25">
      <c r="A680" s="467">
        <v>58</v>
      </c>
      <c r="B680" s="636" t="s">
        <v>287</v>
      </c>
      <c r="C680" s="773" t="s">
        <v>2902</v>
      </c>
      <c r="D680" s="587">
        <v>86</v>
      </c>
      <c r="E680" s="560">
        <v>133</v>
      </c>
      <c r="F680" s="574"/>
      <c r="G680" s="618">
        <v>64.3</v>
      </c>
      <c r="H680" s="579">
        <v>0</v>
      </c>
      <c r="I680" s="581"/>
      <c r="J680" s="581"/>
      <c r="K680" s="571">
        <v>29938000</v>
      </c>
      <c r="L680" s="571">
        <v>0</v>
      </c>
      <c r="M680" s="673"/>
      <c r="N680" s="673"/>
      <c r="O680" s="676">
        <v>0</v>
      </c>
      <c r="P680" s="571"/>
      <c r="Q680" s="571">
        <v>0</v>
      </c>
      <c r="R680" s="673"/>
      <c r="S680" s="674"/>
      <c r="T680" s="600">
        <v>87.92</v>
      </c>
      <c r="U680" s="597"/>
      <c r="V680" s="571"/>
      <c r="W680" s="571">
        <v>40431000</v>
      </c>
      <c r="X680" s="589"/>
      <c r="Y680" s="592"/>
      <c r="Z680" s="592"/>
      <c r="AA680" s="568"/>
      <c r="AB680" s="592"/>
      <c r="AC680" s="592"/>
      <c r="AD680" s="601"/>
      <c r="AE680" s="599">
        <f>SUBTOTAL(9,AE681:AE687)</f>
        <v>0</v>
      </c>
      <c r="AF680" s="585"/>
      <c r="AG680" s="585">
        <v>0</v>
      </c>
      <c r="AH680" s="571">
        <v>70369000</v>
      </c>
      <c r="AI680" s="574"/>
      <c r="AJ680" s="578"/>
    </row>
    <row r="681" spans="1:38" s="376" customFormat="1" ht="121.5" outlineLevel="2" x14ac:dyDescent="0.3">
      <c r="A681" s="447">
        <v>58</v>
      </c>
      <c r="B681" s="637" t="s">
        <v>288</v>
      </c>
      <c r="C681" s="637"/>
      <c r="D681" s="587"/>
      <c r="E681" s="560"/>
      <c r="F681" s="558" t="s">
        <v>2476</v>
      </c>
      <c r="G681" s="588">
        <v>64.3</v>
      </c>
      <c r="H681" s="546" t="s">
        <v>2899</v>
      </c>
      <c r="I681" s="563">
        <v>465600</v>
      </c>
      <c r="J681" s="563">
        <v>0</v>
      </c>
      <c r="K681" s="564">
        <v>29938000</v>
      </c>
      <c r="L681" s="564">
        <v>0</v>
      </c>
      <c r="M681" s="638"/>
      <c r="N681" s="638"/>
      <c r="O681" s="677"/>
      <c r="P681" s="564" t="s">
        <v>25</v>
      </c>
      <c r="Q681" s="564" t="s">
        <v>25</v>
      </c>
      <c r="R681" s="638" t="s">
        <v>1839</v>
      </c>
      <c r="S681" s="639" t="s">
        <v>53</v>
      </c>
      <c r="T681" s="591">
        <v>39.299999999999997</v>
      </c>
      <c r="U681" s="589"/>
      <c r="V681" s="564">
        <v>244604</v>
      </c>
      <c r="W681" s="564">
        <v>9613000</v>
      </c>
      <c r="X681" s="589"/>
      <c r="Y681" s="592"/>
      <c r="Z681" s="592"/>
      <c r="AA681" s="568"/>
      <c r="AB681" s="592"/>
      <c r="AC681" s="592"/>
      <c r="AD681" s="592"/>
      <c r="AE681" s="590"/>
      <c r="AF681" s="570" t="s">
        <v>2899</v>
      </c>
      <c r="AG681" s="570"/>
      <c r="AH681" s="571" t="s">
        <v>25</v>
      </c>
      <c r="AI681" s="558" t="s">
        <v>289</v>
      </c>
      <c r="AJ681" s="586" t="s">
        <v>2771</v>
      </c>
    </row>
    <row r="682" spans="1:38" s="376" customFormat="1" ht="121.5" outlineLevel="2" x14ac:dyDescent="0.3">
      <c r="A682" s="447">
        <v>58</v>
      </c>
      <c r="B682" s="637" t="s">
        <v>693</v>
      </c>
      <c r="C682" s="637"/>
      <c r="D682" s="587"/>
      <c r="E682" s="560"/>
      <c r="F682" s="558"/>
      <c r="G682" s="588"/>
      <c r="H682" s="546"/>
      <c r="I682" s="563" t="s">
        <v>25</v>
      </c>
      <c r="J682" s="563" t="s">
        <v>25</v>
      </c>
      <c r="K682" s="564" t="s">
        <v>25</v>
      </c>
      <c r="L682" s="564" t="s">
        <v>25</v>
      </c>
      <c r="M682" s="638"/>
      <c r="N682" s="638"/>
      <c r="O682" s="664"/>
      <c r="P682" s="564" t="s">
        <v>25</v>
      </c>
      <c r="Q682" s="564" t="s">
        <v>25</v>
      </c>
      <c r="R682" s="638" t="s">
        <v>1749</v>
      </c>
      <c r="S682" s="639" t="s">
        <v>53</v>
      </c>
      <c r="T682" s="591">
        <v>14.5</v>
      </c>
      <c r="U682" s="589"/>
      <c r="V682" s="564">
        <v>211811</v>
      </c>
      <c r="W682" s="564">
        <v>3071000</v>
      </c>
      <c r="X682" s="589"/>
      <c r="Y682" s="592"/>
      <c r="Z682" s="592"/>
      <c r="AA682" s="568"/>
      <c r="AB682" s="592"/>
      <c r="AC682" s="592"/>
      <c r="AD682" s="592"/>
      <c r="AE682" s="590"/>
      <c r="AF682" s="570" t="s">
        <v>2899</v>
      </c>
      <c r="AG682" s="570" t="s">
        <v>25</v>
      </c>
      <c r="AH682" s="571" t="s">
        <v>25</v>
      </c>
      <c r="AI682" s="558" t="s">
        <v>548</v>
      </c>
      <c r="AJ682" s="558" t="s">
        <v>2450</v>
      </c>
    </row>
    <row r="683" spans="1:38" s="376" customFormat="1" ht="101.25" outlineLevel="2" x14ac:dyDescent="0.3">
      <c r="A683" s="447">
        <v>58</v>
      </c>
      <c r="B683" s="558" t="s">
        <v>299</v>
      </c>
      <c r="C683" s="558"/>
      <c r="D683" s="587"/>
      <c r="E683" s="560"/>
      <c r="F683" s="558"/>
      <c r="G683" s="588"/>
      <c r="H683" s="546"/>
      <c r="I683" s="563" t="s">
        <v>25</v>
      </c>
      <c r="J683" s="563" t="s">
        <v>25</v>
      </c>
      <c r="K683" s="564" t="s">
        <v>25</v>
      </c>
      <c r="L683" s="564" t="s">
        <v>25</v>
      </c>
      <c r="M683" s="638"/>
      <c r="N683" s="638"/>
      <c r="O683" s="664"/>
      <c r="P683" s="564" t="s">
        <v>25</v>
      </c>
      <c r="Q683" s="564" t="s">
        <v>25</v>
      </c>
      <c r="R683" s="638" t="s">
        <v>2154</v>
      </c>
      <c r="S683" s="639" t="s">
        <v>53</v>
      </c>
      <c r="T683" s="591">
        <v>19</v>
      </c>
      <c r="U683" s="589"/>
      <c r="V683" s="564">
        <v>949258</v>
      </c>
      <c r="W683" s="564">
        <v>18036000</v>
      </c>
      <c r="X683" s="589"/>
      <c r="Y683" s="592"/>
      <c r="Z683" s="592"/>
      <c r="AA683" s="568"/>
      <c r="AB683" s="592"/>
      <c r="AC683" s="592"/>
      <c r="AD683" s="592"/>
      <c r="AE683" s="590"/>
      <c r="AF683" s="570" t="s">
        <v>2899</v>
      </c>
      <c r="AG683" s="570" t="s">
        <v>25</v>
      </c>
      <c r="AH683" s="571" t="s">
        <v>25</v>
      </c>
      <c r="AI683" s="558" t="s">
        <v>2208</v>
      </c>
      <c r="AJ683" s="558" t="s">
        <v>2800</v>
      </c>
    </row>
    <row r="684" spans="1:38" s="376" customFormat="1" ht="60.75" outlineLevel="2" x14ac:dyDescent="0.3">
      <c r="A684" s="447">
        <v>58</v>
      </c>
      <c r="B684" s="558"/>
      <c r="C684" s="558"/>
      <c r="D684" s="587"/>
      <c r="E684" s="615"/>
      <c r="F684" s="558"/>
      <c r="G684" s="588"/>
      <c r="H684" s="546"/>
      <c r="I684" s="563" t="s">
        <v>25</v>
      </c>
      <c r="J684" s="563" t="s">
        <v>25</v>
      </c>
      <c r="K684" s="564" t="s">
        <v>25</v>
      </c>
      <c r="L684" s="564" t="s">
        <v>25</v>
      </c>
      <c r="M684" s="638"/>
      <c r="N684" s="638"/>
      <c r="O684" s="664"/>
      <c r="P684" s="564" t="s">
        <v>25</v>
      </c>
      <c r="Q684" s="564" t="s">
        <v>25</v>
      </c>
      <c r="R684" s="638" t="s">
        <v>2155</v>
      </c>
      <c r="S684" s="639" t="s">
        <v>53</v>
      </c>
      <c r="T684" s="591">
        <v>15.12</v>
      </c>
      <c r="U684" s="589"/>
      <c r="V684" s="564">
        <v>642264</v>
      </c>
      <c r="W684" s="564">
        <v>9711000</v>
      </c>
      <c r="X684" s="589"/>
      <c r="Y684" s="592"/>
      <c r="Z684" s="592"/>
      <c r="AA684" s="568"/>
      <c r="AB684" s="592"/>
      <c r="AC684" s="592"/>
      <c r="AD684" s="592"/>
      <c r="AE684" s="590"/>
      <c r="AF684" s="570" t="s">
        <v>2899</v>
      </c>
      <c r="AG684" s="570" t="s">
        <v>25</v>
      </c>
      <c r="AH684" s="571" t="s">
        <v>25</v>
      </c>
      <c r="AI684" s="575"/>
      <c r="AJ684" s="593"/>
      <c r="AL684" s="378" t="s">
        <v>2153</v>
      </c>
    </row>
    <row r="685" spans="1:38" s="376" customFormat="1" ht="20.25" outlineLevel="2" x14ac:dyDescent="0.3">
      <c r="A685" s="447">
        <v>58</v>
      </c>
      <c r="B685" s="558"/>
      <c r="C685" s="558"/>
      <c r="D685" s="587"/>
      <c r="E685" s="560"/>
      <c r="F685" s="558"/>
      <c r="G685" s="604"/>
      <c r="H685" s="546"/>
      <c r="I685" s="563" t="s">
        <v>25</v>
      </c>
      <c r="J685" s="563" t="s">
        <v>25</v>
      </c>
      <c r="K685" s="564" t="s">
        <v>25</v>
      </c>
      <c r="L685" s="564" t="s">
        <v>25</v>
      </c>
      <c r="M685" s="593"/>
      <c r="N685" s="593"/>
      <c r="O685" s="616"/>
      <c r="P685" s="564" t="s">
        <v>25</v>
      </c>
      <c r="Q685" s="564" t="s">
        <v>25</v>
      </c>
      <c r="R685" s="593"/>
      <c r="S685" s="593"/>
      <c r="T685" s="617"/>
      <c r="U685" s="589"/>
      <c r="V685" s="564" t="s">
        <v>2899</v>
      </c>
      <c r="W685" s="564" t="s">
        <v>25</v>
      </c>
      <c r="X685" s="589"/>
      <c r="Y685" s="589"/>
      <c r="Z685" s="589"/>
      <c r="AA685" s="562"/>
      <c r="AB685" s="589"/>
      <c r="AC685" s="589"/>
      <c r="AD685" s="589"/>
      <c r="AE685" s="629"/>
      <c r="AF685" s="570" t="s">
        <v>2899</v>
      </c>
      <c r="AG685" s="570" t="s">
        <v>25</v>
      </c>
      <c r="AH685" s="571" t="s">
        <v>25</v>
      </c>
      <c r="AI685" s="575"/>
      <c r="AJ685" s="593"/>
    </row>
    <row r="686" spans="1:38" s="376" customFormat="1" ht="20.25" outlineLevel="2" x14ac:dyDescent="0.3">
      <c r="A686" s="447">
        <v>58</v>
      </c>
      <c r="B686" s="574"/>
      <c r="C686" s="574"/>
      <c r="D686" s="587"/>
      <c r="E686" s="560"/>
      <c r="F686" s="558"/>
      <c r="G686" s="588"/>
      <c r="H686" s="546"/>
      <c r="I686" s="563" t="s">
        <v>25</v>
      </c>
      <c r="J686" s="563" t="s">
        <v>25</v>
      </c>
      <c r="K686" s="564" t="s">
        <v>25</v>
      </c>
      <c r="L686" s="564" t="s">
        <v>25</v>
      </c>
      <c r="M686" s="638"/>
      <c r="N686" s="638"/>
      <c r="O686" s="664"/>
      <c r="P686" s="564" t="s">
        <v>25</v>
      </c>
      <c r="Q686" s="564" t="s">
        <v>25</v>
      </c>
      <c r="R686" s="638"/>
      <c r="S686" s="639"/>
      <c r="T686" s="591"/>
      <c r="U686" s="589"/>
      <c r="V686" s="564" t="s">
        <v>2899</v>
      </c>
      <c r="W686" s="564" t="s">
        <v>25</v>
      </c>
      <c r="X686" s="589"/>
      <c r="Y686" s="592"/>
      <c r="Z686" s="592"/>
      <c r="AA686" s="568"/>
      <c r="AB686" s="592"/>
      <c r="AC686" s="592"/>
      <c r="AD686" s="592"/>
      <c r="AE686" s="590"/>
      <c r="AF686" s="570" t="s">
        <v>2899</v>
      </c>
      <c r="AG686" s="570" t="s">
        <v>25</v>
      </c>
      <c r="AH686" s="571" t="s">
        <v>25</v>
      </c>
      <c r="AI686" s="593"/>
      <c r="AJ686" s="593"/>
    </row>
    <row r="687" spans="1:38" s="376" customFormat="1" ht="20.25" outlineLevel="2" x14ac:dyDescent="0.3">
      <c r="A687" s="447">
        <v>58</v>
      </c>
      <c r="B687" s="574"/>
      <c r="C687" s="574"/>
      <c r="D687" s="595"/>
      <c r="E687" s="577"/>
      <c r="F687" s="558"/>
      <c r="G687" s="588"/>
      <c r="H687" s="546"/>
      <c r="I687" s="563" t="s">
        <v>25</v>
      </c>
      <c r="J687" s="563" t="s">
        <v>25</v>
      </c>
      <c r="K687" s="564" t="s">
        <v>25</v>
      </c>
      <c r="L687" s="564" t="s">
        <v>25</v>
      </c>
      <c r="M687" s="638"/>
      <c r="N687" s="638"/>
      <c r="O687" s="664"/>
      <c r="P687" s="564" t="s">
        <v>25</v>
      </c>
      <c r="Q687" s="564" t="s">
        <v>25</v>
      </c>
      <c r="R687" s="638"/>
      <c r="S687" s="639"/>
      <c r="T687" s="591"/>
      <c r="U687" s="589"/>
      <c r="V687" s="564" t="s">
        <v>2899</v>
      </c>
      <c r="W687" s="564" t="s">
        <v>25</v>
      </c>
      <c r="X687" s="589"/>
      <c r="Y687" s="592"/>
      <c r="Z687" s="592"/>
      <c r="AA687" s="568"/>
      <c r="AB687" s="592"/>
      <c r="AC687" s="592"/>
      <c r="AD687" s="592"/>
      <c r="AE687" s="590"/>
      <c r="AF687" s="570" t="s">
        <v>2899</v>
      </c>
      <c r="AG687" s="570" t="s">
        <v>25</v>
      </c>
      <c r="AH687" s="571" t="s">
        <v>25</v>
      </c>
      <c r="AI687" s="593"/>
      <c r="AJ687" s="593"/>
    </row>
    <row r="688" spans="1:38" s="376" customFormat="1" ht="40.5" outlineLevel="1" x14ac:dyDescent="0.25">
      <c r="A688" s="467">
        <v>59</v>
      </c>
      <c r="B688" s="574" t="s">
        <v>290</v>
      </c>
      <c r="C688" s="773" t="s">
        <v>2902</v>
      </c>
      <c r="D688" s="587">
        <v>86</v>
      </c>
      <c r="E688" s="560">
        <v>132</v>
      </c>
      <c r="F688" s="574"/>
      <c r="G688" s="618">
        <v>31.6</v>
      </c>
      <c r="H688" s="579">
        <v>0</v>
      </c>
      <c r="I688" s="581"/>
      <c r="J688" s="581"/>
      <c r="K688" s="571">
        <v>14713000</v>
      </c>
      <c r="L688" s="571">
        <v>0</v>
      </c>
      <c r="M688" s="673"/>
      <c r="N688" s="673"/>
      <c r="O688" s="675">
        <v>0</v>
      </c>
      <c r="P688" s="571"/>
      <c r="Q688" s="571">
        <v>0</v>
      </c>
      <c r="R688" s="673"/>
      <c r="S688" s="674"/>
      <c r="T688" s="600">
        <v>0</v>
      </c>
      <c r="U688" s="597"/>
      <c r="V688" s="571"/>
      <c r="W688" s="571">
        <v>0</v>
      </c>
      <c r="X688" s="589"/>
      <c r="Y688" s="592"/>
      <c r="Z688" s="592"/>
      <c r="AA688" s="568"/>
      <c r="AB688" s="592"/>
      <c r="AC688" s="592"/>
      <c r="AD688" s="601"/>
      <c r="AE688" s="599">
        <f>SUBTOTAL(9,AE689:AE695)</f>
        <v>0</v>
      </c>
      <c r="AF688" s="585"/>
      <c r="AG688" s="585">
        <v>0</v>
      </c>
      <c r="AH688" s="571">
        <v>14713000</v>
      </c>
      <c r="AI688" s="574"/>
      <c r="AJ688" s="578"/>
    </row>
    <row r="689" spans="1:36" s="376" customFormat="1" ht="121.5" outlineLevel="2" x14ac:dyDescent="0.3">
      <c r="A689" s="447">
        <v>59</v>
      </c>
      <c r="B689" s="558" t="s">
        <v>291</v>
      </c>
      <c r="C689" s="558"/>
      <c r="D689" s="587"/>
      <c r="E689" s="560"/>
      <c r="F689" s="558" t="s">
        <v>2476</v>
      </c>
      <c r="G689" s="588">
        <v>25.6</v>
      </c>
      <c r="H689" s="546" t="s">
        <v>2899</v>
      </c>
      <c r="I689" s="563">
        <v>465600</v>
      </c>
      <c r="J689" s="563">
        <v>0</v>
      </c>
      <c r="K689" s="564">
        <v>11919000</v>
      </c>
      <c r="L689" s="564">
        <v>0</v>
      </c>
      <c r="M689" s="638"/>
      <c r="N689" s="638"/>
      <c r="O689" s="664"/>
      <c r="P689" s="564" t="s">
        <v>25</v>
      </c>
      <c r="Q689" s="564" t="s">
        <v>25</v>
      </c>
      <c r="R689" s="638"/>
      <c r="S689" s="639"/>
      <c r="T689" s="591"/>
      <c r="U689" s="589"/>
      <c r="V689" s="564" t="s">
        <v>2899</v>
      </c>
      <c r="W689" s="564" t="s">
        <v>25</v>
      </c>
      <c r="X689" s="589"/>
      <c r="Y689" s="592"/>
      <c r="Z689" s="592"/>
      <c r="AA689" s="568"/>
      <c r="AB689" s="592"/>
      <c r="AC689" s="592"/>
      <c r="AD689" s="592"/>
      <c r="AE689" s="590"/>
      <c r="AF689" s="570" t="s">
        <v>2899</v>
      </c>
      <c r="AG689" s="570"/>
      <c r="AH689" s="571" t="s">
        <v>25</v>
      </c>
      <c r="AI689" s="558" t="s">
        <v>1704</v>
      </c>
      <c r="AJ689" s="586" t="s">
        <v>2771</v>
      </c>
    </row>
    <row r="690" spans="1:36" s="376" customFormat="1" ht="81" outlineLevel="2" x14ac:dyDescent="0.3">
      <c r="A690" s="447">
        <v>59</v>
      </c>
      <c r="B690" s="558" t="s">
        <v>694</v>
      </c>
      <c r="C690" s="558"/>
      <c r="D690" s="587"/>
      <c r="E690" s="560"/>
      <c r="F690" s="558" t="s">
        <v>2477</v>
      </c>
      <c r="G690" s="588">
        <v>6</v>
      </c>
      <c r="H690" s="546" t="s">
        <v>2899</v>
      </c>
      <c r="I690" s="563">
        <v>465600</v>
      </c>
      <c r="J690" s="563">
        <v>0</v>
      </c>
      <c r="K690" s="564">
        <v>2794000</v>
      </c>
      <c r="L690" s="564">
        <v>0</v>
      </c>
      <c r="M690" s="638"/>
      <c r="N690" s="638"/>
      <c r="O690" s="664"/>
      <c r="P690" s="564" t="s">
        <v>25</v>
      </c>
      <c r="Q690" s="564" t="s">
        <v>25</v>
      </c>
      <c r="R690" s="638"/>
      <c r="S690" s="639"/>
      <c r="T690" s="591"/>
      <c r="U690" s="589"/>
      <c r="V690" s="564" t="s">
        <v>2899</v>
      </c>
      <c r="W690" s="564" t="s">
        <v>25</v>
      </c>
      <c r="X690" s="589"/>
      <c r="Y690" s="592"/>
      <c r="Z690" s="592"/>
      <c r="AA690" s="568"/>
      <c r="AB690" s="592"/>
      <c r="AC690" s="592"/>
      <c r="AD690" s="592"/>
      <c r="AE690" s="590"/>
      <c r="AF690" s="570" t="s">
        <v>2899</v>
      </c>
      <c r="AG690" s="570" t="s">
        <v>25</v>
      </c>
      <c r="AH690" s="571" t="s">
        <v>25</v>
      </c>
      <c r="AI690" s="558" t="s">
        <v>553</v>
      </c>
      <c r="AJ690" s="558"/>
    </row>
    <row r="691" spans="1:36" s="376" customFormat="1" ht="101.25" outlineLevel="2" x14ac:dyDescent="0.3">
      <c r="A691" s="447">
        <v>59</v>
      </c>
      <c r="B691" s="558" t="s">
        <v>315</v>
      </c>
      <c r="C691" s="558"/>
      <c r="D691" s="587"/>
      <c r="E691" s="615"/>
      <c r="F691" s="558"/>
      <c r="G691" s="588"/>
      <c r="H691" s="546"/>
      <c r="I691" s="563" t="s">
        <v>25</v>
      </c>
      <c r="J691" s="563" t="s">
        <v>25</v>
      </c>
      <c r="K691" s="564" t="s">
        <v>25</v>
      </c>
      <c r="L691" s="564" t="s">
        <v>25</v>
      </c>
      <c r="M691" s="638"/>
      <c r="N691" s="638"/>
      <c r="O691" s="664"/>
      <c r="P691" s="564" t="s">
        <v>25</v>
      </c>
      <c r="Q691" s="564" t="s">
        <v>25</v>
      </c>
      <c r="R691" s="638"/>
      <c r="S691" s="639"/>
      <c r="T691" s="591"/>
      <c r="U691" s="589"/>
      <c r="V691" s="564" t="s">
        <v>2899</v>
      </c>
      <c r="W691" s="564" t="s">
        <v>25</v>
      </c>
      <c r="X691" s="589"/>
      <c r="Y691" s="592"/>
      <c r="Z691" s="592"/>
      <c r="AA691" s="568"/>
      <c r="AB691" s="592"/>
      <c r="AC691" s="592"/>
      <c r="AD691" s="592"/>
      <c r="AE691" s="590"/>
      <c r="AF691" s="570" t="s">
        <v>2899</v>
      </c>
      <c r="AG691" s="570" t="s">
        <v>25</v>
      </c>
      <c r="AH691" s="571" t="s">
        <v>25</v>
      </c>
      <c r="AI691" s="558" t="s">
        <v>1705</v>
      </c>
      <c r="AJ691" s="593"/>
    </row>
    <row r="692" spans="1:36" s="376" customFormat="1" ht="101.25" outlineLevel="2" x14ac:dyDescent="0.3">
      <c r="A692" s="447">
        <v>59</v>
      </c>
      <c r="B692" s="558"/>
      <c r="C692" s="558"/>
      <c r="D692" s="587"/>
      <c r="E692" s="560"/>
      <c r="F692" s="558"/>
      <c r="G692" s="604"/>
      <c r="H692" s="546"/>
      <c r="I692" s="563" t="s">
        <v>25</v>
      </c>
      <c r="J692" s="563" t="s">
        <v>25</v>
      </c>
      <c r="K692" s="564" t="s">
        <v>25</v>
      </c>
      <c r="L692" s="564" t="s">
        <v>25</v>
      </c>
      <c r="M692" s="593"/>
      <c r="N692" s="593"/>
      <c r="O692" s="616"/>
      <c r="P692" s="564" t="s">
        <v>25</v>
      </c>
      <c r="Q692" s="564" t="s">
        <v>25</v>
      </c>
      <c r="R692" s="593"/>
      <c r="S692" s="593"/>
      <c r="T692" s="617"/>
      <c r="U692" s="589"/>
      <c r="V692" s="564" t="s">
        <v>2899</v>
      </c>
      <c r="W692" s="564" t="s">
        <v>25</v>
      </c>
      <c r="X692" s="589"/>
      <c r="Y692" s="589"/>
      <c r="Z692" s="589"/>
      <c r="AA692" s="562"/>
      <c r="AB692" s="589"/>
      <c r="AC692" s="589"/>
      <c r="AD692" s="589"/>
      <c r="AE692" s="629"/>
      <c r="AF692" s="570" t="s">
        <v>2899</v>
      </c>
      <c r="AG692" s="570" t="s">
        <v>25</v>
      </c>
      <c r="AH692" s="571" t="s">
        <v>25</v>
      </c>
      <c r="AI692" s="558" t="s">
        <v>2209</v>
      </c>
      <c r="AJ692" s="558"/>
    </row>
    <row r="693" spans="1:36" s="376" customFormat="1" ht="20.25" outlineLevel="2" x14ac:dyDescent="0.3">
      <c r="A693" s="447">
        <v>59</v>
      </c>
      <c r="B693" s="558"/>
      <c r="C693" s="558"/>
      <c r="D693" s="587"/>
      <c r="E693" s="560"/>
      <c r="F693" s="558"/>
      <c r="G693" s="588"/>
      <c r="H693" s="546"/>
      <c r="I693" s="563" t="s">
        <v>25</v>
      </c>
      <c r="J693" s="563" t="s">
        <v>25</v>
      </c>
      <c r="K693" s="564" t="s">
        <v>25</v>
      </c>
      <c r="L693" s="564" t="s">
        <v>25</v>
      </c>
      <c r="M693" s="638"/>
      <c r="N693" s="638"/>
      <c r="O693" s="664"/>
      <c r="P693" s="564" t="s">
        <v>25</v>
      </c>
      <c r="Q693" s="564" t="s">
        <v>25</v>
      </c>
      <c r="R693" s="638"/>
      <c r="S693" s="639"/>
      <c r="T693" s="591"/>
      <c r="U693" s="589"/>
      <c r="V693" s="564" t="s">
        <v>2899</v>
      </c>
      <c r="W693" s="564" t="s">
        <v>25</v>
      </c>
      <c r="X693" s="589"/>
      <c r="Y693" s="592"/>
      <c r="Z693" s="592"/>
      <c r="AA693" s="568"/>
      <c r="AB693" s="592"/>
      <c r="AC693" s="592"/>
      <c r="AD693" s="592"/>
      <c r="AE693" s="590"/>
      <c r="AF693" s="570" t="s">
        <v>2899</v>
      </c>
      <c r="AG693" s="570" t="s">
        <v>25</v>
      </c>
      <c r="AH693" s="571" t="s">
        <v>25</v>
      </c>
      <c r="AI693" s="575"/>
      <c r="AJ693" s="593"/>
    </row>
    <row r="694" spans="1:36" s="376" customFormat="1" ht="20.25" outlineLevel="2" x14ac:dyDescent="0.3">
      <c r="A694" s="447">
        <v>59</v>
      </c>
      <c r="B694" s="558"/>
      <c r="C694" s="558"/>
      <c r="D694" s="587"/>
      <c r="E694" s="560"/>
      <c r="F694" s="558"/>
      <c r="G694" s="588"/>
      <c r="H694" s="546"/>
      <c r="I694" s="563" t="s">
        <v>25</v>
      </c>
      <c r="J694" s="563" t="s">
        <v>25</v>
      </c>
      <c r="K694" s="564" t="s">
        <v>25</v>
      </c>
      <c r="L694" s="564" t="s">
        <v>25</v>
      </c>
      <c r="M694" s="638"/>
      <c r="N694" s="638"/>
      <c r="O694" s="664"/>
      <c r="P694" s="564" t="s">
        <v>25</v>
      </c>
      <c r="Q694" s="564" t="s">
        <v>25</v>
      </c>
      <c r="R694" s="640"/>
      <c r="S694" s="639"/>
      <c r="T694" s="591"/>
      <c r="U694" s="589"/>
      <c r="V694" s="564" t="s">
        <v>2899</v>
      </c>
      <c r="W694" s="564" t="s">
        <v>25</v>
      </c>
      <c r="X694" s="589"/>
      <c r="Y694" s="592"/>
      <c r="Z694" s="592"/>
      <c r="AA694" s="568"/>
      <c r="AB694" s="592"/>
      <c r="AC694" s="592"/>
      <c r="AD694" s="592"/>
      <c r="AE694" s="590"/>
      <c r="AF694" s="570" t="s">
        <v>2899</v>
      </c>
      <c r="AG694" s="570" t="s">
        <v>25</v>
      </c>
      <c r="AH694" s="571" t="s">
        <v>25</v>
      </c>
      <c r="AI694" s="593"/>
      <c r="AJ694" s="593"/>
    </row>
    <row r="695" spans="1:36" s="376" customFormat="1" ht="20.25" outlineLevel="2" x14ac:dyDescent="0.3">
      <c r="A695" s="447">
        <v>59</v>
      </c>
      <c r="B695" s="574"/>
      <c r="C695" s="574"/>
      <c r="D695" s="595"/>
      <c r="E695" s="577"/>
      <c r="F695" s="558"/>
      <c r="G695" s="588"/>
      <c r="H695" s="546"/>
      <c r="I695" s="563" t="s">
        <v>25</v>
      </c>
      <c r="J695" s="563" t="s">
        <v>25</v>
      </c>
      <c r="K695" s="564" t="s">
        <v>25</v>
      </c>
      <c r="L695" s="564" t="s">
        <v>25</v>
      </c>
      <c r="M695" s="638"/>
      <c r="N695" s="638"/>
      <c r="O695" s="664"/>
      <c r="P695" s="564" t="s">
        <v>25</v>
      </c>
      <c r="Q695" s="564" t="s">
        <v>25</v>
      </c>
      <c r="R695" s="638"/>
      <c r="S695" s="639"/>
      <c r="T695" s="591"/>
      <c r="U695" s="589"/>
      <c r="V695" s="564" t="s">
        <v>2899</v>
      </c>
      <c r="W695" s="564" t="s">
        <v>25</v>
      </c>
      <c r="X695" s="589"/>
      <c r="Y695" s="592"/>
      <c r="Z695" s="592"/>
      <c r="AA695" s="568"/>
      <c r="AB695" s="592"/>
      <c r="AC695" s="592"/>
      <c r="AD695" s="592"/>
      <c r="AE695" s="590"/>
      <c r="AF695" s="570" t="s">
        <v>2899</v>
      </c>
      <c r="AG695" s="570" t="s">
        <v>25</v>
      </c>
      <c r="AH695" s="571" t="s">
        <v>25</v>
      </c>
      <c r="AI695" s="593"/>
      <c r="AJ695" s="593"/>
    </row>
    <row r="696" spans="1:36" s="376" customFormat="1" ht="40.5" outlineLevel="1" x14ac:dyDescent="0.25">
      <c r="A696" s="467">
        <v>60</v>
      </c>
      <c r="B696" s="574" t="s">
        <v>290</v>
      </c>
      <c r="C696" s="773" t="s">
        <v>2902</v>
      </c>
      <c r="D696" s="587">
        <v>86</v>
      </c>
      <c r="E696" s="560">
        <v>131</v>
      </c>
      <c r="F696" s="574"/>
      <c r="G696" s="618">
        <v>31.3</v>
      </c>
      <c r="H696" s="579">
        <v>0</v>
      </c>
      <c r="I696" s="581"/>
      <c r="J696" s="581"/>
      <c r="K696" s="571">
        <v>14574000</v>
      </c>
      <c r="L696" s="571">
        <v>0</v>
      </c>
      <c r="M696" s="673"/>
      <c r="N696" s="673"/>
      <c r="O696" s="675">
        <v>5</v>
      </c>
      <c r="P696" s="571"/>
      <c r="Q696" s="571">
        <v>125000</v>
      </c>
      <c r="R696" s="678"/>
      <c r="S696" s="674"/>
      <c r="T696" s="600">
        <v>0</v>
      </c>
      <c r="U696" s="597"/>
      <c r="V696" s="571"/>
      <c r="W696" s="571">
        <v>0</v>
      </c>
      <c r="X696" s="589"/>
      <c r="Y696" s="592"/>
      <c r="Z696" s="592"/>
      <c r="AA696" s="568"/>
      <c r="AB696" s="592"/>
      <c r="AC696" s="592"/>
      <c r="AD696" s="601"/>
      <c r="AE696" s="599">
        <f>SUBTOTAL(9,AE697:AE703)</f>
        <v>0</v>
      </c>
      <c r="AF696" s="585"/>
      <c r="AG696" s="585">
        <v>0</v>
      </c>
      <c r="AH696" s="571">
        <v>14699000</v>
      </c>
      <c r="AI696" s="574"/>
      <c r="AJ696" s="578"/>
    </row>
    <row r="697" spans="1:36" s="376" customFormat="1" ht="121.5" outlineLevel="2" x14ac:dyDescent="0.3">
      <c r="A697" s="447">
        <v>60</v>
      </c>
      <c r="B697" s="558" t="s">
        <v>291</v>
      </c>
      <c r="C697" s="558"/>
      <c r="D697" s="587">
        <v>86</v>
      </c>
      <c r="E697" s="560">
        <v>131</v>
      </c>
      <c r="F697" s="558" t="s">
        <v>2476</v>
      </c>
      <c r="G697" s="588">
        <v>30.1</v>
      </c>
      <c r="H697" s="546" t="s">
        <v>2899</v>
      </c>
      <c r="I697" s="563">
        <v>465600</v>
      </c>
      <c r="J697" s="563">
        <v>0</v>
      </c>
      <c r="K697" s="564">
        <v>14015000</v>
      </c>
      <c r="L697" s="564">
        <v>0</v>
      </c>
      <c r="M697" s="638" t="s">
        <v>462</v>
      </c>
      <c r="N697" s="638"/>
      <c r="O697" s="664">
        <v>5</v>
      </c>
      <c r="P697" s="564">
        <v>25000</v>
      </c>
      <c r="Q697" s="564">
        <v>125000</v>
      </c>
      <c r="R697" s="640"/>
      <c r="S697" s="639"/>
      <c r="T697" s="591"/>
      <c r="U697" s="589"/>
      <c r="V697" s="564" t="s">
        <v>2899</v>
      </c>
      <c r="W697" s="564" t="s">
        <v>25</v>
      </c>
      <c r="X697" s="589"/>
      <c r="Y697" s="592"/>
      <c r="Z697" s="592"/>
      <c r="AA697" s="568"/>
      <c r="AB697" s="592"/>
      <c r="AC697" s="592"/>
      <c r="AD697" s="592"/>
      <c r="AE697" s="590"/>
      <c r="AF697" s="570" t="s">
        <v>2899</v>
      </c>
      <c r="AG697" s="570" t="s">
        <v>25</v>
      </c>
      <c r="AH697" s="571" t="s">
        <v>25</v>
      </c>
      <c r="AI697" s="558" t="s">
        <v>1706</v>
      </c>
      <c r="AJ697" s="586" t="s">
        <v>2771</v>
      </c>
    </row>
    <row r="698" spans="1:36" s="376" customFormat="1" ht="101.25" outlineLevel="2" x14ac:dyDescent="0.3">
      <c r="A698" s="447">
        <v>60</v>
      </c>
      <c r="B698" s="558" t="s">
        <v>694</v>
      </c>
      <c r="C698" s="558"/>
      <c r="D698" s="587"/>
      <c r="E698" s="560"/>
      <c r="F698" s="558" t="s">
        <v>2478</v>
      </c>
      <c r="G698" s="588">
        <v>1.2</v>
      </c>
      <c r="H698" s="546" t="s">
        <v>2899</v>
      </c>
      <c r="I698" s="563">
        <v>465600</v>
      </c>
      <c r="J698" s="563">
        <v>0</v>
      </c>
      <c r="K698" s="564">
        <v>559000</v>
      </c>
      <c r="L698" s="564">
        <v>0</v>
      </c>
      <c r="M698" s="638"/>
      <c r="N698" s="638"/>
      <c r="O698" s="664"/>
      <c r="P698" s="564" t="s">
        <v>25</v>
      </c>
      <c r="Q698" s="564" t="s">
        <v>25</v>
      </c>
      <c r="R698" s="638"/>
      <c r="S698" s="639"/>
      <c r="T698" s="591"/>
      <c r="U698" s="589"/>
      <c r="V698" s="564" t="s">
        <v>2899</v>
      </c>
      <c r="W698" s="564" t="s">
        <v>25</v>
      </c>
      <c r="X698" s="589"/>
      <c r="Y698" s="592"/>
      <c r="Z698" s="592"/>
      <c r="AA698" s="568"/>
      <c r="AB698" s="592"/>
      <c r="AC698" s="592"/>
      <c r="AD698" s="592"/>
      <c r="AE698" s="590"/>
      <c r="AF698" s="570" t="s">
        <v>2899</v>
      </c>
      <c r="AG698" s="570" t="s">
        <v>25</v>
      </c>
      <c r="AH698" s="571" t="s">
        <v>25</v>
      </c>
      <c r="AI698" s="558" t="s">
        <v>555</v>
      </c>
      <c r="AJ698" s="558" t="s">
        <v>2449</v>
      </c>
    </row>
    <row r="699" spans="1:36" s="376" customFormat="1" ht="40.5" outlineLevel="2" x14ac:dyDescent="0.3">
      <c r="A699" s="447">
        <v>60</v>
      </c>
      <c r="B699" s="558" t="s">
        <v>315</v>
      </c>
      <c r="C699" s="558"/>
      <c r="D699" s="587"/>
      <c r="E699" s="560"/>
      <c r="F699" s="558"/>
      <c r="G699" s="588"/>
      <c r="H699" s="546"/>
      <c r="I699" s="563" t="s">
        <v>25</v>
      </c>
      <c r="J699" s="563" t="s">
        <v>25</v>
      </c>
      <c r="K699" s="564" t="s">
        <v>25</v>
      </c>
      <c r="L699" s="564" t="s">
        <v>25</v>
      </c>
      <c r="M699" s="638"/>
      <c r="N699" s="638"/>
      <c r="O699" s="664"/>
      <c r="P699" s="564" t="s">
        <v>25</v>
      </c>
      <c r="Q699" s="564" t="s">
        <v>25</v>
      </c>
      <c r="R699" s="638"/>
      <c r="S699" s="639"/>
      <c r="T699" s="591"/>
      <c r="U699" s="589"/>
      <c r="V699" s="564" t="s">
        <v>2899</v>
      </c>
      <c r="W699" s="564" t="s">
        <v>25</v>
      </c>
      <c r="X699" s="589"/>
      <c r="Y699" s="592"/>
      <c r="Z699" s="592"/>
      <c r="AA699" s="568"/>
      <c r="AB699" s="592"/>
      <c r="AC699" s="592"/>
      <c r="AD699" s="592"/>
      <c r="AE699" s="590"/>
      <c r="AF699" s="570" t="s">
        <v>2899</v>
      </c>
      <c r="AG699" s="570" t="s">
        <v>25</v>
      </c>
      <c r="AH699" s="571" t="s">
        <v>25</v>
      </c>
      <c r="AI699" s="558" t="s">
        <v>556</v>
      </c>
      <c r="AJ699" s="558"/>
    </row>
    <row r="700" spans="1:36" s="376" customFormat="1" ht="40.5" outlineLevel="2" x14ac:dyDescent="0.3">
      <c r="A700" s="447">
        <v>60</v>
      </c>
      <c r="B700" s="558"/>
      <c r="C700" s="558"/>
      <c r="D700" s="587"/>
      <c r="E700" s="615"/>
      <c r="F700" s="558"/>
      <c r="G700" s="588"/>
      <c r="H700" s="546"/>
      <c r="I700" s="563" t="s">
        <v>25</v>
      </c>
      <c r="J700" s="563" t="s">
        <v>25</v>
      </c>
      <c r="K700" s="564" t="s">
        <v>25</v>
      </c>
      <c r="L700" s="564" t="s">
        <v>25</v>
      </c>
      <c r="M700" s="638"/>
      <c r="N700" s="638"/>
      <c r="O700" s="664"/>
      <c r="P700" s="564" t="s">
        <v>25</v>
      </c>
      <c r="Q700" s="564" t="s">
        <v>25</v>
      </c>
      <c r="R700" s="638"/>
      <c r="S700" s="639"/>
      <c r="T700" s="591"/>
      <c r="U700" s="589"/>
      <c r="V700" s="564" t="s">
        <v>2899</v>
      </c>
      <c r="W700" s="564" t="s">
        <v>25</v>
      </c>
      <c r="X700" s="589"/>
      <c r="Y700" s="592"/>
      <c r="Z700" s="592"/>
      <c r="AA700" s="568"/>
      <c r="AB700" s="592"/>
      <c r="AC700" s="592"/>
      <c r="AD700" s="592"/>
      <c r="AE700" s="590"/>
      <c r="AF700" s="570" t="s">
        <v>2899</v>
      </c>
      <c r="AG700" s="570" t="s">
        <v>25</v>
      </c>
      <c r="AH700" s="571" t="s">
        <v>25</v>
      </c>
      <c r="AI700" s="558" t="s">
        <v>1681</v>
      </c>
      <c r="AJ700" s="558"/>
    </row>
    <row r="701" spans="1:36" s="376" customFormat="1" ht="101.25" outlineLevel="2" x14ac:dyDescent="0.3">
      <c r="A701" s="447">
        <v>60</v>
      </c>
      <c r="B701" s="558"/>
      <c r="C701" s="558"/>
      <c r="D701" s="587"/>
      <c r="E701" s="615"/>
      <c r="F701" s="558"/>
      <c r="G701" s="604"/>
      <c r="H701" s="546"/>
      <c r="I701" s="563" t="s">
        <v>25</v>
      </c>
      <c r="J701" s="563" t="s">
        <v>25</v>
      </c>
      <c r="K701" s="564" t="s">
        <v>25</v>
      </c>
      <c r="L701" s="564" t="s">
        <v>25</v>
      </c>
      <c r="M701" s="593"/>
      <c r="N701" s="593"/>
      <c r="O701" s="616"/>
      <c r="P701" s="564" t="s">
        <v>25</v>
      </c>
      <c r="Q701" s="564" t="s">
        <v>25</v>
      </c>
      <c r="R701" s="593"/>
      <c r="S701" s="593"/>
      <c r="T701" s="617"/>
      <c r="U701" s="589"/>
      <c r="V701" s="564" t="s">
        <v>2899</v>
      </c>
      <c r="W701" s="564" t="s">
        <v>25</v>
      </c>
      <c r="X701" s="589"/>
      <c r="Y701" s="589"/>
      <c r="Z701" s="589"/>
      <c r="AA701" s="562"/>
      <c r="AB701" s="589"/>
      <c r="AC701" s="589"/>
      <c r="AD701" s="589"/>
      <c r="AE701" s="629"/>
      <c r="AF701" s="570" t="s">
        <v>2899</v>
      </c>
      <c r="AG701" s="570" t="s">
        <v>25</v>
      </c>
      <c r="AH701" s="571" t="s">
        <v>25</v>
      </c>
      <c r="AI701" s="558" t="s">
        <v>2209</v>
      </c>
      <c r="AJ701" s="593"/>
    </row>
    <row r="702" spans="1:36" s="376" customFormat="1" ht="20.25" outlineLevel="2" x14ac:dyDescent="0.3">
      <c r="A702" s="447">
        <v>60</v>
      </c>
      <c r="B702" s="558"/>
      <c r="C702" s="558"/>
      <c r="D702" s="587"/>
      <c r="E702" s="560"/>
      <c r="F702" s="558"/>
      <c r="G702" s="604"/>
      <c r="H702" s="546"/>
      <c r="I702" s="563" t="s">
        <v>25</v>
      </c>
      <c r="J702" s="563" t="s">
        <v>25</v>
      </c>
      <c r="K702" s="564" t="s">
        <v>25</v>
      </c>
      <c r="L702" s="564" t="s">
        <v>25</v>
      </c>
      <c r="M702" s="593"/>
      <c r="N702" s="593"/>
      <c r="O702" s="616"/>
      <c r="P702" s="564" t="s">
        <v>25</v>
      </c>
      <c r="Q702" s="564" t="s">
        <v>25</v>
      </c>
      <c r="R702" s="593"/>
      <c r="S702" s="593"/>
      <c r="T702" s="617"/>
      <c r="U702" s="589"/>
      <c r="V702" s="564" t="s">
        <v>2899</v>
      </c>
      <c r="W702" s="564" t="s">
        <v>25</v>
      </c>
      <c r="X702" s="589"/>
      <c r="Y702" s="589"/>
      <c r="Z702" s="589"/>
      <c r="AA702" s="562"/>
      <c r="AB702" s="589"/>
      <c r="AC702" s="589"/>
      <c r="AD702" s="589"/>
      <c r="AE702" s="629"/>
      <c r="AF702" s="570" t="s">
        <v>2899</v>
      </c>
      <c r="AG702" s="570" t="s">
        <v>25</v>
      </c>
      <c r="AH702" s="571" t="s">
        <v>25</v>
      </c>
      <c r="AI702" s="593"/>
      <c r="AJ702" s="593"/>
    </row>
    <row r="703" spans="1:36" s="376" customFormat="1" ht="20.25" outlineLevel="2" x14ac:dyDescent="0.3">
      <c r="A703" s="447">
        <v>60</v>
      </c>
      <c r="B703" s="643"/>
      <c r="C703" s="643"/>
      <c r="D703" s="595"/>
      <c r="E703" s="577"/>
      <c r="F703" s="558"/>
      <c r="G703" s="588"/>
      <c r="H703" s="546"/>
      <c r="I703" s="563" t="s">
        <v>25</v>
      </c>
      <c r="J703" s="563" t="s">
        <v>25</v>
      </c>
      <c r="K703" s="564" t="s">
        <v>25</v>
      </c>
      <c r="L703" s="564" t="s">
        <v>25</v>
      </c>
      <c r="M703" s="638"/>
      <c r="N703" s="638"/>
      <c r="O703" s="664"/>
      <c r="P703" s="564" t="s">
        <v>25</v>
      </c>
      <c r="Q703" s="564" t="s">
        <v>25</v>
      </c>
      <c r="R703" s="640"/>
      <c r="S703" s="639"/>
      <c r="T703" s="591"/>
      <c r="U703" s="589"/>
      <c r="V703" s="564" t="s">
        <v>2899</v>
      </c>
      <c r="W703" s="564" t="s">
        <v>25</v>
      </c>
      <c r="X703" s="589"/>
      <c r="Y703" s="592"/>
      <c r="Z703" s="592"/>
      <c r="AA703" s="568"/>
      <c r="AB703" s="592"/>
      <c r="AC703" s="592"/>
      <c r="AD703" s="592"/>
      <c r="AE703" s="590"/>
      <c r="AF703" s="570" t="s">
        <v>2899</v>
      </c>
      <c r="AG703" s="570" t="s">
        <v>25</v>
      </c>
      <c r="AH703" s="571" t="s">
        <v>25</v>
      </c>
      <c r="AI703" s="593"/>
      <c r="AJ703" s="593"/>
    </row>
    <row r="704" spans="1:36" s="376" customFormat="1" ht="60.75" outlineLevel="1" x14ac:dyDescent="0.25">
      <c r="A704" s="467">
        <v>61</v>
      </c>
      <c r="B704" s="643" t="s">
        <v>229</v>
      </c>
      <c r="C704" s="773" t="s">
        <v>2902</v>
      </c>
      <c r="D704" s="587">
        <v>85</v>
      </c>
      <c r="E704" s="560" t="s">
        <v>231</v>
      </c>
      <c r="F704" s="574"/>
      <c r="G704" s="596">
        <v>403.29999999999995</v>
      </c>
      <c r="H704" s="579">
        <v>0</v>
      </c>
      <c r="I704" s="581"/>
      <c r="J704" s="581"/>
      <c r="K704" s="571">
        <v>320462000</v>
      </c>
      <c r="L704" s="571">
        <v>0</v>
      </c>
      <c r="M704" s="574"/>
      <c r="N704" s="574"/>
      <c r="O704" s="599">
        <v>18</v>
      </c>
      <c r="P704" s="571"/>
      <c r="Q704" s="571">
        <v>3521000</v>
      </c>
      <c r="R704" s="582"/>
      <c r="S704" s="597"/>
      <c r="T704" s="600">
        <v>721.99000000000012</v>
      </c>
      <c r="U704" s="597"/>
      <c r="V704" s="571"/>
      <c r="W704" s="571">
        <v>0</v>
      </c>
      <c r="X704" s="589"/>
      <c r="Y704" s="592"/>
      <c r="Z704" s="592"/>
      <c r="AA704" s="568"/>
      <c r="AB704" s="592"/>
      <c r="AC704" s="592"/>
      <c r="AD704" s="602"/>
      <c r="AE704" s="599">
        <f>SUBTOTAL(9,AE705:AE740)</f>
        <v>1</v>
      </c>
      <c r="AF704" s="585"/>
      <c r="AG704" s="585">
        <v>0</v>
      </c>
      <c r="AH704" s="571">
        <v>323983000</v>
      </c>
      <c r="AI704" s="574"/>
      <c r="AJ704" s="578"/>
    </row>
    <row r="705" spans="1:36" s="376" customFormat="1" ht="121.5" outlineLevel="2" x14ac:dyDescent="0.3">
      <c r="A705" s="447">
        <v>61</v>
      </c>
      <c r="B705" s="648" t="s">
        <v>230</v>
      </c>
      <c r="C705" s="648"/>
      <c r="D705" s="587">
        <v>85</v>
      </c>
      <c r="E705" s="560" t="s">
        <v>231</v>
      </c>
      <c r="F705" s="558" t="s">
        <v>2030</v>
      </c>
      <c r="G705" s="604">
        <v>1.9</v>
      </c>
      <c r="H705" s="546" t="s">
        <v>2899</v>
      </c>
      <c r="I705" s="563">
        <v>16800000</v>
      </c>
      <c r="J705" s="563">
        <v>0</v>
      </c>
      <c r="K705" s="564">
        <v>31920000</v>
      </c>
      <c r="L705" s="564">
        <v>0</v>
      </c>
      <c r="M705" s="558" t="s">
        <v>351</v>
      </c>
      <c r="N705" s="558"/>
      <c r="O705" s="590">
        <v>1</v>
      </c>
      <c r="P705" s="564">
        <v>600000</v>
      </c>
      <c r="Q705" s="564">
        <v>600000</v>
      </c>
      <c r="R705" s="566" t="s">
        <v>2338</v>
      </c>
      <c r="S705" s="589" t="s">
        <v>53</v>
      </c>
      <c r="T705" s="591">
        <v>108.7</v>
      </c>
      <c r="U705" s="589">
        <v>285</v>
      </c>
      <c r="V705" s="564"/>
      <c r="W705" s="564">
        <v>0</v>
      </c>
      <c r="X705" s="589"/>
      <c r="Y705" s="592"/>
      <c r="Z705" s="592"/>
      <c r="AA705" s="568"/>
      <c r="AB705" s="592"/>
      <c r="AC705" s="592"/>
      <c r="AD705" s="569" t="s">
        <v>811</v>
      </c>
      <c r="AE705" s="590">
        <v>1</v>
      </c>
      <c r="AF705" s="570">
        <v>0</v>
      </c>
      <c r="AG705" s="570">
        <v>0</v>
      </c>
      <c r="AH705" s="571" t="s">
        <v>25</v>
      </c>
      <c r="AI705" s="558" t="s">
        <v>695</v>
      </c>
      <c r="AJ705" s="586" t="s">
        <v>2771</v>
      </c>
    </row>
    <row r="706" spans="1:36" s="382" customFormat="1" ht="121.5" outlineLevel="2" x14ac:dyDescent="0.3">
      <c r="A706" s="447">
        <v>61</v>
      </c>
      <c r="B706" s="574" t="s">
        <v>232</v>
      </c>
      <c r="C706" s="574"/>
      <c r="D706" s="587">
        <v>85</v>
      </c>
      <c r="E706" s="560" t="s">
        <v>231</v>
      </c>
      <c r="F706" s="558" t="s">
        <v>2032</v>
      </c>
      <c r="G706" s="588">
        <v>9</v>
      </c>
      <c r="H706" s="546" t="s">
        <v>2899</v>
      </c>
      <c r="I706" s="563">
        <v>11760000</v>
      </c>
      <c r="J706" s="563">
        <v>0</v>
      </c>
      <c r="K706" s="564">
        <v>105840000</v>
      </c>
      <c r="L706" s="564">
        <v>0</v>
      </c>
      <c r="M706" s="558" t="s">
        <v>752</v>
      </c>
      <c r="N706" s="558"/>
      <c r="O706" s="590">
        <v>1</v>
      </c>
      <c r="P706" s="564">
        <v>600000</v>
      </c>
      <c r="Q706" s="564">
        <v>600000</v>
      </c>
      <c r="R706" s="566" t="s">
        <v>2289</v>
      </c>
      <c r="S706" s="589" t="s">
        <v>53</v>
      </c>
      <c r="T706" s="591">
        <v>21.28</v>
      </c>
      <c r="U706" s="589">
        <v>24.64</v>
      </c>
      <c r="V706" s="564"/>
      <c r="W706" s="564">
        <v>0</v>
      </c>
      <c r="X706" s="589"/>
      <c r="Y706" s="592" t="s">
        <v>55</v>
      </c>
      <c r="Z706" s="592" t="s">
        <v>141</v>
      </c>
      <c r="AA706" s="568"/>
      <c r="AB706" s="592" t="s">
        <v>66</v>
      </c>
      <c r="AC706" s="592"/>
      <c r="AD706" s="592"/>
      <c r="AE706" s="590"/>
      <c r="AF706" s="570" t="s">
        <v>2899</v>
      </c>
      <c r="AG706" s="570"/>
      <c r="AH706" s="571" t="s">
        <v>25</v>
      </c>
      <c r="AI706" s="558" t="s">
        <v>557</v>
      </c>
      <c r="AJ706" s="558" t="s">
        <v>2450</v>
      </c>
    </row>
    <row r="707" spans="1:36" s="376" customFormat="1" ht="121.5" outlineLevel="2" x14ac:dyDescent="0.3">
      <c r="A707" s="447">
        <v>61</v>
      </c>
      <c r="B707" s="648" t="s">
        <v>233</v>
      </c>
      <c r="C707" s="648"/>
      <c r="D707" s="587"/>
      <c r="E707" s="560"/>
      <c r="F707" s="558" t="s">
        <v>2210</v>
      </c>
      <c r="G707" s="588">
        <v>304.3</v>
      </c>
      <c r="H707" s="546" t="s">
        <v>2899</v>
      </c>
      <c r="I707" s="563">
        <v>465600</v>
      </c>
      <c r="J707" s="563">
        <v>0</v>
      </c>
      <c r="K707" s="564">
        <v>141682000</v>
      </c>
      <c r="L707" s="564">
        <v>0</v>
      </c>
      <c r="M707" s="558" t="s">
        <v>753</v>
      </c>
      <c r="N707" s="558"/>
      <c r="O707" s="590">
        <v>1</v>
      </c>
      <c r="P707" s="564">
        <v>165000</v>
      </c>
      <c r="Q707" s="564">
        <v>165000</v>
      </c>
      <c r="R707" s="566" t="s">
        <v>1884</v>
      </c>
      <c r="S707" s="589" t="s">
        <v>53</v>
      </c>
      <c r="T707" s="591">
        <v>10.199999999999999</v>
      </c>
      <c r="U707" s="589">
        <v>217.69</v>
      </c>
      <c r="V707" s="564"/>
      <c r="W707" s="564">
        <v>0</v>
      </c>
      <c r="X707" s="589"/>
      <c r="Y707" s="592" t="s">
        <v>55</v>
      </c>
      <c r="Z707" s="592" t="s">
        <v>56</v>
      </c>
      <c r="AA707" s="568" t="s">
        <v>186</v>
      </c>
      <c r="AB707" s="592" t="s">
        <v>66</v>
      </c>
      <c r="AC707" s="592"/>
      <c r="AD707" s="592"/>
      <c r="AE707" s="590"/>
      <c r="AF707" s="570" t="s">
        <v>2899</v>
      </c>
      <c r="AG707" s="570" t="s">
        <v>25</v>
      </c>
      <c r="AH707" s="571" t="s">
        <v>25</v>
      </c>
      <c r="AI707" s="593" t="s">
        <v>169</v>
      </c>
      <c r="AJ707" s="558" t="s">
        <v>2449</v>
      </c>
    </row>
    <row r="708" spans="1:36" s="376" customFormat="1" ht="121.5" outlineLevel="2" x14ac:dyDescent="0.3">
      <c r="A708" s="447">
        <v>61</v>
      </c>
      <c r="B708" s="648" t="s">
        <v>696</v>
      </c>
      <c r="C708" s="648"/>
      <c r="D708" s="587"/>
      <c r="E708" s="560"/>
      <c r="F708" s="558" t="s">
        <v>2211</v>
      </c>
      <c r="G708" s="588">
        <v>74.2</v>
      </c>
      <c r="H708" s="546" t="s">
        <v>2899</v>
      </c>
      <c r="I708" s="563">
        <v>465600</v>
      </c>
      <c r="J708" s="563">
        <v>0</v>
      </c>
      <c r="K708" s="564">
        <v>34548000</v>
      </c>
      <c r="L708" s="564">
        <v>0</v>
      </c>
      <c r="M708" s="646" t="s">
        <v>746</v>
      </c>
      <c r="N708" s="646"/>
      <c r="O708" s="590">
        <v>14</v>
      </c>
      <c r="P708" s="564">
        <v>32000</v>
      </c>
      <c r="Q708" s="564">
        <v>448000</v>
      </c>
      <c r="R708" s="646" t="s">
        <v>1839</v>
      </c>
      <c r="S708" s="649" t="s">
        <v>53</v>
      </c>
      <c r="T708" s="591">
        <v>10.199999999999999</v>
      </c>
      <c r="U708" s="589">
        <v>217.69</v>
      </c>
      <c r="V708" s="564"/>
      <c r="W708" s="564">
        <v>0</v>
      </c>
      <c r="X708" s="589"/>
      <c r="Y708" s="592"/>
      <c r="Z708" s="592"/>
      <c r="AA708" s="568"/>
      <c r="AB708" s="592"/>
      <c r="AC708" s="592"/>
      <c r="AD708" s="592"/>
      <c r="AE708" s="590"/>
      <c r="AF708" s="570" t="s">
        <v>2899</v>
      </c>
      <c r="AG708" s="570" t="s">
        <v>25</v>
      </c>
      <c r="AH708" s="571" t="s">
        <v>25</v>
      </c>
      <c r="AI708" s="593" t="s">
        <v>1723</v>
      </c>
      <c r="AJ708" s="558" t="s">
        <v>2800</v>
      </c>
    </row>
    <row r="709" spans="1:36" s="376" customFormat="1" ht="121.5" outlineLevel="2" x14ac:dyDescent="0.3">
      <c r="A709" s="447">
        <v>61</v>
      </c>
      <c r="B709" s="637"/>
      <c r="C709" s="637"/>
      <c r="D709" s="587"/>
      <c r="E709" s="560"/>
      <c r="F709" s="558" t="s">
        <v>2212</v>
      </c>
      <c r="G709" s="588">
        <v>13.9</v>
      </c>
      <c r="H709" s="546" t="s">
        <v>2899</v>
      </c>
      <c r="I709" s="563">
        <v>465600</v>
      </c>
      <c r="J709" s="563">
        <v>0</v>
      </c>
      <c r="K709" s="564">
        <v>6472000</v>
      </c>
      <c r="L709" s="564">
        <v>0</v>
      </c>
      <c r="M709" s="558" t="s">
        <v>61</v>
      </c>
      <c r="N709" s="558"/>
      <c r="O709" s="590">
        <v>1</v>
      </c>
      <c r="P709" s="564">
        <v>1708000</v>
      </c>
      <c r="Q709" s="564">
        <v>1708000</v>
      </c>
      <c r="R709" s="566" t="s">
        <v>1838</v>
      </c>
      <c r="S709" s="589" t="s">
        <v>53</v>
      </c>
      <c r="T709" s="591">
        <v>13.8</v>
      </c>
      <c r="U709" s="589"/>
      <c r="V709" s="564"/>
      <c r="W709" s="564">
        <v>0</v>
      </c>
      <c r="X709" s="589" t="s">
        <v>63</v>
      </c>
      <c r="Y709" s="592" t="s">
        <v>55</v>
      </c>
      <c r="Z709" s="592" t="s">
        <v>56</v>
      </c>
      <c r="AA709" s="568" t="s">
        <v>57</v>
      </c>
      <c r="AB709" s="592" t="s">
        <v>54</v>
      </c>
      <c r="AC709" s="592"/>
      <c r="AD709" s="592"/>
      <c r="AE709" s="590"/>
      <c r="AF709" s="570" t="s">
        <v>2899</v>
      </c>
      <c r="AG709" s="570" t="s">
        <v>25</v>
      </c>
      <c r="AH709" s="571" t="s">
        <v>25</v>
      </c>
      <c r="AI709" s="608" t="s">
        <v>111</v>
      </c>
      <c r="AJ709" s="608"/>
    </row>
    <row r="710" spans="1:36" s="376" customFormat="1" ht="60.75" outlineLevel="2" x14ac:dyDescent="0.3">
      <c r="A710" s="447">
        <v>61</v>
      </c>
      <c r="B710" s="637"/>
      <c r="C710" s="637"/>
      <c r="D710" s="587"/>
      <c r="E710" s="560"/>
      <c r="F710" s="558"/>
      <c r="G710" s="588"/>
      <c r="H710" s="546"/>
      <c r="I710" s="563" t="s">
        <v>25</v>
      </c>
      <c r="J710" s="563" t="s">
        <v>25</v>
      </c>
      <c r="K710" s="564" t="s">
        <v>25</v>
      </c>
      <c r="L710" s="564" t="s">
        <v>25</v>
      </c>
      <c r="M710" s="593"/>
      <c r="N710" s="593"/>
      <c r="O710" s="616"/>
      <c r="P710" s="564" t="s">
        <v>25</v>
      </c>
      <c r="Q710" s="564" t="s">
        <v>25</v>
      </c>
      <c r="R710" s="566" t="s">
        <v>1838</v>
      </c>
      <c r="S710" s="589" t="s">
        <v>53</v>
      </c>
      <c r="T710" s="591">
        <v>11.46</v>
      </c>
      <c r="U710" s="589"/>
      <c r="V710" s="564"/>
      <c r="W710" s="564">
        <v>0</v>
      </c>
      <c r="X710" s="589" t="s">
        <v>63</v>
      </c>
      <c r="Y710" s="592" t="s">
        <v>55</v>
      </c>
      <c r="Z710" s="592" t="s">
        <v>56</v>
      </c>
      <c r="AA710" s="568" t="s">
        <v>57</v>
      </c>
      <c r="AB710" s="592" t="s">
        <v>54</v>
      </c>
      <c r="AC710" s="592"/>
      <c r="AD710" s="592"/>
      <c r="AE710" s="590"/>
      <c r="AF710" s="570" t="s">
        <v>2899</v>
      </c>
      <c r="AG710" s="570" t="s">
        <v>25</v>
      </c>
      <c r="AH710" s="571" t="s">
        <v>25</v>
      </c>
      <c r="AI710" s="574" t="s">
        <v>559</v>
      </c>
      <c r="AJ710" s="574"/>
    </row>
    <row r="711" spans="1:36" s="376" customFormat="1" ht="121.5" outlineLevel="2" x14ac:dyDescent="0.3">
      <c r="A711" s="447">
        <v>61</v>
      </c>
      <c r="B711" s="558"/>
      <c r="C711" s="558"/>
      <c r="D711" s="587"/>
      <c r="E711" s="560"/>
      <c r="F711" s="558"/>
      <c r="G711" s="588"/>
      <c r="H711" s="546"/>
      <c r="I711" s="563" t="s">
        <v>25</v>
      </c>
      <c r="J711" s="563" t="s">
        <v>25</v>
      </c>
      <c r="K711" s="564" t="s">
        <v>25</v>
      </c>
      <c r="L711" s="564" t="s">
        <v>25</v>
      </c>
      <c r="M711" s="558"/>
      <c r="N711" s="558"/>
      <c r="O711" s="590"/>
      <c r="P711" s="564" t="s">
        <v>25</v>
      </c>
      <c r="Q711" s="564" t="s">
        <v>25</v>
      </c>
      <c r="R711" s="566" t="s">
        <v>2339</v>
      </c>
      <c r="S711" s="589" t="s">
        <v>53</v>
      </c>
      <c r="T711" s="591">
        <v>2.34</v>
      </c>
      <c r="U711" s="589"/>
      <c r="V711" s="564"/>
      <c r="W711" s="564">
        <v>0</v>
      </c>
      <c r="X711" s="589"/>
      <c r="Y711" s="592"/>
      <c r="Z711" s="592" t="s">
        <v>56</v>
      </c>
      <c r="AA711" s="568" t="s">
        <v>57</v>
      </c>
      <c r="AB711" s="592" t="s">
        <v>54</v>
      </c>
      <c r="AC711" s="592"/>
      <c r="AD711" s="592"/>
      <c r="AE711" s="590"/>
      <c r="AF711" s="570" t="s">
        <v>2899</v>
      </c>
      <c r="AG711" s="570" t="s">
        <v>25</v>
      </c>
      <c r="AH711" s="571" t="s">
        <v>25</v>
      </c>
      <c r="AI711" s="558" t="s">
        <v>2043</v>
      </c>
      <c r="AJ711" s="558"/>
    </row>
    <row r="712" spans="1:36" s="376" customFormat="1" ht="101.25" outlineLevel="2" x14ac:dyDescent="0.3">
      <c r="A712" s="447">
        <v>61</v>
      </c>
      <c r="B712" s="636"/>
      <c r="C712" s="636"/>
      <c r="D712" s="587"/>
      <c r="E712" s="560"/>
      <c r="F712" s="558"/>
      <c r="G712" s="588"/>
      <c r="H712" s="546"/>
      <c r="I712" s="563" t="s">
        <v>25</v>
      </c>
      <c r="J712" s="563" t="s">
        <v>25</v>
      </c>
      <c r="K712" s="564" t="s">
        <v>25</v>
      </c>
      <c r="L712" s="564" t="s">
        <v>25</v>
      </c>
      <c r="M712" s="558"/>
      <c r="N712" s="558"/>
      <c r="O712" s="590"/>
      <c r="P712" s="564" t="s">
        <v>25</v>
      </c>
      <c r="Q712" s="564" t="s">
        <v>25</v>
      </c>
      <c r="R712" s="566" t="s">
        <v>1838</v>
      </c>
      <c r="S712" s="589" t="s">
        <v>53</v>
      </c>
      <c r="T712" s="591">
        <v>11.46</v>
      </c>
      <c r="U712" s="589"/>
      <c r="V712" s="564"/>
      <c r="W712" s="564">
        <v>0</v>
      </c>
      <c r="X712" s="589" t="s">
        <v>63</v>
      </c>
      <c r="Y712" s="592" t="s">
        <v>55</v>
      </c>
      <c r="Z712" s="592" t="s">
        <v>56</v>
      </c>
      <c r="AA712" s="568" t="s">
        <v>57</v>
      </c>
      <c r="AB712" s="592" t="s">
        <v>54</v>
      </c>
      <c r="AC712" s="592"/>
      <c r="AD712" s="592"/>
      <c r="AE712" s="590"/>
      <c r="AF712" s="570" t="s">
        <v>2899</v>
      </c>
      <c r="AG712" s="570" t="s">
        <v>25</v>
      </c>
      <c r="AH712" s="571" t="s">
        <v>25</v>
      </c>
      <c r="AI712" s="558" t="s">
        <v>2044</v>
      </c>
      <c r="AJ712" s="593"/>
    </row>
    <row r="713" spans="1:36" s="376" customFormat="1" ht="81" outlineLevel="2" x14ac:dyDescent="0.3">
      <c r="A713" s="447">
        <v>61</v>
      </c>
      <c r="B713" s="637"/>
      <c r="C713" s="637"/>
      <c r="D713" s="587"/>
      <c r="E713" s="560"/>
      <c r="F713" s="558"/>
      <c r="G713" s="588"/>
      <c r="H713" s="546"/>
      <c r="I713" s="563" t="s">
        <v>25</v>
      </c>
      <c r="J713" s="563" t="s">
        <v>25</v>
      </c>
      <c r="K713" s="564" t="s">
        <v>25</v>
      </c>
      <c r="L713" s="564" t="s">
        <v>25</v>
      </c>
      <c r="M713" s="638"/>
      <c r="N713" s="638"/>
      <c r="O713" s="664"/>
      <c r="P713" s="564" t="s">
        <v>25</v>
      </c>
      <c r="Q713" s="564" t="s">
        <v>25</v>
      </c>
      <c r="R713" s="638" t="s">
        <v>2339</v>
      </c>
      <c r="S713" s="639" t="s">
        <v>53</v>
      </c>
      <c r="T713" s="591">
        <v>2.34</v>
      </c>
      <c r="U713" s="589"/>
      <c r="V713" s="564"/>
      <c r="W713" s="564">
        <v>0</v>
      </c>
      <c r="X713" s="589"/>
      <c r="Y713" s="592"/>
      <c r="Z713" s="592" t="s">
        <v>56</v>
      </c>
      <c r="AA713" s="568" t="s">
        <v>57</v>
      </c>
      <c r="AB713" s="592" t="s">
        <v>54</v>
      </c>
      <c r="AC713" s="592"/>
      <c r="AD713" s="592"/>
      <c r="AE713" s="590"/>
      <c r="AF713" s="570" t="s">
        <v>2899</v>
      </c>
      <c r="AG713" s="570" t="s">
        <v>25</v>
      </c>
      <c r="AH713" s="571" t="s">
        <v>25</v>
      </c>
      <c r="AI713" s="558"/>
      <c r="AJ713" s="593"/>
    </row>
    <row r="714" spans="1:36" s="376" customFormat="1" ht="40.5" outlineLevel="2" x14ac:dyDescent="0.3">
      <c r="A714" s="447">
        <v>61</v>
      </c>
      <c r="B714" s="637"/>
      <c r="C714" s="637"/>
      <c r="D714" s="587"/>
      <c r="E714" s="560"/>
      <c r="F714" s="558"/>
      <c r="G714" s="588"/>
      <c r="H714" s="546"/>
      <c r="I714" s="563" t="s">
        <v>25</v>
      </c>
      <c r="J714" s="563" t="s">
        <v>25</v>
      </c>
      <c r="K714" s="564" t="s">
        <v>25</v>
      </c>
      <c r="L714" s="564" t="s">
        <v>25</v>
      </c>
      <c r="M714" s="558"/>
      <c r="N714" s="558"/>
      <c r="O714" s="590"/>
      <c r="P714" s="564" t="s">
        <v>25</v>
      </c>
      <c r="Q714" s="564" t="s">
        <v>25</v>
      </c>
      <c r="R714" s="566" t="s">
        <v>1838</v>
      </c>
      <c r="S714" s="589" t="s">
        <v>53</v>
      </c>
      <c r="T714" s="591">
        <v>13.8</v>
      </c>
      <c r="U714" s="589"/>
      <c r="V714" s="564"/>
      <c r="W714" s="564">
        <v>0</v>
      </c>
      <c r="X714" s="589" t="s">
        <v>63</v>
      </c>
      <c r="Y714" s="592" t="s">
        <v>55</v>
      </c>
      <c r="Z714" s="592" t="s">
        <v>56</v>
      </c>
      <c r="AA714" s="568" t="s">
        <v>360</v>
      </c>
      <c r="AB714" s="592" t="s">
        <v>54</v>
      </c>
      <c r="AC714" s="592"/>
      <c r="AD714" s="592"/>
      <c r="AE714" s="590"/>
      <c r="AF714" s="570" t="s">
        <v>2899</v>
      </c>
      <c r="AG714" s="570" t="s">
        <v>25</v>
      </c>
      <c r="AH714" s="571" t="s">
        <v>25</v>
      </c>
      <c r="AI714" s="593"/>
      <c r="AJ714" s="593"/>
    </row>
    <row r="715" spans="1:36" s="376" customFormat="1" ht="81" outlineLevel="2" x14ac:dyDescent="0.3">
      <c r="A715" s="447">
        <v>61</v>
      </c>
      <c r="B715" s="558"/>
      <c r="C715" s="558"/>
      <c r="D715" s="587"/>
      <c r="E715" s="560"/>
      <c r="F715" s="558"/>
      <c r="G715" s="588"/>
      <c r="H715" s="546"/>
      <c r="I715" s="563" t="s">
        <v>25</v>
      </c>
      <c r="J715" s="563" t="s">
        <v>25</v>
      </c>
      <c r="K715" s="564" t="s">
        <v>25</v>
      </c>
      <c r="L715" s="564" t="s">
        <v>25</v>
      </c>
      <c r="M715" s="558"/>
      <c r="N715" s="558"/>
      <c r="O715" s="590"/>
      <c r="P715" s="564" t="s">
        <v>25</v>
      </c>
      <c r="Q715" s="564" t="s">
        <v>25</v>
      </c>
      <c r="R715" s="566" t="s">
        <v>2340</v>
      </c>
      <c r="S715" s="589" t="s">
        <v>53</v>
      </c>
      <c r="T715" s="591">
        <v>4.8099999999999996</v>
      </c>
      <c r="U715" s="589"/>
      <c r="V715" s="564"/>
      <c r="W715" s="564">
        <v>0</v>
      </c>
      <c r="X715" s="589"/>
      <c r="Y715" s="592"/>
      <c r="Z715" s="592" t="s">
        <v>56</v>
      </c>
      <c r="AA715" s="568" t="s">
        <v>57</v>
      </c>
      <c r="AB715" s="592" t="s">
        <v>54</v>
      </c>
      <c r="AC715" s="592"/>
      <c r="AD715" s="592"/>
      <c r="AE715" s="590"/>
      <c r="AF715" s="570" t="s">
        <v>2899</v>
      </c>
      <c r="AG715" s="570" t="s">
        <v>25</v>
      </c>
      <c r="AH715" s="571" t="s">
        <v>25</v>
      </c>
      <c r="AI715" s="593"/>
      <c r="AJ715" s="593"/>
    </row>
    <row r="716" spans="1:36" s="376" customFormat="1" ht="60.75" outlineLevel="2" x14ac:dyDescent="0.3">
      <c r="A716" s="447">
        <v>61</v>
      </c>
      <c r="B716" s="636"/>
      <c r="C716" s="636"/>
      <c r="D716" s="587"/>
      <c r="E716" s="560"/>
      <c r="F716" s="558"/>
      <c r="G716" s="588"/>
      <c r="H716" s="546"/>
      <c r="I716" s="563" t="s">
        <v>25</v>
      </c>
      <c r="J716" s="563" t="s">
        <v>25</v>
      </c>
      <c r="K716" s="564" t="s">
        <v>25</v>
      </c>
      <c r="L716" s="564" t="s">
        <v>25</v>
      </c>
      <c r="M716" s="558"/>
      <c r="N716" s="558"/>
      <c r="O716" s="590"/>
      <c r="P716" s="564" t="s">
        <v>25</v>
      </c>
      <c r="Q716" s="564" t="s">
        <v>25</v>
      </c>
      <c r="R716" s="566" t="s">
        <v>2341</v>
      </c>
      <c r="S716" s="589" t="s">
        <v>53</v>
      </c>
      <c r="T716" s="591">
        <v>68.2</v>
      </c>
      <c r="U716" s="589">
        <v>189.2</v>
      </c>
      <c r="V716" s="564"/>
      <c r="W716" s="564">
        <v>0</v>
      </c>
      <c r="X716" s="589" t="s">
        <v>63</v>
      </c>
      <c r="Y716" s="592" t="s">
        <v>55</v>
      </c>
      <c r="Z716" s="592" t="s">
        <v>56</v>
      </c>
      <c r="AA716" s="568" t="s">
        <v>57</v>
      </c>
      <c r="AB716" s="592" t="s">
        <v>66</v>
      </c>
      <c r="AC716" s="568" t="s">
        <v>430</v>
      </c>
      <c r="AD716" s="568"/>
      <c r="AE716" s="563"/>
      <c r="AF716" s="570" t="s">
        <v>2899</v>
      </c>
      <c r="AG716" s="570" t="s">
        <v>25</v>
      </c>
      <c r="AH716" s="571" t="s">
        <v>25</v>
      </c>
      <c r="AI716" s="593"/>
      <c r="AJ716" s="593"/>
    </row>
    <row r="717" spans="1:36" s="376" customFormat="1" ht="60.75" outlineLevel="2" x14ac:dyDescent="0.3">
      <c r="A717" s="447">
        <v>61</v>
      </c>
      <c r="B717" s="637"/>
      <c r="C717" s="637"/>
      <c r="D717" s="587"/>
      <c r="E717" s="560"/>
      <c r="F717" s="558"/>
      <c r="G717" s="588"/>
      <c r="H717" s="546"/>
      <c r="I717" s="563" t="s">
        <v>25</v>
      </c>
      <c r="J717" s="563" t="s">
        <v>25</v>
      </c>
      <c r="K717" s="564" t="s">
        <v>25</v>
      </c>
      <c r="L717" s="564" t="s">
        <v>25</v>
      </c>
      <c r="M717" s="638"/>
      <c r="N717" s="638"/>
      <c r="O717" s="664"/>
      <c r="P717" s="564" t="s">
        <v>25</v>
      </c>
      <c r="Q717" s="564" t="s">
        <v>25</v>
      </c>
      <c r="R717" s="638" t="s">
        <v>2342</v>
      </c>
      <c r="S717" s="639" t="s">
        <v>53</v>
      </c>
      <c r="T717" s="591"/>
      <c r="U717" s="589">
        <v>163.68</v>
      </c>
      <c r="V717" s="564"/>
      <c r="W717" s="564">
        <v>0</v>
      </c>
      <c r="X717" s="589" t="s">
        <v>63</v>
      </c>
      <c r="Y717" s="592" t="s">
        <v>55</v>
      </c>
      <c r="Z717" s="592" t="s">
        <v>141</v>
      </c>
      <c r="AA717" s="568" t="s">
        <v>57</v>
      </c>
      <c r="AB717" s="592" t="s">
        <v>54</v>
      </c>
      <c r="AC717" s="592"/>
      <c r="AD717" s="592"/>
      <c r="AE717" s="590"/>
      <c r="AF717" s="570" t="s">
        <v>2899</v>
      </c>
      <c r="AG717" s="570" t="s">
        <v>25</v>
      </c>
      <c r="AH717" s="571" t="s">
        <v>25</v>
      </c>
      <c r="AI717" s="593"/>
      <c r="AJ717" s="593"/>
    </row>
    <row r="718" spans="1:36" s="376" customFormat="1" ht="81" outlineLevel="2" x14ac:dyDescent="0.3">
      <c r="A718" s="447">
        <v>61</v>
      </c>
      <c r="B718" s="636"/>
      <c r="C718" s="636"/>
      <c r="D718" s="587"/>
      <c r="E718" s="560"/>
      <c r="F718" s="558"/>
      <c r="G718" s="588"/>
      <c r="H718" s="546"/>
      <c r="I718" s="563" t="s">
        <v>25</v>
      </c>
      <c r="J718" s="563" t="s">
        <v>25</v>
      </c>
      <c r="K718" s="564" t="s">
        <v>25</v>
      </c>
      <c r="L718" s="564" t="s">
        <v>25</v>
      </c>
      <c r="M718" s="638"/>
      <c r="N718" s="638"/>
      <c r="O718" s="664"/>
      <c r="P718" s="564" t="s">
        <v>25</v>
      </c>
      <c r="Q718" s="564" t="s">
        <v>25</v>
      </c>
      <c r="R718" s="638" t="s">
        <v>2343</v>
      </c>
      <c r="S718" s="639" t="s">
        <v>53</v>
      </c>
      <c r="T718" s="591">
        <v>7.03</v>
      </c>
      <c r="U718" s="589"/>
      <c r="V718" s="564"/>
      <c r="W718" s="564">
        <v>0</v>
      </c>
      <c r="X718" s="589"/>
      <c r="Y718" s="592"/>
      <c r="Z718" s="592" t="s">
        <v>56</v>
      </c>
      <c r="AA718" s="568" t="s">
        <v>57</v>
      </c>
      <c r="AB718" s="592" t="s">
        <v>54</v>
      </c>
      <c r="AC718" s="592"/>
      <c r="AD718" s="592"/>
      <c r="AE718" s="590"/>
      <c r="AF718" s="570" t="s">
        <v>2899</v>
      </c>
      <c r="AG718" s="570" t="s">
        <v>25</v>
      </c>
      <c r="AH718" s="571" t="s">
        <v>25</v>
      </c>
      <c r="AI718" s="593"/>
      <c r="AJ718" s="593"/>
    </row>
    <row r="719" spans="1:36" s="376" customFormat="1" ht="40.5" outlineLevel="2" x14ac:dyDescent="0.3">
      <c r="A719" s="447">
        <v>61</v>
      </c>
      <c r="B719" s="636"/>
      <c r="C719" s="636"/>
      <c r="D719" s="587"/>
      <c r="E719" s="560"/>
      <c r="F719" s="558"/>
      <c r="G719" s="588"/>
      <c r="H719" s="546"/>
      <c r="I719" s="563" t="s">
        <v>25</v>
      </c>
      <c r="J719" s="563" t="s">
        <v>25</v>
      </c>
      <c r="K719" s="564" t="s">
        <v>25</v>
      </c>
      <c r="L719" s="564" t="s">
        <v>25</v>
      </c>
      <c r="M719" s="558"/>
      <c r="N719" s="558"/>
      <c r="O719" s="590"/>
      <c r="P719" s="564" t="s">
        <v>25</v>
      </c>
      <c r="Q719" s="564" t="s">
        <v>25</v>
      </c>
      <c r="R719" s="586" t="s">
        <v>1748</v>
      </c>
      <c r="S719" s="589" t="s">
        <v>53</v>
      </c>
      <c r="T719" s="591">
        <v>72.239999999999995</v>
      </c>
      <c r="U719" s="589"/>
      <c r="V719" s="564"/>
      <c r="W719" s="564">
        <v>0</v>
      </c>
      <c r="X719" s="589"/>
      <c r="Y719" s="592"/>
      <c r="Z719" s="592"/>
      <c r="AA719" s="568"/>
      <c r="AB719" s="592"/>
      <c r="AC719" s="592"/>
      <c r="AD719" s="592"/>
      <c r="AE719" s="590"/>
      <c r="AF719" s="570" t="s">
        <v>2899</v>
      </c>
      <c r="AG719" s="570" t="s">
        <v>25</v>
      </c>
      <c r="AH719" s="571" t="s">
        <v>25</v>
      </c>
      <c r="AI719" s="593"/>
      <c r="AJ719" s="593"/>
    </row>
    <row r="720" spans="1:36" s="376" customFormat="1" ht="40.5" outlineLevel="2" x14ac:dyDescent="0.3">
      <c r="A720" s="447">
        <v>61</v>
      </c>
      <c r="B720" s="637"/>
      <c r="C720" s="637"/>
      <c r="D720" s="587"/>
      <c r="E720" s="560"/>
      <c r="F720" s="558"/>
      <c r="G720" s="588"/>
      <c r="H720" s="546"/>
      <c r="I720" s="563" t="s">
        <v>25</v>
      </c>
      <c r="J720" s="563" t="s">
        <v>25</v>
      </c>
      <c r="K720" s="564" t="s">
        <v>25</v>
      </c>
      <c r="L720" s="564" t="s">
        <v>25</v>
      </c>
      <c r="M720" s="558"/>
      <c r="N720" s="558"/>
      <c r="O720" s="590"/>
      <c r="P720" s="564" t="s">
        <v>25</v>
      </c>
      <c r="Q720" s="564" t="s">
        <v>25</v>
      </c>
      <c r="R720" s="586" t="s">
        <v>1748</v>
      </c>
      <c r="S720" s="589" t="s">
        <v>53</v>
      </c>
      <c r="T720" s="591">
        <v>11.5</v>
      </c>
      <c r="U720" s="589"/>
      <c r="V720" s="564"/>
      <c r="W720" s="564">
        <v>0</v>
      </c>
      <c r="X720" s="589"/>
      <c r="Y720" s="592"/>
      <c r="Z720" s="592"/>
      <c r="AA720" s="568"/>
      <c r="AB720" s="592"/>
      <c r="AC720" s="592"/>
      <c r="AD720" s="592"/>
      <c r="AE720" s="590"/>
      <c r="AF720" s="570" t="s">
        <v>2899</v>
      </c>
      <c r="AG720" s="570" t="s">
        <v>25</v>
      </c>
      <c r="AH720" s="571" t="s">
        <v>25</v>
      </c>
      <c r="AI720" s="558"/>
      <c r="AJ720" s="558"/>
    </row>
    <row r="721" spans="1:36" s="376" customFormat="1" ht="60.75" outlineLevel="2" x14ac:dyDescent="0.3">
      <c r="A721" s="447">
        <v>61</v>
      </c>
      <c r="B721" s="558"/>
      <c r="C721" s="558"/>
      <c r="D721" s="587"/>
      <c r="E721" s="560"/>
      <c r="F721" s="558"/>
      <c r="G721" s="588"/>
      <c r="H721" s="546"/>
      <c r="I721" s="563" t="s">
        <v>25</v>
      </c>
      <c r="J721" s="563" t="s">
        <v>25</v>
      </c>
      <c r="K721" s="564" t="s">
        <v>25</v>
      </c>
      <c r="L721" s="564" t="s">
        <v>25</v>
      </c>
      <c r="M721" s="558"/>
      <c r="N721" s="558"/>
      <c r="O721" s="590"/>
      <c r="P721" s="564" t="s">
        <v>25</v>
      </c>
      <c r="Q721" s="564" t="s">
        <v>25</v>
      </c>
      <c r="R721" s="566" t="s">
        <v>2344</v>
      </c>
      <c r="S721" s="589" t="s">
        <v>53</v>
      </c>
      <c r="T721" s="591">
        <v>72.239999999999995</v>
      </c>
      <c r="U721" s="589"/>
      <c r="V721" s="564"/>
      <c r="W721" s="564">
        <v>0</v>
      </c>
      <c r="X721" s="589"/>
      <c r="Y721" s="592"/>
      <c r="Z721" s="592"/>
      <c r="AA721" s="568"/>
      <c r="AB721" s="592"/>
      <c r="AC721" s="592"/>
      <c r="AD721" s="592"/>
      <c r="AE721" s="590"/>
      <c r="AF721" s="570" t="s">
        <v>2899</v>
      </c>
      <c r="AG721" s="570" t="s">
        <v>25</v>
      </c>
      <c r="AH721" s="571" t="s">
        <v>25</v>
      </c>
      <c r="AI721" s="558"/>
      <c r="AJ721" s="558"/>
    </row>
    <row r="722" spans="1:36" s="376" customFormat="1" ht="60.75" outlineLevel="2" x14ac:dyDescent="0.3">
      <c r="A722" s="447">
        <v>61</v>
      </c>
      <c r="B722" s="636"/>
      <c r="C722" s="636"/>
      <c r="D722" s="587"/>
      <c r="E722" s="560"/>
      <c r="F722" s="558"/>
      <c r="G722" s="588"/>
      <c r="H722" s="546"/>
      <c r="I722" s="563" t="s">
        <v>25</v>
      </c>
      <c r="J722" s="563" t="s">
        <v>25</v>
      </c>
      <c r="K722" s="564" t="s">
        <v>25</v>
      </c>
      <c r="L722" s="564" t="s">
        <v>25</v>
      </c>
      <c r="M722" s="558"/>
      <c r="N722" s="558"/>
      <c r="O722" s="590"/>
      <c r="P722" s="564" t="s">
        <v>25</v>
      </c>
      <c r="Q722" s="564" t="s">
        <v>25</v>
      </c>
      <c r="R722" s="566" t="s">
        <v>1749</v>
      </c>
      <c r="S722" s="589" t="s">
        <v>53</v>
      </c>
      <c r="T722" s="591">
        <v>11.5</v>
      </c>
      <c r="U722" s="589"/>
      <c r="V722" s="564"/>
      <c r="W722" s="564">
        <v>0</v>
      </c>
      <c r="X722" s="589"/>
      <c r="Y722" s="592"/>
      <c r="Z722" s="592"/>
      <c r="AA722" s="568"/>
      <c r="AB722" s="592"/>
      <c r="AC722" s="592"/>
      <c r="AD722" s="592"/>
      <c r="AE722" s="590"/>
      <c r="AF722" s="570" t="s">
        <v>2899</v>
      </c>
      <c r="AG722" s="570" t="s">
        <v>25</v>
      </c>
      <c r="AH722" s="571" t="s">
        <v>25</v>
      </c>
      <c r="AI722" s="593"/>
      <c r="AJ722" s="593"/>
    </row>
    <row r="723" spans="1:36" s="376" customFormat="1" ht="60.75" outlineLevel="2" x14ac:dyDescent="0.3">
      <c r="A723" s="447">
        <v>61</v>
      </c>
      <c r="B723" s="637"/>
      <c r="C723" s="637"/>
      <c r="D723" s="587"/>
      <c r="E723" s="560"/>
      <c r="F723" s="558"/>
      <c r="G723" s="588"/>
      <c r="H723" s="546"/>
      <c r="I723" s="563" t="s">
        <v>25</v>
      </c>
      <c r="J723" s="563" t="s">
        <v>25</v>
      </c>
      <c r="K723" s="564" t="s">
        <v>25</v>
      </c>
      <c r="L723" s="564" t="s">
        <v>25</v>
      </c>
      <c r="M723" s="558"/>
      <c r="N723" s="558"/>
      <c r="O723" s="590"/>
      <c r="P723" s="564" t="s">
        <v>25</v>
      </c>
      <c r="Q723" s="564" t="s">
        <v>25</v>
      </c>
      <c r="R723" s="638" t="s">
        <v>2344</v>
      </c>
      <c r="S723" s="639" t="s">
        <v>53</v>
      </c>
      <c r="T723" s="591"/>
      <c r="U723" s="589">
        <v>1.9</v>
      </c>
      <c r="V723" s="564"/>
      <c r="W723" s="564">
        <v>0</v>
      </c>
      <c r="X723" s="589"/>
      <c r="Y723" s="592"/>
      <c r="Z723" s="592"/>
      <c r="AA723" s="568"/>
      <c r="AB723" s="592"/>
      <c r="AC723" s="592"/>
      <c r="AD723" s="592"/>
      <c r="AE723" s="590"/>
      <c r="AF723" s="570" t="s">
        <v>2899</v>
      </c>
      <c r="AG723" s="570" t="s">
        <v>25</v>
      </c>
      <c r="AH723" s="571" t="s">
        <v>25</v>
      </c>
      <c r="AI723" s="593"/>
      <c r="AJ723" s="593"/>
    </row>
    <row r="724" spans="1:36" s="376" customFormat="1" ht="40.5" outlineLevel="2" x14ac:dyDescent="0.3">
      <c r="A724" s="447">
        <v>61</v>
      </c>
      <c r="B724" s="637"/>
      <c r="C724" s="637"/>
      <c r="D724" s="587"/>
      <c r="E724" s="560"/>
      <c r="F724" s="558"/>
      <c r="G724" s="588"/>
      <c r="H724" s="546"/>
      <c r="I724" s="563" t="s">
        <v>25</v>
      </c>
      <c r="J724" s="563" t="s">
        <v>25</v>
      </c>
      <c r="K724" s="564" t="s">
        <v>25</v>
      </c>
      <c r="L724" s="564" t="s">
        <v>25</v>
      </c>
      <c r="M724" s="558"/>
      <c r="N724" s="558"/>
      <c r="O724" s="590"/>
      <c r="P724" s="564" t="s">
        <v>25</v>
      </c>
      <c r="Q724" s="564" t="s">
        <v>25</v>
      </c>
      <c r="R724" s="586" t="s">
        <v>1748</v>
      </c>
      <c r="S724" s="589" t="s">
        <v>53</v>
      </c>
      <c r="T724" s="591">
        <v>19.399999999999999</v>
      </c>
      <c r="U724" s="589"/>
      <c r="V724" s="564"/>
      <c r="W724" s="564">
        <v>0</v>
      </c>
      <c r="X724" s="589"/>
      <c r="Y724" s="592"/>
      <c r="Z724" s="592"/>
      <c r="AA724" s="568"/>
      <c r="AB724" s="592"/>
      <c r="AC724" s="592"/>
      <c r="AD724" s="592"/>
      <c r="AE724" s="590"/>
      <c r="AF724" s="570" t="s">
        <v>2899</v>
      </c>
      <c r="AG724" s="570" t="s">
        <v>25</v>
      </c>
      <c r="AH724" s="571" t="s">
        <v>25</v>
      </c>
      <c r="AI724" s="593"/>
      <c r="AJ724" s="593"/>
    </row>
    <row r="725" spans="1:36" s="376" customFormat="1" ht="40.5" outlineLevel="2" x14ac:dyDescent="0.3">
      <c r="A725" s="447">
        <v>61</v>
      </c>
      <c r="B725" s="558"/>
      <c r="C725" s="558"/>
      <c r="D725" s="587"/>
      <c r="E725" s="560"/>
      <c r="F725" s="558"/>
      <c r="G725" s="588"/>
      <c r="H725" s="546"/>
      <c r="I725" s="563" t="s">
        <v>25</v>
      </c>
      <c r="J725" s="563" t="s">
        <v>25</v>
      </c>
      <c r="K725" s="564" t="s">
        <v>25</v>
      </c>
      <c r="L725" s="564" t="s">
        <v>25</v>
      </c>
      <c r="M725" s="558"/>
      <c r="N725" s="558"/>
      <c r="O725" s="590"/>
      <c r="P725" s="564" t="s">
        <v>25</v>
      </c>
      <c r="Q725" s="564" t="s">
        <v>25</v>
      </c>
      <c r="R725" s="566" t="s">
        <v>2291</v>
      </c>
      <c r="S725" s="589" t="s">
        <v>78</v>
      </c>
      <c r="T725" s="591">
        <v>0.23</v>
      </c>
      <c r="U725" s="589"/>
      <c r="V725" s="564"/>
      <c r="W725" s="564">
        <v>0</v>
      </c>
      <c r="X725" s="589"/>
      <c r="Y725" s="592"/>
      <c r="Z725" s="592"/>
      <c r="AA725" s="568"/>
      <c r="AB725" s="592"/>
      <c r="AC725" s="592"/>
      <c r="AD725" s="592"/>
      <c r="AE725" s="590"/>
      <c r="AF725" s="570" t="s">
        <v>2899</v>
      </c>
      <c r="AG725" s="570" t="s">
        <v>25</v>
      </c>
      <c r="AH725" s="571" t="s">
        <v>25</v>
      </c>
      <c r="AI725" s="593"/>
      <c r="AJ725" s="593"/>
    </row>
    <row r="726" spans="1:36" s="376" customFormat="1" ht="60.75" outlineLevel="2" x14ac:dyDescent="0.3">
      <c r="A726" s="447">
        <v>61</v>
      </c>
      <c r="B726" s="636"/>
      <c r="C726" s="636"/>
      <c r="D726" s="587"/>
      <c r="E726" s="560"/>
      <c r="F726" s="558"/>
      <c r="G726" s="588"/>
      <c r="H726" s="546"/>
      <c r="I726" s="563" t="s">
        <v>25</v>
      </c>
      <c r="J726" s="563" t="s">
        <v>25</v>
      </c>
      <c r="K726" s="564" t="s">
        <v>25</v>
      </c>
      <c r="L726" s="564" t="s">
        <v>25</v>
      </c>
      <c r="M726" s="558"/>
      <c r="N726" s="558"/>
      <c r="O726" s="590"/>
      <c r="P726" s="564" t="s">
        <v>25</v>
      </c>
      <c r="Q726" s="564" t="s">
        <v>25</v>
      </c>
      <c r="R726" s="566" t="s">
        <v>2318</v>
      </c>
      <c r="S726" s="589" t="s">
        <v>53</v>
      </c>
      <c r="T726" s="591">
        <v>2.88</v>
      </c>
      <c r="U726" s="589"/>
      <c r="V726" s="564"/>
      <c r="W726" s="564">
        <v>0</v>
      </c>
      <c r="X726" s="589"/>
      <c r="Y726" s="592"/>
      <c r="Z726" s="592"/>
      <c r="AA726" s="568"/>
      <c r="AB726" s="592"/>
      <c r="AC726" s="592"/>
      <c r="AD726" s="592"/>
      <c r="AE726" s="590"/>
      <c r="AF726" s="570" t="s">
        <v>2899</v>
      </c>
      <c r="AG726" s="570" t="s">
        <v>25</v>
      </c>
      <c r="AH726" s="571" t="s">
        <v>25</v>
      </c>
      <c r="AI726" s="593"/>
      <c r="AJ726" s="593"/>
    </row>
    <row r="727" spans="1:36" s="376" customFormat="1" ht="60.75" outlineLevel="2" x14ac:dyDescent="0.3">
      <c r="A727" s="447">
        <v>61</v>
      </c>
      <c r="B727" s="637"/>
      <c r="C727" s="637"/>
      <c r="D727" s="587"/>
      <c r="E727" s="560"/>
      <c r="F727" s="558"/>
      <c r="G727" s="588"/>
      <c r="H727" s="546"/>
      <c r="I727" s="563" t="s">
        <v>25</v>
      </c>
      <c r="J727" s="563" t="s">
        <v>25</v>
      </c>
      <c r="K727" s="564" t="s">
        <v>25</v>
      </c>
      <c r="L727" s="564" t="s">
        <v>25</v>
      </c>
      <c r="M727" s="638"/>
      <c r="N727" s="638"/>
      <c r="O727" s="664"/>
      <c r="P727" s="564" t="s">
        <v>25</v>
      </c>
      <c r="Q727" s="564" t="s">
        <v>25</v>
      </c>
      <c r="R727" s="638" t="s">
        <v>2296</v>
      </c>
      <c r="S727" s="639" t="s">
        <v>53</v>
      </c>
      <c r="T727" s="591">
        <v>1.28</v>
      </c>
      <c r="U727" s="589"/>
      <c r="V727" s="564"/>
      <c r="W727" s="564">
        <v>0</v>
      </c>
      <c r="X727" s="589"/>
      <c r="Y727" s="592"/>
      <c r="Z727" s="592"/>
      <c r="AA727" s="568"/>
      <c r="AB727" s="592"/>
      <c r="AC727" s="592"/>
      <c r="AD727" s="592"/>
      <c r="AE727" s="590"/>
      <c r="AF727" s="570" t="s">
        <v>2899</v>
      </c>
      <c r="AG727" s="570" t="s">
        <v>25</v>
      </c>
      <c r="AH727" s="571" t="s">
        <v>25</v>
      </c>
      <c r="AI727" s="593"/>
      <c r="AJ727" s="593"/>
    </row>
    <row r="728" spans="1:36" s="376" customFormat="1" ht="101.25" outlineLevel="2" x14ac:dyDescent="0.3">
      <c r="A728" s="447">
        <v>61</v>
      </c>
      <c r="B728" s="637"/>
      <c r="C728" s="637"/>
      <c r="D728" s="587"/>
      <c r="E728" s="560"/>
      <c r="F728" s="558"/>
      <c r="G728" s="588"/>
      <c r="H728" s="546"/>
      <c r="I728" s="563" t="s">
        <v>25</v>
      </c>
      <c r="J728" s="563" t="s">
        <v>25</v>
      </c>
      <c r="K728" s="564" t="s">
        <v>25</v>
      </c>
      <c r="L728" s="564" t="s">
        <v>25</v>
      </c>
      <c r="M728" s="558"/>
      <c r="N728" s="558"/>
      <c r="O728" s="590"/>
      <c r="P728" s="564" t="s">
        <v>25</v>
      </c>
      <c r="Q728" s="564" t="s">
        <v>25</v>
      </c>
      <c r="R728" s="566" t="s">
        <v>2302</v>
      </c>
      <c r="S728" s="589" t="s">
        <v>53</v>
      </c>
      <c r="T728" s="617">
        <v>19.04</v>
      </c>
      <c r="U728" s="589">
        <v>48.16</v>
      </c>
      <c r="V728" s="564"/>
      <c r="W728" s="564">
        <v>0</v>
      </c>
      <c r="X728" s="589"/>
      <c r="Y728" s="592"/>
      <c r="Z728" s="592"/>
      <c r="AA728" s="568"/>
      <c r="AB728" s="592"/>
      <c r="AC728" s="592"/>
      <c r="AD728" s="592"/>
      <c r="AE728" s="590"/>
      <c r="AF728" s="570" t="s">
        <v>2899</v>
      </c>
      <c r="AG728" s="570" t="s">
        <v>25</v>
      </c>
      <c r="AH728" s="571" t="s">
        <v>25</v>
      </c>
      <c r="AI728" s="593"/>
      <c r="AJ728" s="593"/>
    </row>
    <row r="729" spans="1:36" s="376" customFormat="1" ht="81" outlineLevel="2" x14ac:dyDescent="0.3">
      <c r="A729" s="447">
        <v>61</v>
      </c>
      <c r="B729" s="558"/>
      <c r="C729" s="558"/>
      <c r="D729" s="587"/>
      <c r="E729" s="560"/>
      <c r="F729" s="558"/>
      <c r="G729" s="588"/>
      <c r="H729" s="546"/>
      <c r="I729" s="563" t="s">
        <v>25</v>
      </c>
      <c r="J729" s="563" t="s">
        <v>25</v>
      </c>
      <c r="K729" s="564" t="s">
        <v>25</v>
      </c>
      <c r="L729" s="564" t="s">
        <v>25</v>
      </c>
      <c r="M729" s="558"/>
      <c r="N729" s="558"/>
      <c r="O729" s="590"/>
      <c r="P729" s="564" t="s">
        <v>25</v>
      </c>
      <c r="Q729" s="564" t="s">
        <v>25</v>
      </c>
      <c r="R729" s="566" t="s">
        <v>1901</v>
      </c>
      <c r="S729" s="589" t="s">
        <v>53</v>
      </c>
      <c r="T729" s="591">
        <v>105.3</v>
      </c>
      <c r="U729" s="589"/>
      <c r="V729" s="564"/>
      <c r="W729" s="564">
        <v>0</v>
      </c>
      <c r="X729" s="589"/>
      <c r="Y729" s="592"/>
      <c r="Z729" s="592"/>
      <c r="AA729" s="568"/>
      <c r="AB729" s="592"/>
      <c r="AC729" s="592"/>
      <c r="AD729" s="592"/>
      <c r="AE729" s="590"/>
      <c r="AF729" s="570" t="s">
        <v>2899</v>
      </c>
      <c r="AG729" s="570" t="s">
        <v>25</v>
      </c>
      <c r="AH729" s="571" t="s">
        <v>25</v>
      </c>
      <c r="AI729" s="593"/>
      <c r="AJ729" s="593"/>
    </row>
    <row r="730" spans="1:36" s="376" customFormat="1" ht="60.75" outlineLevel="2" x14ac:dyDescent="0.3">
      <c r="A730" s="447">
        <v>61</v>
      </c>
      <c r="B730" s="636"/>
      <c r="C730" s="636"/>
      <c r="D730" s="587"/>
      <c r="E730" s="560"/>
      <c r="F730" s="558"/>
      <c r="G730" s="588"/>
      <c r="H730" s="546"/>
      <c r="I730" s="563" t="s">
        <v>25</v>
      </c>
      <c r="J730" s="563" t="s">
        <v>25</v>
      </c>
      <c r="K730" s="564" t="s">
        <v>25</v>
      </c>
      <c r="L730" s="564" t="s">
        <v>25</v>
      </c>
      <c r="M730" s="558"/>
      <c r="N730" s="558"/>
      <c r="O730" s="590"/>
      <c r="P730" s="564" t="s">
        <v>25</v>
      </c>
      <c r="Q730" s="564" t="s">
        <v>25</v>
      </c>
      <c r="R730" s="566" t="s">
        <v>2345</v>
      </c>
      <c r="S730" s="589" t="s">
        <v>53</v>
      </c>
      <c r="T730" s="591">
        <v>2.64</v>
      </c>
      <c r="U730" s="589"/>
      <c r="V730" s="564"/>
      <c r="W730" s="564">
        <v>0</v>
      </c>
      <c r="X730" s="589"/>
      <c r="Y730" s="592"/>
      <c r="Z730" s="592"/>
      <c r="AA730" s="568"/>
      <c r="AB730" s="592"/>
      <c r="AC730" s="592"/>
      <c r="AD730" s="592"/>
      <c r="AE730" s="590"/>
      <c r="AF730" s="570" t="s">
        <v>2899</v>
      </c>
      <c r="AG730" s="570" t="s">
        <v>25</v>
      </c>
      <c r="AH730" s="571" t="s">
        <v>25</v>
      </c>
      <c r="AI730" s="593"/>
      <c r="AJ730" s="593"/>
    </row>
    <row r="731" spans="1:36" s="376" customFormat="1" ht="20.25" outlineLevel="2" x14ac:dyDescent="0.3">
      <c r="A731" s="447">
        <v>61</v>
      </c>
      <c r="B731" s="637"/>
      <c r="C731" s="637"/>
      <c r="D731" s="587"/>
      <c r="E731" s="560"/>
      <c r="F731" s="558"/>
      <c r="G731" s="588"/>
      <c r="H731" s="546"/>
      <c r="I731" s="563" t="s">
        <v>25</v>
      </c>
      <c r="J731" s="563" t="s">
        <v>25</v>
      </c>
      <c r="K731" s="564" t="s">
        <v>25</v>
      </c>
      <c r="L731" s="564" t="s">
        <v>25</v>
      </c>
      <c r="M731" s="558"/>
      <c r="N731" s="558"/>
      <c r="O731" s="590"/>
      <c r="P731" s="564" t="s">
        <v>25</v>
      </c>
      <c r="Q731" s="564" t="s">
        <v>25</v>
      </c>
      <c r="R731" s="640" t="s">
        <v>1839</v>
      </c>
      <c r="S731" s="639" t="s">
        <v>53</v>
      </c>
      <c r="T731" s="591">
        <v>5.88</v>
      </c>
      <c r="U731" s="589">
        <v>13.44</v>
      </c>
      <c r="V731" s="564"/>
      <c r="W731" s="564">
        <v>0</v>
      </c>
      <c r="X731" s="589"/>
      <c r="Y731" s="592"/>
      <c r="Z731" s="592"/>
      <c r="AA731" s="568"/>
      <c r="AB731" s="592"/>
      <c r="AC731" s="592"/>
      <c r="AD731" s="592"/>
      <c r="AE731" s="590"/>
      <c r="AF731" s="570" t="s">
        <v>2899</v>
      </c>
      <c r="AG731" s="570" t="s">
        <v>25</v>
      </c>
      <c r="AH731" s="571" t="s">
        <v>25</v>
      </c>
      <c r="AI731" s="593"/>
      <c r="AJ731" s="593"/>
    </row>
    <row r="732" spans="1:36" s="376" customFormat="1" ht="81" outlineLevel="2" x14ac:dyDescent="0.3">
      <c r="A732" s="447">
        <v>61</v>
      </c>
      <c r="B732" s="637"/>
      <c r="C732" s="637"/>
      <c r="D732" s="587"/>
      <c r="E732" s="560"/>
      <c r="F732" s="558"/>
      <c r="G732" s="588"/>
      <c r="H732" s="546"/>
      <c r="I732" s="563" t="s">
        <v>25</v>
      </c>
      <c r="J732" s="563" t="s">
        <v>25</v>
      </c>
      <c r="K732" s="564" t="s">
        <v>25</v>
      </c>
      <c r="L732" s="564" t="s">
        <v>25</v>
      </c>
      <c r="M732" s="558"/>
      <c r="N732" s="558"/>
      <c r="O732" s="590"/>
      <c r="P732" s="564" t="s">
        <v>25</v>
      </c>
      <c r="Q732" s="564" t="s">
        <v>25</v>
      </c>
      <c r="R732" s="566" t="s">
        <v>2346</v>
      </c>
      <c r="S732" s="589" t="s">
        <v>53</v>
      </c>
      <c r="T732" s="591">
        <v>33.840000000000003</v>
      </c>
      <c r="U732" s="589">
        <v>65.52</v>
      </c>
      <c r="V732" s="564"/>
      <c r="W732" s="564">
        <v>0</v>
      </c>
      <c r="X732" s="589"/>
      <c r="Y732" s="592"/>
      <c r="Z732" s="592"/>
      <c r="AA732" s="568"/>
      <c r="AB732" s="592"/>
      <c r="AC732" s="592"/>
      <c r="AD732" s="592"/>
      <c r="AE732" s="590"/>
      <c r="AF732" s="570" t="s">
        <v>2899</v>
      </c>
      <c r="AG732" s="570" t="s">
        <v>25</v>
      </c>
      <c r="AH732" s="571" t="s">
        <v>25</v>
      </c>
      <c r="AI732" s="593"/>
      <c r="AJ732" s="593"/>
    </row>
    <row r="733" spans="1:36" s="376" customFormat="1" ht="40.5" outlineLevel="2" x14ac:dyDescent="0.3">
      <c r="A733" s="447">
        <v>61</v>
      </c>
      <c r="B733" s="558"/>
      <c r="C733" s="558"/>
      <c r="D733" s="587"/>
      <c r="E733" s="560"/>
      <c r="F733" s="558"/>
      <c r="G733" s="588"/>
      <c r="H733" s="546"/>
      <c r="I733" s="563" t="s">
        <v>25</v>
      </c>
      <c r="J733" s="563" t="s">
        <v>25</v>
      </c>
      <c r="K733" s="564" t="s">
        <v>25</v>
      </c>
      <c r="L733" s="564" t="s">
        <v>25</v>
      </c>
      <c r="M733" s="558"/>
      <c r="N733" s="558"/>
      <c r="O733" s="590"/>
      <c r="P733" s="564" t="s">
        <v>25</v>
      </c>
      <c r="Q733" s="564" t="s">
        <v>25</v>
      </c>
      <c r="R733" s="566" t="s">
        <v>2347</v>
      </c>
      <c r="S733" s="589" t="s">
        <v>53</v>
      </c>
      <c r="T733" s="567"/>
      <c r="U733" s="641" t="s">
        <v>364</v>
      </c>
      <c r="V733" s="564"/>
      <c r="W733" s="564">
        <v>0</v>
      </c>
      <c r="X733" s="589"/>
      <c r="Y733" s="592"/>
      <c r="Z733" s="592"/>
      <c r="AA733" s="568"/>
      <c r="AB733" s="592"/>
      <c r="AC733" s="592"/>
      <c r="AD733" s="592"/>
      <c r="AE733" s="590"/>
      <c r="AF733" s="570" t="s">
        <v>2899</v>
      </c>
      <c r="AG733" s="570" t="s">
        <v>25</v>
      </c>
      <c r="AH733" s="571" t="s">
        <v>25</v>
      </c>
      <c r="AI733" s="593"/>
      <c r="AJ733" s="593"/>
    </row>
    <row r="734" spans="1:36" s="376" customFormat="1" ht="40.5" outlineLevel="2" x14ac:dyDescent="0.3">
      <c r="A734" s="447">
        <v>61</v>
      </c>
      <c r="B734" s="636"/>
      <c r="C734" s="636"/>
      <c r="D734" s="587"/>
      <c r="E734" s="560"/>
      <c r="F734" s="558"/>
      <c r="G734" s="588"/>
      <c r="H734" s="546"/>
      <c r="I734" s="563" t="s">
        <v>25</v>
      </c>
      <c r="J734" s="563" t="s">
        <v>25</v>
      </c>
      <c r="K734" s="564" t="s">
        <v>25</v>
      </c>
      <c r="L734" s="564" t="s">
        <v>25</v>
      </c>
      <c r="M734" s="558"/>
      <c r="N734" s="558"/>
      <c r="O734" s="590"/>
      <c r="P734" s="564" t="s">
        <v>25</v>
      </c>
      <c r="Q734" s="564" t="s">
        <v>25</v>
      </c>
      <c r="R734" s="566" t="s">
        <v>2347</v>
      </c>
      <c r="S734" s="589" t="s">
        <v>53</v>
      </c>
      <c r="T734" s="567"/>
      <c r="U734" s="679" t="s">
        <v>365</v>
      </c>
      <c r="V734" s="564"/>
      <c r="W734" s="564">
        <v>0</v>
      </c>
      <c r="X734" s="589"/>
      <c r="Y734" s="592"/>
      <c r="Z734" s="592"/>
      <c r="AA734" s="568"/>
      <c r="AB734" s="592"/>
      <c r="AC734" s="592"/>
      <c r="AD734" s="592"/>
      <c r="AE734" s="590"/>
      <c r="AF734" s="570" t="s">
        <v>2899</v>
      </c>
      <c r="AG734" s="570" t="s">
        <v>25</v>
      </c>
      <c r="AH734" s="571" t="s">
        <v>25</v>
      </c>
      <c r="AI734" s="593"/>
      <c r="AJ734" s="593"/>
    </row>
    <row r="735" spans="1:36" s="376" customFormat="1" ht="40.5" outlineLevel="2" x14ac:dyDescent="0.3">
      <c r="A735" s="447">
        <v>61</v>
      </c>
      <c r="B735" s="637"/>
      <c r="C735" s="637"/>
      <c r="D735" s="587"/>
      <c r="E735" s="560"/>
      <c r="F735" s="558"/>
      <c r="G735" s="588"/>
      <c r="H735" s="546"/>
      <c r="I735" s="563" t="s">
        <v>25</v>
      </c>
      <c r="J735" s="563" t="s">
        <v>25</v>
      </c>
      <c r="K735" s="564" t="s">
        <v>25</v>
      </c>
      <c r="L735" s="564" t="s">
        <v>25</v>
      </c>
      <c r="M735" s="638"/>
      <c r="N735" s="638"/>
      <c r="O735" s="664"/>
      <c r="P735" s="564" t="s">
        <v>25</v>
      </c>
      <c r="Q735" s="564" t="s">
        <v>25</v>
      </c>
      <c r="R735" s="638" t="s">
        <v>1839</v>
      </c>
      <c r="S735" s="680" t="s">
        <v>53</v>
      </c>
      <c r="T735" s="591">
        <v>10.199999999999999</v>
      </c>
      <c r="U735" s="589">
        <v>217.69</v>
      </c>
      <c r="V735" s="564"/>
      <c r="W735" s="564">
        <v>0</v>
      </c>
      <c r="X735" s="589"/>
      <c r="Y735" s="592"/>
      <c r="Z735" s="592"/>
      <c r="AA735" s="568"/>
      <c r="AB735" s="592"/>
      <c r="AC735" s="592"/>
      <c r="AD735" s="592"/>
      <c r="AE735" s="590"/>
      <c r="AF735" s="570" t="s">
        <v>2899</v>
      </c>
      <c r="AG735" s="570" t="s">
        <v>25</v>
      </c>
      <c r="AH735" s="571" t="s">
        <v>25</v>
      </c>
      <c r="AI735" s="593"/>
      <c r="AJ735" s="593"/>
    </row>
    <row r="736" spans="1:36" s="376" customFormat="1" ht="20.25" outlineLevel="2" x14ac:dyDescent="0.3">
      <c r="A736" s="447">
        <v>61</v>
      </c>
      <c r="B736" s="637"/>
      <c r="C736" s="637"/>
      <c r="D736" s="587"/>
      <c r="E736" s="615"/>
      <c r="F736" s="558"/>
      <c r="G736" s="588"/>
      <c r="H736" s="546"/>
      <c r="I736" s="563" t="s">
        <v>25</v>
      </c>
      <c r="J736" s="563" t="s">
        <v>25</v>
      </c>
      <c r="K736" s="564" t="s">
        <v>25</v>
      </c>
      <c r="L736" s="564" t="s">
        <v>25</v>
      </c>
      <c r="M736" s="638"/>
      <c r="N736" s="638"/>
      <c r="O736" s="664"/>
      <c r="P736" s="564" t="s">
        <v>25</v>
      </c>
      <c r="Q736" s="564" t="s">
        <v>25</v>
      </c>
      <c r="R736" s="640" t="s">
        <v>1757</v>
      </c>
      <c r="S736" s="639" t="s">
        <v>53</v>
      </c>
      <c r="T736" s="591">
        <v>68.2</v>
      </c>
      <c r="U736" s="589">
        <v>189.2</v>
      </c>
      <c r="V736" s="564"/>
      <c r="W736" s="564">
        <v>0</v>
      </c>
      <c r="X736" s="589"/>
      <c r="Y736" s="592"/>
      <c r="Z736" s="592"/>
      <c r="AA736" s="568"/>
      <c r="AB736" s="592"/>
      <c r="AC736" s="592"/>
      <c r="AD736" s="592"/>
      <c r="AE736" s="590"/>
      <c r="AF736" s="570" t="s">
        <v>2899</v>
      </c>
      <c r="AG736" s="570" t="s">
        <v>25</v>
      </c>
      <c r="AH736" s="571" t="s">
        <v>25</v>
      </c>
      <c r="AI736" s="593"/>
      <c r="AJ736" s="593"/>
    </row>
    <row r="737" spans="1:36" s="376" customFormat="1" ht="20.25" outlineLevel="2" x14ac:dyDescent="0.3">
      <c r="A737" s="447">
        <v>61</v>
      </c>
      <c r="B737" s="558"/>
      <c r="C737" s="558"/>
      <c r="D737" s="587"/>
      <c r="E737" s="560"/>
      <c r="F737" s="558"/>
      <c r="G737" s="604"/>
      <c r="H737" s="546"/>
      <c r="I737" s="563" t="s">
        <v>25</v>
      </c>
      <c r="J737" s="563" t="s">
        <v>25</v>
      </c>
      <c r="K737" s="564" t="s">
        <v>25</v>
      </c>
      <c r="L737" s="564" t="s">
        <v>25</v>
      </c>
      <c r="M737" s="593"/>
      <c r="N737" s="593"/>
      <c r="O737" s="616"/>
      <c r="P737" s="564" t="s">
        <v>25</v>
      </c>
      <c r="Q737" s="564" t="s">
        <v>25</v>
      </c>
      <c r="R737" s="593"/>
      <c r="S737" s="593"/>
      <c r="T737" s="617"/>
      <c r="U737" s="589"/>
      <c r="V737" s="564" t="s">
        <v>2899</v>
      </c>
      <c r="W737" s="564" t="s">
        <v>25</v>
      </c>
      <c r="X737" s="589"/>
      <c r="Y737" s="589"/>
      <c r="Z737" s="589"/>
      <c r="AA737" s="562"/>
      <c r="AB737" s="589"/>
      <c r="AC737" s="589"/>
      <c r="AD737" s="589"/>
      <c r="AE737" s="629"/>
      <c r="AF737" s="570" t="s">
        <v>2899</v>
      </c>
      <c r="AG737" s="570" t="s">
        <v>25</v>
      </c>
      <c r="AH737" s="571" t="s">
        <v>25</v>
      </c>
      <c r="AI737" s="593"/>
      <c r="AJ737" s="593"/>
    </row>
    <row r="738" spans="1:36" s="376" customFormat="1" ht="20.25" outlineLevel="2" x14ac:dyDescent="0.3">
      <c r="A738" s="447">
        <v>61</v>
      </c>
      <c r="B738" s="636"/>
      <c r="C738" s="636"/>
      <c r="D738" s="587"/>
      <c r="E738" s="560"/>
      <c r="F738" s="558"/>
      <c r="G738" s="588"/>
      <c r="H738" s="546"/>
      <c r="I738" s="563" t="s">
        <v>25</v>
      </c>
      <c r="J738" s="563" t="s">
        <v>25</v>
      </c>
      <c r="K738" s="564" t="s">
        <v>25</v>
      </c>
      <c r="L738" s="564" t="s">
        <v>25</v>
      </c>
      <c r="M738" s="558"/>
      <c r="N738" s="558"/>
      <c r="O738" s="590"/>
      <c r="P738" s="564" t="s">
        <v>25</v>
      </c>
      <c r="Q738" s="564" t="s">
        <v>25</v>
      </c>
      <c r="R738" s="566"/>
      <c r="S738" s="589"/>
      <c r="T738" s="591"/>
      <c r="U738" s="589"/>
      <c r="V738" s="564" t="s">
        <v>2899</v>
      </c>
      <c r="W738" s="564" t="s">
        <v>25</v>
      </c>
      <c r="X738" s="589"/>
      <c r="Y738" s="592"/>
      <c r="Z738" s="592"/>
      <c r="AA738" s="568"/>
      <c r="AB738" s="592"/>
      <c r="AC738" s="592"/>
      <c r="AD738" s="592"/>
      <c r="AE738" s="590"/>
      <c r="AF738" s="570" t="s">
        <v>2899</v>
      </c>
      <c r="AG738" s="570" t="s">
        <v>25</v>
      </c>
      <c r="AH738" s="571" t="s">
        <v>25</v>
      </c>
      <c r="AI738" s="593"/>
      <c r="AJ738" s="593"/>
    </row>
    <row r="739" spans="1:36" s="376" customFormat="1" ht="20.25" outlineLevel="2" x14ac:dyDescent="0.3">
      <c r="A739" s="447">
        <v>61</v>
      </c>
      <c r="B739" s="637"/>
      <c r="C739" s="637"/>
      <c r="D739" s="587"/>
      <c r="E739" s="560"/>
      <c r="F739" s="558"/>
      <c r="G739" s="588"/>
      <c r="H739" s="546"/>
      <c r="I739" s="563" t="s">
        <v>25</v>
      </c>
      <c r="J739" s="563" t="s">
        <v>25</v>
      </c>
      <c r="K739" s="564" t="s">
        <v>25</v>
      </c>
      <c r="L739" s="564" t="s">
        <v>25</v>
      </c>
      <c r="M739" s="558"/>
      <c r="N739" s="558"/>
      <c r="O739" s="590"/>
      <c r="P739" s="564" t="s">
        <v>25</v>
      </c>
      <c r="Q739" s="564" t="s">
        <v>25</v>
      </c>
      <c r="R739" s="566"/>
      <c r="S739" s="589"/>
      <c r="T739" s="591"/>
      <c r="U739" s="589"/>
      <c r="V739" s="564" t="s">
        <v>2899</v>
      </c>
      <c r="W739" s="564" t="s">
        <v>25</v>
      </c>
      <c r="X739" s="589"/>
      <c r="Y739" s="592"/>
      <c r="Z739" s="592"/>
      <c r="AA739" s="568"/>
      <c r="AB739" s="592"/>
      <c r="AC739" s="592"/>
      <c r="AD739" s="592"/>
      <c r="AE739" s="590"/>
      <c r="AF739" s="570" t="s">
        <v>2899</v>
      </c>
      <c r="AG739" s="570" t="s">
        <v>25</v>
      </c>
      <c r="AH739" s="571" t="s">
        <v>25</v>
      </c>
      <c r="AI739" s="593"/>
      <c r="AJ739" s="593"/>
    </row>
    <row r="740" spans="1:36" s="376" customFormat="1" ht="20.25" outlineLevel="2" x14ac:dyDescent="0.3">
      <c r="A740" s="447">
        <v>61</v>
      </c>
      <c r="B740" s="636"/>
      <c r="C740" s="636"/>
      <c r="D740" s="595"/>
      <c r="E740" s="577"/>
      <c r="F740" s="558"/>
      <c r="G740" s="588"/>
      <c r="H740" s="546"/>
      <c r="I740" s="563" t="s">
        <v>25</v>
      </c>
      <c r="J740" s="563" t="s">
        <v>25</v>
      </c>
      <c r="K740" s="564" t="s">
        <v>25</v>
      </c>
      <c r="L740" s="564" t="s">
        <v>25</v>
      </c>
      <c r="M740" s="638"/>
      <c r="N740" s="638"/>
      <c r="O740" s="664"/>
      <c r="P740" s="564" t="s">
        <v>25</v>
      </c>
      <c r="Q740" s="564" t="s">
        <v>25</v>
      </c>
      <c r="R740" s="640"/>
      <c r="S740" s="639"/>
      <c r="T740" s="591"/>
      <c r="U740" s="589"/>
      <c r="V740" s="564" t="s">
        <v>2899</v>
      </c>
      <c r="W740" s="564" t="s">
        <v>25</v>
      </c>
      <c r="X740" s="589"/>
      <c r="Y740" s="592"/>
      <c r="Z740" s="592"/>
      <c r="AA740" s="568"/>
      <c r="AB740" s="592"/>
      <c r="AC740" s="592"/>
      <c r="AD740" s="592"/>
      <c r="AE740" s="590"/>
      <c r="AF740" s="570" t="s">
        <v>2899</v>
      </c>
      <c r="AG740" s="570" t="s">
        <v>25</v>
      </c>
      <c r="AH740" s="571" t="s">
        <v>25</v>
      </c>
      <c r="AI740" s="593"/>
      <c r="AJ740" s="593"/>
    </row>
    <row r="741" spans="1:36" s="376" customFormat="1" ht="40.5" outlineLevel="1" x14ac:dyDescent="0.25">
      <c r="A741" s="467">
        <v>62</v>
      </c>
      <c r="B741" s="636" t="s">
        <v>561</v>
      </c>
      <c r="C741" s="773" t="s">
        <v>2902</v>
      </c>
      <c r="D741" s="587">
        <v>86</v>
      </c>
      <c r="E741" s="560">
        <v>708</v>
      </c>
      <c r="F741" s="574"/>
      <c r="G741" s="618">
        <v>1183.2</v>
      </c>
      <c r="H741" s="579">
        <v>1183.2</v>
      </c>
      <c r="I741" s="581"/>
      <c r="J741" s="581"/>
      <c r="K741" s="571">
        <v>550898000</v>
      </c>
      <c r="L741" s="571">
        <v>1652694000</v>
      </c>
      <c r="M741" s="574"/>
      <c r="N741" s="574"/>
      <c r="O741" s="599">
        <v>0</v>
      </c>
      <c r="P741" s="571"/>
      <c r="Q741" s="571">
        <v>0</v>
      </c>
      <c r="R741" s="582"/>
      <c r="S741" s="597"/>
      <c r="T741" s="600">
        <v>0</v>
      </c>
      <c r="U741" s="597"/>
      <c r="V741" s="571"/>
      <c r="W741" s="571">
        <v>0</v>
      </c>
      <c r="X741" s="589"/>
      <c r="Y741" s="592"/>
      <c r="Z741" s="592"/>
      <c r="AA741" s="568"/>
      <c r="AB741" s="592"/>
      <c r="AC741" s="592"/>
      <c r="AD741" s="634"/>
      <c r="AE741" s="599">
        <f>SUBTOTAL(9,AE742:AE750)</f>
        <v>0</v>
      </c>
      <c r="AF741" s="585"/>
      <c r="AG741" s="585">
        <v>0</v>
      </c>
      <c r="AH741" s="571">
        <v>2203592000</v>
      </c>
      <c r="AI741" s="574"/>
      <c r="AJ741" s="578"/>
    </row>
    <row r="742" spans="1:36" s="376" customFormat="1" ht="121.5" outlineLevel="2" x14ac:dyDescent="0.3">
      <c r="A742" s="447">
        <v>62</v>
      </c>
      <c r="B742" s="558" t="s">
        <v>234</v>
      </c>
      <c r="C742" s="558"/>
      <c r="D742" s="587"/>
      <c r="E742" s="560"/>
      <c r="F742" s="558" t="s">
        <v>2864</v>
      </c>
      <c r="G742" s="588">
        <v>1088.2</v>
      </c>
      <c r="H742" s="546">
        <v>1088.2</v>
      </c>
      <c r="I742" s="563">
        <v>465600</v>
      </c>
      <c r="J742" s="563">
        <v>1396800</v>
      </c>
      <c r="K742" s="564">
        <v>506666000</v>
      </c>
      <c r="L742" s="564">
        <v>1519998000</v>
      </c>
      <c r="M742" s="558"/>
      <c r="N742" s="558"/>
      <c r="O742" s="590"/>
      <c r="P742" s="564" t="s">
        <v>25</v>
      </c>
      <c r="Q742" s="564" t="s">
        <v>25</v>
      </c>
      <c r="R742" s="566"/>
      <c r="S742" s="589"/>
      <c r="T742" s="591"/>
      <c r="U742" s="589"/>
      <c r="V742" s="564" t="s">
        <v>2899</v>
      </c>
      <c r="W742" s="564" t="s">
        <v>25</v>
      </c>
      <c r="X742" s="589"/>
      <c r="Y742" s="592"/>
      <c r="Z742" s="592"/>
      <c r="AA742" s="568"/>
      <c r="AB742" s="592"/>
      <c r="AC742" s="592"/>
      <c r="AD742" s="606"/>
      <c r="AE742" s="590"/>
      <c r="AF742" s="570" t="s">
        <v>2899</v>
      </c>
      <c r="AG742" s="570"/>
      <c r="AH742" s="571" t="s">
        <v>25</v>
      </c>
      <c r="AI742" s="558" t="s">
        <v>1707</v>
      </c>
      <c r="AJ742" s="586" t="s">
        <v>2771</v>
      </c>
    </row>
    <row r="743" spans="1:36" s="376" customFormat="1" ht="101.25" outlineLevel="2" x14ac:dyDescent="0.3">
      <c r="A743" s="447">
        <v>62</v>
      </c>
      <c r="B743" s="637" t="s">
        <v>697</v>
      </c>
      <c r="C743" s="637"/>
      <c r="D743" s="587"/>
      <c r="E743" s="560"/>
      <c r="F743" s="558" t="s">
        <v>2878</v>
      </c>
      <c r="G743" s="588">
        <v>87.2</v>
      </c>
      <c r="H743" s="546">
        <v>87.2</v>
      </c>
      <c r="I743" s="563">
        <v>465600</v>
      </c>
      <c r="J743" s="563">
        <v>1396800</v>
      </c>
      <c r="K743" s="564">
        <v>40600000</v>
      </c>
      <c r="L743" s="564">
        <v>121801000</v>
      </c>
      <c r="M743" s="558"/>
      <c r="N743" s="558"/>
      <c r="O743" s="590"/>
      <c r="P743" s="564" t="s">
        <v>25</v>
      </c>
      <c r="Q743" s="564" t="s">
        <v>25</v>
      </c>
      <c r="R743" s="566"/>
      <c r="S743" s="589"/>
      <c r="T743" s="591"/>
      <c r="U743" s="589"/>
      <c r="V743" s="564" t="s">
        <v>2899</v>
      </c>
      <c r="W743" s="564" t="s">
        <v>25</v>
      </c>
      <c r="X743" s="589"/>
      <c r="Y743" s="592"/>
      <c r="Z743" s="592"/>
      <c r="AA743" s="568"/>
      <c r="AB743" s="592"/>
      <c r="AC743" s="592"/>
      <c r="AD743" s="592"/>
      <c r="AE743" s="590"/>
      <c r="AF743" s="570" t="s">
        <v>2899</v>
      </c>
      <c r="AG743" s="570" t="s">
        <v>25</v>
      </c>
      <c r="AH743" s="571" t="s">
        <v>25</v>
      </c>
      <c r="AI743" s="558" t="s">
        <v>563</v>
      </c>
      <c r="AJ743" s="605" t="s">
        <v>2448</v>
      </c>
    </row>
    <row r="744" spans="1:36" s="376" customFormat="1" ht="101.25" outlineLevel="2" x14ac:dyDescent="0.3">
      <c r="A744" s="447">
        <v>62</v>
      </c>
      <c r="B744" s="637"/>
      <c r="C744" s="637"/>
      <c r="D744" s="587"/>
      <c r="E744" s="560"/>
      <c r="F744" s="558" t="s">
        <v>2879</v>
      </c>
      <c r="G744" s="588">
        <v>7.8</v>
      </c>
      <c r="H744" s="546">
        <v>7.8</v>
      </c>
      <c r="I744" s="563">
        <v>465600</v>
      </c>
      <c r="J744" s="563">
        <v>1396800</v>
      </c>
      <c r="K744" s="564">
        <v>3632000</v>
      </c>
      <c r="L744" s="564">
        <v>10895000</v>
      </c>
      <c r="M744" s="638"/>
      <c r="N744" s="638"/>
      <c r="O744" s="590"/>
      <c r="P744" s="564" t="s">
        <v>25</v>
      </c>
      <c r="Q744" s="564" t="s">
        <v>25</v>
      </c>
      <c r="R744" s="638"/>
      <c r="S744" s="639"/>
      <c r="T744" s="591"/>
      <c r="U744" s="589"/>
      <c r="V744" s="564" t="s">
        <v>2899</v>
      </c>
      <c r="W744" s="564" t="s">
        <v>25</v>
      </c>
      <c r="X744" s="589"/>
      <c r="Y744" s="592"/>
      <c r="Z744" s="592"/>
      <c r="AA744" s="568"/>
      <c r="AB744" s="592"/>
      <c r="AC744" s="592"/>
      <c r="AD744" s="592"/>
      <c r="AE744" s="590"/>
      <c r="AF744" s="570" t="s">
        <v>2899</v>
      </c>
      <c r="AG744" s="570" t="s">
        <v>25</v>
      </c>
      <c r="AH744" s="571" t="s">
        <v>25</v>
      </c>
      <c r="AI744" s="574" t="s">
        <v>292</v>
      </c>
      <c r="AJ744" s="593"/>
    </row>
    <row r="745" spans="1:36" s="376" customFormat="1" ht="101.25" outlineLevel="2" x14ac:dyDescent="0.3">
      <c r="A745" s="447">
        <v>62</v>
      </c>
      <c r="B745" s="637"/>
      <c r="C745" s="637"/>
      <c r="D745" s="587"/>
      <c r="E745" s="615"/>
      <c r="F745" s="558"/>
      <c r="G745" s="588"/>
      <c r="H745" s="546"/>
      <c r="I745" s="563" t="s">
        <v>25</v>
      </c>
      <c r="J745" s="563" t="s">
        <v>25</v>
      </c>
      <c r="K745" s="564" t="s">
        <v>25</v>
      </c>
      <c r="L745" s="564" t="s">
        <v>25</v>
      </c>
      <c r="M745" s="638"/>
      <c r="N745" s="638"/>
      <c r="O745" s="664"/>
      <c r="P745" s="564" t="s">
        <v>25</v>
      </c>
      <c r="Q745" s="564" t="s">
        <v>25</v>
      </c>
      <c r="R745" s="638"/>
      <c r="S745" s="640"/>
      <c r="T745" s="591"/>
      <c r="U745" s="589"/>
      <c r="V745" s="564" t="s">
        <v>2899</v>
      </c>
      <c r="W745" s="564" t="s">
        <v>25</v>
      </c>
      <c r="X745" s="589"/>
      <c r="Y745" s="592"/>
      <c r="Z745" s="592"/>
      <c r="AA745" s="568"/>
      <c r="AB745" s="592"/>
      <c r="AC745" s="592"/>
      <c r="AD745" s="592"/>
      <c r="AE745" s="590"/>
      <c r="AF745" s="570" t="s">
        <v>2899</v>
      </c>
      <c r="AG745" s="570" t="s">
        <v>25</v>
      </c>
      <c r="AH745" s="571" t="s">
        <v>25</v>
      </c>
      <c r="AI745" s="558" t="s">
        <v>1708</v>
      </c>
      <c r="AJ745" s="574"/>
    </row>
    <row r="746" spans="1:36" s="376" customFormat="1" ht="121.5" outlineLevel="2" x14ac:dyDescent="0.3">
      <c r="A746" s="447">
        <v>62</v>
      </c>
      <c r="B746" s="558"/>
      <c r="C746" s="558"/>
      <c r="D746" s="587"/>
      <c r="E746" s="560"/>
      <c r="F746" s="558"/>
      <c r="G746" s="604"/>
      <c r="H746" s="546"/>
      <c r="I746" s="563" t="s">
        <v>25</v>
      </c>
      <c r="J746" s="563" t="s">
        <v>25</v>
      </c>
      <c r="K746" s="564" t="s">
        <v>25</v>
      </c>
      <c r="L746" s="564" t="s">
        <v>25</v>
      </c>
      <c r="M746" s="593"/>
      <c r="N746" s="593"/>
      <c r="O746" s="616"/>
      <c r="P746" s="564" t="s">
        <v>25</v>
      </c>
      <c r="Q746" s="564" t="s">
        <v>25</v>
      </c>
      <c r="R746" s="593"/>
      <c r="S746" s="593"/>
      <c r="T746" s="617"/>
      <c r="U746" s="589"/>
      <c r="V746" s="564" t="s">
        <v>2899</v>
      </c>
      <c r="W746" s="564" t="s">
        <v>25</v>
      </c>
      <c r="X746" s="589"/>
      <c r="Y746" s="589"/>
      <c r="Z746" s="589"/>
      <c r="AA746" s="562"/>
      <c r="AB746" s="589"/>
      <c r="AC746" s="589"/>
      <c r="AD746" s="589"/>
      <c r="AE746" s="629"/>
      <c r="AF746" s="570" t="s">
        <v>2899</v>
      </c>
      <c r="AG746" s="570" t="s">
        <v>25</v>
      </c>
      <c r="AH746" s="571" t="s">
        <v>25</v>
      </c>
      <c r="AI746" s="558" t="s">
        <v>2045</v>
      </c>
      <c r="AJ746" s="558"/>
    </row>
    <row r="747" spans="1:36" s="376" customFormat="1" ht="60.75" outlineLevel="2" x14ac:dyDescent="0.3">
      <c r="A747" s="447">
        <v>62</v>
      </c>
      <c r="B747" s="558"/>
      <c r="C747" s="558"/>
      <c r="D747" s="587"/>
      <c r="E747" s="560"/>
      <c r="F747" s="558"/>
      <c r="G747" s="588"/>
      <c r="H747" s="546"/>
      <c r="I747" s="563" t="s">
        <v>25</v>
      </c>
      <c r="J747" s="563" t="s">
        <v>25</v>
      </c>
      <c r="K747" s="564" t="s">
        <v>25</v>
      </c>
      <c r="L747" s="564" t="s">
        <v>25</v>
      </c>
      <c r="M747" s="638"/>
      <c r="N747" s="638"/>
      <c r="O747" s="664"/>
      <c r="P747" s="564" t="s">
        <v>25</v>
      </c>
      <c r="Q747" s="564" t="s">
        <v>25</v>
      </c>
      <c r="R747" s="640"/>
      <c r="S747" s="640"/>
      <c r="T747" s="591"/>
      <c r="U747" s="589"/>
      <c r="V747" s="564" t="s">
        <v>2899</v>
      </c>
      <c r="W747" s="564" t="s">
        <v>25</v>
      </c>
      <c r="X747" s="589"/>
      <c r="Y747" s="592"/>
      <c r="Z747" s="592"/>
      <c r="AA747" s="568"/>
      <c r="AB747" s="592"/>
      <c r="AC747" s="592"/>
      <c r="AD747" s="592"/>
      <c r="AE747" s="590"/>
      <c r="AF747" s="570" t="s">
        <v>2899</v>
      </c>
      <c r="AG747" s="570" t="s">
        <v>25</v>
      </c>
      <c r="AH747" s="571" t="s">
        <v>25</v>
      </c>
      <c r="AI747" s="558" t="s">
        <v>2074</v>
      </c>
      <c r="AJ747" s="558"/>
    </row>
    <row r="748" spans="1:36" s="376" customFormat="1" ht="20.25" outlineLevel="2" x14ac:dyDescent="0.3">
      <c r="A748" s="447">
        <v>62</v>
      </c>
      <c r="B748" s="558"/>
      <c r="C748" s="558"/>
      <c r="D748" s="587"/>
      <c r="E748" s="560"/>
      <c r="F748" s="558"/>
      <c r="G748" s="588"/>
      <c r="H748" s="546"/>
      <c r="I748" s="563" t="s">
        <v>25</v>
      </c>
      <c r="J748" s="563" t="s">
        <v>25</v>
      </c>
      <c r="K748" s="564" t="s">
        <v>25</v>
      </c>
      <c r="L748" s="564" t="s">
        <v>25</v>
      </c>
      <c r="M748" s="638"/>
      <c r="N748" s="638"/>
      <c r="O748" s="664"/>
      <c r="P748" s="564" t="s">
        <v>25</v>
      </c>
      <c r="Q748" s="564" t="s">
        <v>25</v>
      </c>
      <c r="R748" s="640"/>
      <c r="S748" s="640"/>
      <c r="T748" s="591"/>
      <c r="U748" s="589"/>
      <c r="V748" s="564" t="s">
        <v>2899</v>
      </c>
      <c r="W748" s="564" t="s">
        <v>25</v>
      </c>
      <c r="X748" s="589"/>
      <c r="Y748" s="592"/>
      <c r="Z748" s="592"/>
      <c r="AA748" s="568"/>
      <c r="AB748" s="592"/>
      <c r="AC748" s="592"/>
      <c r="AD748" s="592"/>
      <c r="AE748" s="590"/>
      <c r="AF748" s="570" t="s">
        <v>2899</v>
      </c>
      <c r="AG748" s="570" t="s">
        <v>25</v>
      </c>
      <c r="AH748" s="571" t="s">
        <v>25</v>
      </c>
      <c r="AI748" s="575"/>
      <c r="AJ748" s="558"/>
    </row>
    <row r="749" spans="1:36" s="376" customFormat="1" ht="20.25" outlineLevel="2" x14ac:dyDescent="0.3">
      <c r="A749" s="447">
        <v>62</v>
      </c>
      <c r="B749" s="558"/>
      <c r="C749" s="558"/>
      <c r="D749" s="587"/>
      <c r="E749" s="560"/>
      <c r="F749" s="558"/>
      <c r="G749" s="588"/>
      <c r="H749" s="546"/>
      <c r="I749" s="563" t="s">
        <v>25</v>
      </c>
      <c r="J749" s="563" t="s">
        <v>25</v>
      </c>
      <c r="K749" s="564" t="s">
        <v>25</v>
      </c>
      <c r="L749" s="564" t="s">
        <v>25</v>
      </c>
      <c r="M749" s="638"/>
      <c r="N749" s="638"/>
      <c r="O749" s="664"/>
      <c r="P749" s="564" t="s">
        <v>25</v>
      </c>
      <c r="Q749" s="564" t="s">
        <v>25</v>
      </c>
      <c r="R749" s="640"/>
      <c r="S749" s="640"/>
      <c r="T749" s="591"/>
      <c r="U749" s="589"/>
      <c r="V749" s="564" t="s">
        <v>2899</v>
      </c>
      <c r="W749" s="564" t="s">
        <v>25</v>
      </c>
      <c r="X749" s="589"/>
      <c r="Y749" s="592"/>
      <c r="Z749" s="592"/>
      <c r="AA749" s="568"/>
      <c r="AB749" s="592"/>
      <c r="AC749" s="592"/>
      <c r="AD749" s="592"/>
      <c r="AE749" s="590"/>
      <c r="AF749" s="570" t="s">
        <v>2899</v>
      </c>
      <c r="AG749" s="570" t="s">
        <v>25</v>
      </c>
      <c r="AH749" s="571" t="s">
        <v>25</v>
      </c>
      <c r="AI749" s="593"/>
      <c r="AJ749" s="593"/>
    </row>
    <row r="750" spans="1:36" s="376" customFormat="1" ht="20.25" outlineLevel="2" x14ac:dyDescent="0.3">
      <c r="A750" s="447">
        <v>62</v>
      </c>
      <c r="B750" s="574"/>
      <c r="C750" s="574"/>
      <c r="D750" s="595"/>
      <c r="E750" s="577"/>
      <c r="F750" s="558"/>
      <c r="G750" s="588"/>
      <c r="H750" s="546"/>
      <c r="I750" s="563" t="s">
        <v>25</v>
      </c>
      <c r="J750" s="563" t="s">
        <v>25</v>
      </c>
      <c r="K750" s="564" t="s">
        <v>25</v>
      </c>
      <c r="L750" s="564" t="s">
        <v>25</v>
      </c>
      <c r="M750" s="638"/>
      <c r="N750" s="638"/>
      <c r="O750" s="664"/>
      <c r="P750" s="564" t="s">
        <v>25</v>
      </c>
      <c r="Q750" s="564" t="s">
        <v>25</v>
      </c>
      <c r="R750" s="640"/>
      <c r="S750" s="639"/>
      <c r="T750" s="591"/>
      <c r="U750" s="589"/>
      <c r="V750" s="564" t="s">
        <v>2899</v>
      </c>
      <c r="W750" s="564" t="s">
        <v>25</v>
      </c>
      <c r="X750" s="589"/>
      <c r="Y750" s="592"/>
      <c r="Z750" s="592"/>
      <c r="AA750" s="568"/>
      <c r="AB750" s="592"/>
      <c r="AC750" s="592"/>
      <c r="AD750" s="592"/>
      <c r="AE750" s="590"/>
      <c r="AF750" s="570" t="s">
        <v>2899</v>
      </c>
      <c r="AG750" s="570" t="s">
        <v>25</v>
      </c>
      <c r="AH750" s="571" t="s">
        <v>25</v>
      </c>
      <c r="AI750" s="593"/>
      <c r="AJ750" s="593"/>
    </row>
    <row r="751" spans="1:36" s="376" customFormat="1" ht="40.5" outlineLevel="1" collapsed="1" x14ac:dyDescent="0.25">
      <c r="A751" s="467">
        <v>63</v>
      </c>
      <c r="B751" s="574" t="s">
        <v>42</v>
      </c>
      <c r="C751" s="773" t="s">
        <v>2902</v>
      </c>
      <c r="D751" s="587">
        <v>86</v>
      </c>
      <c r="E751" s="560">
        <v>709</v>
      </c>
      <c r="F751" s="574"/>
      <c r="G751" s="618">
        <v>1100.2</v>
      </c>
      <c r="H751" s="579">
        <v>1100.2</v>
      </c>
      <c r="I751" s="581"/>
      <c r="J751" s="581"/>
      <c r="K751" s="571">
        <v>512253000</v>
      </c>
      <c r="L751" s="571">
        <v>1536759000</v>
      </c>
      <c r="M751" s="574"/>
      <c r="N751" s="574"/>
      <c r="O751" s="599">
        <v>0</v>
      </c>
      <c r="P751" s="571"/>
      <c r="Q751" s="571">
        <v>0</v>
      </c>
      <c r="R751" s="582"/>
      <c r="S751" s="597"/>
      <c r="T751" s="600">
        <v>0</v>
      </c>
      <c r="U751" s="597"/>
      <c r="V751" s="571"/>
      <c r="W751" s="571">
        <v>0</v>
      </c>
      <c r="X751" s="589"/>
      <c r="Y751" s="592"/>
      <c r="Z751" s="592"/>
      <c r="AA751" s="568"/>
      <c r="AB751" s="592"/>
      <c r="AC751" s="592"/>
      <c r="AD751" s="601"/>
      <c r="AE751" s="599">
        <f>SUBTOTAL(9,AE752:AE759)</f>
        <v>0</v>
      </c>
      <c r="AF751" s="585"/>
      <c r="AG751" s="585">
        <v>0</v>
      </c>
      <c r="AH751" s="571">
        <v>2049012000</v>
      </c>
      <c r="AI751" s="574"/>
      <c r="AJ751" s="578"/>
    </row>
    <row r="752" spans="1:36" s="376" customFormat="1" ht="121.5" outlineLevel="2" x14ac:dyDescent="0.3">
      <c r="A752" s="447">
        <v>63</v>
      </c>
      <c r="B752" s="637" t="s">
        <v>235</v>
      </c>
      <c r="C752" s="637"/>
      <c r="D752" s="587"/>
      <c r="E752" s="560"/>
      <c r="F752" s="558" t="s">
        <v>2863</v>
      </c>
      <c r="G752" s="588">
        <v>1092.8</v>
      </c>
      <c r="H752" s="546">
        <v>1092.8</v>
      </c>
      <c r="I752" s="563">
        <v>465600</v>
      </c>
      <c r="J752" s="563">
        <v>1396800</v>
      </c>
      <c r="K752" s="564">
        <v>508808000</v>
      </c>
      <c r="L752" s="564">
        <v>1526423000</v>
      </c>
      <c r="M752" s="558"/>
      <c r="N752" s="558"/>
      <c r="O752" s="590"/>
      <c r="P752" s="564" t="s">
        <v>25</v>
      </c>
      <c r="Q752" s="564" t="s">
        <v>25</v>
      </c>
      <c r="R752" s="566"/>
      <c r="S752" s="589"/>
      <c r="T752" s="591"/>
      <c r="U752" s="589"/>
      <c r="V752" s="564" t="s">
        <v>2899</v>
      </c>
      <c r="W752" s="564" t="s">
        <v>25</v>
      </c>
      <c r="X752" s="589"/>
      <c r="Y752" s="592"/>
      <c r="Z752" s="592"/>
      <c r="AA752" s="568"/>
      <c r="AB752" s="592"/>
      <c r="AC752" s="592"/>
      <c r="AD752" s="592"/>
      <c r="AE752" s="590"/>
      <c r="AF752" s="570" t="s">
        <v>2899</v>
      </c>
      <c r="AG752" s="570"/>
      <c r="AH752" s="571" t="s">
        <v>25</v>
      </c>
      <c r="AI752" s="558" t="s">
        <v>1710</v>
      </c>
      <c r="AJ752" s="586" t="s">
        <v>2771</v>
      </c>
    </row>
    <row r="753" spans="1:36" s="376" customFormat="1" ht="101.25" outlineLevel="2" x14ac:dyDescent="0.3">
      <c r="A753" s="447">
        <v>63</v>
      </c>
      <c r="B753" s="637" t="s">
        <v>697</v>
      </c>
      <c r="C753" s="637"/>
      <c r="D753" s="587"/>
      <c r="E753" s="560"/>
      <c r="F753" s="558" t="s">
        <v>2879</v>
      </c>
      <c r="G753" s="588">
        <v>7.4</v>
      </c>
      <c r="H753" s="546">
        <v>7.4</v>
      </c>
      <c r="I753" s="563">
        <v>465600</v>
      </c>
      <c r="J753" s="563">
        <v>1396800</v>
      </c>
      <c r="K753" s="564">
        <v>3445000</v>
      </c>
      <c r="L753" s="564">
        <v>10336000</v>
      </c>
      <c r="M753" s="558"/>
      <c r="N753" s="558"/>
      <c r="O753" s="590"/>
      <c r="P753" s="564" t="s">
        <v>25</v>
      </c>
      <c r="Q753" s="564" t="s">
        <v>25</v>
      </c>
      <c r="R753" s="638"/>
      <c r="S753" s="639"/>
      <c r="T753" s="591"/>
      <c r="U753" s="589"/>
      <c r="V753" s="564" t="s">
        <v>2899</v>
      </c>
      <c r="W753" s="564" t="s">
        <v>25</v>
      </c>
      <c r="X753" s="589"/>
      <c r="Y753" s="592"/>
      <c r="Z753" s="592"/>
      <c r="AA753" s="568"/>
      <c r="AB753" s="592"/>
      <c r="AC753" s="592"/>
      <c r="AD753" s="592"/>
      <c r="AE753" s="590"/>
      <c r="AF753" s="570" t="s">
        <v>2899</v>
      </c>
      <c r="AG753" s="570" t="s">
        <v>25</v>
      </c>
      <c r="AH753" s="571" t="s">
        <v>25</v>
      </c>
      <c r="AI753" s="558" t="s">
        <v>566</v>
      </c>
      <c r="AJ753" s="558" t="s">
        <v>2448</v>
      </c>
    </row>
    <row r="754" spans="1:36" s="376" customFormat="1" ht="121.5" outlineLevel="2" x14ac:dyDescent="0.3">
      <c r="A754" s="447">
        <v>63</v>
      </c>
      <c r="B754" s="637"/>
      <c r="C754" s="637"/>
      <c r="D754" s="587"/>
      <c r="E754" s="615"/>
      <c r="F754" s="558"/>
      <c r="G754" s="588"/>
      <c r="H754" s="546"/>
      <c r="I754" s="563" t="s">
        <v>25</v>
      </c>
      <c r="J754" s="563" t="s">
        <v>25</v>
      </c>
      <c r="K754" s="564" t="s">
        <v>25</v>
      </c>
      <c r="L754" s="564" t="s">
        <v>25</v>
      </c>
      <c r="M754" s="558"/>
      <c r="N754" s="558"/>
      <c r="O754" s="590"/>
      <c r="P754" s="564" t="s">
        <v>25</v>
      </c>
      <c r="Q754" s="564" t="s">
        <v>25</v>
      </c>
      <c r="R754" s="566"/>
      <c r="S754" s="589"/>
      <c r="T754" s="591"/>
      <c r="U754" s="589"/>
      <c r="V754" s="564" t="s">
        <v>2899</v>
      </c>
      <c r="W754" s="564" t="s">
        <v>25</v>
      </c>
      <c r="X754" s="589"/>
      <c r="Y754" s="592"/>
      <c r="Z754" s="592"/>
      <c r="AA754" s="568"/>
      <c r="AB754" s="592"/>
      <c r="AC754" s="592"/>
      <c r="AD754" s="592"/>
      <c r="AE754" s="590"/>
      <c r="AF754" s="570" t="s">
        <v>2899</v>
      </c>
      <c r="AG754" s="570" t="s">
        <v>25</v>
      </c>
      <c r="AH754" s="571" t="s">
        <v>25</v>
      </c>
      <c r="AI754" s="558" t="s">
        <v>2046</v>
      </c>
      <c r="AJ754" s="593"/>
    </row>
    <row r="755" spans="1:36" s="376" customFormat="1" ht="40.5" outlineLevel="2" x14ac:dyDescent="0.3">
      <c r="A755" s="447">
        <v>63</v>
      </c>
      <c r="B755" s="558"/>
      <c r="C755" s="558"/>
      <c r="D755" s="587"/>
      <c r="E755" s="560"/>
      <c r="F755" s="558"/>
      <c r="G755" s="604"/>
      <c r="H755" s="546"/>
      <c r="I755" s="563" t="s">
        <v>25</v>
      </c>
      <c r="J755" s="563" t="s">
        <v>25</v>
      </c>
      <c r="K755" s="564" t="s">
        <v>25</v>
      </c>
      <c r="L755" s="564" t="s">
        <v>25</v>
      </c>
      <c r="M755" s="593"/>
      <c r="N755" s="593"/>
      <c r="O755" s="616"/>
      <c r="P755" s="564" t="s">
        <v>25</v>
      </c>
      <c r="Q755" s="564" t="s">
        <v>25</v>
      </c>
      <c r="R755" s="593"/>
      <c r="S755" s="593"/>
      <c r="T755" s="617"/>
      <c r="U755" s="589"/>
      <c r="V755" s="564" t="s">
        <v>2899</v>
      </c>
      <c r="W755" s="564" t="s">
        <v>25</v>
      </c>
      <c r="X755" s="589"/>
      <c r="Y755" s="589"/>
      <c r="Z755" s="589"/>
      <c r="AA755" s="562"/>
      <c r="AB755" s="589"/>
      <c r="AC755" s="589"/>
      <c r="AD755" s="589"/>
      <c r="AE755" s="629"/>
      <c r="AF755" s="570" t="s">
        <v>2899</v>
      </c>
      <c r="AG755" s="570" t="s">
        <v>25</v>
      </c>
      <c r="AH755" s="571" t="s">
        <v>25</v>
      </c>
      <c r="AI755" s="574" t="s">
        <v>2070</v>
      </c>
      <c r="AJ755" s="558"/>
    </row>
    <row r="756" spans="1:36" s="376" customFormat="1" ht="60.75" outlineLevel="2" x14ac:dyDescent="0.3">
      <c r="A756" s="447">
        <v>63</v>
      </c>
      <c r="B756" s="637"/>
      <c r="C756" s="637"/>
      <c r="D756" s="587"/>
      <c r="E756" s="560"/>
      <c r="F756" s="558"/>
      <c r="G756" s="588"/>
      <c r="H756" s="546"/>
      <c r="I756" s="563" t="s">
        <v>25</v>
      </c>
      <c r="J756" s="563" t="s">
        <v>25</v>
      </c>
      <c r="K756" s="564" t="s">
        <v>25</v>
      </c>
      <c r="L756" s="564" t="s">
        <v>25</v>
      </c>
      <c r="M756" s="558"/>
      <c r="N756" s="558"/>
      <c r="O756" s="590"/>
      <c r="P756" s="564" t="s">
        <v>25</v>
      </c>
      <c r="Q756" s="564" t="s">
        <v>25</v>
      </c>
      <c r="R756" s="566"/>
      <c r="S756" s="589"/>
      <c r="T756" s="591"/>
      <c r="U756" s="589"/>
      <c r="V756" s="564" t="s">
        <v>2899</v>
      </c>
      <c r="W756" s="564" t="s">
        <v>25</v>
      </c>
      <c r="X756" s="589"/>
      <c r="Y756" s="592"/>
      <c r="Z756" s="592"/>
      <c r="AA756" s="568"/>
      <c r="AB756" s="592"/>
      <c r="AC756" s="592"/>
      <c r="AD756" s="592"/>
      <c r="AE756" s="590"/>
      <c r="AF756" s="570" t="s">
        <v>2899</v>
      </c>
      <c r="AG756" s="570" t="s">
        <v>25</v>
      </c>
      <c r="AH756" s="571" t="s">
        <v>25</v>
      </c>
      <c r="AI756" s="558" t="s">
        <v>2074</v>
      </c>
      <c r="AJ756" s="558"/>
    </row>
    <row r="757" spans="1:36" s="376" customFormat="1" ht="20.25" outlineLevel="2" x14ac:dyDescent="0.3">
      <c r="A757" s="447">
        <v>63</v>
      </c>
      <c r="B757" s="637"/>
      <c r="C757" s="637"/>
      <c r="D757" s="587"/>
      <c r="E757" s="560"/>
      <c r="F757" s="558"/>
      <c r="G757" s="588"/>
      <c r="H757" s="546"/>
      <c r="I757" s="563" t="s">
        <v>25</v>
      </c>
      <c r="J757" s="563" t="s">
        <v>25</v>
      </c>
      <c r="K757" s="564" t="s">
        <v>25</v>
      </c>
      <c r="L757" s="564" t="s">
        <v>25</v>
      </c>
      <c r="M757" s="558"/>
      <c r="N757" s="558"/>
      <c r="O757" s="590"/>
      <c r="P757" s="564" t="s">
        <v>25</v>
      </c>
      <c r="Q757" s="564" t="s">
        <v>25</v>
      </c>
      <c r="R757" s="566"/>
      <c r="S757" s="589"/>
      <c r="T757" s="591"/>
      <c r="U757" s="589"/>
      <c r="V757" s="564" t="s">
        <v>2899</v>
      </c>
      <c r="W757" s="564" t="s">
        <v>25</v>
      </c>
      <c r="X757" s="589"/>
      <c r="Y757" s="592"/>
      <c r="Z757" s="592"/>
      <c r="AA757" s="568"/>
      <c r="AB757" s="592"/>
      <c r="AC757" s="592"/>
      <c r="AD757" s="592"/>
      <c r="AE757" s="590"/>
      <c r="AF757" s="570" t="s">
        <v>2899</v>
      </c>
      <c r="AG757" s="570" t="s">
        <v>25</v>
      </c>
      <c r="AH757" s="571" t="s">
        <v>25</v>
      </c>
      <c r="AI757" s="681"/>
      <c r="AJ757" s="558"/>
    </row>
    <row r="758" spans="1:36" s="376" customFormat="1" ht="20.25" outlineLevel="2" x14ac:dyDescent="0.3">
      <c r="A758" s="447">
        <v>63</v>
      </c>
      <c r="B758" s="637"/>
      <c r="C758" s="637"/>
      <c r="D758" s="587"/>
      <c r="E758" s="560"/>
      <c r="F758" s="558"/>
      <c r="G758" s="588"/>
      <c r="H758" s="546"/>
      <c r="I758" s="563" t="s">
        <v>25</v>
      </c>
      <c r="J758" s="563" t="s">
        <v>25</v>
      </c>
      <c r="K758" s="564" t="s">
        <v>25</v>
      </c>
      <c r="L758" s="564" t="s">
        <v>25</v>
      </c>
      <c r="M758" s="558"/>
      <c r="N758" s="558"/>
      <c r="O758" s="590"/>
      <c r="P758" s="564" t="s">
        <v>25</v>
      </c>
      <c r="Q758" s="564" t="s">
        <v>25</v>
      </c>
      <c r="R758" s="640"/>
      <c r="S758" s="639"/>
      <c r="T758" s="591"/>
      <c r="U758" s="589"/>
      <c r="V758" s="564" t="s">
        <v>2899</v>
      </c>
      <c r="W758" s="564" t="s">
        <v>25</v>
      </c>
      <c r="X758" s="589"/>
      <c r="Y758" s="592"/>
      <c r="Z758" s="592"/>
      <c r="AA758" s="568"/>
      <c r="AB758" s="592"/>
      <c r="AC758" s="592"/>
      <c r="AD758" s="592"/>
      <c r="AE758" s="590"/>
      <c r="AF758" s="570" t="s">
        <v>2899</v>
      </c>
      <c r="AG758" s="570" t="s">
        <v>25</v>
      </c>
      <c r="AH758" s="571" t="s">
        <v>25</v>
      </c>
      <c r="AI758" s="593"/>
      <c r="AJ758" s="593"/>
    </row>
    <row r="759" spans="1:36" s="376" customFormat="1" ht="20.25" outlineLevel="2" x14ac:dyDescent="0.3">
      <c r="A759" s="447">
        <v>63</v>
      </c>
      <c r="B759" s="636"/>
      <c r="C759" s="636"/>
      <c r="D759" s="595"/>
      <c r="E759" s="577"/>
      <c r="F759" s="558"/>
      <c r="G759" s="588"/>
      <c r="H759" s="546"/>
      <c r="I759" s="563" t="s">
        <v>25</v>
      </c>
      <c r="J759" s="563" t="s">
        <v>25</v>
      </c>
      <c r="K759" s="564" t="s">
        <v>25</v>
      </c>
      <c r="L759" s="564" t="s">
        <v>25</v>
      </c>
      <c r="M759" s="558"/>
      <c r="N759" s="558"/>
      <c r="O759" s="590"/>
      <c r="P759" s="564" t="s">
        <v>25</v>
      </c>
      <c r="Q759" s="564" t="s">
        <v>25</v>
      </c>
      <c r="R759" s="638"/>
      <c r="S759" s="639"/>
      <c r="T759" s="591"/>
      <c r="U759" s="589"/>
      <c r="V759" s="564" t="s">
        <v>2899</v>
      </c>
      <c r="W759" s="564" t="s">
        <v>25</v>
      </c>
      <c r="X759" s="589"/>
      <c r="Y759" s="592"/>
      <c r="Z759" s="592"/>
      <c r="AA759" s="568"/>
      <c r="AB759" s="592"/>
      <c r="AC759" s="592"/>
      <c r="AD759" s="592"/>
      <c r="AE759" s="590"/>
      <c r="AF759" s="570" t="s">
        <v>2899</v>
      </c>
      <c r="AG759" s="570" t="s">
        <v>25</v>
      </c>
      <c r="AH759" s="571" t="s">
        <v>25</v>
      </c>
      <c r="AI759" s="593"/>
      <c r="AJ759" s="593"/>
    </row>
    <row r="760" spans="1:36" s="376" customFormat="1" ht="40.5" outlineLevel="1" x14ac:dyDescent="0.25">
      <c r="A760" s="467">
        <v>64</v>
      </c>
      <c r="B760" s="636" t="s">
        <v>43</v>
      </c>
      <c r="C760" s="773" t="s">
        <v>2902</v>
      </c>
      <c r="D760" s="587">
        <v>86</v>
      </c>
      <c r="E760" s="560">
        <v>710</v>
      </c>
      <c r="F760" s="574"/>
      <c r="G760" s="618">
        <v>2031</v>
      </c>
      <c r="H760" s="579">
        <v>2031</v>
      </c>
      <c r="I760" s="581"/>
      <c r="J760" s="581"/>
      <c r="K760" s="571">
        <v>945634000</v>
      </c>
      <c r="L760" s="571">
        <v>2836901000</v>
      </c>
      <c r="M760" s="574"/>
      <c r="N760" s="574"/>
      <c r="O760" s="599">
        <v>0</v>
      </c>
      <c r="P760" s="571"/>
      <c r="Q760" s="571">
        <v>0</v>
      </c>
      <c r="R760" s="582"/>
      <c r="S760" s="597"/>
      <c r="T760" s="600">
        <v>0</v>
      </c>
      <c r="U760" s="597"/>
      <c r="V760" s="571"/>
      <c r="W760" s="571">
        <v>0</v>
      </c>
      <c r="X760" s="589"/>
      <c r="Y760" s="592"/>
      <c r="Z760" s="592"/>
      <c r="AA760" s="568"/>
      <c r="AB760" s="592"/>
      <c r="AC760" s="592"/>
      <c r="AD760" s="601"/>
      <c r="AE760" s="599">
        <f>SUBTOTAL(9,AE761:AE766)</f>
        <v>0</v>
      </c>
      <c r="AF760" s="585"/>
      <c r="AG760" s="585">
        <v>0</v>
      </c>
      <c r="AH760" s="571">
        <v>3782535000</v>
      </c>
      <c r="AI760" s="574"/>
      <c r="AJ760" s="578"/>
    </row>
    <row r="761" spans="1:36" s="376" customFormat="1" ht="121.5" outlineLevel="2" x14ac:dyDescent="0.3">
      <c r="A761" s="447">
        <v>64</v>
      </c>
      <c r="B761" s="637" t="s">
        <v>236</v>
      </c>
      <c r="C761" s="637"/>
      <c r="D761" s="587"/>
      <c r="E761" s="560"/>
      <c r="F761" s="558" t="s">
        <v>2863</v>
      </c>
      <c r="G761" s="588">
        <v>2017.1</v>
      </c>
      <c r="H761" s="546">
        <v>2017.1</v>
      </c>
      <c r="I761" s="563">
        <v>465600</v>
      </c>
      <c r="J761" s="563">
        <v>1396800</v>
      </c>
      <c r="K761" s="564">
        <v>939162000</v>
      </c>
      <c r="L761" s="564">
        <v>2817485000</v>
      </c>
      <c r="M761" s="558"/>
      <c r="N761" s="558"/>
      <c r="O761" s="590"/>
      <c r="P761" s="564" t="s">
        <v>25</v>
      </c>
      <c r="Q761" s="564" t="s">
        <v>25</v>
      </c>
      <c r="R761" s="566"/>
      <c r="S761" s="589"/>
      <c r="T761" s="591"/>
      <c r="U761" s="589"/>
      <c r="V761" s="564" t="s">
        <v>2899</v>
      </c>
      <c r="W761" s="564" t="s">
        <v>25</v>
      </c>
      <c r="X761" s="589"/>
      <c r="Y761" s="592"/>
      <c r="Z761" s="592"/>
      <c r="AA761" s="568"/>
      <c r="AB761" s="592"/>
      <c r="AC761" s="592"/>
      <c r="AD761" s="592"/>
      <c r="AE761" s="590"/>
      <c r="AF761" s="570" t="s">
        <v>2899</v>
      </c>
      <c r="AG761" s="570"/>
      <c r="AH761" s="571" t="s">
        <v>25</v>
      </c>
      <c r="AI761" s="558" t="s">
        <v>1712</v>
      </c>
      <c r="AJ761" s="586" t="s">
        <v>2771</v>
      </c>
    </row>
    <row r="762" spans="1:36" s="376" customFormat="1" ht="101.25" outlineLevel="2" x14ac:dyDescent="0.3">
      <c r="A762" s="447">
        <v>64</v>
      </c>
      <c r="B762" s="558" t="s">
        <v>698</v>
      </c>
      <c r="C762" s="558"/>
      <c r="D762" s="587"/>
      <c r="E762" s="560"/>
      <c r="F762" s="558" t="s">
        <v>2879</v>
      </c>
      <c r="G762" s="588">
        <v>13.9</v>
      </c>
      <c r="H762" s="546">
        <v>13.9</v>
      </c>
      <c r="I762" s="563">
        <v>465600</v>
      </c>
      <c r="J762" s="563">
        <v>1396800</v>
      </c>
      <c r="K762" s="564">
        <v>6472000</v>
      </c>
      <c r="L762" s="564">
        <v>19416000</v>
      </c>
      <c r="M762" s="558"/>
      <c r="N762" s="558"/>
      <c r="O762" s="590"/>
      <c r="P762" s="564" t="s">
        <v>25</v>
      </c>
      <c r="Q762" s="564" t="s">
        <v>25</v>
      </c>
      <c r="R762" s="566"/>
      <c r="S762" s="589"/>
      <c r="T762" s="591"/>
      <c r="U762" s="589"/>
      <c r="V762" s="564" t="s">
        <v>2899</v>
      </c>
      <c r="W762" s="564" t="s">
        <v>25</v>
      </c>
      <c r="X762" s="589"/>
      <c r="Y762" s="592"/>
      <c r="Z762" s="592"/>
      <c r="AA762" s="568"/>
      <c r="AB762" s="592"/>
      <c r="AC762" s="592"/>
      <c r="AD762" s="592"/>
      <c r="AE762" s="590"/>
      <c r="AF762" s="570" t="s">
        <v>2899</v>
      </c>
      <c r="AG762" s="570" t="s">
        <v>25</v>
      </c>
      <c r="AH762" s="571" t="s">
        <v>25</v>
      </c>
      <c r="AI762" s="558" t="s">
        <v>568</v>
      </c>
      <c r="AJ762" s="558" t="s">
        <v>2448</v>
      </c>
    </row>
    <row r="763" spans="1:36" s="376" customFormat="1" ht="121.5" outlineLevel="2" x14ac:dyDescent="0.3">
      <c r="A763" s="447">
        <v>64</v>
      </c>
      <c r="B763" s="636"/>
      <c r="C763" s="636"/>
      <c r="D763" s="587"/>
      <c r="E763" s="615"/>
      <c r="F763" s="558"/>
      <c r="G763" s="588"/>
      <c r="H763" s="546"/>
      <c r="I763" s="563" t="s">
        <v>25</v>
      </c>
      <c r="J763" s="563" t="s">
        <v>25</v>
      </c>
      <c r="K763" s="564" t="s">
        <v>25</v>
      </c>
      <c r="L763" s="564" t="s">
        <v>25</v>
      </c>
      <c r="M763" s="558"/>
      <c r="N763" s="558"/>
      <c r="O763" s="590"/>
      <c r="P763" s="564" t="s">
        <v>25</v>
      </c>
      <c r="Q763" s="564" t="s">
        <v>25</v>
      </c>
      <c r="R763" s="566"/>
      <c r="S763" s="589"/>
      <c r="T763" s="591"/>
      <c r="U763" s="589"/>
      <c r="V763" s="564" t="s">
        <v>2899</v>
      </c>
      <c r="W763" s="564" t="s">
        <v>25</v>
      </c>
      <c r="X763" s="589"/>
      <c r="Y763" s="592"/>
      <c r="Z763" s="592"/>
      <c r="AA763" s="568"/>
      <c r="AB763" s="592"/>
      <c r="AC763" s="592"/>
      <c r="AD763" s="592"/>
      <c r="AE763" s="590"/>
      <c r="AF763" s="570" t="s">
        <v>2899</v>
      </c>
      <c r="AG763" s="570" t="s">
        <v>25</v>
      </c>
      <c r="AH763" s="571" t="s">
        <v>25</v>
      </c>
      <c r="AI763" s="558" t="s">
        <v>2047</v>
      </c>
      <c r="AJ763" s="593"/>
    </row>
    <row r="764" spans="1:36" s="376" customFormat="1" ht="60.75" outlineLevel="2" x14ac:dyDescent="0.3">
      <c r="A764" s="447">
        <v>64</v>
      </c>
      <c r="B764" s="558"/>
      <c r="C764" s="558"/>
      <c r="D764" s="587"/>
      <c r="E764" s="560"/>
      <c r="F764" s="558"/>
      <c r="G764" s="604"/>
      <c r="H764" s="546"/>
      <c r="I764" s="563" t="s">
        <v>25</v>
      </c>
      <c r="J764" s="563" t="s">
        <v>25</v>
      </c>
      <c r="K764" s="564" t="s">
        <v>25</v>
      </c>
      <c r="L764" s="564" t="s">
        <v>25</v>
      </c>
      <c r="M764" s="593"/>
      <c r="N764" s="593"/>
      <c r="O764" s="616"/>
      <c r="P764" s="564" t="s">
        <v>25</v>
      </c>
      <c r="Q764" s="564" t="s">
        <v>25</v>
      </c>
      <c r="R764" s="593"/>
      <c r="S764" s="593"/>
      <c r="T764" s="617"/>
      <c r="U764" s="589"/>
      <c r="V764" s="564" t="s">
        <v>2899</v>
      </c>
      <c r="W764" s="564" t="s">
        <v>25</v>
      </c>
      <c r="X764" s="589"/>
      <c r="Y764" s="589"/>
      <c r="Z764" s="589"/>
      <c r="AA764" s="562"/>
      <c r="AB764" s="589"/>
      <c r="AC764" s="589"/>
      <c r="AD764" s="589"/>
      <c r="AE764" s="629"/>
      <c r="AF764" s="570" t="s">
        <v>2899</v>
      </c>
      <c r="AG764" s="570" t="s">
        <v>25</v>
      </c>
      <c r="AH764" s="571" t="s">
        <v>25</v>
      </c>
      <c r="AI764" s="558" t="s">
        <v>2074</v>
      </c>
      <c r="AJ764" s="558"/>
    </row>
    <row r="765" spans="1:36" s="376" customFormat="1" ht="20.25" outlineLevel="2" x14ac:dyDescent="0.3">
      <c r="A765" s="447">
        <v>64</v>
      </c>
      <c r="B765" s="558"/>
      <c r="C765" s="558"/>
      <c r="D765" s="587"/>
      <c r="E765" s="560"/>
      <c r="F765" s="558"/>
      <c r="G765" s="588"/>
      <c r="H765" s="546"/>
      <c r="I765" s="563" t="s">
        <v>25</v>
      </c>
      <c r="J765" s="563" t="s">
        <v>25</v>
      </c>
      <c r="K765" s="564" t="s">
        <v>25</v>
      </c>
      <c r="L765" s="564" t="s">
        <v>25</v>
      </c>
      <c r="M765" s="638"/>
      <c r="N765" s="638"/>
      <c r="O765" s="664"/>
      <c r="P765" s="564" t="s">
        <v>25</v>
      </c>
      <c r="Q765" s="564" t="s">
        <v>25</v>
      </c>
      <c r="R765" s="638"/>
      <c r="S765" s="639"/>
      <c r="T765" s="591"/>
      <c r="U765" s="589"/>
      <c r="V765" s="564" t="s">
        <v>2899</v>
      </c>
      <c r="W765" s="564" t="s">
        <v>25</v>
      </c>
      <c r="X765" s="589"/>
      <c r="Y765" s="592"/>
      <c r="Z765" s="592"/>
      <c r="AA765" s="568"/>
      <c r="AB765" s="592"/>
      <c r="AC765" s="592"/>
      <c r="AD765" s="592"/>
      <c r="AE765" s="590"/>
      <c r="AF765" s="570" t="s">
        <v>2899</v>
      </c>
      <c r="AG765" s="570" t="s">
        <v>25</v>
      </c>
      <c r="AH765" s="571" t="s">
        <v>25</v>
      </c>
      <c r="AI765" s="575"/>
      <c r="AJ765" s="593"/>
    </row>
    <row r="766" spans="1:36" s="376" customFormat="1" ht="20.25" outlineLevel="2" x14ac:dyDescent="0.3">
      <c r="A766" s="447">
        <v>64</v>
      </c>
      <c r="B766" s="574"/>
      <c r="C766" s="574"/>
      <c r="D766" s="595"/>
      <c r="E766" s="577"/>
      <c r="F766" s="558"/>
      <c r="G766" s="588"/>
      <c r="H766" s="546"/>
      <c r="I766" s="563" t="s">
        <v>25</v>
      </c>
      <c r="J766" s="563" t="s">
        <v>25</v>
      </c>
      <c r="K766" s="564" t="s">
        <v>25</v>
      </c>
      <c r="L766" s="564" t="s">
        <v>25</v>
      </c>
      <c r="M766" s="638"/>
      <c r="N766" s="638"/>
      <c r="O766" s="664"/>
      <c r="P766" s="564" t="s">
        <v>25</v>
      </c>
      <c r="Q766" s="564" t="s">
        <v>25</v>
      </c>
      <c r="R766" s="638"/>
      <c r="S766" s="639"/>
      <c r="T766" s="591"/>
      <c r="U766" s="589"/>
      <c r="V766" s="564" t="s">
        <v>2899</v>
      </c>
      <c r="W766" s="564" t="s">
        <v>25</v>
      </c>
      <c r="X766" s="589"/>
      <c r="Y766" s="592"/>
      <c r="Z766" s="592"/>
      <c r="AA766" s="568"/>
      <c r="AB766" s="592"/>
      <c r="AC766" s="592"/>
      <c r="AD766" s="592"/>
      <c r="AE766" s="590"/>
      <c r="AF766" s="570" t="s">
        <v>2899</v>
      </c>
      <c r="AG766" s="570" t="s">
        <v>25</v>
      </c>
      <c r="AH766" s="571" t="s">
        <v>25</v>
      </c>
      <c r="AI766" s="593"/>
      <c r="AJ766" s="593"/>
    </row>
    <row r="767" spans="1:36" s="376" customFormat="1" ht="40.5" outlineLevel="1" x14ac:dyDescent="0.25">
      <c r="A767" s="467">
        <v>65</v>
      </c>
      <c r="B767" s="574" t="s">
        <v>237</v>
      </c>
      <c r="C767" s="773" t="s">
        <v>2902</v>
      </c>
      <c r="D767" s="587">
        <v>86</v>
      </c>
      <c r="E767" s="560">
        <v>43</v>
      </c>
      <c r="F767" s="574"/>
      <c r="G767" s="618">
        <v>4189.7999999999993</v>
      </c>
      <c r="H767" s="579">
        <v>2050.8000000000002</v>
      </c>
      <c r="I767" s="581"/>
      <c r="J767" s="581"/>
      <c r="K767" s="571">
        <v>2089760000</v>
      </c>
      <c r="L767" s="571">
        <v>2864557000</v>
      </c>
      <c r="M767" s="673"/>
      <c r="N767" s="673"/>
      <c r="O767" s="599">
        <v>912</v>
      </c>
      <c r="P767" s="571"/>
      <c r="Q767" s="571">
        <v>266125000</v>
      </c>
      <c r="R767" s="673"/>
      <c r="S767" s="682"/>
      <c r="T767" s="600">
        <v>580.53</v>
      </c>
      <c r="U767" s="682"/>
      <c r="V767" s="571"/>
      <c r="W767" s="571">
        <v>452703000</v>
      </c>
      <c r="X767" s="589"/>
      <c r="Y767" s="592"/>
      <c r="Z767" s="592"/>
      <c r="AA767" s="568"/>
      <c r="AB767" s="592"/>
      <c r="AC767" s="568"/>
      <c r="AD767" s="602"/>
      <c r="AE767" s="581">
        <f>SUBTOTAL(9,AE768:AE786)</f>
        <v>0</v>
      </c>
      <c r="AF767" s="585"/>
      <c r="AG767" s="585">
        <v>0</v>
      </c>
      <c r="AH767" s="571">
        <v>5673145000</v>
      </c>
      <c r="AI767" s="574"/>
      <c r="AJ767" s="578"/>
    </row>
    <row r="768" spans="1:36" s="376" customFormat="1" ht="121.5" outlineLevel="2" x14ac:dyDescent="0.3">
      <c r="A768" s="447">
        <v>65</v>
      </c>
      <c r="B768" s="558" t="s">
        <v>238</v>
      </c>
      <c r="C768" s="558"/>
      <c r="D768" s="587">
        <v>86</v>
      </c>
      <c r="E768" s="560">
        <v>64</v>
      </c>
      <c r="F768" s="558" t="s">
        <v>2479</v>
      </c>
      <c r="G768" s="588">
        <v>543.09999999999991</v>
      </c>
      <c r="H768" s="546" t="s">
        <v>2899</v>
      </c>
      <c r="I768" s="563">
        <v>465600</v>
      </c>
      <c r="J768" s="563">
        <v>0</v>
      </c>
      <c r="K768" s="564">
        <v>252867000</v>
      </c>
      <c r="L768" s="564">
        <v>0</v>
      </c>
      <c r="M768" s="638" t="s">
        <v>61</v>
      </c>
      <c r="N768" s="638"/>
      <c r="O768" s="590">
        <v>31</v>
      </c>
      <c r="P768" s="564">
        <v>1708000</v>
      </c>
      <c r="Q768" s="564">
        <v>52948000</v>
      </c>
      <c r="R768" s="638" t="s">
        <v>1763</v>
      </c>
      <c r="S768" s="680" t="s">
        <v>53</v>
      </c>
      <c r="T768" s="591">
        <v>23.92</v>
      </c>
      <c r="U768" s="680"/>
      <c r="V768" s="564">
        <v>3550600</v>
      </c>
      <c r="W768" s="564">
        <v>84930000</v>
      </c>
      <c r="X768" s="589" t="s">
        <v>54</v>
      </c>
      <c r="Y768" s="592" t="s">
        <v>55</v>
      </c>
      <c r="Z768" s="592" t="s">
        <v>56</v>
      </c>
      <c r="AA768" s="568" t="s">
        <v>57</v>
      </c>
      <c r="AB768" s="592" t="s">
        <v>54</v>
      </c>
      <c r="AC768" s="568" t="s">
        <v>430</v>
      </c>
      <c r="AD768" s="569"/>
      <c r="AE768" s="563"/>
      <c r="AF768" s="570" t="s">
        <v>2899</v>
      </c>
      <c r="AG768" s="570"/>
      <c r="AH768" s="571" t="s">
        <v>25</v>
      </c>
      <c r="AI768" s="558" t="s">
        <v>573</v>
      </c>
      <c r="AJ768" s="586" t="s">
        <v>2771</v>
      </c>
    </row>
    <row r="769" spans="1:36" s="376" customFormat="1" ht="81" outlineLevel="2" x14ac:dyDescent="0.3">
      <c r="A769" s="447">
        <v>65</v>
      </c>
      <c r="B769" s="574" t="s">
        <v>239</v>
      </c>
      <c r="C769" s="574"/>
      <c r="D769" s="587"/>
      <c r="E769" s="560"/>
      <c r="F769" s="558" t="s">
        <v>2480</v>
      </c>
      <c r="G769" s="588">
        <v>1459.8</v>
      </c>
      <c r="H769" s="546" t="s">
        <v>2899</v>
      </c>
      <c r="I769" s="563">
        <v>554400</v>
      </c>
      <c r="J769" s="563">
        <v>0</v>
      </c>
      <c r="K769" s="564">
        <v>809313000</v>
      </c>
      <c r="L769" s="564">
        <v>0</v>
      </c>
      <c r="M769" s="638" t="s">
        <v>64</v>
      </c>
      <c r="N769" s="638"/>
      <c r="O769" s="590">
        <v>9</v>
      </c>
      <c r="P769" s="564">
        <v>1122000</v>
      </c>
      <c r="Q769" s="564">
        <v>10098000</v>
      </c>
      <c r="R769" s="638" t="s">
        <v>1763</v>
      </c>
      <c r="S769" s="680" t="s">
        <v>53</v>
      </c>
      <c r="T769" s="591">
        <v>23.92</v>
      </c>
      <c r="U769" s="680"/>
      <c r="V769" s="564">
        <v>3550600</v>
      </c>
      <c r="W769" s="564">
        <v>84930000</v>
      </c>
      <c r="X769" s="589" t="s">
        <v>54</v>
      </c>
      <c r="Y769" s="592" t="s">
        <v>55</v>
      </c>
      <c r="Z769" s="592" t="s">
        <v>56</v>
      </c>
      <c r="AA769" s="568" t="s">
        <v>57</v>
      </c>
      <c r="AB769" s="592" t="s">
        <v>54</v>
      </c>
      <c r="AC769" s="568" t="s">
        <v>430</v>
      </c>
      <c r="AD769" s="568"/>
      <c r="AE769" s="563"/>
      <c r="AF769" s="570" t="s">
        <v>2899</v>
      </c>
      <c r="AG769" s="570" t="s">
        <v>25</v>
      </c>
      <c r="AH769" s="571" t="s">
        <v>25</v>
      </c>
      <c r="AI769" s="558" t="s">
        <v>575</v>
      </c>
      <c r="AJ769" s="605" t="s">
        <v>2448</v>
      </c>
    </row>
    <row r="770" spans="1:36" s="376" customFormat="1" ht="121.5" outlineLevel="2" x14ac:dyDescent="0.3">
      <c r="A770" s="447">
        <v>65</v>
      </c>
      <c r="B770" s="558" t="s">
        <v>240</v>
      </c>
      <c r="C770" s="558"/>
      <c r="D770" s="587"/>
      <c r="E770" s="560"/>
      <c r="F770" s="558" t="s">
        <v>2481</v>
      </c>
      <c r="G770" s="588">
        <v>20.5</v>
      </c>
      <c r="H770" s="546" t="s">
        <v>2899</v>
      </c>
      <c r="I770" s="563">
        <v>540540</v>
      </c>
      <c r="J770" s="563">
        <v>0</v>
      </c>
      <c r="K770" s="564">
        <v>11081000</v>
      </c>
      <c r="L770" s="564">
        <v>0</v>
      </c>
      <c r="M770" s="638" t="s">
        <v>67</v>
      </c>
      <c r="N770" s="638"/>
      <c r="O770" s="590">
        <v>11</v>
      </c>
      <c r="P770" s="564">
        <v>494000</v>
      </c>
      <c r="Q770" s="564">
        <v>5434000</v>
      </c>
      <c r="R770" s="638" t="s">
        <v>1864</v>
      </c>
      <c r="S770" s="680" t="s">
        <v>53</v>
      </c>
      <c r="T770" s="591">
        <v>2.6</v>
      </c>
      <c r="U770" s="680"/>
      <c r="V770" s="564">
        <v>9028527</v>
      </c>
      <c r="W770" s="564">
        <v>23474000</v>
      </c>
      <c r="X770" s="589"/>
      <c r="Y770" s="592"/>
      <c r="Z770" s="592" t="s">
        <v>56</v>
      </c>
      <c r="AA770" s="568" t="s">
        <v>57</v>
      </c>
      <c r="AB770" s="592" t="s">
        <v>54</v>
      </c>
      <c r="AC770" s="592"/>
      <c r="AD770" s="592"/>
      <c r="AE770" s="590"/>
      <c r="AF770" s="570" t="s">
        <v>2899</v>
      </c>
      <c r="AG770" s="570" t="s">
        <v>25</v>
      </c>
      <c r="AH770" s="571" t="s">
        <v>25</v>
      </c>
      <c r="AI770" s="558" t="s">
        <v>577</v>
      </c>
      <c r="AJ770" s="558" t="s">
        <v>2450</v>
      </c>
    </row>
    <row r="771" spans="1:36" s="376" customFormat="1" ht="101.25" outlineLevel="2" x14ac:dyDescent="0.3">
      <c r="A771" s="447">
        <v>65</v>
      </c>
      <c r="B771" s="628" t="s">
        <v>700</v>
      </c>
      <c r="C771" s="628"/>
      <c r="D771" s="587"/>
      <c r="E771" s="560"/>
      <c r="F771" s="558" t="s">
        <v>2482</v>
      </c>
      <c r="G771" s="588">
        <v>27.5</v>
      </c>
      <c r="H771" s="546" t="s">
        <v>2899</v>
      </c>
      <c r="I771" s="563">
        <v>465600</v>
      </c>
      <c r="J771" s="563">
        <v>0</v>
      </c>
      <c r="K771" s="564">
        <v>12804000</v>
      </c>
      <c r="L771" s="564">
        <v>0</v>
      </c>
      <c r="M771" s="638" t="s">
        <v>72</v>
      </c>
      <c r="N771" s="638"/>
      <c r="O771" s="590">
        <v>243</v>
      </c>
      <c r="P771" s="564">
        <v>132000</v>
      </c>
      <c r="Q771" s="564">
        <v>32076000</v>
      </c>
      <c r="R771" s="638" t="s">
        <v>1864</v>
      </c>
      <c r="S771" s="680" t="s">
        <v>53</v>
      </c>
      <c r="T771" s="591">
        <v>2.6</v>
      </c>
      <c r="U771" s="680"/>
      <c r="V771" s="564">
        <v>9028527</v>
      </c>
      <c r="W771" s="564">
        <v>23474000</v>
      </c>
      <c r="X771" s="589"/>
      <c r="Y771" s="592"/>
      <c r="Z771" s="592" t="s">
        <v>56</v>
      </c>
      <c r="AA771" s="568" t="s">
        <v>57</v>
      </c>
      <c r="AB771" s="592" t="s">
        <v>139</v>
      </c>
      <c r="AC771" s="592"/>
      <c r="AD771" s="592"/>
      <c r="AE771" s="590"/>
      <c r="AF771" s="570" t="s">
        <v>2899</v>
      </c>
      <c r="AG771" s="570" t="s">
        <v>25</v>
      </c>
      <c r="AH771" s="571" t="s">
        <v>25</v>
      </c>
      <c r="AI771" s="608" t="s">
        <v>111</v>
      </c>
      <c r="AJ771" s="558" t="s">
        <v>2449</v>
      </c>
    </row>
    <row r="772" spans="1:36" s="376" customFormat="1" ht="101.25" outlineLevel="2" x14ac:dyDescent="0.3">
      <c r="A772" s="447">
        <v>65</v>
      </c>
      <c r="B772" s="558"/>
      <c r="C772" s="558"/>
      <c r="D772" s="587"/>
      <c r="E772" s="560"/>
      <c r="F772" s="558" t="s">
        <v>2483</v>
      </c>
      <c r="G772" s="588">
        <v>88.1</v>
      </c>
      <c r="H772" s="546" t="s">
        <v>2899</v>
      </c>
      <c r="I772" s="563">
        <v>554400</v>
      </c>
      <c r="J772" s="563">
        <v>0</v>
      </c>
      <c r="K772" s="564">
        <v>48843000</v>
      </c>
      <c r="L772" s="564">
        <v>0</v>
      </c>
      <c r="M772" s="638" t="s">
        <v>73</v>
      </c>
      <c r="N772" s="638"/>
      <c r="O772" s="590">
        <v>312</v>
      </c>
      <c r="P772" s="564">
        <v>76000</v>
      </c>
      <c r="Q772" s="564">
        <v>23712000</v>
      </c>
      <c r="R772" s="638" t="s">
        <v>1844</v>
      </c>
      <c r="S772" s="680" t="s">
        <v>53</v>
      </c>
      <c r="T772" s="591">
        <v>21.42</v>
      </c>
      <c r="U772" s="680"/>
      <c r="V772" s="564">
        <v>770070</v>
      </c>
      <c r="W772" s="564">
        <v>16495000</v>
      </c>
      <c r="X772" s="589"/>
      <c r="Y772" s="592" t="s">
        <v>55</v>
      </c>
      <c r="Z772" s="592" t="s">
        <v>141</v>
      </c>
      <c r="AA772" s="568"/>
      <c r="AB772" s="592" t="s">
        <v>66</v>
      </c>
      <c r="AC772" s="592"/>
      <c r="AD772" s="592"/>
      <c r="AE772" s="590"/>
      <c r="AF772" s="570" t="s">
        <v>2899</v>
      </c>
      <c r="AG772" s="570" t="s">
        <v>25</v>
      </c>
      <c r="AH772" s="571" t="s">
        <v>25</v>
      </c>
      <c r="AI772" s="558" t="s">
        <v>580</v>
      </c>
      <c r="AJ772" s="558" t="s">
        <v>2800</v>
      </c>
    </row>
    <row r="773" spans="1:36" s="376" customFormat="1" ht="121.5" outlineLevel="2" x14ac:dyDescent="0.3">
      <c r="A773" s="447">
        <v>65</v>
      </c>
      <c r="B773" s="558"/>
      <c r="C773" s="558"/>
      <c r="D773" s="587"/>
      <c r="E773" s="560"/>
      <c r="F773" s="558" t="s">
        <v>2484</v>
      </c>
      <c r="G773" s="588">
        <v>2050.8000000000002</v>
      </c>
      <c r="H773" s="546">
        <v>2050.8000000000002</v>
      </c>
      <c r="I773" s="563">
        <v>465600</v>
      </c>
      <c r="J773" s="563">
        <v>1396800</v>
      </c>
      <c r="K773" s="564">
        <v>954852000</v>
      </c>
      <c r="L773" s="564">
        <v>2864557000</v>
      </c>
      <c r="M773" s="638" t="s">
        <v>75</v>
      </c>
      <c r="N773" s="638"/>
      <c r="O773" s="590">
        <v>198</v>
      </c>
      <c r="P773" s="564">
        <v>34000</v>
      </c>
      <c r="Q773" s="564">
        <v>6732000</v>
      </c>
      <c r="R773" s="586" t="s">
        <v>1767</v>
      </c>
      <c r="S773" s="680" t="s">
        <v>53</v>
      </c>
      <c r="T773" s="591">
        <v>15.3</v>
      </c>
      <c r="U773" s="680"/>
      <c r="V773" s="564">
        <v>0</v>
      </c>
      <c r="W773" s="564">
        <v>0</v>
      </c>
      <c r="X773" s="589"/>
      <c r="Y773" s="592"/>
      <c r="Z773" s="592"/>
      <c r="AA773" s="568"/>
      <c r="AB773" s="592"/>
      <c r="AC773" s="592"/>
      <c r="AD773" s="592"/>
      <c r="AE773" s="590"/>
      <c r="AF773" s="570" t="s">
        <v>2899</v>
      </c>
      <c r="AG773" s="570" t="s">
        <v>25</v>
      </c>
      <c r="AH773" s="571" t="s">
        <v>25</v>
      </c>
      <c r="AI773" s="558" t="s">
        <v>2048</v>
      </c>
      <c r="AJ773" s="558"/>
    </row>
    <row r="774" spans="1:36" s="376" customFormat="1" ht="81" outlineLevel="2" x14ac:dyDescent="0.3">
      <c r="A774" s="447">
        <v>65</v>
      </c>
      <c r="B774" s="558"/>
      <c r="C774" s="558"/>
      <c r="D774" s="587"/>
      <c r="E774" s="560"/>
      <c r="F774" s="558"/>
      <c r="G774" s="588"/>
      <c r="H774" s="546"/>
      <c r="I774" s="563" t="s">
        <v>25</v>
      </c>
      <c r="J774" s="563" t="s">
        <v>25</v>
      </c>
      <c r="K774" s="564" t="s">
        <v>25</v>
      </c>
      <c r="L774" s="564" t="s">
        <v>25</v>
      </c>
      <c r="M774" s="558" t="s">
        <v>183</v>
      </c>
      <c r="N774" s="558"/>
      <c r="O774" s="590">
        <v>8</v>
      </c>
      <c r="P774" s="564">
        <v>2236000</v>
      </c>
      <c r="Q774" s="564">
        <v>17888000</v>
      </c>
      <c r="R774" s="566" t="s">
        <v>1768</v>
      </c>
      <c r="S774" s="680" t="s">
        <v>53</v>
      </c>
      <c r="T774" s="591">
        <v>15.3</v>
      </c>
      <c r="U774" s="589"/>
      <c r="V774" s="564">
        <v>238288</v>
      </c>
      <c r="W774" s="564">
        <v>3646000</v>
      </c>
      <c r="X774" s="589"/>
      <c r="Y774" s="592"/>
      <c r="Z774" s="592"/>
      <c r="AA774" s="568"/>
      <c r="AB774" s="592"/>
      <c r="AC774" s="592"/>
      <c r="AD774" s="592"/>
      <c r="AE774" s="590"/>
      <c r="AF774" s="570" t="s">
        <v>2899</v>
      </c>
      <c r="AG774" s="570" t="s">
        <v>25</v>
      </c>
      <c r="AH774" s="571" t="s">
        <v>25</v>
      </c>
      <c r="AI774" s="558" t="s">
        <v>2213</v>
      </c>
      <c r="AJ774" s="558"/>
    </row>
    <row r="775" spans="1:36" s="376" customFormat="1" ht="40.5" outlineLevel="2" x14ac:dyDescent="0.3">
      <c r="A775" s="447">
        <v>65</v>
      </c>
      <c r="B775" s="636"/>
      <c r="C775" s="636"/>
      <c r="D775" s="587"/>
      <c r="E775" s="560"/>
      <c r="F775" s="558"/>
      <c r="G775" s="588"/>
      <c r="H775" s="546"/>
      <c r="I775" s="563" t="s">
        <v>25</v>
      </c>
      <c r="J775" s="563" t="s">
        <v>25</v>
      </c>
      <c r="K775" s="564" t="s">
        <v>25</v>
      </c>
      <c r="L775" s="564" t="s">
        <v>25</v>
      </c>
      <c r="M775" s="558" t="s">
        <v>70</v>
      </c>
      <c r="N775" s="558"/>
      <c r="O775" s="590">
        <v>20</v>
      </c>
      <c r="P775" s="564">
        <v>1632000</v>
      </c>
      <c r="Q775" s="564">
        <v>32640000</v>
      </c>
      <c r="R775" s="586" t="s">
        <v>1844</v>
      </c>
      <c r="S775" s="680" t="s">
        <v>53</v>
      </c>
      <c r="T775" s="591">
        <v>7.28</v>
      </c>
      <c r="U775" s="589"/>
      <c r="V775" s="564">
        <v>770070</v>
      </c>
      <c r="W775" s="564">
        <v>5606000</v>
      </c>
      <c r="X775" s="589"/>
      <c r="Y775" s="592"/>
      <c r="Z775" s="592"/>
      <c r="AA775" s="568"/>
      <c r="AB775" s="592"/>
      <c r="AC775" s="592"/>
      <c r="AD775" s="592"/>
      <c r="AE775" s="590"/>
      <c r="AF775" s="570" t="s">
        <v>2899</v>
      </c>
      <c r="AG775" s="570" t="s">
        <v>25</v>
      </c>
      <c r="AH775" s="571" t="s">
        <v>25</v>
      </c>
      <c r="AI775" s="575"/>
      <c r="AJ775" s="593"/>
    </row>
    <row r="776" spans="1:36" s="376" customFormat="1" ht="60.75" outlineLevel="2" x14ac:dyDescent="0.3">
      <c r="A776" s="447">
        <v>65</v>
      </c>
      <c r="B776" s="637"/>
      <c r="C776" s="637"/>
      <c r="D776" s="587"/>
      <c r="E776" s="560"/>
      <c r="F776" s="558"/>
      <c r="G776" s="588"/>
      <c r="H776" s="546"/>
      <c r="I776" s="563" t="s">
        <v>25</v>
      </c>
      <c r="J776" s="563" t="s">
        <v>25</v>
      </c>
      <c r="K776" s="564" t="s">
        <v>25</v>
      </c>
      <c r="L776" s="564" t="s">
        <v>25</v>
      </c>
      <c r="M776" s="558" t="s">
        <v>133</v>
      </c>
      <c r="N776" s="558"/>
      <c r="O776" s="590">
        <v>5</v>
      </c>
      <c r="P776" s="564">
        <v>758000</v>
      </c>
      <c r="Q776" s="564">
        <v>3790000</v>
      </c>
      <c r="R776" s="566" t="s">
        <v>1768</v>
      </c>
      <c r="S776" s="680" t="s">
        <v>53</v>
      </c>
      <c r="T776" s="591">
        <v>17.5</v>
      </c>
      <c r="U776" s="589"/>
      <c r="V776" s="564">
        <v>238288</v>
      </c>
      <c r="W776" s="564">
        <v>4170000</v>
      </c>
      <c r="X776" s="639"/>
      <c r="Y776" s="680"/>
      <c r="Z776" s="652"/>
      <c r="AA776" s="568"/>
      <c r="AB776" s="592"/>
      <c r="AC776" s="592"/>
      <c r="AD776" s="592"/>
      <c r="AE776" s="590"/>
      <c r="AF776" s="570" t="s">
        <v>2899</v>
      </c>
      <c r="AG776" s="570" t="s">
        <v>25</v>
      </c>
      <c r="AH776" s="571" t="s">
        <v>25</v>
      </c>
      <c r="AI776" s="593"/>
      <c r="AJ776" s="593"/>
    </row>
    <row r="777" spans="1:36" s="376" customFormat="1" ht="81" outlineLevel="2" x14ac:dyDescent="0.3">
      <c r="A777" s="447">
        <v>65</v>
      </c>
      <c r="B777" s="637"/>
      <c r="C777" s="637"/>
      <c r="D777" s="587"/>
      <c r="E777" s="560"/>
      <c r="F777" s="558"/>
      <c r="G777" s="588"/>
      <c r="H777" s="546"/>
      <c r="I777" s="563" t="s">
        <v>25</v>
      </c>
      <c r="J777" s="563" t="s">
        <v>25</v>
      </c>
      <c r="K777" s="564" t="s">
        <v>25</v>
      </c>
      <c r="L777" s="564" t="s">
        <v>25</v>
      </c>
      <c r="M777" s="558" t="s">
        <v>145</v>
      </c>
      <c r="N777" s="558"/>
      <c r="O777" s="590">
        <v>5</v>
      </c>
      <c r="P777" s="564">
        <v>4240000</v>
      </c>
      <c r="Q777" s="564">
        <v>21200000</v>
      </c>
      <c r="R777" s="566" t="s">
        <v>1865</v>
      </c>
      <c r="S777" s="680" t="s">
        <v>53</v>
      </c>
      <c r="T777" s="591">
        <v>371.04</v>
      </c>
      <c r="U777" s="589"/>
      <c r="V777" s="564">
        <v>496651</v>
      </c>
      <c r="W777" s="564">
        <v>184277000</v>
      </c>
      <c r="X777" s="562"/>
      <c r="Y777" s="680"/>
      <c r="Z777" s="614"/>
      <c r="AA777" s="568"/>
      <c r="AB777" s="592"/>
      <c r="AC777" s="592"/>
      <c r="AD777" s="592"/>
      <c r="AE777" s="590"/>
      <c r="AF777" s="570" t="s">
        <v>2899</v>
      </c>
      <c r="AG777" s="570" t="s">
        <v>25</v>
      </c>
      <c r="AH777" s="571" t="s">
        <v>25</v>
      </c>
      <c r="AI777" s="593"/>
      <c r="AJ777" s="593"/>
    </row>
    <row r="778" spans="1:36" s="376" customFormat="1" ht="60.75" outlineLevel="2" x14ac:dyDescent="0.3">
      <c r="A778" s="447">
        <v>65</v>
      </c>
      <c r="B778" s="558"/>
      <c r="C778" s="558"/>
      <c r="D778" s="587"/>
      <c r="E778" s="560"/>
      <c r="F778" s="558"/>
      <c r="G778" s="588"/>
      <c r="H778" s="546"/>
      <c r="I778" s="563" t="s">
        <v>25</v>
      </c>
      <c r="J778" s="563" t="s">
        <v>25</v>
      </c>
      <c r="K778" s="564" t="s">
        <v>25</v>
      </c>
      <c r="L778" s="564" t="s">
        <v>25</v>
      </c>
      <c r="M778" s="558" t="s">
        <v>77</v>
      </c>
      <c r="N778" s="558"/>
      <c r="O778" s="590">
        <v>15</v>
      </c>
      <c r="P778" s="564">
        <v>3064000</v>
      </c>
      <c r="Q778" s="564">
        <v>45960000</v>
      </c>
      <c r="R778" s="566" t="s">
        <v>1866</v>
      </c>
      <c r="S778" s="680" t="s">
        <v>53</v>
      </c>
      <c r="T778" s="591">
        <v>17.64</v>
      </c>
      <c r="U778" s="589"/>
      <c r="V778" s="564">
        <v>0</v>
      </c>
      <c r="W778" s="564">
        <v>0</v>
      </c>
      <c r="X778" s="562"/>
      <c r="Y778" s="680"/>
      <c r="Z778" s="614"/>
      <c r="AA778" s="568"/>
      <c r="AB778" s="592"/>
      <c r="AC778" s="592"/>
      <c r="AD778" s="592"/>
      <c r="AE778" s="590"/>
      <c r="AF778" s="570" t="s">
        <v>2899</v>
      </c>
      <c r="AG778" s="570" t="s">
        <v>25</v>
      </c>
      <c r="AH778" s="571" t="s">
        <v>25</v>
      </c>
      <c r="AI778" s="593"/>
      <c r="AJ778" s="593"/>
    </row>
    <row r="779" spans="1:36" s="376" customFormat="1" ht="40.5" outlineLevel="2" x14ac:dyDescent="0.3">
      <c r="A779" s="447">
        <v>65</v>
      </c>
      <c r="B779" s="558"/>
      <c r="C779" s="558"/>
      <c r="D779" s="587"/>
      <c r="E779" s="560"/>
      <c r="F779" s="558"/>
      <c r="G779" s="588"/>
      <c r="H779" s="546"/>
      <c r="I779" s="563" t="s">
        <v>25</v>
      </c>
      <c r="J779" s="563" t="s">
        <v>25</v>
      </c>
      <c r="K779" s="564" t="s">
        <v>25</v>
      </c>
      <c r="L779" s="564" t="s">
        <v>25</v>
      </c>
      <c r="M779" s="558" t="s">
        <v>79</v>
      </c>
      <c r="N779" s="558"/>
      <c r="O779" s="590">
        <v>13</v>
      </c>
      <c r="P779" s="564">
        <v>1035000</v>
      </c>
      <c r="Q779" s="564">
        <v>13455000</v>
      </c>
      <c r="R779" s="586" t="s">
        <v>1844</v>
      </c>
      <c r="S779" s="680" t="s">
        <v>53</v>
      </c>
      <c r="T779" s="591">
        <v>6.4</v>
      </c>
      <c r="U779" s="589"/>
      <c r="V779" s="564">
        <v>770070</v>
      </c>
      <c r="W779" s="564">
        <v>4928000</v>
      </c>
      <c r="X779" s="562"/>
      <c r="Y779" s="680"/>
      <c r="Z779" s="614"/>
      <c r="AA779" s="568"/>
      <c r="AB779" s="592"/>
      <c r="AC779" s="592"/>
      <c r="AD779" s="592"/>
      <c r="AE779" s="590"/>
      <c r="AF779" s="570" t="s">
        <v>2899</v>
      </c>
      <c r="AG779" s="570" t="s">
        <v>25</v>
      </c>
      <c r="AH779" s="571" t="s">
        <v>25</v>
      </c>
      <c r="AI779" s="593"/>
      <c r="AJ779" s="593"/>
    </row>
    <row r="780" spans="1:36" s="376" customFormat="1" ht="81" outlineLevel="2" x14ac:dyDescent="0.3">
      <c r="A780" s="447">
        <v>65</v>
      </c>
      <c r="B780" s="558"/>
      <c r="C780" s="558"/>
      <c r="D780" s="587"/>
      <c r="E780" s="560"/>
      <c r="F780" s="558"/>
      <c r="G780" s="588"/>
      <c r="H780" s="546"/>
      <c r="I780" s="563" t="s">
        <v>25</v>
      </c>
      <c r="J780" s="563" t="s">
        <v>25</v>
      </c>
      <c r="K780" s="564" t="s">
        <v>25</v>
      </c>
      <c r="L780" s="564" t="s">
        <v>25</v>
      </c>
      <c r="M780" s="558" t="s">
        <v>410</v>
      </c>
      <c r="N780" s="558"/>
      <c r="O780" s="590">
        <v>3</v>
      </c>
      <c r="P780" s="564">
        <v>0</v>
      </c>
      <c r="Q780" s="564">
        <v>0</v>
      </c>
      <c r="R780" s="566" t="s">
        <v>1867</v>
      </c>
      <c r="S780" s="680" t="s">
        <v>53</v>
      </c>
      <c r="T780" s="591">
        <v>7.77</v>
      </c>
      <c r="U780" s="589"/>
      <c r="V780" s="564">
        <v>1067915</v>
      </c>
      <c r="W780" s="564">
        <v>8298000</v>
      </c>
      <c r="X780" s="562"/>
      <c r="Y780" s="680"/>
      <c r="Z780" s="614"/>
      <c r="AA780" s="568"/>
      <c r="AB780" s="592"/>
      <c r="AC780" s="592"/>
      <c r="AD780" s="592"/>
      <c r="AE780" s="590"/>
      <c r="AF780" s="570" t="s">
        <v>2899</v>
      </c>
      <c r="AG780" s="570" t="s">
        <v>25</v>
      </c>
      <c r="AH780" s="571" t="s">
        <v>25</v>
      </c>
      <c r="AI780" s="593"/>
      <c r="AJ780" s="593"/>
    </row>
    <row r="781" spans="1:36" s="376" customFormat="1" ht="20.25" outlineLevel="2" x14ac:dyDescent="0.3">
      <c r="A781" s="447">
        <v>65</v>
      </c>
      <c r="B781" s="558"/>
      <c r="C781" s="558"/>
      <c r="D781" s="587"/>
      <c r="E781" s="560"/>
      <c r="F781" s="558"/>
      <c r="G781" s="588"/>
      <c r="H781" s="546"/>
      <c r="I781" s="563" t="s">
        <v>25</v>
      </c>
      <c r="J781" s="563" t="s">
        <v>25</v>
      </c>
      <c r="K781" s="564" t="s">
        <v>25</v>
      </c>
      <c r="L781" s="564" t="s">
        <v>25</v>
      </c>
      <c r="M781" s="558" t="s">
        <v>754</v>
      </c>
      <c r="N781" s="558"/>
      <c r="O781" s="590">
        <v>2</v>
      </c>
      <c r="P781" s="564">
        <v>0</v>
      </c>
      <c r="Q781" s="564">
        <v>0</v>
      </c>
      <c r="R781" s="683" t="s">
        <v>1776</v>
      </c>
      <c r="S781" s="680" t="s">
        <v>53</v>
      </c>
      <c r="T781" s="591">
        <v>47.84</v>
      </c>
      <c r="U781" s="589"/>
      <c r="V781" s="564">
        <v>177161</v>
      </c>
      <c r="W781" s="564">
        <v>8475000</v>
      </c>
      <c r="X781" s="562"/>
      <c r="Y781" s="680"/>
      <c r="Z781" s="614"/>
      <c r="AA781" s="568"/>
      <c r="AB781" s="592"/>
      <c r="AC781" s="592"/>
      <c r="AD781" s="592"/>
      <c r="AE781" s="590"/>
      <c r="AF781" s="570" t="s">
        <v>2899</v>
      </c>
      <c r="AG781" s="570" t="s">
        <v>25</v>
      </c>
      <c r="AH781" s="571" t="s">
        <v>25</v>
      </c>
      <c r="AI781" s="593"/>
      <c r="AJ781" s="593"/>
    </row>
    <row r="782" spans="1:36" s="376" customFormat="1" ht="20.25" outlineLevel="2" x14ac:dyDescent="0.3">
      <c r="A782" s="447">
        <v>65</v>
      </c>
      <c r="B782" s="558"/>
      <c r="C782" s="558"/>
      <c r="D782" s="587"/>
      <c r="E782" s="560"/>
      <c r="F782" s="558"/>
      <c r="G782" s="588"/>
      <c r="H782" s="546"/>
      <c r="I782" s="563" t="s">
        <v>25</v>
      </c>
      <c r="J782" s="563" t="s">
        <v>25</v>
      </c>
      <c r="K782" s="564" t="s">
        <v>25</v>
      </c>
      <c r="L782" s="564" t="s">
        <v>25</v>
      </c>
      <c r="M782" s="558" t="s">
        <v>750</v>
      </c>
      <c r="N782" s="558"/>
      <c r="O782" s="590">
        <v>5</v>
      </c>
      <c r="P782" s="564">
        <v>0</v>
      </c>
      <c r="Q782" s="564">
        <v>0</v>
      </c>
      <c r="R782" s="683"/>
      <c r="S782" s="680"/>
      <c r="T782" s="591"/>
      <c r="U782" s="589"/>
      <c r="V782" s="564" t="s">
        <v>2899</v>
      </c>
      <c r="W782" s="564" t="s">
        <v>25</v>
      </c>
      <c r="X782" s="589"/>
      <c r="Y782" s="592"/>
      <c r="Z782" s="592"/>
      <c r="AA782" s="568"/>
      <c r="AB782" s="592"/>
      <c r="AC782" s="592"/>
      <c r="AD782" s="592"/>
      <c r="AE782" s="590"/>
      <c r="AF782" s="570" t="s">
        <v>2899</v>
      </c>
      <c r="AG782" s="570" t="s">
        <v>25</v>
      </c>
      <c r="AH782" s="571" t="s">
        <v>25</v>
      </c>
      <c r="AI782" s="593"/>
      <c r="AJ782" s="593"/>
    </row>
    <row r="783" spans="1:36" s="376" customFormat="1" ht="40.5" outlineLevel="2" x14ac:dyDescent="0.3">
      <c r="A783" s="447">
        <v>65</v>
      </c>
      <c r="B783" s="574"/>
      <c r="C783" s="574"/>
      <c r="D783" s="587"/>
      <c r="E783" s="615"/>
      <c r="F783" s="558"/>
      <c r="G783" s="588"/>
      <c r="H783" s="546"/>
      <c r="I783" s="563" t="s">
        <v>25</v>
      </c>
      <c r="J783" s="563" t="s">
        <v>25</v>
      </c>
      <c r="K783" s="564" t="s">
        <v>25</v>
      </c>
      <c r="L783" s="564" t="s">
        <v>25</v>
      </c>
      <c r="M783" s="558" t="s">
        <v>242</v>
      </c>
      <c r="N783" s="558"/>
      <c r="O783" s="590">
        <v>32</v>
      </c>
      <c r="P783" s="564">
        <v>6000</v>
      </c>
      <c r="Q783" s="564">
        <v>192000</v>
      </c>
      <c r="R783" s="566"/>
      <c r="S783" s="589"/>
      <c r="T783" s="591"/>
      <c r="U783" s="589"/>
      <c r="V783" s="564" t="s">
        <v>2899</v>
      </c>
      <c r="W783" s="564" t="s">
        <v>25</v>
      </c>
      <c r="X783" s="589"/>
      <c r="Y783" s="592"/>
      <c r="Z783" s="592"/>
      <c r="AA783" s="568"/>
      <c r="AB783" s="592"/>
      <c r="AC783" s="592"/>
      <c r="AD783" s="592"/>
      <c r="AE783" s="590"/>
      <c r="AF783" s="570" t="s">
        <v>2899</v>
      </c>
      <c r="AG783" s="570" t="s">
        <v>25</v>
      </c>
      <c r="AH783" s="571" t="s">
        <v>25</v>
      </c>
      <c r="AI783" s="593"/>
      <c r="AJ783" s="593"/>
    </row>
    <row r="784" spans="1:36" s="376" customFormat="1" ht="20.25" outlineLevel="2" x14ac:dyDescent="0.3">
      <c r="A784" s="447">
        <v>65</v>
      </c>
      <c r="B784" s="637"/>
      <c r="C784" s="637"/>
      <c r="D784" s="587"/>
      <c r="E784" s="560"/>
      <c r="F784" s="558"/>
      <c r="G784" s="604"/>
      <c r="H784" s="546"/>
      <c r="I784" s="563" t="s">
        <v>25</v>
      </c>
      <c r="J784" s="563" t="s">
        <v>25</v>
      </c>
      <c r="K784" s="564" t="s">
        <v>25</v>
      </c>
      <c r="L784" s="564" t="s">
        <v>25</v>
      </c>
      <c r="M784" s="593"/>
      <c r="N784" s="593"/>
      <c r="O784" s="616"/>
      <c r="P784" s="564" t="s">
        <v>25</v>
      </c>
      <c r="Q784" s="564" t="s">
        <v>25</v>
      </c>
      <c r="R784" s="593"/>
      <c r="S784" s="593"/>
      <c r="T784" s="617"/>
      <c r="U784" s="589"/>
      <c r="V784" s="564" t="s">
        <v>2899</v>
      </c>
      <c r="W784" s="564" t="s">
        <v>25</v>
      </c>
      <c r="X784" s="589"/>
      <c r="Y784" s="589"/>
      <c r="Z784" s="589"/>
      <c r="AA784" s="562"/>
      <c r="AB784" s="589"/>
      <c r="AC784" s="589"/>
      <c r="AD784" s="589"/>
      <c r="AE784" s="629"/>
      <c r="AF784" s="570" t="s">
        <v>2899</v>
      </c>
      <c r="AG784" s="570" t="s">
        <v>25</v>
      </c>
      <c r="AH784" s="571" t="s">
        <v>25</v>
      </c>
      <c r="AI784" s="593"/>
      <c r="AJ784" s="593"/>
    </row>
    <row r="785" spans="1:36" s="376" customFormat="1" ht="20.25" outlineLevel="2" x14ac:dyDescent="0.3">
      <c r="A785" s="447">
        <v>65</v>
      </c>
      <c r="B785" s="636"/>
      <c r="C785" s="636"/>
      <c r="D785" s="587"/>
      <c r="E785" s="560"/>
      <c r="F785" s="558"/>
      <c r="G785" s="588"/>
      <c r="H785" s="546"/>
      <c r="I785" s="563" t="s">
        <v>25</v>
      </c>
      <c r="J785" s="563" t="s">
        <v>25</v>
      </c>
      <c r="K785" s="564" t="s">
        <v>25</v>
      </c>
      <c r="L785" s="564" t="s">
        <v>25</v>
      </c>
      <c r="M785" s="558"/>
      <c r="N785" s="558"/>
      <c r="O785" s="590"/>
      <c r="P785" s="564" t="s">
        <v>25</v>
      </c>
      <c r="Q785" s="564" t="s">
        <v>25</v>
      </c>
      <c r="R785" s="566"/>
      <c r="S785" s="589"/>
      <c r="T785" s="591"/>
      <c r="U785" s="589"/>
      <c r="V785" s="564" t="s">
        <v>2899</v>
      </c>
      <c r="W785" s="564" t="s">
        <v>25</v>
      </c>
      <c r="X785" s="589"/>
      <c r="Y785" s="592"/>
      <c r="Z785" s="592"/>
      <c r="AA785" s="568"/>
      <c r="AB785" s="592"/>
      <c r="AC785" s="592"/>
      <c r="AD785" s="592"/>
      <c r="AE785" s="590"/>
      <c r="AF785" s="570" t="s">
        <v>2899</v>
      </c>
      <c r="AG785" s="570" t="s">
        <v>25</v>
      </c>
      <c r="AH785" s="571" t="s">
        <v>25</v>
      </c>
      <c r="AI785" s="593"/>
      <c r="AJ785" s="593"/>
    </row>
    <row r="786" spans="1:36" s="376" customFormat="1" ht="20.25" outlineLevel="2" x14ac:dyDescent="0.3">
      <c r="A786" s="447">
        <v>65</v>
      </c>
      <c r="B786" s="636"/>
      <c r="C786" s="636"/>
      <c r="D786" s="595"/>
      <c r="E786" s="577"/>
      <c r="F786" s="558"/>
      <c r="G786" s="588"/>
      <c r="H786" s="546"/>
      <c r="I786" s="563" t="s">
        <v>25</v>
      </c>
      <c r="J786" s="563" t="s">
        <v>25</v>
      </c>
      <c r="K786" s="564" t="s">
        <v>25</v>
      </c>
      <c r="L786" s="564" t="s">
        <v>25</v>
      </c>
      <c r="M786" s="558"/>
      <c r="N786" s="558"/>
      <c r="O786" s="590"/>
      <c r="P786" s="564" t="s">
        <v>25</v>
      </c>
      <c r="Q786" s="564" t="s">
        <v>25</v>
      </c>
      <c r="R786" s="566"/>
      <c r="S786" s="589"/>
      <c r="T786" s="591"/>
      <c r="U786" s="589"/>
      <c r="V786" s="564" t="s">
        <v>2899</v>
      </c>
      <c r="W786" s="564" t="s">
        <v>25</v>
      </c>
      <c r="X786" s="589"/>
      <c r="Y786" s="592"/>
      <c r="Z786" s="592"/>
      <c r="AA786" s="568"/>
      <c r="AB786" s="592"/>
      <c r="AC786" s="592"/>
      <c r="AD786" s="592"/>
      <c r="AE786" s="590"/>
      <c r="AF786" s="570" t="s">
        <v>2899</v>
      </c>
      <c r="AG786" s="570" t="s">
        <v>25</v>
      </c>
      <c r="AH786" s="571" t="s">
        <v>25</v>
      </c>
      <c r="AI786" s="593"/>
      <c r="AJ786" s="593"/>
    </row>
    <row r="787" spans="1:36" s="376" customFormat="1" ht="60.75" outlineLevel="1" x14ac:dyDescent="0.25">
      <c r="A787" s="467">
        <v>66</v>
      </c>
      <c r="B787" s="636" t="s">
        <v>243</v>
      </c>
      <c r="C787" s="773" t="s">
        <v>2902</v>
      </c>
      <c r="D787" s="587"/>
      <c r="E787" s="560"/>
      <c r="F787" s="574"/>
      <c r="G787" s="618">
        <v>21.4</v>
      </c>
      <c r="H787" s="579">
        <v>0</v>
      </c>
      <c r="I787" s="581"/>
      <c r="J787" s="581"/>
      <c r="K787" s="571">
        <v>0</v>
      </c>
      <c r="L787" s="571">
        <v>0</v>
      </c>
      <c r="M787" s="574"/>
      <c r="N787" s="574"/>
      <c r="O787" s="599">
        <v>0</v>
      </c>
      <c r="P787" s="571"/>
      <c r="Q787" s="571">
        <v>0</v>
      </c>
      <c r="R787" s="582"/>
      <c r="S787" s="597"/>
      <c r="T787" s="600">
        <v>106.72</v>
      </c>
      <c r="U787" s="597"/>
      <c r="V787" s="571"/>
      <c r="W787" s="571">
        <v>77361000</v>
      </c>
      <c r="X787" s="589"/>
      <c r="Y787" s="592"/>
      <c r="Z787" s="592"/>
      <c r="AA787" s="568"/>
      <c r="AB787" s="592"/>
      <c r="AC787" s="592"/>
      <c r="AD787" s="601"/>
      <c r="AE787" s="599">
        <f>SUBTOTAL(9,AE788:AE793)</f>
        <v>0</v>
      </c>
      <c r="AF787" s="585"/>
      <c r="AG787" s="585">
        <v>0</v>
      </c>
      <c r="AH787" s="571">
        <v>77361000</v>
      </c>
      <c r="AI787" s="608"/>
      <c r="AJ787" s="608"/>
    </row>
    <row r="788" spans="1:36" s="376" customFormat="1" ht="101.25" outlineLevel="2" x14ac:dyDescent="0.3">
      <c r="A788" s="447">
        <v>66</v>
      </c>
      <c r="B788" s="637" t="s">
        <v>584</v>
      </c>
      <c r="C788" s="637"/>
      <c r="D788" s="587"/>
      <c r="E788" s="560"/>
      <c r="F788" s="558" t="s">
        <v>2144</v>
      </c>
      <c r="G788" s="588">
        <v>21.4</v>
      </c>
      <c r="H788" s="546" t="s">
        <v>2899</v>
      </c>
      <c r="I788" s="563">
        <v>0</v>
      </c>
      <c r="J788" s="563">
        <v>0</v>
      </c>
      <c r="K788" s="564">
        <v>0</v>
      </c>
      <c r="L788" s="564">
        <v>0</v>
      </c>
      <c r="M788" s="558"/>
      <c r="N788" s="558"/>
      <c r="O788" s="590"/>
      <c r="P788" s="564" t="s">
        <v>25</v>
      </c>
      <c r="Q788" s="564" t="s">
        <v>25</v>
      </c>
      <c r="R788" s="566" t="s">
        <v>583</v>
      </c>
      <c r="S788" s="589" t="s">
        <v>53</v>
      </c>
      <c r="T788" s="591">
        <v>87.42</v>
      </c>
      <c r="U788" s="589"/>
      <c r="V788" s="564">
        <v>802830</v>
      </c>
      <c r="W788" s="564">
        <v>70183000</v>
      </c>
      <c r="X788" s="589"/>
      <c r="Y788" s="592"/>
      <c r="Z788" s="592"/>
      <c r="AA788" s="568"/>
      <c r="AB788" s="592"/>
      <c r="AC788" s="592"/>
      <c r="AD788" s="592"/>
      <c r="AE788" s="590"/>
      <c r="AF788" s="570" t="s">
        <v>2899</v>
      </c>
      <c r="AG788" s="570" t="s">
        <v>25</v>
      </c>
      <c r="AH788" s="571" t="s">
        <v>25</v>
      </c>
      <c r="AI788" s="593"/>
      <c r="AJ788" s="593"/>
    </row>
    <row r="789" spans="1:36" s="376" customFormat="1" ht="40.5" outlineLevel="2" x14ac:dyDescent="0.3">
      <c r="A789" s="447">
        <v>66</v>
      </c>
      <c r="B789" s="637"/>
      <c r="C789" s="637"/>
      <c r="D789" s="587"/>
      <c r="E789" s="560"/>
      <c r="F789" s="558"/>
      <c r="G789" s="588"/>
      <c r="H789" s="546"/>
      <c r="I789" s="563" t="s">
        <v>25</v>
      </c>
      <c r="J789" s="563" t="s">
        <v>25</v>
      </c>
      <c r="K789" s="564" t="s">
        <v>25</v>
      </c>
      <c r="L789" s="564" t="s">
        <v>25</v>
      </c>
      <c r="M789" s="558"/>
      <c r="N789" s="558"/>
      <c r="O789" s="590"/>
      <c r="P789" s="564" t="s">
        <v>25</v>
      </c>
      <c r="Q789" s="564" t="s">
        <v>25</v>
      </c>
      <c r="R789" s="566" t="s">
        <v>374</v>
      </c>
      <c r="S789" s="589" t="s">
        <v>53</v>
      </c>
      <c r="T789" s="591">
        <v>19.3</v>
      </c>
      <c r="U789" s="589"/>
      <c r="V789" s="564">
        <v>371943</v>
      </c>
      <c r="W789" s="564">
        <v>7178000</v>
      </c>
      <c r="X789" s="589"/>
      <c r="Y789" s="592"/>
      <c r="Z789" s="592"/>
      <c r="AA789" s="568"/>
      <c r="AB789" s="592"/>
      <c r="AC789" s="592"/>
      <c r="AD789" s="592"/>
      <c r="AE789" s="590"/>
      <c r="AF789" s="570" t="s">
        <v>2899</v>
      </c>
      <c r="AG789" s="570" t="s">
        <v>25</v>
      </c>
      <c r="AH789" s="571" t="s">
        <v>25</v>
      </c>
      <c r="AI789" s="593"/>
      <c r="AJ789" s="593"/>
    </row>
    <row r="790" spans="1:36" s="376" customFormat="1" ht="20.25" outlineLevel="2" x14ac:dyDescent="0.3">
      <c r="A790" s="447">
        <v>66</v>
      </c>
      <c r="B790" s="637"/>
      <c r="C790" s="637"/>
      <c r="D790" s="587"/>
      <c r="E790" s="560"/>
      <c r="F790" s="558"/>
      <c r="G790" s="588"/>
      <c r="H790" s="546"/>
      <c r="I790" s="563" t="s">
        <v>25</v>
      </c>
      <c r="J790" s="563" t="s">
        <v>25</v>
      </c>
      <c r="K790" s="564" t="s">
        <v>25</v>
      </c>
      <c r="L790" s="564" t="s">
        <v>25</v>
      </c>
      <c r="M790" s="558"/>
      <c r="N790" s="558"/>
      <c r="O790" s="590"/>
      <c r="P790" s="564" t="s">
        <v>25</v>
      </c>
      <c r="Q790" s="564" t="s">
        <v>25</v>
      </c>
      <c r="R790" s="593"/>
      <c r="S790" s="593"/>
      <c r="T790" s="617"/>
      <c r="U790" s="589"/>
      <c r="V790" s="564" t="s">
        <v>2899</v>
      </c>
      <c r="W790" s="564" t="s">
        <v>25</v>
      </c>
      <c r="X790" s="589"/>
      <c r="Y790" s="592"/>
      <c r="Z790" s="592"/>
      <c r="AA790" s="568"/>
      <c r="AB790" s="592"/>
      <c r="AC790" s="592"/>
      <c r="AD790" s="592"/>
      <c r="AE790" s="590"/>
      <c r="AF790" s="570" t="s">
        <v>2899</v>
      </c>
      <c r="AG790" s="570" t="s">
        <v>25</v>
      </c>
      <c r="AH790" s="571" t="s">
        <v>25</v>
      </c>
      <c r="AI790" s="593"/>
      <c r="AJ790" s="593"/>
    </row>
    <row r="791" spans="1:36" s="376" customFormat="1" ht="20.25" outlineLevel="2" x14ac:dyDescent="0.3">
      <c r="A791" s="447">
        <v>66</v>
      </c>
      <c r="B791" s="637"/>
      <c r="C791" s="637"/>
      <c r="D791" s="587"/>
      <c r="E791" s="560"/>
      <c r="F791" s="558"/>
      <c r="G791" s="588"/>
      <c r="H791" s="546"/>
      <c r="I791" s="563" t="s">
        <v>25</v>
      </c>
      <c r="J791" s="563" t="s">
        <v>25</v>
      </c>
      <c r="K791" s="564" t="s">
        <v>25</v>
      </c>
      <c r="L791" s="564" t="s">
        <v>25</v>
      </c>
      <c r="M791" s="638"/>
      <c r="N791" s="638"/>
      <c r="O791" s="664"/>
      <c r="P791" s="564" t="s">
        <v>25</v>
      </c>
      <c r="Q791" s="564" t="s">
        <v>25</v>
      </c>
      <c r="R791" s="638"/>
      <c r="S791" s="639"/>
      <c r="T791" s="591"/>
      <c r="U791" s="680"/>
      <c r="V791" s="564" t="s">
        <v>2899</v>
      </c>
      <c r="W791" s="564" t="s">
        <v>25</v>
      </c>
      <c r="X791" s="589"/>
      <c r="Y791" s="592"/>
      <c r="Z791" s="592"/>
      <c r="AA791" s="568"/>
      <c r="AB791" s="592"/>
      <c r="AC791" s="592"/>
      <c r="AD791" s="592"/>
      <c r="AE791" s="590"/>
      <c r="AF791" s="570" t="s">
        <v>2899</v>
      </c>
      <c r="AG791" s="570" t="s">
        <v>25</v>
      </c>
      <c r="AH791" s="571" t="s">
        <v>25</v>
      </c>
      <c r="AI791" s="593"/>
      <c r="AJ791" s="593"/>
    </row>
    <row r="792" spans="1:36" s="376" customFormat="1" ht="20.25" outlineLevel="2" x14ac:dyDescent="0.3">
      <c r="A792" s="447">
        <v>66</v>
      </c>
      <c r="B792" s="558"/>
      <c r="C792" s="558"/>
      <c r="D792" s="587"/>
      <c r="E792" s="560"/>
      <c r="F792" s="558"/>
      <c r="G792" s="588"/>
      <c r="H792" s="546"/>
      <c r="I792" s="563" t="s">
        <v>25</v>
      </c>
      <c r="J792" s="563" t="s">
        <v>25</v>
      </c>
      <c r="K792" s="564" t="s">
        <v>25</v>
      </c>
      <c r="L792" s="564" t="s">
        <v>25</v>
      </c>
      <c r="M792" s="638"/>
      <c r="N792" s="638"/>
      <c r="O792" s="664"/>
      <c r="P792" s="564" t="s">
        <v>25</v>
      </c>
      <c r="Q792" s="564" t="s">
        <v>25</v>
      </c>
      <c r="R792" s="638"/>
      <c r="S792" s="639"/>
      <c r="T792" s="591"/>
      <c r="U792" s="680"/>
      <c r="V792" s="564" t="s">
        <v>2899</v>
      </c>
      <c r="W792" s="564" t="s">
        <v>25</v>
      </c>
      <c r="X792" s="589"/>
      <c r="Y792" s="592"/>
      <c r="Z792" s="592"/>
      <c r="AA792" s="568"/>
      <c r="AB792" s="592"/>
      <c r="AC792" s="592"/>
      <c r="AD792" s="592"/>
      <c r="AE792" s="590"/>
      <c r="AF792" s="570" t="s">
        <v>2899</v>
      </c>
      <c r="AG792" s="570" t="s">
        <v>25</v>
      </c>
      <c r="AH792" s="571" t="s">
        <v>25</v>
      </c>
      <c r="AI792" s="593"/>
      <c r="AJ792" s="593"/>
    </row>
    <row r="793" spans="1:36" s="376" customFormat="1" ht="20.25" outlineLevel="2" x14ac:dyDescent="0.3">
      <c r="A793" s="447">
        <v>66</v>
      </c>
      <c r="B793" s="636"/>
      <c r="C793" s="636"/>
      <c r="D793" s="595"/>
      <c r="E793" s="577"/>
      <c r="F793" s="558"/>
      <c r="G793" s="588"/>
      <c r="H793" s="546"/>
      <c r="I793" s="563" t="s">
        <v>25</v>
      </c>
      <c r="J793" s="563" t="s">
        <v>25</v>
      </c>
      <c r="K793" s="564" t="s">
        <v>25</v>
      </c>
      <c r="L793" s="564" t="s">
        <v>25</v>
      </c>
      <c r="M793" s="638"/>
      <c r="N793" s="638"/>
      <c r="O793" s="664"/>
      <c r="P793" s="564" t="s">
        <v>25</v>
      </c>
      <c r="Q793" s="564" t="s">
        <v>25</v>
      </c>
      <c r="R793" s="638"/>
      <c r="S793" s="639"/>
      <c r="T793" s="591"/>
      <c r="U793" s="680"/>
      <c r="V793" s="564" t="s">
        <v>2899</v>
      </c>
      <c r="W793" s="564" t="s">
        <v>25</v>
      </c>
      <c r="X793" s="589"/>
      <c r="Y793" s="592"/>
      <c r="Z793" s="592"/>
      <c r="AA793" s="568"/>
      <c r="AB793" s="592"/>
      <c r="AC793" s="592"/>
      <c r="AD793" s="592"/>
      <c r="AE793" s="590"/>
      <c r="AF793" s="570" t="s">
        <v>2899</v>
      </c>
      <c r="AG793" s="570" t="s">
        <v>25</v>
      </c>
      <c r="AH793" s="571" t="s">
        <v>25</v>
      </c>
      <c r="AI793" s="593"/>
      <c r="AJ793" s="593"/>
    </row>
    <row r="794" spans="1:36" s="376" customFormat="1" ht="40.5" outlineLevel="1" x14ac:dyDescent="0.25">
      <c r="A794" s="467">
        <v>67</v>
      </c>
      <c r="B794" s="636" t="s">
        <v>44</v>
      </c>
      <c r="C794" s="773" t="s">
        <v>2902</v>
      </c>
      <c r="D794" s="587">
        <v>86</v>
      </c>
      <c r="E794" s="560">
        <v>387</v>
      </c>
      <c r="F794" s="574"/>
      <c r="G794" s="618">
        <v>144.1</v>
      </c>
      <c r="H794" s="579">
        <v>0</v>
      </c>
      <c r="I794" s="581"/>
      <c r="J794" s="581"/>
      <c r="K794" s="571">
        <v>79888000</v>
      </c>
      <c r="L794" s="571">
        <v>0</v>
      </c>
      <c r="M794" s="574"/>
      <c r="N794" s="574"/>
      <c r="O794" s="599">
        <v>104</v>
      </c>
      <c r="P794" s="571"/>
      <c r="Q794" s="571">
        <v>8032000</v>
      </c>
      <c r="R794" s="582"/>
      <c r="S794" s="597"/>
      <c r="T794" s="600">
        <v>188.91</v>
      </c>
      <c r="U794" s="597"/>
      <c r="V794" s="571"/>
      <c r="W794" s="571">
        <v>456056000</v>
      </c>
      <c r="X794" s="589"/>
      <c r="Y794" s="592"/>
      <c r="Z794" s="592"/>
      <c r="AA794" s="568"/>
      <c r="AB794" s="592"/>
      <c r="AC794" s="568"/>
      <c r="AD794" s="602"/>
      <c r="AE794" s="581">
        <f>SUBTOTAL(9,AE795:AE812)</f>
        <v>1</v>
      </c>
      <c r="AF794" s="585"/>
      <c r="AG794" s="585">
        <v>17000000</v>
      </c>
      <c r="AH794" s="571">
        <v>560976000</v>
      </c>
      <c r="AI794" s="574"/>
      <c r="AJ794" s="578"/>
    </row>
    <row r="795" spans="1:36" s="376" customFormat="1" ht="121.5" outlineLevel="2" x14ac:dyDescent="0.3">
      <c r="A795" s="447">
        <v>67</v>
      </c>
      <c r="B795" s="558" t="s">
        <v>244</v>
      </c>
      <c r="C795" s="558"/>
      <c r="D795" s="587"/>
      <c r="E795" s="560"/>
      <c r="F795" s="558" t="s">
        <v>2483</v>
      </c>
      <c r="G795" s="588">
        <v>103.4</v>
      </c>
      <c r="H795" s="546" t="s">
        <v>2899</v>
      </c>
      <c r="I795" s="563">
        <v>554400</v>
      </c>
      <c r="J795" s="563">
        <v>0</v>
      </c>
      <c r="K795" s="564">
        <v>57325000</v>
      </c>
      <c r="L795" s="564">
        <v>0</v>
      </c>
      <c r="M795" s="558" t="s">
        <v>72</v>
      </c>
      <c r="N795" s="558"/>
      <c r="O795" s="590">
        <v>22</v>
      </c>
      <c r="P795" s="564">
        <v>132000</v>
      </c>
      <c r="Q795" s="564">
        <v>2904000</v>
      </c>
      <c r="R795" s="566" t="s">
        <v>1820</v>
      </c>
      <c r="S795" s="589" t="s">
        <v>53</v>
      </c>
      <c r="T795" s="591">
        <v>60</v>
      </c>
      <c r="U795" s="589"/>
      <c r="V795" s="564">
        <v>5307665</v>
      </c>
      <c r="W795" s="564">
        <v>318460000</v>
      </c>
      <c r="X795" s="589" t="s">
        <v>63</v>
      </c>
      <c r="Y795" s="592" t="s">
        <v>55</v>
      </c>
      <c r="Z795" s="592" t="s">
        <v>56</v>
      </c>
      <c r="AA795" s="568" t="s">
        <v>57</v>
      </c>
      <c r="AB795" s="592" t="s">
        <v>63</v>
      </c>
      <c r="AC795" s="568" t="s">
        <v>430</v>
      </c>
      <c r="AD795" s="569"/>
      <c r="AE795" s="563"/>
      <c r="AF795" s="570"/>
      <c r="AG795" s="570"/>
      <c r="AH795" s="571" t="s">
        <v>25</v>
      </c>
      <c r="AI795" s="558" t="s">
        <v>1714</v>
      </c>
      <c r="AJ795" s="586" t="s">
        <v>2771</v>
      </c>
    </row>
    <row r="796" spans="1:36" s="376" customFormat="1" ht="121.5" outlineLevel="2" x14ac:dyDescent="0.3">
      <c r="A796" s="447">
        <v>67</v>
      </c>
      <c r="B796" s="637" t="s">
        <v>701</v>
      </c>
      <c r="C796" s="637"/>
      <c r="D796" s="587"/>
      <c r="E796" s="560"/>
      <c r="F796" s="684" t="s">
        <v>2788</v>
      </c>
      <c r="G796" s="588">
        <v>0.5</v>
      </c>
      <c r="H796" s="546" t="s">
        <v>2899</v>
      </c>
      <c r="I796" s="563">
        <v>554400</v>
      </c>
      <c r="J796" s="563">
        <v>0</v>
      </c>
      <c r="K796" s="564">
        <v>277000</v>
      </c>
      <c r="L796" s="564">
        <v>0</v>
      </c>
      <c r="M796" s="558" t="s">
        <v>73</v>
      </c>
      <c r="N796" s="558"/>
      <c r="O796" s="590">
        <v>19</v>
      </c>
      <c r="P796" s="564">
        <v>76000</v>
      </c>
      <c r="Q796" s="564">
        <v>1444000</v>
      </c>
      <c r="R796" s="566" t="s">
        <v>1868</v>
      </c>
      <c r="S796" s="589" t="s">
        <v>53</v>
      </c>
      <c r="T796" s="591">
        <v>4.68</v>
      </c>
      <c r="U796" s="589"/>
      <c r="V796" s="564">
        <v>4631321</v>
      </c>
      <c r="W796" s="564">
        <v>21675000</v>
      </c>
      <c r="X796" s="589" t="s">
        <v>63</v>
      </c>
      <c r="Y796" s="592" t="s">
        <v>63</v>
      </c>
      <c r="Z796" s="592" t="s">
        <v>56</v>
      </c>
      <c r="AA796" s="568"/>
      <c r="AB796" s="592" t="s">
        <v>63</v>
      </c>
      <c r="AC796" s="568"/>
      <c r="AD796" s="569" t="s">
        <v>2791</v>
      </c>
      <c r="AE796" s="590">
        <v>1</v>
      </c>
      <c r="AF796" s="570">
        <v>17000000</v>
      </c>
      <c r="AG796" s="570">
        <v>17000000</v>
      </c>
      <c r="AH796" s="571" t="s">
        <v>25</v>
      </c>
      <c r="AI796" s="558" t="s">
        <v>586</v>
      </c>
      <c r="AJ796" s="605" t="s">
        <v>2448</v>
      </c>
    </row>
    <row r="797" spans="1:36" s="376" customFormat="1" ht="121.5" outlineLevel="2" x14ac:dyDescent="0.3">
      <c r="A797" s="447">
        <v>67</v>
      </c>
      <c r="B797" s="637" t="s">
        <v>245</v>
      </c>
      <c r="C797" s="637"/>
      <c r="D797" s="587"/>
      <c r="E797" s="560"/>
      <c r="F797" s="558" t="s">
        <v>2485</v>
      </c>
      <c r="G797" s="588">
        <v>7.6</v>
      </c>
      <c r="H797" s="546" t="s">
        <v>2899</v>
      </c>
      <c r="I797" s="563">
        <v>554400</v>
      </c>
      <c r="J797" s="563">
        <v>0</v>
      </c>
      <c r="K797" s="564">
        <v>4213000</v>
      </c>
      <c r="L797" s="564">
        <v>0</v>
      </c>
      <c r="M797" s="558" t="s">
        <v>75</v>
      </c>
      <c r="N797" s="558"/>
      <c r="O797" s="590">
        <v>33</v>
      </c>
      <c r="P797" s="564">
        <v>34000</v>
      </c>
      <c r="Q797" s="564">
        <v>1122000</v>
      </c>
      <c r="R797" s="640" t="s">
        <v>1844</v>
      </c>
      <c r="S797" s="589" t="s">
        <v>53</v>
      </c>
      <c r="T797" s="591">
        <v>30</v>
      </c>
      <c r="U797" s="589"/>
      <c r="V797" s="564">
        <v>770070</v>
      </c>
      <c r="W797" s="564">
        <v>23102000</v>
      </c>
      <c r="X797" s="589"/>
      <c r="Y797" s="592" t="s">
        <v>55</v>
      </c>
      <c r="Z797" s="592" t="s">
        <v>56</v>
      </c>
      <c r="AA797" s="568"/>
      <c r="AB797" s="592" t="s">
        <v>66</v>
      </c>
      <c r="AC797" s="568" t="s">
        <v>246</v>
      </c>
      <c r="AD797" s="606"/>
      <c r="AE797" s="590"/>
      <c r="AF797" s="570" t="s">
        <v>2899</v>
      </c>
      <c r="AG797" s="570" t="s">
        <v>25</v>
      </c>
      <c r="AH797" s="571" t="s">
        <v>25</v>
      </c>
      <c r="AI797" s="593" t="s">
        <v>247</v>
      </c>
      <c r="AJ797" s="558" t="s">
        <v>2450</v>
      </c>
    </row>
    <row r="798" spans="1:36" s="376" customFormat="1" ht="101.25" outlineLevel="2" x14ac:dyDescent="0.3">
      <c r="A798" s="447">
        <v>67</v>
      </c>
      <c r="B798" s="637"/>
      <c r="C798" s="637"/>
      <c r="D798" s="587"/>
      <c r="E798" s="560"/>
      <c r="F798" s="558" t="s">
        <v>2486</v>
      </c>
      <c r="G798" s="588">
        <v>32.6</v>
      </c>
      <c r="H798" s="546" t="s">
        <v>2899</v>
      </c>
      <c r="I798" s="563">
        <v>554400</v>
      </c>
      <c r="J798" s="563">
        <v>0</v>
      </c>
      <c r="K798" s="564">
        <v>18073000</v>
      </c>
      <c r="L798" s="564">
        <v>0</v>
      </c>
      <c r="M798" s="558" t="s">
        <v>745</v>
      </c>
      <c r="N798" s="558"/>
      <c r="O798" s="590">
        <v>1</v>
      </c>
      <c r="P798" s="564">
        <v>72000</v>
      </c>
      <c r="Q798" s="564">
        <v>72000</v>
      </c>
      <c r="R798" s="638" t="s">
        <v>1869</v>
      </c>
      <c r="S798" s="589" t="s">
        <v>53</v>
      </c>
      <c r="T798" s="591">
        <v>3.2</v>
      </c>
      <c r="U798" s="589"/>
      <c r="V798" s="564">
        <v>9347414</v>
      </c>
      <c r="W798" s="564">
        <v>29912000</v>
      </c>
      <c r="X798" s="589"/>
      <c r="Y798" s="592"/>
      <c r="Z798" s="592" t="s">
        <v>56</v>
      </c>
      <c r="AA798" s="568" t="s">
        <v>57</v>
      </c>
      <c r="AB798" s="592" t="s">
        <v>63</v>
      </c>
      <c r="AC798" s="592"/>
      <c r="AD798" s="592"/>
      <c r="AE798" s="590"/>
      <c r="AF798" s="570" t="s">
        <v>2899</v>
      </c>
      <c r="AG798" s="570" t="s">
        <v>25</v>
      </c>
      <c r="AH798" s="571" t="s">
        <v>25</v>
      </c>
      <c r="AI798" s="558" t="s">
        <v>2214</v>
      </c>
      <c r="AJ798" s="558" t="s">
        <v>2449</v>
      </c>
    </row>
    <row r="799" spans="1:36" s="376" customFormat="1" ht="101.25" outlineLevel="2" x14ac:dyDescent="0.3">
      <c r="A799" s="447">
        <v>67</v>
      </c>
      <c r="B799" s="558"/>
      <c r="C799" s="558"/>
      <c r="D799" s="587"/>
      <c r="E799" s="560"/>
      <c r="F799" s="558"/>
      <c r="G799" s="588"/>
      <c r="H799" s="546"/>
      <c r="I799" s="563" t="s">
        <v>25</v>
      </c>
      <c r="J799" s="563" t="s">
        <v>25</v>
      </c>
      <c r="K799" s="564" t="s">
        <v>25</v>
      </c>
      <c r="L799" s="564" t="s">
        <v>25</v>
      </c>
      <c r="M799" s="558" t="s">
        <v>154</v>
      </c>
      <c r="N799" s="558"/>
      <c r="O799" s="590">
        <v>1</v>
      </c>
      <c r="P799" s="564">
        <v>248000</v>
      </c>
      <c r="Q799" s="564">
        <v>248000</v>
      </c>
      <c r="R799" s="566" t="s">
        <v>1870</v>
      </c>
      <c r="S799" s="589" t="s">
        <v>53</v>
      </c>
      <c r="T799" s="591">
        <v>11.6</v>
      </c>
      <c r="U799" s="589"/>
      <c r="V799" s="564">
        <v>1067915</v>
      </c>
      <c r="W799" s="564">
        <v>12388000</v>
      </c>
      <c r="X799" s="589"/>
      <c r="Y799" s="592"/>
      <c r="Z799" s="592"/>
      <c r="AA799" s="568"/>
      <c r="AB799" s="592"/>
      <c r="AC799" s="592"/>
      <c r="AD799" s="592"/>
      <c r="AE799" s="590"/>
      <c r="AF799" s="570" t="s">
        <v>2899</v>
      </c>
      <c r="AG799" s="570" t="s">
        <v>25</v>
      </c>
      <c r="AH799" s="571" t="s">
        <v>25</v>
      </c>
      <c r="AI799" s="558" t="s">
        <v>1715</v>
      </c>
      <c r="AJ799" s="558" t="s">
        <v>2451</v>
      </c>
    </row>
    <row r="800" spans="1:36" s="376" customFormat="1" ht="101.25" outlineLevel="2" x14ac:dyDescent="0.3">
      <c r="A800" s="447">
        <v>67</v>
      </c>
      <c r="B800" s="636"/>
      <c r="C800" s="636"/>
      <c r="D800" s="587"/>
      <c r="E800" s="560"/>
      <c r="F800" s="558"/>
      <c r="G800" s="588"/>
      <c r="H800" s="546"/>
      <c r="I800" s="563" t="s">
        <v>25</v>
      </c>
      <c r="J800" s="563" t="s">
        <v>25</v>
      </c>
      <c r="K800" s="564" t="s">
        <v>25</v>
      </c>
      <c r="L800" s="564" t="s">
        <v>25</v>
      </c>
      <c r="M800" s="558" t="s">
        <v>149</v>
      </c>
      <c r="N800" s="558"/>
      <c r="O800" s="590">
        <v>1</v>
      </c>
      <c r="P800" s="564">
        <v>146000</v>
      </c>
      <c r="Q800" s="564">
        <v>146000</v>
      </c>
      <c r="R800" s="566" t="s">
        <v>1871</v>
      </c>
      <c r="S800" s="589" t="s">
        <v>53</v>
      </c>
      <c r="T800" s="591">
        <v>33.799999999999997</v>
      </c>
      <c r="U800" s="589"/>
      <c r="V800" s="564">
        <v>703764</v>
      </c>
      <c r="W800" s="564">
        <v>23787000</v>
      </c>
      <c r="X800" s="589"/>
      <c r="Y800" s="592"/>
      <c r="Z800" s="592"/>
      <c r="AA800" s="568"/>
      <c r="AB800" s="592"/>
      <c r="AC800" s="592"/>
      <c r="AD800" s="592"/>
      <c r="AE800" s="590"/>
      <c r="AF800" s="570" t="s">
        <v>2899</v>
      </c>
      <c r="AG800" s="570" t="s">
        <v>25</v>
      </c>
      <c r="AH800" s="571" t="s">
        <v>25</v>
      </c>
      <c r="AI800" s="558" t="s">
        <v>2215</v>
      </c>
      <c r="AJ800" s="558" t="s">
        <v>2800</v>
      </c>
    </row>
    <row r="801" spans="1:36" s="376" customFormat="1" ht="40.5" outlineLevel="2" x14ac:dyDescent="0.3">
      <c r="A801" s="447">
        <v>67</v>
      </c>
      <c r="B801" s="637"/>
      <c r="C801" s="637"/>
      <c r="D801" s="587"/>
      <c r="E801" s="560"/>
      <c r="F801" s="558"/>
      <c r="G801" s="588"/>
      <c r="H801" s="546"/>
      <c r="I801" s="563" t="s">
        <v>25</v>
      </c>
      <c r="J801" s="563" t="s">
        <v>25</v>
      </c>
      <c r="K801" s="564" t="s">
        <v>25</v>
      </c>
      <c r="L801" s="564" t="s">
        <v>25</v>
      </c>
      <c r="M801" s="558" t="s">
        <v>76</v>
      </c>
      <c r="N801" s="558"/>
      <c r="O801" s="590">
        <v>6</v>
      </c>
      <c r="P801" s="564">
        <v>45000</v>
      </c>
      <c r="Q801" s="564">
        <v>270000</v>
      </c>
      <c r="R801" s="638" t="s">
        <v>1872</v>
      </c>
      <c r="S801" s="589" t="s">
        <v>78</v>
      </c>
      <c r="T801" s="591">
        <v>0.1</v>
      </c>
      <c r="U801" s="589"/>
      <c r="V801" s="564">
        <v>0</v>
      </c>
      <c r="W801" s="564">
        <v>0</v>
      </c>
      <c r="X801" s="589"/>
      <c r="Y801" s="592"/>
      <c r="Z801" s="592"/>
      <c r="AA801" s="568"/>
      <c r="AB801" s="592"/>
      <c r="AC801" s="592"/>
      <c r="AD801" s="592"/>
      <c r="AE801" s="590"/>
      <c r="AF801" s="570" t="s">
        <v>2899</v>
      </c>
      <c r="AG801" s="570" t="s">
        <v>25</v>
      </c>
      <c r="AH801" s="571" t="s">
        <v>25</v>
      </c>
      <c r="AI801" s="593"/>
      <c r="AJ801" s="593"/>
    </row>
    <row r="802" spans="1:36" s="376" customFormat="1" ht="60.75" outlineLevel="2" x14ac:dyDescent="0.3">
      <c r="A802" s="447">
        <v>67</v>
      </c>
      <c r="B802" s="637"/>
      <c r="C802" s="637"/>
      <c r="D802" s="587"/>
      <c r="E802" s="560"/>
      <c r="F802" s="558"/>
      <c r="G802" s="588"/>
      <c r="H802" s="546"/>
      <c r="I802" s="563" t="s">
        <v>25</v>
      </c>
      <c r="J802" s="563" t="s">
        <v>25</v>
      </c>
      <c r="K802" s="564" t="s">
        <v>25</v>
      </c>
      <c r="L802" s="564" t="s">
        <v>25</v>
      </c>
      <c r="M802" s="638" t="s">
        <v>248</v>
      </c>
      <c r="N802" s="638"/>
      <c r="O802" s="590">
        <v>4</v>
      </c>
      <c r="P802" s="564">
        <v>12000</v>
      </c>
      <c r="Q802" s="564">
        <v>48000</v>
      </c>
      <c r="R802" s="638" t="s">
        <v>1771</v>
      </c>
      <c r="S802" s="589" t="s">
        <v>53</v>
      </c>
      <c r="T802" s="591">
        <v>1.44</v>
      </c>
      <c r="U802" s="589"/>
      <c r="V802" s="564">
        <v>348773</v>
      </c>
      <c r="W802" s="564">
        <v>502000</v>
      </c>
      <c r="X802" s="589"/>
      <c r="Y802" s="592"/>
      <c r="Z802" s="592"/>
      <c r="AA802" s="568"/>
      <c r="AB802" s="592"/>
      <c r="AC802" s="592"/>
      <c r="AD802" s="592"/>
      <c r="AE802" s="590"/>
      <c r="AF802" s="570" t="s">
        <v>2899</v>
      </c>
      <c r="AG802" s="570" t="s">
        <v>25</v>
      </c>
      <c r="AH802" s="571" t="s">
        <v>25</v>
      </c>
      <c r="AI802" s="593"/>
      <c r="AJ802" s="593"/>
    </row>
    <row r="803" spans="1:36" s="376" customFormat="1" ht="81" outlineLevel="2" x14ac:dyDescent="0.3">
      <c r="A803" s="447">
        <v>67</v>
      </c>
      <c r="B803" s="558"/>
      <c r="C803" s="558"/>
      <c r="D803" s="587"/>
      <c r="E803" s="560"/>
      <c r="F803" s="558"/>
      <c r="G803" s="588"/>
      <c r="H803" s="546"/>
      <c r="I803" s="563" t="s">
        <v>25</v>
      </c>
      <c r="J803" s="563" t="s">
        <v>25</v>
      </c>
      <c r="K803" s="564" t="s">
        <v>25</v>
      </c>
      <c r="L803" s="564" t="s">
        <v>25</v>
      </c>
      <c r="M803" s="638" t="s">
        <v>755</v>
      </c>
      <c r="N803" s="638"/>
      <c r="O803" s="590">
        <v>3</v>
      </c>
      <c r="P803" s="564">
        <v>10000</v>
      </c>
      <c r="Q803" s="564">
        <v>30000</v>
      </c>
      <c r="R803" s="638" t="s">
        <v>1873</v>
      </c>
      <c r="S803" s="589" t="s">
        <v>53</v>
      </c>
      <c r="T803" s="591">
        <v>5.6</v>
      </c>
      <c r="U803" s="589"/>
      <c r="V803" s="564">
        <v>773302</v>
      </c>
      <c r="W803" s="564">
        <v>4330000</v>
      </c>
      <c r="X803" s="589"/>
      <c r="Y803" s="592"/>
      <c r="Z803" s="592"/>
      <c r="AA803" s="568"/>
      <c r="AB803" s="592"/>
      <c r="AC803" s="592"/>
      <c r="AD803" s="592"/>
      <c r="AE803" s="590"/>
      <c r="AF803" s="570" t="s">
        <v>2899</v>
      </c>
      <c r="AG803" s="570" t="s">
        <v>25</v>
      </c>
      <c r="AH803" s="571" t="s">
        <v>25</v>
      </c>
      <c r="AI803" s="593"/>
      <c r="AJ803" s="593"/>
    </row>
    <row r="804" spans="1:36" s="376" customFormat="1" ht="40.5" outlineLevel="2" x14ac:dyDescent="0.3">
      <c r="A804" s="447">
        <v>67</v>
      </c>
      <c r="B804" s="558"/>
      <c r="C804" s="558"/>
      <c r="D804" s="587"/>
      <c r="E804" s="560"/>
      <c r="F804" s="558"/>
      <c r="G804" s="588"/>
      <c r="H804" s="546"/>
      <c r="I804" s="563" t="s">
        <v>25</v>
      </c>
      <c r="J804" s="563" t="s">
        <v>25</v>
      </c>
      <c r="K804" s="564" t="s">
        <v>25</v>
      </c>
      <c r="L804" s="564" t="s">
        <v>25</v>
      </c>
      <c r="M804" s="558" t="s">
        <v>756</v>
      </c>
      <c r="N804" s="558"/>
      <c r="O804" s="590">
        <v>3</v>
      </c>
      <c r="P804" s="564">
        <v>150000</v>
      </c>
      <c r="Q804" s="564">
        <v>450000</v>
      </c>
      <c r="R804" s="566" t="s">
        <v>1799</v>
      </c>
      <c r="S804" s="589" t="s">
        <v>53</v>
      </c>
      <c r="T804" s="591">
        <v>24.9</v>
      </c>
      <c r="U804" s="589"/>
      <c r="V804" s="564">
        <v>275180</v>
      </c>
      <c r="W804" s="564">
        <v>6852000</v>
      </c>
      <c r="X804" s="589"/>
      <c r="Y804" s="592"/>
      <c r="Z804" s="592"/>
      <c r="AA804" s="568"/>
      <c r="AB804" s="592"/>
      <c r="AC804" s="592"/>
      <c r="AD804" s="592"/>
      <c r="AE804" s="590"/>
      <c r="AF804" s="570" t="s">
        <v>2899</v>
      </c>
      <c r="AG804" s="570" t="s">
        <v>25</v>
      </c>
      <c r="AH804" s="571" t="s">
        <v>25</v>
      </c>
      <c r="AI804" s="593"/>
      <c r="AJ804" s="593"/>
    </row>
    <row r="805" spans="1:36" s="376" customFormat="1" ht="40.5" outlineLevel="2" x14ac:dyDescent="0.3">
      <c r="A805" s="447">
        <v>67</v>
      </c>
      <c r="B805" s="558"/>
      <c r="C805" s="558"/>
      <c r="D805" s="587"/>
      <c r="E805" s="560"/>
      <c r="F805" s="558"/>
      <c r="G805" s="588"/>
      <c r="H805" s="546"/>
      <c r="I805" s="563" t="s">
        <v>25</v>
      </c>
      <c r="J805" s="563" t="s">
        <v>25</v>
      </c>
      <c r="K805" s="564" t="s">
        <v>25</v>
      </c>
      <c r="L805" s="564" t="s">
        <v>25</v>
      </c>
      <c r="M805" s="558" t="s">
        <v>405</v>
      </c>
      <c r="N805" s="558"/>
      <c r="O805" s="590">
        <v>7</v>
      </c>
      <c r="P805" s="564">
        <v>72000</v>
      </c>
      <c r="Q805" s="564">
        <v>504000</v>
      </c>
      <c r="R805" s="640" t="s">
        <v>1863</v>
      </c>
      <c r="S805" s="639" t="s">
        <v>53</v>
      </c>
      <c r="T805" s="591">
        <v>13.59</v>
      </c>
      <c r="U805" s="589"/>
      <c r="V805" s="564">
        <v>1107311</v>
      </c>
      <c r="W805" s="564">
        <v>15048000</v>
      </c>
      <c r="X805" s="589"/>
      <c r="Y805" s="592"/>
      <c r="Z805" s="592"/>
      <c r="AA805" s="568"/>
      <c r="AB805" s="592"/>
      <c r="AC805" s="592"/>
      <c r="AD805" s="592"/>
      <c r="AE805" s="590"/>
      <c r="AF805" s="570" t="s">
        <v>2899</v>
      </c>
      <c r="AG805" s="570" t="s">
        <v>25</v>
      </c>
      <c r="AH805" s="571" t="s">
        <v>25</v>
      </c>
      <c r="AI805" s="593"/>
      <c r="AJ805" s="593"/>
    </row>
    <row r="806" spans="1:36" s="376" customFormat="1" ht="20.25" outlineLevel="2" x14ac:dyDescent="0.3">
      <c r="A806" s="447">
        <v>67</v>
      </c>
      <c r="B806" s="636"/>
      <c r="C806" s="636"/>
      <c r="D806" s="587"/>
      <c r="E806" s="560"/>
      <c r="F806" s="558"/>
      <c r="G806" s="588"/>
      <c r="H806" s="546"/>
      <c r="I806" s="563" t="s">
        <v>25</v>
      </c>
      <c r="J806" s="563" t="s">
        <v>25</v>
      </c>
      <c r="K806" s="564" t="s">
        <v>25</v>
      </c>
      <c r="L806" s="564" t="s">
        <v>25</v>
      </c>
      <c r="M806" s="558" t="s">
        <v>133</v>
      </c>
      <c r="N806" s="558"/>
      <c r="O806" s="590">
        <v>1</v>
      </c>
      <c r="P806" s="564">
        <v>758000</v>
      </c>
      <c r="Q806" s="564">
        <v>758000</v>
      </c>
      <c r="R806" s="566"/>
      <c r="S806" s="589"/>
      <c r="T806" s="591"/>
      <c r="U806" s="589"/>
      <c r="V806" s="564" t="s">
        <v>2899</v>
      </c>
      <c r="W806" s="564" t="s">
        <v>25</v>
      </c>
      <c r="X806" s="589"/>
      <c r="Y806" s="592"/>
      <c r="Z806" s="592"/>
      <c r="AA806" s="568"/>
      <c r="AB806" s="592"/>
      <c r="AC806" s="592"/>
      <c r="AD806" s="592"/>
      <c r="AE806" s="590"/>
      <c r="AF806" s="570" t="s">
        <v>2899</v>
      </c>
      <c r="AG806" s="570" t="s">
        <v>25</v>
      </c>
      <c r="AH806" s="571" t="s">
        <v>25</v>
      </c>
      <c r="AI806" s="593"/>
      <c r="AJ806" s="593"/>
    </row>
    <row r="807" spans="1:36" s="376" customFormat="1" ht="60.75" outlineLevel="2" x14ac:dyDescent="0.3">
      <c r="A807" s="447">
        <v>67</v>
      </c>
      <c r="B807" s="558"/>
      <c r="C807" s="558"/>
      <c r="D807" s="587"/>
      <c r="E807" s="560"/>
      <c r="F807" s="558"/>
      <c r="G807" s="588"/>
      <c r="H807" s="546"/>
      <c r="I807" s="563" t="s">
        <v>25</v>
      </c>
      <c r="J807" s="563" t="s">
        <v>25</v>
      </c>
      <c r="K807" s="564" t="s">
        <v>25</v>
      </c>
      <c r="L807" s="564" t="s">
        <v>25</v>
      </c>
      <c r="M807" s="558" t="s">
        <v>429</v>
      </c>
      <c r="N807" s="558"/>
      <c r="O807" s="590">
        <v>3</v>
      </c>
      <c r="P807" s="564">
        <v>12000</v>
      </c>
      <c r="Q807" s="564">
        <v>36000</v>
      </c>
      <c r="R807" s="640"/>
      <c r="S807" s="639"/>
      <c r="T807" s="591"/>
      <c r="U807" s="589"/>
      <c r="V807" s="564" t="s">
        <v>2899</v>
      </c>
      <c r="W807" s="564" t="s">
        <v>25</v>
      </c>
      <c r="X807" s="589"/>
      <c r="Y807" s="592"/>
      <c r="Z807" s="592"/>
      <c r="AA807" s="568"/>
      <c r="AB807" s="592"/>
      <c r="AC807" s="592"/>
      <c r="AD807" s="592"/>
      <c r="AE807" s="590"/>
      <c r="AF807" s="570" t="s">
        <v>2899</v>
      </c>
      <c r="AG807" s="570" t="s">
        <v>25</v>
      </c>
      <c r="AH807" s="571" t="s">
        <v>25</v>
      </c>
      <c r="AI807" s="593"/>
      <c r="AJ807" s="593"/>
    </row>
    <row r="808" spans="1:36" s="376" customFormat="1" ht="20.25" outlineLevel="2" x14ac:dyDescent="0.3">
      <c r="A808" s="447">
        <v>67</v>
      </c>
      <c r="B808" s="558"/>
      <c r="C808" s="558"/>
      <c r="D808" s="587"/>
      <c r="E808" s="615"/>
      <c r="F808" s="558"/>
      <c r="G808" s="588"/>
      <c r="H808" s="546"/>
      <c r="I808" s="563" t="s">
        <v>25</v>
      </c>
      <c r="J808" s="563" t="s">
        <v>25</v>
      </c>
      <c r="K808" s="564" t="s">
        <v>25</v>
      </c>
      <c r="L808" s="564" t="s">
        <v>25</v>
      </c>
      <c r="M808" s="593"/>
      <c r="N808" s="593"/>
      <c r="O808" s="616"/>
      <c r="P808" s="564" t="s">
        <v>25</v>
      </c>
      <c r="Q808" s="564" t="s">
        <v>25</v>
      </c>
      <c r="R808" s="640"/>
      <c r="S808" s="639"/>
      <c r="T808" s="591"/>
      <c r="U808" s="589"/>
      <c r="V808" s="564" t="s">
        <v>2899</v>
      </c>
      <c r="W808" s="564" t="s">
        <v>25</v>
      </c>
      <c r="X808" s="589"/>
      <c r="Y808" s="592"/>
      <c r="Z808" s="592"/>
      <c r="AA808" s="568"/>
      <c r="AB808" s="592"/>
      <c r="AC808" s="592"/>
      <c r="AD808" s="592"/>
      <c r="AE808" s="590"/>
      <c r="AF808" s="570" t="s">
        <v>2899</v>
      </c>
      <c r="AG808" s="570" t="s">
        <v>25</v>
      </c>
      <c r="AH808" s="571" t="s">
        <v>25</v>
      </c>
      <c r="AI808" s="593"/>
      <c r="AJ808" s="593"/>
    </row>
    <row r="809" spans="1:36" s="376" customFormat="1" ht="20.25" outlineLevel="2" x14ac:dyDescent="0.3">
      <c r="A809" s="447">
        <v>67</v>
      </c>
      <c r="B809" s="636"/>
      <c r="C809" s="636"/>
      <c r="D809" s="587"/>
      <c r="E809" s="560"/>
      <c r="F809" s="558"/>
      <c r="G809" s="604"/>
      <c r="H809" s="546"/>
      <c r="I809" s="563" t="s">
        <v>25</v>
      </c>
      <c r="J809" s="563" t="s">
        <v>25</v>
      </c>
      <c r="K809" s="564" t="s">
        <v>25</v>
      </c>
      <c r="L809" s="564" t="s">
        <v>25</v>
      </c>
      <c r="M809" s="593"/>
      <c r="N809" s="593"/>
      <c r="O809" s="616"/>
      <c r="P809" s="564" t="s">
        <v>25</v>
      </c>
      <c r="Q809" s="564" t="s">
        <v>25</v>
      </c>
      <c r="R809" s="593"/>
      <c r="S809" s="593"/>
      <c r="T809" s="617"/>
      <c r="U809" s="589"/>
      <c r="V809" s="564" t="s">
        <v>2899</v>
      </c>
      <c r="W809" s="564" t="s">
        <v>25</v>
      </c>
      <c r="X809" s="589"/>
      <c r="Y809" s="589"/>
      <c r="Z809" s="589"/>
      <c r="AA809" s="562"/>
      <c r="AB809" s="589"/>
      <c r="AC809" s="589"/>
      <c r="AD809" s="589"/>
      <c r="AE809" s="629"/>
      <c r="AF809" s="570" t="s">
        <v>2899</v>
      </c>
      <c r="AG809" s="570" t="s">
        <v>25</v>
      </c>
      <c r="AH809" s="571" t="s">
        <v>25</v>
      </c>
      <c r="AI809" s="593"/>
      <c r="AJ809" s="593"/>
    </row>
    <row r="810" spans="1:36" s="376" customFormat="1" ht="20.25" outlineLevel="2" x14ac:dyDescent="0.3">
      <c r="A810" s="447">
        <v>67</v>
      </c>
      <c r="B810" s="637"/>
      <c r="C810" s="637"/>
      <c r="D810" s="587"/>
      <c r="E810" s="560"/>
      <c r="F810" s="558"/>
      <c r="G810" s="588"/>
      <c r="H810" s="546"/>
      <c r="I810" s="563" t="s">
        <v>25</v>
      </c>
      <c r="J810" s="563" t="s">
        <v>25</v>
      </c>
      <c r="K810" s="564" t="s">
        <v>25</v>
      </c>
      <c r="L810" s="564" t="s">
        <v>25</v>
      </c>
      <c r="M810" s="558"/>
      <c r="N810" s="558"/>
      <c r="O810" s="590"/>
      <c r="P810" s="564" t="s">
        <v>25</v>
      </c>
      <c r="Q810" s="564" t="s">
        <v>25</v>
      </c>
      <c r="R810" s="566"/>
      <c r="S810" s="589"/>
      <c r="T810" s="591"/>
      <c r="U810" s="589"/>
      <c r="V810" s="564" t="s">
        <v>2899</v>
      </c>
      <c r="W810" s="564" t="s">
        <v>25</v>
      </c>
      <c r="X810" s="589"/>
      <c r="Y810" s="592"/>
      <c r="Z810" s="592"/>
      <c r="AA810" s="568"/>
      <c r="AB810" s="592"/>
      <c r="AC810" s="592"/>
      <c r="AD810" s="592"/>
      <c r="AE810" s="590"/>
      <c r="AF810" s="570" t="s">
        <v>2899</v>
      </c>
      <c r="AG810" s="570" t="s">
        <v>25</v>
      </c>
      <c r="AH810" s="571" t="s">
        <v>25</v>
      </c>
      <c r="AI810" s="593"/>
      <c r="AJ810" s="593"/>
    </row>
    <row r="811" spans="1:36" s="376" customFormat="1" ht="20.25" outlineLevel="2" x14ac:dyDescent="0.3">
      <c r="A811" s="447">
        <v>67</v>
      </c>
      <c r="B811" s="637"/>
      <c r="C811" s="637"/>
      <c r="D811" s="587"/>
      <c r="E811" s="560"/>
      <c r="F811" s="558"/>
      <c r="G811" s="588"/>
      <c r="H811" s="546"/>
      <c r="I811" s="563" t="s">
        <v>25</v>
      </c>
      <c r="J811" s="563" t="s">
        <v>25</v>
      </c>
      <c r="K811" s="564" t="s">
        <v>25</v>
      </c>
      <c r="L811" s="564" t="s">
        <v>25</v>
      </c>
      <c r="M811" s="638"/>
      <c r="N811" s="638"/>
      <c r="O811" s="664"/>
      <c r="P811" s="564" t="s">
        <v>25</v>
      </c>
      <c r="Q811" s="564" t="s">
        <v>25</v>
      </c>
      <c r="R811" s="638"/>
      <c r="S811" s="640"/>
      <c r="T811" s="591"/>
      <c r="U811" s="680"/>
      <c r="V811" s="564" t="s">
        <v>2899</v>
      </c>
      <c r="W811" s="564" t="s">
        <v>25</v>
      </c>
      <c r="X811" s="589"/>
      <c r="Y811" s="592"/>
      <c r="Z811" s="592"/>
      <c r="AA811" s="568"/>
      <c r="AB811" s="592"/>
      <c r="AC811" s="592"/>
      <c r="AD811" s="592"/>
      <c r="AE811" s="590"/>
      <c r="AF811" s="570" t="s">
        <v>2899</v>
      </c>
      <c r="AG811" s="570" t="s">
        <v>25</v>
      </c>
      <c r="AH811" s="571" t="s">
        <v>25</v>
      </c>
      <c r="AI811" s="593"/>
      <c r="AJ811" s="593"/>
    </row>
    <row r="812" spans="1:36" s="376" customFormat="1" ht="20.25" outlineLevel="2" x14ac:dyDescent="0.3">
      <c r="A812" s="447">
        <v>67</v>
      </c>
      <c r="B812" s="636"/>
      <c r="C812" s="636"/>
      <c r="D812" s="595"/>
      <c r="E812" s="577"/>
      <c r="F812" s="558"/>
      <c r="G812" s="588"/>
      <c r="H812" s="546"/>
      <c r="I812" s="563" t="s">
        <v>25</v>
      </c>
      <c r="J812" s="563" t="s">
        <v>25</v>
      </c>
      <c r="K812" s="564" t="s">
        <v>25</v>
      </c>
      <c r="L812" s="564" t="s">
        <v>25</v>
      </c>
      <c r="M812" s="638"/>
      <c r="N812" s="638"/>
      <c r="O812" s="664"/>
      <c r="P812" s="564" t="s">
        <v>25</v>
      </c>
      <c r="Q812" s="564" t="s">
        <v>25</v>
      </c>
      <c r="R812" s="638"/>
      <c r="S812" s="640"/>
      <c r="T812" s="591"/>
      <c r="U812" s="680"/>
      <c r="V812" s="564" t="s">
        <v>2899</v>
      </c>
      <c r="W812" s="564" t="s">
        <v>25</v>
      </c>
      <c r="X812" s="589"/>
      <c r="Y812" s="592"/>
      <c r="Z812" s="592"/>
      <c r="AA812" s="568"/>
      <c r="AB812" s="592"/>
      <c r="AC812" s="592"/>
      <c r="AD812" s="592"/>
      <c r="AE812" s="590"/>
      <c r="AF812" s="570" t="s">
        <v>2899</v>
      </c>
      <c r="AG812" s="570" t="s">
        <v>25</v>
      </c>
      <c r="AH812" s="571" t="s">
        <v>25</v>
      </c>
      <c r="AI812" s="593"/>
      <c r="AJ812" s="593"/>
    </row>
    <row r="813" spans="1:36" s="376" customFormat="1" ht="40.5" outlineLevel="1" x14ac:dyDescent="0.25">
      <c r="A813" s="467">
        <v>68</v>
      </c>
      <c r="B813" s="636" t="s">
        <v>45</v>
      </c>
      <c r="C813" s="773" t="s">
        <v>2902</v>
      </c>
      <c r="D813" s="587">
        <v>86</v>
      </c>
      <c r="E813" s="560">
        <v>388</v>
      </c>
      <c r="F813" s="574"/>
      <c r="G813" s="618">
        <v>21.3</v>
      </c>
      <c r="H813" s="579">
        <v>0</v>
      </c>
      <c r="I813" s="581"/>
      <c r="J813" s="581"/>
      <c r="K813" s="571">
        <v>11809000</v>
      </c>
      <c r="L813" s="571">
        <v>0</v>
      </c>
      <c r="M813" s="574"/>
      <c r="N813" s="574"/>
      <c r="O813" s="599">
        <v>0</v>
      </c>
      <c r="P813" s="571"/>
      <c r="Q813" s="571">
        <v>0</v>
      </c>
      <c r="R813" s="673"/>
      <c r="S813" s="674"/>
      <c r="T813" s="600">
        <v>64.27000000000001</v>
      </c>
      <c r="U813" s="682"/>
      <c r="V813" s="571"/>
      <c r="W813" s="571">
        <v>141726000</v>
      </c>
      <c r="X813" s="589"/>
      <c r="Y813" s="592"/>
      <c r="Z813" s="592"/>
      <c r="AA813" s="568"/>
      <c r="AB813" s="592"/>
      <c r="AC813" s="568"/>
      <c r="AD813" s="584"/>
      <c r="AE813" s="581">
        <f>SUBTOTAL(9,AE814:AE835)</f>
        <v>0</v>
      </c>
      <c r="AF813" s="585"/>
      <c r="AG813" s="585">
        <v>0</v>
      </c>
      <c r="AH813" s="571">
        <v>153535000</v>
      </c>
      <c r="AI813" s="574"/>
      <c r="AJ813" s="578"/>
    </row>
    <row r="814" spans="1:36" s="376" customFormat="1" ht="121.5" outlineLevel="2" x14ac:dyDescent="0.3">
      <c r="A814" s="447">
        <v>68</v>
      </c>
      <c r="B814" s="637" t="s">
        <v>249</v>
      </c>
      <c r="C814" s="637"/>
      <c r="D814" s="587"/>
      <c r="E814" s="560"/>
      <c r="F814" s="558" t="s">
        <v>2483</v>
      </c>
      <c r="G814" s="588">
        <v>21.3</v>
      </c>
      <c r="H814" s="546" t="s">
        <v>2899</v>
      </c>
      <c r="I814" s="563">
        <v>554400</v>
      </c>
      <c r="J814" s="563">
        <v>0</v>
      </c>
      <c r="K814" s="564">
        <v>11809000</v>
      </c>
      <c r="L814" s="564">
        <v>0</v>
      </c>
      <c r="M814" s="558"/>
      <c r="N814" s="558"/>
      <c r="O814" s="590"/>
      <c r="P814" s="564" t="s">
        <v>25</v>
      </c>
      <c r="Q814" s="564" t="s">
        <v>25</v>
      </c>
      <c r="R814" s="638" t="s">
        <v>1820</v>
      </c>
      <c r="S814" s="639" t="s">
        <v>53</v>
      </c>
      <c r="T814" s="591">
        <v>15.2</v>
      </c>
      <c r="U814" s="680">
        <v>35.5</v>
      </c>
      <c r="V814" s="564">
        <v>5307665</v>
      </c>
      <c r="W814" s="564">
        <v>80677000</v>
      </c>
      <c r="X814" s="589" t="s">
        <v>63</v>
      </c>
      <c r="Y814" s="592" t="s">
        <v>55</v>
      </c>
      <c r="Z814" s="592" t="s">
        <v>56</v>
      </c>
      <c r="AA814" s="568" t="s">
        <v>57</v>
      </c>
      <c r="AB814" s="592" t="s">
        <v>63</v>
      </c>
      <c r="AC814" s="568" t="s">
        <v>430</v>
      </c>
      <c r="AD814" s="568"/>
      <c r="AE814" s="563"/>
      <c r="AF814" s="570" t="s">
        <v>2899</v>
      </c>
      <c r="AG814" s="570"/>
      <c r="AH814" s="571" t="s">
        <v>25</v>
      </c>
      <c r="AI814" s="558" t="s">
        <v>1716</v>
      </c>
      <c r="AJ814" s="586" t="s">
        <v>2771</v>
      </c>
    </row>
    <row r="815" spans="1:36" s="376" customFormat="1" ht="121.5" outlineLevel="2" x14ac:dyDescent="0.3">
      <c r="A815" s="447">
        <v>68</v>
      </c>
      <c r="B815" s="637" t="s">
        <v>702</v>
      </c>
      <c r="C815" s="637"/>
      <c r="D815" s="587"/>
      <c r="E815" s="560"/>
      <c r="F815" s="558"/>
      <c r="G815" s="588"/>
      <c r="H815" s="546"/>
      <c r="I815" s="563" t="s">
        <v>25</v>
      </c>
      <c r="J815" s="563" t="s">
        <v>25</v>
      </c>
      <c r="K815" s="564" t="s">
        <v>25</v>
      </c>
      <c r="L815" s="564" t="s">
        <v>25</v>
      </c>
      <c r="M815" s="558"/>
      <c r="N815" s="558"/>
      <c r="O815" s="590"/>
      <c r="P815" s="564" t="s">
        <v>25</v>
      </c>
      <c r="Q815" s="564" t="s">
        <v>25</v>
      </c>
      <c r="R815" s="638" t="s">
        <v>1844</v>
      </c>
      <c r="S815" s="639" t="s">
        <v>53</v>
      </c>
      <c r="T815" s="591"/>
      <c r="U815" s="685">
        <v>16.5</v>
      </c>
      <c r="V815" s="564">
        <v>770070</v>
      </c>
      <c r="W815" s="564">
        <v>0</v>
      </c>
      <c r="X815" s="589"/>
      <c r="Y815" s="592" t="s">
        <v>55</v>
      </c>
      <c r="Z815" s="592" t="s">
        <v>141</v>
      </c>
      <c r="AA815" s="568"/>
      <c r="AB815" s="592" t="s">
        <v>66</v>
      </c>
      <c r="AC815" s="592"/>
      <c r="AD815" s="592"/>
      <c r="AE815" s="590"/>
      <c r="AF815" s="570" t="s">
        <v>2899</v>
      </c>
      <c r="AG815" s="570" t="s">
        <v>25</v>
      </c>
      <c r="AH815" s="571" t="s">
        <v>25</v>
      </c>
      <c r="AI815" s="558" t="s">
        <v>587</v>
      </c>
      <c r="AJ815" s="558" t="s">
        <v>2450</v>
      </c>
    </row>
    <row r="816" spans="1:36" s="376" customFormat="1" ht="101.25" outlineLevel="2" x14ac:dyDescent="0.3">
      <c r="A816" s="447">
        <v>68</v>
      </c>
      <c r="B816" s="558" t="s">
        <v>316</v>
      </c>
      <c r="C816" s="558"/>
      <c r="D816" s="587"/>
      <c r="E816" s="560"/>
      <c r="F816" s="558"/>
      <c r="G816" s="588"/>
      <c r="H816" s="546"/>
      <c r="I816" s="563" t="s">
        <v>25</v>
      </c>
      <c r="J816" s="563" t="s">
        <v>25</v>
      </c>
      <c r="K816" s="564" t="s">
        <v>25</v>
      </c>
      <c r="L816" s="564" t="s">
        <v>25</v>
      </c>
      <c r="M816" s="558"/>
      <c r="N816" s="558"/>
      <c r="O816" s="590"/>
      <c r="P816" s="564" t="s">
        <v>25</v>
      </c>
      <c r="Q816" s="564" t="s">
        <v>25</v>
      </c>
      <c r="R816" s="638" t="s">
        <v>1844</v>
      </c>
      <c r="S816" s="639" t="s">
        <v>53</v>
      </c>
      <c r="T816" s="591"/>
      <c r="U816" s="685">
        <v>7.8</v>
      </c>
      <c r="V816" s="564">
        <v>770070</v>
      </c>
      <c r="W816" s="564">
        <v>0</v>
      </c>
      <c r="X816" s="589"/>
      <c r="Y816" s="592" t="s">
        <v>55</v>
      </c>
      <c r="Z816" s="592" t="s">
        <v>141</v>
      </c>
      <c r="AA816" s="568"/>
      <c r="AB816" s="592" t="s">
        <v>66</v>
      </c>
      <c r="AC816" s="592"/>
      <c r="AD816" s="592"/>
      <c r="AE816" s="590"/>
      <c r="AF816" s="570" t="s">
        <v>2899</v>
      </c>
      <c r="AG816" s="570" t="s">
        <v>25</v>
      </c>
      <c r="AH816" s="571" t="s">
        <v>25</v>
      </c>
      <c r="AI816" s="593" t="s">
        <v>250</v>
      </c>
      <c r="AJ816" s="558" t="s">
        <v>2800</v>
      </c>
    </row>
    <row r="817" spans="1:36" s="376" customFormat="1" ht="81" outlineLevel="2" x14ac:dyDescent="0.3">
      <c r="A817" s="447">
        <v>68</v>
      </c>
      <c r="B817" s="558"/>
      <c r="C817" s="558"/>
      <c r="D817" s="587"/>
      <c r="E817" s="560"/>
      <c r="F817" s="558"/>
      <c r="G817" s="588"/>
      <c r="H817" s="546"/>
      <c r="I817" s="563" t="s">
        <v>25</v>
      </c>
      <c r="J817" s="563" t="s">
        <v>25</v>
      </c>
      <c r="K817" s="564" t="s">
        <v>25</v>
      </c>
      <c r="L817" s="564" t="s">
        <v>25</v>
      </c>
      <c r="M817" s="558"/>
      <c r="N817" s="558"/>
      <c r="O817" s="590"/>
      <c r="P817" s="564" t="s">
        <v>25</v>
      </c>
      <c r="Q817" s="564" t="s">
        <v>25</v>
      </c>
      <c r="R817" s="638" t="s">
        <v>1874</v>
      </c>
      <c r="S817" s="639" t="s">
        <v>53</v>
      </c>
      <c r="T817" s="591">
        <v>3.6</v>
      </c>
      <c r="U817" s="680"/>
      <c r="V817" s="564">
        <v>9347414</v>
      </c>
      <c r="W817" s="564">
        <v>33651000</v>
      </c>
      <c r="X817" s="589"/>
      <c r="Y817" s="592" t="s">
        <v>63</v>
      </c>
      <c r="Z817" s="592" t="s">
        <v>56</v>
      </c>
      <c r="AA817" s="568" t="s">
        <v>57</v>
      </c>
      <c r="AB817" s="592" t="s">
        <v>63</v>
      </c>
      <c r="AC817" s="592"/>
      <c r="AD817" s="592"/>
      <c r="AE817" s="590"/>
      <c r="AF817" s="570" t="s">
        <v>2899</v>
      </c>
      <c r="AG817" s="570" t="s">
        <v>25</v>
      </c>
      <c r="AH817" s="571" t="s">
        <v>25</v>
      </c>
      <c r="AI817" s="593"/>
      <c r="AJ817" s="558"/>
    </row>
    <row r="818" spans="1:36" s="376" customFormat="1" ht="40.5" outlineLevel="2" x14ac:dyDescent="0.3">
      <c r="A818" s="447">
        <v>68</v>
      </c>
      <c r="B818" s="558"/>
      <c r="C818" s="558"/>
      <c r="D818" s="587"/>
      <c r="E818" s="560"/>
      <c r="F818" s="558"/>
      <c r="G818" s="588"/>
      <c r="H818" s="546"/>
      <c r="I818" s="563" t="s">
        <v>25</v>
      </c>
      <c r="J818" s="563" t="s">
        <v>25</v>
      </c>
      <c r="K818" s="564" t="s">
        <v>25</v>
      </c>
      <c r="L818" s="564" t="s">
        <v>25</v>
      </c>
      <c r="M818" s="558"/>
      <c r="N818" s="558"/>
      <c r="O818" s="590"/>
      <c r="P818" s="564" t="s">
        <v>25</v>
      </c>
      <c r="Q818" s="564" t="s">
        <v>25</v>
      </c>
      <c r="R818" s="566" t="s">
        <v>1767</v>
      </c>
      <c r="S818" s="639" t="s">
        <v>53</v>
      </c>
      <c r="T818" s="591">
        <v>2.16</v>
      </c>
      <c r="U818" s="680"/>
      <c r="V818" s="564">
        <v>0</v>
      </c>
      <c r="W818" s="564">
        <v>0</v>
      </c>
      <c r="X818" s="589"/>
      <c r="Y818" s="592"/>
      <c r="Z818" s="592"/>
      <c r="AA818" s="568"/>
      <c r="AB818" s="592"/>
      <c r="AC818" s="592"/>
      <c r="AD818" s="592"/>
      <c r="AE818" s="590"/>
      <c r="AF818" s="570" t="s">
        <v>2899</v>
      </c>
      <c r="AG818" s="570" t="s">
        <v>25</v>
      </c>
      <c r="AH818" s="571" t="s">
        <v>25</v>
      </c>
      <c r="AI818" s="593"/>
      <c r="AJ818" s="593"/>
    </row>
    <row r="819" spans="1:36" s="376" customFormat="1" ht="60.75" outlineLevel="2" x14ac:dyDescent="0.3">
      <c r="A819" s="447">
        <v>68</v>
      </c>
      <c r="B819" s="558"/>
      <c r="C819" s="558"/>
      <c r="D819" s="587"/>
      <c r="E819" s="560"/>
      <c r="F819" s="558"/>
      <c r="G819" s="588"/>
      <c r="H819" s="546"/>
      <c r="I819" s="563" t="s">
        <v>25</v>
      </c>
      <c r="J819" s="563" t="s">
        <v>25</v>
      </c>
      <c r="K819" s="564" t="s">
        <v>25</v>
      </c>
      <c r="L819" s="564" t="s">
        <v>25</v>
      </c>
      <c r="M819" s="558"/>
      <c r="N819" s="558"/>
      <c r="O819" s="590"/>
      <c r="P819" s="564" t="s">
        <v>25</v>
      </c>
      <c r="Q819" s="564" t="s">
        <v>25</v>
      </c>
      <c r="R819" s="638" t="s">
        <v>1875</v>
      </c>
      <c r="S819" s="639" t="s">
        <v>53</v>
      </c>
      <c r="T819" s="591">
        <v>4.96</v>
      </c>
      <c r="U819" s="589"/>
      <c r="V819" s="564">
        <v>496651</v>
      </c>
      <c r="W819" s="564">
        <v>2463000</v>
      </c>
      <c r="X819" s="589"/>
      <c r="Y819" s="592"/>
      <c r="Z819" s="592"/>
      <c r="AA819" s="568"/>
      <c r="AB819" s="592"/>
      <c r="AC819" s="592"/>
      <c r="AD819" s="592"/>
      <c r="AE819" s="590"/>
      <c r="AF819" s="570" t="s">
        <v>2899</v>
      </c>
      <c r="AG819" s="570" t="s">
        <v>25</v>
      </c>
      <c r="AH819" s="571" t="s">
        <v>25</v>
      </c>
      <c r="AI819" s="593"/>
      <c r="AJ819" s="593"/>
    </row>
    <row r="820" spans="1:36" s="376" customFormat="1" ht="60.75" outlineLevel="2" x14ac:dyDescent="0.3">
      <c r="A820" s="447">
        <v>68</v>
      </c>
      <c r="B820" s="636"/>
      <c r="C820" s="636"/>
      <c r="D820" s="587"/>
      <c r="E820" s="560"/>
      <c r="F820" s="558"/>
      <c r="G820" s="588"/>
      <c r="H820" s="546"/>
      <c r="I820" s="563" t="s">
        <v>25</v>
      </c>
      <c r="J820" s="563" t="s">
        <v>25</v>
      </c>
      <c r="K820" s="564" t="s">
        <v>25</v>
      </c>
      <c r="L820" s="564" t="s">
        <v>25</v>
      </c>
      <c r="M820" s="558"/>
      <c r="N820" s="558"/>
      <c r="O820" s="590"/>
      <c r="P820" s="564" t="s">
        <v>25</v>
      </c>
      <c r="Q820" s="564" t="s">
        <v>25</v>
      </c>
      <c r="R820" s="638" t="s">
        <v>1876</v>
      </c>
      <c r="S820" s="639" t="s">
        <v>53</v>
      </c>
      <c r="T820" s="591">
        <v>15.9</v>
      </c>
      <c r="U820" s="589"/>
      <c r="V820" s="564">
        <v>0</v>
      </c>
      <c r="W820" s="564">
        <v>0</v>
      </c>
      <c r="X820" s="589"/>
      <c r="Y820" s="592"/>
      <c r="Z820" s="592"/>
      <c r="AA820" s="568"/>
      <c r="AB820" s="592"/>
      <c r="AC820" s="592"/>
      <c r="AD820" s="592"/>
      <c r="AE820" s="590"/>
      <c r="AF820" s="570" t="s">
        <v>2899</v>
      </c>
      <c r="AG820" s="570" t="s">
        <v>25</v>
      </c>
      <c r="AH820" s="571" t="s">
        <v>25</v>
      </c>
      <c r="AI820" s="593"/>
      <c r="AJ820" s="593"/>
    </row>
    <row r="821" spans="1:36" s="376" customFormat="1" ht="40.5" outlineLevel="2" x14ac:dyDescent="0.3">
      <c r="A821" s="447">
        <v>68</v>
      </c>
      <c r="B821" s="637"/>
      <c r="C821" s="637"/>
      <c r="D821" s="587"/>
      <c r="E821" s="560"/>
      <c r="F821" s="558"/>
      <c r="G821" s="588"/>
      <c r="H821" s="546"/>
      <c r="I821" s="563" t="s">
        <v>25</v>
      </c>
      <c r="J821" s="563" t="s">
        <v>25</v>
      </c>
      <c r="K821" s="564" t="s">
        <v>25</v>
      </c>
      <c r="L821" s="564" t="s">
        <v>25</v>
      </c>
      <c r="M821" s="638"/>
      <c r="N821" s="638"/>
      <c r="O821" s="590"/>
      <c r="P821" s="564" t="s">
        <v>25</v>
      </c>
      <c r="Q821" s="564" t="s">
        <v>25</v>
      </c>
      <c r="R821" s="638" t="s">
        <v>1877</v>
      </c>
      <c r="S821" s="639" t="s">
        <v>78</v>
      </c>
      <c r="T821" s="591">
        <v>1.27</v>
      </c>
      <c r="U821" s="680"/>
      <c r="V821" s="564">
        <v>0</v>
      </c>
      <c r="W821" s="564">
        <v>0</v>
      </c>
      <c r="X821" s="589"/>
      <c r="Y821" s="592"/>
      <c r="Z821" s="592"/>
      <c r="AA821" s="568"/>
      <c r="AB821" s="592"/>
      <c r="AC821" s="592"/>
      <c r="AD821" s="592"/>
      <c r="AE821" s="590"/>
      <c r="AF821" s="570" t="s">
        <v>2899</v>
      </c>
      <c r="AG821" s="570" t="s">
        <v>25</v>
      </c>
      <c r="AH821" s="571" t="s">
        <v>25</v>
      </c>
      <c r="AI821" s="593"/>
      <c r="AJ821" s="593"/>
    </row>
    <row r="822" spans="1:36" s="376" customFormat="1" ht="81" outlineLevel="2" x14ac:dyDescent="0.3">
      <c r="A822" s="447">
        <v>68</v>
      </c>
      <c r="B822" s="637"/>
      <c r="C822" s="637"/>
      <c r="D822" s="587"/>
      <c r="E822" s="560"/>
      <c r="F822" s="558"/>
      <c r="G822" s="588"/>
      <c r="H822" s="546"/>
      <c r="I822" s="563" t="s">
        <v>25</v>
      </c>
      <c r="J822" s="563" t="s">
        <v>25</v>
      </c>
      <c r="K822" s="564" t="s">
        <v>25</v>
      </c>
      <c r="L822" s="564" t="s">
        <v>25</v>
      </c>
      <c r="M822" s="638"/>
      <c r="N822" s="638"/>
      <c r="O822" s="590"/>
      <c r="P822" s="564" t="s">
        <v>25</v>
      </c>
      <c r="Q822" s="564" t="s">
        <v>25</v>
      </c>
      <c r="R822" s="638" t="s">
        <v>1878</v>
      </c>
      <c r="S822" s="639" t="s">
        <v>78</v>
      </c>
      <c r="T822" s="591">
        <v>3.38</v>
      </c>
      <c r="U822" s="680"/>
      <c r="V822" s="564">
        <v>3878211</v>
      </c>
      <c r="W822" s="564">
        <v>13108000</v>
      </c>
      <c r="X822" s="589"/>
      <c r="Y822" s="592"/>
      <c r="Z822" s="592"/>
      <c r="AA822" s="568"/>
      <c r="AB822" s="592"/>
      <c r="AC822" s="592"/>
      <c r="AD822" s="592"/>
      <c r="AE822" s="590"/>
      <c r="AF822" s="570" t="s">
        <v>2899</v>
      </c>
      <c r="AG822" s="570" t="s">
        <v>25</v>
      </c>
      <c r="AH822" s="571" t="s">
        <v>25</v>
      </c>
      <c r="AI822" s="593"/>
      <c r="AJ822" s="593"/>
    </row>
    <row r="823" spans="1:36" s="376" customFormat="1" ht="81" outlineLevel="2" x14ac:dyDescent="0.3">
      <c r="A823" s="447">
        <v>68</v>
      </c>
      <c r="B823" s="558"/>
      <c r="C823" s="558"/>
      <c r="D823" s="587"/>
      <c r="E823" s="560"/>
      <c r="F823" s="558"/>
      <c r="G823" s="588"/>
      <c r="H823" s="546"/>
      <c r="I823" s="563" t="s">
        <v>25</v>
      </c>
      <c r="J823" s="563" t="s">
        <v>25</v>
      </c>
      <c r="K823" s="564" t="s">
        <v>25</v>
      </c>
      <c r="L823" s="564" t="s">
        <v>25</v>
      </c>
      <c r="M823" s="638"/>
      <c r="N823" s="638"/>
      <c r="O823" s="590"/>
      <c r="P823" s="564" t="s">
        <v>25</v>
      </c>
      <c r="Q823" s="564" t="s">
        <v>25</v>
      </c>
      <c r="R823" s="566" t="s">
        <v>1879</v>
      </c>
      <c r="S823" s="639" t="s">
        <v>53</v>
      </c>
      <c r="T823" s="591">
        <v>10.75</v>
      </c>
      <c r="U823" s="680"/>
      <c r="V823" s="564">
        <v>703764</v>
      </c>
      <c r="W823" s="564">
        <v>7565000</v>
      </c>
      <c r="X823" s="589"/>
      <c r="Y823" s="592"/>
      <c r="Z823" s="592"/>
      <c r="AA823" s="568"/>
      <c r="AB823" s="592"/>
      <c r="AC823" s="592"/>
      <c r="AD823" s="592"/>
      <c r="AE823" s="590"/>
      <c r="AF823" s="570" t="s">
        <v>2899</v>
      </c>
      <c r="AG823" s="570" t="s">
        <v>25</v>
      </c>
      <c r="AH823" s="571" t="s">
        <v>25</v>
      </c>
      <c r="AI823" s="593"/>
      <c r="AJ823" s="593"/>
    </row>
    <row r="824" spans="1:36" s="376" customFormat="1" ht="40.5" outlineLevel="2" x14ac:dyDescent="0.3">
      <c r="A824" s="447">
        <v>68</v>
      </c>
      <c r="B824" s="558"/>
      <c r="C824" s="558"/>
      <c r="D824" s="587"/>
      <c r="E824" s="560"/>
      <c r="F824" s="558"/>
      <c r="G824" s="588"/>
      <c r="H824" s="546"/>
      <c r="I824" s="563" t="s">
        <v>25</v>
      </c>
      <c r="J824" s="563" t="s">
        <v>25</v>
      </c>
      <c r="K824" s="564" t="s">
        <v>25</v>
      </c>
      <c r="L824" s="564" t="s">
        <v>25</v>
      </c>
      <c r="M824" s="638"/>
      <c r="N824" s="638"/>
      <c r="O824" s="590"/>
      <c r="P824" s="564" t="s">
        <v>25</v>
      </c>
      <c r="Q824" s="564" t="s">
        <v>25</v>
      </c>
      <c r="R824" s="566" t="s">
        <v>1799</v>
      </c>
      <c r="S824" s="639" t="s">
        <v>53</v>
      </c>
      <c r="T824" s="591">
        <v>2.72</v>
      </c>
      <c r="U824" s="680"/>
      <c r="V824" s="564">
        <v>275180</v>
      </c>
      <c r="W824" s="564">
        <v>748000</v>
      </c>
      <c r="X824" s="589"/>
      <c r="Y824" s="592"/>
      <c r="Z824" s="592"/>
      <c r="AA824" s="568"/>
      <c r="AB824" s="592"/>
      <c r="AC824" s="592"/>
      <c r="AD824" s="592"/>
      <c r="AE824" s="590"/>
      <c r="AF824" s="570" t="s">
        <v>2899</v>
      </c>
      <c r="AG824" s="570" t="s">
        <v>25</v>
      </c>
      <c r="AH824" s="571" t="s">
        <v>25</v>
      </c>
      <c r="AI824" s="593"/>
      <c r="AJ824" s="593"/>
    </row>
    <row r="825" spans="1:36" s="376" customFormat="1" ht="40.5" outlineLevel="2" x14ac:dyDescent="0.3">
      <c r="A825" s="447">
        <v>68</v>
      </c>
      <c r="B825" s="558"/>
      <c r="C825" s="558"/>
      <c r="D825" s="587"/>
      <c r="E825" s="560"/>
      <c r="F825" s="558"/>
      <c r="G825" s="588"/>
      <c r="H825" s="546"/>
      <c r="I825" s="563" t="s">
        <v>25</v>
      </c>
      <c r="J825" s="563" t="s">
        <v>25</v>
      </c>
      <c r="K825" s="564" t="s">
        <v>25</v>
      </c>
      <c r="L825" s="564" t="s">
        <v>25</v>
      </c>
      <c r="M825" s="558"/>
      <c r="N825" s="558"/>
      <c r="O825" s="590"/>
      <c r="P825" s="564" t="s">
        <v>25</v>
      </c>
      <c r="Q825" s="564" t="s">
        <v>25</v>
      </c>
      <c r="R825" s="566" t="s">
        <v>1880</v>
      </c>
      <c r="S825" s="639" t="s">
        <v>78</v>
      </c>
      <c r="T825" s="591">
        <v>7.0000000000000007E-2</v>
      </c>
      <c r="U825" s="589"/>
      <c r="V825" s="564">
        <v>0</v>
      </c>
      <c r="W825" s="564">
        <v>0</v>
      </c>
      <c r="X825" s="589"/>
      <c r="Y825" s="592"/>
      <c r="Z825" s="592"/>
      <c r="AA825" s="568"/>
      <c r="AB825" s="592"/>
      <c r="AC825" s="592"/>
      <c r="AD825" s="592"/>
      <c r="AE825" s="590"/>
      <c r="AF825" s="570" t="s">
        <v>2899</v>
      </c>
      <c r="AG825" s="570" t="s">
        <v>25</v>
      </c>
      <c r="AH825" s="571" t="s">
        <v>25</v>
      </c>
      <c r="AI825" s="593"/>
      <c r="AJ825" s="593"/>
    </row>
    <row r="826" spans="1:36" s="376" customFormat="1" ht="60.75" outlineLevel="2" x14ac:dyDescent="0.3">
      <c r="A826" s="447">
        <v>68</v>
      </c>
      <c r="B826" s="636"/>
      <c r="C826" s="636"/>
      <c r="D826" s="587"/>
      <c r="E826" s="560"/>
      <c r="F826" s="558"/>
      <c r="G826" s="588"/>
      <c r="H826" s="546"/>
      <c r="I826" s="563" t="s">
        <v>25</v>
      </c>
      <c r="J826" s="563" t="s">
        <v>25</v>
      </c>
      <c r="K826" s="564" t="s">
        <v>25</v>
      </c>
      <c r="L826" s="564" t="s">
        <v>25</v>
      </c>
      <c r="M826" s="558"/>
      <c r="N826" s="558"/>
      <c r="O826" s="590"/>
      <c r="P826" s="564" t="s">
        <v>25</v>
      </c>
      <c r="Q826" s="564" t="s">
        <v>25</v>
      </c>
      <c r="R826" s="566" t="s">
        <v>1847</v>
      </c>
      <c r="S826" s="639" t="s">
        <v>53</v>
      </c>
      <c r="T826" s="591">
        <v>1.38</v>
      </c>
      <c r="U826" s="589"/>
      <c r="V826" s="564">
        <v>1854271</v>
      </c>
      <c r="W826" s="564">
        <v>2559000</v>
      </c>
      <c r="X826" s="589"/>
      <c r="Y826" s="592"/>
      <c r="Z826" s="592"/>
      <c r="AA826" s="568"/>
      <c r="AB826" s="592"/>
      <c r="AC826" s="592"/>
      <c r="AD826" s="592"/>
      <c r="AE826" s="590"/>
      <c r="AF826" s="570" t="s">
        <v>2899</v>
      </c>
      <c r="AG826" s="570" t="s">
        <v>25</v>
      </c>
      <c r="AH826" s="571" t="s">
        <v>25</v>
      </c>
      <c r="AI826" s="593"/>
      <c r="AJ826" s="593"/>
    </row>
    <row r="827" spans="1:36" s="376" customFormat="1" ht="40.5" outlineLevel="2" x14ac:dyDescent="0.3">
      <c r="A827" s="447">
        <v>68</v>
      </c>
      <c r="B827" s="637"/>
      <c r="C827" s="637"/>
      <c r="D827" s="587"/>
      <c r="E827" s="560"/>
      <c r="F827" s="558"/>
      <c r="G827" s="588"/>
      <c r="H827" s="546"/>
      <c r="I827" s="563" t="s">
        <v>25</v>
      </c>
      <c r="J827" s="563" t="s">
        <v>25</v>
      </c>
      <c r="K827" s="564" t="s">
        <v>25</v>
      </c>
      <c r="L827" s="564" t="s">
        <v>25</v>
      </c>
      <c r="M827" s="558"/>
      <c r="N827" s="558"/>
      <c r="O827" s="590"/>
      <c r="P827" s="564" t="s">
        <v>25</v>
      </c>
      <c r="Q827" s="564" t="s">
        <v>25</v>
      </c>
      <c r="R827" s="566" t="s">
        <v>1881</v>
      </c>
      <c r="S827" s="639" t="s">
        <v>53</v>
      </c>
      <c r="T827" s="591">
        <v>2.04</v>
      </c>
      <c r="U827" s="589"/>
      <c r="V827" s="564">
        <v>286855</v>
      </c>
      <c r="W827" s="564">
        <v>585000</v>
      </c>
      <c r="X827" s="589"/>
      <c r="Y827" s="592"/>
      <c r="Z827" s="592"/>
      <c r="AA827" s="568"/>
      <c r="AB827" s="592"/>
      <c r="AC827" s="592"/>
      <c r="AD827" s="592"/>
      <c r="AE827" s="590"/>
      <c r="AF827" s="570" t="s">
        <v>2899</v>
      </c>
      <c r="AG827" s="570" t="s">
        <v>25</v>
      </c>
      <c r="AH827" s="571" t="s">
        <v>25</v>
      </c>
      <c r="AI827" s="593"/>
      <c r="AJ827" s="593"/>
    </row>
    <row r="828" spans="1:36" s="376" customFormat="1" ht="60.75" outlineLevel="2" x14ac:dyDescent="0.3">
      <c r="A828" s="447">
        <v>68</v>
      </c>
      <c r="B828" s="636"/>
      <c r="C828" s="636"/>
      <c r="D828" s="587"/>
      <c r="E828" s="560"/>
      <c r="F828" s="558"/>
      <c r="G828" s="588"/>
      <c r="H828" s="546"/>
      <c r="I828" s="563" t="s">
        <v>25</v>
      </c>
      <c r="J828" s="563" t="s">
        <v>25</v>
      </c>
      <c r="K828" s="564" t="s">
        <v>25</v>
      </c>
      <c r="L828" s="564" t="s">
        <v>25</v>
      </c>
      <c r="M828" s="558"/>
      <c r="N828" s="558"/>
      <c r="O828" s="590"/>
      <c r="P828" s="564" t="s">
        <v>25</v>
      </c>
      <c r="Q828" s="564" t="s">
        <v>25</v>
      </c>
      <c r="R828" s="566" t="s">
        <v>1882</v>
      </c>
      <c r="S828" s="639" t="s">
        <v>53</v>
      </c>
      <c r="T828" s="591">
        <v>0.42</v>
      </c>
      <c r="U828" s="589"/>
      <c r="V828" s="564">
        <v>348773</v>
      </c>
      <c r="W828" s="564">
        <v>146000</v>
      </c>
      <c r="X828" s="589"/>
      <c r="Y828" s="592"/>
      <c r="Z828" s="592"/>
      <c r="AA828" s="568"/>
      <c r="AB828" s="592"/>
      <c r="AC828" s="592"/>
      <c r="AD828" s="592"/>
      <c r="AE828" s="590"/>
      <c r="AF828" s="570" t="s">
        <v>2899</v>
      </c>
      <c r="AG828" s="570" t="s">
        <v>25</v>
      </c>
      <c r="AH828" s="571" t="s">
        <v>25</v>
      </c>
      <c r="AI828" s="593"/>
      <c r="AJ828" s="593"/>
    </row>
    <row r="829" spans="1:36" s="376" customFormat="1" ht="60.75" outlineLevel="2" x14ac:dyDescent="0.3">
      <c r="A829" s="447">
        <v>68</v>
      </c>
      <c r="B829" s="558"/>
      <c r="C829" s="558"/>
      <c r="D829" s="587"/>
      <c r="E829" s="560"/>
      <c r="F829" s="558"/>
      <c r="G829" s="588"/>
      <c r="H829" s="546"/>
      <c r="I829" s="563" t="s">
        <v>25</v>
      </c>
      <c r="J829" s="563" t="s">
        <v>25</v>
      </c>
      <c r="K829" s="564" t="s">
        <v>25</v>
      </c>
      <c r="L829" s="564" t="s">
        <v>25</v>
      </c>
      <c r="M829" s="558"/>
      <c r="N829" s="558"/>
      <c r="O829" s="590"/>
      <c r="P829" s="564" t="s">
        <v>25</v>
      </c>
      <c r="Q829" s="564" t="s">
        <v>25</v>
      </c>
      <c r="R829" s="566" t="s">
        <v>1883</v>
      </c>
      <c r="S829" s="639" t="s">
        <v>53</v>
      </c>
      <c r="T829" s="591">
        <v>0.42</v>
      </c>
      <c r="U829" s="589"/>
      <c r="V829" s="564">
        <v>532230</v>
      </c>
      <c r="W829" s="564">
        <v>224000</v>
      </c>
      <c r="X829" s="589"/>
      <c r="Y829" s="592"/>
      <c r="Z829" s="592"/>
      <c r="AA829" s="568"/>
      <c r="AB829" s="592"/>
      <c r="AC829" s="592"/>
      <c r="AD829" s="592"/>
      <c r="AE829" s="590"/>
      <c r="AF829" s="570" t="s">
        <v>2899</v>
      </c>
      <c r="AG829" s="570" t="s">
        <v>25</v>
      </c>
      <c r="AH829" s="571" t="s">
        <v>25</v>
      </c>
      <c r="AI829" s="593"/>
      <c r="AJ829" s="593"/>
    </row>
    <row r="830" spans="1:36" s="376" customFormat="1" ht="20.25" outlineLevel="2" x14ac:dyDescent="0.3">
      <c r="A830" s="447">
        <v>68</v>
      </c>
      <c r="B830" s="558"/>
      <c r="C830" s="558"/>
      <c r="D830" s="587"/>
      <c r="E830" s="560"/>
      <c r="F830" s="558"/>
      <c r="G830" s="588"/>
      <c r="H830" s="546"/>
      <c r="I830" s="563" t="s">
        <v>25</v>
      </c>
      <c r="J830" s="563" t="s">
        <v>25</v>
      </c>
      <c r="K830" s="564" t="s">
        <v>25</v>
      </c>
      <c r="L830" s="564" t="s">
        <v>25</v>
      </c>
      <c r="M830" s="558"/>
      <c r="N830" s="558"/>
      <c r="O830" s="590"/>
      <c r="P830" s="564" t="s">
        <v>25</v>
      </c>
      <c r="Q830" s="564" t="s">
        <v>25</v>
      </c>
      <c r="R830" s="593"/>
      <c r="S830" s="593"/>
      <c r="T830" s="617"/>
      <c r="U830" s="589"/>
      <c r="V830" s="564" t="s">
        <v>2899</v>
      </c>
      <c r="W830" s="564" t="s">
        <v>25</v>
      </c>
      <c r="X830" s="589"/>
      <c r="Y830" s="592"/>
      <c r="Z830" s="592"/>
      <c r="AA830" s="568"/>
      <c r="AB830" s="592"/>
      <c r="AC830" s="592"/>
      <c r="AD830" s="592"/>
      <c r="AE830" s="590"/>
      <c r="AF830" s="570" t="s">
        <v>2899</v>
      </c>
      <c r="AG830" s="570" t="s">
        <v>25</v>
      </c>
      <c r="AH830" s="571" t="s">
        <v>25</v>
      </c>
      <c r="AI830" s="593"/>
      <c r="AJ830" s="593"/>
    </row>
    <row r="831" spans="1:36" s="376" customFormat="1" ht="20.25" outlineLevel="2" x14ac:dyDescent="0.3">
      <c r="A831" s="447">
        <v>68</v>
      </c>
      <c r="B831" s="636"/>
      <c r="C831" s="636"/>
      <c r="D831" s="587"/>
      <c r="E831" s="615"/>
      <c r="F831" s="558"/>
      <c r="G831" s="588"/>
      <c r="H831" s="546"/>
      <c r="I831" s="563" t="s">
        <v>25</v>
      </c>
      <c r="J831" s="563" t="s">
        <v>25</v>
      </c>
      <c r="K831" s="564" t="s">
        <v>25</v>
      </c>
      <c r="L831" s="564" t="s">
        <v>25</v>
      </c>
      <c r="M831" s="558"/>
      <c r="N831" s="558"/>
      <c r="O831" s="590"/>
      <c r="P831" s="564" t="s">
        <v>25</v>
      </c>
      <c r="Q831" s="564" t="s">
        <v>25</v>
      </c>
      <c r="R831" s="593"/>
      <c r="S831" s="593"/>
      <c r="T831" s="617"/>
      <c r="U831" s="589"/>
      <c r="V831" s="564" t="s">
        <v>2899</v>
      </c>
      <c r="W831" s="564" t="s">
        <v>25</v>
      </c>
      <c r="X831" s="589"/>
      <c r="Y831" s="592"/>
      <c r="Z831" s="592"/>
      <c r="AA831" s="568"/>
      <c r="AB831" s="592"/>
      <c r="AC831" s="592"/>
      <c r="AD831" s="592"/>
      <c r="AE831" s="590"/>
      <c r="AF831" s="570" t="s">
        <v>2899</v>
      </c>
      <c r="AG831" s="570" t="s">
        <v>25</v>
      </c>
      <c r="AH831" s="571" t="s">
        <v>25</v>
      </c>
      <c r="AI831" s="593"/>
      <c r="AJ831" s="593"/>
    </row>
    <row r="832" spans="1:36" s="376" customFormat="1" ht="20.25" outlineLevel="2" x14ac:dyDescent="0.3">
      <c r="A832" s="447">
        <v>68</v>
      </c>
      <c r="B832" s="637"/>
      <c r="C832" s="637"/>
      <c r="D832" s="587"/>
      <c r="E832" s="560"/>
      <c r="F832" s="558"/>
      <c r="G832" s="604"/>
      <c r="H832" s="546"/>
      <c r="I832" s="563" t="s">
        <v>25</v>
      </c>
      <c r="J832" s="563" t="s">
        <v>25</v>
      </c>
      <c r="K832" s="564" t="s">
        <v>25</v>
      </c>
      <c r="L832" s="564" t="s">
        <v>25</v>
      </c>
      <c r="M832" s="593"/>
      <c r="N832" s="593"/>
      <c r="O832" s="616"/>
      <c r="P832" s="564" t="s">
        <v>25</v>
      </c>
      <c r="Q832" s="564" t="s">
        <v>25</v>
      </c>
      <c r="R832" s="593"/>
      <c r="S832" s="593"/>
      <c r="T832" s="617"/>
      <c r="U832" s="589"/>
      <c r="V832" s="564" t="s">
        <v>2899</v>
      </c>
      <c r="W832" s="564" t="s">
        <v>25</v>
      </c>
      <c r="X832" s="589"/>
      <c r="Y832" s="589"/>
      <c r="Z832" s="589"/>
      <c r="AA832" s="562"/>
      <c r="AB832" s="589"/>
      <c r="AC832" s="589"/>
      <c r="AD832" s="589"/>
      <c r="AE832" s="629"/>
      <c r="AF832" s="570" t="s">
        <v>2899</v>
      </c>
      <c r="AG832" s="570" t="s">
        <v>25</v>
      </c>
      <c r="AH832" s="571" t="s">
        <v>25</v>
      </c>
      <c r="AI832" s="593"/>
      <c r="AJ832" s="593"/>
    </row>
    <row r="833" spans="1:36" s="376" customFormat="1" ht="20.25" outlineLevel="2" x14ac:dyDescent="0.3">
      <c r="A833" s="447">
        <v>68</v>
      </c>
      <c r="B833" s="637"/>
      <c r="C833" s="637"/>
      <c r="D833" s="587"/>
      <c r="E833" s="560"/>
      <c r="F833" s="558"/>
      <c r="G833" s="588"/>
      <c r="H833" s="546"/>
      <c r="I833" s="563" t="s">
        <v>25</v>
      </c>
      <c r="J833" s="563" t="s">
        <v>25</v>
      </c>
      <c r="K833" s="564" t="s">
        <v>25</v>
      </c>
      <c r="L833" s="564" t="s">
        <v>25</v>
      </c>
      <c r="M833" s="558"/>
      <c r="N833" s="558"/>
      <c r="O833" s="590"/>
      <c r="P833" s="564" t="s">
        <v>25</v>
      </c>
      <c r="Q833" s="564" t="s">
        <v>25</v>
      </c>
      <c r="R833" s="638"/>
      <c r="S833" s="639"/>
      <c r="T833" s="591"/>
      <c r="U833" s="589"/>
      <c r="V833" s="564" t="s">
        <v>2899</v>
      </c>
      <c r="W833" s="564" t="s">
        <v>25</v>
      </c>
      <c r="X833" s="589"/>
      <c r="Y833" s="592"/>
      <c r="Z833" s="592"/>
      <c r="AA833" s="568"/>
      <c r="AB833" s="592"/>
      <c r="AC833" s="592"/>
      <c r="AD833" s="592"/>
      <c r="AE833" s="590"/>
      <c r="AF833" s="570" t="s">
        <v>2899</v>
      </c>
      <c r="AG833" s="570" t="s">
        <v>25</v>
      </c>
      <c r="AH833" s="571" t="s">
        <v>25</v>
      </c>
      <c r="AI833" s="593"/>
      <c r="AJ833" s="593"/>
    </row>
    <row r="834" spans="1:36" s="376" customFormat="1" ht="20.25" outlineLevel="2" x14ac:dyDescent="0.3">
      <c r="A834" s="447">
        <v>68</v>
      </c>
      <c r="B834" s="558"/>
      <c r="C834" s="558"/>
      <c r="D834" s="587"/>
      <c r="E834" s="560"/>
      <c r="F834" s="558"/>
      <c r="G834" s="588"/>
      <c r="H834" s="546"/>
      <c r="I834" s="563" t="s">
        <v>25</v>
      </c>
      <c r="J834" s="563" t="s">
        <v>25</v>
      </c>
      <c r="K834" s="564" t="s">
        <v>25</v>
      </c>
      <c r="L834" s="564" t="s">
        <v>25</v>
      </c>
      <c r="M834" s="558"/>
      <c r="N834" s="558"/>
      <c r="O834" s="590"/>
      <c r="P834" s="564" t="s">
        <v>25</v>
      </c>
      <c r="Q834" s="564" t="s">
        <v>25</v>
      </c>
      <c r="R834" s="566"/>
      <c r="S834" s="589"/>
      <c r="T834" s="591"/>
      <c r="U834" s="589"/>
      <c r="V834" s="564" t="s">
        <v>2899</v>
      </c>
      <c r="W834" s="564" t="s">
        <v>25</v>
      </c>
      <c r="X834" s="589"/>
      <c r="Y834" s="592"/>
      <c r="Z834" s="592"/>
      <c r="AA834" s="568"/>
      <c r="AB834" s="592"/>
      <c r="AC834" s="592"/>
      <c r="AD834" s="592"/>
      <c r="AE834" s="590"/>
      <c r="AF834" s="570" t="s">
        <v>2899</v>
      </c>
      <c r="AG834" s="570" t="s">
        <v>25</v>
      </c>
      <c r="AH834" s="571" t="s">
        <v>25</v>
      </c>
      <c r="AI834" s="593"/>
      <c r="AJ834" s="593"/>
    </row>
    <row r="835" spans="1:36" s="376" customFormat="1" ht="20.25" outlineLevel="2" x14ac:dyDescent="0.3">
      <c r="A835" s="447">
        <v>68</v>
      </c>
      <c r="B835" s="636"/>
      <c r="C835" s="636"/>
      <c r="D835" s="595"/>
      <c r="E835" s="577"/>
      <c r="F835" s="558"/>
      <c r="G835" s="588"/>
      <c r="H835" s="546"/>
      <c r="I835" s="563" t="s">
        <v>25</v>
      </c>
      <c r="J835" s="563" t="s">
        <v>25</v>
      </c>
      <c r="K835" s="564" t="s">
        <v>25</v>
      </c>
      <c r="L835" s="564" t="s">
        <v>25</v>
      </c>
      <c r="M835" s="558"/>
      <c r="N835" s="558"/>
      <c r="O835" s="590"/>
      <c r="P835" s="564" t="s">
        <v>25</v>
      </c>
      <c r="Q835" s="564" t="s">
        <v>25</v>
      </c>
      <c r="R835" s="566"/>
      <c r="S835" s="589"/>
      <c r="T835" s="591"/>
      <c r="U835" s="589"/>
      <c r="V835" s="564" t="s">
        <v>2899</v>
      </c>
      <c r="W835" s="564" t="s">
        <v>25</v>
      </c>
      <c r="X835" s="589"/>
      <c r="Y835" s="592"/>
      <c r="Z835" s="592"/>
      <c r="AA835" s="568"/>
      <c r="AB835" s="592"/>
      <c r="AC835" s="592"/>
      <c r="AD835" s="592"/>
      <c r="AE835" s="590"/>
      <c r="AF835" s="570" t="s">
        <v>2899</v>
      </c>
      <c r="AG835" s="570" t="s">
        <v>25</v>
      </c>
      <c r="AH835" s="571" t="s">
        <v>25</v>
      </c>
      <c r="AI835" s="593"/>
      <c r="AJ835" s="593"/>
    </row>
    <row r="836" spans="1:36" s="376" customFormat="1" ht="40.5" outlineLevel="1" x14ac:dyDescent="0.25">
      <c r="A836" s="467">
        <v>69</v>
      </c>
      <c r="B836" s="636" t="s">
        <v>251</v>
      </c>
      <c r="C836" s="773" t="s">
        <v>2902</v>
      </c>
      <c r="D836" s="587">
        <v>86</v>
      </c>
      <c r="E836" s="560">
        <v>87</v>
      </c>
      <c r="F836" s="574"/>
      <c r="G836" s="618">
        <v>51.599999999999994</v>
      </c>
      <c r="H836" s="579">
        <v>22.4</v>
      </c>
      <c r="I836" s="581"/>
      <c r="J836" s="581"/>
      <c r="K836" s="571">
        <v>28608000</v>
      </c>
      <c r="L836" s="571">
        <v>37256000</v>
      </c>
      <c r="M836" s="574"/>
      <c r="N836" s="574"/>
      <c r="O836" s="599">
        <v>22</v>
      </c>
      <c r="P836" s="571"/>
      <c r="Q836" s="571">
        <v>8810000</v>
      </c>
      <c r="R836" s="678"/>
      <c r="S836" s="674"/>
      <c r="T836" s="600">
        <v>0</v>
      </c>
      <c r="U836" s="597"/>
      <c r="V836" s="571"/>
      <c r="W836" s="571">
        <v>0</v>
      </c>
      <c r="X836" s="589"/>
      <c r="Y836" s="592"/>
      <c r="Z836" s="592"/>
      <c r="AA836" s="568"/>
      <c r="AB836" s="592"/>
      <c r="AC836" s="592"/>
      <c r="AD836" s="634"/>
      <c r="AE836" s="599">
        <f>SUBTOTAL(9,AE837:AE851)</f>
        <v>0</v>
      </c>
      <c r="AF836" s="585"/>
      <c r="AG836" s="585">
        <v>0</v>
      </c>
      <c r="AH836" s="571">
        <v>74674000</v>
      </c>
      <c r="AI836" s="574"/>
      <c r="AJ836" s="578"/>
    </row>
    <row r="837" spans="1:36" s="376" customFormat="1" ht="121.5" outlineLevel="2" x14ac:dyDescent="0.3">
      <c r="A837" s="447">
        <v>69</v>
      </c>
      <c r="B837" s="637" t="s">
        <v>252</v>
      </c>
      <c r="C837" s="637"/>
      <c r="D837" s="587"/>
      <c r="E837" s="560"/>
      <c r="F837" s="558" t="s">
        <v>2059</v>
      </c>
      <c r="G837" s="588">
        <v>17.399999999999999</v>
      </c>
      <c r="H837" s="546" t="s">
        <v>2899</v>
      </c>
      <c r="I837" s="563">
        <v>554400</v>
      </c>
      <c r="J837" s="563">
        <v>0</v>
      </c>
      <c r="K837" s="564">
        <v>9647000</v>
      </c>
      <c r="L837" s="564">
        <v>0</v>
      </c>
      <c r="M837" s="558" t="s">
        <v>72</v>
      </c>
      <c r="N837" s="558"/>
      <c r="O837" s="590">
        <v>1</v>
      </c>
      <c r="P837" s="564">
        <v>132000</v>
      </c>
      <c r="Q837" s="564">
        <v>132000</v>
      </c>
      <c r="R837" s="640"/>
      <c r="S837" s="639"/>
      <c r="T837" s="591"/>
      <c r="U837" s="589"/>
      <c r="V837" s="564" t="s">
        <v>2899</v>
      </c>
      <c r="W837" s="564" t="s">
        <v>25</v>
      </c>
      <c r="X837" s="589"/>
      <c r="Y837" s="592"/>
      <c r="Z837" s="592"/>
      <c r="AA837" s="568"/>
      <c r="AB837" s="592"/>
      <c r="AC837" s="592"/>
      <c r="AD837" s="606"/>
      <c r="AE837" s="590"/>
      <c r="AF837" s="570" t="s">
        <v>2899</v>
      </c>
      <c r="AG837" s="570"/>
      <c r="AH837" s="571" t="s">
        <v>25</v>
      </c>
      <c r="AI837" s="558" t="s">
        <v>253</v>
      </c>
      <c r="AJ837" s="586" t="s">
        <v>2771</v>
      </c>
    </row>
    <row r="838" spans="1:36" s="376" customFormat="1" ht="121.5" outlineLevel="2" x14ac:dyDescent="0.3">
      <c r="A838" s="447">
        <v>69</v>
      </c>
      <c r="B838" s="637" t="s">
        <v>589</v>
      </c>
      <c r="C838" s="637"/>
      <c r="D838" s="587"/>
      <c r="E838" s="560"/>
      <c r="F838" s="558" t="s">
        <v>2060</v>
      </c>
      <c r="G838" s="588">
        <v>5</v>
      </c>
      <c r="H838" s="546" t="s">
        <v>2899</v>
      </c>
      <c r="I838" s="563">
        <v>554400</v>
      </c>
      <c r="J838" s="563">
        <v>0</v>
      </c>
      <c r="K838" s="564">
        <v>2772000</v>
      </c>
      <c r="L838" s="564">
        <v>0</v>
      </c>
      <c r="M838" s="558" t="s">
        <v>73</v>
      </c>
      <c r="N838" s="558"/>
      <c r="O838" s="590">
        <v>3</v>
      </c>
      <c r="P838" s="564">
        <v>76000</v>
      </c>
      <c r="Q838" s="564">
        <v>228000</v>
      </c>
      <c r="R838" s="566"/>
      <c r="S838" s="589"/>
      <c r="T838" s="591"/>
      <c r="U838" s="589"/>
      <c r="V838" s="564" t="s">
        <v>2899</v>
      </c>
      <c r="W838" s="564" t="s">
        <v>25</v>
      </c>
      <c r="X838" s="589"/>
      <c r="Y838" s="592"/>
      <c r="Z838" s="592"/>
      <c r="AA838" s="568"/>
      <c r="AB838" s="592"/>
      <c r="AC838" s="592"/>
      <c r="AD838" s="592"/>
      <c r="AE838" s="590"/>
      <c r="AF838" s="570" t="s">
        <v>2899</v>
      </c>
      <c r="AG838" s="570" t="s">
        <v>25</v>
      </c>
      <c r="AH838" s="571" t="s">
        <v>25</v>
      </c>
      <c r="AI838" s="558" t="s">
        <v>588</v>
      </c>
      <c r="AJ838" s="605" t="s">
        <v>2448</v>
      </c>
    </row>
    <row r="839" spans="1:36" s="376" customFormat="1" ht="121.5" outlineLevel="2" x14ac:dyDescent="0.3">
      <c r="A839" s="447">
        <v>69</v>
      </c>
      <c r="B839" s="574" t="s">
        <v>254</v>
      </c>
      <c r="C839" s="574"/>
      <c r="D839" s="587"/>
      <c r="E839" s="560"/>
      <c r="F839" s="558" t="s">
        <v>2064</v>
      </c>
      <c r="G839" s="588">
        <v>6.8</v>
      </c>
      <c r="H839" s="546" t="s">
        <v>2899</v>
      </c>
      <c r="I839" s="563">
        <v>554400</v>
      </c>
      <c r="J839" s="563">
        <v>0</v>
      </c>
      <c r="K839" s="564">
        <v>3770000</v>
      </c>
      <c r="L839" s="564">
        <v>0</v>
      </c>
      <c r="M839" s="558" t="s">
        <v>75</v>
      </c>
      <c r="N839" s="558"/>
      <c r="O839" s="590">
        <v>4</v>
      </c>
      <c r="P839" s="564">
        <v>34000</v>
      </c>
      <c r="Q839" s="564">
        <v>136000</v>
      </c>
      <c r="R839" s="566"/>
      <c r="S839" s="589"/>
      <c r="T839" s="591"/>
      <c r="U839" s="589"/>
      <c r="V839" s="564" t="s">
        <v>2899</v>
      </c>
      <c r="W839" s="564" t="s">
        <v>25</v>
      </c>
      <c r="X839" s="589"/>
      <c r="Y839" s="592"/>
      <c r="Z839" s="592"/>
      <c r="AA839" s="568"/>
      <c r="AB839" s="592"/>
      <c r="AC839" s="592"/>
      <c r="AD839" s="592"/>
      <c r="AE839" s="590"/>
      <c r="AF839" s="570" t="s">
        <v>2899</v>
      </c>
      <c r="AG839" s="570" t="s">
        <v>25</v>
      </c>
      <c r="AH839" s="571" t="s">
        <v>25</v>
      </c>
      <c r="AI839" s="608" t="s">
        <v>111</v>
      </c>
      <c r="AJ839" s="558" t="s">
        <v>2449</v>
      </c>
    </row>
    <row r="840" spans="1:36" s="376" customFormat="1" ht="121.5" outlineLevel="2" x14ac:dyDescent="0.3">
      <c r="A840" s="447">
        <v>69</v>
      </c>
      <c r="B840" s="637" t="s">
        <v>255</v>
      </c>
      <c r="C840" s="637"/>
      <c r="D840" s="587"/>
      <c r="E840" s="560"/>
      <c r="F840" s="558" t="s">
        <v>2217</v>
      </c>
      <c r="G840" s="588">
        <v>22.4</v>
      </c>
      <c r="H840" s="546">
        <v>22.4</v>
      </c>
      <c r="I840" s="563">
        <v>554400</v>
      </c>
      <c r="J840" s="563">
        <v>1663200</v>
      </c>
      <c r="K840" s="564">
        <v>12419000</v>
      </c>
      <c r="L840" s="564">
        <v>37256000</v>
      </c>
      <c r="M840" s="558" t="s">
        <v>2101</v>
      </c>
      <c r="N840" s="558"/>
      <c r="O840" s="590">
        <v>1</v>
      </c>
      <c r="P840" s="564">
        <v>308000</v>
      </c>
      <c r="Q840" s="564">
        <v>308000</v>
      </c>
      <c r="R840" s="566"/>
      <c r="S840" s="589"/>
      <c r="T840" s="591"/>
      <c r="U840" s="589"/>
      <c r="V840" s="564" t="s">
        <v>2899</v>
      </c>
      <c r="W840" s="564" t="s">
        <v>25</v>
      </c>
      <c r="X840" s="589"/>
      <c r="Y840" s="592"/>
      <c r="Z840" s="592"/>
      <c r="AA840" s="568"/>
      <c r="AB840" s="592"/>
      <c r="AC840" s="592"/>
      <c r="AD840" s="592"/>
      <c r="AE840" s="590"/>
      <c r="AF840" s="570" t="s">
        <v>2899</v>
      </c>
      <c r="AG840" s="570" t="s">
        <v>25</v>
      </c>
      <c r="AH840" s="571" t="s">
        <v>25</v>
      </c>
      <c r="AI840" s="558" t="s">
        <v>591</v>
      </c>
      <c r="AJ840" s="575"/>
    </row>
    <row r="841" spans="1:36" s="376" customFormat="1" ht="81" outlineLevel="2" x14ac:dyDescent="0.3">
      <c r="A841" s="447">
        <v>69</v>
      </c>
      <c r="B841" s="637" t="s">
        <v>703</v>
      </c>
      <c r="C841" s="637"/>
      <c r="D841" s="587"/>
      <c r="E841" s="560"/>
      <c r="F841" s="558"/>
      <c r="G841" s="588"/>
      <c r="H841" s="546"/>
      <c r="I841" s="563" t="s">
        <v>25</v>
      </c>
      <c r="J841" s="563" t="s">
        <v>25</v>
      </c>
      <c r="K841" s="564" t="s">
        <v>25</v>
      </c>
      <c r="L841" s="564" t="s">
        <v>25</v>
      </c>
      <c r="M841" s="558" t="s">
        <v>257</v>
      </c>
      <c r="N841" s="558"/>
      <c r="O841" s="590">
        <v>2</v>
      </c>
      <c r="P841" s="564">
        <v>2870000</v>
      </c>
      <c r="Q841" s="564">
        <v>5740000</v>
      </c>
      <c r="R841" s="640"/>
      <c r="S841" s="639"/>
      <c r="T841" s="591"/>
      <c r="U841" s="589"/>
      <c r="V841" s="564" t="s">
        <v>2899</v>
      </c>
      <c r="W841" s="564" t="s">
        <v>25</v>
      </c>
      <c r="X841" s="589"/>
      <c r="Y841" s="592"/>
      <c r="Z841" s="592"/>
      <c r="AA841" s="568"/>
      <c r="AB841" s="592"/>
      <c r="AC841" s="592"/>
      <c r="AD841" s="592"/>
      <c r="AE841" s="590"/>
      <c r="AF841" s="570" t="s">
        <v>2899</v>
      </c>
      <c r="AG841" s="570" t="s">
        <v>25</v>
      </c>
      <c r="AH841" s="571" t="s">
        <v>25</v>
      </c>
      <c r="AI841" s="558" t="s">
        <v>2216</v>
      </c>
      <c r="AJ841" s="558"/>
    </row>
    <row r="842" spans="1:36" s="376" customFormat="1" ht="20.25" outlineLevel="2" x14ac:dyDescent="0.3">
      <c r="A842" s="447">
        <v>69</v>
      </c>
      <c r="B842" s="637"/>
      <c r="C842" s="637"/>
      <c r="D842" s="587"/>
      <c r="E842" s="560"/>
      <c r="F842" s="558"/>
      <c r="G842" s="588"/>
      <c r="H842" s="546"/>
      <c r="I842" s="563" t="s">
        <v>25</v>
      </c>
      <c r="J842" s="563" t="s">
        <v>25</v>
      </c>
      <c r="K842" s="564" t="s">
        <v>25</v>
      </c>
      <c r="L842" s="564" t="s">
        <v>25</v>
      </c>
      <c r="M842" s="558" t="s">
        <v>258</v>
      </c>
      <c r="N842" s="558"/>
      <c r="O842" s="590">
        <v>1</v>
      </c>
      <c r="P842" s="564">
        <v>1630000</v>
      </c>
      <c r="Q842" s="564">
        <v>1630000</v>
      </c>
      <c r="R842" s="566"/>
      <c r="S842" s="589"/>
      <c r="T842" s="591"/>
      <c r="U842" s="589"/>
      <c r="V842" s="564" t="s">
        <v>2899</v>
      </c>
      <c r="W842" s="564" t="s">
        <v>25</v>
      </c>
      <c r="X842" s="589"/>
      <c r="Y842" s="592"/>
      <c r="Z842" s="592"/>
      <c r="AA842" s="568"/>
      <c r="AB842" s="592"/>
      <c r="AC842" s="592"/>
      <c r="AD842" s="592"/>
      <c r="AE842" s="590"/>
      <c r="AF842" s="570" t="s">
        <v>2899</v>
      </c>
      <c r="AG842" s="570" t="s">
        <v>25</v>
      </c>
      <c r="AH842" s="571" t="s">
        <v>25</v>
      </c>
      <c r="AI842" s="575"/>
      <c r="AJ842" s="593"/>
    </row>
    <row r="843" spans="1:36" s="376" customFormat="1" ht="40.5" outlineLevel="2" x14ac:dyDescent="0.3">
      <c r="A843" s="447">
        <v>69</v>
      </c>
      <c r="B843" s="558"/>
      <c r="C843" s="558"/>
      <c r="D843" s="587"/>
      <c r="E843" s="560"/>
      <c r="F843" s="558"/>
      <c r="G843" s="588"/>
      <c r="H843" s="546"/>
      <c r="I843" s="563" t="s">
        <v>25</v>
      </c>
      <c r="J843" s="563" t="s">
        <v>25</v>
      </c>
      <c r="K843" s="564" t="s">
        <v>25</v>
      </c>
      <c r="L843" s="564" t="s">
        <v>25</v>
      </c>
      <c r="M843" s="558" t="s">
        <v>757</v>
      </c>
      <c r="N843" s="558"/>
      <c r="O843" s="590">
        <v>1</v>
      </c>
      <c r="P843" s="564">
        <v>360000</v>
      </c>
      <c r="Q843" s="564">
        <v>360000</v>
      </c>
      <c r="R843" s="566"/>
      <c r="S843" s="589"/>
      <c r="T843" s="591"/>
      <c r="U843" s="589"/>
      <c r="V843" s="564" t="s">
        <v>2899</v>
      </c>
      <c r="W843" s="564" t="s">
        <v>25</v>
      </c>
      <c r="X843" s="589"/>
      <c r="Y843" s="592"/>
      <c r="Z843" s="592"/>
      <c r="AA843" s="568"/>
      <c r="AB843" s="592"/>
      <c r="AC843" s="592"/>
      <c r="AD843" s="592"/>
      <c r="AE843" s="590"/>
      <c r="AF843" s="570" t="s">
        <v>2899</v>
      </c>
      <c r="AG843" s="570" t="s">
        <v>25</v>
      </c>
      <c r="AH843" s="571" t="s">
        <v>25</v>
      </c>
      <c r="AI843" s="593"/>
      <c r="AJ843" s="593"/>
    </row>
    <row r="844" spans="1:36" s="376" customFormat="1" ht="40.5" outlineLevel="2" x14ac:dyDescent="0.3">
      <c r="A844" s="447">
        <v>69</v>
      </c>
      <c r="B844" s="636"/>
      <c r="C844" s="636"/>
      <c r="D844" s="587"/>
      <c r="E844" s="560"/>
      <c r="F844" s="558"/>
      <c r="G844" s="588"/>
      <c r="H844" s="546"/>
      <c r="I844" s="563" t="s">
        <v>25</v>
      </c>
      <c r="J844" s="563" t="s">
        <v>25</v>
      </c>
      <c r="K844" s="564" t="s">
        <v>25</v>
      </c>
      <c r="L844" s="564" t="s">
        <v>25</v>
      </c>
      <c r="M844" s="558" t="s">
        <v>758</v>
      </c>
      <c r="N844" s="558"/>
      <c r="O844" s="590">
        <v>1</v>
      </c>
      <c r="P844" s="564">
        <v>60000</v>
      </c>
      <c r="Q844" s="564">
        <v>60000</v>
      </c>
      <c r="R844" s="566"/>
      <c r="S844" s="589"/>
      <c r="T844" s="591"/>
      <c r="U844" s="589"/>
      <c r="V844" s="564" t="s">
        <v>2899</v>
      </c>
      <c r="W844" s="564" t="s">
        <v>25</v>
      </c>
      <c r="X844" s="589"/>
      <c r="Y844" s="592"/>
      <c r="Z844" s="592"/>
      <c r="AA844" s="568"/>
      <c r="AB844" s="592"/>
      <c r="AC844" s="592"/>
      <c r="AD844" s="592"/>
      <c r="AE844" s="590"/>
      <c r="AF844" s="570" t="s">
        <v>2899</v>
      </c>
      <c r="AG844" s="570" t="s">
        <v>25</v>
      </c>
      <c r="AH844" s="571" t="s">
        <v>25</v>
      </c>
      <c r="AI844" s="593"/>
      <c r="AJ844" s="593"/>
    </row>
    <row r="845" spans="1:36" s="376" customFormat="1" ht="60.75" outlineLevel="2" x14ac:dyDescent="0.3">
      <c r="A845" s="447">
        <v>69</v>
      </c>
      <c r="B845" s="637"/>
      <c r="C845" s="637"/>
      <c r="D845" s="587"/>
      <c r="E845" s="560"/>
      <c r="F845" s="558"/>
      <c r="G845" s="588"/>
      <c r="H845" s="546"/>
      <c r="I845" s="563" t="s">
        <v>25</v>
      </c>
      <c r="J845" s="563" t="s">
        <v>25</v>
      </c>
      <c r="K845" s="564" t="s">
        <v>25</v>
      </c>
      <c r="L845" s="564" t="s">
        <v>25</v>
      </c>
      <c r="M845" s="558" t="s">
        <v>429</v>
      </c>
      <c r="N845" s="558"/>
      <c r="O845" s="590">
        <v>6</v>
      </c>
      <c r="P845" s="564">
        <v>12000</v>
      </c>
      <c r="Q845" s="564">
        <v>72000</v>
      </c>
      <c r="R845" s="640"/>
      <c r="S845" s="639"/>
      <c r="T845" s="591"/>
      <c r="U845" s="589"/>
      <c r="V845" s="564" t="s">
        <v>2899</v>
      </c>
      <c r="W845" s="564" t="s">
        <v>25</v>
      </c>
      <c r="X845" s="589"/>
      <c r="Y845" s="592"/>
      <c r="Z845" s="592"/>
      <c r="AA845" s="568"/>
      <c r="AB845" s="592"/>
      <c r="AC845" s="592"/>
      <c r="AD845" s="592"/>
      <c r="AE845" s="590"/>
      <c r="AF845" s="570" t="s">
        <v>2899</v>
      </c>
      <c r="AG845" s="570" t="s">
        <v>25</v>
      </c>
      <c r="AH845" s="571" t="s">
        <v>25</v>
      </c>
      <c r="AI845" s="593"/>
      <c r="AJ845" s="593"/>
    </row>
    <row r="846" spans="1:36" s="376" customFormat="1" ht="40.5" outlineLevel="2" x14ac:dyDescent="0.3">
      <c r="A846" s="447">
        <v>69</v>
      </c>
      <c r="B846" s="637"/>
      <c r="C846" s="637"/>
      <c r="D846" s="587"/>
      <c r="E846" s="615"/>
      <c r="F846" s="558"/>
      <c r="G846" s="588"/>
      <c r="H846" s="546"/>
      <c r="I846" s="563" t="s">
        <v>25</v>
      </c>
      <c r="J846" s="563" t="s">
        <v>25</v>
      </c>
      <c r="K846" s="564" t="s">
        <v>25</v>
      </c>
      <c r="L846" s="564" t="s">
        <v>25</v>
      </c>
      <c r="M846" s="558" t="s">
        <v>759</v>
      </c>
      <c r="N846" s="558"/>
      <c r="O846" s="590">
        <v>2</v>
      </c>
      <c r="P846" s="564">
        <v>72000</v>
      </c>
      <c r="Q846" s="564">
        <v>144000</v>
      </c>
      <c r="R846" s="566"/>
      <c r="S846" s="589"/>
      <c r="T846" s="591"/>
      <c r="U846" s="589"/>
      <c r="V846" s="564" t="s">
        <v>2899</v>
      </c>
      <c r="W846" s="564" t="s">
        <v>25</v>
      </c>
      <c r="X846" s="589"/>
      <c r="Y846" s="592"/>
      <c r="Z846" s="592"/>
      <c r="AA846" s="568"/>
      <c r="AB846" s="592"/>
      <c r="AC846" s="592"/>
      <c r="AD846" s="592"/>
      <c r="AE846" s="590"/>
      <c r="AF846" s="570" t="s">
        <v>2899</v>
      </c>
      <c r="AG846" s="570" t="s">
        <v>25</v>
      </c>
      <c r="AH846" s="571" t="s">
        <v>25</v>
      </c>
      <c r="AI846" s="593"/>
      <c r="AJ846" s="593"/>
    </row>
    <row r="847" spans="1:36" s="376" customFormat="1" ht="20.25" outlineLevel="2" x14ac:dyDescent="0.3">
      <c r="A847" s="447">
        <v>69</v>
      </c>
      <c r="B847" s="648"/>
      <c r="C847" s="648"/>
      <c r="D847" s="587"/>
      <c r="E847" s="560"/>
      <c r="F847" s="558"/>
      <c r="G847" s="604"/>
      <c r="H847" s="546"/>
      <c r="I847" s="563" t="s">
        <v>25</v>
      </c>
      <c r="J847" s="563" t="s">
        <v>25</v>
      </c>
      <c r="K847" s="564" t="s">
        <v>25</v>
      </c>
      <c r="L847" s="564" t="s">
        <v>25</v>
      </c>
      <c r="M847" s="593"/>
      <c r="N847" s="593"/>
      <c r="O847" s="616"/>
      <c r="P847" s="564" t="s">
        <v>25</v>
      </c>
      <c r="Q847" s="564" t="s">
        <v>25</v>
      </c>
      <c r="R847" s="593"/>
      <c r="S847" s="593"/>
      <c r="T847" s="617"/>
      <c r="U847" s="589"/>
      <c r="V847" s="564" t="s">
        <v>2899</v>
      </c>
      <c r="W847" s="564" t="s">
        <v>25</v>
      </c>
      <c r="X847" s="589"/>
      <c r="Y847" s="589"/>
      <c r="Z847" s="589"/>
      <c r="AA847" s="562"/>
      <c r="AB847" s="589"/>
      <c r="AC847" s="589"/>
      <c r="AD847" s="589"/>
      <c r="AE847" s="629"/>
      <c r="AF847" s="570" t="s">
        <v>2899</v>
      </c>
      <c r="AG847" s="570" t="s">
        <v>25</v>
      </c>
      <c r="AH847" s="571" t="s">
        <v>25</v>
      </c>
      <c r="AI847" s="593"/>
      <c r="AJ847" s="593"/>
    </row>
    <row r="848" spans="1:36" s="376" customFormat="1" ht="20.25" outlineLevel="2" x14ac:dyDescent="0.3">
      <c r="A848" s="447">
        <v>69</v>
      </c>
      <c r="B848" s="558"/>
      <c r="C848" s="558"/>
      <c r="D848" s="587"/>
      <c r="E848" s="560"/>
      <c r="F848" s="558"/>
      <c r="G848" s="588"/>
      <c r="H848" s="546"/>
      <c r="I848" s="563" t="s">
        <v>25</v>
      </c>
      <c r="J848" s="563" t="s">
        <v>25</v>
      </c>
      <c r="K848" s="564" t="s">
        <v>25</v>
      </c>
      <c r="L848" s="564" t="s">
        <v>25</v>
      </c>
      <c r="M848" s="646"/>
      <c r="N848" s="646"/>
      <c r="O848" s="658"/>
      <c r="P848" s="564" t="s">
        <v>25</v>
      </c>
      <c r="Q848" s="564" t="s">
        <v>25</v>
      </c>
      <c r="R848" s="646"/>
      <c r="S848" s="647"/>
      <c r="T848" s="591"/>
      <c r="U848" s="589"/>
      <c r="V848" s="564" t="s">
        <v>2899</v>
      </c>
      <c r="W848" s="564" t="s">
        <v>25</v>
      </c>
      <c r="X848" s="589"/>
      <c r="Y848" s="592"/>
      <c r="Z848" s="592"/>
      <c r="AA848" s="568"/>
      <c r="AB848" s="592"/>
      <c r="AC848" s="592"/>
      <c r="AD848" s="592"/>
      <c r="AE848" s="590"/>
      <c r="AF848" s="570" t="s">
        <v>2899</v>
      </c>
      <c r="AG848" s="570" t="s">
        <v>25</v>
      </c>
      <c r="AH848" s="571" t="s">
        <v>25</v>
      </c>
      <c r="AI848" s="593"/>
      <c r="AJ848" s="593"/>
    </row>
    <row r="849" spans="1:38" s="376" customFormat="1" ht="20.25" outlineLevel="2" x14ac:dyDescent="0.3">
      <c r="A849" s="447">
        <v>69</v>
      </c>
      <c r="B849" s="574"/>
      <c r="C849" s="574"/>
      <c r="D849" s="587"/>
      <c r="E849" s="560"/>
      <c r="F849" s="558"/>
      <c r="G849" s="588"/>
      <c r="H849" s="546"/>
      <c r="I849" s="563" t="s">
        <v>25</v>
      </c>
      <c r="J849" s="563" t="s">
        <v>25</v>
      </c>
      <c r="K849" s="564" t="s">
        <v>25</v>
      </c>
      <c r="L849" s="564" t="s">
        <v>25</v>
      </c>
      <c r="M849" s="646"/>
      <c r="N849" s="646"/>
      <c r="O849" s="658"/>
      <c r="P849" s="564" t="s">
        <v>25</v>
      </c>
      <c r="Q849" s="564" t="s">
        <v>25</v>
      </c>
      <c r="R849" s="646"/>
      <c r="S849" s="647"/>
      <c r="T849" s="591"/>
      <c r="U849" s="589"/>
      <c r="V849" s="564" t="s">
        <v>2899</v>
      </c>
      <c r="W849" s="564" t="s">
        <v>25</v>
      </c>
      <c r="X849" s="589"/>
      <c r="Y849" s="592"/>
      <c r="Z849" s="592"/>
      <c r="AA849" s="568"/>
      <c r="AB849" s="592"/>
      <c r="AC849" s="592"/>
      <c r="AD849" s="592"/>
      <c r="AE849" s="590"/>
      <c r="AF849" s="570" t="s">
        <v>2899</v>
      </c>
      <c r="AG849" s="570" t="s">
        <v>25</v>
      </c>
      <c r="AH849" s="571" t="s">
        <v>25</v>
      </c>
      <c r="AI849" s="593"/>
      <c r="AJ849" s="593"/>
    </row>
    <row r="850" spans="1:38" s="376" customFormat="1" ht="20.25" outlineLevel="2" x14ac:dyDescent="0.3">
      <c r="A850" s="447">
        <v>69</v>
      </c>
      <c r="B850" s="558"/>
      <c r="C850" s="558"/>
      <c r="D850" s="587"/>
      <c r="E850" s="560"/>
      <c r="F850" s="558"/>
      <c r="G850" s="588"/>
      <c r="H850" s="546"/>
      <c r="I850" s="563" t="s">
        <v>25</v>
      </c>
      <c r="J850" s="563" t="s">
        <v>25</v>
      </c>
      <c r="K850" s="564" t="s">
        <v>25</v>
      </c>
      <c r="L850" s="564" t="s">
        <v>25</v>
      </c>
      <c r="M850" s="646"/>
      <c r="N850" s="646"/>
      <c r="O850" s="658"/>
      <c r="P850" s="564" t="s">
        <v>25</v>
      </c>
      <c r="Q850" s="564" t="s">
        <v>25</v>
      </c>
      <c r="R850" s="646"/>
      <c r="S850" s="647"/>
      <c r="T850" s="591"/>
      <c r="U850" s="589"/>
      <c r="V850" s="564" t="s">
        <v>2899</v>
      </c>
      <c r="W850" s="564" t="s">
        <v>25</v>
      </c>
      <c r="X850" s="589"/>
      <c r="Y850" s="592"/>
      <c r="Z850" s="592"/>
      <c r="AA850" s="568"/>
      <c r="AB850" s="592"/>
      <c r="AC850" s="592"/>
      <c r="AD850" s="592"/>
      <c r="AE850" s="590"/>
      <c r="AF850" s="570" t="s">
        <v>2899</v>
      </c>
      <c r="AG850" s="570" t="s">
        <v>25</v>
      </c>
      <c r="AH850" s="571" t="s">
        <v>25</v>
      </c>
      <c r="AI850" s="593"/>
      <c r="AJ850" s="593"/>
    </row>
    <row r="851" spans="1:38" s="376" customFormat="1" ht="20.25" outlineLevel="2" x14ac:dyDescent="0.3">
      <c r="A851" s="447">
        <v>69</v>
      </c>
      <c r="B851" s="636"/>
      <c r="C851" s="636"/>
      <c r="D851" s="595"/>
      <c r="E851" s="577"/>
      <c r="F851" s="558"/>
      <c r="G851" s="588"/>
      <c r="H851" s="546"/>
      <c r="I851" s="563" t="s">
        <v>25</v>
      </c>
      <c r="J851" s="563" t="s">
        <v>25</v>
      </c>
      <c r="K851" s="564" t="s">
        <v>25</v>
      </c>
      <c r="L851" s="564" t="s">
        <v>25</v>
      </c>
      <c r="M851" s="646"/>
      <c r="N851" s="646"/>
      <c r="O851" s="658"/>
      <c r="P851" s="564" t="s">
        <v>25</v>
      </c>
      <c r="Q851" s="564" t="s">
        <v>25</v>
      </c>
      <c r="R851" s="646"/>
      <c r="S851" s="647"/>
      <c r="T851" s="591"/>
      <c r="U851" s="589"/>
      <c r="V851" s="564" t="s">
        <v>2899</v>
      </c>
      <c r="W851" s="564" t="s">
        <v>25</v>
      </c>
      <c r="X851" s="589"/>
      <c r="Y851" s="592"/>
      <c r="Z851" s="592"/>
      <c r="AA851" s="568"/>
      <c r="AB851" s="592"/>
      <c r="AC851" s="592"/>
      <c r="AD851" s="592"/>
      <c r="AE851" s="590"/>
      <c r="AF851" s="570" t="s">
        <v>2899</v>
      </c>
      <c r="AG851" s="570" t="s">
        <v>25</v>
      </c>
      <c r="AH851" s="571" t="s">
        <v>25</v>
      </c>
      <c r="AI851" s="558"/>
      <c r="AJ851" s="558"/>
    </row>
    <row r="852" spans="1:38" s="376" customFormat="1" ht="40.5" outlineLevel="1" x14ac:dyDescent="0.25">
      <c r="A852" s="467">
        <v>70</v>
      </c>
      <c r="B852" s="636" t="s">
        <v>259</v>
      </c>
      <c r="C852" s="773" t="s">
        <v>2902</v>
      </c>
      <c r="D852" s="587"/>
      <c r="E852" s="560"/>
      <c r="F852" s="574"/>
      <c r="G852" s="618">
        <v>0</v>
      </c>
      <c r="H852" s="579">
        <v>0</v>
      </c>
      <c r="I852" s="581"/>
      <c r="J852" s="581"/>
      <c r="K852" s="571">
        <v>0</v>
      </c>
      <c r="L852" s="571">
        <v>0</v>
      </c>
      <c r="M852" s="574"/>
      <c r="N852" s="574"/>
      <c r="O852" s="599">
        <v>0</v>
      </c>
      <c r="P852" s="571"/>
      <c r="Q852" s="571">
        <v>0</v>
      </c>
      <c r="R852" s="582"/>
      <c r="S852" s="597"/>
      <c r="T852" s="600">
        <v>12.8</v>
      </c>
      <c r="U852" s="597"/>
      <c r="V852" s="571"/>
      <c r="W852" s="571">
        <v>6693000</v>
      </c>
      <c r="X852" s="589"/>
      <c r="Y852" s="592"/>
      <c r="Z852" s="592"/>
      <c r="AA852" s="568"/>
      <c r="AB852" s="592"/>
      <c r="AC852" s="592"/>
      <c r="AD852" s="601"/>
      <c r="AE852" s="599">
        <f>SUBTOTAL(9,AE853:AE859)</f>
        <v>0</v>
      </c>
      <c r="AF852" s="585"/>
      <c r="AG852" s="585">
        <v>0</v>
      </c>
      <c r="AH852" s="571">
        <v>6693000</v>
      </c>
      <c r="AI852" s="574"/>
      <c r="AJ852" s="574"/>
      <c r="AL852" s="473"/>
    </row>
    <row r="853" spans="1:38" s="376" customFormat="1" ht="121.5" outlineLevel="2" x14ac:dyDescent="0.3">
      <c r="A853" s="447">
        <v>70</v>
      </c>
      <c r="B853" s="558" t="s">
        <v>260</v>
      </c>
      <c r="C853" s="558"/>
      <c r="D853" s="587"/>
      <c r="E853" s="560"/>
      <c r="F853" s="558"/>
      <c r="G853" s="588"/>
      <c r="H853" s="546"/>
      <c r="I853" s="563" t="s">
        <v>25</v>
      </c>
      <c r="J853" s="563" t="s">
        <v>25</v>
      </c>
      <c r="K853" s="564" t="s">
        <v>25</v>
      </c>
      <c r="L853" s="564" t="s">
        <v>25</v>
      </c>
      <c r="M853" s="558"/>
      <c r="N853" s="558"/>
      <c r="O853" s="590"/>
      <c r="P853" s="564" t="s">
        <v>25</v>
      </c>
      <c r="Q853" s="564" t="s">
        <v>25</v>
      </c>
      <c r="R853" s="566" t="s">
        <v>1884</v>
      </c>
      <c r="S853" s="589" t="s">
        <v>53</v>
      </c>
      <c r="T853" s="591">
        <v>6.8</v>
      </c>
      <c r="U853" s="589">
        <v>40.200000000000003</v>
      </c>
      <c r="V853" s="564">
        <v>984277</v>
      </c>
      <c r="W853" s="564">
        <v>6693000</v>
      </c>
      <c r="X853" s="589"/>
      <c r="Y853" s="592" t="s">
        <v>55</v>
      </c>
      <c r="Z853" s="592" t="s">
        <v>87</v>
      </c>
      <c r="AA853" s="568" t="s">
        <v>55</v>
      </c>
      <c r="AB853" s="592" t="s">
        <v>66</v>
      </c>
      <c r="AC853" s="592"/>
      <c r="AD853" s="592"/>
      <c r="AE853" s="590"/>
      <c r="AF853" s="570" t="s">
        <v>2899</v>
      </c>
      <c r="AG853" s="570" t="s">
        <v>25</v>
      </c>
      <c r="AH853" s="571" t="s">
        <v>25</v>
      </c>
      <c r="AI853" s="558" t="s">
        <v>261</v>
      </c>
      <c r="AJ853" s="558" t="s">
        <v>2450</v>
      </c>
      <c r="AL853" s="378" t="s">
        <v>592</v>
      </c>
    </row>
    <row r="854" spans="1:38" s="376" customFormat="1" ht="101.25" outlineLevel="2" x14ac:dyDescent="0.3">
      <c r="A854" s="447">
        <v>70</v>
      </c>
      <c r="B854" s="637" t="s">
        <v>704</v>
      </c>
      <c r="C854" s="637"/>
      <c r="D854" s="587"/>
      <c r="E854" s="560"/>
      <c r="F854" s="558"/>
      <c r="G854" s="588"/>
      <c r="H854" s="546"/>
      <c r="I854" s="563" t="s">
        <v>25</v>
      </c>
      <c r="J854" s="563" t="s">
        <v>25</v>
      </c>
      <c r="K854" s="564" t="s">
        <v>25</v>
      </c>
      <c r="L854" s="564" t="s">
        <v>25</v>
      </c>
      <c r="M854" s="558"/>
      <c r="N854" s="558"/>
      <c r="O854" s="590"/>
      <c r="P854" s="564" t="s">
        <v>25</v>
      </c>
      <c r="Q854" s="564" t="s">
        <v>25</v>
      </c>
      <c r="R854" s="586" t="s">
        <v>1748</v>
      </c>
      <c r="S854" s="589" t="s">
        <v>53</v>
      </c>
      <c r="T854" s="591">
        <v>6</v>
      </c>
      <c r="U854" s="589"/>
      <c r="V854" s="564">
        <v>0</v>
      </c>
      <c r="W854" s="564">
        <v>0</v>
      </c>
      <c r="X854" s="589"/>
      <c r="Y854" s="592"/>
      <c r="Z854" s="592"/>
      <c r="AA854" s="568"/>
      <c r="AB854" s="592"/>
      <c r="AC854" s="592"/>
      <c r="AD854" s="592"/>
      <c r="AE854" s="590"/>
      <c r="AF854" s="570" t="s">
        <v>2899</v>
      </c>
      <c r="AG854" s="570" t="s">
        <v>25</v>
      </c>
      <c r="AH854" s="571" t="s">
        <v>25</v>
      </c>
      <c r="AI854" s="575"/>
      <c r="AJ854" s="558" t="s">
        <v>2800</v>
      </c>
    </row>
    <row r="855" spans="1:38" s="376" customFormat="1" ht="40.5" outlineLevel="2" x14ac:dyDescent="0.3">
      <c r="A855" s="447">
        <v>70</v>
      </c>
      <c r="B855" s="558" t="s">
        <v>337</v>
      </c>
      <c r="C855" s="558"/>
      <c r="D855" s="587"/>
      <c r="E855" s="560"/>
      <c r="F855" s="558"/>
      <c r="G855" s="588"/>
      <c r="H855" s="546"/>
      <c r="I855" s="563" t="s">
        <v>25</v>
      </c>
      <c r="J855" s="563" t="s">
        <v>25</v>
      </c>
      <c r="K855" s="564" t="s">
        <v>25</v>
      </c>
      <c r="L855" s="564" t="s">
        <v>25</v>
      </c>
      <c r="M855" s="558"/>
      <c r="N855" s="558"/>
      <c r="O855" s="590"/>
      <c r="P855" s="564" t="s">
        <v>25</v>
      </c>
      <c r="Q855" s="564" t="s">
        <v>25</v>
      </c>
      <c r="R855" s="593"/>
      <c r="S855" s="593"/>
      <c r="T855" s="617"/>
      <c r="U855" s="589"/>
      <c r="V855" s="564" t="s">
        <v>2899</v>
      </c>
      <c r="W855" s="564" t="s">
        <v>25</v>
      </c>
      <c r="X855" s="589"/>
      <c r="Y855" s="589"/>
      <c r="Z855" s="589"/>
      <c r="AA855" s="562"/>
      <c r="AB855" s="589"/>
      <c r="AC855" s="589"/>
      <c r="AD855" s="589"/>
      <c r="AE855" s="629"/>
      <c r="AF855" s="570" t="s">
        <v>2899</v>
      </c>
      <c r="AG855" s="570" t="s">
        <v>25</v>
      </c>
      <c r="AH855" s="571" t="s">
        <v>25</v>
      </c>
      <c r="AI855" s="593"/>
      <c r="AJ855" s="593"/>
    </row>
    <row r="856" spans="1:38" s="376" customFormat="1" ht="20.25" outlineLevel="2" x14ac:dyDescent="0.3">
      <c r="A856" s="447">
        <v>70</v>
      </c>
      <c r="B856" s="558"/>
      <c r="C856" s="558"/>
      <c r="D856" s="587"/>
      <c r="E856" s="560"/>
      <c r="F856" s="558"/>
      <c r="G856" s="588"/>
      <c r="H856" s="546"/>
      <c r="I856" s="563" t="s">
        <v>25</v>
      </c>
      <c r="J856" s="563" t="s">
        <v>25</v>
      </c>
      <c r="K856" s="564" t="s">
        <v>25</v>
      </c>
      <c r="L856" s="564" t="s">
        <v>25</v>
      </c>
      <c r="M856" s="558"/>
      <c r="N856" s="558"/>
      <c r="O856" s="590"/>
      <c r="P856" s="564" t="s">
        <v>25</v>
      </c>
      <c r="Q856" s="564" t="s">
        <v>25</v>
      </c>
      <c r="R856" s="566"/>
      <c r="S856" s="589"/>
      <c r="T856" s="591"/>
      <c r="U856" s="589"/>
      <c r="V856" s="564" t="s">
        <v>2899</v>
      </c>
      <c r="W856" s="564" t="s">
        <v>25</v>
      </c>
      <c r="X856" s="589"/>
      <c r="Y856" s="592"/>
      <c r="Z856" s="592"/>
      <c r="AA856" s="568"/>
      <c r="AB856" s="592"/>
      <c r="AC856" s="592"/>
      <c r="AD856" s="592"/>
      <c r="AE856" s="590"/>
      <c r="AF856" s="570" t="s">
        <v>2899</v>
      </c>
      <c r="AG856" s="570" t="s">
        <v>25</v>
      </c>
      <c r="AH856" s="571" t="s">
        <v>25</v>
      </c>
      <c r="AI856" s="593"/>
      <c r="AJ856" s="593"/>
    </row>
    <row r="857" spans="1:38" s="376" customFormat="1" ht="20.25" outlineLevel="2" x14ac:dyDescent="0.3">
      <c r="A857" s="447">
        <v>70</v>
      </c>
      <c r="B857" s="648"/>
      <c r="C857" s="648"/>
      <c r="D857" s="587"/>
      <c r="E857" s="560"/>
      <c r="F857" s="558"/>
      <c r="G857" s="588"/>
      <c r="H857" s="546"/>
      <c r="I857" s="563" t="s">
        <v>25</v>
      </c>
      <c r="J857" s="563" t="s">
        <v>25</v>
      </c>
      <c r="K857" s="564" t="s">
        <v>25</v>
      </c>
      <c r="L857" s="564" t="s">
        <v>25</v>
      </c>
      <c r="M857" s="558"/>
      <c r="N857" s="558"/>
      <c r="O857" s="590"/>
      <c r="P857" s="564" t="s">
        <v>25</v>
      </c>
      <c r="Q857" s="564" t="s">
        <v>25</v>
      </c>
      <c r="R857" s="566"/>
      <c r="S857" s="589"/>
      <c r="T857" s="591"/>
      <c r="U857" s="589"/>
      <c r="V857" s="564" t="s">
        <v>2899</v>
      </c>
      <c r="W857" s="564" t="s">
        <v>25</v>
      </c>
      <c r="X857" s="589"/>
      <c r="Y857" s="592"/>
      <c r="Z857" s="592"/>
      <c r="AA857" s="568"/>
      <c r="AB857" s="592"/>
      <c r="AC857" s="592"/>
      <c r="AD857" s="592"/>
      <c r="AE857" s="590"/>
      <c r="AF857" s="570" t="s">
        <v>2899</v>
      </c>
      <c r="AG857" s="570" t="s">
        <v>25</v>
      </c>
      <c r="AH857" s="571" t="s">
        <v>25</v>
      </c>
      <c r="AI857" s="558"/>
      <c r="AJ857" s="558"/>
    </row>
    <row r="858" spans="1:38" s="376" customFormat="1" ht="20.25" outlineLevel="2" x14ac:dyDescent="0.3">
      <c r="A858" s="447">
        <v>70</v>
      </c>
      <c r="B858" s="648"/>
      <c r="C858" s="648"/>
      <c r="D858" s="587"/>
      <c r="E858" s="560"/>
      <c r="F858" s="558"/>
      <c r="G858" s="588"/>
      <c r="H858" s="546"/>
      <c r="I858" s="563" t="s">
        <v>25</v>
      </c>
      <c r="J858" s="563" t="s">
        <v>25</v>
      </c>
      <c r="K858" s="564" t="s">
        <v>25</v>
      </c>
      <c r="L858" s="564" t="s">
        <v>25</v>
      </c>
      <c r="M858" s="558"/>
      <c r="N858" s="558"/>
      <c r="O858" s="590"/>
      <c r="P858" s="564" t="s">
        <v>25</v>
      </c>
      <c r="Q858" s="564" t="s">
        <v>25</v>
      </c>
      <c r="R858" s="646"/>
      <c r="S858" s="662"/>
      <c r="T858" s="591"/>
      <c r="U858" s="589"/>
      <c r="V858" s="564" t="s">
        <v>2899</v>
      </c>
      <c r="W858" s="564" t="s">
        <v>25</v>
      </c>
      <c r="X858" s="589"/>
      <c r="Y858" s="592"/>
      <c r="Z858" s="592"/>
      <c r="AA858" s="568"/>
      <c r="AB858" s="592"/>
      <c r="AC858" s="592"/>
      <c r="AD858" s="592"/>
      <c r="AE858" s="590"/>
      <c r="AF858" s="570" t="s">
        <v>2899</v>
      </c>
      <c r="AG858" s="570" t="s">
        <v>25</v>
      </c>
      <c r="AH858" s="571" t="s">
        <v>25</v>
      </c>
      <c r="AI858" s="558"/>
      <c r="AJ858" s="558"/>
    </row>
    <row r="859" spans="1:38" s="376" customFormat="1" ht="20.25" outlineLevel="2" x14ac:dyDescent="0.3">
      <c r="A859" s="447">
        <v>70</v>
      </c>
      <c r="B859" s="574"/>
      <c r="C859" s="574"/>
      <c r="D859" s="595"/>
      <c r="E859" s="577"/>
      <c r="F859" s="558"/>
      <c r="G859" s="588"/>
      <c r="H859" s="546"/>
      <c r="I859" s="563" t="s">
        <v>25</v>
      </c>
      <c r="J859" s="563" t="s">
        <v>25</v>
      </c>
      <c r="K859" s="564" t="s">
        <v>25</v>
      </c>
      <c r="L859" s="564" t="s">
        <v>25</v>
      </c>
      <c r="M859" s="558"/>
      <c r="N859" s="558"/>
      <c r="O859" s="590"/>
      <c r="P859" s="564" t="s">
        <v>25</v>
      </c>
      <c r="Q859" s="564" t="s">
        <v>25</v>
      </c>
      <c r="R859" s="566"/>
      <c r="S859" s="589"/>
      <c r="T859" s="591"/>
      <c r="U859" s="589"/>
      <c r="V859" s="564" t="s">
        <v>2899</v>
      </c>
      <c r="W859" s="564" t="s">
        <v>25</v>
      </c>
      <c r="X859" s="589"/>
      <c r="Y859" s="592"/>
      <c r="Z859" s="592"/>
      <c r="AA859" s="568"/>
      <c r="AB859" s="592"/>
      <c r="AC859" s="592"/>
      <c r="AD859" s="592"/>
      <c r="AE859" s="590"/>
      <c r="AF859" s="570" t="s">
        <v>2899</v>
      </c>
      <c r="AG859" s="570" t="s">
        <v>25</v>
      </c>
      <c r="AH859" s="571" t="s">
        <v>25</v>
      </c>
      <c r="AI859" s="593"/>
      <c r="AJ859" s="593"/>
    </row>
    <row r="860" spans="1:38" s="376" customFormat="1" ht="60.75" outlineLevel="1" x14ac:dyDescent="0.25">
      <c r="A860" s="467">
        <v>71</v>
      </c>
      <c r="B860" s="574" t="s">
        <v>594</v>
      </c>
      <c r="C860" s="773" t="s">
        <v>2902</v>
      </c>
      <c r="D860" s="587"/>
      <c r="E860" s="560"/>
      <c r="F860" s="574"/>
      <c r="G860" s="618">
        <v>6.4</v>
      </c>
      <c r="H860" s="579">
        <v>0</v>
      </c>
      <c r="I860" s="581"/>
      <c r="J860" s="581"/>
      <c r="K860" s="571">
        <v>0</v>
      </c>
      <c r="L860" s="571">
        <v>0</v>
      </c>
      <c r="M860" s="574"/>
      <c r="N860" s="574"/>
      <c r="O860" s="599">
        <v>0</v>
      </c>
      <c r="P860" s="571"/>
      <c r="Q860" s="571">
        <v>0</v>
      </c>
      <c r="R860" s="582"/>
      <c r="S860" s="597"/>
      <c r="T860" s="600">
        <v>60.769999999999996</v>
      </c>
      <c r="U860" s="597"/>
      <c r="V860" s="571"/>
      <c r="W860" s="571">
        <v>63739000</v>
      </c>
      <c r="X860" s="589"/>
      <c r="Y860" s="592"/>
      <c r="Z860" s="592"/>
      <c r="AA860" s="568"/>
      <c r="AB860" s="592"/>
      <c r="AC860" s="592"/>
      <c r="AD860" s="601"/>
      <c r="AE860" s="599">
        <f>SUBTOTAL(9,AE861:AE869)</f>
        <v>0</v>
      </c>
      <c r="AF860" s="585"/>
      <c r="AG860" s="585">
        <v>0</v>
      </c>
      <c r="AH860" s="571">
        <v>63739000</v>
      </c>
      <c r="AI860" s="608"/>
      <c r="AJ860" s="608"/>
    </row>
    <row r="861" spans="1:38" s="376" customFormat="1" ht="101.25" outlineLevel="2" x14ac:dyDescent="0.3">
      <c r="A861" s="447">
        <v>71</v>
      </c>
      <c r="B861" s="628" t="s">
        <v>589</v>
      </c>
      <c r="C861" s="628"/>
      <c r="D861" s="587"/>
      <c r="E861" s="560"/>
      <c r="F861" s="558" t="s">
        <v>2145</v>
      </c>
      <c r="G861" s="588">
        <v>6.4</v>
      </c>
      <c r="H861" s="546" t="s">
        <v>2899</v>
      </c>
      <c r="I861" s="563">
        <v>0</v>
      </c>
      <c r="J861" s="563">
        <v>0</v>
      </c>
      <c r="K861" s="564">
        <v>0</v>
      </c>
      <c r="L861" s="564">
        <v>0</v>
      </c>
      <c r="M861" s="558"/>
      <c r="N861" s="558"/>
      <c r="O861" s="590"/>
      <c r="P861" s="564" t="s">
        <v>25</v>
      </c>
      <c r="Q861" s="564" t="s">
        <v>25</v>
      </c>
      <c r="R861" s="566" t="s">
        <v>386</v>
      </c>
      <c r="S861" s="589" t="s">
        <v>53</v>
      </c>
      <c r="T861" s="591">
        <v>7.65</v>
      </c>
      <c r="U861" s="589"/>
      <c r="V861" s="564">
        <v>551834</v>
      </c>
      <c r="W861" s="564">
        <v>4222000</v>
      </c>
      <c r="X861" s="589"/>
      <c r="Y861" s="592"/>
      <c r="Z861" s="592"/>
      <c r="AA861" s="568"/>
      <c r="AB861" s="592"/>
      <c r="AC861" s="592"/>
      <c r="AD861" s="592"/>
      <c r="AE861" s="590"/>
      <c r="AF861" s="570" t="s">
        <v>2899</v>
      </c>
      <c r="AG861" s="570" t="s">
        <v>25</v>
      </c>
      <c r="AH861" s="571" t="s">
        <v>25</v>
      </c>
      <c r="AI861" s="593"/>
      <c r="AJ861" s="593"/>
    </row>
    <row r="862" spans="1:38" s="376" customFormat="1" ht="60.75" outlineLevel="2" x14ac:dyDescent="0.3">
      <c r="A862" s="447">
        <v>71</v>
      </c>
      <c r="B862" s="628"/>
      <c r="C862" s="628"/>
      <c r="D862" s="587"/>
      <c r="E862" s="560"/>
      <c r="F862" s="558"/>
      <c r="G862" s="588"/>
      <c r="H862" s="546"/>
      <c r="I862" s="563" t="s">
        <v>25</v>
      </c>
      <c r="J862" s="563" t="s">
        <v>25</v>
      </c>
      <c r="K862" s="564" t="s">
        <v>25</v>
      </c>
      <c r="L862" s="564" t="s">
        <v>25</v>
      </c>
      <c r="M862" s="558"/>
      <c r="N862" s="558"/>
      <c r="O862" s="590"/>
      <c r="P862" s="564" t="s">
        <v>25</v>
      </c>
      <c r="Q862" s="564" t="s">
        <v>25</v>
      </c>
      <c r="R862" s="566" t="s">
        <v>478</v>
      </c>
      <c r="S862" s="589" t="s">
        <v>53</v>
      </c>
      <c r="T862" s="591">
        <v>33.32</v>
      </c>
      <c r="U862" s="589"/>
      <c r="V862" s="564">
        <v>1240031</v>
      </c>
      <c r="W862" s="564">
        <v>41318000</v>
      </c>
      <c r="X862" s="589"/>
      <c r="Y862" s="592"/>
      <c r="Z862" s="592"/>
      <c r="AA862" s="568"/>
      <c r="AB862" s="592"/>
      <c r="AC862" s="592"/>
      <c r="AD862" s="592"/>
      <c r="AE862" s="590"/>
      <c r="AF862" s="570" t="s">
        <v>2899</v>
      </c>
      <c r="AG862" s="570" t="s">
        <v>25</v>
      </c>
      <c r="AH862" s="571" t="s">
        <v>25</v>
      </c>
      <c r="AI862" s="593"/>
      <c r="AJ862" s="593"/>
    </row>
    <row r="863" spans="1:38" s="376" customFormat="1" ht="40.5" outlineLevel="2" x14ac:dyDescent="0.3">
      <c r="A863" s="447">
        <v>71</v>
      </c>
      <c r="B863" s="574"/>
      <c r="C863" s="574"/>
      <c r="D863" s="587"/>
      <c r="E863" s="560"/>
      <c r="F863" s="558"/>
      <c r="G863" s="588"/>
      <c r="H863" s="546"/>
      <c r="I863" s="563" t="s">
        <v>25</v>
      </c>
      <c r="J863" s="563" t="s">
        <v>25</v>
      </c>
      <c r="K863" s="564" t="s">
        <v>25</v>
      </c>
      <c r="L863" s="564" t="s">
        <v>25</v>
      </c>
      <c r="M863" s="558"/>
      <c r="N863" s="558"/>
      <c r="O863" s="590"/>
      <c r="P863" s="564" t="s">
        <v>25</v>
      </c>
      <c r="Q863" s="564" t="s">
        <v>25</v>
      </c>
      <c r="R863" s="566" t="s">
        <v>374</v>
      </c>
      <c r="S863" s="589" t="s">
        <v>53</v>
      </c>
      <c r="T863" s="591">
        <v>6.5</v>
      </c>
      <c r="U863" s="589"/>
      <c r="V863" s="564">
        <v>371943</v>
      </c>
      <c r="W863" s="564">
        <v>2418000</v>
      </c>
      <c r="X863" s="589"/>
      <c r="Y863" s="592"/>
      <c r="Z863" s="592"/>
      <c r="AA863" s="568"/>
      <c r="AB863" s="592"/>
      <c r="AC863" s="592"/>
      <c r="AD863" s="592"/>
      <c r="AE863" s="590"/>
      <c r="AF863" s="570" t="s">
        <v>2899</v>
      </c>
      <c r="AG863" s="570" t="s">
        <v>25</v>
      </c>
      <c r="AH863" s="571" t="s">
        <v>25</v>
      </c>
      <c r="AI863" s="593"/>
      <c r="AJ863" s="593"/>
    </row>
    <row r="864" spans="1:38" s="376" customFormat="1" ht="60.75" outlineLevel="2" x14ac:dyDescent="0.3">
      <c r="A864" s="447">
        <v>71</v>
      </c>
      <c r="B864" s="574"/>
      <c r="C864" s="574"/>
      <c r="D864" s="587"/>
      <c r="E864" s="560"/>
      <c r="F864" s="558"/>
      <c r="G864" s="588"/>
      <c r="H864" s="546"/>
      <c r="I864" s="563" t="s">
        <v>25</v>
      </c>
      <c r="J864" s="563" t="s">
        <v>25</v>
      </c>
      <c r="K864" s="564" t="s">
        <v>25</v>
      </c>
      <c r="L864" s="564" t="s">
        <v>25</v>
      </c>
      <c r="M864" s="558"/>
      <c r="N864" s="558"/>
      <c r="O864" s="590"/>
      <c r="P864" s="564" t="s">
        <v>25</v>
      </c>
      <c r="Q864" s="564" t="s">
        <v>25</v>
      </c>
      <c r="R864" s="566" t="s">
        <v>596</v>
      </c>
      <c r="S864" s="589" t="s">
        <v>53</v>
      </c>
      <c r="T864" s="591">
        <v>13.3</v>
      </c>
      <c r="U864" s="589"/>
      <c r="V864" s="564">
        <v>1186572</v>
      </c>
      <c r="W864" s="564">
        <v>15781000</v>
      </c>
      <c r="X864" s="589"/>
      <c r="Y864" s="592"/>
      <c r="Z864" s="592"/>
      <c r="AA864" s="568"/>
      <c r="AB864" s="592"/>
      <c r="AC864" s="592"/>
      <c r="AD864" s="592"/>
      <c r="AE864" s="590"/>
      <c r="AF864" s="570" t="s">
        <v>2899</v>
      </c>
      <c r="AG864" s="570" t="s">
        <v>25</v>
      </c>
      <c r="AH864" s="571" t="s">
        <v>25</v>
      </c>
      <c r="AI864" s="593"/>
      <c r="AJ864" s="593"/>
    </row>
    <row r="865" spans="1:36" s="376" customFormat="1" ht="20.25" outlineLevel="2" x14ac:dyDescent="0.3">
      <c r="A865" s="447">
        <v>71</v>
      </c>
      <c r="B865" s="574"/>
      <c r="C865" s="574"/>
      <c r="D865" s="587"/>
      <c r="E865" s="560"/>
      <c r="F865" s="558"/>
      <c r="G865" s="588"/>
      <c r="H865" s="546"/>
      <c r="I865" s="563" t="s">
        <v>25</v>
      </c>
      <c r="J865" s="563" t="s">
        <v>25</v>
      </c>
      <c r="K865" s="564" t="s">
        <v>25</v>
      </c>
      <c r="L865" s="564" t="s">
        <v>25</v>
      </c>
      <c r="M865" s="558"/>
      <c r="N865" s="558"/>
      <c r="O865" s="590"/>
      <c r="P865" s="564" t="s">
        <v>25</v>
      </c>
      <c r="Q865" s="564" t="s">
        <v>25</v>
      </c>
      <c r="R865" s="593"/>
      <c r="S865" s="593"/>
      <c r="T865" s="617"/>
      <c r="U865" s="589"/>
      <c r="V865" s="564" t="s">
        <v>2899</v>
      </c>
      <c r="W865" s="564" t="s">
        <v>25</v>
      </c>
      <c r="X865" s="589"/>
      <c r="Y865" s="592"/>
      <c r="Z865" s="592"/>
      <c r="AA865" s="568"/>
      <c r="AB865" s="592"/>
      <c r="AC865" s="592"/>
      <c r="AD865" s="592"/>
      <c r="AE865" s="590"/>
      <c r="AF865" s="570" t="s">
        <v>2899</v>
      </c>
      <c r="AG865" s="570" t="s">
        <v>25</v>
      </c>
      <c r="AH865" s="571" t="s">
        <v>25</v>
      </c>
      <c r="AI865" s="593"/>
      <c r="AJ865" s="593"/>
    </row>
    <row r="866" spans="1:36" s="376" customFormat="1" ht="20.25" outlineLevel="2" x14ac:dyDescent="0.3">
      <c r="A866" s="447">
        <v>71</v>
      </c>
      <c r="B866" s="643"/>
      <c r="C866" s="643"/>
      <c r="D866" s="587"/>
      <c r="E866" s="560"/>
      <c r="F866" s="558"/>
      <c r="G866" s="588"/>
      <c r="H866" s="546"/>
      <c r="I866" s="563" t="s">
        <v>25</v>
      </c>
      <c r="J866" s="563" t="s">
        <v>25</v>
      </c>
      <c r="K866" s="564" t="s">
        <v>25</v>
      </c>
      <c r="L866" s="564" t="s">
        <v>25</v>
      </c>
      <c r="M866" s="558"/>
      <c r="N866" s="558"/>
      <c r="O866" s="590"/>
      <c r="P866" s="564" t="s">
        <v>25</v>
      </c>
      <c r="Q866" s="564" t="s">
        <v>25</v>
      </c>
      <c r="R866" s="566"/>
      <c r="S866" s="589"/>
      <c r="T866" s="591"/>
      <c r="U866" s="589"/>
      <c r="V866" s="564" t="s">
        <v>2899</v>
      </c>
      <c r="W866" s="564" t="s">
        <v>25</v>
      </c>
      <c r="X866" s="589"/>
      <c r="Y866" s="592"/>
      <c r="Z866" s="592"/>
      <c r="AA866" s="568"/>
      <c r="AB866" s="592"/>
      <c r="AC866" s="592"/>
      <c r="AD866" s="592"/>
      <c r="AE866" s="590"/>
      <c r="AF866" s="570" t="s">
        <v>2899</v>
      </c>
      <c r="AG866" s="570" t="s">
        <v>25</v>
      </c>
      <c r="AH866" s="571" t="s">
        <v>25</v>
      </c>
      <c r="AI866" s="593"/>
      <c r="AJ866" s="593"/>
    </row>
    <row r="867" spans="1:36" s="376" customFormat="1" ht="20.25" outlineLevel="2" x14ac:dyDescent="0.3">
      <c r="A867" s="447">
        <v>71</v>
      </c>
      <c r="B867" s="574"/>
      <c r="C867" s="574"/>
      <c r="D867" s="587"/>
      <c r="E867" s="560"/>
      <c r="F867" s="558"/>
      <c r="G867" s="588"/>
      <c r="H867" s="546"/>
      <c r="I867" s="563" t="s">
        <v>25</v>
      </c>
      <c r="J867" s="563" t="s">
        <v>25</v>
      </c>
      <c r="K867" s="564" t="s">
        <v>25</v>
      </c>
      <c r="L867" s="564" t="s">
        <v>25</v>
      </c>
      <c r="M867" s="558"/>
      <c r="N867" s="558"/>
      <c r="O867" s="590"/>
      <c r="P867" s="564" t="s">
        <v>25</v>
      </c>
      <c r="Q867" s="564" t="s">
        <v>25</v>
      </c>
      <c r="R867" s="566"/>
      <c r="S867" s="589"/>
      <c r="T867" s="591"/>
      <c r="U867" s="589"/>
      <c r="V867" s="564" t="s">
        <v>2899</v>
      </c>
      <c r="W867" s="564" t="s">
        <v>25</v>
      </c>
      <c r="X867" s="589"/>
      <c r="Y867" s="592"/>
      <c r="Z867" s="592"/>
      <c r="AA867" s="568"/>
      <c r="AB867" s="592"/>
      <c r="AC867" s="592"/>
      <c r="AD867" s="592"/>
      <c r="AE867" s="590"/>
      <c r="AF867" s="570" t="s">
        <v>2899</v>
      </c>
      <c r="AG867" s="570" t="s">
        <v>25</v>
      </c>
      <c r="AH867" s="571" t="s">
        <v>25</v>
      </c>
      <c r="AI867" s="593"/>
      <c r="AJ867" s="593"/>
    </row>
    <row r="868" spans="1:36" s="376" customFormat="1" ht="20.25" outlineLevel="2" x14ac:dyDescent="0.3">
      <c r="A868" s="447">
        <v>71</v>
      </c>
      <c r="B868" s="558"/>
      <c r="C868" s="558"/>
      <c r="D868" s="587"/>
      <c r="E868" s="560"/>
      <c r="F868" s="558"/>
      <c r="G868" s="588"/>
      <c r="H868" s="546"/>
      <c r="I868" s="563" t="s">
        <v>25</v>
      </c>
      <c r="J868" s="563" t="s">
        <v>25</v>
      </c>
      <c r="K868" s="564" t="s">
        <v>25</v>
      </c>
      <c r="L868" s="564" t="s">
        <v>25</v>
      </c>
      <c r="M868" s="686"/>
      <c r="N868" s="686"/>
      <c r="O868" s="590"/>
      <c r="P868" s="564" t="s">
        <v>25</v>
      </c>
      <c r="Q868" s="564" t="s">
        <v>25</v>
      </c>
      <c r="R868" s="646"/>
      <c r="S868" s="662"/>
      <c r="T868" s="591"/>
      <c r="U868" s="589"/>
      <c r="V868" s="564" t="s">
        <v>2899</v>
      </c>
      <c r="W868" s="564" t="s">
        <v>25</v>
      </c>
      <c r="X868" s="589"/>
      <c r="Y868" s="592"/>
      <c r="Z868" s="592"/>
      <c r="AA868" s="568"/>
      <c r="AB868" s="592"/>
      <c r="AC868" s="592"/>
      <c r="AD868" s="592"/>
      <c r="AE868" s="590"/>
      <c r="AF868" s="570" t="s">
        <v>2899</v>
      </c>
      <c r="AG868" s="570" t="s">
        <v>25</v>
      </c>
      <c r="AH868" s="571" t="s">
        <v>25</v>
      </c>
      <c r="AI868" s="593"/>
      <c r="AJ868" s="593"/>
    </row>
    <row r="869" spans="1:36" s="376" customFormat="1" ht="20.25" outlineLevel="2" x14ac:dyDescent="0.3">
      <c r="A869" s="447">
        <v>71</v>
      </c>
      <c r="B869" s="574"/>
      <c r="C869" s="574"/>
      <c r="D869" s="595"/>
      <c r="E869" s="577"/>
      <c r="F869" s="558"/>
      <c r="G869" s="588"/>
      <c r="H869" s="546"/>
      <c r="I869" s="563" t="s">
        <v>25</v>
      </c>
      <c r="J869" s="563" t="s">
        <v>25</v>
      </c>
      <c r="K869" s="564" t="s">
        <v>25</v>
      </c>
      <c r="L869" s="564" t="s">
        <v>25</v>
      </c>
      <c r="M869" s="558"/>
      <c r="N869" s="558"/>
      <c r="O869" s="590"/>
      <c r="P869" s="564" t="s">
        <v>25</v>
      </c>
      <c r="Q869" s="564" t="s">
        <v>25</v>
      </c>
      <c r="R869" s="566"/>
      <c r="S869" s="589"/>
      <c r="T869" s="591"/>
      <c r="U869" s="589"/>
      <c r="V869" s="564" t="s">
        <v>2899</v>
      </c>
      <c r="W869" s="564" t="s">
        <v>25</v>
      </c>
      <c r="X869" s="589"/>
      <c r="Y869" s="592"/>
      <c r="Z869" s="592"/>
      <c r="AA869" s="568"/>
      <c r="AB869" s="592"/>
      <c r="AC869" s="592"/>
      <c r="AD869" s="592"/>
      <c r="AE869" s="590"/>
      <c r="AF869" s="570" t="s">
        <v>2899</v>
      </c>
      <c r="AG869" s="570" t="s">
        <v>25</v>
      </c>
      <c r="AH869" s="571" t="s">
        <v>25</v>
      </c>
      <c r="AI869" s="558"/>
      <c r="AJ869" s="558"/>
    </row>
    <row r="870" spans="1:36" s="376" customFormat="1" ht="40.5" outlineLevel="1" x14ac:dyDescent="0.25">
      <c r="A870" s="467">
        <v>72</v>
      </c>
      <c r="B870" s="574" t="s">
        <v>46</v>
      </c>
      <c r="C870" s="773" t="s">
        <v>2902</v>
      </c>
      <c r="D870" s="587">
        <v>86</v>
      </c>
      <c r="E870" s="560" t="s">
        <v>263</v>
      </c>
      <c r="F870" s="574"/>
      <c r="G870" s="618">
        <v>2192.1999999999998</v>
      </c>
      <c r="H870" s="579">
        <v>1825.4999999999998</v>
      </c>
      <c r="I870" s="581"/>
      <c r="J870" s="581"/>
      <c r="K870" s="571">
        <v>1215355000</v>
      </c>
      <c r="L870" s="571">
        <v>3036172000</v>
      </c>
      <c r="M870" s="673"/>
      <c r="N870" s="673"/>
      <c r="O870" s="599">
        <v>1332.3</v>
      </c>
      <c r="P870" s="571"/>
      <c r="Q870" s="571">
        <v>145375900</v>
      </c>
      <c r="R870" s="673"/>
      <c r="S870" s="674"/>
      <c r="T870" s="600">
        <v>948.52</v>
      </c>
      <c r="U870" s="682"/>
      <c r="V870" s="571"/>
      <c r="W870" s="571">
        <v>745686000</v>
      </c>
      <c r="X870" s="589"/>
      <c r="Y870" s="592"/>
      <c r="Z870" s="592"/>
      <c r="AA870" s="568"/>
      <c r="AB870" s="592"/>
      <c r="AC870" s="568"/>
      <c r="AD870" s="602"/>
      <c r="AE870" s="581">
        <f>SUBTOTAL(9,AE871:AE937)</f>
        <v>1</v>
      </c>
      <c r="AF870" s="585"/>
      <c r="AG870" s="585">
        <v>17000000</v>
      </c>
      <c r="AH870" s="571">
        <v>5159588900</v>
      </c>
      <c r="AI870" s="574"/>
      <c r="AJ870" s="578"/>
    </row>
    <row r="871" spans="1:36" s="376" customFormat="1" ht="121.5" outlineLevel="2" x14ac:dyDescent="0.3">
      <c r="A871" s="447">
        <v>72</v>
      </c>
      <c r="B871" s="558" t="s">
        <v>262</v>
      </c>
      <c r="C871" s="558"/>
      <c r="D871" s="587"/>
      <c r="E871" s="560"/>
      <c r="F871" s="558" t="s">
        <v>2487</v>
      </c>
      <c r="G871" s="588">
        <v>1825.4999999999998</v>
      </c>
      <c r="H871" s="546">
        <v>1825.4999999999998</v>
      </c>
      <c r="I871" s="563">
        <v>554400</v>
      </c>
      <c r="J871" s="563">
        <v>1663200</v>
      </c>
      <c r="K871" s="564">
        <v>1012057000</v>
      </c>
      <c r="L871" s="564">
        <v>3036172000</v>
      </c>
      <c r="M871" s="638" t="s">
        <v>760</v>
      </c>
      <c r="N871" s="638"/>
      <c r="O871" s="590">
        <v>1</v>
      </c>
      <c r="P871" s="564">
        <v>70000</v>
      </c>
      <c r="Q871" s="564">
        <v>70000</v>
      </c>
      <c r="R871" s="638" t="s">
        <v>1763</v>
      </c>
      <c r="S871" s="639" t="s">
        <v>53</v>
      </c>
      <c r="T871" s="591">
        <v>34.92</v>
      </c>
      <c r="U871" s="680"/>
      <c r="V871" s="564">
        <v>3550600</v>
      </c>
      <c r="W871" s="564">
        <v>123987000</v>
      </c>
      <c r="X871" s="589" t="s">
        <v>63</v>
      </c>
      <c r="Y871" s="592" t="s">
        <v>55</v>
      </c>
      <c r="Z871" s="592" t="s">
        <v>56</v>
      </c>
      <c r="AA871" s="568" t="s">
        <v>57</v>
      </c>
      <c r="AB871" s="592" t="s">
        <v>63</v>
      </c>
      <c r="AC871" s="568" t="s">
        <v>430</v>
      </c>
      <c r="AD871" s="569"/>
      <c r="AE871" s="563"/>
      <c r="AF871" s="570"/>
      <c r="AG871" s="570"/>
      <c r="AH871" s="571" t="s">
        <v>25</v>
      </c>
      <c r="AI871" s="558" t="s">
        <v>705</v>
      </c>
      <c r="AJ871" s="586" t="s">
        <v>2771</v>
      </c>
    </row>
    <row r="872" spans="1:36" s="376" customFormat="1" ht="101.25" outlineLevel="2" x14ac:dyDescent="0.3">
      <c r="A872" s="447">
        <v>72</v>
      </c>
      <c r="B872" s="628" t="s">
        <v>706</v>
      </c>
      <c r="C872" s="628"/>
      <c r="D872" s="587"/>
      <c r="E872" s="560"/>
      <c r="F872" s="558" t="s">
        <v>2483</v>
      </c>
      <c r="G872" s="588">
        <v>366.7</v>
      </c>
      <c r="H872" s="546" t="s">
        <v>2899</v>
      </c>
      <c r="I872" s="563">
        <v>554400</v>
      </c>
      <c r="J872" s="563">
        <v>0</v>
      </c>
      <c r="K872" s="564">
        <v>203298000</v>
      </c>
      <c r="L872" s="564">
        <v>0</v>
      </c>
      <c r="M872" s="638" t="s">
        <v>761</v>
      </c>
      <c r="N872" s="638"/>
      <c r="O872" s="590">
        <v>1</v>
      </c>
      <c r="P872" s="564">
        <v>390000</v>
      </c>
      <c r="Q872" s="564">
        <v>390000</v>
      </c>
      <c r="R872" s="638" t="s">
        <v>1763</v>
      </c>
      <c r="S872" s="639" t="s">
        <v>53</v>
      </c>
      <c r="T872" s="591">
        <v>11.04</v>
      </c>
      <c r="U872" s="680"/>
      <c r="V872" s="564">
        <v>3550600</v>
      </c>
      <c r="W872" s="564">
        <v>39199000</v>
      </c>
      <c r="X872" s="589" t="s">
        <v>54</v>
      </c>
      <c r="Y872" s="592" t="s">
        <v>55</v>
      </c>
      <c r="Z872" s="592" t="s">
        <v>56</v>
      </c>
      <c r="AA872" s="568" t="s">
        <v>57</v>
      </c>
      <c r="AB872" s="592" t="s">
        <v>139</v>
      </c>
      <c r="AC872" s="592"/>
      <c r="AD872" s="569" t="s">
        <v>2791</v>
      </c>
      <c r="AE872" s="590">
        <v>1</v>
      </c>
      <c r="AF872" s="570">
        <v>17000000</v>
      </c>
      <c r="AG872" s="570">
        <v>17000000</v>
      </c>
      <c r="AH872" s="571" t="s">
        <v>25</v>
      </c>
      <c r="AI872" s="558" t="s">
        <v>597</v>
      </c>
      <c r="AJ872" s="605" t="s">
        <v>2448</v>
      </c>
    </row>
    <row r="873" spans="1:36" s="376" customFormat="1" ht="121.5" outlineLevel="2" x14ac:dyDescent="0.3">
      <c r="A873" s="447">
        <v>72</v>
      </c>
      <c r="B873" s="628"/>
      <c r="C873" s="628"/>
      <c r="D873" s="587"/>
      <c r="E873" s="560"/>
      <c r="F873" s="558"/>
      <c r="G873" s="588"/>
      <c r="H873" s="546"/>
      <c r="I873" s="563" t="s">
        <v>25</v>
      </c>
      <c r="J873" s="563" t="s">
        <v>25</v>
      </c>
      <c r="K873" s="564" t="s">
        <v>25</v>
      </c>
      <c r="L873" s="564" t="s">
        <v>25</v>
      </c>
      <c r="M873" s="638" t="s">
        <v>762</v>
      </c>
      <c r="N873" s="638"/>
      <c r="O873" s="590">
        <v>1</v>
      </c>
      <c r="P873" s="564">
        <v>150000</v>
      </c>
      <c r="Q873" s="564">
        <v>150000</v>
      </c>
      <c r="R873" s="638" t="s">
        <v>1885</v>
      </c>
      <c r="S873" s="639" t="s">
        <v>53</v>
      </c>
      <c r="T873" s="591">
        <v>9.6</v>
      </c>
      <c r="U873" s="680"/>
      <c r="V873" s="564">
        <v>3460013</v>
      </c>
      <c r="W873" s="564">
        <v>33216000</v>
      </c>
      <c r="X873" s="589" t="s">
        <v>54</v>
      </c>
      <c r="Y873" s="592" t="s">
        <v>55</v>
      </c>
      <c r="Z873" s="592" t="s">
        <v>141</v>
      </c>
      <c r="AA873" s="568" t="s">
        <v>57</v>
      </c>
      <c r="AB873" s="592" t="s">
        <v>139</v>
      </c>
      <c r="AC873" s="592"/>
      <c r="AD873" s="606"/>
      <c r="AE873" s="590"/>
      <c r="AF873" s="570" t="s">
        <v>2899</v>
      </c>
      <c r="AG873" s="570" t="s">
        <v>25</v>
      </c>
      <c r="AH873" s="571" t="s">
        <v>25</v>
      </c>
      <c r="AI873" s="593" t="s">
        <v>264</v>
      </c>
      <c r="AJ873" s="558" t="s">
        <v>2450</v>
      </c>
    </row>
    <row r="874" spans="1:36" s="376" customFormat="1" ht="101.25" outlineLevel="2" x14ac:dyDescent="0.3">
      <c r="A874" s="447">
        <v>72</v>
      </c>
      <c r="B874" s="558"/>
      <c r="C874" s="558"/>
      <c r="D874" s="587"/>
      <c r="E874" s="560"/>
      <c r="F874" s="558"/>
      <c r="G874" s="588"/>
      <c r="H874" s="546"/>
      <c r="I874" s="563" t="s">
        <v>25</v>
      </c>
      <c r="J874" s="563" t="s">
        <v>25</v>
      </c>
      <c r="K874" s="564" t="s">
        <v>25</v>
      </c>
      <c r="L874" s="564" t="s">
        <v>25</v>
      </c>
      <c r="M874" s="638" t="s">
        <v>763</v>
      </c>
      <c r="N874" s="638"/>
      <c r="O874" s="590">
        <v>1</v>
      </c>
      <c r="P874" s="564">
        <v>150000</v>
      </c>
      <c r="Q874" s="564">
        <v>150000</v>
      </c>
      <c r="R874" s="638" t="s">
        <v>1886</v>
      </c>
      <c r="S874" s="639" t="s">
        <v>53</v>
      </c>
      <c r="T874" s="591">
        <v>2.99</v>
      </c>
      <c r="U874" s="680"/>
      <c r="V874" s="564">
        <v>9347414</v>
      </c>
      <c r="W874" s="564">
        <v>27949000</v>
      </c>
      <c r="X874" s="589"/>
      <c r="Y874" s="592"/>
      <c r="Z874" s="592" t="s">
        <v>56</v>
      </c>
      <c r="AA874" s="568" t="s">
        <v>57</v>
      </c>
      <c r="AB874" s="592" t="s">
        <v>139</v>
      </c>
      <c r="AC874" s="592"/>
      <c r="AD874" s="592"/>
      <c r="AE874" s="590"/>
      <c r="AF874" s="570" t="s">
        <v>2899</v>
      </c>
      <c r="AG874" s="570" t="s">
        <v>25</v>
      </c>
      <c r="AH874" s="571" t="s">
        <v>25</v>
      </c>
      <c r="AI874" s="558" t="s">
        <v>2074</v>
      </c>
      <c r="AJ874" s="558" t="s">
        <v>2449</v>
      </c>
    </row>
    <row r="875" spans="1:36" s="376" customFormat="1" ht="81" outlineLevel="2" x14ac:dyDescent="0.3">
      <c r="A875" s="447">
        <v>72</v>
      </c>
      <c r="B875" s="558"/>
      <c r="C875" s="558"/>
      <c r="D875" s="587"/>
      <c r="E875" s="560"/>
      <c r="F875" s="558"/>
      <c r="G875" s="588"/>
      <c r="H875" s="546"/>
      <c r="I875" s="563" t="s">
        <v>25</v>
      </c>
      <c r="J875" s="563" t="s">
        <v>25</v>
      </c>
      <c r="K875" s="564" t="s">
        <v>25</v>
      </c>
      <c r="L875" s="564" t="s">
        <v>25</v>
      </c>
      <c r="M875" s="638" t="s">
        <v>409</v>
      </c>
      <c r="N875" s="638"/>
      <c r="O875" s="590">
        <v>6</v>
      </c>
      <c r="P875" s="564">
        <v>72000</v>
      </c>
      <c r="Q875" s="564">
        <v>432000</v>
      </c>
      <c r="R875" s="638" t="s">
        <v>1887</v>
      </c>
      <c r="S875" s="639" t="s">
        <v>53</v>
      </c>
      <c r="T875" s="591">
        <v>1.69</v>
      </c>
      <c r="U875" s="680"/>
      <c r="V875" s="564">
        <v>9028527</v>
      </c>
      <c r="W875" s="564">
        <v>15258000</v>
      </c>
      <c r="X875" s="589"/>
      <c r="Y875" s="592"/>
      <c r="Z875" s="592" t="s">
        <v>56</v>
      </c>
      <c r="AA875" s="568" t="s">
        <v>57</v>
      </c>
      <c r="AB875" s="592" t="s">
        <v>139</v>
      </c>
      <c r="AC875" s="592"/>
      <c r="AD875" s="592"/>
      <c r="AE875" s="590"/>
      <c r="AF875" s="570" t="s">
        <v>2899</v>
      </c>
      <c r="AG875" s="570" t="s">
        <v>25</v>
      </c>
      <c r="AH875" s="571" t="s">
        <v>25</v>
      </c>
      <c r="AI875" s="575"/>
      <c r="AJ875" s="558" t="s">
        <v>2451</v>
      </c>
    </row>
    <row r="876" spans="1:36" s="376" customFormat="1" ht="101.25" outlineLevel="2" x14ac:dyDescent="0.3">
      <c r="A876" s="447">
        <v>72</v>
      </c>
      <c r="B876" s="558"/>
      <c r="C876" s="558"/>
      <c r="D876" s="587"/>
      <c r="E876" s="560"/>
      <c r="F876" s="558"/>
      <c r="G876" s="588"/>
      <c r="H876" s="546"/>
      <c r="I876" s="563" t="s">
        <v>25</v>
      </c>
      <c r="J876" s="563" t="s">
        <v>25</v>
      </c>
      <c r="K876" s="564" t="s">
        <v>25</v>
      </c>
      <c r="L876" s="564" t="s">
        <v>25</v>
      </c>
      <c r="M876" s="638" t="s">
        <v>764</v>
      </c>
      <c r="N876" s="638"/>
      <c r="O876" s="590">
        <v>2</v>
      </c>
      <c r="P876" s="564">
        <v>150000</v>
      </c>
      <c r="Q876" s="564">
        <v>300000</v>
      </c>
      <c r="R876" s="638" t="s">
        <v>1844</v>
      </c>
      <c r="S876" s="639" t="s">
        <v>53</v>
      </c>
      <c r="T876" s="591">
        <v>30</v>
      </c>
      <c r="U876" s="680"/>
      <c r="V876" s="564">
        <v>770070</v>
      </c>
      <c r="W876" s="564">
        <v>23102000</v>
      </c>
      <c r="X876" s="589"/>
      <c r="Y876" s="592" t="s">
        <v>55</v>
      </c>
      <c r="Z876" s="592" t="s">
        <v>56</v>
      </c>
      <c r="AA876" s="568"/>
      <c r="AB876" s="592" t="s">
        <v>66</v>
      </c>
      <c r="AC876" s="592"/>
      <c r="AD876" s="592"/>
      <c r="AE876" s="590"/>
      <c r="AF876" s="570" t="s">
        <v>2899</v>
      </c>
      <c r="AG876" s="570" t="s">
        <v>25</v>
      </c>
      <c r="AH876" s="571" t="s">
        <v>25</v>
      </c>
      <c r="AI876" s="593"/>
      <c r="AJ876" s="558" t="s">
        <v>2800</v>
      </c>
    </row>
    <row r="877" spans="1:36" s="376" customFormat="1" ht="40.5" outlineLevel="2" x14ac:dyDescent="0.3">
      <c r="A877" s="447">
        <v>72</v>
      </c>
      <c r="B877" s="558"/>
      <c r="C877" s="558"/>
      <c r="D877" s="587"/>
      <c r="E877" s="560"/>
      <c r="F877" s="558"/>
      <c r="G877" s="588"/>
      <c r="H877" s="546"/>
      <c r="I877" s="563" t="s">
        <v>25</v>
      </c>
      <c r="J877" s="563" t="s">
        <v>25</v>
      </c>
      <c r="K877" s="564" t="s">
        <v>25</v>
      </c>
      <c r="L877" s="564" t="s">
        <v>25</v>
      </c>
      <c r="M877" s="638" t="s">
        <v>765</v>
      </c>
      <c r="N877" s="638"/>
      <c r="O877" s="590">
        <v>3</v>
      </c>
      <c r="P877" s="564">
        <v>72000</v>
      </c>
      <c r="Q877" s="564">
        <v>216000</v>
      </c>
      <c r="R877" s="638" t="s">
        <v>1888</v>
      </c>
      <c r="S877" s="639" t="s">
        <v>53</v>
      </c>
      <c r="T877" s="591">
        <v>3.96</v>
      </c>
      <c r="U877" s="680"/>
      <c r="V877" s="564">
        <v>1574011</v>
      </c>
      <c r="W877" s="564">
        <v>6233000</v>
      </c>
      <c r="X877" s="589"/>
      <c r="Y877" s="592" t="s">
        <v>55</v>
      </c>
      <c r="Z877" s="592" t="s">
        <v>141</v>
      </c>
      <c r="AA877" s="568" t="s">
        <v>266</v>
      </c>
      <c r="AB877" s="592" t="s">
        <v>267</v>
      </c>
      <c r="AC877" s="592"/>
      <c r="AD877" s="592"/>
      <c r="AE877" s="590"/>
      <c r="AF877" s="570" t="s">
        <v>2899</v>
      </c>
      <c r="AG877" s="570" t="s">
        <v>25</v>
      </c>
      <c r="AH877" s="571" t="s">
        <v>25</v>
      </c>
      <c r="AI877" s="593"/>
      <c r="AJ877" s="593"/>
    </row>
    <row r="878" spans="1:36" s="376" customFormat="1" ht="40.5" outlineLevel="2" x14ac:dyDescent="0.3">
      <c r="A878" s="447">
        <v>72</v>
      </c>
      <c r="B878" s="558"/>
      <c r="C878" s="558"/>
      <c r="D878" s="587"/>
      <c r="E878" s="560"/>
      <c r="F878" s="558"/>
      <c r="G878" s="588"/>
      <c r="H878" s="546"/>
      <c r="I878" s="563" t="s">
        <v>25</v>
      </c>
      <c r="J878" s="563" t="s">
        <v>25</v>
      </c>
      <c r="K878" s="564" t="s">
        <v>25</v>
      </c>
      <c r="L878" s="564" t="s">
        <v>25</v>
      </c>
      <c r="M878" s="558" t="s">
        <v>766</v>
      </c>
      <c r="N878" s="558"/>
      <c r="O878" s="590">
        <v>1</v>
      </c>
      <c r="P878" s="564">
        <v>150000</v>
      </c>
      <c r="Q878" s="564">
        <v>150000</v>
      </c>
      <c r="R878" s="638" t="s">
        <v>1844</v>
      </c>
      <c r="S878" s="639" t="s">
        <v>53</v>
      </c>
      <c r="T878" s="591">
        <v>32.4</v>
      </c>
      <c r="U878" s="680"/>
      <c r="V878" s="564">
        <v>770070</v>
      </c>
      <c r="W878" s="564">
        <v>24950000</v>
      </c>
      <c r="X878" s="589"/>
      <c r="Y878" s="592" t="s">
        <v>55</v>
      </c>
      <c r="Z878" s="592" t="s">
        <v>56</v>
      </c>
      <c r="AA878" s="568"/>
      <c r="AB878" s="592" t="s">
        <v>267</v>
      </c>
      <c r="AC878" s="592"/>
      <c r="AD878" s="592"/>
      <c r="AE878" s="590"/>
      <c r="AF878" s="570" t="s">
        <v>2899</v>
      </c>
      <c r="AG878" s="570" t="s">
        <v>25</v>
      </c>
      <c r="AH878" s="571" t="s">
        <v>25</v>
      </c>
      <c r="AI878" s="593"/>
      <c r="AJ878" s="593"/>
    </row>
    <row r="879" spans="1:36" s="376" customFormat="1" ht="40.5" outlineLevel="2" x14ac:dyDescent="0.3">
      <c r="A879" s="447">
        <v>72</v>
      </c>
      <c r="B879" s="558"/>
      <c r="C879" s="558"/>
      <c r="D879" s="587"/>
      <c r="E879" s="560"/>
      <c r="F879" s="558"/>
      <c r="G879" s="588"/>
      <c r="H879" s="546"/>
      <c r="I879" s="563" t="s">
        <v>25</v>
      </c>
      <c r="J879" s="563" t="s">
        <v>25</v>
      </c>
      <c r="K879" s="564" t="s">
        <v>25</v>
      </c>
      <c r="L879" s="564" t="s">
        <v>25</v>
      </c>
      <c r="M879" s="558" t="s">
        <v>767</v>
      </c>
      <c r="N879" s="558"/>
      <c r="O879" s="590">
        <v>78</v>
      </c>
      <c r="P879" s="564">
        <v>72000</v>
      </c>
      <c r="Q879" s="564">
        <v>5616000</v>
      </c>
      <c r="R879" s="638" t="s">
        <v>1840</v>
      </c>
      <c r="S879" s="639" t="s">
        <v>53</v>
      </c>
      <c r="T879" s="591">
        <v>74.2</v>
      </c>
      <c r="U879" s="680"/>
      <c r="V879" s="564">
        <v>1676884</v>
      </c>
      <c r="W879" s="564">
        <v>124425000</v>
      </c>
      <c r="X879" s="589"/>
      <c r="Y879" s="592" t="s">
        <v>55</v>
      </c>
      <c r="Z879" s="592" t="s">
        <v>56</v>
      </c>
      <c r="AA879" s="568" t="s">
        <v>57</v>
      </c>
      <c r="AB879" s="592" t="s">
        <v>267</v>
      </c>
      <c r="AC879" s="592"/>
      <c r="AD879" s="592"/>
      <c r="AE879" s="590"/>
      <c r="AF879" s="570" t="s">
        <v>2899</v>
      </c>
      <c r="AG879" s="570" t="s">
        <v>25</v>
      </c>
      <c r="AH879" s="571" t="s">
        <v>25</v>
      </c>
      <c r="AI879" s="593"/>
      <c r="AJ879" s="593"/>
    </row>
    <row r="880" spans="1:36" s="376" customFormat="1" ht="40.5" outlineLevel="2" x14ac:dyDescent="0.3">
      <c r="A880" s="447">
        <v>72</v>
      </c>
      <c r="B880" s="558"/>
      <c r="C880" s="558"/>
      <c r="D880" s="587"/>
      <c r="E880" s="560"/>
      <c r="F880" s="558"/>
      <c r="G880" s="588"/>
      <c r="H880" s="546"/>
      <c r="I880" s="563" t="s">
        <v>25</v>
      </c>
      <c r="J880" s="563" t="s">
        <v>25</v>
      </c>
      <c r="K880" s="564" t="s">
        <v>25</v>
      </c>
      <c r="L880" s="564" t="s">
        <v>25</v>
      </c>
      <c r="M880" s="638" t="s">
        <v>768</v>
      </c>
      <c r="N880" s="638"/>
      <c r="O880" s="590">
        <v>1</v>
      </c>
      <c r="P880" s="564">
        <v>150000</v>
      </c>
      <c r="Q880" s="564">
        <v>150000</v>
      </c>
      <c r="R880" s="566" t="s">
        <v>1844</v>
      </c>
      <c r="S880" s="639" t="s">
        <v>53</v>
      </c>
      <c r="T880" s="591">
        <v>74.400000000000006</v>
      </c>
      <c r="U880" s="589"/>
      <c r="V880" s="564">
        <v>770070</v>
      </c>
      <c r="W880" s="564">
        <v>57293000</v>
      </c>
      <c r="X880" s="589"/>
      <c r="Y880" s="592" t="s">
        <v>55</v>
      </c>
      <c r="Z880" s="592" t="s">
        <v>141</v>
      </c>
      <c r="AA880" s="568"/>
      <c r="AB880" s="592" t="s">
        <v>267</v>
      </c>
      <c r="AC880" s="592"/>
      <c r="AD880" s="592"/>
      <c r="AE880" s="590"/>
      <c r="AF880" s="570" t="s">
        <v>2899</v>
      </c>
      <c r="AG880" s="570" t="s">
        <v>25</v>
      </c>
      <c r="AH880" s="571" t="s">
        <v>25</v>
      </c>
      <c r="AI880" s="593"/>
      <c r="AJ880" s="593"/>
    </row>
    <row r="881" spans="1:36" s="376" customFormat="1" ht="60.75" outlineLevel="2" x14ac:dyDescent="0.3">
      <c r="A881" s="447">
        <v>72</v>
      </c>
      <c r="B881" s="636"/>
      <c r="C881" s="636"/>
      <c r="D881" s="587"/>
      <c r="E881" s="560"/>
      <c r="F881" s="558"/>
      <c r="G881" s="588"/>
      <c r="H881" s="546"/>
      <c r="I881" s="563" t="s">
        <v>25</v>
      </c>
      <c r="J881" s="563" t="s">
        <v>25</v>
      </c>
      <c r="K881" s="564" t="s">
        <v>25</v>
      </c>
      <c r="L881" s="564" t="s">
        <v>25</v>
      </c>
      <c r="M881" s="638" t="s">
        <v>769</v>
      </c>
      <c r="N881" s="638"/>
      <c r="O881" s="590">
        <v>3</v>
      </c>
      <c r="P881" s="564">
        <v>120000</v>
      </c>
      <c r="Q881" s="564">
        <v>360000</v>
      </c>
      <c r="R881" s="566" t="s">
        <v>1889</v>
      </c>
      <c r="S881" s="639" t="s">
        <v>53</v>
      </c>
      <c r="T881" s="591">
        <v>8.26</v>
      </c>
      <c r="U881" s="589"/>
      <c r="V881" s="564">
        <v>2354806</v>
      </c>
      <c r="W881" s="564">
        <v>19451000</v>
      </c>
      <c r="X881" s="589"/>
      <c r="Y881" s="592" t="s">
        <v>55</v>
      </c>
      <c r="Z881" s="592" t="s">
        <v>141</v>
      </c>
      <c r="AA881" s="568" t="s">
        <v>57</v>
      </c>
      <c r="AB881" s="592" t="s">
        <v>139</v>
      </c>
      <c r="AC881" s="592"/>
      <c r="AD881" s="592"/>
      <c r="AE881" s="590"/>
      <c r="AF881" s="570" t="s">
        <v>2899</v>
      </c>
      <c r="AG881" s="570" t="s">
        <v>25</v>
      </c>
      <c r="AH881" s="571" t="s">
        <v>25</v>
      </c>
      <c r="AI881" s="593"/>
      <c r="AJ881" s="593"/>
    </row>
    <row r="882" spans="1:36" s="376" customFormat="1" ht="40.5" outlineLevel="2" x14ac:dyDescent="0.3">
      <c r="A882" s="447">
        <v>72</v>
      </c>
      <c r="B882" s="637"/>
      <c r="C882" s="637"/>
      <c r="D882" s="587"/>
      <c r="E882" s="560"/>
      <c r="F882" s="558"/>
      <c r="G882" s="588"/>
      <c r="H882" s="546"/>
      <c r="I882" s="563" t="s">
        <v>25</v>
      </c>
      <c r="J882" s="563" t="s">
        <v>25</v>
      </c>
      <c r="K882" s="564" t="s">
        <v>25</v>
      </c>
      <c r="L882" s="564" t="s">
        <v>25</v>
      </c>
      <c r="M882" s="638" t="s">
        <v>770</v>
      </c>
      <c r="N882" s="638"/>
      <c r="O882" s="590">
        <v>2</v>
      </c>
      <c r="P882" s="564">
        <v>60000</v>
      </c>
      <c r="Q882" s="564">
        <v>120000</v>
      </c>
      <c r="R882" s="638" t="s">
        <v>1890</v>
      </c>
      <c r="S882" s="639" t="s">
        <v>53</v>
      </c>
      <c r="T882" s="591">
        <v>28</v>
      </c>
      <c r="U882" s="680"/>
      <c r="V882" s="564">
        <v>1574011</v>
      </c>
      <c r="W882" s="564">
        <v>44072000</v>
      </c>
      <c r="X882" s="589"/>
      <c r="Y882" s="592" t="s">
        <v>55</v>
      </c>
      <c r="Z882" s="592" t="s">
        <v>141</v>
      </c>
      <c r="AA882" s="568" t="s">
        <v>266</v>
      </c>
      <c r="AB882" s="592" t="s">
        <v>267</v>
      </c>
      <c r="AC882" s="592"/>
      <c r="AD882" s="592"/>
      <c r="AE882" s="590"/>
      <c r="AF882" s="570" t="s">
        <v>2899</v>
      </c>
      <c r="AG882" s="570" t="s">
        <v>25</v>
      </c>
      <c r="AH882" s="571" t="s">
        <v>25</v>
      </c>
      <c r="AI882" s="593"/>
      <c r="AJ882" s="593"/>
    </row>
    <row r="883" spans="1:36" s="376" customFormat="1" ht="60.75" outlineLevel="2" x14ac:dyDescent="0.3">
      <c r="A883" s="447">
        <v>72</v>
      </c>
      <c r="B883" s="637"/>
      <c r="C883" s="637"/>
      <c r="D883" s="587"/>
      <c r="E883" s="560"/>
      <c r="F883" s="558"/>
      <c r="G883" s="588"/>
      <c r="H883" s="546"/>
      <c r="I883" s="563" t="s">
        <v>25</v>
      </c>
      <c r="J883" s="563" t="s">
        <v>25</v>
      </c>
      <c r="K883" s="564" t="s">
        <v>25</v>
      </c>
      <c r="L883" s="564" t="s">
        <v>25</v>
      </c>
      <c r="M883" s="638" t="s">
        <v>756</v>
      </c>
      <c r="N883" s="638"/>
      <c r="O883" s="590">
        <v>3</v>
      </c>
      <c r="P883" s="564">
        <v>150000</v>
      </c>
      <c r="Q883" s="564">
        <v>450000</v>
      </c>
      <c r="R883" s="638" t="s">
        <v>1889</v>
      </c>
      <c r="S883" s="639" t="s">
        <v>53</v>
      </c>
      <c r="T883" s="591">
        <v>2.86</v>
      </c>
      <c r="U883" s="680"/>
      <c r="V883" s="564">
        <v>2354806</v>
      </c>
      <c r="W883" s="564">
        <v>6735000</v>
      </c>
      <c r="X883" s="589"/>
      <c r="Y883" s="592" t="s">
        <v>268</v>
      </c>
      <c r="Z883" s="592" t="s">
        <v>141</v>
      </c>
      <c r="AA883" s="568" t="s">
        <v>269</v>
      </c>
      <c r="AB883" s="592" t="s">
        <v>139</v>
      </c>
      <c r="AC883" s="592"/>
      <c r="AD883" s="592"/>
      <c r="AE883" s="590"/>
      <c r="AF883" s="570" t="s">
        <v>2899</v>
      </c>
      <c r="AG883" s="570" t="s">
        <v>25</v>
      </c>
      <c r="AH883" s="571" t="s">
        <v>25</v>
      </c>
      <c r="AI883" s="593"/>
      <c r="AJ883" s="593"/>
    </row>
    <row r="884" spans="1:36" s="376" customFormat="1" ht="40.5" outlineLevel="2" x14ac:dyDescent="0.3">
      <c r="A884" s="447">
        <v>72</v>
      </c>
      <c r="B884" s="558"/>
      <c r="C884" s="558"/>
      <c r="D884" s="587"/>
      <c r="E884" s="560"/>
      <c r="F884" s="558"/>
      <c r="G884" s="588"/>
      <c r="H884" s="546"/>
      <c r="I884" s="563" t="s">
        <v>25</v>
      </c>
      <c r="J884" s="563" t="s">
        <v>25</v>
      </c>
      <c r="K884" s="564" t="s">
        <v>25</v>
      </c>
      <c r="L884" s="564" t="s">
        <v>25</v>
      </c>
      <c r="M884" s="638" t="s">
        <v>405</v>
      </c>
      <c r="N884" s="638"/>
      <c r="O884" s="590">
        <v>10</v>
      </c>
      <c r="P884" s="564">
        <v>72000</v>
      </c>
      <c r="Q884" s="564">
        <v>720000</v>
      </c>
      <c r="R884" s="638" t="s">
        <v>1844</v>
      </c>
      <c r="S884" s="680" t="s">
        <v>53</v>
      </c>
      <c r="T884" s="591">
        <v>26.01</v>
      </c>
      <c r="U884" s="680"/>
      <c r="V884" s="564">
        <v>770070</v>
      </c>
      <c r="W884" s="564">
        <v>20030000</v>
      </c>
      <c r="X884" s="589"/>
      <c r="Y884" s="592" t="s">
        <v>55</v>
      </c>
      <c r="Z884" s="592" t="s">
        <v>270</v>
      </c>
      <c r="AA884" s="568"/>
      <c r="AB884" s="592" t="s">
        <v>66</v>
      </c>
      <c r="AC884" s="592"/>
      <c r="AD884" s="592"/>
      <c r="AE884" s="590"/>
      <c r="AF884" s="570" t="s">
        <v>2899</v>
      </c>
      <c r="AG884" s="570" t="s">
        <v>25</v>
      </c>
      <c r="AH884" s="571" t="s">
        <v>25</v>
      </c>
      <c r="AI884" s="593"/>
      <c r="AJ884" s="593"/>
    </row>
    <row r="885" spans="1:36" s="376" customFormat="1" ht="81" outlineLevel="2" x14ac:dyDescent="0.3">
      <c r="A885" s="447">
        <v>72</v>
      </c>
      <c r="B885" s="558"/>
      <c r="C885" s="558"/>
      <c r="D885" s="587"/>
      <c r="E885" s="560"/>
      <c r="F885" s="558"/>
      <c r="G885" s="588"/>
      <c r="H885" s="546"/>
      <c r="I885" s="563" t="s">
        <v>25</v>
      </c>
      <c r="J885" s="563" t="s">
        <v>25</v>
      </c>
      <c r="K885" s="564" t="s">
        <v>25</v>
      </c>
      <c r="L885" s="564" t="s">
        <v>25</v>
      </c>
      <c r="M885" s="638" t="s">
        <v>771</v>
      </c>
      <c r="N885" s="638"/>
      <c r="O885" s="590">
        <v>1</v>
      </c>
      <c r="P885" s="564">
        <v>150000</v>
      </c>
      <c r="Q885" s="564">
        <v>150000</v>
      </c>
      <c r="R885" s="638" t="s">
        <v>1891</v>
      </c>
      <c r="S885" s="680" t="s">
        <v>53</v>
      </c>
      <c r="T885" s="591">
        <v>13.8</v>
      </c>
      <c r="U885" s="680"/>
      <c r="V885" s="564">
        <v>805811</v>
      </c>
      <c r="W885" s="564">
        <v>11120000</v>
      </c>
      <c r="X885" s="589"/>
      <c r="Y885" s="592"/>
      <c r="Z885" s="592"/>
      <c r="AA885" s="568"/>
      <c r="AB885" s="592"/>
      <c r="AC885" s="592"/>
      <c r="AD885" s="592"/>
      <c r="AE885" s="590"/>
      <c r="AF885" s="570" t="s">
        <v>2899</v>
      </c>
      <c r="AG885" s="570" t="s">
        <v>25</v>
      </c>
      <c r="AH885" s="571" t="s">
        <v>25</v>
      </c>
      <c r="AI885" s="593"/>
      <c r="AJ885" s="593"/>
    </row>
    <row r="886" spans="1:36" s="376" customFormat="1" ht="81" outlineLevel="2" x14ac:dyDescent="0.3">
      <c r="A886" s="447">
        <v>72</v>
      </c>
      <c r="B886" s="558"/>
      <c r="C886" s="558"/>
      <c r="D886" s="587"/>
      <c r="E886" s="560"/>
      <c r="F886" s="558"/>
      <c r="G886" s="588"/>
      <c r="H886" s="546"/>
      <c r="I886" s="563" t="s">
        <v>25</v>
      </c>
      <c r="J886" s="563" t="s">
        <v>25</v>
      </c>
      <c r="K886" s="564" t="s">
        <v>25</v>
      </c>
      <c r="L886" s="564" t="s">
        <v>25</v>
      </c>
      <c r="M886" s="638" t="s">
        <v>772</v>
      </c>
      <c r="N886" s="638"/>
      <c r="O886" s="590">
        <v>3</v>
      </c>
      <c r="P886" s="564">
        <v>72000</v>
      </c>
      <c r="Q886" s="564">
        <v>216000</v>
      </c>
      <c r="R886" s="638" t="s">
        <v>1862</v>
      </c>
      <c r="S886" s="680" t="s">
        <v>53</v>
      </c>
      <c r="T886" s="591">
        <v>38.42</v>
      </c>
      <c r="U886" s="680"/>
      <c r="V886" s="564">
        <v>496651</v>
      </c>
      <c r="W886" s="564">
        <v>19081000</v>
      </c>
      <c r="X886" s="589"/>
      <c r="Y886" s="592"/>
      <c r="Z886" s="592"/>
      <c r="AA886" s="568"/>
      <c r="AB886" s="592"/>
      <c r="AC886" s="592"/>
      <c r="AD886" s="592"/>
      <c r="AE886" s="590"/>
      <c r="AF886" s="570" t="s">
        <v>2899</v>
      </c>
      <c r="AG886" s="570" t="s">
        <v>25</v>
      </c>
      <c r="AH886" s="571" t="s">
        <v>25</v>
      </c>
      <c r="AI886" s="593"/>
      <c r="AJ886" s="593"/>
    </row>
    <row r="887" spans="1:36" s="376" customFormat="1" ht="81" outlineLevel="2" x14ac:dyDescent="0.3">
      <c r="A887" s="447">
        <v>72</v>
      </c>
      <c r="B887" s="558"/>
      <c r="C887" s="558"/>
      <c r="D887" s="587"/>
      <c r="E887" s="560"/>
      <c r="F887" s="558"/>
      <c r="G887" s="588"/>
      <c r="H887" s="546"/>
      <c r="I887" s="563" t="s">
        <v>25</v>
      </c>
      <c r="J887" s="563" t="s">
        <v>25</v>
      </c>
      <c r="K887" s="564" t="s">
        <v>25</v>
      </c>
      <c r="L887" s="564" t="s">
        <v>25</v>
      </c>
      <c r="M887" s="638" t="s">
        <v>774</v>
      </c>
      <c r="N887" s="638"/>
      <c r="O887" s="590">
        <v>2</v>
      </c>
      <c r="P887" s="564">
        <v>150000</v>
      </c>
      <c r="Q887" s="564">
        <v>300000</v>
      </c>
      <c r="R887" s="638" t="s">
        <v>1892</v>
      </c>
      <c r="S887" s="680" t="s">
        <v>53</v>
      </c>
      <c r="T887" s="591">
        <v>47.26</v>
      </c>
      <c r="U887" s="680"/>
      <c r="V887" s="564">
        <v>890132</v>
      </c>
      <c r="W887" s="564">
        <v>42068000</v>
      </c>
      <c r="X887" s="589"/>
      <c r="Y887" s="592"/>
      <c r="Z887" s="592"/>
      <c r="AA887" s="568"/>
      <c r="AB887" s="592"/>
      <c r="AC887" s="592"/>
      <c r="AD887" s="592"/>
      <c r="AE887" s="590"/>
      <c r="AF887" s="570" t="s">
        <v>2899</v>
      </c>
      <c r="AG887" s="570" t="s">
        <v>25</v>
      </c>
      <c r="AH887" s="571" t="s">
        <v>25</v>
      </c>
      <c r="AI887" s="593"/>
      <c r="AJ887" s="593"/>
    </row>
    <row r="888" spans="1:36" s="376" customFormat="1" ht="40.5" outlineLevel="2" x14ac:dyDescent="0.3">
      <c r="A888" s="447">
        <v>72</v>
      </c>
      <c r="B888" s="558"/>
      <c r="C888" s="558"/>
      <c r="D888" s="587"/>
      <c r="E888" s="560"/>
      <c r="F888" s="558"/>
      <c r="G888" s="588"/>
      <c r="H888" s="546"/>
      <c r="I888" s="563" t="s">
        <v>25</v>
      </c>
      <c r="J888" s="563" t="s">
        <v>25</v>
      </c>
      <c r="K888" s="564" t="s">
        <v>25</v>
      </c>
      <c r="L888" s="564" t="s">
        <v>25</v>
      </c>
      <c r="M888" s="638" t="s">
        <v>773</v>
      </c>
      <c r="N888" s="638"/>
      <c r="O888" s="590">
        <v>9</v>
      </c>
      <c r="P888" s="564">
        <v>72000</v>
      </c>
      <c r="Q888" s="564">
        <v>648000</v>
      </c>
      <c r="R888" s="638" t="s">
        <v>1893</v>
      </c>
      <c r="S888" s="680" t="s">
        <v>53</v>
      </c>
      <c r="T888" s="591">
        <v>237.93</v>
      </c>
      <c r="U888" s="680"/>
      <c r="V888" s="564">
        <v>121350</v>
      </c>
      <c r="W888" s="564">
        <v>28873000</v>
      </c>
      <c r="X888" s="589"/>
      <c r="Y888" s="592"/>
      <c r="Z888" s="592"/>
      <c r="AA888" s="568"/>
      <c r="AB888" s="592"/>
      <c r="AC888" s="592"/>
      <c r="AD888" s="592"/>
      <c r="AE888" s="590"/>
      <c r="AF888" s="570" t="s">
        <v>2899</v>
      </c>
      <c r="AG888" s="570" t="s">
        <v>25</v>
      </c>
      <c r="AH888" s="571" t="s">
        <v>25</v>
      </c>
      <c r="AI888" s="593"/>
      <c r="AJ888" s="593"/>
    </row>
    <row r="889" spans="1:36" s="376" customFormat="1" ht="40.5" outlineLevel="2" x14ac:dyDescent="0.3">
      <c r="A889" s="447">
        <v>72</v>
      </c>
      <c r="B889" s="558"/>
      <c r="C889" s="558"/>
      <c r="D889" s="587"/>
      <c r="E889" s="560"/>
      <c r="F889" s="558"/>
      <c r="G889" s="588"/>
      <c r="H889" s="546"/>
      <c r="I889" s="563" t="s">
        <v>25</v>
      </c>
      <c r="J889" s="563" t="s">
        <v>25</v>
      </c>
      <c r="K889" s="564" t="s">
        <v>25</v>
      </c>
      <c r="L889" s="564" t="s">
        <v>25</v>
      </c>
      <c r="M889" s="638" t="s">
        <v>183</v>
      </c>
      <c r="N889" s="638"/>
      <c r="O889" s="590">
        <v>2</v>
      </c>
      <c r="P889" s="564">
        <v>2236000</v>
      </c>
      <c r="Q889" s="564">
        <v>4472000</v>
      </c>
      <c r="R889" s="638" t="s">
        <v>1880</v>
      </c>
      <c r="S889" s="680" t="s">
        <v>78</v>
      </c>
      <c r="T889" s="591">
        <v>0.12</v>
      </c>
      <c r="U889" s="680"/>
      <c r="V889" s="564">
        <v>0</v>
      </c>
      <c r="W889" s="564">
        <v>0</v>
      </c>
      <c r="X889" s="589"/>
      <c r="Y889" s="592"/>
      <c r="Z889" s="592"/>
      <c r="AA889" s="568"/>
      <c r="AB889" s="592"/>
      <c r="AC889" s="592"/>
      <c r="AD889" s="592"/>
      <c r="AE889" s="590"/>
      <c r="AF889" s="570" t="s">
        <v>2899</v>
      </c>
      <c r="AG889" s="570" t="s">
        <v>25</v>
      </c>
      <c r="AH889" s="571" t="s">
        <v>25</v>
      </c>
      <c r="AI889" s="593"/>
      <c r="AJ889" s="593"/>
    </row>
    <row r="890" spans="1:36" s="376" customFormat="1" ht="40.5" outlineLevel="2" x14ac:dyDescent="0.3">
      <c r="A890" s="447">
        <v>72</v>
      </c>
      <c r="B890" s="558"/>
      <c r="C890" s="558"/>
      <c r="D890" s="587"/>
      <c r="E890" s="560"/>
      <c r="F890" s="558"/>
      <c r="G890" s="588"/>
      <c r="H890" s="546"/>
      <c r="I890" s="563" t="s">
        <v>25</v>
      </c>
      <c r="J890" s="563" t="s">
        <v>25</v>
      </c>
      <c r="K890" s="564" t="s">
        <v>25</v>
      </c>
      <c r="L890" s="564" t="s">
        <v>25</v>
      </c>
      <c r="M890" s="638" t="s">
        <v>70</v>
      </c>
      <c r="N890" s="638"/>
      <c r="O890" s="590">
        <v>3</v>
      </c>
      <c r="P890" s="564">
        <v>1632000</v>
      </c>
      <c r="Q890" s="564">
        <v>4896000</v>
      </c>
      <c r="R890" s="586" t="s">
        <v>1767</v>
      </c>
      <c r="S890" s="680" t="s">
        <v>53</v>
      </c>
      <c r="T890" s="591">
        <v>20.11</v>
      </c>
      <c r="U890" s="680"/>
      <c r="V890" s="564">
        <v>0</v>
      </c>
      <c r="W890" s="564">
        <v>0</v>
      </c>
      <c r="X890" s="589"/>
      <c r="Y890" s="592"/>
      <c r="Z890" s="592"/>
      <c r="AA890" s="568"/>
      <c r="AB890" s="592"/>
      <c r="AC890" s="592"/>
      <c r="AD890" s="592"/>
      <c r="AE890" s="590"/>
      <c r="AF890" s="570" t="s">
        <v>2899</v>
      </c>
      <c r="AG890" s="570" t="s">
        <v>25</v>
      </c>
      <c r="AH890" s="571" t="s">
        <v>25</v>
      </c>
      <c r="AI890" s="593"/>
      <c r="AJ890" s="593"/>
    </row>
    <row r="891" spans="1:36" s="376" customFormat="1" ht="60.75" outlineLevel="2" x14ac:dyDescent="0.3">
      <c r="A891" s="447">
        <v>72</v>
      </c>
      <c r="B891" s="558"/>
      <c r="C891" s="558"/>
      <c r="D891" s="587"/>
      <c r="E891" s="560"/>
      <c r="F891" s="558"/>
      <c r="G891" s="588"/>
      <c r="H891" s="546"/>
      <c r="I891" s="563" t="s">
        <v>25</v>
      </c>
      <c r="J891" s="563" t="s">
        <v>25</v>
      </c>
      <c r="K891" s="564" t="s">
        <v>25</v>
      </c>
      <c r="L891" s="564" t="s">
        <v>25</v>
      </c>
      <c r="M891" s="638" t="s">
        <v>145</v>
      </c>
      <c r="N891" s="638"/>
      <c r="O891" s="590">
        <v>2</v>
      </c>
      <c r="P891" s="564">
        <v>4240000</v>
      </c>
      <c r="Q891" s="564">
        <v>8480000</v>
      </c>
      <c r="R891" s="638" t="s">
        <v>1771</v>
      </c>
      <c r="S891" s="680" t="s">
        <v>53</v>
      </c>
      <c r="T891" s="591">
        <v>0.4</v>
      </c>
      <c r="U891" s="680"/>
      <c r="V891" s="564">
        <v>348773</v>
      </c>
      <c r="W891" s="564">
        <v>140000</v>
      </c>
      <c r="X891" s="589"/>
      <c r="Y891" s="592"/>
      <c r="Z891" s="592"/>
      <c r="AA891" s="568"/>
      <c r="AB891" s="592"/>
      <c r="AC891" s="592"/>
      <c r="AD891" s="592"/>
      <c r="AE891" s="590"/>
      <c r="AF891" s="570" t="s">
        <v>2899</v>
      </c>
      <c r="AG891" s="570" t="s">
        <v>25</v>
      </c>
      <c r="AH891" s="571" t="s">
        <v>25</v>
      </c>
      <c r="AI891" s="593"/>
      <c r="AJ891" s="593"/>
    </row>
    <row r="892" spans="1:36" s="376" customFormat="1" ht="60.75" outlineLevel="2" x14ac:dyDescent="0.3">
      <c r="A892" s="447">
        <v>72</v>
      </c>
      <c r="B892" s="558"/>
      <c r="C892" s="558"/>
      <c r="D892" s="587"/>
      <c r="E892" s="560"/>
      <c r="F892" s="558"/>
      <c r="G892" s="588"/>
      <c r="H892" s="546"/>
      <c r="I892" s="563" t="s">
        <v>25</v>
      </c>
      <c r="J892" s="563" t="s">
        <v>25</v>
      </c>
      <c r="K892" s="564" t="s">
        <v>25</v>
      </c>
      <c r="L892" s="564" t="s">
        <v>25</v>
      </c>
      <c r="M892" s="638" t="s">
        <v>77</v>
      </c>
      <c r="N892" s="638"/>
      <c r="O892" s="590">
        <v>4</v>
      </c>
      <c r="P892" s="564">
        <v>3064000</v>
      </c>
      <c r="Q892" s="564">
        <v>12256000</v>
      </c>
      <c r="R892" s="638" t="s">
        <v>1774</v>
      </c>
      <c r="S892" s="680" t="s">
        <v>53</v>
      </c>
      <c r="T892" s="591">
        <v>3</v>
      </c>
      <c r="U892" s="680"/>
      <c r="V892" s="564">
        <v>286855</v>
      </c>
      <c r="W892" s="564">
        <v>861000</v>
      </c>
      <c r="X892" s="589"/>
      <c r="Y892" s="592"/>
      <c r="Z892" s="592"/>
      <c r="AA892" s="568"/>
      <c r="AB892" s="592"/>
      <c r="AC892" s="592"/>
      <c r="AD892" s="592"/>
      <c r="AE892" s="590"/>
      <c r="AF892" s="570" t="s">
        <v>2899</v>
      </c>
      <c r="AG892" s="570" t="s">
        <v>25</v>
      </c>
      <c r="AH892" s="571" t="s">
        <v>25</v>
      </c>
      <c r="AI892" s="593"/>
      <c r="AJ892" s="593"/>
    </row>
    <row r="893" spans="1:36" s="376" customFormat="1" ht="60.75" outlineLevel="2" x14ac:dyDescent="0.3">
      <c r="A893" s="447">
        <v>72</v>
      </c>
      <c r="B893" s="558"/>
      <c r="C893" s="558"/>
      <c r="D893" s="587"/>
      <c r="E893" s="560"/>
      <c r="F893" s="558"/>
      <c r="G893" s="588"/>
      <c r="H893" s="546"/>
      <c r="I893" s="563" t="s">
        <v>25</v>
      </c>
      <c r="J893" s="563" t="s">
        <v>25</v>
      </c>
      <c r="K893" s="564" t="s">
        <v>25</v>
      </c>
      <c r="L893" s="564" t="s">
        <v>25</v>
      </c>
      <c r="M893" s="638" t="s">
        <v>775</v>
      </c>
      <c r="N893" s="638"/>
      <c r="O893" s="590">
        <v>1</v>
      </c>
      <c r="P893" s="564">
        <v>360000</v>
      </c>
      <c r="Q893" s="564">
        <v>360000</v>
      </c>
      <c r="R893" s="638" t="s">
        <v>1768</v>
      </c>
      <c r="S893" s="680" t="s">
        <v>53</v>
      </c>
      <c r="T893" s="591">
        <v>14.04</v>
      </c>
      <c r="U893" s="680"/>
      <c r="V893" s="564">
        <v>238288</v>
      </c>
      <c r="W893" s="564">
        <v>3346000</v>
      </c>
      <c r="X893" s="589"/>
      <c r="Y893" s="592"/>
      <c r="Z893" s="592"/>
      <c r="AA893" s="568"/>
      <c r="AB893" s="592"/>
      <c r="AC893" s="592"/>
      <c r="AD893" s="592"/>
      <c r="AE893" s="590"/>
      <c r="AF893" s="570" t="s">
        <v>2899</v>
      </c>
      <c r="AG893" s="570" t="s">
        <v>25</v>
      </c>
      <c r="AH893" s="571" t="s">
        <v>25</v>
      </c>
      <c r="AI893" s="593"/>
      <c r="AJ893" s="593"/>
    </row>
    <row r="894" spans="1:36" s="376" customFormat="1" ht="60.75" outlineLevel="2" x14ac:dyDescent="0.3">
      <c r="A894" s="447">
        <v>72</v>
      </c>
      <c r="B894" s="558"/>
      <c r="C894" s="558"/>
      <c r="D894" s="587"/>
      <c r="E894" s="560"/>
      <c r="F894" s="558"/>
      <c r="G894" s="588"/>
      <c r="H894" s="546"/>
      <c r="I894" s="563" t="s">
        <v>25</v>
      </c>
      <c r="J894" s="563" t="s">
        <v>25</v>
      </c>
      <c r="K894" s="564" t="s">
        <v>25</v>
      </c>
      <c r="L894" s="564" t="s">
        <v>25</v>
      </c>
      <c r="M894" s="638" t="s">
        <v>271</v>
      </c>
      <c r="N894" s="638"/>
      <c r="O894" s="590">
        <v>1</v>
      </c>
      <c r="P894" s="564">
        <v>667000</v>
      </c>
      <c r="Q894" s="564">
        <v>667000</v>
      </c>
      <c r="R894" s="638" t="s">
        <v>1894</v>
      </c>
      <c r="S894" s="680" t="s">
        <v>53</v>
      </c>
      <c r="T894" s="591">
        <v>16.14</v>
      </c>
      <c r="U894" s="680"/>
      <c r="V894" s="564">
        <v>348773</v>
      </c>
      <c r="W894" s="564">
        <v>5629000</v>
      </c>
      <c r="X894" s="589"/>
      <c r="Y894" s="592"/>
      <c r="Z894" s="592"/>
      <c r="AA894" s="568"/>
      <c r="AB894" s="592"/>
      <c r="AC894" s="592"/>
      <c r="AD894" s="592"/>
      <c r="AE894" s="590"/>
      <c r="AF894" s="570" t="s">
        <v>2899</v>
      </c>
      <c r="AG894" s="570" t="s">
        <v>25</v>
      </c>
      <c r="AH894" s="571" t="s">
        <v>25</v>
      </c>
      <c r="AI894" s="593"/>
      <c r="AJ894" s="593"/>
    </row>
    <row r="895" spans="1:36" s="376" customFormat="1" ht="60.75" outlineLevel="2" x14ac:dyDescent="0.3">
      <c r="A895" s="447">
        <v>72</v>
      </c>
      <c r="B895" s="558"/>
      <c r="C895" s="558"/>
      <c r="D895" s="587"/>
      <c r="E895" s="560"/>
      <c r="F895" s="558"/>
      <c r="G895" s="588"/>
      <c r="H895" s="546"/>
      <c r="I895" s="563" t="s">
        <v>25</v>
      </c>
      <c r="J895" s="563" t="s">
        <v>25</v>
      </c>
      <c r="K895" s="564" t="s">
        <v>25</v>
      </c>
      <c r="L895" s="564" t="s">
        <v>25</v>
      </c>
      <c r="M895" s="638" t="s">
        <v>135</v>
      </c>
      <c r="N895" s="638"/>
      <c r="O895" s="590">
        <v>1</v>
      </c>
      <c r="P895" s="564">
        <v>228000</v>
      </c>
      <c r="Q895" s="564">
        <v>228000</v>
      </c>
      <c r="R895" s="638" t="s">
        <v>1895</v>
      </c>
      <c r="S895" s="680" t="s">
        <v>53</v>
      </c>
      <c r="T895" s="591">
        <v>16.059999999999999</v>
      </c>
      <c r="U895" s="680"/>
      <c r="V895" s="564">
        <v>496651</v>
      </c>
      <c r="W895" s="564">
        <v>7976000</v>
      </c>
      <c r="X895" s="589"/>
      <c r="Y895" s="592"/>
      <c r="Z895" s="592"/>
      <c r="AA895" s="568"/>
      <c r="AB895" s="592"/>
      <c r="AC895" s="592"/>
      <c r="AD895" s="592"/>
      <c r="AE895" s="590"/>
      <c r="AF895" s="570" t="s">
        <v>2899</v>
      </c>
      <c r="AG895" s="570" t="s">
        <v>25</v>
      </c>
      <c r="AH895" s="571" t="s">
        <v>25</v>
      </c>
      <c r="AI895" s="593"/>
      <c r="AJ895" s="593"/>
    </row>
    <row r="896" spans="1:36" s="376" customFormat="1" ht="81" outlineLevel="2" x14ac:dyDescent="0.3">
      <c r="A896" s="447">
        <v>72</v>
      </c>
      <c r="B896" s="558"/>
      <c r="C896" s="558"/>
      <c r="D896" s="587"/>
      <c r="E896" s="560"/>
      <c r="F896" s="558"/>
      <c r="G896" s="588"/>
      <c r="H896" s="546"/>
      <c r="I896" s="563" t="s">
        <v>25</v>
      </c>
      <c r="J896" s="563" t="s">
        <v>25</v>
      </c>
      <c r="K896" s="564" t="s">
        <v>25</v>
      </c>
      <c r="L896" s="564" t="s">
        <v>25</v>
      </c>
      <c r="M896" s="638" t="s">
        <v>272</v>
      </c>
      <c r="N896" s="638"/>
      <c r="O896" s="590">
        <v>13.5</v>
      </c>
      <c r="P896" s="564">
        <v>5000</v>
      </c>
      <c r="Q896" s="564">
        <v>67500</v>
      </c>
      <c r="R896" s="638" t="s">
        <v>1896</v>
      </c>
      <c r="S896" s="680" t="s">
        <v>53</v>
      </c>
      <c r="T896" s="591">
        <v>9.4499999999999993</v>
      </c>
      <c r="U896" s="680"/>
      <c r="V896" s="564">
        <v>496651</v>
      </c>
      <c r="W896" s="564">
        <v>4693000</v>
      </c>
      <c r="X896" s="589"/>
      <c r="Y896" s="592"/>
      <c r="Z896" s="592"/>
      <c r="AA896" s="568"/>
      <c r="AB896" s="592"/>
      <c r="AC896" s="592"/>
      <c r="AD896" s="592"/>
      <c r="AE896" s="590"/>
      <c r="AF896" s="570" t="s">
        <v>2899</v>
      </c>
      <c r="AG896" s="570" t="s">
        <v>25</v>
      </c>
      <c r="AH896" s="571" t="s">
        <v>25</v>
      </c>
      <c r="AI896" s="593"/>
      <c r="AJ896" s="593"/>
    </row>
    <row r="897" spans="1:36" s="376" customFormat="1" ht="60.75" outlineLevel="2" x14ac:dyDescent="0.3">
      <c r="A897" s="447">
        <v>72</v>
      </c>
      <c r="B897" s="558"/>
      <c r="C897" s="558"/>
      <c r="D897" s="587"/>
      <c r="E897" s="560"/>
      <c r="F897" s="558"/>
      <c r="G897" s="588"/>
      <c r="H897" s="546"/>
      <c r="I897" s="563" t="s">
        <v>25</v>
      </c>
      <c r="J897" s="563" t="s">
        <v>25</v>
      </c>
      <c r="K897" s="564" t="s">
        <v>25</v>
      </c>
      <c r="L897" s="564" t="s">
        <v>25</v>
      </c>
      <c r="M897" s="638" t="s">
        <v>733</v>
      </c>
      <c r="N897" s="638"/>
      <c r="O897" s="590">
        <v>6</v>
      </c>
      <c r="P897" s="564">
        <v>150000</v>
      </c>
      <c r="Q897" s="564">
        <v>900000</v>
      </c>
      <c r="R897" s="638" t="s">
        <v>1880</v>
      </c>
      <c r="S897" s="680" t="s">
        <v>78</v>
      </c>
      <c r="T897" s="591">
        <v>1.44</v>
      </c>
      <c r="U897" s="680"/>
      <c r="V897" s="564">
        <v>0</v>
      </c>
      <c r="W897" s="564">
        <v>0</v>
      </c>
      <c r="X897" s="589"/>
      <c r="Y897" s="592"/>
      <c r="Z897" s="592"/>
      <c r="AA897" s="568"/>
      <c r="AB897" s="592"/>
      <c r="AC897" s="592"/>
      <c r="AD897" s="592"/>
      <c r="AE897" s="590"/>
      <c r="AF897" s="570" t="s">
        <v>2899</v>
      </c>
      <c r="AG897" s="570" t="s">
        <v>25</v>
      </c>
      <c r="AH897" s="571" t="s">
        <v>25</v>
      </c>
      <c r="AI897" s="593"/>
      <c r="AJ897" s="593"/>
    </row>
    <row r="898" spans="1:36" s="376" customFormat="1" ht="81" outlineLevel="2" x14ac:dyDescent="0.3">
      <c r="A898" s="447">
        <v>72</v>
      </c>
      <c r="B898" s="558"/>
      <c r="C898" s="558"/>
      <c r="D898" s="587"/>
      <c r="E898" s="560"/>
      <c r="F898" s="558"/>
      <c r="G898" s="588"/>
      <c r="H898" s="546"/>
      <c r="I898" s="563" t="s">
        <v>25</v>
      </c>
      <c r="J898" s="563" t="s">
        <v>25</v>
      </c>
      <c r="K898" s="564" t="s">
        <v>25</v>
      </c>
      <c r="L898" s="564" t="s">
        <v>25</v>
      </c>
      <c r="M898" s="638" t="s">
        <v>273</v>
      </c>
      <c r="N898" s="638"/>
      <c r="O898" s="590">
        <v>5.8</v>
      </c>
      <c r="P898" s="564">
        <v>3000</v>
      </c>
      <c r="Q898" s="564">
        <v>17400</v>
      </c>
      <c r="R898" s="638" t="s">
        <v>1768</v>
      </c>
      <c r="S898" s="680" t="s">
        <v>53</v>
      </c>
      <c r="T898" s="591">
        <v>58.78</v>
      </c>
      <c r="U898" s="680"/>
      <c r="V898" s="564">
        <v>238288</v>
      </c>
      <c r="W898" s="564">
        <v>14007000</v>
      </c>
      <c r="X898" s="589"/>
      <c r="Y898" s="592"/>
      <c r="Z898" s="592"/>
      <c r="AA898" s="568"/>
      <c r="AB898" s="592"/>
      <c r="AC898" s="592"/>
      <c r="AD898" s="592"/>
      <c r="AE898" s="590"/>
      <c r="AF898" s="570" t="s">
        <v>2899</v>
      </c>
      <c r="AG898" s="570" t="s">
        <v>25</v>
      </c>
      <c r="AH898" s="571" t="s">
        <v>25</v>
      </c>
      <c r="AI898" s="593"/>
      <c r="AJ898" s="593"/>
    </row>
    <row r="899" spans="1:36" s="376" customFormat="1" ht="40.5" outlineLevel="2" x14ac:dyDescent="0.3">
      <c r="A899" s="447">
        <v>72</v>
      </c>
      <c r="B899" s="558"/>
      <c r="C899" s="558"/>
      <c r="D899" s="587"/>
      <c r="E899" s="560"/>
      <c r="F899" s="558"/>
      <c r="G899" s="588"/>
      <c r="H899" s="546"/>
      <c r="I899" s="563" t="s">
        <v>25</v>
      </c>
      <c r="J899" s="563" t="s">
        <v>25</v>
      </c>
      <c r="K899" s="564" t="s">
        <v>25</v>
      </c>
      <c r="L899" s="564" t="s">
        <v>25</v>
      </c>
      <c r="M899" s="638" t="s">
        <v>274</v>
      </c>
      <c r="N899" s="638"/>
      <c r="O899" s="590">
        <v>2</v>
      </c>
      <c r="P899" s="564">
        <v>517000</v>
      </c>
      <c r="Q899" s="564">
        <v>1034000</v>
      </c>
      <c r="R899" s="586" t="s">
        <v>1844</v>
      </c>
      <c r="S899" s="680" t="s">
        <v>53</v>
      </c>
      <c r="T899" s="591">
        <v>26.32</v>
      </c>
      <c r="U899" s="680"/>
      <c r="V899" s="564">
        <v>770070</v>
      </c>
      <c r="W899" s="564">
        <v>20268000</v>
      </c>
      <c r="X899" s="589"/>
      <c r="Y899" s="592"/>
      <c r="Z899" s="592"/>
      <c r="AA899" s="568"/>
      <c r="AB899" s="592"/>
      <c r="AC899" s="592"/>
      <c r="AD899" s="592"/>
      <c r="AE899" s="590"/>
      <c r="AF899" s="570" t="s">
        <v>2899</v>
      </c>
      <c r="AG899" s="570" t="s">
        <v>25</v>
      </c>
      <c r="AH899" s="571" t="s">
        <v>25</v>
      </c>
      <c r="AI899" s="593"/>
      <c r="AJ899" s="593"/>
    </row>
    <row r="900" spans="1:36" s="376" customFormat="1" ht="40.5" outlineLevel="2" x14ac:dyDescent="0.3">
      <c r="A900" s="447">
        <v>72</v>
      </c>
      <c r="B900" s="558"/>
      <c r="C900" s="558"/>
      <c r="D900" s="587"/>
      <c r="E900" s="560"/>
      <c r="F900" s="558"/>
      <c r="G900" s="588"/>
      <c r="H900" s="546"/>
      <c r="I900" s="563" t="s">
        <v>25</v>
      </c>
      <c r="J900" s="563" t="s">
        <v>25</v>
      </c>
      <c r="K900" s="564" t="s">
        <v>25</v>
      </c>
      <c r="L900" s="564" t="s">
        <v>25</v>
      </c>
      <c r="M900" s="638" t="s">
        <v>154</v>
      </c>
      <c r="N900" s="638"/>
      <c r="O900" s="590">
        <v>1</v>
      </c>
      <c r="P900" s="564">
        <v>248000</v>
      </c>
      <c r="Q900" s="564">
        <v>248000</v>
      </c>
      <c r="R900" s="638" t="s">
        <v>1893</v>
      </c>
      <c r="S900" s="680" t="s">
        <v>53</v>
      </c>
      <c r="T900" s="591">
        <v>37.520000000000003</v>
      </c>
      <c r="U900" s="680"/>
      <c r="V900" s="564">
        <v>121350</v>
      </c>
      <c r="W900" s="564">
        <v>4553000</v>
      </c>
      <c r="X900" s="589"/>
      <c r="Y900" s="592"/>
      <c r="Z900" s="592"/>
      <c r="AA900" s="568"/>
      <c r="AB900" s="592"/>
      <c r="AC900" s="592"/>
      <c r="AD900" s="592"/>
      <c r="AE900" s="590"/>
      <c r="AF900" s="570" t="s">
        <v>2899</v>
      </c>
      <c r="AG900" s="570" t="s">
        <v>25</v>
      </c>
      <c r="AH900" s="571" t="s">
        <v>25</v>
      </c>
      <c r="AI900" s="593"/>
      <c r="AJ900" s="593"/>
    </row>
    <row r="901" spans="1:36" s="376" customFormat="1" ht="40.5" outlineLevel="2" x14ac:dyDescent="0.3">
      <c r="A901" s="447">
        <v>72</v>
      </c>
      <c r="B901" s="558"/>
      <c r="C901" s="558"/>
      <c r="D901" s="587"/>
      <c r="E901" s="560"/>
      <c r="F901" s="558"/>
      <c r="G901" s="588"/>
      <c r="H901" s="546"/>
      <c r="I901" s="563" t="s">
        <v>25</v>
      </c>
      <c r="J901" s="563" t="s">
        <v>25</v>
      </c>
      <c r="K901" s="564" t="s">
        <v>25</v>
      </c>
      <c r="L901" s="564" t="s">
        <v>25</v>
      </c>
      <c r="M901" s="638" t="s">
        <v>76</v>
      </c>
      <c r="N901" s="638"/>
      <c r="O901" s="590">
        <v>3</v>
      </c>
      <c r="P901" s="564">
        <v>45000</v>
      </c>
      <c r="Q901" s="564">
        <v>135000</v>
      </c>
      <c r="R901" s="638" t="s">
        <v>1799</v>
      </c>
      <c r="S901" s="680" t="s">
        <v>53</v>
      </c>
      <c r="T901" s="591">
        <v>30</v>
      </c>
      <c r="U901" s="680"/>
      <c r="V901" s="564">
        <v>275180</v>
      </c>
      <c r="W901" s="564">
        <v>8255000</v>
      </c>
      <c r="X901" s="589"/>
      <c r="Y901" s="592"/>
      <c r="Z901" s="592"/>
      <c r="AA901" s="568"/>
      <c r="AB901" s="592"/>
      <c r="AC901" s="592"/>
      <c r="AD901" s="592"/>
      <c r="AE901" s="590"/>
      <c r="AF901" s="570" t="s">
        <v>2899</v>
      </c>
      <c r="AG901" s="570" t="s">
        <v>25</v>
      </c>
      <c r="AH901" s="571" t="s">
        <v>25</v>
      </c>
      <c r="AI901" s="593"/>
      <c r="AJ901" s="593"/>
    </row>
    <row r="902" spans="1:36" s="376" customFormat="1" ht="40.5" outlineLevel="2" x14ac:dyDescent="0.3">
      <c r="A902" s="447">
        <v>72</v>
      </c>
      <c r="B902" s="558"/>
      <c r="C902" s="558"/>
      <c r="D902" s="587"/>
      <c r="E902" s="560"/>
      <c r="F902" s="558"/>
      <c r="G902" s="588"/>
      <c r="H902" s="546"/>
      <c r="I902" s="563" t="s">
        <v>25</v>
      </c>
      <c r="J902" s="563" t="s">
        <v>25</v>
      </c>
      <c r="K902" s="564" t="s">
        <v>25</v>
      </c>
      <c r="L902" s="564" t="s">
        <v>25</v>
      </c>
      <c r="M902" s="638" t="s">
        <v>776</v>
      </c>
      <c r="N902" s="638"/>
      <c r="O902" s="590">
        <v>1</v>
      </c>
      <c r="P902" s="564">
        <v>600000</v>
      </c>
      <c r="Q902" s="564">
        <v>600000</v>
      </c>
      <c r="R902" s="638" t="s">
        <v>1799</v>
      </c>
      <c r="S902" s="680" t="s">
        <v>53</v>
      </c>
      <c r="T902" s="591">
        <v>32.4</v>
      </c>
      <c r="U902" s="680"/>
      <c r="V902" s="564">
        <v>275180</v>
      </c>
      <c r="W902" s="564">
        <v>8916000</v>
      </c>
      <c r="X902" s="589"/>
      <c r="Y902" s="592"/>
      <c r="Z902" s="592"/>
      <c r="AA902" s="568"/>
      <c r="AB902" s="592"/>
      <c r="AC902" s="592"/>
      <c r="AD902" s="592"/>
      <c r="AE902" s="590"/>
      <c r="AF902" s="570" t="s">
        <v>2899</v>
      </c>
      <c r="AG902" s="570" t="s">
        <v>25</v>
      </c>
      <c r="AH902" s="571" t="s">
        <v>25</v>
      </c>
      <c r="AI902" s="593"/>
      <c r="AJ902" s="593"/>
    </row>
    <row r="903" spans="1:36" s="376" customFormat="1" ht="40.5" outlineLevel="2" x14ac:dyDescent="0.3">
      <c r="A903" s="447">
        <v>72</v>
      </c>
      <c r="B903" s="558"/>
      <c r="C903" s="558"/>
      <c r="D903" s="587"/>
      <c r="E903" s="560"/>
      <c r="F903" s="558"/>
      <c r="G903" s="588"/>
      <c r="H903" s="546"/>
      <c r="I903" s="563" t="s">
        <v>25</v>
      </c>
      <c r="J903" s="563" t="s">
        <v>25</v>
      </c>
      <c r="K903" s="564" t="s">
        <v>25</v>
      </c>
      <c r="L903" s="564" t="s">
        <v>25</v>
      </c>
      <c r="M903" s="638" t="s">
        <v>275</v>
      </c>
      <c r="N903" s="638"/>
      <c r="O903" s="590">
        <v>3</v>
      </c>
      <c r="P903" s="564">
        <v>360000</v>
      </c>
      <c r="Q903" s="564">
        <v>1080000</v>
      </c>
      <c r="R903" s="638" t="s">
        <v>1897</v>
      </c>
      <c r="S903" s="640" t="s">
        <v>53</v>
      </c>
      <c r="T903" s="591">
        <v>5</v>
      </c>
      <c r="U903" s="680"/>
      <c r="V903" s="564">
        <v>0</v>
      </c>
      <c r="W903" s="564">
        <v>0</v>
      </c>
      <c r="X903" s="589"/>
      <c r="Y903" s="592"/>
      <c r="Z903" s="592"/>
      <c r="AA903" s="568"/>
      <c r="AB903" s="592"/>
      <c r="AC903" s="592"/>
      <c r="AD903" s="592"/>
      <c r="AE903" s="590"/>
      <c r="AF903" s="570" t="s">
        <v>2899</v>
      </c>
      <c r="AG903" s="570" t="s">
        <v>25</v>
      </c>
      <c r="AH903" s="571" t="s">
        <v>25</v>
      </c>
      <c r="AI903" s="593"/>
      <c r="AJ903" s="593"/>
    </row>
    <row r="904" spans="1:36" s="376" customFormat="1" ht="40.5" outlineLevel="2" x14ac:dyDescent="0.3">
      <c r="A904" s="447">
        <v>72</v>
      </c>
      <c r="B904" s="558"/>
      <c r="C904" s="558"/>
      <c r="D904" s="587"/>
      <c r="E904" s="560"/>
      <c r="F904" s="558"/>
      <c r="G904" s="588"/>
      <c r="H904" s="546"/>
      <c r="I904" s="563" t="s">
        <v>25</v>
      </c>
      <c r="J904" s="563" t="s">
        <v>25</v>
      </c>
      <c r="K904" s="564" t="s">
        <v>25</v>
      </c>
      <c r="L904" s="564" t="s">
        <v>25</v>
      </c>
      <c r="M904" s="638" t="s">
        <v>276</v>
      </c>
      <c r="N904" s="638"/>
      <c r="O904" s="590">
        <v>1</v>
      </c>
      <c r="P904" s="564">
        <v>228000</v>
      </c>
      <c r="Q904" s="564">
        <v>228000</v>
      </c>
      <c r="R904" s="638"/>
      <c r="S904" s="640"/>
      <c r="T904" s="591"/>
      <c r="U904" s="680"/>
      <c r="V904" s="564" t="s">
        <v>2899</v>
      </c>
      <c r="W904" s="564" t="s">
        <v>25</v>
      </c>
      <c r="X904" s="589"/>
      <c r="Y904" s="592"/>
      <c r="Z904" s="592"/>
      <c r="AA904" s="568"/>
      <c r="AB904" s="592"/>
      <c r="AC904" s="592"/>
      <c r="AD904" s="592"/>
      <c r="AE904" s="590"/>
      <c r="AF904" s="570" t="s">
        <v>2899</v>
      </c>
      <c r="AG904" s="570" t="s">
        <v>25</v>
      </c>
      <c r="AH904" s="571" t="s">
        <v>25</v>
      </c>
      <c r="AI904" s="593"/>
      <c r="AJ904" s="593"/>
    </row>
    <row r="905" spans="1:36" s="376" customFormat="1" ht="20.25" outlineLevel="2" x14ac:dyDescent="0.3">
      <c r="A905" s="447">
        <v>72</v>
      </c>
      <c r="B905" s="558"/>
      <c r="C905" s="558"/>
      <c r="D905" s="587"/>
      <c r="E905" s="560"/>
      <c r="F905" s="558"/>
      <c r="G905" s="588"/>
      <c r="H905" s="546"/>
      <c r="I905" s="563" t="s">
        <v>25</v>
      </c>
      <c r="J905" s="563" t="s">
        <v>25</v>
      </c>
      <c r="K905" s="564" t="s">
        <v>25</v>
      </c>
      <c r="L905" s="564" t="s">
        <v>25</v>
      </c>
      <c r="M905" s="638" t="s">
        <v>728</v>
      </c>
      <c r="N905" s="638"/>
      <c r="O905" s="590">
        <v>1</v>
      </c>
      <c r="P905" s="564">
        <v>60000</v>
      </c>
      <c r="Q905" s="564">
        <v>60000</v>
      </c>
      <c r="R905" s="638"/>
      <c r="S905" s="640"/>
      <c r="T905" s="591"/>
      <c r="U905" s="680"/>
      <c r="V905" s="564" t="s">
        <v>2899</v>
      </c>
      <c r="W905" s="564" t="s">
        <v>25</v>
      </c>
      <c r="X905" s="589"/>
      <c r="Y905" s="592"/>
      <c r="Z905" s="592"/>
      <c r="AA905" s="568"/>
      <c r="AB905" s="592"/>
      <c r="AC905" s="592"/>
      <c r="AD905" s="592"/>
      <c r="AE905" s="590"/>
      <c r="AF905" s="570" t="s">
        <v>2899</v>
      </c>
      <c r="AG905" s="570" t="s">
        <v>25</v>
      </c>
      <c r="AH905" s="571" t="s">
        <v>25</v>
      </c>
      <c r="AI905" s="593"/>
      <c r="AJ905" s="593"/>
    </row>
    <row r="906" spans="1:36" s="376" customFormat="1" ht="20.25" outlineLevel="2" x14ac:dyDescent="0.3">
      <c r="A906" s="447">
        <v>72</v>
      </c>
      <c r="B906" s="558"/>
      <c r="C906" s="558"/>
      <c r="D906" s="587"/>
      <c r="E906" s="560"/>
      <c r="F906" s="558"/>
      <c r="G906" s="588"/>
      <c r="H906" s="546"/>
      <c r="I906" s="563" t="s">
        <v>25</v>
      </c>
      <c r="J906" s="563" t="s">
        <v>25</v>
      </c>
      <c r="K906" s="564" t="s">
        <v>25</v>
      </c>
      <c r="L906" s="564" t="s">
        <v>25</v>
      </c>
      <c r="M906" s="638" t="s">
        <v>736</v>
      </c>
      <c r="N906" s="638"/>
      <c r="O906" s="590">
        <v>8</v>
      </c>
      <c r="P906" s="564">
        <v>32000</v>
      </c>
      <c r="Q906" s="564">
        <v>256000</v>
      </c>
      <c r="R906" s="638"/>
      <c r="S906" s="640"/>
      <c r="T906" s="591"/>
      <c r="U906" s="680"/>
      <c r="V906" s="564" t="s">
        <v>2899</v>
      </c>
      <c r="W906" s="564" t="s">
        <v>25</v>
      </c>
      <c r="X906" s="589"/>
      <c r="Y906" s="592"/>
      <c r="Z906" s="592"/>
      <c r="AA906" s="568"/>
      <c r="AB906" s="592"/>
      <c r="AC906" s="592"/>
      <c r="AD906" s="592"/>
      <c r="AE906" s="590"/>
      <c r="AF906" s="570" t="s">
        <v>2899</v>
      </c>
      <c r="AG906" s="570" t="s">
        <v>25</v>
      </c>
      <c r="AH906" s="571" t="s">
        <v>25</v>
      </c>
      <c r="AI906" s="593"/>
      <c r="AJ906" s="593"/>
    </row>
    <row r="907" spans="1:36" s="376" customFormat="1" ht="20.25" outlineLevel="2" x14ac:dyDescent="0.3">
      <c r="A907" s="447">
        <v>72</v>
      </c>
      <c r="B907" s="558"/>
      <c r="C907" s="558"/>
      <c r="D907" s="587"/>
      <c r="E907" s="560"/>
      <c r="F907" s="558"/>
      <c r="G907" s="588"/>
      <c r="H907" s="546"/>
      <c r="I907" s="563" t="s">
        <v>25</v>
      </c>
      <c r="J907" s="563" t="s">
        <v>25</v>
      </c>
      <c r="K907" s="564" t="s">
        <v>25</v>
      </c>
      <c r="L907" s="564" t="s">
        <v>25</v>
      </c>
      <c r="M907" s="638" t="s">
        <v>777</v>
      </c>
      <c r="N907" s="638"/>
      <c r="O907" s="590">
        <v>1</v>
      </c>
      <c r="P907" s="564">
        <v>32000</v>
      </c>
      <c r="Q907" s="564">
        <v>32000</v>
      </c>
      <c r="R907" s="638"/>
      <c r="S907" s="640"/>
      <c r="T907" s="591"/>
      <c r="U907" s="680"/>
      <c r="V907" s="564" t="s">
        <v>2899</v>
      </c>
      <c r="W907" s="564" t="s">
        <v>25</v>
      </c>
      <c r="X907" s="589"/>
      <c r="Y907" s="592"/>
      <c r="Z907" s="592"/>
      <c r="AA907" s="568"/>
      <c r="AB907" s="592"/>
      <c r="AC907" s="592"/>
      <c r="AD907" s="592"/>
      <c r="AE907" s="590"/>
      <c r="AF907" s="570" t="s">
        <v>2899</v>
      </c>
      <c r="AG907" s="570" t="s">
        <v>25</v>
      </c>
      <c r="AH907" s="571" t="s">
        <v>25</v>
      </c>
      <c r="AI907" s="593"/>
      <c r="AJ907" s="593"/>
    </row>
    <row r="908" spans="1:36" s="376" customFormat="1" ht="20.25" outlineLevel="2" x14ac:dyDescent="0.3">
      <c r="A908" s="447">
        <v>72</v>
      </c>
      <c r="B908" s="558"/>
      <c r="C908" s="558"/>
      <c r="D908" s="587"/>
      <c r="E908" s="560"/>
      <c r="F908" s="558"/>
      <c r="G908" s="588"/>
      <c r="H908" s="546"/>
      <c r="I908" s="563" t="s">
        <v>25</v>
      </c>
      <c r="J908" s="563" t="s">
        <v>25</v>
      </c>
      <c r="K908" s="564" t="s">
        <v>25</v>
      </c>
      <c r="L908" s="564" t="s">
        <v>25</v>
      </c>
      <c r="M908" s="638" t="s">
        <v>352</v>
      </c>
      <c r="N908" s="638"/>
      <c r="O908" s="590">
        <v>1</v>
      </c>
      <c r="P908" s="564">
        <v>60000</v>
      </c>
      <c r="Q908" s="564">
        <v>60000</v>
      </c>
      <c r="R908" s="638"/>
      <c r="S908" s="640"/>
      <c r="T908" s="591"/>
      <c r="U908" s="680"/>
      <c r="V908" s="564" t="s">
        <v>2899</v>
      </c>
      <c r="W908" s="564" t="s">
        <v>25</v>
      </c>
      <c r="X908" s="589"/>
      <c r="Y908" s="592"/>
      <c r="Z908" s="592"/>
      <c r="AA908" s="568"/>
      <c r="AB908" s="592"/>
      <c r="AC908" s="592"/>
      <c r="AD908" s="592"/>
      <c r="AE908" s="590"/>
      <c r="AF908" s="570" t="s">
        <v>2899</v>
      </c>
      <c r="AG908" s="570" t="s">
        <v>25</v>
      </c>
      <c r="AH908" s="571" t="s">
        <v>25</v>
      </c>
      <c r="AI908" s="593"/>
      <c r="AJ908" s="593"/>
    </row>
    <row r="909" spans="1:36" s="376" customFormat="1" ht="20.25" outlineLevel="2" x14ac:dyDescent="0.3">
      <c r="A909" s="447">
        <v>72</v>
      </c>
      <c r="B909" s="558"/>
      <c r="C909" s="558"/>
      <c r="D909" s="587"/>
      <c r="E909" s="560"/>
      <c r="F909" s="558"/>
      <c r="G909" s="588"/>
      <c r="H909" s="546"/>
      <c r="I909" s="563" t="s">
        <v>25</v>
      </c>
      <c r="J909" s="563" t="s">
        <v>25</v>
      </c>
      <c r="K909" s="564" t="s">
        <v>25</v>
      </c>
      <c r="L909" s="564" t="s">
        <v>25</v>
      </c>
      <c r="M909" s="638" t="s">
        <v>89</v>
      </c>
      <c r="N909" s="638"/>
      <c r="O909" s="590">
        <v>2</v>
      </c>
      <c r="P909" s="564">
        <v>283000</v>
      </c>
      <c r="Q909" s="564">
        <v>566000</v>
      </c>
      <c r="R909" s="638"/>
      <c r="S909" s="640"/>
      <c r="T909" s="591"/>
      <c r="U909" s="680"/>
      <c r="V909" s="564" t="s">
        <v>2899</v>
      </c>
      <c r="W909" s="564" t="s">
        <v>25</v>
      </c>
      <c r="X909" s="589"/>
      <c r="Y909" s="592"/>
      <c r="Z909" s="592"/>
      <c r="AA909" s="568"/>
      <c r="AB909" s="592"/>
      <c r="AC909" s="592"/>
      <c r="AD909" s="592"/>
      <c r="AE909" s="590"/>
      <c r="AF909" s="570" t="s">
        <v>2899</v>
      </c>
      <c r="AG909" s="570" t="s">
        <v>25</v>
      </c>
      <c r="AH909" s="571" t="s">
        <v>25</v>
      </c>
      <c r="AI909" s="593"/>
      <c r="AJ909" s="593"/>
    </row>
    <row r="910" spans="1:36" s="376" customFormat="1" ht="40.5" outlineLevel="2" x14ac:dyDescent="0.3">
      <c r="A910" s="447">
        <v>72</v>
      </c>
      <c r="B910" s="558"/>
      <c r="C910" s="558"/>
      <c r="D910" s="587"/>
      <c r="E910" s="560"/>
      <c r="F910" s="558"/>
      <c r="G910" s="588"/>
      <c r="H910" s="546"/>
      <c r="I910" s="563" t="s">
        <v>25</v>
      </c>
      <c r="J910" s="563" t="s">
        <v>25</v>
      </c>
      <c r="K910" s="564" t="s">
        <v>25</v>
      </c>
      <c r="L910" s="564" t="s">
        <v>25</v>
      </c>
      <c r="M910" s="638" t="s">
        <v>732</v>
      </c>
      <c r="N910" s="638"/>
      <c r="O910" s="590">
        <v>2</v>
      </c>
      <c r="P910" s="564">
        <v>72000</v>
      </c>
      <c r="Q910" s="564">
        <v>144000</v>
      </c>
      <c r="R910" s="638"/>
      <c r="S910" s="640"/>
      <c r="T910" s="591"/>
      <c r="U910" s="680"/>
      <c r="V910" s="564" t="s">
        <v>2899</v>
      </c>
      <c r="W910" s="564" t="s">
        <v>25</v>
      </c>
      <c r="X910" s="589"/>
      <c r="Y910" s="592"/>
      <c r="Z910" s="592"/>
      <c r="AA910" s="568"/>
      <c r="AB910" s="592"/>
      <c r="AC910" s="592"/>
      <c r="AD910" s="592"/>
      <c r="AE910" s="590"/>
      <c r="AF910" s="570" t="s">
        <v>2899</v>
      </c>
      <c r="AG910" s="570" t="s">
        <v>25</v>
      </c>
      <c r="AH910" s="571" t="s">
        <v>25</v>
      </c>
      <c r="AI910" s="593"/>
      <c r="AJ910" s="593"/>
    </row>
    <row r="911" spans="1:36" s="376" customFormat="1" ht="20.25" outlineLevel="2" x14ac:dyDescent="0.3">
      <c r="A911" s="447">
        <v>72</v>
      </c>
      <c r="B911" s="558"/>
      <c r="C911" s="558"/>
      <c r="D911" s="587"/>
      <c r="E911" s="560"/>
      <c r="F911" s="558"/>
      <c r="G911" s="588"/>
      <c r="H911" s="546"/>
      <c r="I911" s="563" t="s">
        <v>25</v>
      </c>
      <c r="J911" s="563" t="s">
        <v>25</v>
      </c>
      <c r="K911" s="564" t="s">
        <v>25</v>
      </c>
      <c r="L911" s="564" t="s">
        <v>25</v>
      </c>
      <c r="M911" s="638" t="s">
        <v>61</v>
      </c>
      <c r="N911" s="638"/>
      <c r="O911" s="590">
        <v>9</v>
      </c>
      <c r="P911" s="564">
        <v>1708000</v>
      </c>
      <c r="Q911" s="564">
        <v>15372000</v>
      </c>
      <c r="R911" s="638"/>
      <c r="S911" s="640"/>
      <c r="T911" s="591"/>
      <c r="U911" s="680"/>
      <c r="V911" s="564" t="s">
        <v>2899</v>
      </c>
      <c r="W911" s="564" t="s">
        <v>25</v>
      </c>
      <c r="X911" s="589"/>
      <c r="Y911" s="592"/>
      <c r="Z911" s="592"/>
      <c r="AA911" s="568"/>
      <c r="AB911" s="592"/>
      <c r="AC911" s="592"/>
      <c r="AD911" s="592"/>
      <c r="AE911" s="590"/>
      <c r="AF911" s="570" t="s">
        <v>2899</v>
      </c>
      <c r="AG911" s="570" t="s">
        <v>25</v>
      </c>
      <c r="AH911" s="571" t="s">
        <v>25</v>
      </c>
      <c r="AI911" s="593"/>
      <c r="AJ911" s="593"/>
    </row>
    <row r="912" spans="1:36" s="376" customFormat="1" ht="20.25" outlineLevel="2" x14ac:dyDescent="0.3">
      <c r="A912" s="447">
        <v>72</v>
      </c>
      <c r="B912" s="558"/>
      <c r="C912" s="558"/>
      <c r="D912" s="587"/>
      <c r="E912" s="560"/>
      <c r="F912" s="558"/>
      <c r="G912" s="588"/>
      <c r="H912" s="546"/>
      <c r="I912" s="563" t="s">
        <v>25</v>
      </c>
      <c r="J912" s="563" t="s">
        <v>25</v>
      </c>
      <c r="K912" s="564" t="s">
        <v>25</v>
      </c>
      <c r="L912" s="564" t="s">
        <v>25</v>
      </c>
      <c r="M912" s="638" t="s">
        <v>64</v>
      </c>
      <c r="N912" s="638"/>
      <c r="O912" s="590">
        <v>11</v>
      </c>
      <c r="P912" s="564">
        <v>1122000</v>
      </c>
      <c r="Q912" s="564">
        <v>12342000</v>
      </c>
      <c r="R912" s="638"/>
      <c r="S912" s="640"/>
      <c r="T912" s="591"/>
      <c r="U912" s="680"/>
      <c r="V912" s="564" t="s">
        <v>2899</v>
      </c>
      <c r="W912" s="564" t="s">
        <v>25</v>
      </c>
      <c r="X912" s="589"/>
      <c r="Y912" s="592"/>
      <c r="Z912" s="592"/>
      <c r="AA912" s="568"/>
      <c r="AB912" s="592"/>
      <c r="AC912" s="592"/>
      <c r="AD912" s="592"/>
      <c r="AE912" s="590"/>
      <c r="AF912" s="570" t="s">
        <v>2899</v>
      </c>
      <c r="AG912" s="570" t="s">
        <v>25</v>
      </c>
      <c r="AH912" s="571" t="s">
        <v>25</v>
      </c>
      <c r="AI912" s="593"/>
      <c r="AJ912" s="593"/>
    </row>
    <row r="913" spans="1:36" s="376" customFormat="1" ht="20.25" outlineLevel="2" x14ac:dyDescent="0.3">
      <c r="A913" s="447">
        <v>72</v>
      </c>
      <c r="B913" s="558"/>
      <c r="C913" s="558"/>
      <c r="D913" s="587"/>
      <c r="E913" s="560"/>
      <c r="F913" s="558"/>
      <c r="G913" s="588"/>
      <c r="H913" s="546"/>
      <c r="I913" s="563" t="s">
        <v>25</v>
      </c>
      <c r="J913" s="563" t="s">
        <v>25</v>
      </c>
      <c r="K913" s="564" t="s">
        <v>25</v>
      </c>
      <c r="L913" s="564" t="s">
        <v>25</v>
      </c>
      <c r="M913" s="638" t="s">
        <v>67</v>
      </c>
      <c r="N913" s="638"/>
      <c r="O913" s="590">
        <v>38</v>
      </c>
      <c r="P913" s="564">
        <v>494000</v>
      </c>
      <c r="Q913" s="564">
        <v>18772000</v>
      </c>
      <c r="R913" s="638"/>
      <c r="S913" s="640"/>
      <c r="T913" s="591"/>
      <c r="U913" s="680"/>
      <c r="V913" s="564" t="s">
        <v>2899</v>
      </c>
      <c r="W913" s="564" t="s">
        <v>25</v>
      </c>
      <c r="X913" s="589"/>
      <c r="Y913" s="592"/>
      <c r="Z913" s="592"/>
      <c r="AA913" s="568"/>
      <c r="AB913" s="592"/>
      <c r="AC913" s="592"/>
      <c r="AD913" s="592"/>
      <c r="AE913" s="590"/>
      <c r="AF913" s="570" t="s">
        <v>2899</v>
      </c>
      <c r="AG913" s="570" t="s">
        <v>25</v>
      </c>
      <c r="AH913" s="571" t="s">
        <v>25</v>
      </c>
      <c r="AI913" s="593"/>
      <c r="AJ913" s="593"/>
    </row>
    <row r="914" spans="1:36" s="376" customFormat="1" ht="20.25" outlineLevel="2" x14ac:dyDescent="0.3">
      <c r="A914" s="447">
        <v>72</v>
      </c>
      <c r="B914" s="558"/>
      <c r="C914" s="558"/>
      <c r="D914" s="587"/>
      <c r="E914" s="560"/>
      <c r="F914" s="558"/>
      <c r="G914" s="588"/>
      <c r="H914" s="546"/>
      <c r="I914" s="563" t="s">
        <v>25</v>
      </c>
      <c r="J914" s="563" t="s">
        <v>25</v>
      </c>
      <c r="K914" s="564" t="s">
        <v>25</v>
      </c>
      <c r="L914" s="564" t="s">
        <v>25</v>
      </c>
      <c r="M914" s="638" t="s">
        <v>69</v>
      </c>
      <c r="N914" s="638"/>
      <c r="O914" s="590">
        <v>11</v>
      </c>
      <c r="P914" s="564">
        <v>211000</v>
      </c>
      <c r="Q914" s="564">
        <v>2321000</v>
      </c>
      <c r="R914" s="638"/>
      <c r="S914" s="640"/>
      <c r="T914" s="591"/>
      <c r="U914" s="680"/>
      <c r="V914" s="564" t="s">
        <v>2899</v>
      </c>
      <c r="W914" s="564" t="s">
        <v>25</v>
      </c>
      <c r="X914" s="589"/>
      <c r="Y914" s="592"/>
      <c r="Z914" s="592"/>
      <c r="AA914" s="568"/>
      <c r="AB914" s="592"/>
      <c r="AC914" s="592"/>
      <c r="AD914" s="592"/>
      <c r="AE914" s="590"/>
      <c r="AF914" s="570" t="s">
        <v>2899</v>
      </c>
      <c r="AG914" s="570" t="s">
        <v>25</v>
      </c>
      <c r="AH914" s="571" t="s">
        <v>25</v>
      </c>
      <c r="AI914" s="593"/>
      <c r="AJ914" s="593"/>
    </row>
    <row r="915" spans="1:36" s="376" customFormat="1" ht="20.25" outlineLevel="2" x14ac:dyDescent="0.3">
      <c r="A915" s="447">
        <v>72</v>
      </c>
      <c r="B915" s="558"/>
      <c r="C915" s="558"/>
      <c r="D915" s="587"/>
      <c r="E915" s="560"/>
      <c r="F915" s="558"/>
      <c r="G915" s="588"/>
      <c r="H915" s="546"/>
      <c r="I915" s="563" t="s">
        <v>25</v>
      </c>
      <c r="J915" s="563" t="s">
        <v>25</v>
      </c>
      <c r="K915" s="564" t="s">
        <v>25</v>
      </c>
      <c r="L915" s="564" t="s">
        <v>25</v>
      </c>
      <c r="M915" s="638" t="s">
        <v>72</v>
      </c>
      <c r="N915" s="638"/>
      <c r="O915" s="590">
        <v>36</v>
      </c>
      <c r="P915" s="564">
        <v>132000</v>
      </c>
      <c r="Q915" s="564">
        <v>4752000</v>
      </c>
      <c r="R915" s="638"/>
      <c r="S915" s="640"/>
      <c r="T915" s="591"/>
      <c r="U915" s="680"/>
      <c r="V915" s="564" t="s">
        <v>2899</v>
      </c>
      <c r="W915" s="564" t="s">
        <v>25</v>
      </c>
      <c r="X915" s="589"/>
      <c r="Y915" s="592"/>
      <c r="Z915" s="592"/>
      <c r="AA915" s="568"/>
      <c r="AB915" s="592"/>
      <c r="AC915" s="592"/>
      <c r="AD915" s="592"/>
      <c r="AE915" s="590"/>
      <c r="AF915" s="570" t="s">
        <v>2899</v>
      </c>
      <c r="AG915" s="570" t="s">
        <v>25</v>
      </c>
      <c r="AH915" s="571" t="s">
        <v>25</v>
      </c>
      <c r="AI915" s="593"/>
      <c r="AJ915" s="593"/>
    </row>
    <row r="916" spans="1:36" s="376" customFormat="1" ht="20.25" outlineLevel="2" x14ac:dyDescent="0.3">
      <c r="A916" s="447">
        <v>72</v>
      </c>
      <c r="B916" s="558"/>
      <c r="C916" s="558"/>
      <c r="D916" s="587"/>
      <c r="E916" s="560"/>
      <c r="F916" s="558"/>
      <c r="G916" s="588"/>
      <c r="H916" s="546"/>
      <c r="I916" s="563" t="s">
        <v>25</v>
      </c>
      <c r="J916" s="563" t="s">
        <v>25</v>
      </c>
      <c r="K916" s="564" t="s">
        <v>25</v>
      </c>
      <c r="L916" s="564" t="s">
        <v>25</v>
      </c>
      <c r="M916" s="638" t="s">
        <v>73</v>
      </c>
      <c r="N916" s="638"/>
      <c r="O916" s="590">
        <v>39</v>
      </c>
      <c r="P916" s="564">
        <v>76000</v>
      </c>
      <c r="Q916" s="564">
        <v>2964000</v>
      </c>
      <c r="R916" s="638"/>
      <c r="S916" s="640"/>
      <c r="T916" s="591"/>
      <c r="U916" s="680"/>
      <c r="V916" s="564" t="s">
        <v>2899</v>
      </c>
      <c r="W916" s="564" t="s">
        <v>25</v>
      </c>
      <c r="X916" s="589"/>
      <c r="Y916" s="592"/>
      <c r="Z916" s="592"/>
      <c r="AA916" s="568"/>
      <c r="AB916" s="592"/>
      <c r="AC916" s="592"/>
      <c r="AD916" s="592"/>
      <c r="AE916" s="590"/>
      <c r="AF916" s="570" t="s">
        <v>2899</v>
      </c>
      <c r="AG916" s="570" t="s">
        <v>25</v>
      </c>
      <c r="AH916" s="571" t="s">
        <v>25</v>
      </c>
      <c r="AI916" s="593"/>
      <c r="AJ916" s="593"/>
    </row>
    <row r="917" spans="1:36" s="376" customFormat="1" ht="20.25" outlineLevel="2" x14ac:dyDescent="0.3">
      <c r="A917" s="447">
        <v>72</v>
      </c>
      <c r="B917" s="558"/>
      <c r="C917" s="558"/>
      <c r="D917" s="587"/>
      <c r="E917" s="560"/>
      <c r="F917" s="558"/>
      <c r="G917" s="588"/>
      <c r="H917" s="546"/>
      <c r="I917" s="563" t="s">
        <v>25</v>
      </c>
      <c r="J917" s="563" t="s">
        <v>25</v>
      </c>
      <c r="K917" s="564" t="s">
        <v>25</v>
      </c>
      <c r="L917" s="564" t="s">
        <v>25</v>
      </c>
      <c r="M917" s="638" t="s">
        <v>75</v>
      </c>
      <c r="N917" s="638"/>
      <c r="O917" s="590">
        <v>52</v>
      </c>
      <c r="P917" s="564">
        <v>34000</v>
      </c>
      <c r="Q917" s="564">
        <v>1768000</v>
      </c>
      <c r="R917" s="638"/>
      <c r="S917" s="640"/>
      <c r="T917" s="591"/>
      <c r="U917" s="680"/>
      <c r="V917" s="564" t="s">
        <v>2899</v>
      </c>
      <c r="W917" s="564" t="s">
        <v>25</v>
      </c>
      <c r="X917" s="589"/>
      <c r="Y917" s="592"/>
      <c r="Z917" s="592"/>
      <c r="AA917" s="568"/>
      <c r="AB917" s="592"/>
      <c r="AC917" s="592"/>
      <c r="AD917" s="592"/>
      <c r="AE917" s="590"/>
      <c r="AF917" s="570" t="s">
        <v>2899</v>
      </c>
      <c r="AG917" s="570" t="s">
        <v>25</v>
      </c>
      <c r="AH917" s="571" t="s">
        <v>25</v>
      </c>
      <c r="AI917" s="593"/>
      <c r="AJ917" s="593"/>
    </row>
    <row r="918" spans="1:36" s="376" customFormat="1" ht="40.5" outlineLevel="2" x14ac:dyDescent="0.3">
      <c r="A918" s="447">
        <v>72</v>
      </c>
      <c r="B918" s="558"/>
      <c r="C918" s="558"/>
      <c r="D918" s="587"/>
      <c r="E918" s="560"/>
      <c r="F918" s="558"/>
      <c r="G918" s="588"/>
      <c r="H918" s="546"/>
      <c r="I918" s="563" t="s">
        <v>25</v>
      </c>
      <c r="J918" s="563" t="s">
        <v>25</v>
      </c>
      <c r="K918" s="564" t="s">
        <v>25</v>
      </c>
      <c r="L918" s="564" t="s">
        <v>25</v>
      </c>
      <c r="M918" s="638" t="s">
        <v>242</v>
      </c>
      <c r="N918" s="638"/>
      <c r="O918" s="590">
        <v>3</v>
      </c>
      <c r="P918" s="564">
        <v>6000</v>
      </c>
      <c r="Q918" s="564">
        <v>18000</v>
      </c>
      <c r="R918" s="638"/>
      <c r="S918" s="640"/>
      <c r="T918" s="591"/>
      <c r="U918" s="680"/>
      <c r="V918" s="564" t="s">
        <v>2899</v>
      </c>
      <c r="W918" s="564" t="s">
        <v>25</v>
      </c>
      <c r="X918" s="589"/>
      <c r="Y918" s="592"/>
      <c r="Z918" s="592"/>
      <c r="AA918" s="568"/>
      <c r="AB918" s="592"/>
      <c r="AC918" s="592"/>
      <c r="AD918" s="592"/>
      <c r="AE918" s="590"/>
      <c r="AF918" s="570" t="s">
        <v>2899</v>
      </c>
      <c r="AG918" s="570" t="s">
        <v>25</v>
      </c>
      <c r="AH918" s="571" t="s">
        <v>25</v>
      </c>
      <c r="AI918" s="593"/>
      <c r="AJ918" s="593"/>
    </row>
    <row r="919" spans="1:36" s="376" customFormat="1" ht="20.25" outlineLevel="2" x14ac:dyDescent="0.3">
      <c r="A919" s="447">
        <v>72</v>
      </c>
      <c r="B919" s="558"/>
      <c r="C919" s="558"/>
      <c r="D919" s="587"/>
      <c r="E919" s="560"/>
      <c r="F919" s="558"/>
      <c r="G919" s="588"/>
      <c r="H919" s="546"/>
      <c r="I919" s="563" t="s">
        <v>25</v>
      </c>
      <c r="J919" s="563" t="s">
        <v>25</v>
      </c>
      <c r="K919" s="564" t="s">
        <v>25</v>
      </c>
      <c r="L919" s="564" t="s">
        <v>25</v>
      </c>
      <c r="M919" s="638" t="s">
        <v>750</v>
      </c>
      <c r="N919" s="638"/>
      <c r="O919" s="590">
        <v>2</v>
      </c>
      <c r="P919" s="564">
        <v>0</v>
      </c>
      <c r="Q919" s="564">
        <v>0</v>
      </c>
      <c r="R919" s="638"/>
      <c r="S919" s="640"/>
      <c r="T919" s="591"/>
      <c r="U919" s="680"/>
      <c r="V919" s="564" t="s">
        <v>2899</v>
      </c>
      <c r="W919" s="564" t="s">
        <v>25</v>
      </c>
      <c r="X919" s="589"/>
      <c r="Y919" s="592"/>
      <c r="Z919" s="592"/>
      <c r="AA919" s="568"/>
      <c r="AB919" s="592"/>
      <c r="AC919" s="592"/>
      <c r="AD919" s="592"/>
      <c r="AE919" s="590"/>
      <c r="AF919" s="570" t="s">
        <v>2899</v>
      </c>
      <c r="AG919" s="570" t="s">
        <v>25</v>
      </c>
      <c r="AH919" s="571" t="s">
        <v>25</v>
      </c>
      <c r="AI919" s="593"/>
      <c r="AJ919" s="593"/>
    </row>
    <row r="920" spans="1:36" s="376" customFormat="1" ht="40.5" outlineLevel="2" x14ac:dyDescent="0.3">
      <c r="A920" s="447">
        <v>72</v>
      </c>
      <c r="B920" s="558"/>
      <c r="C920" s="558"/>
      <c r="D920" s="587"/>
      <c r="E920" s="560"/>
      <c r="F920" s="558"/>
      <c r="G920" s="588"/>
      <c r="H920" s="546"/>
      <c r="I920" s="563" t="s">
        <v>25</v>
      </c>
      <c r="J920" s="563" t="s">
        <v>25</v>
      </c>
      <c r="K920" s="564" t="s">
        <v>25</v>
      </c>
      <c r="L920" s="564" t="s">
        <v>25</v>
      </c>
      <c r="M920" s="638" t="s">
        <v>778</v>
      </c>
      <c r="N920" s="638"/>
      <c r="O920" s="590">
        <v>4</v>
      </c>
      <c r="P920" s="564">
        <v>150000</v>
      </c>
      <c r="Q920" s="564">
        <v>600000</v>
      </c>
      <c r="R920" s="638"/>
      <c r="S920" s="640"/>
      <c r="T920" s="591"/>
      <c r="U920" s="680"/>
      <c r="V920" s="564" t="s">
        <v>2899</v>
      </c>
      <c r="W920" s="564" t="s">
        <v>25</v>
      </c>
      <c r="X920" s="589"/>
      <c r="Y920" s="592"/>
      <c r="Z920" s="592"/>
      <c r="AA920" s="568"/>
      <c r="AB920" s="592"/>
      <c r="AC920" s="592"/>
      <c r="AD920" s="592"/>
      <c r="AE920" s="590"/>
      <c r="AF920" s="570" t="s">
        <v>2899</v>
      </c>
      <c r="AG920" s="570" t="s">
        <v>25</v>
      </c>
      <c r="AH920" s="571" t="s">
        <v>25</v>
      </c>
      <c r="AI920" s="593"/>
      <c r="AJ920" s="593"/>
    </row>
    <row r="921" spans="1:36" s="376" customFormat="1" ht="40.5" outlineLevel="2" x14ac:dyDescent="0.3">
      <c r="A921" s="447">
        <v>72</v>
      </c>
      <c r="B921" s="558"/>
      <c r="C921" s="558"/>
      <c r="D921" s="587"/>
      <c r="E921" s="560"/>
      <c r="F921" s="558"/>
      <c r="G921" s="588"/>
      <c r="H921" s="546"/>
      <c r="I921" s="563" t="s">
        <v>25</v>
      </c>
      <c r="J921" s="563" t="s">
        <v>25</v>
      </c>
      <c r="K921" s="564" t="s">
        <v>25</v>
      </c>
      <c r="L921" s="564" t="s">
        <v>25</v>
      </c>
      <c r="M921" s="638" t="s">
        <v>779</v>
      </c>
      <c r="N921" s="638"/>
      <c r="O921" s="590">
        <v>3</v>
      </c>
      <c r="P921" s="564">
        <v>72000</v>
      </c>
      <c r="Q921" s="564">
        <v>216000</v>
      </c>
      <c r="R921" s="638"/>
      <c r="S921" s="640"/>
      <c r="T921" s="591"/>
      <c r="U921" s="680"/>
      <c r="V921" s="564" t="s">
        <v>2899</v>
      </c>
      <c r="W921" s="564" t="s">
        <v>25</v>
      </c>
      <c r="X921" s="589"/>
      <c r="Y921" s="592"/>
      <c r="Z921" s="592"/>
      <c r="AA921" s="568"/>
      <c r="AB921" s="592"/>
      <c r="AC921" s="592"/>
      <c r="AD921" s="592"/>
      <c r="AE921" s="590"/>
      <c r="AF921" s="570" t="s">
        <v>2899</v>
      </c>
      <c r="AG921" s="570" t="s">
        <v>25</v>
      </c>
      <c r="AH921" s="571" t="s">
        <v>25</v>
      </c>
      <c r="AI921" s="593"/>
      <c r="AJ921" s="593"/>
    </row>
    <row r="922" spans="1:36" s="376" customFormat="1" ht="40.5" outlineLevel="2" x14ac:dyDescent="0.3">
      <c r="A922" s="447">
        <v>72</v>
      </c>
      <c r="B922" s="558"/>
      <c r="C922" s="558"/>
      <c r="D922" s="587"/>
      <c r="E922" s="560"/>
      <c r="F922" s="558"/>
      <c r="G922" s="588"/>
      <c r="H922" s="546"/>
      <c r="I922" s="563" t="s">
        <v>25</v>
      </c>
      <c r="J922" s="563" t="s">
        <v>25</v>
      </c>
      <c r="K922" s="564" t="s">
        <v>25</v>
      </c>
      <c r="L922" s="564" t="s">
        <v>25</v>
      </c>
      <c r="M922" s="638" t="s">
        <v>2103</v>
      </c>
      <c r="N922" s="638"/>
      <c r="O922" s="590">
        <v>11</v>
      </c>
      <c r="P922" s="564">
        <v>32000</v>
      </c>
      <c r="Q922" s="564">
        <v>352000</v>
      </c>
      <c r="R922" s="638"/>
      <c r="S922" s="640"/>
      <c r="T922" s="591"/>
      <c r="U922" s="680"/>
      <c r="V922" s="564" t="s">
        <v>2899</v>
      </c>
      <c r="W922" s="564" t="s">
        <v>25</v>
      </c>
      <c r="X922" s="589"/>
      <c r="Y922" s="592"/>
      <c r="Z922" s="592"/>
      <c r="AA922" s="568"/>
      <c r="AB922" s="592"/>
      <c r="AC922" s="592"/>
      <c r="AD922" s="592"/>
      <c r="AE922" s="590"/>
      <c r="AF922" s="570" t="s">
        <v>2899</v>
      </c>
      <c r="AG922" s="570" t="s">
        <v>25</v>
      </c>
      <c r="AH922" s="571" t="s">
        <v>25</v>
      </c>
      <c r="AI922" s="593"/>
      <c r="AJ922" s="593"/>
    </row>
    <row r="923" spans="1:36" s="376" customFormat="1" ht="20.25" outlineLevel="2" x14ac:dyDescent="0.3">
      <c r="A923" s="447">
        <v>72</v>
      </c>
      <c r="B923" s="558"/>
      <c r="C923" s="558"/>
      <c r="D923" s="587"/>
      <c r="E923" s="560"/>
      <c r="F923" s="558"/>
      <c r="G923" s="588"/>
      <c r="H923" s="546"/>
      <c r="I923" s="563" t="s">
        <v>25</v>
      </c>
      <c r="J923" s="563" t="s">
        <v>25</v>
      </c>
      <c r="K923" s="564" t="s">
        <v>25</v>
      </c>
      <c r="L923" s="564" t="s">
        <v>25</v>
      </c>
      <c r="M923" s="638" t="s">
        <v>781</v>
      </c>
      <c r="N923" s="638"/>
      <c r="O923" s="590">
        <v>1</v>
      </c>
      <c r="P923" s="564">
        <v>120000</v>
      </c>
      <c r="Q923" s="564">
        <v>120000</v>
      </c>
      <c r="R923" s="638"/>
      <c r="S923" s="640"/>
      <c r="T923" s="591"/>
      <c r="U923" s="680"/>
      <c r="V923" s="564" t="s">
        <v>2899</v>
      </c>
      <c r="W923" s="564" t="s">
        <v>25</v>
      </c>
      <c r="X923" s="589"/>
      <c r="Y923" s="592"/>
      <c r="Z923" s="592"/>
      <c r="AA923" s="568"/>
      <c r="AB923" s="592"/>
      <c r="AC923" s="592"/>
      <c r="AD923" s="592"/>
      <c r="AE923" s="590"/>
      <c r="AF923" s="570" t="s">
        <v>2899</v>
      </c>
      <c r="AG923" s="570" t="s">
        <v>25</v>
      </c>
      <c r="AH923" s="571" t="s">
        <v>25</v>
      </c>
      <c r="AI923" s="593"/>
      <c r="AJ923" s="593"/>
    </row>
    <row r="924" spans="1:36" s="376" customFormat="1" ht="20.25" outlineLevel="2" x14ac:dyDescent="0.3">
      <c r="A924" s="447">
        <v>72</v>
      </c>
      <c r="B924" s="558"/>
      <c r="C924" s="558"/>
      <c r="D924" s="587"/>
      <c r="E924" s="560"/>
      <c r="F924" s="558"/>
      <c r="G924" s="588"/>
      <c r="H924" s="546"/>
      <c r="I924" s="563" t="s">
        <v>25</v>
      </c>
      <c r="J924" s="563" t="s">
        <v>25</v>
      </c>
      <c r="K924" s="564" t="s">
        <v>25</v>
      </c>
      <c r="L924" s="564" t="s">
        <v>25</v>
      </c>
      <c r="M924" s="638" t="s">
        <v>782</v>
      </c>
      <c r="N924" s="638"/>
      <c r="O924" s="590">
        <v>20</v>
      </c>
      <c r="P924" s="564">
        <v>60000</v>
      </c>
      <c r="Q924" s="564">
        <v>1200000</v>
      </c>
      <c r="R924" s="638"/>
      <c r="S924" s="640"/>
      <c r="T924" s="591"/>
      <c r="U924" s="680"/>
      <c r="V924" s="564" t="s">
        <v>2899</v>
      </c>
      <c r="W924" s="564" t="s">
        <v>25</v>
      </c>
      <c r="X924" s="589"/>
      <c r="Y924" s="592"/>
      <c r="Z924" s="592"/>
      <c r="AA924" s="568"/>
      <c r="AB924" s="592"/>
      <c r="AC924" s="592"/>
      <c r="AD924" s="592"/>
      <c r="AE924" s="590"/>
      <c r="AF924" s="570" t="s">
        <v>2899</v>
      </c>
      <c r="AG924" s="570" t="s">
        <v>25</v>
      </c>
      <c r="AH924" s="571" t="s">
        <v>25</v>
      </c>
      <c r="AI924" s="593"/>
      <c r="AJ924" s="593"/>
    </row>
    <row r="925" spans="1:36" s="376" customFormat="1" ht="20.25" outlineLevel="2" x14ac:dyDescent="0.3">
      <c r="A925" s="447">
        <v>72</v>
      </c>
      <c r="B925" s="558"/>
      <c r="C925" s="558"/>
      <c r="D925" s="587"/>
      <c r="E925" s="560"/>
      <c r="F925" s="558"/>
      <c r="G925" s="588"/>
      <c r="H925" s="546"/>
      <c r="I925" s="563" t="s">
        <v>25</v>
      </c>
      <c r="J925" s="563" t="s">
        <v>25</v>
      </c>
      <c r="K925" s="564" t="s">
        <v>25</v>
      </c>
      <c r="L925" s="564" t="s">
        <v>25</v>
      </c>
      <c r="M925" s="638" t="s">
        <v>277</v>
      </c>
      <c r="N925" s="638"/>
      <c r="O925" s="590">
        <v>2</v>
      </c>
      <c r="P925" s="564">
        <v>807000</v>
      </c>
      <c r="Q925" s="564">
        <v>1614000</v>
      </c>
      <c r="R925" s="638"/>
      <c r="S925" s="640"/>
      <c r="T925" s="591"/>
      <c r="U925" s="680"/>
      <c r="V925" s="564" t="s">
        <v>2899</v>
      </c>
      <c r="W925" s="564" t="s">
        <v>25</v>
      </c>
      <c r="X925" s="589"/>
      <c r="Y925" s="592"/>
      <c r="Z925" s="592"/>
      <c r="AA925" s="568"/>
      <c r="AB925" s="592"/>
      <c r="AC925" s="592"/>
      <c r="AD925" s="592"/>
      <c r="AE925" s="590"/>
      <c r="AF925" s="570" t="s">
        <v>2899</v>
      </c>
      <c r="AG925" s="570" t="s">
        <v>25</v>
      </c>
      <c r="AH925" s="571" t="s">
        <v>25</v>
      </c>
      <c r="AI925" s="593"/>
      <c r="AJ925" s="593"/>
    </row>
    <row r="926" spans="1:36" s="376" customFormat="1" ht="20.25" outlineLevel="2" x14ac:dyDescent="0.3">
      <c r="A926" s="447">
        <v>72</v>
      </c>
      <c r="B926" s="558"/>
      <c r="C926" s="558"/>
      <c r="D926" s="587"/>
      <c r="E926" s="560"/>
      <c r="F926" s="558"/>
      <c r="G926" s="588"/>
      <c r="H926" s="546"/>
      <c r="I926" s="563" t="s">
        <v>25</v>
      </c>
      <c r="J926" s="563" t="s">
        <v>25</v>
      </c>
      <c r="K926" s="564" t="s">
        <v>25</v>
      </c>
      <c r="L926" s="564" t="s">
        <v>25</v>
      </c>
      <c r="M926" s="638" t="s">
        <v>738</v>
      </c>
      <c r="N926" s="638"/>
      <c r="O926" s="590">
        <v>3</v>
      </c>
      <c r="P926" s="564">
        <v>0</v>
      </c>
      <c r="Q926" s="564">
        <v>0</v>
      </c>
      <c r="R926" s="638"/>
      <c r="S926" s="640"/>
      <c r="T926" s="591"/>
      <c r="U926" s="680"/>
      <c r="V926" s="564" t="s">
        <v>2899</v>
      </c>
      <c r="W926" s="564" t="s">
        <v>25</v>
      </c>
      <c r="X926" s="589"/>
      <c r="Y926" s="592"/>
      <c r="Z926" s="592"/>
      <c r="AA926" s="568"/>
      <c r="AB926" s="592"/>
      <c r="AC926" s="592"/>
      <c r="AD926" s="592"/>
      <c r="AE926" s="590"/>
      <c r="AF926" s="570" t="s">
        <v>2899</v>
      </c>
      <c r="AG926" s="570" t="s">
        <v>25</v>
      </c>
      <c r="AH926" s="571" t="s">
        <v>25</v>
      </c>
      <c r="AI926" s="593"/>
      <c r="AJ926" s="593"/>
    </row>
    <row r="927" spans="1:36" s="376" customFormat="1" ht="20.25" outlineLevel="2" x14ac:dyDescent="0.3">
      <c r="A927" s="447">
        <v>72</v>
      </c>
      <c r="B927" s="558"/>
      <c r="C927" s="558"/>
      <c r="D927" s="587"/>
      <c r="E927" s="560"/>
      <c r="F927" s="558"/>
      <c r="G927" s="588"/>
      <c r="H927" s="546"/>
      <c r="I927" s="563" t="s">
        <v>25</v>
      </c>
      <c r="J927" s="563" t="s">
        <v>25</v>
      </c>
      <c r="K927" s="564" t="s">
        <v>25</v>
      </c>
      <c r="L927" s="564" t="s">
        <v>25</v>
      </c>
      <c r="M927" s="638" t="s">
        <v>783</v>
      </c>
      <c r="N927" s="638"/>
      <c r="O927" s="590">
        <v>1</v>
      </c>
      <c r="P927" s="564">
        <v>60000</v>
      </c>
      <c r="Q927" s="564">
        <v>60000</v>
      </c>
      <c r="R927" s="638"/>
      <c r="S927" s="640"/>
      <c r="T927" s="591"/>
      <c r="U927" s="680"/>
      <c r="V927" s="564" t="s">
        <v>2899</v>
      </c>
      <c r="W927" s="564" t="s">
        <v>25</v>
      </c>
      <c r="X927" s="589"/>
      <c r="Y927" s="592"/>
      <c r="Z927" s="592"/>
      <c r="AA927" s="568"/>
      <c r="AB927" s="592"/>
      <c r="AC927" s="592"/>
      <c r="AD927" s="592"/>
      <c r="AE927" s="590"/>
      <c r="AF927" s="570" t="s">
        <v>2899</v>
      </c>
      <c r="AG927" s="570" t="s">
        <v>25</v>
      </c>
      <c r="AH927" s="571" t="s">
        <v>25</v>
      </c>
      <c r="AI927" s="593"/>
      <c r="AJ927" s="593"/>
    </row>
    <row r="928" spans="1:36" s="376" customFormat="1" ht="20.25" outlineLevel="2" x14ac:dyDescent="0.3">
      <c r="A928" s="447">
        <v>72</v>
      </c>
      <c r="B928" s="558"/>
      <c r="C928" s="558"/>
      <c r="D928" s="587"/>
      <c r="E928" s="560"/>
      <c r="F928" s="558"/>
      <c r="G928" s="588"/>
      <c r="H928" s="546"/>
      <c r="I928" s="563" t="s">
        <v>25</v>
      </c>
      <c r="J928" s="563" t="s">
        <v>25</v>
      </c>
      <c r="K928" s="564" t="s">
        <v>25</v>
      </c>
      <c r="L928" s="564" t="s">
        <v>25</v>
      </c>
      <c r="M928" s="638" t="s">
        <v>168</v>
      </c>
      <c r="N928" s="638"/>
      <c r="O928" s="590">
        <v>5</v>
      </c>
      <c r="P928" s="564">
        <v>580000</v>
      </c>
      <c r="Q928" s="564">
        <v>2900000</v>
      </c>
      <c r="R928" s="638"/>
      <c r="S928" s="640"/>
      <c r="T928" s="591"/>
      <c r="U928" s="680"/>
      <c r="V928" s="564" t="s">
        <v>2899</v>
      </c>
      <c r="W928" s="564" t="s">
        <v>25</v>
      </c>
      <c r="X928" s="589"/>
      <c r="Y928" s="592"/>
      <c r="Z928" s="592"/>
      <c r="AA928" s="568"/>
      <c r="AB928" s="592"/>
      <c r="AC928" s="592"/>
      <c r="AD928" s="592"/>
      <c r="AE928" s="590"/>
      <c r="AF928" s="570" t="s">
        <v>2899</v>
      </c>
      <c r="AG928" s="570" t="s">
        <v>25</v>
      </c>
      <c r="AH928" s="571" t="s">
        <v>25</v>
      </c>
      <c r="AI928" s="593"/>
      <c r="AJ928" s="593"/>
    </row>
    <row r="929" spans="1:36" s="376" customFormat="1" ht="40.5" outlineLevel="2" x14ac:dyDescent="0.3">
      <c r="A929" s="447">
        <v>72</v>
      </c>
      <c r="B929" s="558"/>
      <c r="C929" s="558"/>
      <c r="D929" s="587"/>
      <c r="E929" s="560"/>
      <c r="F929" s="558"/>
      <c r="G929" s="588"/>
      <c r="H929" s="546"/>
      <c r="I929" s="563" t="s">
        <v>25</v>
      </c>
      <c r="J929" s="563" t="s">
        <v>25</v>
      </c>
      <c r="K929" s="564" t="s">
        <v>25</v>
      </c>
      <c r="L929" s="564" t="s">
        <v>25</v>
      </c>
      <c r="M929" s="638" t="s">
        <v>278</v>
      </c>
      <c r="N929" s="638"/>
      <c r="O929" s="590">
        <v>1</v>
      </c>
      <c r="P929" s="564">
        <v>554000</v>
      </c>
      <c r="Q929" s="564">
        <v>554000</v>
      </c>
      <c r="R929" s="638"/>
      <c r="S929" s="640"/>
      <c r="T929" s="591"/>
      <c r="U929" s="680"/>
      <c r="V929" s="564" t="s">
        <v>2899</v>
      </c>
      <c r="W929" s="564" t="s">
        <v>25</v>
      </c>
      <c r="X929" s="589"/>
      <c r="Y929" s="592"/>
      <c r="Z929" s="592"/>
      <c r="AA929" s="568"/>
      <c r="AB929" s="592"/>
      <c r="AC929" s="592"/>
      <c r="AD929" s="592"/>
      <c r="AE929" s="590"/>
      <c r="AF929" s="570" t="s">
        <v>2899</v>
      </c>
      <c r="AG929" s="570" t="s">
        <v>25</v>
      </c>
      <c r="AH929" s="571" t="s">
        <v>25</v>
      </c>
      <c r="AI929" s="593"/>
      <c r="AJ929" s="593"/>
    </row>
    <row r="930" spans="1:36" s="376" customFormat="1" ht="20.25" outlineLevel="2" x14ac:dyDescent="0.3">
      <c r="A930" s="447">
        <v>72</v>
      </c>
      <c r="B930" s="558"/>
      <c r="C930" s="558"/>
      <c r="D930" s="587"/>
      <c r="E930" s="560"/>
      <c r="F930" s="558"/>
      <c r="G930" s="588"/>
      <c r="H930" s="546"/>
      <c r="I930" s="563" t="s">
        <v>25</v>
      </c>
      <c r="J930" s="563" t="s">
        <v>25</v>
      </c>
      <c r="K930" s="564" t="s">
        <v>25</v>
      </c>
      <c r="L930" s="564" t="s">
        <v>25</v>
      </c>
      <c r="M930" s="638" t="s">
        <v>726</v>
      </c>
      <c r="N930" s="638"/>
      <c r="O930" s="590">
        <v>1</v>
      </c>
      <c r="P930" s="564">
        <v>60000</v>
      </c>
      <c r="Q930" s="564">
        <v>60000</v>
      </c>
      <c r="R930" s="638"/>
      <c r="S930" s="640"/>
      <c r="T930" s="591"/>
      <c r="U930" s="680"/>
      <c r="V930" s="564" t="s">
        <v>2899</v>
      </c>
      <c r="W930" s="564" t="s">
        <v>25</v>
      </c>
      <c r="X930" s="589"/>
      <c r="Y930" s="592"/>
      <c r="Z930" s="592"/>
      <c r="AA930" s="568"/>
      <c r="AB930" s="592"/>
      <c r="AC930" s="592"/>
      <c r="AD930" s="592"/>
      <c r="AE930" s="590"/>
      <c r="AF930" s="570" t="s">
        <v>2899</v>
      </c>
      <c r="AG930" s="570" t="s">
        <v>25</v>
      </c>
      <c r="AH930" s="571" t="s">
        <v>25</v>
      </c>
      <c r="AI930" s="593"/>
      <c r="AJ930" s="593"/>
    </row>
    <row r="931" spans="1:36" s="376" customFormat="1" ht="81" outlineLevel="2" x14ac:dyDescent="0.3">
      <c r="A931" s="447">
        <v>72</v>
      </c>
      <c r="B931" s="558"/>
      <c r="C931" s="558"/>
      <c r="D931" s="587"/>
      <c r="E931" s="560"/>
      <c r="F931" s="558"/>
      <c r="G931" s="588"/>
      <c r="H931" s="546"/>
      <c r="I931" s="563" t="s">
        <v>25</v>
      </c>
      <c r="J931" s="563" t="s">
        <v>25</v>
      </c>
      <c r="K931" s="564" t="s">
        <v>25</v>
      </c>
      <c r="L931" s="564" t="s">
        <v>25</v>
      </c>
      <c r="M931" s="638" t="s">
        <v>788</v>
      </c>
      <c r="N931" s="638"/>
      <c r="O931" s="590">
        <v>172</v>
      </c>
      <c r="P931" s="564">
        <v>120000</v>
      </c>
      <c r="Q931" s="564">
        <v>20640000</v>
      </c>
      <c r="R931" s="638"/>
      <c r="S931" s="640"/>
      <c r="T931" s="591"/>
      <c r="U931" s="680"/>
      <c r="V931" s="564" t="s">
        <v>2899</v>
      </c>
      <c r="W931" s="564" t="s">
        <v>25</v>
      </c>
      <c r="X931" s="589"/>
      <c r="Y931" s="592"/>
      <c r="Z931" s="592"/>
      <c r="AA931" s="568"/>
      <c r="AB931" s="592"/>
      <c r="AC931" s="592"/>
      <c r="AD931" s="592"/>
      <c r="AE931" s="590"/>
      <c r="AF931" s="570" t="s">
        <v>2899</v>
      </c>
      <c r="AG931" s="570" t="s">
        <v>25</v>
      </c>
      <c r="AH931" s="571" t="s">
        <v>25</v>
      </c>
      <c r="AI931" s="593"/>
      <c r="AJ931" s="593"/>
    </row>
    <row r="932" spans="1:36" s="376" customFormat="1" ht="81" outlineLevel="2" x14ac:dyDescent="0.3">
      <c r="A932" s="447">
        <v>72</v>
      </c>
      <c r="B932" s="558"/>
      <c r="C932" s="558"/>
      <c r="D932" s="587"/>
      <c r="E932" s="560"/>
      <c r="F932" s="558"/>
      <c r="G932" s="588"/>
      <c r="H932" s="546"/>
      <c r="I932" s="563" t="s">
        <v>25</v>
      </c>
      <c r="J932" s="563" t="s">
        <v>25</v>
      </c>
      <c r="K932" s="564" t="s">
        <v>25</v>
      </c>
      <c r="L932" s="564" t="s">
        <v>25</v>
      </c>
      <c r="M932" s="638" t="s">
        <v>789</v>
      </c>
      <c r="N932" s="638"/>
      <c r="O932" s="590">
        <v>39</v>
      </c>
      <c r="P932" s="564">
        <v>84000</v>
      </c>
      <c r="Q932" s="564">
        <v>3276000</v>
      </c>
      <c r="R932" s="638"/>
      <c r="S932" s="640"/>
      <c r="T932" s="591"/>
      <c r="U932" s="680"/>
      <c r="V932" s="564" t="s">
        <v>2899</v>
      </c>
      <c r="W932" s="564" t="s">
        <v>25</v>
      </c>
      <c r="X932" s="589"/>
      <c r="Y932" s="592"/>
      <c r="Z932" s="592"/>
      <c r="AA932" s="568"/>
      <c r="AB932" s="592"/>
      <c r="AC932" s="592"/>
      <c r="AD932" s="592"/>
      <c r="AE932" s="590"/>
      <c r="AF932" s="570" t="s">
        <v>2899</v>
      </c>
      <c r="AG932" s="570" t="s">
        <v>25</v>
      </c>
      <c r="AH932" s="571" t="s">
        <v>25</v>
      </c>
      <c r="AI932" s="593"/>
      <c r="AJ932" s="593"/>
    </row>
    <row r="933" spans="1:36" s="376" customFormat="1" ht="40.5" outlineLevel="2" x14ac:dyDescent="0.3">
      <c r="A933" s="447">
        <v>72</v>
      </c>
      <c r="B933" s="558"/>
      <c r="C933" s="558"/>
      <c r="D933" s="587"/>
      <c r="E933" s="560"/>
      <c r="F933" s="558"/>
      <c r="G933" s="588"/>
      <c r="H933" s="546"/>
      <c r="I933" s="563" t="s">
        <v>25</v>
      </c>
      <c r="J933" s="563" t="s">
        <v>25</v>
      </c>
      <c r="K933" s="564" t="s">
        <v>25</v>
      </c>
      <c r="L933" s="564" t="s">
        <v>25</v>
      </c>
      <c r="M933" s="638" t="s">
        <v>347</v>
      </c>
      <c r="N933" s="638"/>
      <c r="O933" s="590">
        <v>675</v>
      </c>
      <c r="P933" s="564">
        <v>12000</v>
      </c>
      <c r="Q933" s="564">
        <v>8100000</v>
      </c>
      <c r="R933" s="638"/>
      <c r="S933" s="640"/>
      <c r="T933" s="591"/>
      <c r="U933" s="680"/>
      <c r="V933" s="564" t="s">
        <v>2899</v>
      </c>
      <c r="W933" s="564" t="s">
        <v>25</v>
      </c>
      <c r="X933" s="589"/>
      <c r="Y933" s="592"/>
      <c r="Z933" s="592"/>
      <c r="AA933" s="568"/>
      <c r="AB933" s="592"/>
      <c r="AC933" s="592"/>
      <c r="AD933" s="592"/>
      <c r="AE933" s="590"/>
      <c r="AF933" s="570" t="s">
        <v>2899</v>
      </c>
      <c r="AG933" s="570" t="s">
        <v>25</v>
      </c>
      <c r="AH933" s="571" t="s">
        <v>25</v>
      </c>
      <c r="AI933" s="593"/>
      <c r="AJ933" s="593"/>
    </row>
    <row r="934" spans="1:36" s="376" customFormat="1" ht="20.25" outlineLevel="2" x14ac:dyDescent="0.3">
      <c r="A934" s="447">
        <v>72</v>
      </c>
      <c r="B934" s="558"/>
      <c r="C934" s="558"/>
      <c r="D934" s="587"/>
      <c r="E934" s="560"/>
      <c r="F934" s="558"/>
      <c r="G934" s="588"/>
      <c r="H934" s="546"/>
      <c r="I934" s="563" t="s">
        <v>25</v>
      </c>
      <c r="J934" s="563" t="s">
        <v>25</v>
      </c>
      <c r="K934" s="564" t="s">
        <v>25</v>
      </c>
      <c r="L934" s="564" t="s">
        <v>25</v>
      </c>
      <c r="M934" s="593"/>
      <c r="N934" s="593"/>
      <c r="O934" s="616"/>
      <c r="P934" s="564" t="s">
        <v>25</v>
      </c>
      <c r="Q934" s="564" t="s">
        <v>25</v>
      </c>
      <c r="R934" s="638"/>
      <c r="S934" s="640"/>
      <c r="T934" s="591"/>
      <c r="U934" s="680"/>
      <c r="V934" s="564" t="s">
        <v>2899</v>
      </c>
      <c r="W934" s="564" t="s">
        <v>25</v>
      </c>
      <c r="X934" s="589"/>
      <c r="Y934" s="592"/>
      <c r="Z934" s="592"/>
      <c r="AA934" s="568"/>
      <c r="AB934" s="592"/>
      <c r="AC934" s="592"/>
      <c r="AD934" s="592"/>
      <c r="AE934" s="590"/>
      <c r="AF934" s="570" t="s">
        <v>2899</v>
      </c>
      <c r="AG934" s="570" t="s">
        <v>25</v>
      </c>
      <c r="AH934" s="571" t="s">
        <v>25</v>
      </c>
      <c r="AI934" s="593"/>
      <c r="AJ934" s="593"/>
    </row>
    <row r="935" spans="1:36" s="376" customFormat="1" ht="20.25" outlineLevel="2" x14ac:dyDescent="0.3">
      <c r="A935" s="447">
        <v>72</v>
      </c>
      <c r="B935" s="558"/>
      <c r="C935" s="558"/>
      <c r="D935" s="587"/>
      <c r="E935" s="615"/>
      <c r="F935" s="558"/>
      <c r="G935" s="588"/>
      <c r="H935" s="546"/>
      <c r="I935" s="563" t="s">
        <v>25</v>
      </c>
      <c r="J935" s="563" t="s">
        <v>25</v>
      </c>
      <c r="K935" s="564" t="s">
        <v>25</v>
      </c>
      <c r="L935" s="564" t="s">
        <v>25</v>
      </c>
      <c r="M935" s="593"/>
      <c r="N935" s="593"/>
      <c r="O935" s="616"/>
      <c r="P935" s="564" t="s">
        <v>25</v>
      </c>
      <c r="Q935" s="564" t="s">
        <v>25</v>
      </c>
      <c r="R935" s="638"/>
      <c r="S935" s="640"/>
      <c r="T935" s="591"/>
      <c r="U935" s="680"/>
      <c r="V935" s="564" t="s">
        <v>2899</v>
      </c>
      <c r="W935" s="564" t="s">
        <v>25</v>
      </c>
      <c r="X935" s="589"/>
      <c r="Y935" s="592"/>
      <c r="Z935" s="592"/>
      <c r="AA935" s="568"/>
      <c r="AB935" s="592"/>
      <c r="AC935" s="592"/>
      <c r="AD935" s="592"/>
      <c r="AE935" s="590"/>
      <c r="AF935" s="570" t="s">
        <v>2899</v>
      </c>
      <c r="AG935" s="570" t="s">
        <v>25</v>
      </c>
      <c r="AH935" s="571" t="s">
        <v>25</v>
      </c>
      <c r="AI935" s="593"/>
      <c r="AJ935" s="593"/>
    </row>
    <row r="936" spans="1:36" s="376" customFormat="1" ht="20.25" outlineLevel="2" x14ac:dyDescent="0.3">
      <c r="A936" s="447">
        <v>72</v>
      </c>
      <c r="B936" s="558"/>
      <c r="C936" s="558"/>
      <c r="D936" s="587"/>
      <c r="E936" s="560"/>
      <c r="F936" s="558"/>
      <c r="G936" s="604"/>
      <c r="H936" s="546"/>
      <c r="I936" s="563" t="s">
        <v>25</v>
      </c>
      <c r="J936" s="563" t="s">
        <v>25</v>
      </c>
      <c r="K936" s="564" t="s">
        <v>25</v>
      </c>
      <c r="L936" s="564" t="s">
        <v>25</v>
      </c>
      <c r="M936" s="593"/>
      <c r="N936" s="593"/>
      <c r="O936" s="616"/>
      <c r="P936" s="564" t="s">
        <v>25</v>
      </c>
      <c r="Q936" s="564" t="s">
        <v>25</v>
      </c>
      <c r="R936" s="593"/>
      <c r="S936" s="593"/>
      <c r="T936" s="617"/>
      <c r="U936" s="589"/>
      <c r="V936" s="564" t="s">
        <v>2899</v>
      </c>
      <c r="W936" s="564" t="s">
        <v>25</v>
      </c>
      <c r="X936" s="589"/>
      <c r="Y936" s="589"/>
      <c r="Z936" s="589"/>
      <c r="AA936" s="562"/>
      <c r="AB936" s="589"/>
      <c r="AC936" s="589"/>
      <c r="AD936" s="589"/>
      <c r="AE936" s="629"/>
      <c r="AF936" s="570" t="s">
        <v>2899</v>
      </c>
      <c r="AG936" s="570" t="s">
        <v>25</v>
      </c>
      <c r="AH936" s="571" t="s">
        <v>25</v>
      </c>
      <c r="AI936" s="593"/>
      <c r="AJ936" s="593"/>
    </row>
    <row r="937" spans="1:36" s="376" customFormat="1" ht="20.25" outlineLevel="2" x14ac:dyDescent="0.3">
      <c r="A937" s="447">
        <v>72</v>
      </c>
      <c r="B937" s="574"/>
      <c r="C937" s="574"/>
      <c r="D937" s="595"/>
      <c r="E937" s="577"/>
      <c r="F937" s="558"/>
      <c r="G937" s="588"/>
      <c r="H937" s="546"/>
      <c r="I937" s="563" t="s">
        <v>25</v>
      </c>
      <c r="J937" s="563" t="s">
        <v>25</v>
      </c>
      <c r="K937" s="564" t="s">
        <v>25</v>
      </c>
      <c r="L937" s="564" t="s">
        <v>25</v>
      </c>
      <c r="M937" s="638"/>
      <c r="N937" s="638"/>
      <c r="O937" s="590"/>
      <c r="P937" s="564" t="s">
        <v>25</v>
      </c>
      <c r="Q937" s="564" t="s">
        <v>25</v>
      </c>
      <c r="R937" s="638"/>
      <c r="S937" s="640"/>
      <c r="T937" s="591"/>
      <c r="U937" s="680"/>
      <c r="V937" s="564" t="s">
        <v>2899</v>
      </c>
      <c r="W937" s="564" t="s">
        <v>25</v>
      </c>
      <c r="X937" s="589"/>
      <c r="Y937" s="592"/>
      <c r="Z937" s="592"/>
      <c r="AA937" s="568"/>
      <c r="AB937" s="592"/>
      <c r="AC937" s="592"/>
      <c r="AD937" s="592"/>
      <c r="AE937" s="590"/>
      <c r="AF937" s="570" t="s">
        <v>2899</v>
      </c>
      <c r="AG937" s="570" t="s">
        <v>25</v>
      </c>
      <c r="AH937" s="571" t="s">
        <v>25</v>
      </c>
      <c r="AI937" s="593"/>
      <c r="AJ937" s="593"/>
    </row>
    <row r="938" spans="1:36" s="376" customFormat="1" ht="40.5" outlineLevel="1" x14ac:dyDescent="0.25">
      <c r="A938" s="467">
        <v>73</v>
      </c>
      <c r="B938" s="574" t="s">
        <v>47</v>
      </c>
      <c r="C938" s="773" t="s">
        <v>2902</v>
      </c>
      <c r="D938" s="587">
        <v>86</v>
      </c>
      <c r="E938" s="560">
        <v>346</v>
      </c>
      <c r="F938" s="574"/>
      <c r="G938" s="618">
        <v>652.6</v>
      </c>
      <c r="H938" s="579">
        <v>0</v>
      </c>
      <c r="I938" s="581"/>
      <c r="J938" s="581"/>
      <c r="K938" s="571">
        <v>361801000</v>
      </c>
      <c r="L938" s="571">
        <v>0</v>
      </c>
      <c r="M938" s="673"/>
      <c r="N938" s="673"/>
      <c r="O938" s="599">
        <v>0</v>
      </c>
      <c r="P938" s="571"/>
      <c r="Q938" s="571">
        <v>0</v>
      </c>
      <c r="R938" s="673"/>
      <c r="S938" s="678"/>
      <c r="T938" s="600">
        <v>0</v>
      </c>
      <c r="U938" s="682"/>
      <c r="V938" s="571"/>
      <c r="W938" s="571">
        <v>0</v>
      </c>
      <c r="X938" s="589"/>
      <c r="Y938" s="592"/>
      <c r="Z938" s="592"/>
      <c r="AA938" s="568"/>
      <c r="AB938" s="592"/>
      <c r="AC938" s="592"/>
      <c r="AD938" s="601"/>
      <c r="AE938" s="599">
        <f>SUBTOTAL(9,AE939:AE944)</f>
        <v>0</v>
      </c>
      <c r="AF938" s="585"/>
      <c r="AG938" s="585">
        <v>0</v>
      </c>
      <c r="AH938" s="571">
        <v>361801000</v>
      </c>
      <c r="AI938" s="574"/>
      <c r="AJ938" s="578"/>
    </row>
    <row r="939" spans="1:36" s="376" customFormat="1" ht="121.5" outlineLevel="2" x14ac:dyDescent="0.3">
      <c r="A939" s="447">
        <v>73</v>
      </c>
      <c r="B939" s="558" t="s">
        <v>279</v>
      </c>
      <c r="C939" s="558"/>
      <c r="D939" s="587"/>
      <c r="E939" s="560"/>
      <c r="F939" s="558" t="s">
        <v>2884</v>
      </c>
      <c r="G939" s="588">
        <v>652.6</v>
      </c>
      <c r="H939" s="546" t="s">
        <v>2899</v>
      </c>
      <c r="I939" s="563">
        <v>554400</v>
      </c>
      <c r="J939" s="563">
        <v>0</v>
      </c>
      <c r="K939" s="564">
        <v>361801000</v>
      </c>
      <c r="L939" s="564">
        <v>0</v>
      </c>
      <c r="M939" s="638"/>
      <c r="N939" s="638"/>
      <c r="O939" s="590"/>
      <c r="P939" s="564" t="s">
        <v>25</v>
      </c>
      <c r="Q939" s="564" t="s">
        <v>25</v>
      </c>
      <c r="R939" s="638"/>
      <c r="S939" s="640"/>
      <c r="T939" s="591"/>
      <c r="U939" s="680"/>
      <c r="V939" s="564" t="s">
        <v>2899</v>
      </c>
      <c r="W939" s="564" t="s">
        <v>25</v>
      </c>
      <c r="X939" s="589"/>
      <c r="Y939" s="592"/>
      <c r="Z939" s="592"/>
      <c r="AA939" s="568"/>
      <c r="AB939" s="592"/>
      <c r="AC939" s="592"/>
      <c r="AD939" s="592"/>
      <c r="AE939" s="590"/>
      <c r="AF939" s="570" t="s">
        <v>2899</v>
      </c>
      <c r="AG939" s="570"/>
      <c r="AH939" s="571" t="s">
        <v>25</v>
      </c>
      <c r="AI939" s="558" t="s">
        <v>598</v>
      </c>
      <c r="AJ939" s="586" t="s">
        <v>2771</v>
      </c>
    </row>
    <row r="940" spans="1:36" s="376" customFormat="1" ht="60.75" outlineLevel="2" x14ac:dyDescent="0.3">
      <c r="A940" s="447">
        <v>73</v>
      </c>
      <c r="B940" s="628" t="s">
        <v>707</v>
      </c>
      <c r="C940" s="628"/>
      <c r="D940" s="587"/>
      <c r="E940" s="560"/>
      <c r="F940" s="558"/>
      <c r="G940" s="588"/>
      <c r="H940" s="546"/>
      <c r="I940" s="563" t="s">
        <v>25</v>
      </c>
      <c r="J940" s="563" t="s">
        <v>25</v>
      </c>
      <c r="K940" s="564" t="s">
        <v>25</v>
      </c>
      <c r="L940" s="564" t="s">
        <v>25</v>
      </c>
      <c r="M940" s="646"/>
      <c r="N940" s="646"/>
      <c r="O940" s="658"/>
      <c r="P940" s="564" t="s">
        <v>25</v>
      </c>
      <c r="Q940" s="564" t="s">
        <v>25</v>
      </c>
      <c r="R940" s="646"/>
      <c r="S940" s="647"/>
      <c r="T940" s="591"/>
      <c r="U940" s="649"/>
      <c r="V940" s="564" t="s">
        <v>2899</v>
      </c>
      <c r="W940" s="564" t="s">
        <v>25</v>
      </c>
      <c r="X940" s="589"/>
      <c r="Y940" s="592"/>
      <c r="Z940" s="592"/>
      <c r="AA940" s="568"/>
      <c r="AB940" s="592"/>
      <c r="AC940" s="592"/>
      <c r="AD940" s="592"/>
      <c r="AE940" s="590"/>
      <c r="AF940" s="570" t="s">
        <v>2899</v>
      </c>
      <c r="AG940" s="570" t="s">
        <v>25</v>
      </c>
      <c r="AH940" s="571" t="s">
        <v>25</v>
      </c>
      <c r="AI940" s="558" t="s">
        <v>599</v>
      </c>
      <c r="AJ940" s="558"/>
    </row>
    <row r="941" spans="1:36" s="376" customFormat="1" ht="40.5" outlineLevel="2" x14ac:dyDescent="0.3">
      <c r="A941" s="447">
        <v>73</v>
      </c>
      <c r="B941" s="648" t="s">
        <v>317</v>
      </c>
      <c r="C941" s="648"/>
      <c r="D941" s="587"/>
      <c r="E941" s="615"/>
      <c r="F941" s="558"/>
      <c r="G941" s="588"/>
      <c r="H941" s="546"/>
      <c r="I941" s="563" t="s">
        <v>25</v>
      </c>
      <c r="J941" s="563" t="s">
        <v>25</v>
      </c>
      <c r="K941" s="564" t="s">
        <v>25</v>
      </c>
      <c r="L941" s="564" t="s">
        <v>25</v>
      </c>
      <c r="M941" s="646"/>
      <c r="N941" s="646"/>
      <c r="O941" s="658"/>
      <c r="P941" s="564" t="s">
        <v>25</v>
      </c>
      <c r="Q941" s="564" t="s">
        <v>25</v>
      </c>
      <c r="R941" s="646"/>
      <c r="S941" s="647"/>
      <c r="T941" s="591"/>
      <c r="U941" s="649"/>
      <c r="V941" s="564" t="s">
        <v>2899</v>
      </c>
      <c r="W941" s="564" t="s">
        <v>25</v>
      </c>
      <c r="X941" s="589"/>
      <c r="Y941" s="592"/>
      <c r="Z941" s="592"/>
      <c r="AA941" s="568"/>
      <c r="AB941" s="592"/>
      <c r="AC941" s="592"/>
      <c r="AD941" s="592"/>
      <c r="AE941" s="590"/>
      <c r="AF941" s="570" t="s">
        <v>2899</v>
      </c>
      <c r="AG941" s="570" t="s">
        <v>25</v>
      </c>
      <c r="AH941" s="571" t="s">
        <v>25</v>
      </c>
      <c r="AI941" s="574"/>
      <c r="AJ941" s="593"/>
    </row>
    <row r="942" spans="1:36" s="376" customFormat="1" ht="20.25" outlineLevel="2" x14ac:dyDescent="0.3">
      <c r="A942" s="447">
        <v>73</v>
      </c>
      <c r="B942" s="648"/>
      <c r="C942" s="648"/>
      <c r="D942" s="587"/>
      <c r="E942" s="615"/>
      <c r="F942" s="558"/>
      <c r="G942" s="604"/>
      <c r="H942" s="546"/>
      <c r="I942" s="563" t="s">
        <v>25</v>
      </c>
      <c r="J942" s="563" t="s">
        <v>25</v>
      </c>
      <c r="K942" s="564" t="s">
        <v>25</v>
      </c>
      <c r="L942" s="564" t="s">
        <v>25</v>
      </c>
      <c r="M942" s="593"/>
      <c r="N942" s="593"/>
      <c r="O942" s="616"/>
      <c r="P942" s="564" t="s">
        <v>25</v>
      </c>
      <c r="Q942" s="564" t="s">
        <v>25</v>
      </c>
      <c r="R942" s="593"/>
      <c r="S942" s="593"/>
      <c r="T942" s="617"/>
      <c r="U942" s="589"/>
      <c r="V942" s="564" t="s">
        <v>2899</v>
      </c>
      <c r="W942" s="564" t="s">
        <v>25</v>
      </c>
      <c r="X942" s="589"/>
      <c r="Y942" s="589"/>
      <c r="Z942" s="589"/>
      <c r="AA942" s="562"/>
      <c r="AB942" s="589"/>
      <c r="AC942" s="589"/>
      <c r="AD942" s="589"/>
      <c r="AE942" s="629"/>
      <c r="AF942" s="570" t="s">
        <v>2899</v>
      </c>
      <c r="AG942" s="570" t="s">
        <v>25</v>
      </c>
      <c r="AH942" s="571" t="s">
        <v>25</v>
      </c>
      <c r="AI942" s="558"/>
      <c r="AJ942" s="558"/>
    </row>
    <row r="943" spans="1:36" s="376" customFormat="1" ht="20.25" outlineLevel="2" x14ac:dyDescent="0.3">
      <c r="A943" s="447">
        <v>73</v>
      </c>
      <c r="B943" s="558"/>
      <c r="C943" s="558"/>
      <c r="D943" s="587"/>
      <c r="E943" s="560"/>
      <c r="F943" s="558"/>
      <c r="G943" s="604"/>
      <c r="H943" s="546"/>
      <c r="I943" s="563" t="s">
        <v>25</v>
      </c>
      <c r="J943" s="563" t="s">
        <v>25</v>
      </c>
      <c r="K943" s="564" t="s">
        <v>25</v>
      </c>
      <c r="L943" s="564" t="s">
        <v>25</v>
      </c>
      <c r="M943" s="593"/>
      <c r="N943" s="593"/>
      <c r="O943" s="616"/>
      <c r="P943" s="564" t="s">
        <v>25</v>
      </c>
      <c r="Q943" s="564" t="s">
        <v>25</v>
      </c>
      <c r="R943" s="593"/>
      <c r="S943" s="593"/>
      <c r="T943" s="617"/>
      <c r="U943" s="589"/>
      <c r="V943" s="564" t="s">
        <v>2899</v>
      </c>
      <c r="W943" s="564" t="s">
        <v>25</v>
      </c>
      <c r="X943" s="589"/>
      <c r="Y943" s="589"/>
      <c r="Z943" s="589"/>
      <c r="AA943" s="562"/>
      <c r="AB943" s="589"/>
      <c r="AC943" s="589"/>
      <c r="AD943" s="589"/>
      <c r="AE943" s="629"/>
      <c r="AF943" s="570" t="s">
        <v>2899</v>
      </c>
      <c r="AG943" s="570" t="s">
        <v>25</v>
      </c>
      <c r="AH943" s="571" t="s">
        <v>25</v>
      </c>
      <c r="AI943" s="558"/>
      <c r="AJ943" s="558"/>
    </row>
    <row r="944" spans="1:36" s="376" customFormat="1" ht="20.25" outlineLevel="2" x14ac:dyDescent="0.3">
      <c r="A944" s="447">
        <v>73</v>
      </c>
      <c r="B944" s="574"/>
      <c r="C944" s="574"/>
      <c r="D944" s="595"/>
      <c r="E944" s="577"/>
      <c r="F944" s="558"/>
      <c r="G944" s="588"/>
      <c r="H944" s="546"/>
      <c r="I944" s="563" t="s">
        <v>25</v>
      </c>
      <c r="J944" s="563" t="s">
        <v>25</v>
      </c>
      <c r="K944" s="564" t="s">
        <v>25</v>
      </c>
      <c r="L944" s="564" t="s">
        <v>25</v>
      </c>
      <c r="M944" s="646"/>
      <c r="N944" s="646"/>
      <c r="O944" s="658"/>
      <c r="P944" s="564" t="s">
        <v>25</v>
      </c>
      <c r="Q944" s="564" t="s">
        <v>25</v>
      </c>
      <c r="R944" s="646"/>
      <c r="S944" s="647"/>
      <c r="T944" s="591"/>
      <c r="U944" s="649"/>
      <c r="V944" s="564" t="s">
        <v>2899</v>
      </c>
      <c r="W944" s="564" t="s">
        <v>25</v>
      </c>
      <c r="X944" s="589"/>
      <c r="Y944" s="592"/>
      <c r="Z944" s="592"/>
      <c r="AA944" s="568"/>
      <c r="AB944" s="592"/>
      <c r="AC944" s="592"/>
      <c r="AD944" s="592"/>
      <c r="AE944" s="590"/>
      <c r="AF944" s="570" t="s">
        <v>2899</v>
      </c>
      <c r="AG944" s="570" t="s">
        <v>25</v>
      </c>
      <c r="AH944" s="571" t="s">
        <v>25</v>
      </c>
      <c r="AI944" s="593"/>
      <c r="AJ944" s="593"/>
    </row>
    <row r="945" spans="1:36" s="376" customFormat="1" ht="40.5" outlineLevel="1" x14ac:dyDescent="0.25">
      <c r="A945" s="467">
        <v>74</v>
      </c>
      <c r="B945" s="574" t="s">
        <v>47</v>
      </c>
      <c r="C945" s="773" t="s">
        <v>2902</v>
      </c>
      <c r="D945" s="587">
        <v>86</v>
      </c>
      <c r="E945" s="560">
        <v>344</v>
      </c>
      <c r="F945" s="574"/>
      <c r="G945" s="618">
        <v>673.3</v>
      </c>
      <c r="H945" s="579">
        <v>0</v>
      </c>
      <c r="I945" s="581"/>
      <c r="J945" s="581"/>
      <c r="K945" s="571">
        <v>373278000</v>
      </c>
      <c r="L945" s="571">
        <v>0</v>
      </c>
      <c r="M945" s="574"/>
      <c r="N945" s="574"/>
      <c r="O945" s="599">
        <v>0</v>
      </c>
      <c r="P945" s="571"/>
      <c r="Q945" s="571">
        <v>0</v>
      </c>
      <c r="R945" s="582"/>
      <c r="S945" s="597"/>
      <c r="T945" s="600">
        <v>0</v>
      </c>
      <c r="U945" s="597"/>
      <c r="V945" s="571"/>
      <c r="W945" s="571">
        <v>0</v>
      </c>
      <c r="X945" s="589"/>
      <c r="Y945" s="592"/>
      <c r="Z945" s="592"/>
      <c r="AA945" s="568"/>
      <c r="AB945" s="592"/>
      <c r="AC945" s="592"/>
      <c r="AD945" s="601"/>
      <c r="AE945" s="599">
        <f>SUBTOTAL(9,AE946:AE952)</f>
        <v>0</v>
      </c>
      <c r="AF945" s="585"/>
      <c r="AG945" s="585">
        <v>0</v>
      </c>
      <c r="AH945" s="571">
        <v>373278000</v>
      </c>
      <c r="AI945" s="574"/>
      <c r="AJ945" s="578"/>
    </row>
    <row r="946" spans="1:36" s="376" customFormat="1" ht="121.5" outlineLevel="2" x14ac:dyDescent="0.3">
      <c r="A946" s="447">
        <v>74</v>
      </c>
      <c r="B946" s="558" t="s">
        <v>279</v>
      </c>
      <c r="C946" s="558"/>
      <c r="D946" s="587"/>
      <c r="E946" s="560"/>
      <c r="F946" s="558" t="s">
        <v>2884</v>
      </c>
      <c r="G946" s="588">
        <v>673.3</v>
      </c>
      <c r="H946" s="546" t="s">
        <v>2899</v>
      </c>
      <c r="I946" s="563">
        <v>554400</v>
      </c>
      <c r="J946" s="563">
        <v>0</v>
      </c>
      <c r="K946" s="564">
        <v>373278000</v>
      </c>
      <c r="L946" s="564">
        <v>0</v>
      </c>
      <c r="M946" s="558"/>
      <c r="N946" s="558"/>
      <c r="O946" s="590"/>
      <c r="P946" s="564" t="s">
        <v>25</v>
      </c>
      <c r="Q946" s="564" t="s">
        <v>25</v>
      </c>
      <c r="R946" s="566"/>
      <c r="S946" s="589"/>
      <c r="T946" s="591"/>
      <c r="U946" s="589"/>
      <c r="V946" s="564" t="s">
        <v>2899</v>
      </c>
      <c r="W946" s="564" t="s">
        <v>25</v>
      </c>
      <c r="X946" s="589"/>
      <c r="Y946" s="592"/>
      <c r="Z946" s="592"/>
      <c r="AA946" s="568"/>
      <c r="AB946" s="592"/>
      <c r="AC946" s="592"/>
      <c r="AD946" s="592"/>
      <c r="AE946" s="590"/>
      <c r="AF946" s="570" t="s">
        <v>2899</v>
      </c>
      <c r="AG946" s="570" t="s">
        <v>25</v>
      </c>
      <c r="AH946" s="571" t="s">
        <v>25</v>
      </c>
      <c r="AI946" s="558" t="s">
        <v>708</v>
      </c>
      <c r="AJ946" s="586" t="s">
        <v>2771</v>
      </c>
    </row>
    <row r="947" spans="1:36" s="376" customFormat="1" ht="60.75" outlineLevel="2" x14ac:dyDescent="0.3">
      <c r="A947" s="447">
        <v>74</v>
      </c>
      <c r="B947" s="628" t="s">
        <v>707</v>
      </c>
      <c r="C947" s="628"/>
      <c r="D947" s="587"/>
      <c r="E947" s="560"/>
      <c r="F947" s="558"/>
      <c r="G947" s="588"/>
      <c r="H947" s="546"/>
      <c r="I947" s="563" t="s">
        <v>25</v>
      </c>
      <c r="J947" s="563" t="s">
        <v>25</v>
      </c>
      <c r="K947" s="564" t="s">
        <v>25</v>
      </c>
      <c r="L947" s="564" t="s">
        <v>25</v>
      </c>
      <c r="M947" s="646"/>
      <c r="N947" s="646"/>
      <c r="O947" s="590"/>
      <c r="P947" s="564" t="s">
        <v>25</v>
      </c>
      <c r="Q947" s="564" t="s">
        <v>25</v>
      </c>
      <c r="R947" s="646"/>
      <c r="S947" s="662"/>
      <c r="T947" s="591"/>
      <c r="U947" s="589"/>
      <c r="V947" s="564" t="s">
        <v>2899</v>
      </c>
      <c r="W947" s="564" t="s">
        <v>25</v>
      </c>
      <c r="X947" s="589"/>
      <c r="Y947" s="592"/>
      <c r="Z947" s="592"/>
      <c r="AA947" s="568"/>
      <c r="AB947" s="592"/>
      <c r="AC947" s="592"/>
      <c r="AD947" s="592"/>
      <c r="AE947" s="590"/>
      <c r="AF947" s="570" t="s">
        <v>2899</v>
      </c>
      <c r="AG947" s="570" t="s">
        <v>25</v>
      </c>
      <c r="AH947" s="571" t="s">
        <v>25</v>
      </c>
      <c r="AI947" s="558" t="s">
        <v>601</v>
      </c>
      <c r="AJ947" s="558"/>
    </row>
    <row r="948" spans="1:36" s="376" customFormat="1" ht="40.5" outlineLevel="2" x14ac:dyDescent="0.3">
      <c r="A948" s="447">
        <v>74</v>
      </c>
      <c r="B948" s="648" t="s">
        <v>317</v>
      </c>
      <c r="C948" s="648"/>
      <c r="D948" s="587"/>
      <c r="E948" s="615"/>
      <c r="F948" s="558"/>
      <c r="G948" s="588"/>
      <c r="H948" s="546"/>
      <c r="I948" s="563" t="s">
        <v>25</v>
      </c>
      <c r="J948" s="563" t="s">
        <v>25</v>
      </c>
      <c r="K948" s="564" t="s">
        <v>25</v>
      </c>
      <c r="L948" s="564" t="s">
        <v>25</v>
      </c>
      <c r="M948" s="646"/>
      <c r="N948" s="646"/>
      <c r="O948" s="590"/>
      <c r="P948" s="564" t="s">
        <v>25</v>
      </c>
      <c r="Q948" s="564" t="s">
        <v>25</v>
      </c>
      <c r="R948" s="646"/>
      <c r="S948" s="647"/>
      <c r="T948" s="591"/>
      <c r="U948" s="589"/>
      <c r="V948" s="564" t="s">
        <v>2899</v>
      </c>
      <c r="W948" s="564" t="s">
        <v>25</v>
      </c>
      <c r="X948" s="589"/>
      <c r="Y948" s="592"/>
      <c r="Z948" s="592"/>
      <c r="AA948" s="568"/>
      <c r="AB948" s="592"/>
      <c r="AC948" s="592"/>
      <c r="AD948" s="592"/>
      <c r="AE948" s="590"/>
      <c r="AF948" s="570" t="s">
        <v>2899</v>
      </c>
      <c r="AG948" s="570" t="s">
        <v>25</v>
      </c>
      <c r="AH948" s="571" t="s">
        <v>25</v>
      </c>
      <c r="AI948" s="558" t="s">
        <v>2139</v>
      </c>
      <c r="AJ948" s="558"/>
    </row>
    <row r="949" spans="1:36" s="376" customFormat="1" ht="20.25" outlineLevel="2" x14ac:dyDescent="0.3">
      <c r="A949" s="447">
        <v>74</v>
      </c>
      <c r="B949" s="648"/>
      <c r="C949" s="648"/>
      <c r="D949" s="587"/>
      <c r="E949" s="615"/>
      <c r="F949" s="558"/>
      <c r="G949" s="604"/>
      <c r="H949" s="546"/>
      <c r="I949" s="563" t="s">
        <v>25</v>
      </c>
      <c r="J949" s="563" t="s">
        <v>25</v>
      </c>
      <c r="K949" s="564" t="s">
        <v>25</v>
      </c>
      <c r="L949" s="564" t="s">
        <v>25</v>
      </c>
      <c r="M949" s="593"/>
      <c r="N949" s="593"/>
      <c r="O949" s="616"/>
      <c r="P949" s="564" t="s">
        <v>25</v>
      </c>
      <c r="Q949" s="564" t="s">
        <v>25</v>
      </c>
      <c r="R949" s="593"/>
      <c r="S949" s="593"/>
      <c r="T949" s="617"/>
      <c r="U949" s="589"/>
      <c r="V949" s="564" t="s">
        <v>2899</v>
      </c>
      <c r="W949" s="564" t="s">
        <v>25</v>
      </c>
      <c r="X949" s="589"/>
      <c r="Y949" s="589"/>
      <c r="Z949" s="589"/>
      <c r="AA949" s="562"/>
      <c r="AB949" s="589"/>
      <c r="AC949" s="589"/>
      <c r="AD949" s="589"/>
      <c r="AE949" s="629"/>
      <c r="AF949" s="570" t="s">
        <v>2899</v>
      </c>
      <c r="AG949" s="570" t="s">
        <v>25</v>
      </c>
      <c r="AH949" s="571" t="s">
        <v>25</v>
      </c>
      <c r="AI949" s="575"/>
      <c r="AJ949" s="558"/>
    </row>
    <row r="950" spans="1:36" s="376" customFormat="1" ht="20.25" outlineLevel="2" x14ac:dyDescent="0.3">
      <c r="A950" s="447">
        <v>74</v>
      </c>
      <c r="B950" s="648"/>
      <c r="C950" s="648"/>
      <c r="D950" s="587"/>
      <c r="E950" s="615"/>
      <c r="F950" s="558"/>
      <c r="G950" s="604"/>
      <c r="H950" s="546"/>
      <c r="I950" s="563" t="s">
        <v>25</v>
      </c>
      <c r="J950" s="563" t="s">
        <v>25</v>
      </c>
      <c r="K950" s="564" t="s">
        <v>25</v>
      </c>
      <c r="L950" s="564" t="s">
        <v>25</v>
      </c>
      <c r="M950" s="593"/>
      <c r="N950" s="593"/>
      <c r="O950" s="616"/>
      <c r="P950" s="564" t="s">
        <v>25</v>
      </c>
      <c r="Q950" s="564" t="s">
        <v>25</v>
      </c>
      <c r="R950" s="593"/>
      <c r="S950" s="593"/>
      <c r="T950" s="617"/>
      <c r="U950" s="589"/>
      <c r="V950" s="564" t="s">
        <v>2899</v>
      </c>
      <c r="W950" s="564" t="s">
        <v>25</v>
      </c>
      <c r="X950" s="589"/>
      <c r="Y950" s="589"/>
      <c r="Z950" s="589"/>
      <c r="AA950" s="562"/>
      <c r="AB950" s="589"/>
      <c r="AC950" s="589"/>
      <c r="AD950" s="589"/>
      <c r="AE950" s="629"/>
      <c r="AF950" s="570" t="s">
        <v>2899</v>
      </c>
      <c r="AG950" s="570" t="s">
        <v>25</v>
      </c>
      <c r="AH950" s="571" t="s">
        <v>25</v>
      </c>
      <c r="AI950" s="558"/>
      <c r="AJ950" s="558"/>
    </row>
    <row r="951" spans="1:36" s="376" customFormat="1" ht="20.25" outlineLevel="2" x14ac:dyDescent="0.3">
      <c r="A951" s="447">
        <v>74</v>
      </c>
      <c r="B951" s="558"/>
      <c r="C951" s="558"/>
      <c r="D951" s="587"/>
      <c r="E951" s="560"/>
      <c r="F951" s="558"/>
      <c r="G951" s="604"/>
      <c r="H951" s="546"/>
      <c r="I951" s="563" t="s">
        <v>25</v>
      </c>
      <c r="J951" s="563" t="s">
        <v>25</v>
      </c>
      <c r="K951" s="564" t="s">
        <v>25</v>
      </c>
      <c r="L951" s="564" t="s">
        <v>25</v>
      </c>
      <c r="M951" s="593"/>
      <c r="N951" s="593"/>
      <c r="O951" s="616"/>
      <c r="P951" s="564" t="s">
        <v>25</v>
      </c>
      <c r="Q951" s="564" t="s">
        <v>25</v>
      </c>
      <c r="R951" s="593"/>
      <c r="S951" s="593"/>
      <c r="T951" s="617"/>
      <c r="U951" s="589"/>
      <c r="V951" s="564" t="s">
        <v>2899</v>
      </c>
      <c r="W951" s="564" t="s">
        <v>25</v>
      </c>
      <c r="X951" s="589"/>
      <c r="Y951" s="589"/>
      <c r="Z951" s="589"/>
      <c r="AA951" s="562"/>
      <c r="AB951" s="589"/>
      <c r="AC951" s="589"/>
      <c r="AD951" s="589"/>
      <c r="AE951" s="629"/>
      <c r="AF951" s="570" t="s">
        <v>2899</v>
      </c>
      <c r="AG951" s="570" t="s">
        <v>25</v>
      </c>
      <c r="AH951" s="571" t="s">
        <v>25</v>
      </c>
      <c r="AI951" s="558"/>
      <c r="AJ951" s="558"/>
    </row>
    <row r="952" spans="1:36" s="376" customFormat="1" ht="20.25" outlineLevel="2" x14ac:dyDescent="0.3">
      <c r="A952" s="447">
        <v>74</v>
      </c>
      <c r="B952" s="574"/>
      <c r="C952" s="574"/>
      <c r="D952" s="595"/>
      <c r="E952" s="577"/>
      <c r="F952" s="558"/>
      <c r="G952" s="588"/>
      <c r="H952" s="546"/>
      <c r="I952" s="563" t="s">
        <v>25</v>
      </c>
      <c r="J952" s="563" t="s">
        <v>25</v>
      </c>
      <c r="K952" s="564" t="s">
        <v>25</v>
      </c>
      <c r="L952" s="564" t="s">
        <v>25</v>
      </c>
      <c r="M952" s="646"/>
      <c r="N952" s="646"/>
      <c r="O952" s="590"/>
      <c r="P952" s="564" t="s">
        <v>25</v>
      </c>
      <c r="Q952" s="564" t="s">
        <v>25</v>
      </c>
      <c r="R952" s="646"/>
      <c r="S952" s="647"/>
      <c r="T952" s="591"/>
      <c r="U952" s="589"/>
      <c r="V952" s="564" t="s">
        <v>2899</v>
      </c>
      <c r="W952" s="564" t="s">
        <v>25</v>
      </c>
      <c r="X952" s="589"/>
      <c r="Y952" s="592"/>
      <c r="Z952" s="592"/>
      <c r="AA952" s="568"/>
      <c r="AB952" s="592"/>
      <c r="AC952" s="592"/>
      <c r="AD952" s="592"/>
      <c r="AE952" s="590"/>
      <c r="AF952" s="570" t="s">
        <v>2899</v>
      </c>
      <c r="AG952" s="570" t="s">
        <v>25</v>
      </c>
      <c r="AH952" s="571" t="s">
        <v>25</v>
      </c>
      <c r="AI952" s="593"/>
      <c r="AJ952" s="593"/>
    </row>
    <row r="953" spans="1:36" s="376" customFormat="1" ht="40.5" outlineLevel="1" x14ac:dyDescent="0.25">
      <c r="A953" s="467">
        <v>75</v>
      </c>
      <c r="B953" s="574" t="s">
        <v>47</v>
      </c>
      <c r="C953" s="773" t="s">
        <v>2902</v>
      </c>
      <c r="D953" s="587">
        <v>86</v>
      </c>
      <c r="E953" s="560">
        <v>343</v>
      </c>
      <c r="F953" s="574"/>
      <c r="G953" s="618">
        <v>660.9</v>
      </c>
      <c r="H953" s="579">
        <v>0</v>
      </c>
      <c r="I953" s="581"/>
      <c r="J953" s="581"/>
      <c r="K953" s="571">
        <v>366403000</v>
      </c>
      <c r="L953" s="571">
        <v>0</v>
      </c>
      <c r="M953" s="644"/>
      <c r="N953" s="644"/>
      <c r="O953" s="599">
        <v>0</v>
      </c>
      <c r="P953" s="571"/>
      <c r="Q953" s="571">
        <v>0</v>
      </c>
      <c r="R953" s="644"/>
      <c r="S953" s="645"/>
      <c r="T953" s="600">
        <v>0</v>
      </c>
      <c r="U953" s="597"/>
      <c r="V953" s="571"/>
      <c r="W953" s="571">
        <v>0</v>
      </c>
      <c r="X953" s="589"/>
      <c r="Y953" s="592"/>
      <c r="Z953" s="592"/>
      <c r="AA953" s="568"/>
      <c r="AB953" s="592"/>
      <c r="AC953" s="592"/>
      <c r="AD953" s="601"/>
      <c r="AE953" s="599">
        <f>SUBTOTAL(9,AE954:AE960)</f>
        <v>0</v>
      </c>
      <c r="AF953" s="585"/>
      <c r="AG953" s="585">
        <v>0</v>
      </c>
      <c r="AH953" s="571">
        <v>366403000</v>
      </c>
      <c r="AI953" s="574"/>
      <c r="AJ953" s="578"/>
    </row>
    <row r="954" spans="1:36" s="376" customFormat="1" ht="121.5" outlineLevel="2" x14ac:dyDescent="0.3">
      <c r="A954" s="447">
        <v>75</v>
      </c>
      <c r="B954" s="558" t="s">
        <v>279</v>
      </c>
      <c r="C954" s="558"/>
      <c r="D954" s="587"/>
      <c r="E954" s="560"/>
      <c r="F954" s="558" t="s">
        <v>2884</v>
      </c>
      <c r="G954" s="588">
        <v>660.9</v>
      </c>
      <c r="H954" s="546" t="s">
        <v>2899</v>
      </c>
      <c r="I954" s="563">
        <v>554400</v>
      </c>
      <c r="J954" s="563">
        <v>0</v>
      </c>
      <c r="K954" s="564">
        <v>366403000</v>
      </c>
      <c r="L954" s="564">
        <v>0</v>
      </c>
      <c r="M954" s="646"/>
      <c r="N954" s="646"/>
      <c r="O954" s="590"/>
      <c r="P954" s="564" t="s">
        <v>25</v>
      </c>
      <c r="Q954" s="564" t="s">
        <v>25</v>
      </c>
      <c r="R954" s="646"/>
      <c r="S954" s="647"/>
      <c r="T954" s="591"/>
      <c r="U954" s="589"/>
      <c r="V954" s="564" t="s">
        <v>2899</v>
      </c>
      <c r="W954" s="564" t="s">
        <v>25</v>
      </c>
      <c r="X954" s="589"/>
      <c r="Y954" s="592"/>
      <c r="Z954" s="592"/>
      <c r="AA954" s="568"/>
      <c r="AB954" s="592"/>
      <c r="AC954" s="592"/>
      <c r="AD954" s="592"/>
      <c r="AE954" s="590"/>
      <c r="AF954" s="570" t="s">
        <v>2899</v>
      </c>
      <c r="AG954" s="570" t="s">
        <v>25</v>
      </c>
      <c r="AH954" s="571" t="s">
        <v>25</v>
      </c>
      <c r="AI954" s="558" t="s">
        <v>709</v>
      </c>
      <c r="AJ954" s="586" t="s">
        <v>2771</v>
      </c>
    </row>
    <row r="955" spans="1:36" s="376" customFormat="1" ht="60.75" outlineLevel="2" x14ac:dyDescent="0.3">
      <c r="A955" s="447">
        <v>75</v>
      </c>
      <c r="B955" s="628" t="s">
        <v>707</v>
      </c>
      <c r="C955" s="628"/>
      <c r="D955" s="587"/>
      <c r="E955" s="560"/>
      <c r="F955" s="558"/>
      <c r="G955" s="588"/>
      <c r="H955" s="546"/>
      <c r="I955" s="563" t="s">
        <v>25</v>
      </c>
      <c r="J955" s="563" t="s">
        <v>25</v>
      </c>
      <c r="K955" s="564" t="s">
        <v>25</v>
      </c>
      <c r="L955" s="564" t="s">
        <v>25</v>
      </c>
      <c r="M955" s="646"/>
      <c r="N955" s="646"/>
      <c r="O955" s="590"/>
      <c r="P955" s="564" t="s">
        <v>25</v>
      </c>
      <c r="Q955" s="564" t="s">
        <v>25</v>
      </c>
      <c r="R955" s="646"/>
      <c r="S955" s="647"/>
      <c r="T955" s="591"/>
      <c r="U955" s="589"/>
      <c r="V955" s="564" t="s">
        <v>2899</v>
      </c>
      <c r="W955" s="564" t="s">
        <v>25</v>
      </c>
      <c r="X955" s="589"/>
      <c r="Y955" s="592"/>
      <c r="Z955" s="592"/>
      <c r="AA955" s="568"/>
      <c r="AB955" s="592"/>
      <c r="AC955" s="592"/>
      <c r="AD955" s="592"/>
      <c r="AE955" s="590"/>
      <c r="AF955" s="570" t="s">
        <v>2899</v>
      </c>
      <c r="AG955" s="570" t="s">
        <v>25</v>
      </c>
      <c r="AH955" s="571" t="s">
        <v>25</v>
      </c>
      <c r="AI955" s="558" t="s">
        <v>603</v>
      </c>
      <c r="AJ955" s="558"/>
    </row>
    <row r="956" spans="1:36" s="376" customFormat="1" ht="40.5" outlineLevel="2" x14ac:dyDescent="0.3">
      <c r="A956" s="447">
        <v>75</v>
      </c>
      <c r="B956" s="648" t="s">
        <v>317</v>
      </c>
      <c r="C956" s="648"/>
      <c r="D956" s="587"/>
      <c r="E956" s="615"/>
      <c r="F956" s="558"/>
      <c r="G956" s="588"/>
      <c r="H956" s="546"/>
      <c r="I956" s="563" t="s">
        <v>25</v>
      </c>
      <c r="J956" s="563" t="s">
        <v>25</v>
      </c>
      <c r="K956" s="564" t="s">
        <v>25</v>
      </c>
      <c r="L956" s="564" t="s">
        <v>25</v>
      </c>
      <c r="M956" s="646"/>
      <c r="N956" s="646"/>
      <c r="O956" s="590"/>
      <c r="P956" s="564" t="s">
        <v>25</v>
      </c>
      <c r="Q956" s="564" t="s">
        <v>25</v>
      </c>
      <c r="R956" s="646"/>
      <c r="S956" s="647"/>
      <c r="T956" s="591"/>
      <c r="U956" s="589"/>
      <c r="V956" s="564" t="s">
        <v>2899</v>
      </c>
      <c r="W956" s="564" t="s">
        <v>25</v>
      </c>
      <c r="X956" s="589"/>
      <c r="Y956" s="592"/>
      <c r="Z956" s="592"/>
      <c r="AA956" s="568"/>
      <c r="AB956" s="592"/>
      <c r="AC956" s="592"/>
      <c r="AD956" s="592"/>
      <c r="AE956" s="590"/>
      <c r="AF956" s="570" t="s">
        <v>2899</v>
      </c>
      <c r="AG956" s="570" t="s">
        <v>25</v>
      </c>
      <c r="AH956" s="571" t="s">
        <v>25</v>
      </c>
      <c r="AI956" s="558" t="s">
        <v>2139</v>
      </c>
      <c r="AJ956" s="558"/>
    </row>
    <row r="957" spans="1:36" s="376" customFormat="1" ht="20.25" outlineLevel="2" x14ac:dyDescent="0.3">
      <c r="A957" s="447">
        <v>75</v>
      </c>
      <c r="B957" s="648"/>
      <c r="C957" s="648"/>
      <c r="D957" s="587"/>
      <c r="E957" s="615"/>
      <c r="F957" s="558"/>
      <c r="G957" s="604"/>
      <c r="H957" s="546"/>
      <c r="I957" s="563" t="s">
        <v>25</v>
      </c>
      <c r="J957" s="563" t="s">
        <v>25</v>
      </c>
      <c r="K957" s="564" t="s">
        <v>25</v>
      </c>
      <c r="L957" s="564" t="s">
        <v>25</v>
      </c>
      <c r="M957" s="593"/>
      <c r="N957" s="593"/>
      <c r="O957" s="616"/>
      <c r="P957" s="564" t="s">
        <v>25</v>
      </c>
      <c r="Q957" s="564" t="s">
        <v>25</v>
      </c>
      <c r="R957" s="593"/>
      <c r="S957" s="593"/>
      <c r="T957" s="617"/>
      <c r="U957" s="589"/>
      <c r="V957" s="564" t="s">
        <v>2899</v>
      </c>
      <c r="W957" s="564" t="s">
        <v>25</v>
      </c>
      <c r="X957" s="589"/>
      <c r="Y957" s="589"/>
      <c r="Z957" s="589"/>
      <c r="AA957" s="562"/>
      <c r="AB957" s="589"/>
      <c r="AC957" s="589"/>
      <c r="AD957" s="589"/>
      <c r="AE957" s="629"/>
      <c r="AF957" s="570" t="s">
        <v>2899</v>
      </c>
      <c r="AG957" s="570" t="s">
        <v>25</v>
      </c>
      <c r="AH957" s="571" t="s">
        <v>25</v>
      </c>
      <c r="AI957" s="575"/>
      <c r="AJ957" s="558"/>
    </row>
    <row r="958" spans="1:36" s="376" customFormat="1" ht="20.25" outlineLevel="2" x14ac:dyDescent="0.3">
      <c r="A958" s="447">
        <v>75</v>
      </c>
      <c r="B958" s="648"/>
      <c r="C958" s="648"/>
      <c r="D958" s="587"/>
      <c r="E958" s="615"/>
      <c r="F958" s="558"/>
      <c r="G958" s="604"/>
      <c r="H958" s="546"/>
      <c r="I958" s="563" t="s">
        <v>25</v>
      </c>
      <c r="J958" s="563" t="s">
        <v>25</v>
      </c>
      <c r="K958" s="564" t="s">
        <v>25</v>
      </c>
      <c r="L958" s="564" t="s">
        <v>25</v>
      </c>
      <c r="M958" s="593"/>
      <c r="N958" s="593"/>
      <c r="O958" s="616"/>
      <c r="P958" s="564" t="s">
        <v>25</v>
      </c>
      <c r="Q958" s="564" t="s">
        <v>25</v>
      </c>
      <c r="R958" s="593"/>
      <c r="S958" s="593"/>
      <c r="T958" s="617"/>
      <c r="U958" s="589"/>
      <c r="V958" s="564" t="s">
        <v>2899</v>
      </c>
      <c r="W958" s="564" t="s">
        <v>25</v>
      </c>
      <c r="X958" s="589"/>
      <c r="Y958" s="589"/>
      <c r="Z958" s="589"/>
      <c r="AA958" s="562"/>
      <c r="AB958" s="589"/>
      <c r="AC958" s="589"/>
      <c r="AD958" s="589"/>
      <c r="AE958" s="629"/>
      <c r="AF958" s="570" t="s">
        <v>2899</v>
      </c>
      <c r="AG958" s="570" t="s">
        <v>25</v>
      </c>
      <c r="AH958" s="571" t="s">
        <v>25</v>
      </c>
      <c r="AI958" s="558"/>
      <c r="AJ958" s="558"/>
    </row>
    <row r="959" spans="1:36" s="376" customFormat="1" ht="20.25" outlineLevel="2" x14ac:dyDescent="0.3">
      <c r="A959" s="447">
        <v>75</v>
      </c>
      <c r="B959" s="558"/>
      <c r="C959" s="558"/>
      <c r="D959" s="587"/>
      <c r="E959" s="560"/>
      <c r="F959" s="558"/>
      <c r="G959" s="604"/>
      <c r="H959" s="546"/>
      <c r="I959" s="563" t="s">
        <v>25</v>
      </c>
      <c r="J959" s="563" t="s">
        <v>25</v>
      </c>
      <c r="K959" s="564" t="s">
        <v>25</v>
      </c>
      <c r="L959" s="564" t="s">
        <v>25</v>
      </c>
      <c r="M959" s="593"/>
      <c r="N959" s="593"/>
      <c r="O959" s="616"/>
      <c r="P959" s="564" t="s">
        <v>25</v>
      </c>
      <c r="Q959" s="564" t="s">
        <v>25</v>
      </c>
      <c r="R959" s="593"/>
      <c r="S959" s="593"/>
      <c r="T959" s="617"/>
      <c r="U959" s="589"/>
      <c r="V959" s="564" t="s">
        <v>2899</v>
      </c>
      <c r="W959" s="564" t="s">
        <v>25</v>
      </c>
      <c r="X959" s="589"/>
      <c r="Y959" s="589"/>
      <c r="Z959" s="589"/>
      <c r="AA959" s="562"/>
      <c r="AB959" s="589"/>
      <c r="AC959" s="589"/>
      <c r="AD959" s="589"/>
      <c r="AE959" s="629"/>
      <c r="AF959" s="570" t="s">
        <v>2899</v>
      </c>
      <c r="AG959" s="570" t="s">
        <v>25</v>
      </c>
      <c r="AH959" s="571" t="s">
        <v>25</v>
      </c>
      <c r="AI959" s="558"/>
      <c r="AJ959" s="558"/>
    </row>
    <row r="960" spans="1:36" s="376" customFormat="1" ht="20.25" outlineLevel="2" x14ac:dyDescent="0.3">
      <c r="A960" s="447">
        <v>75</v>
      </c>
      <c r="B960" s="574"/>
      <c r="C960" s="574"/>
      <c r="D960" s="595"/>
      <c r="E960" s="577"/>
      <c r="F960" s="558"/>
      <c r="G960" s="588"/>
      <c r="H960" s="546"/>
      <c r="I960" s="563" t="s">
        <v>25</v>
      </c>
      <c r="J960" s="563" t="s">
        <v>25</v>
      </c>
      <c r="K960" s="564" t="s">
        <v>25</v>
      </c>
      <c r="L960" s="564" t="s">
        <v>25</v>
      </c>
      <c r="M960" s="646"/>
      <c r="N960" s="646"/>
      <c r="O960" s="590"/>
      <c r="P960" s="564" t="s">
        <v>25</v>
      </c>
      <c r="Q960" s="564" t="s">
        <v>25</v>
      </c>
      <c r="R960" s="646"/>
      <c r="S960" s="647"/>
      <c r="T960" s="591"/>
      <c r="U960" s="589"/>
      <c r="V960" s="564" t="s">
        <v>2899</v>
      </c>
      <c r="W960" s="564" t="s">
        <v>25</v>
      </c>
      <c r="X960" s="589"/>
      <c r="Y960" s="592"/>
      <c r="Z960" s="592"/>
      <c r="AA960" s="568"/>
      <c r="AB960" s="592"/>
      <c r="AC960" s="592"/>
      <c r="AD960" s="592"/>
      <c r="AE960" s="590"/>
      <c r="AF960" s="570" t="s">
        <v>2899</v>
      </c>
      <c r="AG960" s="570" t="s">
        <v>25</v>
      </c>
      <c r="AH960" s="571" t="s">
        <v>25</v>
      </c>
      <c r="AI960" s="593"/>
      <c r="AJ960" s="593"/>
    </row>
    <row r="961" spans="1:36" s="376" customFormat="1" ht="40.5" outlineLevel="1" x14ac:dyDescent="0.25">
      <c r="A961" s="467">
        <v>76</v>
      </c>
      <c r="B961" s="574" t="s">
        <v>47</v>
      </c>
      <c r="C961" s="773" t="s">
        <v>2902</v>
      </c>
      <c r="D961" s="587">
        <v>86</v>
      </c>
      <c r="E961" s="560">
        <v>347</v>
      </c>
      <c r="F961" s="574"/>
      <c r="G961" s="618">
        <v>398.3</v>
      </c>
      <c r="H961" s="579">
        <v>0</v>
      </c>
      <c r="I961" s="581"/>
      <c r="J961" s="581"/>
      <c r="K961" s="571">
        <v>220818000</v>
      </c>
      <c r="L961" s="571">
        <v>0</v>
      </c>
      <c r="M961" s="574"/>
      <c r="N961" s="574"/>
      <c r="O961" s="599">
        <v>0</v>
      </c>
      <c r="P961" s="571"/>
      <c r="Q961" s="571">
        <v>0</v>
      </c>
      <c r="R961" s="582"/>
      <c r="S961" s="597"/>
      <c r="T961" s="600">
        <v>0</v>
      </c>
      <c r="U961" s="597"/>
      <c r="V961" s="571"/>
      <c r="W961" s="571">
        <v>0</v>
      </c>
      <c r="X961" s="589"/>
      <c r="Y961" s="592"/>
      <c r="Z961" s="592"/>
      <c r="AA961" s="568"/>
      <c r="AB961" s="592"/>
      <c r="AC961" s="592"/>
      <c r="AD961" s="601"/>
      <c r="AE961" s="599">
        <f>SUBTOTAL(9,AE962:AE968)</f>
        <v>0</v>
      </c>
      <c r="AF961" s="585"/>
      <c r="AG961" s="585">
        <v>0</v>
      </c>
      <c r="AH961" s="571">
        <v>220818000</v>
      </c>
      <c r="AI961" s="574"/>
      <c r="AJ961" s="578"/>
    </row>
    <row r="962" spans="1:36" s="376" customFormat="1" ht="121.5" outlineLevel="2" x14ac:dyDescent="0.3">
      <c r="A962" s="447">
        <v>76</v>
      </c>
      <c r="B962" s="558" t="s">
        <v>279</v>
      </c>
      <c r="C962" s="558"/>
      <c r="D962" s="587"/>
      <c r="E962" s="560"/>
      <c r="F962" s="558" t="s">
        <v>2884</v>
      </c>
      <c r="G962" s="588">
        <v>398.3</v>
      </c>
      <c r="H962" s="546" t="s">
        <v>2899</v>
      </c>
      <c r="I962" s="563">
        <v>554400</v>
      </c>
      <c r="J962" s="563">
        <v>0</v>
      </c>
      <c r="K962" s="564">
        <v>220818000</v>
      </c>
      <c r="L962" s="564">
        <v>0</v>
      </c>
      <c r="M962" s="558"/>
      <c r="N962" s="558"/>
      <c r="O962" s="590"/>
      <c r="P962" s="564" t="s">
        <v>25</v>
      </c>
      <c r="Q962" s="564" t="s">
        <v>25</v>
      </c>
      <c r="R962" s="566"/>
      <c r="S962" s="589"/>
      <c r="T962" s="591"/>
      <c r="U962" s="589"/>
      <c r="V962" s="564" t="s">
        <v>2899</v>
      </c>
      <c r="W962" s="564" t="s">
        <v>25</v>
      </c>
      <c r="X962" s="589"/>
      <c r="Y962" s="592"/>
      <c r="Z962" s="592"/>
      <c r="AA962" s="568"/>
      <c r="AB962" s="592"/>
      <c r="AC962" s="592"/>
      <c r="AD962" s="592"/>
      <c r="AE962" s="590"/>
      <c r="AF962" s="570" t="s">
        <v>2899</v>
      </c>
      <c r="AG962" s="570" t="s">
        <v>25</v>
      </c>
      <c r="AH962" s="571" t="s">
        <v>25</v>
      </c>
      <c r="AI962" s="558" t="s">
        <v>710</v>
      </c>
      <c r="AJ962" s="586" t="s">
        <v>2771</v>
      </c>
    </row>
    <row r="963" spans="1:36" s="376" customFormat="1" ht="60.75" outlineLevel="2" x14ac:dyDescent="0.3">
      <c r="A963" s="447">
        <v>76</v>
      </c>
      <c r="B963" s="628" t="s">
        <v>707</v>
      </c>
      <c r="C963" s="628"/>
      <c r="D963" s="587"/>
      <c r="E963" s="560"/>
      <c r="F963" s="558"/>
      <c r="G963" s="588"/>
      <c r="H963" s="546"/>
      <c r="I963" s="563" t="s">
        <v>25</v>
      </c>
      <c r="J963" s="563" t="s">
        <v>25</v>
      </c>
      <c r="K963" s="564" t="s">
        <v>25</v>
      </c>
      <c r="L963" s="564" t="s">
        <v>25</v>
      </c>
      <c r="M963" s="558"/>
      <c r="N963" s="558"/>
      <c r="O963" s="590"/>
      <c r="P963" s="564" t="s">
        <v>25</v>
      </c>
      <c r="Q963" s="564" t="s">
        <v>25</v>
      </c>
      <c r="R963" s="646"/>
      <c r="S963" s="662"/>
      <c r="T963" s="591"/>
      <c r="U963" s="589"/>
      <c r="V963" s="564" t="s">
        <v>2899</v>
      </c>
      <c r="W963" s="564" t="s">
        <v>25</v>
      </c>
      <c r="X963" s="589"/>
      <c r="Y963" s="592"/>
      <c r="Z963" s="592"/>
      <c r="AA963" s="568"/>
      <c r="AB963" s="592"/>
      <c r="AC963" s="592"/>
      <c r="AD963" s="592"/>
      <c r="AE963" s="590"/>
      <c r="AF963" s="570" t="s">
        <v>2899</v>
      </c>
      <c r="AG963" s="570" t="s">
        <v>25</v>
      </c>
      <c r="AH963" s="571" t="s">
        <v>25</v>
      </c>
      <c r="AI963" s="558" t="s">
        <v>605</v>
      </c>
      <c r="AJ963" s="558"/>
    </row>
    <row r="964" spans="1:36" s="376" customFormat="1" ht="40.5" outlineLevel="2" x14ac:dyDescent="0.3">
      <c r="A964" s="447">
        <v>76</v>
      </c>
      <c r="B964" s="648" t="s">
        <v>317</v>
      </c>
      <c r="C964" s="648"/>
      <c r="D964" s="587"/>
      <c r="E964" s="615"/>
      <c r="F964" s="558"/>
      <c r="G964" s="588"/>
      <c r="H964" s="546"/>
      <c r="I964" s="563" t="s">
        <v>25</v>
      </c>
      <c r="J964" s="563" t="s">
        <v>25</v>
      </c>
      <c r="K964" s="564" t="s">
        <v>25</v>
      </c>
      <c r="L964" s="564" t="s">
        <v>25</v>
      </c>
      <c r="M964" s="558"/>
      <c r="N964" s="558"/>
      <c r="O964" s="590"/>
      <c r="P964" s="564" t="s">
        <v>25</v>
      </c>
      <c r="Q964" s="564" t="s">
        <v>25</v>
      </c>
      <c r="R964" s="566"/>
      <c r="S964" s="589"/>
      <c r="T964" s="591"/>
      <c r="U964" s="589"/>
      <c r="V964" s="564" t="s">
        <v>2899</v>
      </c>
      <c r="W964" s="564" t="s">
        <v>25</v>
      </c>
      <c r="X964" s="589"/>
      <c r="Y964" s="592"/>
      <c r="Z964" s="592"/>
      <c r="AA964" s="568"/>
      <c r="AB964" s="592"/>
      <c r="AC964" s="592"/>
      <c r="AD964" s="592"/>
      <c r="AE964" s="590"/>
      <c r="AF964" s="570" t="s">
        <v>2899</v>
      </c>
      <c r="AG964" s="570" t="s">
        <v>25</v>
      </c>
      <c r="AH964" s="571" t="s">
        <v>25</v>
      </c>
      <c r="AI964" s="558" t="s">
        <v>2139</v>
      </c>
      <c r="AJ964" s="558"/>
    </row>
    <row r="965" spans="1:36" s="376" customFormat="1" ht="20.25" outlineLevel="2" x14ac:dyDescent="0.3">
      <c r="A965" s="447">
        <v>76</v>
      </c>
      <c r="B965" s="648"/>
      <c r="C965" s="648"/>
      <c r="D965" s="587"/>
      <c r="E965" s="615"/>
      <c r="F965" s="558"/>
      <c r="G965" s="604"/>
      <c r="H965" s="546"/>
      <c r="I965" s="563" t="s">
        <v>25</v>
      </c>
      <c r="J965" s="563" t="s">
        <v>25</v>
      </c>
      <c r="K965" s="564" t="s">
        <v>25</v>
      </c>
      <c r="L965" s="564" t="s">
        <v>25</v>
      </c>
      <c r="M965" s="593"/>
      <c r="N965" s="593"/>
      <c r="O965" s="616"/>
      <c r="P965" s="564" t="s">
        <v>25</v>
      </c>
      <c r="Q965" s="564" t="s">
        <v>25</v>
      </c>
      <c r="R965" s="593"/>
      <c r="S965" s="593"/>
      <c r="T965" s="617"/>
      <c r="U965" s="589"/>
      <c r="V965" s="564" t="s">
        <v>2899</v>
      </c>
      <c r="W965" s="564" t="s">
        <v>25</v>
      </c>
      <c r="X965" s="589"/>
      <c r="Y965" s="589"/>
      <c r="Z965" s="589"/>
      <c r="AA965" s="562"/>
      <c r="AB965" s="589"/>
      <c r="AC965" s="589"/>
      <c r="AD965" s="589"/>
      <c r="AE965" s="629"/>
      <c r="AF965" s="570" t="s">
        <v>2899</v>
      </c>
      <c r="AG965" s="570" t="s">
        <v>25</v>
      </c>
      <c r="AH965" s="571" t="s">
        <v>25</v>
      </c>
      <c r="AI965" s="575"/>
      <c r="AJ965" s="558"/>
    </row>
    <row r="966" spans="1:36" s="376" customFormat="1" ht="20.25" outlineLevel="2" x14ac:dyDescent="0.3">
      <c r="A966" s="447">
        <v>76</v>
      </c>
      <c r="B966" s="558"/>
      <c r="C966" s="558"/>
      <c r="D966" s="587"/>
      <c r="E966" s="560"/>
      <c r="F966" s="558"/>
      <c r="G966" s="604"/>
      <c r="H966" s="546"/>
      <c r="I966" s="563" t="s">
        <v>25</v>
      </c>
      <c r="J966" s="563" t="s">
        <v>25</v>
      </c>
      <c r="K966" s="564" t="s">
        <v>25</v>
      </c>
      <c r="L966" s="564" t="s">
        <v>25</v>
      </c>
      <c r="M966" s="593"/>
      <c r="N966" s="593"/>
      <c r="O966" s="616"/>
      <c r="P966" s="564" t="s">
        <v>25</v>
      </c>
      <c r="Q966" s="564" t="s">
        <v>25</v>
      </c>
      <c r="R966" s="593"/>
      <c r="S966" s="593"/>
      <c r="T966" s="617"/>
      <c r="U966" s="589"/>
      <c r="V966" s="564" t="s">
        <v>2899</v>
      </c>
      <c r="W966" s="564" t="s">
        <v>25</v>
      </c>
      <c r="X966" s="589"/>
      <c r="Y966" s="589"/>
      <c r="Z966" s="589"/>
      <c r="AA966" s="562"/>
      <c r="AB966" s="589"/>
      <c r="AC966" s="589"/>
      <c r="AD966" s="589"/>
      <c r="AE966" s="629"/>
      <c r="AF966" s="570" t="s">
        <v>2899</v>
      </c>
      <c r="AG966" s="570" t="s">
        <v>25</v>
      </c>
      <c r="AH966" s="571" t="s">
        <v>25</v>
      </c>
      <c r="AI966" s="558"/>
      <c r="AJ966" s="558"/>
    </row>
    <row r="967" spans="1:36" s="376" customFormat="1" ht="20.25" outlineLevel="2" x14ac:dyDescent="0.3">
      <c r="A967" s="447">
        <v>76</v>
      </c>
      <c r="B967" s="643"/>
      <c r="C967" s="643"/>
      <c r="D967" s="587"/>
      <c r="E967" s="560"/>
      <c r="F967" s="558"/>
      <c r="G967" s="588"/>
      <c r="H967" s="546"/>
      <c r="I967" s="563" t="s">
        <v>25</v>
      </c>
      <c r="J967" s="563" t="s">
        <v>25</v>
      </c>
      <c r="K967" s="564" t="s">
        <v>25</v>
      </c>
      <c r="L967" s="564" t="s">
        <v>25</v>
      </c>
      <c r="M967" s="558"/>
      <c r="N967" s="558"/>
      <c r="O967" s="590"/>
      <c r="P967" s="564" t="s">
        <v>25</v>
      </c>
      <c r="Q967" s="564" t="s">
        <v>25</v>
      </c>
      <c r="R967" s="566"/>
      <c r="S967" s="589"/>
      <c r="T967" s="591"/>
      <c r="U967" s="589"/>
      <c r="V967" s="564" t="s">
        <v>2899</v>
      </c>
      <c r="W967" s="564" t="s">
        <v>25</v>
      </c>
      <c r="X967" s="589"/>
      <c r="Y967" s="592"/>
      <c r="Z967" s="592"/>
      <c r="AA967" s="568"/>
      <c r="AB967" s="592"/>
      <c r="AC967" s="592"/>
      <c r="AD967" s="592"/>
      <c r="AE967" s="590"/>
      <c r="AF967" s="570" t="s">
        <v>2899</v>
      </c>
      <c r="AG967" s="570" t="s">
        <v>25</v>
      </c>
      <c r="AH967" s="571" t="s">
        <v>25</v>
      </c>
      <c r="AI967" s="593"/>
      <c r="AJ967" s="593"/>
    </row>
    <row r="968" spans="1:36" s="376" customFormat="1" ht="20.25" outlineLevel="2" x14ac:dyDescent="0.3">
      <c r="A968" s="447">
        <v>76</v>
      </c>
      <c r="B968" s="574"/>
      <c r="C968" s="574"/>
      <c r="D968" s="595"/>
      <c r="E968" s="577"/>
      <c r="F968" s="558"/>
      <c r="G968" s="588"/>
      <c r="H968" s="546"/>
      <c r="I968" s="563" t="s">
        <v>25</v>
      </c>
      <c r="J968" s="563" t="s">
        <v>25</v>
      </c>
      <c r="K968" s="564" t="s">
        <v>25</v>
      </c>
      <c r="L968" s="564" t="s">
        <v>25</v>
      </c>
      <c r="M968" s="558"/>
      <c r="N968" s="558"/>
      <c r="O968" s="590"/>
      <c r="P968" s="564" t="s">
        <v>25</v>
      </c>
      <c r="Q968" s="564" t="s">
        <v>25</v>
      </c>
      <c r="R968" s="566"/>
      <c r="S968" s="589"/>
      <c r="T968" s="591"/>
      <c r="U968" s="589"/>
      <c r="V968" s="564" t="s">
        <v>2899</v>
      </c>
      <c r="W968" s="564" t="s">
        <v>25</v>
      </c>
      <c r="X968" s="589"/>
      <c r="Y968" s="592"/>
      <c r="Z968" s="592"/>
      <c r="AA968" s="568"/>
      <c r="AB968" s="592"/>
      <c r="AC968" s="592"/>
      <c r="AD968" s="592"/>
      <c r="AE968" s="590"/>
      <c r="AF968" s="570" t="s">
        <v>2899</v>
      </c>
      <c r="AG968" s="570" t="s">
        <v>25</v>
      </c>
      <c r="AH968" s="571" t="s">
        <v>25</v>
      </c>
      <c r="AI968" s="593"/>
      <c r="AJ968" s="593"/>
    </row>
    <row r="969" spans="1:36" s="376" customFormat="1" ht="40.5" outlineLevel="1" x14ac:dyDescent="0.25">
      <c r="A969" s="467">
        <v>77</v>
      </c>
      <c r="B969" s="574" t="s">
        <v>47</v>
      </c>
      <c r="C969" s="773" t="s">
        <v>2902</v>
      </c>
      <c r="D969" s="587">
        <v>86</v>
      </c>
      <c r="E969" s="560">
        <v>401</v>
      </c>
      <c r="F969" s="574"/>
      <c r="G969" s="618">
        <v>266.60000000000002</v>
      </c>
      <c r="H969" s="579">
        <v>0</v>
      </c>
      <c r="I969" s="581"/>
      <c r="J969" s="581"/>
      <c r="K969" s="571">
        <v>147803000</v>
      </c>
      <c r="L969" s="571">
        <v>0</v>
      </c>
      <c r="M969" s="574"/>
      <c r="N969" s="574"/>
      <c r="O969" s="599">
        <v>0</v>
      </c>
      <c r="P969" s="571"/>
      <c r="Q969" s="571">
        <v>0</v>
      </c>
      <c r="R969" s="582"/>
      <c r="S969" s="597"/>
      <c r="T969" s="600">
        <v>0</v>
      </c>
      <c r="U969" s="597"/>
      <c r="V969" s="571"/>
      <c r="W969" s="571">
        <v>0</v>
      </c>
      <c r="X969" s="589"/>
      <c r="Y969" s="592"/>
      <c r="Z969" s="592"/>
      <c r="AA969" s="568"/>
      <c r="AB969" s="592"/>
      <c r="AC969" s="592"/>
      <c r="AD969" s="601"/>
      <c r="AE969" s="599">
        <f>SUBTOTAL(9,AE970:AE976)</f>
        <v>0</v>
      </c>
      <c r="AF969" s="585"/>
      <c r="AG969" s="585">
        <v>0</v>
      </c>
      <c r="AH969" s="571">
        <v>147803000</v>
      </c>
      <c r="AI969" s="574"/>
      <c r="AJ969" s="578"/>
    </row>
    <row r="970" spans="1:36" s="376" customFormat="1" ht="121.5" outlineLevel="2" x14ac:dyDescent="0.3">
      <c r="A970" s="447">
        <v>77</v>
      </c>
      <c r="B970" s="558" t="s">
        <v>279</v>
      </c>
      <c r="C970" s="558"/>
      <c r="D970" s="587"/>
      <c r="E970" s="560"/>
      <c r="F970" s="558" t="s">
        <v>2884</v>
      </c>
      <c r="G970" s="588">
        <v>266.60000000000002</v>
      </c>
      <c r="H970" s="546" t="s">
        <v>2899</v>
      </c>
      <c r="I970" s="563">
        <v>554400</v>
      </c>
      <c r="J970" s="563">
        <v>0</v>
      </c>
      <c r="K970" s="564">
        <v>147803000</v>
      </c>
      <c r="L970" s="564">
        <v>0</v>
      </c>
      <c r="M970" s="558"/>
      <c r="N970" s="558"/>
      <c r="O970" s="590"/>
      <c r="P970" s="564" t="s">
        <v>25</v>
      </c>
      <c r="Q970" s="564" t="s">
        <v>25</v>
      </c>
      <c r="R970" s="566"/>
      <c r="S970" s="589"/>
      <c r="T970" s="591"/>
      <c r="U970" s="589"/>
      <c r="V970" s="564" t="s">
        <v>2899</v>
      </c>
      <c r="W970" s="564" t="s">
        <v>25</v>
      </c>
      <c r="X970" s="589"/>
      <c r="Y970" s="592"/>
      <c r="Z970" s="592"/>
      <c r="AA970" s="568"/>
      <c r="AB970" s="592"/>
      <c r="AC970" s="592"/>
      <c r="AD970" s="592"/>
      <c r="AE970" s="590"/>
      <c r="AF970" s="570" t="s">
        <v>2899</v>
      </c>
      <c r="AG970" s="570" t="s">
        <v>25</v>
      </c>
      <c r="AH970" s="571" t="s">
        <v>25</v>
      </c>
      <c r="AI970" s="558" t="s">
        <v>1717</v>
      </c>
      <c r="AJ970" s="586" t="s">
        <v>2771</v>
      </c>
    </row>
    <row r="971" spans="1:36" s="376" customFormat="1" ht="60.75" outlineLevel="2" x14ac:dyDescent="0.3">
      <c r="A971" s="447">
        <v>77</v>
      </c>
      <c r="B971" s="628" t="s">
        <v>707</v>
      </c>
      <c r="C971" s="628"/>
      <c r="D971" s="587"/>
      <c r="E971" s="560"/>
      <c r="F971" s="575"/>
      <c r="G971" s="561"/>
      <c r="H971" s="546"/>
      <c r="I971" s="563" t="s">
        <v>25</v>
      </c>
      <c r="J971" s="563" t="s">
        <v>25</v>
      </c>
      <c r="K971" s="564" t="s">
        <v>25</v>
      </c>
      <c r="L971" s="564" t="s">
        <v>25</v>
      </c>
      <c r="M971" s="558"/>
      <c r="N971" s="558"/>
      <c r="O971" s="590"/>
      <c r="P971" s="564" t="s">
        <v>25</v>
      </c>
      <c r="Q971" s="564" t="s">
        <v>25</v>
      </c>
      <c r="R971" s="566"/>
      <c r="S971" s="589"/>
      <c r="T971" s="591"/>
      <c r="U971" s="589"/>
      <c r="V971" s="564" t="s">
        <v>2899</v>
      </c>
      <c r="W971" s="564" t="s">
        <v>25</v>
      </c>
      <c r="X971" s="589"/>
      <c r="Y971" s="592"/>
      <c r="Z971" s="592"/>
      <c r="AA971" s="568"/>
      <c r="AB971" s="592"/>
      <c r="AC971" s="592"/>
      <c r="AD971" s="592"/>
      <c r="AE971" s="590"/>
      <c r="AF971" s="570" t="s">
        <v>2899</v>
      </c>
      <c r="AG971" s="570" t="s">
        <v>25</v>
      </c>
      <c r="AH971" s="571" t="s">
        <v>25</v>
      </c>
      <c r="AI971" s="558" t="s">
        <v>607</v>
      </c>
      <c r="AJ971" s="558"/>
    </row>
    <row r="972" spans="1:36" s="376" customFormat="1" ht="40.5" outlineLevel="2" x14ac:dyDescent="0.3">
      <c r="A972" s="447">
        <v>77</v>
      </c>
      <c r="B972" s="648" t="s">
        <v>317</v>
      </c>
      <c r="C972" s="648"/>
      <c r="D972" s="587"/>
      <c r="E972" s="615"/>
      <c r="F972" s="558"/>
      <c r="G972" s="604"/>
      <c r="H972" s="546"/>
      <c r="I972" s="563" t="s">
        <v>25</v>
      </c>
      <c r="J972" s="563" t="s">
        <v>25</v>
      </c>
      <c r="K972" s="564" t="s">
        <v>25</v>
      </c>
      <c r="L972" s="564" t="s">
        <v>25</v>
      </c>
      <c r="M972" s="558"/>
      <c r="N972" s="558"/>
      <c r="O972" s="590"/>
      <c r="P972" s="564" t="s">
        <v>25</v>
      </c>
      <c r="Q972" s="564" t="s">
        <v>25</v>
      </c>
      <c r="R972" s="566"/>
      <c r="S972" s="589"/>
      <c r="T972" s="591"/>
      <c r="U972" s="589"/>
      <c r="V972" s="564" t="s">
        <v>2899</v>
      </c>
      <c r="W972" s="564" t="s">
        <v>25</v>
      </c>
      <c r="X972" s="589"/>
      <c r="Y972" s="592"/>
      <c r="Z972" s="592"/>
      <c r="AA972" s="568"/>
      <c r="AB972" s="592"/>
      <c r="AC972" s="592"/>
      <c r="AD972" s="592"/>
      <c r="AE972" s="590"/>
      <c r="AF972" s="570" t="s">
        <v>2899</v>
      </c>
      <c r="AG972" s="570" t="s">
        <v>25</v>
      </c>
      <c r="AH972" s="571" t="s">
        <v>25</v>
      </c>
      <c r="AI972" s="558" t="s">
        <v>2139</v>
      </c>
      <c r="AJ972" s="558"/>
    </row>
    <row r="973" spans="1:36" s="376" customFormat="1" ht="20.25" outlineLevel="2" x14ac:dyDescent="0.3">
      <c r="A973" s="447">
        <v>77</v>
      </c>
      <c r="B973" s="648"/>
      <c r="C973" s="648"/>
      <c r="D973" s="587"/>
      <c r="E973" s="615"/>
      <c r="F973" s="558"/>
      <c r="G973" s="604"/>
      <c r="H973" s="546"/>
      <c r="I973" s="563" t="s">
        <v>25</v>
      </c>
      <c r="J973" s="563" t="s">
        <v>25</v>
      </c>
      <c r="K973" s="564" t="s">
        <v>25</v>
      </c>
      <c r="L973" s="564" t="s">
        <v>25</v>
      </c>
      <c r="M973" s="593"/>
      <c r="N973" s="593"/>
      <c r="O973" s="616"/>
      <c r="P973" s="564" t="s">
        <v>25</v>
      </c>
      <c r="Q973" s="564" t="s">
        <v>25</v>
      </c>
      <c r="R973" s="593"/>
      <c r="S973" s="593"/>
      <c r="T973" s="617"/>
      <c r="U973" s="589"/>
      <c r="V973" s="564" t="s">
        <v>2899</v>
      </c>
      <c r="W973" s="564" t="s">
        <v>25</v>
      </c>
      <c r="X973" s="589"/>
      <c r="Y973" s="589"/>
      <c r="Z973" s="589"/>
      <c r="AA973" s="562"/>
      <c r="AB973" s="589"/>
      <c r="AC973" s="589"/>
      <c r="AD973" s="589"/>
      <c r="AE973" s="629"/>
      <c r="AF973" s="570" t="s">
        <v>2899</v>
      </c>
      <c r="AG973" s="570" t="s">
        <v>25</v>
      </c>
      <c r="AH973" s="571" t="s">
        <v>25</v>
      </c>
      <c r="AI973" s="575"/>
      <c r="AJ973" s="558"/>
    </row>
    <row r="974" spans="1:36" s="376" customFormat="1" ht="20.25" outlineLevel="2" x14ac:dyDescent="0.3">
      <c r="A974" s="447">
        <v>77</v>
      </c>
      <c r="B974" s="648"/>
      <c r="C974" s="648"/>
      <c r="D974" s="587"/>
      <c r="E974" s="560"/>
      <c r="F974" s="558"/>
      <c r="G974" s="604"/>
      <c r="H974" s="546"/>
      <c r="I974" s="563" t="s">
        <v>25</v>
      </c>
      <c r="J974" s="563" t="s">
        <v>25</v>
      </c>
      <c r="K974" s="564" t="s">
        <v>25</v>
      </c>
      <c r="L974" s="564" t="s">
        <v>25</v>
      </c>
      <c r="M974" s="593"/>
      <c r="N974" s="593"/>
      <c r="O974" s="616"/>
      <c r="P974" s="564" t="s">
        <v>25</v>
      </c>
      <c r="Q974" s="564" t="s">
        <v>25</v>
      </c>
      <c r="R974" s="593"/>
      <c r="S974" s="593"/>
      <c r="T974" s="617"/>
      <c r="U974" s="589"/>
      <c r="V974" s="564" t="s">
        <v>2899</v>
      </c>
      <c r="W974" s="564" t="s">
        <v>25</v>
      </c>
      <c r="X974" s="589"/>
      <c r="Y974" s="589"/>
      <c r="Z974" s="589"/>
      <c r="AA974" s="562"/>
      <c r="AB974" s="589"/>
      <c r="AC974" s="589"/>
      <c r="AD974" s="589"/>
      <c r="AE974" s="629"/>
      <c r="AF974" s="570" t="s">
        <v>2899</v>
      </c>
      <c r="AG974" s="570" t="s">
        <v>25</v>
      </c>
      <c r="AH974" s="571" t="s">
        <v>25</v>
      </c>
      <c r="AI974" s="558"/>
      <c r="AJ974" s="558"/>
    </row>
    <row r="975" spans="1:36" s="376" customFormat="1" ht="20.25" outlineLevel="2" x14ac:dyDescent="0.3">
      <c r="A975" s="447">
        <v>77</v>
      </c>
      <c r="B975" s="648"/>
      <c r="C975" s="648"/>
      <c r="D975" s="587"/>
      <c r="E975" s="560"/>
      <c r="F975" s="558"/>
      <c r="G975" s="588"/>
      <c r="H975" s="546"/>
      <c r="I975" s="563" t="s">
        <v>25</v>
      </c>
      <c r="J975" s="563" t="s">
        <v>25</v>
      </c>
      <c r="K975" s="564" t="s">
        <v>25</v>
      </c>
      <c r="L975" s="564" t="s">
        <v>25</v>
      </c>
      <c r="M975" s="558"/>
      <c r="N975" s="558"/>
      <c r="O975" s="590"/>
      <c r="P975" s="564" t="s">
        <v>25</v>
      </c>
      <c r="Q975" s="564" t="s">
        <v>25</v>
      </c>
      <c r="R975" s="646"/>
      <c r="S975" s="662"/>
      <c r="T975" s="591"/>
      <c r="U975" s="589"/>
      <c r="V975" s="564" t="s">
        <v>2899</v>
      </c>
      <c r="W975" s="564" t="s">
        <v>25</v>
      </c>
      <c r="X975" s="589"/>
      <c r="Y975" s="592"/>
      <c r="Z975" s="592"/>
      <c r="AA975" s="568"/>
      <c r="AB975" s="592"/>
      <c r="AC975" s="592"/>
      <c r="AD975" s="592"/>
      <c r="AE975" s="590"/>
      <c r="AF975" s="570" t="s">
        <v>2899</v>
      </c>
      <c r="AG975" s="570" t="s">
        <v>25</v>
      </c>
      <c r="AH975" s="571" t="s">
        <v>25</v>
      </c>
      <c r="AI975" s="593"/>
      <c r="AJ975" s="593"/>
    </row>
    <row r="976" spans="1:36" s="376" customFormat="1" ht="20.25" outlineLevel="2" x14ac:dyDescent="0.3">
      <c r="A976" s="447">
        <v>77</v>
      </c>
      <c r="B976" s="574"/>
      <c r="C976" s="574"/>
      <c r="D976" s="595"/>
      <c r="E976" s="577"/>
      <c r="F976" s="558"/>
      <c r="G976" s="588"/>
      <c r="H976" s="546"/>
      <c r="I976" s="563" t="s">
        <v>25</v>
      </c>
      <c r="J976" s="563" t="s">
        <v>25</v>
      </c>
      <c r="K976" s="564" t="s">
        <v>25</v>
      </c>
      <c r="L976" s="564" t="s">
        <v>25</v>
      </c>
      <c r="M976" s="558"/>
      <c r="N976" s="558"/>
      <c r="O976" s="590"/>
      <c r="P976" s="564" t="s">
        <v>25</v>
      </c>
      <c r="Q976" s="564" t="s">
        <v>25</v>
      </c>
      <c r="R976" s="566"/>
      <c r="S976" s="589"/>
      <c r="T976" s="591"/>
      <c r="U976" s="589"/>
      <c r="V976" s="564" t="s">
        <v>2899</v>
      </c>
      <c r="W976" s="564" t="s">
        <v>25</v>
      </c>
      <c r="X976" s="589"/>
      <c r="Y976" s="592"/>
      <c r="Z976" s="592"/>
      <c r="AA976" s="568"/>
      <c r="AB976" s="592"/>
      <c r="AC976" s="592"/>
      <c r="AD976" s="592"/>
      <c r="AE976" s="590"/>
      <c r="AF976" s="570" t="s">
        <v>2899</v>
      </c>
      <c r="AG976" s="570" t="s">
        <v>25</v>
      </c>
      <c r="AH976" s="571" t="s">
        <v>25</v>
      </c>
      <c r="AI976" s="593"/>
      <c r="AJ976" s="593"/>
    </row>
    <row r="977" spans="1:36" s="376" customFormat="1" ht="40.5" outlineLevel="1" x14ac:dyDescent="0.25">
      <c r="A977" s="467">
        <v>78</v>
      </c>
      <c r="B977" s="574" t="s">
        <v>47</v>
      </c>
      <c r="C977" s="773" t="s">
        <v>2902</v>
      </c>
      <c r="D977" s="587">
        <v>86</v>
      </c>
      <c r="E977" s="560">
        <v>137</v>
      </c>
      <c r="F977" s="574"/>
      <c r="G977" s="618">
        <v>552</v>
      </c>
      <c r="H977" s="579">
        <v>0</v>
      </c>
      <c r="I977" s="581"/>
      <c r="J977" s="581"/>
      <c r="K977" s="571">
        <v>306029000</v>
      </c>
      <c r="L977" s="571">
        <v>0</v>
      </c>
      <c r="M977" s="574"/>
      <c r="N977" s="574"/>
      <c r="O977" s="599">
        <v>830.2</v>
      </c>
      <c r="P977" s="571"/>
      <c r="Q977" s="571">
        <v>63680600</v>
      </c>
      <c r="R977" s="578"/>
      <c r="S977" s="597"/>
      <c r="T977" s="600">
        <v>89.97</v>
      </c>
      <c r="U977" s="597"/>
      <c r="V977" s="571"/>
      <c r="W977" s="571">
        <v>40454000</v>
      </c>
      <c r="X977" s="589"/>
      <c r="Y977" s="592"/>
      <c r="Z977" s="592"/>
      <c r="AA977" s="568"/>
      <c r="AB977" s="592"/>
      <c r="AC977" s="592"/>
      <c r="AD977" s="601"/>
      <c r="AE977" s="599">
        <f>SUBTOTAL(9,AE978:AE1008)</f>
        <v>0</v>
      </c>
      <c r="AF977" s="585"/>
      <c r="AG977" s="585">
        <v>0</v>
      </c>
      <c r="AH977" s="571">
        <v>410163600</v>
      </c>
      <c r="AI977" s="574"/>
      <c r="AJ977" s="578"/>
    </row>
    <row r="978" spans="1:36" s="376" customFormat="1" ht="121.5" outlineLevel="2" x14ac:dyDescent="0.3">
      <c r="A978" s="447">
        <v>78</v>
      </c>
      <c r="B978" s="558" t="s">
        <v>279</v>
      </c>
      <c r="C978" s="558"/>
      <c r="D978" s="587"/>
      <c r="E978" s="560"/>
      <c r="F978" s="558" t="s">
        <v>2884</v>
      </c>
      <c r="G978" s="588">
        <v>516.4</v>
      </c>
      <c r="H978" s="546" t="s">
        <v>2899</v>
      </c>
      <c r="I978" s="563">
        <v>554400</v>
      </c>
      <c r="J978" s="563">
        <v>0</v>
      </c>
      <c r="K978" s="564">
        <v>286292000</v>
      </c>
      <c r="L978" s="564">
        <v>0</v>
      </c>
      <c r="M978" s="558" t="s">
        <v>347</v>
      </c>
      <c r="N978" s="558"/>
      <c r="O978" s="590">
        <v>529.20000000000005</v>
      </c>
      <c r="P978" s="564">
        <v>12000</v>
      </c>
      <c r="Q978" s="564">
        <v>6350400</v>
      </c>
      <c r="R978" s="586" t="s">
        <v>1767</v>
      </c>
      <c r="S978" s="589" t="s">
        <v>53</v>
      </c>
      <c r="T978" s="591">
        <v>8.8000000000000007</v>
      </c>
      <c r="U978" s="589"/>
      <c r="V978" s="564">
        <v>0</v>
      </c>
      <c r="W978" s="564">
        <v>0</v>
      </c>
      <c r="X978" s="589"/>
      <c r="Y978" s="592"/>
      <c r="Z978" s="592"/>
      <c r="AA978" s="568"/>
      <c r="AB978" s="592"/>
      <c r="AC978" s="592"/>
      <c r="AD978" s="592"/>
      <c r="AE978" s="590"/>
      <c r="AF978" s="570" t="s">
        <v>2899</v>
      </c>
      <c r="AG978" s="570" t="s">
        <v>25</v>
      </c>
      <c r="AH978" s="571" t="s">
        <v>25</v>
      </c>
      <c r="AI978" s="558" t="s">
        <v>711</v>
      </c>
      <c r="AJ978" s="586" t="s">
        <v>2771</v>
      </c>
    </row>
    <row r="979" spans="1:36" s="376" customFormat="1" ht="121.5" outlineLevel="2" x14ac:dyDescent="0.3">
      <c r="A979" s="447">
        <v>78</v>
      </c>
      <c r="B979" s="628" t="s">
        <v>707</v>
      </c>
      <c r="C979" s="628"/>
      <c r="D979" s="587"/>
      <c r="E979" s="560"/>
      <c r="F979" s="558" t="s">
        <v>2887</v>
      </c>
      <c r="G979" s="588">
        <v>35.6</v>
      </c>
      <c r="H979" s="546" t="s">
        <v>2899</v>
      </c>
      <c r="I979" s="563">
        <v>554400</v>
      </c>
      <c r="J979" s="563">
        <v>0</v>
      </c>
      <c r="K979" s="564">
        <v>19737000</v>
      </c>
      <c r="L979" s="564">
        <v>0</v>
      </c>
      <c r="M979" s="558" t="s">
        <v>64</v>
      </c>
      <c r="N979" s="558"/>
      <c r="O979" s="590">
        <v>19</v>
      </c>
      <c r="P979" s="564">
        <v>1122000</v>
      </c>
      <c r="Q979" s="564">
        <v>21318000</v>
      </c>
      <c r="R979" s="646" t="s">
        <v>1863</v>
      </c>
      <c r="S979" s="649" t="s">
        <v>53</v>
      </c>
      <c r="T979" s="591">
        <v>21.12</v>
      </c>
      <c r="U979" s="589"/>
      <c r="V979" s="564">
        <v>1107311</v>
      </c>
      <c r="W979" s="564">
        <v>23386000</v>
      </c>
      <c r="X979" s="589"/>
      <c r="Y979" s="592" t="s">
        <v>55</v>
      </c>
      <c r="Z979" s="592" t="s">
        <v>87</v>
      </c>
      <c r="AA979" s="568" t="s">
        <v>171</v>
      </c>
      <c r="AB979" s="592" t="s">
        <v>88</v>
      </c>
      <c r="AC979" s="592"/>
      <c r="AD979" s="592"/>
      <c r="AE979" s="590"/>
      <c r="AF979" s="570" t="s">
        <v>2899</v>
      </c>
      <c r="AG979" s="570" t="s">
        <v>25</v>
      </c>
      <c r="AH979" s="571" t="s">
        <v>25</v>
      </c>
      <c r="AI979" s="558" t="s">
        <v>608</v>
      </c>
      <c r="AJ979" s="558" t="s">
        <v>2450</v>
      </c>
    </row>
    <row r="980" spans="1:36" s="376" customFormat="1" ht="101.25" outlineLevel="2" x14ac:dyDescent="0.3">
      <c r="A980" s="447">
        <v>78</v>
      </c>
      <c r="B980" s="648" t="s">
        <v>317</v>
      </c>
      <c r="C980" s="648"/>
      <c r="D980" s="587"/>
      <c r="E980" s="560"/>
      <c r="F980" s="558"/>
      <c r="G980" s="588"/>
      <c r="H980" s="546"/>
      <c r="I980" s="563" t="s">
        <v>25</v>
      </c>
      <c r="J980" s="563" t="s">
        <v>25</v>
      </c>
      <c r="K980" s="564" t="s">
        <v>25</v>
      </c>
      <c r="L980" s="564" t="s">
        <v>25</v>
      </c>
      <c r="M980" s="558" t="s">
        <v>67</v>
      </c>
      <c r="N980" s="558"/>
      <c r="O980" s="590">
        <v>10</v>
      </c>
      <c r="P980" s="564">
        <v>494000</v>
      </c>
      <c r="Q980" s="564">
        <v>4940000</v>
      </c>
      <c r="R980" s="566" t="s">
        <v>1898</v>
      </c>
      <c r="S980" s="589" t="s">
        <v>53</v>
      </c>
      <c r="T980" s="591">
        <v>14.52</v>
      </c>
      <c r="U980" s="589"/>
      <c r="V980" s="564">
        <v>1175490</v>
      </c>
      <c r="W980" s="564">
        <v>17068000</v>
      </c>
      <c r="X980" s="589"/>
      <c r="Y980" s="592" t="s">
        <v>55</v>
      </c>
      <c r="Z980" s="592" t="s">
        <v>87</v>
      </c>
      <c r="AA980" s="568" t="s">
        <v>171</v>
      </c>
      <c r="AB980" s="592" t="s">
        <v>88</v>
      </c>
      <c r="AC980" s="592"/>
      <c r="AD980" s="592"/>
      <c r="AE980" s="590"/>
      <c r="AF980" s="570" t="s">
        <v>2899</v>
      </c>
      <c r="AG980" s="570" t="s">
        <v>25</v>
      </c>
      <c r="AH980" s="571" t="s">
        <v>25</v>
      </c>
      <c r="AI980" s="593" t="s">
        <v>609</v>
      </c>
      <c r="AJ980" s="558" t="s">
        <v>2449</v>
      </c>
    </row>
    <row r="981" spans="1:36" s="376" customFormat="1" ht="101.25" outlineLevel="2" x14ac:dyDescent="0.3">
      <c r="A981" s="447">
        <v>78</v>
      </c>
      <c r="B981" s="648"/>
      <c r="C981" s="648"/>
      <c r="D981" s="587"/>
      <c r="E981" s="560"/>
      <c r="F981" s="558"/>
      <c r="G981" s="588"/>
      <c r="H981" s="546"/>
      <c r="I981" s="563" t="s">
        <v>25</v>
      </c>
      <c r="J981" s="563" t="s">
        <v>25</v>
      </c>
      <c r="K981" s="564" t="s">
        <v>25</v>
      </c>
      <c r="L981" s="564" t="s">
        <v>25</v>
      </c>
      <c r="M981" s="558" t="s">
        <v>145</v>
      </c>
      <c r="N981" s="558"/>
      <c r="O981" s="590">
        <v>1</v>
      </c>
      <c r="P981" s="564">
        <v>4240000</v>
      </c>
      <c r="Q981" s="564">
        <v>4240000</v>
      </c>
      <c r="R981" s="566" t="s">
        <v>1767</v>
      </c>
      <c r="S981" s="589" t="s">
        <v>53</v>
      </c>
      <c r="T981" s="591">
        <v>4.4000000000000004</v>
      </c>
      <c r="U981" s="589"/>
      <c r="V981" s="564">
        <v>0</v>
      </c>
      <c r="W981" s="564">
        <v>0</v>
      </c>
      <c r="X981" s="589"/>
      <c r="Y981" s="592"/>
      <c r="Z981" s="592"/>
      <c r="AA981" s="568"/>
      <c r="AB981" s="592"/>
      <c r="AC981" s="592"/>
      <c r="AD981" s="592"/>
      <c r="AE981" s="590"/>
      <c r="AF981" s="570" t="s">
        <v>2899</v>
      </c>
      <c r="AG981" s="570" t="s">
        <v>25</v>
      </c>
      <c r="AH981" s="571" t="s">
        <v>25</v>
      </c>
      <c r="AI981" s="558"/>
      <c r="AJ981" s="558" t="s">
        <v>2800</v>
      </c>
    </row>
    <row r="982" spans="1:36" s="376" customFormat="1" ht="40.5" outlineLevel="2" x14ac:dyDescent="0.3">
      <c r="A982" s="447">
        <v>78</v>
      </c>
      <c r="B982" s="648"/>
      <c r="C982" s="648"/>
      <c r="D982" s="587"/>
      <c r="E982" s="560"/>
      <c r="F982" s="558"/>
      <c r="G982" s="588"/>
      <c r="H982" s="546"/>
      <c r="I982" s="563" t="s">
        <v>25</v>
      </c>
      <c r="J982" s="563" t="s">
        <v>25</v>
      </c>
      <c r="K982" s="564" t="s">
        <v>25</v>
      </c>
      <c r="L982" s="564" t="s">
        <v>25</v>
      </c>
      <c r="M982" s="558" t="s">
        <v>725</v>
      </c>
      <c r="N982" s="558"/>
      <c r="O982" s="590">
        <v>38</v>
      </c>
      <c r="P982" s="564">
        <v>360000</v>
      </c>
      <c r="Q982" s="564">
        <v>13680000</v>
      </c>
      <c r="R982" s="566" t="s">
        <v>1899</v>
      </c>
      <c r="S982" s="589" t="s">
        <v>53</v>
      </c>
      <c r="T982" s="591">
        <v>4.75</v>
      </c>
      <c r="U982" s="589"/>
      <c r="V982" s="564">
        <v>0</v>
      </c>
      <c r="W982" s="564">
        <v>0</v>
      </c>
      <c r="X982" s="589"/>
      <c r="Y982" s="592" t="s">
        <v>55</v>
      </c>
      <c r="Z982" s="592" t="s">
        <v>87</v>
      </c>
      <c r="AA982" s="568" t="s">
        <v>357</v>
      </c>
      <c r="AB982" s="592" t="s">
        <v>88</v>
      </c>
      <c r="AC982" s="592"/>
      <c r="AD982" s="592"/>
      <c r="AE982" s="590"/>
      <c r="AF982" s="570" t="s">
        <v>2899</v>
      </c>
      <c r="AG982" s="570" t="s">
        <v>25</v>
      </c>
      <c r="AH982" s="571" t="s">
        <v>25</v>
      </c>
      <c r="AI982" s="575"/>
      <c r="AJ982" s="558"/>
    </row>
    <row r="983" spans="1:36" s="376" customFormat="1" ht="40.5" outlineLevel="2" x14ac:dyDescent="0.3">
      <c r="A983" s="447">
        <v>78</v>
      </c>
      <c r="B983" s="648"/>
      <c r="C983" s="648"/>
      <c r="D983" s="587"/>
      <c r="E983" s="560"/>
      <c r="F983" s="558"/>
      <c r="G983" s="588"/>
      <c r="H983" s="546"/>
      <c r="I983" s="563" t="s">
        <v>25</v>
      </c>
      <c r="J983" s="563" t="s">
        <v>25</v>
      </c>
      <c r="K983" s="564" t="s">
        <v>25</v>
      </c>
      <c r="L983" s="564" t="s">
        <v>25</v>
      </c>
      <c r="M983" s="558" t="s">
        <v>744</v>
      </c>
      <c r="N983" s="558"/>
      <c r="O983" s="590">
        <v>1</v>
      </c>
      <c r="P983" s="564">
        <v>0</v>
      </c>
      <c r="Q983" s="564">
        <v>0</v>
      </c>
      <c r="R983" s="566" t="s">
        <v>1899</v>
      </c>
      <c r="S983" s="589" t="s">
        <v>53</v>
      </c>
      <c r="T983" s="591">
        <v>6.3</v>
      </c>
      <c r="U983" s="589"/>
      <c r="V983" s="564">
        <v>0</v>
      </c>
      <c r="W983" s="564">
        <v>0</v>
      </c>
      <c r="X983" s="589"/>
      <c r="Y983" s="592" t="s">
        <v>55</v>
      </c>
      <c r="Z983" s="592" t="s">
        <v>87</v>
      </c>
      <c r="AA983" s="568" t="s">
        <v>358</v>
      </c>
      <c r="AB983" s="592" t="s">
        <v>88</v>
      </c>
      <c r="AC983" s="592"/>
      <c r="AD983" s="592"/>
      <c r="AE983" s="590"/>
      <c r="AF983" s="570" t="s">
        <v>2899</v>
      </c>
      <c r="AG983" s="570" t="s">
        <v>25</v>
      </c>
      <c r="AH983" s="571" t="s">
        <v>25</v>
      </c>
      <c r="AI983" s="593"/>
      <c r="AJ983" s="593"/>
    </row>
    <row r="984" spans="1:36" s="376" customFormat="1" ht="40.5" outlineLevel="2" x14ac:dyDescent="0.3">
      <c r="A984" s="447">
        <v>78</v>
      </c>
      <c r="B984" s="648"/>
      <c r="C984" s="648"/>
      <c r="D984" s="587"/>
      <c r="E984" s="560"/>
      <c r="F984" s="558"/>
      <c r="G984" s="588"/>
      <c r="H984" s="546"/>
      <c r="I984" s="563" t="s">
        <v>25</v>
      </c>
      <c r="J984" s="563" t="s">
        <v>25</v>
      </c>
      <c r="K984" s="564" t="s">
        <v>25</v>
      </c>
      <c r="L984" s="564" t="s">
        <v>25</v>
      </c>
      <c r="M984" s="558" t="s">
        <v>738</v>
      </c>
      <c r="N984" s="558"/>
      <c r="O984" s="590">
        <v>2</v>
      </c>
      <c r="P984" s="564">
        <v>0</v>
      </c>
      <c r="Q984" s="564">
        <v>0</v>
      </c>
      <c r="R984" s="566" t="s">
        <v>1900</v>
      </c>
      <c r="S984" s="589" t="s">
        <v>53</v>
      </c>
      <c r="T984" s="591">
        <v>4.08</v>
      </c>
      <c r="U984" s="589"/>
      <c r="V984" s="564">
        <v>0</v>
      </c>
      <c r="W984" s="564">
        <v>0</v>
      </c>
      <c r="X984" s="589"/>
      <c r="Y984" s="592"/>
      <c r="Z984" s="592"/>
      <c r="AA984" s="568"/>
      <c r="AB984" s="592"/>
      <c r="AC984" s="592"/>
      <c r="AD984" s="592"/>
      <c r="AE984" s="590"/>
      <c r="AF984" s="570" t="s">
        <v>2899</v>
      </c>
      <c r="AG984" s="570" t="s">
        <v>25</v>
      </c>
      <c r="AH984" s="571" t="s">
        <v>25</v>
      </c>
      <c r="AI984" s="593"/>
      <c r="AJ984" s="593"/>
    </row>
    <row r="985" spans="1:36" s="376" customFormat="1" ht="40.5" outlineLevel="2" x14ac:dyDescent="0.3">
      <c r="A985" s="447">
        <v>78</v>
      </c>
      <c r="B985" s="648"/>
      <c r="C985" s="648"/>
      <c r="D985" s="587"/>
      <c r="E985" s="560"/>
      <c r="F985" s="558"/>
      <c r="G985" s="588"/>
      <c r="H985" s="546"/>
      <c r="I985" s="563" t="s">
        <v>25</v>
      </c>
      <c r="J985" s="563" t="s">
        <v>25</v>
      </c>
      <c r="K985" s="564" t="s">
        <v>25</v>
      </c>
      <c r="L985" s="564" t="s">
        <v>25</v>
      </c>
      <c r="M985" s="558" t="s">
        <v>352</v>
      </c>
      <c r="N985" s="558"/>
      <c r="O985" s="590">
        <v>1</v>
      </c>
      <c r="P985" s="564">
        <v>60000</v>
      </c>
      <c r="Q985" s="564">
        <v>60000</v>
      </c>
      <c r="R985" s="586" t="s">
        <v>1767</v>
      </c>
      <c r="S985" s="589" t="s">
        <v>53</v>
      </c>
      <c r="T985" s="591">
        <v>17.28</v>
      </c>
      <c r="U985" s="589"/>
      <c r="V985" s="564">
        <v>0</v>
      </c>
      <c r="W985" s="564">
        <v>0</v>
      </c>
      <c r="X985" s="589"/>
      <c r="Y985" s="592"/>
      <c r="Z985" s="592"/>
      <c r="AA985" s="568"/>
      <c r="AB985" s="592"/>
      <c r="AC985" s="592"/>
      <c r="AD985" s="592"/>
      <c r="AE985" s="590"/>
      <c r="AF985" s="570" t="s">
        <v>2899</v>
      </c>
      <c r="AG985" s="570" t="s">
        <v>25</v>
      </c>
      <c r="AH985" s="571" t="s">
        <v>25</v>
      </c>
      <c r="AI985" s="593"/>
      <c r="AJ985" s="593"/>
    </row>
    <row r="986" spans="1:36" s="376" customFormat="1" ht="40.5" outlineLevel="2" x14ac:dyDescent="0.3">
      <c r="A986" s="447">
        <v>78</v>
      </c>
      <c r="B986" s="648"/>
      <c r="C986" s="648"/>
      <c r="D986" s="587"/>
      <c r="E986" s="560"/>
      <c r="F986" s="558"/>
      <c r="G986" s="588"/>
      <c r="H986" s="546"/>
      <c r="I986" s="563" t="s">
        <v>25</v>
      </c>
      <c r="J986" s="563" t="s">
        <v>25</v>
      </c>
      <c r="K986" s="564" t="s">
        <v>25</v>
      </c>
      <c r="L986" s="564" t="s">
        <v>25</v>
      </c>
      <c r="M986" s="558" t="s">
        <v>72</v>
      </c>
      <c r="N986" s="558"/>
      <c r="O986" s="590">
        <v>18</v>
      </c>
      <c r="P986" s="564">
        <v>132000</v>
      </c>
      <c r="Q986" s="564">
        <v>2376000</v>
      </c>
      <c r="R986" s="566" t="s">
        <v>1767</v>
      </c>
      <c r="S986" s="589" t="s">
        <v>53</v>
      </c>
      <c r="T986" s="591">
        <v>3.36</v>
      </c>
      <c r="U986" s="589"/>
      <c r="V986" s="564">
        <v>0</v>
      </c>
      <c r="W986" s="564">
        <v>0</v>
      </c>
      <c r="X986" s="589"/>
      <c r="Y986" s="592"/>
      <c r="Z986" s="592"/>
      <c r="AA986" s="568"/>
      <c r="AB986" s="592"/>
      <c r="AC986" s="592"/>
      <c r="AD986" s="592"/>
      <c r="AE986" s="590"/>
      <c r="AF986" s="570" t="s">
        <v>2899</v>
      </c>
      <c r="AG986" s="570" t="s">
        <v>25</v>
      </c>
      <c r="AH986" s="571" t="s">
        <v>25</v>
      </c>
      <c r="AI986" s="593"/>
      <c r="AJ986" s="593"/>
    </row>
    <row r="987" spans="1:36" s="376" customFormat="1" ht="40.5" outlineLevel="2" x14ac:dyDescent="0.3">
      <c r="A987" s="447">
        <v>78</v>
      </c>
      <c r="B987" s="648"/>
      <c r="C987" s="648"/>
      <c r="D987" s="587"/>
      <c r="E987" s="560"/>
      <c r="F987" s="558"/>
      <c r="G987" s="588"/>
      <c r="H987" s="546"/>
      <c r="I987" s="563" t="s">
        <v>25</v>
      </c>
      <c r="J987" s="563" t="s">
        <v>25</v>
      </c>
      <c r="K987" s="564" t="s">
        <v>25</v>
      </c>
      <c r="L987" s="564" t="s">
        <v>25</v>
      </c>
      <c r="M987" s="558" t="s">
        <v>73</v>
      </c>
      <c r="N987" s="558"/>
      <c r="O987" s="590">
        <v>76</v>
      </c>
      <c r="P987" s="564">
        <v>76000</v>
      </c>
      <c r="Q987" s="564">
        <v>5776000</v>
      </c>
      <c r="R987" s="566" t="s">
        <v>1818</v>
      </c>
      <c r="S987" s="589" t="s">
        <v>53</v>
      </c>
      <c r="T987" s="591">
        <v>5.36</v>
      </c>
      <c r="U987" s="589"/>
      <c r="V987" s="564">
        <v>0</v>
      </c>
      <c r="W987" s="564">
        <v>0</v>
      </c>
      <c r="X987" s="589"/>
      <c r="Y987" s="592"/>
      <c r="Z987" s="592"/>
      <c r="AA987" s="568"/>
      <c r="AB987" s="592"/>
      <c r="AC987" s="592"/>
      <c r="AD987" s="592"/>
      <c r="AE987" s="590"/>
      <c r="AF987" s="570" t="s">
        <v>2899</v>
      </c>
      <c r="AG987" s="570" t="s">
        <v>25</v>
      </c>
      <c r="AH987" s="571" t="s">
        <v>25</v>
      </c>
      <c r="AI987" s="593"/>
      <c r="AJ987" s="593"/>
    </row>
    <row r="988" spans="1:36" s="376" customFormat="1" ht="20.25" outlineLevel="2" x14ac:dyDescent="0.3">
      <c r="A988" s="447">
        <v>78</v>
      </c>
      <c r="B988" s="648"/>
      <c r="C988" s="648"/>
      <c r="D988" s="587"/>
      <c r="E988" s="560"/>
      <c r="F988" s="558"/>
      <c r="G988" s="588"/>
      <c r="H988" s="546"/>
      <c r="I988" s="563" t="s">
        <v>25</v>
      </c>
      <c r="J988" s="563" t="s">
        <v>25</v>
      </c>
      <c r="K988" s="564" t="s">
        <v>25</v>
      </c>
      <c r="L988" s="564" t="s">
        <v>25</v>
      </c>
      <c r="M988" s="558" t="s">
        <v>75</v>
      </c>
      <c r="N988" s="558"/>
      <c r="O988" s="590">
        <v>66</v>
      </c>
      <c r="P988" s="564">
        <v>34000</v>
      </c>
      <c r="Q988" s="564">
        <v>2244000</v>
      </c>
      <c r="R988" s="566"/>
      <c r="S988" s="589"/>
      <c r="T988" s="591"/>
      <c r="U988" s="589"/>
      <c r="V988" s="564" t="s">
        <v>2899</v>
      </c>
      <c r="W988" s="564" t="s">
        <v>25</v>
      </c>
      <c r="X988" s="589"/>
      <c r="Y988" s="592"/>
      <c r="Z988" s="592"/>
      <c r="AA988" s="568"/>
      <c r="AB988" s="592"/>
      <c r="AC988" s="592"/>
      <c r="AD988" s="592"/>
      <c r="AE988" s="590"/>
      <c r="AF988" s="570" t="s">
        <v>2899</v>
      </c>
      <c r="AG988" s="570" t="s">
        <v>25</v>
      </c>
      <c r="AH988" s="571" t="s">
        <v>25</v>
      </c>
      <c r="AI988" s="593"/>
      <c r="AJ988" s="593"/>
    </row>
    <row r="989" spans="1:36" s="376" customFormat="1" ht="40.5" outlineLevel="2" x14ac:dyDescent="0.3">
      <c r="A989" s="447">
        <v>78</v>
      </c>
      <c r="B989" s="648"/>
      <c r="C989" s="648"/>
      <c r="D989" s="587"/>
      <c r="E989" s="560"/>
      <c r="F989" s="558"/>
      <c r="G989" s="588"/>
      <c r="H989" s="546"/>
      <c r="I989" s="563" t="s">
        <v>25</v>
      </c>
      <c r="J989" s="563" t="s">
        <v>25</v>
      </c>
      <c r="K989" s="564" t="s">
        <v>25</v>
      </c>
      <c r="L989" s="564" t="s">
        <v>25</v>
      </c>
      <c r="M989" s="558" t="s">
        <v>784</v>
      </c>
      <c r="N989" s="558"/>
      <c r="O989" s="590">
        <v>23</v>
      </c>
      <c r="P989" s="564">
        <v>8400</v>
      </c>
      <c r="Q989" s="564">
        <v>193200</v>
      </c>
      <c r="R989" s="566"/>
      <c r="S989" s="589"/>
      <c r="T989" s="591"/>
      <c r="U989" s="589"/>
      <c r="V989" s="564" t="s">
        <v>2899</v>
      </c>
      <c r="W989" s="564" t="s">
        <v>25</v>
      </c>
      <c r="X989" s="589"/>
      <c r="Y989" s="592"/>
      <c r="Z989" s="592"/>
      <c r="AA989" s="568"/>
      <c r="AB989" s="592"/>
      <c r="AC989" s="592"/>
      <c r="AD989" s="592"/>
      <c r="AE989" s="590"/>
      <c r="AF989" s="570" t="s">
        <v>2899</v>
      </c>
      <c r="AG989" s="570" t="s">
        <v>25</v>
      </c>
      <c r="AH989" s="571" t="s">
        <v>25</v>
      </c>
      <c r="AI989" s="593"/>
      <c r="AJ989" s="593"/>
    </row>
    <row r="990" spans="1:36" s="376" customFormat="1" ht="40.5" outlineLevel="2" x14ac:dyDescent="0.3">
      <c r="A990" s="447">
        <v>78</v>
      </c>
      <c r="B990" s="648"/>
      <c r="C990" s="648"/>
      <c r="D990" s="587"/>
      <c r="E990" s="560"/>
      <c r="F990" s="558"/>
      <c r="G990" s="588"/>
      <c r="H990" s="546"/>
      <c r="I990" s="563" t="s">
        <v>25</v>
      </c>
      <c r="J990" s="563" t="s">
        <v>25</v>
      </c>
      <c r="K990" s="564" t="s">
        <v>25</v>
      </c>
      <c r="L990" s="564" t="s">
        <v>25</v>
      </c>
      <c r="M990" s="558" t="s">
        <v>785</v>
      </c>
      <c r="N990" s="558"/>
      <c r="O990" s="590">
        <v>5</v>
      </c>
      <c r="P990" s="564">
        <v>6000</v>
      </c>
      <c r="Q990" s="564">
        <v>30000</v>
      </c>
      <c r="R990" s="566"/>
      <c r="S990" s="589"/>
      <c r="T990" s="591"/>
      <c r="U990" s="589"/>
      <c r="V990" s="564" t="s">
        <v>2899</v>
      </c>
      <c r="W990" s="564" t="s">
        <v>25</v>
      </c>
      <c r="X990" s="589"/>
      <c r="Y990" s="592"/>
      <c r="Z990" s="592"/>
      <c r="AA990" s="568"/>
      <c r="AB990" s="592"/>
      <c r="AC990" s="592"/>
      <c r="AD990" s="592"/>
      <c r="AE990" s="590"/>
      <c r="AF990" s="570" t="s">
        <v>2899</v>
      </c>
      <c r="AG990" s="570" t="s">
        <v>25</v>
      </c>
      <c r="AH990" s="571" t="s">
        <v>25</v>
      </c>
      <c r="AI990" s="593"/>
      <c r="AJ990" s="593"/>
    </row>
    <row r="991" spans="1:36" s="376" customFormat="1" ht="20.25" outlineLevel="2" x14ac:dyDescent="0.3">
      <c r="A991" s="447">
        <v>78</v>
      </c>
      <c r="B991" s="648"/>
      <c r="C991" s="648"/>
      <c r="D991" s="587"/>
      <c r="E991" s="560"/>
      <c r="F991" s="558"/>
      <c r="G991" s="588"/>
      <c r="H991" s="546"/>
      <c r="I991" s="563" t="s">
        <v>25</v>
      </c>
      <c r="J991" s="563" t="s">
        <v>25</v>
      </c>
      <c r="K991" s="564" t="s">
        <v>25</v>
      </c>
      <c r="L991" s="564" t="s">
        <v>25</v>
      </c>
      <c r="M991" s="558" t="s">
        <v>248</v>
      </c>
      <c r="N991" s="558"/>
      <c r="O991" s="590">
        <v>5</v>
      </c>
      <c r="P991" s="564">
        <v>12000</v>
      </c>
      <c r="Q991" s="564">
        <v>60000</v>
      </c>
      <c r="R991" s="566"/>
      <c r="S991" s="589"/>
      <c r="T991" s="591"/>
      <c r="U991" s="589"/>
      <c r="V991" s="564" t="s">
        <v>2899</v>
      </c>
      <c r="W991" s="564" t="s">
        <v>25</v>
      </c>
      <c r="X991" s="589"/>
      <c r="Y991" s="592"/>
      <c r="Z991" s="592"/>
      <c r="AA991" s="568"/>
      <c r="AB991" s="592"/>
      <c r="AC991" s="592"/>
      <c r="AD991" s="592"/>
      <c r="AE991" s="590"/>
      <c r="AF991" s="570" t="s">
        <v>2899</v>
      </c>
      <c r="AG991" s="570" t="s">
        <v>25</v>
      </c>
      <c r="AH991" s="571" t="s">
        <v>25</v>
      </c>
      <c r="AI991" s="593"/>
      <c r="AJ991" s="593"/>
    </row>
    <row r="992" spans="1:36" s="376" customFormat="1" ht="40.5" outlineLevel="2" x14ac:dyDescent="0.3">
      <c r="A992" s="447">
        <v>78</v>
      </c>
      <c r="B992" s="648"/>
      <c r="C992" s="648"/>
      <c r="D992" s="587"/>
      <c r="E992" s="560"/>
      <c r="F992" s="558"/>
      <c r="G992" s="588"/>
      <c r="H992" s="546"/>
      <c r="I992" s="563" t="s">
        <v>25</v>
      </c>
      <c r="J992" s="563" t="s">
        <v>25</v>
      </c>
      <c r="K992" s="564" t="s">
        <v>25</v>
      </c>
      <c r="L992" s="564" t="s">
        <v>25</v>
      </c>
      <c r="M992" s="558" t="s">
        <v>354</v>
      </c>
      <c r="N992" s="558"/>
      <c r="O992" s="590">
        <v>15</v>
      </c>
      <c r="P992" s="564">
        <v>12000</v>
      </c>
      <c r="Q992" s="564">
        <v>180000</v>
      </c>
      <c r="R992" s="566"/>
      <c r="S992" s="589"/>
      <c r="T992" s="591"/>
      <c r="U992" s="589"/>
      <c r="V992" s="564" t="s">
        <v>2899</v>
      </c>
      <c r="W992" s="564" t="s">
        <v>25</v>
      </c>
      <c r="X992" s="589"/>
      <c r="Y992" s="592"/>
      <c r="Z992" s="592"/>
      <c r="AA992" s="568"/>
      <c r="AB992" s="592"/>
      <c r="AC992" s="592"/>
      <c r="AD992" s="592"/>
      <c r="AE992" s="590"/>
      <c r="AF992" s="570" t="s">
        <v>2899</v>
      </c>
      <c r="AG992" s="570" t="s">
        <v>25</v>
      </c>
      <c r="AH992" s="571" t="s">
        <v>25</v>
      </c>
      <c r="AI992" s="593"/>
      <c r="AJ992" s="593"/>
    </row>
    <row r="993" spans="1:36" s="376" customFormat="1" ht="40.5" outlineLevel="2" x14ac:dyDescent="0.3">
      <c r="A993" s="447">
        <v>78</v>
      </c>
      <c r="B993" s="648"/>
      <c r="C993" s="648"/>
      <c r="D993" s="587"/>
      <c r="E993" s="560"/>
      <c r="F993" s="558"/>
      <c r="G993" s="588"/>
      <c r="H993" s="546"/>
      <c r="I993" s="563" t="s">
        <v>25</v>
      </c>
      <c r="J993" s="563" t="s">
        <v>25</v>
      </c>
      <c r="K993" s="564" t="s">
        <v>25</v>
      </c>
      <c r="L993" s="564" t="s">
        <v>25</v>
      </c>
      <c r="M993" s="558" t="s">
        <v>786</v>
      </c>
      <c r="N993" s="558"/>
      <c r="O993" s="590">
        <v>1</v>
      </c>
      <c r="P993" s="564">
        <v>0</v>
      </c>
      <c r="Q993" s="564">
        <v>0</v>
      </c>
      <c r="R993" s="566"/>
      <c r="S993" s="589"/>
      <c r="T993" s="591"/>
      <c r="U993" s="589"/>
      <c r="V993" s="564" t="s">
        <v>2899</v>
      </c>
      <c r="W993" s="564" t="s">
        <v>25</v>
      </c>
      <c r="X993" s="589"/>
      <c r="Y993" s="592"/>
      <c r="Z993" s="592"/>
      <c r="AA993" s="568"/>
      <c r="AB993" s="592"/>
      <c r="AC993" s="592"/>
      <c r="AD993" s="592"/>
      <c r="AE993" s="590"/>
      <c r="AF993" s="570" t="s">
        <v>2899</v>
      </c>
      <c r="AG993" s="570" t="s">
        <v>25</v>
      </c>
      <c r="AH993" s="571" t="s">
        <v>25</v>
      </c>
      <c r="AI993" s="593"/>
      <c r="AJ993" s="593"/>
    </row>
    <row r="994" spans="1:36" s="376" customFormat="1" ht="40.5" outlineLevel="2" x14ac:dyDescent="0.3">
      <c r="A994" s="447">
        <v>78</v>
      </c>
      <c r="B994" s="648"/>
      <c r="C994" s="648"/>
      <c r="D994" s="587"/>
      <c r="E994" s="560"/>
      <c r="F994" s="558"/>
      <c r="G994" s="588"/>
      <c r="H994" s="546"/>
      <c r="I994" s="563" t="s">
        <v>25</v>
      </c>
      <c r="J994" s="563" t="s">
        <v>25</v>
      </c>
      <c r="K994" s="564" t="s">
        <v>25</v>
      </c>
      <c r="L994" s="564" t="s">
        <v>25</v>
      </c>
      <c r="M994" s="558" t="s">
        <v>355</v>
      </c>
      <c r="N994" s="558"/>
      <c r="O994" s="590">
        <v>1</v>
      </c>
      <c r="P994" s="564">
        <v>979000</v>
      </c>
      <c r="Q994" s="564">
        <v>979000</v>
      </c>
      <c r="R994" s="566"/>
      <c r="S994" s="589"/>
      <c r="T994" s="591"/>
      <c r="U994" s="589"/>
      <c r="V994" s="564" t="s">
        <v>2899</v>
      </c>
      <c r="W994" s="564" t="s">
        <v>25</v>
      </c>
      <c r="X994" s="589"/>
      <c r="Y994" s="592"/>
      <c r="Z994" s="592"/>
      <c r="AA994" s="568"/>
      <c r="AB994" s="592"/>
      <c r="AC994" s="592"/>
      <c r="AD994" s="592"/>
      <c r="AE994" s="590"/>
      <c r="AF994" s="570" t="s">
        <v>2899</v>
      </c>
      <c r="AG994" s="570" t="s">
        <v>25</v>
      </c>
      <c r="AH994" s="571" t="s">
        <v>25</v>
      </c>
      <c r="AI994" s="593"/>
      <c r="AJ994" s="593"/>
    </row>
    <row r="995" spans="1:36" s="376" customFormat="1" ht="20.25" outlineLevel="2" x14ac:dyDescent="0.3">
      <c r="A995" s="447">
        <v>78</v>
      </c>
      <c r="B995" s="648"/>
      <c r="C995" s="648"/>
      <c r="D995" s="587"/>
      <c r="E995" s="560"/>
      <c r="F995" s="558"/>
      <c r="G995" s="588"/>
      <c r="H995" s="546"/>
      <c r="I995" s="563" t="s">
        <v>25</v>
      </c>
      <c r="J995" s="563" t="s">
        <v>25</v>
      </c>
      <c r="K995" s="564" t="s">
        <v>25</v>
      </c>
      <c r="L995" s="564" t="s">
        <v>25</v>
      </c>
      <c r="M995" s="558" t="s">
        <v>154</v>
      </c>
      <c r="N995" s="558"/>
      <c r="O995" s="590">
        <v>2</v>
      </c>
      <c r="P995" s="564">
        <v>248000</v>
      </c>
      <c r="Q995" s="564">
        <v>496000</v>
      </c>
      <c r="R995" s="566"/>
      <c r="S995" s="589"/>
      <c r="T995" s="591"/>
      <c r="U995" s="589"/>
      <c r="V995" s="564" t="s">
        <v>2899</v>
      </c>
      <c r="W995" s="564" t="s">
        <v>25</v>
      </c>
      <c r="X995" s="589"/>
      <c r="Y995" s="592"/>
      <c r="Z995" s="592"/>
      <c r="AA995" s="568"/>
      <c r="AB995" s="592"/>
      <c r="AC995" s="592"/>
      <c r="AD995" s="592"/>
      <c r="AE995" s="590"/>
      <c r="AF995" s="570" t="s">
        <v>2899</v>
      </c>
      <c r="AG995" s="570" t="s">
        <v>25</v>
      </c>
      <c r="AH995" s="571" t="s">
        <v>25</v>
      </c>
      <c r="AI995" s="593"/>
      <c r="AJ995" s="593"/>
    </row>
    <row r="996" spans="1:36" s="376" customFormat="1" ht="20.25" outlineLevel="2" x14ac:dyDescent="0.3">
      <c r="A996" s="447">
        <v>78</v>
      </c>
      <c r="B996" s="648"/>
      <c r="C996" s="648"/>
      <c r="D996" s="587"/>
      <c r="E996" s="560"/>
      <c r="F996" s="558"/>
      <c r="G996" s="588"/>
      <c r="H996" s="546"/>
      <c r="I996" s="563" t="s">
        <v>25</v>
      </c>
      <c r="J996" s="563" t="s">
        <v>25</v>
      </c>
      <c r="K996" s="564" t="s">
        <v>25</v>
      </c>
      <c r="L996" s="564" t="s">
        <v>25</v>
      </c>
      <c r="M996" s="558" t="s">
        <v>178</v>
      </c>
      <c r="N996" s="558"/>
      <c r="O996" s="590">
        <v>1</v>
      </c>
      <c r="P996" s="564">
        <v>554000</v>
      </c>
      <c r="Q996" s="564">
        <v>554000</v>
      </c>
      <c r="R996" s="566"/>
      <c r="S996" s="589"/>
      <c r="T996" s="591"/>
      <c r="U996" s="589"/>
      <c r="V996" s="564" t="s">
        <v>2899</v>
      </c>
      <c r="W996" s="564" t="s">
        <v>25</v>
      </c>
      <c r="X996" s="589"/>
      <c r="Y996" s="592"/>
      <c r="Z996" s="592"/>
      <c r="AA996" s="568"/>
      <c r="AB996" s="592"/>
      <c r="AC996" s="592"/>
      <c r="AD996" s="592"/>
      <c r="AE996" s="590"/>
      <c r="AF996" s="570" t="s">
        <v>2899</v>
      </c>
      <c r="AG996" s="570" t="s">
        <v>25</v>
      </c>
      <c r="AH996" s="571" t="s">
        <v>25</v>
      </c>
      <c r="AI996" s="593"/>
      <c r="AJ996" s="593"/>
    </row>
    <row r="997" spans="1:36" s="376" customFormat="1" ht="60.75" outlineLevel="2" x14ac:dyDescent="0.3">
      <c r="A997" s="447">
        <v>78</v>
      </c>
      <c r="B997" s="648"/>
      <c r="C997" s="648"/>
      <c r="D997" s="587"/>
      <c r="E997" s="560"/>
      <c r="F997" s="558"/>
      <c r="G997" s="588"/>
      <c r="H997" s="546"/>
      <c r="I997" s="563" t="s">
        <v>25</v>
      </c>
      <c r="J997" s="563" t="s">
        <v>25</v>
      </c>
      <c r="K997" s="564" t="s">
        <v>25</v>
      </c>
      <c r="L997" s="564" t="s">
        <v>25</v>
      </c>
      <c r="M997" s="558" t="s">
        <v>406</v>
      </c>
      <c r="N997" s="558"/>
      <c r="O997" s="590">
        <v>1</v>
      </c>
      <c r="P997" s="564">
        <v>180000</v>
      </c>
      <c r="Q997" s="564">
        <v>180000</v>
      </c>
      <c r="R997" s="566"/>
      <c r="S997" s="589"/>
      <c r="T997" s="591"/>
      <c r="U997" s="589"/>
      <c r="V997" s="564" t="s">
        <v>2899</v>
      </c>
      <c r="W997" s="564" t="s">
        <v>25</v>
      </c>
      <c r="X997" s="589"/>
      <c r="Y997" s="592"/>
      <c r="Z997" s="592"/>
      <c r="AA997" s="568"/>
      <c r="AB997" s="592"/>
      <c r="AC997" s="592"/>
      <c r="AD997" s="592"/>
      <c r="AE997" s="590"/>
      <c r="AF997" s="570" t="s">
        <v>2899</v>
      </c>
      <c r="AG997" s="570" t="s">
        <v>25</v>
      </c>
      <c r="AH997" s="571" t="s">
        <v>25</v>
      </c>
      <c r="AI997" s="593"/>
      <c r="AJ997" s="593"/>
    </row>
    <row r="998" spans="1:36" s="376" customFormat="1" ht="40.5" outlineLevel="2" x14ac:dyDescent="0.3">
      <c r="A998" s="447">
        <v>78</v>
      </c>
      <c r="B998" s="648"/>
      <c r="C998" s="648"/>
      <c r="D998" s="587"/>
      <c r="E998" s="560"/>
      <c r="F998" s="558"/>
      <c r="G998" s="588"/>
      <c r="H998" s="546"/>
      <c r="I998" s="563" t="s">
        <v>25</v>
      </c>
      <c r="J998" s="563" t="s">
        <v>25</v>
      </c>
      <c r="K998" s="564" t="s">
        <v>25</v>
      </c>
      <c r="L998" s="564" t="s">
        <v>25</v>
      </c>
      <c r="M998" s="558" t="s">
        <v>787</v>
      </c>
      <c r="N998" s="558"/>
      <c r="O998" s="590">
        <v>12</v>
      </c>
      <c r="P998" s="564">
        <v>0</v>
      </c>
      <c r="Q998" s="564">
        <v>0</v>
      </c>
      <c r="R998" s="566"/>
      <c r="S998" s="589"/>
      <c r="T998" s="591"/>
      <c r="U998" s="589"/>
      <c r="V998" s="564" t="s">
        <v>2899</v>
      </c>
      <c r="W998" s="564" t="s">
        <v>25</v>
      </c>
      <c r="X998" s="589"/>
      <c r="Y998" s="592"/>
      <c r="Z998" s="592"/>
      <c r="AA998" s="568"/>
      <c r="AB998" s="592"/>
      <c r="AC998" s="592"/>
      <c r="AD998" s="592"/>
      <c r="AE998" s="590"/>
      <c r="AF998" s="570" t="s">
        <v>2899</v>
      </c>
      <c r="AG998" s="570" t="s">
        <v>25</v>
      </c>
      <c r="AH998" s="571" t="s">
        <v>25</v>
      </c>
      <c r="AI998" s="593"/>
      <c r="AJ998" s="593"/>
    </row>
    <row r="999" spans="1:36" s="376" customFormat="1" ht="40.5" outlineLevel="2" x14ac:dyDescent="0.3">
      <c r="A999" s="447">
        <v>78</v>
      </c>
      <c r="B999" s="648"/>
      <c r="C999" s="648"/>
      <c r="D999" s="587"/>
      <c r="E999" s="560"/>
      <c r="F999" s="558"/>
      <c r="G999" s="588"/>
      <c r="H999" s="546"/>
      <c r="I999" s="563" t="s">
        <v>25</v>
      </c>
      <c r="J999" s="563" t="s">
        <v>25</v>
      </c>
      <c r="K999" s="564" t="s">
        <v>25</v>
      </c>
      <c r="L999" s="564" t="s">
        <v>25</v>
      </c>
      <c r="M999" s="558" t="s">
        <v>356</v>
      </c>
      <c r="N999" s="558"/>
      <c r="O999" s="590">
        <v>3</v>
      </c>
      <c r="P999" s="564">
        <v>8000</v>
      </c>
      <c r="Q999" s="564">
        <v>24000</v>
      </c>
      <c r="R999" s="566"/>
      <c r="S999" s="589"/>
      <c r="T999" s="591"/>
      <c r="U999" s="589"/>
      <c r="V999" s="564" t="s">
        <v>2899</v>
      </c>
      <c r="W999" s="564" t="s">
        <v>25</v>
      </c>
      <c r="X999" s="589"/>
      <c r="Y999" s="592"/>
      <c r="Z999" s="592"/>
      <c r="AA999" s="568"/>
      <c r="AB999" s="592"/>
      <c r="AC999" s="592"/>
      <c r="AD999" s="592"/>
      <c r="AE999" s="590"/>
      <c r="AF999" s="570" t="s">
        <v>2899</v>
      </c>
      <c r="AG999" s="570" t="s">
        <v>25</v>
      </c>
      <c r="AH999" s="571" t="s">
        <v>25</v>
      </c>
      <c r="AI999" s="593"/>
      <c r="AJ999" s="593"/>
    </row>
    <row r="1000" spans="1:36" s="376" customFormat="1" ht="20.25" outlineLevel="2" x14ac:dyDescent="0.3">
      <c r="A1000" s="447">
        <v>78</v>
      </c>
      <c r="B1000" s="648"/>
      <c r="C1000" s="648"/>
      <c r="D1000" s="587"/>
      <c r="E1000" s="560"/>
      <c r="F1000" s="558"/>
      <c r="G1000" s="588"/>
      <c r="H1000" s="546"/>
      <c r="I1000" s="563" t="s">
        <v>25</v>
      </c>
      <c r="J1000" s="563" t="s">
        <v>25</v>
      </c>
      <c r="K1000" s="564" t="s">
        <v>25</v>
      </c>
      <c r="L1000" s="564" t="s">
        <v>25</v>
      </c>
      <c r="M1000" s="593"/>
      <c r="N1000" s="593"/>
      <c r="O1000" s="616"/>
      <c r="P1000" s="564" t="s">
        <v>25</v>
      </c>
      <c r="Q1000" s="564" t="s">
        <v>25</v>
      </c>
      <c r="R1000" s="566"/>
      <c r="S1000" s="589"/>
      <c r="T1000" s="591"/>
      <c r="U1000" s="589"/>
      <c r="V1000" s="564" t="s">
        <v>2899</v>
      </c>
      <c r="W1000" s="564" t="s">
        <v>25</v>
      </c>
      <c r="X1000" s="589"/>
      <c r="Y1000" s="592"/>
      <c r="Z1000" s="592"/>
      <c r="AA1000" s="568"/>
      <c r="AB1000" s="592"/>
      <c r="AC1000" s="592"/>
      <c r="AD1000" s="592"/>
      <c r="AE1000" s="590"/>
      <c r="AF1000" s="570" t="s">
        <v>2899</v>
      </c>
      <c r="AG1000" s="570" t="s">
        <v>25</v>
      </c>
      <c r="AH1000" s="571" t="s">
        <v>25</v>
      </c>
      <c r="AI1000" s="593"/>
      <c r="AJ1000" s="593"/>
    </row>
    <row r="1001" spans="1:36" s="376" customFormat="1" ht="20.25" outlineLevel="2" x14ac:dyDescent="0.3">
      <c r="A1001" s="447">
        <v>78</v>
      </c>
      <c r="B1001" s="648"/>
      <c r="C1001" s="648"/>
      <c r="D1001" s="587"/>
      <c r="E1001" s="560"/>
      <c r="F1001" s="558"/>
      <c r="G1001" s="588"/>
      <c r="H1001" s="546"/>
      <c r="I1001" s="563" t="s">
        <v>25</v>
      </c>
      <c r="J1001" s="563" t="s">
        <v>25</v>
      </c>
      <c r="K1001" s="564" t="s">
        <v>25</v>
      </c>
      <c r="L1001" s="564" t="s">
        <v>25</v>
      </c>
      <c r="M1001" s="593"/>
      <c r="N1001" s="593"/>
      <c r="O1001" s="616"/>
      <c r="P1001" s="564" t="s">
        <v>25</v>
      </c>
      <c r="Q1001" s="564" t="s">
        <v>25</v>
      </c>
      <c r="R1001" s="566"/>
      <c r="S1001" s="589"/>
      <c r="T1001" s="591"/>
      <c r="U1001" s="589"/>
      <c r="V1001" s="564" t="s">
        <v>2899</v>
      </c>
      <c r="W1001" s="564" t="s">
        <v>25</v>
      </c>
      <c r="X1001" s="589"/>
      <c r="Y1001" s="592"/>
      <c r="Z1001" s="592"/>
      <c r="AA1001" s="568"/>
      <c r="AB1001" s="592"/>
      <c r="AC1001" s="592"/>
      <c r="AD1001" s="592"/>
      <c r="AE1001" s="590"/>
      <c r="AF1001" s="570" t="s">
        <v>2899</v>
      </c>
      <c r="AG1001" s="570" t="s">
        <v>25</v>
      </c>
      <c r="AH1001" s="571" t="s">
        <v>25</v>
      </c>
      <c r="AI1001" s="593"/>
      <c r="AJ1001" s="593"/>
    </row>
    <row r="1002" spans="1:36" s="376" customFormat="1" ht="20.25" outlineLevel="2" x14ac:dyDescent="0.3">
      <c r="A1002" s="447">
        <v>78</v>
      </c>
      <c r="B1002" s="648"/>
      <c r="C1002" s="648"/>
      <c r="D1002" s="587"/>
      <c r="E1002" s="560"/>
      <c r="F1002" s="558"/>
      <c r="G1002" s="588"/>
      <c r="H1002" s="546"/>
      <c r="I1002" s="563" t="s">
        <v>25</v>
      </c>
      <c r="J1002" s="563" t="s">
        <v>25</v>
      </c>
      <c r="K1002" s="564" t="s">
        <v>25</v>
      </c>
      <c r="L1002" s="564" t="s">
        <v>25</v>
      </c>
      <c r="M1002" s="593"/>
      <c r="N1002" s="593"/>
      <c r="O1002" s="616"/>
      <c r="P1002" s="564" t="s">
        <v>25</v>
      </c>
      <c r="Q1002" s="564" t="s">
        <v>25</v>
      </c>
      <c r="R1002" s="566"/>
      <c r="S1002" s="589"/>
      <c r="T1002" s="591"/>
      <c r="U1002" s="589"/>
      <c r="V1002" s="564" t="s">
        <v>2899</v>
      </c>
      <c r="W1002" s="564" t="s">
        <v>25</v>
      </c>
      <c r="X1002" s="589"/>
      <c r="Y1002" s="592"/>
      <c r="Z1002" s="592"/>
      <c r="AA1002" s="568"/>
      <c r="AB1002" s="592"/>
      <c r="AC1002" s="592"/>
      <c r="AD1002" s="592"/>
      <c r="AE1002" s="590"/>
      <c r="AF1002" s="570" t="s">
        <v>2899</v>
      </c>
      <c r="AG1002" s="570" t="s">
        <v>25</v>
      </c>
      <c r="AH1002" s="571" t="s">
        <v>25</v>
      </c>
      <c r="AI1002" s="593"/>
      <c r="AJ1002" s="593"/>
    </row>
    <row r="1003" spans="1:36" s="376" customFormat="1" ht="20.25" outlineLevel="2" x14ac:dyDescent="0.3">
      <c r="A1003" s="447">
        <v>78</v>
      </c>
      <c r="B1003" s="648"/>
      <c r="C1003" s="648"/>
      <c r="D1003" s="587"/>
      <c r="E1003" s="615"/>
      <c r="F1003" s="558"/>
      <c r="G1003" s="588"/>
      <c r="H1003" s="546"/>
      <c r="I1003" s="563" t="s">
        <v>25</v>
      </c>
      <c r="J1003" s="563" t="s">
        <v>25</v>
      </c>
      <c r="K1003" s="564" t="s">
        <v>25</v>
      </c>
      <c r="L1003" s="564" t="s">
        <v>25</v>
      </c>
      <c r="M1003" s="593"/>
      <c r="N1003" s="593"/>
      <c r="O1003" s="616"/>
      <c r="P1003" s="564" t="s">
        <v>25</v>
      </c>
      <c r="Q1003" s="564" t="s">
        <v>25</v>
      </c>
      <c r="R1003" s="566"/>
      <c r="S1003" s="589"/>
      <c r="T1003" s="591"/>
      <c r="U1003" s="589"/>
      <c r="V1003" s="564" t="s">
        <v>2899</v>
      </c>
      <c r="W1003" s="564" t="s">
        <v>25</v>
      </c>
      <c r="X1003" s="589"/>
      <c r="Y1003" s="592"/>
      <c r="Z1003" s="592"/>
      <c r="AA1003" s="568"/>
      <c r="AB1003" s="592"/>
      <c r="AC1003" s="592"/>
      <c r="AD1003" s="592"/>
      <c r="AE1003" s="590"/>
      <c r="AF1003" s="570" t="s">
        <v>2899</v>
      </c>
      <c r="AG1003" s="570" t="s">
        <v>25</v>
      </c>
      <c r="AH1003" s="571" t="s">
        <v>25</v>
      </c>
      <c r="AI1003" s="593"/>
      <c r="AJ1003" s="593"/>
    </row>
    <row r="1004" spans="1:36" s="376" customFormat="1" ht="20.25" outlineLevel="2" x14ac:dyDescent="0.3">
      <c r="A1004" s="447">
        <v>78</v>
      </c>
      <c r="B1004" s="648"/>
      <c r="C1004" s="648"/>
      <c r="D1004" s="587"/>
      <c r="E1004" s="560"/>
      <c r="F1004" s="558"/>
      <c r="G1004" s="604"/>
      <c r="H1004" s="546"/>
      <c r="I1004" s="563" t="s">
        <v>25</v>
      </c>
      <c r="J1004" s="563" t="s">
        <v>25</v>
      </c>
      <c r="K1004" s="564" t="s">
        <v>25</v>
      </c>
      <c r="L1004" s="564" t="s">
        <v>25</v>
      </c>
      <c r="M1004" s="593"/>
      <c r="N1004" s="593"/>
      <c r="O1004" s="616"/>
      <c r="P1004" s="564" t="s">
        <v>25</v>
      </c>
      <c r="Q1004" s="564" t="s">
        <v>25</v>
      </c>
      <c r="R1004" s="593"/>
      <c r="S1004" s="593"/>
      <c r="T1004" s="617"/>
      <c r="U1004" s="589"/>
      <c r="V1004" s="564" t="s">
        <v>2899</v>
      </c>
      <c r="W1004" s="564" t="s">
        <v>25</v>
      </c>
      <c r="X1004" s="589"/>
      <c r="Y1004" s="589"/>
      <c r="Z1004" s="589"/>
      <c r="AA1004" s="562"/>
      <c r="AB1004" s="589"/>
      <c r="AC1004" s="589"/>
      <c r="AD1004" s="589"/>
      <c r="AE1004" s="629"/>
      <c r="AF1004" s="570" t="s">
        <v>2899</v>
      </c>
      <c r="AG1004" s="570" t="s">
        <v>25</v>
      </c>
      <c r="AH1004" s="571" t="s">
        <v>25</v>
      </c>
      <c r="AI1004" s="593"/>
      <c r="AJ1004" s="593"/>
    </row>
    <row r="1005" spans="1:36" s="376" customFormat="1" ht="20.25" outlineLevel="2" x14ac:dyDescent="0.3">
      <c r="A1005" s="447">
        <v>78</v>
      </c>
      <c r="B1005" s="648"/>
      <c r="C1005" s="648"/>
      <c r="D1005" s="587"/>
      <c r="E1005" s="560"/>
      <c r="F1005" s="558"/>
      <c r="G1005" s="588"/>
      <c r="H1005" s="546"/>
      <c r="I1005" s="563" t="s">
        <v>25</v>
      </c>
      <c r="J1005" s="563" t="s">
        <v>25</v>
      </c>
      <c r="K1005" s="564" t="s">
        <v>25</v>
      </c>
      <c r="L1005" s="564" t="s">
        <v>25</v>
      </c>
      <c r="M1005" s="558"/>
      <c r="N1005" s="558"/>
      <c r="O1005" s="590"/>
      <c r="P1005" s="564" t="s">
        <v>25</v>
      </c>
      <c r="Q1005" s="564" t="s">
        <v>25</v>
      </c>
      <c r="R1005" s="566"/>
      <c r="S1005" s="589"/>
      <c r="T1005" s="591"/>
      <c r="U1005" s="589"/>
      <c r="V1005" s="564" t="s">
        <v>2899</v>
      </c>
      <c r="W1005" s="564" t="s">
        <v>25</v>
      </c>
      <c r="X1005" s="589"/>
      <c r="Y1005" s="592"/>
      <c r="Z1005" s="592"/>
      <c r="AA1005" s="568"/>
      <c r="AB1005" s="592"/>
      <c r="AC1005" s="592"/>
      <c r="AD1005" s="592"/>
      <c r="AE1005" s="590"/>
      <c r="AF1005" s="570" t="s">
        <v>2899</v>
      </c>
      <c r="AG1005" s="570" t="s">
        <v>25</v>
      </c>
      <c r="AH1005" s="571" t="s">
        <v>25</v>
      </c>
      <c r="AI1005" s="593"/>
      <c r="AJ1005" s="593"/>
    </row>
    <row r="1006" spans="1:36" s="376" customFormat="1" ht="20.25" outlineLevel="2" x14ac:dyDescent="0.3">
      <c r="A1006" s="447">
        <v>78</v>
      </c>
      <c r="B1006" s="648"/>
      <c r="C1006" s="648"/>
      <c r="D1006" s="587"/>
      <c r="E1006" s="560"/>
      <c r="F1006" s="558"/>
      <c r="G1006" s="588"/>
      <c r="H1006" s="546"/>
      <c r="I1006" s="563" t="s">
        <v>25</v>
      </c>
      <c r="J1006" s="563" t="s">
        <v>25</v>
      </c>
      <c r="K1006" s="564" t="s">
        <v>25</v>
      </c>
      <c r="L1006" s="564" t="s">
        <v>25</v>
      </c>
      <c r="M1006" s="558"/>
      <c r="N1006" s="558"/>
      <c r="O1006" s="590"/>
      <c r="P1006" s="564" t="s">
        <v>25</v>
      </c>
      <c r="Q1006" s="564" t="s">
        <v>25</v>
      </c>
      <c r="R1006" s="566"/>
      <c r="S1006" s="589"/>
      <c r="T1006" s="591"/>
      <c r="U1006" s="589"/>
      <c r="V1006" s="564" t="s">
        <v>2899</v>
      </c>
      <c r="W1006" s="564" t="s">
        <v>25</v>
      </c>
      <c r="X1006" s="589"/>
      <c r="Y1006" s="592"/>
      <c r="Z1006" s="592"/>
      <c r="AA1006" s="568"/>
      <c r="AB1006" s="592"/>
      <c r="AC1006" s="592"/>
      <c r="AD1006" s="592"/>
      <c r="AE1006" s="590"/>
      <c r="AF1006" s="570" t="s">
        <v>2899</v>
      </c>
      <c r="AG1006" s="570" t="s">
        <v>25</v>
      </c>
      <c r="AH1006" s="571" t="s">
        <v>25</v>
      </c>
      <c r="AI1006" s="593"/>
      <c r="AJ1006" s="593"/>
    </row>
    <row r="1007" spans="1:36" s="376" customFormat="1" ht="20.25" outlineLevel="2" x14ac:dyDescent="0.3">
      <c r="A1007" s="447">
        <v>78</v>
      </c>
      <c r="B1007" s="558"/>
      <c r="C1007" s="558"/>
      <c r="D1007" s="587"/>
      <c r="E1007" s="560"/>
      <c r="F1007" s="558"/>
      <c r="G1007" s="588"/>
      <c r="H1007" s="546"/>
      <c r="I1007" s="563" t="s">
        <v>25</v>
      </c>
      <c r="J1007" s="563" t="s">
        <v>25</v>
      </c>
      <c r="K1007" s="564" t="s">
        <v>25</v>
      </c>
      <c r="L1007" s="564" t="s">
        <v>25</v>
      </c>
      <c r="M1007" s="558"/>
      <c r="N1007" s="558"/>
      <c r="O1007" s="590"/>
      <c r="P1007" s="564" t="s">
        <v>25</v>
      </c>
      <c r="Q1007" s="564" t="s">
        <v>25</v>
      </c>
      <c r="R1007" s="566"/>
      <c r="S1007" s="589"/>
      <c r="T1007" s="591"/>
      <c r="U1007" s="589"/>
      <c r="V1007" s="564" t="s">
        <v>2899</v>
      </c>
      <c r="W1007" s="564" t="s">
        <v>25</v>
      </c>
      <c r="X1007" s="589"/>
      <c r="Y1007" s="592"/>
      <c r="Z1007" s="592"/>
      <c r="AA1007" s="568"/>
      <c r="AB1007" s="592"/>
      <c r="AC1007" s="592"/>
      <c r="AD1007" s="592"/>
      <c r="AE1007" s="590"/>
      <c r="AF1007" s="570" t="s">
        <v>2899</v>
      </c>
      <c r="AG1007" s="570" t="s">
        <v>25</v>
      </c>
      <c r="AH1007" s="571" t="s">
        <v>25</v>
      </c>
      <c r="AI1007" s="593"/>
      <c r="AJ1007" s="593"/>
    </row>
    <row r="1008" spans="1:36" s="376" customFormat="1" ht="20.25" outlineLevel="2" x14ac:dyDescent="0.3">
      <c r="A1008" s="447">
        <v>78</v>
      </c>
      <c r="B1008" s="574"/>
      <c r="C1008" s="574"/>
      <c r="D1008" s="595"/>
      <c r="E1008" s="577"/>
      <c r="F1008" s="558"/>
      <c r="G1008" s="588"/>
      <c r="H1008" s="546"/>
      <c r="I1008" s="563" t="s">
        <v>25</v>
      </c>
      <c r="J1008" s="563" t="s">
        <v>25</v>
      </c>
      <c r="K1008" s="564" t="s">
        <v>25</v>
      </c>
      <c r="L1008" s="564" t="s">
        <v>25</v>
      </c>
      <c r="M1008" s="558"/>
      <c r="N1008" s="558"/>
      <c r="O1008" s="590"/>
      <c r="P1008" s="564" t="s">
        <v>25</v>
      </c>
      <c r="Q1008" s="564" t="s">
        <v>25</v>
      </c>
      <c r="R1008" s="566"/>
      <c r="S1008" s="589"/>
      <c r="T1008" s="591"/>
      <c r="U1008" s="589"/>
      <c r="V1008" s="564" t="s">
        <v>2899</v>
      </c>
      <c r="W1008" s="564" t="s">
        <v>25</v>
      </c>
      <c r="X1008" s="589"/>
      <c r="Y1008" s="592"/>
      <c r="Z1008" s="592"/>
      <c r="AA1008" s="568"/>
      <c r="AB1008" s="592"/>
      <c r="AC1008" s="592"/>
      <c r="AD1008" s="592"/>
      <c r="AE1008" s="590"/>
      <c r="AF1008" s="570" t="s">
        <v>2899</v>
      </c>
      <c r="AG1008" s="570" t="s">
        <v>25</v>
      </c>
      <c r="AH1008" s="571" t="s">
        <v>25</v>
      </c>
      <c r="AI1008" s="593"/>
      <c r="AJ1008" s="593"/>
    </row>
    <row r="1009" spans="1:36" s="376" customFormat="1" ht="40.5" outlineLevel="1" x14ac:dyDescent="0.25">
      <c r="A1009" s="467">
        <v>79</v>
      </c>
      <c r="B1009" s="574" t="s">
        <v>48</v>
      </c>
      <c r="C1009" s="773" t="s">
        <v>2902</v>
      </c>
      <c r="D1009" s="587">
        <v>86</v>
      </c>
      <c r="E1009" s="560">
        <v>62</v>
      </c>
      <c r="F1009" s="574"/>
      <c r="G1009" s="618">
        <v>1077.0999999999999</v>
      </c>
      <c r="H1009" s="579">
        <v>1050.6999999999998</v>
      </c>
      <c r="I1009" s="581"/>
      <c r="J1009" s="581"/>
      <c r="K1009" s="571">
        <v>501498000</v>
      </c>
      <c r="L1009" s="571">
        <v>1467618000</v>
      </c>
      <c r="M1009" s="673"/>
      <c r="N1009" s="673"/>
      <c r="O1009" s="599">
        <v>554</v>
      </c>
      <c r="P1009" s="571"/>
      <c r="Q1009" s="571">
        <v>49581000</v>
      </c>
      <c r="R1009" s="582"/>
      <c r="S1009" s="597"/>
      <c r="T1009" s="600">
        <v>83.82</v>
      </c>
      <c r="U1009" s="597"/>
      <c r="V1009" s="571"/>
      <c r="W1009" s="571">
        <v>48155000</v>
      </c>
      <c r="X1009" s="589"/>
      <c r="Y1009" s="592"/>
      <c r="Z1009" s="592"/>
      <c r="AA1009" s="568"/>
      <c r="AB1009" s="592"/>
      <c r="AC1009" s="592"/>
      <c r="AD1009" s="601"/>
      <c r="AE1009" s="599">
        <f>SUBTOTAL(9,AE1010:AE1025)</f>
        <v>0</v>
      </c>
      <c r="AF1009" s="585"/>
      <c r="AG1009" s="585">
        <v>0</v>
      </c>
      <c r="AH1009" s="571">
        <v>2066852000</v>
      </c>
      <c r="AI1009" s="574"/>
      <c r="AJ1009" s="578"/>
    </row>
    <row r="1010" spans="1:36" s="376" customFormat="1" ht="121.5" outlineLevel="2" x14ac:dyDescent="0.3">
      <c r="A1010" s="447">
        <v>79</v>
      </c>
      <c r="B1010" s="558" t="s">
        <v>280</v>
      </c>
      <c r="C1010" s="558"/>
      <c r="D1010" s="587"/>
      <c r="E1010" s="560"/>
      <c r="F1010" s="558" t="s">
        <v>2435</v>
      </c>
      <c r="G1010" s="588">
        <v>1050.6999999999998</v>
      </c>
      <c r="H1010" s="546">
        <v>1050.6999999999998</v>
      </c>
      <c r="I1010" s="563">
        <v>465600</v>
      </c>
      <c r="J1010" s="563">
        <v>1396800</v>
      </c>
      <c r="K1010" s="564">
        <v>489206000</v>
      </c>
      <c r="L1010" s="564">
        <v>1467618000</v>
      </c>
      <c r="M1010" s="638" t="s">
        <v>145</v>
      </c>
      <c r="N1010" s="638"/>
      <c r="O1010" s="590">
        <v>2</v>
      </c>
      <c r="P1010" s="564">
        <v>4240000</v>
      </c>
      <c r="Q1010" s="564">
        <v>8480000</v>
      </c>
      <c r="R1010" s="566" t="s">
        <v>1884</v>
      </c>
      <c r="S1010" s="589" t="s">
        <v>53</v>
      </c>
      <c r="T1010" s="591">
        <v>26.4</v>
      </c>
      <c r="U1010" s="589"/>
      <c r="V1010" s="564">
        <v>984277</v>
      </c>
      <c r="W1010" s="564">
        <v>25985000</v>
      </c>
      <c r="X1010" s="589"/>
      <c r="Y1010" s="592" t="s">
        <v>55</v>
      </c>
      <c r="Z1010" s="592" t="s">
        <v>141</v>
      </c>
      <c r="AA1010" s="568" t="s">
        <v>171</v>
      </c>
      <c r="AB1010" s="592" t="s">
        <v>66</v>
      </c>
      <c r="AC1010" s="592"/>
      <c r="AD1010" s="592"/>
      <c r="AE1010" s="590"/>
      <c r="AF1010" s="570" t="s">
        <v>2899</v>
      </c>
      <c r="AG1010" s="570" t="s">
        <v>25</v>
      </c>
      <c r="AH1010" s="571" t="s">
        <v>25</v>
      </c>
      <c r="AI1010" s="558" t="s">
        <v>712</v>
      </c>
      <c r="AJ1010" s="586" t="s">
        <v>2771</v>
      </c>
    </row>
    <row r="1011" spans="1:36" s="376" customFormat="1" ht="101.25" outlineLevel="2" x14ac:dyDescent="0.3">
      <c r="A1011" s="447">
        <v>79</v>
      </c>
      <c r="B1011" s="638" t="s">
        <v>713</v>
      </c>
      <c r="C1011" s="638"/>
      <c r="D1011" s="587"/>
      <c r="E1011" s="560"/>
      <c r="F1011" s="558" t="s">
        <v>2434</v>
      </c>
      <c r="G1011" s="588">
        <v>26.4</v>
      </c>
      <c r="H1011" s="546" t="s">
        <v>2899</v>
      </c>
      <c r="I1011" s="563">
        <v>465600</v>
      </c>
      <c r="J1011" s="563">
        <v>0</v>
      </c>
      <c r="K1011" s="564">
        <v>12292000</v>
      </c>
      <c r="L1011" s="564">
        <v>0</v>
      </c>
      <c r="M1011" s="638" t="s">
        <v>77</v>
      </c>
      <c r="N1011" s="638"/>
      <c r="O1011" s="590">
        <v>2</v>
      </c>
      <c r="P1011" s="564">
        <v>3064000</v>
      </c>
      <c r="Q1011" s="564">
        <v>6128000</v>
      </c>
      <c r="R1011" s="566" t="s">
        <v>1748</v>
      </c>
      <c r="S1011" s="589" t="s">
        <v>53</v>
      </c>
      <c r="T1011" s="591">
        <v>7.2</v>
      </c>
      <c r="U1011" s="589"/>
      <c r="V1011" s="564">
        <v>0</v>
      </c>
      <c r="W1011" s="564">
        <v>0</v>
      </c>
      <c r="X1011" s="589"/>
      <c r="Y1011" s="592"/>
      <c r="Z1011" s="592"/>
      <c r="AA1011" s="568"/>
      <c r="AB1011" s="592"/>
      <c r="AC1011" s="592"/>
      <c r="AD1011" s="592"/>
      <c r="AE1011" s="590"/>
      <c r="AF1011" s="570" t="s">
        <v>2899</v>
      </c>
      <c r="AG1011" s="570" t="s">
        <v>25</v>
      </c>
      <c r="AH1011" s="571" t="s">
        <v>25</v>
      </c>
      <c r="AI1011" s="558" t="s">
        <v>611</v>
      </c>
      <c r="AJ1011" s="605" t="s">
        <v>2448</v>
      </c>
    </row>
    <row r="1012" spans="1:36" s="376" customFormat="1" ht="121.5" outlineLevel="2" x14ac:dyDescent="0.3">
      <c r="A1012" s="447">
        <v>79</v>
      </c>
      <c r="B1012" s="558"/>
      <c r="C1012" s="558"/>
      <c r="D1012" s="612"/>
      <c r="E1012" s="612"/>
      <c r="F1012" s="558"/>
      <c r="G1012" s="588"/>
      <c r="H1012" s="546"/>
      <c r="I1012" s="563" t="s">
        <v>25</v>
      </c>
      <c r="J1012" s="563" t="s">
        <v>25</v>
      </c>
      <c r="K1012" s="564" t="s">
        <v>25</v>
      </c>
      <c r="L1012" s="564" t="s">
        <v>25</v>
      </c>
      <c r="M1012" s="638" t="s">
        <v>79</v>
      </c>
      <c r="N1012" s="638"/>
      <c r="O1012" s="590">
        <v>1</v>
      </c>
      <c r="P1012" s="564">
        <v>1035000</v>
      </c>
      <c r="Q1012" s="564">
        <v>1035000</v>
      </c>
      <c r="R1012" s="566" t="s">
        <v>1901</v>
      </c>
      <c r="S1012" s="589" t="s">
        <v>53</v>
      </c>
      <c r="T1012" s="591">
        <v>50.22</v>
      </c>
      <c r="U1012" s="589"/>
      <c r="V1012" s="564">
        <v>441467</v>
      </c>
      <c r="W1012" s="564">
        <v>22170000</v>
      </c>
      <c r="X1012" s="589"/>
      <c r="Y1012" s="592"/>
      <c r="Z1012" s="592"/>
      <c r="AA1012" s="568"/>
      <c r="AB1012" s="592"/>
      <c r="AC1012" s="592"/>
      <c r="AD1012" s="592"/>
      <c r="AE1012" s="590"/>
      <c r="AF1012" s="570" t="s">
        <v>2899</v>
      </c>
      <c r="AG1012" s="570" t="s">
        <v>25</v>
      </c>
      <c r="AH1012" s="571" t="s">
        <v>25</v>
      </c>
      <c r="AI1012" s="593" t="s">
        <v>398</v>
      </c>
      <c r="AJ1012" s="558" t="s">
        <v>2450</v>
      </c>
    </row>
    <row r="1013" spans="1:36" s="376" customFormat="1" ht="101.25" outlineLevel="2" x14ac:dyDescent="0.3">
      <c r="A1013" s="447">
        <v>79</v>
      </c>
      <c r="B1013" s="558"/>
      <c r="C1013" s="558"/>
      <c r="D1013" s="587"/>
      <c r="E1013" s="560"/>
      <c r="F1013" s="586"/>
      <c r="G1013" s="588"/>
      <c r="H1013" s="546"/>
      <c r="I1013" s="563" t="s">
        <v>25</v>
      </c>
      <c r="J1013" s="563" t="s">
        <v>25</v>
      </c>
      <c r="K1013" s="564" t="s">
        <v>25</v>
      </c>
      <c r="L1013" s="564" t="s">
        <v>25</v>
      </c>
      <c r="M1013" s="572" t="s">
        <v>67</v>
      </c>
      <c r="N1013" s="572"/>
      <c r="O1013" s="687">
        <v>1</v>
      </c>
      <c r="P1013" s="564">
        <v>494000</v>
      </c>
      <c r="Q1013" s="564">
        <v>494000</v>
      </c>
      <c r="R1013" s="572"/>
      <c r="S1013" s="609"/>
      <c r="T1013" s="591"/>
      <c r="U1013" s="589"/>
      <c r="V1013" s="564" t="s">
        <v>2899</v>
      </c>
      <c r="W1013" s="564" t="s">
        <v>25</v>
      </c>
      <c r="X1013" s="589"/>
      <c r="Y1013" s="592"/>
      <c r="Z1013" s="592"/>
      <c r="AA1013" s="568"/>
      <c r="AB1013" s="592"/>
      <c r="AC1013" s="592"/>
      <c r="AD1013" s="592"/>
      <c r="AE1013" s="590"/>
      <c r="AF1013" s="570" t="s">
        <v>2899</v>
      </c>
      <c r="AG1013" s="570" t="s">
        <v>25</v>
      </c>
      <c r="AH1013" s="571" t="s">
        <v>25</v>
      </c>
      <c r="AI1013" s="558" t="s">
        <v>2074</v>
      </c>
      <c r="AJ1013" s="558" t="s">
        <v>2449</v>
      </c>
    </row>
    <row r="1014" spans="1:36" s="376" customFormat="1" ht="101.25" outlineLevel="2" x14ac:dyDescent="0.3">
      <c r="A1014" s="447">
        <v>79</v>
      </c>
      <c r="B1014" s="558"/>
      <c r="C1014" s="558"/>
      <c r="D1014" s="587"/>
      <c r="E1014" s="560"/>
      <c r="F1014" s="558"/>
      <c r="G1014" s="588"/>
      <c r="H1014" s="546"/>
      <c r="I1014" s="563" t="s">
        <v>25</v>
      </c>
      <c r="J1014" s="563" t="s">
        <v>25</v>
      </c>
      <c r="K1014" s="564" t="s">
        <v>25</v>
      </c>
      <c r="L1014" s="564" t="s">
        <v>25</v>
      </c>
      <c r="M1014" s="558" t="s">
        <v>738</v>
      </c>
      <c r="N1014" s="558"/>
      <c r="O1014" s="590">
        <v>2</v>
      </c>
      <c r="P1014" s="564">
        <v>0</v>
      </c>
      <c r="Q1014" s="564">
        <v>0</v>
      </c>
      <c r="R1014" s="566"/>
      <c r="S1014" s="589"/>
      <c r="T1014" s="591"/>
      <c r="U1014" s="589"/>
      <c r="V1014" s="564" t="s">
        <v>2899</v>
      </c>
      <c r="W1014" s="564" t="s">
        <v>25</v>
      </c>
      <c r="X1014" s="589"/>
      <c r="Y1014" s="592"/>
      <c r="Z1014" s="592"/>
      <c r="AA1014" s="568"/>
      <c r="AB1014" s="592"/>
      <c r="AC1014" s="592"/>
      <c r="AD1014" s="592"/>
      <c r="AE1014" s="590"/>
      <c r="AF1014" s="570" t="s">
        <v>2899</v>
      </c>
      <c r="AG1014" s="570" t="s">
        <v>25</v>
      </c>
      <c r="AH1014" s="571" t="s">
        <v>25</v>
      </c>
      <c r="AI1014" s="558"/>
      <c r="AJ1014" s="558" t="s">
        <v>2800</v>
      </c>
    </row>
    <row r="1015" spans="1:36" s="376" customFormat="1" ht="40.5" outlineLevel="2" x14ac:dyDescent="0.3">
      <c r="A1015" s="447">
        <v>79</v>
      </c>
      <c r="B1015" s="607"/>
      <c r="C1015" s="607"/>
      <c r="D1015" s="612"/>
      <c r="E1015" s="612"/>
      <c r="F1015" s="558"/>
      <c r="G1015" s="588"/>
      <c r="H1015" s="546"/>
      <c r="I1015" s="563" t="s">
        <v>25</v>
      </c>
      <c r="J1015" s="563" t="s">
        <v>25</v>
      </c>
      <c r="K1015" s="564" t="s">
        <v>25</v>
      </c>
      <c r="L1015" s="564" t="s">
        <v>25</v>
      </c>
      <c r="M1015" s="558" t="s">
        <v>401</v>
      </c>
      <c r="N1015" s="558"/>
      <c r="O1015" s="590">
        <v>39</v>
      </c>
      <c r="P1015" s="564">
        <v>80000</v>
      </c>
      <c r="Q1015" s="564">
        <v>3120000</v>
      </c>
      <c r="R1015" s="566"/>
      <c r="S1015" s="589"/>
      <c r="T1015" s="591"/>
      <c r="U1015" s="589"/>
      <c r="V1015" s="564" t="s">
        <v>2899</v>
      </c>
      <c r="W1015" s="564" t="s">
        <v>25</v>
      </c>
      <c r="X1015" s="589"/>
      <c r="Y1015" s="592"/>
      <c r="Z1015" s="592"/>
      <c r="AA1015" s="568"/>
      <c r="AB1015" s="592"/>
      <c r="AC1015" s="592"/>
      <c r="AD1015" s="592"/>
      <c r="AE1015" s="590"/>
      <c r="AF1015" s="570" t="s">
        <v>2899</v>
      </c>
      <c r="AG1015" s="570" t="s">
        <v>25</v>
      </c>
      <c r="AH1015" s="571" t="s">
        <v>25</v>
      </c>
      <c r="AI1015" s="593"/>
      <c r="AJ1015" s="593"/>
    </row>
    <row r="1016" spans="1:36" s="376" customFormat="1" ht="20.25" outlineLevel="2" x14ac:dyDescent="0.3">
      <c r="A1016" s="447">
        <v>79</v>
      </c>
      <c r="B1016" s="572"/>
      <c r="C1016" s="572"/>
      <c r="D1016" s="612"/>
      <c r="E1016" s="612"/>
      <c r="F1016" s="586"/>
      <c r="G1016" s="588"/>
      <c r="H1016" s="546"/>
      <c r="I1016" s="563" t="s">
        <v>25</v>
      </c>
      <c r="J1016" s="563" t="s">
        <v>25</v>
      </c>
      <c r="K1016" s="564" t="s">
        <v>25</v>
      </c>
      <c r="L1016" s="564" t="s">
        <v>25</v>
      </c>
      <c r="M1016" s="572" t="s">
        <v>72</v>
      </c>
      <c r="N1016" s="572"/>
      <c r="O1016" s="687">
        <v>19</v>
      </c>
      <c r="P1016" s="564">
        <v>132000</v>
      </c>
      <c r="Q1016" s="564">
        <v>2508000</v>
      </c>
      <c r="R1016" s="566"/>
      <c r="S1016" s="609"/>
      <c r="T1016" s="591"/>
      <c r="U1016" s="589"/>
      <c r="V1016" s="564" t="s">
        <v>2899</v>
      </c>
      <c r="W1016" s="564" t="s">
        <v>25</v>
      </c>
      <c r="X1016" s="589"/>
      <c r="Y1016" s="592"/>
      <c r="Z1016" s="592"/>
      <c r="AA1016" s="568"/>
      <c r="AB1016" s="592"/>
      <c r="AC1016" s="592"/>
      <c r="AD1016" s="592"/>
      <c r="AE1016" s="590"/>
      <c r="AF1016" s="570" t="s">
        <v>2899</v>
      </c>
      <c r="AG1016" s="570" t="s">
        <v>25</v>
      </c>
      <c r="AH1016" s="571" t="s">
        <v>25</v>
      </c>
      <c r="AI1016" s="593"/>
      <c r="AJ1016" s="593"/>
    </row>
    <row r="1017" spans="1:36" s="376" customFormat="1" ht="20.25" outlineLevel="2" x14ac:dyDescent="0.3">
      <c r="A1017" s="447">
        <v>79</v>
      </c>
      <c r="B1017" s="572"/>
      <c r="C1017" s="572"/>
      <c r="D1017" s="612"/>
      <c r="E1017" s="612"/>
      <c r="F1017" s="586"/>
      <c r="G1017" s="588"/>
      <c r="H1017" s="546"/>
      <c r="I1017" s="563" t="s">
        <v>25</v>
      </c>
      <c r="J1017" s="563" t="s">
        <v>25</v>
      </c>
      <c r="K1017" s="564" t="s">
        <v>25</v>
      </c>
      <c r="L1017" s="564" t="s">
        <v>25</v>
      </c>
      <c r="M1017" s="572" t="s">
        <v>75</v>
      </c>
      <c r="N1017" s="572"/>
      <c r="O1017" s="687">
        <v>15</v>
      </c>
      <c r="P1017" s="564">
        <v>34000</v>
      </c>
      <c r="Q1017" s="564">
        <v>510000</v>
      </c>
      <c r="R1017" s="566"/>
      <c r="S1017" s="609"/>
      <c r="T1017" s="591"/>
      <c r="U1017" s="589"/>
      <c r="V1017" s="564" t="s">
        <v>2899</v>
      </c>
      <c r="W1017" s="564" t="s">
        <v>25</v>
      </c>
      <c r="X1017" s="589"/>
      <c r="Y1017" s="592"/>
      <c r="Z1017" s="592"/>
      <c r="AA1017" s="568"/>
      <c r="AB1017" s="592"/>
      <c r="AC1017" s="592"/>
      <c r="AD1017" s="592"/>
      <c r="AE1017" s="590"/>
      <c r="AF1017" s="570" t="s">
        <v>2899</v>
      </c>
      <c r="AG1017" s="570" t="s">
        <v>25</v>
      </c>
      <c r="AH1017" s="571" t="s">
        <v>25</v>
      </c>
      <c r="AI1017" s="593"/>
      <c r="AJ1017" s="593"/>
    </row>
    <row r="1018" spans="1:36" s="376" customFormat="1" ht="40.5" outlineLevel="2" x14ac:dyDescent="0.3">
      <c r="A1018" s="447">
        <v>79</v>
      </c>
      <c r="B1018" s="558"/>
      <c r="C1018" s="558"/>
      <c r="D1018" s="612"/>
      <c r="E1018" s="612"/>
      <c r="F1018" s="586"/>
      <c r="G1018" s="588"/>
      <c r="H1018" s="546"/>
      <c r="I1018" s="563" t="s">
        <v>25</v>
      </c>
      <c r="J1018" s="563" t="s">
        <v>25</v>
      </c>
      <c r="K1018" s="564" t="s">
        <v>25</v>
      </c>
      <c r="L1018" s="564" t="s">
        <v>25</v>
      </c>
      <c r="M1018" s="572" t="s">
        <v>187</v>
      </c>
      <c r="N1018" s="572"/>
      <c r="O1018" s="687">
        <v>97</v>
      </c>
      <c r="P1018" s="564">
        <v>120000</v>
      </c>
      <c r="Q1018" s="564">
        <v>11640000</v>
      </c>
      <c r="R1018" s="566"/>
      <c r="S1018" s="609"/>
      <c r="T1018" s="591"/>
      <c r="U1018" s="589"/>
      <c r="V1018" s="564" t="s">
        <v>2899</v>
      </c>
      <c r="W1018" s="564" t="s">
        <v>25</v>
      </c>
      <c r="X1018" s="589"/>
      <c r="Y1018" s="592"/>
      <c r="Z1018" s="592"/>
      <c r="AA1018" s="568"/>
      <c r="AB1018" s="592"/>
      <c r="AC1018" s="592"/>
      <c r="AD1018" s="592"/>
      <c r="AE1018" s="590"/>
      <c r="AF1018" s="570" t="s">
        <v>2899</v>
      </c>
      <c r="AG1018" s="570" t="s">
        <v>25</v>
      </c>
      <c r="AH1018" s="571" t="s">
        <v>25</v>
      </c>
      <c r="AI1018" s="593"/>
      <c r="AJ1018" s="593"/>
    </row>
    <row r="1019" spans="1:36" s="376" customFormat="1" ht="40.5" outlineLevel="2" x14ac:dyDescent="0.3">
      <c r="A1019" s="447">
        <v>79</v>
      </c>
      <c r="B1019" s="558"/>
      <c r="C1019" s="558"/>
      <c r="D1019" s="587"/>
      <c r="E1019" s="560"/>
      <c r="F1019" s="586"/>
      <c r="G1019" s="588"/>
      <c r="H1019" s="546"/>
      <c r="I1019" s="563" t="s">
        <v>25</v>
      </c>
      <c r="J1019" s="563" t="s">
        <v>25</v>
      </c>
      <c r="K1019" s="564" t="s">
        <v>25</v>
      </c>
      <c r="L1019" s="564" t="s">
        <v>25</v>
      </c>
      <c r="M1019" s="572" t="s">
        <v>353</v>
      </c>
      <c r="N1019" s="572"/>
      <c r="O1019" s="687">
        <v>149</v>
      </c>
      <c r="P1019" s="564">
        <v>96000</v>
      </c>
      <c r="Q1019" s="564">
        <v>14304000</v>
      </c>
      <c r="R1019" s="566"/>
      <c r="S1019" s="609"/>
      <c r="T1019" s="591"/>
      <c r="U1019" s="589"/>
      <c r="V1019" s="564" t="s">
        <v>2899</v>
      </c>
      <c r="W1019" s="564" t="s">
        <v>25</v>
      </c>
      <c r="X1019" s="589"/>
      <c r="Y1019" s="592"/>
      <c r="Z1019" s="592"/>
      <c r="AA1019" s="568"/>
      <c r="AB1019" s="592"/>
      <c r="AC1019" s="592"/>
      <c r="AD1019" s="592"/>
      <c r="AE1019" s="590"/>
      <c r="AF1019" s="570" t="s">
        <v>2899</v>
      </c>
      <c r="AG1019" s="570" t="s">
        <v>25</v>
      </c>
      <c r="AH1019" s="571" t="s">
        <v>25</v>
      </c>
      <c r="AI1019" s="593"/>
      <c r="AJ1019" s="593"/>
    </row>
    <row r="1020" spans="1:36" s="376" customFormat="1" ht="40.5" outlineLevel="2" x14ac:dyDescent="0.3">
      <c r="A1020" s="447">
        <v>79</v>
      </c>
      <c r="B1020" s="558"/>
      <c r="C1020" s="558"/>
      <c r="D1020" s="587"/>
      <c r="E1020" s="615"/>
      <c r="F1020" s="558"/>
      <c r="G1020" s="588"/>
      <c r="H1020" s="546"/>
      <c r="I1020" s="563" t="s">
        <v>25</v>
      </c>
      <c r="J1020" s="563" t="s">
        <v>25</v>
      </c>
      <c r="K1020" s="564" t="s">
        <v>25</v>
      </c>
      <c r="L1020" s="564" t="s">
        <v>25</v>
      </c>
      <c r="M1020" s="558" t="s">
        <v>785</v>
      </c>
      <c r="N1020" s="558"/>
      <c r="O1020" s="688">
        <v>227</v>
      </c>
      <c r="P1020" s="564">
        <v>6000</v>
      </c>
      <c r="Q1020" s="564">
        <v>1362000</v>
      </c>
      <c r="R1020" s="566"/>
      <c r="S1020" s="589"/>
      <c r="T1020" s="591"/>
      <c r="U1020" s="589"/>
      <c r="V1020" s="564" t="s">
        <v>2899</v>
      </c>
      <c r="W1020" s="564" t="s">
        <v>25</v>
      </c>
      <c r="X1020" s="589"/>
      <c r="Y1020" s="592"/>
      <c r="Z1020" s="592"/>
      <c r="AA1020" s="568"/>
      <c r="AB1020" s="592"/>
      <c r="AC1020" s="592"/>
      <c r="AD1020" s="592"/>
      <c r="AE1020" s="590"/>
      <c r="AF1020" s="570" t="s">
        <v>2899</v>
      </c>
      <c r="AG1020" s="570" t="s">
        <v>25</v>
      </c>
      <c r="AH1020" s="571" t="s">
        <v>25</v>
      </c>
      <c r="AI1020" s="593"/>
      <c r="AJ1020" s="593"/>
    </row>
    <row r="1021" spans="1:36" s="376" customFormat="1" ht="20.25" outlineLevel="2" x14ac:dyDescent="0.3">
      <c r="A1021" s="447">
        <v>79</v>
      </c>
      <c r="B1021" s="607"/>
      <c r="C1021" s="607"/>
      <c r="D1021" s="587"/>
      <c r="E1021" s="560"/>
      <c r="F1021" s="558"/>
      <c r="G1021" s="604"/>
      <c r="H1021" s="546"/>
      <c r="I1021" s="563" t="s">
        <v>25</v>
      </c>
      <c r="J1021" s="563" t="s">
        <v>25</v>
      </c>
      <c r="K1021" s="564" t="s">
        <v>25</v>
      </c>
      <c r="L1021" s="564" t="s">
        <v>25</v>
      </c>
      <c r="M1021" s="593"/>
      <c r="N1021" s="593"/>
      <c r="O1021" s="616"/>
      <c r="P1021" s="564" t="s">
        <v>25</v>
      </c>
      <c r="Q1021" s="564" t="s">
        <v>25</v>
      </c>
      <c r="R1021" s="593"/>
      <c r="S1021" s="593"/>
      <c r="T1021" s="617"/>
      <c r="U1021" s="589"/>
      <c r="V1021" s="564" t="s">
        <v>2899</v>
      </c>
      <c r="W1021" s="564" t="s">
        <v>25</v>
      </c>
      <c r="X1021" s="589"/>
      <c r="Y1021" s="589"/>
      <c r="Z1021" s="589"/>
      <c r="AA1021" s="562"/>
      <c r="AB1021" s="589"/>
      <c r="AC1021" s="589"/>
      <c r="AD1021" s="589"/>
      <c r="AE1021" s="629"/>
      <c r="AF1021" s="570" t="s">
        <v>2899</v>
      </c>
      <c r="AG1021" s="570" t="s">
        <v>25</v>
      </c>
      <c r="AH1021" s="571" t="s">
        <v>25</v>
      </c>
      <c r="AI1021" s="593"/>
      <c r="AJ1021" s="593"/>
    </row>
    <row r="1022" spans="1:36" s="376" customFormat="1" ht="20.25" outlineLevel="2" x14ac:dyDescent="0.3">
      <c r="A1022" s="447">
        <v>79</v>
      </c>
      <c r="B1022" s="572"/>
      <c r="C1022" s="572"/>
      <c r="D1022" s="612"/>
      <c r="E1022" s="612"/>
      <c r="F1022" s="558"/>
      <c r="G1022" s="588"/>
      <c r="H1022" s="546"/>
      <c r="I1022" s="563" t="s">
        <v>25</v>
      </c>
      <c r="J1022" s="563" t="s">
        <v>25</v>
      </c>
      <c r="K1022" s="564" t="s">
        <v>25</v>
      </c>
      <c r="L1022" s="564" t="s">
        <v>25</v>
      </c>
      <c r="M1022" s="558"/>
      <c r="N1022" s="558"/>
      <c r="O1022" s="590"/>
      <c r="P1022" s="564" t="s">
        <v>25</v>
      </c>
      <c r="Q1022" s="564" t="s">
        <v>25</v>
      </c>
      <c r="R1022" s="566"/>
      <c r="S1022" s="589"/>
      <c r="T1022" s="591"/>
      <c r="U1022" s="589"/>
      <c r="V1022" s="564" t="s">
        <v>2899</v>
      </c>
      <c r="W1022" s="564" t="s">
        <v>25</v>
      </c>
      <c r="X1022" s="589"/>
      <c r="Y1022" s="592"/>
      <c r="Z1022" s="592"/>
      <c r="AA1022" s="568"/>
      <c r="AB1022" s="592"/>
      <c r="AC1022" s="592"/>
      <c r="AD1022" s="592"/>
      <c r="AE1022" s="590"/>
      <c r="AF1022" s="570" t="s">
        <v>2899</v>
      </c>
      <c r="AG1022" s="570" t="s">
        <v>25</v>
      </c>
      <c r="AH1022" s="571" t="s">
        <v>25</v>
      </c>
      <c r="AI1022" s="593"/>
      <c r="AJ1022" s="593"/>
    </row>
    <row r="1023" spans="1:36" s="376" customFormat="1" ht="20.25" outlineLevel="2" x14ac:dyDescent="0.3">
      <c r="A1023" s="447">
        <v>79</v>
      </c>
      <c r="B1023" s="572"/>
      <c r="C1023" s="572"/>
      <c r="D1023" s="612"/>
      <c r="E1023" s="612"/>
      <c r="F1023" s="586"/>
      <c r="G1023" s="588"/>
      <c r="H1023" s="546"/>
      <c r="I1023" s="563" t="s">
        <v>25</v>
      </c>
      <c r="J1023" s="563" t="s">
        <v>25</v>
      </c>
      <c r="K1023" s="564" t="s">
        <v>25</v>
      </c>
      <c r="L1023" s="564" t="s">
        <v>25</v>
      </c>
      <c r="M1023" s="572"/>
      <c r="N1023" s="572"/>
      <c r="O1023" s="689"/>
      <c r="P1023" s="564" t="s">
        <v>25</v>
      </c>
      <c r="Q1023" s="564" t="s">
        <v>25</v>
      </c>
      <c r="R1023" s="566"/>
      <c r="S1023" s="609"/>
      <c r="T1023" s="591"/>
      <c r="U1023" s="611"/>
      <c r="V1023" s="564" t="s">
        <v>2899</v>
      </c>
      <c r="W1023" s="564" t="s">
        <v>25</v>
      </c>
      <c r="X1023" s="589"/>
      <c r="Y1023" s="592"/>
      <c r="Z1023" s="592"/>
      <c r="AA1023" s="568"/>
      <c r="AB1023" s="592"/>
      <c r="AC1023" s="592"/>
      <c r="AD1023" s="592"/>
      <c r="AE1023" s="590"/>
      <c r="AF1023" s="570" t="s">
        <v>2899</v>
      </c>
      <c r="AG1023" s="570" t="s">
        <v>25</v>
      </c>
      <c r="AH1023" s="571" t="s">
        <v>25</v>
      </c>
      <c r="AI1023" s="593"/>
      <c r="AJ1023" s="593"/>
    </row>
    <row r="1024" spans="1:36" s="376" customFormat="1" ht="20.25" outlineLevel="2" x14ac:dyDescent="0.3">
      <c r="A1024" s="447">
        <v>79</v>
      </c>
      <c r="B1024" s="558"/>
      <c r="C1024" s="558"/>
      <c r="D1024" s="612"/>
      <c r="E1024" s="612"/>
      <c r="F1024" s="566"/>
      <c r="G1024" s="588"/>
      <c r="H1024" s="546"/>
      <c r="I1024" s="563" t="s">
        <v>25</v>
      </c>
      <c r="J1024" s="563" t="s">
        <v>25</v>
      </c>
      <c r="K1024" s="564" t="s">
        <v>25</v>
      </c>
      <c r="L1024" s="564" t="s">
        <v>25</v>
      </c>
      <c r="M1024" s="572"/>
      <c r="N1024" s="572"/>
      <c r="O1024" s="689"/>
      <c r="P1024" s="564" t="s">
        <v>25</v>
      </c>
      <c r="Q1024" s="564" t="s">
        <v>25</v>
      </c>
      <c r="R1024" s="566"/>
      <c r="S1024" s="609"/>
      <c r="T1024" s="591"/>
      <c r="U1024" s="611"/>
      <c r="V1024" s="564" t="s">
        <v>2899</v>
      </c>
      <c r="W1024" s="564" t="s">
        <v>25</v>
      </c>
      <c r="X1024" s="589"/>
      <c r="Y1024" s="592"/>
      <c r="Z1024" s="592"/>
      <c r="AA1024" s="568"/>
      <c r="AB1024" s="592"/>
      <c r="AC1024" s="592"/>
      <c r="AD1024" s="592"/>
      <c r="AE1024" s="590"/>
      <c r="AF1024" s="570" t="s">
        <v>2899</v>
      </c>
      <c r="AG1024" s="570" t="s">
        <v>25</v>
      </c>
      <c r="AH1024" s="571" t="s">
        <v>25</v>
      </c>
      <c r="AI1024" s="593"/>
      <c r="AJ1024" s="593"/>
    </row>
    <row r="1025" spans="1:36" s="376" customFormat="1" ht="20.25" outlineLevel="2" x14ac:dyDescent="0.3">
      <c r="A1025" s="447">
        <v>79</v>
      </c>
      <c r="B1025" s="574"/>
      <c r="C1025" s="574"/>
      <c r="D1025" s="595"/>
      <c r="E1025" s="577"/>
      <c r="F1025" s="586"/>
      <c r="G1025" s="588"/>
      <c r="H1025" s="546"/>
      <c r="I1025" s="563" t="s">
        <v>25</v>
      </c>
      <c r="J1025" s="563" t="s">
        <v>25</v>
      </c>
      <c r="K1025" s="564" t="s">
        <v>25</v>
      </c>
      <c r="L1025" s="564" t="s">
        <v>25</v>
      </c>
      <c r="M1025" s="572"/>
      <c r="N1025" s="572"/>
      <c r="O1025" s="689"/>
      <c r="P1025" s="564" t="s">
        <v>25</v>
      </c>
      <c r="Q1025" s="564" t="s">
        <v>25</v>
      </c>
      <c r="R1025" s="566"/>
      <c r="S1025" s="609"/>
      <c r="T1025" s="591"/>
      <c r="U1025" s="611"/>
      <c r="V1025" s="564" t="s">
        <v>2899</v>
      </c>
      <c r="W1025" s="564" t="s">
        <v>25</v>
      </c>
      <c r="X1025" s="589"/>
      <c r="Y1025" s="592"/>
      <c r="Z1025" s="592"/>
      <c r="AA1025" s="568"/>
      <c r="AB1025" s="592"/>
      <c r="AC1025" s="592"/>
      <c r="AD1025" s="592"/>
      <c r="AE1025" s="590"/>
      <c r="AF1025" s="570" t="s">
        <v>2899</v>
      </c>
      <c r="AG1025" s="570" t="s">
        <v>25</v>
      </c>
      <c r="AH1025" s="571" t="s">
        <v>25</v>
      </c>
      <c r="AI1025" s="593"/>
      <c r="AJ1025" s="593"/>
    </row>
    <row r="1026" spans="1:36" s="376" customFormat="1" ht="40.5" outlineLevel="1" x14ac:dyDescent="0.25">
      <c r="A1026" s="467">
        <v>80</v>
      </c>
      <c r="B1026" s="574" t="s">
        <v>49</v>
      </c>
      <c r="C1026" s="773" t="s">
        <v>2902</v>
      </c>
      <c r="D1026" s="587">
        <v>86</v>
      </c>
      <c r="E1026" s="560">
        <v>633</v>
      </c>
      <c r="F1026" s="574"/>
      <c r="G1026" s="618">
        <v>500.7</v>
      </c>
      <c r="H1026" s="579">
        <v>474.3</v>
      </c>
      <c r="I1026" s="581"/>
      <c r="J1026" s="581"/>
      <c r="K1026" s="571">
        <v>277588000</v>
      </c>
      <c r="L1026" s="571">
        <v>788856000</v>
      </c>
      <c r="M1026" s="574"/>
      <c r="N1026" s="574"/>
      <c r="O1026" s="599">
        <v>0</v>
      </c>
      <c r="P1026" s="571"/>
      <c r="Q1026" s="571">
        <v>0</v>
      </c>
      <c r="R1026" s="582"/>
      <c r="S1026" s="597"/>
      <c r="T1026" s="600">
        <v>128.64000000000001</v>
      </c>
      <c r="U1026" s="597"/>
      <c r="V1026" s="571"/>
      <c r="W1026" s="571">
        <v>67942000</v>
      </c>
      <c r="X1026" s="589"/>
      <c r="Y1026" s="592"/>
      <c r="Z1026" s="592"/>
      <c r="AA1026" s="568"/>
      <c r="AB1026" s="592"/>
      <c r="AC1026" s="592"/>
      <c r="AD1026" s="601"/>
      <c r="AE1026" s="599">
        <f>SUBTOTAL(9,AE1027:AE1040)</f>
        <v>0</v>
      </c>
      <c r="AF1026" s="585"/>
      <c r="AG1026" s="585">
        <v>0</v>
      </c>
      <c r="AH1026" s="571">
        <v>1134386000</v>
      </c>
      <c r="AI1026" s="574"/>
      <c r="AJ1026" s="578"/>
    </row>
    <row r="1027" spans="1:36" s="376" customFormat="1" ht="121.5" outlineLevel="2" x14ac:dyDescent="0.3">
      <c r="A1027" s="447">
        <v>80</v>
      </c>
      <c r="B1027" s="637" t="s">
        <v>281</v>
      </c>
      <c r="C1027" s="637"/>
      <c r="D1027" s="587"/>
      <c r="E1027" s="560"/>
      <c r="F1027" s="558" t="s">
        <v>2886</v>
      </c>
      <c r="G1027" s="588">
        <v>474.3</v>
      </c>
      <c r="H1027" s="546">
        <v>474.3</v>
      </c>
      <c r="I1027" s="563">
        <v>554400</v>
      </c>
      <c r="J1027" s="563">
        <v>1663200</v>
      </c>
      <c r="K1027" s="564">
        <v>262952000</v>
      </c>
      <c r="L1027" s="564">
        <v>788856000</v>
      </c>
      <c r="M1027" s="558"/>
      <c r="N1027" s="558"/>
      <c r="O1027" s="590"/>
      <c r="P1027" s="564" t="s">
        <v>25</v>
      </c>
      <c r="Q1027" s="564" t="s">
        <v>25</v>
      </c>
      <c r="R1027" s="566" t="s">
        <v>1884</v>
      </c>
      <c r="S1027" s="589" t="s">
        <v>53</v>
      </c>
      <c r="T1027" s="591">
        <v>26.4</v>
      </c>
      <c r="U1027" s="589"/>
      <c r="V1027" s="564">
        <v>984277</v>
      </c>
      <c r="W1027" s="564">
        <v>25985000</v>
      </c>
      <c r="X1027" s="589"/>
      <c r="Y1027" s="592" t="s">
        <v>55</v>
      </c>
      <c r="Z1027" s="592" t="s">
        <v>141</v>
      </c>
      <c r="AA1027" s="568" t="s">
        <v>171</v>
      </c>
      <c r="AB1027" s="592" t="s">
        <v>66</v>
      </c>
      <c r="AC1027" s="592"/>
      <c r="AD1027" s="592"/>
      <c r="AE1027" s="590"/>
      <c r="AF1027" s="570" t="s">
        <v>2899</v>
      </c>
      <c r="AG1027" s="570"/>
      <c r="AH1027" s="571" t="s">
        <v>25</v>
      </c>
      <c r="AI1027" s="558" t="s">
        <v>1719</v>
      </c>
      <c r="AJ1027" s="586" t="s">
        <v>2771</v>
      </c>
    </row>
    <row r="1028" spans="1:36" s="376" customFormat="1" ht="101.25" outlineLevel="2" x14ac:dyDescent="0.3">
      <c r="A1028" s="447">
        <v>80</v>
      </c>
      <c r="B1028" s="638" t="s">
        <v>714</v>
      </c>
      <c r="C1028" s="638"/>
      <c r="D1028" s="587"/>
      <c r="E1028" s="560"/>
      <c r="F1028" s="558" t="s">
        <v>2887</v>
      </c>
      <c r="G1028" s="588">
        <v>26.4</v>
      </c>
      <c r="H1028" s="546" t="s">
        <v>2899</v>
      </c>
      <c r="I1028" s="563">
        <v>554400</v>
      </c>
      <c r="J1028" s="563">
        <v>0</v>
      </c>
      <c r="K1028" s="564">
        <v>14636000</v>
      </c>
      <c r="L1028" s="564">
        <v>0</v>
      </c>
      <c r="M1028" s="638"/>
      <c r="N1028" s="638"/>
      <c r="O1028" s="590"/>
      <c r="P1028" s="564" t="s">
        <v>25</v>
      </c>
      <c r="Q1028" s="564" t="s">
        <v>25</v>
      </c>
      <c r="R1028" s="566" t="s">
        <v>1748</v>
      </c>
      <c r="S1028" s="639" t="s">
        <v>53</v>
      </c>
      <c r="T1028" s="591">
        <v>7.2</v>
      </c>
      <c r="U1028" s="589"/>
      <c r="V1028" s="564">
        <v>0</v>
      </c>
      <c r="W1028" s="564">
        <v>0</v>
      </c>
      <c r="X1028" s="589"/>
      <c r="Y1028" s="592"/>
      <c r="Z1028" s="592"/>
      <c r="AA1028" s="568"/>
      <c r="AB1028" s="592"/>
      <c r="AC1028" s="592"/>
      <c r="AD1028" s="592"/>
      <c r="AE1028" s="590"/>
      <c r="AF1028" s="570" t="s">
        <v>2899</v>
      </c>
      <c r="AG1028" s="570" t="s">
        <v>25</v>
      </c>
      <c r="AH1028" s="571" t="s">
        <v>25</v>
      </c>
      <c r="AI1028" s="558" t="s">
        <v>612</v>
      </c>
      <c r="AJ1028" s="605" t="s">
        <v>2448</v>
      </c>
    </row>
    <row r="1029" spans="1:36" s="376" customFormat="1" ht="121.5" outlineLevel="2" x14ac:dyDescent="0.3">
      <c r="A1029" s="447">
        <v>80</v>
      </c>
      <c r="B1029" s="637"/>
      <c r="C1029" s="637"/>
      <c r="D1029" s="612"/>
      <c r="E1029" s="612"/>
      <c r="F1029" s="558"/>
      <c r="G1029" s="588"/>
      <c r="H1029" s="546"/>
      <c r="I1029" s="563" t="s">
        <v>25</v>
      </c>
      <c r="J1029" s="563" t="s">
        <v>25</v>
      </c>
      <c r="K1029" s="564" t="s">
        <v>25</v>
      </c>
      <c r="L1029" s="564" t="s">
        <v>25</v>
      </c>
      <c r="M1029" s="638"/>
      <c r="N1029" s="638"/>
      <c r="O1029" s="590"/>
      <c r="P1029" s="564" t="s">
        <v>25</v>
      </c>
      <c r="Q1029" s="564" t="s">
        <v>25</v>
      </c>
      <c r="R1029" s="638" t="s">
        <v>1901</v>
      </c>
      <c r="S1029" s="639" t="s">
        <v>53</v>
      </c>
      <c r="T1029" s="591">
        <v>95.04</v>
      </c>
      <c r="U1029" s="589"/>
      <c r="V1029" s="564">
        <v>441467</v>
      </c>
      <c r="W1029" s="564">
        <v>41957000</v>
      </c>
      <c r="X1029" s="589"/>
      <c r="Y1029" s="592"/>
      <c r="Z1029" s="592"/>
      <c r="AA1029" s="568"/>
      <c r="AB1029" s="592"/>
      <c r="AC1029" s="592"/>
      <c r="AD1029" s="592"/>
      <c r="AE1029" s="590"/>
      <c r="AF1029" s="570" t="s">
        <v>2899</v>
      </c>
      <c r="AG1029" s="570" t="s">
        <v>25</v>
      </c>
      <c r="AH1029" s="571" t="s">
        <v>25</v>
      </c>
      <c r="AI1029" s="593" t="s">
        <v>398</v>
      </c>
      <c r="AJ1029" s="558" t="s">
        <v>2450</v>
      </c>
    </row>
    <row r="1030" spans="1:36" s="376" customFormat="1" ht="101.25" outlineLevel="2" x14ac:dyDescent="0.3">
      <c r="A1030" s="447">
        <v>80</v>
      </c>
      <c r="B1030" s="558"/>
      <c r="C1030" s="558"/>
      <c r="D1030" s="587"/>
      <c r="E1030" s="615"/>
      <c r="F1030" s="586"/>
      <c r="G1030" s="588"/>
      <c r="H1030" s="546"/>
      <c r="I1030" s="563" t="s">
        <v>25</v>
      </c>
      <c r="J1030" s="563" t="s">
        <v>25</v>
      </c>
      <c r="K1030" s="564" t="s">
        <v>25</v>
      </c>
      <c r="L1030" s="564" t="s">
        <v>25</v>
      </c>
      <c r="M1030" s="572"/>
      <c r="N1030" s="572"/>
      <c r="O1030" s="689"/>
      <c r="P1030" s="564" t="s">
        <v>25</v>
      </c>
      <c r="Q1030" s="564" t="s">
        <v>25</v>
      </c>
      <c r="R1030" s="566"/>
      <c r="S1030" s="609"/>
      <c r="T1030" s="591"/>
      <c r="U1030" s="611"/>
      <c r="V1030" s="564" t="s">
        <v>2899</v>
      </c>
      <c r="W1030" s="564" t="s">
        <v>25</v>
      </c>
      <c r="X1030" s="589"/>
      <c r="Y1030" s="592"/>
      <c r="Z1030" s="592"/>
      <c r="AA1030" s="568"/>
      <c r="AB1030" s="592"/>
      <c r="AC1030" s="592"/>
      <c r="AD1030" s="592"/>
      <c r="AE1030" s="590"/>
      <c r="AF1030" s="570" t="s">
        <v>2899</v>
      </c>
      <c r="AG1030" s="570" t="s">
        <v>25</v>
      </c>
      <c r="AH1030" s="571" t="s">
        <v>25</v>
      </c>
      <c r="AI1030" s="558" t="s">
        <v>2074</v>
      </c>
      <c r="AJ1030" s="558" t="s">
        <v>2800</v>
      </c>
    </row>
    <row r="1031" spans="1:36" s="376" customFormat="1" ht="20.25" outlineLevel="2" x14ac:dyDescent="0.3">
      <c r="A1031" s="447">
        <v>80</v>
      </c>
      <c r="B1031" s="558"/>
      <c r="C1031" s="558"/>
      <c r="D1031" s="612"/>
      <c r="E1031" s="612"/>
      <c r="F1031" s="558"/>
      <c r="G1031" s="604"/>
      <c r="H1031" s="546"/>
      <c r="I1031" s="563" t="s">
        <v>25</v>
      </c>
      <c r="J1031" s="563" t="s">
        <v>25</v>
      </c>
      <c r="K1031" s="564" t="s">
        <v>25</v>
      </c>
      <c r="L1031" s="564" t="s">
        <v>25</v>
      </c>
      <c r="M1031" s="593"/>
      <c r="N1031" s="593"/>
      <c r="O1031" s="616"/>
      <c r="P1031" s="564" t="s">
        <v>25</v>
      </c>
      <c r="Q1031" s="564" t="s">
        <v>25</v>
      </c>
      <c r="R1031" s="593"/>
      <c r="S1031" s="593"/>
      <c r="T1031" s="617"/>
      <c r="U1031" s="589"/>
      <c r="V1031" s="564" t="s">
        <v>2899</v>
      </c>
      <c r="W1031" s="564" t="s">
        <v>25</v>
      </c>
      <c r="X1031" s="589"/>
      <c r="Y1031" s="589"/>
      <c r="Z1031" s="589"/>
      <c r="AA1031" s="562"/>
      <c r="AB1031" s="589"/>
      <c r="AC1031" s="589"/>
      <c r="AD1031" s="589"/>
      <c r="AE1031" s="629"/>
      <c r="AF1031" s="570" t="s">
        <v>2899</v>
      </c>
      <c r="AG1031" s="570" t="s">
        <v>25</v>
      </c>
      <c r="AH1031" s="571" t="s">
        <v>25</v>
      </c>
      <c r="AI1031" s="575"/>
      <c r="AJ1031" s="593"/>
    </row>
    <row r="1032" spans="1:36" s="376" customFormat="1" ht="20.25" outlineLevel="2" x14ac:dyDescent="0.3">
      <c r="A1032" s="447">
        <v>80</v>
      </c>
      <c r="B1032" s="558"/>
      <c r="C1032" s="558"/>
      <c r="D1032" s="612"/>
      <c r="E1032" s="612"/>
      <c r="F1032" s="586"/>
      <c r="G1032" s="588"/>
      <c r="H1032" s="546"/>
      <c r="I1032" s="563" t="s">
        <v>25</v>
      </c>
      <c r="J1032" s="563" t="s">
        <v>25</v>
      </c>
      <c r="K1032" s="564" t="s">
        <v>25</v>
      </c>
      <c r="L1032" s="564" t="s">
        <v>25</v>
      </c>
      <c r="M1032" s="572"/>
      <c r="N1032" s="572"/>
      <c r="O1032" s="689"/>
      <c r="P1032" s="564" t="s">
        <v>25</v>
      </c>
      <c r="Q1032" s="564" t="s">
        <v>25</v>
      </c>
      <c r="R1032" s="566"/>
      <c r="S1032" s="609"/>
      <c r="T1032" s="591"/>
      <c r="U1032" s="611"/>
      <c r="V1032" s="564" t="s">
        <v>2899</v>
      </c>
      <c r="W1032" s="564" t="s">
        <v>25</v>
      </c>
      <c r="X1032" s="589"/>
      <c r="Y1032" s="592"/>
      <c r="Z1032" s="592"/>
      <c r="AA1032" s="568"/>
      <c r="AB1032" s="592"/>
      <c r="AC1032" s="592"/>
      <c r="AD1032" s="592"/>
      <c r="AE1032" s="590"/>
      <c r="AF1032" s="570" t="s">
        <v>2899</v>
      </c>
      <c r="AG1032" s="570" t="s">
        <v>25</v>
      </c>
      <c r="AH1032" s="571" t="s">
        <v>25</v>
      </c>
      <c r="AI1032" s="593"/>
      <c r="AJ1032" s="593"/>
    </row>
    <row r="1033" spans="1:36" s="376" customFormat="1" ht="20.25" outlineLevel="2" x14ac:dyDescent="0.3">
      <c r="A1033" s="447">
        <v>80</v>
      </c>
      <c r="B1033" s="558"/>
      <c r="C1033" s="558"/>
      <c r="D1033" s="612"/>
      <c r="E1033" s="612"/>
      <c r="F1033" s="586"/>
      <c r="G1033" s="588"/>
      <c r="H1033" s="546"/>
      <c r="I1033" s="563" t="s">
        <v>25</v>
      </c>
      <c r="J1033" s="563" t="s">
        <v>25</v>
      </c>
      <c r="K1033" s="564" t="s">
        <v>25</v>
      </c>
      <c r="L1033" s="564" t="s">
        <v>25</v>
      </c>
      <c r="M1033" s="572"/>
      <c r="N1033" s="572"/>
      <c r="O1033" s="689"/>
      <c r="P1033" s="564" t="s">
        <v>25</v>
      </c>
      <c r="Q1033" s="564" t="s">
        <v>25</v>
      </c>
      <c r="R1033" s="566"/>
      <c r="S1033" s="609"/>
      <c r="T1033" s="591"/>
      <c r="U1033" s="611"/>
      <c r="V1033" s="564" t="s">
        <v>2899</v>
      </c>
      <c r="W1033" s="564" t="s">
        <v>25</v>
      </c>
      <c r="X1033" s="589"/>
      <c r="Y1033" s="592"/>
      <c r="Z1033" s="592"/>
      <c r="AA1033" s="568"/>
      <c r="AB1033" s="592"/>
      <c r="AC1033" s="592"/>
      <c r="AD1033" s="592"/>
      <c r="AE1033" s="590"/>
      <c r="AF1033" s="570" t="s">
        <v>2899</v>
      </c>
      <c r="AG1033" s="570" t="s">
        <v>25</v>
      </c>
      <c r="AH1033" s="571" t="s">
        <v>25</v>
      </c>
      <c r="AI1033" s="593"/>
      <c r="AJ1033" s="593"/>
    </row>
    <row r="1034" spans="1:36" s="376" customFormat="1" ht="20.25" outlineLevel="2" x14ac:dyDescent="0.3">
      <c r="A1034" s="447">
        <v>80</v>
      </c>
      <c r="B1034" s="558"/>
      <c r="C1034" s="558"/>
      <c r="D1034" s="587"/>
      <c r="E1034" s="560"/>
      <c r="F1034" s="586"/>
      <c r="G1034" s="588"/>
      <c r="H1034" s="546"/>
      <c r="I1034" s="563" t="s">
        <v>25</v>
      </c>
      <c r="J1034" s="563" t="s">
        <v>25</v>
      </c>
      <c r="K1034" s="564" t="s">
        <v>25</v>
      </c>
      <c r="L1034" s="564" t="s">
        <v>25</v>
      </c>
      <c r="M1034" s="572"/>
      <c r="N1034" s="572"/>
      <c r="O1034" s="689"/>
      <c r="P1034" s="564" t="s">
        <v>25</v>
      </c>
      <c r="Q1034" s="564" t="s">
        <v>25</v>
      </c>
      <c r="R1034" s="566"/>
      <c r="S1034" s="609"/>
      <c r="T1034" s="591"/>
      <c r="U1034" s="611"/>
      <c r="V1034" s="564" t="s">
        <v>2899</v>
      </c>
      <c r="W1034" s="564" t="s">
        <v>25</v>
      </c>
      <c r="X1034" s="589"/>
      <c r="Y1034" s="592"/>
      <c r="Z1034" s="592"/>
      <c r="AA1034" s="568"/>
      <c r="AB1034" s="592"/>
      <c r="AC1034" s="592"/>
      <c r="AD1034" s="592"/>
      <c r="AE1034" s="590"/>
      <c r="AF1034" s="570" t="s">
        <v>2899</v>
      </c>
      <c r="AG1034" s="570" t="s">
        <v>25</v>
      </c>
      <c r="AH1034" s="571" t="s">
        <v>25</v>
      </c>
      <c r="AI1034" s="593"/>
      <c r="AJ1034" s="593"/>
    </row>
    <row r="1035" spans="1:36" s="376" customFormat="1" ht="20.25" outlineLevel="2" x14ac:dyDescent="0.3">
      <c r="A1035" s="447">
        <v>80</v>
      </c>
      <c r="B1035" s="607"/>
      <c r="C1035" s="607"/>
      <c r="D1035" s="587"/>
      <c r="E1035" s="560"/>
      <c r="F1035" s="558"/>
      <c r="G1035" s="588"/>
      <c r="H1035" s="546"/>
      <c r="I1035" s="563" t="s">
        <v>25</v>
      </c>
      <c r="J1035" s="563" t="s">
        <v>25</v>
      </c>
      <c r="K1035" s="564" t="s">
        <v>25</v>
      </c>
      <c r="L1035" s="564" t="s">
        <v>25</v>
      </c>
      <c r="M1035" s="558"/>
      <c r="N1035" s="558"/>
      <c r="O1035" s="590"/>
      <c r="P1035" s="564" t="s">
        <v>25</v>
      </c>
      <c r="Q1035" s="564" t="s">
        <v>25</v>
      </c>
      <c r="R1035" s="566"/>
      <c r="S1035" s="589"/>
      <c r="T1035" s="591"/>
      <c r="U1035" s="589"/>
      <c r="V1035" s="564" t="s">
        <v>2899</v>
      </c>
      <c r="W1035" s="564" t="s">
        <v>25</v>
      </c>
      <c r="X1035" s="589"/>
      <c r="Y1035" s="592"/>
      <c r="Z1035" s="592"/>
      <c r="AA1035" s="568"/>
      <c r="AB1035" s="592"/>
      <c r="AC1035" s="592"/>
      <c r="AD1035" s="592"/>
      <c r="AE1035" s="590"/>
      <c r="AF1035" s="570" t="s">
        <v>2899</v>
      </c>
      <c r="AG1035" s="570" t="s">
        <v>25</v>
      </c>
      <c r="AH1035" s="571" t="s">
        <v>25</v>
      </c>
      <c r="AI1035" s="593"/>
      <c r="AJ1035" s="593"/>
    </row>
    <row r="1036" spans="1:36" s="376" customFormat="1" ht="20.25" outlineLevel="2" x14ac:dyDescent="0.3">
      <c r="A1036" s="447">
        <v>80</v>
      </c>
      <c r="B1036" s="572"/>
      <c r="C1036" s="572"/>
      <c r="D1036" s="612"/>
      <c r="E1036" s="612"/>
      <c r="F1036" s="558"/>
      <c r="G1036" s="588"/>
      <c r="H1036" s="546"/>
      <c r="I1036" s="563" t="s">
        <v>25</v>
      </c>
      <c r="J1036" s="563" t="s">
        <v>25</v>
      </c>
      <c r="K1036" s="564" t="s">
        <v>25</v>
      </c>
      <c r="L1036" s="564" t="s">
        <v>25</v>
      </c>
      <c r="M1036" s="558"/>
      <c r="N1036" s="558"/>
      <c r="O1036" s="590"/>
      <c r="P1036" s="564" t="s">
        <v>25</v>
      </c>
      <c r="Q1036" s="564" t="s">
        <v>25</v>
      </c>
      <c r="R1036" s="566"/>
      <c r="S1036" s="589"/>
      <c r="T1036" s="591"/>
      <c r="U1036" s="589"/>
      <c r="V1036" s="564" t="s">
        <v>2899</v>
      </c>
      <c r="W1036" s="564" t="s">
        <v>25</v>
      </c>
      <c r="X1036" s="589"/>
      <c r="Y1036" s="592"/>
      <c r="Z1036" s="592"/>
      <c r="AA1036" s="568"/>
      <c r="AB1036" s="592"/>
      <c r="AC1036" s="592"/>
      <c r="AD1036" s="592"/>
      <c r="AE1036" s="590"/>
      <c r="AF1036" s="570" t="s">
        <v>2899</v>
      </c>
      <c r="AG1036" s="570" t="s">
        <v>25</v>
      </c>
      <c r="AH1036" s="571" t="s">
        <v>25</v>
      </c>
      <c r="AI1036" s="593"/>
      <c r="AJ1036" s="593"/>
    </row>
    <row r="1037" spans="1:36" s="376" customFormat="1" ht="20.25" outlineLevel="2" x14ac:dyDescent="0.3">
      <c r="A1037" s="447">
        <v>80</v>
      </c>
      <c r="B1037" s="572"/>
      <c r="C1037" s="572"/>
      <c r="D1037" s="587"/>
      <c r="E1037" s="560"/>
      <c r="F1037" s="586"/>
      <c r="G1037" s="588"/>
      <c r="H1037" s="546"/>
      <c r="I1037" s="563" t="s">
        <v>25</v>
      </c>
      <c r="J1037" s="563" t="s">
        <v>25</v>
      </c>
      <c r="K1037" s="564" t="s">
        <v>25</v>
      </c>
      <c r="L1037" s="564" t="s">
        <v>25</v>
      </c>
      <c r="M1037" s="572"/>
      <c r="N1037" s="572"/>
      <c r="O1037" s="689"/>
      <c r="P1037" s="564" t="s">
        <v>25</v>
      </c>
      <c r="Q1037" s="564" t="s">
        <v>25</v>
      </c>
      <c r="R1037" s="566"/>
      <c r="S1037" s="609"/>
      <c r="T1037" s="591"/>
      <c r="U1037" s="589"/>
      <c r="V1037" s="564" t="s">
        <v>2899</v>
      </c>
      <c r="W1037" s="564" t="s">
        <v>25</v>
      </c>
      <c r="X1037" s="589"/>
      <c r="Y1037" s="592"/>
      <c r="Z1037" s="592"/>
      <c r="AA1037" s="568"/>
      <c r="AB1037" s="592"/>
      <c r="AC1037" s="592"/>
      <c r="AD1037" s="592"/>
      <c r="AE1037" s="590"/>
      <c r="AF1037" s="570" t="s">
        <v>2899</v>
      </c>
      <c r="AG1037" s="570" t="s">
        <v>25</v>
      </c>
      <c r="AH1037" s="571" t="s">
        <v>25</v>
      </c>
      <c r="AI1037" s="593"/>
      <c r="AJ1037" s="593"/>
    </row>
    <row r="1038" spans="1:36" s="376" customFormat="1" ht="20.25" outlineLevel="2" x14ac:dyDescent="0.3">
      <c r="A1038" s="447">
        <v>80</v>
      </c>
      <c r="B1038" s="558"/>
      <c r="C1038" s="558"/>
      <c r="D1038" s="587"/>
      <c r="E1038" s="560"/>
      <c r="F1038" s="586"/>
      <c r="G1038" s="588"/>
      <c r="H1038" s="546"/>
      <c r="I1038" s="563" t="s">
        <v>25</v>
      </c>
      <c r="J1038" s="563" t="s">
        <v>25</v>
      </c>
      <c r="K1038" s="564" t="s">
        <v>25</v>
      </c>
      <c r="L1038" s="564" t="s">
        <v>25</v>
      </c>
      <c r="M1038" s="572"/>
      <c r="N1038" s="572"/>
      <c r="O1038" s="689"/>
      <c r="P1038" s="564" t="s">
        <v>25</v>
      </c>
      <c r="Q1038" s="564" t="s">
        <v>25</v>
      </c>
      <c r="R1038" s="566"/>
      <c r="S1038" s="609"/>
      <c r="T1038" s="591"/>
      <c r="U1038" s="589"/>
      <c r="V1038" s="564" t="s">
        <v>2899</v>
      </c>
      <c r="W1038" s="564" t="s">
        <v>25</v>
      </c>
      <c r="X1038" s="589"/>
      <c r="Y1038" s="592"/>
      <c r="Z1038" s="592"/>
      <c r="AA1038" s="568"/>
      <c r="AB1038" s="592"/>
      <c r="AC1038" s="592"/>
      <c r="AD1038" s="592"/>
      <c r="AE1038" s="590"/>
      <c r="AF1038" s="570" t="s">
        <v>2899</v>
      </c>
      <c r="AG1038" s="570" t="s">
        <v>25</v>
      </c>
      <c r="AH1038" s="571" t="s">
        <v>25</v>
      </c>
      <c r="AI1038" s="593"/>
      <c r="AJ1038" s="593"/>
    </row>
    <row r="1039" spans="1:36" s="376" customFormat="1" ht="20.25" outlineLevel="2" x14ac:dyDescent="0.3">
      <c r="A1039" s="447">
        <v>80</v>
      </c>
      <c r="B1039" s="558"/>
      <c r="C1039" s="558"/>
      <c r="D1039" s="587"/>
      <c r="E1039" s="560"/>
      <c r="F1039" s="586"/>
      <c r="G1039" s="588"/>
      <c r="H1039" s="546"/>
      <c r="I1039" s="563" t="s">
        <v>25</v>
      </c>
      <c r="J1039" s="563" t="s">
        <v>25</v>
      </c>
      <c r="K1039" s="564" t="s">
        <v>25</v>
      </c>
      <c r="L1039" s="564" t="s">
        <v>25</v>
      </c>
      <c r="M1039" s="572"/>
      <c r="N1039" s="572"/>
      <c r="O1039" s="689"/>
      <c r="P1039" s="564" t="s">
        <v>25</v>
      </c>
      <c r="Q1039" s="564" t="s">
        <v>25</v>
      </c>
      <c r="R1039" s="572"/>
      <c r="S1039" s="609"/>
      <c r="T1039" s="591"/>
      <c r="U1039" s="589"/>
      <c r="V1039" s="564" t="s">
        <v>2899</v>
      </c>
      <c r="W1039" s="564" t="s">
        <v>25</v>
      </c>
      <c r="X1039" s="609"/>
      <c r="Y1039" s="609"/>
      <c r="Z1039" s="609"/>
      <c r="AA1039" s="609"/>
      <c r="AB1039" s="609"/>
      <c r="AC1039" s="592"/>
      <c r="AD1039" s="592"/>
      <c r="AE1039" s="590"/>
      <c r="AF1039" s="570" t="s">
        <v>2899</v>
      </c>
      <c r="AG1039" s="570" t="s">
        <v>25</v>
      </c>
      <c r="AH1039" s="571" t="s">
        <v>25</v>
      </c>
      <c r="AI1039" s="593"/>
      <c r="AJ1039" s="593"/>
    </row>
    <row r="1040" spans="1:36" s="376" customFormat="1" ht="20.25" outlineLevel="2" x14ac:dyDescent="0.3">
      <c r="A1040" s="447">
        <v>80</v>
      </c>
      <c r="B1040" s="574"/>
      <c r="C1040" s="574"/>
      <c r="D1040" s="595"/>
      <c r="E1040" s="577"/>
      <c r="F1040" s="586"/>
      <c r="G1040" s="588"/>
      <c r="H1040" s="546"/>
      <c r="I1040" s="563" t="s">
        <v>25</v>
      </c>
      <c r="J1040" s="563" t="s">
        <v>25</v>
      </c>
      <c r="K1040" s="564" t="s">
        <v>25</v>
      </c>
      <c r="L1040" s="564" t="s">
        <v>25</v>
      </c>
      <c r="M1040" s="572"/>
      <c r="N1040" s="572"/>
      <c r="O1040" s="689"/>
      <c r="P1040" s="564" t="s">
        <v>25</v>
      </c>
      <c r="Q1040" s="564" t="s">
        <v>25</v>
      </c>
      <c r="R1040" s="572"/>
      <c r="S1040" s="609"/>
      <c r="T1040" s="591"/>
      <c r="U1040" s="611"/>
      <c r="V1040" s="564" t="s">
        <v>2899</v>
      </c>
      <c r="W1040" s="564" t="s">
        <v>25</v>
      </c>
      <c r="X1040" s="609"/>
      <c r="Y1040" s="609"/>
      <c r="Z1040" s="609"/>
      <c r="AA1040" s="609"/>
      <c r="AB1040" s="609"/>
      <c r="AC1040" s="592"/>
      <c r="AD1040" s="592"/>
      <c r="AE1040" s="590"/>
      <c r="AF1040" s="570" t="s">
        <v>2899</v>
      </c>
      <c r="AG1040" s="570" t="s">
        <v>25</v>
      </c>
      <c r="AH1040" s="571" t="s">
        <v>25</v>
      </c>
      <c r="AI1040" s="593"/>
      <c r="AJ1040" s="593"/>
    </row>
    <row r="1041" spans="1:38" s="376" customFormat="1" ht="40.5" outlineLevel="1" x14ac:dyDescent="0.25">
      <c r="A1041" s="467">
        <v>81</v>
      </c>
      <c r="B1041" s="574" t="s">
        <v>50</v>
      </c>
      <c r="C1041" s="773" t="s">
        <v>2902</v>
      </c>
      <c r="D1041" s="587">
        <v>86</v>
      </c>
      <c r="E1041" s="560">
        <v>71</v>
      </c>
      <c r="F1041" s="574"/>
      <c r="G1041" s="618">
        <v>228.8</v>
      </c>
      <c r="H1041" s="579">
        <v>228.8</v>
      </c>
      <c r="I1041" s="581"/>
      <c r="J1041" s="581"/>
      <c r="K1041" s="571">
        <v>126847000</v>
      </c>
      <c r="L1041" s="571">
        <v>380540000</v>
      </c>
      <c r="M1041" s="673"/>
      <c r="N1041" s="673"/>
      <c r="O1041" s="599">
        <v>964</v>
      </c>
      <c r="P1041" s="571"/>
      <c r="Q1041" s="571">
        <v>53612000</v>
      </c>
      <c r="R1041" s="673"/>
      <c r="S1041" s="674"/>
      <c r="T1041" s="600">
        <v>41.1</v>
      </c>
      <c r="U1041" s="597"/>
      <c r="V1041" s="571"/>
      <c r="W1041" s="571">
        <v>12888000</v>
      </c>
      <c r="X1041" s="589"/>
      <c r="Y1041" s="592"/>
      <c r="Z1041" s="592"/>
      <c r="AA1041" s="568"/>
      <c r="AB1041" s="592"/>
      <c r="AC1041" s="592"/>
      <c r="AD1041" s="601"/>
      <c r="AE1041" s="599">
        <f>SUBTOTAL(9,AE1042:AE1057)</f>
        <v>0</v>
      </c>
      <c r="AF1041" s="585"/>
      <c r="AG1041" s="585">
        <v>0</v>
      </c>
      <c r="AH1041" s="571">
        <v>573887000</v>
      </c>
      <c r="AI1041" s="574"/>
      <c r="AJ1041" s="578"/>
      <c r="AL1041" s="473"/>
    </row>
    <row r="1042" spans="1:38" s="376" customFormat="1" ht="121.5" outlineLevel="2" x14ac:dyDescent="0.3">
      <c r="A1042" s="447">
        <v>81</v>
      </c>
      <c r="B1042" s="558" t="s">
        <v>112</v>
      </c>
      <c r="C1042" s="558"/>
      <c r="D1042" s="587"/>
      <c r="E1042" s="560"/>
      <c r="F1042" s="558" t="s">
        <v>2886</v>
      </c>
      <c r="G1042" s="588">
        <v>224</v>
      </c>
      <c r="H1042" s="546">
        <v>224</v>
      </c>
      <c r="I1042" s="563">
        <v>554400</v>
      </c>
      <c r="J1042" s="563">
        <v>1663200</v>
      </c>
      <c r="K1042" s="564">
        <v>124186000</v>
      </c>
      <c r="L1042" s="564">
        <v>372557000</v>
      </c>
      <c r="M1042" s="638" t="s">
        <v>187</v>
      </c>
      <c r="N1042" s="638"/>
      <c r="O1042" s="590">
        <v>12</v>
      </c>
      <c r="P1042" s="564">
        <v>120000</v>
      </c>
      <c r="Q1042" s="564">
        <v>1440000</v>
      </c>
      <c r="R1042" s="638" t="s">
        <v>1749</v>
      </c>
      <c r="S1042" s="639" t="s">
        <v>53</v>
      </c>
      <c r="T1042" s="591">
        <v>37.1</v>
      </c>
      <c r="U1042" s="589"/>
      <c r="V1042" s="564">
        <v>211811</v>
      </c>
      <c r="W1042" s="564">
        <v>7858000</v>
      </c>
      <c r="X1042" s="589"/>
      <c r="Y1042" s="592"/>
      <c r="Z1042" s="592"/>
      <c r="AA1042" s="568"/>
      <c r="AB1042" s="592"/>
      <c r="AC1042" s="592"/>
      <c r="AD1042" s="592"/>
      <c r="AE1042" s="590"/>
      <c r="AF1042" s="570" t="s">
        <v>2899</v>
      </c>
      <c r="AG1042" s="570" t="s">
        <v>25</v>
      </c>
      <c r="AH1042" s="571" t="s">
        <v>25</v>
      </c>
      <c r="AI1042" s="558" t="s">
        <v>715</v>
      </c>
      <c r="AJ1042" s="586" t="s">
        <v>2771</v>
      </c>
      <c r="AL1042" s="378" t="s">
        <v>2156</v>
      </c>
    </row>
    <row r="1043" spans="1:38" s="376" customFormat="1" ht="101.25" outlineLevel="2" x14ac:dyDescent="0.3">
      <c r="A1043" s="447">
        <v>81</v>
      </c>
      <c r="B1043" s="558" t="s">
        <v>642</v>
      </c>
      <c r="C1043" s="558"/>
      <c r="D1043" s="587"/>
      <c r="E1043" s="560"/>
      <c r="F1043" s="558" t="s">
        <v>2881</v>
      </c>
      <c r="G1043" s="588">
        <v>4.8</v>
      </c>
      <c r="H1043" s="546">
        <v>4.8</v>
      </c>
      <c r="I1043" s="563">
        <v>554400</v>
      </c>
      <c r="J1043" s="563">
        <v>1663200</v>
      </c>
      <c r="K1043" s="564">
        <v>2661000</v>
      </c>
      <c r="L1043" s="564">
        <v>7983000</v>
      </c>
      <c r="M1043" s="638" t="s">
        <v>350</v>
      </c>
      <c r="N1043" s="638"/>
      <c r="O1043" s="590">
        <v>115</v>
      </c>
      <c r="P1043" s="564">
        <v>72000</v>
      </c>
      <c r="Q1043" s="564">
        <v>8280000</v>
      </c>
      <c r="R1043" s="638" t="s">
        <v>2348</v>
      </c>
      <c r="S1043" s="639" t="s">
        <v>101</v>
      </c>
      <c r="T1043" s="591">
        <v>4</v>
      </c>
      <c r="U1043" s="589"/>
      <c r="V1043" s="564">
        <v>1257396</v>
      </c>
      <c r="W1043" s="564">
        <v>5030000</v>
      </c>
      <c r="X1043" s="589"/>
      <c r="Y1043" s="592"/>
      <c r="Z1043" s="592"/>
      <c r="AA1043" s="568"/>
      <c r="AB1043" s="592"/>
      <c r="AC1043" s="592"/>
      <c r="AD1043" s="592"/>
      <c r="AE1043" s="590"/>
      <c r="AF1043" s="570" t="s">
        <v>2899</v>
      </c>
      <c r="AG1043" s="570" t="s">
        <v>25</v>
      </c>
      <c r="AH1043" s="571" t="s">
        <v>25</v>
      </c>
      <c r="AI1043" s="558" t="s">
        <v>614</v>
      </c>
      <c r="AJ1043" s="605" t="s">
        <v>2448</v>
      </c>
    </row>
    <row r="1044" spans="1:38" s="376" customFormat="1" ht="121.5" outlineLevel="2" x14ac:dyDescent="0.3">
      <c r="A1044" s="447">
        <v>81</v>
      </c>
      <c r="B1044" s="558"/>
      <c r="C1044" s="558"/>
      <c r="D1044" s="587"/>
      <c r="E1044" s="560"/>
      <c r="F1044" s="558"/>
      <c r="G1044" s="588"/>
      <c r="H1044" s="546"/>
      <c r="I1044" s="563" t="s">
        <v>25</v>
      </c>
      <c r="J1044" s="563" t="s">
        <v>25</v>
      </c>
      <c r="K1044" s="564" t="s">
        <v>25</v>
      </c>
      <c r="L1044" s="564" t="s">
        <v>25</v>
      </c>
      <c r="M1044" s="638" t="s">
        <v>785</v>
      </c>
      <c r="N1044" s="638"/>
      <c r="O1044" s="590">
        <v>486</v>
      </c>
      <c r="P1044" s="564">
        <v>6000</v>
      </c>
      <c r="Q1044" s="564">
        <v>2916000</v>
      </c>
      <c r="R1044" s="638"/>
      <c r="S1044" s="639"/>
      <c r="T1044" s="591"/>
      <c r="U1044" s="589"/>
      <c r="V1044" s="564" t="s">
        <v>2899</v>
      </c>
      <c r="W1044" s="564" t="s">
        <v>25</v>
      </c>
      <c r="X1044" s="589"/>
      <c r="Y1044" s="592"/>
      <c r="Z1044" s="592"/>
      <c r="AA1044" s="568"/>
      <c r="AB1044" s="592"/>
      <c r="AC1044" s="592"/>
      <c r="AD1044" s="592"/>
      <c r="AE1044" s="590"/>
      <c r="AF1044" s="570" t="s">
        <v>2899</v>
      </c>
      <c r="AG1044" s="570" t="s">
        <v>25</v>
      </c>
      <c r="AH1044" s="571" t="s">
        <v>25</v>
      </c>
      <c r="AI1044" s="558" t="s">
        <v>716</v>
      </c>
      <c r="AJ1044" s="558" t="s">
        <v>2450</v>
      </c>
    </row>
    <row r="1045" spans="1:38" s="376" customFormat="1" ht="101.25" outlineLevel="2" x14ac:dyDescent="0.3">
      <c r="A1045" s="447">
        <v>81</v>
      </c>
      <c r="B1045" s="558"/>
      <c r="C1045" s="558"/>
      <c r="D1045" s="587"/>
      <c r="E1045" s="560"/>
      <c r="F1045" s="558"/>
      <c r="G1045" s="588"/>
      <c r="H1045" s="546"/>
      <c r="I1045" s="563" t="s">
        <v>25</v>
      </c>
      <c r="J1045" s="563" t="s">
        <v>25</v>
      </c>
      <c r="K1045" s="564" t="s">
        <v>25</v>
      </c>
      <c r="L1045" s="564" t="s">
        <v>25</v>
      </c>
      <c r="M1045" s="638" t="s">
        <v>401</v>
      </c>
      <c r="N1045" s="638"/>
      <c r="O1045" s="590">
        <v>65</v>
      </c>
      <c r="P1045" s="564">
        <v>80000</v>
      </c>
      <c r="Q1045" s="564">
        <v>5200000</v>
      </c>
      <c r="R1045" s="638"/>
      <c r="S1045" s="639"/>
      <c r="T1045" s="591"/>
      <c r="U1045" s="589"/>
      <c r="V1045" s="564" t="s">
        <v>2899</v>
      </c>
      <c r="W1045" s="564" t="s">
        <v>25</v>
      </c>
      <c r="X1045" s="589"/>
      <c r="Y1045" s="592"/>
      <c r="Z1045" s="592"/>
      <c r="AA1045" s="568"/>
      <c r="AB1045" s="592"/>
      <c r="AC1045" s="592"/>
      <c r="AD1045" s="592"/>
      <c r="AE1045" s="590"/>
      <c r="AF1045" s="570" t="s">
        <v>2899</v>
      </c>
      <c r="AG1045" s="570" t="s">
        <v>25</v>
      </c>
      <c r="AH1045" s="571" t="s">
        <v>25</v>
      </c>
      <c r="AI1045" s="558" t="s">
        <v>2074</v>
      </c>
      <c r="AJ1045" s="558" t="s">
        <v>2449</v>
      </c>
    </row>
    <row r="1046" spans="1:38" s="376" customFormat="1" ht="101.25" outlineLevel="2" x14ac:dyDescent="0.3">
      <c r="A1046" s="447">
        <v>81</v>
      </c>
      <c r="B1046" s="558"/>
      <c r="C1046" s="558"/>
      <c r="D1046" s="587"/>
      <c r="E1046" s="560"/>
      <c r="F1046" s="558"/>
      <c r="G1046" s="588"/>
      <c r="H1046" s="546"/>
      <c r="I1046" s="563" t="s">
        <v>25</v>
      </c>
      <c r="J1046" s="563" t="s">
        <v>25</v>
      </c>
      <c r="K1046" s="564" t="s">
        <v>25</v>
      </c>
      <c r="L1046" s="564" t="s">
        <v>25</v>
      </c>
      <c r="M1046" s="638" t="s">
        <v>72</v>
      </c>
      <c r="N1046" s="638"/>
      <c r="O1046" s="590">
        <v>125</v>
      </c>
      <c r="P1046" s="564">
        <v>132000</v>
      </c>
      <c r="Q1046" s="564">
        <v>16500000</v>
      </c>
      <c r="R1046" s="638"/>
      <c r="S1046" s="639"/>
      <c r="T1046" s="591"/>
      <c r="U1046" s="589"/>
      <c r="V1046" s="564" t="s">
        <v>2899</v>
      </c>
      <c r="W1046" s="564" t="s">
        <v>25</v>
      </c>
      <c r="X1046" s="589"/>
      <c r="Y1046" s="592"/>
      <c r="Z1046" s="592"/>
      <c r="AA1046" s="568"/>
      <c r="AB1046" s="592"/>
      <c r="AC1046" s="592"/>
      <c r="AD1046" s="592"/>
      <c r="AE1046" s="590"/>
      <c r="AF1046" s="570" t="s">
        <v>2899</v>
      </c>
      <c r="AG1046" s="570" t="s">
        <v>25</v>
      </c>
      <c r="AH1046" s="571" t="s">
        <v>25</v>
      </c>
      <c r="AI1046" s="575"/>
      <c r="AJ1046" s="558" t="s">
        <v>2800</v>
      </c>
    </row>
    <row r="1047" spans="1:38" s="376" customFormat="1" ht="20.25" outlineLevel="2" x14ac:dyDescent="0.3">
      <c r="A1047" s="447">
        <v>81</v>
      </c>
      <c r="B1047" s="558"/>
      <c r="C1047" s="558"/>
      <c r="D1047" s="587"/>
      <c r="E1047" s="560"/>
      <c r="F1047" s="558"/>
      <c r="G1047" s="588"/>
      <c r="H1047" s="546"/>
      <c r="I1047" s="563" t="s">
        <v>25</v>
      </c>
      <c r="J1047" s="563" t="s">
        <v>25</v>
      </c>
      <c r="K1047" s="564" t="s">
        <v>25</v>
      </c>
      <c r="L1047" s="564" t="s">
        <v>25</v>
      </c>
      <c r="M1047" s="638" t="s">
        <v>73</v>
      </c>
      <c r="N1047" s="638"/>
      <c r="O1047" s="590">
        <v>95</v>
      </c>
      <c r="P1047" s="564">
        <v>76000</v>
      </c>
      <c r="Q1047" s="564">
        <v>7220000</v>
      </c>
      <c r="R1047" s="638"/>
      <c r="S1047" s="639"/>
      <c r="T1047" s="591"/>
      <c r="U1047" s="589"/>
      <c r="V1047" s="564" t="s">
        <v>2899</v>
      </c>
      <c r="W1047" s="564" t="s">
        <v>25</v>
      </c>
      <c r="X1047" s="589"/>
      <c r="Y1047" s="592"/>
      <c r="Z1047" s="592"/>
      <c r="AA1047" s="568"/>
      <c r="AB1047" s="592"/>
      <c r="AC1047" s="592"/>
      <c r="AD1047" s="592"/>
      <c r="AE1047" s="590"/>
      <c r="AF1047" s="570" t="s">
        <v>2899</v>
      </c>
      <c r="AG1047" s="570" t="s">
        <v>25</v>
      </c>
      <c r="AH1047" s="571" t="s">
        <v>25</v>
      </c>
      <c r="AI1047" s="575"/>
      <c r="AJ1047" s="593"/>
    </row>
    <row r="1048" spans="1:38" s="376" customFormat="1" ht="20.25" outlineLevel="2" x14ac:dyDescent="0.3">
      <c r="A1048" s="447">
        <v>81</v>
      </c>
      <c r="B1048" s="558"/>
      <c r="C1048" s="558"/>
      <c r="D1048" s="587"/>
      <c r="E1048" s="560"/>
      <c r="F1048" s="558"/>
      <c r="G1048" s="588"/>
      <c r="H1048" s="546"/>
      <c r="I1048" s="563" t="s">
        <v>25</v>
      </c>
      <c r="J1048" s="563" t="s">
        <v>25</v>
      </c>
      <c r="K1048" s="564" t="s">
        <v>25</v>
      </c>
      <c r="L1048" s="564" t="s">
        <v>25</v>
      </c>
      <c r="M1048" s="638" t="s">
        <v>75</v>
      </c>
      <c r="N1048" s="638"/>
      <c r="O1048" s="590">
        <v>31</v>
      </c>
      <c r="P1048" s="564">
        <v>34000</v>
      </c>
      <c r="Q1048" s="564">
        <v>1054000</v>
      </c>
      <c r="R1048" s="638"/>
      <c r="S1048" s="639"/>
      <c r="T1048" s="591"/>
      <c r="U1048" s="589"/>
      <c r="V1048" s="564" t="s">
        <v>2899</v>
      </c>
      <c r="W1048" s="564" t="s">
        <v>25</v>
      </c>
      <c r="X1048" s="589"/>
      <c r="Y1048" s="592"/>
      <c r="Z1048" s="592"/>
      <c r="AA1048" s="568"/>
      <c r="AB1048" s="592"/>
      <c r="AC1048" s="592"/>
      <c r="AD1048" s="592"/>
      <c r="AE1048" s="590"/>
      <c r="AF1048" s="570" t="s">
        <v>2899</v>
      </c>
      <c r="AG1048" s="570" t="s">
        <v>25</v>
      </c>
      <c r="AH1048" s="571" t="s">
        <v>25</v>
      </c>
      <c r="AI1048" s="593"/>
      <c r="AJ1048" s="593"/>
    </row>
    <row r="1049" spans="1:38" s="376" customFormat="1" ht="40.5" outlineLevel="2" x14ac:dyDescent="0.3">
      <c r="A1049" s="447">
        <v>81</v>
      </c>
      <c r="B1049" s="558"/>
      <c r="C1049" s="558"/>
      <c r="D1049" s="587"/>
      <c r="E1049" s="560"/>
      <c r="F1049" s="558"/>
      <c r="G1049" s="588"/>
      <c r="H1049" s="546"/>
      <c r="I1049" s="563" t="s">
        <v>25</v>
      </c>
      <c r="J1049" s="563" t="s">
        <v>25</v>
      </c>
      <c r="K1049" s="564" t="s">
        <v>25</v>
      </c>
      <c r="L1049" s="564" t="s">
        <v>25</v>
      </c>
      <c r="M1049" s="638" t="s">
        <v>786</v>
      </c>
      <c r="N1049" s="638"/>
      <c r="O1049" s="590">
        <v>14</v>
      </c>
      <c r="P1049" s="564">
        <v>0</v>
      </c>
      <c r="Q1049" s="564">
        <v>0</v>
      </c>
      <c r="R1049" s="638"/>
      <c r="S1049" s="639"/>
      <c r="T1049" s="591"/>
      <c r="U1049" s="589"/>
      <c r="V1049" s="564" t="s">
        <v>2899</v>
      </c>
      <c r="W1049" s="564" t="s">
        <v>25</v>
      </c>
      <c r="X1049" s="589"/>
      <c r="Y1049" s="592"/>
      <c r="Z1049" s="592"/>
      <c r="AA1049" s="568"/>
      <c r="AB1049" s="592"/>
      <c r="AC1049" s="592"/>
      <c r="AD1049" s="592"/>
      <c r="AE1049" s="590"/>
      <c r="AF1049" s="570" t="s">
        <v>2899</v>
      </c>
      <c r="AG1049" s="570" t="s">
        <v>25</v>
      </c>
      <c r="AH1049" s="571" t="s">
        <v>25</v>
      </c>
      <c r="AI1049" s="593"/>
      <c r="AJ1049" s="593"/>
    </row>
    <row r="1050" spans="1:38" s="376" customFormat="1" ht="20.25" outlineLevel="2" x14ac:dyDescent="0.3">
      <c r="A1050" s="447">
        <v>81</v>
      </c>
      <c r="B1050" s="558"/>
      <c r="C1050" s="558"/>
      <c r="D1050" s="587"/>
      <c r="E1050" s="560"/>
      <c r="F1050" s="558"/>
      <c r="G1050" s="588"/>
      <c r="H1050" s="546"/>
      <c r="I1050" s="563" t="s">
        <v>25</v>
      </c>
      <c r="J1050" s="563" t="s">
        <v>25</v>
      </c>
      <c r="K1050" s="564" t="s">
        <v>25</v>
      </c>
      <c r="L1050" s="564" t="s">
        <v>25</v>
      </c>
      <c r="M1050" s="638" t="s">
        <v>64</v>
      </c>
      <c r="N1050" s="638"/>
      <c r="O1050" s="590">
        <v>2</v>
      </c>
      <c r="P1050" s="564">
        <v>1122000</v>
      </c>
      <c r="Q1050" s="564">
        <v>2244000</v>
      </c>
      <c r="R1050" s="640"/>
      <c r="S1050" s="639"/>
      <c r="T1050" s="591"/>
      <c r="U1050" s="589"/>
      <c r="V1050" s="564" t="s">
        <v>2899</v>
      </c>
      <c r="W1050" s="564" t="s">
        <v>25</v>
      </c>
      <c r="X1050" s="589"/>
      <c r="Y1050" s="592"/>
      <c r="Z1050" s="592"/>
      <c r="AA1050" s="568"/>
      <c r="AB1050" s="592"/>
      <c r="AC1050" s="592"/>
      <c r="AD1050" s="592"/>
      <c r="AE1050" s="590"/>
      <c r="AF1050" s="570" t="s">
        <v>2899</v>
      </c>
      <c r="AG1050" s="570" t="s">
        <v>25</v>
      </c>
      <c r="AH1050" s="571" t="s">
        <v>25</v>
      </c>
      <c r="AI1050" s="593"/>
      <c r="AJ1050" s="593"/>
    </row>
    <row r="1051" spans="1:38" s="376" customFormat="1" ht="20.25" outlineLevel="2" x14ac:dyDescent="0.3">
      <c r="A1051" s="447">
        <v>81</v>
      </c>
      <c r="B1051" s="558"/>
      <c r="C1051" s="558"/>
      <c r="D1051" s="587"/>
      <c r="E1051" s="560"/>
      <c r="F1051" s="558"/>
      <c r="G1051" s="588"/>
      <c r="H1051" s="546"/>
      <c r="I1051" s="563" t="s">
        <v>25</v>
      </c>
      <c r="J1051" s="563" t="s">
        <v>25</v>
      </c>
      <c r="K1051" s="564" t="s">
        <v>25</v>
      </c>
      <c r="L1051" s="564" t="s">
        <v>25</v>
      </c>
      <c r="M1051" s="638" t="s">
        <v>67</v>
      </c>
      <c r="N1051" s="638"/>
      <c r="O1051" s="590">
        <v>1</v>
      </c>
      <c r="P1051" s="564">
        <v>494000</v>
      </c>
      <c r="Q1051" s="564">
        <v>494000</v>
      </c>
      <c r="R1051" s="638"/>
      <c r="S1051" s="639"/>
      <c r="T1051" s="591"/>
      <c r="U1051" s="589"/>
      <c r="V1051" s="564" t="s">
        <v>2899</v>
      </c>
      <c r="W1051" s="564" t="s">
        <v>25</v>
      </c>
      <c r="X1051" s="589"/>
      <c r="Y1051" s="592"/>
      <c r="Z1051" s="592"/>
      <c r="AA1051" s="568"/>
      <c r="AB1051" s="592"/>
      <c r="AC1051" s="592"/>
      <c r="AD1051" s="592"/>
      <c r="AE1051" s="590"/>
      <c r="AF1051" s="570" t="s">
        <v>2899</v>
      </c>
      <c r="AG1051" s="570" t="s">
        <v>25</v>
      </c>
      <c r="AH1051" s="571" t="s">
        <v>25</v>
      </c>
      <c r="AI1051" s="593"/>
      <c r="AJ1051" s="593"/>
    </row>
    <row r="1052" spans="1:38" s="376" customFormat="1" ht="20.25" outlineLevel="2" x14ac:dyDescent="0.3">
      <c r="A1052" s="447">
        <v>81</v>
      </c>
      <c r="B1052" s="558"/>
      <c r="C1052" s="558"/>
      <c r="D1052" s="587"/>
      <c r="E1052" s="560"/>
      <c r="F1052" s="558"/>
      <c r="G1052" s="588"/>
      <c r="H1052" s="546"/>
      <c r="I1052" s="563" t="s">
        <v>25</v>
      </c>
      <c r="J1052" s="563" t="s">
        <v>25</v>
      </c>
      <c r="K1052" s="564" t="s">
        <v>25</v>
      </c>
      <c r="L1052" s="564" t="s">
        <v>25</v>
      </c>
      <c r="M1052" s="638" t="s">
        <v>145</v>
      </c>
      <c r="N1052" s="638"/>
      <c r="O1052" s="590">
        <v>1</v>
      </c>
      <c r="P1052" s="564">
        <v>4240000</v>
      </c>
      <c r="Q1052" s="564">
        <v>4240000</v>
      </c>
      <c r="R1052" s="638"/>
      <c r="S1052" s="639"/>
      <c r="T1052" s="591"/>
      <c r="U1052" s="589"/>
      <c r="V1052" s="564" t="s">
        <v>2899</v>
      </c>
      <c r="W1052" s="564" t="s">
        <v>25</v>
      </c>
      <c r="X1052" s="589"/>
      <c r="Y1052" s="592"/>
      <c r="Z1052" s="592"/>
      <c r="AA1052" s="568"/>
      <c r="AB1052" s="592"/>
      <c r="AC1052" s="592"/>
      <c r="AD1052" s="592"/>
      <c r="AE1052" s="590"/>
      <c r="AF1052" s="570" t="s">
        <v>2899</v>
      </c>
      <c r="AG1052" s="570" t="s">
        <v>25</v>
      </c>
      <c r="AH1052" s="571" t="s">
        <v>25</v>
      </c>
      <c r="AI1052" s="593"/>
      <c r="AJ1052" s="593"/>
    </row>
    <row r="1053" spans="1:38" s="376" customFormat="1" ht="20.25" outlineLevel="2" x14ac:dyDescent="0.3">
      <c r="A1053" s="447">
        <v>81</v>
      </c>
      <c r="B1053" s="558"/>
      <c r="C1053" s="558"/>
      <c r="D1053" s="587"/>
      <c r="E1053" s="560"/>
      <c r="F1053" s="558"/>
      <c r="G1053" s="588"/>
      <c r="H1053" s="546"/>
      <c r="I1053" s="563" t="s">
        <v>25</v>
      </c>
      <c r="J1053" s="563" t="s">
        <v>25</v>
      </c>
      <c r="K1053" s="564" t="s">
        <v>25</v>
      </c>
      <c r="L1053" s="564" t="s">
        <v>25</v>
      </c>
      <c r="M1053" s="638" t="s">
        <v>77</v>
      </c>
      <c r="N1053" s="638"/>
      <c r="O1053" s="590">
        <v>1</v>
      </c>
      <c r="P1053" s="564">
        <v>3064000</v>
      </c>
      <c r="Q1053" s="564">
        <v>3064000</v>
      </c>
      <c r="R1053" s="638"/>
      <c r="S1053" s="639"/>
      <c r="T1053" s="591"/>
      <c r="U1053" s="589"/>
      <c r="V1053" s="564" t="s">
        <v>2899</v>
      </c>
      <c r="W1053" s="564" t="s">
        <v>25</v>
      </c>
      <c r="X1053" s="589"/>
      <c r="Y1053" s="592"/>
      <c r="Z1053" s="592"/>
      <c r="AA1053" s="568"/>
      <c r="AB1053" s="592"/>
      <c r="AC1053" s="592"/>
      <c r="AD1053" s="592"/>
      <c r="AE1053" s="590"/>
      <c r="AF1053" s="570" t="s">
        <v>2899</v>
      </c>
      <c r="AG1053" s="570" t="s">
        <v>25</v>
      </c>
      <c r="AH1053" s="571" t="s">
        <v>25</v>
      </c>
      <c r="AI1053" s="593"/>
      <c r="AJ1053" s="593"/>
    </row>
    <row r="1054" spans="1:38" s="376" customFormat="1" ht="20.25" outlineLevel="2" x14ac:dyDescent="0.3">
      <c r="A1054" s="447">
        <v>81</v>
      </c>
      <c r="B1054" s="558"/>
      <c r="C1054" s="558"/>
      <c r="D1054" s="587"/>
      <c r="E1054" s="560"/>
      <c r="F1054" s="558"/>
      <c r="G1054" s="588"/>
      <c r="H1054" s="546"/>
      <c r="I1054" s="563" t="s">
        <v>25</v>
      </c>
      <c r="J1054" s="563" t="s">
        <v>25</v>
      </c>
      <c r="K1054" s="564" t="s">
        <v>25</v>
      </c>
      <c r="L1054" s="564" t="s">
        <v>25</v>
      </c>
      <c r="M1054" s="638" t="s">
        <v>352</v>
      </c>
      <c r="N1054" s="638"/>
      <c r="O1054" s="590">
        <v>16</v>
      </c>
      <c r="P1054" s="564">
        <v>60000</v>
      </c>
      <c r="Q1054" s="564">
        <v>960000</v>
      </c>
      <c r="R1054" s="638"/>
      <c r="S1054" s="639"/>
      <c r="T1054" s="591"/>
      <c r="U1054" s="589"/>
      <c r="V1054" s="564" t="s">
        <v>2899</v>
      </c>
      <c r="W1054" s="564" t="s">
        <v>25</v>
      </c>
      <c r="X1054" s="589"/>
      <c r="Y1054" s="592"/>
      <c r="Z1054" s="592"/>
      <c r="AA1054" s="568"/>
      <c r="AB1054" s="592"/>
      <c r="AC1054" s="592"/>
      <c r="AD1054" s="592"/>
      <c r="AE1054" s="590"/>
      <c r="AF1054" s="570" t="s">
        <v>2899</v>
      </c>
      <c r="AG1054" s="570" t="s">
        <v>25</v>
      </c>
      <c r="AH1054" s="571" t="s">
        <v>25</v>
      </c>
      <c r="AI1054" s="593"/>
      <c r="AJ1054" s="593"/>
    </row>
    <row r="1055" spans="1:38" s="376" customFormat="1" ht="20.25" outlineLevel="2" x14ac:dyDescent="0.3">
      <c r="A1055" s="447">
        <v>81</v>
      </c>
      <c r="B1055" s="558"/>
      <c r="C1055" s="558"/>
      <c r="D1055" s="587"/>
      <c r="E1055" s="615"/>
      <c r="F1055" s="558"/>
      <c r="G1055" s="588"/>
      <c r="H1055" s="546"/>
      <c r="I1055" s="563" t="s">
        <v>25</v>
      </c>
      <c r="J1055" s="563" t="s">
        <v>25</v>
      </c>
      <c r="K1055" s="564" t="s">
        <v>25</v>
      </c>
      <c r="L1055" s="564" t="s">
        <v>25</v>
      </c>
      <c r="M1055" s="638"/>
      <c r="N1055" s="638"/>
      <c r="O1055" s="590"/>
      <c r="P1055" s="564" t="s">
        <v>25</v>
      </c>
      <c r="Q1055" s="564" t="s">
        <v>25</v>
      </c>
      <c r="R1055" s="638"/>
      <c r="S1055" s="639"/>
      <c r="T1055" s="591"/>
      <c r="U1055" s="589"/>
      <c r="V1055" s="564" t="s">
        <v>2899</v>
      </c>
      <c r="W1055" s="564" t="s">
        <v>25</v>
      </c>
      <c r="X1055" s="589"/>
      <c r="Y1055" s="592"/>
      <c r="Z1055" s="592"/>
      <c r="AA1055" s="568"/>
      <c r="AB1055" s="592"/>
      <c r="AC1055" s="592"/>
      <c r="AD1055" s="592"/>
      <c r="AE1055" s="590"/>
      <c r="AF1055" s="570" t="s">
        <v>2899</v>
      </c>
      <c r="AG1055" s="570" t="s">
        <v>25</v>
      </c>
      <c r="AH1055" s="571" t="s">
        <v>25</v>
      </c>
      <c r="AI1055" s="593"/>
      <c r="AJ1055" s="593"/>
    </row>
    <row r="1056" spans="1:38" s="376" customFormat="1" ht="20.25" outlineLevel="2" x14ac:dyDescent="0.3">
      <c r="A1056" s="447">
        <v>81</v>
      </c>
      <c r="B1056" s="558"/>
      <c r="C1056" s="558"/>
      <c r="D1056" s="587"/>
      <c r="E1056" s="560"/>
      <c r="F1056" s="558"/>
      <c r="G1056" s="604"/>
      <c r="H1056" s="546"/>
      <c r="I1056" s="563" t="s">
        <v>25</v>
      </c>
      <c r="J1056" s="563" t="s">
        <v>25</v>
      </c>
      <c r="K1056" s="564" t="s">
        <v>25</v>
      </c>
      <c r="L1056" s="564" t="s">
        <v>25</v>
      </c>
      <c r="M1056" s="593"/>
      <c r="N1056" s="593"/>
      <c r="O1056" s="616"/>
      <c r="P1056" s="564" t="s">
        <v>25</v>
      </c>
      <c r="Q1056" s="564" t="s">
        <v>25</v>
      </c>
      <c r="R1056" s="593"/>
      <c r="S1056" s="593"/>
      <c r="T1056" s="617"/>
      <c r="U1056" s="589"/>
      <c r="V1056" s="564" t="s">
        <v>2899</v>
      </c>
      <c r="W1056" s="564" t="s">
        <v>25</v>
      </c>
      <c r="X1056" s="589"/>
      <c r="Y1056" s="589"/>
      <c r="Z1056" s="589"/>
      <c r="AA1056" s="562"/>
      <c r="AB1056" s="589"/>
      <c r="AC1056" s="589"/>
      <c r="AD1056" s="589"/>
      <c r="AE1056" s="629"/>
      <c r="AF1056" s="570" t="s">
        <v>2899</v>
      </c>
      <c r="AG1056" s="570" t="s">
        <v>25</v>
      </c>
      <c r="AH1056" s="571" t="s">
        <v>25</v>
      </c>
      <c r="AI1056" s="593"/>
      <c r="AJ1056" s="593"/>
    </row>
    <row r="1057" spans="1:38" s="376" customFormat="1" ht="20.25" outlineLevel="2" x14ac:dyDescent="0.3">
      <c r="A1057" s="447">
        <v>81</v>
      </c>
      <c r="B1057" s="574"/>
      <c r="C1057" s="574"/>
      <c r="D1057" s="595"/>
      <c r="E1057" s="577"/>
      <c r="F1057" s="558"/>
      <c r="G1057" s="588"/>
      <c r="H1057" s="546"/>
      <c r="I1057" s="563" t="s">
        <v>25</v>
      </c>
      <c r="J1057" s="563" t="s">
        <v>25</v>
      </c>
      <c r="K1057" s="564" t="s">
        <v>25</v>
      </c>
      <c r="L1057" s="564" t="s">
        <v>25</v>
      </c>
      <c r="M1057" s="638"/>
      <c r="N1057" s="638"/>
      <c r="O1057" s="590"/>
      <c r="P1057" s="564" t="s">
        <v>25</v>
      </c>
      <c r="Q1057" s="564" t="s">
        <v>25</v>
      </c>
      <c r="R1057" s="638"/>
      <c r="S1057" s="639"/>
      <c r="T1057" s="591"/>
      <c r="U1057" s="589"/>
      <c r="V1057" s="564" t="s">
        <v>2899</v>
      </c>
      <c r="W1057" s="564" t="s">
        <v>25</v>
      </c>
      <c r="X1057" s="589"/>
      <c r="Y1057" s="592"/>
      <c r="Z1057" s="592"/>
      <c r="AA1057" s="568"/>
      <c r="AB1057" s="592"/>
      <c r="AC1057" s="592"/>
      <c r="AD1057" s="592"/>
      <c r="AE1057" s="590"/>
      <c r="AF1057" s="570" t="s">
        <v>2899</v>
      </c>
      <c r="AG1057" s="570" t="s">
        <v>25</v>
      </c>
      <c r="AH1057" s="571" t="s">
        <v>25</v>
      </c>
      <c r="AI1057" s="593"/>
      <c r="AJ1057" s="593"/>
    </row>
    <row r="1058" spans="1:38" s="376" customFormat="1" ht="40.5" outlineLevel="1" x14ac:dyDescent="0.25">
      <c r="A1058" s="467">
        <v>82</v>
      </c>
      <c r="B1058" s="574" t="s">
        <v>50</v>
      </c>
      <c r="C1058" s="773" t="s">
        <v>2902</v>
      </c>
      <c r="D1058" s="587">
        <v>86</v>
      </c>
      <c r="E1058" s="560">
        <v>313</v>
      </c>
      <c r="F1058" s="574"/>
      <c r="G1058" s="618">
        <v>173.8</v>
      </c>
      <c r="H1058" s="579">
        <v>173.8</v>
      </c>
      <c r="I1058" s="581"/>
      <c r="J1058" s="581"/>
      <c r="K1058" s="571">
        <v>96355000</v>
      </c>
      <c r="L1058" s="571">
        <v>289064000</v>
      </c>
      <c r="M1058" s="673"/>
      <c r="N1058" s="673"/>
      <c r="O1058" s="599">
        <v>0</v>
      </c>
      <c r="P1058" s="571"/>
      <c r="Q1058" s="571">
        <v>0</v>
      </c>
      <c r="R1058" s="673"/>
      <c r="S1058" s="674"/>
      <c r="T1058" s="600">
        <v>43.74</v>
      </c>
      <c r="U1058" s="597"/>
      <c r="V1058" s="571"/>
      <c r="W1058" s="571">
        <v>0</v>
      </c>
      <c r="X1058" s="589"/>
      <c r="Y1058" s="592"/>
      <c r="Z1058" s="592"/>
      <c r="AA1058" s="568"/>
      <c r="AB1058" s="592"/>
      <c r="AC1058" s="592"/>
      <c r="AD1058" s="601"/>
      <c r="AE1058" s="599">
        <f>SUBTOTAL(9,AE1059:AE1067)</f>
        <v>0</v>
      </c>
      <c r="AF1058" s="585"/>
      <c r="AG1058" s="585">
        <v>0</v>
      </c>
      <c r="AH1058" s="571">
        <v>385419000</v>
      </c>
      <c r="AI1058" s="574"/>
      <c r="AJ1058" s="578"/>
      <c r="AL1058" s="473"/>
    </row>
    <row r="1059" spans="1:38" s="376" customFormat="1" ht="121.5" outlineLevel="2" x14ac:dyDescent="0.3">
      <c r="A1059" s="447">
        <v>82</v>
      </c>
      <c r="B1059" s="558" t="s">
        <v>112</v>
      </c>
      <c r="C1059" s="558"/>
      <c r="D1059" s="587"/>
      <c r="E1059" s="560"/>
      <c r="F1059" s="558" t="s">
        <v>2886</v>
      </c>
      <c r="G1059" s="588">
        <v>173.8</v>
      </c>
      <c r="H1059" s="546">
        <v>173.8</v>
      </c>
      <c r="I1059" s="563">
        <v>554400</v>
      </c>
      <c r="J1059" s="563">
        <v>1663200</v>
      </c>
      <c r="K1059" s="564">
        <v>96355000</v>
      </c>
      <c r="L1059" s="564">
        <v>289064000</v>
      </c>
      <c r="M1059" s="638"/>
      <c r="N1059" s="638"/>
      <c r="O1059" s="590"/>
      <c r="P1059" s="564" t="s">
        <v>25</v>
      </c>
      <c r="Q1059" s="564" t="s">
        <v>25</v>
      </c>
      <c r="R1059" s="638" t="s">
        <v>2349</v>
      </c>
      <c r="S1059" s="639" t="s">
        <v>53</v>
      </c>
      <c r="T1059" s="591">
        <v>43.74</v>
      </c>
      <c r="U1059" s="589"/>
      <c r="V1059" s="564">
        <v>0</v>
      </c>
      <c r="W1059" s="564">
        <v>0</v>
      </c>
      <c r="X1059" s="589"/>
      <c r="Y1059" s="592" t="s">
        <v>55</v>
      </c>
      <c r="Z1059" s="592" t="s">
        <v>141</v>
      </c>
      <c r="AA1059" s="568" t="s">
        <v>171</v>
      </c>
      <c r="AB1059" s="592" t="s">
        <v>88</v>
      </c>
      <c r="AC1059" s="592"/>
      <c r="AD1059" s="592"/>
      <c r="AE1059" s="590"/>
      <c r="AF1059" s="570" t="s">
        <v>2899</v>
      </c>
      <c r="AG1059" s="570" t="s">
        <v>25</v>
      </c>
      <c r="AH1059" s="571" t="s">
        <v>25</v>
      </c>
      <c r="AI1059" s="558" t="s">
        <v>717</v>
      </c>
      <c r="AJ1059" s="586" t="s">
        <v>2771</v>
      </c>
      <c r="AL1059" s="378" t="s">
        <v>2156</v>
      </c>
    </row>
    <row r="1060" spans="1:38" s="376" customFormat="1" ht="101.25" outlineLevel="2" x14ac:dyDescent="0.3">
      <c r="A1060" s="447">
        <v>82</v>
      </c>
      <c r="B1060" s="558" t="s">
        <v>642</v>
      </c>
      <c r="C1060" s="558"/>
      <c r="D1060" s="587"/>
      <c r="E1060" s="560"/>
      <c r="F1060" s="558"/>
      <c r="G1060" s="588"/>
      <c r="H1060" s="546"/>
      <c r="I1060" s="563" t="s">
        <v>25</v>
      </c>
      <c r="J1060" s="563" t="s">
        <v>25</v>
      </c>
      <c r="K1060" s="564" t="s">
        <v>25</v>
      </c>
      <c r="L1060" s="564" t="s">
        <v>25</v>
      </c>
      <c r="M1060" s="638"/>
      <c r="N1060" s="638"/>
      <c r="O1060" s="590"/>
      <c r="P1060" s="564" t="s">
        <v>25</v>
      </c>
      <c r="Q1060" s="564" t="s">
        <v>25</v>
      </c>
      <c r="R1060" s="638"/>
      <c r="S1060" s="639"/>
      <c r="T1060" s="591"/>
      <c r="U1060" s="589"/>
      <c r="V1060" s="564" t="s">
        <v>2899</v>
      </c>
      <c r="W1060" s="564" t="s">
        <v>25</v>
      </c>
      <c r="X1060" s="589"/>
      <c r="Y1060" s="592"/>
      <c r="Z1060" s="592"/>
      <c r="AA1060" s="568"/>
      <c r="AB1060" s="592"/>
      <c r="AC1060" s="592"/>
      <c r="AD1060" s="592"/>
      <c r="AE1060" s="590"/>
      <c r="AF1060" s="570" t="s">
        <v>2899</v>
      </c>
      <c r="AG1060" s="570" t="s">
        <v>25</v>
      </c>
      <c r="AH1060" s="571" t="s">
        <v>25</v>
      </c>
      <c r="AI1060" s="558" t="s">
        <v>615</v>
      </c>
      <c r="AJ1060" s="605" t="s">
        <v>2448</v>
      </c>
    </row>
    <row r="1061" spans="1:38" s="376" customFormat="1" ht="121.5" outlineLevel="2" x14ac:dyDescent="0.3">
      <c r="A1061" s="447">
        <v>82</v>
      </c>
      <c r="B1061" s="558"/>
      <c r="C1061" s="558"/>
      <c r="D1061" s="587"/>
      <c r="E1061" s="615"/>
      <c r="F1061" s="558"/>
      <c r="G1061" s="588"/>
      <c r="H1061" s="546"/>
      <c r="I1061" s="563" t="s">
        <v>25</v>
      </c>
      <c r="J1061" s="563" t="s">
        <v>25</v>
      </c>
      <c r="K1061" s="564" t="s">
        <v>25</v>
      </c>
      <c r="L1061" s="564" t="s">
        <v>25</v>
      </c>
      <c r="M1061" s="638"/>
      <c r="N1061" s="638"/>
      <c r="O1061" s="590"/>
      <c r="P1061" s="564" t="s">
        <v>25</v>
      </c>
      <c r="Q1061" s="564" t="s">
        <v>25</v>
      </c>
      <c r="R1061" s="638"/>
      <c r="S1061" s="639"/>
      <c r="T1061" s="591"/>
      <c r="U1061" s="589"/>
      <c r="V1061" s="564" t="s">
        <v>2899</v>
      </c>
      <c r="W1061" s="564" t="s">
        <v>25</v>
      </c>
      <c r="X1061" s="589"/>
      <c r="Y1061" s="592"/>
      <c r="Z1061" s="592"/>
      <c r="AA1061" s="568"/>
      <c r="AB1061" s="592"/>
      <c r="AC1061" s="592"/>
      <c r="AD1061" s="592"/>
      <c r="AE1061" s="590"/>
      <c r="AF1061" s="570" t="s">
        <v>2899</v>
      </c>
      <c r="AG1061" s="570" t="s">
        <v>25</v>
      </c>
      <c r="AH1061" s="571" t="s">
        <v>25</v>
      </c>
      <c r="AI1061" s="558" t="s">
        <v>2074</v>
      </c>
      <c r="AJ1061" s="558" t="s">
        <v>2450</v>
      </c>
    </row>
    <row r="1062" spans="1:38" s="376" customFormat="1" ht="20.25" outlineLevel="2" x14ac:dyDescent="0.3">
      <c r="A1062" s="447">
        <v>82</v>
      </c>
      <c r="B1062" s="558"/>
      <c r="C1062" s="558"/>
      <c r="D1062" s="587"/>
      <c r="E1062" s="560"/>
      <c r="F1062" s="558"/>
      <c r="G1062" s="604"/>
      <c r="H1062" s="546"/>
      <c r="I1062" s="563" t="s">
        <v>25</v>
      </c>
      <c r="J1062" s="563" t="s">
        <v>25</v>
      </c>
      <c r="K1062" s="564" t="s">
        <v>25</v>
      </c>
      <c r="L1062" s="564" t="s">
        <v>25</v>
      </c>
      <c r="M1062" s="593"/>
      <c r="N1062" s="593"/>
      <c r="O1062" s="616"/>
      <c r="P1062" s="564" t="s">
        <v>25</v>
      </c>
      <c r="Q1062" s="564" t="s">
        <v>25</v>
      </c>
      <c r="R1062" s="593"/>
      <c r="S1062" s="593"/>
      <c r="T1062" s="617"/>
      <c r="U1062" s="589"/>
      <c r="V1062" s="564" t="s">
        <v>2899</v>
      </c>
      <c r="W1062" s="564" t="s">
        <v>25</v>
      </c>
      <c r="X1062" s="589"/>
      <c r="Y1062" s="589"/>
      <c r="Z1062" s="589"/>
      <c r="AA1062" s="562"/>
      <c r="AB1062" s="589"/>
      <c r="AC1062" s="589"/>
      <c r="AD1062" s="589"/>
      <c r="AE1062" s="629"/>
      <c r="AF1062" s="570" t="s">
        <v>2899</v>
      </c>
      <c r="AG1062" s="570" t="s">
        <v>25</v>
      </c>
      <c r="AH1062" s="571" t="s">
        <v>25</v>
      </c>
      <c r="AI1062" s="575"/>
      <c r="AJ1062" s="558"/>
    </row>
    <row r="1063" spans="1:38" s="376" customFormat="1" ht="20.25" outlineLevel="2" x14ac:dyDescent="0.3">
      <c r="A1063" s="447">
        <v>82</v>
      </c>
      <c r="B1063" s="558"/>
      <c r="C1063" s="558"/>
      <c r="D1063" s="587"/>
      <c r="E1063" s="560"/>
      <c r="F1063" s="558"/>
      <c r="G1063" s="588"/>
      <c r="H1063" s="546"/>
      <c r="I1063" s="563" t="s">
        <v>25</v>
      </c>
      <c r="J1063" s="563" t="s">
        <v>25</v>
      </c>
      <c r="K1063" s="564" t="s">
        <v>25</v>
      </c>
      <c r="L1063" s="564" t="s">
        <v>25</v>
      </c>
      <c r="M1063" s="638"/>
      <c r="N1063" s="638"/>
      <c r="O1063" s="590"/>
      <c r="P1063" s="564" t="s">
        <v>25</v>
      </c>
      <c r="Q1063" s="564" t="s">
        <v>25</v>
      </c>
      <c r="R1063" s="640"/>
      <c r="S1063" s="639"/>
      <c r="T1063" s="591"/>
      <c r="U1063" s="589"/>
      <c r="V1063" s="564" t="s">
        <v>2899</v>
      </c>
      <c r="W1063" s="564" t="s">
        <v>25</v>
      </c>
      <c r="X1063" s="589"/>
      <c r="Y1063" s="592"/>
      <c r="Z1063" s="592"/>
      <c r="AA1063" s="568"/>
      <c r="AB1063" s="592"/>
      <c r="AC1063" s="592"/>
      <c r="AD1063" s="592"/>
      <c r="AE1063" s="590"/>
      <c r="AF1063" s="570" t="s">
        <v>2899</v>
      </c>
      <c r="AG1063" s="570" t="s">
        <v>25</v>
      </c>
      <c r="AH1063" s="571" t="s">
        <v>25</v>
      </c>
      <c r="AI1063" s="575"/>
      <c r="AJ1063" s="593"/>
    </row>
    <row r="1064" spans="1:38" s="376" customFormat="1" ht="20.25" outlineLevel="2" x14ac:dyDescent="0.3">
      <c r="A1064" s="447">
        <v>82</v>
      </c>
      <c r="B1064" s="558"/>
      <c r="C1064" s="558"/>
      <c r="D1064" s="587"/>
      <c r="E1064" s="560"/>
      <c r="F1064" s="558"/>
      <c r="G1064" s="588"/>
      <c r="H1064" s="546"/>
      <c r="I1064" s="563" t="s">
        <v>25</v>
      </c>
      <c r="J1064" s="563" t="s">
        <v>25</v>
      </c>
      <c r="K1064" s="564" t="s">
        <v>25</v>
      </c>
      <c r="L1064" s="564" t="s">
        <v>25</v>
      </c>
      <c r="M1064" s="638"/>
      <c r="N1064" s="638"/>
      <c r="O1064" s="590"/>
      <c r="P1064" s="564" t="s">
        <v>25</v>
      </c>
      <c r="Q1064" s="564" t="s">
        <v>25</v>
      </c>
      <c r="R1064" s="640"/>
      <c r="S1064" s="639"/>
      <c r="T1064" s="591"/>
      <c r="U1064" s="589"/>
      <c r="V1064" s="564" t="s">
        <v>2899</v>
      </c>
      <c r="W1064" s="564" t="s">
        <v>25</v>
      </c>
      <c r="X1064" s="589"/>
      <c r="Y1064" s="592"/>
      <c r="Z1064" s="592"/>
      <c r="AA1064" s="568"/>
      <c r="AB1064" s="592"/>
      <c r="AC1064" s="592"/>
      <c r="AD1064" s="592"/>
      <c r="AE1064" s="590"/>
      <c r="AF1064" s="570" t="s">
        <v>2899</v>
      </c>
      <c r="AG1064" s="570" t="s">
        <v>25</v>
      </c>
      <c r="AH1064" s="571" t="s">
        <v>25</v>
      </c>
      <c r="AI1064" s="593"/>
      <c r="AJ1064" s="593"/>
    </row>
    <row r="1065" spans="1:38" s="376" customFormat="1" ht="20.25" outlineLevel="2" x14ac:dyDescent="0.3">
      <c r="A1065" s="447">
        <v>82</v>
      </c>
      <c r="B1065" s="558"/>
      <c r="C1065" s="558"/>
      <c r="D1065" s="587"/>
      <c r="E1065" s="560"/>
      <c r="F1065" s="558"/>
      <c r="G1065" s="588"/>
      <c r="H1065" s="546"/>
      <c r="I1065" s="563" t="s">
        <v>25</v>
      </c>
      <c r="J1065" s="563" t="s">
        <v>25</v>
      </c>
      <c r="K1065" s="564" t="s">
        <v>25</v>
      </c>
      <c r="L1065" s="564" t="s">
        <v>25</v>
      </c>
      <c r="M1065" s="638"/>
      <c r="N1065" s="638"/>
      <c r="O1065" s="590"/>
      <c r="P1065" s="564" t="s">
        <v>25</v>
      </c>
      <c r="Q1065" s="564" t="s">
        <v>25</v>
      </c>
      <c r="R1065" s="640"/>
      <c r="S1065" s="639"/>
      <c r="T1065" s="591"/>
      <c r="U1065" s="589"/>
      <c r="V1065" s="564" t="s">
        <v>2899</v>
      </c>
      <c r="W1065" s="564" t="s">
        <v>25</v>
      </c>
      <c r="X1065" s="589"/>
      <c r="Y1065" s="592"/>
      <c r="Z1065" s="592"/>
      <c r="AA1065" s="568"/>
      <c r="AB1065" s="592"/>
      <c r="AC1065" s="592"/>
      <c r="AD1065" s="592"/>
      <c r="AE1065" s="590"/>
      <c r="AF1065" s="570" t="s">
        <v>2899</v>
      </c>
      <c r="AG1065" s="570" t="s">
        <v>25</v>
      </c>
      <c r="AH1065" s="571" t="s">
        <v>25</v>
      </c>
      <c r="AI1065" s="593"/>
      <c r="AJ1065" s="593"/>
    </row>
    <row r="1066" spans="1:38" s="376" customFormat="1" ht="20.25" outlineLevel="2" x14ac:dyDescent="0.3">
      <c r="A1066" s="447">
        <v>82</v>
      </c>
      <c r="B1066" s="558"/>
      <c r="C1066" s="558"/>
      <c r="D1066" s="587"/>
      <c r="E1066" s="560"/>
      <c r="F1066" s="558"/>
      <c r="G1066" s="588"/>
      <c r="H1066" s="546"/>
      <c r="I1066" s="563" t="s">
        <v>25</v>
      </c>
      <c r="J1066" s="563" t="s">
        <v>25</v>
      </c>
      <c r="K1066" s="564" t="s">
        <v>25</v>
      </c>
      <c r="L1066" s="564" t="s">
        <v>25</v>
      </c>
      <c r="M1066" s="638"/>
      <c r="N1066" s="638"/>
      <c r="O1066" s="590"/>
      <c r="P1066" s="564" t="s">
        <v>25</v>
      </c>
      <c r="Q1066" s="564" t="s">
        <v>25</v>
      </c>
      <c r="R1066" s="638"/>
      <c r="S1066" s="639"/>
      <c r="T1066" s="591"/>
      <c r="U1066" s="589"/>
      <c r="V1066" s="564" t="s">
        <v>2899</v>
      </c>
      <c r="W1066" s="564" t="s">
        <v>25</v>
      </c>
      <c r="X1066" s="589"/>
      <c r="Y1066" s="592"/>
      <c r="Z1066" s="592"/>
      <c r="AA1066" s="568"/>
      <c r="AB1066" s="592"/>
      <c r="AC1066" s="592"/>
      <c r="AD1066" s="592"/>
      <c r="AE1066" s="590"/>
      <c r="AF1066" s="570" t="s">
        <v>2899</v>
      </c>
      <c r="AG1066" s="570" t="s">
        <v>25</v>
      </c>
      <c r="AH1066" s="571" t="s">
        <v>25</v>
      </c>
      <c r="AI1066" s="593"/>
      <c r="AJ1066" s="593"/>
    </row>
    <row r="1067" spans="1:38" s="376" customFormat="1" ht="20.25" outlineLevel="2" x14ac:dyDescent="0.3">
      <c r="A1067" s="447">
        <v>82</v>
      </c>
      <c r="B1067" s="574"/>
      <c r="C1067" s="574"/>
      <c r="D1067" s="595"/>
      <c r="E1067" s="577"/>
      <c r="F1067" s="558"/>
      <c r="G1067" s="588"/>
      <c r="H1067" s="546"/>
      <c r="I1067" s="563" t="s">
        <v>25</v>
      </c>
      <c r="J1067" s="563" t="s">
        <v>25</v>
      </c>
      <c r="K1067" s="564" t="s">
        <v>25</v>
      </c>
      <c r="L1067" s="564" t="s">
        <v>25</v>
      </c>
      <c r="M1067" s="558"/>
      <c r="N1067" s="558"/>
      <c r="O1067" s="590"/>
      <c r="P1067" s="564" t="s">
        <v>25</v>
      </c>
      <c r="Q1067" s="564" t="s">
        <v>25</v>
      </c>
      <c r="R1067" s="566"/>
      <c r="S1067" s="589"/>
      <c r="T1067" s="591"/>
      <c r="U1067" s="589"/>
      <c r="V1067" s="564" t="s">
        <v>2899</v>
      </c>
      <c r="W1067" s="564" t="s">
        <v>25</v>
      </c>
      <c r="X1067" s="589"/>
      <c r="Y1067" s="592"/>
      <c r="Z1067" s="592"/>
      <c r="AA1067" s="568"/>
      <c r="AB1067" s="592"/>
      <c r="AC1067" s="592"/>
      <c r="AD1067" s="592"/>
      <c r="AE1067" s="590"/>
      <c r="AF1067" s="570" t="s">
        <v>2899</v>
      </c>
      <c r="AG1067" s="570" t="s">
        <v>25</v>
      </c>
      <c r="AH1067" s="571" t="s">
        <v>25</v>
      </c>
      <c r="AI1067" s="593"/>
      <c r="AJ1067" s="593"/>
    </row>
    <row r="1068" spans="1:38" s="376" customFormat="1" ht="40.5" outlineLevel="1" x14ac:dyDescent="0.25">
      <c r="A1068" s="467">
        <v>83</v>
      </c>
      <c r="B1068" s="574" t="s">
        <v>50</v>
      </c>
      <c r="C1068" s="773" t="s">
        <v>2902</v>
      </c>
      <c r="D1068" s="587">
        <v>86</v>
      </c>
      <c r="E1068" s="560">
        <v>312</v>
      </c>
      <c r="F1068" s="574"/>
      <c r="G1068" s="618">
        <v>52.9</v>
      </c>
      <c r="H1068" s="579">
        <v>52.9</v>
      </c>
      <c r="I1068" s="581"/>
      <c r="J1068" s="581"/>
      <c r="K1068" s="571">
        <v>29328000</v>
      </c>
      <c r="L1068" s="571">
        <v>87983000</v>
      </c>
      <c r="M1068" s="574"/>
      <c r="N1068" s="574"/>
      <c r="O1068" s="599">
        <v>0</v>
      </c>
      <c r="P1068" s="571"/>
      <c r="Q1068" s="571">
        <v>0</v>
      </c>
      <c r="R1068" s="673"/>
      <c r="S1068" s="674"/>
      <c r="T1068" s="600">
        <v>0</v>
      </c>
      <c r="U1068" s="597"/>
      <c r="V1068" s="571"/>
      <c r="W1068" s="571">
        <v>0</v>
      </c>
      <c r="X1068" s="589"/>
      <c r="Y1068" s="592"/>
      <c r="Z1068" s="592"/>
      <c r="AA1068" s="568"/>
      <c r="AB1068" s="592"/>
      <c r="AC1068" s="592"/>
      <c r="AD1068" s="601"/>
      <c r="AE1068" s="599">
        <f>SUBTOTAL(9,AE1069:AE1076)</f>
        <v>0</v>
      </c>
      <c r="AF1068" s="585"/>
      <c r="AG1068" s="585">
        <v>0</v>
      </c>
      <c r="AH1068" s="571">
        <v>117311000</v>
      </c>
      <c r="AI1068" s="574"/>
      <c r="AJ1068" s="578"/>
    </row>
    <row r="1069" spans="1:38" s="376" customFormat="1" ht="121.5" outlineLevel="2" x14ac:dyDescent="0.3">
      <c r="A1069" s="447">
        <v>83</v>
      </c>
      <c r="B1069" s="558" t="s">
        <v>112</v>
      </c>
      <c r="C1069" s="558"/>
      <c r="D1069" s="587"/>
      <c r="E1069" s="560"/>
      <c r="F1069" s="558" t="s">
        <v>2885</v>
      </c>
      <c r="G1069" s="588">
        <v>52.9</v>
      </c>
      <c r="H1069" s="546">
        <v>52.9</v>
      </c>
      <c r="I1069" s="563">
        <v>554400</v>
      </c>
      <c r="J1069" s="563">
        <v>1663200</v>
      </c>
      <c r="K1069" s="564">
        <v>29328000</v>
      </c>
      <c r="L1069" s="564">
        <v>87983000</v>
      </c>
      <c r="M1069" s="558"/>
      <c r="N1069" s="558"/>
      <c r="O1069" s="590"/>
      <c r="P1069" s="564" t="s">
        <v>25</v>
      </c>
      <c r="Q1069" s="564" t="s">
        <v>25</v>
      </c>
      <c r="R1069" s="638"/>
      <c r="S1069" s="639"/>
      <c r="T1069" s="591"/>
      <c r="U1069" s="589"/>
      <c r="V1069" s="564" t="s">
        <v>2899</v>
      </c>
      <c r="W1069" s="564" t="s">
        <v>25</v>
      </c>
      <c r="X1069" s="589"/>
      <c r="Y1069" s="592"/>
      <c r="Z1069" s="592"/>
      <c r="AA1069" s="568"/>
      <c r="AB1069" s="592"/>
      <c r="AC1069" s="592"/>
      <c r="AD1069" s="592"/>
      <c r="AE1069" s="590"/>
      <c r="AF1069" s="570" t="s">
        <v>2899</v>
      </c>
      <c r="AG1069" s="570" t="s">
        <v>25</v>
      </c>
      <c r="AH1069" s="571" t="s">
        <v>25</v>
      </c>
      <c r="AI1069" s="558" t="s">
        <v>718</v>
      </c>
      <c r="AJ1069" s="586" t="s">
        <v>2771</v>
      </c>
    </row>
    <row r="1070" spans="1:38" s="376" customFormat="1" ht="101.25" outlineLevel="2" x14ac:dyDescent="0.3">
      <c r="A1070" s="447">
        <v>83</v>
      </c>
      <c r="B1070" s="558" t="s">
        <v>642</v>
      </c>
      <c r="C1070" s="558"/>
      <c r="D1070" s="587"/>
      <c r="E1070" s="560"/>
      <c r="F1070" s="558"/>
      <c r="G1070" s="588"/>
      <c r="H1070" s="546"/>
      <c r="I1070" s="563" t="s">
        <v>25</v>
      </c>
      <c r="J1070" s="563" t="s">
        <v>25</v>
      </c>
      <c r="K1070" s="564" t="s">
        <v>25</v>
      </c>
      <c r="L1070" s="564" t="s">
        <v>25</v>
      </c>
      <c r="M1070" s="558"/>
      <c r="N1070" s="558"/>
      <c r="O1070" s="590"/>
      <c r="P1070" s="564" t="s">
        <v>25</v>
      </c>
      <c r="Q1070" s="564" t="s">
        <v>25</v>
      </c>
      <c r="R1070" s="566"/>
      <c r="S1070" s="589"/>
      <c r="T1070" s="591"/>
      <c r="U1070" s="589"/>
      <c r="V1070" s="564" t="s">
        <v>2899</v>
      </c>
      <c r="W1070" s="564" t="s">
        <v>25</v>
      </c>
      <c r="X1070" s="589"/>
      <c r="Y1070" s="592"/>
      <c r="Z1070" s="592"/>
      <c r="AA1070" s="568"/>
      <c r="AB1070" s="592"/>
      <c r="AC1070" s="592"/>
      <c r="AD1070" s="592"/>
      <c r="AE1070" s="590"/>
      <c r="AF1070" s="570" t="s">
        <v>2899</v>
      </c>
      <c r="AG1070" s="570" t="s">
        <v>25</v>
      </c>
      <c r="AH1070" s="571" t="s">
        <v>25</v>
      </c>
      <c r="AI1070" s="558" t="s">
        <v>616</v>
      </c>
      <c r="AJ1070" s="605" t="s">
        <v>2448</v>
      </c>
    </row>
    <row r="1071" spans="1:38" s="376" customFormat="1" ht="60.75" outlineLevel="2" x14ac:dyDescent="0.3">
      <c r="A1071" s="447">
        <v>83</v>
      </c>
      <c r="B1071" s="558"/>
      <c r="C1071" s="558"/>
      <c r="D1071" s="587"/>
      <c r="E1071" s="560"/>
      <c r="F1071" s="558"/>
      <c r="G1071" s="588"/>
      <c r="H1071" s="546"/>
      <c r="I1071" s="563" t="s">
        <v>25</v>
      </c>
      <c r="J1071" s="563" t="s">
        <v>25</v>
      </c>
      <c r="K1071" s="564" t="s">
        <v>25</v>
      </c>
      <c r="L1071" s="564" t="s">
        <v>25</v>
      </c>
      <c r="M1071" s="558"/>
      <c r="N1071" s="558"/>
      <c r="O1071" s="590"/>
      <c r="P1071" s="564" t="s">
        <v>25</v>
      </c>
      <c r="Q1071" s="564" t="s">
        <v>25</v>
      </c>
      <c r="R1071" s="566"/>
      <c r="S1071" s="589"/>
      <c r="T1071" s="591"/>
      <c r="U1071" s="589"/>
      <c r="V1071" s="564" t="s">
        <v>2899</v>
      </c>
      <c r="W1071" s="564" t="s">
        <v>25</v>
      </c>
      <c r="X1071" s="589"/>
      <c r="Y1071" s="592"/>
      <c r="Z1071" s="592"/>
      <c r="AA1071" s="568"/>
      <c r="AB1071" s="592"/>
      <c r="AC1071" s="592"/>
      <c r="AD1071" s="592"/>
      <c r="AE1071" s="590"/>
      <c r="AF1071" s="570" t="s">
        <v>2899</v>
      </c>
      <c r="AG1071" s="570" t="s">
        <v>25</v>
      </c>
      <c r="AH1071" s="571" t="s">
        <v>25</v>
      </c>
      <c r="AI1071" s="558" t="s">
        <v>2074</v>
      </c>
      <c r="AJ1071" s="593"/>
    </row>
    <row r="1072" spans="1:38" s="376" customFormat="1" ht="20.25" outlineLevel="2" x14ac:dyDescent="0.3">
      <c r="A1072" s="447">
        <v>83</v>
      </c>
      <c r="B1072" s="558"/>
      <c r="C1072" s="558"/>
      <c r="D1072" s="587"/>
      <c r="E1072" s="560"/>
      <c r="F1072" s="558"/>
      <c r="G1072" s="588"/>
      <c r="H1072" s="546"/>
      <c r="I1072" s="563" t="s">
        <v>25</v>
      </c>
      <c r="J1072" s="563" t="s">
        <v>25</v>
      </c>
      <c r="K1072" s="564" t="s">
        <v>25</v>
      </c>
      <c r="L1072" s="564" t="s">
        <v>25</v>
      </c>
      <c r="M1072" s="558"/>
      <c r="N1072" s="558"/>
      <c r="O1072" s="590"/>
      <c r="P1072" s="564" t="s">
        <v>25</v>
      </c>
      <c r="Q1072" s="564" t="s">
        <v>25</v>
      </c>
      <c r="R1072" s="566"/>
      <c r="S1072" s="589"/>
      <c r="T1072" s="591"/>
      <c r="U1072" s="589"/>
      <c r="V1072" s="564" t="s">
        <v>2899</v>
      </c>
      <c r="W1072" s="564" t="s">
        <v>25</v>
      </c>
      <c r="X1072" s="589"/>
      <c r="Y1072" s="592"/>
      <c r="Z1072" s="592"/>
      <c r="AA1072" s="568"/>
      <c r="AB1072" s="592"/>
      <c r="AC1072" s="592"/>
      <c r="AD1072" s="592"/>
      <c r="AE1072" s="590"/>
      <c r="AF1072" s="570" t="s">
        <v>2899</v>
      </c>
      <c r="AG1072" s="570" t="s">
        <v>25</v>
      </c>
      <c r="AH1072" s="571" t="s">
        <v>25</v>
      </c>
      <c r="AI1072" s="575"/>
      <c r="AJ1072" s="593"/>
    </row>
    <row r="1073" spans="1:38" s="376" customFormat="1" ht="20.25" outlineLevel="2" x14ac:dyDescent="0.3">
      <c r="A1073" s="447">
        <v>83</v>
      </c>
      <c r="B1073" s="558"/>
      <c r="C1073" s="558"/>
      <c r="D1073" s="587"/>
      <c r="E1073" s="560"/>
      <c r="F1073" s="558"/>
      <c r="G1073" s="588"/>
      <c r="H1073" s="546"/>
      <c r="I1073" s="563" t="s">
        <v>25</v>
      </c>
      <c r="J1073" s="563" t="s">
        <v>25</v>
      </c>
      <c r="K1073" s="564" t="s">
        <v>25</v>
      </c>
      <c r="L1073" s="564" t="s">
        <v>25</v>
      </c>
      <c r="M1073" s="558"/>
      <c r="N1073" s="558"/>
      <c r="O1073" s="590"/>
      <c r="P1073" s="564" t="s">
        <v>25</v>
      </c>
      <c r="Q1073" s="564" t="s">
        <v>25</v>
      </c>
      <c r="R1073" s="566"/>
      <c r="S1073" s="589"/>
      <c r="T1073" s="591"/>
      <c r="U1073" s="589"/>
      <c r="V1073" s="564" t="s">
        <v>2899</v>
      </c>
      <c r="W1073" s="564" t="s">
        <v>25</v>
      </c>
      <c r="X1073" s="589"/>
      <c r="Y1073" s="592"/>
      <c r="Z1073" s="592"/>
      <c r="AA1073" s="568"/>
      <c r="AB1073" s="592"/>
      <c r="AC1073" s="592"/>
      <c r="AD1073" s="592"/>
      <c r="AE1073" s="590"/>
      <c r="AF1073" s="570" t="s">
        <v>2899</v>
      </c>
      <c r="AG1073" s="570" t="s">
        <v>25</v>
      </c>
      <c r="AH1073" s="571" t="s">
        <v>25</v>
      </c>
      <c r="AI1073" s="593"/>
      <c r="AJ1073" s="593"/>
    </row>
    <row r="1074" spans="1:38" s="376" customFormat="1" ht="20.25" outlineLevel="2" x14ac:dyDescent="0.3">
      <c r="A1074" s="447">
        <v>83</v>
      </c>
      <c r="B1074" s="558"/>
      <c r="C1074" s="558"/>
      <c r="D1074" s="587"/>
      <c r="E1074" s="560"/>
      <c r="F1074" s="558"/>
      <c r="G1074" s="588"/>
      <c r="H1074" s="546"/>
      <c r="I1074" s="563" t="s">
        <v>25</v>
      </c>
      <c r="J1074" s="563" t="s">
        <v>25</v>
      </c>
      <c r="K1074" s="564" t="s">
        <v>25</v>
      </c>
      <c r="L1074" s="564" t="s">
        <v>25</v>
      </c>
      <c r="M1074" s="558"/>
      <c r="N1074" s="558"/>
      <c r="O1074" s="590"/>
      <c r="P1074" s="564" t="s">
        <v>25</v>
      </c>
      <c r="Q1074" s="564" t="s">
        <v>25</v>
      </c>
      <c r="R1074" s="566"/>
      <c r="S1074" s="589"/>
      <c r="T1074" s="591"/>
      <c r="U1074" s="589"/>
      <c r="V1074" s="564" t="s">
        <v>2899</v>
      </c>
      <c r="W1074" s="564" t="s">
        <v>25</v>
      </c>
      <c r="X1074" s="589"/>
      <c r="Y1074" s="592"/>
      <c r="Z1074" s="592"/>
      <c r="AA1074" s="568"/>
      <c r="AB1074" s="592"/>
      <c r="AC1074" s="592"/>
      <c r="AD1074" s="592"/>
      <c r="AE1074" s="590"/>
      <c r="AF1074" s="570" t="s">
        <v>2899</v>
      </c>
      <c r="AG1074" s="570" t="s">
        <v>25</v>
      </c>
      <c r="AH1074" s="571" t="s">
        <v>25</v>
      </c>
      <c r="AI1074" s="593"/>
      <c r="AJ1074" s="593"/>
    </row>
    <row r="1075" spans="1:38" s="376" customFormat="1" ht="20.25" outlineLevel="2" x14ac:dyDescent="0.3">
      <c r="A1075" s="447">
        <v>83</v>
      </c>
      <c r="B1075" s="637"/>
      <c r="C1075" s="637"/>
      <c r="D1075" s="587"/>
      <c r="E1075" s="615"/>
      <c r="F1075" s="558"/>
      <c r="G1075" s="588"/>
      <c r="H1075" s="546"/>
      <c r="I1075" s="563" t="s">
        <v>25</v>
      </c>
      <c r="J1075" s="563" t="s">
        <v>25</v>
      </c>
      <c r="K1075" s="564" t="s">
        <v>25</v>
      </c>
      <c r="L1075" s="564" t="s">
        <v>25</v>
      </c>
      <c r="M1075" s="558"/>
      <c r="N1075" s="558"/>
      <c r="O1075" s="590"/>
      <c r="P1075" s="564" t="s">
        <v>25</v>
      </c>
      <c r="Q1075" s="564" t="s">
        <v>25</v>
      </c>
      <c r="R1075" s="566"/>
      <c r="S1075" s="589"/>
      <c r="T1075" s="591"/>
      <c r="U1075" s="589"/>
      <c r="V1075" s="564" t="s">
        <v>2899</v>
      </c>
      <c r="W1075" s="564" t="s">
        <v>25</v>
      </c>
      <c r="X1075" s="589"/>
      <c r="Y1075" s="592"/>
      <c r="Z1075" s="592"/>
      <c r="AA1075" s="568"/>
      <c r="AB1075" s="592"/>
      <c r="AC1075" s="592"/>
      <c r="AD1075" s="592"/>
      <c r="AE1075" s="590"/>
      <c r="AF1075" s="570" t="s">
        <v>2899</v>
      </c>
      <c r="AG1075" s="570" t="s">
        <v>25</v>
      </c>
      <c r="AH1075" s="571" t="s">
        <v>25</v>
      </c>
      <c r="AI1075" s="593"/>
      <c r="AJ1075" s="593"/>
    </row>
    <row r="1076" spans="1:38" s="376" customFormat="1" ht="20.25" outlineLevel="2" x14ac:dyDescent="0.3">
      <c r="A1076" s="447">
        <v>83</v>
      </c>
      <c r="B1076" s="578"/>
      <c r="C1076" s="578"/>
      <c r="D1076" s="691"/>
      <c r="E1076" s="691"/>
      <c r="F1076" s="558"/>
      <c r="G1076" s="604"/>
      <c r="H1076" s="546"/>
      <c r="I1076" s="563" t="s">
        <v>25</v>
      </c>
      <c r="J1076" s="563" t="s">
        <v>25</v>
      </c>
      <c r="K1076" s="564" t="s">
        <v>25</v>
      </c>
      <c r="L1076" s="564" t="s">
        <v>25</v>
      </c>
      <c r="M1076" s="593"/>
      <c r="N1076" s="593"/>
      <c r="O1076" s="616"/>
      <c r="P1076" s="564" t="s">
        <v>25</v>
      </c>
      <c r="Q1076" s="564" t="s">
        <v>25</v>
      </c>
      <c r="R1076" s="593"/>
      <c r="S1076" s="593"/>
      <c r="T1076" s="617"/>
      <c r="U1076" s="589"/>
      <c r="V1076" s="564" t="s">
        <v>2899</v>
      </c>
      <c r="W1076" s="564" t="s">
        <v>25</v>
      </c>
      <c r="X1076" s="562"/>
      <c r="Y1076" s="562"/>
      <c r="Z1076" s="562"/>
      <c r="AA1076" s="562"/>
      <c r="AB1076" s="562"/>
      <c r="AC1076" s="562"/>
      <c r="AD1076" s="562"/>
      <c r="AE1076" s="690"/>
      <c r="AF1076" s="570" t="s">
        <v>2899</v>
      </c>
      <c r="AG1076" s="570" t="s">
        <v>25</v>
      </c>
      <c r="AH1076" s="571" t="s">
        <v>25</v>
      </c>
      <c r="AI1076" s="593"/>
      <c r="AJ1076" s="593"/>
    </row>
    <row r="1077" spans="1:38" s="385" customFormat="1" ht="40.5" outlineLevel="1" x14ac:dyDescent="0.25">
      <c r="A1077" s="467">
        <v>84</v>
      </c>
      <c r="B1077" s="578" t="s">
        <v>790</v>
      </c>
      <c r="C1077" s="586" t="s">
        <v>2903</v>
      </c>
      <c r="D1077" s="696">
        <v>86</v>
      </c>
      <c r="E1077" s="696">
        <v>203</v>
      </c>
      <c r="F1077" s="578"/>
      <c r="G1077" s="692">
        <v>303.3</v>
      </c>
      <c r="H1077" s="579">
        <v>0</v>
      </c>
      <c r="I1077" s="581"/>
      <c r="J1077" s="581"/>
      <c r="K1077" s="571">
        <v>114284000</v>
      </c>
      <c r="L1077" s="571">
        <v>0</v>
      </c>
      <c r="M1077" s="598"/>
      <c r="N1077" s="598"/>
      <c r="O1077" s="633">
        <v>20</v>
      </c>
      <c r="P1077" s="571"/>
      <c r="Q1077" s="571">
        <v>10390000</v>
      </c>
      <c r="R1077" s="578"/>
      <c r="S1077" s="597"/>
      <c r="T1077" s="600">
        <v>664.18</v>
      </c>
      <c r="U1077" s="608"/>
      <c r="V1077" s="571"/>
      <c r="W1077" s="571">
        <v>0</v>
      </c>
      <c r="X1077" s="683"/>
      <c r="Y1077" s="683"/>
      <c r="Z1077" s="683"/>
      <c r="AA1077" s="694"/>
      <c r="AB1077" s="683"/>
      <c r="AC1077" s="683"/>
      <c r="AD1077" s="695"/>
      <c r="AE1077" s="599">
        <f>SUBTOTAL(9,AE1078:AE1100)</f>
        <v>0</v>
      </c>
      <c r="AF1077" s="585"/>
      <c r="AG1077" s="585">
        <v>0</v>
      </c>
      <c r="AH1077" s="571">
        <v>124674000</v>
      </c>
      <c r="AI1077" s="574"/>
      <c r="AJ1077" s="578"/>
      <c r="AK1077" s="472"/>
    </row>
    <row r="1078" spans="1:38" s="385" customFormat="1" ht="121.5" outlineLevel="2" x14ac:dyDescent="0.3">
      <c r="A1078" s="447">
        <v>84</v>
      </c>
      <c r="B1078" s="586" t="s">
        <v>796</v>
      </c>
      <c r="C1078" s="586"/>
      <c r="D1078" s="696">
        <v>86</v>
      </c>
      <c r="E1078" s="696">
        <v>203</v>
      </c>
      <c r="F1078" s="586" t="s">
        <v>2427</v>
      </c>
      <c r="G1078" s="697">
        <v>287</v>
      </c>
      <c r="H1078" s="546" t="s">
        <v>2899</v>
      </c>
      <c r="I1078" s="563">
        <v>376800</v>
      </c>
      <c r="J1078" s="563">
        <v>0</v>
      </c>
      <c r="K1078" s="564">
        <v>108142000</v>
      </c>
      <c r="L1078" s="564">
        <v>0</v>
      </c>
      <c r="M1078" s="565" t="s">
        <v>792</v>
      </c>
      <c r="N1078" s="565"/>
      <c r="O1078" s="630">
        <v>1</v>
      </c>
      <c r="P1078" s="564">
        <v>60000</v>
      </c>
      <c r="Q1078" s="564">
        <v>60000</v>
      </c>
      <c r="R1078" s="586" t="s">
        <v>1748</v>
      </c>
      <c r="S1078" s="589" t="s">
        <v>2804</v>
      </c>
      <c r="T1078" s="591">
        <v>16.25</v>
      </c>
      <c r="U1078" s="593"/>
      <c r="V1078" s="564"/>
      <c r="W1078" s="564">
        <v>0</v>
      </c>
      <c r="X1078" s="683"/>
      <c r="Y1078" s="683"/>
      <c r="Z1078" s="683"/>
      <c r="AA1078" s="694"/>
      <c r="AB1078" s="683"/>
      <c r="AC1078" s="683"/>
      <c r="AD1078" s="694"/>
      <c r="AE1078" s="590"/>
      <c r="AF1078" s="570" t="s">
        <v>2899</v>
      </c>
      <c r="AG1078" s="570"/>
      <c r="AH1078" s="571" t="s">
        <v>25</v>
      </c>
      <c r="AI1078" s="558" t="s">
        <v>794</v>
      </c>
      <c r="AJ1078" s="586" t="s">
        <v>2771</v>
      </c>
      <c r="AK1078" s="436" t="s">
        <v>811</v>
      </c>
      <c r="AL1078" s="385" t="s">
        <v>2138</v>
      </c>
    </row>
    <row r="1079" spans="1:38" s="385" customFormat="1" ht="121.5" outlineLevel="2" x14ac:dyDescent="0.3">
      <c r="A1079" s="447">
        <v>84</v>
      </c>
      <c r="B1079" s="586" t="s">
        <v>1653</v>
      </c>
      <c r="C1079" s="586"/>
      <c r="D1079" s="696"/>
      <c r="E1079" s="696"/>
      <c r="F1079" s="586" t="s">
        <v>2428</v>
      </c>
      <c r="G1079" s="697">
        <v>14.200000000000001</v>
      </c>
      <c r="H1079" s="546" t="s">
        <v>2899</v>
      </c>
      <c r="I1079" s="563">
        <v>376800</v>
      </c>
      <c r="J1079" s="563">
        <v>0</v>
      </c>
      <c r="K1079" s="564">
        <v>5351000</v>
      </c>
      <c r="L1079" s="564">
        <v>0</v>
      </c>
      <c r="M1079" s="586" t="s">
        <v>798</v>
      </c>
      <c r="N1079" s="586"/>
      <c r="O1079" s="630">
        <v>1</v>
      </c>
      <c r="P1079" s="564">
        <v>32000</v>
      </c>
      <c r="Q1079" s="564">
        <v>32000</v>
      </c>
      <c r="R1079" s="566" t="s">
        <v>1749</v>
      </c>
      <c r="S1079" s="589" t="s">
        <v>2804</v>
      </c>
      <c r="T1079" s="591">
        <v>16.25</v>
      </c>
      <c r="U1079" s="593"/>
      <c r="V1079" s="564"/>
      <c r="W1079" s="564">
        <v>0</v>
      </c>
      <c r="X1079" s="683"/>
      <c r="Y1079" s="683"/>
      <c r="Z1079" s="683"/>
      <c r="AA1079" s="694"/>
      <c r="AB1079" s="683"/>
      <c r="AC1079" s="683"/>
      <c r="AD1079" s="683"/>
      <c r="AE1079" s="590"/>
      <c r="AF1079" s="570" t="s">
        <v>2899</v>
      </c>
      <c r="AG1079" s="570" t="s">
        <v>25</v>
      </c>
      <c r="AH1079" s="571" t="s">
        <v>25</v>
      </c>
      <c r="AI1079" s="558" t="s">
        <v>2805</v>
      </c>
      <c r="AJ1079" s="558" t="s">
        <v>2450</v>
      </c>
    </row>
    <row r="1080" spans="1:38" s="385" customFormat="1" ht="101.25" outlineLevel="2" x14ac:dyDescent="0.3">
      <c r="A1080" s="447">
        <v>84</v>
      </c>
      <c r="B1080" s="593" t="s">
        <v>807</v>
      </c>
      <c r="C1080" s="593"/>
      <c r="D1080" s="615"/>
      <c r="E1080" s="700"/>
      <c r="F1080" s="586" t="s">
        <v>2429</v>
      </c>
      <c r="G1080" s="699">
        <v>2.1</v>
      </c>
      <c r="H1080" s="546" t="s">
        <v>2899</v>
      </c>
      <c r="I1080" s="563">
        <v>376800</v>
      </c>
      <c r="J1080" s="563">
        <v>0</v>
      </c>
      <c r="K1080" s="564">
        <v>791000</v>
      </c>
      <c r="L1080" s="564">
        <v>0</v>
      </c>
      <c r="M1080" s="558" t="s">
        <v>802</v>
      </c>
      <c r="N1080" s="558"/>
      <c r="O1080" s="630">
        <v>1</v>
      </c>
      <c r="P1080" s="564">
        <v>60000</v>
      </c>
      <c r="Q1080" s="564">
        <v>60000</v>
      </c>
      <c r="R1080" s="566" t="s">
        <v>1750</v>
      </c>
      <c r="S1080" s="589" t="s">
        <v>2804</v>
      </c>
      <c r="T1080" s="591">
        <v>42.25</v>
      </c>
      <c r="U1080" s="593"/>
      <c r="V1080" s="564"/>
      <c r="W1080" s="564">
        <v>0</v>
      </c>
      <c r="X1080" s="683"/>
      <c r="Y1080" s="683"/>
      <c r="Z1080" s="683"/>
      <c r="AA1080" s="694"/>
      <c r="AB1080" s="683"/>
      <c r="AC1080" s="683"/>
      <c r="AD1080" s="683"/>
      <c r="AE1080" s="590"/>
      <c r="AF1080" s="570" t="s">
        <v>2899</v>
      </c>
      <c r="AG1080" s="570" t="s">
        <v>25</v>
      </c>
      <c r="AH1080" s="571" t="s">
        <v>25</v>
      </c>
      <c r="AI1080" s="593" t="s">
        <v>398</v>
      </c>
      <c r="AJ1080" s="558" t="s">
        <v>2449</v>
      </c>
    </row>
    <row r="1081" spans="1:38" s="385" customFormat="1" ht="125.25" outlineLevel="2" x14ac:dyDescent="0.3">
      <c r="A1081" s="447">
        <v>84</v>
      </c>
      <c r="B1081" s="558"/>
      <c r="C1081" s="558"/>
      <c r="D1081" s="615"/>
      <c r="E1081" s="700"/>
      <c r="F1081" s="586"/>
      <c r="G1081" s="701"/>
      <c r="H1081" s="546"/>
      <c r="I1081" s="563" t="s">
        <v>25</v>
      </c>
      <c r="J1081" s="563" t="s">
        <v>25</v>
      </c>
      <c r="K1081" s="564" t="s">
        <v>25</v>
      </c>
      <c r="L1081" s="564" t="s">
        <v>25</v>
      </c>
      <c r="M1081" s="558" t="s">
        <v>806</v>
      </c>
      <c r="N1081" s="558"/>
      <c r="O1081" s="630">
        <v>1</v>
      </c>
      <c r="P1081" s="564">
        <v>360000</v>
      </c>
      <c r="Q1081" s="564">
        <v>360000</v>
      </c>
      <c r="R1081" s="586" t="s">
        <v>1748</v>
      </c>
      <c r="S1081" s="589" t="s">
        <v>2804</v>
      </c>
      <c r="T1081" s="591">
        <v>8.1999999999999993</v>
      </c>
      <c r="U1081" s="593"/>
      <c r="V1081" s="564"/>
      <c r="W1081" s="564">
        <v>0</v>
      </c>
      <c r="X1081" s="683"/>
      <c r="Y1081" s="683"/>
      <c r="Z1081" s="683"/>
      <c r="AA1081" s="694"/>
      <c r="AB1081" s="683"/>
      <c r="AC1081" s="683"/>
      <c r="AD1081" s="683"/>
      <c r="AE1081" s="590"/>
      <c r="AF1081" s="570" t="s">
        <v>2899</v>
      </c>
      <c r="AG1081" s="570" t="s">
        <v>25</v>
      </c>
      <c r="AH1081" s="571" t="s">
        <v>25</v>
      </c>
      <c r="AI1081" s="558" t="s">
        <v>2806</v>
      </c>
      <c r="AJ1081" s="566" t="s">
        <v>2800</v>
      </c>
    </row>
    <row r="1082" spans="1:38" s="385" customFormat="1" ht="101.25" outlineLevel="2" x14ac:dyDescent="0.3">
      <c r="A1082" s="447">
        <v>84</v>
      </c>
      <c r="B1082" s="558"/>
      <c r="C1082" s="558"/>
      <c r="D1082" s="615"/>
      <c r="E1082" s="700"/>
      <c r="F1082" s="558"/>
      <c r="G1082" s="702"/>
      <c r="H1082" s="546"/>
      <c r="I1082" s="563" t="s">
        <v>25</v>
      </c>
      <c r="J1082" s="563" t="s">
        <v>25</v>
      </c>
      <c r="K1082" s="564" t="s">
        <v>25</v>
      </c>
      <c r="L1082" s="564" t="s">
        <v>25</v>
      </c>
      <c r="M1082" s="558" t="s">
        <v>757</v>
      </c>
      <c r="N1082" s="558"/>
      <c r="O1082" s="630">
        <v>1</v>
      </c>
      <c r="P1082" s="564">
        <v>360000</v>
      </c>
      <c r="Q1082" s="564">
        <v>360000</v>
      </c>
      <c r="R1082" s="566" t="s">
        <v>1749</v>
      </c>
      <c r="S1082" s="589" t="s">
        <v>2804</v>
      </c>
      <c r="T1082" s="591">
        <v>8.1999999999999993</v>
      </c>
      <c r="U1082" s="593"/>
      <c r="V1082" s="564"/>
      <c r="W1082" s="564">
        <v>0</v>
      </c>
      <c r="X1082" s="683"/>
      <c r="Y1082" s="683"/>
      <c r="Z1082" s="683"/>
      <c r="AA1082" s="694"/>
      <c r="AB1082" s="683"/>
      <c r="AC1082" s="683"/>
      <c r="AD1082" s="683"/>
      <c r="AE1082" s="590"/>
      <c r="AF1082" s="570" t="s">
        <v>2899</v>
      </c>
      <c r="AG1082" s="570" t="s">
        <v>25</v>
      </c>
      <c r="AH1082" s="571" t="s">
        <v>25</v>
      </c>
      <c r="AI1082" s="558" t="s">
        <v>2218</v>
      </c>
      <c r="AJ1082" s="566"/>
    </row>
    <row r="1083" spans="1:38" s="385" customFormat="1" ht="60.75" outlineLevel="2" x14ac:dyDescent="0.3">
      <c r="A1083" s="447">
        <v>84</v>
      </c>
      <c r="B1083" s="558"/>
      <c r="C1083" s="558"/>
      <c r="D1083" s="615"/>
      <c r="E1083" s="700"/>
      <c r="F1083" s="558"/>
      <c r="G1083" s="702"/>
      <c r="H1083" s="546"/>
      <c r="I1083" s="563" t="s">
        <v>25</v>
      </c>
      <c r="J1083" s="563" t="s">
        <v>25</v>
      </c>
      <c r="K1083" s="564" t="s">
        <v>25</v>
      </c>
      <c r="L1083" s="564" t="s">
        <v>25</v>
      </c>
      <c r="M1083" s="558" t="s">
        <v>757</v>
      </c>
      <c r="N1083" s="558"/>
      <c r="O1083" s="630">
        <v>2</v>
      </c>
      <c r="P1083" s="564">
        <v>360000</v>
      </c>
      <c r="Q1083" s="564">
        <v>720000</v>
      </c>
      <c r="R1083" s="566" t="s">
        <v>1750</v>
      </c>
      <c r="S1083" s="589" t="s">
        <v>2804</v>
      </c>
      <c r="T1083" s="591">
        <v>52.89</v>
      </c>
      <c r="U1083" s="593"/>
      <c r="V1083" s="564"/>
      <c r="W1083" s="564">
        <v>0</v>
      </c>
      <c r="X1083" s="683"/>
      <c r="Y1083" s="683"/>
      <c r="Z1083" s="683"/>
      <c r="AA1083" s="694"/>
      <c r="AB1083" s="683"/>
      <c r="AC1083" s="683"/>
      <c r="AD1083" s="683"/>
      <c r="AE1083" s="590"/>
      <c r="AF1083" s="570" t="s">
        <v>2899</v>
      </c>
      <c r="AG1083" s="570" t="s">
        <v>25</v>
      </c>
      <c r="AH1083" s="571" t="s">
        <v>25</v>
      </c>
      <c r="AI1083" s="704"/>
      <c r="AJ1083" s="566"/>
    </row>
    <row r="1084" spans="1:38" s="385" customFormat="1" ht="60.75" outlineLevel="2" x14ac:dyDescent="0.3">
      <c r="A1084" s="447">
        <v>84</v>
      </c>
      <c r="B1084" s="572"/>
      <c r="C1084" s="572"/>
      <c r="D1084" s="615"/>
      <c r="E1084" s="700"/>
      <c r="F1084" s="586"/>
      <c r="G1084" s="702"/>
      <c r="H1084" s="546"/>
      <c r="I1084" s="563" t="s">
        <v>25</v>
      </c>
      <c r="J1084" s="563" t="s">
        <v>25</v>
      </c>
      <c r="K1084" s="564" t="s">
        <v>25</v>
      </c>
      <c r="L1084" s="564" t="s">
        <v>25</v>
      </c>
      <c r="M1084" s="565" t="s">
        <v>67</v>
      </c>
      <c r="N1084" s="565"/>
      <c r="O1084" s="630">
        <v>2</v>
      </c>
      <c r="P1084" s="564">
        <v>494000</v>
      </c>
      <c r="Q1084" s="564">
        <v>988000</v>
      </c>
      <c r="R1084" s="566" t="s">
        <v>1750</v>
      </c>
      <c r="S1084" s="589" t="s">
        <v>2804</v>
      </c>
      <c r="T1084" s="591">
        <v>91.4</v>
      </c>
      <c r="U1084" s="593"/>
      <c r="V1084" s="564"/>
      <c r="W1084" s="564">
        <v>0</v>
      </c>
      <c r="X1084" s="683"/>
      <c r="Y1084" s="683"/>
      <c r="Z1084" s="683"/>
      <c r="AA1084" s="694"/>
      <c r="AB1084" s="683"/>
      <c r="AC1084" s="683"/>
      <c r="AD1084" s="683"/>
      <c r="AE1084" s="590"/>
      <c r="AF1084" s="570" t="s">
        <v>2899</v>
      </c>
      <c r="AG1084" s="570" t="s">
        <v>25</v>
      </c>
      <c r="AH1084" s="571" t="s">
        <v>25</v>
      </c>
      <c r="AI1084" s="704"/>
      <c r="AJ1084" s="593"/>
    </row>
    <row r="1085" spans="1:38" s="385" customFormat="1" ht="60.75" outlineLevel="2" x14ac:dyDescent="0.3">
      <c r="A1085" s="447">
        <v>84</v>
      </c>
      <c r="B1085" s="558"/>
      <c r="C1085" s="558"/>
      <c r="D1085" s="615"/>
      <c r="E1085" s="700"/>
      <c r="F1085" s="558"/>
      <c r="G1085" s="702"/>
      <c r="H1085" s="546"/>
      <c r="I1085" s="563" t="s">
        <v>25</v>
      </c>
      <c r="J1085" s="563" t="s">
        <v>25</v>
      </c>
      <c r="K1085" s="564" t="s">
        <v>25</v>
      </c>
      <c r="L1085" s="564" t="s">
        <v>25</v>
      </c>
      <c r="M1085" s="558" t="s">
        <v>145</v>
      </c>
      <c r="N1085" s="558"/>
      <c r="O1085" s="630">
        <v>1</v>
      </c>
      <c r="P1085" s="564">
        <v>4240000</v>
      </c>
      <c r="Q1085" s="564">
        <v>4240000</v>
      </c>
      <c r="R1085" s="566" t="s">
        <v>1751</v>
      </c>
      <c r="S1085" s="589" t="s">
        <v>2804</v>
      </c>
      <c r="T1085" s="591">
        <v>9.6</v>
      </c>
      <c r="U1085" s="593"/>
      <c r="V1085" s="564"/>
      <c r="W1085" s="564">
        <v>0</v>
      </c>
      <c r="X1085" s="683"/>
      <c r="Y1085" s="683"/>
      <c r="Z1085" s="683"/>
      <c r="AA1085" s="694"/>
      <c r="AB1085" s="683"/>
      <c r="AC1085" s="683"/>
      <c r="AD1085" s="683"/>
      <c r="AE1085" s="590"/>
      <c r="AF1085" s="570" t="s">
        <v>2899</v>
      </c>
      <c r="AG1085" s="570" t="s">
        <v>25</v>
      </c>
      <c r="AH1085" s="571" t="s">
        <v>25</v>
      </c>
      <c r="AI1085" s="586"/>
      <c r="AJ1085" s="586"/>
    </row>
    <row r="1086" spans="1:38" s="385" customFormat="1" ht="40.5" outlineLevel="2" x14ac:dyDescent="0.3">
      <c r="A1086" s="447">
        <v>84</v>
      </c>
      <c r="B1086" s="558"/>
      <c r="C1086" s="558"/>
      <c r="D1086" s="615"/>
      <c r="E1086" s="700"/>
      <c r="F1086" s="558"/>
      <c r="G1086" s="702"/>
      <c r="H1086" s="546"/>
      <c r="I1086" s="563" t="s">
        <v>25</v>
      </c>
      <c r="J1086" s="563" t="s">
        <v>25</v>
      </c>
      <c r="K1086" s="564" t="s">
        <v>25</v>
      </c>
      <c r="L1086" s="564" t="s">
        <v>25</v>
      </c>
      <c r="M1086" s="558" t="s">
        <v>77</v>
      </c>
      <c r="N1086" s="558"/>
      <c r="O1086" s="630">
        <v>1</v>
      </c>
      <c r="P1086" s="564">
        <v>3064000</v>
      </c>
      <c r="Q1086" s="564">
        <v>3064000</v>
      </c>
      <c r="R1086" s="566" t="s">
        <v>1752</v>
      </c>
      <c r="S1086" s="589" t="s">
        <v>2804</v>
      </c>
      <c r="T1086" s="591">
        <v>117.6</v>
      </c>
      <c r="U1086" s="593"/>
      <c r="V1086" s="564"/>
      <c r="W1086" s="564">
        <v>0</v>
      </c>
      <c r="X1086" s="683"/>
      <c r="Y1086" s="683"/>
      <c r="Z1086" s="683"/>
      <c r="AA1086" s="694"/>
      <c r="AB1086" s="683"/>
      <c r="AC1086" s="683"/>
      <c r="AD1086" s="683"/>
      <c r="AE1086" s="590"/>
      <c r="AF1086" s="570" t="s">
        <v>2899</v>
      </c>
      <c r="AG1086" s="570" t="s">
        <v>25</v>
      </c>
      <c r="AH1086" s="571" t="s">
        <v>25</v>
      </c>
      <c r="AI1086" s="593"/>
      <c r="AJ1086" s="593"/>
    </row>
    <row r="1087" spans="1:38" s="385" customFormat="1" ht="60.75" outlineLevel="2" x14ac:dyDescent="0.3">
      <c r="A1087" s="447">
        <v>84</v>
      </c>
      <c r="B1087" s="572"/>
      <c r="C1087" s="572"/>
      <c r="D1087" s="615"/>
      <c r="E1087" s="700"/>
      <c r="F1087" s="558"/>
      <c r="G1087" s="702"/>
      <c r="H1087" s="546"/>
      <c r="I1087" s="563" t="s">
        <v>25</v>
      </c>
      <c r="J1087" s="563" t="s">
        <v>25</v>
      </c>
      <c r="K1087" s="564" t="s">
        <v>25</v>
      </c>
      <c r="L1087" s="564" t="s">
        <v>25</v>
      </c>
      <c r="M1087" s="565" t="s">
        <v>148</v>
      </c>
      <c r="N1087" s="565"/>
      <c r="O1087" s="630">
        <v>1</v>
      </c>
      <c r="P1087" s="564">
        <v>70000</v>
      </c>
      <c r="Q1087" s="564">
        <v>70000</v>
      </c>
      <c r="R1087" s="566" t="s">
        <v>1753</v>
      </c>
      <c r="S1087" s="589" t="s">
        <v>2804</v>
      </c>
      <c r="T1087" s="591">
        <v>2.8</v>
      </c>
      <c r="U1087" s="593"/>
      <c r="V1087" s="564"/>
      <c r="W1087" s="564">
        <v>0</v>
      </c>
      <c r="X1087" s="683"/>
      <c r="Y1087" s="683"/>
      <c r="Z1087" s="683"/>
      <c r="AA1087" s="694"/>
      <c r="AB1087" s="683"/>
      <c r="AC1087" s="683"/>
      <c r="AD1087" s="683"/>
      <c r="AE1087" s="590"/>
      <c r="AF1087" s="570" t="s">
        <v>2899</v>
      </c>
      <c r="AG1087" s="570" t="s">
        <v>25</v>
      </c>
      <c r="AH1087" s="571" t="s">
        <v>25</v>
      </c>
      <c r="AI1087" s="593"/>
      <c r="AJ1087" s="593"/>
    </row>
    <row r="1088" spans="1:38" s="385" customFormat="1" ht="60.75" outlineLevel="2" x14ac:dyDescent="0.3">
      <c r="A1088" s="447">
        <v>84</v>
      </c>
      <c r="B1088" s="558"/>
      <c r="C1088" s="558"/>
      <c r="D1088" s="615"/>
      <c r="E1088" s="700"/>
      <c r="F1088" s="558"/>
      <c r="G1088" s="702"/>
      <c r="H1088" s="546"/>
      <c r="I1088" s="563" t="s">
        <v>25</v>
      </c>
      <c r="J1088" s="563" t="s">
        <v>25</v>
      </c>
      <c r="K1088" s="564" t="s">
        <v>25</v>
      </c>
      <c r="L1088" s="564" t="s">
        <v>25</v>
      </c>
      <c r="M1088" s="586" t="s">
        <v>352</v>
      </c>
      <c r="N1088" s="586"/>
      <c r="O1088" s="630">
        <v>1</v>
      </c>
      <c r="P1088" s="564">
        <v>60000</v>
      </c>
      <c r="Q1088" s="564">
        <v>60000</v>
      </c>
      <c r="R1088" s="566" t="s">
        <v>1753</v>
      </c>
      <c r="S1088" s="589" t="s">
        <v>2804</v>
      </c>
      <c r="T1088" s="591">
        <v>4.4800000000000004</v>
      </c>
      <c r="U1088" s="593"/>
      <c r="V1088" s="564"/>
      <c r="W1088" s="564">
        <v>0</v>
      </c>
      <c r="X1088" s="683"/>
      <c r="Y1088" s="683"/>
      <c r="Z1088" s="683"/>
      <c r="AA1088" s="694"/>
      <c r="AB1088" s="683"/>
      <c r="AC1088" s="683"/>
      <c r="AD1088" s="683"/>
      <c r="AE1088" s="590"/>
      <c r="AF1088" s="570" t="s">
        <v>2899</v>
      </c>
      <c r="AG1088" s="570" t="s">
        <v>25</v>
      </c>
      <c r="AH1088" s="571" t="s">
        <v>25</v>
      </c>
      <c r="AI1088" s="593"/>
      <c r="AJ1088" s="593"/>
    </row>
    <row r="1089" spans="1:36" s="385" customFormat="1" ht="60.75" outlineLevel="2" x14ac:dyDescent="0.3">
      <c r="A1089" s="447">
        <v>84</v>
      </c>
      <c r="B1089" s="572"/>
      <c r="C1089" s="572"/>
      <c r="D1089" s="615"/>
      <c r="E1089" s="700"/>
      <c r="F1089" s="586"/>
      <c r="G1089" s="702"/>
      <c r="H1089" s="546"/>
      <c r="I1089" s="563" t="s">
        <v>25</v>
      </c>
      <c r="J1089" s="563" t="s">
        <v>25</v>
      </c>
      <c r="K1089" s="564" t="s">
        <v>25</v>
      </c>
      <c r="L1089" s="564" t="s">
        <v>25</v>
      </c>
      <c r="M1089" s="565" t="s">
        <v>812</v>
      </c>
      <c r="N1089" s="565"/>
      <c r="O1089" s="630">
        <v>1</v>
      </c>
      <c r="P1089" s="564">
        <v>72000</v>
      </c>
      <c r="Q1089" s="564">
        <v>72000</v>
      </c>
      <c r="R1089" s="566" t="s">
        <v>1753</v>
      </c>
      <c r="S1089" s="589" t="s">
        <v>2804</v>
      </c>
      <c r="T1089" s="591">
        <v>5.4</v>
      </c>
      <c r="U1089" s="593"/>
      <c r="V1089" s="564"/>
      <c r="W1089" s="564">
        <v>0</v>
      </c>
      <c r="X1089" s="683"/>
      <c r="Y1089" s="683"/>
      <c r="Z1089" s="683"/>
      <c r="AA1089" s="694"/>
      <c r="AB1089" s="683"/>
      <c r="AC1089" s="683"/>
      <c r="AD1089" s="683"/>
      <c r="AE1089" s="590"/>
      <c r="AF1089" s="570" t="s">
        <v>2899</v>
      </c>
      <c r="AG1089" s="570" t="s">
        <v>25</v>
      </c>
      <c r="AH1089" s="571" t="s">
        <v>25</v>
      </c>
      <c r="AI1089" s="586"/>
      <c r="AJ1089" s="586"/>
    </row>
    <row r="1090" spans="1:36" s="385" customFormat="1" ht="60.75" outlineLevel="2" x14ac:dyDescent="0.3">
      <c r="A1090" s="447">
        <v>84</v>
      </c>
      <c r="B1090" s="558"/>
      <c r="C1090" s="558"/>
      <c r="D1090" s="615"/>
      <c r="E1090" s="700"/>
      <c r="F1090" s="586"/>
      <c r="G1090" s="702"/>
      <c r="H1090" s="546"/>
      <c r="I1090" s="563" t="s">
        <v>25</v>
      </c>
      <c r="J1090" s="563" t="s">
        <v>25</v>
      </c>
      <c r="K1090" s="564" t="s">
        <v>25</v>
      </c>
      <c r="L1090" s="564" t="s">
        <v>25</v>
      </c>
      <c r="M1090" s="558" t="s">
        <v>813</v>
      </c>
      <c r="N1090" s="558"/>
      <c r="O1090" s="630">
        <v>1</v>
      </c>
      <c r="P1090" s="564">
        <v>72000</v>
      </c>
      <c r="Q1090" s="564">
        <v>72000</v>
      </c>
      <c r="R1090" s="566" t="s">
        <v>1750</v>
      </c>
      <c r="S1090" s="589" t="s">
        <v>2804</v>
      </c>
      <c r="T1090" s="591">
        <v>26.18</v>
      </c>
      <c r="U1090" s="593"/>
      <c r="V1090" s="564"/>
      <c r="W1090" s="564">
        <v>0</v>
      </c>
      <c r="X1090" s="683"/>
      <c r="Y1090" s="683"/>
      <c r="Z1090" s="683"/>
      <c r="AA1090" s="694"/>
      <c r="AB1090" s="683"/>
      <c r="AC1090" s="683"/>
      <c r="AD1090" s="683"/>
      <c r="AE1090" s="590"/>
      <c r="AF1090" s="570" t="s">
        <v>2899</v>
      </c>
      <c r="AG1090" s="570" t="s">
        <v>25</v>
      </c>
      <c r="AH1090" s="571" t="s">
        <v>25</v>
      </c>
      <c r="AI1090" s="593"/>
      <c r="AJ1090" s="593"/>
    </row>
    <row r="1091" spans="1:36" s="385" customFormat="1" ht="40.5" outlineLevel="2" x14ac:dyDescent="0.3">
      <c r="A1091" s="447">
        <v>84</v>
      </c>
      <c r="B1091" s="558"/>
      <c r="C1091" s="558"/>
      <c r="D1091" s="615"/>
      <c r="E1091" s="700"/>
      <c r="F1091" s="558"/>
      <c r="G1091" s="702"/>
      <c r="H1091" s="546"/>
      <c r="I1091" s="563" t="s">
        <v>25</v>
      </c>
      <c r="J1091" s="563" t="s">
        <v>25</v>
      </c>
      <c r="K1091" s="564" t="s">
        <v>25</v>
      </c>
      <c r="L1091" s="564" t="s">
        <v>25</v>
      </c>
      <c r="M1091" s="565" t="s">
        <v>814</v>
      </c>
      <c r="N1091" s="565"/>
      <c r="O1091" s="630">
        <v>1</v>
      </c>
      <c r="P1091" s="564">
        <v>150000</v>
      </c>
      <c r="Q1091" s="564">
        <v>150000</v>
      </c>
      <c r="R1091" s="566" t="s">
        <v>1754</v>
      </c>
      <c r="S1091" s="589" t="s">
        <v>2804</v>
      </c>
      <c r="T1091" s="591">
        <v>16.25</v>
      </c>
      <c r="U1091" s="593"/>
      <c r="V1091" s="564"/>
      <c r="W1091" s="564">
        <v>0</v>
      </c>
      <c r="X1091" s="683"/>
      <c r="Y1091" s="683"/>
      <c r="Z1091" s="683"/>
      <c r="AA1091" s="694"/>
      <c r="AB1091" s="683"/>
      <c r="AC1091" s="683"/>
      <c r="AD1091" s="683"/>
      <c r="AE1091" s="590"/>
      <c r="AF1091" s="570" t="s">
        <v>2899</v>
      </c>
      <c r="AG1091" s="570" t="s">
        <v>25</v>
      </c>
      <c r="AH1091" s="571" t="s">
        <v>25</v>
      </c>
      <c r="AI1091" s="593"/>
      <c r="AJ1091" s="593"/>
    </row>
    <row r="1092" spans="1:36" s="385" customFormat="1" ht="60.75" outlineLevel="2" x14ac:dyDescent="0.3">
      <c r="A1092" s="447">
        <v>84</v>
      </c>
      <c r="B1092" s="558"/>
      <c r="C1092" s="558"/>
      <c r="D1092" s="615"/>
      <c r="E1092" s="700"/>
      <c r="F1092" s="558"/>
      <c r="G1092" s="702"/>
      <c r="H1092" s="546"/>
      <c r="I1092" s="563" t="s">
        <v>25</v>
      </c>
      <c r="J1092" s="563" t="s">
        <v>25</v>
      </c>
      <c r="K1092" s="564" t="s">
        <v>25</v>
      </c>
      <c r="L1092" s="564" t="s">
        <v>25</v>
      </c>
      <c r="M1092" s="558" t="s">
        <v>815</v>
      </c>
      <c r="N1092" s="558"/>
      <c r="O1092" s="630">
        <v>1</v>
      </c>
      <c r="P1092" s="564">
        <v>70000</v>
      </c>
      <c r="Q1092" s="564">
        <v>70000</v>
      </c>
      <c r="R1092" s="566" t="s">
        <v>1755</v>
      </c>
      <c r="S1092" s="589" t="s">
        <v>2804</v>
      </c>
      <c r="T1092" s="591">
        <v>8.16</v>
      </c>
      <c r="U1092" s="593"/>
      <c r="V1092" s="564"/>
      <c r="W1092" s="564">
        <v>0</v>
      </c>
      <c r="X1092" s="683"/>
      <c r="Y1092" s="683"/>
      <c r="Z1092" s="683"/>
      <c r="AA1092" s="694"/>
      <c r="AB1092" s="683"/>
      <c r="AC1092" s="683"/>
      <c r="AD1092" s="683"/>
      <c r="AE1092" s="590"/>
      <c r="AF1092" s="570" t="s">
        <v>2899</v>
      </c>
      <c r="AG1092" s="570" t="s">
        <v>25</v>
      </c>
      <c r="AH1092" s="571" t="s">
        <v>25</v>
      </c>
      <c r="AI1092" s="593"/>
      <c r="AJ1092" s="593"/>
    </row>
    <row r="1093" spans="1:36" s="385" customFormat="1" ht="60.75" outlineLevel="2" x14ac:dyDescent="0.3">
      <c r="A1093" s="447">
        <v>84</v>
      </c>
      <c r="B1093" s="572"/>
      <c r="C1093" s="572"/>
      <c r="D1093" s="615"/>
      <c r="E1093" s="700"/>
      <c r="F1093" s="558"/>
      <c r="G1093" s="702"/>
      <c r="H1093" s="546"/>
      <c r="I1093" s="563" t="s">
        <v>25</v>
      </c>
      <c r="J1093" s="563" t="s">
        <v>25</v>
      </c>
      <c r="K1093" s="564" t="s">
        <v>25</v>
      </c>
      <c r="L1093" s="564" t="s">
        <v>25</v>
      </c>
      <c r="M1093" s="558" t="s">
        <v>816</v>
      </c>
      <c r="N1093" s="558"/>
      <c r="O1093" s="630">
        <v>1</v>
      </c>
      <c r="P1093" s="564">
        <v>0</v>
      </c>
      <c r="Q1093" s="564">
        <v>0</v>
      </c>
      <c r="R1093" s="566" t="s">
        <v>1755</v>
      </c>
      <c r="S1093" s="589" t="s">
        <v>2804</v>
      </c>
      <c r="T1093" s="591">
        <v>2.89</v>
      </c>
      <c r="U1093" s="593"/>
      <c r="V1093" s="564"/>
      <c r="W1093" s="564">
        <v>0</v>
      </c>
      <c r="X1093" s="683"/>
      <c r="Y1093" s="683"/>
      <c r="Z1093" s="683"/>
      <c r="AA1093" s="694"/>
      <c r="AB1093" s="683"/>
      <c r="AC1093" s="683"/>
      <c r="AD1093" s="683"/>
      <c r="AE1093" s="590"/>
      <c r="AF1093" s="570" t="s">
        <v>2899</v>
      </c>
      <c r="AG1093" s="570" t="s">
        <v>25</v>
      </c>
      <c r="AH1093" s="571" t="s">
        <v>25</v>
      </c>
      <c r="AI1093" s="593"/>
      <c r="AJ1093" s="593"/>
    </row>
    <row r="1094" spans="1:36" s="385" customFormat="1" ht="60.75" outlineLevel="2" x14ac:dyDescent="0.3">
      <c r="A1094" s="447">
        <v>84</v>
      </c>
      <c r="B1094" s="572"/>
      <c r="C1094" s="572"/>
      <c r="D1094" s="615"/>
      <c r="E1094" s="700"/>
      <c r="F1094" s="558"/>
      <c r="G1094" s="702"/>
      <c r="H1094" s="546"/>
      <c r="I1094" s="563" t="s">
        <v>25</v>
      </c>
      <c r="J1094" s="563" t="s">
        <v>25</v>
      </c>
      <c r="K1094" s="564" t="s">
        <v>25</v>
      </c>
      <c r="L1094" s="564" t="s">
        <v>25</v>
      </c>
      <c r="M1094" s="565" t="s">
        <v>817</v>
      </c>
      <c r="N1094" s="565"/>
      <c r="O1094" s="630">
        <v>2</v>
      </c>
      <c r="P1094" s="564">
        <v>6000</v>
      </c>
      <c r="Q1094" s="564">
        <v>12000</v>
      </c>
      <c r="R1094" s="566" t="s">
        <v>1755</v>
      </c>
      <c r="S1094" s="589" t="s">
        <v>2804</v>
      </c>
      <c r="T1094" s="591">
        <v>1.53</v>
      </c>
      <c r="U1094" s="593"/>
      <c r="V1094" s="564"/>
      <c r="W1094" s="564">
        <v>0</v>
      </c>
      <c r="X1094" s="683"/>
      <c r="Y1094" s="683"/>
      <c r="Z1094" s="683"/>
      <c r="AA1094" s="694"/>
      <c r="AB1094" s="683"/>
      <c r="AC1094" s="683"/>
      <c r="AD1094" s="683"/>
      <c r="AE1094" s="590"/>
      <c r="AF1094" s="570" t="s">
        <v>2899</v>
      </c>
      <c r="AG1094" s="570" t="s">
        <v>25</v>
      </c>
      <c r="AH1094" s="571" t="s">
        <v>25</v>
      </c>
      <c r="AI1094" s="593"/>
      <c r="AJ1094" s="593"/>
    </row>
    <row r="1095" spans="1:36" s="385" customFormat="1" ht="81" outlineLevel="2" x14ac:dyDescent="0.3">
      <c r="A1095" s="447">
        <v>84</v>
      </c>
      <c r="B1095" s="572"/>
      <c r="C1095" s="572"/>
      <c r="D1095" s="615"/>
      <c r="E1095" s="700"/>
      <c r="F1095" s="558"/>
      <c r="G1095" s="702"/>
      <c r="H1095" s="546"/>
      <c r="I1095" s="563" t="s">
        <v>25</v>
      </c>
      <c r="J1095" s="563" t="s">
        <v>25</v>
      </c>
      <c r="K1095" s="564" t="s">
        <v>25</v>
      </c>
      <c r="L1095" s="564" t="s">
        <v>25</v>
      </c>
      <c r="M1095" s="565"/>
      <c r="N1095" s="565"/>
      <c r="O1095" s="630"/>
      <c r="P1095" s="564" t="s">
        <v>25</v>
      </c>
      <c r="Q1095" s="564" t="s">
        <v>25</v>
      </c>
      <c r="R1095" s="566" t="s">
        <v>1756</v>
      </c>
      <c r="S1095" s="589" t="s">
        <v>2804</v>
      </c>
      <c r="T1095" s="591">
        <v>88.56</v>
      </c>
      <c r="U1095" s="593"/>
      <c r="V1095" s="564"/>
      <c r="W1095" s="564">
        <v>0</v>
      </c>
      <c r="X1095" s="683"/>
      <c r="Y1095" s="683"/>
      <c r="Z1095" s="683"/>
      <c r="AA1095" s="694"/>
      <c r="AB1095" s="683"/>
      <c r="AC1095" s="683"/>
      <c r="AD1095" s="683"/>
      <c r="AE1095" s="590"/>
      <c r="AF1095" s="570" t="s">
        <v>2899</v>
      </c>
      <c r="AG1095" s="570" t="s">
        <v>25</v>
      </c>
      <c r="AH1095" s="571" t="s">
        <v>25</v>
      </c>
      <c r="AI1095" s="593"/>
      <c r="AJ1095" s="593"/>
    </row>
    <row r="1096" spans="1:36" s="385" customFormat="1" ht="40.5" outlineLevel="2" x14ac:dyDescent="0.3">
      <c r="A1096" s="447">
        <v>84</v>
      </c>
      <c r="B1096" s="572"/>
      <c r="C1096" s="572"/>
      <c r="D1096" s="615"/>
      <c r="E1096" s="700"/>
      <c r="F1096" s="558"/>
      <c r="G1096" s="702"/>
      <c r="H1096" s="546"/>
      <c r="I1096" s="563" t="s">
        <v>25</v>
      </c>
      <c r="J1096" s="563" t="s">
        <v>25</v>
      </c>
      <c r="K1096" s="564" t="s">
        <v>25</v>
      </c>
      <c r="L1096" s="564" t="s">
        <v>25</v>
      </c>
      <c r="M1096" s="565"/>
      <c r="N1096" s="565"/>
      <c r="O1096" s="630"/>
      <c r="P1096" s="564" t="s">
        <v>25</v>
      </c>
      <c r="Q1096" s="564" t="s">
        <v>25</v>
      </c>
      <c r="R1096" s="586" t="s">
        <v>1757</v>
      </c>
      <c r="S1096" s="589" t="s">
        <v>2804</v>
      </c>
      <c r="T1096" s="591">
        <v>52.89</v>
      </c>
      <c r="U1096" s="593"/>
      <c r="V1096" s="564"/>
      <c r="W1096" s="564">
        <v>0</v>
      </c>
      <c r="X1096" s="683"/>
      <c r="Y1096" s="683"/>
      <c r="Z1096" s="683"/>
      <c r="AA1096" s="694"/>
      <c r="AB1096" s="683"/>
      <c r="AC1096" s="683"/>
      <c r="AD1096" s="683"/>
      <c r="AE1096" s="590"/>
      <c r="AF1096" s="570" t="s">
        <v>2899</v>
      </c>
      <c r="AG1096" s="570" t="s">
        <v>25</v>
      </c>
      <c r="AH1096" s="571" t="s">
        <v>25</v>
      </c>
      <c r="AI1096" s="593"/>
      <c r="AJ1096" s="593"/>
    </row>
    <row r="1097" spans="1:36" s="385" customFormat="1" ht="40.5" outlineLevel="2" x14ac:dyDescent="0.3">
      <c r="A1097" s="447">
        <v>84</v>
      </c>
      <c r="B1097" s="572"/>
      <c r="C1097" s="572"/>
      <c r="D1097" s="615"/>
      <c r="E1097" s="700"/>
      <c r="F1097" s="558"/>
      <c r="G1097" s="702"/>
      <c r="H1097" s="546"/>
      <c r="I1097" s="563" t="s">
        <v>25</v>
      </c>
      <c r="J1097" s="563" t="s">
        <v>25</v>
      </c>
      <c r="K1097" s="564" t="s">
        <v>25</v>
      </c>
      <c r="L1097" s="564" t="s">
        <v>25</v>
      </c>
      <c r="M1097" s="565"/>
      <c r="N1097" s="565"/>
      <c r="O1097" s="630"/>
      <c r="P1097" s="564" t="s">
        <v>25</v>
      </c>
      <c r="Q1097" s="564" t="s">
        <v>25</v>
      </c>
      <c r="R1097" s="586" t="s">
        <v>1757</v>
      </c>
      <c r="S1097" s="589" t="s">
        <v>2804</v>
      </c>
      <c r="T1097" s="591">
        <v>91.4</v>
      </c>
      <c r="U1097" s="593"/>
      <c r="V1097" s="564"/>
      <c r="W1097" s="564">
        <v>0</v>
      </c>
      <c r="X1097" s="683"/>
      <c r="Y1097" s="683"/>
      <c r="Z1097" s="683"/>
      <c r="AA1097" s="694"/>
      <c r="AB1097" s="683"/>
      <c r="AC1097" s="683"/>
      <c r="AD1097" s="683"/>
      <c r="AE1097" s="590"/>
      <c r="AF1097" s="570" t="s">
        <v>2899</v>
      </c>
      <c r="AG1097" s="570" t="s">
        <v>25</v>
      </c>
      <c r="AH1097" s="571" t="s">
        <v>25</v>
      </c>
      <c r="AI1097" s="593"/>
      <c r="AJ1097" s="593"/>
    </row>
    <row r="1098" spans="1:36" s="385" customFormat="1" ht="60.75" outlineLevel="2" x14ac:dyDescent="0.3">
      <c r="A1098" s="447">
        <v>84</v>
      </c>
      <c r="B1098" s="572"/>
      <c r="C1098" s="572"/>
      <c r="D1098" s="615"/>
      <c r="E1098" s="700"/>
      <c r="F1098" s="558"/>
      <c r="G1098" s="702"/>
      <c r="H1098" s="546"/>
      <c r="I1098" s="563" t="s">
        <v>25</v>
      </c>
      <c r="J1098" s="563" t="s">
        <v>25</v>
      </c>
      <c r="K1098" s="564" t="s">
        <v>25</v>
      </c>
      <c r="L1098" s="564" t="s">
        <v>25</v>
      </c>
      <c r="M1098" s="565"/>
      <c r="N1098" s="565"/>
      <c r="O1098" s="630"/>
      <c r="P1098" s="564" t="s">
        <v>25</v>
      </c>
      <c r="Q1098" s="564" t="s">
        <v>25</v>
      </c>
      <c r="R1098" s="566" t="s">
        <v>1758</v>
      </c>
      <c r="S1098" s="589" t="s">
        <v>93</v>
      </c>
      <c r="T1098" s="591">
        <v>1</v>
      </c>
      <c r="U1098" s="593"/>
      <c r="V1098" s="564"/>
      <c r="W1098" s="564">
        <v>0</v>
      </c>
      <c r="X1098" s="683"/>
      <c r="Y1098" s="683"/>
      <c r="Z1098" s="683"/>
      <c r="AA1098" s="694"/>
      <c r="AB1098" s="683"/>
      <c r="AC1098" s="683"/>
      <c r="AD1098" s="683"/>
      <c r="AE1098" s="590"/>
      <c r="AF1098" s="570" t="s">
        <v>2899</v>
      </c>
      <c r="AG1098" s="570" t="s">
        <v>25</v>
      </c>
      <c r="AH1098" s="571" t="s">
        <v>25</v>
      </c>
      <c r="AI1098" s="593"/>
      <c r="AJ1098" s="593"/>
    </row>
    <row r="1099" spans="1:36" s="385" customFormat="1" ht="20.25" outlineLevel="2" x14ac:dyDescent="0.3">
      <c r="A1099" s="447">
        <v>84</v>
      </c>
      <c r="B1099" s="572"/>
      <c r="C1099" s="572"/>
      <c r="D1099" s="615"/>
      <c r="E1099" s="700"/>
      <c r="F1099" s="558"/>
      <c r="G1099" s="702"/>
      <c r="H1099" s="546"/>
      <c r="I1099" s="563" t="s">
        <v>25</v>
      </c>
      <c r="J1099" s="563" t="s">
        <v>25</v>
      </c>
      <c r="K1099" s="564" t="s">
        <v>25</v>
      </c>
      <c r="L1099" s="564" t="s">
        <v>25</v>
      </c>
      <c r="M1099" s="565"/>
      <c r="N1099" s="565"/>
      <c r="O1099" s="630"/>
      <c r="P1099" s="564" t="s">
        <v>25</v>
      </c>
      <c r="Q1099" s="564" t="s">
        <v>25</v>
      </c>
      <c r="R1099" s="566"/>
      <c r="S1099" s="589"/>
      <c r="T1099" s="591"/>
      <c r="U1099" s="593"/>
      <c r="V1099" s="564" t="s">
        <v>2899</v>
      </c>
      <c r="W1099" s="564" t="s">
        <v>25</v>
      </c>
      <c r="X1099" s="683"/>
      <c r="Y1099" s="683"/>
      <c r="Z1099" s="683"/>
      <c r="AA1099" s="694"/>
      <c r="AB1099" s="683"/>
      <c r="AC1099" s="683"/>
      <c r="AD1099" s="683"/>
      <c r="AE1099" s="590"/>
      <c r="AF1099" s="570" t="s">
        <v>2899</v>
      </c>
      <c r="AG1099" s="570" t="s">
        <v>25</v>
      </c>
      <c r="AH1099" s="571" t="s">
        <v>25</v>
      </c>
      <c r="AI1099" s="593"/>
      <c r="AJ1099" s="593"/>
    </row>
    <row r="1100" spans="1:36" s="385" customFormat="1" ht="20.25" outlineLevel="2" x14ac:dyDescent="0.3">
      <c r="A1100" s="447">
        <v>84</v>
      </c>
      <c r="B1100" s="607"/>
      <c r="C1100" s="607"/>
      <c r="D1100" s="705"/>
      <c r="E1100" s="706"/>
      <c r="F1100" s="558"/>
      <c r="G1100" s="702"/>
      <c r="H1100" s="546"/>
      <c r="I1100" s="563" t="s">
        <v>25</v>
      </c>
      <c r="J1100" s="563" t="s">
        <v>25</v>
      </c>
      <c r="K1100" s="564" t="s">
        <v>25</v>
      </c>
      <c r="L1100" s="564" t="s">
        <v>25</v>
      </c>
      <c r="M1100" s="565"/>
      <c r="N1100" s="565"/>
      <c r="O1100" s="630"/>
      <c r="P1100" s="564" t="s">
        <v>25</v>
      </c>
      <c r="Q1100" s="564" t="s">
        <v>25</v>
      </c>
      <c r="R1100" s="566"/>
      <c r="S1100" s="589"/>
      <c r="T1100" s="591"/>
      <c r="U1100" s="593"/>
      <c r="V1100" s="564" t="s">
        <v>2899</v>
      </c>
      <c r="W1100" s="564" t="s">
        <v>25</v>
      </c>
      <c r="X1100" s="683"/>
      <c r="Y1100" s="683"/>
      <c r="Z1100" s="683"/>
      <c r="AA1100" s="694"/>
      <c r="AB1100" s="683"/>
      <c r="AC1100" s="683"/>
      <c r="AD1100" s="683"/>
      <c r="AE1100" s="590"/>
      <c r="AF1100" s="570" t="s">
        <v>2899</v>
      </c>
      <c r="AG1100" s="570" t="s">
        <v>25</v>
      </c>
      <c r="AH1100" s="571" t="s">
        <v>25</v>
      </c>
      <c r="AI1100" s="593"/>
      <c r="AJ1100" s="593"/>
    </row>
    <row r="1101" spans="1:36" s="386" customFormat="1" ht="40.5" outlineLevel="1" x14ac:dyDescent="0.25">
      <c r="A1101" s="467">
        <v>85</v>
      </c>
      <c r="B1101" s="607" t="s">
        <v>818</v>
      </c>
      <c r="C1101" s="586" t="s">
        <v>2903</v>
      </c>
      <c r="D1101" s="615">
        <v>86</v>
      </c>
      <c r="E1101" s="700">
        <v>280</v>
      </c>
      <c r="F1101" s="578"/>
      <c r="G1101" s="707">
        <v>377.5</v>
      </c>
      <c r="H1101" s="579">
        <v>92.899999999999991</v>
      </c>
      <c r="I1101" s="581"/>
      <c r="J1101" s="581"/>
      <c r="K1101" s="571">
        <v>142242000</v>
      </c>
      <c r="L1101" s="571">
        <v>105014000</v>
      </c>
      <c r="M1101" s="574"/>
      <c r="N1101" s="574"/>
      <c r="O1101" s="633">
        <v>0</v>
      </c>
      <c r="P1101" s="571"/>
      <c r="Q1101" s="571">
        <v>0</v>
      </c>
      <c r="R1101" s="582"/>
      <c r="S1101" s="597"/>
      <c r="T1101" s="708">
        <v>334.6</v>
      </c>
      <c r="U1101" s="608"/>
      <c r="V1101" s="571"/>
      <c r="W1101" s="571">
        <v>0</v>
      </c>
      <c r="X1101" s="683"/>
      <c r="Y1101" s="683"/>
      <c r="Z1101" s="683"/>
      <c r="AA1101" s="694"/>
      <c r="AB1101" s="683"/>
      <c r="AC1101" s="683"/>
      <c r="AD1101" s="650"/>
      <c r="AE1101" s="599">
        <f>SUBTOTAL(9,AE1102:AE1111)</f>
        <v>0</v>
      </c>
      <c r="AF1101" s="585"/>
      <c r="AG1101" s="585">
        <v>0</v>
      </c>
      <c r="AH1101" s="571">
        <v>247256000</v>
      </c>
      <c r="AI1101" s="574"/>
      <c r="AJ1101" s="578"/>
    </row>
    <row r="1102" spans="1:36" s="386" customFormat="1" ht="121.5" outlineLevel="2" x14ac:dyDescent="0.3">
      <c r="A1102" s="447">
        <v>85</v>
      </c>
      <c r="B1102" s="558" t="s">
        <v>821</v>
      </c>
      <c r="C1102" s="558"/>
      <c r="D1102" s="615">
        <v>86</v>
      </c>
      <c r="E1102" s="700">
        <v>280</v>
      </c>
      <c r="F1102" s="586" t="s">
        <v>2427</v>
      </c>
      <c r="G1102" s="709">
        <v>284.60000000000002</v>
      </c>
      <c r="H1102" s="546" t="s">
        <v>2899</v>
      </c>
      <c r="I1102" s="563">
        <v>376800</v>
      </c>
      <c r="J1102" s="563">
        <v>0</v>
      </c>
      <c r="K1102" s="564">
        <v>107237000</v>
      </c>
      <c r="L1102" s="564">
        <v>0</v>
      </c>
      <c r="M1102" s="558"/>
      <c r="N1102" s="558"/>
      <c r="O1102" s="630"/>
      <c r="P1102" s="564" t="s">
        <v>25</v>
      </c>
      <c r="Q1102" s="564" t="s">
        <v>25</v>
      </c>
      <c r="R1102" s="566" t="s">
        <v>1749</v>
      </c>
      <c r="S1102" s="589" t="s">
        <v>2804</v>
      </c>
      <c r="T1102" s="710">
        <v>17.100000000000001</v>
      </c>
      <c r="U1102" s="593"/>
      <c r="V1102" s="564"/>
      <c r="W1102" s="564">
        <v>0</v>
      </c>
      <c r="X1102" s="683"/>
      <c r="Y1102" s="683"/>
      <c r="Z1102" s="683"/>
      <c r="AA1102" s="694"/>
      <c r="AB1102" s="683"/>
      <c r="AC1102" s="683"/>
      <c r="AD1102" s="683"/>
      <c r="AE1102" s="590"/>
      <c r="AF1102" s="570" t="s">
        <v>2899</v>
      </c>
      <c r="AG1102" s="570"/>
      <c r="AH1102" s="571" t="s">
        <v>25</v>
      </c>
      <c r="AI1102" s="558" t="s">
        <v>820</v>
      </c>
      <c r="AJ1102" s="586" t="s">
        <v>2771</v>
      </c>
    </row>
    <row r="1103" spans="1:36" s="386" customFormat="1" ht="121.5" outlineLevel="2" x14ac:dyDescent="0.3">
      <c r="A1103" s="447">
        <v>85</v>
      </c>
      <c r="B1103" s="566" t="s">
        <v>1653</v>
      </c>
      <c r="C1103" s="566"/>
      <c r="D1103" s="615"/>
      <c r="E1103" s="700"/>
      <c r="F1103" s="586" t="s">
        <v>2430</v>
      </c>
      <c r="G1103" s="709">
        <v>92.899999999999991</v>
      </c>
      <c r="H1103" s="546">
        <v>92.899999999999991</v>
      </c>
      <c r="I1103" s="563">
        <v>376800</v>
      </c>
      <c r="J1103" s="563">
        <v>1130400</v>
      </c>
      <c r="K1103" s="564">
        <v>35005000</v>
      </c>
      <c r="L1103" s="564">
        <v>105014000</v>
      </c>
      <c r="M1103" s="558"/>
      <c r="N1103" s="558"/>
      <c r="O1103" s="630"/>
      <c r="P1103" s="564" t="s">
        <v>25</v>
      </c>
      <c r="Q1103" s="564" t="s">
        <v>25</v>
      </c>
      <c r="R1103" s="586" t="s">
        <v>1748</v>
      </c>
      <c r="S1103" s="589" t="s">
        <v>2804</v>
      </c>
      <c r="T1103" s="710">
        <v>11</v>
      </c>
      <c r="U1103" s="593"/>
      <c r="V1103" s="564"/>
      <c r="W1103" s="564">
        <v>0</v>
      </c>
      <c r="X1103" s="683"/>
      <c r="Y1103" s="683"/>
      <c r="Z1103" s="683"/>
      <c r="AA1103" s="694"/>
      <c r="AB1103" s="683"/>
      <c r="AC1103" s="683"/>
      <c r="AD1103" s="683"/>
      <c r="AE1103" s="590"/>
      <c r="AF1103" s="570" t="s">
        <v>2899</v>
      </c>
      <c r="AG1103" s="570" t="s">
        <v>25</v>
      </c>
      <c r="AH1103" s="571" t="s">
        <v>25</v>
      </c>
      <c r="AI1103" s="558" t="s">
        <v>2807</v>
      </c>
      <c r="AJ1103" s="558" t="s">
        <v>2448</v>
      </c>
    </row>
    <row r="1104" spans="1:36" s="385" customFormat="1" ht="121.5" outlineLevel="2" x14ac:dyDescent="0.3">
      <c r="A1104" s="447">
        <v>85</v>
      </c>
      <c r="B1104" s="593" t="s">
        <v>824</v>
      </c>
      <c r="C1104" s="593"/>
      <c r="D1104" s="615"/>
      <c r="E1104" s="700"/>
      <c r="F1104" s="558"/>
      <c r="G1104" s="709"/>
      <c r="H1104" s="546"/>
      <c r="I1104" s="563" t="s">
        <v>25</v>
      </c>
      <c r="J1104" s="563" t="s">
        <v>25</v>
      </c>
      <c r="K1104" s="564" t="s">
        <v>25</v>
      </c>
      <c r="L1104" s="564" t="s">
        <v>25</v>
      </c>
      <c r="M1104" s="558"/>
      <c r="N1104" s="558"/>
      <c r="O1104" s="630"/>
      <c r="P1104" s="564" t="s">
        <v>25</v>
      </c>
      <c r="Q1104" s="564" t="s">
        <v>25</v>
      </c>
      <c r="R1104" s="566" t="s">
        <v>1749</v>
      </c>
      <c r="S1104" s="589" t="s">
        <v>2804</v>
      </c>
      <c r="T1104" s="710">
        <v>11</v>
      </c>
      <c r="U1104" s="593"/>
      <c r="V1104" s="564"/>
      <c r="W1104" s="564">
        <v>0</v>
      </c>
      <c r="X1104" s="683"/>
      <c r="Y1104" s="683"/>
      <c r="Z1104" s="683"/>
      <c r="AA1104" s="694"/>
      <c r="AB1104" s="683"/>
      <c r="AC1104" s="683"/>
      <c r="AD1104" s="683"/>
      <c r="AE1104" s="590"/>
      <c r="AF1104" s="570" t="s">
        <v>2899</v>
      </c>
      <c r="AG1104" s="570" t="s">
        <v>25</v>
      </c>
      <c r="AH1104" s="571" t="s">
        <v>25</v>
      </c>
      <c r="AI1104" s="593" t="s">
        <v>398</v>
      </c>
      <c r="AJ1104" s="558" t="s">
        <v>2450</v>
      </c>
    </row>
    <row r="1105" spans="1:37" s="385" customFormat="1" ht="101.25" outlineLevel="2" x14ac:dyDescent="0.3">
      <c r="A1105" s="447">
        <v>85</v>
      </c>
      <c r="B1105" s="586"/>
      <c r="C1105" s="586"/>
      <c r="D1105" s="615"/>
      <c r="E1105" s="700"/>
      <c r="F1105" s="558"/>
      <c r="G1105" s="709"/>
      <c r="H1105" s="546"/>
      <c r="I1105" s="563" t="s">
        <v>25</v>
      </c>
      <c r="J1105" s="563" t="s">
        <v>25</v>
      </c>
      <c r="K1105" s="564" t="s">
        <v>25</v>
      </c>
      <c r="L1105" s="564" t="s">
        <v>25</v>
      </c>
      <c r="M1105" s="558"/>
      <c r="N1105" s="558"/>
      <c r="O1105" s="630"/>
      <c r="P1105" s="564" t="s">
        <v>25</v>
      </c>
      <c r="Q1105" s="564" t="s">
        <v>25</v>
      </c>
      <c r="R1105" s="566" t="s">
        <v>1750</v>
      </c>
      <c r="S1105" s="589" t="s">
        <v>2804</v>
      </c>
      <c r="T1105" s="710">
        <v>61.5</v>
      </c>
      <c r="U1105" s="593"/>
      <c r="V1105" s="564"/>
      <c r="W1105" s="564">
        <v>0</v>
      </c>
      <c r="X1105" s="683"/>
      <c r="Y1105" s="683"/>
      <c r="Z1105" s="683"/>
      <c r="AA1105" s="694"/>
      <c r="AB1105" s="683"/>
      <c r="AC1105" s="683"/>
      <c r="AD1105" s="683"/>
      <c r="AE1105" s="590"/>
      <c r="AF1105" s="570" t="s">
        <v>2899</v>
      </c>
      <c r="AG1105" s="570" t="s">
        <v>25</v>
      </c>
      <c r="AH1105" s="571" t="s">
        <v>25</v>
      </c>
      <c r="AI1105" s="558" t="s">
        <v>2074</v>
      </c>
      <c r="AJ1105" s="558" t="s">
        <v>2800</v>
      </c>
    </row>
    <row r="1106" spans="1:37" s="385" customFormat="1" ht="60.75" outlineLevel="2" x14ac:dyDescent="0.3">
      <c r="A1106" s="447">
        <v>85</v>
      </c>
      <c r="B1106" s="586"/>
      <c r="C1106" s="586"/>
      <c r="D1106" s="615"/>
      <c r="E1106" s="700"/>
      <c r="F1106" s="558"/>
      <c r="G1106" s="709"/>
      <c r="H1106" s="546"/>
      <c r="I1106" s="563" t="s">
        <v>25</v>
      </c>
      <c r="J1106" s="563" t="s">
        <v>25</v>
      </c>
      <c r="K1106" s="564" t="s">
        <v>25</v>
      </c>
      <c r="L1106" s="564" t="s">
        <v>25</v>
      </c>
      <c r="M1106" s="558"/>
      <c r="N1106" s="558"/>
      <c r="O1106" s="630"/>
      <c r="P1106" s="564" t="s">
        <v>25</v>
      </c>
      <c r="Q1106" s="564" t="s">
        <v>25</v>
      </c>
      <c r="R1106" s="566" t="s">
        <v>1750</v>
      </c>
      <c r="S1106" s="589" t="s">
        <v>2804</v>
      </c>
      <c r="T1106" s="710">
        <v>84.5</v>
      </c>
      <c r="U1106" s="593"/>
      <c r="V1106" s="564"/>
      <c r="W1106" s="564">
        <v>0</v>
      </c>
      <c r="X1106" s="683"/>
      <c r="Y1106" s="683"/>
      <c r="Z1106" s="683"/>
      <c r="AA1106" s="694"/>
      <c r="AB1106" s="683"/>
      <c r="AC1106" s="683"/>
      <c r="AD1106" s="683"/>
      <c r="AE1106" s="590"/>
      <c r="AF1106" s="570" t="s">
        <v>2899</v>
      </c>
      <c r="AG1106" s="570" t="s">
        <v>25</v>
      </c>
      <c r="AH1106" s="571" t="s">
        <v>25</v>
      </c>
      <c r="AI1106" s="704"/>
      <c r="AJ1106" s="593"/>
    </row>
    <row r="1107" spans="1:37" s="385" customFormat="1" ht="60.75" outlineLevel="2" x14ac:dyDescent="0.3">
      <c r="A1107" s="447">
        <v>85</v>
      </c>
      <c r="B1107" s="586"/>
      <c r="C1107" s="586"/>
      <c r="D1107" s="615"/>
      <c r="E1107" s="700"/>
      <c r="F1107" s="558"/>
      <c r="G1107" s="709"/>
      <c r="H1107" s="546"/>
      <c r="I1107" s="563" t="s">
        <v>25</v>
      </c>
      <c r="J1107" s="563" t="s">
        <v>25</v>
      </c>
      <c r="K1107" s="564" t="s">
        <v>25</v>
      </c>
      <c r="L1107" s="564" t="s">
        <v>25</v>
      </c>
      <c r="M1107" s="558"/>
      <c r="N1107" s="558"/>
      <c r="O1107" s="630"/>
      <c r="P1107" s="564" t="s">
        <v>25</v>
      </c>
      <c r="Q1107" s="564" t="s">
        <v>25</v>
      </c>
      <c r="R1107" s="566" t="s">
        <v>1759</v>
      </c>
      <c r="S1107" s="589" t="s">
        <v>2804</v>
      </c>
      <c r="T1107" s="710">
        <v>3.5</v>
      </c>
      <c r="U1107" s="593"/>
      <c r="V1107" s="564"/>
      <c r="W1107" s="564">
        <v>0</v>
      </c>
      <c r="X1107" s="683"/>
      <c r="Y1107" s="683"/>
      <c r="Z1107" s="683"/>
      <c r="AA1107" s="694"/>
      <c r="AB1107" s="683"/>
      <c r="AC1107" s="683"/>
      <c r="AD1107" s="683"/>
      <c r="AE1107" s="590"/>
      <c r="AF1107" s="570" t="s">
        <v>2899</v>
      </c>
      <c r="AG1107" s="570" t="s">
        <v>25</v>
      </c>
      <c r="AH1107" s="571" t="s">
        <v>25</v>
      </c>
      <c r="AI1107" s="593"/>
      <c r="AJ1107" s="593"/>
    </row>
    <row r="1108" spans="1:37" s="385" customFormat="1" ht="40.5" outlineLevel="2" x14ac:dyDescent="0.3">
      <c r="A1108" s="447">
        <v>85</v>
      </c>
      <c r="B1108" s="586"/>
      <c r="C1108" s="586"/>
      <c r="D1108" s="615"/>
      <c r="E1108" s="700"/>
      <c r="F1108" s="558"/>
      <c r="G1108" s="709"/>
      <c r="H1108" s="546"/>
      <c r="I1108" s="563" t="s">
        <v>25</v>
      </c>
      <c r="J1108" s="563" t="s">
        <v>25</v>
      </c>
      <c r="K1108" s="564" t="s">
        <v>25</v>
      </c>
      <c r="L1108" s="564" t="s">
        <v>25</v>
      </c>
      <c r="M1108" s="558"/>
      <c r="N1108" s="558"/>
      <c r="O1108" s="630"/>
      <c r="P1108" s="564" t="s">
        <v>25</v>
      </c>
      <c r="Q1108" s="564" t="s">
        <v>25</v>
      </c>
      <c r="R1108" s="586" t="s">
        <v>1757</v>
      </c>
      <c r="S1108" s="589" t="s">
        <v>2804</v>
      </c>
      <c r="T1108" s="710">
        <v>61.5</v>
      </c>
      <c r="U1108" s="593"/>
      <c r="V1108" s="564"/>
      <c r="W1108" s="564">
        <v>0</v>
      </c>
      <c r="X1108" s="683"/>
      <c r="Y1108" s="683"/>
      <c r="Z1108" s="683"/>
      <c r="AA1108" s="694"/>
      <c r="AB1108" s="683"/>
      <c r="AC1108" s="683"/>
      <c r="AD1108" s="683"/>
      <c r="AE1108" s="590"/>
      <c r="AF1108" s="570" t="s">
        <v>2899</v>
      </c>
      <c r="AG1108" s="570" t="s">
        <v>25</v>
      </c>
      <c r="AH1108" s="571" t="s">
        <v>25</v>
      </c>
      <c r="AI1108" s="593"/>
      <c r="AJ1108" s="593"/>
    </row>
    <row r="1109" spans="1:37" s="385" customFormat="1" ht="40.5" outlineLevel="2" x14ac:dyDescent="0.3">
      <c r="A1109" s="447">
        <v>85</v>
      </c>
      <c r="B1109" s="586"/>
      <c r="C1109" s="586"/>
      <c r="D1109" s="615"/>
      <c r="E1109" s="700"/>
      <c r="F1109" s="558"/>
      <c r="G1109" s="709"/>
      <c r="H1109" s="546"/>
      <c r="I1109" s="563" t="s">
        <v>25</v>
      </c>
      <c r="J1109" s="563" t="s">
        <v>25</v>
      </c>
      <c r="K1109" s="564" t="s">
        <v>25</v>
      </c>
      <c r="L1109" s="564" t="s">
        <v>25</v>
      </c>
      <c r="M1109" s="558"/>
      <c r="N1109" s="558"/>
      <c r="O1109" s="630"/>
      <c r="P1109" s="564" t="s">
        <v>25</v>
      </c>
      <c r="Q1109" s="564" t="s">
        <v>25</v>
      </c>
      <c r="R1109" s="586" t="s">
        <v>1757</v>
      </c>
      <c r="S1109" s="589" t="s">
        <v>2804</v>
      </c>
      <c r="T1109" s="710">
        <v>84.5</v>
      </c>
      <c r="U1109" s="593"/>
      <c r="V1109" s="564"/>
      <c r="W1109" s="564">
        <v>0</v>
      </c>
      <c r="X1109" s="683"/>
      <c r="Y1109" s="683"/>
      <c r="Z1109" s="683"/>
      <c r="AA1109" s="694"/>
      <c r="AB1109" s="683"/>
      <c r="AC1109" s="683"/>
      <c r="AD1109" s="683"/>
      <c r="AE1109" s="590"/>
      <c r="AF1109" s="570" t="s">
        <v>2899</v>
      </c>
      <c r="AG1109" s="570" t="s">
        <v>25</v>
      </c>
      <c r="AH1109" s="571" t="s">
        <v>25</v>
      </c>
      <c r="AI1109" s="593"/>
      <c r="AJ1109" s="593"/>
    </row>
    <row r="1110" spans="1:37" s="385" customFormat="1" ht="20.25" outlineLevel="2" x14ac:dyDescent="0.3">
      <c r="A1110" s="447">
        <v>85</v>
      </c>
      <c r="B1110" s="558"/>
      <c r="C1110" s="558"/>
      <c r="D1110" s="615"/>
      <c r="E1110" s="700"/>
      <c r="F1110" s="558"/>
      <c r="G1110" s="709"/>
      <c r="H1110" s="546"/>
      <c r="I1110" s="563" t="s">
        <v>25</v>
      </c>
      <c r="J1110" s="563" t="s">
        <v>25</v>
      </c>
      <c r="K1110" s="564" t="s">
        <v>25</v>
      </c>
      <c r="L1110" s="564" t="s">
        <v>25</v>
      </c>
      <c r="M1110" s="558"/>
      <c r="N1110" s="558"/>
      <c r="O1110" s="630"/>
      <c r="P1110" s="564" t="s">
        <v>25</v>
      </c>
      <c r="Q1110" s="564" t="s">
        <v>25</v>
      </c>
      <c r="R1110" s="566"/>
      <c r="S1110" s="589"/>
      <c r="T1110" s="710"/>
      <c r="U1110" s="593"/>
      <c r="V1110" s="564" t="s">
        <v>2899</v>
      </c>
      <c r="W1110" s="564" t="s">
        <v>25</v>
      </c>
      <c r="X1110" s="683"/>
      <c r="Y1110" s="683"/>
      <c r="Z1110" s="683"/>
      <c r="AA1110" s="694"/>
      <c r="AB1110" s="683"/>
      <c r="AC1110" s="683"/>
      <c r="AD1110" s="683"/>
      <c r="AE1110" s="590"/>
      <c r="AF1110" s="570" t="s">
        <v>2899</v>
      </c>
      <c r="AG1110" s="570" t="s">
        <v>25</v>
      </c>
      <c r="AH1110" s="571" t="s">
        <v>25</v>
      </c>
      <c r="AI1110" s="593"/>
      <c r="AJ1110" s="593"/>
    </row>
    <row r="1111" spans="1:37" s="385" customFormat="1" ht="20.25" outlineLevel="2" x14ac:dyDescent="0.3">
      <c r="A1111" s="447">
        <v>85</v>
      </c>
      <c r="B1111" s="607"/>
      <c r="C1111" s="607"/>
      <c r="D1111" s="705"/>
      <c r="E1111" s="706"/>
      <c r="F1111" s="558"/>
      <c r="G1111" s="709"/>
      <c r="H1111" s="546"/>
      <c r="I1111" s="563" t="s">
        <v>25</v>
      </c>
      <c r="J1111" s="563" t="s">
        <v>25</v>
      </c>
      <c r="K1111" s="564" t="s">
        <v>25</v>
      </c>
      <c r="L1111" s="564" t="s">
        <v>25</v>
      </c>
      <c r="M1111" s="558"/>
      <c r="N1111" s="558"/>
      <c r="O1111" s="630"/>
      <c r="P1111" s="564" t="s">
        <v>25</v>
      </c>
      <c r="Q1111" s="564" t="s">
        <v>25</v>
      </c>
      <c r="R1111" s="566"/>
      <c r="S1111" s="589"/>
      <c r="T1111" s="710"/>
      <c r="U1111" s="593"/>
      <c r="V1111" s="564" t="s">
        <v>2899</v>
      </c>
      <c r="W1111" s="564" t="s">
        <v>25</v>
      </c>
      <c r="X1111" s="683"/>
      <c r="Y1111" s="683"/>
      <c r="Z1111" s="683"/>
      <c r="AA1111" s="694"/>
      <c r="AB1111" s="683"/>
      <c r="AC1111" s="683"/>
      <c r="AD1111" s="683"/>
      <c r="AE1111" s="590"/>
      <c r="AF1111" s="570" t="s">
        <v>2899</v>
      </c>
      <c r="AG1111" s="570" t="s">
        <v>25</v>
      </c>
      <c r="AH1111" s="571" t="s">
        <v>25</v>
      </c>
      <c r="AI1111" s="593"/>
      <c r="AJ1111" s="593"/>
    </row>
    <row r="1112" spans="1:37" s="386" customFormat="1" ht="40.5" outlineLevel="1" x14ac:dyDescent="0.25">
      <c r="A1112" s="467">
        <v>86</v>
      </c>
      <c r="B1112" s="607" t="s">
        <v>825</v>
      </c>
      <c r="C1112" s="586" t="s">
        <v>2903</v>
      </c>
      <c r="D1112" s="615">
        <v>86</v>
      </c>
      <c r="E1112" s="700">
        <v>248</v>
      </c>
      <c r="F1112" s="578"/>
      <c r="G1112" s="707">
        <v>1459.6</v>
      </c>
      <c r="H1112" s="579">
        <v>0</v>
      </c>
      <c r="I1112" s="581"/>
      <c r="J1112" s="581"/>
      <c r="K1112" s="571">
        <v>679590000</v>
      </c>
      <c r="L1112" s="571">
        <v>0</v>
      </c>
      <c r="M1112" s="578"/>
      <c r="N1112" s="578"/>
      <c r="O1112" s="712">
        <v>163</v>
      </c>
      <c r="P1112" s="571"/>
      <c r="Q1112" s="571">
        <v>13484000</v>
      </c>
      <c r="R1112" s="578"/>
      <c r="S1112" s="597"/>
      <c r="T1112" s="708">
        <v>130.70000000000002</v>
      </c>
      <c r="U1112" s="713"/>
      <c r="V1112" s="571"/>
      <c r="W1112" s="571">
        <v>42477000</v>
      </c>
      <c r="X1112" s="683"/>
      <c r="Y1112" s="683"/>
      <c r="Z1112" s="683"/>
      <c r="AA1112" s="694"/>
      <c r="AB1112" s="683"/>
      <c r="AC1112" s="683"/>
      <c r="AD1112" s="650"/>
      <c r="AE1112" s="599">
        <f>SUBTOTAL(9,AE1113:AE1136)</f>
        <v>0</v>
      </c>
      <c r="AF1112" s="585"/>
      <c r="AG1112" s="585">
        <v>0</v>
      </c>
      <c r="AH1112" s="571">
        <v>735551000</v>
      </c>
      <c r="AI1112" s="574"/>
      <c r="AJ1112" s="578"/>
      <c r="AK1112" s="387"/>
    </row>
    <row r="1113" spans="1:37" s="386" customFormat="1" ht="121.5" outlineLevel="2" x14ac:dyDescent="0.3">
      <c r="A1113" s="447">
        <v>86</v>
      </c>
      <c r="B1113" s="572" t="s">
        <v>829</v>
      </c>
      <c r="C1113" s="572"/>
      <c r="D1113" s="615">
        <v>86</v>
      </c>
      <c r="E1113" s="700">
        <v>248</v>
      </c>
      <c r="F1113" s="586" t="s">
        <v>2875</v>
      </c>
      <c r="G1113" s="709">
        <v>1358.6</v>
      </c>
      <c r="H1113" s="546" t="s">
        <v>2899</v>
      </c>
      <c r="I1113" s="563">
        <v>465600</v>
      </c>
      <c r="J1113" s="563">
        <v>0</v>
      </c>
      <c r="K1113" s="564">
        <v>632564000</v>
      </c>
      <c r="L1113" s="564">
        <v>0</v>
      </c>
      <c r="M1113" s="586" t="s">
        <v>827</v>
      </c>
      <c r="N1113" s="586"/>
      <c r="O1113" s="714">
        <v>2</v>
      </c>
      <c r="P1113" s="564">
        <v>72000</v>
      </c>
      <c r="Q1113" s="564">
        <v>144000</v>
      </c>
      <c r="R1113" s="586" t="s">
        <v>1748</v>
      </c>
      <c r="S1113" s="589" t="s">
        <v>2804</v>
      </c>
      <c r="T1113" s="710">
        <v>11.25</v>
      </c>
      <c r="U1113" s="715"/>
      <c r="V1113" s="564">
        <v>0</v>
      </c>
      <c r="W1113" s="564">
        <v>0</v>
      </c>
      <c r="X1113" s="683"/>
      <c r="Y1113" s="683"/>
      <c r="Z1113" s="683"/>
      <c r="AA1113" s="694"/>
      <c r="AB1113" s="683"/>
      <c r="AC1113" s="683"/>
      <c r="AD1113" s="683"/>
      <c r="AE1113" s="590"/>
      <c r="AF1113" s="570" t="s">
        <v>2899</v>
      </c>
      <c r="AG1113" s="570"/>
      <c r="AH1113" s="571" t="s">
        <v>25</v>
      </c>
      <c r="AI1113" s="558" t="s">
        <v>828</v>
      </c>
      <c r="AJ1113" s="586" t="s">
        <v>2771</v>
      </c>
      <c r="AK1113" s="387"/>
    </row>
    <row r="1114" spans="1:37" s="386" customFormat="1" ht="121.5" outlineLevel="2" x14ac:dyDescent="0.3">
      <c r="A1114" s="447">
        <v>86</v>
      </c>
      <c r="B1114" s="586" t="s">
        <v>1654</v>
      </c>
      <c r="C1114" s="586"/>
      <c r="D1114" s="615"/>
      <c r="E1114" s="700"/>
      <c r="F1114" s="586" t="s">
        <v>2865</v>
      </c>
      <c r="G1114" s="709">
        <v>101</v>
      </c>
      <c r="H1114" s="546" t="s">
        <v>2899</v>
      </c>
      <c r="I1114" s="563">
        <v>465600</v>
      </c>
      <c r="J1114" s="563">
        <v>0</v>
      </c>
      <c r="K1114" s="564">
        <v>47026000</v>
      </c>
      <c r="L1114" s="564">
        <v>0</v>
      </c>
      <c r="M1114" s="586" t="s">
        <v>401</v>
      </c>
      <c r="N1114" s="586"/>
      <c r="O1114" s="714">
        <v>19</v>
      </c>
      <c r="P1114" s="564">
        <v>80000</v>
      </c>
      <c r="Q1114" s="564">
        <v>1520000</v>
      </c>
      <c r="R1114" s="566" t="s">
        <v>1749</v>
      </c>
      <c r="S1114" s="589" t="s">
        <v>2804</v>
      </c>
      <c r="T1114" s="710">
        <v>11.25</v>
      </c>
      <c r="U1114" s="661"/>
      <c r="V1114" s="564">
        <v>211811</v>
      </c>
      <c r="W1114" s="564">
        <v>2383000</v>
      </c>
      <c r="X1114" s="683"/>
      <c r="Y1114" s="683"/>
      <c r="Z1114" s="683"/>
      <c r="AA1114" s="694"/>
      <c r="AB1114" s="683"/>
      <c r="AC1114" s="683"/>
      <c r="AD1114" s="683"/>
      <c r="AE1114" s="590"/>
      <c r="AF1114" s="570" t="s">
        <v>2899</v>
      </c>
      <c r="AG1114" s="570" t="s">
        <v>25</v>
      </c>
      <c r="AH1114" s="571" t="s">
        <v>25</v>
      </c>
      <c r="AI1114" s="558" t="s">
        <v>2808</v>
      </c>
      <c r="AJ1114" s="558" t="s">
        <v>2450</v>
      </c>
      <c r="AK1114" s="387"/>
    </row>
    <row r="1115" spans="1:37" s="386" customFormat="1" ht="101.25" outlineLevel="2" x14ac:dyDescent="0.3">
      <c r="A1115" s="447">
        <v>86</v>
      </c>
      <c r="B1115" s="558"/>
      <c r="C1115" s="558"/>
      <c r="D1115" s="615"/>
      <c r="E1115" s="700"/>
      <c r="F1115" s="586"/>
      <c r="G1115" s="709"/>
      <c r="H1115" s="546"/>
      <c r="I1115" s="563" t="s">
        <v>25</v>
      </c>
      <c r="J1115" s="563" t="s">
        <v>25</v>
      </c>
      <c r="K1115" s="564" t="s">
        <v>25</v>
      </c>
      <c r="L1115" s="564" t="s">
        <v>25</v>
      </c>
      <c r="M1115" s="586" t="s">
        <v>832</v>
      </c>
      <c r="N1115" s="586"/>
      <c r="O1115" s="714">
        <v>2</v>
      </c>
      <c r="P1115" s="564">
        <v>60000</v>
      </c>
      <c r="Q1115" s="564">
        <v>120000</v>
      </c>
      <c r="R1115" s="566" t="s">
        <v>1750</v>
      </c>
      <c r="S1115" s="589" t="s">
        <v>2804</v>
      </c>
      <c r="T1115" s="710">
        <v>36</v>
      </c>
      <c r="U1115" s="661"/>
      <c r="V1115" s="564">
        <v>984277</v>
      </c>
      <c r="W1115" s="564">
        <v>35434000</v>
      </c>
      <c r="X1115" s="683"/>
      <c r="Y1115" s="683"/>
      <c r="Z1115" s="683"/>
      <c r="AA1115" s="694"/>
      <c r="AB1115" s="683"/>
      <c r="AC1115" s="683"/>
      <c r="AD1115" s="683"/>
      <c r="AE1115" s="590"/>
      <c r="AF1115" s="570" t="s">
        <v>2899</v>
      </c>
      <c r="AG1115" s="570" t="s">
        <v>25</v>
      </c>
      <c r="AH1115" s="571" t="s">
        <v>25</v>
      </c>
      <c r="AI1115" s="716" t="s">
        <v>1760</v>
      </c>
      <c r="AJ1115" s="558" t="s">
        <v>2449</v>
      </c>
      <c r="AK1115" s="388"/>
    </row>
    <row r="1116" spans="1:37" s="385" customFormat="1" ht="101.25" outlineLevel="2" x14ac:dyDescent="0.3">
      <c r="A1116" s="447">
        <v>86</v>
      </c>
      <c r="B1116" s="558"/>
      <c r="C1116" s="558"/>
      <c r="D1116" s="615"/>
      <c r="E1116" s="700"/>
      <c r="F1116" s="586"/>
      <c r="G1116" s="709"/>
      <c r="H1116" s="546"/>
      <c r="I1116" s="563" t="s">
        <v>25</v>
      </c>
      <c r="J1116" s="563" t="s">
        <v>25</v>
      </c>
      <c r="K1116" s="564" t="s">
        <v>25</v>
      </c>
      <c r="L1116" s="564" t="s">
        <v>25</v>
      </c>
      <c r="M1116" s="586" t="s">
        <v>832</v>
      </c>
      <c r="N1116" s="586"/>
      <c r="O1116" s="714">
        <v>2</v>
      </c>
      <c r="P1116" s="564">
        <v>60000</v>
      </c>
      <c r="Q1116" s="564">
        <v>120000</v>
      </c>
      <c r="R1116" s="586" t="s">
        <v>1748</v>
      </c>
      <c r="S1116" s="589" t="s">
        <v>2804</v>
      </c>
      <c r="T1116" s="710">
        <v>3.6</v>
      </c>
      <c r="U1116" s="661"/>
      <c r="V1116" s="564">
        <v>0</v>
      </c>
      <c r="W1116" s="564">
        <v>0</v>
      </c>
      <c r="X1116" s="683"/>
      <c r="Y1116" s="683"/>
      <c r="Z1116" s="683"/>
      <c r="AA1116" s="694"/>
      <c r="AB1116" s="683"/>
      <c r="AC1116" s="683"/>
      <c r="AD1116" s="683"/>
      <c r="AE1116" s="590"/>
      <c r="AF1116" s="570" t="s">
        <v>2899</v>
      </c>
      <c r="AG1116" s="570" t="s">
        <v>25</v>
      </c>
      <c r="AH1116" s="571" t="s">
        <v>25</v>
      </c>
      <c r="AI1116" s="558" t="s">
        <v>2219</v>
      </c>
      <c r="AJ1116" s="586" t="s">
        <v>2800</v>
      </c>
      <c r="AK1116" s="389"/>
    </row>
    <row r="1117" spans="1:37" s="385" customFormat="1" ht="40.5" outlineLevel="2" x14ac:dyDescent="0.3">
      <c r="A1117" s="447">
        <v>86</v>
      </c>
      <c r="B1117" s="558"/>
      <c r="C1117" s="558"/>
      <c r="D1117" s="615"/>
      <c r="E1117" s="700"/>
      <c r="F1117" s="558"/>
      <c r="G1117" s="709"/>
      <c r="H1117" s="546"/>
      <c r="I1117" s="563" t="s">
        <v>25</v>
      </c>
      <c r="J1117" s="563" t="s">
        <v>25</v>
      </c>
      <c r="K1117" s="564" t="s">
        <v>25</v>
      </c>
      <c r="L1117" s="564" t="s">
        <v>25</v>
      </c>
      <c r="M1117" s="586" t="s">
        <v>798</v>
      </c>
      <c r="N1117" s="586"/>
      <c r="O1117" s="714">
        <v>1</v>
      </c>
      <c r="P1117" s="564">
        <v>32000</v>
      </c>
      <c r="Q1117" s="564">
        <v>32000</v>
      </c>
      <c r="R1117" s="586" t="s">
        <v>1748</v>
      </c>
      <c r="S1117" s="589" t="s">
        <v>2804</v>
      </c>
      <c r="T1117" s="710">
        <v>12.16</v>
      </c>
      <c r="U1117" s="661"/>
      <c r="V1117" s="564">
        <v>0</v>
      </c>
      <c r="W1117" s="564">
        <v>0</v>
      </c>
      <c r="X1117" s="683"/>
      <c r="Y1117" s="683"/>
      <c r="Z1117" s="683"/>
      <c r="AA1117" s="694"/>
      <c r="AB1117" s="683"/>
      <c r="AC1117" s="683"/>
      <c r="AD1117" s="683"/>
      <c r="AE1117" s="590"/>
      <c r="AF1117" s="570" t="s">
        <v>2899</v>
      </c>
      <c r="AG1117" s="570" t="s">
        <v>25</v>
      </c>
      <c r="AH1117" s="571" t="s">
        <v>25</v>
      </c>
      <c r="AI1117" s="704"/>
      <c r="AJ1117" s="566"/>
    </row>
    <row r="1118" spans="1:37" s="385" customFormat="1" ht="60.75" outlineLevel="2" x14ac:dyDescent="0.3">
      <c r="A1118" s="447">
        <v>86</v>
      </c>
      <c r="B1118" s="558"/>
      <c r="C1118" s="558"/>
      <c r="D1118" s="615"/>
      <c r="E1118" s="700"/>
      <c r="F1118" s="558"/>
      <c r="G1118" s="709"/>
      <c r="H1118" s="546"/>
      <c r="I1118" s="563" t="s">
        <v>25</v>
      </c>
      <c r="J1118" s="563" t="s">
        <v>25</v>
      </c>
      <c r="K1118" s="564" t="s">
        <v>25</v>
      </c>
      <c r="L1118" s="564" t="s">
        <v>25</v>
      </c>
      <c r="M1118" s="586" t="s">
        <v>798</v>
      </c>
      <c r="N1118" s="586"/>
      <c r="O1118" s="714">
        <v>62</v>
      </c>
      <c r="P1118" s="564">
        <v>32000</v>
      </c>
      <c r="Q1118" s="564">
        <v>1984000</v>
      </c>
      <c r="R1118" s="566" t="s">
        <v>1749</v>
      </c>
      <c r="S1118" s="589" t="s">
        <v>2804</v>
      </c>
      <c r="T1118" s="710">
        <v>12.16</v>
      </c>
      <c r="U1118" s="661"/>
      <c r="V1118" s="564">
        <v>211811</v>
      </c>
      <c r="W1118" s="564">
        <v>2576000</v>
      </c>
      <c r="X1118" s="683"/>
      <c r="Y1118" s="683"/>
      <c r="Z1118" s="683"/>
      <c r="AA1118" s="694"/>
      <c r="AB1118" s="683"/>
      <c r="AC1118" s="683"/>
      <c r="AD1118" s="683"/>
      <c r="AE1118" s="590"/>
      <c r="AF1118" s="570" t="s">
        <v>2899</v>
      </c>
      <c r="AG1118" s="570" t="s">
        <v>25</v>
      </c>
      <c r="AH1118" s="571" t="s">
        <v>25</v>
      </c>
      <c r="AI1118" s="704"/>
      <c r="AJ1118" s="593"/>
    </row>
    <row r="1119" spans="1:37" s="385" customFormat="1" ht="40.5" outlineLevel="2" x14ac:dyDescent="0.3">
      <c r="A1119" s="447">
        <v>86</v>
      </c>
      <c r="B1119" s="558"/>
      <c r="C1119" s="558"/>
      <c r="D1119" s="615"/>
      <c r="E1119" s="700"/>
      <c r="F1119" s="558"/>
      <c r="G1119" s="709"/>
      <c r="H1119" s="546"/>
      <c r="I1119" s="563" t="s">
        <v>25</v>
      </c>
      <c r="J1119" s="563" t="s">
        <v>25</v>
      </c>
      <c r="K1119" s="564" t="s">
        <v>25</v>
      </c>
      <c r="L1119" s="564" t="s">
        <v>25</v>
      </c>
      <c r="M1119" s="586" t="s">
        <v>783</v>
      </c>
      <c r="N1119" s="586"/>
      <c r="O1119" s="714">
        <v>1</v>
      </c>
      <c r="P1119" s="564">
        <v>60000</v>
      </c>
      <c r="Q1119" s="564">
        <v>60000</v>
      </c>
      <c r="R1119" s="586" t="s">
        <v>1748</v>
      </c>
      <c r="S1119" s="589" t="s">
        <v>2804</v>
      </c>
      <c r="T1119" s="710">
        <v>9.84</v>
      </c>
      <c r="U1119" s="661"/>
      <c r="V1119" s="564">
        <v>0</v>
      </c>
      <c r="W1119" s="564">
        <v>0</v>
      </c>
      <c r="X1119" s="683"/>
      <c r="Y1119" s="683"/>
      <c r="Z1119" s="683"/>
      <c r="AA1119" s="694"/>
      <c r="AB1119" s="683"/>
      <c r="AC1119" s="683"/>
      <c r="AD1119" s="683"/>
      <c r="AE1119" s="590"/>
      <c r="AF1119" s="570" t="s">
        <v>2899</v>
      </c>
      <c r="AG1119" s="570" t="s">
        <v>25</v>
      </c>
      <c r="AH1119" s="571" t="s">
        <v>25</v>
      </c>
      <c r="AI1119" s="593"/>
      <c r="AJ1119" s="593"/>
    </row>
    <row r="1120" spans="1:37" s="385" customFormat="1" ht="81" outlineLevel="2" x14ac:dyDescent="0.3">
      <c r="A1120" s="447">
        <v>86</v>
      </c>
      <c r="B1120" s="558"/>
      <c r="C1120" s="558"/>
      <c r="D1120" s="615"/>
      <c r="E1120" s="700"/>
      <c r="F1120" s="558"/>
      <c r="G1120" s="709"/>
      <c r="H1120" s="546"/>
      <c r="I1120" s="563" t="s">
        <v>25</v>
      </c>
      <c r="J1120" s="563" t="s">
        <v>25</v>
      </c>
      <c r="K1120" s="564" t="s">
        <v>25</v>
      </c>
      <c r="L1120" s="564" t="s">
        <v>25</v>
      </c>
      <c r="M1120" s="586" t="s">
        <v>834</v>
      </c>
      <c r="N1120" s="586"/>
      <c r="O1120" s="714">
        <v>1</v>
      </c>
      <c r="P1120" s="564">
        <v>240000</v>
      </c>
      <c r="Q1120" s="564">
        <v>240000</v>
      </c>
      <c r="R1120" s="586" t="s">
        <v>1749</v>
      </c>
      <c r="S1120" s="589" t="s">
        <v>2804</v>
      </c>
      <c r="T1120" s="710">
        <v>9.84</v>
      </c>
      <c r="U1120" s="661"/>
      <c r="V1120" s="564">
        <v>211811</v>
      </c>
      <c r="W1120" s="564">
        <v>2084000</v>
      </c>
      <c r="X1120" s="683"/>
      <c r="Y1120" s="683"/>
      <c r="Z1120" s="683"/>
      <c r="AA1120" s="694"/>
      <c r="AB1120" s="683"/>
      <c r="AC1120" s="683"/>
      <c r="AD1120" s="683"/>
      <c r="AE1120" s="590"/>
      <c r="AF1120" s="570" t="s">
        <v>2899</v>
      </c>
      <c r="AG1120" s="570" t="s">
        <v>25</v>
      </c>
      <c r="AH1120" s="571" t="s">
        <v>25</v>
      </c>
      <c r="AI1120" s="593"/>
      <c r="AJ1120" s="593"/>
    </row>
    <row r="1121" spans="1:36" s="385" customFormat="1" ht="40.5" outlineLevel="2" x14ac:dyDescent="0.3">
      <c r="A1121" s="447">
        <v>86</v>
      </c>
      <c r="B1121" s="558"/>
      <c r="C1121" s="558"/>
      <c r="D1121" s="615"/>
      <c r="E1121" s="700"/>
      <c r="F1121" s="558"/>
      <c r="G1121" s="709"/>
      <c r="H1121" s="546"/>
      <c r="I1121" s="563" t="s">
        <v>25</v>
      </c>
      <c r="J1121" s="563" t="s">
        <v>25</v>
      </c>
      <c r="K1121" s="564" t="s">
        <v>25</v>
      </c>
      <c r="L1121" s="564" t="s">
        <v>25</v>
      </c>
      <c r="M1121" s="586" t="s">
        <v>64</v>
      </c>
      <c r="N1121" s="586"/>
      <c r="O1121" s="714">
        <v>4</v>
      </c>
      <c r="P1121" s="564">
        <v>1122000</v>
      </c>
      <c r="Q1121" s="564">
        <v>4488000</v>
      </c>
      <c r="R1121" s="586" t="s">
        <v>1761</v>
      </c>
      <c r="S1121" s="589" t="s">
        <v>2804</v>
      </c>
      <c r="T1121" s="710">
        <v>24.6</v>
      </c>
      <c r="U1121" s="661"/>
      <c r="V1121" s="564">
        <v>0</v>
      </c>
      <c r="W1121" s="564">
        <v>0</v>
      </c>
      <c r="X1121" s="683"/>
      <c r="Y1121" s="683"/>
      <c r="Z1121" s="683"/>
      <c r="AA1121" s="694"/>
      <c r="AB1121" s="683"/>
      <c r="AC1121" s="683"/>
      <c r="AD1121" s="683"/>
      <c r="AE1121" s="590"/>
      <c r="AF1121" s="570" t="s">
        <v>2899</v>
      </c>
      <c r="AG1121" s="570" t="s">
        <v>25</v>
      </c>
      <c r="AH1121" s="571" t="s">
        <v>25</v>
      </c>
      <c r="AI1121" s="593"/>
      <c r="AJ1121" s="593"/>
    </row>
    <row r="1122" spans="1:36" s="385" customFormat="1" ht="20.25" outlineLevel="2" x14ac:dyDescent="0.3">
      <c r="A1122" s="447">
        <v>86</v>
      </c>
      <c r="B1122" s="558"/>
      <c r="C1122" s="558"/>
      <c r="D1122" s="615"/>
      <c r="E1122" s="700"/>
      <c r="F1122" s="558"/>
      <c r="G1122" s="709"/>
      <c r="H1122" s="546"/>
      <c r="I1122" s="563" t="s">
        <v>25</v>
      </c>
      <c r="J1122" s="563" t="s">
        <v>25</v>
      </c>
      <c r="K1122" s="564" t="s">
        <v>25</v>
      </c>
      <c r="L1122" s="564" t="s">
        <v>25</v>
      </c>
      <c r="M1122" s="586" t="s">
        <v>67</v>
      </c>
      <c r="N1122" s="586"/>
      <c r="O1122" s="714">
        <v>4</v>
      </c>
      <c r="P1122" s="564">
        <v>494000</v>
      </c>
      <c r="Q1122" s="564">
        <v>1976000</v>
      </c>
      <c r="R1122" s="586"/>
      <c r="S1122" s="609"/>
      <c r="T1122" s="710"/>
      <c r="U1122" s="661"/>
      <c r="V1122" s="564" t="s">
        <v>2899</v>
      </c>
      <c r="W1122" s="564" t="s">
        <v>25</v>
      </c>
      <c r="X1122" s="683"/>
      <c r="Y1122" s="683"/>
      <c r="Z1122" s="683"/>
      <c r="AA1122" s="694"/>
      <c r="AB1122" s="683"/>
      <c r="AC1122" s="683"/>
      <c r="AD1122" s="683"/>
      <c r="AE1122" s="590"/>
      <c r="AF1122" s="570" t="s">
        <v>2899</v>
      </c>
      <c r="AG1122" s="570" t="s">
        <v>25</v>
      </c>
      <c r="AH1122" s="571" t="s">
        <v>25</v>
      </c>
      <c r="AI1122" s="593"/>
      <c r="AJ1122" s="593"/>
    </row>
    <row r="1123" spans="1:36" s="385" customFormat="1" ht="20.25" outlineLevel="2" x14ac:dyDescent="0.3">
      <c r="A1123" s="447">
        <v>86</v>
      </c>
      <c r="B1123" s="558"/>
      <c r="C1123" s="558"/>
      <c r="D1123" s="615"/>
      <c r="E1123" s="700"/>
      <c r="F1123" s="558"/>
      <c r="G1123" s="709"/>
      <c r="H1123" s="546"/>
      <c r="I1123" s="563" t="s">
        <v>25</v>
      </c>
      <c r="J1123" s="563" t="s">
        <v>25</v>
      </c>
      <c r="K1123" s="564" t="s">
        <v>25</v>
      </c>
      <c r="L1123" s="564" t="s">
        <v>25</v>
      </c>
      <c r="M1123" s="586" t="s">
        <v>835</v>
      </c>
      <c r="N1123" s="586"/>
      <c r="O1123" s="714">
        <v>3</v>
      </c>
      <c r="P1123" s="564">
        <v>60000</v>
      </c>
      <c r="Q1123" s="564">
        <v>180000</v>
      </c>
      <c r="R1123" s="586"/>
      <c r="S1123" s="609"/>
      <c r="T1123" s="710"/>
      <c r="U1123" s="661"/>
      <c r="V1123" s="564" t="s">
        <v>2899</v>
      </c>
      <c r="W1123" s="564" t="s">
        <v>25</v>
      </c>
      <c r="X1123" s="683"/>
      <c r="Y1123" s="683"/>
      <c r="Z1123" s="683"/>
      <c r="AA1123" s="694"/>
      <c r="AB1123" s="683"/>
      <c r="AC1123" s="683"/>
      <c r="AD1123" s="683"/>
      <c r="AE1123" s="590"/>
      <c r="AF1123" s="570" t="s">
        <v>2899</v>
      </c>
      <c r="AG1123" s="570" t="s">
        <v>25</v>
      </c>
      <c r="AH1123" s="571" t="s">
        <v>25</v>
      </c>
      <c r="AI1123" s="593"/>
      <c r="AJ1123" s="593"/>
    </row>
    <row r="1124" spans="1:36" s="385" customFormat="1" ht="20.25" outlineLevel="2" x14ac:dyDescent="0.3">
      <c r="A1124" s="447">
        <v>86</v>
      </c>
      <c r="B1124" s="558"/>
      <c r="C1124" s="558"/>
      <c r="D1124" s="615"/>
      <c r="E1124" s="700"/>
      <c r="F1124" s="558"/>
      <c r="G1124" s="709"/>
      <c r="H1124" s="546"/>
      <c r="I1124" s="563" t="s">
        <v>25</v>
      </c>
      <c r="J1124" s="563" t="s">
        <v>25</v>
      </c>
      <c r="K1124" s="564" t="s">
        <v>25</v>
      </c>
      <c r="L1124" s="564" t="s">
        <v>25</v>
      </c>
      <c r="M1124" s="586" t="s">
        <v>777</v>
      </c>
      <c r="N1124" s="586"/>
      <c r="O1124" s="714">
        <v>2</v>
      </c>
      <c r="P1124" s="564">
        <v>32000</v>
      </c>
      <c r="Q1124" s="564">
        <v>64000</v>
      </c>
      <c r="R1124" s="586"/>
      <c r="S1124" s="609"/>
      <c r="T1124" s="710"/>
      <c r="U1124" s="661"/>
      <c r="V1124" s="564" t="s">
        <v>2899</v>
      </c>
      <c r="W1124" s="564" t="s">
        <v>25</v>
      </c>
      <c r="X1124" s="683"/>
      <c r="Y1124" s="683"/>
      <c r="Z1124" s="683"/>
      <c r="AA1124" s="694"/>
      <c r="AB1124" s="683"/>
      <c r="AC1124" s="683"/>
      <c r="AD1124" s="683"/>
      <c r="AE1124" s="590"/>
      <c r="AF1124" s="570" t="s">
        <v>2899</v>
      </c>
      <c r="AG1124" s="570" t="s">
        <v>25</v>
      </c>
      <c r="AH1124" s="571" t="s">
        <v>25</v>
      </c>
      <c r="AI1124" s="593"/>
      <c r="AJ1124" s="593"/>
    </row>
    <row r="1125" spans="1:36" s="385" customFormat="1" ht="20.25" outlineLevel="2" x14ac:dyDescent="0.3">
      <c r="A1125" s="447">
        <v>86</v>
      </c>
      <c r="B1125" s="572"/>
      <c r="C1125" s="572"/>
      <c r="D1125" s="615"/>
      <c r="E1125" s="700"/>
      <c r="F1125" s="558"/>
      <c r="G1125" s="709"/>
      <c r="H1125" s="546"/>
      <c r="I1125" s="563" t="s">
        <v>25</v>
      </c>
      <c r="J1125" s="563" t="s">
        <v>25</v>
      </c>
      <c r="K1125" s="564" t="s">
        <v>25</v>
      </c>
      <c r="L1125" s="564" t="s">
        <v>25</v>
      </c>
      <c r="M1125" s="586" t="s">
        <v>2122</v>
      </c>
      <c r="N1125" s="586"/>
      <c r="O1125" s="714">
        <v>2</v>
      </c>
      <c r="P1125" s="564">
        <v>60000</v>
      </c>
      <c r="Q1125" s="564">
        <v>120000</v>
      </c>
      <c r="R1125" s="586"/>
      <c r="S1125" s="609"/>
      <c r="T1125" s="710"/>
      <c r="U1125" s="661"/>
      <c r="V1125" s="564" t="s">
        <v>2899</v>
      </c>
      <c r="W1125" s="564" t="s">
        <v>25</v>
      </c>
      <c r="X1125" s="683"/>
      <c r="Y1125" s="683"/>
      <c r="Z1125" s="683"/>
      <c r="AA1125" s="694"/>
      <c r="AB1125" s="683"/>
      <c r="AC1125" s="683"/>
      <c r="AD1125" s="683"/>
      <c r="AE1125" s="590"/>
      <c r="AF1125" s="570" t="s">
        <v>2899</v>
      </c>
      <c r="AG1125" s="570" t="s">
        <v>25</v>
      </c>
      <c r="AH1125" s="571" t="s">
        <v>25</v>
      </c>
      <c r="AI1125" s="593"/>
      <c r="AJ1125" s="593"/>
    </row>
    <row r="1126" spans="1:36" s="385" customFormat="1" ht="20.25" outlineLevel="2" x14ac:dyDescent="0.3">
      <c r="A1126" s="447">
        <v>86</v>
      </c>
      <c r="B1126" s="572"/>
      <c r="C1126" s="572"/>
      <c r="D1126" s="615"/>
      <c r="E1126" s="700"/>
      <c r="F1126" s="558"/>
      <c r="G1126" s="709"/>
      <c r="H1126" s="546"/>
      <c r="I1126" s="563" t="s">
        <v>25</v>
      </c>
      <c r="J1126" s="563" t="s">
        <v>25</v>
      </c>
      <c r="K1126" s="564" t="s">
        <v>25</v>
      </c>
      <c r="L1126" s="564" t="s">
        <v>25</v>
      </c>
      <c r="M1126" s="586" t="s">
        <v>76</v>
      </c>
      <c r="N1126" s="586"/>
      <c r="O1126" s="714">
        <v>5</v>
      </c>
      <c r="P1126" s="564">
        <v>45000</v>
      </c>
      <c r="Q1126" s="564">
        <v>225000</v>
      </c>
      <c r="R1126" s="586"/>
      <c r="S1126" s="609"/>
      <c r="T1126" s="710"/>
      <c r="U1126" s="661"/>
      <c r="V1126" s="564" t="s">
        <v>2899</v>
      </c>
      <c r="W1126" s="564" t="s">
        <v>25</v>
      </c>
      <c r="X1126" s="683"/>
      <c r="Y1126" s="683"/>
      <c r="Z1126" s="683"/>
      <c r="AA1126" s="694"/>
      <c r="AB1126" s="683"/>
      <c r="AC1126" s="683"/>
      <c r="AD1126" s="683"/>
      <c r="AE1126" s="590"/>
      <c r="AF1126" s="570" t="s">
        <v>2899</v>
      </c>
      <c r="AG1126" s="570" t="s">
        <v>25</v>
      </c>
      <c r="AH1126" s="571" t="s">
        <v>25</v>
      </c>
      <c r="AI1126" s="593"/>
      <c r="AJ1126" s="593"/>
    </row>
    <row r="1127" spans="1:36" s="385" customFormat="1" ht="20.25" outlineLevel="2" x14ac:dyDescent="0.3">
      <c r="A1127" s="447">
        <v>86</v>
      </c>
      <c r="B1127" s="572"/>
      <c r="C1127" s="572"/>
      <c r="D1127" s="612"/>
      <c r="E1127" s="612"/>
      <c r="F1127" s="558"/>
      <c r="G1127" s="709"/>
      <c r="H1127" s="546"/>
      <c r="I1127" s="563" t="s">
        <v>25</v>
      </c>
      <c r="J1127" s="563" t="s">
        <v>25</v>
      </c>
      <c r="K1127" s="564" t="s">
        <v>25</v>
      </c>
      <c r="L1127" s="564" t="s">
        <v>25</v>
      </c>
      <c r="M1127" s="586" t="s">
        <v>73</v>
      </c>
      <c r="N1127" s="586"/>
      <c r="O1127" s="714">
        <v>10</v>
      </c>
      <c r="P1127" s="564">
        <v>76000</v>
      </c>
      <c r="Q1127" s="564">
        <v>760000</v>
      </c>
      <c r="R1127" s="586"/>
      <c r="S1127" s="609"/>
      <c r="T1127" s="710"/>
      <c r="U1127" s="661"/>
      <c r="V1127" s="564" t="s">
        <v>2899</v>
      </c>
      <c r="W1127" s="564" t="s">
        <v>25</v>
      </c>
      <c r="X1127" s="683"/>
      <c r="Y1127" s="683"/>
      <c r="Z1127" s="683"/>
      <c r="AA1127" s="694"/>
      <c r="AB1127" s="683"/>
      <c r="AC1127" s="683"/>
      <c r="AD1127" s="683"/>
      <c r="AE1127" s="590"/>
      <c r="AF1127" s="570" t="s">
        <v>2899</v>
      </c>
      <c r="AG1127" s="570" t="s">
        <v>25</v>
      </c>
      <c r="AH1127" s="571" t="s">
        <v>25</v>
      </c>
      <c r="AI1127" s="593"/>
      <c r="AJ1127" s="593"/>
    </row>
    <row r="1128" spans="1:36" s="385" customFormat="1" ht="20.25" outlineLevel="2" x14ac:dyDescent="0.3">
      <c r="A1128" s="447">
        <v>86</v>
      </c>
      <c r="B1128" s="572"/>
      <c r="C1128" s="572"/>
      <c r="D1128" s="612"/>
      <c r="E1128" s="612"/>
      <c r="F1128" s="586"/>
      <c r="G1128" s="709"/>
      <c r="H1128" s="546"/>
      <c r="I1128" s="563" t="s">
        <v>25</v>
      </c>
      <c r="J1128" s="563" t="s">
        <v>25</v>
      </c>
      <c r="K1128" s="564" t="s">
        <v>25</v>
      </c>
      <c r="L1128" s="564" t="s">
        <v>25</v>
      </c>
      <c r="M1128" s="586" t="s">
        <v>75</v>
      </c>
      <c r="N1128" s="586"/>
      <c r="O1128" s="714">
        <v>12</v>
      </c>
      <c r="P1128" s="564">
        <v>34000</v>
      </c>
      <c r="Q1128" s="564">
        <v>408000</v>
      </c>
      <c r="R1128" s="586"/>
      <c r="S1128" s="609"/>
      <c r="T1128" s="710"/>
      <c r="U1128" s="661"/>
      <c r="V1128" s="564" t="s">
        <v>2899</v>
      </c>
      <c r="W1128" s="564" t="s">
        <v>25</v>
      </c>
      <c r="X1128" s="683"/>
      <c r="Y1128" s="683"/>
      <c r="Z1128" s="683"/>
      <c r="AA1128" s="694"/>
      <c r="AB1128" s="683"/>
      <c r="AC1128" s="683"/>
      <c r="AD1128" s="683"/>
      <c r="AE1128" s="590"/>
      <c r="AF1128" s="570" t="s">
        <v>2899</v>
      </c>
      <c r="AG1128" s="570" t="s">
        <v>25</v>
      </c>
      <c r="AH1128" s="571" t="s">
        <v>25</v>
      </c>
      <c r="AI1128" s="593"/>
      <c r="AJ1128" s="593"/>
    </row>
    <row r="1129" spans="1:36" s="385" customFormat="1" ht="20.25" outlineLevel="2" x14ac:dyDescent="0.3">
      <c r="A1129" s="447">
        <v>86</v>
      </c>
      <c r="B1129" s="572"/>
      <c r="C1129" s="572"/>
      <c r="D1129" s="615"/>
      <c r="E1129" s="700"/>
      <c r="F1129" s="586"/>
      <c r="G1129" s="709"/>
      <c r="H1129" s="546"/>
      <c r="I1129" s="563" t="s">
        <v>25</v>
      </c>
      <c r="J1129" s="563" t="s">
        <v>25</v>
      </c>
      <c r="K1129" s="564" t="s">
        <v>25</v>
      </c>
      <c r="L1129" s="564" t="s">
        <v>25</v>
      </c>
      <c r="M1129" s="586" t="s">
        <v>736</v>
      </c>
      <c r="N1129" s="586"/>
      <c r="O1129" s="714">
        <v>2</v>
      </c>
      <c r="P1129" s="564">
        <v>32000</v>
      </c>
      <c r="Q1129" s="564">
        <v>64000</v>
      </c>
      <c r="R1129" s="586"/>
      <c r="S1129" s="609"/>
      <c r="T1129" s="710"/>
      <c r="U1129" s="661"/>
      <c r="V1129" s="564" t="s">
        <v>2899</v>
      </c>
      <c r="W1129" s="564" t="s">
        <v>25</v>
      </c>
      <c r="X1129" s="683"/>
      <c r="Y1129" s="683"/>
      <c r="Z1129" s="683"/>
      <c r="AA1129" s="694"/>
      <c r="AB1129" s="683"/>
      <c r="AC1129" s="683"/>
      <c r="AD1129" s="683"/>
      <c r="AE1129" s="590"/>
      <c r="AF1129" s="570" t="s">
        <v>2899</v>
      </c>
      <c r="AG1129" s="570" t="s">
        <v>25</v>
      </c>
      <c r="AH1129" s="571" t="s">
        <v>25</v>
      </c>
      <c r="AI1129" s="593"/>
      <c r="AJ1129" s="593"/>
    </row>
    <row r="1130" spans="1:36" s="385" customFormat="1" ht="20.25" outlineLevel="2" x14ac:dyDescent="0.3">
      <c r="A1130" s="447">
        <v>86</v>
      </c>
      <c r="B1130" s="572"/>
      <c r="C1130" s="572"/>
      <c r="D1130" s="615"/>
      <c r="E1130" s="700"/>
      <c r="F1130" s="558"/>
      <c r="G1130" s="709"/>
      <c r="H1130" s="546"/>
      <c r="I1130" s="563" t="s">
        <v>25</v>
      </c>
      <c r="J1130" s="563" t="s">
        <v>25</v>
      </c>
      <c r="K1130" s="564" t="s">
        <v>25</v>
      </c>
      <c r="L1130" s="564" t="s">
        <v>25</v>
      </c>
      <c r="M1130" s="586" t="s">
        <v>736</v>
      </c>
      <c r="N1130" s="586"/>
      <c r="O1130" s="714">
        <v>2</v>
      </c>
      <c r="P1130" s="564">
        <v>32000</v>
      </c>
      <c r="Q1130" s="564">
        <v>64000</v>
      </c>
      <c r="R1130" s="586"/>
      <c r="S1130" s="609"/>
      <c r="T1130" s="710"/>
      <c r="U1130" s="661"/>
      <c r="V1130" s="564" t="s">
        <v>2899</v>
      </c>
      <c r="W1130" s="564" t="s">
        <v>25</v>
      </c>
      <c r="X1130" s="683"/>
      <c r="Y1130" s="683"/>
      <c r="Z1130" s="683"/>
      <c r="AA1130" s="694"/>
      <c r="AB1130" s="683"/>
      <c r="AC1130" s="683"/>
      <c r="AD1130" s="683"/>
      <c r="AE1130" s="590"/>
      <c r="AF1130" s="570" t="s">
        <v>2899</v>
      </c>
      <c r="AG1130" s="570" t="s">
        <v>25</v>
      </c>
      <c r="AH1130" s="571" t="s">
        <v>25</v>
      </c>
      <c r="AI1130" s="593"/>
      <c r="AJ1130" s="593"/>
    </row>
    <row r="1131" spans="1:36" s="385" customFormat="1" ht="40.5" outlineLevel="2" x14ac:dyDescent="0.3">
      <c r="A1131" s="447">
        <v>86</v>
      </c>
      <c r="B1131" s="558"/>
      <c r="C1131" s="558"/>
      <c r="D1131" s="615"/>
      <c r="E1131" s="700"/>
      <c r="F1131" s="558"/>
      <c r="G1131" s="709"/>
      <c r="H1131" s="546"/>
      <c r="I1131" s="563" t="s">
        <v>25</v>
      </c>
      <c r="J1131" s="563" t="s">
        <v>25</v>
      </c>
      <c r="K1131" s="564" t="s">
        <v>25</v>
      </c>
      <c r="L1131" s="564" t="s">
        <v>25</v>
      </c>
      <c r="M1131" s="586" t="s">
        <v>405</v>
      </c>
      <c r="N1131" s="586"/>
      <c r="O1131" s="714">
        <v>1</v>
      </c>
      <c r="P1131" s="564">
        <v>72000</v>
      </c>
      <c r="Q1131" s="564">
        <v>72000</v>
      </c>
      <c r="R1131" s="586"/>
      <c r="S1131" s="609"/>
      <c r="T1131" s="710"/>
      <c r="U1131" s="661"/>
      <c r="V1131" s="564" t="s">
        <v>2899</v>
      </c>
      <c r="W1131" s="564" t="s">
        <v>25</v>
      </c>
      <c r="X1131" s="683"/>
      <c r="Y1131" s="683"/>
      <c r="Z1131" s="683"/>
      <c r="AA1131" s="694"/>
      <c r="AB1131" s="683"/>
      <c r="AC1131" s="683"/>
      <c r="AD1131" s="683"/>
      <c r="AE1131" s="590"/>
      <c r="AF1131" s="570" t="s">
        <v>2899</v>
      </c>
      <c r="AG1131" s="570" t="s">
        <v>25</v>
      </c>
      <c r="AH1131" s="571" t="s">
        <v>25</v>
      </c>
      <c r="AI1131" s="593"/>
      <c r="AJ1131" s="593"/>
    </row>
    <row r="1132" spans="1:36" s="385" customFormat="1" ht="40.5" outlineLevel="2" x14ac:dyDescent="0.3">
      <c r="A1132" s="447">
        <v>86</v>
      </c>
      <c r="B1132" s="558"/>
      <c r="C1132" s="558"/>
      <c r="D1132" s="615"/>
      <c r="E1132" s="700"/>
      <c r="F1132" s="558"/>
      <c r="G1132" s="709"/>
      <c r="H1132" s="546"/>
      <c r="I1132" s="563" t="s">
        <v>25</v>
      </c>
      <c r="J1132" s="563" t="s">
        <v>25</v>
      </c>
      <c r="K1132" s="564" t="s">
        <v>25</v>
      </c>
      <c r="L1132" s="564" t="s">
        <v>25</v>
      </c>
      <c r="M1132" s="558" t="s">
        <v>837</v>
      </c>
      <c r="N1132" s="558"/>
      <c r="O1132" s="714">
        <v>7</v>
      </c>
      <c r="P1132" s="564">
        <v>60000</v>
      </c>
      <c r="Q1132" s="564">
        <v>420000</v>
      </c>
      <c r="R1132" s="566"/>
      <c r="S1132" s="589"/>
      <c r="T1132" s="710"/>
      <c r="U1132" s="593"/>
      <c r="V1132" s="564" t="s">
        <v>2899</v>
      </c>
      <c r="W1132" s="564" t="s">
        <v>25</v>
      </c>
      <c r="X1132" s="683"/>
      <c r="Y1132" s="683"/>
      <c r="Z1132" s="683"/>
      <c r="AA1132" s="694"/>
      <c r="AB1132" s="683"/>
      <c r="AC1132" s="683"/>
      <c r="AD1132" s="683"/>
      <c r="AE1132" s="590"/>
      <c r="AF1132" s="570" t="s">
        <v>2899</v>
      </c>
      <c r="AG1132" s="570" t="s">
        <v>25</v>
      </c>
      <c r="AH1132" s="571" t="s">
        <v>25</v>
      </c>
      <c r="AI1132" s="593"/>
      <c r="AJ1132" s="593"/>
    </row>
    <row r="1133" spans="1:36" s="385" customFormat="1" ht="64.5" outlineLevel="2" x14ac:dyDescent="0.3">
      <c r="A1133" s="447">
        <v>86</v>
      </c>
      <c r="B1133" s="558"/>
      <c r="C1133" s="558"/>
      <c r="D1133" s="615"/>
      <c r="E1133" s="700"/>
      <c r="F1133" s="558"/>
      <c r="G1133" s="709"/>
      <c r="H1133" s="546"/>
      <c r="I1133" s="563" t="s">
        <v>25</v>
      </c>
      <c r="J1133" s="563" t="s">
        <v>25</v>
      </c>
      <c r="K1133" s="564" t="s">
        <v>25</v>
      </c>
      <c r="L1133" s="564" t="s">
        <v>25</v>
      </c>
      <c r="M1133" s="558" t="s">
        <v>2809</v>
      </c>
      <c r="N1133" s="558"/>
      <c r="O1133" s="714">
        <v>15</v>
      </c>
      <c r="P1133" s="564">
        <v>25000</v>
      </c>
      <c r="Q1133" s="564">
        <v>375000</v>
      </c>
      <c r="R1133" s="566"/>
      <c r="S1133" s="589"/>
      <c r="T1133" s="710"/>
      <c r="U1133" s="593"/>
      <c r="V1133" s="564" t="s">
        <v>2899</v>
      </c>
      <c r="W1133" s="564" t="s">
        <v>25</v>
      </c>
      <c r="X1133" s="683"/>
      <c r="Y1133" s="683"/>
      <c r="Z1133" s="683"/>
      <c r="AA1133" s="694"/>
      <c r="AB1133" s="683"/>
      <c r="AC1133" s="683"/>
      <c r="AD1133" s="683"/>
      <c r="AE1133" s="590"/>
      <c r="AF1133" s="570" t="s">
        <v>2899</v>
      </c>
      <c r="AG1133" s="570" t="s">
        <v>25</v>
      </c>
      <c r="AH1133" s="571" t="s">
        <v>25</v>
      </c>
      <c r="AI1133" s="593"/>
      <c r="AJ1133" s="593"/>
    </row>
    <row r="1134" spans="1:36" s="385" customFormat="1" ht="44.25" outlineLevel="2" x14ac:dyDescent="0.3">
      <c r="A1134" s="447">
        <v>86</v>
      </c>
      <c r="B1134" s="558"/>
      <c r="C1134" s="558"/>
      <c r="D1134" s="615"/>
      <c r="E1134" s="700"/>
      <c r="F1134" s="558"/>
      <c r="G1134" s="709"/>
      <c r="H1134" s="546"/>
      <c r="I1134" s="563" t="s">
        <v>25</v>
      </c>
      <c r="J1134" s="563" t="s">
        <v>25</v>
      </c>
      <c r="K1134" s="564" t="s">
        <v>25</v>
      </c>
      <c r="L1134" s="564" t="s">
        <v>25</v>
      </c>
      <c r="M1134" s="558" t="s">
        <v>2810</v>
      </c>
      <c r="N1134" s="558"/>
      <c r="O1134" s="714">
        <v>4</v>
      </c>
      <c r="P1134" s="564">
        <v>12000</v>
      </c>
      <c r="Q1134" s="564">
        <v>48000</v>
      </c>
      <c r="R1134" s="566"/>
      <c r="S1134" s="589"/>
      <c r="T1134" s="710"/>
      <c r="U1134" s="593"/>
      <c r="V1134" s="564" t="s">
        <v>2899</v>
      </c>
      <c r="W1134" s="564" t="s">
        <v>25</v>
      </c>
      <c r="X1134" s="683"/>
      <c r="Y1134" s="683"/>
      <c r="Z1134" s="683"/>
      <c r="AA1134" s="694"/>
      <c r="AB1134" s="683"/>
      <c r="AC1134" s="683"/>
      <c r="AD1134" s="683"/>
      <c r="AE1134" s="590"/>
      <c r="AF1134" s="570" t="s">
        <v>2899</v>
      </c>
      <c r="AG1134" s="570" t="s">
        <v>25</v>
      </c>
      <c r="AH1134" s="571" t="s">
        <v>25</v>
      </c>
      <c r="AI1134" s="593"/>
      <c r="AJ1134" s="593"/>
    </row>
    <row r="1135" spans="1:36" s="385" customFormat="1" ht="20.25" outlineLevel="2" x14ac:dyDescent="0.3">
      <c r="A1135" s="447">
        <v>86</v>
      </c>
      <c r="B1135" s="558"/>
      <c r="C1135" s="558"/>
      <c r="D1135" s="615"/>
      <c r="E1135" s="700"/>
      <c r="F1135" s="558"/>
      <c r="G1135" s="709"/>
      <c r="H1135" s="546"/>
      <c r="I1135" s="563" t="s">
        <v>25</v>
      </c>
      <c r="J1135" s="563" t="s">
        <v>25</v>
      </c>
      <c r="K1135" s="564" t="s">
        <v>25</v>
      </c>
      <c r="L1135" s="564" t="s">
        <v>25</v>
      </c>
      <c r="M1135" s="558"/>
      <c r="N1135" s="558"/>
      <c r="O1135" s="714"/>
      <c r="P1135" s="564" t="s">
        <v>25</v>
      </c>
      <c r="Q1135" s="564" t="s">
        <v>25</v>
      </c>
      <c r="R1135" s="566"/>
      <c r="S1135" s="589"/>
      <c r="T1135" s="710"/>
      <c r="U1135" s="593"/>
      <c r="V1135" s="564" t="s">
        <v>2899</v>
      </c>
      <c r="W1135" s="564" t="s">
        <v>25</v>
      </c>
      <c r="X1135" s="683"/>
      <c r="Y1135" s="683"/>
      <c r="Z1135" s="683"/>
      <c r="AA1135" s="694"/>
      <c r="AB1135" s="683"/>
      <c r="AC1135" s="683"/>
      <c r="AD1135" s="683"/>
      <c r="AE1135" s="590"/>
      <c r="AF1135" s="570" t="s">
        <v>2899</v>
      </c>
      <c r="AG1135" s="570" t="s">
        <v>25</v>
      </c>
      <c r="AH1135" s="571" t="s">
        <v>25</v>
      </c>
      <c r="AI1135" s="593"/>
      <c r="AJ1135" s="593"/>
    </row>
    <row r="1136" spans="1:36" s="385" customFormat="1" ht="20.25" outlineLevel="2" x14ac:dyDescent="0.3">
      <c r="A1136" s="447">
        <v>86</v>
      </c>
      <c r="B1136" s="574"/>
      <c r="C1136" s="574"/>
      <c r="D1136" s="705"/>
      <c r="E1136" s="706"/>
      <c r="F1136" s="558"/>
      <c r="G1136" s="709"/>
      <c r="H1136" s="546"/>
      <c r="I1136" s="563" t="s">
        <v>25</v>
      </c>
      <c r="J1136" s="563" t="s">
        <v>25</v>
      </c>
      <c r="K1136" s="564" t="s">
        <v>25</v>
      </c>
      <c r="L1136" s="564" t="s">
        <v>25</v>
      </c>
      <c r="M1136" s="558"/>
      <c r="N1136" s="558"/>
      <c r="O1136" s="714"/>
      <c r="P1136" s="564" t="s">
        <v>25</v>
      </c>
      <c r="Q1136" s="564" t="s">
        <v>25</v>
      </c>
      <c r="R1136" s="566"/>
      <c r="S1136" s="589"/>
      <c r="T1136" s="710"/>
      <c r="U1136" s="593"/>
      <c r="V1136" s="564" t="s">
        <v>2899</v>
      </c>
      <c r="W1136" s="564" t="s">
        <v>25</v>
      </c>
      <c r="X1136" s="683"/>
      <c r="Y1136" s="683"/>
      <c r="Z1136" s="683"/>
      <c r="AA1136" s="694"/>
      <c r="AB1136" s="683"/>
      <c r="AC1136" s="683"/>
      <c r="AD1136" s="683"/>
      <c r="AE1136" s="590"/>
      <c r="AF1136" s="570" t="s">
        <v>2899</v>
      </c>
      <c r="AG1136" s="570" t="s">
        <v>25</v>
      </c>
      <c r="AH1136" s="571" t="s">
        <v>25</v>
      </c>
      <c r="AI1136" s="593"/>
      <c r="AJ1136" s="593"/>
    </row>
    <row r="1137" spans="1:36" s="385" customFormat="1" ht="40.5" outlineLevel="1" x14ac:dyDescent="0.25">
      <c r="A1137" s="467">
        <v>87</v>
      </c>
      <c r="B1137" s="574" t="s">
        <v>840</v>
      </c>
      <c r="C1137" s="586" t="s">
        <v>2903</v>
      </c>
      <c r="D1137" s="615">
        <v>86</v>
      </c>
      <c r="E1137" s="700">
        <v>332</v>
      </c>
      <c r="F1137" s="574"/>
      <c r="G1137" s="707">
        <v>2046.5</v>
      </c>
      <c r="H1137" s="579">
        <v>2046.5</v>
      </c>
      <c r="I1137" s="581"/>
      <c r="J1137" s="581"/>
      <c r="K1137" s="571">
        <v>952850000</v>
      </c>
      <c r="L1137" s="571">
        <v>2858551000</v>
      </c>
      <c r="M1137" s="574"/>
      <c r="N1137" s="574"/>
      <c r="O1137" s="712">
        <v>0</v>
      </c>
      <c r="P1137" s="571"/>
      <c r="Q1137" s="571">
        <v>0</v>
      </c>
      <c r="R1137" s="582"/>
      <c r="S1137" s="597"/>
      <c r="T1137" s="708">
        <v>0</v>
      </c>
      <c r="U1137" s="608"/>
      <c r="V1137" s="571"/>
      <c r="W1137" s="571">
        <v>0</v>
      </c>
      <c r="X1137" s="683"/>
      <c r="Y1137" s="683"/>
      <c r="Z1137" s="683"/>
      <c r="AA1137" s="694"/>
      <c r="AB1137" s="683"/>
      <c r="AC1137" s="683"/>
      <c r="AD1137" s="650"/>
      <c r="AE1137" s="599">
        <f>SUBTOTAL(9,AE1138:AE1145)</f>
        <v>0</v>
      </c>
      <c r="AF1137" s="585"/>
      <c r="AG1137" s="585">
        <v>0</v>
      </c>
      <c r="AH1137" s="571">
        <v>3811401000</v>
      </c>
      <c r="AI1137" s="574"/>
      <c r="AJ1137" s="578"/>
    </row>
    <row r="1138" spans="1:36" s="385" customFormat="1" ht="121.5" outlineLevel="2" x14ac:dyDescent="0.3">
      <c r="A1138" s="447">
        <v>87</v>
      </c>
      <c r="B1138" s="558" t="s">
        <v>843</v>
      </c>
      <c r="C1138" s="558"/>
      <c r="D1138" s="615"/>
      <c r="E1138" s="700"/>
      <c r="F1138" s="558" t="s">
        <v>2864</v>
      </c>
      <c r="G1138" s="709">
        <v>2046.5</v>
      </c>
      <c r="H1138" s="546">
        <v>2046.5</v>
      </c>
      <c r="I1138" s="563">
        <v>465600</v>
      </c>
      <c r="J1138" s="563">
        <v>1396800</v>
      </c>
      <c r="K1138" s="564">
        <v>952850000</v>
      </c>
      <c r="L1138" s="564">
        <v>2858551000</v>
      </c>
      <c r="M1138" s="558"/>
      <c r="N1138" s="558"/>
      <c r="O1138" s="714"/>
      <c r="P1138" s="564" t="s">
        <v>25</v>
      </c>
      <c r="Q1138" s="564" t="s">
        <v>25</v>
      </c>
      <c r="R1138" s="566"/>
      <c r="S1138" s="589"/>
      <c r="T1138" s="710"/>
      <c r="U1138" s="593"/>
      <c r="V1138" s="564" t="s">
        <v>2899</v>
      </c>
      <c r="W1138" s="564" t="s">
        <v>25</v>
      </c>
      <c r="X1138" s="683"/>
      <c r="Y1138" s="683"/>
      <c r="Z1138" s="683"/>
      <c r="AA1138" s="694"/>
      <c r="AB1138" s="683"/>
      <c r="AC1138" s="683"/>
      <c r="AD1138" s="683"/>
      <c r="AE1138" s="590"/>
      <c r="AF1138" s="570" t="s">
        <v>2899</v>
      </c>
      <c r="AG1138" s="570"/>
      <c r="AH1138" s="571" t="s">
        <v>25</v>
      </c>
      <c r="AI1138" s="558" t="s">
        <v>842</v>
      </c>
      <c r="AJ1138" s="586" t="s">
        <v>2771</v>
      </c>
    </row>
    <row r="1139" spans="1:36" s="385" customFormat="1" ht="101.25" outlineLevel="2" x14ac:dyDescent="0.3">
      <c r="A1139" s="447">
        <v>87</v>
      </c>
      <c r="B1139" s="586" t="s">
        <v>846</v>
      </c>
      <c r="C1139" s="586"/>
      <c r="D1139" s="615"/>
      <c r="E1139" s="700"/>
      <c r="F1139" s="586"/>
      <c r="G1139" s="709"/>
      <c r="H1139" s="546"/>
      <c r="I1139" s="563" t="s">
        <v>25</v>
      </c>
      <c r="J1139" s="563" t="s">
        <v>25</v>
      </c>
      <c r="K1139" s="564" t="s">
        <v>25</v>
      </c>
      <c r="L1139" s="564" t="s">
        <v>25</v>
      </c>
      <c r="M1139" s="558"/>
      <c r="N1139" s="558"/>
      <c r="O1139" s="714"/>
      <c r="P1139" s="564" t="s">
        <v>25</v>
      </c>
      <c r="Q1139" s="564" t="s">
        <v>25</v>
      </c>
      <c r="R1139" s="566"/>
      <c r="S1139" s="589"/>
      <c r="T1139" s="710"/>
      <c r="U1139" s="593"/>
      <c r="V1139" s="564" t="s">
        <v>2899</v>
      </c>
      <c r="W1139" s="564" t="s">
        <v>25</v>
      </c>
      <c r="X1139" s="683"/>
      <c r="Y1139" s="683"/>
      <c r="Z1139" s="683"/>
      <c r="AA1139" s="694"/>
      <c r="AB1139" s="683"/>
      <c r="AC1139" s="683"/>
      <c r="AD1139" s="683"/>
      <c r="AE1139" s="590"/>
      <c r="AF1139" s="570" t="s">
        <v>2899</v>
      </c>
      <c r="AG1139" s="570" t="s">
        <v>25</v>
      </c>
      <c r="AH1139" s="571" t="s">
        <v>25</v>
      </c>
      <c r="AI1139" s="558" t="s">
        <v>2811</v>
      </c>
      <c r="AJ1139" s="605" t="s">
        <v>2448</v>
      </c>
    </row>
    <row r="1140" spans="1:36" s="385" customFormat="1" ht="20.25" outlineLevel="2" x14ac:dyDescent="0.3">
      <c r="A1140" s="447">
        <v>87</v>
      </c>
      <c r="B1140" s="586"/>
      <c r="C1140" s="586"/>
      <c r="D1140" s="615"/>
      <c r="E1140" s="700"/>
      <c r="F1140" s="558"/>
      <c r="G1140" s="709"/>
      <c r="H1140" s="546"/>
      <c r="I1140" s="563" t="s">
        <v>25</v>
      </c>
      <c r="J1140" s="563" t="s">
        <v>25</v>
      </c>
      <c r="K1140" s="564" t="s">
        <v>25</v>
      </c>
      <c r="L1140" s="564" t="s">
        <v>25</v>
      </c>
      <c r="M1140" s="558"/>
      <c r="N1140" s="558"/>
      <c r="O1140" s="714"/>
      <c r="P1140" s="564" t="s">
        <v>25</v>
      </c>
      <c r="Q1140" s="564" t="s">
        <v>25</v>
      </c>
      <c r="R1140" s="566"/>
      <c r="S1140" s="589"/>
      <c r="T1140" s="710"/>
      <c r="U1140" s="593"/>
      <c r="V1140" s="564" t="s">
        <v>2899</v>
      </c>
      <c r="W1140" s="564" t="s">
        <v>25</v>
      </c>
      <c r="X1140" s="683"/>
      <c r="Y1140" s="683"/>
      <c r="Z1140" s="683"/>
      <c r="AA1140" s="694"/>
      <c r="AB1140" s="683"/>
      <c r="AC1140" s="683"/>
      <c r="AD1140" s="683"/>
      <c r="AE1140" s="590"/>
      <c r="AF1140" s="570" t="s">
        <v>2899</v>
      </c>
      <c r="AG1140" s="570" t="s">
        <v>25</v>
      </c>
      <c r="AH1140" s="571" t="s">
        <v>25</v>
      </c>
      <c r="AI1140" s="593" t="s">
        <v>847</v>
      </c>
      <c r="AJ1140" s="566"/>
    </row>
    <row r="1141" spans="1:36" s="385" customFormat="1" ht="60.75" outlineLevel="2" x14ac:dyDescent="0.3">
      <c r="A1141" s="447">
        <v>87</v>
      </c>
      <c r="B1141" s="558"/>
      <c r="C1141" s="558"/>
      <c r="D1141" s="615"/>
      <c r="E1141" s="700"/>
      <c r="F1141" s="558"/>
      <c r="G1141" s="709"/>
      <c r="H1141" s="546"/>
      <c r="I1141" s="563" t="s">
        <v>25</v>
      </c>
      <c r="J1141" s="563" t="s">
        <v>25</v>
      </c>
      <c r="K1141" s="564" t="s">
        <v>25</v>
      </c>
      <c r="L1141" s="564" t="s">
        <v>25</v>
      </c>
      <c r="M1141" s="558"/>
      <c r="N1141" s="558"/>
      <c r="O1141" s="714"/>
      <c r="P1141" s="564" t="s">
        <v>25</v>
      </c>
      <c r="Q1141" s="564" t="s">
        <v>25</v>
      </c>
      <c r="R1141" s="566"/>
      <c r="S1141" s="589"/>
      <c r="T1141" s="710"/>
      <c r="U1141" s="593"/>
      <c r="V1141" s="564" t="s">
        <v>2899</v>
      </c>
      <c r="W1141" s="564" t="s">
        <v>25</v>
      </c>
      <c r="X1141" s="683"/>
      <c r="Y1141" s="683"/>
      <c r="Z1141" s="683"/>
      <c r="AA1141" s="694"/>
      <c r="AB1141" s="683"/>
      <c r="AC1141" s="683"/>
      <c r="AD1141" s="683"/>
      <c r="AE1141" s="590"/>
      <c r="AF1141" s="570" t="s">
        <v>2899</v>
      </c>
      <c r="AG1141" s="570" t="s">
        <v>25</v>
      </c>
      <c r="AH1141" s="571" t="s">
        <v>25</v>
      </c>
      <c r="AI1141" s="558" t="s">
        <v>2074</v>
      </c>
      <c r="AJ1141" s="593"/>
    </row>
    <row r="1142" spans="1:36" s="385" customFormat="1" ht="20.25" outlineLevel="2" x14ac:dyDescent="0.3">
      <c r="A1142" s="447">
        <v>87</v>
      </c>
      <c r="B1142" s="558"/>
      <c r="C1142" s="558"/>
      <c r="D1142" s="615"/>
      <c r="E1142" s="700"/>
      <c r="F1142" s="558"/>
      <c r="G1142" s="709"/>
      <c r="H1142" s="546"/>
      <c r="I1142" s="563" t="s">
        <v>25</v>
      </c>
      <c r="J1142" s="563" t="s">
        <v>25</v>
      </c>
      <c r="K1142" s="564" t="s">
        <v>25</v>
      </c>
      <c r="L1142" s="564" t="s">
        <v>25</v>
      </c>
      <c r="M1142" s="558"/>
      <c r="N1142" s="558"/>
      <c r="O1142" s="714"/>
      <c r="P1142" s="564" t="s">
        <v>25</v>
      </c>
      <c r="Q1142" s="564" t="s">
        <v>25</v>
      </c>
      <c r="R1142" s="566"/>
      <c r="S1142" s="589"/>
      <c r="T1142" s="710"/>
      <c r="U1142" s="593"/>
      <c r="V1142" s="564" t="s">
        <v>2899</v>
      </c>
      <c r="W1142" s="564" t="s">
        <v>25</v>
      </c>
      <c r="X1142" s="683"/>
      <c r="Y1142" s="683"/>
      <c r="Z1142" s="683"/>
      <c r="AA1142" s="694"/>
      <c r="AB1142" s="683"/>
      <c r="AC1142" s="683"/>
      <c r="AD1142" s="683"/>
      <c r="AE1142" s="590"/>
      <c r="AF1142" s="570" t="s">
        <v>2899</v>
      </c>
      <c r="AG1142" s="570" t="s">
        <v>25</v>
      </c>
      <c r="AH1142" s="571" t="s">
        <v>25</v>
      </c>
      <c r="AI1142" s="704"/>
      <c r="AJ1142" s="593"/>
    </row>
    <row r="1143" spans="1:36" s="385" customFormat="1" ht="20.25" outlineLevel="2" x14ac:dyDescent="0.3">
      <c r="A1143" s="447">
        <v>87</v>
      </c>
      <c r="B1143" s="558"/>
      <c r="C1143" s="558"/>
      <c r="D1143" s="615"/>
      <c r="E1143" s="700"/>
      <c r="F1143" s="558"/>
      <c r="G1143" s="709"/>
      <c r="H1143" s="546"/>
      <c r="I1143" s="563" t="s">
        <v>25</v>
      </c>
      <c r="J1143" s="563" t="s">
        <v>25</v>
      </c>
      <c r="K1143" s="564" t="s">
        <v>25</v>
      </c>
      <c r="L1143" s="564" t="s">
        <v>25</v>
      </c>
      <c r="M1143" s="558"/>
      <c r="N1143" s="558"/>
      <c r="O1143" s="714"/>
      <c r="P1143" s="564" t="s">
        <v>25</v>
      </c>
      <c r="Q1143" s="564" t="s">
        <v>25</v>
      </c>
      <c r="R1143" s="566"/>
      <c r="S1143" s="589"/>
      <c r="T1143" s="710"/>
      <c r="U1143" s="593"/>
      <c r="V1143" s="564" t="s">
        <v>2899</v>
      </c>
      <c r="W1143" s="564" t="s">
        <v>25</v>
      </c>
      <c r="X1143" s="683"/>
      <c r="Y1143" s="683"/>
      <c r="Z1143" s="683"/>
      <c r="AA1143" s="694"/>
      <c r="AB1143" s="683"/>
      <c r="AC1143" s="683"/>
      <c r="AD1143" s="683"/>
      <c r="AE1143" s="590"/>
      <c r="AF1143" s="570" t="s">
        <v>2899</v>
      </c>
      <c r="AG1143" s="570" t="s">
        <v>25</v>
      </c>
      <c r="AH1143" s="571" t="s">
        <v>25</v>
      </c>
      <c r="AI1143" s="704"/>
      <c r="AJ1143" s="593"/>
    </row>
    <row r="1144" spans="1:36" s="385" customFormat="1" ht="20.25" outlineLevel="2" x14ac:dyDescent="0.3">
      <c r="A1144" s="447">
        <v>87</v>
      </c>
      <c r="B1144" s="558"/>
      <c r="C1144" s="558"/>
      <c r="D1144" s="615"/>
      <c r="E1144" s="700"/>
      <c r="F1144" s="558"/>
      <c r="G1144" s="709"/>
      <c r="H1144" s="546"/>
      <c r="I1144" s="563" t="s">
        <v>25</v>
      </c>
      <c r="J1144" s="563" t="s">
        <v>25</v>
      </c>
      <c r="K1144" s="564" t="s">
        <v>25</v>
      </c>
      <c r="L1144" s="564" t="s">
        <v>25</v>
      </c>
      <c r="M1144" s="558"/>
      <c r="N1144" s="558"/>
      <c r="O1144" s="714"/>
      <c r="P1144" s="564" t="s">
        <v>25</v>
      </c>
      <c r="Q1144" s="564" t="s">
        <v>25</v>
      </c>
      <c r="R1144" s="566"/>
      <c r="S1144" s="589"/>
      <c r="T1144" s="710"/>
      <c r="U1144" s="593"/>
      <c r="V1144" s="564" t="s">
        <v>2899</v>
      </c>
      <c r="W1144" s="564" t="s">
        <v>25</v>
      </c>
      <c r="X1144" s="683"/>
      <c r="Y1144" s="683"/>
      <c r="Z1144" s="683"/>
      <c r="AA1144" s="694"/>
      <c r="AB1144" s="683"/>
      <c r="AC1144" s="683"/>
      <c r="AD1144" s="683"/>
      <c r="AE1144" s="590"/>
      <c r="AF1144" s="570" t="s">
        <v>2899</v>
      </c>
      <c r="AG1144" s="570" t="s">
        <v>25</v>
      </c>
      <c r="AH1144" s="571" t="s">
        <v>25</v>
      </c>
      <c r="AI1144" s="704"/>
      <c r="AJ1144" s="593"/>
    </row>
    <row r="1145" spans="1:36" s="385" customFormat="1" ht="20.25" outlineLevel="2" x14ac:dyDescent="0.3">
      <c r="A1145" s="447">
        <v>87</v>
      </c>
      <c r="B1145" s="574"/>
      <c r="C1145" s="574"/>
      <c r="D1145" s="705"/>
      <c r="E1145" s="706"/>
      <c r="F1145" s="558"/>
      <c r="G1145" s="709"/>
      <c r="H1145" s="546"/>
      <c r="I1145" s="563" t="s">
        <v>25</v>
      </c>
      <c r="J1145" s="563" t="s">
        <v>25</v>
      </c>
      <c r="K1145" s="564" t="s">
        <v>25</v>
      </c>
      <c r="L1145" s="564" t="s">
        <v>25</v>
      </c>
      <c r="M1145" s="558"/>
      <c r="N1145" s="558"/>
      <c r="O1145" s="714"/>
      <c r="P1145" s="564" t="s">
        <v>25</v>
      </c>
      <c r="Q1145" s="564" t="s">
        <v>25</v>
      </c>
      <c r="R1145" s="566"/>
      <c r="S1145" s="589"/>
      <c r="T1145" s="710"/>
      <c r="U1145" s="593"/>
      <c r="V1145" s="564" t="s">
        <v>2899</v>
      </c>
      <c r="W1145" s="564" t="s">
        <v>25</v>
      </c>
      <c r="X1145" s="683"/>
      <c r="Y1145" s="683"/>
      <c r="Z1145" s="683"/>
      <c r="AA1145" s="694"/>
      <c r="AB1145" s="683"/>
      <c r="AC1145" s="683"/>
      <c r="AD1145" s="683"/>
      <c r="AE1145" s="590"/>
      <c r="AF1145" s="570" t="s">
        <v>2899</v>
      </c>
      <c r="AG1145" s="570" t="s">
        <v>25</v>
      </c>
      <c r="AH1145" s="571" t="s">
        <v>25</v>
      </c>
      <c r="AI1145" s="558"/>
      <c r="AJ1145" s="593"/>
    </row>
    <row r="1146" spans="1:36" s="385" customFormat="1" ht="40.5" outlineLevel="1" x14ac:dyDescent="0.25">
      <c r="A1146" s="467">
        <v>88</v>
      </c>
      <c r="B1146" s="574" t="s">
        <v>849</v>
      </c>
      <c r="C1146" s="586" t="s">
        <v>2903</v>
      </c>
      <c r="D1146" s="615">
        <v>86</v>
      </c>
      <c r="E1146" s="700">
        <v>32</v>
      </c>
      <c r="F1146" s="574"/>
      <c r="G1146" s="707">
        <v>1919.9</v>
      </c>
      <c r="H1146" s="579">
        <v>0</v>
      </c>
      <c r="I1146" s="581"/>
      <c r="J1146" s="581"/>
      <c r="K1146" s="571">
        <v>723418000</v>
      </c>
      <c r="L1146" s="571">
        <v>0</v>
      </c>
      <c r="M1146" s="578"/>
      <c r="N1146" s="578"/>
      <c r="O1146" s="712">
        <v>21</v>
      </c>
      <c r="P1146" s="571"/>
      <c r="Q1146" s="571">
        <v>2568000</v>
      </c>
      <c r="R1146" s="582"/>
      <c r="S1146" s="597"/>
      <c r="T1146" s="708">
        <v>0</v>
      </c>
      <c r="U1146" s="608"/>
      <c r="V1146" s="571"/>
      <c r="W1146" s="571">
        <v>0</v>
      </c>
      <c r="X1146" s="683"/>
      <c r="Y1146" s="683"/>
      <c r="Z1146" s="683"/>
      <c r="AA1146" s="694"/>
      <c r="AB1146" s="683"/>
      <c r="AC1146" s="683"/>
      <c r="AD1146" s="650"/>
      <c r="AE1146" s="599">
        <f>SUBTOTAL(9,AE1147:AE1153)</f>
        <v>0</v>
      </c>
      <c r="AF1146" s="585"/>
      <c r="AG1146" s="585">
        <v>0</v>
      </c>
      <c r="AH1146" s="571">
        <v>725986000</v>
      </c>
      <c r="AI1146" s="574"/>
      <c r="AJ1146" s="578"/>
    </row>
    <row r="1147" spans="1:36" s="385" customFormat="1" ht="121.5" outlineLevel="2" x14ac:dyDescent="0.3">
      <c r="A1147" s="447">
        <v>88</v>
      </c>
      <c r="B1147" s="558" t="s">
        <v>851</v>
      </c>
      <c r="C1147" s="558"/>
      <c r="D1147" s="615"/>
      <c r="E1147" s="700"/>
      <c r="F1147" s="558" t="s">
        <v>2432</v>
      </c>
      <c r="G1147" s="709">
        <v>1919.9</v>
      </c>
      <c r="H1147" s="546" t="s">
        <v>2899</v>
      </c>
      <c r="I1147" s="563">
        <v>376800</v>
      </c>
      <c r="J1147" s="563">
        <v>0</v>
      </c>
      <c r="K1147" s="564">
        <v>723418000</v>
      </c>
      <c r="L1147" s="564">
        <v>0</v>
      </c>
      <c r="M1147" s="586" t="s">
        <v>400</v>
      </c>
      <c r="N1147" s="586"/>
      <c r="O1147" s="714">
        <v>6</v>
      </c>
      <c r="P1147" s="564">
        <v>228000</v>
      </c>
      <c r="Q1147" s="564">
        <v>1368000</v>
      </c>
      <c r="R1147" s="566"/>
      <c r="S1147" s="589"/>
      <c r="T1147" s="710"/>
      <c r="U1147" s="593"/>
      <c r="V1147" s="564" t="s">
        <v>2899</v>
      </c>
      <c r="W1147" s="564" t="s">
        <v>25</v>
      </c>
      <c r="X1147" s="683"/>
      <c r="Y1147" s="683"/>
      <c r="Z1147" s="683"/>
      <c r="AA1147" s="694"/>
      <c r="AB1147" s="683"/>
      <c r="AC1147" s="683"/>
      <c r="AD1147" s="683"/>
      <c r="AE1147" s="590"/>
      <c r="AF1147" s="570" t="s">
        <v>2899</v>
      </c>
      <c r="AG1147" s="570"/>
      <c r="AH1147" s="571" t="s">
        <v>25</v>
      </c>
      <c r="AI1147" s="558" t="s">
        <v>850</v>
      </c>
      <c r="AJ1147" s="586" t="s">
        <v>2771</v>
      </c>
    </row>
    <row r="1148" spans="1:36" s="385" customFormat="1" ht="121.5" outlineLevel="2" x14ac:dyDescent="0.3">
      <c r="A1148" s="447">
        <v>88</v>
      </c>
      <c r="B1148" s="558" t="s">
        <v>1570</v>
      </c>
      <c r="C1148" s="558"/>
      <c r="D1148" s="615"/>
      <c r="E1148" s="700"/>
      <c r="F1148" s="558"/>
      <c r="G1148" s="709"/>
      <c r="H1148" s="546"/>
      <c r="I1148" s="563" t="s">
        <v>25</v>
      </c>
      <c r="J1148" s="563" t="s">
        <v>25</v>
      </c>
      <c r="K1148" s="564" t="s">
        <v>25</v>
      </c>
      <c r="L1148" s="564" t="s">
        <v>25</v>
      </c>
      <c r="M1148" s="586" t="s">
        <v>401</v>
      </c>
      <c r="N1148" s="586"/>
      <c r="O1148" s="714">
        <v>10</v>
      </c>
      <c r="P1148" s="564">
        <v>80000</v>
      </c>
      <c r="Q1148" s="564">
        <v>800000</v>
      </c>
      <c r="R1148" s="566"/>
      <c r="S1148" s="589"/>
      <c r="T1148" s="710"/>
      <c r="U1148" s="593"/>
      <c r="V1148" s="564" t="s">
        <v>2899</v>
      </c>
      <c r="W1148" s="564" t="s">
        <v>25</v>
      </c>
      <c r="X1148" s="683"/>
      <c r="Y1148" s="683"/>
      <c r="Z1148" s="683"/>
      <c r="AA1148" s="694"/>
      <c r="AB1148" s="683"/>
      <c r="AC1148" s="683"/>
      <c r="AD1148" s="683"/>
      <c r="AE1148" s="590"/>
      <c r="AF1148" s="570" t="s">
        <v>2899</v>
      </c>
      <c r="AG1148" s="570" t="s">
        <v>25</v>
      </c>
      <c r="AH1148" s="571" t="s">
        <v>25</v>
      </c>
      <c r="AI1148" s="558" t="s">
        <v>2812</v>
      </c>
      <c r="AJ1148" s="558" t="s">
        <v>2449</v>
      </c>
    </row>
    <row r="1149" spans="1:36" s="385" customFormat="1" ht="40.5" outlineLevel="2" x14ac:dyDescent="0.3">
      <c r="A1149" s="447">
        <v>88</v>
      </c>
      <c r="B1149" s="586"/>
      <c r="C1149" s="586"/>
      <c r="D1149" s="615"/>
      <c r="E1149" s="700"/>
      <c r="F1149" s="558"/>
      <c r="G1149" s="709"/>
      <c r="H1149" s="546"/>
      <c r="I1149" s="563" t="s">
        <v>25</v>
      </c>
      <c r="J1149" s="563" t="s">
        <v>25</v>
      </c>
      <c r="K1149" s="564" t="s">
        <v>25</v>
      </c>
      <c r="L1149" s="564" t="s">
        <v>25</v>
      </c>
      <c r="M1149" s="586" t="s">
        <v>401</v>
      </c>
      <c r="N1149" s="586"/>
      <c r="O1149" s="714">
        <v>5</v>
      </c>
      <c r="P1149" s="564">
        <v>80000</v>
      </c>
      <c r="Q1149" s="564">
        <v>400000</v>
      </c>
      <c r="R1149" s="566"/>
      <c r="S1149" s="589"/>
      <c r="T1149" s="710"/>
      <c r="U1149" s="593"/>
      <c r="V1149" s="564" t="s">
        <v>2899</v>
      </c>
      <c r="W1149" s="564" t="s">
        <v>25</v>
      </c>
      <c r="X1149" s="683"/>
      <c r="Y1149" s="683"/>
      <c r="Z1149" s="683"/>
      <c r="AA1149" s="694"/>
      <c r="AB1149" s="683"/>
      <c r="AC1149" s="683"/>
      <c r="AD1149" s="683"/>
      <c r="AE1149" s="590"/>
      <c r="AF1149" s="570" t="s">
        <v>2899</v>
      </c>
      <c r="AG1149" s="570" t="s">
        <v>25</v>
      </c>
      <c r="AH1149" s="571" t="s">
        <v>25</v>
      </c>
      <c r="AI1149" s="593" t="s">
        <v>854</v>
      </c>
      <c r="AJ1149" s="704"/>
    </row>
    <row r="1150" spans="1:36" s="385" customFormat="1" ht="101.25" outlineLevel="2" x14ac:dyDescent="0.3">
      <c r="A1150" s="447">
        <v>88</v>
      </c>
      <c r="B1150" s="586"/>
      <c r="C1150" s="586"/>
      <c r="D1150" s="615"/>
      <c r="E1150" s="700"/>
      <c r="F1150" s="558"/>
      <c r="G1150" s="709"/>
      <c r="H1150" s="546"/>
      <c r="I1150" s="563" t="s">
        <v>25</v>
      </c>
      <c r="J1150" s="563" t="s">
        <v>25</v>
      </c>
      <c r="K1150" s="564" t="s">
        <v>25</v>
      </c>
      <c r="L1150" s="564" t="s">
        <v>25</v>
      </c>
      <c r="M1150" s="558"/>
      <c r="N1150" s="558"/>
      <c r="O1150" s="714"/>
      <c r="P1150" s="564" t="s">
        <v>25</v>
      </c>
      <c r="Q1150" s="564" t="s">
        <v>25</v>
      </c>
      <c r="R1150" s="566"/>
      <c r="S1150" s="589"/>
      <c r="T1150" s="710"/>
      <c r="U1150" s="593"/>
      <c r="V1150" s="564" t="s">
        <v>2899</v>
      </c>
      <c r="W1150" s="564" t="s">
        <v>25</v>
      </c>
      <c r="X1150" s="683"/>
      <c r="Y1150" s="683"/>
      <c r="Z1150" s="683"/>
      <c r="AA1150" s="694"/>
      <c r="AB1150" s="683"/>
      <c r="AC1150" s="683"/>
      <c r="AD1150" s="683"/>
      <c r="AE1150" s="590"/>
      <c r="AF1150" s="570" t="s">
        <v>2899</v>
      </c>
      <c r="AG1150" s="570" t="s">
        <v>25</v>
      </c>
      <c r="AH1150" s="571" t="s">
        <v>25</v>
      </c>
      <c r="AI1150" s="558" t="s">
        <v>2220</v>
      </c>
      <c r="AJ1150" s="566"/>
    </row>
    <row r="1151" spans="1:36" s="385" customFormat="1" ht="20.25" outlineLevel="2" x14ac:dyDescent="0.3">
      <c r="A1151" s="447">
        <v>88</v>
      </c>
      <c r="B1151" s="586"/>
      <c r="C1151" s="586"/>
      <c r="D1151" s="615"/>
      <c r="E1151" s="700"/>
      <c r="F1151" s="558"/>
      <c r="G1151" s="709"/>
      <c r="H1151" s="546"/>
      <c r="I1151" s="563" t="s">
        <v>25</v>
      </c>
      <c r="J1151" s="563" t="s">
        <v>25</v>
      </c>
      <c r="K1151" s="564" t="s">
        <v>25</v>
      </c>
      <c r="L1151" s="564" t="s">
        <v>25</v>
      </c>
      <c r="M1151" s="558"/>
      <c r="N1151" s="558"/>
      <c r="O1151" s="714"/>
      <c r="P1151" s="564" t="s">
        <v>25</v>
      </c>
      <c r="Q1151" s="564" t="s">
        <v>25</v>
      </c>
      <c r="R1151" s="566"/>
      <c r="S1151" s="589"/>
      <c r="T1151" s="710"/>
      <c r="U1151" s="593"/>
      <c r="V1151" s="564" t="s">
        <v>2899</v>
      </c>
      <c r="W1151" s="564" t="s">
        <v>25</v>
      </c>
      <c r="X1151" s="683"/>
      <c r="Y1151" s="683"/>
      <c r="Z1151" s="683"/>
      <c r="AA1151" s="694"/>
      <c r="AB1151" s="683"/>
      <c r="AC1151" s="683"/>
      <c r="AD1151" s="683"/>
      <c r="AE1151" s="590"/>
      <c r="AF1151" s="570" t="s">
        <v>2899</v>
      </c>
      <c r="AG1151" s="570" t="s">
        <v>25</v>
      </c>
      <c r="AH1151" s="571" t="s">
        <v>25</v>
      </c>
      <c r="AI1151" s="704"/>
      <c r="AJ1151" s="566"/>
    </row>
    <row r="1152" spans="1:36" s="385" customFormat="1" ht="20.25" outlineLevel="2" x14ac:dyDescent="0.3">
      <c r="A1152" s="447">
        <v>88</v>
      </c>
      <c r="B1152" s="586"/>
      <c r="C1152" s="586"/>
      <c r="D1152" s="615"/>
      <c r="E1152" s="700"/>
      <c r="F1152" s="558"/>
      <c r="G1152" s="709"/>
      <c r="H1152" s="546"/>
      <c r="I1152" s="563" t="s">
        <v>25</v>
      </c>
      <c r="J1152" s="563" t="s">
        <v>25</v>
      </c>
      <c r="K1152" s="564" t="s">
        <v>25</v>
      </c>
      <c r="L1152" s="564" t="s">
        <v>25</v>
      </c>
      <c r="M1152" s="558"/>
      <c r="N1152" s="558"/>
      <c r="O1152" s="714"/>
      <c r="P1152" s="564" t="s">
        <v>25</v>
      </c>
      <c r="Q1152" s="564" t="s">
        <v>25</v>
      </c>
      <c r="R1152" s="566"/>
      <c r="S1152" s="589"/>
      <c r="T1152" s="710"/>
      <c r="U1152" s="593"/>
      <c r="V1152" s="564" t="s">
        <v>2899</v>
      </c>
      <c r="W1152" s="564" t="s">
        <v>25</v>
      </c>
      <c r="X1152" s="683"/>
      <c r="Y1152" s="683"/>
      <c r="Z1152" s="683"/>
      <c r="AA1152" s="694"/>
      <c r="AB1152" s="683"/>
      <c r="AC1152" s="683"/>
      <c r="AD1152" s="683"/>
      <c r="AE1152" s="590"/>
      <c r="AF1152" s="570" t="s">
        <v>2899</v>
      </c>
      <c r="AG1152" s="570" t="s">
        <v>25</v>
      </c>
      <c r="AH1152" s="571" t="s">
        <v>25</v>
      </c>
      <c r="AI1152" s="593"/>
      <c r="AJ1152" s="566"/>
    </row>
    <row r="1153" spans="1:37" s="385" customFormat="1" ht="20.25" outlineLevel="2" x14ac:dyDescent="0.3">
      <c r="A1153" s="447">
        <v>88</v>
      </c>
      <c r="B1153" s="574"/>
      <c r="C1153" s="574"/>
      <c r="D1153" s="705"/>
      <c r="E1153" s="706"/>
      <c r="F1153" s="558"/>
      <c r="G1153" s="709"/>
      <c r="H1153" s="546"/>
      <c r="I1153" s="563" t="s">
        <v>25</v>
      </c>
      <c r="J1153" s="563" t="s">
        <v>25</v>
      </c>
      <c r="K1153" s="564" t="s">
        <v>25</v>
      </c>
      <c r="L1153" s="564" t="s">
        <v>25</v>
      </c>
      <c r="M1153" s="558"/>
      <c r="N1153" s="558"/>
      <c r="O1153" s="714"/>
      <c r="P1153" s="564" t="s">
        <v>25</v>
      </c>
      <c r="Q1153" s="564" t="s">
        <v>25</v>
      </c>
      <c r="R1153" s="566"/>
      <c r="S1153" s="589"/>
      <c r="T1153" s="710"/>
      <c r="U1153" s="593"/>
      <c r="V1153" s="564" t="s">
        <v>2899</v>
      </c>
      <c r="W1153" s="564" t="s">
        <v>25</v>
      </c>
      <c r="X1153" s="683"/>
      <c r="Y1153" s="683"/>
      <c r="Z1153" s="683"/>
      <c r="AA1153" s="694"/>
      <c r="AB1153" s="683"/>
      <c r="AC1153" s="683"/>
      <c r="AD1153" s="683"/>
      <c r="AE1153" s="590"/>
      <c r="AF1153" s="570" t="s">
        <v>2899</v>
      </c>
      <c r="AG1153" s="570" t="s">
        <v>25</v>
      </c>
      <c r="AH1153" s="571" t="s">
        <v>25</v>
      </c>
      <c r="AI1153" s="593"/>
      <c r="AJ1153" s="566"/>
    </row>
    <row r="1154" spans="1:37" s="385" customFormat="1" ht="40.5" outlineLevel="1" x14ac:dyDescent="0.25">
      <c r="A1154" s="467">
        <v>89</v>
      </c>
      <c r="B1154" s="574" t="s">
        <v>48</v>
      </c>
      <c r="C1154" s="586" t="s">
        <v>2903</v>
      </c>
      <c r="D1154" s="615">
        <v>86</v>
      </c>
      <c r="E1154" s="700">
        <v>33</v>
      </c>
      <c r="F1154" s="574"/>
      <c r="G1154" s="707">
        <v>2234.6999999999998</v>
      </c>
      <c r="H1154" s="579">
        <v>2234.6999999999998</v>
      </c>
      <c r="I1154" s="581"/>
      <c r="J1154" s="581"/>
      <c r="K1154" s="571">
        <v>1040476000</v>
      </c>
      <c r="L1154" s="571">
        <v>3121429000</v>
      </c>
      <c r="M1154" s="574"/>
      <c r="N1154" s="574"/>
      <c r="O1154" s="712">
        <v>0</v>
      </c>
      <c r="P1154" s="571"/>
      <c r="Q1154" s="571">
        <v>0</v>
      </c>
      <c r="R1154" s="582"/>
      <c r="S1154" s="597"/>
      <c r="T1154" s="708">
        <v>0</v>
      </c>
      <c r="U1154" s="608"/>
      <c r="V1154" s="571"/>
      <c r="W1154" s="571">
        <v>0</v>
      </c>
      <c r="X1154" s="683"/>
      <c r="Y1154" s="683"/>
      <c r="Z1154" s="683"/>
      <c r="AA1154" s="694"/>
      <c r="AB1154" s="683"/>
      <c r="AC1154" s="683"/>
      <c r="AD1154" s="650"/>
      <c r="AE1154" s="599">
        <f>SUBTOTAL(9,AE1155:AE1160)</f>
        <v>0</v>
      </c>
      <c r="AF1154" s="585"/>
      <c r="AG1154" s="585">
        <v>0</v>
      </c>
      <c r="AH1154" s="571">
        <v>4161905000</v>
      </c>
      <c r="AI1154" s="574"/>
      <c r="AJ1154" s="578"/>
    </row>
    <row r="1155" spans="1:37" s="385" customFormat="1" ht="121.5" outlineLevel="2" x14ac:dyDescent="0.3">
      <c r="A1155" s="447">
        <v>89</v>
      </c>
      <c r="B1155" s="558" t="s">
        <v>280</v>
      </c>
      <c r="C1155" s="558"/>
      <c r="D1155" s="615"/>
      <c r="E1155" s="700"/>
      <c r="F1155" s="558" t="s">
        <v>2864</v>
      </c>
      <c r="G1155" s="717">
        <v>2234.6999999999998</v>
      </c>
      <c r="H1155" s="546">
        <v>2234.6999999999998</v>
      </c>
      <c r="I1155" s="563">
        <v>465600</v>
      </c>
      <c r="J1155" s="563">
        <v>1396800</v>
      </c>
      <c r="K1155" s="564">
        <v>1040476000</v>
      </c>
      <c r="L1155" s="564">
        <v>3121429000</v>
      </c>
      <c r="M1155" s="558"/>
      <c r="N1155" s="558"/>
      <c r="O1155" s="714"/>
      <c r="P1155" s="564" t="s">
        <v>25</v>
      </c>
      <c r="Q1155" s="564" t="s">
        <v>25</v>
      </c>
      <c r="R1155" s="566"/>
      <c r="S1155" s="589"/>
      <c r="T1155" s="710"/>
      <c r="U1155" s="593"/>
      <c r="V1155" s="564" t="s">
        <v>2899</v>
      </c>
      <c r="W1155" s="564" t="s">
        <v>25</v>
      </c>
      <c r="X1155" s="683"/>
      <c r="Y1155" s="683"/>
      <c r="Z1155" s="683"/>
      <c r="AA1155" s="694"/>
      <c r="AB1155" s="683"/>
      <c r="AC1155" s="683"/>
      <c r="AD1155" s="683"/>
      <c r="AE1155" s="590"/>
      <c r="AF1155" s="570" t="s">
        <v>2899</v>
      </c>
      <c r="AG1155" s="570"/>
      <c r="AH1155" s="571" t="s">
        <v>25</v>
      </c>
      <c r="AI1155" s="558" t="s">
        <v>856</v>
      </c>
      <c r="AJ1155" s="586" t="s">
        <v>2771</v>
      </c>
      <c r="AK1155" s="385" t="s">
        <v>2221</v>
      </c>
    </row>
    <row r="1156" spans="1:37" s="385" customFormat="1" ht="121.5" outlineLevel="2" x14ac:dyDescent="0.3">
      <c r="A1156" s="447">
        <v>89</v>
      </c>
      <c r="B1156" s="586" t="s">
        <v>858</v>
      </c>
      <c r="C1156" s="586"/>
      <c r="D1156" s="615"/>
      <c r="E1156" s="700"/>
      <c r="F1156" s="558"/>
      <c r="G1156" s="709"/>
      <c r="H1156" s="546"/>
      <c r="I1156" s="563" t="s">
        <v>25</v>
      </c>
      <c r="J1156" s="563" t="s">
        <v>25</v>
      </c>
      <c r="K1156" s="564" t="s">
        <v>25</v>
      </c>
      <c r="L1156" s="564" t="s">
        <v>25</v>
      </c>
      <c r="M1156" s="558"/>
      <c r="N1156" s="558"/>
      <c r="O1156" s="714"/>
      <c r="P1156" s="564" t="s">
        <v>25</v>
      </c>
      <c r="Q1156" s="564" t="s">
        <v>25</v>
      </c>
      <c r="R1156" s="566"/>
      <c r="S1156" s="589"/>
      <c r="T1156" s="710"/>
      <c r="U1156" s="593"/>
      <c r="V1156" s="564" t="s">
        <v>2899</v>
      </c>
      <c r="W1156" s="564" t="s">
        <v>25</v>
      </c>
      <c r="X1156" s="683"/>
      <c r="Y1156" s="683"/>
      <c r="Z1156" s="683"/>
      <c r="AA1156" s="694"/>
      <c r="AB1156" s="683"/>
      <c r="AC1156" s="683"/>
      <c r="AD1156" s="683"/>
      <c r="AE1156" s="590"/>
      <c r="AF1156" s="570" t="s">
        <v>2899</v>
      </c>
      <c r="AG1156" s="570" t="s">
        <v>25</v>
      </c>
      <c r="AH1156" s="571" t="s">
        <v>25</v>
      </c>
      <c r="AI1156" s="558" t="s">
        <v>2813</v>
      </c>
      <c r="AJ1156" s="605" t="s">
        <v>2448</v>
      </c>
    </row>
    <row r="1157" spans="1:37" s="385" customFormat="1" ht="20.25" outlineLevel="2" x14ac:dyDescent="0.3">
      <c r="A1157" s="447">
        <v>89</v>
      </c>
      <c r="B1157" s="558"/>
      <c r="C1157" s="558"/>
      <c r="D1157" s="615"/>
      <c r="E1157" s="700"/>
      <c r="F1157" s="558"/>
      <c r="G1157" s="709"/>
      <c r="H1157" s="546"/>
      <c r="I1157" s="563" t="s">
        <v>25</v>
      </c>
      <c r="J1157" s="563" t="s">
        <v>25</v>
      </c>
      <c r="K1157" s="564" t="s">
        <v>25</v>
      </c>
      <c r="L1157" s="564" t="s">
        <v>25</v>
      </c>
      <c r="M1157" s="558"/>
      <c r="N1157" s="558"/>
      <c r="O1157" s="714"/>
      <c r="P1157" s="564" t="s">
        <v>25</v>
      </c>
      <c r="Q1157" s="564" t="s">
        <v>25</v>
      </c>
      <c r="R1157" s="566"/>
      <c r="S1157" s="589"/>
      <c r="T1157" s="710"/>
      <c r="U1157" s="593"/>
      <c r="V1157" s="564" t="s">
        <v>2899</v>
      </c>
      <c r="W1157" s="564" t="s">
        <v>25</v>
      </c>
      <c r="X1157" s="683"/>
      <c r="Y1157" s="683"/>
      <c r="Z1157" s="683"/>
      <c r="AA1157" s="694"/>
      <c r="AB1157" s="683"/>
      <c r="AC1157" s="683"/>
      <c r="AD1157" s="683"/>
      <c r="AE1157" s="590"/>
      <c r="AF1157" s="570" t="s">
        <v>2899</v>
      </c>
      <c r="AG1157" s="570" t="s">
        <v>25</v>
      </c>
      <c r="AH1157" s="571" t="s">
        <v>25</v>
      </c>
      <c r="AI1157" s="593" t="s">
        <v>859</v>
      </c>
      <c r="AJ1157" s="566"/>
    </row>
    <row r="1158" spans="1:37" s="385" customFormat="1" ht="60.75" outlineLevel="2" x14ac:dyDescent="0.3">
      <c r="A1158" s="447">
        <v>89</v>
      </c>
      <c r="B1158" s="574"/>
      <c r="C1158" s="574"/>
      <c r="D1158" s="615"/>
      <c r="E1158" s="700"/>
      <c r="F1158" s="558"/>
      <c r="G1158" s="709"/>
      <c r="H1158" s="546"/>
      <c r="I1158" s="563" t="s">
        <v>25</v>
      </c>
      <c r="J1158" s="563" t="s">
        <v>25</v>
      </c>
      <c r="K1158" s="564" t="s">
        <v>25</v>
      </c>
      <c r="L1158" s="564" t="s">
        <v>25</v>
      </c>
      <c r="M1158" s="558"/>
      <c r="N1158" s="558"/>
      <c r="O1158" s="714"/>
      <c r="P1158" s="564" t="s">
        <v>25</v>
      </c>
      <c r="Q1158" s="564" t="s">
        <v>25</v>
      </c>
      <c r="R1158" s="566"/>
      <c r="S1158" s="589"/>
      <c r="T1158" s="710"/>
      <c r="U1158" s="593"/>
      <c r="V1158" s="564" t="s">
        <v>2899</v>
      </c>
      <c r="W1158" s="564" t="s">
        <v>25</v>
      </c>
      <c r="X1158" s="683"/>
      <c r="Y1158" s="683"/>
      <c r="Z1158" s="683"/>
      <c r="AA1158" s="694"/>
      <c r="AB1158" s="683"/>
      <c r="AC1158" s="683"/>
      <c r="AD1158" s="683"/>
      <c r="AE1158" s="590"/>
      <c r="AF1158" s="570" t="s">
        <v>2899</v>
      </c>
      <c r="AG1158" s="570" t="s">
        <v>25</v>
      </c>
      <c r="AH1158" s="571" t="s">
        <v>25</v>
      </c>
      <c r="AI1158" s="558" t="s">
        <v>2074</v>
      </c>
      <c r="AJ1158" s="593"/>
    </row>
    <row r="1159" spans="1:37" s="385" customFormat="1" ht="20.25" outlineLevel="2" x14ac:dyDescent="0.3">
      <c r="A1159" s="447">
        <v>89</v>
      </c>
      <c r="B1159" s="574"/>
      <c r="C1159" s="574"/>
      <c r="D1159" s="615"/>
      <c r="E1159" s="700"/>
      <c r="F1159" s="558"/>
      <c r="G1159" s="709"/>
      <c r="H1159" s="546"/>
      <c r="I1159" s="563" t="s">
        <v>25</v>
      </c>
      <c r="J1159" s="563" t="s">
        <v>25</v>
      </c>
      <c r="K1159" s="564" t="s">
        <v>25</v>
      </c>
      <c r="L1159" s="564" t="s">
        <v>25</v>
      </c>
      <c r="M1159" s="558"/>
      <c r="N1159" s="558"/>
      <c r="O1159" s="714"/>
      <c r="P1159" s="564" t="s">
        <v>25</v>
      </c>
      <c r="Q1159" s="564" t="s">
        <v>25</v>
      </c>
      <c r="R1159" s="566"/>
      <c r="S1159" s="589"/>
      <c r="T1159" s="710"/>
      <c r="U1159" s="593"/>
      <c r="V1159" s="564" t="s">
        <v>2899</v>
      </c>
      <c r="W1159" s="564" t="s">
        <v>25</v>
      </c>
      <c r="X1159" s="683"/>
      <c r="Y1159" s="683"/>
      <c r="Z1159" s="683"/>
      <c r="AA1159" s="694"/>
      <c r="AB1159" s="683"/>
      <c r="AC1159" s="683"/>
      <c r="AD1159" s="683"/>
      <c r="AE1159" s="590"/>
      <c r="AF1159" s="570" t="s">
        <v>2899</v>
      </c>
      <c r="AG1159" s="570" t="s">
        <v>25</v>
      </c>
      <c r="AH1159" s="571" t="s">
        <v>25</v>
      </c>
      <c r="AI1159" s="704"/>
      <c r="AJ1159" s="593"/>
    </row>
    <row r="1160" spans="1:37" s="385" customFormat="1" ht="20.25" outlineLevel="2" x14ac:dyDescent="0.3">
      <c r="A1160" s="447">
        <v>89</v>
      </c>
      <c r="B1160" s="574"/>
      <c r="C1160" s="574"/>
      <c r="D1160" s="705"/>
      <c r="E1160" s="706"/>
      <c r="F1160" s="558"/>
      <c r="G1160" s="709"/>
      <c r="H1160" s="546"/>
      <c r="I1160" s="563" t="s">
        <v>25</v>
      </c>
      <c r="J1160" s="563" t="s">
        <v>25</v>
      </c>
      <c r="K1160" s="564" t="s">
        <v>25</v>
      </c>
      <c r="L1160" s="564" t="s">
        <v>25</v>
      </c>
      <c r="M1160" s="558"/>
      <c r="N1160" s="558"/>
      <c r="O1160" s="714"/>
      <c r="P1160" s="564" t="s">
        <v>25</v>
      </c>
      <c r="Q1160" s="564" t="s">
        <v>25</v>
      </c>
      <c r="R1160" s="566"/>
      <c r="S1160" s="589"/>
      <c r="T1160" s="710"/>
      <c r="U1160" s="593"/>
      <c r="V1160" s="564" t="s">
        <v>2899</v>
      </c>
      <c r="W1160" s="564" t="s">
        <v>25</v>
      </c>
      <c r="X1160" s="683"/>
      <c r="Y1160" s="683"/>
      <c r="Z1160" s="683"/>
      <c r="AA1160" s="694"/>
      <c r="AB1160" s="683"/>
      <c r="AC1160" s="683"/>
      <c r="AD1160" s="683"/>
      <c r="AE1160" s="590"/>
      <c r="AF1160" s="570" t="s">
        <v>2899</v>
      </c>
      <c r="AG1160" s="570" t="s">
        <v>25</v>
      </c>
      <c r="AH1160" s="571" t="s">
        <v>25</v>
      </c>
      <c r="AI1160" s="593"/>
      <c r="AJ1160" s="593"/>
    </row>
    <row r="1161" spans="1:37" s="385" customFormat="1" ht="40.5" outlineLevel="1" collapsed="1" x14ac:dyDescent="0.25">
      <c r="A1161" s="467">
        <v>90</v>
      </c>
      <c r="B1161" s="574" t="s">
        <v>860</v>
      </c>
      <c r="C1161" s="586" t="s">
        <v>2903</v>
      </c>
      <c r="D1161" s="615">
        <v>86</v>
      </c>
      <c r="E1161" s="700">
        <v>277</v>
      </c>
      <c r="F1161" s="574"/>
      <c r="G1161" s="707">
        <v>536</v>
      </c>
      <c r="H1161" s="579">
        <v>536</v>
      </c>
      <c r="I1161" s="581"/>
      <c r="J1161" s="581"/>
      <c r="K1161" s="571">
        <v>297158000</v>
      </c>
      <c r="L1161" s="571">
        <v>891475000</v>
      </c>
      <c r="M1161" s="574"/>
      <c r="N1161" s="574"/>
      <c r="O1161" s="712">
        <v>0</v>
      </c>
      <c r="P1161" s="571"/>
      <c r="Q1161" s="571">
        <v>0</v>
      </c>
      <c r="R1161" s="582"/>
      <c r="S1161" s="597"/>
      <c r="T1161" s="708">
        <v>0</v>
      </c>
      <c r="U1161" s="608"/>
      <c r="V1161" s="571"/>
      <c r="W1161" s="571">
        <v>0</v>
      </c>
      <c r="X1161" s="683"/>
      <c r="Y1161" s="683"/>
      <c r="Z1161" s="683"/>
      <c r="AA1161" s="694"/>
      <c r="AB1161" s="683"/>
      <c r="AC1161" s="683"/>
      <c r="AD1161" s="650"/>
      <c r="AE1161" s="599">
        <f>SUBTOTAL(9,AE1162:AE1167)</f>
        <v>0</v>
      </c>
      <c r="AF1161" s="585"/>
      <c r="AG1161" s="585">
        <v>0</v>
      </c>
      <c r="AH1161" s="571">
        <v>1188633000</v>
      </c>
      <c r="AI1161" s="574"/>
      <c r="AJ1161" s="578"/>
    </row>
    <row r="1162" spans="1:37" s="385" customFormat="1" ht="121.5" outlineLevel="2" x14ac:dyDescent="0.3">
      <c r="A1162" s="447">
        <v>90</v>
      </c>
      <c r="B1162" s="558" t="s">
        <v>863</v>
      </c>
      <c r="C1162" s="558"/>
      <c r="D1162" s="615"/>
      <c r="E1162" s="700"/>
      <c r="F1162" s="558" t="s">
        <v>2888</v>
      </c>
      <c r="G1162" s="709">
        <v>536</v>
      </c>
      <c r="H1162" s="546">
        <v>536</v>
      </c>
      <c r="I1162" s="563">
        <v>554400</v>
      </c>
      <c r="J1162" s="563">
        <v>1663200</v>
      </c>
      <c r="K1162" s="564">
        <v>297158000</v>
      </c>
      <c r="L1162" s="564">
        <v>891475000</v>
      </c>
      <c r="M1162" s="558"/>
      <c r="N1162" s="558"/>
      <c r="O1162" s="714"/>
      <c r="P1162" s="564" t="s">
        <v>25</v>
      </c>
      <c r="Q1162" s="564" t="s">
        <v>25</v>
      </c>
      <c r="R1162" s="566"/>
      <c r="S1162" s="589"/>
      <c r="T1162" s="710"/>
      <c r="U1162" s="593"/>
      <c r="V1162" s="564" t="s">
        <v>2899</v>
      </c>
      <c r="W1162" s="564" t="s">
        <v>25</v>
      </c>
      <c r="X1162" s="683"/>
      <c r="Y1162" s="683"/>
      <c r="Z1162" s="683"/>
      <c r="AA1162" s="694"/>
      <c r="AB1162" s="683"/>
      <c r="AC1162" s="683"/>
      <c r="AD1162" s="683"/>
      <c r="AE1162" s="590"/>
      <c r="AF1162" s="570" t="s">
        <v>2899</v>
      </c>
      <c r="AG1162" s="570"/>
      <c r="AH1162" s="571" t="s">
        <v>25</v>
      </c>
      <c r="AI1162" s="558" t="s">
        <v>862</v>
      </c>
      <c r="AJ1162" s="586" t="s">
        <v>2771</v>
      </c>
    </row>
    <row r="1163" spans="1:37" s="385" customFormat="1" ht="101.25" outlineLevel="2" x14ac:dyDescent="0.3">
      <c r="A1163" s="447">
        <v>90</v>
      </c>
      <c r="B1163" s="586" t="s">
        <v>865</v>
      </c>
      <c r="C1163" s="586"/>
      <c r="D1163" s="615"/>
      <c r="E1163" s="700"/>
      <c r="F1163" s="586"/>
      <c r="G1163" s="709"/>
      <c r="H1163" s="546"/>
      <c r="I1163" s="563" t="s">
        <v>25</v>
      </c>
      <c r="J1163" s="563" t="s">
        <v>25</v>
      </c>
      <c r="K1163" s="564" t="s">
        <v>25</v>
      </c>
      <c r="L1163" s="564" t="s">
        <v>25</v>
      </c>
      <c r="M1163" s="558"/>
      <c r="N1163" s="558"/>
      <c r="O1163" s="714"/>
      <c r="P1163" s="564" t="s">
        <v>25</v>
      </c>
      <c r="Q1163" s="564" t="s">
        <v>25</v>
      </c>
      <c r="R1163" s="566"/>
      <c r="S1163" s="589"/>
      <c r="T1163" s="710"/>
      <c r="U1163" s="593"/>
      <c r="V1163" s="564" t="s">
        <v>2899</v>
      </c>
      <c r="W1163" s="564" t="s">
        <v>25</v>
      </c>
      <c r="X1163" s="683"/>
      <c r="Y1163" s="683"/>
      <c r="Z1163" s="683"/>
      <c r="AA1163" s="694"/>
      <c r="AB1163" s="683"/>
      <c r="AC1163" s="683"/>
      <c r="AD1163" s="683"/>
      <c r="AE1163" s="590"/>
      <c r="AF1163" s="570" t="s">
        <v>2899</v>
      </c>
      <c r="AG1163" s="570" t="s">
        <v>25</v>
      </c>
      <c r="AH1163" s="571" t="s">
        <v>25</v>
      </c>
      <c r="AI1163" s="558" t="s">
        <v>2814</v>
      </c>
      <c r="AJ1163" s="605" t="s">
        <v>2448</v>
      </c>
    </row>
    <row r="1164" spans="1:37" s="385" customFormat="1" ht="60.75" outlineLevel="2" x14ac:dyDescent="0.3">
      <c r="A1164" s="447">
        <v>90</v>
      </c>
      <c r="B1164" s="586"/>
      <c r="C1164" s="586"/>
      <c r="D1164" s="615"/>
      <c r="E1164" s="700"/>
      <c r="F1164" s="558"/>
      <c r="G1164" s="709"/>
      <c r="H1164" s="546"/>
      <c r="I1164" s="563" t="s">
        <v>25</v>
      </c>
      <c r="J1164" s="563" t="s">
        <v>25</v>
      </c>
      <c r="K1164" s="564" t="s">
        <v>25</v>
      </c>
      <c r="L1164" s="564" t="s">
        <v>25</v>
      </c>
      <c r="M1164" s="558"/>
      <c r="N1164" s="558"/>
      <c r="O1164" s="714"/>
      <c r="P1164" s="564" t="s">
        <v>25</v>
      </c>
      <c r="Q1164" s="564" t="s">
        <v>25</v>
      </c>
      <c r="R1164" s="566"/>
      <c r="S1164" s="589"/>
      <c r="T1164" s="710"/>
      <c r="U1164" s="593"/>
      <c r="V1164" s="564" t="s">
        <v>2899</v>
      </c>
      <c r="W1164" s="564" t="s">
        <v>25</v>
      </c>
      <c r="X1164" s="683"/>
      <c r="Y1164" s="683"/>
      <c r="Z1164" s="683"/>
      <c r="AA1164" s="694"/>
      <c r="AB1164" s="683"/>
      <c r="AC1164" s="683"/>
      <c r="AD1164" s="683"/>
      <c r="AE1164" s="590"/>
      <c r="AF1164" s="570" t="s">
        <v>2899</v>
      </c>
      <c r="AG1164" s="570" t="s">
        <v>25</v>
      </c>
      <c r="AH1164" s="571" t="s">
        <v>25</v>
      </c>
      <c r="AI1164" s="558" t="s">
        <v>2074</v>
      </c>
      <c r="AJ1164" s="566"/>
    </row>
    <row r="1165" spans="1:37" s="385" customFormat="1" ht="20.25" outlineLevel="2" x14ac:dyDescent="0.3">
      <c r="A1165" s="447">
        <v>90</v>
      </c>
      <c r="B1165" s="586"/>
      <c r="C1165" s="586"/>
      <c r="D1165" s="615"/>
      <c r="E1165" s="700"/>
      <c r="F1165" s="558"/>
      <c r="G1165" s="709"/>
      <c r="H1165" s="546"/>
      <c r="I1165" s="563" t="s">
        <v>25</v>
      </c>
      <c r="J1165" s="563" t="s">
        <v>25</v>
      </c>
      <c r="K1165" s="564" t="s">
        <v>25</v>
      </c>
      <c r="L1165" s="564" t="s">
        <v>25</v>
      </c>
      <c r="M1165" s="558"/>
      <c r="N1165" s="558"/>
      <c r="O1165" s="714"/>
      <c r="P1165" s="564" t="s">
        <v>25</v>
      </c>
      <c r="Q1165" s="564" t="s">
        <v>25</v>
      </c>
      <c r="R1165" s="566"/>
      <c r="S1165" s="589"/>
      <c r="T1165" s="710"/>
      <c r="U1165" s="593"/>
      <c r="V1165" s="564" t="s">
        <v>2899</v>
      </c>
      <c r="W1165" s="564" t="s">
        <v>25</v>
      </c>
      <c r="X1165" s="683"/>
      <c r="Y1165" s="683"/>
      <c r="Z1165" s="683"/>
      <c r="AA1165" s="694"/>
      <c r="AB1165" s="683"/>
      <c r="AC1165" s="683"/>
      <c r="AD1165" s="683"/>
      <c r="AE1165" s="590"/>
      <c r="AF1165" s="570" t="s">
        <v>2899</v>
      </c>
      <c r="AG1165" s="570" t="s">
        <v>25</v>
      </c>
      <c r="AH1165" s="571" t="s">
        <v>25</v>
      </c>
      <c r="AI1165" s="704"/>
      <c r="AJ1165" s="593"/>
    </row>
    <row r="1166" spans="1:37" s="385" customFormat="1" ht="20.25" outlineLevel="2" x14ac:dyDescent="0.3">
      <c r="A1166" s="447">
        <v>90</v>
      </c>
      <c r="B1166" s="558"/>
      <c r="C1166" s="558"/>
      <c r="D1166" s="615"/>
      <c r="E1166" s="700"/>
      <c r="F1166" s="558"/>
      <c r="G1166" s="709"/>
      <c r="H1166" s="546"/>
      <c r="I1166" s="563" t="s">
        <v>25</v>
      </c>
      <c r="J1166" s="563" t="s">
        <v>25</v>
      </c>
      <c r="K1166" s="564" t="s">
        <v>25</v>
      </c>
      <c r="L1166" s="564" t="s">
        <v>25</v>
      </c>
      <c r="M1166" s="558"/>
      <c r="N1166" s="558"/>
      <c r="O1166" s="714"/>
      <c r="P1166" s="564" t="s">
        <v>25</v>
      </c>
      <c r="Q1166" s="564" t="s">
        <v>25</v>
      </c>
      <c r="R1166" s="566"/>
      <c r="S1166" s="589"/>
      <c r="T1166" s="710"/>
      <c r="U1166" s="593"/>
      <c r="V1166" s="564" t="s">
        <v>2899</v>
      </c>
      <c r="W1166" s="564" t="s">
        <v>25</v>
      </c>
      <c r="X1166" s="683"/>
      <c r="Y1166" s="683"/>
      <c r="Z1166" s="683"/>
      <c r="AA1166" s="694"/>
      <c r="AB1166" s="683"/>
      <c r="AC1166" s="683"/>
      <c r="AD1166" s="683"/>
      <c r="AE1166" s="590"/>
      <c r="AF1166" s="570" t="s">
        <v>2899</v>
      </c>
      <c r="AG1166" s="570" t="s">
        <v>25</v>
      </c>
      <c r="AH1166" s="571" t="s">
        <v>25</v>
      </c>
      <c r="AI1166" s="704"/>
      <c r="AJ1166" s="593"/>
    </row>
    <row r="1167" spans="1:37" s="385" customFormat="1" ht="20.25" outlineLevel="2" x14ac:dyDescent="0.3">
      <c r="A1167" s="447">
        <v>90</v>
      </c>
      <c r="B1167" s="574"/>
      <c r="C1167" s="574"/>
      <c r="D1167" s="705"/>
      <c r="E1167" s="706"/>
      <c r="F1167" s="558"/>
      <c r="G1167" s="709"/>
      <c r="H1167" s="546"/>
      <c r="I1167" s="563" t="s">
        <v>25</v>
      </c>
      <c r="J1167" s="563" t="s">
        <v>25</v>
      </c>
      <c r="K1167" s="564" t="s">
        <v>25</v>
      </c>
      <c r="L1167" s="564" t="s">
        <v>25</v>
      </c>
      <c r="M1167" s="558"/>
      <c r="N1167" s="558"/>
      <c r="O1167" s="714"/>
      <c r="P1167" s="564" t="s">
        <v>25</v>
      </c>
      <c r="Q1167" s="564" t="s">
        <v>25</v>
      </c>
      <c r="R1167" s="566"/>
      <c r="S1167" s="589"/>
      <c r="T1167" s="710"/>
      <c r="U1167" s="593"/>
      <c r="V1167" s="564" t="s">
        <v>2899</v>
      </c>
      <c r="W1167" s="564" t="s">
        <v>25</v>
      </c>
      <c r="X1167" s="683"/>
      <c r="Y1167" s="683"/>
      <c r="Z1167" s="683"/>
      <c r="AA1167" s="694"/>
      <c r="AB1167" s="683"/>
      <c r="AC1167" s="683"/>
      <c r="AD1167" s="683"/>
      <c r="AE1167" s="590"/>
      <c r="AF1167" s="570" t="s">
        <v>2899</v>
      </c>
      <c r="AG1167" s="570" t="s">
        <v>25</v>
      </c>
      <c r="AH1167" s="571" t="s">
        <v>25</v>
      </c>
      <c r="AI1167" s="593"/>
      <c r="AJ1167" s="593"/>
    </row>
    <row r="1168" spans="1:37" s="385" customFormat="1" ht="40.5" outlineLevel="1" x14ac:dyDescent="0.25">
      <c r="A1168" s="467">
        <v>91</v>
      </c>
      <c r="B1168" s="574" t="s">
        <v>866</v>
      </c>
      <c r="C1168" s="586" t="s">
        <v>2903</v>
      </c>
      <c r="D1168" s="615">
        <v>86</v>
      </c>
      <c r="E1168" s="700">
        <v>44</v>
      </c>
      <c r="F1168" s="574"/>
      <c r="G1168" s="707">
        <v>1600</v>
      </c>
      <c r="H1168" s="579">
        <v>0</v>
      </c>
      <c r="I1168" s="581"/>
      <c r="J1168" s="581"/>
      <c r="K1168" s="571">
        <v>887040000</v>
      </c>
      <c r="L1168" s="571">
        <v>0</v>
      </c>
      <c r="M1168" s="574"/>
      <c r="N1168" s="574"/>
      <c r="O1168" s="712">
        <v>36</v>
      </c>
      <c r="P1168" s="571"/>
      <c r="Q1168" s="571">
        <v>110304000</v>
      </c>
      <c r="R1168" s="582"/>
      <c r="S1168" s="597"/>
      <c r="T1168" s="708">
        <v>0</v>
      </c>
      <c r="U1168" s="608"/>
      <c r="V1168" s="571"/>
      <c r="W1168" s="571">
        <v>0</v>
      </c>
      <c r="X1168" s="683"/>
      <c r="Y1168" s="683"/>
      <c r="Z1168" s="683"/>
      <c r="AA1168" s="694"/>
      <c r="AB1168" s="683"/>
      <c r="AC1168" s="683"/>
      <c r="AD1168" s="650"/>
      <c r="AE1168" s="599">
        <f>SUBTOTAL(9,AE1169:AE1175)</f>
        <v>0</v>
      </c>
      <c r="AF1168" s="585"/>
      <c r="AG1168" s="585">
        <v>0</v>
      </c>
      <c r="AH1168" s="571">
        <v>997344000</v>
      </c>
      <c r="AI1168" s="574"/>
      <c r="AJ1168" s="578"/>
    </row>
    <row r="1169" spans="1:36" s="385" customFormat="1" ht="121.5" outlineLevel="2" x14ac:dyDescent="0.3">
      <c r="A1169" s="447">
        <v>91</v>
      </c>
      <c r="B1169" s="558" t="s">
        <v>869</v>
      </c>
      <c r="C1169" s="558"/>
      <c r="D1169" s="615"/>
      <c r="E1169" s="700"/>
      <c r="F1169" s="558" t="s">
        <v>2884</v>
      </c>
      <c r="G1169" s="709">
        <v>1600</v>
      </c>
      <c r="H1169" s="546" t="s">
        <v>2899</v>
      </c>
      <c r="I1169" s="563">
        <v>554400</v>
      </c>
      <c r="J1169" s="563">
        <v>0</v>
      </c>
      <c r="K1169" s="564">
        <v>887040000</v>
      </c>
      <c r="L1169" s="564">
        <v>0</v>
      </c>
      <c r="M1169" s="558" t="s">
        <v>77</v>
      </c>
      <c r="N1169" s="558"/>
      <c r="O1169" s="714">
        <v>36</v>
      </c>
      <c r="P1169" s="564">
        <v>3064000</v>
      </c>
      <c r="Q1169" s="564">
        <v>110304000</v>
      </c>
      <c r="R1169" s="566"/>
      <c r="S1169" s="589"/>
      <c r="T1169" s="710"/>
      <c r="U1169" s="593"/>
      <c r="V1169" s="564" t="s">
        <v>2899</v>
      </c>
      <c r="W1169" s="564" t="s">
        <v>25</v>
      </c>
      <c r="X1169" s="683"/>
      <c r="Y1169" s="683"/>
      <c r="Z1169" s="683"/>
      <c r="AA1169" s="694"/>
      <c r="AB1169" s="683"/>
      <c r="AC1169" s="683"/>
      <c r="AD1169" s="683"/>
      <c r="AE1169" s="590"/>
      <c r="AF1169" s="570" t="s">
        <v>2899</v>
      </c>
      <c r="AG1169" s="570"/>
      <c r="AH1169" s="571" t="s">
        <v>25</v>
      </c>
      <c r="AI1169" s="558" t="s">
        <v>868</v>
      </c>
      <c r="AJ1169" s="586" t="s">
        <v>2771</v>
      </c>
    </row>
    <row r="1170" spans="1:36" s="385" customFormat="1" ht="81" outlineLevel="2" x14ac:dyDescent="0.3">
      <c r="A1170" s="447">
        <v>91</v>
      </c>
      <c r="B1170" s="558" t="s">
        <v>1571</v>
      </c>
      <c r="C1170" s="558"/>
      <c r="D1170" s="615"/>
      <c r="E1170" s="700"/>
      <c r="F1170" s="586"/>
      <c r="G1170" s="709"/>
      <c r="H1170" s="546"/>
      <c r="I1170" s="563" t="s">
        <v>25</v>
      </c>
      <c r="J1170" s="563" t="s">
        <v>25</v>
      </c>
      <c r="K1170" s="564" t="s">
        <v>25</v>
      </c>
      <c r="L1170" s="564" t="s">
        <v>25</v>
      </c>
      <c r="M1170" s="558"/>
      <c r="N1170" s="558"/>
      <c r="O1170" s="714"/>
      <c r="P1170" s="564" t="s">
        <v>25</v>
      </c>
      <c r="Q1170" s="564" t="s">
        <v>25</v>
      </c>
      <c r="R1170" s="566"/>
      <c r="S1170" s="589"/>
      <c r="T1170" s="710"/>
      <c r="U1170" s="593"/>
      <c r="V1170" s="564" t="s">
        <v>2899</v>
      </c>
      <c r="W1170" s="564" t="s">
        <v>25</v>
      </c>
      <c r="X1170" s="683"/>
      <c r="Y1170" s="683"/>
      <c r="Z1170" s="683"/>
      <c r="AA1170" s="694"/>
      <c r="AB1170" s="683"/>
      <c r="AC1170" s="683"/>
      <c r="AD1170" s="683"/>
      <c r="AE1170" s="590"/>
      <c r="AF1170" s="570" t="s">
        <v>2899</v>
      </c>
      <c r="AG1170" s="570" t="s">
        <v>25</v>
      </c>
      <c r="AH1170" s="571" t="s">
        <v>25</v>
      </c>
      <c r="AI1170" s="558" t="s">
        <v>2815</v>
      </c>
      <c r="AJ1170" s="566"/>
    </row>
    <row r="1171" spans="1:36" s="385" customFormat="1" ht="20.25" outlineLevel="2" x14ac:dyDescent="0.3">
      <c r="A1171" s="447">
        <v>91</v>
      </c>
      <c r="B1171" s="572"/>
      <c r="C1171" s="572"/>
      <c r="D1171" s="615"/>
      <c r="E1171" s="700"/>
      <c r="F1171" s="558"/>
      <c r="G1171" s="709"/>
      <c r="H1171" s="546"/>
      <c r="I1171" s="563" t="s">
        <v>25</v>
      </c>
      <c r="J1171" s="563" t="s">
        <v>25</v>
      </c>
      <c r="K1171" s="564" t="s">
        <v>25</v>
      </c>
      <c r="L1171" s="564" t="s">
        <v>25</v>
      </c>
      <c r="M1171" s="586"/>
      <c r="N1171" s="586"/>
      <c r="O1171" s="714"/>
      <c r="P1171" s="564" t="s">
        <v>25</v>
      </c>
      <c r="Q1171" s="564" t="s">
        <v>25</v>
      </c>
      <c r="R1171" s="586"/>
      <c r="S1171" s="609"/>
      <c r="T1171" s="710"/>
      <c r="U1171" s="593"/>
      <c r="V1171" s="564" t="s">
        <v>2899</v>
      </c>
      <c r="W1171" s="564" t="s">
        <v>25</v>
      </c>
      <c r="X1171" s="683"/>
      <c r="Y1171" s="683"/>
      <c r="Z1171" s="683"/>
      <c r="AA1171" s="694"/>
      <c r="AB1171" s="683"/>
      <c r="AC1171" s="683"/>
      <c r="AD1171" s="683"/>
      <c r="AE1171" s="590"/>
      <c r="AF1171" s="570" t="s">
        <v>2899</v>
      </c>
      <c r="AG1171" s="570" t="s">
        <v>25</v>
      </c>
      <c r="AH1171" s="571" t="s">
        <v>25</v>
      </c>
      <c r="AI1171" s="593" t="s">
        <v>872</v>
      </c>
      <c r="AJ1171" s="566"/>
    </row>
    <row r="1172" spans="1:36" s="385" customFormat="1" ht="20.25" outlineLevel="2" x14ac:dyDescent="0.3">
      <c r="A1172" s="447">
        <v>91</v>
      </c>
      <c r="B1172" s="572"/>
      <c r="C1172" s="572"/>
      <c r="D1172" s="615"/>
      <c r="E1172" s="700"/>
      <c r="F1172" s="558"/>
      <c r="G1172" s="709"/>
      <c r="H1172" s="546"/>
      <c r="I1172" s="563" t="s">
        <v>25</v>
      </c>
      <c r="J1172" s="563" t="s">
        <v>25</v>
      </c>
      <c r="K1172" s="564" t="s">
        <v>25</v>
      </c>
      <c r="L1172" s="564" t="s">
        <v>25</v>
      </c>
      <c r="M1172" s="586"/>
      <c r="N1172" s="586"/>
      <c r="O1172" s="714"/>
      <c r="P1172" s="564" t="s">
        <v>25</v>
      </c>
      <c r="Q1172" s="564" t="s">
        <v>25</v>
      </c>
      <c r="R1172" s="586"/>
      <c r="S1172" s="609"/>
      <c r="T1172" s="710"/>
      <c r="U1172" s="593"/>
      <c r="V1172" s="564" t="s">
        <v>2899</v>
      </c>
      <c r="W1172" s="564" t="s">
        <v>25</v>
      </c>
      <c r="X1172" s="683"/>
      <c r="Y1172" s="683"/>
      <c r="Z1172" s="683"/>
      <c r="AA1172" s="694"/>
      <c r="AB1172" s="683"/>
      <c r="AC1172" s="683"/>
      <c r="AD1172" s="683"/>
      <c r="AE1172" s="590"/>
      <c r="AF1172" s="570" t="s">
        <v>2899</v>
      </c>
      <c r="AG1172" s="570" t="s">
        <v>25</v>
      </c>
      <c r="AH1172" s="571" t="s">
        <v>25</v>
      </c>
      <c r="AI1172" s="593"/>
      <c r="AJ1172" s="566"/>
    </row>
    <row r="1173" spans="1:36" s="385" customFormat="1" ht="20.25" outlineLevel="2" x14ac:dyDescent="0.3">
      <c r="A1173" s="447">
        <v>91</v>
      </c>
      <c r="B1173" s="572"/>
      <c r="C1173" s="572"/>
      <c r="D1173" s="615"/>
      <c r="E1173" s="700"/>
      <c r="F1173" s="558"/>
      <c r="G1173" s="709"/>
      <c r="H1173" s="546"/>
      <c r="I1173" s="563" t="s">
        <v>25</v>
      </c>
      <c r="J1173" s="563" t="s">
        <v>25</v>
      </c>
      <c r="K1173" s="564" t="s">
        <v>25</v>
      </c>
      <c r="L1173" s="564" t="s">
        <v>25</v>
      </c>
      <c r="M1173" s="586"/>
      <c r="N1173" s="586"/>
      <c r="O1173" s="714"/>
      <c r="P1173" s="564" t="s">
        <v>25</v>
      </c>
      <c r="Q1173" s="564" t="s">
        <v>25</v>
      </c>
      <c r="R1173" s="586"/>
      <c r="S1173" s="609"/>
      <c r="T1173" s="710"/>
      <c r="U1173" s="593"/>
      <c r="V1173" s="564" t="s">
        <v>2899</v>
      </c>
      <c r="W1173" s="564" t="s">
        <v>25</v>
      </c>
      <c r="X1173" s="683"/>
      <c r="Y1173" s="683"/>
      <c r="Z1173" s="683"/>
      <c r="AA1173" s="694"/>
      <c r="AB1173" s="683"/>
      <c r="AC1173" s="683"/>
      <c r="AD1173" s="683"/>
      <c r="AE1173" s="590"/>
      <c r="AF1173" s="570" t="s">
        <v>2899</v>
      </c>
      <c r="AG1173" s="570" t="s">
        <v>25</v>
      </c>
      <c r="AH1173" s="571" t="s">
        <v>25</v>
      </c>
      <c r="AI1173" s="586"/>
      <c r="AJ1173" s="566"/>
    </row>
    <row r="1174" spans="1:36" s="385" customFormat="1" ht="20.25" outlineLevel="2" x14ac:dyDescent="0.3">
      <c r="A1174" s="447">
        <v>91</v>
      </c>
      <c r="B1174" s="572"/>
      <c r="C1174" s="572"/>
      <c r="D1174" s="615"/>
      <c r="E1174" s="612"/>
      <c r="F1174" s="558"/>
      <c r="G1174" s="709"/>
      <c r="H1174" s="546"/>
      <c r="I1174" s="563" t="s">
        <v>25</v>
      </c>
      <c r="J1174" s="563" t="s">
        <v>25</v>
      </c>
      <c r="K1174" s="564" t="s">
        <v>25</v>
      </c>
      <c r="L1174" s="564" t="s">
        <v>25</v>
      </c>
      <c r="M1174" s="586"/>
      <c r="N1174" s="586"/>
      <c r="O1174" s="714"/>
      <c r="P1174" s="564" t="s">
        <v>25</v>
      </c>
      <c r="Q1174" s="564" t="s">
        <v>25</v>
      </c>
      <c r="R1174" s="586"/>
      <c r="S1174" s="609"/>
      <c r="T1174" s="710"/>
      <c r="U1174" s="593"/>
      <c r="V1174" s="564" t="s">
        <v>2899</v>
      </c>
      <c r="W1174" s="564" t="s">
        <v>25</v>
      </c>
      <c r="X1174" s="683"/>
      <c r="Y1174" s="683"/>
      <c r="Z1174" s="683"/>
      <c r="AA1174" s="694"/>
      <c r="AB1174" s="683"/>
      <c r="AC1174" s="683"/>
      <c r="AD1174" s="683"/>
      <c r="AE1174" s="590"/>
      <c r="AF1174" s="570" t="s">
        <v>2899</v>
      </c>
      <c r="AG1174" s="570" t="s">
        <v>25</v>
      </c>
      <c r="AH1174" s="571" t="s">
        <v>25</v>
      </c>
      <c r="AI1174" s="593"/>
      <c r="AJ1174" s="566"/>
    </row>
    <row r="1175" spans="1:36" s="385" customFormat="1" ht="20.25" outlineLevel="2" x14ac:dyDescent="0.3">
      <c r="A1175" s="447">
        <v>91</v>
      </c>
      <c r="B1175" s="607"/>
      <c r="C1175" s="607"/>
      <c r="D1175" s="705"/>
      <c r="E1175" s="706"/>
      <c r="F1175" s="586"/>
      <c r="G1175" s="709"/>
      <c r="H1175" s="546"/>
      <c r="I1175" s="563" t="s">
        <v>25</v>
      </c>
      <c r="J1175" s="563" t="s">
        <v>25</v>
      </c>
      <c r="K1175" s="564" t="s">
        <v>25</v>
      </c>
      <c r="L1175" s="564" t="s">
        <v>25</v>
      </c>
      <c r="M1175" s="586"/>
      <c r="N1175" s="586"/>
      <c r="O1175" s="714"/>
      <c r="P1175" s="564" t="s">
        <v>25</v>
      </c>
      <c r="Q1175" s="564" t="s">
        <v>25</v>
      </c>
      <c r="R1175" s="586"/>
      <c r="S1175" s="609"/>
      <c r="T1175" s="710"/>
      <c r="U1175" s="593"/>
      <c r="V1175" s="564" t="s">
        <v>2899</v>
      </c>
      <c r="W1175" s="564" t="s">
        <v>25</v>
      </c>
      <c r="X1175" s="683"/>
      <c r="Y1175" s="683"/>
      <c r="Z1175" s="683"/>
      <c r="AA1175" s="694"/>
      <c r="AB1175" s="683"/>
      <c r="AC1175" s="683"/>
      <c r="AD1175" s="683"/>
      <c r="AE1175" s="590"/>
      <c r="AF1175" s="570" t="s">
        <v>2899</v>
      </c>
      <c r="AG1175" s="570" t="s">
        <v>25</v>
      </c>
      <c r="AH1175" s="571" t="s">
        <v>25</v>
      </c>
      <c r="AI1175" s="593"/>
      <c r="AJ1175" s="593"/>
    </row>
    <row r="1176" spans="1:36" s="385" customFormat="1" ht="40.5" outlineLevel="1" x14ac:dyDescent="0.25">
      <c r="A1176" s="467">
        <v>92</v>
      </c>
      <c r="B1176" s="607" t="s">
        <v>873</v>
      </c>
      <c r="C1176" s="586" t="s">
        <v>2903</v>
      </c>
      <c r="D1176" s="615">
        <v>86</v>
      </c>
      <c r="E1176" s="700">
        <v>194</v>
      </c>
      <c r="F1176" s="578"/>
      <c r="G1176" s="707">
        <v>839.4</v>
      </c>
      <c r="H1176" s="579">
        <v>839.4</v>
      </c>
      <c r="I1176" s="581"/>
      <c r="J1176" s="581"/>
      <c r="K1176" s="571">
        <v>390825000</v>
      </c>
      <c r="L1176" s="571">
        <v>1172474000</v>
      </c>
      <c r="M1176" s="578"/>
      <c r="N1176" s="578"/>
      <c r="O1176" s="712">
        <v>0</v>
      </c>
      <c r="P1176" s="571"/>
      <c r="Q1176" s="571">
        <v>0</v>
      </c>
      <c r="R1176" s="578"/>
      <c r="S1176" s="621"/>
      <c r="T1176" s="708">
        <v>0</v>
      </c>
      <c r="U1176" s="608"/>
      <c r="V1176" s="571"/>
      <c r="W1176" s="571">
        <v>0</v>
      </c>
      <c r="X1176" s="683"/>
      <c r="Y1176" s="683"/>
      <c r="Z1176" s="683"/>
      <c r="AA1176" s="694"/>
      <c r="AB1176" s="683"/>
      <c r="AC1176" s="683"/>
      <c r="AD1176" s="650"/>
      <c r="AE1176" s="599">
        <f>SUBTOTAL(9,AE1177:AE1185)</f>
        <v>0</v>
      </c>
      <c r="AF1176" s="585"/>
      <c r="AG1176" s="585">
        <v>0</v>
      </c>
      <c r="AH1176" s="571">
        <v>1563299000</v>
      </c>
      <c r="AI1176" s="574"/>
      <c r="AJ1176" s="578"/>
    </row>
    <row r="1177" spans="1:36" s="385" customFormat="1" ht="121.5" outlineLevel="2" x14ac:dyDescent="0.3">
      <c r="A1177" s="447">
        <v>92</v>
      </c>
      <c r="B1177" s="558" t="s">
        <v>876</v>
      </c>
      <c r="C1177" s="558"/>
      <c r="D1177" s="615"/>
      <c r="E1177" s="700"/>
      <c r="F1177" s="718" t="s">
        <v>2864</v>
      </c>
      <c r="G1177" s="709">
        <v>839.4</v>
      </c>
      <c r="H1177" s="546">
        <v>839.4</v>
      </c>
      <c r="I1177" s="563">
        <v>465600</v>
      </c>
      <c r="J1177" s="563">
        <v>1396800</v>
      </c>
      <c r="K1177" s="564">
        <v>390825000</v>
      </c>
      <c r="L1177" s="564">
        <v>1172474000</v>
      </c>
      <c r="M1177" s="586"/>
      <c r="N1177" s="586"/>
      <c r="O1177" s="714"/>
      <c r="P1177" s="564" t="s">
        <v>25</v>
      </c>
      <c r="Q1177" s="564" t="s">
        <v>25</v>
      </c>
      <c r="R1177" s="586"/>
      <c r="S1177" s="609"/>
      <c r="T1177" s="710"/>
      <c r="U1177" s="593"/>
      <c r="V1177" s="564" t="s">
        <v>2899</v>
      </c>
      <c r="W1177" s="564" t="s">
        <v>25</v>
      </c>
      <c r="X1177" s="683"/>
      <c r="Y1177" s="683"/>
      <c r="Z1177" s="683"/>
      <c r="AA1177" s="694"/>
      <c r="AB1177" s="683"/>
      <c r="AC1177" s="683"/>
      <c r="AD1177" s="683"/>
      <c r="AE1177" s="590"/>
      <c r="AF1177" s="570" t="s">
        <v>2899</v>
      </c>
      <c r="AG1177" s="570"/>
      <c r="AH1177" s="571" t="s">
        <v>25</v>
      </c>
      <c r="AI1177" s="558" t="s">
        <v>875</v>
      </c>
      <c r="AJ1177" s="586" t="s">
        <v>2771</v>
      </c>
    </row>
    <row r="1178" spans="1:36" s="385" customFormat="1" ht="101.25" outlineLevel="2" x14ac:dyDescent="0.3">
      <c r="A1178" s="447">
        <v>92</v>
      </c>
      <c r="B1178" s="586" t="s">
        <v>879</v>
      </c>
      <c r="C1178" s="586"/>
      <c r="D1178" s="615"/>
      <c r="E1178" s="700"/>
      <c r="F1178" s="586"/>
      <c r="G1178" s="709"/>
      <c r="H1178" s="546"/>
      <c r="I1178" s="563" t="s">
        <v>25</v>
      </c>
      <c r="J1178" s="563" t="s">
        <v>25</v>
      </c>
      <c r="K1178" s="564" t="s">
        <v>25</v>
      </c>
      <c r="L1178" s="564" t="s">
        <v>25</v>
      </c>
      <c r="M1178" s="586"/>
      <c r="N1178" s="586"/>
      <c r="O1178" s="714"/>
      <c r="P1178" s="564" t="s">
        <v>25</v>
      </c>
      <c r="Q1178" s="564" t="s">
        <v>25</v>
      </c>
      <c r="R1178" s="586"/>
      <c r="S1178" s="609"/>
      <c r="T1178" s="710"/>
      <c r="U1178" s="593"/>
      <c r="V1178" s="564" t="s">
        <v>2899</v>
      </c>
      <c r="W1178" s="564" t="s">
        <v>25</v>
      </c>
      <c r="X1178" s="683"/>
      <c r="Y1178" s="683"/>
      <c r="Z1178" s="683"/>
      <c r="AA1178" s="694"/>
      <c r="AB1178" s="683"/>
      <c r="AC1178" s="683"/>
      <c r="AD1178" s="683"/>
      <c r="AE1178" s="590"/>
      <c r="AF1178" s="570" t="s">
        <v>2899</v>
      </c>
      <c r="AG1178" s="570" t="s">
        <v>25</v>
      </c>
      <c r="AH1178" s="571" t="s">
        <v>25</v>
      </c>
      <c r="AI1178" s="558" t="s">
        <v>2816</v>
      </c>
      <c r="AJ1178" s="566"/>
    </row>
    <row r="1179" spans="1:36" s="385" customFormat="1" ht="20.25" outlineLevel="2" x14ac:dyDescent="0.3">
      <c r="A1179" s="447">
        <v>92</v>
      </c>
      <c r="B1179" s="586"/>
      <c r="C1179" s="586"/>
      <c r="D1179" s="615"/>
      <c r="E1179" s="700"/>
      <c r="F1179" s="586"/>
      <c r="G1179" s="709"/>
      <c r="H1179" s="546"/>
      <c r="I1179" s="563" t="s">
        <v>25</v>
      </c>
      <c r="J1179" s="563" t="s">
        <v>25</v>
      </c>
      <c r="K1179" s="564" t="s">
        <v>25</v>
      </c>
      <c r="L1179" s="564" t="s">
        <v>25</v>
      </c>
      <c r="M1179" s="586"/>
      <c r="N1179" s="586"/>
      <c r="O1179" s="714"/>
      <c r="P1179" s="564" t="s">
        <v>25</v>
      </c>
      <c r="Q1179" s="564" t="s">
        <v>25</v>
      </c>
      <c r="R1179" s="586"/>
      <c r="S1179" s="609"/>
      <c r="T1179" s="710"/>
      <c r="U1179" s="593"/>
      <c r="V1179" s="564" t="s">
        <v>2899</v>
      </c>
      <c r="W1179" s="564" t="s">
        <v>25</v>
      </c>
      <c r="X1179" s="683"/>
      <c r="Y1179" s="683"/>
      <c r="Z1179" s="683"/>
      <c r="AA1179" s="694"/>
      <c r="AB1179" s="683"/>
      <c r="AC1179" s="683"/>
      <c r="AD1179" s="683"/>
      <c r="AE1179" s="590"/>
      <c r="AF1179" s="570" t="s">
        <v>2899</v>
      </c>
      <c r="AG1179" s="570" t="s">
        <v>25</v>
      </c>
      <c r="AH1179" s="571" t="s">
        <v>25</v>
      </c>
      <c r="AI1179" s="593" t="s">
        <v>881</v>
      </c>
      <c r="AJ1179" s="566"/>
    </row>
    <row r="1180" spans="1:36" s="385" customFormat="1" ht="60.75" outlineLevel="2" x14ac:dyDescent="0.3">
      <c r="A1180" s="447">
        <v>92</v>
      </c>
      <c r="B1180" s="558"/>
      <c r="C1180" s="558"/>
      <c r="D1180" s="615"/>
      <c r="E1180" s="700"/>
      <c r="F1180" s="558"/>
      <c r="G1180" s="709"/>
      <c r="H1180" s="546"/>
      <c r="I1180" s="563" t="s">
        <v>25</v>
      </c>
      <c r="J1180" s="563" t="s">
        <v>25</v>
      </c>
      <c r="K1180" s="564" t="s">
        <v>25</v>
      </c>
      <c r="L1180" s="564" t="s">
        <v>25</v>
      </c>
      <c r="M1180" s="586"/>
      <c r="N1180" s="586"/>
      <c r="O1180" s="714"/>
      <c r="P1180" s="564" t="s">
        <v>25</v>
      </c>
      <c r="Q1180" s="564" t="s">
        <v>25</v>
      </c>
      <c r="R1180" s="586"/>
      <c r="S1180" s="609"/>
      <c r="T1180" s="710"/>
      <c r="U1180" s="593"/>
      <c r="V1180" s="564" t="s">
        <v>2899</v>
      </c>
      <c r="W1180" s="564" t="s">
        <v>25</v>
      </c>
      <c r="X1180" s="683"/>
      <c r="Y1180" s="683"/>
      <c r="Z1180" s="683"/>
      <c r="AA1180" s="694"/>
      <c r="AB1180" s="683"/>
      <c r="AC1180" s="683"/>
      <c r="AD1180" s="683"/>
      <c r="AE1180" s="590"/>
      <c r="AF1180" s="570" t="s">
        <v>2899</v>
      </c>
      <c r="AG1180" s="570" t="s">
        <v>25</v>
      </c>
      <c r="AH1180" s="571" t="s">
        <v>25</v>
      </c>
      <c r="AI1180" s="558" t="s">
        <v>2074</v>
      </c>
      <c r="AJ1180" s="593"/>
    </row>
    <row r="1181" spans="1:36" s="385" customFormat="1" ht="20.25" outlineLevel="2" x14ac:dyDescent="0.3">
      <c r="A1181" s="447">
        <v>92</v>
      </c>
      <c r="B1181" s="558"/>
      <c r="C1181" s="558"/>
      <c r="D1181" s="615"/>
      <c r="E1181" s="700"/>
      <c r="F1181" s="558"/>
      <c r="G1181" s="709"/>
      <c r="H1181" s="546"/>
      <c r="I1181" s="563" t="s">
        <v>25</v>
      </c>
      <c r="J1181" s="563" t="s">
        <v>25</v>
      </c>
      <c r="K1181" s="564" t="s">
        <v>25</v>
      </c>
      <c r="L1181" s="564" t="s">
        <v>25</v>
      </c>
      <c r="M1181" s="586"/>
      <c r="N1181" s="586"/>
      <c r="O1181" s="714"/>
      <c r="P1181" s="564" t="s">
        <v>25</v>
      </c>
      <c r="Q1181" s="564" t="s">
        <v>25</v>
      </c>
      <c r="R1181" s="586"/>
      <c r="S1181" s="609"/>
      <c r="T1181" s="710"/>
      <c r="U1181" s="593"/>
      <c r="V1181" s="564" t="s">
        <v>2899</v>
      </c>
      <c r="W1181" s="564" t="s">
        <v>25</v>
      </c>
      <c r="X1181" s="683"/>
      <c r="Y1181" s="683"/>
      <c r="Z1181" s="683"/>
      <c r="AA1181" s="694"/>
      <c r="AB1181" s="683"/>
      <c r="AC1181" s="683"/>
      <c r="AD1181" s="683"/>
      <c r="AE1181" s="590"/>
      <c r="AF1181" s="570" t="s">
        <v>2899</v>
      </c>
      <c r="AG1181" s="570" t="s">
        <v>25</v>
      </c>
      <c r="AH1181" s="571" t="s">
        <v>25</v>
      </c>
      <c r="AI1181" s="704"/>
      <c r="AJ1181" s="593"/>
    </row>
    <row r="1182" spans="1:36" s="385" customFormat="1" ht="20.25" outlineLevel="2" x14ac:dyDescent="0.3">
      <c r="A1182" s="447">
        <v>92</v>
      </c>
      <c r="B1182" s="558"/>
      <c r="C1182" s="558"/>
      <c r="D1182" s="615"/>
      <c r="E1182" s="700"/>
      <c r="F1182" s="558"/>
      <c r="G1182" s="709"/>
      <c r="H1182" s="546"/>
      <c r="I1182" s="563" t="s">
        <v>25</v>
      </c>
      <c r="J1182" s="563" t="s">
        <v>25</v>
      </c>
      <c r="K1182" s="564" t="s">
        <v>25</v>
      </c>
      <c r="L1182" s="564" t="s">
        <v>25</v>
      </c>
      <c r="M1182" s="586"/>
      <c r="N1182" s="586"/>
      <c r="O1182" s="714"/>
      <c r="P1182" s="564" t="s">
        <v>25</v>
      </c>
      <c r="Q1182" s="564" t="s">
        <v>25</v>
      </c>
      <c r="R1182" s="586"/>
      <c r="S1182" s="609"/>
      <c r="T1182" s="710"/>
      <c r="U1182" s="593"/>
      <c r="V1182" s="564" t="s">
        <v>2899</v>
      </c>
      <c r="W1182" s="564" t="s">
        <v>25</v>
      </c>
      <c r="X1182" s="683"/>
      <c r="Y1182" s="683"/>
      <c r="Z1182" s="683"/>
      <c r="AA1182" s="694"/>
      <c r="AB1182" s="683"/>
      <c r="AC1182" s="683"/>
      <c r="AD1182" s="683"/>
      <c r="AE1182" s="590"/>
      <c r="AF1182" s="570" t="s">
        <v>2899</v>
      </c>
      <c r="AG1182" s="570" t="s">
        <v>25</v>
      </c>
      <c r="AH1182" s="571" t="s">
        <v>25</v>
      </c>
      <c r="AI1182" s="586"/>
      <c r="AJ1182" s="593"/>
    </row>
    <row r="1183" spans="1:36" s="385" customFormat="1" ht="20.25" outlineLevel="2" x14ac:dyDescent="0.3">
      <c r="A1183" s="447">
        <v>92</v>
      </c>
      <c r="B1183" s="558"/>
      <c r="C1183" s="558"/>
      <c r="D1183" s="615"/>
      <c r="E1183" s="700"/>
      <c r="F1183" s="558"/>
      <c r="G1183" s="709"/>
      <c r="H1183" s="546"/>
      <c r="I1183" s="563" t="s">
        <v>25</v>
      </c>
      <c r="J1183" s="563" t="s">
        <v>25</v>
      </c>
      <c r="K1183" s="564" t="s">
        <v>25</v>
      </c>
      <c r="L1183" s="564" t="s">
        <v>25</v>
      </c>
      <c r="M1183" s="586"/>
      <c r="N1183" s="586"/>
      <c r="O1183" s="714"/>
      <c r="P1183" s="564" t="s">
        <v>25</v>
      </c>
      <c r="Q1183" s="564" t="s">
        <v>25</v>
      </c>
      <c r="R1183" s="586"/>
      <c r="S1183" s="609"/>
      <c r="T1183" s="710"/>
      <c r="U1183" s="593"/>
      <c r="V1183" s="564" t="s">
        <v>2899</v>
      </c>
      <c r="W1183" s="564" t="s">
        <v>25</v>
      </c>
      <c r="X1183" s="683"/>
      <c r="Y1183" s="683"/>
      <c r="Z1183" s="683"/>
      <c r="AA1183" s="694"/>
      <c r="AB1183" s="683"/>
      <c r="AC1183" s="683"/>
      <c r="AD1183" s="683"/>
      <c r="AE1183" s="590"/>
      <c r="AF1183" s="570" t="s">
        <v>2899</v>
      </c>
      <c r="AG1183" s="570" t="s">
        <v>25</v>
      </c>
      <c r="AH1183" s="571" t="s">
        <v>25</v>
      </c>
      <c r="AI1183" s="704"/>
      <c r="AJ1183" s="593"/>
    </row>
    <row r="1184" spans="1:36" s="385" customFormat="1" ht="20.25" outlineLevel="2" x14ac:dyDescent="0.3">
      <c r="A1184" s="447">
        <v>92</v>
      </c>
      <c r="B1184" s="558"/>
      <c r="C1184" s="558"/>
      <c r="D1184" s="615"/>
      <c r="E1184" s="700"/>
      <c r="F1184" s="558"/>
      <c r="G1184" s="709"/>
      <c r="H1184" s="546"/>
      <c r="I1184" s="563" t="s">
        <v>25</v>
      </c>
      <c r="J1184" s="563" t="s">
        <v>25</v>
      </c>
      <c r="K1184" s="564" t="s">
        <v>25</v>
      </c>
      <c r="L1184" s="564" t="s">
        <v>25</v>
      </c>
      <c r="M1184" s="586"/>
      <c r="N1184" s="586"/>
      <c r="O1184" s="714"/>
      <c r="P1184" s="564" t="s">
        <v>25</v>
      </c>
      <c r="Q1184" s="564" t="s">
        <v>25</v>
      </c>
      <c r="R1184" s="586"/>
      <c r="S1184" s="609"/>
      <c r="T1184" s="710"/>
      <c r="U1184" s="593"/>
      <c r="V1184" s="564" t="s">
        <v>2899</v>
      </c>
      <c r="W1184" s="564" t="s">
        <v>25</v>
      </c>
      <c r="X1184" s="683"/>
      <c r="Y1184" s="683"/>
      <c r="Z1184" s="683"/>
      <c r="AA1184" s="694"/>
      <c r="AB1184" s="683"/>
      <c r="AC1184" s="683"/>
      <c r="AD1184" s="683"/>
      <c r="AE1184" s="590"/>
      <c r="AF1184" s="570" t="s">
        <v>2899</v>
      </c>
      <c r="AG1184" s="570" t="s">
        <v>25</v>
      </c>
      <c r="AH1184" s="571" t="s">
        <v>25</v>
      </c>
      <c r="AI1184" s="558"/>
      <c r="AJ1184" s="593"/>
    </row>
    <row r="1185" spans="1:36" s="385" customFormat="1" ht="20.25" outlineLevel="2" x14ac:dyDescent="0.3">
      <c r="A1185" s="447">
        <v>92</v>
      </c>
      <c r="B1185" s="574"/>
      <c r="C1185" s="574"/>
      <c r="D1185" s="705"/>
      <c r="E1185" s="706"/>
      <c r="F1185" s="558"/>
      <c r="G1185" s="709"/>
      <c r="H1185" s="546"/>
      <c r="I1185" s="563" t="s">
        <v>25</v>
      </c>
      <c r="J1185" s="563" t="s">
        <v>25</v>
      </c>
      <c r="K1185" s="564" t="s">
        <v>25</v>
      </c>
      <c r="L1185" s="564" t="s">
        <v>25</v>
      </c>
      <c r="M1185" s="586"/>
      <c r="N1185" s="586"/>
      <c r="O1185" s="714"/>
      <c r="P1185" s="564" t="s">
        <v>25</v>
      </c>
      <c r="Q1185" s="564" t="s">
        <v>25</v>
      </c>
      <c r="R1185" s="586"/>
      <c r="S1185" s="609"/>
      <c r="T1185" s="710"/>
      <c r="U1185" s="593"/>
      <c r="V1185" s="564" t="s">
        <v>2899</v>
      </c>
      <c r="W1185" s="564" t="s">
        <v>25</v>
      </c>
      <c r="X1185" s="683"/>
      <c r="Y1185" s="683"/>
      <c r="Z1185" s="683"/>
      <c r="AA1185" s="694"/>
      <c r="AB1185" s="683"/>
      <c r="AC1185" s="683"/>
      <c r="AD1185" s="683"/>
      <c r="AE1185" s="590"/>
      <c r="AF1185" s="570" t="s">
        <v>2899</v>
      </c>
      <c r="AG1185" s="570" t="s">
        <v>25</v>
      </c>
      <c r="AH1185" s="571" t="s">
        <v>25</v>
      </c>
      <c r="AI1185" s="661"/>
      <c r="AJ1185" s="593"/>
    </row>
    <row r="1186" spans="1:36" s="385" customFormat="1" ht="40.5" outlineLevel="1" x14ac:dyDescent="0.25">
      <c r="A1186" s="467">
        <v>93</v>
      </c>
      <c r="B1186" s="574" t="s">
        <v>883</v>
      </c>
      <c r="C1186" s="586" t="s">
        <v>2903</v>
      </c>
      <c r="D1186" s="615">
        <v>86</v>
      </c>
      <c r="E1186" s="700">
        <v>195</v>
      </c>
      <c r="F1186" s="574"/>
      <c r="G1186" s="707">
        <v>419.8</v>
      </c>
      <c r="H1186" s="579">
        <v>0</v>
      </c>
      <c r="I1186" s="581"/>
      <c r="J1186" s="581"/>
      <c r="K1186" s="571">
        <v>195459000</v>
      </c>
      <c r="L1186" s="571">
        <v>0</v>
      </c>
      <c r="M1186" s="574"/>
      <c r="N1186" s="574"/>
      <c r="O1186" s="712">
        <v>0</v>
      </c>
      <c r="P1186" s="571"/>
      <c r="Q1186" s="571">
        <v>0</v>
      </c>
      <c r="R1186" s="582"/>
      <c r="S1186" s="597"/>
      <c r="T1186" s="708">
        <v>0</v>
      </c>
      <c r="U1186" s="608"/>
      <c r="V1186" s="571"/>
      <c r="W1186" s="571">
        <v>0</v>
      </c>
      <c r="X1186" s="683"/>
      <c r="Y1186" s="683"/>
      <c r="Z1186" s="683"/>
      <c r="AA1186" s="694"/>
      <c r="AB1186" s="683"/>
      <c r="AC1186" s="683"/>
      <c r="AD1186" s="650"/>
      <c r="AE1186" s="599">
        <f>SUBTOTAL(9,AE1187:AE1195)</f>
        <v>0</v>
      </c>
      <c r="AF1186" s="585"/>
      <c r="AG1186" s="585">
        <v>0</v>
      </c>
      <c r="AH1186" s="571">
        <v>195459000</v>
      </c>
      <c r="AI1186" s="574"/>
      <c r="AJ1186" s="578"/>
    </row>
    <row r="1187" spans="1:36" s="385" customFormat="1" ht="121.5" outlineLevel="2" x14ac:dyDescent="0.3">
      <c r="A1187" s="447">
        <v>93</v>
      </c>
      <c r="B1187" s="572" t="s">
        <v>886</v>
      </c>
      <c r="C1187" s="572"/>
      <c r="D1187" s="615"/>
      <c r="E1187" s="700"/>
      <c r="F1187" s="558" t="s">
        <v>2862</v>
      </c>
      <c r="G1187" s="709">
        <v>419.8</v>
      </c>
      <c r="H1187" s="546" t="s">
        <v>2899</v>
      </c>
      <c r="I1187" s="563">
        <v>465600</v>
      </c>
      <c r="J1187" s="563">
        <v>0</v>
      </c>
      <c r="K1187" s="564">
        <v>195459000</v>
      </c>
      <c r="L1187" s="564">
        <v>0</v>
      </c>
      <c r="M1187" s="558"/>
      <c r="N1187" s="558"/>
      <c r="O1187" s="714"/>
      <c r="P1187" s="564" t="s">
        <v>25</v>
      </c>
      <c r="Q1187" s="564" t="s">
        <v>25</v>
      </c>
      <c r="R1187" s="566"/>
      <c r="S1187" s="589"/>
      <c r="T1187" s="710"/>
      <c r="U1187" s="593"/>
      <c r="V1187" s="564" t="s">
        <v>2899</v>
      </c>
      <c r="W1187" s="564" t="s">
        <v>25</v>
      </c>
      <c r="X1187" s="683"/>
      <c r="Y1187" s="683"/>
      <c r="Z1187" s="683"/>
      <c r="AA1187" s="694"/>
      <c r="AB1187" s="683"/>
      <c r="AC1187" s="683"/>
      <c r="AD1187" s="683"/>
      <c r="AE1187" s="590"/>
      <c r="AF1187" s="570" t="s">
        <v>2899</v>
      </c>
      <c r="AG1187" s="570"/>
      <c r="AH1187" s="571" t="s">
        <v>25</v>
      </c>
      <c r="AI1187" s="558" t="s">
        <v>885</v>
      </c>
      <c r="AJ1187" s="586" t="s">
        <v>2771</v>
      </c>
    </row>
    <row r="1188" spans="1:36" s="385" customFormat="1" ht="101.25" outlineLevel="2" x14ac:dyDescent="0.3">
      <c r="A1188" s="447">
        <v>93</v>
      </c>
      <c r="B1188" s="572" t="s">
        <v>888</v>
      </c>
      <c r="C1188" s="572"/>
      <c r="D1188" s="615"/>
      <c r="E1188" s="700"/>
      <c r="F1188" s="704"/>
      <c r="G1188" s="709"/>
      <c r="H1188" s="546"/>
      <c r="I1188" s="563" t="s">
        <v>25</v>
      </c>
      <c r="J1188" s="563" t="s">
        <v>25</v>
      </c>
      <c r="K1188" s="564" t="s">
        <v>25</v>
      </c>
      <c r="L1188" s="564" t="s">
        <v>25</v>
      </c>
      <c r="M1188" s="586"/>
      <c r="N1188" s="586"/>
      <c r="O1188" s="714"/>
      <c r="P1188" s="564" t="s">
        <v>25</v>
      </c>
      <c r="Q1188" s="564" t="s">
        <v>25</v>
      </c>
      <c r="R1188" s="661"/>
      <c r="S1188" s="661"/>
      <c r="T1188" s="710"/>
      <c r="U1188" s="593"/>
      <c r="V1188" s="564" t="s">
        <v>2899</v>
      </c>
      <c r="W1188" s="564" t="s">
        <v>25</v>
      </c>
      <c r="X1188" s="683"/>
      <c r="Y1188" s="683"/>
      <c r="Z1188" s="683"/>
      <c r="AA1188" s="694"/>
      <c r="AB1188" s="683"/>
      <c r="AC1188" s="683"/>
      <c r="AD1188" s="683"/>
      <c r="AE1188" s="590"/>
      <c r="AF1188" s="570" t="s">
        <v>2899</v>
      </c>
      <c r="AG1188" s="570" t="s">
        <v>25</v>
      </c>
      <c r="AH1188" s="571" t="s">
        <v>25</v>
      </c>
      <c r="AI1188" s="558" t="s">
        <v>2817</v>
      </c>
      <c r="AJ1188" s="566"/>
    </row>
    <row r="1189" spans="1:36" s="385" customFormat="1" ht="20.25" outlineLevel="2" x14ac:dyDescent="0.3">
      <c r="A1189" s="447">
        <v>93</v>
      </c>
      <c r="B1189" s="572"/>
      <c r="C1189" s="572"/>
      <c r="D1189" s="615"/>
      <c r="E1189" s="700"/>
      <c r="F1189" s="586"/>
      <c r="G1189" s="709"/>
      <c r="H1189" s="546"/>
      <c r="I1189" s="563" t="s">
        <v>25</v>
      </c>
      <c r="J1189" s="563" t="s">
        <v>25</v>
      </c>
      <c r="K1189" s="564" t="s">
        <v>25</v>
      </c>
      <c r="L1189" s="564" t="s">
        <v>25</v>
      </c>
      <c r="M1189" s="586"/>
      <c r="N1189" s="586"/>
      <c r="O1189" s="714"/>
      <c r="P1189" s="564" t="s">
        <v>25</v>
      </c>
      <c r="Q1189" s="564" t="s">
        <v>25</v>
      </c>
      <c r="R1189" s="661"/>
      <c r="S1189" s="661"/>
      <c r="T1189" s="710"/>
      <c r="U1189" s="593"/>
      <c r="V1189" s="564" t="s">
        <v>2899</v>
      </c>
      <c r="W1189" s="564" t="s">
        <v>25</v>
      </c>
      <c r="X1189" s="683"/>
      <c r="Y1189" s="683"/>
      <c r="Z1189" s="683"/>
      <c r="AA1189" s="694"/>
      <c r="AB1189" s="683"/>
      <c r="AC1189" s="683"/>
      <c r="AD1189" s="683"/>
      <c r="AE1189" s="590"/>
      <c r="AF1189" s="570" t="s">
        <v>2899</v>
      </c>
      <c r="AG1189" s="570" t="s">
        <v>25</v>
      </c>
      <c r="AH1189" s="571" t="s">
        <v>25</v>
      </c>
      <c r="AI1189" s="593" t="s">
        <v>889</v>
      </c>
      <c r="AJ1189" s="566"/>
    </row>
    <row r="1190" spans="1:36" s="385" customFormat="1" ht="20.25" outlineLevel="2" x14ac:dyDescent="0.3">
      <c r="A1190" s="447">
        <v>93</v>
      </c>
      <c r="B1190" s="572"/>
      <c r="C1190" s="572"/>
      <c r="D1190" s="615"/>
      <c r="E1190" s="700"/>
      <c r="F1190" s="558"/>
      <c r="G1190" s="709"/>
      <c r="H1190" s="546"/>
      <c r="I1190" s="563" t="s">
        <v>25</v>
      </c>
      <c r="J1190" s="563" t="s">
        <v>25</v>
      </c>
      <c r="K1190" s="564" t="s">
        <v>25</v>
      </c>
      <c r="L1190" s="564" t="s">
        <v>25</v>
      </c>
      <c r="M1190" s="586"/>
      <c r="N1190" s="586"/>
      <c r="O1190" s="714"/>
      <c r="P1190" s="564" t="s">
        <v>25</v>
      </c>
      <c r="Q1190" s="564" t="s">
        <v>25</v>
      </c>
      <c r="R1190" s="661"/>
      <c r="S1190" s="661"/>
      <c r="T1190" s="710"/>
      <c r="U1190" s="593"/>
      <c r="V1190" s="564" t="s">
        <v>2899</v>
      </c>
      <c r="W1190" s="564" t="s">
        <v>25</v>
      </c>
      <c r="X1190" s="683"/>
      <c r="Y1190" s="683"/>
      <c r="Z1190" s="683"/>
      <c r="AA1190" s="694"/>
      <c r="AB1190" s="683"/>
      <c r="AC1190" s="683"/>
      <c r="AD1190" s="683"/>
      <c r="AE1190" s="590"/>
      <c r="AF1190" s="570" t="s">
        <v>2899</v>
      </c>
      <c r="AG1190" s="570" t="s">
        <v>25</v>
      </c>
      <c r="AH1190" s="571" t="s">
        <v>25</v>
      </c>
      <c r="AI1190" s="593" t="s">
        <v>809</v>
      </c>
      <c r="AJ1190" s="593"/>
    </row>
    <row r="1191" spans="1:36" s="385" customFormat="1" ht="101.25" outlineLevel="2" x14ac:dyDescent="0.3">
      <c r="A1191" s="447">
        <v>93</v>
      </c>
      <c r="B1191" s="572"/>
      <c r="C1191" s="572"/>
      <c r="D1191" s="615"/>
      <c r="E1191" s="700"/>
      <c r="F1191" s="558"/>
      <c r="G1191" s="709"/>
      <c r="H1191" s="546"/>
      <c r="I1191" s="563" t="s">
        <v>25</v>
      </c>
      <c r="J1191" s="563" t="s">
        <v>25</v>
      </c>
      <c r="K1191" s="564" t="s">
        <v>25</v>
      </c>
      <c r="L1191" s="564" t="s">
        <v>25</v>
      </c>
      <c r="M1191" s="586"/>
      <c r="N1191" s="586"/>
      <c r="O1191" s="714"/>
      <c r="P1191" s="564" t="s">
        <v>25</v>
      </c>
      <c r="Q1191" s="564" t="s">
        <v>25</v>
      </c>
      <c r="R1191" s="661"/>
      <c r="S1191" s="661"/>
      <c r="T1191" s="710"/>
      <c r="U1191" s="593"/>
      <c r="V1191" s="564" t="s">
        <v>2899</v>
      </c>
      <c r="W1191" s="564" t="s">
        <v>25</v>
      </c>
      <c r="X1191" s="683"/>
      <c r="Y1191" s="683"/>
      <c r="Z1191" s="683"/>
      <c r="AA1191" s="694"/>
      <c r="AB1191" s="683"/>
      <c r="AC1191" s="683"/>
      <c r="AD1191" s="683"/>
      <c r="AE1191" s="590"/>
      <c r="AF1191" s="570" t="s">
        <v>2899</v>
      </c>
      <c r="AG1191" s="570" t="s">
        <v>25</v>
      </c>
      <c r="AH1191" s="571" t="s">
        <v>25</v>
      </c>
      <c r="AI1191" s="558" t="s">
        <v>2222</v>
      </c>
      <c r="AJ1191" s="593"/>
    </row>
    <row r="1192" spans="1:36" s="385" customFormat="1" ht="20.25" outlineLevel="2" x14ac:dyDescent="0.3">
      <c r="A1192" s="447">
        <v>93</v>
      </c>
      <c r="B1192" s="572"/>
      <c r="C1192" s="572"/>
      <c r="D1192" s="615"/>
      <c r="E1192" s="700"/>
      <c r="F1192" s="558"/>
      <c r="G1192" s="709"/>
      <c r="H1192" s="546"/>
      <c r="I1192" s="563" t="s">
        <v>25</v>
      </c>
      <c r="J1192" s="563" t="s">
        <v>25</v>
      </c>
      <c r="K1192" s="564" t="s">
        <v>25</v>
      </c>
      <c r="L1192" s="564" t="s">
        <v>25</v>
      </c>
      <c r="M1192" s="586"/>
      <c r="N1192" s="586"/>
      <c r="O1192" s="714"/>
      <c r="P1192" s="564" t="s">
        <v>25</v>
      </c>
      <c r="Q1192" s="564" t="s">
        <v>25</v>
      </c>
      <c r="R1192" s="661"/>
      <c r="S1192" s="661"/>
      <c r="T1192" s="710"/>
      <c r="U1192" s="593"/>
      <c r="V1192" s="564" t="s">
        <v>2899</v>
      </c>
      <c r="W1192" s="564" t="s">
        <v>25</v>
      </c>
      <c r="X1192" s="683"/>
      <c r="Y1192" s="683"/>
      <c r="Z1192" s="683"/>
      <c r="AA1192" s="694"/>
      <c r="AB1192" s="683"/>
      <c r="AC1192" s="683"/>
      <c r="AD1192" s="683"/>
      <c r="AE1192" s="590"/>
      <c r="AF1192" s="570" t="s">
        <v>2899</v>
      </c>
      <c r="AG1192" s="570" t="s">
        <v>25</v>
      </c>
      <c r="AH1192" s="571" t="s">
        <v>25</v>
      </c>
      <c r="AI1192" s="586"/>
      <c r="AJ1192" s="593"/>
    </row>
    <row r="1193" spans="1:36" s="385" customFormat="1" ht="20.25" outlineLevel="2" x14ac:dyDescent="0.3">
      <c r="A1193" s="447">
        <v>93</v>
      </c>
      <c r="B1193" s="572"/>
      <c r="C1193" s="572"/>
      <c r="D1193" s="615"/>
      <c r="E1193" s="700"/>
      <c r="F1193" s="558"/>
      <c r="G1193" s="709"/>
      <c r="H1193" s="546"/>
      <c r="I1193" s="563" t="s">
        <v>25</v>
      </c>
      <c r="J1193" s="563" t="s">
        <v>25</v>
      </c>
      <c r="K1193" s="564" t="s">
        <v>25</v>
      </c>
      <c r="L1193" s="564" t="s">
        <v>25</v>
      </c>
      <c r="M1193" s="586"/>
      <c r="N1193" s="586"/>
      <c r="O1193" s="714"/>
      <c r="P1193" s="564" t="s">
        <v>25</v>
      </c>
      <c r="Q1193" s="564" t="s">
        <v>25</v>
      </c>
      <c r="R1193" s="661"/>
      <c r="S1193" s="661"/>
      <c r="T1193" s="710"/>
      <c r="U1193" s="593"/>
      <c r="V1193" s="564" t="s">
        <v>2899</v>
      </c>
      <c r="W1193" s="564" t="s">
        <v>25</v>
      </c>
      <c r="X1193" s="683"/>
      <c r="Y1193" s="683"/>
      <c r="Z1193" s="683"/>
      <c r="AA1193" s="694"/>
      <c r="AB1193" s="683"/>
      <c r="AC1193" s="683"/>
      <c r="AD1193" s="683"/>
      <c r="AE1193" s="590"/>
      <c r="AF1193" s="570" t="s">
        <v>2899</v>
      </c>
      <c r="AG1193" s="570" t="s">
        <v>25</v>
      </c>
      <c r="AH1193" s="571" t="s">
        <v>25</v>
      </c>
      <c r="AI1193" s="704"/>
      <c r="AJ1193" s="593"/>
    </row>
    <row r="1194" spans="1:36" s="385" customFormat="1" ht="20.25" outlineLevel="2" x14ac:dyDescent="0.3">
      <c r="A1194" s="447">
        <v>93</v>
      </c>
      <c r="B1194" s="572"/>
      <c r="C1194" s="572"/>
      <c r="D1194" s="612"/>
      <c r="E1194" s="612"/>
      <c r="F1194" s="558"/>
      <c r="G1194" s="709"/>
      <c r="H1194" s="546"/>
      <c r="I1194" s="563" t="s">
        <v>25</v>
      </c>
      <c r="J1194" s="563" t="s">
        <v>25</v>
      </c>
      <c r="K1194" s="564" t="s">
        <v>25</v>
      </c>
      <c r="L1194" s="564" t="s">
        <v>25</v>
      </c>
      <c r="M1194" s="586"/>
      <c r="N1194" s="586"/>
      <c r="O1194" s="714"/>
      <c r="P1194" s="564" t="s">
        <v>25</v>
      </c>
      <c r="Q1194" s="564" t="s">
        <v>25</v>
      </c>
      <c r="R1194" s="661"/>
      <c r="S1194" s="661"/>
      <c r="T1194" s="710"/>
      <c r="U1194" s="593"/>
      <c r="V1194" s="564" t="s">
        <v>2899</v>
      </c>
      <c r="W1194" s="564" t="s">
        <v>25</v>
      </c>
      <c r="X1194" s="683"/>
      <c r="Y1194" s="683"/>
      <c r="Z1194" s="683"/>
      <c r="AA1194" s="694"/>
      <c r="AB1194" s="683"/>
      <c r="AC1194" s="683"/>
      <c r="AD1194" s="683"/>
      <c r="AE1194" s="590"/>
      <c r="AF1194" s="570" t="s">
        <v>2899</v>
      </c>
      <c r="AG1194" s="570" t="s">
        <v>25</v>
      </c>
      <c r="AH1194" s="571" t="s">
        <v>25</v>
      </c>
      <c r="AI1194" s="558"/>
      <c r="AJ1194" s="593"/>
    </row>
    <row r="1195" spans="1:36" s="385" customFormat="1" ht="20.25" outlineLevel="2" x14ac:dyDescent="0.3">
      <c r="A1195" s="447">
        <v>93</v>
      </c>
      <c r="B1195" s="607"/>
      <c r="C1195" s="607"/>
      <c r="D1195" s="705"/>
      <c r="E1195" s="706"/>
      <c r="F1195" s="586"/>
      <c r="G1195" s="709"/>
      <c r="H1195" s="546"/>
      <c r="I1195" s="563" t="s">
        <v>25</v>
      </c>
      <c r="J1195" s="563" t="s">
        <v>25</v>
      </c>
      <c r="K1195" s="564" t="s">
        <v>25</v>
      </c>
      <c r="L1195" s="564" t="s">
        <v>25</v>
      </c>
      <c r="M1195" s="586"/>
      <c r="N1195" s="586"/>
      <c r="O1195" s="714"/>
      <c r="P1195" s="564" t="s">
        <v>25</v>
      </c>
      <c r="Q1195" s="564" t="s">
        <v>25</v>
      </c>
      <c r="R1195" s="586"/>
      <c r="S1195" s="609"/>
      <c r="T1195" s="710"/>
      <c r="U1195" s="593"/>
      <c r="V1195" s="564" t="s">
        <v>2899</v>
      </c>
      <c r="W1195" s="564" t="s">
        <v>25</v>
      </c>
      <c r="X1195" s="683"/>
      <c r="Y1195" s="683"/>
      <c r="Z1195" s="683"/>
      <c r="AA1195" s="694"/>
      <c r="AB1195" s="683"/>
      <c r="AC1195" s="683"/>
      <c r="AD1195" s="683"/>
      <c r="AE1195" s="590"/>
      <c r="AF1195" s="570" t="s">
        <v>2899</v>
      </c>
      <c r="AG1195" s="570" t="s">
        <v>25</v>
      </c>
      <c r="AH1195" s="571" t="s">
        <v>25</v>
      </c>
      <c r="AI1195" s="593"/>
      <c r="AJ1195" s="593"/>
    </row>
    <row r="1196" spans="1:36" s="385" customFormat="1" ht="40.5" outlineLevel="1" x14ac:dyDescent="0.25">
      <c r="A1196" s="467">
        <v>94</v>
      </c>
      <c r="B1196" s="607" t="s">
        <v>891</v>
      </c>
      <c r="C1196" s="586" t="s">
        <v>2903</v>
      </c>
      <c r="D1196" s="615">
        <v>86</v>
      </c>
      <c r="E1196" s="700">
        <v>203</v>
      </c>
      <c r="F1196" s="574"/>
      <c r="G1196" s="707">
        <v>419.8</v>
      </c>
      <c r="H1196" s="579">
        <v>419.8</v>
      </c>
      <c r="I1196" s="581"/>
      <c r="J1196" s="581"/>
      <c r="K1196" s="571">
        <v>195459000</v>
      </c>
      <c r="L1196" s="571">
        <v>586377000</v>
      </c>
      <c r="M1196" s="578"/>
      <c r="N1196" s="578"/>
      <c r="O1196" s="712">
        <v>0</v>
      </c>
      <c r="P1196" s="571"/>
      <c r="Q1196" s="571">
        <v>0</v>
      </c>
      <c r="R1196" s="578"/>
      <c r="S1196" s="621"/>
      <c r="T1196" s="708">
        <v>0</v>
      </c>
      <c r="U1196" s="608"/>
      <c r="V1196" s="571"/>
      <c r="W1196" s="571">
        <v>0</v>
      </c>
      <c r="X1196" s="683"/>
      <c r="Y1196" s="683"/>
      <c r="Z1196" s="683"/>
      <c r="AA1196" s="694"/>
      <c r="AB1196" s="683"/>
      <c r="AC1196" s="683"/>
      <c r="AD1196" s="650"/>
      <c r="AE1196" s="599">
        <f>SUBTOTAL(9,AE1197:AE1205)</f>
        <v>0</v>
      </c>
      <c r="AF1196" s="585"/>
      <c r="AG1196" s="585">
        <v>0</v>
      </c>
      <c r="AH1196" s="571">
        <v>781836000</v>
      </c>
      <c r="AI1196" s="574"/>
      <c r="AJ1196" s="578"/>
    </row>
    <row r="1197" spans="1:36" s="385" customFormat="1" ht="121.5" outlineLevel="2" x14ac:dyDescent="0.3">
      <c r="A1197" s="447">
        <v>94</v>
      </c>
      <c r="B1197" s="558" t="s">
        <v>893</v>
      </c>
      <c r="C1197" s="558"/>
      <c r="D1197" s="615"/>
      <c r="E1197" s="700"/>
      <c r="F1197" s="558" t="s">
        <v>2864</v>
      </c>
      <c r="G1197" s="709">
        <v>419.8</v>
      </c>
      <c r="H1197" s="546">
        <v>419.8</v>
      </c>
      <c r="I1197" s="563">
        <v>465600</v>
      </c>
      <c r="J1197" s="563">
        <v>1396800</v>
      </c>
      <c r="K1197" s="564">
        <v>195459000</v>
      </c>
      <c r="L1197" s="564">
        <v>586377000</v>
      </c>
      <c r="M1197" s="586"/>
      <c r="N1197" s="586"/>
      <c r="O1197" s="714"/>
      <c r="P1197" s="564" t="s">
        <v>25</v>
      </c>
      <c r="Q1197" s="564" t="s">
        <v>25</v>
      </c>
      <c r="R1197" s="586"/>
      <c r="S1197" s="609"/>
      <c r="T1197" s="710"/>
      <c r="U1197" s="593"/>
      <c r="V1197" s="564" t="s">
        <v>2899</v>
      </c>
      <c r="W1197" s="564" t="s">
        <v>25</v>
      </c>
      <c r="X1197" s="683"/>
      <c r="Y1197" s="683"/>
      <c r="Z1197" s="683"/>
      <c r="AA1197" s="694"/>
      <c r="AB1197" s="683"/>
      <c r="AC1197" s="683"/>
      <c r="AD1197" s="683"/>
      <c r="AE1197" s="590"/>
      <c r="AF1197" s="570" t="s">
        <v>2899</v>
      </c>
      <c r="AG1197" s="570"/>
      <c r="AH1197" s="571" t="s">
        <v>25</v>
      </c>
      <c r="AI1197" s="558" t="s">
        <v>892</v>
      </c>
      <c r="AJ1197" s="586" t="s">
        <v>2771</v>
      </c>
    </row>
    <row r="1198" spans="1:36" s="385" customFormat="1" ht="101.25" outlineLevel="2" x14ac:dyDescent="0.3">
      <c r="A1198" s="447">
        <v>94</v>
      </c>
      <c r="B1198" s="558" t="s">
        <v>895</v>
      </c>
      <c r="C1198" s="558"/>
      <c r="D1198" s="615"/>
      <c r="E1198" s="700"/>
      <c r="F1198" s="558"/>
      <c r="G1198" s="709"/>
      <c r="H1198" s="546"/>
      <c r="I1198" s="563" t="s">
        <v>25</v>
      </c>
      <c r="J1198" s="563" t="s">
        <v>25</v>
      </c>
      <c r="K1198" s="564" t="s">
        <v>25</v>
      </c>
      <c r="L1198" s="564" t="s">
        <v>25</v>
      </c>
      <c r="M1198" s="558"/>
      <c r="N1198" s="558"/>
      <c r="O1198" s="714"/>
      <c r="P1198" s="564" t="s">
        <v>25</v>
      </c>
      <c r="Q1198" s="564" t="s">
        <v>25</v>
      </c>
      <c r="R1198" s="566"/>
      <c r="S1198" s="589"/>
      <c r="T1198" s="710"/>
      <c r="U1198" s="593"/>
      <c r="V1198" s="564" t="s">
        <v>2899</v>
      </c>
      <c r="W1198" s="564" t="s">
        <v>25</v>
      </c>
      <c r="X1198" s="683"/>
      <c r="Y1198" s="683"/>
      <c r="Z1198" s="683"/>
      <c r="AA1198" s="694"/>
      <c r="AB1198" s="683"/>
      <c r="AC1198" s="683"/>
      <c r="AD1198" s="683"/>
      <c r="AE1198" s="590"/>
      <c r="AF1198" s="570" t="s">
        <v>2899</v>
      </c>
      <c r="AG1198" s="570" t="s">
        <v>25</v>
      </c>
      <c r="AH1198" s="571" t="s">
        <v>25</v>
      </c>
      <c r="AI1198" s="558" t="s">
        <v>2818</v>
      </c>
      <c r="AJ1198" s="558" t="s">
        <v>2448</v>
      </c>
    </row>
    <row r="1199" spans="1:36" s="385" customFormat="1" ht="20.25" outlineLevel="2" x14ac:dyDescent="0.3">
      <c r="A1199" s="447">
        <v>94</v>
      </c>
      <c r="B1199" s="558"/>
      <c r="C1199" s="558"/>
      <c r="D1199" s="615"/>
      <c r="E1199" s="700"/>
      <c r="F1199" s="586"/>
      <c r="G1199" s="709"/>
      <c r="H1199" s="546"/>
      <c r="I1199" s="563" t="s">
        <v>25</v>
      </c>
      <c r="J1199" s="563" t="s">
        <v>25</v>
      </c>
      <c r="K1199" s="564" t="s">
        <v>25</v>
      </c>
      <c r="L1199" s="564" t="s">
        <v>25</v>
      </c>
      <c r="M1199" s="558"/>
      <c r="N1199" s="558"/>
      <c r="O1199" s="714"/>
      <c r="P1199" s="564" t="s">
        <v>25</v>
      </c>
      <c r="Q1199" s="564" t="s">
        <v>25</v>
      </c>
      <c r="R1199" s="566"/>
      <c r="S1199" s="589"/>
      <c r="T1199" s="710"/>
      <c r="U1199" s="593"/>
      <c r="V1199" s="564" t="s">
        <v>2899</v>
      </c>
      <c r="W1199" s="564" t="s">
        <v>25</v>
      </c>
      <c r="X1199" s="683"/>
      <c r="Y1199" s="683"/>
      <c r="Z1199" s="683"/>
      <c r="AA1199" s="694"/>
      <c r="AB1199" s="683"/>
      <c r="AC1199" s="683"/>
      <c r="AD1199" s="683"/>
      <c r="AE1199" s="590"/>
      <c r="AF1199" s="570" t="s">
        <v>2899</v>
      </c>
      <c r="AG1199" s="570" t="s">
        <v>25</v>
      </c>
      <c r="AH1199" s="571" t="s">
        <v>25</v>
      </c>
      <c r="AI1199" s="593" t="s">
        <v>896</v>
      </c>
      <c r="AJ1199" s="566"/>
    </row>
    <row r="1200" spans="1:36" s="385" customFormat="1" ht="60.75" outlineLevel="2" x14ac:dyDescent="0.3">
      <c r="A1200" s="447">
        <v>94</v>
      </c>
      <c r="B1200" s="558"/>
      <c r="C1200" s="558"/>
      <c r="D1200" s="615"/>
      <c r="E1200" s="700"/>
      <c r="F1200" s="558"/>
      <c r="G1200" s="709"/>
      <c r="H1200" s="546"/>
      <c r="I1200" s="563" t="s">
        <v>25</v>
      </c>
      <c r="J1200" s="563" t="s">
        <v>25</v>
      </c>
      <c r="K1200" s="564" t="s">
        <v>25</v>
      </c>
      <c r="L1200" s="564" t="s">
        <v>25</v>
      </c>
      <c r="M1200" s="558"/>
      <c r="N1200" s="558"/>
      <c r="O1200" s="714"/>
      <c r="P1200" s="564" t="s">
        <v>25</v>
      </c>
      <c r="Q1200" s="564" t="s">
        <v>25</v>
      </c>
      <c r="R1200" s="566"/>
      <c r="S1200" s="589"/>
      <c r="T1200" s="710"/>
      <c r="U1200" s="593"/>
      <c r="V1200" s="564" t="s">
        <v>2899</v>
      </c>
      <c r="W1200" s="564" t="s">
        <v>25</v>
      </c>
      <c r="X1200" s="683"/>
      <c r="Y1200" s="683"/>
      <c r="Z1200" s="683"/>
      <c r="AA1200" s="694"/>
      <c r="AB1200" s="683"/>
      <c r="AC1200" s="683"/>
      <c r="AD1200" s="683"/>
      <c r="AE1200" s="590"/>
      <c r="AF1200" s="570" t="s">
        <v>2899</v>
      </c>
      <c r="AG1200" s="570" t="s">
        <v>25</v>
      </c>
      <c r="AH1200" s="571" t="s">
        <v>25</v>
      </c>
      <c r="AI1200" s="558" t="s">
        <v>2074</v>
      </c>
      <c r="AJ1200" s="593"/>
    </row>
    <row r="1201" spans="1:36" s="385" customFormat="1" ht="20.25" outlineLevel="2" x14ac:dyDescent="0.3">
      <c r="A1201" s="447">
        <v>94</v>
      </c>
      <c r="B1201" s="558"/>
      <c r="C1201" s="558"/>
      <c r="D1201" s="615"/>
      <c r="E1201" s="700"/>
      <c r="F1201" s="558"/>
      <c r="G1201" s="709"/>
      <c r="H1201" s="546"/>
      <c r="I1201" s="563" t="s">
        <v>25</v>
      </c>
      <c r="J1201" s="563" t="s">
        <v>25</v>
      </c>
      <c r="K1201" s="564" t="s">
        <v>25</v>
      </c>
      <c r="L1201" s="564" t="s">
        <v>25</v>
      </c>
      <c r="M1201" s="558"/>
      <c r="N1201" s="558"/>
      <c r="O1201" s="714"/>
      <c r="P1201" s="564" t="s">
        <v>25</v>
      </c>
      <c r="Q1201" s="564" t="s">
        <v>25</v>
      </c>
      <c r="R1201" s="566"/>
      <c r="S1201" s="589"/>
      <c r="T1201" s="710"/>
      <c r="U1201" s="593"/>
      <c r="V1201" s="564" t="s">
        <v>2899</v>
      </c>
      <c r="W1201" s="564" t="s">
        <v>25</v>
      </c>
      <c r="X1201" s="683"/>
      <c r="Y1201" s="683"/>
      <c r="Z1201" s="683"/>
      <c r="AA1201" s="694"/>
      <c r="AB1201" s="683"/>
      <c r="AC1201" s="683"/>
      <c r="AD1201" s="683"/>
      <c r="AE1201" s="590"/>
      <c r="AF1201" s="570" t="s">
        <v>2899</v>
      </c>
      <c r="AG1201" s="570" t="s">
        <v>25</v>
      </c>
      <c r="AH1201" s="571" t="s">
        <v>25</v>
      </c>
      <c r="AI1201" s="721"/>
      <c r="AJ1201" s="593"/>
    </row>
    <row r="1202" spans="1:36" s="385" customFormat="1" ht="20.25" outlineLevel="2" x14ac:dyDescent="0.3">
      <c r="A1202" s="447">
        <v>94</v>
      </c>
      <c r="B1202" s="558"/>
      <c r="C1202" s="558"/>
      <c r="D1202" s="615"/>
      <c r="E1202" s="700"/>
      <c r="F1202" s="558"/>
      <c r="G1202" s="709"/>
      <c r="H1202" s="546"/>
      <c r="I1202" s="563" t="s">
        <v>25</v>
      </c>
      <c r="J1202" s="563" t="s">
        <v>25</v>
      </c>
      <c r="K1202" s="564" t="s">
        <v>25</v>
      </c>
      <c r="L1202" s="564" t="s">
        <v>25</v>
      </c>
      <c r="M1202" s="558"/>
      <c r="N1202" s="558"/>
      <c r="O1202" s="714"/>
      <c r="P1202" s="564" t="s">
        <v>25</v>
      </c>
      <c r="Q1202" s="564" t="s">
        <v>25</v>
      </c>
      <c r="R1202" s="566"/>
      <c r="S1202" s="589"/>
      <c r="T1202" s="710"/>
      <c r="U1202" s="593"/>
      <c r="V1202" s="564" t="s">
        <v>2899</v>
      </c>
      <c r="W1202" s="564" t="s">
        <v>25</v>
      </c>
      <c r="X1202" s="683"/>
      <c r="Y1202" s="683"/>
      <c r="Z1202" s="683"/>
      <c r="AA1202" s="694"/>
      <c r="AB1202" s="683"/>
      <c r="AC1202" s="683"/>
      <c r="AD1202" s="683"/>
      <c r="AE1202" s="590"/>
      <c r="AF1202" s="570" t="s">
        <v>2899</v>
      </c>
      <c r="AG1202" s="570" t="s">
        <v>25</v>
      </c>
      <c r="AH1202" s="571" t="s">
        <v>25</v>
      </c>
      <c r="AI1202" s="586"/>
      <c r="AJ1202" s="593"/>
    </row>
    <row r="1203" spans="1:36" s="385" customFormat="1" ht="20.25" outlineLevel="2" x14ac:dyDescent="0.3">
      <c r="A1203" s="447">
        <v>94</v>
      </c>
      <c r="B1203" s="558"/>
      <c r="C1203" s="558"/>
      <c r="D1203" s="615"/>
      <c r="E1203" s="700"/>
      <c r="F1203" s="558"/>
      <c r="G1203" s="709"/>
      <c r="H1203" s="546"/>
      <c r="I1203" s="563" t="s">
        <v>25</v>
      </c>
      <c r="J1203" s="563" t="s">
        <v>25</v>
      </c>
      <c r="K1203" s="564" t="s">
        <v>25</v>
      </c>
      <c r="L1203" s="564" t="s">
        <v>25</v>
      </c>
      <c r="M1203" s="558"/>
      <c r="N1203" s="558"/>
      <c r="O1203" s="714"/>
      <c r="P1203" s="564" t="s">
        <v>25</v>
      </c>
      <c r="Q1203" s="564" t="s">
        <v>25</v>
      </c>
      <c r="R1203" s="566"/>
      <c r="S1203" s="589"/>
      <c r="T1203" s="710"/>
      <c r="U1203" s="593"/>
      <c r="V1203" s="564" t="s">
        <v>2899</v>
      </c>
      <c r="W1203" s="564" t="s">
        <v>25</v>
      </c>
      <c r="X1203" s="683"/>
      <c r="Y1203" s="683"/>
      <c r="Z1203" s="683"/>
      <c r="AA1203" s="694"/>
      <c r="AB1203" s="683"/>
      <c r="AC1203" s="683"/>
      <c r="AD1203" s="683"/>
      <c r="AE1203" s="590"/>
      <c r="AF1203" s="570" t="s">
        <v>2899</v>
      </c>
      <c r="AG1203" s="570" t="s">
        <v>25</v>
      </c>
      <c r="AH1203" s="571" t="s">
        <v>25</v>
      </c>
      <c r="AI1203" s="704"/>
      <c r="AJ1203" s="593"/>
    </row>
    <row r="1204" spans="1:36" s="385" customFormat="1" ht="20.25" outlineLevel="2" x14ac:dyDescent="0.3">
      <c r="A1204" s="447">
        <v>94</v>
      </c>
      <c r="B1204" s="558"/>
      <c r="C1204" s="558"/>
      <c r="D1204" s="615"/>
      <c r="E1204" s="700"/>
      <c r="F1204" s="558"/>
      <c r="G1204" s="709"/>
      <c r="H1204" s="546"/>
      <c r="I1204" s="563" t="s">
        <v>25</v>
      </c>
      <c r="J1204" s="563" t="s">
        <v>25</v>
      </c>
      <c r="K1204" s="564" t="s">
        <v>25</v>
      </c>
      <c r="L1204" s="564" t="s">
        <v>25</v>
      </c>
      <c r="M1204" s="558"/>
      <c r="N1204" s="558"/>
      <c r="O1204" s="714"/>
      <c r="P1204" s="564" t="s">
        <v>25</v>
      </c>
      <c r="Q1204" s="564" t="s">
        <v>25</v>
      </c>
      <c r="R1204" s="566"/>
      <c r="S1204" s="589"/>
      <c r="T1204" s="710"/>
      <c r="U1204" s="593"/>
      <c r="V1204" s="564" t="s">
        <v>2899</v>
      </c>
      <c r="W1204" s="564" t="s">
        <v>25</v>
      </c>
      <c r="X1204" s="683"/>
      <c r="Y1204" s="683"/>
      <c r="Z1204" s="683"/>
      <c r="AA1204" s="694"/>
      <c r="AB1204" s="683"/>
      <c r="AC1204" s="683"/>
      <c r="AD1204" s="683"/>
      <c r="AE1204" s="590"/>
      <c r="AF1204" s="570" t="s">
        <v>2899</v>
      </c>
      <c r="AG1204" s="570" t="s">
        <v>25</v>
      </c>
      <c r="AH1204" s="571" t="s">
        <v>25</v>
      </c>
      <c r="AI1204" s="593"/>
      <c r="AJ1204" s="593"/>
    </row>
    <row r="1205" spans="1:36" s="385" customFormat="1" ht="20.25" outlineLevel="2" x14ac:dyDescent="0.3">
      <c r="A1205" s="447">
        <v>94</v>
      </c>
      <c r="B1205" s="574"/>
      <c r="C1205" s="574"/>
      <c r="D1205" s="705"/>
      <c r="E1205" s="706"/>
      <c r="F1205" s="558"/>
      <c r="G1205" s="709"/>
      <c r="H1205" s="546"/>
      <c r="I1205" s="563" t="s">
        <v>25</v>
      </c>
      <c r="J1205" s="563" t="s">
        <v>25</v>
      </c>
      <c r="K1205" s="564" t="s">
        <v>25</v>
      </c>
      <c r="L1205" s="564" t="s">
        <v>25</v>
      </c>
      <c r="M1205" s="558"/>
      <c r="N1205" s="558"/>
      <c r="O1205" s="714"/>
      <c r="P1205" s="564" t="s">
        <v>25</v>
      </c>
      <c r="Q1205" s="564" t="s">
        <v>25</v>
      </c>
      <c r="R1205" s="566"/>
      <c r="S1205" s="589"/>
      <c r="T1205" s="710"/>
      <c r="U1205" s="593"/>
      <c r="V1205" s="564" t="s">
        <v>2899</v>
      </c>
      <c r="W1205" s="564" t="s">
        <v>25</v>
      </c>
      <c r="X1205" s="683"/>
      <c r="Y1205" s="683"/>
      <c r="Z1205" s="683"/>
      <c r="AA1205" s="694"/>
      <c r="AB1205" s="683"/>
      <c r="AC1205" s="683"/>
      <c r="AD1205" s="683"/>
      <c r="AE1205" s="590"/>
      <c r="AF1205" s="570" t="s">
        <v>2899</v>
      </c>
      <c r="AG1205" s="570" t="s">
        <v>25</v>
      </c>
      <c r="AH1205" s="571" t="s">
        <v>25</v>
      </c>
      <c r="AI1205" s="593"/>
      <c r="AJ1205" s="593"/>
    </row>
    <row r="1206" spans="1:36" s="385" customFormat="1" ht="40.5" outlineLevel="1" x14ac:dyDescent="0.25">
      <c r="A1206" s="467">
        <v>95</v>
      </c>
      <c r="B1206" s="574" t="s">
        <v>898</v>
      </c>
      <c r="C1206" s="586" t="s">
        <v>2903</v>
      </c>
      <c r="D1206" s="615">
        <v>86</v>
      </c>
      <c r="E1206" s="700">
        <v>60</v>
      </c>
      <c r="F1206" s="574"/>
      <c r="G1206" s="707">
        <v>416.70000000000005</v>
      </c>
      <c r="H1206" s="579">
        <v>0</v>
      </c>
      <c r="I1206" s="581"/>
      <c r="J1206" s="581"/>
      <c r="K1206" s="571">
        <v>194016000</v>
      </c>
      <c r="L1206" s="571">
        <v>0</v>
      </c>
      <c r="M1206" s="574"/>
      <c r="N1206" s="574"/>
      <c r="O1206" s="712">
        <v>0</v>
      </c>
      <c r="P1206" s="571"/>
      <c r="Q1206" s="571">
        <v>0</v>
      </c>
      <c r="R1206" s="582"/>
      <c r="S1206" s="597"/>
      <c r="T1206" s="708">
        <v>0</v>
      </c>
      <c r="U1206" s="608"/>
      <c r="V1206" s="571"/>
      <c r="W1206" s="571">
        <v>0</v>
      </c>
      <c r="X1206" s="683"/>
      <c r="Y1206" s="683"/>
      <c r="Z1206" s="683"/>
      <c r="AA1206" s="694"/>
      <c r="AB1206" s="683"/>
      <c r="AC1206" s="683"/>
      <c r="AD1206" s="650"/>
      <c r="AE1206" s="599">
        <f>SUBTOTAL(9,AE1207:AE1212)</f>
        <v>0</v>
      </c>
      <c r="AF1206" s="585"/>
      <c r="AG1206" s="585">
        <v>0</v>
      </c>
      <c r="AH1206" s="571">
        <v>194016000</v>
      </c>
      <c r="AI1206" s="574"/>
      <c r="AJ1206" s="578"/>
    </row>
    <row r="1207" spans="1:36" s="385" customFormat="1" ht="121.5" outlineLevel="2" x14ac:dyDescent="0.3">
      <c r="A1207" s="447">
        <v>95</v>
      </c>
      <c r="B1207" s="572" t="s">
        <v>900</v>
      </c>
      <c r="C1207" s="572"/>
      <c r="D1207" s="615"/>
      <c r="E1207" s="700"/>
      <c r="F1207" s="558" t="s">
        <v>2862</v>
      </c>
      <c r="G1207" s="717">
        <v>416.70000000000005</v>
      </c>
      <c r="H1207" s="546" t="s">
        <v>2899</v>
      </c>
      <c r="I1207" s="563">
        <v>465600</v>
      </c>
      <c r="J1207" s="563">
        <v>0</v>
      </c>
      <c r="K1207" s="564">
        <v>194016000</v>
      </c>
      <c r="L1207" s="564">
        <v>0</v>
      </c>
      <c r="M1207" s="558"/>
      <c r="N1207" s="558"/>
      <c r="O1207" s="714"/>
      <c r="P1207" s="564" t="s">
        <v>25</v>
      </c>
      <c r="Q1207" s="564" t="s">
        <v>25</v>
      </c>
      <c r="R1207" s="566"/>
      <c r="S1207" s="589"/>
      <c r="T1207" s="710"/>
      <c r="U1207" s="593"/>
      <c r="V1207" s="564" t="s">
        <v>2899</v>
      </c>
      <c r="W1207" s="564" t="s">
        <v>25</v>
      </c>
      <c r="X1207" s="683"/>
      <c r="Y1207" s="683"/>
      <c r="Z1207" s="683"/>
      <c r="AA1207" s="694"/>
      <c r="AB1207" s="683"/>
      <c r="AC1207" s="683"/>
      <c r="AD1207" s="683"/>
      <c r="AE1207" s="590"/>
      <c r="AF1207" s="570" t="s">
        <v>2899</v>
      </c>
      <c r="AG1207" s="570"/>
      <c r="AH1207" s="571" t="s">
        <v>25</v>
      </c>
      <c r="AI1207" s="558" t="s">
        <v>2776</v>
      </c>
      <c r="AJ1207" s="586" t="s">
        <v>2771</v>
      </c>
    </row>
    <row r="1208" spans="1:36" s="385" customFormat="1" ht="81" outlineLevel="2" x14ac:dyDescent="0.3">
      <c r="A1208" s="447">
        <v>95</v>
      </c>
      <c r="B1208" s="572" t="s">
        <v>902</v>
      </c>
      <c r="C1208" s="572"/>
      <c r="D1208" s="615"/>
      <c r="E1208" s="700"/>
      <c r="F1208" s="704"/>
      <c r="G1208" s="701"/>
      <c r="H1208" s="546"/>
      <c r="I1208" s="563" t="s">
        <v>25</v>
      </c>
      <c r="J1208" s="563" t="s">
        <v>25</v>
      </c>
      <c r="K1208" s="564" t="s">
        <v>25</v>
      </c>
      <c r="L1208" s="564" t="s">
        <v>25</v>
      </c>
      <c r="M1208" s="586"/>
      <c r="N1208" s="586"/>
      <c r="O1208" s="714"/>
      <c r="P1208" s="564" t="s">
        <v>25</v>
      </c>
      <c r="Q1208" s="564" t="s">
        <v>25</v>
      </c>
      <c r="R1208" s="586"/>
      <c r="S1208" s="609"/>
      <c r="T1208" s="710"/>
      <c r="U1208" s="593"/>
      <c r="V1208" s="564" t="s">
        <v>2899</v>
      </c>
      <c r="W1208" s="564" t="s">
        <v>25</v>
      </c>
      <c r="X1208" s="683"/>
      <c r="Y1208" s="683"/>
      <c r="Z1208" s="683"/>
      <c r="AA1208" s="694"/>
      <c r="AB1208" s="683"/>
      <c r="AC1208" s="683"/>
      <c r="AD1208" s="683"/>
      <c r="AE1208" s="590"/>
      <c r="AF1208" s="570" t="s">
        <v>2899</v>
      </c>
      <c r="AG1208" s="570" t="s">
        <v>25</v>
      </c>
      <c r="AH1208" s="571" t="s">
        <v>25</v>
      </c>
      <c r="AI1208" s="558" t="s">
        <v>2777</v>
      </c>
      <c r="AJ1208" s="566"/>
    </row>
    <row r="1209" spans="1:36" s="385" customFormat="1" ht="20.25" outlineLevel="2" x14ac:dyDescent="0.3">
      <c r="A1209" s="447">
        <v>95</v>
      </c>
      <c r="B1209" s="572"/>
      <c r="C1209" s="572"/>
      <c r="D1209" s="615"/>
      <c r="E1209" s="700"/>
      <c r="F1209" s="558"/>
      <c r="G1209" s="709"/>
      <c r="H1209" s="546"/>
      <c r="I1209" s="563" t="s">
        <v>25</v>
      </c>
      <c r="J1209" s="563" t="s">
        <v>25</v>
      </c>
      <c r="K1209" s="564" t="s">
        <v>25</v>
      </c>
      <c r="L1209" s="564" t="s">
        <v>25</v>
      </c>
      <c r="M1209" s="586"/>
      <c r="N1209" s="586"/>
      <c r="O1209" s="714"/>
      <c r="P1209" s="564" t="s">
        <v>25</v>
      </c>
      <c r="Q1209" s="564" t="s">
        <v>25</v>
      </c>
      <c r="R1209" s="586"/>
      <c r="S1209" s="609"/>
      <c r="T1209" s="710"/>
      <c r="U1209" s="593"/>
      <c r="V1209" s="564" t="s">
        <v>2899</v>
      </c>
      <c r="W1209" s="564" t="s">
        <v>25</v>
      </c>
      <c r="X1209" s="683"/>
      <c r="Y1209" s="683"/>
      <c r="Z1209" s="683"/>
      <c r="AA1209" s="694"/>
      <c r="AB1209" s="683"/>
      <c r="AC1209" s="683"/>
      <c r="AD1209" s="683"/>
      <c r="AE1209" s="590"/>
      <c r="AF1209" s="570" t="s">
        <v>2899</v>
      </c>
      <c r="AG1209" s="570" t="s">
        <v>25</v>
      </c>
      <c r="AH1209" s="571" t="s">
        <v>25</v>
      </c>
      <c r="AI1209" s="593" t="s">
        <v>903</v>
      </c>
      <c r="AJ1209" s="566"/>
    </row>
    <row r="1210" spans="1:36" s="385" customFormat="1" ht="101.25" outlineLevel="2" x14ac:dyDescent="0.3">
      <c r="A1210" s="447">
        <v>95</v>
      </c>
      <c r="B1210" s="572"/>
      <c r="C1210" s="572"/>
      <c r="D1210" s="615"/>
      <c r="E1210" s="700"/>
      <c r="F1210" s="558"/>
      <c r="G1210" s="709"/>
      <c r="H1210" s="546"/>
      <c r="I1210" s="563" t="s">
        <v>25</v>
      </c>
      <c r="J1210" s="563" t="s">
        <v>25</v>
      </c>
      <c r="K1210" s="564" t="s">
        <v>25</v>
      </c>
      <c r="L1210" s="564" t="s">
        <v>25</v>
      </c>
      <c r="M1210" s="586"/>
      <c r="N1210" s="586"/>
      <c r="O1210" s="714"/>
      <c r="P1210" s="564" t="s">
        <v>25</v>
      </c>
      <c r="Q1210" s="564" t="s">
        <v>25</v>
      </c>
      <c r="R1210" s="586"/>
      <c r="S1210" s="609"/>
      <c r="T1210" s="710"/>
      <c r="U1210" s="593"/>
      <c r="V1210" s="564" t="s">
        <v>2899</v>
      </c>
      <c r="W1210" s="564" t="s">
        <v>25</v>
      </c>
      <c r="X1210" s="683"/>
      <c r="Y1210" s="683"/>
      <c r="Z1210" s="683"/>
      <c r="AA1210" s="694"/>
      <c r="AB1210" s="683"/>
      <c r="AC1210" s="683"/>
      <c r="AD1210" s="683"/>
      <c r="AE1210" s="590"/>
      <c r="AF1210" s="570" t="s">
        <v>2899</v>
      </c>
      <c r="AG1210" s="570" t="s">
        <v>25</v>
      </c>
      <c r="AH1210" s="571" t="s">
        <v>25</v>
      </c>
      <c r="AI1210" s="558" t="s">
        <v>2223</v>
      </c>
      <c r="AJ1210" s="593"/>
    </row>
    <row r="1211" spans="1:36" s="385" customFormat="1" ht="20.25" outlineLevel="2" x14ac:dyDescent="0.3">
      <c r="A1211" s="447">
        <v>95</v>
      </c>
      <c r="B1211" s="572"/>
      <c r="C1211" s="572"/>
      <c r="D1211" s="612"/>
      <c r="E1211" s="612"/>
      <c r="F1211" s="558"/>
      <c r="G1211" s="709"/>
      <c r="H1211" s="546"/>
      <c r="I1211" s="563" t="s">
        <v>25</v>
      </c>
      <c r="J1211" s="563" t="s">
        <v>25</v>
      </c>
      <c r="K1211" s="564" t="s">
        <v>25</v>
      </c>
      <c r="L1211" s="564" t="s">
        <v>25</v>
      </c>
      <c r="M1211" s="586"/>
      <c r="N1211" s="586"/>
      <c r="O1211" s="714"/>
      <c r="P1211" s="564" t="s">
        <v>25</v>
      </c>
      <c r="Q1211" s="564" t="s">
        <v>25</v>
      </c>
      <c r="R1211" s="586"/>
      <c r="S1211" s="609"/>
      <c r="T1211" s="710"/>
      <c r="U1211" s="593"/>
      <c r="V1211" s="564" t="s">
        <v>2899</v>
      </c>
      <c r="W1211" s="564" t="s">
        <v>25</v>
      </c>
      <c r="X1211" s="683"/>
      <c r="Y1211" s="683"/>
      <c r="Z1211" s="683"/>
      <c r="AA1211" s="694"/>
      <c r="AB1211" s="683"/>
      <c r="AC1211" s="683"/>
      <c r="AD1211" s="683"/>
      <c r="AE1211" s="590"/>
      <c r="AF1211" s="570" t="s">
        <v>2899</v>
      </c>
      <c r="AG1211" s="570" t="s">
        <v>25</v>
      </c>
      <c r="AH1211" s="571" t="s">
        <v>25</v>
      </c>
      <c r="AI1211" s="704"/>
      <c r="AJ1211" s="593"/>
    </row>
    <row r="1212" spans="1:36" s="385" customFormat="1" ht="20.25" outlineLevel="2" x14ac:dyDescent="0.3">
      <c r="A1212" s="447">
        <v>95</v>
      </c>
      <c r="B1212" s="607"/>
      <c r="C1212" s="607"/>
      <c r="D1212" s="705"/>
      <c r="E1212" s="706"/>
      <c r="F1212" s="586"/>
      <c r="G1212" s="709"/>
      <c r="H1212" s="546"/>
      <c r="I1212" s="563" t="s">
        <v>25</v>
      </c>
      <c r="J1212" s="563" t="s">
        <v>25</v>
      </c>
      <c r="K1212" s="564" t="s">
        <v>25</v>
      </c>
      <c r="L1212" s="564" t="s">
        <v>25</v>
      </c>
      <c r="M1212" s="586"/>
      <c r="N1212" s="586"/>
      <c r="O1212" s="714"/>
      <c r="P1212" s="564" t="s">
        <v>25</v>
      </c>
      <c r="Q1212" s="564" t="s">
        <v>25</v>
      </c>
      <c r="R1212" s="586"/>
      <c r="S1212" s="609"/>
      <c r="T1212" s="710"/>
      <c r="U1212" s="593"/>
      <c r="V1212" s="564" t="s">
        <v>2899</v>
      </c>
      <c r="W1212" s="564" t="s">
        <v>25</v>
      </c>
      <c r="X1212" s="683"/>
      <c r="Y1212" s="683"/>
      <c r="Z1212" s="683"/>
      <c r="AA1212" s="694"/>
      <c r="AB1212" s="683"/>
      <c r="AC1212" s="683"/>
      <c r="AD1212" s="683"/>
      <c r="AE1212" s="590"/>
      <c r="AF1212" s="570" t="s">
        <v>2899</v>
      </c>
      <c r="AG1212" s="570" t="s">
        <v>25</v>
      </c>
      <c r="AH1212" s="571" t="s">
        <v>25</v>
      </c>
      <c r="AI1212" s="593"/>
      <c r="AJ1212" s="593"/>
    </row>
    <row r="1213" spans="1:36" s="385" customFormat="1" ht="40.5" outlineLevel="1" x14ac:dyDescent="0.25">
      <c r="A1213" s="467">
        <v>96</v>
      </c>
      <c r="B1213" s="607" t="s">
        <v>904</v>
      </c>
      <c r="C1213" s="586" t="s">
        <v>2903</v>
      </c>
      <c r="D1213" s="615">
        <v>86</v>
      </c>
      <c r="E1213" s="700">
        <v>226</v>
      </c>
      <c r="F1213" s="574"/>
      <c r="G1213" s="707">
        <v>416.59999999999997</v>
      </c>
      <c r="H1213" s="579">
        <v>0</v>
      </c>
      <c r="I1213" s="581"/>
      <c r="J1213" s="581"/>
      <c r="K1213" s="571">
        <v>193969000</v>
      </c>
      <c r="L1213" s="571">
        <v>0</v>
      </c>
      <c r="M1213" s="578"/>
      <c r="N1213" s="578"/>
      <c r="O1213" s="712">
        <v>0</v>
      </c>
      <c r="P1213" s="571"/>
      <c r="Q1213" s="571">
        <v>0</v>
      </c>
      <c r="R1213" s="578"/>
      <c r="S1213" s="621"/>
      <c r="T1213" s="708">
        <v>0</v>
      </c>
      <c r="U1213" s="608"/>
      <c r="V1213" s="571"/>
      <c r="W1213" s="571">
        <v>0</v>
      </c>
      <c r="X1213" s="683"/>
      <c r="Y1213" s="683"/>
      <c r="Z1213" s="683"/>
      <c r="AA1213" s="694"/>
      <c r="AB1213" s="683"/>
      <c r="AC1213" s="683"/>
      <c r="AD1213" s="650"/>
      <c r="AE1213" s="599">
        <f>SUBTOTAL(9,AE1214:AE1219)</f>
        <v>0</v>
      </c>
      <c r="AF1213" s="585"/>
      <c r="AG1213" s="585">
        <v>0</v>
      </c>
      <c r="AH1213" s="571">
        <v>193969000</v>
      </c>
      <c r="AI1213" s="574"/>
      <c r="AJ1213" s="578"/>
    </row>
    <row r="1214" spans="1:36" s="385" customFormat="1" ht="121.5" outlineLevel="2" x14ac:dyDescent="0.3">
      <c r="A1214" s="447">
        <v>96</v>
      </c>
      <c r="B1214" s="558" t="s">
        <v>906</v>
      </c>
      <c r="C1214" s="558"/>
      <c r="D1214" s="615"/>
      <c r="E1214" s="700"/>
      <c r="F1214" s="558" t="s">
        <v>2862</v>
      </c>
      <c r="G1214" s="717">
        <v>416.59999999999997</v>
      </c>
      <c r="H1214" s="546" t="s">
        <v>2899</v>
      </c>
      <c r="I1214" s="563">
        <v>465600</v>
      </c>
      <c r="J1214" s="563">
        <v>0</v>
      </c>
      <c r="K1214" s="564">
        <v>193969000</v>
      </c>
      <c r="L1214" s="564">
        <v>0</v>
      </c>
      <c r="M1214" s="586"/>
      <c r="N1214" s="586"/>
      <c r="O1214" s="714"/>
      <c r="P1214" s="564" t="s">
        <v>25</v>
      </c>
      <c r="Q1214" s="564" t="s">
        <v>25</v>
      </c>
      <c r="R1214" s="586"/>
      <c r="S1214" s="609"/>
      <c r="T1214" s="710"/>
      <c r="U1214" s="593"/>
      <c r="V1214" s="564" t="s">
        <v>2899</v>
      </c>
      <c r="W1214" s="564" t="s">
        <v>25</v>
      </c>
      <c r="X1214" s="683"/>
      <c r="Y1214" s="683"/>
      <c r="Z1214" s="683"/>
      <c r="AA1214" s="694"/>
      <c r="AB1214" s="683"/>
      <c r="AC1214" s="683"/>
      <c r="AD1214" s="683"/>
      <c r="AE1214" s="590"/>
      <c r="AF1214" s="570" t="s">
        <v>2899</v>
      </c>
      <c r="AG1214" s="570"/>
      <c r="AH1214" s="571" t="s">
        <v>25</v>
      </c>
      <c r="AI1214" s="558" t="s">
        <v>905</v>
      </c>
      <c r="AJ1214" s="586" t="s">
        <v>2771</v>
      </c>
    </row>
    <row r="1215" spans="1:36" s="385" customFormat="1" ht="60.75" outlineLevel="2" x14ac:dyDescent="0.3">
      <c r="A1215" s="447">
        <v>96</v>
      </c>
      <c r="B1215" s="558" t="s">
        <v>908</v>
      </c>
      <c r="C1215" s="558"/>
      <c r="D1215" s="615"/>
      <c r="E1215" s="700"/>
      <c r="F1215" s="558"/>
      <c r="G1215" s="709"/>
      <c r="H1215" s="546"/>
      <c r="I1215" s="563" t="s">
        <v>25</v>
      </c>
      <c r="J1215" s="563" t="s">
        <v>25</v>
      </c>
      <c r="K1215" s="564" t="s">
        <v>25</v>
      </c>
      <c r="L1215" s="564" t="s">
        <v>25</v>
      </c>
      <c r="M1215" s="565"/>
      <c r="N1215" s="565"/>
      <c r="O1215" s="714"/>
      <c r="P1215" s="564" t="s">
        <v>25</v>
      </c>
      <c r="Q1215" s="564" t="s">
        <v>25</v>
      </c>
      <c r="R1215" s="566"/>
      <c r="S1215" s="589"/>
      <c r="T1215" s="710"/>
      <c r="U1215" s="593"/>
      <c r="V1215" s="564" t="s">
        <v>2899</v>
      </c>
      <c r="W1215" s="564" t="s">
        <v>25</v>
      </c>
      <c r="X1215" s="683"/>
      <c r="Y1215" s="683"/>
      <c r="Z1215" s="683"/>
      <c r="AA1215" s="694"/>
      <c r="AB1215" s="683"/>
      <c r="AC1215" s="683"/>
      <c r="AD1215" s="683"/>
      <c r="AE1215" s="590"/>
      <c r="AF1215" s="570" t="s">
        <v>2899</v>
      </c>
      <c r="AG1215" s="570" t="s">
        <v>25</v>
      </c>
      <c r="AH1215" s="571" t="s">
        <v>25</v>
      </c>
      <c r="AI1215" s="558" t="s">
        <v>2819</v>
      </c>
      <c r="AJ1215" s="566"/>
    </row>
    <row r="1216" spans="1:36" s="385" customFormat="1" ht="20.25" outlineLevel="2" x14ac:dyDescent="0.3">
      <c r="A1216" s="447">
        <v>96</v>
      </c>
      <c r="B1216" s="558"/>
      <c r="C1216" s="558"/>
      <c r="D1216" s="615"/>
      <c r="E1216" s="700"/>
      <c r="F1216" s="558"/>
      <c r="G1216" s="709"/>
      <c r="H1216" s="546"/>
      <c r="I1216" s="563" t="s">
        <v>25</v>
      </c>
      <c r="J1216" s="563" t="s">
        <v>25</v>
      </c>
      <c r="K1216" s="564" t="s">
        <v>25</v>
      </c>
      <c r="L1216" s="564" t="s">
        <v>25</v>
      </c>
      <c r="M1216" s="565"/>
      <c r="N1216" s="565"/>
      <c r="O1216" s="714"/>
      <c r="P1216" s="564" t="s">
        <v>25</v>
      </c>
      <c r="Q1216" s="564" t="s">
        <v>25</v>
      </c>
      <c r="R1216" s="566"/>
      <c r="S1216" s="589"/>
      <c r="T1216" s="710"/>
      <c r="U1216" s="593"/>
      <c r="V1216" s="564" t="s">
        <v>2899</v>
      </c>
      <c r="W1216" s="564" t="s">
        <v>25</v>
      </c>
      <c r="X1216" s="683"/>
      <c r="Y1216" s="683"/>
      <c r="Z1216" s="683"/>
      <c r="AA1216" s="694"/>
      <c r="AB1216" s="683"/>
      <c r="AC1216" s="683"/>
      <c r="AD1216" s="683"/>
      <c r="AE1216" s="590"/>
      <c r="AF1216" s="570" t="s">
        <v>2899</v>
      </c>
      <c r="AG1216" s="570" t="s">
        <v>25</v>
      </c>
      <c r="AH1216" s="571" t="s">
        <v>25</v>
      </c>
      <c r="AI1216" s="593" t="s">
        <v>909</v>
      </c>
      <c r="AJ1216" s="566"/>
    </row>
    <row r="1217" spans="1:36" s="385" customFormat="1" ht="81" outlineLevel="2" x14ac:dyDescent="0.3">
      <c r="A1217" s="447">
        <v>96</v>
      </c>
      <c r="B1217" s="558"/>
      <c r="C1217" s="558"/>
      <c r="D1217" s="615"/>
      <c r="E1217" s="700"/>
      <c r="F1217" s="558"/>
      <c r="G1217" s="709"/>
      <c r="H1217" s="546"/>
      <c r="I1217" s="563" t="s">
        <v>25</v>
      </c>
      <c r="J1217" s="563" t="s">
        <v>25</v>
      </c>
      <c r="K1217" s="564" t="s">
        <v>25</v>
      </c>
      <c r="L1217" s="564" t="s">
        <v>25</v>
      </c>
      <c r="M1217" s="565"/>
      <c r="N1217" s="565"/>
      <c r="O1217" s="714"/>
      <c r="P1217" s="564" t="s">
        <v>25</v>
      </c>
      <c r="Q1217" s="564" t="s">
        <v>25</v>
      </c>
      <c r="R1217" s="566"/>
      <c r="S1217" s="589"/>
      <c r="T1217" s="710"/>
      <c r="U1217" s="593"/>
      <c r="V1217" s="564" t="s">
        <v>2899</v>
      </c>
      <c r="W1217" s="564" t="s">
        <v>25</v>
      </c>
      <c r="X1217" s="683"/>
      <c r="Y1217" s="683"/>
      <c r="Z1217" s="683"/>
      <c r="AA1217" s="694"/>
      <c r="AB1217" s="683"/>
      <c r="AC1217" s="683"/>
      <c r="AD1217" s="683"/>
      <c r="AE1217" s="590"/>
      <c r="AF1217" s="570" t="s">
        <v>2899</v>
      </c>
      <c r="AG1217" s="570" t="s">
        <v>25</v>
      </c>
      <c r="AH1217" s="571" t="s">
        <v>25</v>
      </c>
      <c r="AI1217" s="558" t="s">
        <v>2224</v>
      </c>
      <c r="AJ1217" s="593"/>
    </row>
    <row r="1218" spans="1:36" s="385" customFormat="1" ht="20.25" outlineLevel="2" x14ac:dyDescent="0.3">
      <c r="A1218" s="447">
        <v>96</v>
      </c>
      <c r="B1218" s="572"/>
      <c r="C1218" s="572"/>
      <c r="D1218" s="615"/>
      <c r="E1218" s="700"/>
      <c r="F1218" s="558"/>
      <c r="G1218" s="709"/>
      <c r="H1218" s="546"/>
      <c r="I1218" s="563" t="s">
        <v>25</v>
      </c>
      <c r="J1218" s="563" t="s">
        <v>25</v>
      </c>
      <c r="K1218" s="564" t="s">
        <v>25</v>
      </c>
      <c r="L1218" s="564" t="s">
        <v>25</v>
      </c>
      <c r="M1218" s="565"/>
      <c r="N1218" s="565"/>
      <c r="O1218" s="714"/>
      <c r="P1218" s="564" t="s">
        <v>25</v>
      </c>
      <c r="Q1218" s="564" t="s">
        <v>25</v>
      </c>
      <c r="R1218" s="566"/>
      <c r="S1218" s="589"/>
      <c r="T1218" s="710"/>
      <c r="U1218" s="593"/>
      <c r="V1218" s="564" t="s">
        <v>2899</v>
      </c>
      <c r="W1218" s="564" t="s">
        <v>25</v>
      </c>
      <c r="X1218" s="683"/>
      <c r="Y1218" s="683"/>
      <c r="Z1218" s="683"/>
      <c r="AA1218" s="694"/>
      <c r="AB1218" s="683"/>
      <c r="AC1218" s="683"/>
      <c r="AD1218" s="683"/>
      <c r="AE1218" s="590"/>
      <c r="AF1218" s="570" t="s">
        <v>2899</v>
      </c>
      <c r="AG1218" s="570" t="s">
        <v>25</v>
      </c>
      <c r="AH1218" s="571" t="s">
        <v>25</v>
      </c>
      <c r="AI1218" s="704"/>
      <c r="AJ1218" s="593"/>
    </row>
    <row r="1219" spans="1:36" s="385" customFormat="1" ht="20.25" outlineLevel="2" x14ac:dyDescent="0.3">
      <c r="A1219" s="447">
        <v>96</v>
      </c>
      <c r="B1219" s="607"/>
      <c r="C1219" s="607"/>
      <c r="D1219" s="705"/>
      <c r="E1219" s="706"/>
      <c r="F1219" s="558"/>
      <c r="G1219" s="709"/>
      <c r="H1219" s="546"/>
      <c r="I1219" s="563" t="s">
        <v>25</v>
      </c>
      <c r="J1219" s="563" t="s">
        <v>25</v>
      </c>
      <c r="K1219" s="564" t="s">
        <v>25</v>
      </c>
      <c r="L1219" s="564" t="s">
        <v>25</v>
      </c>
      <c r="M1219" s="586"/>
      <c r="N1219" s="586"/>
      <c r="O1219" s="714"/>
      <c r="P1219" s="564" t="s">
        <v>25</v>
      </c>
      <c r="Q1219" s="564" t="s">
        <v>25</v>
      </c>
      <c r="R1219" s="586"/>
      <c r="S1219" s="609"/>
      <c r="T1219" s="710"/>
      <c r="U1219" s="593"/>
      <c r="V1219" s="564" t="s">
        <v>2899</v>
      </c>
      <c r="W1219" s="564" t="s">
        <v>25</v>
      </c>
      <c r="X1219" s="683"/>
      <c r="Y1219" s="683"/>
      <c r="Z1219" s="683"/>
      <c r="AA1219" s="694"/>
      <c r="AB1219" s="683"/>
      <c r="AC1219" s="683"/>
      <c r="AD1219" s="683"/>
      <c r="AE1219" s="590"/>
      <c r="AF1219" s="570" t="s">
        <v>2899</v>
      </c>
      <c r="AG1219" s="570" t="s">
        <v>25</v>
      </c>
      <c r="AH1219" s="571" t="s">
        <v>25</v>
      </c>
      <c r="AI1219" s="593"/>
      <c r="AJ1219" s="593"/>
    </row>
    <row r="1220" spans="1:36" s="385" customFormat="1" ht="40.5" outlineLevel="1" x14ac:dyDescent="0.25">
      <c r="A1220" s="467">
        <v>97</v>
      </c>
      <c r="B1220" s="607" t="s">
        <v>910</v>
      </c>
      <c r="C1220" s="586" t="s">
        <v>2903</v>
      </c>
      <c r="D1220" s="615">
        <v>86</v>
      </c>
      <c r="E1220" s="700">
        <v>208</v>
      </c>
      <c r="F1220" s="574"/>
      <c r="G1220" s="707">
        <v>771.3</v>
      </c>
      <c r="H1220" s="579">
        <v>771.3</v>
      </c>
      <c r="I1220" s="581"/>
      <c r="J1220" s="581"/>
      <c r="K1220" s="571">
        <v>290626000</v>
      </c>
      <c r="L1220" s="571">
        <v>871878000</v>
      </c>
      <c r="M1220" s="578"/>
      <c r="N1220" s="578"/>
      <c r="O1220" s="712">
        <v>0</v>
      </c>
      <c r="P1220" s="571"/>
      <c r="Q1220" s="571">
        <v>0</v>
      </c>
      <c r="R1220" s="578"/>
      <c r="S1220" s="621"/>
      <c r="T1220" s="708">
        <v>0</v>
      </c>
      <c r="U1220" s="608"/>
      <c r="V1220" s="571"/>
      <c r="W1220" s="571">
        <v>0</v>
      </c>
      <c r="X1220" s="683"/>
      <c r="Y1220" s="683"/>
      <c r="Z1220" s="683"/>
      <c r="AA1220" s="694"/>
      <c r="AB1220" s="683"/>
      <c r="AC1220" s="683"/>
      <c r="AD1220" s="650"/>
      <c r="AE1220" s="599">
        <f>SUBTOTAL(9,AE1221:AE1227)</f>
        <v>0</v>
      </c>
      <c r="AF1220" s="585"/>
      <c r="AG1220" s="585">
        <v>0</v>
      </c>
      <c r="AH1220" s="571">
        <v>1162504000</v>
      </c>
      <c r="AI1220" s="574"/>
      <c r="AJ1220" s="578"/>
    </row>
    <row r="1221" spans="1:36" s="385" customFormat="1" ht="121.5" outlineLevel="2" x14ac:dyDescent="0.3">
      <c r="A1221" s="447">
        <v>97</v>
      </c>
      <c r="B1221" s="572" t="s">
        <v>912</v>
      </c>
      <c r="C1221" s="572"/>
      <c r="D1221" s="612"/>
      <c r="E1221" s="612"/>
      <c r="F1221" s="558" t="s">
        <v>2433</v>
      </c>
      <c r="G1221" s="709">
        <v>771.3</v>
      </c>
      <c r="H1221" s="546">
        <v>771.3</v>
      </c>
      <c r="I1221" s="563">
        <v>376800</v>
      </c>
      <c r="J1221" s="563">
        <v>1130400</v>
      </c>
      <c r="K1221" s="564">
        <v>290626000</v>
      </c>
      <c r="L1221" s="564">
        <v>871878000</v>
      </c>
      <c r="M1221" s="586"/>
      <c r="N1221" s="586"/>
      <c r="O1221" s="714"/>
      <c r="P1221" s="564" t="s">
        <v>25</v>
      </c>
      <c r="Q1221" s="564" t="s">
        <v>25</v>
      </c>
      <c r="R1221" s="586"/>
      <c r="S1221" s="609"/>
      <c r="T1221" s="710"/>
      <c r="U1221" s="593"/>
      <c r="V1221" s="564" t="s">
        <v>2899</v>
      </c>
      <c r="W1221" s="564" t="s">
        <v>25</v>
      </c>
      <c r="X1221" s="683"/>
      <c r="Y1221" s="683"/>
      <c r="Z1221" s="683"/>
      <c r="AA1221" s="694"/>
      <c r="AB1221" s="683"/>
      <c r="AC1221" s="683"/>
      <c r="AD1221" s="683"/>
      <c r="AE1221" s="590"/>
      <c r="AF1221" s="570" t="s">
        <v>2899</v>
      </c>
      <c r="AG1221" s="570"/>
      <c r="AH1221" s="571" t="s">
        <v>25</v>
      </c>
      <c r="AI1221" s="558" t="s">
        <v>911</v>
      </c>
      <c r="AJ1221" s="586" t="s">
        <v>2771</v>
      </c>
    </row>
    <row r="1222" spans="1:36" s="385" customFormat="1" ht="101.25" outlineLevel="2" x14ac:dyDescent="0.3">
      <c r="A1222" s="447">
        <v>97</v>
      </c>
      <c r="B1222" s="558" t="s">
        <v>914</v>
      </c>
      <c r="C1222" s="558"/>
      <c r="D1222" s="615"/>
      <c r="E1222" s="700"/>
      <c r="F1222" s="586"/>
      <c r="G1222" s="709"/>
      <c r="H1222" s="546"/>
      <c r="I1222" s="563" t="s">
        <v>25</v>
      </c>
      <c r="J1222" s="563" t="s">
        <v>25</v>
      </c>
      <c r="K1222" s="564" t="s">
        <v>25</v>
      </c>
      <c r="L1222" s="564" t="s">
        <v>25</v>
      </c>
      <c r="M1222" s="586"/>
      <c r="N1222" s="586"/>
      <c r="O1222" s="714"/>
      <c r="P1222" s="564" t="s">
        <v>25</v>
      </c>
      <c r="Q1222" s="564" t="s">
        <v>25</v>
      </c>
      <c r="R1222" s="586"/>
      <c r="S1222" s="609"/>
      <c r="T1222" s="710"/>
      <c r="U1222" s="593"/>
      <c r="V1222" s="564" t="s">
        <v>2899</v>
      </c>
      <c r="W1222" s="564" t="s">
        <v>25</v>
      </c>
      <c r="X1222" s="683"/>
      <c r="Y1222" s="683"/>
      <c r="Z1222" s="683"/>
      <c r="AA1222" s="694"/>
      <c r="AB1222" s="683"/>
      <c r="AC1222" s="683"/>
      <c r="AD1222" s="683"/>
      <c r="AE1222" s="590"/>
      <c r="AF1222" s="570" t="s">
        <v>2899</v>
      </c>
      <c r="AG1222" s="570" t="s">
        <v>25</v>
      </c>
      <c r="AH1222" s="571" t="s">
        <v>25</v>
      </c>
      <c r="AI1222" s="558" t="s">
        <v>2820</v>
      </c>
      <c r="AJ1222" s="605" t="s">
        <v>2448</v>
      </c>
    </row>
    <row r="1223" spans="1:36" s="385" customFormat="1" ht="20.25" outlineLevel="2" x14ac:dyDescent="0.3">
      <c r="A1223" s="447">
        <v>97</v>
      </c>
      <c r="B1223" s="558"/>
      <c r="C1223" s="558"/>
      <c r="D1223" s="615"/>
      <c r="E1223" s="700"/>
      <c r="F1223" s="558"/>
      <c r="G1223" s="709"/>
      <c r="H1223" s="546"/>
      <c r="I1223" s="563" t="s">
        <v>25</v>
      </c>
      <c r="J1223" s="563" t="s">
        <v>25</v>
      </c>
      <c r="K1223" s="564" t="s">
        <v>25</v>
      </c>
      <c r="L1223" s="564" t="s">
        <v>25</v>
      </c>
      <c r="M1223" s="565"/>
      <c r="N1223" s="565"/>
      <c r="O1223" s="714"/>
      <c r="P1223" s="564" t="s">
        <v>25</v>
      </c>
      <c r="Q1223" s="564" t="s">
        <v>25</v>
      </c>
      <c r="R1223" s="566"/>
      <c r="S1223" s="589"/>
      <c r="T1223" s="710"/>
      <c r="U1223" s="593"/>
      <c r="V1223" s="564" t="s">
        <v>2899</v>
      </c>
      <c r="W1223" s="564" t="s">
        <v>25</v>
      </c>
      <c r="X1223" s="683"/>
      <c r="Y1223" s="683"/>
      <c r="Z1223" s="683"/>
      <c r="AA1223" s="694"/>
      <c r="AB1223" s="683"/>
      <c r="AC1223" s="683"/>
      <c r="AD1223" s="683"/>
      <c r="AE1223" s="590"/>
      <c r="AF1223" s="570" t="s">
        <v>2899</v>
      </c>
      <c r="AG1223" s="570" t="s">
        <v>25</v>
      </c>
      <c r="AH1223" s="571" t="s">
        <v>25</v>
      </c>
      <c r="AI1223" s="558" t="s">
        <v>915</v>
      </c>
      <c r="AJ1223" s="566"/>
    </row>
    <row r="1224" spans="1:36" s="385" customFormat="1" ht="20.25" outlineLevel="2" x14ac:dyDescent="0.3">
      <c r="A1224" s="447">
        <v>97</v>
      </c>
      <c r="B1224" s="558"/>
      <c r="C1224" s="558"/>
      <c r="D1224" s="615"/>
      <c r="E1224" s="700"/>
      <c r="F1224" s="558"/>
      <c r="G1224" s="709"/>
      <c r="H1224" s="546"/>
      <c r="I1224" s="563" t="s">
        <v>25</v>
      </c>
      <c r="J1224" s="563" t="s">
        <v>25</v>
      </c>
      <c r="K1224" s="564" t="s">
        <v>25</v>
      </c>
      <c r="L1224" s="564" t="s">
        <v>25</v>
      </c>
      <c r="M1224" s="565"/>
      <c r="N1224" s="565"/>
      <c r="O1224" s="714"/>
      <c r="P1224" s="564" t="s">
        <v>25</v>
      </c>
      <c r="Q1224" s="564" t="s">
        <v>25</v>
      </c>
      <c r="R1224" s="566"/>
      <c r="S1224" s="589"/>
      <c r="T1224" s="710"/>
      <c r="U1224" s="593"/>
      <c r="V1224" s="564" t="s">
        <v>2899</v>
      </c>
      <c r="W1224" s="564" t="s">
        <v>25</v>
      </c>
      <c r="X1224" s="683"/>
      <c r="Y1224" s="683"/>
      <c r="Z1224" s="683"/>
      <c r="AA1224" s="694"/>
      <c r="AB1224" s="683"/>
      <c r="AC1224" s="683"/>
      <c r="AD1224" s="683"/>
      <c r="AE1224" s="590"/>
      <c r="AF1224" s="570" t="s">
        <v>2899</v>
      </c>
      <c r="AG1224" s="570" t="s">
        <v>25</v>
      </c>
      <c r="AH1224" s="571" t="s">
        <v>25</v>
      </c>
      <c r="AI1224" s="593" t="s">
        <v>809</v>
      </c>
      <c r="AJ1224" s="593"/>
    </row>
    <row r="1225" spans="1:36" s="385" customFormat="1" ht="60.75" outlineLevel="2" x14ac:dyDescent="0.3">
      <c r="A1225" s="447">
        <v>97</v>
      </c>
      <c r="B1225" s="558"/>
      <c r="C1225" s="558"/>
      <c r="D1225" s="615"/>
      <c r="E1225" s="700"/>
      <c r="F1225" s="558"/>
      <c r="G1225" s="709"/>
      <c r="H1225" s="546"/>
      <c r="I1225" s="563" t="s">
        <v>25</v>
      </c>
      <c r="J1225" s="563" t="s">
        <v>25</v>
      </c>
      <c r="K1225" s="564" t="s">
        <v>25</v>
      </c>
      <c r="L1225" s="564" t="s">
        <v>25</v>
      </c>
      <c r="M1225" s="565"/>
      <c r="N1225" s="565"/>
      <c r="O1225" s="714"/>
      <c r="P1225" s="564" t="s">
        <v>25</v>
      </c>
      <c r="Q1225" s="564" t="s">
        <v>25</v>
      </c>
      <c r="R1225" s="566"/>
      <c r="S1225" s="589"/>
      <c r="T1225" s="710"/>
      <c r="U1225" s="593"/>
      <c r="V1225" s="564" t="s">
        <v>2899</v>
      </c>
      <c r="W1225" s="564" t="s">
        <v>25</v>
      </c>
      <c r="X1225" s="683"/>
      <c r="Y1225" s="683"/>
      <c r="Z1225" s="683"/>
      <c r="AA1225" s="694"/>
      <c r="AB1225" s="683"/>
      <c r="AC1225" s="683"/>
      <c r="AD1225" s="683"/>
      <c r="AE1225" s="590"/>
      <c r="AF1225" s="570" t="s">
        <v>2899</v>
      </c>
      <c r="AG1225" s="570" t="s">
        <v>25</v>
      </c>
      <c r="AH1225" s="571" t="s">
        <v>25</v>
      </c>
      <c r="AI1225" s="558" t="s">
        <v>2074</v>
      </c>
      <c r="AJ1225" s="593"/>
    </row>
    <row r="1226" spans="1:36" s="385" customFormat="1" ht="20.25" outlineLevel="2" x14ac:dyDescent="0.3">
      <c r="A1226" s="447">
        <v>97</v>
      </c>
      <c r="B1226" s="558"/>
      <c r="C1226" s="558"/>
      <c r="D1226" s="615"/>
      <c r="E1226" s="700"/>
      <c r="F1226" s="558"/>
      <c r="G1226" s="709"/>
      <c r="H1226" s="546"/>
      <c r="I1226" s="563" t="s">
        <v>25</v>
      </c>
      <c r="J1226" s="563" t="s">
        <v>25</v>
      </c>
      <c r="K1226" s="564" t="s">
        <v>25</v>
      </c>
      <c r="L1226" s="564" t="s">
        <v>25</v>
      </c>
      <c r="M1226" s="565"/>
      <c r="N1226" s="565"/>
      <c r="O1226" s="714"/>
      <c r="P1226" s="564" t="s">
        <v>25</v>
      </c>
      <c r="Q1226" s="564" t="s">
        <v>25</v>
      </c>
      <c r="R1226" s="566"/>
      <c r="S1226" s="589"/>
      <c r="T1226" s="710"/>
      <c r="U1226" s="593"/>
      <c r="V1226" s="564" t="s">
        <v>2899</v>
      </c>
      <c r="W1226" s="564" t="s">
        <v>25</v>
      </c>
      <c r="X1226" s="683"/>
      <c r="Y1226" s="683"/>
      <c r="Z1226" s="683"/>
      <c r="AA1226" s="694"/>
      <c r="AB1226" s="683"/>
      <c r="AC1226" s="683"/>
      <c r="AD1226" s="683"/>
      <c r="AE1226" s="590"/>
      <c r="AF1226" s="570" t="s">
        <v>2899</v>
      </c>
      <c r="AG1226" s="570" t="s">
        <v>25</v>
      </c>
      <c r="AH1226" s="571" t="s">
        <v>25</v>
      </c>
      <c r="AI1226" s="704"/>
      <c r="AJ1226" s="593"/>
    </row>
    <row r="1227" spans="1:36" s="385" customFormat="1" ht="20.25" outlineLevel="2" x14ac:dyDescent="0.3">
      <c r="A1227" s="447">
        <v>97</v>
      </c>
      <c r="B1227" s="574"/>
      <c r="C1227" s="574"/>
      <c r="D1227" s="705"/>
      <c r="E1227" s="706"/>
      <c r="F1227" s="558"/>
      <c r="G1227" s="709"/>
      <c r="H1227" s="546"/>
      <c r="I1227" s="563" t="s">
        <v>25</v>
      </c>
      <c r="J1227" s="563" t="s">
        <v>25</v>
      </c>
      <c r="K1227" s="564" t="s">
        <v>25</v>
      </c>
      <c r="L1227" s="564" t="s">
        <v>25</v>
      </c>
      <c r="M1227" s="565"/>
      <c r="N1227" s="565"/>
      <c r="O1227" s="714"/>
      <c r="P1227" s="564" t="s">
        <v>25</v>
      </c>
      <c r="Q1227" s="564" t="s">
        <v>25</v>
      </c>
      <c r="R1227" s="566"/>
      <c r="S1227" s="589"/>
      <c r="T1227" s="710"/>
      <c r="U1227" s="593"/>
      <c r="V1227" s="564" t="s">
        <v>2899</v>
      </c>
      <c r="W1227" s="564" t="s">
        <v>25</v>
      </c>
      <c r="X1227" s="683"/>
      <c r="Y1227" s="683"/>
      <c r="Z1227" s="683"/>
      <c r="AA1227" s="694"/>
      <c r="AB1227" s="683"/>
      <c r="AC1227" s="683"/>
      <c r="AD1227" s="683"/>
      <c r="AE1227" s="590"/>
      <c r="AF1227" s="570" t="s">
        <v>2899</v>
      </c>
      <c r="AG1227" s="570" t="s">
        <v>25</v>
      </c>
      <c r="AH1227" s="571" t="s">
        <v>25</v>
      </c>
      <c r="AI1227" s="593"/>
      <c r="AJ1227" s="593"/>
    </row>
    <row r="1228" spans="1:36" s="385" customFormat="1" ht="40.5" outlineLevel="1" x14ac:dyDescent="0.25">
      <c r="A1228" s="467">
        <v>98</v>
      </c>
      <c r="B1228" s="574" t="s">
        <v>916</v>
      </c>
      <c r="C1228" s="586" t="s">
        <v>2903</v>
      </c>
      <c r="D1228" s="615">
        <v>86</v>
      </c>
      <c r="E1228" s="700">
        <v>45</v>
      </c>
      <c r="F1228" s="574"/>
      <c r="G1228" s="707">
        <v>1762.5</v>
      </c>
      <c r="H1228" s="579">
        <v>1762.5</v>
      </c>
      <c r="I1228" s="581"/>
      <c r="J1228" s="581"/>
      <c r="K1228" s="571">
        <v>664110000</v>
      </c>
      <c r="L1228" s="571">
        <v>1992330000</v>
      </c>
      <c r="M1228" s="598"/>
      <c r="N1228" s="598"/>
      <c r="O1228" s="712">
        <v>85</v>
      </c>
      <c r="P1228" s="571"/>
      <c r="Q1228" s="571">
        <v>6968000</v>
      </c>
      <c r="R1228" s="582"/>
      <c r="S1228" s="597"/>
      <c r="T1228" s="708">
        <v>0</v>
      </c>
      <c r="U1228" s="608"/>
      <c r="V1228" s="571"/>
      <c r="W1228" s="571">
        <v>0</v>
      </c>
      <c r="X1228" s="683"/>
      <c r="Y1228" s="683"/>
      <c r="Z1228" s="683"/>
      <c r="AA1228" s="694"/>
      <c r="AB1228" s="683"/>
      <c r="AC1228" s="683"/>
      <c r="AD1228" s="650"/>
      <c r="AE1228" s="599">
        <f>SUBTOTAL(9,AE1229:AE1238)</f>
        <v>0</v>
      </c>
      <c r="AF1228" s="585"/>
      <c r="AG1228" s="585">
        <v>0</v>
      </c>
      <c r="AH1228" s="571">
        <v>2663408000</v>
      </c>
      <c r="AI1228" s="574"/>
      <c r="AJ1228" s="578"/>
    </row>
    <row r="1229" spans="1:36" s="385" customFormat="1" ht="121.5" outlineLevel="2" x14ac:dyDescent="0.3">
      <c r="A1229" s="447">
        <v>98</v>
      </c>
      <c r="B1229" s="558" t="s">
        <v>918</v>
      </c>
      <c r="C1229" s="558"/>
      <c r="D1229" s="615"/>
      <c r="E1229" s="700"/>
      <c r="F1229" s="558" t="s">
        <v>2433</v>
      </c>
      <c r="G1229" s="709">
        <v>1762.5</v>
      </c>
      <c r="H1229" s="546">
        <v>1762.5</v>
      </c>
      <c r="I1229" s="563">
        <v>376800</v>
      </c>
      <c r="J1229" s="563">
        <v>1130400</v>
      </c>
      <c r="K1229" s="564">
        <v>664110000</v>
      </c>
      <c r="L1229" s="564">
        <v>1992330000</v>
      </c>
      <c r="M1229" s="565" t="s">
        <v>406</v>
      </c>
      <c r="N1229" s="565"/>
      <c r="O1229" s="714">
        <v>12</v>
      </c>
      <c r="P1229" s="564">
        <v>180000</v>
      </c>
      <c r="Q1229" s="564">
        <v>2160000</v>
      </c>
      <c r="R1229" s="566"/>
      <c r="S1229" s="589"/>
      <c r="T1229" s="710"/>
      <c r="U1229" s="593"/>
      <c r="V1229" s="564" t="s">
        <v>2899</v>
      </c>
      <c r="W1229" s="564" t="s">
        <v>25</v>
      </c>
      <c r="X1229" s="683"/>
      <c r="Y1229" s="683"/>
      <c r="Z1229" s="683"/>
      <c r="AA1229" s="694"/>
      <c r="AB1229" s="683"/>
      <c r="AC1229" s="683"/>
      <c r="AD1229" s="683"/>
      <c r="AE1229" s="590"/>
      <c r="AF1229" s="570" t="s">
        <v>2899</v>
      </c>
      <c r="AG1229" s="570"/>
      <c r="AH1229" s="571" t="s">
        <v>25</v>
      </c>
      <c r="AI1229" s="558" t="s">
        <v>917</v>
      </c>
      <c r="AJ1229" s="586" t="s">
        <v>2771</v>
      </c>
    </row>
    <row r="1230" spans="1:36" s="385" customFormat="1" ht="101.25" outlineLevel="2" x14ac:dyDescent="0.3">
      <c r="A1230" s="447">
        <v>98</v>
      </c>
      <c r="B1230" s="558" t="s">
        <v>1572</v>
      </c>
      <c r="C1230" s="558"/>
      <c r="D1230" s="615"/>
      <c r="E1230" s="700"/>
      <c r="F1230" s="586"/>
      <c r="G1230" s="709"/>
      <c r="H1230" s="546"/>
      <c r="I1230" s="563" t="s">
        <v>25</v>
      </c>
      <c r="J1230" s="563" t="s">
        <v>25</v>
      </c>
      <c r="K1230" s="564" t="s">
        <v>25</v>
      </c>
      <c r="L1230" s="564" t="s">
        <v>25</v>
      </c>
      <c r="M1230" s="565" t="s">
        <v>919</v>
      </c>
      <c r="N1230" s="565"/>
      <c r="O1230" s="714">
        <v>18</v>
      </c>
      <c r="P1230" s="564">
        <v>36000</v>
      </c>
      <c r="Q1230" s="564">
        <v>648000</v>
      </c>
      <c r="R1230" s="566"/>
      <c r="S1230" s="589"/>
      <c r="T1230" s="710"/>
      <c r="U1230" s="593"/>
      <c r="V1230" s="564" t="s">
        <v>2899</v>
      </c>
      <c r="W1230" s="564" t="s">
        <v>25</v>
      </c>
      <c r="X1230" s="683"/>
      <c r="Y1230" s="683"/>
      <c r="Z1230" s="683"/>
      <c r="AA1230" s="694"/>
      <c r="AB1230" s="683"/>
      <c r="AC1230" s="683"/>
      <c r="AD1230" s="683"/>
      <c r="AE1230" s="590"/>
      <c r="AF1230" s="570" t="s">
        <v>2899</v>
      </c>
      <c r="AG1230" s="570" t="s">
        <v>25</v>
      </c>
      <c r="AH1230" s="571" t="s">
        <v>25</v>
      </c>
      <c r="AI1230" s="558" t="s">
        <v>2821</v>
      </c>
      <c r="AJ1230" s="605" t="s">
        <v>2448</v>
      </c>
    </row>
    <row r="1231" spans="1:36" s="385" customFormat="1" ht="101.25" outlineLevel="2" x14ac:dyDescent="0.3">
      <c r="A1231" s="447">
        <v>98</v>
      </c>
      <c r="B1231" s="558"/>
      <c r="C1231" s="558"/>
      <c r="D1231" s="615"/>
      <c r="E1231" s="700"/>
      <c r="F1231" s="558"/>
      <c r="G1231" s="709"/>
      <c r="H1231" s="546"/>
      <c r="I1231" s="563" t="s">
        <v>25</v>
      </c>
      <c r="J1231" s="563" t="s">
        <v>25</v>
      </c>
      <c r="K1231" s="564" t="s">
        <v>25</v>
      </c>
      <c r="L1231" s="564" t="s">
        <v>25</v>
      </c>
      <c r="M1231" s="558" t="s">
        <v>921</v>
      </c>
      <c r="N1231" s="558"/>
      <c r="O1231" s="714">
        <v>10</v>
      </c>
      <c r="P1231" s="564">
        <v>120000</v>
      </c>
      <c r="Q1231" s="564">
        <v>1200000</v>
      </c>
      <c r="R1231" s="566"/>
      <c r="S1231" s="589"/>
      <c r="T1231" s="710"/>
      <c r="U1231" s="593"/>
      <c r="V1231" s="564" t="s">
        <v>2899</v>
      </c>
      <c r="W1231" s="564" t="s">
        <v>25</v>
      </c>
      <c r="X1231" s="683"/>
      <c r="Y1231" s="683"/>
      <c r="Z1231" s="683"/>
      <c r="AA1231" s="694"/>
      <c r="AB1231" s="683"/>
      <c r="AC1231" s="683"/>
      <c r="AD1231" s="683"/>
      <c r="AE1231" s="590"/>
      <c r="AF1231" s="570" t="s">
        <v>2899</v>
      </c>
      <c r="AG1231" s="570" t="s">
        <v>25</v>
      </c>
      <c r="AH1231" s="571" t="s">
        <v>25</v>
      </c>
      <c r="AI1231" s="558" t="s">
        <v>922</v>
      </c>
      <c r="AJ1231" s="558" t="s">
        <v>2449</v>
      </c>
    </row>
    <row r="1232" spans="1:36" s="385" customFormat="1" ht="60.75" outlineLevel="2" x14ac:dyDescent="0.3">
      <c r="A1232" s="447">
        <v>98</v>
      </c>
      <c r="B1232" s="572"/>
      <c r="C1232" s="572"/>
      <c r="D1232" s="615"/>
      <c r="E1232" s="700"/>
      <c r="F1232" s="558"/>
      <c r="G1232" s="709"/>
      <c r="H1232" s="546"/>
      <c r="I1232" s="563" t="s">
        <v>25</v>
      </c>
      <c r="J1232" s="563" t="s">
        <v>25</v>
      </c>
      <c r="K1232" s="564" t="s">
        <v>25</v>
      </c>
      <c r="L1232" s="564" t="s">
        <v>25</v>
      </c>
      <c r="M1232" s="586" t="s">
        <v>832</v>
      </c>
      <c r="N1232" s="586"/>
      <c r="O1232" s="714">
        <v>12</v>
      </c>
      <c r="P1232" s="564">
        <v>60000</v>
      </c>
      <c r="Q1232" s="564">
        <v>720000</v>
      </c>
      <c r="R1232" s="566"/>
      <c r="S1232" s="589"/>
      <c r="T1232" s="710"/>
      <c r="U1232" s="593"/>
      <c r="V1232" s="564" t="s">
        <v>2899</v>
      </c>
      <c r="W1232" s="564" t="s">
        <v>25</v>
      </c>
      <c r="X1232" s="683"/>
      <c r="Y1232" s="683"/>
      <c r="Z1232" s="683"/>
      <c r="AA1232" s="694"/>
      <c r="AB1232" s="683"/>
      <c r="AC1232" s="683"/>
      <c r="AD1232" s="683"/>
      <c r="AE1232" s="590"/>
      <c r="AF1232" s="570" t="s">
        <v>2899</v>
      </c>
      <c r="AG1232" s="570" t="s">
        <v>25</v>
      </c>
      <c r="AH1232" s="571" t="s">
        <v>25</v>
      </c>
      <c r="AI1232" s="586" t="s">
        <v>2074</v>
      </c>
      <c r="AJ1232" s="704"/>
    </row>
    <row r="1233" spans="1:36" s="385" customFormat="1" ht="40.5" outlineLevel="2" x14ac:dyDescent="0.3">
      <c r="A1233" s="447">
        <v>98</v>
      </c>
      <c r="B1233" s="572"/>
      <c r="C1233" s="572"/>
      <c r="D1233" s="615"/>
      <c r="E1233" s="700"/>
      <c r="F1233" s="558"/>
      <c r="G1233" s="709"/>
      <c r="H1233" s="546"/>
      <c r="I1233" s="563" t="s">
        <v>25</v>
      </c>
      <c r="J1233" s="563" t="s">
        <v>25</v>
      </c>
      <c r="K1233" s="564" t="s">
        <v>25</v>
      </c>
      <c r="L1233" s="564" t="s">
        <v>25</v>
      </c>
      <c r="M1233" s="586" t="s">
        <v>832</v>
      </c>
      <c r="N1233" s="586"/>
      <c r="O1233" s="714">
        <v>8</v>
      </c>
      <c r="P1233" s="564">
        <v>60000</v>
      </c>
      <c r="Q1233" s="564">
        <v>480000</v>
      </c>
      <c r="R1233" s="586"/>
      <c r="S1233" s="609"/>
      <c r="T1233" s="710"/>
      <c r="U1233" s="593"/>
      <c r="V1233" s="564" t="s">
        <v>2899</v>
      </c>
      <c r="W1233" s="564" t="s">
        <v>25</v>
      </c>
      <c r="X1233" s="683"/>
      <c r="Y1233" s="683"/>
      <c r="Z1233" s="683"/>
      <c r="AA1233" s="694"/>
      <c r="AB1233" s="683"/>
      <c r="AC1233" s="683"/>
      <c r="AD1233" s="683"/>
      <c r="AE1233" s="590"/>
      <c r="AF1233" s="570" t="s">
        <v>2899</v>
      </c>
      <c r="AG1233" s="570" t="s">
        <v>25</v>
      </c>
      <c r="AH1233" s="571" t="s">
        <v>25</v>
      </c>
      <c r="AI1233" s="704"/>
      <c r="AJ1233" s="593"/>
    </row>
    <row r="1234" spans="1:36" s="385" customFormat="1" ht="20.25" outlineLevel="2" x14ac:dyDescent="0.3">
      <c r="A1234" s="447">
        <v>98</v>
      </c>
      <c r="B1234" s="572"/>
      <c r="C1234" s="572"/>
      <c r="D1234" s="612"/>
      <c r="E1234" s="612"/>
      <c r="F1234" s="558"/>
      <c r="G1234" s="709"/>
      <c r="H1234" s="546"/>
      <c r="I1234" s="563" t="s">
        <v>25</v>
      </c>
      <c r="J1234" s="563" t="s">
        <v>25</v>
      </c>
      <c r="K1234" s="564" t="s">
        <v>25</v>
      </c>
      <c r="L1234" s="564" t="s">
        <v>25</v>
      </c>
      <c r="M1234" s="586" t="s">
        <v>72</v>
      </c>
      <c r="N1234" s="586"/>
      <c r="O1234" s="714">
        <v>5</v>
      </c>
      <c r="P1234" s="564">
        <v>132000</v>
      </c>
      <c r="Q1234" s="564">
        <v>660000</v>
      </c>
      <c r="R1234" s="586"/>
      <c r="S1234" s="609"/>
      <c r="T1234" s="710"/>
      <c r="U1234" s="593"/>
      <c r="V1234" s="564" t="s">
        <v>2899</v>
      </c>
      <c r="W1234" s="564" t="s">
        <v>25</v>
      </c>
      <c r="X1234" s="683"/>
      <c r="Y1234" s="683"/>
      <c r="Z1234" s="683"/>
      <c r="AA1234" s="694"/>
      <c r="AB1234" s="683"/>
      <c r="AC1234" s="683"/>
      <c r="AD1234" s="683"/>
      <c r="AE1234" s="590"/>
      <c r="AF1234" s="570" t="s">
        <v>2899</v>
      </c>
      <c r="AG1234" s="570" t="s">
        <v>25</v>
      </c>
      <c r="AH1234" s="571" t="s">
        <v>25</v>
      </c>
      <c r="AI1234" s="704"/>
      <c r="AJ1234" s="586"/>
    </row>
    <row r="1235" spans="1:36" s="385" customFormat="1" ht="20.25" outlineLevel="2" x14ac:dyDescent="0.3">
      <c r="A1235" s="447">
        <v>98</v>
      </c>
      <c r="B1235" s="558"/>
      <c r="C1235" s="558"/>
      <c r="D1235" s="615"/>
      <c r="E1235" s="700"/>
      <c r="F1235" s="586"/>
      <c r="G1235" s="709"/>
      <c r="H1235" s="546"/>
      <c r="I1235" s="563" t="s">
        <v>25</v>
      </c>
      <c r="J1235" s="563" t="s">
        <v>25</v>
      </c>
      <c r="K1235" s="564" t="s">
        <v>25</v>
      </c>
      <c r="L1235" s="564" t="s">
        <v>25</v>
      </c>
      <c r="M1235" s="586" t="s">
        <v>73</v>
      </c>
      <c r="N1235" s="586"/>
      <c r="O1235" s="714">
        <v>10</v>
      </c>
      <c r="P1235" s="564">
        <v>76000</v>
      </c>
      <c r="Q1235" s="564">
        <v>760000</v>
      </c>
      <c r="R1235" s="586"/>
      <c r="S1235" s="609"/>
      <c r="T1235" s="710"/>
      <c r="U1235" s="593"/>
      <c r="V1235" s="564" t="s">
        <v>2899</v>
      </c>
      <c r="W1235" s="564" t="s">
        <v>25</v>
      </c>
      <c r="X1235" s="683"/>
      <c r="Y1235" s="683"/>
      <c r="Z1235" s="683"/>
      <c r="AA1235" s="694"/>
      <c r="AB1235" s="683"/>
      <c r="AC1235" s="683"/>
      <c r="AD1235" s="683"/>
      <c r="AE1235" s="590"/>
      <c r="AF1235" s="570" t="s">
        <v>2899</v>
      </c>
      <c r="AG1235" s="570" t="s">
        <v>25</v>
      </c>
      <c r="AH1235" s="571" t="s">
        <v>25</v>
      </c>
      <c r="AI1235" s="586"/>
      <c r="AJ1235" s="586"/>
    </row>
    <row r="1236" spans="1:36" s="385" customFormat="1" ht="20.25" outlineLevel="2" x14ac:dyDescent="0.3">
      <c r="A1236" s="447">
        <v>98</v>
      </c>
      <c r="B1236" s="558"/>
      <c r="C1236" s="558"/>
      <c r="D1236" s="615"/>
      <c r="E1236" s="700"/>
      <c r="F1236" s="558"/>
      <c r="G1236" s="709"/>
      <c r="H1236" s="546"/>
      <c r="I1236" s="563" t="s">
        <v>25</v>
      </c>
      <c r="J1236" s="563" t="s">
        <v>25</v>
      </c>
      <c r="K1236" s="564" t="s">
        <v>25</v>
      </c>
      <c r="L1236" s="564" t="s">
        <v>25</v>
      </c>
      <c r="M1236" s="586" t="s">
        <v>75</v>
      </c>
      <c r="N1236" s="586"/>
      <c r="O1236" s="714">
        <v>10</v>
      </c>
      <c r="P1236" s="564">
        <v>34000</v>
      </c>
      <c r="Q1236" s="564">
        <v>340000</v>
      </c>
      <c r="R1236" s="586"/>
      <c r="S1236" s="609"/>
      <c r="T1236" s="710"/>
      <c r="U1236" s="593"/>
      <c r="V1236" s="564" t="s">
        <v>2899</v>
      </c>
      <c r="W1236" s="564" t="s">
        <v>25</v>
      </c>
      <c r="X1236" s="683"/>
      <c r="Y1236" s="683"/>
      <c r="Z1236" s="683"/>
      <c r="AA1236" s="694"/>
      <c r="AB1236" s="683"/>
      <c r="AC1236" s="683"/>
      <c r="AD1236" s="683"/>
      <c r="AE1236" s="590"/>
      <c r="AF1236" s="570" t="s">
        <v>2899</v>
      </c>
      <c r="AG1236" s="570" t="s">
        <v>25</v>
      </c>
      <c r="AH1236" s="571" t="s">
        <v>25</v>
      </c>
      <c r="AI1236" s="586"/>
      <c r="AJ1236" s="586"/>
    </row>
    <row r="1237" spans="1:36" s="385" customFormat="1" ht="20.25" outlineLevel="2" x14ac:dyDescent="0.3">
      <c r="A1237" s="447">
        <v>98</v>
      </c>
      <c r="B1237" s="558"/>
      <c r="C1237" s="558"/>
      <c r="D1237" s="615"/>
      <c r="E1237" s="700"/>
      <c r="F1237" s="558"/>
      <c r="G1237" s="709"/>
      <c r="H1237" s="546"/>
      <c r="I1237" s="563" t="s">
        <v>25</v>
      </c>
      <c r="J1237" s="563" t="s">
        <v>25</v>
      </c>
      <c r="K1237" s="564" t="s">
        <v>25</v>
      </c>
      <c r="L1237" s="564" t="s">
        <v>25</v>
      </c>
      <c r="M1237" s="586"/>
      <c r="N1237" s="586"/>
      <c r="O1237" s="714"/>
      <c r="P1237" s="564" t="s">
        <v>25</v>
      </c>
      <c r="Q1237" s="564" t="s">
        <v>25</v>
      </c>
      <c r="R1237" s="586"/>
      <c r="S1237" s="609"/>
      <c r="T1237" s="710"/>
      <c r="U1237" s="593"/>
      <c r="V1237" s="564" t="s">
        <v>2899</v>
      </c>
      <c r="W1237" s="564" t="s">
        <v>25</v>
      </c>
      <c r="X1237" s="683"/>
      <c r="Y1237" s="683"/>
      <c r="Z1237" s="683"/>
      <c r="AA1237" s="694"/>
      <c r="AB1237" s="683"/>
      <c r="AC1237" s="683"/>
      <c r="AD1237" s="683"/>
      <c r="AE1237" s="590"/>
      <c r="AF1237" s="570" t="s">
        <v>2899</v>
      </c>
      <c r="AG1237" s="570" t="s">
        <v>25</v>
      </c>
      <c r="AH1237" s="571" t="s">
        <v>25</v>
      </c>
      <c r="AI1237" s="586"/>
      <c r="AJ1237" s="586"/>
    </row>
    <row r="1238" spans="1:36" s="385" customFormat="1" ht="20.25" outlineLevel="2" x14ac:dyDescent="0.3">
      <c r="A1238" s="447">
        <v>98</v>
      </c>
      <c r="B1238" s="574"/>
      <c r="C1238" s="574"/>
      <c r="D1238" s="705"/>
      <c r="E1238" s="706"/>
      <c r="F1238" s="558"/>
      <c r="G1238" s="709"/>
      <c r="H1238" s="546"/>
      <c r="I1238" s="563" t="s">
        <v>25</v>
      </c>
      <c r="J1238" s="563" t="s">
        <v>25</v>
      </c>
      <c r="K1238" s="564" t="s">
        <v>25</v>
      </c>
      <c r="L1238" s="564" t="s">
        <v>25</v>
      </c>
      <c r="M1238" s="558"/>
      <c r="N1238" s="558"/>
      <c r="O1238" s="714"/>
      <c r="P1238" s="564" t="s">
        <v>25</v>
      </c>
      <c r="Q1238" s="564" t="s">
        <v>25</v>
      </c>
      <c r="R1238" s="566"/>
      <c r="S1238" s="589"/>
      <c r="T1238" s="710"/>
      <c r="U1238" s="593"/>
      <c r="V1238" s="564" t="s">
        <v>2899</v>
      </c>
      <c r="W1238" s="564" t="s">
        <v>25</v>
      </c>
      <c r="X1238" s="683"/>
      <c r="Y1238" s="683"/>
      <c r="Z1238" s="683"/>
      <c r="AA1238" s="694"/>
      <c r="AB1238" s="683"/>
      <c r="AC1238" s="683"/>
      <c r="AD1238" s="683"/>
      <c r="AE1238" s="590"/>
      <c r="AF1238" s="570" t="s">
        <v>2899</v>
      </c>
      <c r="AG1238" s="570" t="s">
        <v>25</v>
      </c>
      <c r="AH1238" s="571" t="s">
        <v>25</v>
      </c>
      <c r="AI1238" s="586"/>
      <c r="AJ1238" s="586"/>
    </row>
    <row r="1239" spans="1:36" s="385" customFormat="1" ht="40.5" outlineLevel="1" x14ac:dyDescent="0.25">
      <c r="A1239" s="467">
        <v>99</v>
      </c>
      <c r="B1239" s="574" t="s">
        <v>923</v>
      </c>
      <c r="C1239" s="586" t="s">
        <v>2903</v>
      </c>
      <c r="D1239" s="615">
        <v>86</v>
      </c>
      <c r="E1239" s="700">
        <v>61</v>
      </c>
      <c r="F1239" s="574"/>
      <c r="G1239" s="707">
        <v>988.3</v>
      </c>
      <c r="H1239" s="579">
        <v>0</v>
      </c>
      <c r="I1239" s="581"/>
      <c r="J1239" s="581"/>
      <c r="K1239" s="571">
        <v>460152000</v>
      </c>
      <c r="L1239" s="571">
        <v>0</v>
      </c>
      <c r="M1239" s="578"/>
      <c r="N1239" s="578"/>
      <c r="O1239" s="712">
        <v>99</v>
      </c>
      <c r="P1239" s="571"/>
      <c r="Q1239" s="571">
        <v>23932000</v>
      </c>
      <c r="R1239" s="582"/>
      <c r="S1239" s="597"/>
      <c r="T1239" s="708">
        <v>0</v>
      </c>
      <c r="U1239" s="608"/>
      <c r="V1239" s="571"/>
      <c r="W1239" s="571">
        <v>0</v>
      </c>
      <c r="X1239" s="683"/>
      <c r="Y1239" s="683"/>
      <c r="Z1239" s="683"/>
      <c r="AA1239" s="694"/>
      <c r="AB1239" s="683"/>
      <c r="AC1239" s="683"/>
      <c r="AD1239" s="650"/>
      <c r="AE1239" s="599">
        <f>SUBTOTAL(9,AE1240:AE1255)</f>
        <v>0</v>
      </c>
      <c r="AF1239" s="585"/>
      <c r="AG1239" s="585">
        <v>0</v>
      </c>
      <c r="AH1239" s="571">
        <v>484084000</v>
      </c>
      <c r="AI1239" s="574"/>
      <c r="AJ1239" s="578"/>
    </row>
    <row r="1240" spans="1:36" s="385" customFormat="1" ht="121.5" outlineLevel="2" x14ac:dyDescent="0.3">
      <c r="A1240" s="447">
        <v>99</v>
      </c>
      <c r="B1240" s="558" t="s">
        <v>925</v>
      </c>
      <c r="C1240" s="558"/>
      <c r="D1240" s="615"/>
      <c r="E1240" s="700"/>
      <c r="F1240" s="558" t="s">
        <v>2870</v>
      </c>
      <c r="G1240" s="709">
        <v>988.3</v>
      </c>
      <c r="H1240" s="546" t="s">
        <v>2899</v>
      </c>
      <c r="I1240" s="563">
        <v>465600</v>
      </c>
      <c r="J1240" s="563">
        <v>0</v>
      </c>
      <c r="K1240" s="564">
        <v>460152000</v>
      </c>
      <c r="L1240" s="564">
        <v>0</v>
      </c>
      <c r="M1240" s="586" t="s">
        <v>400</v>
      </c>
      <c r="N1240" s="586"/>
      <c r="O1240" s="714">
        <v>12</v>
      </c>
      <c r="P1240" s="564">
        <v>228000</v>
      </c>
      <c r="Q1240" s="564">
        <v>2736000</v>
      </c>
      <c r="R1240" s="566"/>
      <c r="S1240" s="589"/>
      <c r="T1240" s="710"/>
      <c r="U1240" s="593"/>
      <c r="V1240" s="564" t="s">
        <v>2899</v>
      </c>
      <c r="W1240" s="564" t="s">
        <v>25</v>
      </c>
      <c r="X1240" s="683"/>
      <c r="Y1240" s="683"/>
      <c r="Z1240" s="683"/>
      <c r="AA1240" s="694"/>
      <c r="AB1240" s="683"/>
      <c r="AC1240" s="683"/>
      <c r="AD1240" s="683"/>
      <c r="AE1240" s="590"/>
      <c r="AF1240" s="570" t="s">
        <v>2899</v>
      </c>
      <c r="AG1240" s="570"/>
      <c r="AH1240" s="571" t="s">
        <v>25</v>
      </c>
      <c r="AI1240" s="558" t="s">
        <v>924</v>
      </c>
      <c r="AJ1240" s="586" t="s">
        <v>2771</v>
      </c>
    </row>
    <row r="1241" spans="1:36" s="385" customFormat="1" ht="101.25" outlineLevel="2" x14ac:dyDescent="0.3">
      <c r="A1241" s="447">
        <v>99</v>
      </c>
      <c r="B1241" s="607" t="s">
        <v>928</v>
      </c>
      <c r="C1241" s="607"/>
      <c r="D1241" s="615"/>
      <c r="E1241" s="700"/>
      <c r="F1241" s="558"/>
      <c r="G1241" s="709"/>
      <c r="H1241" s="546"/>
      <c r="I1241" s="563" t="s">
        <v>25</v>
      </c>
      <c r="J1241" s="563" t="s">
        <v>25</v>
      </c>
      <c r="K1241" s="564" t="s">
        <v>25</v>
      </c>
      <c r="L1241" s="564" t="s">
        <v>25</v>
      </c>
      <c r="M1241" s="586" t="s">
        <v>401</v>
      </c>
      <c r="N1241" s="586"/>
      <c r="O1241" s="714">
        <v>10</v>
      </c>
      <c r="P1241" s="564">
        <v>80000</v>
      </c>
      <c r="Q1241" s="564">
        <v>800000</v>
      </c>
      <c r="R1241" s="566"/>
      <c r="S1241" s="589"/>
      <c r="T1241" s="710"/>
      <c r="U1241" s="593"/>
      <c r="V1241" s="564" t="s">
        <v>2899</v>
      </c>
      <c r="W1241" s="564" t="s">
        <v>25</v>
      </c>
      <c r="X1241" s="683"/>
      <c r="Y1241" s="683"/>
      <c r="Z1241" s="683"/>
      <c r="AA1241" s="694"/>
      <c r="AB1241" s="683"/>
      <c r="AC1241" s="683"/>
      <c r="AD1241" s="683"/>
      <c r="AE1241" s="590"/>
      <c r="AF1241" s="570" t="s">
        <v>2899</v>
      </c>
      <c r="AG1241" s="570" t="s">
        <v>25</v>
      </c>
      <c r="AH1241" s="571" t="s">
        <v>25</v>
      </c>
      <c r="AI1241" s="558" t="s">
        <v>2822</v>
      </c>
      <c r="AJ1241" s="558" t="s">
        <v>2449</v>
      </c>
    </row>
    <row r="1242" spans="1:36" s="385" customFormat="1" ht="40.5" outlineLevel="2" x14ac:dyDescent="0.3">
      <c r="A1242" s="447">
        <v>99</v>
      </c>
      <c r="B1242" s="572" t="s">
        <v>931</v>
      </c>
      <c r="C1242" s="572"/>
      <c r="D1242" s="615"/>
      <c r="E1242" s="700"/>
      <c r="F1242" s="704"/>
      <c r="G1242" s="701"/>
      <c r="H1242" s="546"/>
      <c r="I1242" s="563" t="s">
        <v>25</v>
      </c>
      <c r="J1242" s="563" t="s">
        <v>25</v>
      </c>
      <c r="K1242" s="564" t="s">
        <v>25</v>
      </c>
      <c r="L1242" s="564" t="s">
        <v>25</v>
      </c>
      <c r="M1242" s="586" t="s">
        <v>401</v>
      </c>
      <c r="N1242" s="586"/>
      <c r="O1242" s="714">
        <v>9</v>
      </c>
      <c r="P1242" s="564">
        <v>80000</v>
      </c>
      <c r="Q1242" s="564">
        <v>720000</v>
      </c>
      <c r="R1242" s="566"/>
      <c r="S1242" s="589"/>
      <c r="T1242" s="710"/>
      <c r="U1242" s="593"/>
      <c r="V1242" s="564" t="s">
        <v>2899</v>
      </c>
      <c r="W1242" s="564" t="s">
        <v>25</v>
      </c>
      <c r="X1242" s="683"/>
      <c r="Y1242" s="683"/>
      <c r="Z1242" s="683"/>
      <c r="AA1242" s="694"/>
      <c r="AB1242" s="683"/>
      <c r="AC1242" s="683"/>
      <c r="AD1242" s="683"/>
      <c r="AE1242" s="590"/>
      <c r="AF1242" s="570" t="s">
        <v>2899</v>
      </c>
      <c r="AG1242" s="570" t="s">
        <v>25</v>
      </c>
      <c r="AH1242" s="571" t="s">
        <v>25</v>
      </c>
      <c r="AI1242" s="558" t="s">
        <v>930</v>
      </c>
      <c r="AJ1242" s="704"/>
    </row>
    <row r="1243" spans="1:36" s="385" customFormat="1" ht="121.5" outlineLevel="2" x14ac:dyDescent="0.3">
      <c r="A1243" s="447">
        <v>99</v>
      </c>
      <c r="B1243" s="572" t="s">
        <v>1573</v>
      </c>
      <c r="C1243" s="572"/>
      <c r="D1243" s="615"/>
      <c r="E1243" s="700"/>
      <c r="F1243" s="558"/>
      <c r="G1243" s="709"/>
      <c r="H1243" s="546"/>
      <c r="I1243" s="563" t="s">
        <v>25</v>
      </c>
      <c r="J1243" s="563" t="s">
        <v>25</v>
      </c>
      <c r="K1243" s="564" t="s">
        <v>25</v>
      </c>
      <c r="L1243" s="564" t="s">
        <v>25</v>
      </c>
      <c r="M1243" s="558" t="s">
        <v>401</v>
      </c>
      <c r="N1243" s="558"/>
      <c r="O1243" s="714">
        <v>10</v>
      </c>
      <c r="P1243" s="564">
        <v>80000</v>
      </c>
      <c r="Q1243" s="564">
        <v>800000</v>
      </c>
      <c r="R1243" s="586"/>
      <c r="S1243" s="609"/>
      <c r="T1243" s="710"/>
      <c r="U1243" s="593"/>
      <c r="V1243" s="564" t="s">
        <v>2899</v>
      </c>
      <c r="W1243" s="564" t="s">
        <v>25</v>
      </c>
      <c r="X1243" s="683"/>
      <c r="Y1243" s="683"/>
      <c r="Z1243" s="683"/>
      <c r="AA1243" s="694"/>
      <c r="AB1243" s="683"/>
      <c r="AC1243" s="683"/>
      <c r="AD1243" s="683"/>
      <c r="AE1243" s="590"/>
      <c r="AF1243" s="570" t="s">
        <v>2899</v>
      </c>
      <c r="AG1243" s="570" t="s">
        <v>25</v>
      </c>
      <c r="AH1243" s="571" t="s">
        <v>25</v>
      </c>
      <c r="AI1243" s="558" t="s">
        <v>2778</v>
      </c>
      <c r="AJ1243" s="566"/>
    </row>
    <row r="1244" spans="1:36" s="385" customFormat="1" ht="40.5" outlineLevel="2" x14ac:dyDescent="0.3">
      <c r="A1244" s="447">
        <v>99</v>
      </c>
      <c r="B1244" s="572"/>
      <c r="C1244" s="572"/>
      <c r="D1244" s="612"/>
      <c r="E1244" s="612"/>
      <c r="F1244" s="558"/>
      <c r="G1244" s="709"/>
      <c r="H1244" s="546"/>
      <c r="I1244" s="563" t="s">
        <v>25</v>
      </c>
      <c r="J1244" s="563" t="s">
        <v>25</v>
      </c>
      <c r="K1244" s="564" t="s">
        <v>25</v>
      </c>
      <c r="L1244" s="564" t="s">
        <v>25</v>
      </c>
      <c r="M1244" s="558" t="s">
        <v>932</v>
      </c>
      <c r="N1244" s="558"/>
      <c r="O1244" s="714">
        <v>1</v>
      </c>
      <c r="P1244" s="564">
        <v>84000</v>
      </c>
      <c r="Q1244" s="564">
        <v>84000</v>
      </c>
      <c r="R1244" s="586"/>
      <c r="S1244" s="609"/>
      <c r="T1244" s="710"/>
      <c r="U1244" s="593"/>
      <c r="V1244" s="564" t="s">
        <v>2899</v>
      </c>
      <c r="W1244" s="564" t="s">
        <v>25</v>
      </c>
      <c r="X1244" s="683"/>
      <c r="Y1244" s="683"/>
      <c r="Z1244" s="683"/>
      <c r="AA1244" s="694"/>
      <c r="AB1244" s="683"/>
      <c r="AC1244" s="683"/>
      <c r="AD1244" s="683"/>
      <c r="AE1244" s="590"/>
      <c r="AF1244" s="570" t="s">
        <v>2899</v>
      </c>
      <c r="AG1244" s="570" t="s">
        <v>25</v>
      </c>
      <c r="AH1244" s="571" t="s">
        <v>25</v>
      </c>
      <c r="AI1244" s="704"/>
      <c r="AJ1244" s="593"/>
    </row>
    <row r="1245" spans="1:36" s="385" customFormat="1" ht="40.5" outlineLevel="2" x14ac:dyDescent="0.3">
      <c r="A1245" s="447">
        <v>99</v>
      </c>
      <c r="B1245" s="558"/>
      <c r="C1245" s="558"/>
      <c r="D1245" s="615"/>
      <c r="E1245" s="700"/>
      <c r="F1245" s="586"/>
      <c r="G1245" s="709"/>
      <c r="H1245" s="546"/>
      <c r="I1245" s="563" t="s">
        <v>25</v>
      </c>
      <c r="J1245" s="563" t="s">
        <v>25</v>
      </c>
      <c r="K1245" s="564" t="s">
        <v>25</v>
      </c>
      <c r="L1245" s="564" t="s">
        <v>25</v>
      </c>
      <c r="M1245" s="558" t="s">
        <v>350</v>
      </c>
      <c r="N1245" s="558"/>
      <c r="O1245" s="714">
        <v>6</v>
      </c>
      <c r="P1245" s="564">
        <v>72000</v>
      </c>
      <c r="Q1245" s="564">
        <v>432000</v>
      </c>
      <c r="R1245" s="586"/>
      <c r="S1245" s="609"/>
      <c r="T1245" s="710"/>
      <c r="U1245" s="593"/>
      <c r="V1245" s="564" t="s">
        <v>2899</v>
      </c>
      <c r="W1245" s="564" t="s">
        <v>25</v>
      </c>
      <c r="X1245" s="683"/>
      <c r="Y1245" s="683"/>
      <c r="Z1245" s="683"/>
      <c r="AA1245" s="694"/>
      <c r="AB1245" s="683"/>
      <c r="AC1245" s="683"/>
      <c r="AD1245" s="683"/>
      <c r="AE1245" s="590"/>
      <c r="AF1245" s="570" t="s">
        <v>2899</v>
      </c>
      <c r="AG1245" s="570" t="s">
        <v>25</v>
      </c>
      <c r="AH1245" s="571" t="s">
        <v>25</v>
      </c>
      <c r="AI1245" s="704"/>
      <c r="AJ1245" s="593"/>
    </row>
    <row r="1246" spans="1:36" s="385" customFormat="1" ht="40.5" outlineLevel="2" x14ac:dyDescent="0.3">
      <c r="A1246" s="447">
        <v>99</v>
      </c>
      <c r="B1246" s="558"/>
      <c r="C1246" s="558"/>
      <c r="D1246" s="615"/>
      <c r="E1246" s="700"/>
      <c r="F1246" s="558"/>
      <c r="G1246" s="709"/>
      <c r="H1246" s="546"/>
      <c r="I1246" s="563" t="s">
        <v>25</v>
      </c>
      <c r="J1246" s="563" t="s">
        <v>25</v>
      </c>
      <c r="K1246" s="564" t="s">
        <v>25</v>
      </c>
      <c r="L1246" s="564" t="s">
        <v>25</v>
      </c>
      <c r="M1246" s="586" t="s">
        <v>933</v>
      </c>
      <c r="N1246" s="586"/>
      <c r="O1246" s="714">
        <v>15</v>
      </c>
      <c r="P1246" s="564">
        <v>360000</v>
      </c>
      <c r="Q1246" s="564">
        <v>5400000</v>
      </c>
      <c r="R1246" s="586"/>
      <c r="S1246" s="609"/>
      <c r="T1246" s="710"/>
      <c r="U1246" s="593"/>
      <c r="V1246" s="564" t="s">
        <v>2899</v>
      </c>
      <c r="W1246" s="564" t="s">
        <v>25</v>
      </c>
      <c r="X1246" s="683"/>
      <c r="Y1246" s="683"/>
      <c r="Z1246" s="683"/>
      <c r="AA1246" s="694"/>
      <c r="AB1246" s="683"/>
      <c r="AC1246" s="683"/>
      <c r="AD1246" s="683"/>
      <c r="AE1246" s="590"/>
      <c r="AF1246" s="570" t="s">
        <v>2899</v>
      </c>
      <c r="AG1246" s="570" t="s">
        <v>25</v>
      </c>
      <c r="AH1246" s="571" t="s">
        <v>25</v>
      </c>
      <c r="AI1246" s="593"/>
      <c r="AJ1246" s="593"/>
    </row>
    <row r="1247" spans="1:36" s="385" customFormat="1" ht="40.5" outlineLevel="2" x14ac:dyDescent="0.3">
      <c r="A1247" s="447">
        <v>99</v>
      </c>
      <c r="B1247" s="558"/>
      <c r="C1247" s="558"/>
      <c r="D1247" s="615"/>
      <c r="E1247" s="700"/>
      <c r="F1247" s="558"/>
      <c r="G1247" s="709"/>
      <c r="H1247" s="546"/>
      <c r="I1247" s="563" t="s">
        <v>25</v>
      </c>
      <c r="J1247" s="563" t="s">
        <v>25</v>
      </c>
      <c r="K1247" s="564" t="s">
        <v>25</v>
      </c>
      <c r="L1247" s="564" t="s">
        <v>25</v>
      </c>
      <c r="M1247" s="586" t="s">
        <v>933</v>
      </c>
      <c r="N1247" s="586"/>
      <c r="O1247" s="714">
        <v>11</v>
      </c>
      <c r="P1247" s="564">
        <v>360000</v>
      </c>
      <c r="Q1247" s="564">
        <v>3960000</v>
      </c>
      <c r="R1247" s="566"/>
      <c r="S1247" s="589"/>
      <c r="T1247" s="710"/>
      <c r="U1247" s="593"/>
      <c r="V1247" s="564" t="s">
        <v>2899</v>
      </c>
      <c r="W1247" s="564" t="s">
        <v>25</v>
      </c>
      <c r="X1247" s="683"/>
      <c r="Y1247" s="683"/>
      <c r="Z1247" s="683"/>
      <c r="AA1247" s="694"/>
      <c r="AB1247" s="683"/>
      <c r="AC1247" s="683"/>
      <c r="AD1247" s="683"/>
      <c r="AE1247" s="590"/>
      <c r="AF1247" s="570" t="s">
        <v>2899</v>
      </c>
      <c r="AG1247" s="570" t="s">
        <v>25</v>
      </c>
      <c r="AH1247" s="571" t="s">
        <v>25</v>
      </c>
      <c r="AI1247" s="593"/>
      <c r="AJ1247" s="593"/>
    </row>
    <row r="1248" spans="1:36" s="385" customFormat="1" ht="40.5" outlineLevel="2" x14ac:dyDescent="0.3">
      <c r="A1248" s="447">
        <v>99</v>
      </c>
      <c r="B1248" s="572"/>
      <c r="C1248" s="572"/>
      <c r="D1248" s="615"/>
      <c r="E1248" s="700"/>
      <c r="F1248" s="558"/>
      <c r="G1248" s="709"/>
      <c r="H1248" s="546"/>
      <c r="I1248" s="563" t="s">
        <v>25</v>
      </c>
      <c r="J1248" s="563" t="s">
        <v>25</v>
      </c>
      <c r="K1248" s="564" t="s">
        <v>25</v>
      </c>
      <c r="L1248" s="564" t="s">
        <v>25</v>
      </c>
      <c r="M1248" s="586" t="s">
        <v>933</v>
      </c>
      <c r="N1248" s="586"/>
      <c r="O1248" s="714">
        <v>10</v>
      </c>
      <c r="P1248" s="564">
        <v>360000</v>
      </c>
      <c r="Q1248" s="564">
        <v>3600000</v>
      </c>
      <c r="R1248" s="566"/>
      <c r="S1248" s="589"/>
      <c r="T1248" s="710"/>
      <c r="U1248" s="593"/>
      <c r="V1248" s="564" t="s">
        <v>2899</v>
      </c>
      <c r="W1248" s="564" t="s">
        <v>25</v>
      </c>
      <c r="X1248" s="683"/>
      <c r="Y1248" s="683"/>
      <c r="Z1248" s="683"/>
      <c r="AA1248" s="694"/>
      <c r="AB1248" s="683"/>
      <c r="AC1248" s="683"/>
      <c r="AD1248" s="683"/>
      <c r="AE1248" s="590"/>
      <c r="AF1248" s="570" t="s">
        <v>2899</v>
      </c>
      <c r="AG1248" s="570" t="s">
        <v>25</v>
      </c>
      <c r="AH1248" s="571" t="s">
        <v>25</v>
      </c>
      <c r="AI1248" s="593"/>
      <c r="AJ1248" s="593"/>
    </row>
    <row r="1249" spans="1:36" s="385" customFormat="1" ht="40.5" outlineLevel="2" x14ac:dyDescent="0.3">
      <c r="A1249" s="447">
        <v>99</v>
      </c>
      <c r="B1249" s="572"/>
      <c r="C1249" s="572"/>
      <c r="D1249" s="615"/>
      <c r="E1249" s="700"/>
      <c r="F1249" s="558"/>
      <c r="G1249" s="709"/>
      <c r="H1249" s="546"/>
      <c r="I1249" s="563" t="s">
        <v>25</v>
      </c>
      <c r="J1249" s="563" t="s">
        <v>25</v>
      </c>
      <c r="K1249" s="564" t="s">
        <v>25</v>
      </c>
      <c r="L1249" s="564" t="s">
        <v>25</v>
      </c>
      <c r="M1249" s="586" t="s">
        <v>933</v>
      </c>
      <c r="N1249" s="586"/>
      <c r="O1249" s="714">
        <v>15</v>
      </c>
      <c r="P1249" s="564">
        <v>360000</v>
      </c>
      <c r="Q1249" s="564">
        <v>5400000</v>
      </c>
      <c r="R1249" s="586"/>
      <c r="S1249" s="609"/>
      <c r="T1249" s="710"/>
      <c r="U1249" s="593"/>
      <c r="V1249" s="564" t="s">
        <v>2899</v>
      </c>
      <c r="W1249" s="564" t="s">
        <v>25</v>
      </c>
      <c r="X1249" s="683"/>
      <c r="Y1249" s="683"/>
      <c r="Z1249" s="683"/>
      <c r="AA1249" s="694"/>
      <c r="AB1249" s="683"/>
      <c r="AC1249" s="683"/>
      <c r="AD1249" s="683"/>
      <c r="AE1249" s="590"/>
      <c r="AF1249" s="570" t="s">
        <v>2899</v>
      </c>
      <c r="AG1249" s="570" t="s">
        <v>25</v>
      </c>
      <c r="AH1249" s="571" t="s">
        <v>25</v>
      </c>
      <c r="AI1249" s="593"/>
      <c r="AJ1249" s="593"/>
    </row>
    <row r="1250" spans="1:36" s="385" customFormat="1" ht="20.25" outlineLevel="2" x14ac:dyDescent="0.3">
      <c r="A1250" s="447">
        <v>99</v>
      </c>
      <c r="B1250" s="558"/>
      <c r="C1250" s="558"/>
      <c r="D1250" s="615"/>
      <c r="E1250" s="700"/>
      <c r="F1250" s="558"/>
      <c r="G1250" s="709"/>
      <c r="H1250" s="546"/>
      <c r="I1250" s="563" t="s">
        <v>25</v>
      </c>
      <c r="J1250" s="563" t="s">
        <v>25</v>
      </c>
      <c r="K1250" s="564" t="s">
        <v>25</v>
      </c>
      <c r="L1250" s="564" t="s">
        <v>25</v>
      </c>
      <c r="M1250" s="586"/>
      <c r="N1250" s="586"/>
      <c r="O1250" s="714"/>
      <c r="P1250" s="564" t="s">
        <v>25</v>
      </c>
      <c r="Q1250" s="564" t="s">
        <v>25</v>
      </c>
      <c r="R1250" s="586"/>
      <c r="S1250" s="609"/>
      <c r="T1250" s="710"/>
      <c r="U1250" s="593"/>
      <c r="V1250" s="564" t="s">
        <v>2899</v>
      </c>
      <c r="W1250" s="564" t="s">
        <v>25</v>
      </c>
      <c r="X1250" s="683"/>
      <c r="Y1250" s="683"/>
      <c r="Z1250" s="683"/>
      <c r="AA1250" s="694"/>
      <c r="AB1250" s="683"/>
      <c r="AC1250" s="683"/>
      <c r="AD1250" s="683"/>
      <c r="AE1250" s="590"/>
      <c r="AF1250" s="570" t="s">
        <v>2899</v>
      </c>
      <c r="AG1250" s="570" t="s">
        <v>25</v>
      </c>
      <c r="AH1250" s="571" t="s">
        <v>25</v>
      </c>
      <c r="AI1250" s="593"/>
      <c r="AJ1250" s="593"/>
    </row>
    <row r="1251" spans="1:36" s="385" customFormat="1" ht="20.25" outlineLevel="2" x14ac:dyDescent="0.3">
      <c r="A1251" s="447">
        <v>99</v>
      </c>
      <c r="B1251" s="558"/>
      <c r="C1251" s="558"/>
      <c r="D1251" s="615"/>
      <c r="E1251" s="700"/>
      <c r="F1251" s="558"/>
      <c r="G1251" s="709"/>
      <c r="H1251" s="546"/>
      <c r="I1251" s="563" t="s">
        <v>25</v>
      </c>
      <c r="J1251" s="563" t="s">
        <v>25</v>
      </c>
      <c r="K1251" s="564" t="s">
        <v>25</v>
      </c>
      <c r="L1251" s="564" t="s">
        <v>25</v>
      </c>
      <c r="M1251" s="558"/>
      <c r="N1251" s="558"/>
      <c r="O1251" s="714"/>
      <c r="P1251" s="564" t="s">
        <v>25</v>
      </c>
      <c r="Q1251" s="564" t="s">
        <v>25</v>
      </c>
      <c r="R1251" s="566"/>
      <c r="S1251" s="589"/>
      <c r="T1251" s="710"/>
      <c r="U1251" s="593"/>
      <c r="V1251" s="564" t="s">
        <v>2899</v>
      </c>
      <c r="W1251" s="564" t="s">
        <v>25</v>
      </c>
      <c r="X1251" s="683"/>
      <c r="Y1251" s="683"/>
      <c r="Z1251" s="683"/>
      <c r="AA1251" s="694"/>
      <c r="AB1251" s="683"/>
      <c r="AC1251" s="683"/>
      <c r="AD1251" s="683"/>
      <c r="AE1251" s="590"/>
      <c r="AF1251" s="570" t="s">
        <v>2899</v>
      </c>
      <c r="AG1251" s="570" t="s">
        <v>25</v>
      </c>
      <c r="AH1251" s="571" t="s">
        <v>25</v>
      </c>
      <c r="AI1251" s="593"/>
      <c r="AJ1251" s="593"/>
    </row>
    <row r="1252" spans="1:36" s="385" customFormat="1" ht="20.25" outlineLevel="2" x14ac:dyDescent="0.3">
      <c r="A1252" s="447">
        <v>99</v>
      </c>
      <c r="B1252" s="558"/>
      <c r="C1252" s="558"/>
      <c r="D1252" s="615"/>
      <c r="E1252" s="700"/>
      <c r="F1252" s="558"/>
      <c r="G1252" s="709"/>
      <c r="H1252" s="546"/>
      <c r="I1252" s="563" t="s">
        <v>25</v>
      </c>
      <c r="J1252" s="563" t="s">
        <v>25</v>
      </c>
      <c r="K1252" s="564" t="s">
        <v>25</v>
      </c>
      <c r="L1252" s="564" t="s">
        <v>25</v>
      </c>
      <c r="M1252" s="558"/>
      <c r="N1252" s="558"/>
      <c r="O1252" s="714"/>
      <c r="P1252" s="564"/>
      <c r="Q1252" s="564"/>
      <c r="R1252" s="566"/>
      <c r="S1252" s="589"/>
      <c r="T1252" s="710"/>
      <c r="U1252" s="593"/>
      <c r="V1252" s="564" t="s">
        <v>2899</v>
      </c>
      <c r="W1252" s="564" t="s">
        <v>25</v>
      </c>
      <c r="X1252" s="683"/>
      <c r="Y1252" s="683"/>
      <c r="Z1252" s="683"/>
      <c r="AA1252" s="694"/>
      <c r="AB1252" s="683"/>
      <c r="AC1252" s="683"/>
      <c r="AD1252" s="683"/>
      <c r="AE1252" s="590"/>
      <c r="AF1252" s="570" t="s">
        <v>2899</v>
      </c>
      <c r="AG1252" s="570"/>
      <c r="AH1252" s="571" t="s">
        <v>25</v>
      </c>
      <c r="AI1252" s="593"/>
      <c r="AJ1252" s="593"/>
    </row>
    <row r="1253" spans="1:36" s="385" customFormat="1" ht="20.25" outlineLevel="2" x14ac:dyDescent="0.3">
      <c r="A1253" s="447">
        <v>99</v>
      </c>
      <c r="B1253" s="558"/>
      <c r="C1253" s="558"/>
      <c r="D1253" s="615"/>
      <c r="E1253" s="700"/>
      <c r="F1253" s="558"/>
      <c r="G1253" s="709"/>
      <c r="H1253" s="546"/>
      <c r="I1253" s="563" t="s">
        <v>25</v>
      </c>
      <c r="J1253" s="563" t="s">
        <v>25</v>
      </c>
      <c r="K1253" s="564" t="s">
        <v>25</v>
      </c>
      <c r="L1253" s="564" t="s">
        <v>25</v>
      </c>
      <c r="M1253" s="558"/>
      <c r="N1253" s="558"/>
      <c r="O1253" s="714"/>
      <c r="P1253" s="564"/>
      <c r="Q1253" s="564"/>
      <c r="R1253" s="566"/>
      <c r="S1253" s="589"/>
      <c r="T1253" s="710"/>
      <c r="U1253" s="593"/>
      <c r="V1253" s="564" t="s">
        <v>2899</v>
      </c>
      <c r="W1253" s="564" t="s">
        <v>25</v>
      </c>
      <c r="X1253" s="683"/>
      <c r="Y1253" s="683"/>
      <c r="Z1253" s="683"/>
      <c r="AA1253" s="694"/>
      <c r="AB1253" s="683"/>
      <c r="AC1253" s="683"/>
      <c r="AD1253" s="683"/>
      <c r="AE1253" s="590"/>
      <c r="AF1253" s="570" t="s">
        <v>2899</v>
      </c>
      <c r="AG1253" s="570"/>
      <c r="AH1253" s="571" t="s">
        <v>25</v>
      </c>
      <c r="AI1253" s="593"/>
      <c r="AJ1253" s="593"/>
    </row>
    <row r="1254" spans="1:36" s="385" customFormat="1" ht="20.25" outlineLevel="2" x14ac:dyDescent="0.3">
      <c r="A1254" s="447">
        <v>99</v>
      </c>
      <c r="B1254" s="558"/>
      <c r="C1254" s="558"/>
      <c r="D1254" s="615"/>
      <c r="E1254" s="700"/>
      <c r="F1254" s="558"/>
      <c r="G1254" s="709"/>
      <c r="H1254" s="546"/>
      <c r="I1254" s="563" t="s">
        <v>25</v>
      </c>
      <c r="J1254" s="563" t="s">
        <v>25</v>
      </c>
      <c r="K1254" s="564" t="s">
        <v>25</v>
      </c>
      <c r="L1254" s="564" t="s">
        <v>25</v>
      </c>
      <c r="M1254" s="558"/>
      <c r="N1254" s="558"/>
      <c r="O1254" s="714"/>
      <c r="P1254" s="564"/>
      <c r="Q1254" s="564"/>
      <c r="R1254" s="566"/>
      <c r="S1254" s="589"/>
      <c r="T1254" s="710"/>
      <c r="U1254" s="593"/>
      <c r="V1254" s="564" t="s">
        <v>2899</v>
      </c>
      <c r="W1254" s="564" t="s">
        <v>25</v>
      </c>
      <c r="X1254" s="683"/>
      <c r="Y1254" s="683"/>
      <c r="Z1254" s="683"/>
      <c r="AA1254" s="694"/>
      <c r="AB1254" s="683"/>
      <c r="AC1254" s="683"/>
      <c r="AD1254" s="683"/>
      <c r="AE1254" s="590"/>
      <c r="AF1254" s="570" t="s">
        <v>2899</v>
      </c>
      <c r="AG1254" s="570"/>
      <c r="AH1254" s="571" t="s">
        <v>25</v>
      </c>
      <c r="AI1254" s="593"/>
      <c r="AJ1254" s="593"/>
    </row>
    <row r="1255" spans="1:36" s="385" customFormat="1" ht="20.25" outlineLevel="2" x14ac:dyDescent="0.3">
      <c r="A1255" s="447">
        <v>99</v>
      </c>
      <c r="B1255" s="574"/>
      <c r="C1255" s="574"/>
      <c r="D1255" s="705"/>
      <c r="E1255" s="706"/>
      <c r="F1255" s="558"/>
      <c r="G1255" s="709"/>
      <c r="H1255" s="546"/>
      <c r="I1255" s="563" t="s">
        <v>25</v>
      </c>
      <c r="J1255" s="563" t="s">
        <v>25</v>
      </c>
      <c r="K1255" s="564" t="s">
        <v>25</v>
      </c>
      <c r="L1255" s="564" t="s">
        <v>25</v>
      </c>
      <c r="M1255" s="558"/>
      <c r="N1255" s="558"/>
      <c r="O1255" s="714"/>
      <c r="P1255" s="564"/>
      <c r="Q1255" s="564"/>
      <c r="R1255" s="566"/>
      <c r="S1255" s="589"/>
      <c r="T1255" s="710"/>
      <c r="U1255" s="593"/>
      <c r="V1255" s="564" t="s">
        <v>2899</v>
      </c>
      <c r="W1255" s="564" t="s">
        <v>25</v>
      </c>
      <c r="X1255" s="683"/>
      <c r="Y1255" s="683"/>
      <c r="Z1255" s="683"/>
      <c r="AA1255" s="694"/>
      <c r="AB1255" s="683"/>
      <c r="AC1255" s="683"/>
      <c r="AD1255" s="683"/>
      <c r="AE1255" s="590"/>
      <c r="AF1255" s="570" t="s">
        <v>2899</v>
      </c>
      <c r="AG1255" s="570"/>
      <c r="AH1255" s="571" t="s">
        <v>25</v>
      </c>
      <c r="AI1255" s="593"/>
      <c r="AJ1255" s="593"/>
    </row>
    <row r="1256" spans="1:36" s="402" customFormat="1" ht="40.5" outlineLevel="1" x14ac:dyDescent="0.25">
      <c r="A1256" s="467">
        <v>100</v>
      </c>
      <c r="B1256" s="574" t="s">
        <v>959</v>
      </c>
      <c r="C1256" s="586" t="s">
        <v>2903</v>
      </c>
      <c r="D1256" s="615">
        <v>86</v>
      </c>
      <c r="E1256" s="700">
        <v>233</v>
      </c>
      <c r="F1256" s="574"/>
      <c r="G1256" s="707">
        <v>171.8</v>
      </c>
      <c r="H1256" s="579">
        <v>0</v>
      </c>
      <c r="I1256" s="581"/>
      <c r="J1256" s="581"/>
      <c r="K1256" s="571">
        <v>95246000</v>
      </c>
      <c r="L1256" s="571">
        <v>0</v>
      </c>
      <c r="M1256" s="574"/>
      <c r="N1256" s="574"/>
      <c r="O1256" s="712">
        <v>0</v>
      </c>
      <c r="P1256" s="571"/>
      <c r="Q1256" s="571">
        <v>0</v>
      </c>
      <c r="R1256" s="582"/>
      <c r="S1256" s="597"/>
      <c r="T1256" s="708">
        <v>0</v>
      </c>
      <c r="U1256" s="608"/>
      <c r="V1256" s="571"/>
      <c r="W1256" s="571">
        <v>0</v>
      </c>
      <c r="X1256" s="650"/>
      <c r="Y1256" s="650"/>
      <c r="Z1256" s="650"/>
      <c r="AA1256" s="695"/>
      <c r="AB1256" s="650"/>
      <c r="AC1256" s="650"/>
      <c r="AD1256" s="650"/>
      <c r="AE1256" s="599">
        <f>SUBTOTAL(9,AE1257:AE1265)</f>
        <v>0</v>
      </c>
      <c r="AF1256" s="585"/>
      <c r="AG1256" s="585">
        <v>0</v>
      </c>
      <c r="AH1256" s="571">
        <v>95246000</v>
      </c>
      <c r="AI1256" s="574"/>
      <c r="AJ1256" s="578"/>
    </row>
    <row r="1257" spans="1:36" s="402" customFormat="1" ht="222.75" outlineLevel="2" x14ac:dyDescent="0.3">
      <c r="A1257" s="447">
        <v>100</v>
      </c>
      <c r="B1257" s="558" t="s">
        <v>961</v>
      </c>
      <c r="C1257" s="558"/>
      <c r="D1257" s="615"/>
      <c r="E1257" s="700"/>
      <c r="F1257" s="558" t="s">
        <v>2880</v>
      </c>
      <c r="G1257" s="709">
        <v>171.8</v>
      </c>
      <c r="H1257" s="546" t="s">
        <v>2899</v>
      </c>
      <c r="I1257" s="563">
        <v>554400</v>
      </c>
      <c r="J1257" s="563">
        <v>0</v>
      </c>
      <c r="K1257" s="564">
        <v>95246000</v>
      </c>
      <c r="L1257" s="564">
        <v>0</v>
      </c>
      <c r="M1257" s="574"/>
      <c r="N1257" s="574"/>
      <c r="O1257" s="712"/>
      <c r="P1257" s="571"/>
      <c r="Q1257" s="571"/>
      <c r="R1257" s="582"/>
      <c r="S1257" s="597"/>
      <c r="T1257" s="708"/>
      <c r="U1257" s="608"/>
      <c r="V1257" s="564" t="s">
        <v>2899</v>
      </c>
      <c r="W1257" s="564" t="s">
        <v>25</v>
      </c>
      <c r="X1257" s="650"/>
      <c r="Y1257" s="650"/>
      <c r="Z1257" s="650"/>
      <c r="AA1257" s="695"/>
      <c r="AB1257" s="650"/>
      <c r="AC1257" s="650"/>
      <c r="AD1257" s="650"/>
      <c r="AE1257" s="599"/>
      <c r="AF1257" s="570" t="s">
        <v>2899</v>
      </c>
      <c r="AG1257" s="585"/>
      <c r="AH1257" s="571" t="s">
        <v>25</v>
      </c>
      <c r="AI1257" s="558" t="s">
        <v>2779</v>
      </c>
      <c r="AJ1257" s="586" t="s">
        <v>2771</v>
      </c>
    </row>
    <row r="1258" spans="1:36" s="385" customFormat="1" ht="81" outlineLevel="2" x14ac:dyDescent="0.3">
      <c r="A1258" s="447">
        <v>100</v>
      </c>
      <c r="B1258" s="558" t="s">
        <v>1657</v>
      </c>
      <c r="C1258" s="558"/>
      <c r="D1258" s="615"/>
      <c r="E1258" s="700"/>
      <c r="F1258" s="558"/>
      <c r="G1258" s="709"/>
      <c r="H1258" s="546"/>
      <c r="I1258" s="563" t="s">
        <v>25</v>
      </c>
      <c r="J1258" s="563" t="s">
        <v>25</v>
      </c>
      <c r="K1258" s="564" t="s">
        <v>25</v>
      </c>
      <c r="L1258" s="564" t="s">
        <v>25</v>
      </c>
      <c r="M1258" s="558"/>
      <c r="N1258" s="558"/>
      <c r="O1258" s="714"/>
      <c r="P1258" s="564"/>
      <c r="Q1258" s="564"/>
      <c r="R1258" s="566"/>
      <c r="S1258" s="589"/>
      <c r="T1258" s="710"/>
      <c r="U1258" s="593"/>
      <c r="V1258" s="564" t="s">
        <v>2899</v>
      </c>
      <c r="W1258" s="564" t="s">
        <v>25</v>
      </c>
      <c r="X1258" s="683"/>
      <c r="Y1258" s="683"/>
      <c r="Z1258" s="683"/>
      <c r="AA1258" s="694"/>
      <c r="AB1258" s="683"/>
      <c r="AC1258" s="683"/>
      <c r="AD1258" s="683"/>
      <c r="AE1258" s="590"/>
      <c r="AF1258" s="570" t="s">
        <v>2899</v>
      </c>
      <c r="AG1258" s="570"/>
      <c r="AH1258" s="571" t="s">
        <v>25</v>
      </c>
      <c r="AI1258" s="558"/>
      <c r="AJ1258" s="593"/>
    </row>
    <row r="1259" spans="1:36" s="385" customFormat="1" ht="20.25" outlineLevel="2" x14ac:dyDescent="0.3">
      <c r="A1259" s="447">
        <v>100</v>
      </c>
      <c r="B1259" s="558"/>
      <c r="C1259" s="558"/>
      <c r="D1259" s="615"/>
      <c r="E1259" s="700"/>
      <c r="F1259" s="558"/>
      <c r="G1259" s="709"/>
      <c r="H1259" s="546"/>
      <c r="I1259" s="563" t="s">
        <v>25</v>
      </c>
      <c r="J1259" s="563" t="s">
        <v>25</v>
      </c>
      <c r="K1259" s="564" t="s">
        <v>25</v>
      </c>
      <c r="L1259" s="564" t="s">
        <v>25</v>
      </c>
      <c r="M1259" s="558"/>
      <c r="N1259" s="558"/>
      <c r="O1259" s="714"/>
      <c r="P1259" s="564"/>
      <c r="Q1259" s="564"/>
      <c r="R1259" s="566"/>
      <c r="S1259" s="589"/>
      <c r="T1259" s="710"/>
      <c r="U1259" s="593"/>
      <c r="V1259" s="564" t="s">
        <v>2899</v>
      </c>
      <c r="W1259" s="564" t="s">
        <v>25</v>
      </c>
      <c r="X1259" s="683"/>
      <c r="Y1259" s="683"/>
      <c r="Z1259" s="683"/>
      <c r="AA1259" s="694"/>
      <c r="AB1259" s="683"/>
      <c r="AC1259" s="683"/>
      <c r="AD1259" s="683"/>
      <c r="AE1259" s="590"/>
      <c r="AF1259" s="570" t="s">
        <v>2899</v>
      </c>
      <c r="AG1259" s="570"/>
      <c r="AH1259" s="571" t="s">
        <v>25</v>
      </c>
      <c r="AI1259" s="558"/>
      <c r="AJ1259" s="593"/>
    </row>
    <row r="1260" spans="1:36" s="385" customFormat="1" ht="20.25" outlineLevel="2" x14ac:dyDescent="0.3">
      <c r="A1260" s="447">
        <v>100</v>
      </c>
      <c r="B1260" s="558"/>
      <c r="C1260" s="558"/>
      <c r="D1260" s="615"/>
      <c r="E1260" s="700"/>
      <c r="F1260" s="558"/>
      <c r="G1260" s="709"/>
      <c r="H1260" s="546"/>
      <c r="I1260" s="563" t="s">
        <v>25</v>
      </c>
      <c r="J1260" s="563" t="s">
        <v>25</v>
      </c>
      <c r="K1260" s="564" t="s">
        <v>25</v>
      </c>
      <c r="L1260" s="564" t="s">
        <v>25</v>
      </c>
      <c r="M1260" s="558"/>
      <c r="N1260" s="558"/>
      <c r="O1260" s="714"/>
      <c r="P1260" s="564"/>
      <c r="Q1260" s="564"/>
      <c r="R1260" s="566"/>
      <c r="S1260" s="589"/>
      <c r="T1260" s="710"/>
      <c r="U1260" s="593"/>
      <c r="V1260" s="564" t="s">
        <v>2899</v>
      </c>
      <c r="W1260" s="564" t="s">
        <v>25</v>
      </c>
      <c r="X1260" s="683"/>
      <c r="Y1260" s="683"/>
      <c r="Z1260" s="683"/>
      <c r="AA1260" s="694"/>
      <c r="AB1260" s="683"/>
      <c r="AC1260" s="683"/>
      <c r="AD1260" s="683"/>
      <c r="AE1260" s="590"/>
      <c r="AF1260" s="570" t="s">
        <v>2899</v>
      </c>
      <c r="AG1260" s="570"/>
      <c r="AH1260" s="571" t="s">
        <v>25</v>
      </c>
      <c r="AI1260" s="593"/>
      <c r="AJ1260" s="593"/>
    </row>
    <row r="1261" spans="1:36" s="385" customFormat="1" ht="20.25" outlineLevel="2" x14ac:dyDescent="0.3">
      <c r="A1261" s="447">
        <v>100</v>
      </c>
      <c r="B1261" s="558"/>
      <c r="C1261" s="558"/>
      <c r="D1261" s="615"/>
      <c r="E1261" s="700"/>
      <c r="F1261" s="558"/>
      <c r="G1261" s="709"/>
      <c r="H1261" s="546"/>
      <c r="I1261" s="563" t="s">
        <v>25</v>
      </c>
      <c r="J1261" s="563" t="s">
        <v>25</v>
      </c>
      <c r="K1261" s="564" t="s">
        <v>25</v>
      </c>
      <c r="L1261" s="564" t="s">
        <v>25</v>
      </c>
      <c r="M1261" s="558"/>
      <c r="N1261" s="558"/>
      <c r="O1261" s="714"/>
      <c r="P1261" s="564"/>
      <c r="Q1261" s="564"/>
      <c r="R1261" s="566"/>
      <c r="S1261" s="589"/>
      <c r="T1261" s="710"/>
      <c r="U1261" s="593"/>
      <c r="V1261" s="564" t="s">
        <v>2899</v>
      </c>
      <c r="W1261" s="564" t="s">
        <v>25</v>
      </c>
      <c r="X1261" s="683"/>
      <c r="Y1261" s="683"/>
      <c r="Z1261" s="683"/>
      <c r="AA1261" s="694"/>
      <c r="AB1261" s="683"/>
      <c r="AC1261" s="683"/>
      <c r="AD1261" s="683"/>
      <c r="AE1261" s="590"/>
      <c r="AF1261" s="570" t="s">
        <v>2899</v>
      </c>
      <c r="AG1261" s="570"/>
      <c r="AH1261" s="571" t="s">
        <v>25</v>
      </c>
      <c r="AI1261" s="593"/>
      <c r="AJ1261" s="593"/>
    </row>
    <row r="1262" spans="1:36" s="385" customFormat="1" ht="20.25" outlineLevel="2" x14ac:dyDescent="0.3">
      <c r="A1262" s="447">
        <v>100</v>
      </c>
      <c r="B1262" s="558"/>
      <c r="C1262" s="558"/>
      <c r="D1262" s="615"/>
      <c r="E1262" s="700"/>
      <c r="F1262" s="558"/>
      <c r="G1262" s="709"/>
      <c r="H1262" s="546"/>
      <c r="I1262" s="563" t="s">
        <v>25</v>
      </c>
      <c r="J1262" s="563" t="s">
        <v>25</v>
      </c>
      <c r="K1262" s="564" t="s">
        <v>25</v>
      </c>
      <c r="L1262" s="564" t="s">
        <v>25</v>
      </c>
      <c r="M1262" s="558"/>
      <c r="N1262" s="558"/>
      <c r="O1262" s="714"/>
      <c r="P1262" s="564"/>
      <c r="Q1262" s="564"/>
      <c r="R1262" s="566"/>
      <c r="S1262" s="589"/>
      <c r="T1262" s="710"/>
      <c r="U1262" s="593"/>
      <c r="V1262" s="564" t="s">
        <v>2899</v>
      </c>
      <c r="W1262" s="564" t="s">
        <v>25</v>
      </c>
      <c r="X1262" s="683"/>
      <c r="Y1262" s="683"/>
      <c r="Z1262" s="683"/>
      <c r="AA1262" s="694"/>
      <c r="AB1262" s="683"/>
      <c r="AC1262" s="683"/>
      <c r="AD1262" s="683"/>
      <c r="AE1262" s="590"/>
      <c r="AF1262" s="570" t="s">
        <v>2899</v>
      </c>
      <c r="AG1262" s="570"/>
      <c r="AH1262" s="571" t="s">
        <v>25</v>
      </c>
      <c r="AI1262" s="593"/>
      <c r="AJ1262" s="593"/>
    </row>
    <row r="1263" spans="1:36" s="385" customFormat="1" ht="20.25" outlineLevel="2" x14ac:dyDescent="0.3">
      <c r="A1263" s="447">
        <v>100</v>
      </c>
      <c r="B1263" s="558"/>
      <c r="C1263" s="558"/>
      <c r="D1263" s="615"/>
      <c r="E1263" s="700"/>
      <c r="F1263" s="558"/>
      <c r="G1263" s="709"/>
      <c r="H1263" s="546"/>
      <c r="I1263" s="563" t="s">
        <v>25</v>
      </c>
      <c r="J1263" s="563" t="s">
        <v>25</v>
      </c>
      <c r="K1263" s="564" t="s">
        <v>25</v>
      </c>
      <c r="L1263" s="564" t="s">
        <v>25</v>
      </c>
      <c r="M1263" s="558"/>
      <c r="N1263" s="558"/>
      <c r="O1263" s="714"/>
      <c r="P1263" s="564"/>
      <c r="Q1263" s="564"/>
      <c r="R1263" s="566"/>
      <c r="S1263" s="589"/>
      <c r="T1263" s="710"/>
      <c r="U1263" s="593"/>
      <c r="V1263" s="564" t="s">
        <v>2899</v>
      </c>
      <c r="W1263" s="564" t="s">
        <v>25</v>
      </c>
      <c r="X1263" s="683"/>
      <c r="Y1263" s="683"/>
      <c r="Z1263" s="683"/>
      <c r="AA1263" s="694"/>
      <c r="AB1263" s="683"/>
      <c r="AC1263" s="683"/>
      <c r="AD1263" s="683"/>
      <c r="AE1263" s="590"/>
      <c r="AF1263" s="570" t="s">
        <v>2899</v>
      </c>
      <c r="AG1263" s="570"/>
      <c r="AH1263" s="571" t="s">
        <v>25</v>
      </c>
      <c r="AI1263" s="593"/>
      <c r="AJ1263" s="593"/>
    </row>
    <row r="1264" spans="1:36" s="385" customFormat="1" ht="20.25" outlineLevel="2" x14ac:dyDescent="0.3">
      <c r="A1264" s="447">
        <v>100</v>
      </c>
      <c r="B1264" s="558"/>
      <c r="C1264" s="558"/>
      <c r="D1264" s="615"/>
      <c r="E1264" s="700"/>
      <c r="F1264" s="558"/>
      <c r="G1264" s="709"/>
      <c r="H1264" s="546"/>
      <c r="I1264" s="563" t="s">
        <v>25</v>
      </c>
      <c r="J1264" s="563" t="s">
        <v>25</v>
      </c>
      <c r="K1264" s="564" t="s">
        <v>25</v>
      </c>
      <c r="L1264" s="564" t="s">
        <v>25</v>
      </c>
      <c r="M1264" s="558"/>
      <c r="N1264" s="558"/>
      <c r="O1264" s="714"/>
      <c r="P1264" s="564"/>
      <c r="Q1264" s="564"/>
      <c r="R1264" s="566"/>
      <c r="S1264" s="589"/>
      <c r="T1264" s="710"/>
      <c r="U1264" s="593"/>
      <c r="V1264" s="564" t="s">
        <v>2899</v>
      </c>
      <c r="W1264" s="564" t="s">
        <v>25</v>
      </c>
      <c r="X1264" s="683"/>
      <c r="Y1264" s="683"/>
      <c r="Z1264" s="683"/>
      <c r="AA1264" s="694"/>
      <c r="AB1264" s="683"/>
      <c r="AC1264" s="683"/>
      <c r="AD1264" s="683"/>
      <c r="AE1264" s="590"/>
      <c r="AF1264" s="570" t="s">
        <v>2899</v>
      </c>
      <c r="AG1264" s="570"/>
      <c r="AH1264" s="571" t="s">
        <v>25</v>
      </c>
      <c r="AI1264" s="593"/>
      <c r="AJ1264" s="593"/>
    </row>
    <row r="1265" spans="1:36" s="385" customFormat="1" ht="20.25" outlineLevel="2" x14ac:dyDescent="0.3">
      <c r="A1265" s="447">
        <v>100</v>
      </c>
      <c r="B1265" s="574"/>
      <c r="C1265" s="574"/>
      <c r="D1265" s="705"/>
      <c r="E1265" s="706"/>
      <c r="F1265" s="558"/>
      <c r="G1265" s="709"/>
      <c r="H1265" s="546"/>
      <c r="I1265" s="563" t="s">
        <v>25</v>
      </c>
      <c r="J1265" s="563" t="s">
        <v>25</v>
      </c>
      <c r="K1265" s="564" t="s">
        <v>25</v>
      </c>
      <c r="L1265" s="564" t="s">
        <v>25</v>
      </c>
      <c r="M1265" s="558"/>
      <c r="N1265" s="558"/>
      <c r="O1265" s="714"/>
      <c r="P1265" s="564"/>
      <c r="Q1265" s="564"/>
      <c r="R1265" s="566"/>
      <c r="S1265" s="589"/>
      <c r="T1265" s="710"/>
      <c r="U1265" s="593"/>
      <c r="V1265" s="564" t="s">
        <v>2899</v>
      </c>
      <c r="W1265" s="564" t="s">
        <v>25</v>
      </c>
      <c r="X1265" s="683"/>
      <c r="Y1265" s="683"/>
      <c r="Z1265" s="683"/>
      <c r="AA1265" s="694"/>
      <c r="AB1265" s="683"/>
      <c r="AC1265" s="683"/>
      <c r="AD1265" s="683"/>
      <c r="AE1265" s="590"/>
      <c r="AF1265" s="570" t="s">
        <v>2899</v>
      </c>
      <c r="AG1265" s="570"/>
      <c r="AH1265" s="571" t="s">
        <v>25</v>
      </c>
      <c r="AI1265" s="593"/>
      <c r="AJ1265" s="593"/>
    </row>
    <row r="1266" spans="1:36" s="385" customFormat="1" ht="40.5" outlineLevel="1" x14ac:dyDescent="0.25">
      <c r="A1266" s="467">
        <v>101</v>
      </c>
      <c r="B1266" s="574" t="s">
        <v>959</v>
      </c>
      <c r="C1266" s="586" t="s">
        <v>2903</v>
      </c>
      <c r="D1266" s="615">
        <v>86</v>
      </c>
      <c r="E1266" s="700">
        <v>233</v>
      </c>
      <c r="F1266" s="574"/>
      <c r="G1266" s="707">
        <v>41.8</v>
      </c>
      <c r="H1266" s="579">
        <v>0</v>
      </c>
      <c r="I1266" s="581"/>
      <c r="J1266" s="581"/>
      <c r="K1266" s="571">
        <v>23174000</v>
      </c>
      <c r="L1266" s="571">
        <v>0</v>
      </c>
      <c r="M1266" s="574"/>
      <c r="N1266" s="574"/>
      <c r="O1266" s="712">
        <v>0</v>
      </c>
      <c r="P1266" s="571"/>
      <c r="Q1266" s="571">
        <v>0</v>
      </c>
      <c r="R1266" s="582"/>
      <c r="S1266" s="597"/>
      <c r="T1266" s="708">
        <v>0</v>
      </c>
      <c r="U1266" s="608"/>
      <c r="V1266" s="571"/>
      <c r="W1266" s="571">
        <v>0</v>
      </c>
      <c r="X1266" s="683"/>
      <c r="Y1266" s="683"/>
      <c r="Z1266" s="683"/>
      <c r="AA1266" s="694"/>
      <c r="AB1266" s="683"/>
      <c r="AC1266" s="683"/>
      <c r="AD1266" s="650"/>
      <c r="AE1266" s="599">
        <f>SUBTOTAL(9,AE1267:AE1273)</f>
        <v>0</v>
      </c>
      <c r="AF1266" s="585"/>
      <c r="AG1266" s="585">
        <v>0</v>
      </c>
      <c r="AH1266" s="571">
        <v>23174000</v>
      </c>
      <c r="AI1266" s="574"/>
      <c r="AJ1266" s="578"/>
    </row>
    <row r="1267" spans="1:36" s="385" customFormat="1" ht="182.25" outlineLevel="2" x14ac:dyDescent="0.3">
      <c r="A1267" s="447">
        <v>101</v>
      </c>
      <c r="B1267" s="558" t="s">
        <v>961</v>
      </c>
      <c r="C1267" s="558"/>
      <c r="D1267" s="615"/>
      <c r="E1267" s="700"/>
      <c r="F1267" s="558" t="s">
        <v>2880</v>
      </c>
      <c r="G1267" s="709">
        <v>41.8</v>
      </c>
      <c r="H1267" s="546" t="s">
        <v>2899</v>
      </c>
      <c r="I1267" s="563">
        <v>554400</v>
      </c>
      <c r="J1267" s="563">
        <v>0</v>
      </c>
      <c r="K1267" s="564">
        <v>23174000</v>
      </c>
      <c r="L1267" s="564">
        <v>0</v>
      </c>
      <c r="M1267" s="558"/>
      <c r="N1267" s="558"/>
      <c r="O1267" s="714"/>
      <c r="P1267" s="564"/>
      <c r="Q1267" s="564"/>
      <c r="R1267" s="566"/>
      <c r="S1267" s="589"/>
      <c r="T1267" s="710"/>
      <c r="U1267" s="593"/>
      <c r="V1267" s="564" t="s">
        <v>2899</v>
      </c>
      <c r="W1267" s="564" t="s">
        <v>25</v>
      </c>
      <c r="X1267" s="683"/>
      <c r="Y1267" s="683"/>
      <c r="Z1267" s="683"/>
      <c r="AA1267" s="694"/>
      <c r="AB1267" s="683"/>
      <c r="AC1267" s="683"/>
      <c r="AD1267" s="683"/>
      <c r="AE1267" s="590"/>
      <c r="AF1267" s="570" t="s">
        <v>2899</v>
      </c>
      <c r="AG1267" s="570"/>
      <c r="AH1267" s="571" t="s">
        <v>25</v>
      </c>
      <c r="AI1267" s="558" t="s">
        <v>2780</v>
      </c>
      <c r="AJ1267" s="586" t="s">
        <v>2771</v>
      </c>
    </row>
    <row r="1268" spans="1:36" s="385" customFormat="1" ht="81" outlineLevel="2" x14ac:dyDescent="0.3">
      <c r="A1268" s="447">
        <v>101</v>
      </c>
      <c r="B1268" s="558" t="s">
        <v>1657</v>
      </c>
      <c r="C1268" s="558"/>
      <c r="D1268" s="615"/>
      <c r="E1268" s="700"/>
      <c r="F1268" s="558"/>
      <c r="G1268" s="709"/>
      <c r="H1268" s="546"/>
      <c r="I1268" s="563" t="s">
        <v>25</v>
      </c>
      <c r="J1268" s="563" t="s">
        <v>25</v>
      </c>
      <c r="K1268" s="564" t="s">
        <v>25</v>
      </c>
      <c r="L1268" s="564" t="s">
        <v>25</v>
      </c>
      <c r="M1268" s="558"/>
      <c r="N1268" s="558"/>
      <c r="O1268" s="714"/>
      <c r="P1268" s="564"/>
      <c r="Q1268" s="564"/>
      <c r="R1268" s="566"/>
      <c r="S1268" s="589"/>
      <c r="T1268" s="710"/>
      <c r="U1268" s="593"/>
      <c r="V1268" s="564" t="s">
        <v>2899</v>
      </c>
      <c r="W1268" s="564" t="s">
        <v>25</v>
      </c>
      <c r="X1268" s="683"/>
      <c r="Y1268" s="683"/>
      <c r="Z1268" s="683"/>
      <c r="AA1268" s="694"/>
      <c r="AB1268" s="683"/>
      <c r="AC1268" s="683"/>
      <c r="AD1268" s="683"/>
      <c r="AE1268" s="590"/>
      <c r="AF1268" s="570" t="s">
        <v>2899</v>
      </c>
      <c r="AG1268" s="570"/>
      <c r="AH1268" s="571" t="s">
        <v>25</v>
      </c>
      <c r="AI1268" s="558"/>
      <c r="AJ1268" s="593"/>
    </row>
    <row r="1269" spans="1:36" s="385" customFormat="1" ht="20.25" outlineLevel="2" x14ac:dyDescent="0.3">
      <c r="A1269" s="447">
        <v>101</v>
      </c>
      <c r="B1269" s="558"/>
      <c r="C1269" s="558"/>
      <c r="D1269" s="615"/>
      <c r="E1269" s="700"/>
      <c r="F1269" s="558"/>
      <c r="G1269" s="709"/>
      <c r="H1269" s="546"/>
      <c r="I1269" s="563" t="s">
        <v>25</v>
      </c>
      <c r="J1269" s="563" t="s">
        <v>25</v>
      </c>
      <c r="K1269" s="564" t="s">
        <v>25</v>
      </c>
      <c r="L1269" s="564" t="s">
        <v>25</v>
      </c>
      <c r="M1269" s="558"/>
      <c r="N1269" s="558"/>
      <c r="O1269" s="714"/>
      <c r="P1269" s="564"/>
      <c r="Q1269" s="564"/>
      <c r="R1269" s="566"/>
      <c r="S1269" s="589"/>
      <c r="T1269" s="710"/>
      <c r="U1269" s="593"/>
      <c r="V1269" s="564" t="s">
        <v>2899</v>
      </c>
      <c r="W1269" s="564" t="s">
        <v>25</v>
      </c>
      <c r="X1269" s="683"/>
      <c r="Y1269" s="683"/>
      <c r="Z1269" s="683"/>
      <c r="AA1269" s="694"/>
      <c r="AB1269" s="683"/>
      <c r="AC1269" s="683"/>
      <c r="AD1269" s="683"/>
      <c r="AE1269" s="590"/>
      <c r="AF1269" s="570" t="s">
        <v>2899</v>
      </c>
      <c r="AG1269" s="570"/>
      <c r="AH1269" s="571" t="s">
        <v>25</v>
      </c>
      <c r="AI1269" s="558"/>
      <c r="AJ1269" s="593"/>
    </row>
    <row r="1270" spans="1:36" s="385" customFormat="1" ht="20.25" outlineLevel="2" x14ac:dyDescent="0.3">
      <c r="A1270" s="447">
        <v>101</v>
      </c>
      <c r="B1270" s="558"/>
      <c r="C1270" s="558"/>
      <c r="D1270" s="615"/>
      <c r="E1270" s="700"/>
      <c r="F1270" s="558"/>
      <c r="G1270" s="709"/>
      <c r="H1270" s="546"/>
      <c r="I1270" s="563" t="s">
        <v>25</v>
      </c>
      <c r="J1270" s="563" t="s">
        <v>25</v>
      </c>
      <c r="K1270" s="564" t="s">
        <v>25</v>
      </c>
      <c r="L1270" s="564" t="s">
        <v>25</v>
      </c>
      <c r="M1270" s="558"/>
      <c r="N1270" s="558"/>
      <c r="O1270" s="714"/>
      <c r="P1270" s="564"/>
      <c r="Q1270" s="564"/>
      <c r="R1270" s="566"/>
      <c r="S1270" s="589"/>
      <c r="T1270" s="710"/>
      <c r="U1270" s="593"/>
      <c r="V1270" s="564" t="s">
        <v>2899</v>
      </c>
      <c r="W1270" s="564" t="s">
        <v>25</v>
      </c>
      <c r="X1270" s="683"/>
      <c r="Y1270" s="683"/>
      <c r="Z1270" s="683"/>
      <c r="AA1270" s="694"/>
      <c r="AB1270" s="683"/>
      <c r="AC1270" s="683"/>
      <c r="AD1270" s="683"/>
      <c r="AE1270" s="590"/>
      <c r="AF1270" s="570" t="s">
        <v>2899</v>
      </c>
      <c r="AG1270" s="570"/>
      <c r="AH1270" s="571" t="s">
        <v>25</v>
      </c>
      <c r="AI1270" s="593"/>
      <c r="AJ1270" s="593"/>
    </row>
    <row r="1271" spans="1:36" s="385" customFormat="1" ht="20.25" outlineLevel="2" x14ac:dyDescent="0.3">
      <c r="A1271" s="447">
        <v>101</v>
      </c>
      <c r="B1271" s="558"/>
      <c r="C1271" s="558"/>
      <c r="D1271" s="615"/>
      <c r="E1271" s="700"/>
      <c r="F1271" s="558"/>
      <c r="G1271" s="709"/>
      <c r="H1271" s="546"/>
      <c r="I1271" s="563" t="s">
        <v>25</v>
      </c>
      <c r="J1271" s="563" t="s">
        <v>25</v>
      </c>
      <c r="K1271" s="564" t="s">
        <v>25</v>
      </c>
      <c r="L1271" s="564" t="s">
        <v>25</v>
      </c>
      <c r="M1271" s="558"/>
      <c r="N1271" s="558"/>
      <c r="O1271" s="714"/>
      <c r="P1271" s="564"/>
      <c r="Q1271" s="564"/>
      <c r="R1271" s="566"/>
      <c r="S1271" s="589"/>
      <c r="T1271" s="710"/>
      <c r="U1271" s="593"/>
      <c r="V1271" s="564" t="s">
        <v>2899</v>
      </c>
      <c r="W1271" s="564" t="s">
        <v>25</v>
      </c>
      <c r="X1271" s="683"/>
      <c r="Y1271" s="683"/>
      <c r="Z1271" s="683"/>
      <c r="AA1271" s="694"/>
      <c r="AB1271" s="683"/>
      <c r="AC1271" s="683"/>
      <c r="AD1271" s="683"/>
      <c r="AE1271" s="590"/>
      <c r="AF1271" s="570" t="s">
        <v>2899</v>
      </c>
      <c r="AG1271" s="570"/>
      <c r="AH1271" s="571" t="s">
        <v>25</v>
      </c>
      <c r="AI1271" s="593"/>
      <c r="AJ1271" s="593"/>
    </row>
    <row r="1272" spans="1:36" s="385" customFormat="1" ht="20.25" outlineLevel="2" x14ac:dyDescent="0.3">
      <c r="A1272" s="447">
        <v>101</v>
      </c>
      <c r="B1272" s="558"/>
      <c r="C1272" s="558"/>
      <c r="D1272" s="615"/>
      <c r="E1272" s="700"/>
      <c r="F1272" s="558"/>
      <c r="G1272" s="709"/>
      <c r="H1272" s="546"/>
      <c r="I1272" s="563" t="s">
        <v>25</v>
      </c>
      <c r="J1272" s="563" t="s">
        <v>25</v>
      </c>
      <c r="K1272" s="564" t="s">
        <v>25</v>
      </c>
      <c r="L1272" s="564" t="s">
        <v>25</v>
      </c>
      <c r="M1272" s="558"/>
      <c r="N1272" s="558"/>
      <c r="O1272" s="714"/>
      <c r="P1272" s="564"/>
      <c r="Q1272" s="564"/>
      <c r="R1272" s="566"/>
      <c r="S1272" s="589"/>
      <c r="T1272" s="710"/>
      <c r="U1272" s="593"/>
      <c r="V1272" s="564" t="s">
        <v>2899</v>
      </c>
      <c r="W1272" s="564" t="s">
        <v>25</v>
      </c>
      <c r="X1272" s="683"/>
      <c r="Y1272" s="683"/>
      <c r="Z1272" s="683"/>
      <c r="AA1272" s="694"/>
      <c r="AB1272" s="683"/>
      <c r="AC1272" s="683"/>
      <c r="AD1272" s="683"/>
      <c r="AE1272" s="590"/>
      <c r="AF1272" s="570" t="s">
        <v>2899</v>
      </c>
      <c r="AG1272" s="570"/>
      <c r="AH1272" s="571" t="s">
        <v>25</v>
      </c>
      <c r="AI1272" s="593"/>
      <c r="AJ1272" s="593"/>
    </row>
    <row r="1273" spans="1:36" s="385" customFormat="1" ht="20.25" outlineLevel="2" x14ac:dyDescent="0.3">
      <c r="A1273" s="447">
        <v>101</v>
      </c>
      <c r="B1273" s="574"/>
      <c r="C1273" s="574"/>
      <c r="D1273" s="722"/>
      <c r="E1273" s="722"/>
      <c r="F1273" s="558"/>
      <c r="G1273" s="709"/>
      <c r="H1273" s="546"/>
      <c r="I1273" s="563" t="s">
        <v>25</v>
      </c>
      <c r="J1273" s="563" t="s">
        <v>25</v>
      </c>
      <c r="K1273" s="564" t="s">
        <v>25</v>
      </c>
      <c r="L1273" s="564" t="s">
        <v>25</v>
      </c>
      <c r="M1273" s="558"/>
      <c r="N1273" s="558"/>
      <c r="O1273" s="714"/>
      <c r="P1273" s="564"/>
      <c r="Q1273" s="564"/>
      <c r="R1273" s="566"/>
      <c r="S1273" s="589"/>
      <c r="T1273" s="710"/>
      <c r="U1273" s="593"/>
      <c r="V1273" s="564" t="s">
        <v>2899</v>
      </c>
      <c r="W1273" s="564" t="s">
        <v>25</v>
      </c>
      <c r="X1273" s="683"/>
      <c r="Y1273" s="683"/>
      <c r="Z1273" s="683"/>
      <c r="AA1273" s="694"/>
      <c r="AB1273" s="683"/>
      <c r="AC1273" s="683"/>
      <c r="AD1273" s="683"/>
      <c r="AE1273" s="590"/>
      <c r="AF1273" s="570" t="s">
        <v>2899</v>
      </c>
      <c r="AG1273" s="570"/>
      <c r="AH1273" s="571" t="s">
        <v>25</v>
      </c>
      <c r="AI1273" s="593"/>
      <c r="AJ1273" s="593"/>
    </row>
    <row r="1274" spans="1:36" s="385" customFormat="1" ht="40.5" outlineLevel="1" x14ac:dyDescent="0.3">
      <c r="A1274" s="467">
        <v>102</v>
      </c>
      <c r="B1274" s="574" t="s">
        <v>2225</v>
      </c>
      <c r="C1274" s="586" t="s">
        <v>2903</v>
      </c>
      <c r="D1274" s="725"/>
      <c r="E1274" s="725"/>
      <c r="F1274" s="723"/>
      <c r="G1274" s="724">
        <v>0</v>
      </c>
      <c r="H1274" s="579">
        <v>0</v>
      </c>
      <c r="I1274" s="581"/>
      <c r="J1274" s="581"/>
      <c r="K1274" s="571">
        <v>0</v>
      </c>
      <c r="L1274" s="571">
        <v>0</v>
      </c>
      <c r="M1274" s="578"/>
      <c r="N1274" s="578"/>
      <c r="O1274" s="712">
        <v>36</v>
      </c>
      <c r="P1274" s="571"/>
      <c r="Q1274" s="571">
        <v>13284000</v>
      </c>
      <c r="R1274" s="578"/>
      <c r="S1274" s="621"/>
      <c r="T1274" s="708">
        <v>382.32000000000005</v>
      </c>
      <c r="U1274" s="663"/>
      <c r="V1274" s="571"/>
      <c r="W1274" s="571">
        <v>427379000</v>
      </c>
      <c r="X1274" s="683"/>
      <c r="Y1274" s="683"/>
      <c r="Z1274" s="683"/>
      <c r="AA1274" s="694"/>
      <c r="AB1274" s="683"/>
      <c r="AC1274" s="683"/>
      <c r="AD1274" s="650"/>
      <c r="AE1274" s="599">
        <f>SUBTOTAL(9,AE1275:AE1295)</f>
        <v>0</v>
      </c>
      <c r="AF1274" s="585"/>
      <c r="AG1274" s="585">
        <v>0</v>
      </c>
      <c r="AH1274" s="571">
        <v>440663000</v>
      </c>
      <c r="AI1274" s="608"/>
      <c r="AJ1274" s="574"/>
    </row>
    <row r="1275" spans="1:36" s="385" customFormat="1" ht="121.5" outlineLevel="2" x14ac:dyDescent="0.3">
      <c r="A1275" s="447">
        <v>102</v>
      </c>
      <c r="B1275" s="572" t="s">
        <v>938</v>
      </c>
      <c r="C1275" s="572"/>
      <c r="D1275" s="615"/>
      <c r="E1275" s="700"/>
      <c r="F1275" s="704"/>
      <c r="G1275" s="701"/>
      <c r="H1275" s="546"/>
      <c r="I1275" s="563" t="s">
        <v>25</v>
      </c>
      <c r="J1275" s="563" t="s">
        <v>25</v>
      </c>
      <c r="K1275" s="564" t="s">
        <v>25</v>
      </c>
      <c r="L1275" s="564" t="s">
        <v>25</v>
      </c>
      <c r="M1275" s="586" t="s">
        <v>145</v>
      </c>
      <c r="N1275" s="586"/>
      <c r="O1275" s="714">
        <v>1</v>
      </c>
      <c r="P1275" s="564">
        <v>4240000</v>
      </c>
      <c r="Q1275" s="564">
        <v>4240000</v>
      </c>
      <c r="R1275" s="586" t="s">
        <v>1762</v>
      </c>
      <c r="S1275" s="609" t="s">
        <v>2804</v>
      </c>
      <c r="T1275" s="710">
        <v>27</v>
      </c>
      <c r="U1275" s="661"/>
      <c r="V1275" s="564">
        <v>770070</v>
      </c>
      <c r="W1275" s="564">
        <v>20792000</v>
      </c>
      <c r="X1275" s="683"/>
      <c r="Y1275" s="683"/>
      <c r="Z1275" s="683"/>
      <c r="AA1275" s="694"/>
      <c r="AB1275" s="683"/>
      <c r="AC1275" s="683"/>
      <c r="AD1275" s="683"/>
      <c r="AE1275" s="590"/>
      <c r="AF1275" s="570" t="s">
        <v>2899</v>
      </c>
      <c r="AG1275" s="570" t="s">
        <v>25</v>
      </c>
      <c r="AH1275" s="571" t="s">
        <v>25</v>
      </c>
      <c r="AI1275" s="593" t="s">
        <v>943</v>
      </c>
      <c r="AJ1275" s="558" t="s">
        <v>2450</v>
      </c>
    </row>
    <row r="1276" spans="1:36" s="385" customFormat="1" ht="101.25" outlineLevel="2" x14ac:dyDescent="0.3">
      <c r="A1276" s="447">
        <v>102</v>
      </c>
      <c r="B1276" s="574" t="s">
        <v>2226</v>
      </c>
      <c r="C1276" s="574"/>
      <c r="D1276" s="615"/>
      <c r="E1276" s="700"/>
      <c r="F1276" s="558"/>
      <c r="G1276" s="709"/>
      <c r="H1276" s="546"/>
      <c r="I1276" s="563" t="s">
        <v>25</v>
      </c>
      <c r="J1276" s="563" t="s">
        <v>25</v>
      </c>
      <c r="K1276" s="564" t="s">
        <v>25</v>
      </c>
      <c r="L1276" s="564" t="s">
        <v>25</v>
      </c>
      <c r="M1276" s="586" t="s">
        <v>61</v>
      </c>
      <c r="N1276" s="586"/>
      <c r="O1276" s="714">
        <v>2</v>
      </c>
      <c r="P1276" s="564">
        <v>1708000</v>
      </c>
      <c r="Q1276" s="564">
        <v>3416000</v>
      </c>
      <c r="R1276" s="586" t="s">
        <v>1763</v>
      </c>
      <c r="S1276" s="609" t="s">
        <v>2804</v>
      </c>
      <c r="T1276" s="710">
        <v>81.400000000000006</v>
      </c>
      <c r="U1276" s="715"/>
      <c r="V1276" s="564">
        <v>3550600</v>
      </c>
      <c r="W1276" s="564">
        <v>289019000</v>
      </c>
      <c r="X1276" s="683"/>
      <c r="Y1276" s="683"/>
      <c r="Z1276" s="683"/>
      <c r="AA1276" s="694"/>
      <c r="AB1276" s="683"/>
      <c r="AC1276" s="683"/>
      <c r="AD1276" s="683"/>
      <c r="AE1276" s="590"/>
      <c r="AF1276" s="570" t="s">
        <v>2899</v>
      </c>
      <c r="AG1276" s="570" t="s">
        <v>25</v>
      </c>
      <c r="AH1276" s="571" t="s">
        <v>25</v>
      </c>
      <c r="AI1276" s="593" t="s">
        <v>945</v>
      </c>
      <c r="AJ1276" s="558" t="s">
        <v>2449</v>
      </c>
    </row>
    <row r="1277" spans="1:36" s="385" customFormat="1" ht="101.25" outlineLevel="2" x14ac:dyDescent="0.3">
      <c r="A1277" s="447">
        <v>102</v>
      </c>
      <c r="B1277" s="572" t="s">
        <v>944</v>
      </c>
      <c r="C1277" s="572"/>
      <c r="D1277" s="612"/>
      <c r="E1277" s="612"/>
      <c r="F1277" s="558"/>
      <c r="G1277" s="709"/>
      <c r="H1277" s="546"/>
      <c r="I1277" s="563" t="s">
        <v>25</v>
      </c>
      <c r="J1277" s="563" t="s">
        <v>25</v>
      </c>
      <c r="K1277" s="564" t="s">
        <v>25</v>
      </c>
      <c r="L1277" s="564" t="s">
        <v>25</v>
      </c>
      <c r="M1277" s="586" t="s">
        <v>400</v>
      </c>
      <c r="N1277" s="586"/>
      <c r="O1277" s="714">
        <v>10</v>
      </c>
      <c r="P1277" s="564">
        <v>228000</v>
      </c>
      <c r="Q1277" s="564">
        <v>2280000</v>
      </c>
      <c r="R1277" s="586" t="s">
        <v>1764</v>
      </c>
      <c r="S1277" s="609" t="s">
        <v>2804</v>
      </c>
      <c r="T1277" s="710">
        <v>1.98</v>
      </c>
      <c r="U1277" s="661"/>
      <c r="V1277" s="564">
        <v>9028527</v>
      </c>
      <c r="W1277" s="564">
        <v>17876000</v>
      </c>
      <c r="X1277" s="683"/>
      <c r="Y1277" s="683"/>
      <c r="Z1277" s="683"/>
      <c r="AA1277" s="694"/>
      <c r="AB1277" s="683"/>
      <c r="AC1277" s="683"/>
      <c r="AD1277" s="683"/>
      <c r="AE1277" s="590"/>
      <c r="AF1277" s="570" t="s">
        <v>2899</v>
      </c>
      <c r="AG1277" s="570" t="s">
        <v>25</v>
      </c>
      <c r="AH1277" s="571" t="s">
        <v>25</v>
      </c>
      <c r="AI1277" s="704"/>
      <c r="AJ1277" s="566" t="s">
        <v>2800</v>
      </c>
    </row>
    <row r="1278" spans="1:36" s="385" customFormat="1" ht="101.25" outlineLevel="2" x14ac:dyDescent="0.3">
      <c r="A1278" s="447">
        <v>102</v>
      </c>
      <c r="B1278" s="572" t="s">
        <v>1655</v>
      </c>
      <c r="C1278" s="572"/>
      <c r="D1278" s="615"/>
      <c r="E1278" s="700"/>
      <c r="F1278" s="586"/>
      <c r="G1278" s="709"/>
      <c r="H1278" s="546"/>
      <c r="I1278" s="563" t="s">
        <v>25</v>
      </c>
      <c r="J1278" s="563" t="s">
        <v>25</v>
      </c>
      <c r="K1278" s="564" t="s">
        <v>25</v>
      </c>
      <c r="L1278" s="564" t="s">
        <v>25</v>
      </c>
      <c r="M1278" s="586" t="s">
        <v>401</v>
      </c>
      <c r="N1278" s="586"/>
      <c r="O1278" s="714">
        <v>12</v>
      </c>
      <c r="P1278" s="564">
        <v>80000</v>
      </c>
      <c r="Q1278" s="564">
        <v>960000</v>
      </c>
      <c r="R1278" s="586" t="s">
        <v>1765</v>
      </c>
      <c r="S1278" s="609" t="s">
        <v>2804</v>
      </c>
      <c r="T1278" s="710">
        <v>2.46</v>
      </c>
      <c r="U1278" s="661"/>
      <c r="V1278" s="564">
        <v>2354806</v>
      </c>
      <c r="W1278" s="564">
        <v>5793000</v>
      </c>
      <c r="X1278" s="683"/>
      <c r="Y1278" s="683"/>
      <c r="Z1278" s="683"/>
      <c r="AA1278" s="694"/>
      <c r="AB1278" s="683"/>
      <c r="AC1278" s="683"/>
      <c r="AD1278" s="683"/>
      <c r="AE1278" s="590"/>
      <c r="AF1278" s="570" t="s">
        <v>2899</v>
      </c>
      <c r="AG1278" s="570" t="s">
        <v>25</v>
      </c>
      <c r="AH1278" s="571" t="s">
        <v>25</v>
      </c>
      <c r="AI1278" s="704"/>
      <c r="AJ1278" s="566"/>
    </row>
    <row r="1279" spans="1:36" s="385" customFormat="1" ht="44.25" outlineLevel="2" x14ac:dyDescent="0.3">
      <c r="A1279" s="447">
        <v>102</v>
      </c>
      <c r="B1279" s="704"/>
      <c r="C1279" s="704"/>
      <c r="D1279" s="615"/>
      <c r="E1279" s="700"/>
      <c r="F1279" s="558"/>
      <c r="G1279" s="709"/>
      <c r="H1279" s="546"/>
      <c r="I1279" s="563" t="s">
        <v>25</v>
      </c>
      <c r="J1279" s="563" t="s">
        <v>25</v>
      </c>
      <c r="K1279" s="564" t="s">
        <v>25</v>
      </c>
      <c r="L1279" s="564" t="s">
        <v>25</v>
      </c>
      <c r="M1279" s="586" t="s">
        <v>184</v>
      </c>
      <c r="N1279" s="586"/>
      <c r="O1279" s="714">
        <v>1</v>
      </c>
      <c r="P1279" s="564">
        <v>1632000</v>
      </c>
      <c r="Q1279" s="564">
        <v>1632000</v>
      </c>
      <c r="R1279" s="586" t="s">
        <v>1763</v>
      </c>
      <c r="S1279" s="609" t="s">
        <v>2804</v>
      </c>
      <c r="T1279" s="710">
        <v>13.4</v>
      </c>
      <c r="U1279" s="661"/>
      <c r="V1279" s="564">
        <v>3550600</v>
      </c>
      <c r="W1279" s="564">
        <v>47578000</v>
      </c>
      <c r="X1279" s="683"/>
      <c r="Y1279" s="683"/>
      <c r="Z1279" s="683"/>
      <c r="AA1279" s="694"/>
      <c r="AB1279" s="683"/>
      <c r="AC1279" s="683"/>
      <c r="AD1279" s="683"/>
      <c r="AE1279" s="590"/>
      <c r="AF1279" s="570" t="s">
        <v>2899</v>
      </c>
      <c r="AG1279" s="570" t="s">
        <v>25</v>
      </c>
      <c r="AH1279" s="571" t="s">
        <v>25</v>
      </c>
      <c r="AI1279" s="704"/>
      <c r="AJ1279" s="566"/>
    </row>
    <row r="1280" spans="1:36" s="385" customFormat="1" ht="60.75" outlineLevel="2" x14ac:dyDescent="0.3">
      <c r="A1280" s="447">
        <v>102</v>
      </c>
      <c r="B1280" s="572"/>
      <c r="C1280" s="572"/>
      <c r="D1280" s="615"/>
      <c r="E1280" s="700"/>
      <c r="F1280" s="558"/>
      <c r="G1280" s="709"/>
      <c r="H1280" s="546"/>
      <c r="I1280" s="563" t="s">
        <v>25</v>
      </c>
      <c r="J1280" s="563" t="s">
        <v>25</v>
      </c>
      <c r="K1280" s="564" t="s">
        <v>25</v>
      </c>
      <c r="L1280" s="564" t="s">
        <v>25</v>
      </c>
      <c r="M1280" s="586" t="s">
        <v>89</v>
      </c>
      <c r="N1280" s="586"/>
      <c r="O1280" s="714">
        <v>1</v>
      </c>
      <c r="P1280" s="564">
        <v>283000</v>
      </c>
      <c r="Q1280" s="564">
        <v>283000</v>
      </c>
      <c r="R1280" s="566" t="s">
        <v>1766</v>
      </c>
      <c r="S1280" s="609" t="s">
        <v>2804</v>
      </c>
      <c r="T1280" s="710">
        <v>16.100000000000001</v>
      </c>
      <c r="U1280" s="661"/>
      <c r="V1280" s="564">
        <v>265836</v>
      </c>
      <c r="W1280" s="564">
        <v>4280000</v>
      </c>
      <c r="X1280" s="683"/>
      <c r="Y1280" s="683"/>
      <c r="Z1280" s="683"/>
      <c r="AA1280" s="694"/>
      <c r="AB1280" s="683"/>
      <c r="AC1280" s="683"/>
      <c r="AD1280" s="683"/>
      <c r="AE1280" s="590"/>
      <c r="AF1280" s="570" t="s">
        <v>2899</v>
      </c>
      <c r="AG1280" s="570" t="s">
        <v>25</v>
      </c>
      <c r="AH1280" s="571" t="s">
        <v>25</v>
      </c>
      <c r="AI1280" s="593"/>
      <c r="AJ1280" s="593"/>
    </row>
    <row r="1281" spans="1:36" s="385" customFormat="1" ht="44.25" outlineLevel="2" x14ac:dyDescent="0.3">
      <c r="A1281" s="447">
        <v>102</v>
      </c>
      <c r="B1281" s="558"/>
      <c r="C1281" s="558"/>
      <c r="D1281" s="615"/>
      <c r="E1281" s="700"/>
      <c r="F1281" s="558"/>
      <c r="G1281" s="709"/>
      <c r="H1281" s="546"/>
      <c r="I1281" s="563" t="s">
        <v>25</v>
      </c>
      <c r="J1281" s="563" t="s">
        <v>25</v>
      </c>
      <c r="K1281" s="564" t="s">
        <v>25</v>
      </c>
      <c r="L1281" s="564" t="s">
        <v>25</v>
      </c>
      <c r="M1281" s="586" t="s">
        <v>946</v>
      </c>
      <c r="N1281" s="586"/>
      <c r="O1281" s="714">
        <v>1</v>
      </c>
      <c r="P1281" s="564">
        <v>54000</v>
      </c>
      <c r="Q1281" s="564">
        <v>54000</v>
      </c>
      <c r="R1281" s="586" t="s">
        <v>1767</v>
      </c>
      <c r="S1281" s="609" t="s">
        <v>2804</v>
      </c>
      <c r="T1281" s="710">
        <v>17.3</v>
      </c>
      <c r="U1281" s="661"/>
      <c r="V1281" s="564">
        <v>0</v>
      </c>
      <c r="W1281" s="564">
        <v>0</v>
      </c>
      <c r="X1281" s="683"/>
      <c r="Y1281" s="683"/>
      <c r="Z1281" s="683"/>
      <c r="AA1281" s="694"/>
      <c r="AB1281" s="683"/>
      <c r="AC1281" s="683"/>
      <c r="AD1281" s="683"/>
      <c r="AE1281" s="590"/>
      <c r="AF1281" s="570" t="s">
        <v>2899</v>
      </c>
      <c r="AG1281" s="570" t="s">
        <v>25</v>
      </c>
      <c r="AH1281" s="571" t="s">
        <v>25</v>
      </c>
      <c r="AI1281" s="558"/>
      <c r="AJ1281" s="593"/>
    </row>
    <row r="1282" spans="1:36" s="385" customFormat="1" ht="60.75" outlineLevel="2" x14ac:dyDescent="0.3">
      <c r="A1282" s="447">
        <v>102</v>
      </c>
      <c r="B1282" s="558"/>
      <c r="C1282" s="558"/>
      <c r="D1282" s="615"/>
      <c r="E1282" s="700"/>
      <c r="F1282" s="558"/>
      <c r="G1282" s="709"/>
      <c r="H1282" s="546"/>
      <c r="I1282" s="563" t="s">
        <v>25</v>
      </c>
      <c r="J1282" s="563" t="s">
        <v>25</v>
      </c>
      <c r="K1282" s="564" t="s">
        <v>25</v>
      </c>
      <c r="L1282" s="564" t="s">
        <v>25</v>
      </c>
      <c r="M1282" s="586" t="s">
        <v>134</v>
      </c>
      <c r="N1282" s="586"/>
      <c r="O1282" s="714">
        <v>1</v>
      </c>
      <c r="P1282" s="564">
        <v>203000</v>
      </c>
      <c r="Q1282" s="564">
        <v>203000</v>
      </c>
      <c r="R1282" s="566" t="s">
        <v>1768</v>
      </c>
      <c r="S1282" s="609" t="s">
        <v>2804</v>
      </c>
      <c r="T1282" s="710">
        <v>17.3</v>
      </c>
      <c r="U1282" s="661"/>
      <c r="V1282" s="564">
        <v>238288</v>
      </c>
      <c r="W1282" s="564">
        <v>4122000</v>
      </c>
      <c r="X1282" s="683"/>
      <c r="Y1282" s="683"/>
      <c r="Z1282" s="683"/>
      <c r="AA1282" s="694"/>
      <c r="AB1282" s="683"/>
      <c r="AC1282" s="683"/>
      <c r="AD1282" s="683"/>
      <c r="AE1282" s="590"/>
      <c r="AF1282" s="570" t="s">
        <v>2899</v>
      </c>
      <c r="AG1282" s="570" t="s">
        <v>25</v>
      </c>
      <c r="AH1282" s="571" t="s">
        <v>25</v>
      </c>
      <c r="AI1282" s="593"/>
      <c r="AJ1282" s="593"/>
    </row>
    <row r="1283" spans="1:36" s="385" customFormat="1" ht="60.75" outlineLevel="2" x14ac:dyDescent="0.3">
      <c r="A1283" s="447">
        <v>102</v>
      </c>
      <c r="B1283" s="558"/>
      <c r="C1283" s="558"/>
      <c r="D1283" s="615"/>
      <c r="E1283" s="700"/>
      <c r="F1283" s="558"/>
      <c r="G1283" s="709"/>
      <c r="H1283" s="546"/>
      <c r="I1283" s="563" t="s">
        <v>25</v>
      </c>
      <c r="J1283" s="563" t="s">
        <v>25</v>
      </c>
      <c r="K1283" s="564" t="s">
        <v>25</v>
      </c>
      <c r="L1283" s="564" t="s">
        <v>25</v>
      </c>
      <c r="M1283" s="586" t="s">
        <v>352</v>
      </c>
      <c r="N1283" s="586"/>
      <c r="O1283" s="714">
        <v>2</v>
      </c>
      <c r="P1283" s="564">
        <v>60000</v>
      </c>
      <c r="Q1283" s="564">
        <v>120000</v>
      </c>
      <c r="R1283" s="566" t="s">
        <v>1769</v>
      </c>
      <c r="S1283" s="609" t="s">
        <v>2804</v>
      </c>
      <c r="T1283" s="710">
        <v>26.35</v>
      </c>
      <c r="U1283" s="661"/>
      <c r="V1283" s="564">
        <v>0</v>
      </c>
      <c r="W1283" s="564">
        <v>0</v>
      </c>
      <c r="X1283" s="683"/>
      <c r="Y1283" s="683"/>
      <c r="Z1283" s="683"/>
      <c r="AA1283" s="694"/>
      <c r="AB1283" s="683"/>
      <c r="AC1283" s="683"/>
      <c r="AD1283" s="683"/>
      <c r="AE1283" s="590"/>
      <c r="AF1283" s="570" t="s">
        <v>2899</v>
      </c>
      <c r="AG1283" s="570" t="s">
        <v>25</v>
      </c>
      <c r="AH1283" s="571" t="s">
        <v>25</v>
      </c>
      <c r="AI1283" s="593"/>
      <c r="AJ1283" s="593"/>
    </row>
    <row r="1284" spans="1:36" s="385" customFormat="1" ht="60.75" outlineLevel="2" x14ac:dyDescent="0.3">
      <c r="A1284" s="447">
        <v>102</v>
      </c>
      <c r="B1284" s="558"/>
      <c r="C1284" s="558"/>
      <c r="D1284" s="615"/>
      <c r="E1284" s="700"/>
      <c r="F1284" s="558"/>
      <c r="G1284" s="709"/>
      <c r="H1284" s="546"/>
      <c r="I1284" s="563" t="s">
        <v>25</v>
      </c>
      <c r="J1284" s="563" t="s">
        <v>25</v>
      </c>
      <c r="K1284" s="564" t="s">
        <v>25</v>
      </c>
      <c r="L1284" s="564" t="s">
        <v>25</v>
      </c>
      <c r="M1284" s="586" t="s">
        <v>739</v>
      </c>
      <c r="N1284" s="586"/>
      <c r="O1284" s="714">
        <v>1</v>
      </c>
      <c r="P1284" s="564">
        <v>72000</v>
      </c>
      <c r="Q1284" s="564">
        <v>72000</v>
      </c>
      <c r="R1284" s="586" t="s">
        <v>1770</v>
      </c>
      <c r="S1284" s="609" t="s">
        <v>2823</v>
      </c>
      <c r="T1284" s="710">
        <v>0.14000000000000001</v>
      </c>
      <c r="U1284" s="661"/>
      <c r="V1284" s="564">
        <v>3591896</v>
      </c>
      <c r="W1284" s="564">
        <v>503000</v>
      </c>
      <c r="X1284" s="683"/>
      <c r="Y1284" s="683"/>
      <c r="Z1284" s="683"/>
      <c r="AA1284" s="694"/>
      <c r="AB1284" s="683"/>
      <c r="AC1284" s="683"/>
      <c r="AD1284" s="683"/>
      <c r="AE1284" s="590"/>
      <c r="AF1284" s="570" t="s">
        <v>2899</v>
      </c>
      <c r="AG1284" s="570" t="s">
        <v>25</v>
      </c>
      <c r="AH1284" s="571" t="s">
        <v>25</v>
      </c>
      <c r="AI1284" s="593"/>
      <c r="AJ1284" s="593"/>
    </row>
    <row r="1285" spans="1:36" s="385" customFormat="1" ht="60.75" outlineLevel="2" x14ac:dyDescent="0.3">
      <c r="A1285" s="447">
        <v>102</v>
      </c>
      <c r="B1285" s="558"/>
      <c r="C1285" s="558"/>
      <c r="D1285" s="615"/>
      <c r="E1285" s="700"/>
      <c r="F1285" s="558"/>
      <c r="G1285" s="709"/>
      <c r="H1285" s="546"/>
      <c r="I1285" s="563" t="s">
        <v>25</v>
      </c>
      <c r="J1285" s="563" t="s">
        <v>25</v>
      </c>
      <c r="K1285" s="564" t="s">
        <v>25</v>
      </c>
      <c r="L1285" s="564" t="s">
        <v>25</v>
      </c>
      <c r="M1285" s="586" t="s">
        <v>948</v>
      </c>
      <c r="N1285" s="586"/>
      <c r="O1285" s="714">
        <v>1</v>
      </c>
      <c r="P1285" s="564">
        <v>0</v>
      </c>
      <c r="Q1285" s="564">
        <v>0</v>
      </c>
      <c r="R1285" s="586" t="s">
        <v>1771</v>
      </c>
      <c r="S1285" s="609" t="s">
        <v>2804</v>
      </c>
      <c r="T1285" s="710">
        <v>1.5</v>
      </c>
      <c r="U1285" s="661"/>
      <c r="V1285" s="564">
        <v>348773</v>
      </c>
      <c r="W1285" s="564">
        <v>523000</v>
      </c>
      <c r="X1285" s="683"/>
      <c r="Y1285" s="683"/>
      <c r="Z1285" s="683"/>
      <c r="AA1285" s="694"/>
      <c r="AB1285" s="683"/>
      <c r="AC1285" s="683"/>
      <c r="AD1285" s="683"/>
      <c r="AE1285" s="590"/>
      <c r="AF1285" s="570" t="s">
        <v>2899</v>
      </c>
      <c r="AG1285" s="570" t="s">
        <v>25</v>
      </c>
      <c r="AH1285" s="571" t="s">
        <v>25</v>
      </c>
      <c r="AI1285" s="593"/>
      <c r="AJ1285" s="593"/>
    </row>
    <row r="1286" spans="1:36" s="385" customFormat="1" ht="60.75" outlineLevel="2" x14ac:dyDescent="0.3">
      <c r="A1286" s="447">
        <v>102</v>
      </c>
      <c r="B1286" s="558"/>
      <c r="C1286" s="558"/>
      <c r="D1286" s="615"/>
      <c r="E1286" s="700"/>
      <c r="F1286" s="558"/>
      <c r="G1286" s="709"/>
      <c r="H1286" s="546"/>
      <c r="I1286" s="563" t="s">
        <v>25</v>
      </c>
      <c r="J1286" s="563" t="s">
        <v>25</v>
      </c>
      <c r="K1286" s="564" t="s">
        <v>25</v>
      </c>
      <c r="L1286" s="564" t="s">
        <v>25</v>
      </c>
      <c r="M1286" s="586" t="s">
        <v>2824</v>
      </c>
      <c r="N1286" s="586"/>
      <c r="O1286" s="714">
        <v>3</v>
      </c>
      <c r="P1286" s="564">
        <v>8000</v>
      </c>
      <c r="Q1286" s="564">
        <v>24000</v>
      </c>
      <c r="R1286" s="586" t="s">
        <v>1772</v>
      </c>
      <c r="S1286" s="609" t="s">
        <v>2804</v>
      </c>
      <c r="T1286" s="710">
        <v>0.52</v>
      </c>
      <c r="U1286" s="661"/>
      <c r="V1286" s="564">
        <v>254391</v>
      </c>
      <c r="W1286" s="564">
        <v>132000</v>
      </c>
      <c r="X1286" s="683"/>
      <c r="Y1286" s="683"/>
      <c r="Z1286" s="683"/>
      <c r="AA1286" s="694"/>
      <c r="AB1286" s="683"/>
      <c r="AC1286" s="683"/>
      <c r="AD1286" s="683"/>
      <c r="AE1286" s="590"/>
      <c r="AF1286" s="570" t="s">
        <v>2899</v>
      </c>
      <c r="AG1286" s="570" t="s">
        <v>25</v>
      </c>
      <c r="AH1286" s="571" t="s">
        <v>25</v>
      </c>
      <c r="AI1286" s="593"/>
      <c r="AJ1286" s="593"/>
    </row>
    <row r="1287" spans="1:36" s="385" customFormat="1" ht="60.75" outlineLevel="2" x14ac:dyDescent="0.3">
      <c r="A1287" s="447">
        <v>102</v>
      </c>
      <c r="B1287" s="558"/>
      <c r="C1287" s="558"/>
      <c r="D1287" s="615"/>
      <c r="E1287" s="700"/>
      <c r="F1287" s="558"/>
      <c r="G1287" s="709"/>
      <c r="H1287" s="546"/>
      <c r="I1287" s="563" t="s">
        <v>25</v>
      </c>
      <c r="J1287" s="563" t="s">
        <v>25</v>
      </c>
      <c r="K1287" s="564" t="s">
        <v>25</v>
      </c>
      <c r="L1287" s="564" t="s">
        <v>25</v>
      </c>
      <c r="M1287" s="586"/>
      <c r="N1287" s="586"/>
      <c r="O1287" s="714"/>
      <c r="P1287" s="564" t="s">
        <v>25</v>
      </c>
      <c r="Q1287" s="564" t="s">
        <v>25</v>
      </c>
      <c r="R1287" s="586" t="s">
        <v>1771</v>
      </c>
      <c r="S1287" s="609" t="s">
        <v>2804</v>
      </c>
      <c r="T1287" s="710">
        <v>1.32</v>
      </c>
      <c r="U1287" s="661"/>
      <c r="V1287" s="564">
        <v>348773</v>
      </c>
      <c r="W1287" s="564">
        <v>460000</v>
      </c>
      <c r="X1287" s="683"/>
      <c r="Y1287" s="683"/>
      <c r="Z1287" s="683"/>
      <c r="AA1287" s="694"/>
      <c r="AB1287" s="683"/>
      <c r="AC1287" s="683"/>
      <c r="AD1287" s="683"/>
      <c r="AE1287" s="590"/>
      <c r="AF1287" s="570" t="s">
        <v>2899</v>
      </c>
      <c r="AG1287" s="570" t="s">
        <v>25</v>
      </c>
      <c r="AH1287" s="571" t="s">
        <v>25</v>
      </c>
      <c r="AI1287" s="593"/>
      <c r="AJ1287" s="593"/>
    </row>
    <row r="1288" spans="1:36" s="385" customFormat="1" ht="60.75" outlineLevel="2" x14ac:dyDescent="0.3">
      <c r="A1288" s="447">
        <v>102</v>
      </c>
      <c r="B1288" s="572"/>
      <c r="C1288" s="572"/>
      <c r="D1288" s="615"/>
      <c r="E1288" s="700"/>
      <c r="F1288" s="558"/>
      <c r="G1288" s="709"/>
      <c r="H1288" s="546"/>
      <c r="I1288" s="563" t="s">
        <v>25</v>
      </c>
      <c r="J1288" s="563" t="s">
        <v>25</v>
      </c>
      <c r="K1288" s="564" t="s">
        <v>25</v>
      </c>
      <c r="L1288" s="564" t="s">
        <v>25</v>
      </c>
      <c r="M1288" s="586"/>
      <c r="N1288" s="586"/>
      <c r="O1288" s="714"/>
      <c r="P1288" s="564" t="s">
        <v>25</v>
      </c>
      <c r="Q1288" s="564" t="s">
        <v>25</v>
      </c>
      <c r="R1288" s="586" t="s">
        <v>1771</v>
      </c>
      <c r="S1288" s="609" t="s">
        <v>2804</v>
      </c>
      <c r="T1288" s="710">
        <v>0.36</v>
      </c>
      <c r="U1288" s="661"/>
      <c r="V1288" s="564">
        <v>348773</v>
      </c>
      <c r="W1288" s="564">
        <v>126000</v>
      </c>
      <c r="X1288" s="683"/>
      <c r="Y1288" s="683"/>
      <c r="Z1288" s="683"/>
      <c r="AA1288" s="694"/>
      <c r="AB1288" s="683"/>
      <c r="AC1288" s="683"/>
      <c r="AD1288" s="683"/>
      <c r="AE1288" s="590"/>
      <c r="AF1288" s="570" t="s">
        <v>2899</v>
      </c>
      <c r="AG1288" s="570" t="s">
        <v>25</v>
      </c>
      <c r="AH1288" s="571" t="s">
        <v>25</v>
      </c>
      <c r="AI1288" s="593"/>
      <c r="AJ1288" s="593"/>
    </row>
    <row r="1289" spans="1:36" s="385" customFormat="1" ht="44.25" outlineLevel="2" x14ac:dyDescent="0.3">
      <c r="A1289" s="447">
        <v>102</v>
      </c>
      <c r="B1289" s="572"/>
      <c r="C1289" s="572"/>
      <c r="D1289" s="615"/>
      <c r="E1289" s="700"/>
      <c r="F1289" s="558"/>
      <c r="G1289" s="709"/>
      <c r="H1289" s="546"/>
      <c r="I1289" s="563" t="s">
        <v>25</v>
      </c>
      <c r="J1289" s="563" t="s">
        <v>25</v>
      </c>
      <c r="K1289" s="564" t="s">
        <v>25</v>
      </c>
      <c r="L1289" s="564" t="s">
        <v>25</v>
      </c>
      <c r="M1289" s="586"/>
      <c r="N1289" s="586"/>
      <c r="O1289" s="714"/>
      <c r="P1289" s="564" t="s">
        <v>25</v>
      </c>
      <c r="Q1289" s="564" t="s">
        <v>25</v>
      </c>
      <c r="R1289" s="586" t="s">
        <v>1773</v>
      </c>
      <c r="S1289" s="609" t="s">
        <v>2823</v>
      </c>
      <c r="T1289" s="710">
        <v>0.08</v>
      </c>
      <c r="U1289" s="661"/>
      <c r="V1289" s="564">
        <v>0</v>
      </c>
      <c r="W1289" s="564">
        <v>0</v>
      </c>
      <c r="X1289" s="683"/>
      <c r="Y1289" s="683"/>
      <c r="Z1289" s="683"/>
      <c r="AA1289" s="694"/>
      <c r="AB1289" s="683"/>
      <c r="AC1289" s="683"/>
      <c r="AD1289" s="683"/>
      <c r="AE1289" s="590"/>
      <c r="AF1289" s="570" t="s">
        <v>2899</v>
      </c>
      <c r="AG1289" s="570" t="s">
        <v>25</v>
      </c>
      <c r="AH1289" s="571" t="s">
        <v>25</v>
      </c>
      <c r="AI1289" s="593"/>
      <c r="AJ1289" s="593"/>
    </row>
    <row r="1290" spans="1:36" s="385" customFormat="1" ht="60.75" outlineLevel="2" x14ac:dyDescent="0.3">
      <c r="A1290" s="447">
        <v>102</v>
      </c>
      <c r="B1290" s="572"/>
      <c r="C1290" s="572"/>
      <c r="D1290" s="612"/>
      <c r="E1290" s="612"/>
      <c r="F1290" s="558"/>
      <c r="G1290" s="709"/>
      <c r="H1290" s="546"/>
      <c r="I1290" s="563" t="s">
        <v>25</v>
      </c>
      <c r="J1290" s="563" t="s">
        <v>25</v>
      </c>
      <c r="K1290" s="564" t="s">
        <v>25</v>
      </c>
      <c r="L1290" s="564" t="s">
        <v>25</v>
      </c>
      <c r="M1290" s="586"/>
      <c r="N1290" s="586"/>
      <c r="O1290" s="714"/>
      <c r="P1290" s="564" t="s">
        <v>25</v>
      </c>
      <c r="Q1290" s="564" t="s">
        <v>25</v>
      </c>
      <c r="R1290" s="586" t="s">
        <v>1774</v>
      </c>
      <c r="S1290" s="609" t="s">
        <v>2804</v>
      </c>
      <c r="T1290" s="710">
        <v>2.16</v>
      </c>
      <c r="U1290" s="661"/>
      <c r="V1290" s="564">
        <v>286855</v>
      </c>
      <c r="W1290" s="564">
        <v>620000</v>
      </c>
      <c r="X1290" s="683"/>
      <c r="Y1290" s="683"/>
      <c r="Z1290" s="683"/>
      <c r="AA1290" s="694"/>
      <c r="AB1290" s="683"/>
      <c r="AC1290" s="683"/>
      <c r="AD1290" s="683"/>
      <c r="AE1290" s="590"/>
      <c r="AF1290" s="570" t="s">
        <v>2899</v>
      </c>
      <c r="AG1290" s="570" t="s">
        <v>25</v>
      </c>
      <c r="AH1290" s="571" t="s">
        <v>25</v>
      </c>
      <c r="AI1290" s="586"/>
      <c r="AJ1290" s="586"/>
    </row>
    <row r="1291" spans="1:36" s="385" customFormat="1" ht="44.25" outlineLevel="2" x14ac:dyDescent="0.3">
      <c r="A1291" s="447">
        <v>102</v>
      </c>
      <c r="B1291" s="572"/>
      <c r="C1291" s="572"/>
      <c r="D1291" s="612"/>
      <c r="E1291" s="612"/>
      <c r="F1291" s="586"/>
      <c r="G1291" s="709"/>
      <c r="H1291" s="546"/>
      <c r="I1291" s="563" t="s">
        <v>25</v>
      </c>
      <c r="J1291" s="563" t="s">
        <v>25</v>
      </c>
      <c r="K1291" s="564" t="s">
        <v>25</v>
      </c>
      <c r="L1291" s="564" t="s">
        <v>25</v>
      </c>
      <c r="M1291" s="586"/>
      <c r="N1291" s="586"/>
      <c r="O1291" s="714"/>
      <c r="P1291" s="564" t="s">
        <v>25</v>
      </c>
      <c r="Q1291" s="564" t="s">
        <v>25</v>
      </c>
      <c r="R1291" s="586" t="s">
        <v>1775</v>
      </c>
      <c r="S1291" s="609" t="s">
        <v>2804</v>
      </c>
      <c r="T1291" s="710">
        <v>12.75</v>
      </c>
      <c r="U1291" s="661"/>
      <c r="V1291" s="564">
        <v>0</v>
      </c>
      <c r="W1291" s="564">
        <v>0</v>
      </c>
      <c r="X1291" s="683"/>
      <c r="Y1291" s="683"/>
      <c r="Z1291" s="683"/>
      <c r="AA1291" s="694"/>
      <c r="AB1291" s="683"/>
      <c r="AC1291" s="683"/>
      <c r="AD1291" s="683"/>
      <c r="AE1291" s="590"/>
      <c r="AF1291" s="570" t="s">
        <v>2899</v>
      </c>
      <c r="AG1291" s="570" t="s">
        <v>25</v>
      </c>
      <c r="AH1291" s="571" t="s">
        <v>25</v>
      </c>
      <c r="AI1291" s="593"/>
      <c r="AJ1291" s="593"/>
    </row>
    <row r="1292" spans="1:36" s="385" customFormat="1" ht="44.25" outlineLevel="2" x14ac:dyDescent="0.3">
      <c r="A1292" s="447">
        <v>102</v>
      </c>
      <c r="B1292" s="572"/>
      <c r="C1292" s="572"/>
      <c r="D1292" s="612"/>
      <c r="E1292" s="612"/>
      <c r="F1292" s="586"/>
      <c r="G1292" s="709"/>
      <c r="H1292" s="546"/>
      <c r="I1292" s="563" t="s">
        <v>25</v>
      </c>
      <c r="J1292" s="563" t="s">
        <v>25</v>
      </c>
      <c r="K1292" s="564" t="s">
        <v>25</v>
      </c>
      <c r="L1292" s="564" t="s">
        <v>25</v>
      </c>
      <c r="M1292" s="586"/>
      <c r="N1292" s="586"/>
      <c r="O1292" s="714"/>
      <c r="P1292" s="564" t="s">
        <v>25</v>
      </c>
      <c r="Q1292" s="564" t="s">
        <v>25</v>
      </c>
      <c r="R1292" s="586" t="s">
        <v>1776</v>
      </c>
      <c r="S1292" s="609" t="s">
        <v>2804</v>
      </c>
      <c r="T1292" s="710">
        <v>94.8</v>
      </c>
      <c r="U1292" s="661"/>
      <c r="V1292" s="564">
        <v>177161</v>
      </c>
      <c r="W1292" s="564">
        <v>16795000</v>
      </c>
      <c r="X1292" s="683"/>
      <c r="Y1292" s="683"/>
      <c r="Z1292" s="683"/>
      <c r="AA1292" s="694"/>
      <c r="AB1292" s="683"/>
      <c r="AC1292" s="683"/>
      <c r="AD1292" s="683"/>
      <c r="AE1292" s="590"/>
      <c r="AF1292" s="570" t="s">
        <v>2899</v>
      </c>
      <c r="AG1292" s="570" t="s">
        <v>25</v>
      </c>
      <c r="AH1292" s="571" t="s">
        <v>25</v>
      </c>
      <c r="AI1292" s="593"/>
      <c r="AJ1292" s="593"/>
    </row>
    <row r="1293" spans="1:36" s="385" customFormat="1" ht="60.75" outlineLevel="2" x14ac:dyDescent="0.3">
      <c r="A1293" s="447">
        <v>102</v>
      </c>
      <c r="B1293" s="572"/>
      <c r="C1293" s="572"/>
      <c r="D1293" s="612"/>
      <c r="E1293" s="612"/>
      <c r="F1293" s="586"/>
      <c r="G1293" s="709"/>
      <c r="H1293" s="546"/>
      <c r="I1293" s="563" t="s">
        <v>25</v>
      </c>
      <c r="J1293" s="563" t="s">
        <v>25</v>
      </c>
      <c r="K1293" s="564" t="s">
        <v>25</v>
      </c>
      <c r="L1293" s="564" t="s">
        <v>25</v>
      </c>
      <c r="M1293" s="586"/>
      <c r="N1293" s="586"/>
      <c r="O1293" s="714"/>
      <c r="P1293" s="564" t="s">
        <v>25</v>
      </c>
      <c r="Q1293" s="564" t="s">
        <v>25</v>
      </c>
      <c r="R1293" s="586" t="s">
        <v>1777</v>
      </c>
      <c r="S1293" s="609" t="s">
        <v>2804</v>
      </c>
      <c r="T1293" s="710">
        <v>65.400000000000006</v>
      </c>
      <c r="U1293" s="661"/>
      <c r="V1293" s="564">
        <v>286855</v>
      </c>
      <c r="W1293" s="564">
        <v>18760000</v>
      </c>
      <c r="X1293" s="683"/>
      <c r="Y1293" s="683"/>
      <c r="Z1293" s="683"/>
      <c r="AA1293" s="694"/>
      <c r="AB1293" s="683"/>
      <c r="AC1293" s="683"/>
      <c r="AD1293" s="683"/>
      <c r="AE1293" s="590"/>
      <c r="AF1293" s="570" t="s">
        <v>2899</v>
      </c>
      <c r="AG1293" s="570" t="s">
        <v>25</v>
      </c>
      <c r="AH1293" s="571" t="s">
        <v>25</v>
      </c>
      <c r="AI1293" s="593"/>
      <c r="AJ1293" s="593"/>
    </row>
    <row r="1294" spans="1:36" s="385" customFormat="1" ht="20.25" outlineLevel="2" x14ac:dyDescent="0.3">
      <c r="A1294" s="447">
        <v>102</v>
      </c>
      <c r="B1294" s="572"/>
      <c r="C1294" s="572"/>
      <c r="D1294" s="615"/>
      <c r="E1294" s="700"/>
      <c r="F1294" s="586"/>
      <c r="G1294" s="709"/>
      <c r="H1294" s="546"/>
      <c r="I1294" s="563" t="s">
        <v>25</v>
      </c>
      <c r="J1294" s="563" t="s">
        <v>25</v>
      </c>
      <c r="K1294" s="564" t="s">
        <v>25</v>
      </c>
      <c r="L1294" s="564" t="s">
        <v>25</v>
      </c>
      <c r="M1294" s="586"/>
      <c r="N1294" s="586"/>
      <c r="O1294" s="714"/>
      <c r="P1294" s="564" t="s">
        <v>25</v>
      </c>
      <c r="Q1294" s="564" t="s">
        <v>25</v>
      </c>
      <c r="R1294" s="586"/>
      <c r="S1294" s="609"/>
      <c r="T1294" s="710"/>
      <c r="U1294" s="661"/>
      <c r="V1294" s="564" t="s">
        <v>2899</v>
      </c>
      <c r="W1294" s="564" t="s">
        <v>25</v>
      </c>
      <c r="X1294" s="683"/>
      <c r="Y1294" s="683"/>
      <c r="Z1294" s="683"/>
      <c r="AA1294" s="694"/>
      <c r="AB1294" s="683"/>
      <c r="AC1294" s="683"/>
      <c r="AD1294" s="683"/>
      <c r="AE1294" s="590"/>
      <c r="AF1294" s="570" t="s">
        <v>2899</v>
      </c>
      <c r="AG1294" s="570" t="s">
        <v>25</v>
      </c>
      <c r="AH1294" s="571" t="s">
        <v>25</v>
      </c>
      <c r="AI1294" s="593"/>
      <c r="AJ1294" s="593"/>
    </row>
    <row r="1295" spans="1:36" s="385" customFormat="1" ht="20.25" outlineLevel="2" x14ac:dyDescent="0.3">
      <c r="A1295" s="447">
        <v>102</v>
      </c>
      <c r="B1295" s="574"/>
      <c r="C1295" s="574"/>
      <c r="D1295" s="705"/>
      <c r="E1295" s="706"/>
      <c r="F1295" s="558"/>
      <c r="G1295" s="709"/>
      <c r="H1295" s="546"/>
      <c r="I1295" s="563" t="s">
        <v>25</v>
      </c>
      <c r="J1295" s="563" t="s">
        <v>25</v>
      </c>
      <c r="K1295" s="564" t="s">
        <v>25</v>
      </c>
      <c r="L1295" s="564" t="s">
        <v>25</v>
      </c>
      <c r="M1295" s="586"/>
      <c r="N1295" s="586"/>
      <c r="O1295" s="714"/>
      <c r="P1295" s="564" t="s">
        <v>25</v>
      </c>
      <c r="Q1295" s="564" t="s">
        <v>25</v>
      </c>
      <c r="R1295" s="586"/>
      <c r="S1295" s="609"/>
      <c r="T1295" s="710"/>
      <c r="U1295" s="661"/>
      <c r="V1295" s="564" t="s">
        <v>2899</v>
      </c>
      <c r="W1295" s="564" t="s">
        <v>25</v>
      </c>
      <c r="X1295" s="683"/>
      <c r="Y1295" s="683"/>
      <c r="Z1295" s="683"/>
      <c r="AA1295" s="694"/>
      <c r="AB1295" s="683"/>
      <c r="AC1295" s="683"/>
      <c r="AD1295" s="683"/>
      <c r="AE1295" s="590"/>
      <c r="AF1295" s="570" t="s">
        <v>2899</v>
      </c>
      <c r="AG1295" s="570" t="s">
        <v>25</v>
      </c>
      <c r="AH1295" s="571" t="s">
        <v>25</v>
      </c>
      <c r="AI1295" s="593"/>
      <c r="AJ1295" s="593"/>
    </row>
    <row r="1296" spans="1:36" s="385" customFormat="1" ht="40.5" outlineLevel="1" x14ac:dyDescent="0.25">
      <c r="A1296" s="467">
        <v>103</v>
      </c>
      <c r="B1296" s="574" t="s">
        <v>950</v>
      </c>
      <c r="C1296" s="586" t="s">
        <v>2903</v>
      </c>
      <c r="D1296" s="615"/>
      <c r="E1296" s="700"/>
      <c r="F1296" s="574"/>
      <c r="G1296" s="707">
        <v>0</v>
      </c>
      <c r="H1296" s="579">
        <v>0</v>
      </c>
      <c r="I1296" s="581"/>
      <c r="J1296" s="581"/>
      <c r="K1296" s="571">
        <v>0</v>
      </c>
      <c r="L1296" s="571">
        <v>0</v>
      </c>
      <c r="M1296" s="578"/>
      <c r="N1296" s="578"/>
      <c r="O1296" s="712">
        <v>0</v>
      </c>
      <c r="P1296" s="571"/>
      <c r="Q1296" s="571">
        <v>0</v>
      </c>
      <c r="R1296" s="578"/>
      <c r="S1296" s="621"/>
      <c r="T1296" s="708">
        <v>27.9</v>
      </c>
      <c r="U1296" s="663"/>
      <c r="V1296" s="571"/>
      <c r="W1296" s="571">
        <v>32052000</v>
      </c>
      <c r="X1296" s="683"/>
      <c r="Y1296" s="683"/>
      <c r="Z1296" s="683"/>
      <c r="AA1296" s="694"/>
      <c r="AB1296" s="683"/>
      <c r="AC1296" s="683"/>
      <c r="AD1296" s="650"/>
      <c r="AE1296" s="599">
        <f>SUBTOTAL(9,AE1297:AE1302)</f>
        <v>0</v>
      </c>
      <c r="AF1296" s="585"/>
      <c r="AG1296" s="585">
        <v>0</v>
      </c>
      <c r="AH1296" s="571">
        <v>32052000</v>
      </c>
      <c r="AI1296" s="574"/>
      <c r="AJ1296" s="574"/>
    </row>
    <row r="1297" spans="1:36" s="385" customFormat="1" ht="121.5" outlineLevel="2" x14ac:dyDescent="0.3">
      <c r="A1297" s="447">
        <v>103</v>
      </c>
      <c r="B1297" s="558" t="s">
        <v>952</v>
      </c>
      <c r="C1297" s="558"/>
      <c r="D1297" s="615"/>
      <c r="E1297" s="700"/>
      <c r="F1297" s="558"/>
      <c r="G1297" s="709"/>
      <c r="H1297" s="546"/>
      <c r="I1297" s="563" t="s">
        <v>25</v>
      </c>
      <c r="J1297" s="563" t="s">
        <v>25</v>
      </c>
      <c r="K1297" s="564" t="s">
        <v>25</v>
      </c>
      <c r="L1297" s="564" t="s">
        <v>25</v>
      </c>
      <c r="M1297" s="586"/>
      <c r="N1297" s="586"/>
      <c r="O1297" s="714"/>
      <c r="P1297" s="564" t="s">
        <v>25</v>
      </c>
      <c r="Q1297" s="564" t="s">
        <v>25</v>
      </c>
      <c r="R1297" s="586" t="s">
        <v>1778</v>
      </c>
      <c r="S1297" s="609" t="s">
        <v>2804</v>
      </c>
      <c r="T1297" s="710">
        <v>22.5</v>
      </c>
      <c r="U1297" s="661"/>
      <c r="V1297" s="564">
        <v>1399121</v>
      </c>
      <c r="W1297" s="564">
        <v>31480000</v>
      </c>
      <c r="X1297" s="683"/>
      <c r="Y1297" s="683"/>
      <c r="Z1297" s="683"/>
      <c r="AA1297" s="694"/>
      <c r="AB1297" s="683"/>
      <c r="AC1297" s="683"/>
      <c r="AD1297" s="683"/>
      <c r="AE1297" s="590"/>
      <c r="AF1297" s="570" t="s">
        <v>2899</v>
      </c>
      <c r="AG1297" s="570" t="s">
        <v>25</v>
      </c>
      <c r="AH1297" s="571" t="s">
        <v>25</v>
      </c>
      <c r="AI1297" s="558" t="s">
        <v>951</v>
      </c>
      <c r="AJ1297" s="558" t="s">
        <v>2450</v>
      </c>
    </row>
    <row r="1298" spans="1:36" s="385" customFormat="1" ht="101.25" outlineLevel="2" x14ac:dyDescent="0.3">
      <c r="A1298" s="447">
        <v>103</v>
      </c>
      <c r="B1298" s="558" t="s">
        <v>1655</v>
      </c>
      <c r="C1298" s="558"/>
      <c r="D1298" s="615"/>
      <c r="E1298" s="700"/>
      <c r="F1298" s="558"/>
      <c r="G1298" s="709"/>
      <c r="H1298" s="546"/>
      <c r="I1298" s="563" t="s">
        <v>25</v>
      </c>
      <c r="J1298" s="563" t="s">
        <v>25</v>
      </c>
      <c r="K1298" s="564" t="s">
        <v>25</v>
      </c>
      <c r="L1298" s="564" t="s">
        <v>25</v>
      </c>
      <c r="M1298" s="586"/>
      <c r="N1298" s="586"/>
      <c r="O1298" s="714"/>
      <c r="P1298" s="564" t="s">
        <v>25</v>
      </c>
      <c r="Q1298" s="564" t="s">
        <v>25</v>
      </c>
      <c r="R1298" s="586" t="s">
        <v>1748</v>
      </c>
      <c r="S1298" s="609" t="s">
        <v>2804</v>
      </c>
      <c r="T1298" s="710">
        <v>2.7</v>
      </c>
      <c r="U1298" s="661"/>
      <c r="V1298" s="564">
        <v>0</v>
      </c>
      <c r="W1298" s="564">
        <v>0</v>
      </c>
      <c r="X1298" s="683"/>
      <c r="Y1298" s="683"/>
      <c r="Z1298" s="683"/>
      <c r="AA1298" s="694"/>
      <c r="AB1298" s="683"/>
      <c r="AC1298" s="683"/>
      <c r="AD1298" s="683"/>
      <c r="AE1298" s="590"/>
      <c r="AF1298" s="570" t="s">
        <v>2899</v>
      </c>
      <c r="AG1298" s="570" t="s">
        <v>25</v>
      </c>
      <c r="AH1298" s="571" t="s">
        <v>25</v>
      </c>
      <c r="AI1298" s="558"/>
      <c r="AJ1298" s="558" t="s">
        <v>2800</v>
      </c>
    </row>
    <row r="1299" spans="1:36" s="385" customFormat="1" ht="60.75" outlineLevel="2" x14ac:dyDescent="0.3">
      <c r="A1299" s="447">
        <v>103</v>
      </c>
      <c r="B1299" s="572"/>
      <c r="C1299" s="572"/>
      <c r="D1299" s="615"/>
      <c r="E1299" s="700"/>
      <c r="F1299" s="558"/>
      <c r="G1299" s="709"/>
      <c r="H1299" s="546"/>
      <c r="I1299" s="563" t="s">
        <v>25</v>
      </c>
      <c r="J1299" s="563" t="s">
        <v>25</v>
      </c>
      <c r="K1299" s="564" t="s">
        <v>25</v>
      </c>
      <c r="L1299" s="564" t="s">
        <v>25</v>
      </c>
      <c r="M1299" s="558"/>
      <c r="N1299" s="558"/>
      <c r="O1299" s="714"/>
      <c r="P1299" s="564" t="s">
        <v>25</v>
      </c>
      <c r="Q1299" s="564" t="s">
        <v>25</v>
      </c>
      <c r="R1299" s="566" t="s">
        <v>1749</v>
      </c>
      <c r="S1299" s="609" t="s">
        <v>2804</v>
      </c>
      <c r="T1299" s="710">
        <v>2.7</v>
      </c>
      <c r="U1299" s="593"/>
      <c r="V1299" s="564">
        <v>211811</v>
      </c>
      <c r="W1299" s="564">
        <v>572000</v>
      </c>
      <c r="X1299" s="683"/>
      <c r="Y1299" s="683"/>
      <c r="Z1299" s="683"/>
      <c r="AA1299" s="694"/>
      <c r="AB1299" s="683"/>
      <c r="AC1299" s="683"/>
      <c r="AD1299" s="683"/>
      <c r="AE1299" s="590"/>
      <c r="AF1299" s="570" t="s">
        <v>2899</v>
      </c>
      <c r="AG1299" s="570" t="s">
        <v>25</v>
      </c>
      <c r="AH1299" s="571" t="s">
        <v>25</v>
      </c>
      <c r="AI1299" s="558"/>
      <c r="AJ1299" s="558"/>
    </row>
    <row r="1300" spans="1:36" s="385" customFormat="1" ht="20.25" outlineLevel="2" x14ac:dyDescent="0.3">
      <c r="A1300" s="447">
        <v>103</v>
      </c>
      <c r="B1300" s="572"/>
      <c r="C1300" s="572"/>
      <c r="D1300" s="615"/>
      <c r="E1300" s="700"/>
      <c r="F1300" s="558"/>
      <c r="G1300" s="709"/>
      <c r="H1300" s="546"/>
      <c r="I1300" s="563" t="s">
        <v>25</v>
      </c>
      <c r="J1300" s="563" t="s">
        <v>25</v>
      </c>
      <c r="K1300" s="564" t="s">
        <v>25</v>
      </c>
      <c r="L1300" s="564" t="s">
        <v>25</v>
      </c>
      <c r="M1300" s="586"/>
      <c r="N1300" s="586"/>
      <c r="O1300" s="714"/>
      <c r="P1300" s="564" t="s">
        <v>25</v>
      </c>
      <c r="Q1300" s="564" t="s">
        <v>25</v>
      </c>
      <c r="R1300" s="586"/>
      <c r="S1300" s="609"/>
      <c r="T1300" s="710"/>
      <c r="U1300" s="593"/>
      <c r="V1300" s="564" t="s">
        <v>2899</v>
      </c>
      <c r="W1300" s="564" t="s">
        <v>25</v>
      </c>
      <c r="X1300" s="683"/>
      <c r="Y1300" s="683"/>
      <c r="Z1300" s="683"/>
      <c r="AA1300" s="694"/>
      <c r="AB1300" s="683"/>
      <c r="AC1300" s="683"/>
      <c r="AD1300" s="683"/>
      <c r="AE1300" s="590"/>
      <c r="AF1300" s="570" t="s">
        <v>2899</v>
      </c>
      <c r="AG1300" s="570" t="s">
        <v>25</v>
      </c>
      <c r="AH1300" s="571" t="s">
        <v>25</v>
      </c>
      <c r="AI1300" s="593"/>
      <c r="AJ1300" s="593"/>
    </row>
    <row r="1301" spans="1:36" s="385" customFormat="1" ht="20.25" outlineLevel="2" x14ac:dyDescent="0.3">
      <c r="A1301" s="447">
        <v>103</v>
      </c>
      <c r="B1301" s="572"/>
      <c r="C1301" s="572"/>
      <c r="D1301" s="615"/>
      <c r="E1301" s="700"/>
      <c r="F1301" s="558"/>
      <c r="G1301" s="709"/>
      <c r="H1301" s="546"/>
      <c r="I1301" s="563" t="s">
        <v>25</v>
      </c>
      <c r="J1301" s="563" t="s">
        <v>25</v>
      </c>
      <c r="K1301" s="564" t="s">
        <v>25</v>
      </c>
      <c r="L1301" s="564" t="s">
        <v>25</v>
      </c>
      <c r="M1301" s="586"/>
      <c r="N1301" s="586"/>
      <c r="O1301" s="714"/>
      <c r="P1301" s="564" t="s">
        <v>25</v>
      </c>
      <c r="Q1301" s="564" t="s">
        <v>25</v>
      </c>
      <c r="R1301" s="586"/>
      <c r="S1301" s="609"/>
      <c r="T1301" s="710"/>
      <c r="U1301" s="593"/>
      <c r="V1301" s="564" t="s">
        <v>2899</v>
      </c>
      <c r="W1301" s="564" t="s">
        <v>25</v>
      </c>
      <c r="X1301" s="683"/>
      <c r="Y1301" s="683"/>
      <c r="Z1301" s="683"/>
      <c r="AA1301" s="694"/>
      <c r="AB1301" s="683"/>
      <c r="AC1301" s="683"/>
      <c r="AD1301" s="683"/>
      <c r="AE1301" s="590"/>
      <c r="AF1301" s="570" t="s">
        <v>2899</v>
      </c>
      <c r="AG1301" s="570" t="s">
        <v>25</v>
      </c>
      <c r="AH1301" s="571" t="s">
        <v>25</v>
      </c>
      <c r="AI1301" s="593"/>
      <c r="AJ1301" s="593"/>
    </row>
    <row r="1302" spans="1:36" s="385" customFormat="1" ht="20.25" outlineLevel="2" x14ac:dyDescent="0.3">
      <c r="A1302" s="447">
        <v>103</v>
      </c>
      <c r="B1302" s="607"/>
      <c r="C1302" s="607"/>
      <c r="D1302" s="722"/>
      <c r="E1302" s="722"/>
      <c r="F1302" s="558"/>
      <c r="G1302" s="709"/>
      <c r="H1302" s="546"/>
      <c r="I1302" s="563" t="s">
        <v>25</v>
      </c>
      <c r="J1302" s="563" t="s">
        <v>25</v>
      </c>
      <c r="K1302" s="564" t="s">
        <v>25</v>
      </c>
      <c r="L1302" s="564" t="s">
        <v>25</v>
      </c>
      <c r="M1302" s="586"/>
      <c r="N1302" s="586"/>
      <c r="O1302" s="714"/>
      <c r="P1302" s="564" t="s">
        <v>25</v>
      </c>
      <c r="Q1302" s="564" t="s">
        <v>25</v>
      </c>
      <c r="R1302" s="586"/>
      <c r="S1302" s="609"/>
      <c r="T1302" s="710"/>
      <c r="U1302" s="593"/>
      <c r="V1302" s="564" t="s">
        <v>2899</v>
      </c>
      <c r="W1302" s="564" t="s">
        <v>25</v>
      </c>
      <c r="X1302" s="683"/>
      <c r="Y1302" s="683"/>
      <c r="Z1302" s="683"/>
      <c r="AA1302" s="694"/>
      <c r="AB1302" s="683"/>
      <c r="AC1302" s="683"/>
      <c r="AD1302" s="683"/>
      <c r="AE1302" s="590"/>
      <c r="AF1302" s="570" t="s">
        <v>2899</v>
      </c>
      <c r="AG1302" s="570" t="s">
        <v>25</v>
      </c>
      <c r="AH1302" s="571" t="s">
        <v>25</v>
      </c>
      <c r="AI1302" s="593"/>
      <c r="AJ1302" s="593"/>
    </row>
    <row r="1303" spans="1:36" s="385" customFormat="1" ht="40.5" outlineLevel="1" x14ac:dyDescent="0.3">
      <c r="A1303" s="467">
        <v>104</v>
      </c>
      <c r="B1303" s="607" t="s">
        <v>2227</v>
      </c>
      <c r="C1303" s="586" t="s">
        <v>2903</v>
      </c>
      <c r="D1303" s="725"/>
      <c r="E1303" s="725"/>
      <c r="F1303" s="723"/>
      <c r="G1303" s="724">
        <v>0</v>
      </c>
      <c r="H1303" s="579">
        <v>0</v>
      </c>
      <c r="I1303" s="581"/>
      <c r="J1303" s="581"/>
      <c r="K1303" s="571">
        <v>0</v>
      </c>
      <c r="L1303" s="571">
        <v>0</v>
      </c>
      <c r="M1303" s="578"/>
      <c r="N1303" s="578"/>
      <c r="O1303" s="712">
        <v>0</v>
      </c>
      <c r="P1303" s="571"/>
      <c r="Q1303" s="571">
        <v>0</v>
      </c>
      <c r="R1303" s="578"/>
      <c r="S1303" s="621"/>
      <c r="T1303" s="708">
        <v>48.5</v>
      </c>
      <c r="U1303" s="608"/>
      <c r="V1303" s="571"/>
      <c r="W1303" s="571">
        <v>51215000</v>
      </c>
      <c r="X1303" s="683"/>
      <c r="Y1303" s="683"/>
      <c r="Z1303" s="683"/>
      <c r="AA1303" s="694"/>
      <c r="AB1303" s="683"/>
      <c r="AC1303" s="683"/>
      <c r="AD1303" s="650"/>
      <c r="AE1303" s="599">
        <f>SUBTOTAL(9,AE1304:AE1311)</f>
        <v>0</v>
      </c>
      <c r="AF1303" s="585"/>
      <c r="AG1303" s="585">
        <v>0</v>
      </c>
      <c r="AH1303" s="571">
        <v>51215000</v>
      </c>
      <c r="AI1303" s="608"/>
      <c r="AJ1303" s="574"/>
    </row>
    <row r="1304" spans="1:36" s="385" customFormat="1" ht="121.5" outlineLevel="2" x14ac:dyDescent="0.3">
      <c r="A1304" s="447">
        <v>104</v>
      </c>
      <c r="B1304" s="558" t="s">
        <v>955</v>
      </c>
      <c r="C1304" s="558"/>
      <c r="D1304" s="615"/>
      <c r="E1304" s="700"/>
      <c r="F1304" s="704"/>
      <c r="G1304" s="701"/>
      <c r="H1304" s="546"/>
      <c r="I1304" s="563" t="s">
        <v>25</v>
      </c>
      <c r="J1304" s="563" t="s">
        <v>25</v>
      </c>
      <c r="K1304" s="564" t="s">
        <v>25</v>
      </c>
      <c r="L1304" s="564" t="s">
        <v>25</v>
      </c>
      <c r="M1304" s="586"/>
      <c r="N1304" s="586"/>
      <c r="O1304" s="714"/>
      <c r="P1304" s="564" t="s">
        <v>25</v>
      </c>
      <c r="Q1304" s="564" t="s">
        <v>25</v>
      </c>
      <c r="R1304" s="586" t="s">
        <v>1779</v>
      </c>
      <c r="S1304" s="609" t="s">
        <v>2804</v>
      </c>
      <c r="T1304" s="710">
        <v>36</v>
      </c>
      <c r="U1304" s="593"/>
      <c r="V1304" s="564">
        <v>1399121</v>
      </c>
      <c r="W1304" s="564">
        <v>50368000</v>
      </c>
      <c r="X1304" s="683"/>
      <c r="Y1304" s="683"/>
      <c r="Z1304" s="683"/>
      <c r="AA1304" s="694"/>
      <c r="AB1304" s="683"/>
      <c r="AC1304" s="683"/>
      <c r="AD1304" s="683"/>
      <c r="AE1304" s="590"/>
      <c r="AF1304" s="570" t="s">
        <v>2899</v>
      </c>
      <c r="AG1304" s="570" t="s">
        <v>25</v>
      </c>
      <c r="AH1304" s="571" t="s">
        <v>25</v>
      </c>
      <c r="AI1304" s="593" t="s">
        <v>958</v>
      </c>
      <c r="AJ1304" s="558" t="s">
        <v>2450</v>
      </c>
    </row>
    <row r="1305" spans="1:36" s="385" customFormat="1" ht="101.25" outlineLevel="2" x14ac:dyDescent="0.3">
      <c r="A1305" s="447">
        <v>104</v>
      </c>
      <c r="B1305" s="558" t="s">
        <v>1656</v>
      </c>
      <c r="C1305" s="558"/>
      <c r="D1305" s="615"/>
      <c r="E1305" s="700"/>
      <c r="F1305" s="558"/>
      <c r="G1305" s="709"/>
      <c r="H1305" s="546"/>
      <c r="I1305" s="563" t="s">
        <v>25</v>
      </c>
      <c r="J1305" s="563" t="s">
        <v>25</v>
      </c>
      <c r="K1305" s="564" t="s">
        <v>25</v>
      </c>
      <c r="L1305" s="564" t="s">
        <v>25</v>
      </c>
      <c r="M1305" s="586"/>
      <c r="N1305" s="586"/>
      <c r="O1305" s="714"/>
      <c r="P1305" s="564" t="s">
        <v>25</v>
      </c>
      <c r="Q1305" s="564" t="s">
        <v>25</v>
      </c>
      <c r="R1305" s="586" t="s">
        <v>1748</v>
      </c>
      <c r="S1305" s="609" t="s">
        <v>2804</v>
      </c>
      <c r="T1305" s="710">
        <v>4</v>
      </c>
      <c r="U1305" s="593"/>
      <c r="V1305" s="564">
        <v>0</v>
      </c>
      <c r="W1305" s="564">
        <v>0</v>
      </c>
      <c r="X1305" s="683"/>
      <c r="Y1305" s="683"/>
      <c r="Z1305" s="683"/>
      <c r="AA1305" s="694"/>
      <c r="AB1305" s="683"/>
      <c r="AC1305" s="683"/>
      <c r="AD1305" s="683"/>
      <c r="AE1305" s="590"/>
      <c r="AF1305" s="570" t="s">
        <v>2899</v>
      </c>
      <c r="AG1305" s="570" t="s">
        <v>25</v>
      </c>
      <c r="AH1305" s="571" t="s">
        <v>25</v>
      </c>
      <c r="AI1305" s="593"/>
      <c r="AJ1305" s="566" t="s">
        <v>2800</v>
      </c>
    </row>
    <row r="1306" spans="1:36" s="385" customFormat="1" ht="60.75" outlineLevel="2" x14ac:dyDescent="0.3">
      <c r="A1306" s="447">
        <v>104</v>
      </c>
      <c r="B1306" s="558"/>
      <c r="C1306" s="558"/>
      <c r="D1306" s="615"/>
      <c r="E1306" s="700"/>
      <c r="F1306" s="558"/>
      <c r="G1306" s="709"/>
      <c r="H1306" s="546"/>
      <c r="I1306" s="563" t="s">
        <v>25</v>
      </c>
      <c r="J1306" s="563" t="s">
        <v>25</v>
      </c>
      <c r="K1306" s="564" t="s">
        <v>25</v>
      </c>
      <c r="L1306" s="564" t="s">
        <v>25</v>
      </c>
      <c r="M1306" s="586"/>
      <c r="N1306" s="586"/>
      <c r="O1306" s="714"/>
      <c r="P1306" s="564" t="s">
        <v>25</v>
      </c>
      <c r="Q1306" s="564" t="s">
        <v>25</v>
      </c>
      <c r="R1306" s="566" t="s">
        <v>1749</v>
      </c>
      <c r="S1306" s="609" t="s">
        <v>2804</v>
      </c>
      <c r="T1306" s="710">
        <v>4</v>
      </c>
      <c r="U1306" s="593"/>
      <c r="V1306" s="564">
        <v>211811</v>
      </c>
      <c r="W1306" s="564">
        <v>847000</v>
      </c>
      <c r="X1306" s="683"/>
      <c r="Y1306" s="683"/>
      <c r="Z1306" s="683"/>
      <c r="AA1306" s="694"/>
      <c r="AB1306" s="683"/>
      <c r="AC1306" s="683"/>
      <c r="AD1306" s="683"/>
      <c r="AE1306" s="590"/>
      <c r="AF1306" s="570" t="s">
        <v>2899</v>
      </c>
      <c r="AG1306" s="570" t="s">
        <v>25</v>
      </c>
      <c r="AH1306" s="571" t="s">
        <v>25</v>
      </c>
      <c r="AI1306" s="704"/>
      <c r="AJ1306" s="566"/>
    </row>
    <row r="1307" spans="1:36" s="385" customFormat="1" ht="60.75" outlineLevel="2" x14ac:dyDescent="0.3">
      <c r="A1307" s="447">
        <v>104</v>
      </c>
      <c r="B1307" s="558"/>
      <c r="C1307" s="558"/>
      <c r="D1307" s="615"/>
      <c r="E1307" s="700"/>
      <c r="F1307" s="558"/>
      <c r="G1307" s="709"/>
      <c r="H1307" s="546"/>
      <c r="I1307" s="563" t="s">
        <v>25</v>
      </c>
      <c r="J1307" s="563" t="s">
        <v>25</v>
      </c>
      <c r="K1307" s="564" t="s">
        <v>25</v>
      </c>
      <c r="L1307" s="564" t="s">
        <v>25</v>
      </c>
      <c r="M1307" s="565"/>
      <c r="N1307" s="565"/>
      <c r="O1307" s="714"/>
      <c r="P1307" s="564" t="s">
        <v>25</v>
      </c>
      <c r="Q1307" s="564" t="s">
        <v>25</v>
      </c>
      <c r="R1307" s="566" t="s">
        <v>1780</v>
      </c>
      <c r="S1307" s="609" t="s">
        <v>2804</v>
      </c>
      <c r="T1307" s="710">
        <v>4.5</v>
      </c>
      <c r="U1307" s="593"/>
      <c r="V1307" s="564">
        <v>0</v>
      </c>
      <c r="W1307" s="564">
        <v>0</v>
      </c>
      <c r="X1307" s="683"/>
      <c r="Y1307" s="683"/>
      <c r="Z1307" s="683"/>
      <c r="AA1307" s="694"/>
      <c r="AB1307" s="683"/>
      <c r="AC1307" s="683"/>
      <c r="AD1307" s="683"/>
      <c r="AE1307" s="590"/>
      <c r="AF1307" s="570" t="s">
        <v>2899</v>
      </c>
      <c r="AG1307" s="570" t="s">
        <v>25</v>
      </c>
      <c r="AH1307" s="571" t="s">
        <v>25</v>
      </c>
      <c r="AI1307" s="704"/>
      <c r="AJ1307" s="566"/>
    </row>
    <row r="1308" spans="1:36" s="385" customFormat="1" ht="20.25" outlineLevel="2" x14ac:dyDescent="0.3">
      <c r="A1308" s="447">
        <v>104</v>
      </c>
      <c r="B1308" s="558"/>
      <c r="C1308" s="558"/>
      <c r="D1308" s="615"/>
      <c r="E1308" s="700"/>
      <c r="F1308" s="558"/>
      <c r="G1308" s="709"/>
      <c r="H1308" s="546"/>
      <c r="I1308" s="563" t="s">
        <v>25</v>
      </c>
      <c r="J1308" s="563" t="s">
        <v>25</v>
      </c>
      <c r="K1308" s="564" t="s">
        <v>25</v>
      </c>
      <c r="L1308" s="564" t="s">
        <v>25</v>
      </c>
      <c r="M1308" s="565"/>
      <c r="N1308" s="565"/>
      <c r="O1308" s="714"/>
      <c r="P1308" s="564" t="s">
        <v>25</v>
      </c>
      <c r="Q1308" s="564" t="s">
        <v>25</v>
      </c>
      <c r="R1308" s="566"/>
      <c r="S1308" s="609"/>
      <c r="T1308" s="710"/>
      <c r="U1308" s="593"/>
      <c r="V1308" s="564" t="s">
        <v>2899</v>
      </c>
      <c r="W1308" s="564" t="s">
        <v>25</v>
      </c>
      <c r="X1308" s="683"/>
      <c r="Y1308" s="683"/>
      <c r="Z1308" s="683"/>
      <c r="AA1308" s="694"/>
      <c r="AB1308" s="683"/>
      <c r="AC1308" s="683"/>
      <c r="AD1308" s="683"/>
      <c r="AE1308" s="590"/>
      <c r="AF1308" s="570" t="s">
        <v>2899</v>
      </c>
      <c r="AG1308" s="570" t="s">
        <v>25</v>
      </c>
      <c r="AH1308" s="571" t="s">
        <v>25</v>
      </c>
      <c r="AI1308" s="704"/>
      <c r="AJ1308" s="593"/>
    </row>
    <row r="1309" spans="1:36" s="385" customFormat="1" ht="20.25" outlineLevel="2" x14ac:dyDescent="0.3">
      <c r="A1309" s="447">
        <v>104</v>
      </c>
      <c r="B1309" s="558"/>
      <c r="C1309" s="558"/>
      <c r="D1309" s="615"/>
      <c r="E1309" s="700"/>
      <c r="F1309" s="558"/>
      <c r="G1309" s="709"/>
      <c r="H1309" s="546"/>
      <c r="I1309" s="563" t="s">
        <v>25</v>
      </c>
      <c r="J1309" s="563" t="s">
        <v>25</v>
      </c>
      <c r="K1309" s="564" t="s">
        <v>25</v>
      </c>
      <c r="L1309" s="564" t="s">
        <v>25</v>
      </c>
      <c r="M1309" s="565"/>
      <c r="N1309" s="565"/>
      <c r="O1309" s="714"/>
      <c r="P1309" s="564" t="s">
        <v>25</v>
      </c>
      <c r="Q1309" s="564" t="s">
        <v>25</v>
      </c>
      <c r="R1309" s="566"/>
      <c r="S1309" s="609"/>
      <c r="T1309" s="710"/>
      <c r="U1309" s="593"/>
      <c r="V1309" s="564" t="s">
        <v>2899</v>
      </c>
      <c r="W1309" s="564" t="s">
        <v>25</v>
      </c>
      <c r="X1309" s="683"/>
      <c r="Y1309" s="683"/>
      <c r="Z1309" s="683"/>
      <c r="AA1309" s="694"/>
      <c r="AB1309" s="683"/>
      <c r="AC1309" s="683"/>
      <c r="AD1309" s="683"/>
      <c r="AE1309" s="590"/>
      <c r="AF1309" s="570" t="s">
        <v>2899</v>
      </c>
      <c r="AG1309" s="570" t="s">
        <v>25</v>
      </c>
      <c r="AH1309" s="571" t="s">
        <v>25</v>
      </c>
      <c r="AI1309" s="593"/>
      <c r="AJ1309" s="593"/>
    </row>
    <row r="1310" spans="1:36" s="385" customFormat="1" ht="20.25" outlineLevel="2" x14ac:dyDescent="0.3">
      <c r="A1310" s="447">
        <v>104</v>
      </c>
      <c r="B1310" s="558"/>
      <c r="C1310" s="558"/>
      <c r="D1310" s="615"/>
      <c r="E1310" s="700"/>
      <c r="F1310" s="558"/>
      <c r="G1310" s="709"/>
      <c r="H1310" s="546"/>
      <c r="I1310" s="563" t="s">
        <v>25</v>
      </c>
      <c r="J1310" s="563" t="s">
        <v>25</v>
      </c>
      <c r="K1310" s="564" t="s">
        <v>25</v>
      </c>
      <c r="L1310" s="564" t="s">
        <v>25</v>
      </c>
      <c r="M1310" s="565"/>
      <c r="N1310" s="565"/>
      <c r="O1310" s="714"/>
      <c r="P1310" s="564" t="s">
        <v>25</v>
      </c>
      <c r="Q1310" s="564" t="s">
        <v>25</v>
      </c>
      <c r="R1310" s="566"/>
      <c r="S1310" s="609"/>
      <c r="T1310" s="710"/>
      <c r="U1310" s="593"/>
      <c r="V1310" s="564" t="s">
        <v>2899</v>
      </c>
      <c r="W1310" s="564" t="s">
        <v>25</v>
      </c>
      <c r="X1310" s="683"/>
      <c r="Y1310" s="683"/>
      <c r="Z1310" s="683"/>
      <c r="AA1310" s="694"/>
      <c r="AB1310" s="683"/>
      <c r="AC1310" s="683"/>
      <c r="AD1310" s="683"/>
      <c r="AE1310" s="590"/>
      <c r="AF1310" s="570" t="s">
        <v>2899</v>
      </c>
      <c r="AG1310" s="570" t="s">
        <v>25</v>
      </c>
      <c r="AH1310" s="571" t="s">
        <v>25</v>
      </c>
      <c r="AI1310" s="593"/>
      <c r="AJ1310" s="593"/>
    </row>
    <row r="1311" spans="1:36" s="385" customFormat="1" ht="20.25" outlineLevel="2" x14ac:dyDescent="0.3">
      <c r="A1311" s="447">
        <v>104</v>
      </c>
      <c r="B1311" s="574"/>
      <c r="C1311" s="574"/>
      <c r="D1311" s="705"/>
      <c r="E1311" s="706"/>
      <c r="F1311" s="558"/>
      <c r="G1311" s="709"/>
      <c r="H1311" s="546"/>
      <c r="I1311" s="563" t="s">
        <v>25</v>
      </c>
      <c r="J1311" s="563" t="s">
        <v>25</v>
      </c>
      <c r="K1311" s="564" t="s">
        <v>25</v>
      </c>
      <c r="L1311" s="564" t="s">
        <v>25</v>
      </c>
      <c r="M1311" s="565"/>
      <c r="N1311" s="565"/>
      <c r="O1311" s="714"/>
      <c r="P1311" s="564" t="s">
        <v>25</v>
      </c>
      <c r="Q1311" s="564" t="s">
        <v>25</v>
      </c>
      <c r="R1311" s="566"/>
      <c r="S1311" s="609"/>
      <c r="T1311" s="710"/>
      <c r="U1311" s="593"/>
      <c r="V1311" s="564" t="s">
        <v>2899</v>
      </c>
      <c r="W1311" s="564" t="s">
        <v>25</v>
      </c>
      <c r="X1311" s="683"/>
      <c r="Y1311" s="683"/>
      <c r="Z1311" s="683"/>
      <c r="AA1311" s="694"/>
      <c r="AB1311" s="683"/>
      <c r="AC1311" s="683"/>
      <c r="AD1311" s="683"/>
      <c r="AE1311" s="590"/>
      <c r="AF1311" s="570" t="s">
        <v>2899</v>
      </c>
      <c r="AG1311" s="570" t="s">
        <v>25</v>
      </c>
      <c r="AH1311" s="571" t="s">
        <v>25</v>
      </c>
      <c r="AI1311" s="593"/>
      <c r="AJ1311" s="593"/>
    </row>
    <row r="1312" spans="1:36" s="385" customFormat="1" ht="40.5" outlineLevel="1" x14ac:dyDescent="0.25">
      <c r="A1312" s="467">
        <v>105</v>
      </c>
      <c r="B1312" s="574" t="s">
        <v>959</v>
      </c>
      <c r="C1312" s="586" t="s">
        <v>2903</v>
      </c>
      <c r="D1312" s="615">
        <v>86</v>
      </c>
      <c r="E1312" s="700">
        <v>233</v>
      </c>
      <c r="F1312" s="574"/>
      <c r="G1312" s="707">
        <v>2363.6999999999998</v>
      </c>
      <c r="H1312" s="579">
        <v>552</v>
      </c>
      <c r="I1312" s="581"/>
      <c r="J1312" s="581"/>
      <c r="K1312" s="571">
        <v>1310435000</v>
      </c>
      <c r="L1312" s="571">
        <v>918086000</v>
      </c>
      <c r="M1312" s="574"/>
      <c r="N1312" s="574"/>
      <c r="O1312" s="633">
        <v>181</v>
      </c>
      <c r="P1312" s="633">
        <v>2397000</v>
      </c>
      <c r="Q1312" s="571">
        <v>19193000</v>
      </c>
      <c r="R1312" s="582"/>
      <c r="S1312" s="621"/>
      <c r="T1312" s="600">
        <v>3221.8599999999997</v>
      </c>
      <c r="U1312" s="726"/>
      <c r="V1312" s="571"/>
      <c r="W1312" s="571">
        <v>0</v>
      </c>
      <c r="X1312" s="683"/>
      <c r="Y1312" s="683"/>
      <c r="Z1312" s="683"/>
      <c r="AA1312" s="694"/>
      <c r="AB1312" s="683"/>
      <c r="AC1312" s="683"/>
      <c r="AD1312" s="650"/>
      <c r="AE1312" s="599">
        <f>SUBTOTAL(9,AE1313:AE1334)</f>
        <v>0</v>
      </c>
      <c r="AF1312" s="585"/>
      <c r="AG1312" s="585">
        <v>0</v>
      </c>
      <c r="AH1312" s="571">
        <v>2247714000</v>
      </c>
      <c r="AI1312" s="574"/>
      <c r="AJ1312" s="578"/>
    </row>
    <row r="1313" spans="1:36" s="385" customFormat="1" ht="121.5" outlineLevel="2" x14ac:dyDescent="0.3">
      <c r="A1313" s="447">
        <v>105</v>
      </c>
      <c r="B1313" s="558" t="s">
        <v>961</v>
      </c>
      <c r="C1313" s="558"/>
      <c r="D1313" s="615">
        <v>86</v>
      </c>
      <c r="E1313" s="700">
        <v>233</v>
      </c>
      <c r="F1313" s="558" t="s">
        <v>2895</v>
      </c>
      <c r="G1313" s="717">
        <v>1811.6999999999998</v>
      </c>
      <c r="H1313" s="546" t="s">
        <v>2899</v>
      </c>
      <c r="I1313" s="563">
        <v>554400</v>
      </c>
      <c r="J1313" s="563">
        <v>0</v>
      </c>
      <c r="K1313" s="564">
        <v>1004406000</v>
      </c>
      <c r="L1313" s="564">
        <v>0</v>
      </c>
      <c r="M1313" s="558" t="s">
        <v>932</v>
      </c>
      <c r="N1313" s="558"/>
      <c r="O1313" s="630">
        <v>50</v>
      </c>
      <c r="P1313" s="564">
        <v>84000</v>
      </c>
      <c r="Q1313" s="564">
        <v>4200000</v>
      </c>
      <c r="R1313" s="566" t="s">
        <v>2158</v>
      </c>
      <c r="S1313" s="609" t="s">
        <v>2804</v>
      </c>
      <c r="T1313" s="591">
        <v>7.36</v>
      </c>
      <c r="U1313" s="685"/>
      <c r="V1313" s="564"/>
      <c r="W1313" s="564">
        <v>0</v>
      </c>
      <c r="X1313" s="683"/>
      <c r="Y1313" s="683"/>
      <c r="Z1313" s="683"/>
      <c r="AA1313" s="694"/>
      <c r="AB1313" s="683"/>
      <c r="AC1313" s="683"/>
      <c r="AD1313" s="683"/>
      <c r="AE1313" s="590"/>
      <c r="AF1313" s="570" t="s">
        <v>2899</v>
      </c>
      <c r="AG1313" s="570" t="s">
        <v>25</v>
      </c>
      <c r="AH1313" s="571" t="s">
        <v>25</v>
      </c>
      <c r="AI1313" s="558" t="s">
        <v>960</v>
      </c>
      <c r="AJ1313" s="586" t="s">
        <v>2771</v>
      </c>
    </row>
    <row r="1314" spans="1:36" s="385" customFormat="1" ht="101.25" outlineLevel="2" x14ac:dyDescent="0.3">
      <c r="A1314" s="447">
        <v>105</v>
      </c>
      <c r="B1314" s="558" t="s">
        <v>1657</v>
      </c>
      <c r="C1314" s="558"/>
      <c r="D1314" s="615"/>
      <c r="E1314" s="700"/>
      <c r="F1314" s="558" t="s">
        <v>2896</v>
      </c>
      <c r="G1314" s="717">
        <v>552</v>
      </c>
      <c r="H1314" s="546">
        <v>552</v>
      </c>
      <c r="I1314" s="563">
        <v>554400</v>
      </c>
      <c r="J1314" s="563">
        <v>1663200</v>
      </c>
      <c r="K1314" s="564">
        <v>306029000</v>
      </c>
      <c r="L1314" s="564">
        <v>918086000</v>
      </c>
      <c r="M1314" s="558" t="s">
        <v>350</v>
      </c>
      <c r="N1314" s="558"/>
      <c r="O1314" s="630">
        <v>70</v>
      </c>
      <c r="P1314" s="564">
        <v>72000</v>
      </c>
      <c r="Q1314" s="564">
        <v>5040000</v>
      </c>
      <c r="R1314" s="566" t="s">
        <v>2825</v>
      </c>
      <c r="S1314" s="609" t="s">
        <v>2823</v>
      </c>
      <c r="T1314" s="591">
        <v>922.8</v>
      </c>
      <c r="U1314" s="685"/>
      <c r="V1314" s="564"/>
      <c r="W1314" s="564">
        <v>0</v>
      </c>
      <c r="X1314" s="683"/>
      <c r="Y1314" s="683"/>
      <c r="Z1314" s="683"/>
      <c r="AA1314" s="694"/>
      <c r="AB1314" s="683"/>
      <c r="AC1314" s="683"/>
      <c r="AD1314" s="683"/>
      <c r="AE1314" s="590"/>
      <c r="AF1314" s="570" t="s">
        <v>2899</v>
      </c>
      <c r="AG1314" s="570" t="s">
        <v>25</v>
      </c>
      <c r="AH1314" s="571" t="s">
        <v>25</v>
      </c>
      <c r="AI1314" s="558" t="s">
        <v>2826</v>
      </c>
      <c r="AJ1314" s="605" t="s">
        <v>2800</v>
      </c>
    </row>
    <row r="1315" spans="1:36" s="385" customFormat="1" ht="101.25" outlineLevel="2" x14ac:dyDescent="0.3">
      <c r="A1315" s="447">
        <v>105</v>
      </c>
      <c r="B1315" s="572"/>
      <c r="C1315" s="572"/>
      <c r="D1315" s="615"/>
      <c r="E1315" s="700"/>
      <c r="F1315" s="558"/>
      <c r="G1315" s="709"/>
      <c r="H1315" s="546"/>
      <c r="I1315" s="563" t="s">
        <v>25</v>
      </c>
      <c r="J1315" s="563" t="s">
        <v>25</v>
      </c>
      <c r="K1315" s="564" t="s">
        <v>25</v>
      </c>
      <c r="L1315" s="564" t="s">
        <v>25</v>
      </c>
      <c r="M1315" s="558" t="s">
        <v>350</v>
      </c>
      <c r="N1315" s="558"/>
      <c r="O1315" s="630">
        <v>15</v>
      </c>
      <c r="P1315" s="564">
        <v>72000</v>
      </c>
      <c r="Q1315" s="564">
        <v>1080000</v>
      </c>
      <c r="R1315" s="566" t="s">
        <v>1782</v>
      </c>
      <c r="S1315" s="609" t="s">
        <v>2804</v>
      </c>
      <c r="T1315" s="591">
        <v>220.5</v>
      </c>
      <c r="U1315" s="685"/>
      <c r="V1315" s="564"/>
      <c r="W1315" s="564">
        <v>0</v>
      </c>
      <c r="X1315" s="683"/>
      <c r="Y1315" s="683"/>
      <c r="Z1315" s="683"/>
      <c r="AA1315" s="694"/>
      <c r="AB1315" s="683"/>
      <c r="AC1315" s="683"/>
      <c r="AD1315" s="683"/>
      <c r="AE1315" s="590"/>
      <c r="AF1315" s="570" t="s">
        <v>2899</v>
      </c>
      <c r="AG1315" s="570" t="s">
        <v>25</v>
      </c>
      <c r="AH1315" s="571" t="s">
        <v>25</v>
      </c>
      <c r="AI1315" s="558" t="s">
        <v>964</v>
      </c>
      <c r="AJ1315" s="558"/>
    </row>
    <row r="1316" spans="1:36" s="385" customFormat="1" ht="121.5" outlineLevel="2" x14ac:dyDescent="0.3">
      <c r="A1316" s="447">
        <v>105</v>
      </c>
      <c r="B1316" s="572"/>
      <c r="C1316" s="572"/>
      <c r="D1316" s="615"/>
      <c r="E1316" s="700"/>
      <c r="F1316" s="558"/>
      <c r="G1316" s="709"/>
      <c r="H1316" s="546"/>
      <c r="I1316" s="563" t="s">
        <v>25</v>
      </c>
      <c r="J1316" s="563" t="s">
        <v>25</v>
      </c>
      <c r="K1316" s="564" t="s">
        <v>25</v>
      </c>
      <c r="L1316" s="564" t="s">
        <v>25</v>
      </c>
      <c r="M1316" s="558" t="s">
        <v>350</v>
      </c>
      <c r="N1316" s="558"/>
      <c r="O1316" s="630">
        <v>10</v>
      </c>
      <c r="P1316" s="564">
        <v>72000</v>
      </c>
      <c r="Q1316" s="564">
        <v>720000</v>
      </c>
      <c r="R1316" s="566" t="s">
        <v>1783</v>
      </c>
      <c r="S1316" s="609" t="s">
        <v>2804</v>
      </c>
      <c r="T1316" s="710">
        <v>2.4</v>
      </c>
      <c r="U1316" s="715"/>
      <c r="V1316" s="564"/>
      <c r="W1316" s="564">
        <v>0</v>
      </c>
      <c r="X1316" s="683"/>
      <c r="Y1316" s="683"/>
      <c r="Z1316" s="683"/>
      <c r="AA1316" s="694"/>
      <c r="AB1316" s="683"/>
      <c r="AC1316" s="683"/>
      <c r="AD1316" s="683"/>
      <c r="AE1316" s="590"/>
      <c r="AF1316" s="570" t="s">
        <v>2899</v>
      </c>
      <c r="AG1316" s="570" t="s">
        <v>25</v>
      </c>
      <c r="AH1316" s="571" t="s">
        <v>25</v>
      </c>
      <c r="AI1316" s="558" t="s">
        <v>965</v>
      </c>
      <c r="AJ1316" s="558"/>
    </row>
    <row r="1317" spans="1:36" s="385" customFormat="1" ht="101.25" outlineLevel="2" x14ac:dyDescent="0.3">
      <c r="A1317" s="447">
        <v>105</v>
      </c>
      <c r="B1317" s="572"/>
      <c r="C1317" s="572"/>
      <c r="D1317" s="612"/>
      <c r="E1317" s="612"/>
      <c r="F1317" s="558"/>
      <c r="G1317" s="702"/>
      <c r="H1317" s="546"/>
      <c r="I1317" s="563" t="s">
        <v>25</v>
      </c>
      <c r="J1317" s="563" t="s">
        <v>25</v>
      </c>
      <c r="K1317" s="564" t="s">
        <v>25</v>
      </c>
      <c r="L1317" s="564" t="s">
        <v>25</v>
      </c>
      <c r="M1317" s="586" t="s">
        <v>966</v>
      </c>
      <c r="N1317" s="586"/>
      <c r="O1317" s="630">
        <v>1</v>
      </c>
      <c r="P1317" s="564">
        <v>180000</v>
      </c>
      <c r="Q1317" s="564">
        <v>180000</v>
      </c>
      <c r="R1317" s="566" t="s">
        <v>1782</v>
      </c>
      <c r="S1317" s="609" t="s">
        <v>2804</v>
      </c>
      <c r="T1317" s="591">
        <v>157.29999999999998</v>
      </c>
      <c r="U1317" s="685"/>
      <c r="V1317" s="564"/>
      <c r="W1317" s="564">
        <v>0</v>
      </c>
      <c r="X1317" s="683"/>
      <c r="Y1317" s="683"/>
      <c r="Z1317" s="683"/>
      <c r="AA1317" s="694"/>
      <c r="AB1317" s="683"/>
      <c r="AC1317" s="683"/>
      <c r="AD1317" s="683"/>
      <c r="AE1317" s="590"/>
      <c r="AF1317" s="570" t="s">
        <v>2899</v>
      </c>
      <c r="AG1317" s="570" t="s">
        <v>25</v>
      </c>
      <c r="AH1317" s="571" t="s">
        <v>25</v>
      </c>
      <c r="AI1317" s="694" t="s">
        <v>2074</v>
      </c>
      <c r="AJ1317" s="566"/>
    </row>
    <row r="1318" spans="1:36" s="385" customFormat="1" ht="121.5" outlineLevel="2" x14ac:dyDescent="0.3">
      <c r="A1318" s="447">
        <v>105</v>
      </c>
      <c r="B1318" s="558"/>
      <c r="C1318" s="558"/>
      <c r="D1318" s="615"/>
      <c r="E1318" s="700"/>
      <c r="F1318" s="586"/>
      <c r="G1318" s="702"/>
      <c r="H1318" s="546"/>
      <c r="I1318" s="563" t="s">
        <v>25</v>
      </c>
      <c r="J1318" s="563" t="s">
        <v>25</v>
      </c>
      <c r="K1318" s="564" t="s">
        <v>25</v>
      </c>
      <c r="L1318" s="564" t="s">
        <v>25</v>
      </c>
      <c r="M1318" s="586" t="s">
        <v>79</v>
      </c>
      <c r="N1318" s="586"/>
      <c r="O1318" s="630">
        <v>3</v>
      </c>
      <c r="P1318" s="564">
        <v>1035000</v>
      </c>
      <c r="Q1318" s="564">
        <v>3105000</v>
      </c>
      <c r="R1318" s="566" t="s">
        <v>1784</v>
      </c>
      <c r="S1318" s="609" t="s">
        <v>2804</v>
      </c>
      <c r="T1318" s="710">
        <v>1.8</v>
      </c>
      <c r="U1318" s="715"/>
      <c r="V1318" s="564"/>
      <c r="W1318" s="564">
        <v>0</v>
      </c>
      <c r="X1318" s="683"/>
      <c r="Y1318" s="683"/>
      <c r="Z1318" s="683"/>
      <c r="AA1318" s="694"/>
      <c r="AB1318" s="683"/>
      <c r="AC1318" s="683"/>
      <c r="AD1318" s="683"/>
      <c r="AE1318" s="590"/>
      <c r="AF1318" s="570" t="s">
        <v>2899</v>
      </c>
      <c r="AG1318" s="570" t="s">
        <v>25</v>
      </c>
      <c r="AH1318" s="571" t="s">
        <v>25</v>
      </c>
      <c r="AI1318" s="704"/>
      <c r="AJ1318" s="683"/>
    </row>
    <row r="1319" spans="1:36" s="385" customFormat="1" ht="101.25" outlineLevel="2" x14ac:dyDescent="0.3">
      <c r="A1319" s="447">
        <v>105</v>
      </c>
      <c r="B1319" s="558"/>
      <c r="C1319" s="558"/>
      <c r="D1319" s="615"/>
      <c r="E1319" s="700"/>
      <c r="F1319" s="558"/>
      <c r="G1319" s="702"/>
      <c r="H1319" s="546"/>
      <c r="I1319" s="563" t="s">
        <v>25</v>
      </c>
      <c r="J1319" s="563" t="s">
        <v>25</v>
      </c>
      <c r="K1319" s="564" t="s">
        <v>25</v>
      </c>
      <c r="L1319" s="564" t="s">
        <v>25</v>
      </c>
      <c r="M1319" s="586" t="s">
        <v>67</v>
      </c>
      <c r="N1319" s="586"/>
      <c r="O1319" s="630">
        <v>2</v>
      </c>
      <c r="P1319" s="564">
        <v>494000</v>
      </c>
      <c r="Q1319" s="564">
        <v>988000</v>
      </c>
      <c r="R1319" s="566" t="s">
        <v>1782</v>
      </c>
      <c r="S1319" s="609" t="s">
        <v>2804</v>
      </c>
      <c r="T1319" s="591">
        <v>411.7</v>
      </c>
      <c r="U1319" s="685"/>
      <c r="V1319" s="564"/>
      <c r="W1319" s="564">
        <v>0</v>
      </c>
      <c r="X1319" s="683"/>
      <c r="Y1319" s="683"/>
      <c r="Z1319" s="683"/>
      <c r="AA1319" s="694"/>
      <c r="AB1319" s="683"/>
      <c r="AC1319" s="683"/>
      <c r="AD1319" s="683"/>
      <c r="AE1319" s="590"/>
      <c r="AF1319" s="570" t="s">
        <v>2899</v>
      </c>
      <c r="AG1319" s="570" t="s">
        <v>25</v>
      </c>
      <c r="AH1319" s="571" t="s">
        <v>25</v>
      </c>
      <c r="AI1319" s="683"/>
      <c r="AJ1319" s="683"/>
    </row>
    <row r="1320" spans="1:36" s="385" customFormat="1" ht="101.25" outlineLevel="2" x14ac:dyDescent="0.3">
      <c r="A1320" s="447">
        <v>105</v>
      </c>
      <c r="B1320" s="558"/>
      <c r="C1320" s="558"/>
      <c r="D1320" s="615"/>
      <c r="E1320" s="700"/>
      <c r="F1320" s="558"/>
      <c r="G1320" s="702"/>
      <c r="H1320" s="546"/>
      <c r="I1320" s="563" t="s">
        <v>25</v>
      </c>
      <c r="J1320" s="563" t="s">
        <v>25</v>
      </c>
      <c r="K1320" s="564" t="s">
        <v>25</v>
      </c>
      <c r="L1320" s="564" t="s">
        <v>25</v>
      </c>
      <c r="M1320" s="586" t="s">
        <v>400</v>
      </c>
      <c r="N1320" s="586"/>
      <c r="O1320" s="630">
        <v>10</v>
      </c>
      <c r="P1320" s="564">
        <v>228000</v>
      </c>
      <c r="Q1320" s="564">
        <v>2280000</v>
      </c>
      <c r="R1320" s="566" t="s">
        <v>1785</v>
      </c>
      <c r="S1320" s="609" t="s">
        <v>2804</v>
      </c>
      <c r="T1320" s="710">
        <v>2.9</v>
      </c>
      <c r="U1320" s="715"/>
      <c r="V1320" s="564"/>
      <c r="W1320" s="564">
        <v>0</v>
      </c>
      <c r="X1320" s="683"/>
      <c r="Y1320" s="683"/>
      <c r="Z1320" s="683"/>
      <c r="AA1320" s="694"/>
      <c r="AB1320" s="683"/>
      <c r="AC1320" s="683"/>
      <c r="AD1320" s="683"/>
      <c r="AE1320" s="590"/>
      <c r="AF1320" s="570" t="s">
        <v>2899</v>
      </c>
      <c r="AG1320" s="570" t="s">
        <v>25</v>
      </c>
      <c r="AH1320" s="571" t="s">
        <v>25</v>
      </c>
      <c r="AI1320" s="683"/>
      <c r="AJ1320" s="683"/>
    </row>
    <row r="1321" spans="1:36" s="385" customFormat="1" ht="81" outlineLevel="2" x14ac:dyDescent="0.3">
      <c r="A1321" s="447">
        <v>105</v>
      </c>
      <c r="B1321" s="558"/>
      <c r="C1321" s="558"/>
      <c r="D1321" s="615"/>
      <c r="E1321" s="700"/>
      <c r="F1321" s="558"/>
      <c r="G1321" s="702"/>
      <c r="H1321" s="546"/>
      <c r="I1321" s="563" t="s">
        <v>25</v>
      </c>
      <c r="J1321" s="563" t="s">
        <v>25</v>
      </c>
      <c r="K1321" s="564" t="s">
        <v>25</v>
      </c>
      <c r="L1321" s="564" t="s">
        <v>25</v>
      </c>
      <c r="M1321" s="586" t="s">
        <v>401</v>
      </c>
      <c r="N1321" s="586"/>
      <c r="O1321" s="630">
        <v>16</v>
      </c>
      <c r="P1321" s="564">
        <v>80000</v>
      </c>
      <c r="Q1321" s="564">
        <v>1280000</v>
      </c>
      <c r="R1321" s="566" t="s">
        <v>1786</v>
      </c>
      <c r="S1321" s="609" t="s">
        <v>2804</v>
      </c>
      <c r="T1321" s="591">
        <v>339.79999999999995</v>
      </c>
      <c r="U1321" s="685"/>
      <c r="V1321" s="564"/>
      <c r="W1321" s="564">
        <v>0</v>
      </c>
      <c r="X1321" s="683"/>
      <c r="Y1321" s="683"/>
      <c r="Z1321" s="683"/>
      <c r="AA1321" s="694"/>
      <c r="AB1321" s="683"/>
      <c r="AC1321" s="683"/>
      <c r="AD1321" s="683"/>
      <c r="AE1321" s="590"/>
      <c r="AF1321" s="570" t="s">
        <v>2899</v>
      </c>
      <c r="AG1321" s="570" t="s">
        <v>25</v>
      </c>
      <c r="AH1321" s="571" t="s">
        <v>25</v>
      </c>
      <c r="AI1321" s="683"/>
      <c r="AJ1321" s="683"/>
    </row>
    <row r="1322" spans="1:36" s="385" customFormat="1" ht="101.25" outlineLevel="2" x14ac:dyDescent="0.3">
      <c r="A1322" s="447">
        <v>105</v>
      </c>
      <c r="B1322" s="558"/>
      <c r="C1322" s="558"/>
      <c r="D1322" s="615"/>
      <c r="E1322" s="700"/>
      <c r="F1322" s="558"/>
      <c r="G1322" s="702"/>
      <c r="H1322" s="546"/>
      <c r="I1322" s="563" t="s">
        <v>25</v>
      </c>
      <c r="J1322" s="563" t="s">
        <v>25</v>
      </c>
      <c r="K1322" s="564" t="s">
        <v>25</v>
      </c>
      <c r="L1322" s="564" t="s">
        <v>25</v>
      </c>
      <c r="M1322" s="586" t="s">
        <v>401</v>
      </c>
      <c r="N1322" s="586"/>
      <c r="O1322" s="630">
        <v>4</v>
      </c>
      <c r="P1322" s="564">
        <v>80000</v>
      </c>
      <c r="Q1322" s="564">
        <v>320000</v>
      </c>
      <c r="R1322" s="566" t="s">
        <v>1787</v>
      </c>
      <c r="S1322" s="609" t="s">
        <v>2804</v>
      </c>
      <c r="T1322" s="710">
        <v>3.2</v>
      </c>
      <c r="U1322" s="715"/>
      <c r="V1322" s="564"/>
      <c r="W1322" s="564">
        <v>0</v>
      </c>
      <c r="X1322" s="683"/>
      <c r="Y1322" s="683"/>
      <c r="Z1322" s="683"/>
      <c r="AA1322" s="694"/>
      <c r="AB1322" s="683"/>
      <c r="AC1322" s="683"/>
      <c r="AD1322" s="683"/>
      <c r="AE1322" s="590"/>
      <c r="AF1322" s="570" t="s">
        <v>2899</v>
      </c>
      <c r="AG1322" s="570" t="s">
        <v>25</v>
      </c>
      <c r="AH1322" s="571" t="s">
        <v>25</v>
      </c>
      <c r="AI1322" s="683"/>
      <c r="AJ1322" s="683"/>
    </row>
    <row r="1323" spans="1:36" s="385" customFormat="1" ht="81" outlineLevel="2" x14ac:dyDescent="0.3">
      <c r="A1323" s="447">
        <v>105</v>
      </c>
      <c r="B1323" s="558"/>
      <c r="C1323" s="558"/>
      <c r="D1323" s="615"/>
      <c r="E1323" s="700"/>
      <c r="F1323" s="558"/>
      <c r="G1323" s="702"/>
      <c r="H1323" s="546"/>
      <c r="I1323" s="563" t="s">
        <v>25</v>
      </c>
      <c r="J1323" s="563" t="s">
        <v>25</v>
      </c>
      <c r="K1323" s="564" t="s">
        <v>25</v>
      </c>
      <c r="L1323" s="564" t="s">
        <v>25</v>
      </c>
      <c r="M1323" s="586"/>
      <c r="N1323" s="586"/>
      <c r="O1323" s="630"/>
      <c r="P1323" s="564" t="s">
        <v>25</v>
      </c>
      <c r="Q1323" s="564" t="s">
        <v>25</v>
      </c>
      <c r="R1323" s="566" t="s">
        <v>1788</v>
      </c>
      <c r="S1323" s="609" t="s">
        <v>2804</v>
      </c>
      <c r="T1323" s="710">
        <v>2.9</v>
      </c>
      <c r="U1323" s="715"/>
      <c r="V1323" s="564"/>
      <c r="W1323" s="564">
        <v>0</v>
      </c>
      <c r="X1323" s="683"/>
      <c r="Y1323" s="683"/>
      <c r="Z1323" s="683"/>
      <c r="AA1323" s="694"/>
      <c r="AB1323" s="683"/>
      <c r="AC1323" s="683"/>
      <c r="AD1323" s="683"/>
      <c r="AE1323" s="590"/>
      <c r="AF1323" s="570" t="s">
        <v>2899</v>
      </c>
      <c r="AG1323" s="570" t="s">
        <v>25</v>
      </c>
      <c r="AH1323" s="571" t="s">
        <v>25</v>
      </c>
      <c r="AI1323" s="683"/>
      <c r="AJ1323" s="683"/>
    </row>
    <row r="1324" spans="1:36" s="385" customFormat="1" ht="81" outlineLevel="2" x14ac:dyDescent="0.3">
      <c r="A1324" s="447">
        <v>105</v>
      </c>
      <c r="B1324" s="558"/>
      <c r="C1324" s="558"/>
      <c r="D1324" s="615"/>
      <c r="E1324" s="700"/>
      <c r="F1324" s="558"/>
      <c r="G1324" s="702"/>
      <c r="H1324" s="546"/>
      <c r="I1324" s="563" t="s">
        <v>25</v>
      </c>
      <c r="J1324" s="563" t="s">
        <v>25</v>
      </c>
      <c r="K1324" s="564" t="s">
        <v>25</v>
      </c>
      <c r="L1324" s="564" t="s">
        <v>25</v>
      </c>
      <c r="M1324" s="586"/>
      <c r="N1324" s="586"/>
      <c r="O1324" s="630"/>
      <c r="P1324" s="564" t="s">
        <v>25</v>
      </c>
      <c r="Q1324" s="564" t="s">
        <v>25</v>
      </c>
      <c r="R1324" s="566" t="s">
        <v>1786</v>
      </c>
      <c r="S1324" s="609" t="s">
        <v>2804</v>
      </c>
      <c r="T1324" s="591">
        <v>47.2</v>
      </c>
      <c r="U1324" s="685"/>
      <c r="V1324" s="564"/>
      <c r="W1324" s="564">
        <v>0</v>
      </c>
      <c r="X1324" s="683"/>
      <c r="Y1324" s="683"/>
      <c r="Z1324" s="683"/>
      <c r="AA1324" s="694"/>
      <c r="AB1324" s="683"/>
      <c r="AC1324" s="683"/>
      <c r="AD1324" s="683"/>
      <c r="AE1324" s="590"/>
      <c r="AF1324" s="570" t="s">
        <v>2899</v>
      </c>
      <c r="AG1324" s="570" t="s">
        <v>25</v>
      </c>
      <c r="AH1324" s="571" t="s">
        <v>25</v>
      </c>
      <c r="AI1324" s="683"/>
      <c r="AJ1324" s="683"/>
    </row>
    <row r="1325" spans="1:36" s="385" customFormat="1" ht="81" outlineLevel="2" x14ac:dyDescent="0.3">
      <c r="A1325" s="447">
        <v>105</v>
      </c>
      <c r="B1325" s="558"/>
      <c r="C1325" s="558"/>
      <c r="D1325" s="615"/>
      <c r="E1325" s="700"/>
      <c r="F1325" s="558"/>
      <c r="G1325" s="702"/>
      <c r="H1325" s="546"/>
      <c r="I1325" s="563" t="s">
        <v>25</v>
      </c>
      <c r="J1325" s="563" t="s">
        <v>25</v>
      </c>
      <c r="K1325" s="564" t="s">
        <v>25</v>
      </c>
      <c r="L1325" s="564" t="s">
        <v>25</v>
      </c>
      <c r="M1325" s="586"/>
      <c r="N1325" s="586"/>
      <c r="O1325" s="630"/>
      <c r="P1325" s="564" t="s">
        <v>25</v>
      </c>
      <c r="Q1325" s="564" t="s">
        <v>25</v>
      </c>
      <c r="R1325" s="566" t="s">
        <v>1790</v>
      </c>
      <c r="S1325" s="609" t="s">
        <v>2804</v>
      </c>
      <c r="T1325" s="710">
        <v>3.4</v>
      </c>
      <c r="U1325" s="715"/>
      <c r="V1325" s="564"/>
      <c r="W1325" s="564">
        <v>0</v>
      </c>
      <c r="X1325" s="683"/>
      <c r="Y1325" s="683"/>
      <c r="Z1325" s="683"/>
      <c r="AA1325" s="694"/>
      <c r="AB1325" s="683"/>
      <c r="AC1325" s="683"/>
      <c r="AD1325" s="683"/>
      <c r="AE1325" s="590"/>
      <c r="AF1325" s="570" t="s">
        <v>2899</v>
      </c>
      <c r="AG1325" s="570" t="s">
        <v>25</v>
      </c>
      <c r="AH1325" s="571" t="s">
        <v>25</v>
      </c>
      <c r="AI1325" s="683"/>
      <c r="AJ1325" s="683"/>
    </row>
    <row r="1326" spans="1:36" s="385" customFormat="1" ht="81" outlineLevel="2" x14ac:dyDescent="0.3">
      <c r="A1326" s="447">
        <v>105</v>
      </c>
      <c r="B1326" s="558"/>
      <c r="C1326" s="558"/>
      <c r="D1326" s="615"/>
      <c r="E1326" s="700"/>
      <c r="F1326" s="558"/>
      <c r="G1326" s="702"/>
      <c r="H1326" s="546"/>
      <c r="I1326" s="563" t="s">
        <v>25</v>
      </c>
      <c r="J1326" s="563" t="s">
        <v>25</v>
      </c>
      <c r="K1326" s="564" t="s">
        <v>25</v>
      </c>
      <c r="L1326" s="564" t="s">
        <v>25</v>
      </c>
      <c r="M1326" s="586"/>
      <c r="N1326" s="586"/>
      <c r="O1326" s="630"/>
      <c r="P1326" s="564" t="s">
        <v>25</v>
      </c>
      <c r="Q1326" s="564" t="s">
        <v>25</v>
      </c>
      <c r="R1326" s="566" t="s">
        <v>1791</v>
      </c>
      <c r="S1326" s="609" t="s">
        <v>2804</v>
      </c>
      <c r="T1326" s="710">
        <v>326.39999999999998</v>
      </c>
      <c r="U1326" s="715"/>
      <c r="V1326" s="564"/>
      <c r="W1326" s="564">
        <v>0</v>
      </c>
      <c r="X1326" s="683"/>
      <c r="Y1326" s="683"/>
      <c r="Z1326" s="683"/>
      <c r="AA1326" s="694"/>
      <c r="AB1326" s="683"/>
      <c r="AC1326" s="683"/>
      <c r="AD1326" s="683"/>
      <c r="AE1326" s="590"/>
      <c r="AF1326" s="570" t="s">
        <v>2899</v>
      </c>
      <c r="AG1326" s="570" t="s">
        <v>25</v>
      </c>
      <c r="AH1326" s="571" t="s">
        <v>25</v>
      </c>
      <c r="AI1326" s="683"/>
      <c r="AJ1326" s="683"/>
    </row>
    <row r="1327" spans="1:36" s="385" customFormat="1" ht="81" outlineLevel="2" x14ac:dyDescent="0.3">
      <c r="A1327" s="447">
        <v>105</v>
      </c>
      <c r="B1327" s="558"/>
      <c r="C1327" s="558"/>
      <c r="D1327" s="615"/>
      <c r="E1327" s="700"/>
      <c r="F1327" s="558"/>
      <c r="G1327" s="702"/>
      <c r="H1327" s="546"/>
      <c r="I1327" s="563" t="s">
        <v>25</v>
      </c>
      <c r="J1327" s="563" t="s">
        <v>25</v>
      </c>
      <c r="K1327" s="564" t="s">
        <v>25</v>
      </c>
      <c r="L1327" s="564" t="s">
        <v>25</v>
      </c>
      <c r="M1327" s="586"/>
      <c r="N1327" s="586"/>
      <c r="O1327" s="630"/>
      <c r="P1327" s="564" t="s">
        <v>25</v>
      </c>
      <c r="Q1327" s="564" t="s">
        <v>25</v>
      </c>
      <c r="R1327" s="566" t="s">
        <v>1792</v>
      </c>
      <c r="S1327" s="609" t="s">
        <v>2804</v>
      </c>
      <c r="T1327" s="710">
        <v>375.2</v>
      </c>
      <c r="U1327" s="715"/>
      <c r="V1327" s="564"/>
      <c r="W1327" s="564">
        <v>0</v>
      </c>
      <c r="X1327" s="683"/>
      <c r="Y1327" s="683"/>
      <c r="Z1327" s="683"/>
      <c r="AA1327" s="694"/>
      <c r="AB1327" s="683"/>
      <c r="AC1327" s="683"/>
      <c r="AD1327" s="683"/>
      <c r="AE1327" s="590"/>
      <c r="AF1327" s="570" t="s">
        <v>2899</v>
      </c>
      <c r="AG1327" s="570" t="s">
        <v>25</v>
      </c>
      <c r="AH1327" s="571" t="s">
        <v>25</v>
      </c>
      <c r="AI1327" s="683"/>
      <c r="AJ1327" s="683"/>
    </row>
    <row r="1328" spans="1:36" s="385" customFormat="1" ht="60.75" outlineLevel="2" x14ac:dyDescent="0.3">
      <c r="A1328" s="447">
        <v>105</v>
      </c>
      <c r="B1328" s="558"/>
      <c r="C1328" s="558"/>
      <c r="D1328" s="615"/>
      <c r="E1328" s="700"/>
      <c r="F1328" s="558"/>
      <c r="G1328" s="702"/>
      <c r="H1328" s="546"/>
      <c r="I1328" s="563" t="s">
        <v>25</v>
      </c>
      <c r="J1328" s="563" t="s">
        <v>25</v>
      </c>
      <c r="K1328" s="564" t="s">
        <v>25</v>
      </c>
      <c r="L1328" s="564" t="s">
        <v>25</v>
      </c>
      <c r="M1328" s="586"/>
      <c r="N1328" s="586"/>
      <c r="O1328" s="630"/>
      <c r="P1328" s="564" t="s">
        <v>25</v>
      </c>
      <c r="Q1328" s="564" t="s">
        <v>25</v>
      </c>
      <c r="R1328" s="566" t="s">
        <v>1793</v>
      </c>
      <c r="S1328" s="609" t="s">
        <v>2827</v>
      </c>
      <c r="T1328" s="710">
        <v>3.8</v>
      </c>
      <c r="U1328" s="715"/>
      <c r="V1328" s="564"/>
      <c r="W1328" s="564">
        <v>0</v>
      </c>
      <c r="X1328" s="683"/>
      <c r="Y1328" s="683"/>
      <c r="Z1328" s="683"/>
      <c r="AA1328" s="694"/>
      <c r="AB1328" s="683"/>
      <c r="AC1328" s="683"/>
      <c r="AD1328" s="683"/>
      <c r="AE1328" s="590"/>
      <c r="AF1328" s="570" t="s">
        <v>2899</v>
      </c>
      <c r="AG1328" s="570" t="s">
        <v>25</v>
      </c>
      <c r="AH1328" s="571" t="s">
        <v>25</v>
      </c>
      <c r="AI1328" s="683"/>
      <c r="AJ1328" s="683"/>
    </row>
    <row r="1329" spans="1:36" s="385" customFormat="1" ht="60.75" outlineLevel="2" x14ac:dyDescent="0.3">
      <c r="A1329" s="447">
        <v>105</v>
      </c>
      <c r="B1329" s="558"/>
      <c r="C1329" s="558"/>
      <c r="D1329" s="615"/>
      <c r="E1329" s="700"/>
      <c r="F1329" s="558"/>
      <c r="G1329" s="702"/>
      <c r="H1329" s="546"/>
      <c r="I1329" s="563" t="s">
        <v>25</v>
      </c>
      <c r="J1329" s="563" t="s">
        <v>25</v>
      </c>
      <c r="K1329" s="564" t="s">
        <v>25</v>
      </c>
      <c r="L1329" s="564" t="s">
        <v>25</v>
      </c>
      <c r="M1329" s="586"/>
      <c r="N1329" s="586"/>
      <c r="O1329" s="630"/>
      <c r="P1329" s="564" t="s">
        <v>25</v>
      </c>
      <c r="Q1329" s="564" t="s">
        <v>25</v>
      </c>
      <c r="R1329" s="566" t="s">
        <v>1794</v>
      </c>
      <c r="S1329" s="609" t="s">
        <v>2828</v>
      </c>
      <c r="T1329" s="710">
        <v>4.8</v>
      </c>
      <c r="U1329" s="715"/>
      <c r="V1329" s="564"/>
      <c r="W1329" s="564">
        <v>0</v>
      </c>
      <c r="X1329" s="683"/>
      <c r="Y1329" s="683"/>
      <c r="Z1329" s="683"/>
      <c r="AA1329" s="694"/>
      <c r="AB1329" s="683"/>
      <c r="AC1329" s="683"/>
      <c r="AD1329" s="683"/>
      <c r="AE1329" s="590"/>
      <c r="AF1329" s="570" t="s">
        <v>2899</v>
      </c>
      <c r="AG1329" s="570" t="s">
        <v>25</v>
      </c>
      <c r="AH1329" s="571" t="s">
        <v>25</v>
      </c>
      <c r="AI1329" s="683"/>
      <c r="AJ1329" s="683"/>
    </row>
    <row r="1330" spans="1:36" s="385" customFormat="1" ht="81" outlineLevel="2" x14ac:dyDescent="0.3">
      <c r="A1330" s="447">
        <v>105</v>
      </c>
      <c r="B1330" s="558"/>
      <c r="C1330" s="558"/>
      <c r="D1330" s="615"/>
      <c r="E1330" s="700"/>
      <c r="F1330" s="558"/>
      <c r="G1330" s="702"/>
      <c r="H1330" s="546"/>
      <c r="I1330" s="563" t="s">
        <v>25</v>
      </c>
      <c r="J1330" s="563" t="s">
        <v>25</v>
      </c>
      <c r="K1330" s="564" t="s">
        <v>25</v>
      </c>
      <c r="L1330" s="564" t="s">
        <v>25</v>
      </c>
      <c r="M1330" s="586"/>
      <c r="N1330" s="586"/>
      <c r="O1330" s="630"/>
      <c r="P1330" s="564" t="s">
        <v>25</v>
      </c>
      <c r="Q1330" s="564" t="s">
        <v>25</v>
      </c>
      <c r="R1330" s="566" t="s">
        <v>1795</v>
      </c>
      <c r="S1330" s="609" t="s">
        <v>2804</v>
      </c>
      <c r="T1330" s="710">
        <v>27.2</v>
      </c>
      <c r="U1330" s="715"/>
      <c r="V1330" s="564"/>
      <c r="W1330" s="564">
        <v>0</v>
      </c>
      <c r="X1330" s="683"/>
      <c r="Y1330" s="683"/>
      <c r="Z1330" s="683"/>
      <c r="AA1330" s="694"/>
      <c r="AB1330" s="683"/>
      <c r="AC1330" s="683"/>
      <c r="AD1330" s="683"/>
      <c r="AE1330" s="590"/>
      <c r="AF1330" s="570" t="s">
        <v>2899</v>
      </c>
      <c r="AG1330" s="570" t="s">
        <v>25</v>
      </c>
      <c r="AH1330" s="571" t="s">
        <v>25</v>
      </c>
      <c r="AI1330" s="683"/>
      <c r="AJ1330" s="683"/>
    </row>
    <row r="1331" spans="1:36" s="385" customFormat="1" ht="60.75" outlineLevel="2" x14ac:dyDescent="0.3">
      <c r="A1331" s="447">
        <v>105</v>
      </c>
      <c r="B1331" s="558"/>
      <c r="C1331" s="558"/>
      <c r="D1331" s="615"/>
      <c r="E1331" s="700"/>
      <c r="F1331" s="558"/>
      <c r="G1331" s="702"/>
      <c r="H1331" s="546"/>
      <c r="I1331" s="563" t="s">
        <v>25</v>
      </c>
      <c r="J1331" s="563" t="s">
        <v>25</v>
      </c>
      <c r="K1331" s="564" t="s">
        <v>25</v>
      </c>
      <c r="L1331" s="564" t="s">
        <v>25</v>
      </c>
      <c r="M1331" s="586"/>
      <c r="N1331" s="586"/>
      <c r="O1331" s="630"/>
      <c r="P1331" s="564" t="s">
        <v>25</v>
      </c>
      <c r="Q1331" s="564" t="s">
        <v>25</v>
      </c>
      <c r="R1331" s="586" t="s">
        <v>1796</v>
      </c>
      <c r="S1331" s="609" t="s">
        <v>2804</v>
      </c>
      <c r="T1331" s="710">
        <v>361.2</v>
      </c>
      <c r="U1331" s="715"/>
      <c r="V1331" s="564"/>
      <c r="W1331" s="564">
        <v>0</v>
      </c>
      <c r="X1331" s="683"/>
      <c r="Y1331" s="683"/>
      <c r="Z1331" s="683"/>
      <c r="AA1331" s="694"/>
      <c r="AB1331" s="683"/>
      <c r="AC1331" s="683"/>
      <c r="AD1331" s="683"/>
      <c r="AE1331" s="590"/>
      <c r="AF1331" s="570" t="s">
        <v>2899</v>
      </c>
      <c r="AG1331" s="570" t="s">
        <v>25</v>
      </c>
      <c r="AH1331" s="571" t="s">
        <v>25</v>
      </c>
      <c r="AI1331" s="683"/>
      <c r="AJ1331" s="683"/>
    </row>
    <row r="1332" spans="1:36" s="385" customFormat="1" ht="20.25" outlineLevel="2" x14ac:dyDescent="0.3">
      <c r="A1332" s="447">
        <v>105</v>
      </c>
      <c r="B1332" s="558"/>
      <c r="C1332" s="558"/>
      <c r="D1332" s="615"/>
      <c r="E1332" s="700"/>
      <c r="F1332" s="558"/>
      <c r="G1332" s="702"/>
      <c r="H1332" s="546"/>
      <c r="I1332" s="563" t="s">
        <v>25</v>
      </c>
      <c r="J1332" s="563" t="s">
        <v>25</v>
      </c>
      <c r="K1332" s="564" t="s">
        <v>25</v>
      </c>
      <c r="L1332" s="564" t="s">
        <v>25</v>
      </c>
      <c r="M1332" s="586"/>
      <c r="N1332" s="586"/>
      <c r="O1332" s="630"/>
      <c r="P1332" s="564" t="s">
        <v>25</v>
      </c>
      <c r="Q1332" s="564" t="s">
        <v>25</v>
      </c>
      <c r="R1332" s="586"/>
      <c r="S1332" s="609"/>
      <c r="T1332" s="710"/>
      <c r="U1332" s="715"/>
      <c r="V1332" s="564" t="s">
        <v>2899</v>
      </c>
      <c r="W1332" s="564" t="s">
        <v>25</v>
      </c>
      <c r="X1332" s="683"/>
      <c r="Y1332" s="683"/>
      <c r="Z1332" s="683"/>
      <c r="AA1332" s="694"/>
      <c r="AB1332" s="683"/>
      <c r="AC1332" s="683"/>
      <c r="AD1332" s="683"/>
      <c r="AE1332" s="590"/>
      <c r="AF1332" s="570" t="s">
        <v>2899</v>
      </c>
      <c r="AG1332" s="570" t="s">
        <v>25</v>
      </c>
      <c r="AH1332" s="571" t="s">
        <v>25</v>
      </c>
      <c r="AI1332" s="683"/>
      <c r="AJ1332" s="683"/>
    </row>
    <row r="1333" spans="1:36" s="385" customFormat="1" ht="20.25" outlineLevel="2" x14ac:dyDescent="0.3">
      <c r="A1333" s="447">
        <v>105</v>
      </c>
      <c r="B1333" s="558"/>
      <c r="C1333" s="558"/>
      <c r="D1333" s="615"/>
      <c r="E1333" s="700"/>
      <c r="F1333" s="558"/>
      <c r="G1333" s="702"/>
      <c r="H1333" s="546"/>
      <c r="I1333" s="563" t="s">
        <v>25</v>
      </c>
      <c r="J1333" s="563" t="s">
        <v>25</v>
      </c>
      <c r="K1333" s="564" t="s">
        <v>25</v>
      </c>
      <c r="L1333" s="564" t="s">
        <v>25</v>
      </c>
      <c r="M1333" s="586"/>
      <c r="N1333" s="586"/>
      <c r="O1333" s="630"/>
      <c r="P1333" s="564" t="s">
        <v>25</v>
      </c>
      <c r="Q1333" s="564" t="s">
        <v>25</v>
      </c>
      <c r="R1333" s="683"/>
      <c r="S1333" s="586"/>
      <c r="T1333" s="710"/>
      <c r="U1333" s="715"/>
      <c r="V1333" s="564" t="s">
        <v>2899</v>
      </c>
      <c r="W1333" s="564" t="s">
        <v>25</v>
      </c>
      <c r="X1333" s="683"/>
      <c r="Y1333" s="683"/>
      <c r="Z1333" s="683"/>
      <c r="AA1333" s="694"/>
      <c r="AB1333" s="683"/>
      <c r="AC1333" s="683"/>
      <c r="AD1333" s="683"/>
      <c r="AE1333" s="590"/>
      <c r="AF1333" s="570" t="s">
        <v>2899</v>
      </c>
      <c r="AG1333" s="570" t="s">
        <v>25</v>
      </c>
      <c r="AH1333" s="571" t="s">
        <v>25</v>
      </c>
      <c r="AI1333" s="683"/>
      <c r="AJ1333" s="683"/>
    </row>
    <row r="1334" spans="1:36" s="385" customFormat="1" ht="20.25" outlineLevel="2" x14ac:dyDescent="0.3">
      <c r="A1334" s="447">
        <v>105</v>
      </c>
      <c r="B1334" s="574"/>
      <c r="C1334" s="574"/>
      <c r="D1334" s="705"/>
      <c r="E1334" s="706"/>
      <c r="F1334" s="558"/>
      <c r="G1334" s="702"/>
      <c r="H1334" s="546"/>
      <c r="I1334" s="563" t="s">
        <v>25</v>
      </c>
      <c r="J1334" s="563" t="s">
        <v>25</v>
      </c>
      <c r="K1334" s="564" t="s">
        <v>25</v>
      </c>
      <c r="L1334" s="564" t="s">
        <v>25</v>
      </c>
      <c r="M1334" s="683"/>
      <c r="N1334" s="683"/>
      <c r="O1334" s="727"/>
      <c r="P1334" s="564" t="s">
        <v>25</v>
      </c>
      <c r="Q1334" s="564" t="s">
        <v>25</v>
      </c>
      <c r="R1334" s="683"/>
      <c r="S1334" s="586"/>
      <c r="T1334" s="710"/>
      <c r="U1334" s="715"/>
      <c r="V1334" s="564" t="s">
        <v>2899</v>
      </c>
      <c r="W1334" s="564" t="s">
        <v>25</v>
      </c>
      <c r="X1334" s="683"/>
      <c r="Y1334" s="683"/>
      <c r="Z1334" s="683"/>
      <c r="AA1334" s="694"/>
      <c r="AB1334" s="683"/>
      <c r="AC1334" s="683"/>
      <c r="AD1334" s="683"/>
      <c r="AE1334" s="590"/>
      <c r="AF1334" s="570" t="s">
        <v>2899</v>
      </c>
      <c r="AG1334" s="570" t="s">
        <v>25</v>
      </c>
      <c r="AH1334" s="571" t="s">
        <v>25</v>
      </c>
      <c r="AI1334" s="683"/>
      <c r="AJ1334" s="683"/>
    </row>
    <row r="1335" spans="1:36" s="385" customFormat="1" ht="60.75" outlineLevel="1" x14ac:dyDescent="0.25">
      <c r="A1335" s="467">
        <v>106</v>
      </c>
      <c r="B1335" s="574" t="s">
        <v>969</v>
      </c>
      <c r="C1335" s="586" t="s">
        <v>2903</v>
      </c>
      <c r="D1335" s="615"/>
      <c r="E1335" s="700"/>
      <c r="F1335" s="574"/>
      <c r="G1335" s="728">
        <v>982.1</v>
      </c>
      <c r="H1335" s="579">
        <v>0</v>
      </c>
      <c r="I1335" s="581"/>
      <c r="J1335" s="581"/>
      <c r="K1335" s="571">
        <v>0</v>
      </c>
      <c r="L1335" s="571">
        <v>0</v>
      </c>
      <c r="M1335" s="578"/>
      <c r="N1335" s="578"/>
      <c r="O1335" s="633">
        <v>64</v>
      </c>
      <c r="P1335" s="571"/>
      <c r="Q1335" s="571">
        <v>7860000</v>
      </c>
      <c r="R1335" s="578"/>
      <c r="S1335" s="621"/>
      <c r="T1335" s="583">
        <v>808.5200000000001</v>
      </c>
      <c r="U1335" s="663"/>
      <c r="V1335" s="571"/>
      <c r="W1335" s="571">
        <v>650736000</v>
      </c>
      <c r="X1335" s="683"/>
      <c r="Y1335" s="683"/>
      <c r="Z1335" s="683"/>
      <c r="AA1335" s="694"/>
      <c r="AB1335" s="683"/>
      <c r="AC1335" s="683"/>
      <c r="AD1335" s="650"/>
      <c r="AE1335" s="599">
        <f>SUBTOTAL(9,AE1336:AE1343)</f>
        <v>0</v>
      </c>
      <c r="AF1335" s="585"/>
      <c r="AG1335" s="585">
        <v>0</v>
      </c>
      <c r="AH1335" s="571">
        <v>658596000</v>
      </c>
      <c r="AI1335" s="574"/>
      <c r="AJ1335" s="582"/>
    </row>
    <row r="1336" spans="1:36" s="385" customFormat="1" ht="101.25" outlineLevel="2" x14ac:dyDescent="0.3">
      <c r="A1336" s="447">
        <v>106</v>
      </c>
      <c r="B1336" s="586" t="s">
        <v>1658</v>
      </c>
      <c r="C1336" s="586"/>
      <c r="D1336" s="615"/>
      <c r="E1336" s="700"/>
      <c r="F1336" s="684" t="s">
        <v>970</v>
      </c>
      <c r="G1336" s="729">
        <v>982.1</v>
      </c>
      <c r="H1336" s="546" t="s">
        <v>2899</v>
      </c>
      <c r="I1336" s="563">
        <v>0</v>
      </c>
      <c r="J1336" s="563">
        <v>0</v>
      </c>
      <c r="K1336" s="564">
        <v>0</v>
      </c>
      <c r="L1336" s="564">
        <v>0</v>
      </c>
      <c r="M1336" s="586" t="s">
        <v>971</v>
      </c>
      <c r="N1336" s="586"/>
      <c r="O1336" s="630">
        <v>2</v>
      </c>
      <c r="P1336" s="564">
        <v>360000</v>
      </c>
      <c r="Q1336" s="564">
        <v>720000</v>
      </c>
      <c r="R1336" s="586" t="s">
        <v>972</v>
      </c>
      <c r="S1336" s="609" t="s">
        <v>2804</v>
      </c>
      <c r="T1336" s="567">
        <v>343.2</v>
      </c>
      <c r="U1336" s="661"/>
      <c r="V1336" s="564">
        <v>1248814</v>
      </c>
      <c r="W1336" s="564">
        <v>428593000</v>
      </c>
      <c r="X1336" s="683"/>
      <c r="Y1336" s="683"/>
      <c r="Z1336" s="683"/>
      <c r="AA1336" s="694"/>
      <c r="AB1336" s="683"/>
      <c r="AC1336" s="683"/>
      <c r="AD1336" s="683"/>
      <c r="AE1336" s="590"/>
      <c r="AF1336" s="570" t="s">
        <v>2899</v>
      </c>
      <c r="AG1336" s="570" t="s">
        <v>25</v>
      </c>
      <c r="AH1336" s="571" t="s">
        <v>25</v>
      </c>
      <c r="AI1336" s="558" t="s">
        <v>974</v>
      </c>
      <c r="AJ1336" s="566"/>
    </row>
    <row r="1337" spans="1:36" s="385" customFormat="1" ht="84.75" outlineLevel="2" x14ac:dyDescent="0.3">
      <c r="A1337" s="447">
        <v>106</v>
      </c>
      <c r="B1337" s="586"/>
      <c r="C1337" s="586"/>
      <c r="D1337" s="615"/>
      <c r="E1337" s="700"/>
      <c r="F1337" s="558"/>
      <c r="G1337" s="709"/>
      <c r="H1337" s="546"/>
      <c r="I1337" s="563" t="s">
        <v>25</v>
      </c>
      <c r="J1337" s="563" t="s">
        <v>25</v>
      </c>
      <c r="K1337" s="564" t="s">
        <v>25</v>
      </c>
      <c r="L1337" s="564" t="s">
        <v>25</v>
      </c>
      <c r="M1337" s="586" t="s">
        <v>352</v>
      </c>
      <c r="N1337" s="586"/>
      <c r="O1337" s="630">
        <v>22</v>
      </c>
      <c r="P1337" s="564">
        <v>60000</v>
      </c>
      <c r="Q1337" s="564">
        <v>1320000</v>
      </c>
      <c r="R1337" s="718" t="s">
        <v>936</v>
      </c>
      <c r="S1337" s="609" t="s">
        <v>2804</v>
      </c>
      <c r="T1337" s="567">
        <v>243</v>
      </c>
      <c r="U1337" s="661">
        <v>243</v>
      </c>
      <c r="V1337" s="564"/>
      <c r="W1337" s="564">
        <v>0</v>
      </c>
      <c r="X1337" s="683"/>
      <c r="Y1337" s="683"/>
      <c r="Z1337" s="683"/>
      <c r="AA1337" s="694"/>
      <c r="AB1337" s="683"/>
      <c r="AC1337" s="683"/>
      <c r="AD1337" s="683"/>
      <c r="AE1337" s="590"/>
      <c r="AF1337" s="570" t="s">
        <v>2899</v>
      </c>
      <c r="AG1337" s="570" t="s">
        <v>25</v>
      </c>
      <c r="AH1337" s="571" t="s">
        <v>25</v>
      </c>
      <c r="AI1337" s="558" t="s">
        <v>2829</v>
      </c>
      <c r="AJ1337" s="566"/>
    </row>
    <row r="1338" spans="1:36" s="385" customFormat="1" ht="121.5" outlineLevel="2" x14ac:dyDescent="0.3">
      <c r="A1338" s="447">
        <v>106</v>
      </c>
      <c r="B1338" s="558"/>
      <c r="C1338" s="558"/>
      <c r="D1338" s="615"/>
      <c r="E1338" s="700"/>
      <c r="F1338" s="558"/>
      <c r="G1338" s="709"/>
      <c r="H1338" s="546"/>
      <c r="I1338" s="563" t="s">
        <v>25</v>
      </c>
      <c r="J1338" s="563" t="s">
        <v>25</v>
      </c>
      <c r="K1338" s="564" t="s">
        <v>25</v>
      </c>
      <c r="L1338" s="564" t="s">
        <v>25</v>
      </c>
      <c r="M1338" s="586" t="s">
        <v>353</v>
      </c>
      <c r="N1338" s="586"/>
      <c r="O1338" s="630">
        <v>25</v>
      </c>
      <c r="P1338" s="564">
        <v>96000</v>
      </c>
      <c r="Q1338" s="564">
        <v>2400000</v>
      </c>
      <c r="R1338" s="586" t="s">
        <v>976</v>
      </c>
      <c r="S1338" s="609" t="s">
        <v>2804</v>
      </c>
      <c r="T1338" s="567">
        <v>170.3</v>
      </c>
      <c r="U1338" s="661"/>
      <c r="V1338" s="564">
        <v>949667</v>
      </c>
      <c r="W1338" s="564">
        <v>161728000</v>
      </c>
      <c r="X1338" s="683"/>
      <c r="Y1338" s="683"/>
      <c r="Z1338" s="683"/>
      <c r="AA1338" s="694"/>
      <c r="AB1338" s="683"/>
      <c r="AC1338" s="683"/>
      <c r="AD1338" s="683"/>
      <c r="AE1338" s="590"/>
      <c r="AF1338" s="570" t="s">
        <v>2899</v>
      </c>
      <c r="AG1338" s="570" t="s">
        <v>25</v>
      </c>
      <c r="AH1338" s="571" t="s">
        <v>25</v>
      </c>
      <c r="AI1338" s="558"/>
      <c r="AJ1338" s="566"/>
    </row>
    <row r="1339" spans="1:36" s="385" customFormat="1" ht="81" outlineLevel="2" x14ac:dyDescent="0.3">
      <c r="A1339" s="447">
        <v>106</v>
      </c>
      <c r="B1339" s="558"/>
      <c r="C1339" s="558"/>
      <c r="D1339" s="615"/>
      <c r="E1339" s="700"/>
      <c r="F1339" s="558"/>
      <c r="G1339" s="709"/>
      <c r="H1339" s="546"/>
      <c r="I1339" s="563" t="s">
        <v>25</v>
      </c>
      <c r="J1339" s="563" t="s">
        <v>25</v>
      </c>
      <c r="K1339" s="564" t="s">
        <v>25</v>
      </c>
      <c r="L1339" s="564" t="s">
        <v>25</v>
      </c>
      <c r="M1339" s="586" t="s">
        <v>400</v>
      </c>
      <c r="N1339" s="586"/>
      <c r="O1339" s="630">
        <v>15</v>
      </c>
      <c r="P1339" s="564">
        <v>228000</v>
      </c>
      <c r="Q1339" s="564">
        <v>3420000</v>
      </c>
      <c r="R1339" s="586" t="s">
        <v>972</v>
      </c>
      <c r="S1339" s="609" t="s">
        <v>2804</v>
      </c>
      <c r="T1339" s="567">
        <v>30.6</v>
      </c>
      <c r="U1339" s="661"/>
      <c r="V1339" s="564">
        <v>1248814</v>
      </c>
      <c r="W1339" s="564">
        <v>38214000</v>
      </c>
      <c r="X1339" s="683"/>
      <c r="Y1339" s="683"/>
      <c r="Z1339" s="683"/>
      <c r="AA1339" s="694"/>
      <c r="AB1339" s="683"/>
      <c r="AC1339" s="683"/>
      <c r="AD1339" s="683"/>
      <c r="AE1339" s="590"/>
      <c r="AF1339" s="570" t="s">
        <v>2899</v>
      </c>
      <c r="AG1339" s="570" t="s">
        <v>25</v>
      </c>
      <c r="AH1339" s="571" t="s">
        <v>25</v>
      </c>
      <c r="AI1339" s="593"/>
      <c r="AJ1339" s="566"/>
    </row>
    <row r="1340" spans="1:36" s="385" customFormat="1" ht="81" outlineLevel="2" x14ac:dyDescent="0.3">
      <c r="A1340" s="447">
        <v>106</v>
      </c>
      <c r="B1340" s="558"/>
      <c r="C1340" s="558"/>
      <c r="D1340" s="615"/>
      <c r="E1340" s="700"/>
      <c r="F1340" s="558"/>
      <c r="G1340" s="709"/>
      <c r="H1340" s="546"/>
      <c r="I1340" s="563" t="s">
        <v>25</v>
      </c>
      <c r="J1340" s="563" t="s">
        <v>25</v>
      </c>
      <c r="K1340" s="564" t="s">
        <v>25</v>
      </c>
      <c r="L1340" s="564" t="s">
        <v>25</v>
      </c>
      <c r="M1340" s="565"/>
      <c r="N1340" s="565"/>
      <c r="O1340" s="714"/>
      <c r="P1340" s="564" t="s">
        <v>25</v>
      </c>
      <c r="Q1340" s="564" t="s">
        <v>25</v>
      </c>
      <c r="R1340" s="586" t="s">
        <v>972</v>
      </c>
      <c r="S1340" s="609" t="s">
        <v>2804</v>
      </c>
      <c r="T1340" s="567">
        <v>11.22</v>
      </c>
      <c r="U1340" s="661"/>
      <c r="V1340" s="564">
        <v>1248814</v>
      </c>
      <c r="W1340" s="564">
        <v>14012000</v>
      </c>
      <c r="X1340" s="683"/>
      <c r="Y1340" s="683"/>
      <c r="Z1340" s="683"/>
      <c r="AA1340" s="694"/>
      <c r="AB1340" s="683"/>
      <c r="AC1340" s="683"/>
      <c r="AD1340" s="683"/>
      <c r="AE1340" s="590"/>
      <c r="AF1340" s="570" t="s">
        <v>2899</v>
      </c>
      <c r="AG1340" s="570" t="s">
        <v>25</v>
      </c>
      <c r="AH1340" s="571" t="s">
        <v>25</v>
      </c>
      <c r="AI1340" s="593"/>
      <c r="AJ1340" s="593"/>
    </row>
    <row r="1341" spans="1:36" s="385" customFormat="1" ht="44.25" outlineLevel="2" x14ac:dyDescent="0.3">
      <c r="A1341" s="447">
        <v>106</v>
      </c>
      <c r="B1341" s="574"/>
      <c r="C1341" s="574"/>
      <c r="D1341" s="696"/>
      <c r="E1341" s="696"/>
      <c r="F1341" s="558"/>
      <c r="G1341" s="709"/>
      <c r="H1341" s="546"/>
      <c r="I1341" s="563" t="s">
        <v>25</v>
      </c>
      <c r="J1341" s="563" t="s">
        <v>25</v>
      </c>
      <c r="K1341" s="564" t="s">
        <v>25</v>
      </c>
      <c r="L1341" s="564" t="s">
        <v>25</v>
      </c>
      <c r="M1341" s="565"/>
      <c r="N1341" s="565"/>
      <c r="O1341" s="714"/>
      <c r="P1341" s="564" t="s">
        <v>25</v>
      </c>
      <c r="Q1341" s="564" t="s">
        <v>25</v>
      </c>
      <c r="R1341" s="586" t="s">
        <v>550</v>
      </c>
      <c r="S1341" s="609" t="s">
        <v>2804</v>
      </c>
      <c r="T1341" s="567">
        <v>10.199999999999999</v>
      </c>
      <c r="U1341" s="661"/>
      <c r="V1341" s="564">
        <v>802830</v>
      </c>
      <c r="W1341" s="564">
        <v>8189000</v>
      </c>
      <c r="X1341" s="683"/>
      <c r="Y1341" s="683"/>
      <c r="Z1341" s="683"/>
      <c r="AA1341" s="694"/>
      <c r="AB1341" s="683"/>
      <c r="AC1341" s="683"/>
      <c r="AD1341" s="683"/>
      <c r="AE1341" s="590"/>
      <c r="AF1341" s="570" t="s">
        <v>2899</v>
      </c>
      <c r="AG1341" s="570" t="s">
        <v>25</v>
      </c>
      <c r="AH1341" s="571" t="s">
        <v>25</v>
      </c>
      <c r="AI1341" s="593"/>
      <c r="AJ1341" s="593"/>
    </row>
    <row r="1342" spans="1:36" s="385" customFormat="1" ht="20.25" outlineLevel="2" x14ac:dyDescent="0.3">
      <c r="A1342" s="447">
        <v>106</v>
      </c>
      <c r="B1342" s="574"/>
      <c r="C1342" s="574"/>
      <c r="D1342" s="696"/>
      <c r="E1342" s="696"/>
      <c r="F1342" s="586"/>
      <c r="G1342" s="730"/>
      <c r="H1342" s="546"/>
      <c r="I1342" s="563" t="s">
        <v>25</v>
      </c>
      <c r="J1342" s="563" t="s">
        <v>25</v>
      </c>
      <c r="K1342" s="564" t="s">
        <v>25</v>
      </c>
      <c r="L1342" s="564" t="s">
        <v>25</v>
      </c>
      <c r="M1342" s="661"/>
      <c r="N1342" s="661"/>
      <c r="O1342" s="630"/>
      <c r="P1342" s="564" t="s">
        <v>25</v>
      </c>
      <c r="Q1342" s="564" t="s">
        <v>25</v>
      </c>
      <c r="R1342" s="661"/>
      <c r="S1342" s="661"/>
      <c r="T1342" s="720"/>
      <c r="U1342" s="661"/>
      <c r="V1342" s="564" t="s">
        <v>2899</v>
      </c>
      <c r="W1342" s="564" t="s">
        <v>25</v>
      </c>
      <c r="X1342" s="683"/>
      <c r="Y1342" s="683"/>
      <c r="Z1342" s="683"/>
      <c r="AA1342" s="694"/>
      <c r="AB1342" s="683"/>
      <c r="AC1342" s="683"/>
      <c r="AD1342" s="683"/>
      <c r="AE1342" s="590"/>
      <c r="AF1342" s="570" t="s">
        <v>2899</v>
      </c>
      <c r="AG1342" s="570" t="s">
        <v>25</v>
      </c>
      <c r="AH1342" s="571" t="s">
        <v>25</v>
      </c>
      <c r="AI1342" s="661"/>
      <c r="AJ1342" s="661"/>
    </row>
    <row r="1343" spans="1:36" s="385" customFormat="1" ht="20.25" outlineLevel="2" x14ac:dyDescent="0.3">
      <c r="A1343" s="447">
        <v>106</v>
      </c>
      <c r="B1343" s="574"/>
      <c r="C1343" s="574"/>
      <c r="D1343" s="705"/>
      <c r="E1343" s="706"/>
      <c r="F1343" s="586"/>
      <c r="G1343" s="730"/>
      <c r="H1343" s="546"/>
      <c r="I1343" s="563" t="s">
        <v>25</v>
      </c>
      <c r="J1343" s="563" t="s">
        <v>25</v>
      </c>
      <c r="K1343" s="564" t="s">
        <v>25</v>
      </c>
      <c r="L1343" s="564" t="s">
        <v>25</v>
      </c>
      <c r="M1343" s="661"/>
      <c r="N1343" s="661"/>
      <c r="O1343" s="630"/>
      <c r="P1343" s="564" t="s">
        <v>25</v>
      </c>
      <c r="Q1343" s="564" t="s">
        <v>25</v>
      </c>
      <c r="R1343" s="661"/>
      <c r="S1343" s="661"/>
      <c r="T1343" s="720"/>
      <c r="U1343" s="661"/>
      <c r="V1343" s="564" t="s">
        <v>2899</v>
      </c>
      <c r="W1343" s="564" t="s">
        <v>25</v>
      </c>
      <c r="X1343" s="586"/>
      <c r="Y1343" s="586"/>
      <c r="Z1343" s="586"/>
      <c r="AA1343" s="586"/>
      <c r="AB1343" s="586"/>
      <c r="AC1343" s="586"/>
      <c r="AD1343" s="586"/>
      <c r="AE1343" s="714"/>
      <c r="AF1343" s="570" t="s">
        <v>2899</v>
      </c>
      <c r="AG1343" s="570" t="s">
        <v>25</v>
      </c>
      <c r="AH1343" s="571" t="s">
        <v>25</v>
      </c>
      <c r="AI1343" s="661"/>
      <c r="AJ1343" s="661"/>
    </row>
    <row r="1344" spans="1:36" s="385" customFormat="1" ht="40.5" outlineLevel="1" x14ac:dyDescent="0.25">
      <c r="A1344" s="467">
        <v>107</v>
      </c>
      <c r="B1344" s="574" t="s">
        <v>977</v>
      </c>
      <c r="C1344" s="586" t="s">
        <v>2903</v>
      </c>
      <c r="D1344" s="615">
        <v>86</v>
      </c>
      <c r="E1344" s="700">
        <v>59</v>
      </c>
      <c r="F1344" s="574"/>
      <c r="G1344" s="596">
        <v>445.9</v>
      </c>
      <c r="H1344" s="579">
        <v>0</v>
      </c>
      <c r="I1344" s="581"/>
      <c r="J1344" s="581"/>
      <c r="K1344" s="571">
        <v>1226865000</v>
      </c>
      <c r="L1344" s="571">
        <v>0</v>
      </c>
      <c r="M1344" s="578"/>
      <c r="N1344" s="578"/>
      <c r="O1344" s="633">
        <v>25</v>
      </c>
      <c r="P1344" s="571"/>
      <c r="Q1344" s="571">
        <v>2000000</v>
      </c>
      <c r="R1344" s="582"/>
      <c r="S1344" s="597"/>
      <c r="T1344" s="600">
        <v>12</v>
      </c>
      <c r="U1344" s="608"/>
      <c r="V1344" s="571"/>
      <c r="W1344" s="571">
        <v>17506000</v>
      </c>
      <c r="X1344" s="562"/>
      <c r="Y1344" s="568"/>
      <c r="Z1344" s="568"/>
      <c r="AA1344" s="568"/>
      <c r="AB1344" s="568"/>
      <c r="AC1344" s="568"/>
      <c r="AD1344" s="602"/>
      <c r="AE1344" s="581">
        <f>SUBTOTAL(9,AE1345:AE1353)</f>
        <v>0</v>
      </c>
      <c r="AF1344" s="585"/>
      <c r="AG1344" s="585">
        <v>0</v>
      </c>
      <c r="AH1344" s="571">
        <v>1246371000</v>
      </c>
      <c r="AI1344" s="574"/>
      <c r="AJ1344" s="578"/>
    </row>
    <row r="1345" spans="1:36" s="385" customFormat="1" ht="121.5" outlineLevel="2" x14ac:dyDescent="0.3">
      <c r="A1345" s="447">
        <v>107</v>
      </c>
      <c r="B1345" s="558" t="s">
        <v>984</v>
      </c>
      <c r="C1345" s="558"/>
      <c r="D1345" s="615">
        <v>86</v>
      </c>
      <c r="E1345" s="700">
        <v>59</v>
      </c>
      <c r="F1345" s="558" t="s">
        <v>2870</v>
      </c>
      <c r="G1345" s="604">
        <v>295.89999999999998</v>
      </c>
      <c r="H1345" s="546" t="s">
        <v>2899</v>
      </c>
      <c r="I1345" s="563">
        <v>465600</v>
      </c>
      <c r="J1345" s="563">
        <v>0</v>
      </c>
      <c r="K1345" s="564">
        <v>137771000</v>
      </c>
      <c r="L1345" s="564">
        <v>0</v>
      </c>
      <c r="M1345" s="586" t="s">
        <v>401</v>
      </c>
      <c r="N1345" s="586"/>
      <c r="O1345" s="630">
        <v>25</v>
      </c>
      <c r="P1345" s="564">
        <v>80000</v>
      </c>
      <c r="Q1345" s="564">
        <v>2000000</v>
      </c>
      <c r="R1345" s="566" t="s">
        <v>1926</v>
      </c>
      <c r="S1345" s="589" t="s">
        <v>2804</v>
      </c>
      <c r="T1345" s="591">
        <v>12</v>
      </c>
      <c r="U1345" s="593"/>
      <c r="V1345" s="564">
        <v>1458856</v>
      </c>
      <c r="W1345" s="564">
        <v>17506000</v>
      </c>
      <c r="X1345" s="562"/>
      <c r="Y1345" s="568" t="s">
        <v>980</v>
      </c>
      <c r="Z1345" s="568" t="s">
        <v>981</v>
      </c>
      <c r="AA1345" s="568" t="s">
        <v>266</v>
      </c>
      <c r="AB1345" s="568" t="s">
        <v>982</v>
      </c>
      <c r="AC1345" s="568"/>
      <c r="AD1345" s="569"/>
      <c r="AE1345" s="563"/>
      <c r="AF1345" s="570"/>
      <c r="AG1345" s="570"/>
      <c r="AH1345" s="571" t="s">
        <v>25</v>
      </c>
      <c r="AI1345" s="558" t="s">
        <v>983</v>
      </c>
      <c r="AJ1345" s="586" t="s">
        <v>2771</v>
      </c>
    </row>
    <row r="1346" spans="1:36" s="385" customFormat="1" ht="121.5" outlineLevel="2" x14ac:dyDescent="0.3">
      <c r="A1346" s="447">
        <v>107</v>
      </c>
      <c r="B1346" s="572" t="s">
        <v>1574</v>
      </c>
      <c r="C1346" s="572"/>
      <c r="D1346" s="615"/>
      <c r="E1346" s="700"/>
      <c r="F1346" s="558" t="s">
        <v>2049</v>
      </c>
      <c r="G1346" s="604">
        <v>150</v>
      </c>
      <c r="H1346" s="546" t="s">
        <v>2899</v>
      </c>
      <c r="I1346" s="563">
        <v>7260624</v>
      </c>
      <c r="J1346" s="563">
        <v>0</v>
      </c>
      <c r="K1346" s="564">
        <v>1089094000</v>
      </c>
      <c r="L1346" s="564">
        <v>0</v>
      </c>
      <c r="M1346" s="586"/>
      <c r="N1346" s="586"/>
      <c r="O1346" s="590"/>
      <c r="P1346" s="564" t="s">
        <v>25</v>
      </c>
      <c r="Q1346" s="564" t="s">
        <v>25</v>
      </c>
      <c r="R1346" s="566"/>
      <c r="S1346" s="589"/>
      <c r="T1346" s="591"/>
      <c r="U1346" s="593"/>
      <c r="V1346" s="564" t="s">
        <v>2899</v>
      </c>
      <c r="W1346" s="564" t="s">
        <v>25</v>
      </c>
      <c r="X1346" s="562"/>
      <c r="Y1346" s="568"/>
      <c r="Z1346" s="568"/>
      <c r="AA1346" s="568"/>
      <c r="AB1346" s="568"/>
      <c r="AC1346" s="568"/>
      <c r="AD1346" s="569"/>
      <c r="AE1346" s="590"/>
      <c r="AF1346" s="570" t="s">
        <v>2899</v>
      </c>
      <c r="AG1346" s="570" t="s">
        <v>25</v>
      </c>
      <c r="AH1346" s="571" t="s">
        <v>25</v>
      </c>
      <c r="AI1346" s="558" t="s">
        <v>2830</v>
      </c>
      <c r="AJ1346" s="558" t="s">
        <v>2450</v>
      </c>
    </row>
    <row r="1347" spans="1:36" s="385" customFormat="1" ht="101.25" outlineLevel="2" x14ac:dyDescent="0.3">
      <c r="A1347" s="447">
        <v>107</v>
      </c>
      <c r="B1347" s="574"/>
      <c r="C1347" s="574"/>
      <c r="D1347" s="696"/>
      <c r="E1347" s="696"/>
      <c r="F1347" s="558"/>
      <c r="G1347" s="604"/>
      <c r="H1347" s="546"/>
      <c r="I1347" s="563" t="s">
        <v>25</v>
      </c>
      <c r="J1347" s="563" t="s">
        <v>25</v>
      </c>
      <c r="K1347" s="564" t="s">
        <v>25</v>
      </c>
      <c r="L1347" s="564" t="s">
        <v>25</v>
      </c>
      <c r="M1347" s="558"/>
      <c r="N1347" s="558"/>
      <c r="O1347" s="590"/>
      <c r="P1347" s="564" t="s">
        <v>25</v>
      </c>
      <c r="Q1347" s="564" t="s">
        <v>25</v>
      </c>
      <c r="R1347" s="566"/>
      <c r="S1347" s="589"/>
      <c r="T1347" s="591"/>
      <c r="U1347" s="593"/>
      <c r="V1347" s="564" t="s">
        <v>2899</v>
      </c>
      <c r="W1347" s="564" t="s">
        <v>25</v>
      </c>
      <c r="X1347" s="562"/>
      <c r="Y1347" s="568"/>
      <c r="Z1347" s="568"/>
      <c r="AA1347" s="568"/>
      <c r="AB1347" s="568"/>
      <c r="AC1347" s="568"/>
      <c r="AD1347" s="606"/>
      <c r="AE1347" s="590"/>
      <c r="AF1347" s="570" t="s">
        <v>2899</v>
      </c>
      <c r="AG1347" s="570" t="s">
        <v>25</v>
      </c>
      <c r="AH1347" s="571" t="s">
        <v>25</v>
      </c>
      <c r="AI1347" s="586" t="s">
        <v>2228</v>
      </c>
      <c r="AJ1347" s="558" t="s">
        <v>2449</v>
      </c>
    </row>
    <row r="1348" spans="1:36" s="385" customFormat="1" ht="101.25" outlineLevel="2" x14ac:dyDescent="0.3">
      <c r="A1348" s="447">
        <v>107</v>
      </c>
      <c r="B1348" s="586"/>
      <c r="C1348" s="586"/>
      <c r="D1348" s="615"/>
      <c r="E1348" s="700"/>
      <c r="F1348" s="586"/>
      <c r="G1348" s="730"/>
      <c r="H1348" s="546"/>
      <c r="I1348" s="563" t="s">
        <v>25</v>
      </c>
      <c r="J1348" s="563" t="s">
        <v>25</v>
      </c>
      <c r="K1348" s="564" t="s">
        <v>25</v>
      </c>
      <c r="L1348" s="564" t="s">
        <v>25</v>
      </c>
      <c r="M1348" s="661"/>
      <c r="N1348" s="661"/>
      <c r="O1348" s="630"/>
      <c r="P1348" s="564" t="s">
        <v>25</v>
      </c>
      <c r="Q1348" s="564" t="s">
        <v>25</v>
      </c>
      <c r="R1348" s="661"/>
      <c r="S1348" s="661"/>
      <c r="T1348" s="720"/>
      <c r="U1348" s="661"/>
      <c r="V1348" s="564" t="s">
        <v>2899</v>
      </c>
      <c r="W1348" s="564" t="s">
        <v>25</v>
      </c>
      <c r="X1348" s="586"/>
      <c r="Y1348" s="586"/>
      <c r="Z1348" s="586"/>
      <c r="AA1348" s="586"/>
      <c r="AB1348" s="586"/>
      <c r="AC1348" s="586"/>
      <c r="AD1348" s="586"/>
      <c r="AE1348" s="714"/>
      <c r="AF1348" s="570" t="s">
        <v>2899</v>
      </c>
      <c r="AG1348" s="570" t="s">
        <v>25</v>
      </c>
      <c r="AH1348" s="571" t="s">
        <v>25</v>
      </c>
      <c r="AI1348" s="593" t="s">
        <v>2350</v>
      </c>
      <c r="AJ1348" s="731" t="s">
        <v>2800</v>
      </c>
    </row>
    <row r="1349" spans="1:36" s="385" customFormat="1" ht="20.25" outlineLevel="2" x14ac:dyDescent="0.3">
      <c r="A1349" s="447">
        <v>107</v>
      </c>
      <c r="B1349" s="572"/>
      <c r="C1349" s="572"/>
      <c r="D1349" s="612"/>
      <c r="E1349" s="612"/>
      <c r="F1349" s="558"/>
      <c r="G1349" s="732"/>
      <c r="H1349" s="546"/>
      <c r="I1349" s="563" t="s">
        <v>25</v>
      </c>
      <c r="J1349" s="563" t="s">
        <v>25</v>
      </c>
      <c r="K1349" s="564" t="s">
        <v>25</v>
      </c>
      <c r="L1349" s="564" t="s">
        <v>25</v>
      </c>
      <c r="M1349" s="586"/>
      <c r="N1349" s="586"/>
      <c r="O1349" s="630"/>
      <c r="P1349" s="564" t="s">
        <v>25</v>
      </c>
      <c r="Q1349" s="564" t="s">
        <v>25</v>
      </c>
      <c r="R1349" s="586"/>
      <c r="S1349" s="609"/>
      <c r="T1349" s="567"/>
      <c r="U1349" s="593"/>
      <c r="V1349" s="564" t="s">
        <v>2899</v>
      </c>
      <c r="W1349" s="564" t="s">
        <v>25</v>
      </c>
      <c r="X1349" s="562"/>
      <c r="Y1349" s="568"/>
      <c r="Z1349" s="568"/>
      <c r="AA1349" s="568"/>
      <c r="AB1349" s="568"/>
      <c r="AC1349" s="568"/>
      <c r="AD1349" s="568"/>
      <c r="AE1349" s="563"/>
      <c r="AF1349" s="570" t="s">
        <v>2899</v>
      </c>
      <c r="AG1349" s="570" t="s">
        <v>25</v>
      </c>
      <c r="AH1349" s="571" t="s">
        <v>25</v>
      </c>
      <c r="AI1349" s="704"/>
      <c r="AJ1349" s="593"/>
    </row>
    <row r="1350" spans="1:36" s="385" customFormat="1" ht="20.25" outlineLevel="2" x14ac:dyDescent="0.3">
      <c r="A1350" s="447">
        <v>107</v>
      </c>
      <c r="B1350" s="558"/>
      <c r="C1350" s="558"/>
      <c r="D1350" s="615"/>
      <c r="E1350" s="700"/>
      <c r="F1350" s="586"/>
      <c r="G1350" s="732"/>
      <c r="H1350" s="546"/>
      <c r="I1350" s="563" t="s">
        <v>25</v>
      </c>
      <c r="J1350" s="563" t="s">
        <v>25</v>
      </c>
      <c r="K1350" s="564" t="s">
        <v>25</v>
      </c>
      <c r="L1350" s="564" t="s">
        <v>25</v>
      </c>
      <c r="M1350" s="586"/>
      <c r="N1350" s="586"/>
      <c r="O1350" s="630"/>
      <c r="P1350" s="564" t="s">
        <v>25</v>
      </c>
      <c r="Q1350" s="564" t="s">
        <v>25</v>
      </c>
      <c r="R1350" s="586"/>
      <c r="S1350" s="609"/>
      <c r="T1350" s="567"/>
      <c r="U1350" s="593"/>
      <c r="V1350" s="564" t="s">
        <v>2899</v>
      </c>
      <c r="W1350" s="564" t="s">
        <v>25</v>
      </c>
      <c r="X1350" s="562"/>
      <c r="Y1350" s="568"/>
      <c r="Z1350" s="568"/>
      <c r="AA1350" s="568"/>
      <c r="AB1350" s="568"/>
      <c r="AC1350" s="568"/>
      <c r="AD1350" s="568"/>
      <c r="AE1350" s="563"/>
      <c r="AF1350" s="570" t="s">
        <v>2899</v>
      </c>
      <c r="AG1350" s="570" t="s">
        <v>25</v>
      </c>
      <c r="AH1350" s="571" t="s">
        <v>25</v>
      </c>
      <c r="AI1350" s="593"/>
      <c r="AJ1350" s="593"/>
    </row>
    <row r="1351" spans="1:36" s="385" customFormat="1" ht="20.25" outlineLevel="2" x14ac:dyDescent="0.3">
      <c r="A1351" s="447">
        <v>107</v>
      </c>
      <c r="B1351" s="558"/>
      <c r="C1351" s="558"/>
      <c r="D1351" s="615"/>
      <c r="E1351" s="700"/>
      <c r="F1351" s="558"/>
      <c r="G1351" s="732"/>
      <c r="H1351" s="546"/>
      <c r="I1351" s="563" t="s">
        <v>25</v>
      </c>
      <c r="J1351" s="563" t="s">
        <v>25</v>
      </c>
      <c r="K1351" s="564" t="s">
        <v>25</v>
      </c>
      <c r="L1351" s="564" t="s">
        <v>25</v>
      </c>
      <c r="M1351" s="586"/>
      <c r="N1351" s="586"/>
      <c r="O1351" s="630"/>
      <c r="P1351" s="564" t="s">
        <v>25</v>
      </c>
      <c r="Q1351" s="564" t="s">
        <v>25</v>
      </c>
      <c r="R1351" s="586"/>
      <c r="S1351" s="609"/>
      <c r="T1351" s="567"/>
      <c r="U1351" s="593"/>
      <c r="V1351" s="564" t="s">
        <v>2899</v>
      </c>
      <c r="W1351" s="564" t="s">
        <v>25</v>
      </c>
      <c r="X1351" s="562"/>
      <c r="Y1351" s="568"/>
      <c r="Z1351" s="568"/>
      <c r="AA1351" s="568"/>
      <c r="AB1351" s="568"/>
      <c r="AC1351" s="568"/>
      <c r="AD1351" s="568"/>
      <c r="AE1351" s="563"/>
      <c r="AF1351" s="570" t="s">
        <v>2899</v>
      </c>
      <c r="AG1351" s="570" t="s">
        <v>25</v>
      </c>
      <c r="AH1351" s="571" t="s">
        <v>25</v>
      </c>
      <c r="AI1351" s="593"/>
      <c r="AJ1351" s="593"/>
    </row>
    <row r="1352" spans="1:36" s="385" customFormat="1" ht="20.25" outlineLevel="2" x14ac:dyDescent="0.3">
      <c r="A1352" s="447">
        <v>107</v>
      </c>
      <c r="B1352" s="558"/>
      <c r="C1352" s="558"/>
      <c r="D1352" s="615"/>
      <c r="E1352" s="700"/>
      <c r="F1352" s="558"/>
      <c r="G1352" s="604"/>
      <c r="H1352" s="546"/>
      <c r="I1352" s="563" t="s">
        <v>25</v>
      </c>
      <c r="J1352" s="563" t="s">
        <v>25</v>
      </c>
      <c r="K1352" s="564" t="s">
        <v>25</v>
      </c>
      <c r="L1352" s="564" t="s">
        <v>25</v>
      </c>
      <c r="M1352" s="586"/>
      <c r="N1352" s="586"/>
      <c r="O1352" s="590"/>
      <c r="P1352" s="564" t="s">
        <v>25</v>
      </c>
      <c r="Q1352" s="564" t="s">
        <v>25</v>
      </c>
      <c r="R1352" s="566"/>
      <c r="S1352" s="589"/>
      <c r="T1352" s="591"/>
      <c r="U1352" s="593"/>
      <c r="V1352" s="564" t="s">
        <v>2899</v>
      </c>
      <c r="W1352" s="564" t="s">
        <v>25</v>
      </c>
      <c r="X1352" s="562"/>
      <c r="Y1352" s="568"/>
      <c r="Z1352" s="568"/>
      <c r="AA1352" s="568"/>
      <c r="AB1352" s="568"/>
      <c r="AC1352" s="568"/>
      <c r="AD1352" s="568"/>
      <c r="AE1352" s="563"/>
      <c r="AF1352" s="570" t="s">
        <v>2899</v>
      </c>
      <c r="AG1352" s="570" t="s">
        <v>25</v>
      </c>
      <c r="AH1352" s="571" t="s">
        <v>25</v>
      </c>
      <c r="AI1352" s="593"/>
      <c r="AJ1352" s="593"/>
    </row>
    <row r="1353" spans="1:36" s="385" customFormat="1" ht="20.25" outlineLevel="2" x14ac:dyDescent="0.3">
      <c r="A1353" s="447">
        <v>107</v>
      </c>
      <c r="B1353" s="574"/>
      <c r="C1353" s="574"/>
      <c r="D1353" s="705"/>
      <c r="E1353" s="706"/>
      <c r="F1353" s="558"/>
      <c r="G1353" s="604"/>
      <c r="H1353" s="546"/>
      <c r="I1353" s="563" t="s">
        <v>25</v>
      </c>
      <c r="J1353" s="563" t="s">
        <v>25</v>
      </c>
      <c r="K1353" s="564" t="s">
        <v>25</v>
      </c>
      <c r="L1353" s="564" t="s">
        <v>25</v>
      </c>
      <c r="M1353" s="558"/>
      <c r="N1353" s="558"/>
      <c r="O1353" s="590"/>
      <c r="P1353" s="564" t="s">
        <v>25</v>
      </c>
      <c r="Q1353" s="564" t="s">
        <v>25</v>
      </c>
      <c r="R1353" s="566"/>
      <c r="S1353" s="589"/>
      <c r="T1353" s="591"/>
      <c r="U1353" s="593"/>
      <c r="V1353" s="564" t="s">
        <v>2899</v>
      </c>
      <c r="W1353" s="564" t="s">
        <v>25</v>
      </c>
      <c r="X1353" s="562"/>
      <c r="Y1353" s="568"/>
      <c r="Z1353" s="568"/>
      <c r="AA1353" s="568"/>
      <c r="AB1353" s="568"/>
      <c r="AC1353" s="568"/>
      <c r="AD1353" s="568"/>
      <c r="AE1353" s="563"/>
      <c r="AF1353" s="570" t="s">
        <v>2899</v>
      </c>
      <c r="AG1353" s="570" t="s">
        <v>25</v>
      </c>
      <c r="AH1353" s="571" t="s">
        <v>25</v>
      </c>
      <c r="AI1353" s="593"/>
      <c r="AJ1353" s="593"/>
    </row>
    <row r="1354" spans="1:36" s="385" customFormat="1" ht="40.5" outlineLevel="1" x14ac:dyDescent="0.25">
      <c r="A1354" s="467">
        <v>108</v>
      </c>
      <c r="B1354" s="574" t="s">
        <v>987</v>
      </c>
      <c r="C1354" s="586" t="s">
        <v>2903</v>
      </c>
      <c r="D1354" s="615">
        <v>86</v>
      </c>
      <c r="E1354" s="700">
        <v>154</v>
      </c>
      <c r="F1354" s="574"/>
      <c r="G1354" s="596">
        <v>664.4</v>
      </c>
      <c r="H1354" s="579">
        <v>614.5</v>
      </c>
      <c r="I1354" s="581"/>
      <c r="J1354" s="581"/>
      <c r="K1354" s="571">
        <v>648416000</v>
      </c>
      <c r="L1354" s="571">
        <v>858334000</v>
      </c>
      <c r="M1354" s="578"/>
      <c r="N1354" s="578"/>
      <c r="O1354" s="633">
        <v>7</v>
      </c>
      <c r="P1354" s="571"/>
      <c r="Q1354" s="571">
        <v>1308000</v>
      </c>
      <c r="R1354" s="582"/>
      <c r="S1354" s="597"/>
      <c r="T1354" s="600">
        <v>0</v>
      </c>
      <c r="U1354" s="608"/>
      <c r="V1354" s="571"/>
      <c r="W1354" s="571">
        <v>0</v>
      </c>
      <c r="X1354" s="562"/>
      <c r="Y1354" s="568"/>
      <c r="Z1354" s="568"/>
      <c r="AA1354" s="568"/>
      <c r="AB1354" s="568"/>
      <c r="AC1354" s="568"/>
      <c r="AD1354" s="602"/>
      <c r="AE1354" s="581">
        <f>SUBTOTAL(9,AE1355:AE1361)</f>
        <v>0</v>
      </c>
      <c r="AF1354" s="585"/>
      <c r="AG1354" s="585">
        <v>0</v>
      </c>
      <c r="AH1354" s="571">
        <v>1508058000</v>
      </c>
      <c r="AI1354" s="574"/>
      <c r="AJ1354" s="578"/>
    </row>
    <row r="1355" spans="1:36" s="385" customFormat="1" ht="121.5" outlineLevel="2" x14ac:dyDescent="0.3">
      <c r="A1355" s="447">
        <v>108</v>
      </c>
      <c r="B1355" s="558" t="s">
        <v>990</v>
      </c>
      <c r="C1355" s="558"/>
      <c r="D1355" s="615">
        <v>86</v>
      </c>
      <c r="E1355" s="700">
        <v>154</v>
      </c>
      <c r="F1355" s="558" t="s">
        <v>2871</v>
      </c>
      <c r="G1355" s="604">
        <v>614.5</v>
      </c>
      <c r="H1355" s="546">
        <v>614.5</v>
      </c>
      <c r="I1355" s="563">
        <v>465600</v>
      </c>
      <c r="J1355" s="563">
        <v>1396800</v>
      </c>
      <c r="K1355" s="564">
        <v>286111000</v>
      </c>
      <c r="L1355" s="564">
        <v>858334000</v>
      </c>
      <c r="M1355" s="586" t="s">
        <v>400</v>
      </c>
      <c r="N1355" s="586"/>
      <c r="O1355" s="630">
        <v>5</v>
      </c>
      <c r="P1355" s="564">
        <v>228000</v>
      </c>
      <c r="Q1355" s="564">
        <v>1140000</v>
      </c>
      <c r="R1355" s="566"/>
      <c r="S1355" s="589"/>
      <c r="T1355" s="591"/>
      <c r="U1355" s="593"/>
      <c r="V1355" s="564" t="s">
        <v>2899</v>
      </c>
      <c r="W1355" s="564" t="s">
        <v>25</v>
      </c>
      <c r="X1355" s="562"/>
      <c r="Y1355" s="568"/>
      <c r="Z1355" s="568"/>
      <c r="AA1355" s="568"/>
      <c r="AB1355" s="568"/>
      <c r="AC1355" s="568"/>
      <c r="AD1355" s="569"/>
      <c r="AE1355" s="563"/>
      <c r="AF1355" s="570"/>
      <c r="AG1355" s="570"/>
      <c r="AH1355" s="571" t="s">
        <v>25</v>
      </c>
      <c r="AI1355" s="558" t="s">
        <v>989</v>
      </c>
      <c r="AJ1355" s="586" t="s">
        <v>2771</v>
      </c>
    </row>
    <row r="1356" spans="1:36" s="385" customFormat="1" ht="101.25" outlineLevel="2" x14ac:dyDescent="0.3">
      <c r="A1356" s="447">
        <v>108</v>
      </c>
      <c r="B1356" s="572" t="s">
        <v>1575</v>
      </c>
      <c r="C1356" s="572"/>
      <c r="D1356" s="615"/>
      <c r="E1356" s="700"/>
      <c r="F1356" s="558" t="s">
        <v>2049</v>
      </c>
      <c r="G1356" s="604">
        <v>49.9</v>
      </c>
      <c r="H1356" s="546" t="s">
        <v>2899</v>
      </c>
      <c r="I1356" s="563">
        <v>7260624</v>
      </c>
      <c r="J1356" s="563">
        <v>0</v>
      </c>
      <c r="K1356" s="564">
        <v>362305000</v>
      </c>
      <c r="L1356" s="564">
        <v>0</v>
      </c>
      <c r="M1356" s="558" t="s">
        <v>932</v>
      </c>
      <c r="N1356" s="558"/>
      <c r="O1356" s="590">
        <v>2</v>
      </c>
      <c r="P1356" s="564">
        <v>84000</v>
      </c>
      <c r="Q1356" s="564">
        <v>168000</v>
      </c>
      <c r="R1356" s="566"/>
      <c r="S1356" s="589"/>
      <c r="T1356" s="591"/>
      <c r="U1356" s="593"/>
      <c r="V1356" s="564" t="s">
        <v>2899</v>
      </c>
      <c r="W1356" s="564" t="s">
        <v>25</v>
      </c>
      <c r="X1356" s="562"/>
      <c r="Y1356" s="568"/>
      <c r="Z1356" s="568"/>
      <c r="AA1356" s="568"/>
      <c r="AB1356" s="568"/>
      <c r="AC1356" s="568"/>
      <c r="AD1356" s="568"/>
      <c r="AE1356" s="563"/>
      <c r="AF1356" s="570" t="s">
        <v>2899</v>
      </c>
      <c r="AG1356" s="570" t="s">
        <v>25</v>
      </c>
      <c r="AH1356" s="571" t="s">
        <v>25</v>
      </c>
      <c r="AI1356" s="558" t="s">
        <v>2831</v>
      </c>
      <c r="AJ1356" s="605" t="s">
        <v>2448</v>
      </c>
    </row>
    <row r="1357" spans="1:36" s="385" customFormat="1" ht="101.25" outlineLevel="2" x14ac:dyDescent="0.3">
      <c r="A1357" s="447">
        <v>108</v>
      </c>
      <c r="B1357" s="572"/>
      <c r="C1357" s="572"/>
      <c r="D1357" s="615"/>
      <c r="E1357" s="700"/>
      <c r="F1357" s="558"/>
      <c r="G1357" s="604"/>
      <c r="H1357" s="546"/>
      <c r="I1357" s="563" t="s">
        <v>25</v>
      </c>
      <c r="J1357" s="563" t="s">
        <v>25</v>
      </c>
      <c r="K1357" s="564" t="s">
        <v>25</v>
      </c>
      <c r="L1357" s="564" t="s">
        <v>25</v>
      </c>
      <c r="M1357" s="558"/>
      <c r="N1357" s="558"/>
      <c r="O1357" s="590"/>
      <c r="P1357" s="564" t="s">
        <v>25</v>
      </c>
      <c r="Q1357" s="564" t="s">
        <v>25</v>
      </c>
      <c r="R1357" s="566"/>
      <c r="S1357" s="589"/>
      <c r="T1357" s="591"/>
      <c r="U1357" s="593"/>
      <c r="V1357" s="564" t="s">
        <v>2899</v>
      </c>
      <c r="W1357" s="564" t="s">
        <v>25</v>
      </c>
      <c r="X1357" s="562"/>
      <c r="Y1357" s="568"/>
      <c r="Z1357" s="568"/>
      <c r="AA1357" s="568"/>
      <c r="AB1357" s="568"/>
      <c r="AC1357" s="568"/>
      <c r="AD1357" s="568"/>
      <c r="AE1357" s="563"/>
      <c r="AF1357" s="570" t="s">
        <v>2899</v>
      </c>
      <c r="AG1357" s="570" t="s">
        <v>25</v>
      </c>
      <c r="AH1357" s="571" t="s">
        <v>25</v>
      </c>
      <c r="AI1357" s="558" t="s">
        <v>2074</v>
      </c>
      <c r="AJ1357" s="558" t="s">
        <v>2449</v>
      </c>
    </row>
    <row r="1358" spans="1:36" s="385" customFormat="1" ht="20.25" outlineLevel="2" x14ac:dyDescent="0.3">
      <c r="A1358" s="447">
        <v>108</v>
      </c>
      <c r="B1358" s="586"/>
      <c r="C1358" s="586"/>
      <c r="D1358" s="615"/>
      <c r="E1358" s="700"/>
      <c r="F1358" s="558"/>
      <c r="G1358" s="604"/>
      <c r="H1358" s="546"/>
      <c r="I1358" s="563" t="s">
        <v>25</v>
      </c>
      <c r="J1358" s="563" t="s">
        <v>25</v>
      </c>
      <c r="K1358" s="564" t="s">
        <v>25</v>
      </c>
      <c r="L1358" s="564" t="s">
        <v>25</v>
      </c>
      <c r="M1358" s="558"/>
      <c r="N1358" s="558"/>
      <c r="O1358" s="630"/>
      <c r="P1358" s="564" t="s">
        <v>25</v>
      </c>
      <c r="Q1358" s="564" t="s">
        <v>25</v>
      </c>
      <c r="R1358" s="586"/>
      <c r="S1358" s="609"/>
      <c r="T1358" s="567"/>
      <c r="U1358" s="593"/>
      <c r="V1358" s="564" t="s">
        <v>2899</v>
      </c>
      <c r="W1358" s="564" t="s">
        <v>25</v>
      </c>
      <c r="X1358" s="562"/>
      <c r="Y1358" s="568"/>
      <c r="Z1358" s="568"/>
      <c r="AA1358" s="568"/>
      <c r="AB1358" s="568"/>
      <c r="AC1358" s="568"/>
      <c r="AD1358" s="568"/>
      <c r="AE1358" s="563"/>
      <c r="AF1358" s="570" t="s">
        <v>2899</v>
      </c>
      <c r="AG1358" s="570" t="s">
        <v>25</v>
      </c>
      <c r="AH1358" s="571" t="s">
        <v>25</v>
      </c>
      <c r="AI1358" s="704"/>
      <c r="AJ1358" s="731"/>
    </row>
    <row r="1359" spans="1:36" s="385" customFormat="1" ht="20.25" outlineLevel="2" x14ac:dyDescent="0.3">
      <c r="A1359" s="447">
        <v>108</v>
      </c>
      <c r="B1359" s="586"/>
      <c r="C1359" s="586"/>
      <c r="D1359" s="615"/>
      <c r="E1359" s="700"/>
      <c r="F1359" s="558"/>
      <c r="G1359" s="732"/>
      <c r="H1359" s="546"/>
      <c r="I1359" s="563" t="s">
        <v>25</v>
      </c>
      <c r="J1359" s="563" t="s">
        <v>25</v>
      </c>
      <c r="K1359" s="564" t="s">
        <v>25</v>
      </c>
      <c r="L1359" s="564" t="s">
        <v>25</v>
      </c>
      <c r="M1359" s="586"/>
      <c r="N1359" s="586"/>
      <c r="O1359" s="630"/>
      <c r="P1359" s="564" t="s">
        <v>25</v>
      </c>
      <c r="Q1359" s="564" t="s">
        <v>25</v>
      </c>
      <c r="R1359" s="586"/>
      <c r="S1359" s="609"/>
      <c r="T1359" s="567"/>
      <c r="U1359" s="593"/>
      <c r="V1359" s="564" t="s">
        <v>2899</v>
      </c>
      <c r="W1359" s="564" t="s">
        <v>25</v>
      </c>
      <c r="X1359" s="562"/>
      <c r="Y1359" s="568"/>
      <c r="Z1359" s="568"/>
      <c r="AA1359" s="568"/>
      <c r="AB1359" s="568"/>
      <c r="AC1359" s="568"/>
      <c r="AD1359" s="568"/>
      <c r="AE1359" s="563"/>
      <c r="AF1359" s="570" t="s">
        <v>2899</v>
      </c>
      <c r="AG1359" s="570" t="s">
        <v>25</v>
      </c>
      <c r="AH1359" s="571" t="s">
        <v>25</v>
      </c>
      <c r="AI1359" s="704"/>
      <c r="AJ1359" s="593"/>
    </row>
    <row r="1360" spans="1:36" s="385" customFormat="1" ht="20.25" outlineLevel="2" x14ac:dyDescent="0.3">
      <c r="A1360" s="447">
        <v>108</v>
      </c>
      <c r="B1360" s="572"/>
      <c r="C1360" s="572"/>
      <c r="D1360" s="612"/>
      <c r="E1360" s="612"/>
      <c r="F1360" s="558"/>
      <c r="G1360" s="732"/>
      <c r="H1360" s="546"/>
      <c r="I1360" s="563" t="s">
        <v>25</v>
      </c>
      <c r="J1360" s="563" t="s">
        <v>25</v>
      </c>
      <c r="K1360" s="564" t="s">
        <v>25</v>
      </c>
      <c r="L1360" s="564" t="s">
        <v>25</v>
      </c>
      <c r="M1360" s="586"/>
      <c r="N1360" s="586"/>
      <c r="O1360" s="630"/>
      <c r="P1360" s="564" t="s">
        <v>25</v>
      </c>
      <c r="Q1360" s="564" t="s">
        <v>25</v>
      </c>
      <c r="R1360" s="586"/>
      <c r="S1360" s="609"/>
      <c r="T1360" s="567"/>
      <c r="U1360" s="593"/>
      <c r="V1360" s="564" t="s">
        <v>2899</v>
      </c>
      <c r="W1360" s="564" t="s">
        <v>25</v>
      </c>
      <c r="X1360" s="562"/>
      <c r="Y1360" s="568"/>
      <c r="Z1360" s="568"/>
      <c r="AA1360" s="568"/>
      <c r="AB1360" s="568"/>
      <c r="AC1360" s="568"/>
      <c r="AD1360" s="568"/>
      <c r="AE1360" s="563"/>
      <c r="AF1360" s="570" t="s">
        <v>2899</v>
      </c>
      <c r="AG1360" s="570" t="s">
        <v>25</v>
      </c>
      <c r="AH1360" s="571" t="s">
        <v>25</v>
      </c>
      <c r="AI1360" s="593"/>
      <c r="AJ1360" s="593"/>
    </row>
    <row r="1361" spans="1:36" s="385" customFormat="1" ht="20.25" outlineLevel="2" x14ac:dyDescent="0.3">
      <c r="A1361" s="447">
        <v>108</v>
      </c>
      <c r="B1361" s="574"/>
      <c r="C1361" s="574"/>
      <c r="D1361" s="705"/>
      <c r="E1361" s="706"/>
      <c r="F1361" s="586"/>
      <c r="G1361" s="732"/>
      <c r="H1361" s="546"/>
      <c r="I1361" s="563" t="s">
        <v>25</v>
      </c>
      <c r="J1361" s="563" t="s">
        <v>25</v>
      </c>
      <c r="K1361" s="564" t="s">
        <v>25</v>
      </c>
      <c r="L1361" s="564" t="s">
        <v>25</v>
      </c>
      <c r="M1361" s="586"/>
      <c r="N1361" s="586"/>
      <c r="O1361" s="630"/>
      <c r="P1361" s="564" t="s">
        <v>25</v>
      </c>
      <c r="Q1361" s="564" t="s">
        <v>25</v>
      </c>
      <c r="R1361" s="586"/>
      <c r="S1361" s="609"/>
      <c r="T1361" s="567"/>
      <c r="U1361" s="593"/>
      <c r="V1361" s="564" t="s">
        <v>2899</v>
      </c>
      <c r="W1361" s="564" t="s">
        <v>25</v>
      </c>
      <c r="X1361" s="562"/>
      <c r="Y1361" s="568"/>
      <c r="Z1361" s="568"/>
      <c r="AA1361" s="568"/>
      <c r="AB1361" s="568"/>
      <c r="AC1361" s="568"/>
      <c r="AD1361" s="568"/>
      <c r="AE1361" s="563"/>
      <c r="AF1361" s="570" t="s">
        <v>2899</v>
      </c>
      <c r="AG1361" s="570" t="s">
        <v>25</v>
      </c>
      <c r="AH1361" s="571" t="s">
        <v>25</v>
      </c>
      <c r="AI1361" s="593"/>
      <c r="AJ1361" s="593"/>
    </row>
    <row r="1362" spans="1:36" s="385" customFormat="1" ht="40.5" outlineLevel="1" x14ac:dyDescent="0.25">
      <c r="A1362" s="467">
        <v>109</v>
      </c>
      <c r="B1362" s="574" t="s">
        <v>993</v>
      </c>
      <c r="C1362" s="586" t="s">
        <v>2903</v>
      </c>
      <c r="D1362" s="615">
        <v>86</v>
      </c>
      <c r="E1362" s="700">
        <v>165</v>
      </c>
      <c r="F1362" s="574"/>
      <c r="G1362" s="596">
        <v>168.5</v>
      </c>
      <c r="H1362" s="579">
        <v>0</v>
      </c>
      <c r="I1362" s="581"/>
      <c r="J1362" s="581"/>
      <c r="K1362" s="571">
        <v>867488000</v>
      </c>
      <c r="L1362" s="571">
        <v>0</v>
      </c>
      <c r="M1362" s="578"/>
      <c r="N1362" s="578"/>
      <c r="O1362" s="599">
        <v>51</v>
      </c>
      <c r="P1362" s="571"/>
      <c r="Q1362" s="571">
        <v>5771000</v>
      </c>
      <c r="R1362" s="582"/>
      <c r="S1362" s="597"/>
      <c r="T1362" s="600">
        <v>0</v>
      </c>
      <c r="U1362" s="608"/>
      <c r="V1362" s="571"/>
      <c r="W1362" s="571">
        <v>0</v>
      </c>
      <c r="X1362" s="562"/>
      <c r="Y1362" s="568"/>
      <c r="Z1362" s="568"/>
      <c r="AA1362" s="568"/>
      <c r="AB1362" s="568"/>
      <c r="AC1362" s="568"/>
      <c r="AD1362" s="602"/>
      <c r="AE1362" s="581">
        <f>SUBTOTAL(9,AE1363:AE1370)</f>
        <v>0</v>
      </c>
      <c r="AF1362" s="585"/>
      <c r="AG1362" s="585">
        <v>0</v>
      </c>
      <c r="AH1362" s="571">
        <v>873259000</v>
      </c>
      <c r="AI1362" s="574"/>
      <c r="AJ1362" s="578"/>
    </row>
    <row r="1363" spans="1:36" s="385" customFormat="1" ht="121.5" outlineLevel="2" x14ac:dyDescent="0.3">
      <c r="A1363" s="447">
        <v>109</v>
      </c>
      <c r="B1363" s="558" t="s">
        <v>995</v>
      </c>
      <c r="C1363" s="558"/>
      <c r="D1363" s="615">
        <v>86</v>
      </c>
      <c r="E1363" s="700">
        <v>165</v>
      </c>
      <c r="F1363" s="558" t="s">
        <v>2870</v>
      </c>
      <c r="G1363" s="604">
        <v>68.5</v>
      </c>
      <c r="H1363" s="546" t="s">
        <v>2899</v>
      </c>
      <c r="I1363" s="563">
        <v>465600</v>
      </c>
      <c r="J1363" s="563">
        <v>0</v>
      </c>
      <c r="K1363" s="564">
        <v>31894000</v>
      </c>
      <c r="L1363" s="564">
        <v>0</v>
      </c>
      <c r="M1363" s="586" t="s">
        <v>400</v>
      </c>
      <c r="N1363" s="586"/>
      <c r="O1363" s="590">
        <v>17</v>
      </c>
      <c r="P1363" s="564">
        <v>228000</v>
      </c>
      <c r="Q1363" s="564">
        <v>3876000</v>
      </c>
      <c r="R1363" s="566"/>
      <c r="S1363" s="589"/>
      <c r="T1363" s="591"/>
      <c r="U1363" s="593"/>
      <c r="V1363" s="564" t="s">
        <v>2899</v>
      </c>
      <c r="W1363" s="564" t="s">
        <v>25</v>
      </c>
      <c r="X1363" s="562"/>
      <c r="Y1363" s="568"/>
      <c r="Z1363" s="568"/>
      <c r="AA1363" s="568"/>
      <c r="AB1363" s="568"/>
      <c r="AC1363" s="568"/>
      <c r="AD1363" s="569"/>
      <c r="AE1363" s="563"/>
      <c r="AF1363" s="570"/>
      <c r="AG1363" s="570"/>
      <c r="AH1363" s="571" t="s">
        <v>25</v>
      </c>
      <c r="AI1363" s="684" t="s">
        <v>2782</v>
      </c>
      <c r="AJ1363" s="586" t="s">
        <v>2771</v>
      </c>
    </row>
    <row r="1364" spans="1:36" s="385" customFormat="1" ht="101.25" outlineLevel="2" x14ac:dyDescent="0.3">
      <c r="A1364" s="447">
        <v>109</v>
      </c>
      <c r="B1364" s="572" t="s">
        <v>2781</v>
      </c>
      <c r="C1364" s="572"/>
      <c r="D1364" s="615">
        <v>86</v>
      </c>
      <c r="E1364" s="700">
        <v>165</v>
      </c>
      <c r="F1364" s="558" t="s">
        <v>2491</v>
      </c>
      <c r="G1364" s="730">
        <v>35.200000000000003</v>
      </c>
      <c r="H1364" s="546" t="s">
        <v>2899</v>
      </c>
      <c r="I1364" s="563">
        <v>10372320</v>
      </c>
      <c r="J1364" s="563">
        <v>0</v>
      </c>
      <c r="K1364" s="564">
        <v>365106000</v>
      </c>
      <c r="L1364" s="564">
        <v>0</v>
      </c>
      <c r="M1364" s="718" t="s">
        <v>401</v>
      </c>
      <c r="N1364" s="718"/>
      <c r="O1364" s="733">
        <v>19</v>
      </c>
      <c r="P1364" s="564">
        <v>80000</v>
      </c>
      <c r="Q1364" s="564">
        <v>1520000</v>
      </c>
      <c r="R1364" s="566"/>
      <c r="S1364" s="589"/>
      <c r="T1364" s="591"/>
      <c r="U1364" s="593"/>
      <c r="V1364" s="564" t="s">
        <v>2899</v>
      </c>
      <c r="W1364" s="564" t="s">
        <v>25</v>
      </c>
      <c r="X1364" s="562"/>
      <c r="Y1364" s="568"/>
      <c r="Z1364" s="568"/>
      <c r="AA1364" s="568"/>
      <c r="AB1364" s="568"/>
      <c r="AC1364" s="568"/>
      <c r="AD1364" s="568"/>
      <c r="AE1364" s="563"/>
      <c r="AF1364" s="570" t="s">
        <v>2899</v>
      </c>
      <c r="AG1364" s="570" t="s">
        <v>25</v>
      </c>
      <c r="AH1364" s="571" t="s">
        <v>25</v>
      </c>
      <c r="AI1364" s="558" t="s">
        <v>2832</v>
      </c>
      <c r="AJ1364" s="558" t="s">
        <v>2449</v>
      </c>
    </row>
    <row r="1365" spans="1:36" s="385" customFormat="1" ht="101.25" outlineLevel="2" x14ac:dyDescent="0.3">
      <c r="A1365" s="447">
        <v>109</v>
      </c>
      <c r="B1365" s="572"/>
      <c r="C1365" s="572"/>
      <c r="D1365" s="615"/>
      <c r="E1365" s="700"/>
      <c r="F1365" s="558" t="s">
        <v>2049</v>
      </c>
      <c r="G1365" s="604">
        <v>64.8</v>
      </c>
      <c r="H1365" s="546" t="s">
        <v>2899</v>
      </c>
      <c r="I1365" s="563">
        <v>7260624</v>
      </c>
      <c r="J1365" s="563">
        <v>0</v>
      </c>
      <c r="K1365" s="564">
        <v>470488000</v>
      </c>
      <c r="L1365" s="564">
        <v>0</v>
      </c>
      <c r="M1365" s="558" t="s">
        <v>2809</v>
      </c>
      <c r="N1365" s="558"/>
      <c r="O1365" s="590">
        <v>15</v>
      </c>
      <c r="P1365" s="564">
        <v>25000</v>
      </c>
      <c r="Q1365" s="564">
        <v>375000</v>
      </c>
      <c r="R1365" s="566"/>
      <c r="S1365" s="589"/>
      <c r="T1365" s="591"/>
      <c r="U1365" s="593"/>
      <c r="V1365" s="564" t="s">
        <v>2899</v>
      </c>
      <c r="W1365" s="564" t="s">
        <v>25</v>
      </c>
      <c r="X1365" s="562"/>
      <c r="Y1365" s="568"/>
      <c r="Z1365" s="568"/>
      <c r="AA1365" s="568"/>
      <c r="AB1365" s="568"/>
      <c r="AC1365" s="568"/>
      <c r="AD1365" s="568"/>
      <c r="AE1365" s="563"/>
      <c r="AF1365" s="570" t="s">
        <v>2899</v>
      </c>
      <c r="AG1365" s="570" t="s">
        <v>25</v>
      </c>
      <c r="AH1365" s="571" t="s">
        <v>25</v>
      </c>
      <c r="AI1365" s="558" t="s">
        <v>2229</v>
      </c>
      <c r="AJ1365" s="586"/>
    </row>
    <row r="1366" spans="1:36" s="385" customFormat="1" ht="20.25" outlineLevel="2" x14ac:dyDescent="0.3">
      <c r="A1366" s="447">
        <v>109</v>
      </c>
      <c r="B1366" s="572"/>
      <c r="C1366" s="572"/>
      <c r="D1366" s="615"/>
      <c r="E1366" s="700"/>
      <c r="F1366" s="558"/>
      <c r="G1366" s="734"/>
      <c r="H1366" s="546"/>
      <c r="I1366" s="563" t="s">
        <v>25</v>
      </c>
      <c r="J1366" s="563" t="s">
        <v>25</v>
      </c>
      <c r="K1366" s="564" t="s">
        <v>25</v>
      </c>
      <c r="L1366" s="564" t="s">
        <v>25</v>
      </c>
      <c r="M1366" s="558"/>
      <c r="N1366" s="558"/>
      <c r="O1366" s="590"/>
      <c r="P1366" s="564" t="s">
        <v>25</v>
      </c>
      <c r="Q1366" s="564" t="s">
        <v>25</v>
      </c>
      <c r="R1366" s="566"/>
      <c r="S1366" s="589"/>
      <c r="T1366" s="591"/>
      <c r="U1366" s="593"/>
      <c r="V1366" s="564" t="s">
        <v>2899</v>
      </c>
      <c r="W1366" s="564" t="s">
        <v>25</v>
      </c>
      <c r="X1366" s="562"/>
      <c r="Y1366" s="568"/>
      <c r="Z1366" s="568"/>
      <c r="AA1366" s="568"/>
      <c r="AB1366" s="568"/>
      <c r="AC1366" s="568"/>
      <c r="AD1366" s="568"/>
      <c r="AE1366" s="563"/>
      <c r="AF1366" s="570" t="s">
        <v>2899</v>
      </c>
      <c r="AG1366" s="570" t="s">
        <v>25</v>
      </c>
      <c r="AH1366" s="571" t="s">
        <v>25</v>
      </c>
      <c r="AI1366" s="704"/>
      <c r="AJ1366" s="558"/>
    </row>
    <row r="1367" spans="1:36" s="385" customFormat="1" ht="20.25" outlineLevel="2" x14ac:dyDescent="0.3">
      <c r="A1367" s="447">
        <v>109</v>
      </c>
      <c r="B1367" s="572"/>
      <c r="C1367" s="572"/>
      <c r="D1367" s="615"/>
      <c r="E1367" s="700"/>
      <c r="F1367" s="558"/>
      <c r="G1367" s="734"/>
      <c r="H1367" s="546"/>
      <c r="I1367" s="563" t="s">
        <v>25</v>
      </c>
      <c r="J1367" s="563" t="s">
        <v>25</v>
      </c>
      <c r="K1367" s="564" t="s">
        <v>25</v>
      </c>
      <c r="L1367" s="564" t="s">
        <v>25</v>
      </c>
      <c r="M1367" s="661"/>
      <c r="N1367" s="661"/>
      <c r="O1367" s="630"/>
      <c r="P1367" s="564" t="s">
        <v>25</v>
      </c>
      <c r="Q1367" s="564" t="s">
        <v>25</v>
      </c>
      <c r="R1367" s="566"/>
      <c r="S1367" s="589"/>
      <c r="T1367" s="591"/>
      <c r="U1367" s="593"/>
      <c r="V1367" s="564" t="s">
        <v>2899</v>
      </c>
      <c r="W1367" s="564" t="s">
        <v>25</v>
      </c>
      <c r="X1367" s="562"/>
      <c r="Y1367" s="568"/>
      <c r="Z1367" s="568"/>
      <c r="AA1367" s="568"/>
      <c r="AB1367" s="568"/>
      <c r="AC1367" s="568"/>
      <c r="AD1367" s="568"/>
      <c r="AE1367" s="563"/>
      <c r="AF1367" s="570" t="s">
        <v>2899</v>
      </c>
      <c r="AG1367" s="570" t="s">
        <v>25</v>
      </c>
      <c r="AH1367" s="571" t="s">
        <v>25</v>
      </c>
      <c r="AI1367" s="704"/>
      <c r="AJ1367" s="558"/>
    </row>
    <row r="1368" spans="1:36" s="385" customFormat="1" ht="20.25" outlineLevel="2" x14ac:dyDescent="0.3">
      <c r="A1368" s="447">
        <v>109</v>
      </c>
      <c r="B1368" s="572"/>
      <c r="C1368" s="572"/>
      <c r="D1368" s="615"/>
      <c r="E1368" s="700"/>
      <c r="F1368" s="558"/>
      <c r="G1368" s="604"/>
      <c r="H1368" s="546"/>
      <c r="I1368" s="563" t="s">
        <v>25</v>
      </c>
      <c r="J1368" s="563" t="s">
        <v>25</v>
      </c>
      <c r="K1368" s="564" t="s">
        <v>25</v>
      </c>
      <c r="L1368" s="564" t="s">
        <v>25</v>
      </c>
      <c r="M1368" s="558"/>
      <c r="N1368" s="558"/>
      <c r="O1368" s="590"/>
      <c r="P1368" s="564" t="s">
        <v>25</v>
      </c>
      <c r="Q1368" s="564" t="s">
        <v>25</v>
      </c>
      <c r="R1368" s="566"/>
      <c r="S1368" s="589"/>
      <c r="T1368" s="591"/>
      <c r="U1368" s="593"/>
      <c r="V1368" s="564" t="s">
        <v>2899</v>
      </c>
      <c r="W1368" s="564" t="s">
        <v>25</v>
      </c>
      <c r="X1368" s="562"/>
      <c r="Y1368" s="568"/>
      <c r="Z1368" s="568"/>
      <c r="AA1368" s="568"/>
      <c r="AB1368" s="568"/>
      <c r="AC1368" s="568"/>
      <c r="AD1368" s="568"/>
      <c r="AE1368" s="563"/>
      <c r="AF1368" s="570" t="s">
        <v>2899</v>
      </c>
      <c r="AG1368" s="570" t="s">
        <v>25</v>
      </c>
      <c r="AH1368" s="571" t="s">
        <v>25</v>
      </c>
      <c r="AI1368" s="558"/>
      <c r="AJ1368" s="558"/>
    </row>
    <row r="1369" spans="1:36" s="385" customFormat="1" ht="20.25" outlineLevel="2" x14ac:dyDescent="0.3">
      <c r="A1369" s="447">
        <v>109</v>
      </c>
      <c r="B1369" s="586"/>
      <c r="C1369" s="586"/>
      <c r="D1369" s="615"/>
      <c r="E1369" s="700"/>
      <c r="F1369" s="558"/>
      <c r="G1369" s="732"/>
      <c r="H1369" s="546"/>
      <c r="I1369" s="563" t="s">
        <v>25</v>
      </c>
      <c r="J1369" s="563" t="s">
        <v>25</v>
      </c>
      <c r="K1369" s="564" t="s">
        <v>25</v>
      </c>
      <c r="L1369" s="564" t="s">
        <v>25</v>
      </c>
      <c r="M1369" s="558"/>
      <c r="N1369" s="558"/>
      <c r="O1369" s="630"/>
      <c r="P1369" s="564" t="s">
        <v>25</v>
      </c>
      <c r="Q1369" s="564" t="s">
        <v>25</v>
      </c>
      <c r="R1369" s="586"/>
      <c r="S1369" s="609"/>
      <c r="T1369" s="567"/>
      <c r="U1369" s="593"/>
      <c r="V1369" s="564" t="s">
        <v>2899</v>
      </c>
      <c r="W1369" s="564" t="s">
        <v>25</v>
      </c>
      <c r="X1369" s="562"/>
      <c r="Y1369" s="568"/>
      <c r="Z1369" s="568"/>
      <c r="AA1369" s="568"/>
      <c r="AB1369" s="568"/>
      <c r="AC1369" s="568"/>
      <c r="AD1369" s="568"/>
      <c r="AE1369" s="563"/>
      <c r="AF1369" s="570" t="s">
        <v>2899</v>
      </c>
      <c r="AG1369" s="570" t="s">
        <v>25</v>
      </c>
      <c r="AH1369" s="571" t="s">
        <v>25</v>
      </c>
      <c r="AI1369" s="593"/>
      <c r="AJ1369" s="593"/>
    </row>
    <row r="1370" spans="1:36" s="385" customFormat="1" ht="20.25" outlineLevel="2" x14ac:dyDescent="0.3">
      <c r="A1370" s="447">
        <v>109</v>
      </c>
      <c r="B1370" s="574"/>
      <c r="C1370" s="574"/>
      <c r="D1370" s="705"/>
      <c r="E1370" s="706"/>
      <c r="F1370" s="558"/>
      <c r="G1370" s="732"/>
      <c r="H1370" s="546"/>
      <c r="I1370" s="563" t="s">
        <v>25</v>
      </c>
      <c r="J1370" s="563" t="s">
        <v>25</v>
      </c>
      <c r="K1370" s="564" t="s">
        <v>25</v>
      </c>
      <c r="L1370" s="564" t="s">
        <v>25</v>
      </c>
      <c r="M1370" s="586"/>
      <c r="N1370" s="586"/>
      <c r="O1370" s="630"/>
      <c r="P1370" s="564" t="s">
        <v>25</v>
      </c>
      <c r="Q1370" s="564" t="s">
        <v>25</v>
      </c>
      <c r="R1370" s="586"/>
      <c r="S1370" s="609"/>
      <c r="T1370" s="567"/>
      <c r="U1370" s="593"/>
      <c r="V1370" s="564" t="s">
        <v>2899</v>
      </c>
      <c r="W1370" s="564" t="s">
        <v>25</v>
      </c>
      <c r="X1370" s="562"/>
      <c r="Y1370" s="568"/>
      <c r="Z1370" s="568"/>
      <c r="AA1370" s="568"/>
      <c r="AB1370" s="568"/>
      <c r="AC1370" s="568"/>
      <c r="AD1370" s="568"/>
      <c r="AE1370" s="563"/>
      <c r="AF1370" s="570" t="s">
        <v>2899</v>
      </c>
      <c r="AG1370" s="570" t="s">
        <v>25</v>
      </c>
      <c r="AH1370" s="571" t="s">
        <v>25</v>
      </c>
      <c r="AI1370" s="593"/>
      <c r="AJ1370" s="593"/>
    </row>
    <row r="1371" spans="1:36" s="385" customFormat="1" ht="40.5" outlineLevel="1" x14ac:dyDescent="0.25">
      <c r="A1371" s="467">
        <v>110</v>
      </c>
      <c r="B1371" s="574" t="s">
        <v>998</v>
      </c>
      <c r="C1371" s="586" t="s">
        <v>2903</v>
      </c>
      <c r="D1371" s="615">
        <v>86</v>
      </c>
      <c r="E1371" s="700">
        <v>314</v>
      </c>
      <c r="F1371" s="574"/>
      <c r="G1371" s="596">
        <v>125</v>
      </c>
      <c r="H1371" s="579">
        <v>0</v>
      </c>
      <c r="I1371" s="581"/>
      <c r="J1371" s="581"/>
      <c r="K1371" s="571">
        <v>430313000</v>
      </c>
      <c r="L1371" s="571">
        <v>0</v>
      </c>
      <c r="M1371" s="574"/>
      <c r="N1371" s="574"/>
      <c r="O1371" s="599">
        <v>43</v>
      </c>
      <c r="P1371" s="571"/>
      <c r="Q1371" s="571">
        <v>4788000</v>
      </c>
      <c r="R1371" s="582"/>
      <c r="S1371" s="597"/>
      <c r="T1371" s="600">
        <v>0</v>
      </c>
      <c r="U1371" s="608"/>
      <c r="V1371" s="571"/>
      <c r="W1371" s="571">
        <v>0</v>
      </c>
      <c r="X1371" s="562"/>
      <c r="Y1371" s="568"/>
      <c r="Z1371" s="568"/>
      <c r="AA1371" s="568"/>
      <c r="AB1371" s="568"/>
      <c r="AC1371" s="568"/>
      <c r="AD1371" s="602"/>
      <c r="AE1371" s="581">
        <f>SUBTOTAL(9,AE1372:AE1378)</f>
        <v>0</v>
      </c>
      <c r="AF1371" s="585"/>
      <c r="AG1371" s="585">
        <v>0</v>
      </c>
      <c r="AH1371" s="571">
        <v>435101000</v>
      </c>
      <c r="AI1371" s="574"/>
      <c r="AJ1371" s="578"/>
    </row>
    <row r="1372" spans="1:36" s="385" customFormat="1" ht="121.5" outlineLevel="2" x14ac:dyDescent="0.3">
      <c r="A1372" s="447">
        <v>110</v>
      </c>
      <c r="B1372" s="558" t="s">
        <v>1000</v>
      </c>
      <c r="C1372" s="558"/>
      <c r="D1372" s="615">
        <v>86</v>
      </c>
      <c r="E1372" s="700">
        <v>314</v>
      </c>
      <c r="F1372" s="558" t="s">
        <v>2870</v>
      </c>
      <c r="G1372" s="604">
        <v>75</v>
      </c>
      <c r="H1372" s="546" t="s">
        <v>2899</v>
      </c>
      <c r="I1372" s="563">
        <v>465600</v>
      </c>
      <c r="J1372" s="563">
        <v>0</v>
      </c>
      <c r="K1372" s="564">
        <v>34920000</v>
      </c>
      <c r="L1372" s="564">
        <v>0</v>
      </c>
      <c r="M1372" s="558" t="s">
        <v>72</v>
      </c>
      <c r="N1372" s="558"/>
      <c r="O1372" s="590">
        <v>7</v>
      </c>
      <c r="P1372" s="564">
        <v>132000</v>
      </c>
      <c r="Q1372" s="564">
        <v>924000</v>
      </c>
      <c r="R1372" s="566"/>
      <c r="S1372" s="589"/>
      <c r="T1372" s="591"/>
      <c r="U1372" s="593"/>
      <c r="V1372" s="564" t="s">
        <v>2899</v>
      </c>
      <c r="W1372" s="564" t="s">
        <v>25</v>
      </c>
      <c r="X1372" s="562"/>
      <c r="Y1372" s="568"/>
      <c r="Z1372" s="568"/>
      <c r="AA1372" s="568"/>
      <c r="AB1372" s="568"/>
      <c r="AC1372" s="568"/>
      <c r="AD1372" s="569"/>
      <c r="AE1372" s="563"/>
      <c r="AF1372" s="570"/>
      <c r="AG1372" s="570"/>
      <c r="AH1372" s="571" t="s">
        <v>25</v>
      </c>
      <c r="AI1372" s="558" t="s">
        <v>999</v>
      </c>
      <c r="AJ1372" s="586" t="s">
        <v>2771</v>
      </c>
    </row>
    <row r="1373" spans="1:36" s="385" customFormat="1" ht="101.25" outlineLevel="2" x14ac:dyDescent="0.3">
      <c r="A1373" s="447">
        <v>110</v>
      </c>
      <c r="B1373" s="572" t="s">
        <v>1577</v>
      </c>
      <c r="C1373" s="572"/>
      <c r="D1373" s="615"/>
      <c r="E1373" s="700"/>
      <c r="F1373" s="558" t="s">
        <v>2491</v>
      </c>
      <c r="G1373" s="604">
        <v>10.4</v>
      </c>
      <c r="H1373" s="546" t="s">
        <v>2899</v>
      </c>
      <c r="I1373" s="563">
        <v>10372320</v>
      </c>
      <c r="J1373" s="563">
        <v>0</v>
      </c>
      <c r="K1373" s="564">
        <v>107872000</v>
      </c>
      <c r="L1373" s="564">
        <v>0</v>
      </c>
      <c r="M1373" s="558" t="s">
        <v>73</v>
      </c>
      <c r="N1373" s="558"/>
      <c r="O1373" s="590">
        <v>13</v>
      </c>
      <c r="P1373" s="564">
        <v>76000</v>
      </c>
      <c r="Q1373" s="564">
        <v>988000</v>
      </c>
      <c r="R1373" s="566"/>
      <c r="S1373" s="589"/>
      <c r="T1373" s="591"/>
      <c r="U1373" s="593"/>
      <c r="V1373" s="564" t="s">
        <v>2899</v>
      </c>
      <c r="W1373" s="564" t="s">
        <v>25</v>
      </c>
      <c r="X1373" s="562"/>
      <c r="Y1373" s="568"/>
      <c r="Z1373" s="568"/>
      <c r="AA1373" s="568"/>
      <c r="AB1373" s="568"/>
      <c r="AC1373" s="568"/>
      <c r="AD1373" s="568"/>
      <c r="AE1373" s="563"/>
      <c r="AF1373" s="570" t="s">
        <v>2899</v>
      </c>
      <c r="AG1373" s="570" t="s">
        <v>25</v>
      </c>
      <c r="AH1373" s="571" t="s">
        <v>25</v>
      </c>
      <c r="AI1373" s="558" t="s">
        <v>2833</v>
      </c>
      <c r="AJ1373" s="558" t="s">
        <v>2449</v>
      </c>
    </row>
    <row r="1374" spans="1:36" s="385" customFormat="1" ht="101.25" outlineLevel="2" x14ac:dyDescent="0.3">
      <c r="A1374" s="447">
        <v>110</v>
      </c>
      <c r="B1374" s="572"/>
      <c r="C1374" s="572"/>
      <c r="D1374" s="615"/>
      <c r="E1374" s="700"/>
      <c r="F1374" s="558" t="s">
        <v>2049</v>
      </c>
      <c r="G1374" s="604">
        <v>39.6</v>
      </c>
      <c r="H1374" s="546" t="s">
        <v>2899</v>
      </c>
      <c r="I1374" s="563">
        <v>7260624</v>
      </c>
      <c r="J1374" s="563">
        <v>0</v>
      </c>
      <c r="K1374" s="564">
        <v>287521000</v>
      </c>
      <c r="L1374" s="564">
        <v>0</v>
      </c>
      <c r="M1374" s="586" t="s">
        <v>400</v>
      </c>
      <c r="N1374" s="586"/>
      <c r="O1374" s="590">
        <v>7</v>
      </c>
      <c r="P1374" s="564">
        <v>228000</v>
      </c>
      <c r="Q1374" s="564">
        <v>1596000</v>
      </c>
      <c r="R1374" s="566"/>
      <c r="S1374" s="589"/>
      <c r="T1374" s="591"/>
      <c r="U1374" s="593"/>
      <c r="V1374" s="564" t="s">
        <v>2899</v>
      </c>
      <c r="W1374" s="564" t="s">
        <v>25</v>
      </c>
      <c r="X1374" s="562"/>
      <c r="Y1374" s="568"/>
      <c r="Z1374" s="568"/>
      <c r="AA1374" s="568"/>
      <c r="AB1374" s="568"/>
      <c r="AC1374" s="568"/>
      <c r="AD1374" s="568"/>
      <c r="AE1374" s="563"/>
      <c r="AF1374" s="570" t="s">
        <v>2899</v>
      </c>
      <c r="AG1374" s="570" t="s">
        <v>25</v>
      </c>
      <c r="AH1374" s="571" t="s">
        <v>25</v>
      </c>
      <c r="AI1374" s="593" t="s">
        <v>809</v>
      </c>
      <c r="AJ1374" s="558"/>
    </row>
    <row r="1375" spans="1:36" s="385" customFormat="1" ht="81" outlineLevel="2" x14ac:dyDescent="0.3">
      <c r="A1375" s="447">
        <v>110</v>
      </c>
      <c r="B1375" s="572"/>
      <c r="C1375" s="572"/>
      <c r="D1375" s="615"/>
      <c r="E1375" s="700"/>
      <c r="F1375" s="558"/>
      <c r="G1375" s="604"/>
      <c r="H1375" s="546"/>
      <c r="I1375" s="563" t="s">
        <v>25</v>
      </c>
      <c r="J1375" s="563" t="s">
        <v>25</v>
      </c>
      <c r="K1375" s="564" t="s">
        <v>25</v>
      </c>
      <c r="L1375" s="564" t="s">
        <v>25</v>
      </c>
      <c r="M1375" s="586" t="s">
        <v>401</v>
      </c>
      <c r="N1375" s="586"/>
      <c r="O1375" s="590">
        <v>16</v>
      </c>
      <c r="P1375" s="564">
        <v>80000</v>
      </c>
      <c r="Q1375" s="564">
        <v>1280000</v>
      </c>
      <c r="R1375" s="566"/>
      <c r="S1375" s="589"/>
      <c r="T1375" s="591"/>
      <c r="U1375" s="593"/>
      <c r="V1375" s="564" t="s">
        <v>2899</v>
      </c>
      <c r="W1375" s="564" t="s">
        <v>25</v>
      </c>
      <c r="X1375" s="562"/>
      <c r="Y1375" s="568"/>
      <c r="Z1375" s="568"/>
      <c r="AA1375" s="568"/>
      <c r="AB1375" s="568"/>
      <c r="AC1375" s="568"/>
      <c r="AD1375" s="568"/>
      <c r="AE1375" s="563"/>
      <c r="AF1375" s="570" t="s">
        <v>2899</v>
      </c>
      <c r="AG1375" s="570" t="s">
        <v>25</v>
      </c>
      <c r="AH1375" s="571" t="s">
        <v>25</v>
      </c>
      <c r="AI1375" s="558" t="s">
        <v>2230</v>
      </c>
      <c r="AJ1375" s="558"/>
    </row>
    <row r="1376" spans="1:36" s="385" customFormat="1" ht="20.25" outlineLevel="2" x14ac:dyDescent="0.3">
      <c r="A1376" s="447">
        <v>110</v>
      </c>
      <c r="B1376" s="572"/>
      <c r="C1376" s="572"/>
      <c r="D1376" s="615"/>
      <c r="E1376" s="700"/>
      <c r="F1376" s="558"/>
      <c r="G1376" s="604"/>
      <c r="H1376" s="546"/>
      <c r="I1376" s="563" t="s">
        <v>25</v>
      </c>
      <c r="J1376" s="563" t="s">
        <v>25</v>
      </c>
      <c r="K1376" s="564" t="s">
        <v>25</v>
      </c>
      <c r="L1376" s="564" t="s">
        <v>25</v>
      </c>
      <c r="M1376" s="586"/>
      <c r="N1376" s="586"/>
      <c r="O1376" s="590"/>
      <c r="P1376" s="564" t="s">
        <v>25</v>
      </c>
      <c r="Q1376" s="564" t="s">
        <v>25</v>
      </c>
      <c r="R1376" s="566"/>
      <c r="S1376" s="589"/>
      <c r="T1376" s="591"/>
      <c r="U1376" s="593"/>
      <c r="V1376" s="564" t="s">
        <v>2899</v>
      </c>
      <c r="W1376" s="564" t="s">
        <v>25</v>
      </c>
      <c r="X1376" s="562"/>
      <c r="Y1376" s="568"/>
      <c r="Z1376" s="568"/>
      <c r="AA1376" s="568"/>
      <c r="AB1376" s="568"/>
      <c r="AC1376" s="568"/>
      <c r="AD1376" s="568"/>
      <c r="AE1376" s="563"/>
      <c r="AF1376" s="570" t="s">
        <v>2899</v>
      </c>
      <c r="AG1376" s="570" t="s">
        <v>25</v>
      </c>
      <c r="AH1376" s="571" t="s">
        <v>25</v>
      </c>
      <c r="AI1376" s="558"/>
      <c r="AJ1376" s="558"/>
    </row>
    <row r="1377" spans="1:36" s="385" customFormat="1" ht="20.25" outlineLevel="2" x14ac:dyDescent="0.3">
      <c r="A1377" s="447">
        <v>110</v>
      </c>
      <c r="B1377" s="558"/>
      <c r="C1377" s="558"/>
      <c r="D1377" s="615"/>
      <c r="E1377" s="700"/>
      <c r="F1377" s="558"/>
      <c r="G1377" s="604"/>
      <c r="H1377" s="546"/>
      <c r="I1377" s="563" t="s">
        <v>25</v>
      </c>
      <c r="J1377" s="563" t="s">
        <v>25</v>
      </c>
      <c r="K1377" s="564" t="s">
        <v>25</v>
      </c>
      <c r="L1377" s="564" t="s">
        <v>25</v>
      </c>
      <c r="M1377" s="558"/>
      <c r="N1377" s="558"/>
      <c r="O1377" s="590"/>
      <c r="P1377" s="564" t="s">
        <v>25</v>
      </c>
      <c r="Q1377" s="564" t="s">
        <v>25</v>
      </c>
      <c r="R1377" s="566"/>
      <c r="S1377" s="589"/>
      <c r="T1377" s="591"/>
      <c r="U1377" s="593"/>
      <c r="V1377" s="564" t="s">
        <v>2899</v>
      </c>
      <c r="W1377" s="564" t="s">
        <v>25</v>
      </c>
      <c r="X1377" s="562"/>
      <c r="Y1377" s="568"/>
      <c r="Z1377" s="568"/>
      <c r="AA1377" s="568"/>
      <c r="AB1377" s="568"/>
      <c r="AC1377" s="568"/>
      <c r="AD1377" s="568"/>
      <c r="AE1377" s="563"/>
      <c r="AF1377" s="570" t="s">
        <v>2899</v>
      </c>
      <c r="AG1377" s="570" t="s">
        <v>25</v>
      </c>
      <c r="AH1377" s="571" t="s">
        <v>25</v>
      </c>
      <c r="AI1377" s="558"/>
      <c r="AJ1377" s="558"/>
    </row>
    <row r="1378" spans="1:36" s="385" customFormat="1" ht="20.25" outlineLevel="2" x14ac:dyDescent="0.3">
      <c r="A1378" s="447">
        <v>110</v>
      </c>
      <c r="B1378" s="574"/>
      <c r="C1378" s="574"/>
      <c r="D1378" s="705"/>
      <c r="E1378" s="706"/>
      <c r="F1378" s="558"/>
      <c r="G1378" s="732"/>
      <c r="H1378" s="546"/>
      <c r="I1378" s="563" t="s">
        <v>25</v>
      </c>
      <c r="J1378" s="563" t="s">
        <v>25</v>
      </c>
      <c r="K1378" s="564" t="s">
        <v>25</v>
      </c>
      <c r="L1378" s="564" t="s">
        <v>25</v>
      </c>
      <c r="M1378" s="586"/>
      <c r="N1378" s="586"/>
      <c r="O1378" s="630"/>
      <c r="P1378" s="564" t="s">
        <v>25</v>
      </c>
      <c r="Q1378" s="564" t="s">
        <v>25</v>
      </c>
      <c r="R1378" s="586"/>
      <c r="S1378" s="609"/>
      <c r="T1378" s="567"/>
      <c r="U1378" s="593"/>
      <c r="V1378" s="564" t="s">
        <v>2899</v>
      </c>
      <c r="W1378" s="564" t="s">
        <v>25</v>
      </c>
      <c r="X1378" s="562"/>
      <c r="Y1378" s="568"/>
      <c r="Z1378" s="568"/>
      <c r="AA1378" s="568"/>
      <c r="AB1378" s="568"/>
      <c r="AC1378" s="568"/>
      <c r="AD1378" s="568"/>
      <c r="AE1378" s="563"/>
      <c r="AF1378" s="570" t="s">
        <v>2899</v>
      </c>
      <c r="AG1378" s="570" t="s">
        <v>25</v>
      </c>
      <c r="AH1378" s="571" t="s">
        <v>25</v>
      </c>
      <c r="AI1378" s="593"/>
      <c r="AJ1378" s="593"/>
    </row>
    <row r="1379" spans="1:36" s="385" customFormat="1" ht="40.5" outlineLevel="1" x14ac:dyDescent="0.25">
      <c r="A1379" s="467">
        <v>111</v>
      </c>
      <c r="B1379" s="574" t="s">
        <v>50</v>
      </c>
      <c r="C1379" s="586" t="s">
        <v>2903</v>
      </c>
      <c r="D1379" s="615">
        <v>86</v>
      </c>
      <c r="E1379" s="700">
        <v>167</v>
      </c>
      <c r="F1379" s="574"/>
      <c r="G1379" s="596">
        <v>2890.2</v>
      </c>
      <c r="H1379" s="579">
        <v>2196.6999999999998</v>
      </c>
      <c r="I1379" s="581"/>
      <c r="J1379" s="581"/>
      <c r="K1379" s="571">
        <v>2246124000</v>
      </c>
      <c r="L1379" s="571">
        <v>3653551000</v>
      </c>
      <c r="M1379" s="574"/>
      <c r="N1379" s="574"/>
      <c r="O1379" s="599">
        <v>42</v>
      </c>
      <c r="P1379" s="571"/>
      <c r="Q1379" s="571">
        <v>11836000</v>
      </c>
      <c r="R1379" s="582"/>
      <c r="S1379" s="597"/>
      <c r="T1379" s="600">
        <v>849.53000000000009</v>
      </c>
      <c r="U1379" s="608"/>
      <c r="V1379" s="571"/>
      <c r="W1379" s="571">
        <v>740236000</v>
      </c>
      <c r="X1379" s="562"/>
      <c r="Y1379" s="568"/>
      <c r="Z1379" s="568"/>
      <c r="AA1379" s="568"/>
      <c r="AB1379" s="568"/>
      <c r="AC1379" s="568"/>
      <c r="AD1379" s="602"/>
      <c r="AE1379" s="581">
        <f>SUBTOTAL(9,AE1380:AE1414)</f>
        <v>1</v>
      </c>
      <c r="AF1379" s="585"/>
      <c r="AG1379" s="585">
        <v>17000000</v>
      </c>
      <c r="AH1379" s="571">
        <v>6668747000</v>
      </c>
      <c r="AI1379" s="574"/>
      <c r="AJ1379" s="578"/>
    </row>
    <row r="1380" spans="1:36" s="385" customFormat="1" ht="121.5" outlineLevel="2" x14ac:dyDescent="0.3">
      <c r="A1380" s="447">
        <v>111</v>
      </c>
      <c r="B1380" s="558" t="s">
        <v>112</v>
      </c>
      <c r="C1380" s="558"/>
      <c r="D1380" s="615">
        <v>86</v>
      </c>
      <c r="E1380" s="700">
        <v>167</v>
      </c>
      <c r="F1380" s="558" t="s">
        <v>2895</v>
      </c>
      <c r="G1380" s="604">
        <v>597.5</v>
      </c>
      <c r="H1380" s="546" t="s">
        <v>2899</v>
      </c>
      <c r="I1380" s="563">
        <v>554400</v>
      </c>
      <c r="J1380" s="563">
        <v>0</v>
      </c>
      <c r="K1380" s="564">
        <v>331254000</v>
      </c>
      <c r="L1380" s="564">
        <v>0</v>
      </c>
      <c r="M1380" s="558" t="s">
        <v>61</v>
      </c>
      <c r="N1380" s="558"/>
      <c r="O1380" s="590">
        <v>3</v>
      </c>
      <c r="P1380" s="564">
        <v>1708000</v>
      </c>
      <c r="Q1380" s="564">
        <v>5124000</v>
      </c>
      <c r="R1380" s="566" t="s">
        <v>2333</v>
      </c>
      <c r="S1380" s="589" t="s">
        <v>2804</v>
      </c>
      <c r="T1380" s="591">
        <v>90.3</v>
      </c>
      <c r="U1380" s="593"/>
      <c r="V1380" s="564">
        <v>211811</v>
      </c>
      <c r="W1380" s="564">
        <v>19127000</v>
      </c>
      <c r="X1380" s="562"/>
      <c r="Y1380" s="568"/>
      <c r="Z1380" s="568"/>
      <c r="AA1380" s="568"/>
      <c r="AB1380" s="568"/>
      <c r="AC1380" s="568"/>
      <c r="AD1380" s="569"/>
      <c r="AE1380" s="563"/>
      <c r="AF1380" s="570"/>
      <c r="AG1380" s="570"/>
      <c r="AH1380" s="571" t="s">
        <v>25</v>
      </c>
      <c r="AI1380" s="558" t="s">
        <v>1002</v>
      </c>
      <c r="AJ1380" s="586" t="s">
        <v>2771</v>
      </c>
    </row>
    <row r="1381" spans="1:36" s="385" customFormat="1" ht="101.25" outlineLevel="2" x14ac:dyDescent="0.3">
      <c r="A1381" s="447">
        <v>111</v>
      </c>
      <c r="B1381" s="586" t="s">
        <v>1659</v>
      </c>
      <c r="C1381" s="586"/>
      <c r="D1381" s="615"/>
      <c r="E1381" s="700"/>
      <c r="F1381" s="558" t="s">
        <v>2049</v>
      </c>
      <c r="G1381" s="604">
        <v>96</v>
      </c>
      <c r="H1381" s="546" t="s">
        <v>2899</v>
      </c>
      <c r="I1381" s="563">
        <v>7260624</v>
      </c>
      <c r="J1381" s="563">
        <v>0</v>
      </c>
      <c r="K1381" s="564">
        <v>697020000</v>
      </c>
      <c r="L1381" s="564">
        <v>0</v>
      </c>
      <c r="M1381" s="558" t="s">
        <v>1004</v>
      </c>
      <c r="N1381" s="558"/>
      <c r="O1381" s="590">
        <v>1</v>
      </c>
      <c r="P1381" s="564">
        <v>60000</v>
      </c>
      <c r="Q1381" s="564">
        <v>60000</v>
      </c>
      <c r="R1381" s="566" t="s">
        <v>2351</v>
      </c>
      <c r="S1381" s="589" t="s">
        <v>2804</v>
      </c>
      <c r="T1381" s="591">
        <v>36</v>
      </c>
      <c r="U1381" s="593"/>
      <c r="V1381" s="564">
        <v>684506</v>
      </c>
      <c r="W1381" s="564">
        <v>24642000</v>
      </c>
      <c r="X1381" s="562"/>
      <c r="Y1381" s="568" t="s">
        <v>980</v>
      </c>
      <c r="Z1381" s="568" t="s">
        <v>1005</v>
      </c>
      <c r="AA1381" s="568"/>
      <c r="AB1381" s="568" t="s">
        <v>267</v>
      </c>
      <c r="AC1381" s="568"/>
      <c r="AD1381" s="569" t="s">
        <v>2791</v>
      </c>
      <c r="AE1381" s="590">
        <v>1</v>
      </c>
      <c r="AF1381" s="570">
        <v>17000000</v>
      </c>
      <c r="AG1381" s="570">
        <v>17000000</v>
      </c>
      <c r="AH1381" s="571" t="s">
        <v>25</v>
      </c>
      <c r="AI1381" s="558" t="s">
        <v>2834</v>
      </c>
      <c r="AJ1381" s="605" t="s">
        <v>2448</v>
      </c>
    </row>
    <row r="1382" spans="1:36" s="385" customFormat="1" ht="121.5" outlineLevel="2" x14ac:dyDescent="0.3">
      <c r="A1382" s="447">
        <v>111</v>
      </c>
      <c r="B1382" s="558"/>
      <c r="C1382" s="558"/>
      <c r="D1382" s="615"/>
      <c r="E1382" s="700"/>
      <c r="F1382" s="558" t="s">
        <v>2896</v>
      </c>
      <c r="G1382" s="735">
        <v>2196.6999999999998</v>
      </c>
      <c r="H1382" s="546">
        <v>2196.6999999999998</v>
      </c>
      <c r="I1382" s="563">
        <v>554400</v>
      </c>
      <c r="J1382" s="563">
        <v>1663200</v>
      </c>
      <c r="K1382" s="564">
        <v>1217850000</v>
      </c>
      <c r="L1382" s="564">
        <v>3653551000</v>
      </c>
      <c r="M1382" s="558" t="s">
        <v>754</v>
      </c>
      <c r="N1382" s="558"/>
      <c r="O1382" s="590">
        <v>1</v>
      </c>
      <c r="P1382" s="564">
        <v>0</v>
      </c>
      <c r="Q1382" s="564">
        <v>0</v>
      </c>
      <c r="R1382" s="566" t="s">
        <v>2352</v>
      </c>
      <c r="S1382" s="589" t="s">
        <v>2823</v>
      </c>
      <c r="T1382" s="591">
        <v>0.39</v>
      </c>
      <c r="U1382" s="593"/>
      <c r="V1382" s="564">
        <v>0</v>
      </c>
      <c r="W1382" s="564">
        <v>0</v>
      </c>
      <c r="X1382" s="562"/>
      <c r="Y1382" s="568"/>
      <c r="Z1382" s="568"/>
      <c r="AA1382" s="568"/>
      <c r="AB1382" s="568"/>
      <c r="AC1382" s="568"/>
      <c r="AD1382" s="606"/>
      <c r="AE1382" s="590"/>
      <c r="AF1382" s="570" t="s">
        <v>2899</v>
      </c>
      <c r="AG1382" s="570" t="s">
        <v>25</v>
      </c>
      <c r="AH1382" s="571" t="s">
        <v>25</v>
      </c>
      <c r="AI1382" s="558" t="s">
        <v>2074</v>
      </c>
      <c r="AJ1382" s="558" t="s">
        <v>2450</v>
      </c>
    </row>
    <row r="1383" spans="1:36" s="385" customFormat="1" ht="101.25" outlineLevel="2" x14ac:dyDescent="0.3">
      <c r="A1383" s="447">
        <v>111</v>
      </c>
      <c r="B1383" s="558"/>
      <c r="C1383" s="558"/>
      <c r="D1383" s="615"/>
      <c r="E1383" s="700"/>
      <c r="F1383" s="558"/>
      <c r="G1383" s="735"/>
      <c r="H1383" s="546"/>
      <c r="I1383" s="563" t="s">
        <v>25</v>
      </c>
      <c r="J1383" s="563" t="s">
        <v>25</v>
      </c>
      <c r="K1383" s="564" t="s">
        <v>25</v>
      </c>
      <c r="L1383" s="564" t="s">
        <v>25</v>
      </c>
      <c r="M1383" s="558" t="s">
        <v>750</v>
      </c>
      <c r="N1383" s="558"/>
      <c r="O1383" s="590">
        <v>1</v>
      </c>
      <c r="P1383" s="564">
        <v>0</v>
      </c>
      <c r="Q1383" s="564">
        <v>0</v>
      </c>
      <c r="R1383" s="566" t="s">
        <v>2333</v>
      </c>
      <c r="S1383" s="589" t="s">
        <v>2804</v>
      </c>
      <c r="T1383" s="591">
        <v>3.6</v>
      </c>
      <c r="U1383" s="593"/>
      <c r="V1383" s="564">
        <v>211811</v>
      </c>
      <c r="W1383" s="564">
        <v>763000</v>
      </c>
      <c r="X1383" s="562"/>
      <c r="Y1383" s="568"/>
      <c r="Z1383" s="568"/>
      <c r="AA1383" s="568"/>
      <c r="AB1383" s="568"/>
      <c r="AC1383" s="568"/>
      <c r="AD1383" s="568"/>
      <c r="AE1383" s="563"/>
      <c r="AF1383" s="570" t="s">
        <v>2899</v>
      </c>
      <c r="AG1383" s="570" t="s">
        <v>25</v>
      </c>
      <c r="AH1383" s="571" t="s">
        <v>25</v>
      </c>
      <c r="AI1383" s="558" t="s">
        <v>2163</v>
      </c>
      <c r="AJ1383" s="558" t="s">
        <v>2449</v>
      </c>
    </row>
    <row r="1384" spans="1:36" s="385" customFormat="1" ht="81" outlineLevel="2" x14ac:dyDescent="0.3">
      <c r="A1384" s="447">
        <v>111</v>
      </c>
      <c r="B1384" s="558"/>
      <c r="C1384" s="558"/>
      <c r="D1384" s="615"/>
      <c r="E1384" s="700"/>
      <c r="F1384" s="558"/>
      <c r="G1384" s="604"/>
      <c r="H1384" s="546"/>
      <c r="I1384" s="563" t="s">
        <v>25</v>
      </c>
      <c r="J1384" s="563" t="s">
        <v>25</v>
      </c>
      <c r="K1384" s="564" t="s">
        <v>25</v>
      </c>
      <c r="L1384" s="564" t="s">
        <v>25</v>
      </c>
      <c r="M1384" s="558" t="s">
        <v>932</v>
      </c>
      <c r="N1384" s="558"/>
      <c r="O1384" s="590">
        <v>8</v>
      </c>
      <c r="P1384" s="564">
        <v>84000</v>
      </c>
      <c r="Q1384" s="564">
        <v>672000</v>
      </c>
      <c r="R1384" s="566" t="s">
        <v>1748</v>
      </c>
      <c r="S1384" s="589" t="s">
        <v>2804</v>
      </c>
      <c r="T1384" s="591">
        <v>3.7</v>
      </c>
      <c r="U1384" s="593"/>
      <c r="V1384" s="564">
        <v>0</v>
      </c>
      <c r="W1384" s="564">
        <v>0</v>
      </c>
      <c r="X1384" s="562"/>
      <c r="Y1384" s="568"/>
      <c r="Z1384" s="568"/>
      <c r="AA1384" s="568"/>
      <c r="AB1384" s="568"/>
      <c r="AC1384" s="568"/>
      <c r="AD1384" s="568"/>
      <c r="AE1384" s="563"/>
      <c r="AF1384" s="570" t="s">
        <v>2899</v>
      </c>
      <c r="AG1384" s="570" t="s">
        <v>25</v>
      </c>
      <c r="AH1384" s="571" t="s">
        <v>25</v>
      </c>
      <c r="AI1384" s="558"/>
      <c r="AJ1384" s="558" t="s">
        <v>2451</v>
      </c>
    </row>
    <row r="1385" spans="1:36" s="385" customFormat="1" ht="101.25" outlineLevel="2" x14ac:dyDescent="0.3">
      <c r="A1385" s="447">
        <v>111</v>
      </c>
      <c r="B1385" s="558"/>
      <c r="C1385" s="558"/>
      <c r="D1385" s="615"/>
      <c r="E1385" s="700"/>
      <c r="F1385" s="558"/>
      <c r="G1385" s="734"/>
      <c r="H1385" s="546"/>
      <c r="I1385" s="563" t="s">
        <v>25</v>
      </c>
      <c r="J1385" s="563" t="s">
        <v>25</v>
      </c>
      <c r="K1385" s="564" t="s">
        <v>25</v>
      </c>
      <c r="L1385" s="564" t="s">
        <v>25</v>
      </c>
      <c r="M1385" s="558" t="s">
        <v>350</v>
      </c>
      <c r="N1385" s="558"/>
      <c r="O1385" s="590">
        <v>2</v>
      </c>
      <c r="P1385" s="564">
        <v>72000</v>
      </c>
      <c r="Q1385" s="564">
        <v>144000</v>
      </c>
      <c r="R1385" s="566" t="s">
        <v>1749</v>
      </c>
      <c r="S1385" s="589" t="s">
        <v>2804</v>
      </c>
      <c r="T1385" s="591">
        <v>3.7</v>
      </c>
      <c r="U1385" s="593"/>
      <c r="V1385" s="564">
        <v>211811</v>
      </c>
      <c r="W1385" s="564">
        <v>784000</v>
      </c>
      <c r="X1385" s="562"/>
      <c r="Y1385" s="568"/>
      <c r="Z1385" s="568"/>
      <c r="AA1385" s="568"/>
      <c r="AB1385" s="568"/>
      <c r="AC1385" s="568"/>
      <c r="AD1385" s="568"/>
      <c r="AE1385" s="563"/>
      <c r="AF1385" s="570" t="s">
        <v>2899</v>
      </c>
      <c r="AG1385" s="570" t="s">
        <v>25</v>
      </c>
      <c r="AH1385" s="571" t="s">
        <v>25</v>
      </c>
      <c r="AI1385" s="558"/>
      <c r="AJ1385" s="558" t="s">
        <v>2800</v>
      </c>
    </row>
    <row r="1386" spans="1:36" s="385" customFormat="1" ht="40.5" outlineLevel="2" x14ac:dyDescent="0.3">
      <c r="A1386" s="447">
        <v>111</v>
      </c>
      <c r="B1386" s="558"/>
      <c r="C1386" s="558"/>
      <c r="D1386" s="615"/>
      <c r="E1386" s="700"/>
      <c r="F1386" s="558"/>
      <c r="G1386" s="604"/>
      <c r="H1386" s="546"/>
      <c r="I1386" s="563" t="s">
        <v>25</v>
      </c>
      <c r="J1386" s="563" t="s">
        <v>25</v>
      </c>
      <c r="K1386" s="564" t="s">
        <v>25</v>
      </c>
      <c r="L1386" s="564" t="s">
        <v>25</v>
      </c>
      <c r="M1386" s="558" t="s">
        <v>145</v>
      </c>
      <c r="N1386" s="558"/>
      <c r="O1386" s="590">
        <v>1</v>
      </c>
      <c r="P1386" s="564">
        <v>4240000</v>
      </c>
      <c r="Q1386" s="564">
        <v>4240000</v>
      </c>
      <c r="R1386" s="566" t="s">
        <v>1838</v>
      </c>
      <c r="S1386" s="589" t="s">
        <v>2804</v>
      </c>
      <c r="T1386" s="591">
        <v>69.900000000000006</v>
      </c>
      <c r="U1386" s="593"/>
      <c r="V1386" s="564">
        <v>3156089</v>
      </c>
      <c r="W1386" s="564">
        <v>220611000</v>
      </c>
      <c r="X1386" s="562" t="s">
        <v>139</v>
      </c>
      <c r="Y1386" s="568" t="s">
        <v>980</v>
      </c>
      <c r="Z1386" s="568" t="s">
        <v>1012</v>
      </c>
      <c r="AA1386" s="568" t="s">
        <v>269</v>
      </c>
      <c r="AB1386" s="568" t="s">
        <v>139</v>
      </c>
      <c r="AC1386" s="568"/>
      <c r="AD1386" s="568"/>
      <c r="AE1386" s="563"/>
      <c r="AF1386" s="570" t="s">
        <v>2899</v>
      </c>
      <c r="AG1386" s="570" t="s">
        <v>25</v>
      </c>
      <c r="AH1386" s="571" t="s">
        <v>25</v>
      </c>
      <c r="AI1386" s="558"/>
      <c r="AJ1386" s="558"/>
    </row>
    <row r="1387" spans="1:36" s="385" customFormat="1" ht="81" outlineLevel="2" x14ac:dyDescent="0.3">
      <c r="A1387" s="447">
        <v>111</v>
      </c>
      <c r="B1387" s="558"/>
      <c r="C1387" s="558"/>
      <c r="D1387" s="615"/>
      <c r="E1387" s="700"/>
      <c r="F1387" s="558"/>
      <c r="G1387" s="604"/>
      <c r="H1387" s="546"/>
      <c r="I1387" s="563" t="s">
        <v>25</v>
      </c>
      <c r="J1387" s="563" t="s">
        <v>25</v>
      </c>
      <c r="K1387" s="564" t="s">
        <v>25</v>
      </c>
      <c r="L1387" s="564" t="s">
        <v>25</v>
      </c>
      <c r="M1387" s="558" t="s">
        <v>75</v>
      </c>
      <c r="N1387" s="558"/>
      <c r="O1387" s="590">
        <v>10</v>
      </c>
      <c r="P1387" s="564">
        <v>34000</v>
      </c>
      <c r="Q1387" s="564">
        <v>340000</v>
      </c>
      <c r="R1387" s="566" t="s">
        <v>2353</v>
      </c>
      <c r="S1387" s="589" t="s">
        <v>2823</v>
      </c>
      <c r="T1387" s="591">
        <v>7.65</v>
      </c>
      <c r="U1387" s="593"/>
      <c r="V1387" s="564">
        <v>0</v>
      </c>
      <c r="W1387" s="564">
        <v>0</v>
      </c>
      <c r="X1387" s="562"/>
      <c r="Y1387" s="568"/>
      <c r="Z1387" s="568"/>
      <c r="AA1387" s="568"/>
      <c r="AB1387" s="568"/>
      <c r="AC1387" s="568"/>
      <c r="AD1387" s="568"/>
      <c r="AE1387" s="563"/>
      <c r="AF1387" s="570" t="s">
        <v>2899</v>
      </c>
      <c r="AG1387" s="570" t="s">
        <v>25</v>
      </c>
      <c r="AH1387" s="571" t="s">
        <v>25</v>
      </c>
      <c r="AI1387" s="558"/>
      <c r="AJ1387" s="558"/>
    </row>
    <row r="1388" spans="1:36" s="385" customFormat="1" ht="60.75" outlineLevel="2" x14ac:dyDescent="0.3">
      <c r="A1388" s="447">
        <v>111</v>
      </c>
      <c r="B1388" s="558"/>
      <c r="C1388" s="558"/>
      <c r="D1388" s="615"/>
      <c r="E1388" s="700"/>
      <c r="F1388" s="558"/>
      <c r="G1388" s="604"/>
      <c r="H1388" s="546"/>
      <c r="I1388" s="563" t="s">
        <v>25</v>
      </c>
      <c r="J1388" s="563" t="s">
        <v>25</v>
      </c>
      <c r="K1388" s="564" t="s">
        <v>25</v>
      </c>
      <c r="L1388" s="564" t="s">
        <v>25</v>
      </c>
      <c r="M1388" s="586" t="s">
        <v>401</v>
      </c>
      <c r="N1388" s="586"/>
      <c r="O1388" s="590">
        <v>3</v>
      </c>
      <c r="P1388" s="564">
        <v>80000</v>
      </c>
      <c r="Q1388" s="564">
        <v>240000</v>
      </c>
      <c r="R1388" s="566" t="s">
        <v>2351</v>
      </c>
      <c r="S1388" s="589" t="s">
        <v>2804</v>
      </c>
      <c r="T1388" s="617">
        <v>20.3</v>
      </c>
      <c r="U1388" s="593"/>
      <c r="V1388" s="564">
        <v>684506</v>
      </c>
      <c r="W1388" s="564">
        <v>13895000</v>
      </c>
      <c r="X1388" s="562"/>
      <c r="Y1388" s="568" t="s">
        <v>980</v>
      </c>
      <c r="Z1388" s="568" t="s">
        <v>1005</v>
      </c>
      <c r="AA1388" s="568"/>
      <c r="AB1388" s="568" t="s">
        <v>267</v>
      </c>
      <c r="AC1388" s="568"/>
      <c r="AD1388" s="568"/>
      <c r="AE1388" s="563"/>
      <c r="AF1388" s="570" t="s">
        <v>2899</v>
      </c>
      <c r="AG1388" s="570" t="s">
        <v>25</v>
      </c>
      <c r="AH1388" s="571" t="s">
        <v>25</v>
      </c>
      <c r="AI1388" s="558"/>
      <c r="AJ1388" s="558"/>
    </row>
    <row r="1389" spans="1:36" s="385" customFormat="1" ht="60.75" outlineLevel="2" x14ac:dyDescent="0.3">
      <c r="A1389" s="447">
        <v>111</v>
      </c>
      <c r="B1389" s="558"/>
      <c r="C1389" s="558"/>
      <c r="D1389" s="615"/>
      <c r="E1389" s="700"/>
      <c r="F1389" s="558"/>
      <c r="G1389" s="604"/>
      <c r="H1389" s="546"/>
      <c r="I1389" s="563" t="s">
        <v>25</v>
      </c>
      <c r="J1389" s="563" t="s">
        <v>25</v>
      </c>
      <c r="K1389" s="564" t="s">
        <v>25</v>
      </c>
      <c r="L1389" s="564" t="s">
        <v>25</v>
      </c>
      <c r="M1389" s="586" t="s">
        <v>401</v>
      </c>
      <c r="N1389" s="586"/>
      <c r="O1389" s="590">
        <v>2</v>
      </c>
      <c r="P1389" s="564">
        <v>80000</v>
      </c>
      <c r="Q1389" s="564">
        <v>160000</v>
      </c>
      <c r="R1389" s="566" t="s">
        <v>1750</v>
      </c>
      <c r="S1389" s="589" t="s">
        <v>2804</v>
      </c>
      <c r="T1389" s="617">
        <v>53.8</v>
      </c>
      <c r="U1389" s="593"/>
      <c r="V1389" s="564">
        <v>984277</v>
      </c>
      <c r="W1389" s="564">
        <v>52954000</v>
      </c>
      <c r="X1389" s="562"/>
      <c r="Y1389" s="568" t="s">
        <v>980</v>
      </c>
      <c r="Z1389" s="568" t="s">
        <v>1012</v>
      </c>
      <c r="AA1389" s="568" t="s">
        <v>269</v>
      </c>
      <c r="AB1389" s="568" t="s">
        <v>267</v>
      </c>
      <c r="AC1389" s="568"/>
      <c r="AD1389" s="568"/>
      <c r="AE1389" s="563"/>
      <c r="AF1389" s="570" t="s">
        <v>2899</v>
      </c>
      <c r="AG1389" s="570" t="s">
        <v>25</v>
      </c>
      <c r="AH1389" s="571" t="s">
        <v>25</v>
      </c>
      <c r="AI1389" s="558"/>
      <c r="AJ1389" s="558"/>
    </row>
    <row r="1390" spans="1:36" s="385" customFormat="1" ht="60.75" outlineLevel="2" x14ac:dyDescent="0.3">
      <c r="A1390" s="447">
        <v>111</v>
      </c>
      <c r="B1390" s="558"/>
      <c r="C1390" s="558"/>
      <c r="D1390" s="615"/>
      <c r="E1390" s="700"/>
      <c r="F1390" s="558"/>
      <c r="G1390" s="604"/>
      <c r="H1390" s="546"/>
      <c r="I1390" s="563" t="s">
        <v>25</v>
      </c>
      <c r="J1390" s="563" t="s">
        <v>25</v>
      </c>
      <c r="K1390" s="564" t="s">
        <v>25</v>
      </c>
      <c r="L1390" s="564" t="s">
        <v>25</v>
      </c>
      <c r="M1390" s="558" t="s">
        <v>154</v>
      </c>
      <c r="N1390" s="558"/>
      <c r="O1390" s="590">
        <v>2</v>
      </c>
      <c r="P1390" s="564">
        <v>248000</v>
      </c>
      <c r="Q1390" s="564">
        <v>496000</v>
      </c>
      <c r="R1390" s="566" t="s">
        <v>2354</v>
      </c>
      <c r="S1390" s="589" t="s">
        <v>2804</v>
      </c>
      <c r="T1390" s="617">
        <v>1.7</v>
      </c>
      <c r="U1390" s="593"/>
      <c r="V1390" s="564">
        <v>7577429</v>
      </c>
      <c r="W1390" s="564">
        <v>12882000</v>
      </c>
      <c r="X1390" s="562" t="s">
        <v>139</v>
      </c>
      <c r="Y1390" s="568" t="s">
        <v>980</v>
      </c>
      <c r="Z1390" s="568" t="s">
        <v>1012</v>
      </c>
      <c r="AA1390" s="568" t="s">
        <v>269</v>
      </c>
      <c r="AB1390" s="568" t="s">
        <v>139</v>
      </c>
      <c r="AC1390" s="568"/>
      <c r="AD1390" s="568"/>
      <c r="AE1390" s="563"/>
      <c r="AF1390" s="570" t="s">
        <v>2899</v>
      </c>
      <c r="AG1390" s="570" t="s">
        <v>25</v>
      </c>
      <c r="AH1390" s="571" t="s">
        <v>25</v>
      </c>
      <c r="AI1390" s="558" t="s">
        <v>1015</v>
      </c>
      <c r="AJ1390" s="558"/>
    </row>
    <row r="1391" spans="1:36" s="385" customFormat="1" ht="60.75" outlineLevel="2" x14ac:dyDescent="0.3">
      <c r="A1391" s="447">
        <v>111</v>
      </c>
      <c r="B1391" s="558"/>
      <c r="C1391" s="558"/>
      <c r="D1391" s="615"/>
      <c r="E1391" s="700"/>
      <c r="F1391" s="558"/>
      <c r="G1391" s="604"/>
      <c r="H1391" s="546"/>
      <c r="I1391" s="563" t="s">
        <v>25</v>
      </c>
      <c r="J1391" s="563" t="s">
        <v>25</v>
      </c>
      <c r="K1391" s="564" t="s">
        <v>25</v>
      </c>
      <c r="L1391" s="564" t="s">
        <v>25</v>
      </c>
      <c r="M1391" s="558" t="s">
        <v>76</v>
      </c>
      <c r="N1391" s="558"/>
      <c r="O1391" s="590">
        <v>8</v>
      </c>
      <c r="P1391" s="564">
        <v>45000</v>
      </c>
      <c r="Q1391" s="564">
        <v>360000</v>
      </c>
      <c r="R1391" s="566" t="s">
        <v>2354</v>
      </c>
      <c r="S1391" s="589" t="s">
        <v>2804</v>
      </c>
      <c r="T1391" s="617">
        <v>1.7</v>
      </c>
      <c r="U1391" s="593"/>
      <c r="V1391" s="564">
        <v>7577429</v>
      </c>
      <c r="W1391" s="564">
        <v>12882000</v>
      </c>
      <c r="X1391" s="562" t="s">
        <v>139</v>
      </c>
      <c r="Y1391" s="568" t="s">
        <v>980</v>
      </c>
      <c r="Z1391" s="568" t="s">
        <v>1012</v>
      </c>
      <c r="AA1391" s="568" t="s">
        <v>269</v>
      </c>
      <c r="AB1391" s="568" t="s">
        <v>139</v>
      </c>
      <c r="AC1391" s="568"/>
      <c r="AD1391" s="568"/>
      <c r="AE1391" s="563"/>
      <c r="AF1391" s="570" t="s">
        <v>2899</v>
      </c>
      <c r="AG1391" s="570" t="s">
        <v>25</v>
      </c>
      <c r="AH1391" s="571" t="s">
        <v>25</v>
      </c>
      <c r="AI1391" s="558" t="s">
        <v>1015</v>
      </c>
      <c r="AJ1391" s="558"/>
    </row>
    <row r="1392" spans="1:36" s="385" customFormat="1" ht="60.75" outlineLevel="2" x14ac:dyDescent="0.3">
      <c r="A1392" s="447">
        <v>111</v>
      </c>
      <c r="B1392" s="558"/>
      <c r="C1392" s="558"/>
      <c r="D1392" s="615"/>
      <c r="E1392" s="700"/>
      <c r="F1392" s="558"/>
      <c r="G1392" s="604"/>
      <c r="H1392" s="546"/>
      <c r="I1392" s="563" t="s">
        <v>25</v>
      </c>
      <c r="J1392" s="563" t="s">
        <v>25</v>
      </c>
      <c r="K1392" s="564" t="s">
        <v>25</v>
      </c>
      <c r="L1392" s="564" t="s">
        <v>25</v>
      </c>
      <c r="M1392" s="558"/>
      <c r="N1392" s="558"/>
      <c r="O1392" s="590"/>
      <c r="P1392" s="564" t="s">
        <v>25</v>
      </c>
      <c r="Q1392" s="564" t="s">
        <v>25</v>
      </c>
      <c r="R1392" s="566" t="s">
        <v>1805</v>
      </c>
      <c r="S1392" s="589" t="s">
        <v>2804</v>
      </c>
      <c r="T1392" s="591">
        <v>77.61</v>
      </c>
      <c r="U1392" s="593"/>
      <c r="V1392" s="564">
        <v>642264</v>
      </c>
      <c r="W1392" s="564">
        <v>49846000</v>
      </c>
      <c r="X1392" s="562"/>
      <c r="Y1392" s="568"/>
      <c r="Z1392" s="568"/>
      <c r="AA1392" s="568"/>
      <c r="AB1392" s="568"/>
      <c r="AC1392" s="568"/>
      <c r="AD1392" s="568"/>
      <c r="AE1392" s="563"/>
      <c r="AF1392" s="570" t="s">
        <v>2899</v>
      </c>
      <c r="AG1392" s="570" t="s">
        <v>25</v>
      </c>
      <c r="AH1392" s="571" t="s">
        <v>25</v>
      </c>
      <c r="AI1392" s="558"/>
      <c r="AJ1392" s="558"/>
    </row>
    <row r="1393" spans="1:36" s="385" customFormat="1" ht="60.75" outlineLevel="2" x14ac:dyDescent="0.3">
      <c r="A1393" s="447">
        <v>111</v>
      </c>
      <c r="B1393" s="558"/>
      <c r="C1393" s="558"/>
      <c r="D1393" s="615"/>
      <c r="E1393" s="700"/>
      <c r="F1393" s="558"/>
      <c r="G1393" s="604"/>
      <c r="H1393" s="546"/>
      <c r="I1393" s="563" t="s">
        <v>25</v>
      </c>
      <c r="J1393" s="563" t="s">
        <v>25</v>
      </c>
      <c r="K1393" s="564" t="s">
        <v>25</v>
      </c>
      <c r="L1393" s="564" t="s">
        <v>25</v>
      </c>
      <c r="M1393" s="558"/>
      <c r="N1393" s="558"/>
      <c r="O1393" s="590"/>
      <c r="P1393" s="564" t="s">
        <v>25</v>
      </c>
      <c r="Q1393" s="564" t="s">
        <v>25</v>
      </c>
      <c r="R1393" s="566" t="s">
        <v>1805</v>
      </c>
      <c r="S1393" s="589" t="s">
        <v>2804</v>
      </c>
      <c r="T1393" s="591">
        <v>6.51</v>
      </c>
      <c r="U1393" s="593"/>
      <c r="V1393" s="564">
        <v>642264</v>
      </c>
      <c r="W1393" s="564">
        <v>4181000</v>
      </c>
      <c r="X1393" s="562"/>
      <c r="Y1393" s="568"/>
      <c r="Z1393" s="568"/>
      <c r="AA1393" s="568"/>
      <c r="AB1393" s="568"/>
      <c r="AC1393" s="568"/>
      <c r="AD1393" s="568"/>
      <c r="AE1393" s="563"/>
      <c r="AF1393" s="570" t="s">
        <v>2899</v>
      </c>
      <c r="AG1393" s="570" t="s">
        <v>25</v>
      </c>
      <c r="AH1393" s="571" t="s">
        <v>25</v>
      </c>
      <c r="AI1393" s="558"/>
      <c r="AJ1393" s="558"/>
    </row>
    <row r="1394" spans="1:36" s="385" customFormat="1" ht="60.75" outlineLevel="2" x14ac:dyDescent="0.3">
      <c r="A1394" s="447">
        <v>111</v>
      </c>
      <c r="B1394" s="558"/>
      <c r="C1394" s="558"/>
      <c r="D1394" s="615"/>
      <c r="E1394" s="700"/>
      <c r="F1394" s="558"/>
      <c r="G1394" s="604"/>
      <c r="H1394" s="546"/>
      <c r="I1394" s="563" t="s">
        <v>25</v>
      </c>
      <c r="J1394" s="563" t="s">
        <v>25</v>
      </c>
      <c r="K1394" s="564" t="s">
        <v>25</v>
      </c>
      <c r="L1394" s="564" t="s">
        <v>25</v>
      </c>
      <c r="M1394" s="558"/>
      <c r="N1394" s="558"/>
      <c r="O1394" s="590"/>
      <c r="P1394" s="564" t="s">
        <v>25</v>
      </c>
      <c r="Q1394" s="564" t="s">
        <v>25</v>
      </c>
      <c r="R1394" s="566" t="s">
        <v>1805</v>
      </c>
      <c r="S1394" s="589" t="s">
        <v>2804</v>
      </c>
      <c r="T1394" s="591">
        <v>10.1</v>
      </c>
      <c r="U1394" s="593"/>
      <c r="V1394" s="564">
        <v>642264</v>
      </c>
      <c r="W1394" s="564">
        <v>6487000</v>
      </c>
      <c r="X1394" s="562"/>
      <c r="Y1394" s="568"/>
      <c r="Z1394" s="568"/>
      <c r="AA1394" s="568"/>
      <c r="AB1394" s="568"/>
      <c r="AC1394" s="568"/>
      <c r="AD1394" s="568"/>
      <c r="AE1394" s="563"/>
      <c r="AF1394" s="570" t="s">
        <v>2899</v>
      </c>
      <c r="AG1394" s="570" t="s">
        <v>25</v>
      </c>
      <c r="AH1394" s="571" t="s">
        <v>25</v>
      </c>
      <c r="AI1394" s="558"/>
      <c r="AJ1394" s="558"/>
    </row>
    <row r="1395" spans="1:36" s="385" customFormat="1" ht="60.75" outlineLevel="2" x14ac:dyDescent="0.3">
      <c r="A1395" s="447">
        <v>111</v>
      </c>
      <c r="B1395" s="558"/>
      <c r="C1395" s="558"/>
      <c r="D1395" s="615"/>
      <c r="E1395" s="700"/>
      <c r="F1395" s="558"/>
      <c r="G1395" s="604"/>
      <c r="H1395" s="546"/>
      <c r="I1395" s="563" t="s">
        <v>25</v>
      </c>
      <c r="J1395" s="563" t="s">
        <v>25</v>
      </c>
      <c r="K1395" s="564" t="s">
        <v>25</v>
      </c>
      <c r="L1395" s="564" t="s">
        <v>25</v>
      </c>
      <c r="M1395" s="558"/>
      <c r="N1395" s="558"/>
      <c r="O1395" s="590"/>
      <c r="P1395" s="564" t="s">
        <v>25</v>
      </c>
      <c r="Q1395" s="564" t="s">
        <v>25</v>
      </c>
      <c r="R1395" s="566" t="s">
        <v>2355</v>
      </c>
      <c r="S1395" s="589" t="s">
        <v>2804</v>
      </c>
      <c r="T1395" s="591">
        <v>0.8</v>
      </c>
      <c r="U1395" s="593"/>
      <c r="V1395" s="564">
        <v>642264</v>
      </c>
      <c r="W1395" s="564">
        <v>514000</v>
      </c>
      <c r="X1395" s="562"/>
      <c r="Y1395" s="568"/>
      <c r="Z1395" s="568"/>
      <c r="AA1395" s="568"/>
      <c r="AB1395" s="568"/>
      <c r="AC1395" s="568"/>
      <c r="AD1395" s="568"/>
      <c r="AE1395" s="563"/>
      <c r="AF1395" s="570" t="s">
        <v>2899</v>
      </c>
      <c r="AG1395" s="570" t="s">
        <v>25</v>
      </c>
      <c r="AH1395" s="571" t="s">
        <v>25</v>
      </c>
      <c r="AI1395" s="558"/>
      <c r="AJ1395" s="558"/>
    </row>
    <row r="1396" spans="1:36" s="385" customFormat="1" ht="60.75" outlineLevel="2" x14ac:dyDescent="0.3">
      <c r="A1396" s="447">
        <v>111</v>
      </c>
      <c r="B1396" s="558"/>
      <c r="C1396" s="558"/>
      <c r="D1396" s="615"/>
      <c r="E1396" s="700"/>
      <c r="F1396" s="558"/>
      <c r="G1396" s="604"/>
      <c r="H1396" s="546"/>
      <c r="I1396" s="563" t="s">
        <v>25</v>
      </c>
      <c r="J1396" s="563" t="s">
        <v>25</v>
      </c>
      <c r="K1396" s="564" t="s">
        <v>25</v>
      </c>
      <c r="L1396" s="564" t="s">
        <v>25</v>
      </c>
      <c r="M1396" s="558"/>
      <c r="N1396" s="558"/>
      <c r="O1396" s="590"/>
      <c r="P1396" s="564" t="s">
        <v>25</v>
      </c>
      <c r="Q1396" s="564" t="s">
        <v>25</v>
      </c>
      <c r="R1396" s="566" t="s">
        <v>2356</v>
      </c>
      <c r="S1396" s="589" t="s">
        <v>2823</v>
      </c>
      <c r="T1396" s="591">
        <v>1.97</v>
      </c>
      <c r="U1396" s="593"/>
      <c r="V1396" s="564">
        <v>0</v>
      </c>
      <c r="W1396" s="564">
        <v>0</v>
      </c>
      <c r="X1396" s="562"/>
      <c r="Y1396" s="568"/>
      <c r="Z1396" s="568"/>
      <c r="AA1396" s="568"/>
      <c r="AB1396" s="568"/>
      <c r="AC1396" s="568"/>
      <c r="AD1396" s="568"/>
      <c r="AE1396" s="563"/>
      <c r="AF1396" s="570" t="s">
        <v>2899</v>
      </c>
      <c r="AG1396" s="570" t="s">
        <v>25</v>
      </c>
      <c r="AH1396" s="571" t="s">
        <v>25</v>
      </c>
      <c r="AI1396" s="558"/>
      <c r="AJ1396" s="558"/>
    </row>
    <row r="1397" spans="1:36" s="385" customFormat="1" ht="60.75" outlineLevel="2" x14ac:dyDescent="0.3">
      <c r="A1397" s="447">
        <v>111</v>
      </c>
      <c r="B1397" s="558"/>
      <c r="C1397" s="558"/>
      <c r="D1397" s="615"/>
      <c r="E1397" s="700"/>
      <c r="F1397" s="558"/>
      <c r="G1397" s="604"/>
      <c r="H1397" s="546"/>
      <c r="I1397" s="563" t="s">
        <v>25</v>
      </c>
      <c r="J1397" s="563" t="s">
        <v>25</v>
      </c>
      <c r="K1397" s="564" t="s">
        <v>25</v>
      </c>
      <c r="L1397" s="564" t="s">
        <v>25</v>
      </c>
      <c r="M1397" s="558"/>
      <c r="N1397" s="558"/>
      <c r="O1397" s="590"/>
      <c r="P1397" s="564" t="s">
        <v>25</v>
      </c>
      <c r="Q1397" s="564" t="s">
        <v>25</v>
      </c>
      <c r="R1397" s="566" t="s">
        <v>2357</v>
      </c>
      <c r="S1397" s="589" t="s">
        <v>2804</v>
      </c>
      <c r="T1397" s="591">
        <v>8.36</v>
      </c>
      <c r="U1397" s="593"/>
      <c r="V1397" s="564">
        <v>254982</v>
      </c>
      <c r="W1397" s="564">
        <v>2132000</v>
      </c>
      <c r="X1397" s="562"/>
      <c r="Y1397" s="568"/>
      <c r="Z1397" s="568"/>
      <c r="AA1397" s="568"/>
      <c r="AB1397" s="568"/>
      <c r="AC1397" s="568"/>
      <c r="AD1397" s="568"/>
      <c r="AE1397" s="563"/>
      <c r="AF1397" s="570" t="s">
        <v>2899</v>
      </c>
      <c r="AG1397" s="570" t="s">
        <v>25</v>
      </c>
      <c r="AH1397" s="571" t="s">
        <v>25</v>
      </c>
      <c r="AI1397" s="558"/>
      <c r="AJ1397" s="558"/>
    </row>
    <row r="1398" spans="1:36" s="385" customFormat="1" ht="40.5" outlineLevel="2" x14ac:dyDescent="0.3">
      <c r="A1398" s="447">
        <v>111</v>
      </c>
      <c r="B1398" s="558"/>
      <c r="C1398" s="558"/>
      <c r="D1398" s="615"/>
      <c r="E1398" s="700"/>
      <c r="F1398" s="558"/>
      <c r="G1398" s="604"/>
      <c r="H1398" s="546"/>
      <c r="I1398" s="563" t="s">
        <v>25</v>
      </c>
      <c r="J1398" s="563" t="s">
        <v>25</v>
      </c>
      <c r="K1398" s="564" t="s">
        <v>25</v>
      </c>
      <c r="L1398" s="564" t="s">
        <v>25</v>
      </c>
      <c r="M1398" s="558"/>
      <c r="N1398" s="558"/>
      <c r="O1398" s="590"/>
      <c r="P1398" s="564" t="s">
        <v>25</v>
      </c>
      <c r="Q1398" s="564" t="s">
        <v>25</v>
      </c>
      <c r="R1398" s="566" t="s">
        <v>2358</v>
      </c>
      <c r="S1398" s="589" t="s">
        <v>2823</v>
      </c>
      <c r="T1398" s="591">
        <v>0.04</v>
      </c>
      <c r="U1398" s="593"/>
      <c r="V1398" s="564">
        <v>0</v>
      </c>
      <c r="W1398" s="564">
        <v>0</v>
      </c>
      <c r="X1398" s="562"/>
      <c r="Y1398" s="568"/>
      <c r="Z1398" s="568"/>
      <c r="AA1398" s="568"/>
      <c r="AB1398" s="568"/>
      <c r="AC1398" s="568"/>
      <c r="AD1398" s="568"/>
      <c r="AE1398" s="563"/>
      <c r="AF1398" s="570" t="s">
        <v>2899</v>
      </c>
      <c r="AG1398" s="570" t="s">
        <v>25</v>
      </c>
      <c r="AH1398" s="571" t="s">
        <v>25</v>
      </c>
      <c r="AI1398" s="558"/>
      <c r="AJ1398" s="558"/>
    </row>
    <row r="1399" spans="1:36" s="385" customFormat="1" ht="60.75" outlineLevel="2" x14ac:dyDescent="0.3">
      <c r="A1399" s="447">
        <v>111</v>
      </c>
      <c r="B1399" s="558"/>
      <c r="C1399" s="558"/>
      <c r="D1399" s="615"/>
      <c r="E1399" s="700"/>
      <c r="F1399" s="558"/>
      <c r="G1399" s="604"/>
      <c r="H1399" s="546"/>
      <c r="I1399" s="563" t="s">
        <v>25</v>
      </c>
      <c r="J1399" s="563" t="s">
        <v>25</v>
      </c>
      <c r="K1399" s="564" t="s">
        <v>25</v>
      </c>
      <c r="L1399" s="564" t="s">
        <v>25</v>
      </c>
      <c r="M1399" s="558"/>
      <c r="N1399" s="558"/>
      <c r="O1399" s="590"/>
      <c r="P1399" s="564" t="s">
        <v>25</v>
      </c>
      <c r="Q1399" s="564" t="s">
        <v>25</v>
      </c>
      <c r="R1399" s="566" t="s">
        <v>1805</v>
      </c>
      <c r="S1399" s="589" t="s">
        <v>2804</v>
      </c>
      <c r="T1399" s="591">
        <v>0.42</v>
      </c>
      <c r="U1399" s="593"/>
      <c r="V1399" s="564">
        <v>642264</v>
      </c>
      <c r="W1399" s="564">
        <v>270000</v>
      </c>
      <c r="X1399" s="562"/>
      <c r="Y1399" s="568"/>
      <c r="Z1399" s="568"/>
      <c r="AA1399" s="568"/>
      <c r="AB1399" s="568"/>
      <c r="AC1399" s="568"/>
      <c r="AD1399" s="568"/>
      <c r="AE1399" s="563"/>
      <c r="AF1399" s="570" t="s">
        <v>2899</v>
      </c>
      <c r="AG1399" s="570" t="s">
        <v>25</v>
      </c>
      <c r="AH1399" s="571" t="s">
        <v>25</v>
      </c>
      <c r="AI1399" s="558"/>
      <c r="AJ1399" s="558"/>
    </row>
    <row r="1400" spans="1:36" s="385" customFormat="1" ht="40.5" outlineLevel="2" x14ac:dyDescent="0.3">
      <c r="A1400" s="447">
        <v>111</v>
      </c>
      <c r="B1400" s="558"/>
      <c r="C1400" s="558"/>
      <c r="D1400" s="615"/>
      <c r="E1400" s="700"/>
      <c r="F1400" s="558"/>
      <c r="G1400" s="604"/>
      <c r="H1400" s="546"/>
      <c r="I1400" s="563" t="s">
        <v>25</v>
      </c>
      <c r="J1400" s="563" t="s">
        <v>25</v>
      </c>
      <c r="K1400" s="564" t="s">
        <v>25</v>
      </c>
      <c r="L1400" s="564" t="s">
        <v>25</v>
      </c>
      <c r="M1400" s="558"/>
      <c r="N1400" s="558"/>
      <c r="O1400" s="590"/>
      <c r="P1400" s="564" t="s">
        <v>25</v>
      </c>
      <c r="Q1400" s="564" t="s">
        <v>25</v>
      </c>
      <c r="R1400" s="566" t="s">
        <v>2358</v>
      </c>
      <c r="S1400" s="589" t="s">
        <v>2823</v>
      </c>
      <c r="T1400" s="591">
        <v>0.11</v>
      </c>
      <c r="U1400" s="593"/>
      <c r="V1400" s="564">
        <v>0</v>
      </c>
      <c r="W1400" s="564">
        <v>0</v>
      </c>
      <c r="X1400" s="562"/>
      <c r="Y1400" s="568"/>
      <c r="Z1400" s="568"/>
      <c r="AA1400" s="568"/>
      <c r="AB1400" s="568"/>
      <c r="AC1400" s="568"/>
      <c r="AD1400" s="568"/>
      <c r="AE1400" s="563"/>
      <c r="AF1400" s="570" t="s">
        <v>2899</v>
      </c>
      <c r="AG1400" s="570" t="s">
        <v>25</v>
      </c>
      <c r="AH1400" s="571" t="s">
        <v>25</v>
      </c>
      <c r="AI1400" s="558"/>
      <c r="AJ1400" s="558"/>
    </row>
    <row r="1401" spans="1:36" s="385" customFormat="1" ht="60.75" outlineLevel="2" x14ac:dyDescent="0.3">
      <c r="A1401" s="447">
        <v>111</v>
      </c>
      <c r="B1401" s="558"/>
      <c r="C1401" s="558"/>
      <c r="D1401" s="615"/>
      <c r="E1401" s="700"/>
      <c r="F1401" s="558"/>
      <c r="G1401" s="604"/>
      <c r="H1401" s="546"/>
      <c r="I1401" s="563" t="s">
        <v>25</v>
      </c>
      <c r="J1401" s="563" t="s">
        <v>25</v>
      </c>
      <c r="K1401" s="564" t="s">
        <v>25</v>
      </c>
      <c r="L1401" s="564" t="s">
        <v>25</v>
      </c>
      <c r="M1401" s="558"/>
      <c r="N1401" s="558"/>
      <c r="O1401" s="590"/>
      <c r="P1401" s="564" t="s">
        <v>25</v>
      </c>
      <c r="Q1401" s="564" t="s">
        <v>25</v>
      </c>
      <c r="R1401" s="566" t="s">
        <v>1805</v>
      </c>
      <c r="S1401" s="589" t="s">
        <v>2804</v>
      </c>
      <c r="T1401" s="591">
        <v>1.1000000000000001</v>
      </c>
      <c r="U1401" s="593"/>
      <c r="V1401" s="564">
        <v>642264</v>
      </c>
      <c r="W1401" s="564">
        <v>706000</v>
      </c>
      <c r="X1401" s="562"/>
      <c r="Y1401" s="568"/>
      <c r="Z1401" s="568"/>
      <c r="AA1401" s="568"/>
      <c r="AB1401" s="568"/>
      <c r="AC1401" s="568"/>
      <c r="AD1401" s="568"/>
      <c r="AE1401" s="563"/>
      <c r="AF1401" s="570" t="s">
        <v>2899</v>
      </c>
      <c r="AG1401" s="570" t="s">
        <v>25</v>
      </c>
      <c r="AH1401" s="571" t="s">
        <v>25</v>
      </c>
      <c r="AI1401" s="558"/>
      <c r="AJ1401" s="558"/>
    </row>
    <row r="1402" spans="1:36" s="385" customFormat="1" ht="60.75" outlineLevel="2" x14ac:dyDescent="0.3">
      <c r="A1402" s="447">
        <v>111</v>
      </c>
      <c r="B1402" s="558"/>
      <c r="C1402" s="558"/>
      <c r="D1402" s="615"/>
      <c r="E1402" s="700"/>
      <c r="F1402" s="558"/>
      <c r="G1402" s="604"/>
      <c r="H1402" s="546"/>
      <c r="I1402" s="563" t="s">
        <v>25</v>
      </c>
      <c r="J1402" s="563" t="s">
        <v>25</v>
      </c>
      <c r="K1402" s="564" t="s">
        <v>25</v>
      </c>
      <c r="L1402" s="564" t="s">
        <v>25</v>
      </c>
      <c r="M1402" s="558"/>
      <c r="N1402" s="558"/>
      <c r="O1402" s="590"/>
      <c r="P1402" s="564" t="s">
        <v>25</v>
      </c>
      <c r="Q1402" s="564" t="s">
        <v>25</v>
      </c>
      <c r="R1402" s="566" t="s">
        <v>2359</v>
      </c>
      <c r="S1402" s="589" t="s">
        <v>2804</v>
      </c>
      <c r="T1402" s="617">
        <v>2.76</v>
      </c>
      <c r="U1402" s="593"/>
      <c r="V1402" s="564">
        <v>8189638</v>
      </c>
      <c r="W1402" s="564">
        <v>22603000</v>
      </c>
      <c r="X1402" s="562" t="s">
        <v>139</v>
      </c>
      <c r="Y1402" s="568" t="s">
        <v>980</v>
      </c>
      <c r="Z1402" s="568" t="s">
        <v>1012</v>
      </c>
      <c r="AA1402" s="568" t="s">
        <v>269</v>
      </c>
      <c r="AB1402" s="568" t="s">
        <v>139</v>
      </c>
      <c r="AC1402" s="568"/>
      <c r="AD1402" s="568"/>
      <c r="AE1402" s="563"/>
      <c r="AF1402" s="570" t="s">
        <v>2899</v>
      </c>
      <c r="AG1402" s="570" t="s">
        <v>25</v>
      </c>
      <c r="AH1402" s="571" t="s">
        <v>25</v>
      </c>
      <c r="AI1402" s="558" t="s">
        <v>1022</v>
      </c>
      <c r="AJ1402" s="558"/>
    </row>
    <row r="1403" spans="1:36" s="385" customFormat="1" ht="40.5" outlineLevel="2" x14ac:dyDescent="0.3">
      <c r="A1403" s="447">
        <v>111</v>
      </c>
      <c r="B1403" s="558"/>
      <c r="C1403" s="558"/>
      <c r="D1403" s="615"/>
      <c r="E1403" s="700"/>
      <c r="F1403" s="558"/>
      <c r="G1403" s="604"/>
      <c r="H1403" s="546"/>
      <c r="I1403" s="563" t="s">
        <v>25</v>
      </c>
      <c r="J1403" s="563" t="s">
        <v>25</v>
      </c>
      <c r="K1403" s="564" t="s">
        <v>25</v>
      </c>
      <c r="L1403" s="564" t="s">
        <v>25</v>
      </c>
      <c r="M1403" s="558"/>
      <c r="N1403" s="558"/>
      <c r="O1403" s="590"/>
      <c r="P1403" s="564" t="s">
        <v>25</v>
      </c>
      <c r="Q1403" s="564" t="s">
        <v>25</v>
      </c>
      <c r="R1403" s="566" t="s">
        <v>1779</v>
      </c>
      <c r="S1403" s="589" t="s">
        <v>2804</v>
      </c>
      <c r="T1403" s="591">
        <v>9.9</v>
      </c>
      <c r="U1403" s="593"/>
      <c r="V1403" s="564">
        <v>1399121</v>
      </c>
      <c r="W1403" s="564">
        <v>13851000</v>
      </c>
      <c r="X1403" s="562"/>
      <c r="Y1403" s="568" t="s">
        <v>980</v>
      </c>
      <c r="Z1403" s="568" t="s">
        <v>1005</v>
      </c>
      <c r="AA1403" s="568" t="s">
        <v>266</v>
      </c>
      <c r="AB1403" s="568" t="s">
        <v>982</v>
      </c>
      <c r="AC1403" s="568"/>
      <c r="AD1403" s="568"/>
      <c r="AE1403" s="563"/>
      <c r="AF1403" s="570" t="s">
        <v>2899</v>
      </c>
      <c r="AG1403" s="570" t="s">
        <v>25</v>
      </c>
      <c r="AH1403" s="571" t="s">
        <v>25</v>
      </c>
      <c r="AI1403" s="558"/>
      <c r="AJ1403" s="558"/>
    </row>
    <row r="1404" spans="1:36" s="385" customFormat="1" ht="40.5" outlineLevel="2" x14ac:dyDescent="0.3">
      <c r="A1404" s="447">
        <v>111</v>
      </c>
      <c r="B1404" s="558"/>
      <c r="C1404" s="558"/>
      <c r="D1404" s="615"/>
      <c r="E1404" s="700"/>
      <c r="F1404" s="558"/>
      <c r="G1404" s="604"/>
      <c r="H1404" s="546"/>
      <c r="I1404" s="563" t="s">
        <v>25</v>
      </c>
      <c r="J1404" s="563" t="s">
        <v>25</v>
      </c>
      <c r="K1404" s="564" t="s">
        <v>25</v>
      </c>
      <c r="L1404" s="564" t="s">
        <v>25</v>
      </c>
      <c r="M1404" s="558"/>
      <c r="N1404" s="558"/>
      <c r="O1404" s="590"/>
      <c r="P1404" s="564" t="s">
        <v>25</v>
      </c>
      <c r="Q1404" s="564" t="s">
        <v>25</v>
      </c>
      <c r="R1404" s="566" t="s">
        <v>1779</v>
      </c>
      <c r="S1404" s="589" t="s">
        <v>2804</v>
      </c>
      <c r="T1404" s="591">
        <v>25.2</v>
      </c>
      <c r="U1404" s="593"/>
      <c r="V1404" s="564">
        <v>1399121</v>
      </c>
      <c r="W1404" s="564">
        <v>35258000</v>
      </c>
      <c r="X1404" s="562"/>
      <c r="Y1404" s="568" t="s">
        <v>980</v>
      </c>
      <c r="Z1404" s="568" t="s">
        <v>1005</v>
      </c>
      <c r="AA1404" s="568" t="s">
        <v>266</v>
      </c>
      <c r="AB1404" s="568" t="s">
        <v>982</v>
      </c>
      <c r="AC1404" s="568"/>
      <c r="AD1404" s="568"/>
      <c r="AE1404" s="563"/>
      <c r="AF1404" s="570" t="s">
        <v>2899</v>
      </c>
      <c r="AG1404" s="570" t="s">
        <v>25</v>
      </c>
      <c r="AH1404" s="571" t="s">
        <v>25</v>
      </c>
      <c r="AI1404" s="558"/>
      <c r="AJ1404" s="558"/>
    </row>
    <row r="1405" spans="1:36" s="385" customFormat="1" ht="40.5" outlineLevel="2" x14ac:dyDescent="0.3">
      <c r="A1405" s="447">
        <v>111</v>
      </c>
      <c r="B1405" s="558"/>
      <c r="C1405" s="558"/>
      <c r="D1405" s="615"/>
      <c r="E1405" s="700"/>
      <c r="F1405" s="558"/>
      <c r="G1405" s="604"/>
      <c r="H1405" s="546"/>
      <c r="I1405" s="563" t="s">
        <v>25</v>
      </c>
      <c r="J1405" s="563" t="s">
        <v>25</v>
      </c>
      <c r="K1405" s="564" t="s">
        <v>25</v>
      </c>
      <c r="L1405" s="564" t="s">
        <v>25</v>
      </c>
      <c r="M1405" s="558"/>
      <c r="N1405" s="558"/>
      <c r="O1405" s="590"/>
      <c r="P1405" s="564" t="s">
        <v>25</v>
      </c>
      <c r="Q1405" s="564" t="s">
        <v>25</v>
      </c>
      <c r="R1405" s="566" t="s">
        <v>1761</v>
      </c>
      <c r="S1405" s="589" t="s">
        <v>2804</v>
      </c>
      <c r="T1405" s="591">
        <v>36</v>
      </c>
      <c r="U1405" s="593"/>
      <c r="V1405" s="564">
        <v>0</v>
      </c>
      <c r="W1405" s="564">
        <v>0</v>
      </c>
      <c r="X1405" s="562"/>
      <c r="Y1405" s="568" t="s">
        <v>980</v>
      </c>
      <c r="Z1405" s="568" t="s">
        <v>1005</v>
      </c>
      <c r="AA1405" s="568" t="s">
        <v>269</v>
      </c>
      <c r="AB1405" s="568" t="s">
        <v>139</v>
      </c>
      <c r="AC1405" s="568"/>
      <c r="AD1405" s="568"/>
      <c r="AE1405" s="563"/>
      <c r="AF1405" s="570" t="s">
        <v>2899</v>
      </c>
      <c r="AG1405" s="570" t="s">
        <v>25</v>
      </c>
      <c r="AH1405" s="571" t="s">
        <v>25</v>
      </c>
      <c r="AI1405" s="558"/>
      <c r="AJ1405" s="558"/>
    </row>
    <row r="1406" spans="1:36" s="385" customFormat="1" ht="40.5" outlineLevel="2" x14ac:dyDescent="0.3">
      <c r="A1406" s="447">
        <v>111</v>
      </c>
      <c r="B1406" s="558"/>
      <c r="C1406" s="558"/>
      <c r="D1406" s="615"/>
      <c r="E1406" s="700"/>
      <c r="F1406" s="558"/>
      <c r="G1406" s="604"/>
      <c r="H1406" s="546"/>
      <c r="I1406" s="563" t="s">
        <v>25</v>
      </c>
      <c r="J1406" s="563" t="s">
        <v>25</v>
      </c>
      <c r="K1406" s="564" t="s">
        <v>25</v>
      </c>
      <c r="L1406" s="564" t="s">
        <v>25</v>
      </c>
      <c r="M1406" s="558"/>
      <c r="N1406" s="558"/>
      <c r="O1406" s="590"/>
      <c r="P1406" s="564" t="s">
        <v>25</v>
      </c>
      <c r="Q1406" s="564" t="s">
        <v>25</v>
      </c>
      <c r="R1406" s="566" t="s">
        <v>2360</v>
      </c>
      <c r="S1406" s="589" t="s">
        <v>2827</v>
      </c>
      <c r="T1406" s="591">
        <v>11</v>
      </c>
      <c r="U1406" s="593"/>
      <c r="V1406" s="564">
        <v>0</v>
      </c>
      <c r="W1406" s="564">
        <v>0</v>
      </c>
      <c r="X1406" s="562"/>
      <c r="Y1406" s="568"/>
      <c r="Z1406" s="568"/>
      <c r="AA1406" s="568"/>
      <c r="AB1406" s="568"/>
      <c r="AC1406" s="568"/>
      <c r="AD1406" s="568"/>
      <c r="AE1406" s="563"/>
      <c r="AF1406" s="570" t="s">
        <v>2899</v>
      </c>
      <c r="AG1406" s="570" t="s">
        <v>25</v>
      </c>
      <c r="AH1406" s="571" t="s">
        <v>25</v>
      </c>
      <c r="AI1406" s="558"/>
      <c r="AJ1406" s="558"/>
    </row>
    <row r="1407" spans="1:36" s="385" customFormat="1" ht="60.75" outlineLevel="2" x14ac:dyDescent="0.3">
      <c r="A1407" s="447">
        <v>111</v>
      </c>
      <c r="B1407" s="558"/>
      <c r="C1407" s="558"/>
      <c r="D1407" s="615"/>
      <c r="E1407" s="700"/>
      <c r="F1407" s="558"/>
      <c r="G1407" s="604"/>
      <c r="H1407" s="546"/>
      <c r="I1407" s="563" t="s">
        <v>25</v>
      </c>
      <c r="J1407" s="563" t="s">
        <v>25</v>
      </c>
      <c r="K1407" s="564" t="s">
        <v>25</v>
      </c>
      <c r="L1407" s="564" t="s">
        <v>25</v>
      </c>
      <c r="M1407" s="558"/>
      <c r="N1407" s="558"/>
      <c r="O1407" s="590"/>
      <c r="P1407" s="564" t="s">
        <v>25</v>
      </c>
      <c r="Q1407" s="564" t="s">
        <v>25</v>
      </c>
      <c r="R1407" s="566" t="s">
        <v>2351</v>
      </c>
      <c r="S1407" s="589" t="s">
        <v>2804</v>
      </c>
      <c r="T1407" s="591">
        <v>48.5</v>
      </c>
      <c r="U1407" s="593"/>
      <c r="V1407" s="564">
        <v>684506</v>
      </c>
      <c r="W1407" s="564">
        <v>33199000</v>
      </c>
      <c r="X1407" s="562"/>
      <c r="Y1407" s="568" t="s">
        <v>980</v>
      </c>
      <c r="Z1407" s="568" t="s">
        <v>1005</v>
      </c>
      <c r="AA1407" s="568"/>
      <c r="AB1407" s="568" t="s">
        <v>267</v>
      </c>
      <c r="AC1407" s="568"/>
      <c r="AD1407" s="568"/>
      <c r="AE1407" s="563"/>
      <c r="AF1407" s="570" t="s">
        <v>2899</v>
      </c>
      <c r="AG1407" s="570" t="s">
        <v>25</v>
      </c>
      <c r="AH1407" s="571" t="s">
        <v>25</v>
      </c>
      <c r="AI1407" s="558"/>
      <c r="AJ1407" s="558"/>
    </row>
    <row r="1408" spans="1:36" s="385" customFormat="1" ht="60.75" outlineLevel="2" x14ac:dyDescent="0.3">
      <c r="A1408" s="447">
        <v>111</v>
      </c>
      <c r="B1408" s="558"/>
      <c r="C1408" s="558"/>
      <c r="D1408" s="615"/>
      <c r="E1408" s="700"/>
      <c r="F1408" s="558"/>
      <c r="G1408" s="604"/>
      <c r="H1408" s="546"/>
      <c r="I1408" s="563" t="s">
        <v>25</v>
      </c>
      <c r="J1408" s="563" t="s">
        <v>25</v>
      </c>
      <c r="K1408" s="564" t="s">
        <v>25</v>
      </c>
      <c r="L1408" s="564" t="s">
        <v>25</v>
      </c>
      <c r="M1408" s="558"/>
      <c r="N1408" s="558"/>
      <c r="O1408" s="590"/>
      <c r="P1408" s="564" t="s">
        <v>25</v>
      </c>
      <c r="Q1408" s="564" t="s">
        <v>25</v>
      </c>
      <c r="R1408" s="566" t="s">
        <v>2351</v>
      </c>
      <c r="S1408" s="589" t="s">
        <v>2804</v>
      </c>
      <c r="T1408" s="591">
        <v>264.60000000000002</v>
      </c>
      <c r="U1408" s="593"/>
      <c r="V1408" s="564">
        <v>684506</v>
      </c>
      <c r="W1408" s="564">
        <v>181120000</v>
      </c>
      <c r="X1408" s="562"/>
      <c r="Y1408" s="568" t="s">
        <v>980</v>
      </c>
      <c r="Z1408" s="568" t="s">
        <v>1005</v>
      </c>
      <c r="AA1408" s="568"/>
      <c r="AB1408" s="568" t="s">
        <v>267</v>
      </c>
      <c r="AC1408" s="568"/>
      <c r="AD1408" s="568"/>
      <c r="AE1408" s="563"/>
      <c r="AF1408" s="570" t="s">
        <v>2899</v>
      </c>
      <c r="AG1408" s="570" t="s">
        <v>25</v>
      </c>
      <c r="AH1408" s="571" t="s">
        <v>25</v>
      </c>
      <c r="AI1408" s="558"/>
      <c r="AJ1408" s="558"/>
    </row>
    <row r="1409" spans="1:36" s="385" customFormat="1" ht="40.5" outlineLevel="2" x14ac:dyDescent="0.3">
      <c r="A1409" s="447">
        <v>111</v>
      </c>
      <c r="B1409" s="558"/>
      <c r="C1409" s="558"/>
      <c r="D1409" s="615"/>
      <c r="E1409" s="700"/>
      <c r="F1409" s="558"/>
      <c r="G1409" s="604"/>
      <c r="H1409" s="546"/>
      <c r="I1409" s="563" t="s">
        <v>25</v>
      </c>
      <c r="J1409" s="563" t="s">
        <v>25</v>
      </c>
      <c r="K1409" s="564" t="s">
        <v>25</v>
      </c>
      <c r="L1409" s="564" t="s">
        <v>25</v>
      </c>
      <c r="M1409" s="558"/>
      <c r="N1409" s="558"/>
      <c r="O1409" s="590"/>
      <c r="P1409" s="564" t="s">
        <v>25</v>
      </c>
      <c r="Q1409" s="564" t="s">
        <v>25</v>
      </c>
      <c r="R1409" s="566" t="s">
        <v>2361</v>
      </c>
      <c r="S1409" s="589" t="s">
        <v>2827</v>
      </c>
      <c r="T1409" s="591">
        <v>0.41</v>
      </c>
      <c r="U1409" s="593"/>
      <c r="V1409" s="564">
        <v>0</v>
      </c>
      <c r="W1409" s="564">
        <v>0</v>
      </c>
      <c r="X1409" s="562"/>
      <c r="Y1409" s="568"/>
      <c r="Z1409" s="568"/>
      <c r="AA1409" s="568"/>
      <c r="AB1409" s="568"/>
      <c r="AC1409" s="568"/>
      <c r="AD1409" s="568"/>
      <c r="AE1409" s="563"/>
      <c r="AF1409" s="570" t="s">
        <v>2899</v>
      </c>
      <c r="AG1409" s="570" t="s">
        <v>25</v>
      </c>
      <c r="AH1409" s="571" t="s">
        <v>25</v>
      </c>
      <c r="AI1409" s="558"/>
      <c r="AJ1409" s="558"/>
    </row>
    <row r="1410" spans="1:36" s="385" customFormat="1" ht="81" outlineLevel="2" x14ac:dyDescent="0.3">
      <c r="A1410" s="447">
        <v>111</v>
      </c>
      <c r="B1410" s="572"/>
      <c r="C1410" s="572"/>
      <c r="D1410" s="615"/>
      <c r="E1410" s="700"/>
      <c r="F1410" s="558"/>
      <c r="G1410" s="604"/>
      <c r="H1410" s="546"/>
      <c r="I1410" s="563" t="s">
        <v>25</v>
      </c>
      <c r="J1410" s="563" t="s">
        <v>25</v>
      </c>
      <c r="K1410" s="564" t="s">
        <v>25</v>
      </c>
      <c r="L1410" s="564" t="s">
        <v>25</v>
      </c>
      <c r="M1410" s="586"/>
      <c r="N1410" s="586"/>
      <c r="O1410" s="590"/>
      <c r="P1410" s="564" t="s">
        <v>25</v>
      </c>
      <c r="Q1410" s="564" t="s">
        <v>25</v>
      </c>
      <c r="R1410" s="566" t="s">
        <v>2362</v>
      </c>
      <c r="S1410" s="589" t="s">
        <v>2804</v>
      </c>
      <c r="T1410" s="591">
        <v>50.4</v>
      </c>
      <c r="U1410" s="593"/>
      <c r="V1410" s="564">
        <v>625568</v>
      </c>
      <c r="W1410" s="564">
        <v>31529000</v>
      </c>
      <c r="X1410" s="562"/>
      <c r="Y1410" s="568"/>
      <c r="Z1410" s="568"/>
      <c r="AA1410" s="568"/>
      <c r="AB1410" s="568"/>
      <c r="AC1410" s="568"/>
      <c r="AD1410" s="568"/>
      <c r="AE1410" s="563"/>
      <c r="AF1410" s="570" t="s">
        <v>2899</v>
      </c>
      <c r="AG1410" s="570" t="s">
        <v>25</v>
      </c>
      <c r="AH1410" s="571" t="s">
        <v>25</v>
      </c>
      <c r="AI1410" s="593"/>
      <c r="AJ1410" s="593"/>
    </row>
    <row r="1411" spans="1:36" s="385" customFormat="1" ht="60.75" outlineLevel="2" x14ac:dyDescent="0.3">
      <c r="A1411" s="447">
        <v>111</v>
      </c>
      <c r="B1411" s="572"/>
      <c r="C1411" s="572"/>
      <c r="D1411" s="615"/>
      <c r="E1411" s="700"/>
      <c r="F1411" s="558"/>
      <c r="G1411" s="732"/>
      <c r="H1411" s="546"/>
      <c r="I1411" s="563" t="s">
        <v>25</v>
      </c>
      <c r="J1411" s="563" t="s">
        <v>25</v>
      </c>
      <c r="K1411" s="564" t="s">
        <v>25</v>
      </c>
      <c r="L1411" s="564" t="s">
        <v>25</v>
      </c>
      <c r="M1411" s="586"/>
      <c r="N1411" s="586"/>
      <c r="O1411" s="630"/>
      <c r="P1411" s="564" t="s">
        <v>25</v>
      </c>
      <c r="Q1411" s="564" t="s">
        <v>25</v>
      </c>
      <c r="R1411" s="586" t="s">
        <v>1758</v>
      </c>
      <c r="S1411" s="609" t="s">
        <v>93</v>
      </c>
      <c r="T1411" s="591">
        <v>1</v>
      </c>
      <c r="U1411" s="593"/>
      <c r="V1411" s="564">
        <v>0</v>
      </c>
      <c r="W1411" s="564">
        <v>0</v>
      </c>
      <c r="X1411" s="562"/>
      <c r="Y1411" s="568"/>
      <c r="Z1411" s="568"/>
      <c r="AA1411" s="568"/>
      <c r="AB1411" s="568"/>
      <c r="AC1411" s="568"/>
      <c r="AD1411" s="568"/>
      <c r="AE1411" s="563"/>
      <c r="AF1411" s="570" t="s">
        <v>2899</v>
      </c>
      <c r="AG1411" s="570" t="s">
        <v>25</v>
      </c>
      <c r="AH1411" s="571" t="s">
        <v>25</v>
      </c>
      <c r="AI1411" s="593"/>
      <c r="AJ1411" s="593"/>
    </row>
    <row r="1412" spans="1:36" s="385" customFormat="1" ht="20.25" outlineLevel="2" x14ac:dyDescent="0.3">
      <c r="A1412" s="447">
        <v>111</v>
      </c>
      <c r="B1412" s="572"/>
      <c r="C1412" s="572"/>
      <c r="D1412" s="615"/>
      <c r="E1412" s="700"/>
      <c r="F1412" s="558"/>
      <c r="G1412" s="732"/>
      <c r="H1412" s="546"/>
      <c r="I1412" s="563" t="s">
        <v>25</v>
      </c>
      <c r="J1412" s="563" t="s">
        <v>25</v>
      </c>
      <c r="K1412" s="564" t="s">
        <v>25</v>
      </c>
      <c r="L1412" s="564" t="s">
        <v>25</v>
      </c>
      <c r="M1412" s="586"/>
      <c r="N1412" s="586"/>
      <c r="O1412" s="630"/>
      <c r="P1412" s="564" t="s">
        <v>25</v>
      </c>
      <c r="Q1412" s="564" t="s">
        <v>25</v>
      </c>
      <c r="R1412" s="586"/>
      <c r="S1412" s="609"/>
      <c r="T1412" s="567"/>
      <c r="U1412" s="593"/>
      <c r="V1412" s="564" t="s">
        <v>2899</v>
      </c>
      <c r="W1412" s="564" t="s">
        <v>25</v>
      </c>
      <c r="X1412" s="562"/>
      <c r="Y1412" s="568"/>
      <c r="Z1412" s="568"/>
      <c r="AA1412" s="568"/>
      <c r="AB1412" s="568"/>
      <c r="AC1412" s="568"/>
      <c r="AD1412" s="568"/>
      <c r="AE1412" s="563"/>
      <c r="AF1412" s="570" t="s">
        <v>2899</v>
      </c>
      <c r="AG1412" s="570" t="s">
        <v>25</v>
      </c>
      <c r="AH1412" s="571" t="s">
        <v>25</v>
      </c>
      <c r="AI1412" s="593"/>
      <c r="AJ1412" s="593"/>
    </row>
    <row r="1413" spans="1:36" s="385" customFormat="1" ht="20.25" outlineLevel="2" x14ac:dyDescent="0.3">
      <c r="A1413" s="447">
        <v>111</v>
      </c>
      <c r="B1413" s="572"/>
      <c r="C1413" s="572"/>
      <c r="D1413" s="615"/>
      <c r="E1413" s="700"/>
      <c r="F1413" s="558"/>
      <c r="G1413" s="732"/>
      <c r="H1413" s="546"/>
      <c r="I1413" s="563" t="s">
        <v>25</v>
      </c>
      <c r="J1413" s="563" t="s">
        <v>25</v>
      </c>
      <c r="K1413" s="564" t="s">
        <v>25</v>
      </c>
      <c r="L1413" s="564" t="s">
        <v>25</v>
      </c>
      <c r="M1413" s="586"/>
      <c r="N1413" s="586"/>
      <c r="O1413" s="630"/>
      <c r="P1413" s="564" t="s">
        <v>25</v>
      </c>
      <c r="Q1413" s="564" t="s">
        <v>25</v>
      </c>
      <c r="R1413" s="586"/>
      <c r="S1413" s="609"/>
      <c r="T1413" s="567"/>
      <c r="U1413" s="593"/>
      <c r="V1413" s="564" t="s">
        <v>2899</v>
      </c>
      <c r="W1413" s="564" t="s">
        <v>25</v>
      </c>
      <c r="X1413" s="562"/>
      <c r="Y1413" s="568"/>
      <c r="Z1413" s="568"/>
      <c r="AA1413" s="568"/>
      <c r="AB1413" s="568"/>
      <c r="AC1413" s="568"/>
      <c r="AD1413" s="568"/>
      <c r="AE1413" s="563"/>
      <c r="AF1413" s="570" t="s">
        <v>2899</v>
      </c>
      <c r="AG1413" s="570" t="s">
        <v>25</v>
      </c>
      <c r="AH1413" s="571" t="s">
        <v>25</v>
      </c>
      <c r="AI1413" s="593"/>
      <c r="AJ1413" s="593"/>
    </row>
    <row r="1414" spans="1:36" s="385" customFormat="1" ht="20.25" outlineLevel="2" x14ac:dyDescent="0.3">
      <c r="A1414" s="447">
        <v>111</v>
      </c>
      <c r="B1414" s="574"/>
      <c r="C1414" s="574"/>
      <c r="D1414" s="705"/>
      <c r="E1414" s="706"/>
      <c r="F1414" s="558"/>
      <c r="G1414" s="732"/>
      <c r="H1414" s="546"/>
      <c r="I1414" s="563" t="s">
        <v>25</v>
      </c>
      <c r="J1414" s="563" t="s">
        <v>25</v>
      </c>
      <c r="K1414" s="564" t="s">
        <v>25</v>
      </c>
      <c r="L1414" s="564" t="s">
        <v>25</v>
      </c>
      <c r="M1414" s="586"/>
      <c r="N1414" s="586"/>
      <c r="O1414" s="630"/>
      <c r="P1414" s="564" t="s">
        <v>25</v>
      </c>
      <c r="Q1414" s="564" t="s">
        <v>25</v>
      </c>
      <c r="R1414" s="586"/>
      <c r="S1414" s="609"/>
      <c r="T1414" s="567"/>
      <c r="U1414" s="593"/>
      <c r="V1414" s="564" t="s">
        <v>2899</v>
      </c>
      <c r="W1414" s="564" t="s">
        <v>25</v>
      </c>
      <c r="X1414" s="562"/>
      <c r="Y1414" s="568"/>
      <c r="Z1414" s="568"/>
      <c r="AA1414" s="568"/>
      <c r="AB1414" s="568"/>
      <c r="AC1414" s="568"/>
      <c r="AD1414" s="568"/>
      <c r="AE1414" s="563"/>
      <c r="AF1414" s="570" t="s">
        <v>2899</v>
      </c>
      <c r="AG1414" s="570" t="s">
        <v>25</v>
      </c>
      <c r="AH1414" s="571" t="s">
        <v>25</v>
      </c>
      <c r="AI1414" s="593"/>
      <c r="AJ1414" s="593"/>
    </row>
    <row r="1415" spans="1:36" s="385" customFormat="1" ht="40.5" outlineLevel="1" x14ac:dyDescent="0.25">
      <c r="A1415" s="467">
        <v>112</v>
      </c>
      <c r="B1415" s="574" t="s">
        <v>1027</v>
      </c>
      <c r="C1415" s="586" t="s">
        <v>2903</v>
      </c>
      <c r="D1415" s="615">
        <v>86</v>
      </c>
      <c r="E1415" s="700">
        <v>1512</v>
      </c>
      <c r="F1415" s="574"/>
      <c r="G1415" s="596">
        <v>500</v>
      </c>
      <c r="H1415" s="579">
        <v>419.2</v>
      </c>
      <c r="I1415" s="581"/>
      <c r="J1415" s="581"/>
      <c r="K1415" s="571">
        <v>232800000</v>
      </c>
      <c r="L1415" s="571">
        <v>585539000</v>
      </c>
      <c r="M1415" s="574"/>
      <c r="N1415" s="574"/>
      <c r="O1415" s="599">
        <v>1</v>
      </c>
      <c r="P1415" s="571"/>
      <c r="Q1415" s="571">
        <v>600000</v>
      </c>
      <c r="R1415" s="582"/>
      <c r="S1415" s="597"/>
      <c r="T1415" s="600">
        <v>79.100000000000009</v>
      </c>
      <c r="U1415" s="608"/>
      <c r="V1415" s="571"/>
      <c r="W1415" s="571">
        <v>210905000</v>
      </c>
      <c r="X1415" s="562"/>
      <c r="Y1415" s="568"/>
      <c r="Z1415" s="568"/>
      <c r="AA1415" s="568"/>
      <c r="AB1415" s="568"/>
      <c r="AC1415" s="568"/>
      <c r="AD1415" s="602"/>
      <c r="AE1415" s="581">
        <f>SUBTOTAL(9,AE1416:AE1427)</f>
        <v>1</v>
      </c>
      <c r="AF1415" s="585"/>
      <c r="AG1415" s="585">
        <v>13000000</v>
      </c>
      <c r="AH1415" s="571">
        <v>1042844000</v>
      </c>
      <c r="AI1415" s="574"/>
      <c r="AJ1415" s="578"/>
    </row>
    <row r="1416" spans="1:36" s="385" customFormat="1" ht="121.5" outlineLevel="2" x14ac:dyDescent="0.3">
      <c r="A1416" s="447">
        <v>112</v>
      </c>
      <c r="B1416" s="558" t="s">
        <v>1030</v>
      </c>
      <c r="C1416" s="558"/>
      <c r="D1416" s="615">
        <v>86</v>
      </c>
      <c r="E1416" s="700">
        <v>1512</v>
      </c>
      <c r="F1416" s="558" t="s">
        <v>2434</v>
      </c>
      <c r="G1416" s="604">
        <v>80.800000000000011</v>
      </c>
      <c r="H1416" s="546" t="s">
        <v>2899</v>
      </c>
      <c r="I1416" s="563">
        <v>465600</v>
      </c>
      <c r="J1416" s="563">
        <v>0</v>
      </c>
      <c r="K1416" s="564">
        <v>37620000</v>
      </c>
      <c r="L1416" s="564">
        <v>0</v>
      </c>
      <c r="M1416" s="558" t="s">
        <v>1028</v>
      </c>
      <c r="N1416" s="558"/>
      <c r="O1416" s="590">
        <v>1</v>
      </c>
      <c r="P1416" s="564">
        <v>600000</v>
      </c>
      <c r="Q1416" s="564">
        <v>600000</v>
      </c>
      <c r="R1416" s="566" t="s">
        <v>1763</v>
      </c>
      <c r="S1416" s="589" t="s">
        <v>2804</v>
      </c>
      <c r="T1416" s="591">
        <v>52.8</v>
      </c>
      <c r="U1416" s="593"/>
      <c r="V1416" s="564">
        <v>3550600</v>
      </c>
      <c r="W1416" s="564">
        <v>187472000</v>
      </c>
      <c r="X1416" s="562" t="s">
        <v>139</v>
      </c>
      <c r="Y1416" s="568" t="s">
        <v>980</v>
      </c>
      <c r="Z1416" s="568" t="s">
        <v>1012</v>
      </c>
      <c r="AA1416" s="568" t="s">
        <v>269</v>
      </c>
      <c r="AB1416" s="568" t="s">
        <v>139</v>
      </c>
      <c r="AC1416" s="568"/>
      <c r="AD1416" s="569"/>
      <c r="AE1416" s="563"/>
      <c r="AF1416" s="570"/>
      <c r="AG1416" s="570"/>
      <c r="AH1416" s="571" t="s">
        <v>25</v>
      </c>
      <c r="AI1416" s="558" t="s">
        <v>1029</v>
      </c>
      <c r="AJ1416" s="586" t="s">
        <v>2771</v>
      </c>
    </row>
    <row r="1417" spans="1:36" s="385" customFormat="1" ht="101.25" outlineLevel="2" x14ac:dyDescent="0.3">
      <c r="A1417" s="447">
        <v>112</v>
      </c>
      <c r="B1417" s="586" t="s">
        <v>1660</v>
      </c>
      <c r="C1417" s="586"/>
      <c r="D1417" s="615"/>
      <c r="E1417" s="700"/>
      <c r="F1417" s="558" t="s">
        <v>2435</v>
      </c>
      <c r="G1417" s="604">
        <v>419.2</v>
      </c>
      <c r="H1417" s="546">
        <v>419.2</v>
      </c>
      <c r="I1417" s="563">
        <v>465600</v>
      </c>
      <c r="J1417" s="563">
        <v>1396800</v>
      </c>
      <c r="K1417" s="564">
        <v>195180000</v>
      </c>
      <c r="L1417" s="564">
        <v>585539000</v>
      </c>
      <c r="M1417" s="558"/>
      <c r="N1417" s="558"/>
      <c r="O1417" s="590"/>
      <c r="P1417" s="564" t="s">
        <v>25</v>
      </c>
      <c r="Q1417" s="564" t="s">
        <v>25</v>
      </c>
      <c r="R1417" s="566" t="s">
        <v>1797</v>
      </c>
      <c r="S1417" s="589" t="s">
        <v>2804</v>
      </c>
      <c r="T1417" s="617">
        <v>2.2000000000000002</v>
      </c>
      <c r="U1417" s="593"/>
      <c r="V1417" s="564">
        <v>3550600</v>
      </c>
      <c r="W1417" s="564">
        <v>7811000</v>
      </c>
      <c r="X1417" s="562" t="s">
        <v>139</v>
      </c>
      <c r="Y1417" s="568" t="s">
        <v>980</v>
      </c>
      <c r="Z1417" s="568" t="s">
        <v>1012</v>
      </c>
      <c r="AA1417" s="568" t="s">
        <v>269</v>
      </c>
      <c r="AB1417" s="568" t="s">
        <v>139</v>
      </c>
      <c r="AC1417" s="568"/>
      <c r="AD1417" s="569" t="s">
        <v>2789</v>
      </c>
      <c r="AE1417" s="590">
        <v>1</v>
      </c>
      <c r="AF1417" s="570">
        <v>13000000</v>
      </c>
      <c r="AG1417" s="570">
        <v>13000000</v>
      </c>
      <c r="AH1417" s="571" t="s">
        <v>25</v>
      </c>
      <c r="AI1417" s="558" t="s">
        <v>2835</v>
      </c>
      <c r="AJ1417" s="605" t="s">
        <v>2448</v>
      </c>
    </row>
    <row r="1418" spans="1:36" s="385" customFormat="1" ht="121.5" outlineLevel="2" x14ac:dyDescent="0.3">
      <c r="A1418" s="447">
        <v>112</v>
      </c>
      <c r="B1418" s="558"/>
      <c r="C1418" s="558"/>
      <c r="D1418" s="615"/>
      <c r="E1418" s="700"/>
      <c r="F1418" s="558"/>
      <c r="G1418" s="604"/>
      <c r="H1418" s="546"/>
      <c r="I1418" s="563" t="s">
        <v>25</v>
      </c>
      <c r="J1418" s="563" t="s">
        <v>25</v>
      </c>
      <c r="K1418" s="564" t="s">
        <v>25</v>
      </c>
      <c r="L1418" s="564" t="s">
        <v>25</v>
      </c>
      <c r="M1418" s="558"/>
      <c r="N1418" s="558"/>
      <c r="O1418" s="590"/>
      <c r="P1418" s="564" t="s">
        <v>25</v>
      </c>
      <c r="Q1418" s="564" t="s">
        <v>25</v>
      </c>
      <c r="R1418" s="566" t="s">
        <v>1797</v>
      </c>
      <c r="S1418" s="589" t="s">
        <v>2804</v>
      </c>
      <c r="T1418" s="591">
        <v>2.2000000000000002</v>
      </c>
      <c r="U1418" s="593"/>
      <c r="V1418" s="564">
        <v>3550600</v>
      </c>
      <c r="W1418" s="564">
        <v>7811000</v>
      </c>
      <c r="X1418" s="562" t="s">
        <v>139</v>
      </c>
      <c r="Y1418" s="568" t="s">
        <v>980</v>
      </c>
      <c r="Z1418" s="568" t="s">
        <v>1012</v>
      </c>
      <c r="AA1418" s="568" t="s">
        <v>269</v>
      </c>
      <c r="AB1418" s="568" t="s">
        <v>139</v>
      </c>
      <c r="AC1418" s="568"/>
      <c r="AD1418" s="606"/>
      <c r="AE1418" s="590"/>
      <c r="AF1418" s="570" t="s">
        <v>2899</v>
      </c>
      <c r="AG1418" s="570" t="s">
        <v>25</v>
      </c>
      <c r="AH1418" s="571" t="s">
        <v>25</v>
      </c>
      <c r="AI1418" s="558" t="s">
        <v>1032</v>
      </c>
      <c r="AJ1418" s="558" t="s">
        <v>2450</v>
      </c>
    </row>
    <row r="1419" spans="1:36" s="385" customFormat="1" ht="101.25" outlineLevel="2" x14ac:dyDescent="0.3">
      <c r="A1419" s="447">
        <v>112</v>
      </c>
      <c r="B1419" s="558"/>
      <c r="C1419" s="558"/>
      <c r="D1419" s="615"/>
      <c r="E1419" s="700"/>
      <c r="F1419" s="558"/>
      <c r="G1419" s="604"/>
      <c r="H1419" s="546"/>
      <c r="I1419" s="563" t="s">
        <v>25</v>
      </c>
      <c r="J1419" s="563" t="s">
        <v>25</v>
      </c>
      <c r="K1419" s="564" t="s">
        <v>25</v>
      </c>
      <c r="L1419" s="564" t="s">
        <v>25</v>
      </c>
      <c r="M1419" s="558"/>
      <c r="N1419" s="558"/>
      <c r="O1419" s="590"/>
      <c r="P1419" s="564" t="s">
        <v>25</v>
      </c>
      <c r="Q1419" s="564" t="s">
        <v>25</v>
      </c>
      <c r="R1419" s="566" t="s">
        <v>1797</v>
      </c>
      <c r="S1419" s="589" t="s">
        <v>2804</v>
      </c>
      <c r="T1419" s="591">
        <v>2.2000000000000002</v>
      </c>
      <c r="U1419" s="593"/>
      <c r="V1419" s="564">
        <v>3550600</v>
      </c>
      <c r="W1419" s="564">
        <v>7811000</v>
      </c>
      <c r="X1419" s="562" t="s">
        <v>139</v>
      </c>
      <c r="Y1419" s="568" t="s">
        <v>980</v>
      </c>
      <c r="Z1419" s="568" t="s">
        <v>1012</v>
      </c>
      <c r="AA1419" s="568" t="s">
        <v>269</v>
      </c>
      <c r="AB1419" s="568" t="s">
        <v>139</v>
      </c>
      <c r="AC1419" s="568"/>
      <c r="AD1419" s="568"/>
      <c r="AE1419" s="563"/>
      <c r="AF1419" s="570" t="s">
        <v>2899</v>
      </c>
      <c r="AG1419" s="570" t="s">
        <v>25</v>
      </c>
      <c r="AH1419" s="571" t="s">
        <v>25</v>
      </c>
      <c r="AI1419" s="558" t="s">
        <v>2074</v>
      </c>
      <c r="AJ1419" s="558" t="s">
        <v>2449</v>
      </c>
    </row>
    <row r="1420" spans="1:36" s="385" customFormat="1" ht="81" outlineLevel="2" x14ac:dyDescent="0.3">
      <c r="A1420" s="447">
        <v>112</v>
      </c>
      <c r="B1420" s="558"/>
      <c r="C1420" s="558"/>
      <c r="D1420" s="615"/>
      <c r="E1420" s="700"/>
      <c r="F1420" s="558"/>
      <c r="G1420" s="604"/>
      <c r="H1420" s="546"/>
      <c r="I1420" s="563" t="s">
        <v>25</v>
      </c>
      <c r="J1420" s="563" t="s">
        <v>25</v>
      </c>
      <c r="K1420" s="564" t="s">
        <v>25</v>
      </c>
      <c r="L1420" s="564" t="s">
        <v>25</v>
      </c>
      <c r="M1420" s="558"/>
      <c r="N1420" s="558"/>
      <c r="O1420" s="590"/>
      <c r="P1420" s="564" t="s">
        <v>25</v>
      </c>
      <c r="Q1420" s="564" t="s">
        <v>25</v>
      </c>
      <c r="R1420" s="566" t="s">
        <v>2409</v>
      </c>
      <c r="S1420" s="589" t="s">
        <v>2804</v>
      </c>
      <c r="T1420" s="591">
        <v>19.7</v>
      </c>
      <c r="U1420" s="593"/>
      <c r="V1420" s="564">
        <v>0</v>
      </c>
      <c r="W1420" s="564">
        <v>0</v>
      </c>
      <c r="X1420" s="562"/>
      <c r="Y1420" s="568"/>
      <c r="Z1420" s="568"/>
      <c r="AA1420" s="568"/>
      <c r="AB1420" s="568"/>
      <c r="AC1420" s="568"/>
      <c r="AD1420" s="568"/>
      <c r="AE1420" s="563"/>
      <c r="AF1420" s="570" t="s">
        <v>2899</v>
      </c>
      <c r="AG1420" s="570" t="s">
        <v>25</v>
      </c>
      <c r="AH1420" s="571" t="s">
        <v>25</v>
      </c>
      <c r="AI1420" s="704"/>
      <c r="AJ1420" s="558" t="s">
        <v>2451</v>
      </c>
    </row>
    <row r="1421" spans="1:36" s="385" customFormat="1" ht="101.25" outlineLevel="2" x14ac:dyDescent="0.3">
      <c r="A1421" s="447">
        <v>112</v>
      </c>
      <c r="B1421" s="558"/>
      <c r="C1421" s="558"/>
      <c r="D1421" s="615"/>
      <c r="E1421" s="700"/>
      <c r="F1421" s="558"/>
      <c r="G1421" s="604"/>
      <c r="H1421" s="546"/>
      <c r="I1421" s="563" t="s">
        <v>25</v>
      </c>
      <c r="J1421" s="563" t="s">
        <v>25</v>
      </c>
      <c r="K1421" s="564" t="s">
        <v>25</v>
      </c>
      <c r="L1421" s="564" t="s">
        <v>25</v>
      </c>
      <c r="M1421" s="558"/>
      <c r="N1421" s="558"/>
      <c r="O1421" s="590"/>
      <c r="P1421" s="564" t="s">
        <v>25</v>
      </c>
      <c r="Q1421" s="564" t="s">
        <v>25</v>
      </c>
      <c r="R1421" s="566"/>
      <c r="S1421" s="589"/>
      <c r="T1421" s="591"/>
      <c r="U1421" s="593"/>
      <c r="V1421" s="564" t="s">
        <v>2899</v>
      </c>
      <c r="W1421" s="564" t="s">
        <v>25</v>
      </c>
      <c r="X1421" s="562"/>
      <c r="Y1421" s="568"/>
      <c r="Z1421" s="568"/>
      <c r="AA1421" s="568"/>
      <c r="AB1421" s="568"/>
      <c r="AC1421" s="568"/>
      <c r="AD1421" s="568"/>
      <c r="AE1421" s="563"/>
      <c r="AF1421" s="570" t="s">
        <v>2899</v>
      </c>
      <c r="AG1421" s="570" t="s">
        <v>25</v>
      </c>
      <c r="AH1421" s="571" t="s">
        <v>25</v>
      </c>
      <c r="AI1421" s="704"/>
      <c r="AJ1421" s="558" t="s">
        <v>2800</v>
      </c>
    </row>
    <row r="1422" spans="1:36" s="385" customFormat="1" ht="20.25" outlineLevel="2" x14ac:dyDescent="0.3">
      <c r="A1422" s="447">
        <v>112</v>
      </c>
      <c r="B1422" s="558"/>
      <c r="C1422" s="558"/>
      <c r="D1422" s="615"/>
      <c r="E1422" s="700"/>
      <c r="F1422" s="558"/>
      <c r="G1422" s="604"/>
      <c r="H1422" s="546"/>
      <c r="I1422" s="563" t="s">
        <v>25</v>
      </c>
      <c r="J1422" s="563" t="s">
        <v>25</v>
      </c>
      <c r="K1422" s="564" t="s">
        <v>25</v>
      </c>
      <c r="L1422" s="564" t="s">
        <v>25</v>
      </c>
      <c r="M1422" s="558"/>
      <c r="N1422" s="558"/>
      <c r="O1422" s="590"/>
      <c r="P1422" s="564" t="s">
        <v>25</v>
      </c>
      <c r="Q1422" s="564" t="s">
        <v>25</v>
      </c>
      <c r="R1422" s="566"/>
      <c r="S1422" s="589"/>
      <c r="T1422" s="591"/>
      <c r="U1422" s="593"/>
      <c r="V1422" s="564" t="s">
        <v>2899</v>
      </c>
      <c r="W1422" s="564" t="s">
        <v>25</v>
      </c>
      <c r="X1422" s="562"/>
      <c r="Y1422" s="568"/>
      <c r="Z1422" s="568"/>
      <c r="AA1422" s="568"/>
      <c r="AB1422" s="568"/>
      <c r="AC1422" s="568"/>
      <c r="AD1422" s="568"/>
      <c r="AE1422" s="563"/>
      <c r="AF1422" s="570" t="s">
        <v>2899</v>
      </c>
      <c r="AG1422" s="570" t="s">
        <v>25</v>
      </c>
      <c r="AH1422" s="571" t="s">
        <v>25</v>
      </c>
      <c r="AI1422" s="704"/>
      <c r="AJ1422" s="558"/>
    </row>
    <row r="1423" spans="1:36" s="385" customFormat="1" ht="20.25" outlineLevel="2" x14ac:dyDescent="0.3">
      <c r="A1423" s="447">
        <v>112</v>
      </c>
      <c r="B1423" s="558"/>
      <c r="C1423" s="558"/>
      <c r="D1423" s="615"/>
      <c r="E1423" s="700"/>
      <c r="F1423" s="558"/>
      <c r="G1423" s="604"/>
      <c r="H1423" s="546"/>
      <c r="I1423" s="563" t="s">
        <v>25</v>
      </c>
      <c r="J1423" s="563" t="s">
        <v>25</v>
      </c>
      <c r="K1423" s="564" t="s">
        <v>25</v>
      </c>
      <c r="L1423" s="564" t="s">
        <v>25</v>
      </c>
      <c r="M1423" s="558"/>
      <c r="N1423" s="558"/>
      <c r="O1423" s="590"/>
      <c r="P1423" s="564" t="s">
        <v>25</v>
      </c>
      <c r="Q1423" s="564" t="s">
        <v>25</v>
      </c>
      <c r="R1423" s="566"/>
      <c r="S1423" s="589"/>
      <c r="T1423" s="617"/>
      <c r="U1423" s="593"/>
      <c r="V1423" s="564" t="s">
        <v>2899</v>
      </c>
      <c r="W1423" s="564" t="s">
        <v>25</v>
      </c>
      <c r="X1423" s="562"/>
      <c r="Y1423" s="568"/>
      <c r="Z1423" s="568"/>
      <c r="AA1423" s="568"/>
      <c r="AB1423" s="568"/>
      <c r="AC1423" s="568"/>
      <c r="AD1423" s="568"/>
      <c r="AE1423" s="563"/>
      <c r="AF1423" s="570" t="s">
        <v>2899</v>
      </c>
      <c r="AG1423" s="570" t="s">
        <v>25</v>
      </c>
      <c r="AH1423" s="571" t="s">
        <v>25</v>
      </c>
      <c r="AI1423" s="558"/>
      <c r="AJ1423" s="558"/>
    </row>
    <row r="1424" spans="1:36" s="385" customFormat="1" ht="20.25" outlineLevel="2" x14ac:dyDescent="0.3">
      <c r="A1424" s="447">
        <v>112</v>
      </c>
      <c r="B1424" s="558"/>
      <c r="C1424" s="558"/>
      <c r="D1424" s="615"/>
      <c r="E1424" s="700"/>
      <c r="F1424" s="558"/>
      <c r="G1424" s="604"/>
      <c r="H1424" s="546"/>
      <c r="I1424" s="563" t="s">
        <v>25</v>
      </c>
      <c r="J1424" s="563" t="s">
        <v>25</v>
      </c>
      <c r="K1424" s="564" t="s">
        <v>25</v>
      </c>
      <c r="L1424" s="564" t="s">
        <v>25</v>
      </c>
      <c r="M1424" s="558"/>
      <c r="N1424" s="558"/>
      <c r="O1424" s="590"/>
      <c r="P1424" s="564" t="s">
        <v>25</v>
      </c>
      <c r="Q1424" s="564" t="s">
        <v>25</v>
      </c>
      <c r="R1424" s="566"/>
      <c r="S1424" s="589"/>
      <c r="T1424" s="591"/>
      <c r="U1424" s="593"/>
      <c r="V1424" s="564" t="s">
        <v>2899</v>
      </c>
      <c r="W1424" s="564" t="s">
        <v>25</v>
      </c>
      <c r="X1424" s="562"/>
      <c r="Y1424" s="568"/>
      <c r="Z1424" s="568"/>
      <c r="AA1424" s="568"/>
      <c r="AB1424" s="568"/>
      <c r="AC1424" s="568"/>
      <c r="AD1424" s="568"/>
      <c r="AE1424" s="563"/>
      <c r="AF1424" s="570" t="s">
        <v>2899</v>
      </c>
      <c r="AG1424" s="570" t="s">
        <v>25</v>
      </c>
      <c r="AH1424" s="571" t="s">
        <v>25</v>
      </c>
      <c r="AI1424" s="558"/>
      <c r="AJ1424" s="558"/>
    </row>
    <row r="1425" spans="1:36" s="385" customFormat="1" ht="20.25" outlineLevel="2" x14ac:dyDescent="0.3">
      <c r="A1425" s="447">
        <v>112</v>
      </c>
      <c r="B1425" s="558"/>
      <c r="C1425" s="558"/>
      <c r="D1425" s="615"/>
      <c r="E1425" s="700"/>
      <c r="F1425" s="558"/>
      <c r="G1425" s="604"/>
      <c r="H1425" s="546"/>
      <c r="I1425" s="563" t="s">
        <v>25</v>
      </c>
      <c r="J1425" s="563" t="s">
        <v>25</v>
      </c>
      <c r="K1425" s="564" t="s">
        <v>25</v>
      </c>
      <c r="L1425" s="564" t="s">
        <v>25</v>
      </c>
      <c r="M1425" s="558"/>
      <c r="N1425" s="558"/>
      <c r="O1425" s="590"/>
      <c r="P1425" s="564" t="s">
        <v>25</v>
      </c>
      <c r="Q1425" s="564" t="s">
        <v>25</v>
      </c>
      <c r="R1425" s="566"/>
      <c r="S1425" s="589"/>
      <c r="T1425" s="591"/>
      <c r="U1425" s="593"/>
      <c r="V1425" s="564" t="s">
        <v>2899</v>
      </c>
      <c r="W1425" s="564" t="s">
        <v>25</v>
      </c>
      <c r="X1425" s="562"/>
      <c r="Y1425" s="568"/>
      <c r="Z1425" s="568"/>
      <c r="AA1425" s="568"/>
      <c r="AB1425" s="568"/>
      <c r="AC1425" s="568"/>
      <c r="AD1425" s="568"/>
      <c r="AE1425" s="563"/>
      <c r="AF1425" s="570" t="s">
        <v>2899</v>
      </c>
      <c r="AG1425" s="570" t="s">
        <v>25</v>
      </c>
      <c r="AH1425" s="571" t="s">
        <v>25</v>
      </c>
      <c r="AI1425" s="558"/>
      <c r="AJ1425" s="558"/>
    </row>
    <row r="1426" spans="1:36" s="385" customFormat="1" ht="20.25" outlineLevel="2" x14ac:dyDescent="0.3">
      <c r="A1426" s="447">
        <v>112</v>
      </c>
      <c r="B1426" s="558"/>
      <c r="C1426" s="558"/>
      <c r="D1426" s="615"/>
      <c r="E1426" s="700"/>
      <c r="F1426" s="558"/>
      <c r="G1426" s="604"/>
      <c r="H1426" s="546"/>
      <c r="I1426" s="563" t="s">
        <v>25</v>
      </c>
      <c r="J1426" s="563" t="s">
        <v>25</v>
      </c>
      <c r="K1426" s="564" t="s">
        <v>25</v>
      </c>
      <c r="L1426" s="564" t="s">
        <v>25</v>
      </c>
      <c r="M1426" s="558"/>
      <c r="N1426" s="558"/>
      <c r="O1426" s="590"/>
      <c r="P1426" s="564" t="s">
        <v>25</v>
      </c>
      <c r="Q1426" s="564" t="s">
        <v>25</v>
      </c>
      <c r="R1426" s="566"/>
      <c r="S1426" s="589"/>
      <c r="T1426" s="591"/>
      <c r="U1426" s="593"/>
      <c r="V1426" s="564" t="s">
        <v>2899</v>
      </c>
      <c r="W1426" s="564" t="s">
        <v>25</v>
      </c>
      <c r="X1426" s="562"/>
      <c r="Y1426" s="568"/>
      <c r="Z1426" s="568"/>
      <c r="AA1426" s="568"/>
      <c r="AB1426" s="568"/>
      <c r="AC1426" s="568"/>
      <c r="AD1426" s="568"/>
      <c r="AE1426" s="563"/>
      <c r="AF1426" s="570" t="s">
        <v>2899</v>
      </c>
      <c r="AG1426" s="570" t="s">
        <v>25</v>
      </c>
      <c r="AH1426" s="571" t="s">
        <v>25</v>
      </c>
      <c r="AI1426" s="558"/>
      <c r="AJ1426" s="558"/>
    </row>
    <row r="1427" spans="1:36" s="385" customFormat="1" ht="20.25" outlineLevel="2" x14ac:dyDescent="0.3">
      <c r="A1427" s="447">
        <v>112</v>
      </c>
      <c r="B1427" s="574"/>
      <c r="C1427" s="574"/>
      <c r="D1427" s="705"/>
      <c r="E1427" s="706"/>
      <c r="F1427" s="558"/>
      <c r="G1427" s="604"/>
      <c r="H1427" s="546"/>
      <c r="I1427" s="563" t="s">
        <v>25</v>
      </c>
      <c r="J1427" s="563" t="s">
        <v>25</v>
      </c>
      <c r="K1427" s="564" t="s">
        <v>25</v>
      </c>
      <c r="L1427" s="564" t="s">
        <v>25</v>
      </c>
      <c r="M1427" s="558"/>
      <c r="N1427" s="558"/>
      <c r="O1427" s="590"/>
      <c r="P1427" s="564" t="s">
        <v>25</v>
      </c>
      <c r="Q1427" s="564" t="s">
        <v>25</v>
      </c>
      <c r="R1427" s="566"/>
      <c r="S1427" s="589"/>
      <c r="T1427" s="591"/>
      <c r="U1427" s="593"/>
      <c r="V1427" s="564" t="s">
        <v>2899</v>
      </c>
      <c r="W1427" s="564" t="s">
        <v>25</v>
      </c>
      <c r="X1427" s="562"/>
      <c r="Y1427" s="568"/>
      <c r="Z1427" s="568"/>
      <c r="AA1427" s="568"/>
      <c r="AB1427" s="568"/>
      <c r="AC1427" s="568"/>
      <c r="AD1427" s="568"/>
      <c r="AE1427" s="563"/>
      <c r="AF1427" s="570" t="s">
        <v>2899</v>
      </c>
      <c r="AG1427" s="570" t="s">
        <v>25</v>
      </c>
      <c r="AH1427" s="571" t="s">
        <v>25</v>
      </c>
      <c r="AI1427" s="593"/>
      <c r="AJ1427" s="593"/>
    </row>
    <row r="1428" spans="1:36" s="385" customFormat="1" ht="40.5" outlineLevel="1" x14ac:dyDescent="0.25">
      <c r="A1428" s="467">
        <v>113</v>
      </c>
      <c r="B1428" s="574" t="s">
        <v>1033</v>
      </c>
      <c r="C1428" s="586" t="s">
        <v>2903</v>
      </c>
      <c r="D1428" s="615">
        <v>86</v>
      </c>
      <c r="E1428" s="700">
        <v>711</v>
      </c>
      <c r="F1428" s="574"/>
      <c r="G1428" s="596">
        <v>1500</v>
      </c>
      <c r="H1428" s="579">
        <v>1169.0999999999999</v>
      </c>
      <c r="I1428" s="581"/>
      <c r="J1428" s="581"/>
      <c r="K1428" s="571">
        <v>698400000</v>
      </c>
      <c r="L1428" s="571">
        <v>1632999000</v>
      </c>
      <c r="M1428" s="578"/>
      <c r="N1428" s="578"/>
      <c r="O1428" s="599">
        <v>59</v>
      </c>
      <c r="P1428" s="571"/>
      <c r="Q1428" s="571">
        <v>16224000</v>
      </c>
      <c r="R1428" s="582"/>
      <c r="S1428" s="597"/>
      <c r="T1428" s="600">
        <v>264.61</v>
      </c>
      <c r="U1428" s="608"/>
      <c r="V1428" s="571"/>
      <c r="W1428" s="571">
        <v>453381000</v>
      </c>
      <c r="X1428" s="562"/>
      <c r="Y1428" s="568"/>
      <c r="Z1428" s="568"/>
      <c r="AA1428" s="568"/>
      <c r="AB1428" s="568"/>
      <c r="AC1428" s="568"/>
      <c r="AD1428" s="602"/>
      <c r="AE1428" s="581">
        <f>SUBTOTAL(9,AE1429:AE1451)</f>
        <v>0</v>
      </c>
      <c r="AF1428" s="585"/>
      <c r="AG1428" s="585">
        <v>0</v>
      </c>
      <c r="AH1428" s="571">
        <v>2801004000</v>
      </c>
      <c r="AI1428" s="574"/>
      <c r="AJ1428" s="578"/>
    </row>
    <row r="1429" spans="1:36" s="385" customFormat="1" ht="121.5" outlineLevel="2" x14ac:dyDescent="0.3">
      <c r="A1429" s="447">
        <v>113</v>
      </c>
      <c r="B1429" s="558" t="s">
        <v>1035</v>
      </c>
      <c r="C1429" s="558"/>
      <c r="D1429" s="615">
        <v>86</v>
      </c>
      <c r="E1429" s="700">
        <v>317</v>
      </c>
      <c r="F1429" s="558" t="s">
        <v>2435</v>
      </c>
      <c r="G1429" s="604">
        <v>371.7</v>
      </c>
      <c r="H1429" s="546">
        <v>371.7</v>
      </c>
      <c r="I1429" s="563">
        <v>465600</v>
      </c>
      <c r="J1429" s="563">
        <v>1396800</v>
      </c>
      <c r="K1429" s="564">
        <v>173064000</v>
      </c>
      <c r="L1429" s="564">
        <v>519191000</v>
      </c>
      <c r="M1429" s="586" t="s">
        <v>783</v>
      </c>
      <c r="N1429" s="586"/>
      <c r="O1429" s="590">
        <v>3</v>
      </c>
      <c r="P1429" s="564">
        <v>60000</v>
      </c>
      <c r="Q1429" s="564">
        <v>180000</v>
      </c>
      <c r="R1429" s="566" t="s">
        <v>1802</v>
      </c>
      <c r="S1429" s="589" t="s">
        <v>2804</v>
      </c>
      <c r="T1429" s="591">
        <v>106.3</v>
      </c>
      <c r="U1429" s="593"/>
      <c r="V1429" s="564">
        <v>3156089</v>
      </c>
      <c r="W1429" s="564">
        <v>335492000</v>
      </c>
      <c r="X1429" s="562" t="s">
        <v>139</v>
      </c>
      <c r="Y1429" s="568" t="s">
        <v>980</v>
      </c>
      <c r="Z1429" s="568" t="s">
        <v>1012</v>
      </c>
      <c r="AA1429" s="568" t="s">
        <v>269</v>
      </c>
      <c r="AB1429" s="568" t="s">
        <v>139</v>
      </c>
      <c r="AC1429" s="568"/>
      <c r="AD1429" s="569"/>
      <c r="AE1429" s="563"/>
      <c r="AF1429" s="570" t="s">
        <v>2899</v>
      </c>
      <c r="AG1429" s="570"/>
      <c r="AH1429" s="571" t="s">
        <v>25</v>
      </c>
      <c r="AI1429" s="558" t="s">
        <v>1034</v>
      </c>
      <c r="AJ1429" s="586" t="s">
        <v>2771</v>
      </c>
    </row>
    <row r="1430" spans="1:36" s="385" customFormat="1" ht="81" outlineLevel="2" x14ac:dyDescent="0.3">
      <c r="A1430" s="447">
        <v>113</v>
      </c>
      <c r="B1430" s="558" t="s">
        <v>1662</v>
      </c>
      <c r="C1430" s="558"/>
      <c r="D1430" s="615">
        <v>86</v>
      </c>
      <c r="E1430" s="700">
        <v>276</v>
      </c>
      <c r="F1430" s="558" t="s">
        <v>2435</v>
      </c>
      <c r="G1430" s="604">
        <v>396.8</v>
      </c>
      <c r="H1430" s="546">
        <v>396.8</v>
      </c>
      <c r="I1430" s="563">
        <v>465600</v>
      </c>
      <c r="J1430" s="563">
        <v>1396800</v>
      </c>
      <c r="K1430" s="564">
        <v>184750000</v>
      </c>
      <c r="L1430" s="564">
        <v>554250000</v>
      </c>
      <c r="M1430" s="558" t="s">
        <v>727</v>
      </c>
      <c r="N1430" s="558"/>
      <c r="O1430" s="590">
        <v>3</v>
      </c>
      <c r="P1430" s="564">
        <v>32000</v>
      </c>
      <c r="Q1430" s="564">
        <v>96000</v>
      </c>
      <c r="R1430" s="566" t="s">
        <v>1802</v>
      </c>
      <c r="S1430" s="589" t="s">
        <v>2804</v>
      </c>
      <c r="T1430" s="591">
        <v>27</v>
      </c>
      <c r="U1430" s="593"/>
      <c r="V1430" s="564">
        <v>3156089</v>
      </c>
      <c r="W1430" s="564">
        <v>85214000</v>
      </c>
      <c r="X1430" s="562" t="s">
        <v>139</v>
      </c>
      <c r="Y1430" s="568" t="s">
        <v>980</v>
      </c>
      <c r="Z1430" s="568" t="s">
        <v>1012</v>
      </c>
      <c r="AA1430" s="568" t="s">
        <v>269</v>
      </c>
      <c r="AB1430" s="568" t="s">
        <v>139</v>
      </c>
      <c r="AC1430" s="568"/>
      <c r="AD1430" s="568"/>
      <c r="AE1430" s="563"/>
      <c r="AF1430" s="570" t="s">
        <v>2899</v>
      </c>
      <c r="AG1430" s="570" t="s">
        <v>25</v>
      </c>
      <c r="AH1430" s="571" t="s">
        <v>25</v>
      </c>
      <c r="AI1430" s="558" t="s">
        <v>2836</v>
      </c>
      <c r="AJ1430" s="605" t="s">
        <v>2448</v>
      </c>
    </row>
    <row r="1431" spans="1:36" s="385" customFormat="1" ht="121.5" outlineLevel="2" x14ac:dyDescent="0.3">
      <c r="A1431" s="447">
        <v>113</v>
      </c>
      <c r="B1431" s="558"/>
      <c r="C1431" s="558"/>
      <c r="D1431" s="615">
        <v>86</v>
      </c>
      <c r="E1431" s="700">
        <v>711</v>
      </c>
      <c r="F1431" s="558" t="s">
        <v>2435</v>
      </c>
      <c r="G1431" s="604">
        <v>400.6</v>
      </c>
      <c r="H1431" s="546">
        <v>400.6</v>
      </c>
      <c r="I1431" s="563">
        <v>465600</v>
      </c>
      <c r="J1431" s="563">
        <v>1396800</v>
      </c>
      <c r="K1431" s="564">
        <v>186519000</v>
      </c>
      <c r="L1431" s="564">
        <v>559558000</v>
      </c>
      <c r="M1431" s="558" t="s">
        <v>1037</v>
      </c>
      <c r="N1431" s="558"/>
      <c r="O1431" s="590">
        <v>1</v>
      </c>
      <c r="P1431" s="564">
        <v>120000</v>
      </c>
      <c r="Q1431" s="564">
        <v>120000</v>
      </c>
      <c r="R1431" s="566" t="s">
        <v>1803</v>
      </c>
      <c r="S1431" s="589" t="s">
        <v>2804</v>
      </c>
      <c r="T1431" s="617">
        <v>2.16</v>
      </c>
      <c r="U1431" s="593"/>
      <c r="V1431" s="564">
        <v>2093161</v>
      </c>
      <c r="W1431" s="564">
        <v>4521000</v>
      </c>
      <c r="X1431" s="562" t="s">
        <v>139</v>
      </c>
      <c r="Y1431" s="568" t="s">
        <v>980</v>
      </c>
      <c r="Z1431" s="568" t="s">
        <v>1012</v>
      </c>
      <c r="AA1431" s="568" t="s">
        <v>269</v>
      </c>
      <c r="AB1431" s="568" t="s">
        <v>139</v>
      </c>
      <c r="AC1431" s="568"/>
      <c r="AD1431" s="568"/>
      <c r="AE1431" s="563"/>
      <c r="AF1431" s="570" t="s">
        <v>2899</v>
      </c>
      <c r="AG1431" s="570" t="s">
        <v>25</v>
      </c>
      <c r="AH1431" s="571" t="s">
        <v>25</v>
      </c>
      <c r="AI1431" s="684" t="s">
        <v>2783</v>
      </c>
      <c r="AJ1431" s="558" t="s">
        <v>2450</v>
      </c>
    </row>
    <row r="1432" spans="1:36" s="385" customFormat="1" ht="101.25" outlineLevel="2" x14ac:dyDescent="0.3">
      <c r="A1432" s="447">
        <v>113</v>
      </c>
      <c r="B1432" s="558"/>
      <c r="C1432" s="558"/>
      <c r="D1432" s="615">
        <v>86</v>
      </c>
      <c r="E1432" s="700">
        <v>317</v>
      </c>
      <c r="F1432" s="558" t="s">
        <v>2434</v>
      </c>
      <c r="G1432" s="604">
        <v>128.30000000000001</v>
      </c>
      <c r="H1432" s="546" t="s">
        <v>2899</v>
      </c>
      <c r="I1432" s="563">
        <v>465600</v>
      </c>
      <c r="J1432" s="563">
        <v>0</v>
      </c>
      <c r="K1432" s="564">
        <v>59736000</v>
      </c>
      <c r="L1432" s="564">
        <v>0</v>
      </c>
      <c r="M1432" s="558" t="s">
        <v>145</v>
      </c>
      <c r="N1432" s="558"/>
      <c r="O1432" s="590">
        <v>1</v>
      </c>
      <c r="P1432" s="564">
        <v>4240000</v>
      </c>
      <c r="Q1432" s="564">
        <v>4240000</v>
      </c>
      <c r="R1432" s="566" t="s">
        <v>1803</v>
      </c>
      <c r="S1432" s="589" t="s">
        <v>2804</v>
      </c>
      <c r="T1432" s="617">
        <v>2.16</v>
      </c>
      <c r="U1432" s="593"/>
      <c r="V1432" s="564">
        <v>2093161</v>
      </c>
      <c r="W1432" s="564">
        <v>4521000</v>
      </c>
      <c r="X1432" s="562" t="s">
        <v>139</v>
      </c>
      <c r="Y1432" s="568" t="s">
        <v>980</v>
      </c>
      <c r="Z1432" s="568" t="s">
        <v>1012</v>
      </c>
      <c r="AA1432" s="568" t="s">
        <v>269</v>
      </c>
      <c r="AB1432" s="568" t="s">
        <v>139</v>
      </c>
      <c r="AC1432" s="568"/>
      <c r="AD1432" s="568"/>
      <c r="AE1432" s="563"/>
      <c r="AF1432" s="570" t="s">
        <v>2899</v>
      </c>
      <c r="AG1432" s="570" t="s">
        <v>25</v>
      </c>
      <c r="AH1432" s="571" t="s">
        <v>25</v>
      </c>
      <c r="AI1432" s="558" t="s">
        <v>2837</v>
      </c>
      <c r="AJ1432" s="558" t="s">
        <v>2449</v>
      </c>
    </row>
    <row r="1433" spans="1:36" s="385" customFormat="1" ht="101.25" outlineLevel="2" x14ac:dyDescent="0.3">
      <c r="A1433" s="447">
        <v>113</v>
      </c>
      <c r="B1433" s="558"/>
      <c r="C1433" s="558"/>
      <c r="D1433" s="615">
        <v>86</v>
      </c>
      <c r="E1433" s="700">
        <v>276</v>
      </c>
      <c r="F1433" s="558" t="s">
        <v>2434</v>
      </c>
      <c r="G1433" s="604">
        <v>103.2</v>
      </c>
      <c r="H1433" s="546" t="s">
        <v>2899</v>
      </c>
      <c r="I1433" s="563">
        <v>465600</v>
      </c>
      <c r="J1433" s="563">
        <v>0</v>
      </c>
      <c r="K1433" s="564">
        <v>48050000</v>
      </c>
      <c r="L1433" s="564">
        <v>0</v>
      </c>
      <c r="M1433" s="558" t="s">
        <v>77</v>
      </c>
      <c r="N1433" s="558"/>
      <c r="O1433" s="590">
        <v>1</v>
      </c>
      <c r="P1433" s="564">
        <v>3064000</v>
      </c>
      <c r="Q1433" s="564">
        <v>3064000</v>
      </c>
      <c r="R1433" s="566" t="s">
        <v>1803</v>
      </c>
      <c r="S1433" s="589" t="s">
        <v>2804</v>
      </c>
      <c r="T1433" s="617">
        <v>2.16</v>
      </c>
      <c r="U1433" s="593"/>
      <c r="V1433" s="564">
        <v>2093161</v>
      </c>
      <c r="W1433" s="564">
        <v>4521000</v>
      </c>
      <c r="X1433" s="562" t="s">
        <v>139</v>
      </c>
      <c r="Y1433" s="568" t="s">
        <v>980</v>
      </c>
      <c r="Z1433" s="568" t="s">
        <v>1012</v>
      </c>
      <c r="AA1433" s="568" t="s">
        <v>269</v>
      </c>
      <c r="AB1433" s="568" t="s">
        <v>139</v>
      </c>
      <c r="AC1433" s="568"/>
      <c r="AD1433" s="568"/>
      <c r="AE1433" s="563"/>
      <c r="AF1433" s="570" t="s">
        <v>2899</v>
      </c>
      <c r="AG1433" s="570" t="s">
        <v>25</v>
      </c>
      <c r="AH1433" s="571" t="s">
        <v>25</v>
      </c>
      <c r="AI1433" s="558" t="s">
        <v>1040</v>
      </c>
      <c r="AJ1433" s="558" t="s">
        <v>2800</v>
      </c>
    </row>
    <row r="1434" spans="1:36" s="385" customFormat="1" ht="60.75" outlineLevel="2" x14ac:dyDescent="0.3">
      <c r="A1434" s="447">
        <v>113</v>
      </c>
      <c r="B1434" s="558"/>
      <c r="C1434" s="558"/>
      <c r="D1434" s="615"/>
      <c r="E1434" s="700"/>
      <c r="F1434" s="558" t="s">
        <v>2434</v>
      </c>
      <c r="G1434" s="604">
        <v>99.4</v>
      </c>
      <c r="H1434" s="546" t="s">
        <v>2899</v>
      </c>
      <c r="I1434" s="563">
        <v>465600</v>
      </c>
      <c r="J1434" s="563">
        <v>0</v>
      </c>
      <c r="K1434" s="564">
        <v>46281000</v>
      </c>
      <c r="L1434" s="564">
        <v>0</v>
      </c>
      <c r="M1434" s="586" t="s">
        <v>400</v>
      </c>
      <c r="N1434" s="586"/>
      <c r="O1434" s="590">
        <v>23</v>
      </c>
      <c r="P1434" s="564">
        <v>228000</v>
      </c>
      <c r="Q1434" s="564">
        <v>5244000</v>
      </c>
      <c r="R1434" s="566" t="s">
        <v>1803</v>
      </c>
      <c r="S1434" s="589" t="s">
        <v>2804</v>
      </c>
      <c r="T1434" s="617">
        <v>2.16</v>
      </c>
      <c r="U1434" s="593"/>
      <c r="V1434" s="564">
        <v>2093161</v>
      </c>
      <c r="W1434" s="564">
        <v>4521000</v>
      </c>
      <c r="X1434" s="562" t="s">
        <v>139</v>
      </c>
      <c r="Y1434" s="568" t="s">
        <v>980</v>
      </c>
      <c r="Z1434" s="568" t="s">
        <v>1012</v>
      </c>
      <c r="AA1434" s="568" t="s">
        <v>269</v>
      </c>
      <c r="AB1434" s="568" t="s">
        <v>139</v>
      </c>
      <c r="AC1434" s="568"/>
      <c r="AD1434" s="568"/>
      <c r="AE1434" s="563"/>
      <c r="AF1434" s="570" t="s">
        <v>2899</v>
      </c>
      <c r="AG1434" s="570" t="s">
        <v>25</v>
      </c>
      <c r="AH1434" s="571" t="s">
        <v>25</v>
      </c>
      <c r="AI1434" s="558" t="s">
        <v>2838</v>
      </c>
      <c r="AJ1434" s="558"/>
    </row>
    <row r="1435" spans="1:36" s="385" customFormat="1" ht="60.75" outlineLevel="2" x14ac:dyDescent="0.3">
      <c r="A1435" s="447">
        <v>113</v>
      </c>
      <c r="B1435" s="558"/>
      <c r="C1435" s="558"/>
      <c r="D1435" s="615"/>
      <c r="E1435" s="700"/>
      <c r="F1435" s="558"/>
      <c r="G1435" s="604"/>
      <c r="H1435" s="546"/>
      <c r="I1435" s="563" t="s">
        <v>25</v>
      </c>
      <c r="J1435" s="563" t="s">
        <v>25</v>
      </c>
      <c r="K1435" s="564" t="s">
        <v>25</v>
      </c>
      <c r="L1435" s="564" t="s">
        <v>25</v>
      </c>
      <c r="M1435" s="586" t="s">
        <v>401</v>
      </c>
      <c r="N1435" s="586"/>
      <c r="O1435" s="590">
        <v>10</v>
      </c>
      <c r="P1435" s="564">
        <v>80000</v>
      </c>
      <c r="Q1435" s="564">
        <v>800000</v>
      </c>
      <c r="R1435" s="566" t="s">
        <v>1803</v>
      </c>
      <c r="S1435" s="589" t="s">
        <v>2804</v>
      </c>
      <c r="T1435" s="617">
        <v>2.16</v>
      </c>
      <c r="U1435" s="593"/>
      <c r="V1435" s="564">
        <v>2093161</v>
      </c>
      <c r="W1435" s="564">
        <v>4521000</v>
      </c>
      <c r="X1435" s="562" t="s">
        <v>139</v>
      </c>
      <c r="Y1435" s="568" t="s">
        <v>980</v>
      </c>
      <c r="Z1435" s="568" t="s">
        <v>1012</v>
      </c>
      <c r="AA1435" s="568" t="s">
        <v>269</v>
      </c>
      <c r="AB1435" s="568" t="s">
        <v>139</v>
      </c>
      <c r="AC1435" s="568"/>
      <c r="AD1435" s="568"/>
      <c r="AE1435" s="563"/>
      <c r="AF1435" s="570" t="s">
        <v>2899</v>
      </c>
      <c r="AG1435" s="570" t="s">
        <v>25</v>
      </c>
      <c r="AH1435" s="571" t="s">
        <v>25</v>
      </c>
      <c r="AI1435" s="558" t="s">
        <v>169</v>
      </c>
      <c r="AJ1435" s="558"/>
    </row>
    <row r="1436" spans="1:36" s="385" customFormat="1" ht="60.75" outlineLevel="2" x14ac:dyDescent="0.3">
      <c r="A1436" s="447">
        <v>113</v>
      </c>
      <c r="B1436" s="558"/>
      <c r="C1436" s="558"/>
      <c r="D1436" s="615"/>
      <c r="E1436" s="700"/>
      <c r="F1436" s="558"/>
      <c r="G1436" s="604"/>
      <c r="H1436" s="546"/>
      <c r="I1436" s="563" t="s">
        <v>25</v>
      </c>
      <c r="J1436" s="563" t="s">
        <v>25</v>
      </c>
      <c r="K1436" s="564" t="s">
        <v>25</v>
      </c>
      <c r="L1436" s="564" t="s">
        <v>25</v>
      </c>
      <c r="M1436" s="586" t="s">
        <v>401</v>
      </c>
      <c r="N1436" s="586"/>
      <c r="O1436" s="590">
        <v>16</v>
      </c>
      <c r="P1436" s="564">
        <v>80000</v>
      </c>
      <c r="Q1436" s="564">
        <v>1280000</v>
      </c>
      <c r="R1436" s="566" t="s">
        <v>1803</v>
      </c>
      <c r="S1436" s="589" t="s">
        <v>2804</v>
      </c>
      <c r="T1436" s="617">
        <v>2.16</v>
      </c>
      <c r="U1436" s="593"/>
      <c r="V1436" s="564">
        <v>2093161</v>
      </c>
      <c r="W1436" s="564">
        <v>4521000</v>
      </c>
      <c r="X1436" s="562" t="s">
        <v>139</v>
      </c>
      <c r="Y1436" s="568" t="s">
        <v>980</v>
      </c>
      <c r="Z1436" s="568" t="s">
        <v>1012</v>
      </c>
      <c r="AA1436" s="568" t="s">
        <v>269</v>
      </c>
      <c r="AB1436" s="568" t="s">
        <v>139</v>
      </c>
      <c r="AC1436" s="568"/>
      <c r="AD1436" s="568"/>
      <c r="AE1436" s="563"/>
      <c r="AF1436" s="570" t="s">
        <v>2899</v>
      </c>
      <c r="AG1436" s="570" t="s">
        <v>25</v>
      </c>
      <c r="AH1436" s="571" t="s">
        <v>25</v>
      </c>
      <c r="AI1436" s="558" t="s">
        <v>2075</v>
      </c>
      <c r="AJ1436" s="593"/>
    </row>
    <row r="1437" spans="1:36" s="385" customFormat="1" ht="40.5" outlineLevel="2" x14ac:dyDescent="0.3">
      <c r="A1437" s="447">
        <v>113</v>
      </c>
      <c r="B1437" s="558"/>
      <c r="C1437" s="558"/>
      <c r="D1437" s="615"/>
      <c r="E1437" s="700"/>
      <c r="F1437" s="558"/>
      <c r="G1437" s="604"/>
      <c r="H1437" s="546"/>
      <c r="I1437" s="563" t="s">
        <v>25</v>
      </c>
      <c r="J1437" s="563" t="s">
        <v>25</v>
      </c>
      <c r="K1437" s="564" t="s">
        <v>25</v>
      </c>
      <c r="L1437" s="564" t="s">
        <v>25</v>
      </c>
      <c r="M1437" s="558" t="s">
        <v>1042</v>
      </c>
      <c r="N1437" s="558"/>
      <c r="O1437" s="590">
        <v>1</v>
      </c>
      <c r="P1437" s="564">
        <v>1200000</v>
      </c>
      <c r="Q1437" s="564">
        <v>1200000</v>
      </c>
      <c r="R1437" s="566" t="s">
        <v>1804</v>
      </c>
      <c r="S1437" s="589" t="s">
        <v>2827</v>
      </c>
      <c r="T1437" s="591">
        <v>0.18</v>
      </c>
      <c r="U1437" s="593"/>
      <c r="V1437" s="564">
        <v>0</v>
      </c>
      <c r="W1437" s="564">
        <v>0</v>
      </c>
      <c r="X1437" s="562"/>
      <c r="Y1437" s="568"/>
      <c r="Z1437" s="568"/>
      <c r="AA1437" s="568"/>
      <c r="AB1437" s="568"/>
      <c r="AC1437" s="568"/>
      <c r="AD1437" s="568"/>
      <c r="AE1437" s="563"/>
      <c r="AF1437" s="570" t="s">
        <v>2899</v>
      </c>
      <c r="AG1437" s="570" t="s">
        <v>25</v>
      </c>
      <c r="AH1437" s="571" t="s">
        <v>25</v>
      </c>
      <c r="AI1437" s="704"/>
      <c r="AJ1437" s="558"/>
    </row>
    <row r="1438" spans="1:36" s="385" customFormat="1" ht="60.75" outlineLevel="2" x14ac:dyDescent="0.3">
      <c r="A1438" s="447">
        <v>113</v>
      </c>
      <c r="B1438" s="558"/>
      <c r="C1438" s="558"/>
      <c r="D1438" s="615"/>
      <c r="E1438" s="700"/>
      <c r="F1438" s="558"/>
      <c r="G1438" s="604"/>
      <c r="H1438" s="546"/>
      <c r="I1438" s="563" t="s">
        <v>25</v>
      </c>
      <c r="J1438" s="563" t="s">
        <v>25</v>
      </c>
      <c r="K1438" s="564" t="s">
        <v>25</v>
      </c>
      <c r="L1438" s="564" t="s">
        <v>25</v>
      </c>
      <c r="M1438" s="558"/>
      <c r="N1438" s="558"/>
      <c r="O1438" s="590"/>
      <c r="P1438" s="564" t="s">
        <v>25</v>
      </c>
      <c r="Q1438" s="564" t="s">
        <v>25</v>
      </c>
      <c r="R1438" s="566" t="s">
        <v>1805</v>
      </c>
      <c r="S1438" s="589" t="s">
        <v>2804</v>
      </c>
      <c r="T1438" s="591">
        <v>5.04</v>
      </c>
      <c r="U1438" s="593"/>
      <c r="V1438" s="564">
        <v>642264</v>
      </c>
      <c r="W1438" s="564">
        <v>3237000</v>
      </c>
      <c r="X1438" s="562"/>
      <c r="Y1438" s="568"/>
      <c r="Z1438" s="568"/>
      <c r="AA1438" s="568"/>
      <c r="AB1438" s="568"/>
      <c r="AC1438" s="568"/>
      <c r="AD1438" s="568"/>
      <c r="AE1438" s="563"/>
      <c r="AF1438" s="570" t="s">
        <v>2899</v>
      </c>
      <c r="AG1438" s="570" t="s">
        <v>25</v>
      </c>
      <c r="AH1438" s="571" t="s">
        <v>25</v>
      </c>
      <c r="AI1438" s="704"/>
      <c r="AJ1438" s="558"/>
    </row>
    <row r="1439" spans="1:36" s="392" customFormat="1" ht="60.75" outlineLevel="2" x14ac:dyDescent="0.3">
      <c r="A1439" s="447">
        <v>113</v>
      </c>
      <c r="B1439" s="558"/>
      <c r="C1439" s="558"/>
      <c r="D1439" s="615"/>
      <c r="E1439" s="700"/>
      <c r="F1439" s="558"/>
      <c r="G1439" s="604"/>
      <c r="H1439" s="546"/>
      <c r="I1439" s="563" t="s">
        <v>25</v>
      </c>
      <c r="J1439" s="563" t="s">
        <v>25</v>
      </c>
      <c r="K1439" s="564" t="s">
        <v>25</v>
      </c>
      <c r="L1439" s="564" t="s">
        <v>25</v>
      </c>
      <c r="M1439" s="558"/>
      <c r="N1439" s="558"/>
      <c r="O1439" s="590"/>
      <c r="P1439" s="564" t="s">
        <v>25</v>
      </c>
      <c r="Q1439" s="564" t="s">
        <v>25</v>
      </c>
      <c r="R1439" s="566" t="s">
        <v>2407</v>
      </c>
      <c r="S1439" s="589" t="s">
        <v>2804</v>
      </c>
      <c r="T1439" s="591">
        <v>86.4</v>
      </c>
      <c r="U1439" s="593"/>
      <c r="V1439" s="564">
        <v>0</v>
      </c>
      <c r="W1439" s="564">
        <v>0</v>
      </c>
      <c r="X1439" s="562"/>
      <c r="Y1439" s="568"/>
      <c r="Z1439" s="568"/>
      <c r="AA1439" s="568"/>
      <c r="AB1439" s="568"/>
      <c r="AC1439" s="568"/>
      <c r="AD1439" s="568"/>
      <c r="AE1439" s="563"/>
      <c r="AF1439" s="570" t="s">
        <v>2899</v>
      </c>
      <c r="AG1439" s="570" t="s">
        <v>25</v>
      </c>
      <c r="AH1439" s="571" t="s">
        <v>25</v>
      </c>
      <c r="AI1439" s="704"/>
      <c r="AJ1439" s="558"/>
    </row>
    <row r="1440" spans="1:36" s="385" customFormat="1" ht="101.25" outlineLevel="2" x14ac:dyDescent="0.3">
      <c r="A1440" s="447">
        <v>113</v>
      </c>
      <c r="B1440" s="558"/>
      <c r="C1440" s="558"/>
      <c r="D1440" s="615"/>
      <c r="E1440" s="700"/>
      <c r="F1440" s="558"/>
      <c r="G1440" s="604"/>
      <c r="H1440" s="546"/>
      <c r="I1440" s="563" t="s">
        <v>25</v>
      </c>
      <c r="J1440" s="563" t="s">
        <v>25</v>
      </c>
      <c r="K1440" s="564" t="s">
        <v>25</v>
      </c>
      <c r="L1440" s="564" t="s">
        <v>25</v>
      </c>
      <c r="M1440" s="558"/>
      <c r="N1440" s="558"/>
      <c r="O1440" s="590"/>
      <c r="P1440" s="564" t="s">
        <v>25</v>
      </c>
      <c r="Q1440" s="564" t="s">
        <v>25</v>
      </c>
      <c r="R1440" s="566" t="s">
        <v>2408</v>
      </c>
      <c r="S1440" s="589" t="s">
        <v>2804</v>
      </c>
      <c r="T1440" s="591">
        <v>2.6</v>
      </c>
      <c r="U1440" s="593"/>
      <c r="V1440" s="564">
        <v>0</v>
      </c>
      <c r="W1440" s="564">
        <v>0</v>
      </c>
      <c r="X1440" s="562"/>
      <c r="Y1440" s="568"/>
      <c r="Z1440" s="568"/>
      <c r="AA1440" s="568"/>
      <c r="AB1440" s="568"/>
      <c r="AC1440" s="568"/>
      <c r="AD1440" s="568"/>
      <c r="AE1440" s="563"/>
      <c r="AF1440" s="570" t="s">
        <v>2899</v>
      </c>
      <c r="AG1440" s="570" t="s">
        <v>25</v>
      </c>
      <c r="AH1440" s="571" t="s">
        <v>25</v>
      </c>
      <c r="AI1440" s="558"/>
      <c r="AJ1440" s="558"/>
    </row>
    <row r="1441" spans="1:38" s="385" customFormat="1" ht="101.25" outlineLevel="2" x14ac:dyDescent="0.3">
      <c r="A1441" s="447">
        <v>113</v>
      </c>
      <c r="B1441" s="558"/>
      <c r="C1441" s="558"/>
      <c r="D1441" s="615"/>
      <c r="E1441" s="700"/>
      <c r="F1441" s="558"/>
      <c r="G1441" s="604"/>
      <c r="H1441" s="546"/>
      <c r="I1441" s="563" t="s">
        <v>25</v>
      </c>
      <c r="J1441" s="563" t="s">
        <v>25</v>
      </c>
      <c r="K1441" s="564" t="s">
        <v>25</v>
      </c>
      <c r="L1441" s="564" t="s">
        <v>25</v>
      </c>
      <c r="M1441" s="558"/>
      <c r="N1441" s="558"/>
      <c r="O1441" s="590"/>
      <c r="P1441" s="564" t="s">
        <v>25</v>
      </c>
      <c r="Q1441" s="564" t="s">
        <v>25</v>
      </c>
      <c r="R1441" s="566" t="s">
        <v>2408</v>
      </c>
      <c r="S1441" s="589" t="s">
        <v>2804</v>
      </c>
      <c r="T1441" s="591">
        <v>3.6</v>
      </c>
      <c r="U1441" s="593"/>
      <c r="V1441" s="564">
        <v>0</v>
      </c>
      <c r="W1441" s="564">
        <v>0</v>
      </c>
      <c r="X1441" s="562"/>
      <c r="Y1441" s="568"/>
      <c r="Z1441" s="568"/>
      <c r="AA1441" s="568"/>
      <c r="AB1441" s="568"/>
      <c r="AC1441" s="568"/>
      <c r="AD1441" s="568"/>
      <c r="AE1441" s="563"/>
      <c r="AF1441" s="570" t="s">
        <v>2899</v>
      </c>
      <c r="AG1441" s="570" t="s">
        <v>25</v>
      </c>
      <c r="AH1441" s="571" t="s">
        <v>25</v>
      </c>
      <c r="AI1441" s="558"/>
      <c r="AJ1441" s="558"/>
    </row>
    <row r="1442" spans="1:38" s="385" customFormat="1" ht="101.25" outlineLevel="2" x14ac:dyDescent="0.3">
      <c r="A1442" s="447">
        <v>113</v>
      </c>
      <c r="B1442" s="558"/>
      <c r="C1442" s="558"/>
      <c r="D1442" s="615"/>
      <c r="E1442" s="700"/>
      <c r="F1442" s="558"/>
      <c r="G1442" s="604"/>
      <c r="H1442" s="546"/>
      <c r="I1442" s="563" t="s">
        <v>25</v>
      </c>
      <c r="J1442" s="563" t="s">
        <v>25</v>
      </c>
      <c r="K1442" s="564" t="s">
        <v>25</v>
      </c>
      <c r="L1442" s="564" t="s">
        <v>25</v>
      </c>
      <c r="M1442" s="558"/>
      <c r="N1442" s="558"/>
      <c r="O1442" s="590"/>
      <c r="P1442" s="564" t="s">
        <v>25</v>
      </c>
      <c r="Q1442" s="564" t="s">
        <v>25</v>
      </c>
      <c r="R1442" s="566" t="s">
        <v>2408</v>
      </c>
      <c r="S1442" s="589" t="s">
        <v>2804</v>
      </c>
      <c r="T1442" s="591">
        <v>4.5999999999999996</v>
      </c>
      <c r="U1442" s="593"/>
      <c r="V1442" s="564">
        <v>0</v>
      </c>
      <c r="W1442" s="564">
        <v>0</v>
      </c>
      <c r="X1442" s="562"/>
      <c r="Y1442" s="568"/>
      <c r="Z1442" s="568"/>
      <c r="AA1442" s="568"/>
      <c r="AB1442" s="568"/>
      <c r="AC1442" s="568"/>
      <c r="AD1442" s="568"/>
      <c r="AE1442" s="563"/>
      <c r="AF1442" s="570" t="s">
        <v>2899</v>
      </c>
      <c r="AG1442" s="570" t="s">
        <v>25</v>
      </c>
      <c r="AH1442" s="571" t="s">
        <v>25</v>
      </c>
      <c r="AI1442" s="558"/>
      <c r="AJ1442" s="558"/>
    </row>
    <row r="1443" spans="1:38" s="385" customFormat="1" ht="101.25" outlineLevel="2" x14ac:dyDescent="0.3">
      <c r="A1443" s="447">
        <v>113</v>
      </c>
      <c r="B1443" s="558"/>
      <c r="C1443" s="558"/>
      <c r="D1443" s="615"/>
      <c r="E1443" s="700"/>
      <c r="F1443" s="558"/>
      <c r="G1443" s="604"/>
      <c r="H1443" s="546"/>
      <c r="I1443" s="563" t="s">
        <v>25</v>
      </c>
      <c r="J1443" s="563" t="s">
        <v>25</v>
      </c>
      <c r="K1443" s="564" t="s">
        <v>25</v>
      </c>
      <c r="L1443" s="564" t="s">
        <v>25</v>
      </c>
      <c r="M1443" s="558"/>
      <c r="N1443" s="558"/>
      <c r="O1443" s="590"/>
      <c r="P1443" s="564" t="s">
        <v>25</v>
      </c>
      <c r="Q1443" s="564" t="s">
        <v>25</v>
      </c>
      <c r="R1443" s="566" t="s">
        <v>2408</v>
      </c>
      <c r="S1443" s="589" t="s">
        <v>2804</v>
      </c>
      <c r="T1443" s="591">
        <v>5.6</v>
      </c>
      <c r="U1443" s="593"/>
      <c r="V1443" s="564">
        <v>0</v>
      </c>
      <c r="W1443" s="564">
        <v>0</v>
      </c>
      <c r="X1443" s="562"/>
      <c r="Y1443" s="568"/>
      <c r="Z1443" s="568"/>
      <c r="AA1443" s="568"/>
      <c r="AB1443" s="568"/>
      <c r="AC1443" s="568"/>
      <c r="AD1443" s="568"/>
      <c r="AE1443" s="563"/>
      <c r="AF1443" s="570" t="s">
        <v>2899</v>
      </c>
      <c r="AG1443" s="570" t="s">
        <v>25</v>
      </c>
      <c r="AH1443" s="571" t="s">
        <v>25</v>
      </c>
      <c r="AI1443" s="558"/>
      <c r="AJ1443" s="558"/>
    </row>
    <row r="1444" spans="1:38" s="385" customFormat="1" ht="101.25" outlineLevel="2" x14ac:dyDescent="0.3">
      <c r="A1444" s="447">
        <v>113</v>
      </c>
      <c r="B1444" s="558"/>
      <c r="C1444" s="558"/>
      <c r="D1444" s="615"/>
      <c r="E1444" s="700"/>
      <c r="F1444" s="558"/>
      <c r="G1444" s="604"/>
      <c r="H1444" s="546"/>
      <c r="I1444" s="563" t="s">
        <v>25</v>
      </c>
      <c r="J1444" s="563" t="s">
        <v>25</v>
      </c>
      <c r="K1444" s="564" t="s">
        <v>25</v>
      </c>
      <c r="L1444" s="564" t="s">
        <v>25</v>
      </c>
      <c r="M1444" s="558"/>
      <c r="N1444" s="558"/>
      <c r="O1444" s="590"/>
      <c r="P1444" s="564" t="s">
        <v>25</v>
      </c>
      <c r="Q1444" s="564" t="s">
        <v>25</v>
      </c>
      <c r="R1444" s="566" t="s">
        <v>2408</v>
      </c>
      <c r="S1444" s="589" t="s">
        <v>2804</v>
      </c>
      <c r="T1444" s="591">
        <v>6.6</v>
      </c>
      <c r="U1444" s="593"/>
      <c r="V1444" s="564">
        <v>0</v>
      </c>
      <c r="W1444" s="564">
        <v>0</v>
      </c>
      <c r="X1444" s="562"/>
      <c r="Y1444" s="568"/>
      <c r="Z1444" s="568"/>
      <c r="AA1444" s="568"/>
      <c r="AB1444" s="568"/>
      <c r="AC1444" s="568"/>
      <c r="AD1444" s="568"/>
      <c r="AE1444" s="563"/>
      <c r="AF1444" s="570" t="s">
        <v>2899</v>
      </c>
      <c r="AG1444" s="570" t="s">
        <v>25</v>
      </c>
      <c r="AH1444" s="571" t="s">
        <v>25</v>
      </c>
      <c r="AI1444" s="558"/>
      <c r="AJ1444" s="558"/>
    </row>
    <row r="1445" spans="1:38" s="385" customFormat="1" ht="60.75" outlineLevel="2" x14ac:dyDescent="0.3">
      <c r="A1445" s="447">
        <v>113</v>
      </c>
      <c r="B1445" s="558"/>
      <c r="C1445" s="558"/>
      <c r="D1445" s="615"/>
      <c r="E1445" s="700"/>
      <c r="F1445" s="558"/>
      <c r="G1445" s="604"/>
      <c r="H1445" s="546"/>
      <c r="I1445" s="563" t="s">
        <v>25</v>
      </c>
      <c r="J1445" s="563" t="s">
        <v>25</v>
      </c>
      <c r="K1445" s="564" t="s">
        <v>25</v>
      </c>
      <c r="L1445" s="564" t="s">
        <v>25</v>
      </c>
      <c r="M1445" s="558"/>
      <c r="N1445" s="558"/>
      <c r="O1445" s="590"/>
      <c r="P1445" s="564" t="s">
        <v>25</v>
      </c>
      <c r="Q1445" s="564" t="s">
        <v>25</v>
      </c>
      <c r="R1445" s="566" t="s">
        <v>1805</v>
      </c>
      <c r="S1445" s="589" t="s">
        <v>2804</v>
      </c>
      <c r="T1445" s="591">
        <v>3.6</v>
      </c>
      <c r="U1445" s="593"/>
      <c r="V1445" s="564">
        <v>642264</v>
      </c>
      <c r="W1445" s="564">
        <v>2312000</v>
      </c>
      <c r="X1445" s="562"/>
      <c r="Y1445" s="568"/>
      <c r="Z1445" s="568"/>
      <c r="AA1445" s="568"/>
      <c r="AB1445" s="568"/>
      <c r="AC1445" s="568"/>
      <c r="AD1445" s="568"/>
      <c r="AE1445" s="563"/>
      <c r="AF1445" s="570" t="s">
        <v>2899</v>
      </c>
      <c r="AG1445" s="570" t="s">
        <v>25</v>
      </c>
      <c r="AH1445" s="571" t="s">
        <v>25</v>
      </c>
      <c r="AI1445" s="558"/>
      <c r="AJ1445" s="558"/>
    </row>
    <row r="1446" spans="1:38" s="385" customFormat="1" ht="40.5" outlineLevel="2" x14ac:dyDescent="0.3">
      <c r="A1446" s="447">
        <v>113</v>
      </c>
      <c r="B1446" s="558"/>
      <c r="C1446" s="558"/>
      <c r="D1446" s="615"/>
      <c r="E1446" s="700"/>
      <c r="F1446" s="558"/>
      <c r="G1446" s="604"/>
      <c r="H1446" s="546"/>
      <c r="I1446" s="563" t="s">
        <v>25</v>
      </c>
      <c r="J1446" s="563" t="s">
        <v>25</v>
      </c>
      <c r="K1446" s="564" t="s">
        <v>25</v>
      </c>
      <c r="L1446" s="564" t="s">
        <v>25</v>
      </c>
      <c r="M1446" s="558"/>
      <c r="N1446" s="558"/>
      <c r="O1446" s="590"/>
      <c r="P1446" s="564" t="s">
        <v>25</v>
      </c>
      <c r="Q1446" s="564" t="s">
        <v>25</v>
      </c>
      <c r="R1446" s="566" t="s">
        <v>1804</v>
      </c>
      <c r="S1446" s="589" t="s">
        <v>2823</v>
      </c>
      <c r="T1446" s="591">
        <v>0.13</v>
      </c>
      <c r="U1446" s="593"/>
      <c r="V1446" s="564">
        <v>0</v>
      </c>
      <c r="W1446" s="564">
        <v>0</v>
      </c>
      <c r="X1446" s="562"/>
      <c r="Y1446" s="568"/>
      <c r="Z1446" s="568"/>
      <c r="AA1446" s="568"/>
      <c r="AB1446" s="568"/>
      <c r="AC1446" s="568"/>
      <c r="AD1446" s="568"/>
      <c r="AE1446" s="563"/>
      <c r="AF1446" s="570" t="s">
        <v>2899</v>
      </c>
      <c r="AG1446" s="570" t="s">
        <v>25</v>
      </c>
      <c r="AH1446" s="571" t="s">
        <v>25</v>
      </c>
      <c r="AI1446" s="558"/>
      <c r="AJ1446" s="558"/>
    </row>
    <row r="1447" spans="1:38" s="385" customFormat="1" ht="20.25" outlineLevel="2" x14ac:dyDescent="0.3">
      <c r="A1447" s="447">
        <v>113</v>
      </c>
      <c r="B1447" s="558"/>
      <c r="C1447" s="558"/>
      <c r="D1447" s="615"/>
      <c r="E1447" s="700"/>
      <c r="F1447" s="558"/>
      <c r="G1447" s="604"/>
      <c r="H1447" s="546"/>
      <c r="I1447" s="563" t="s">
        <v>25</v>
      </c>
      <c r="J1447" s="563" t="s">
        <v>25</v>
      </c>
      <c r="K1447" s="564" t="s">
        <v>25</v>
      </c>
      <c r="L1447" s="564" t="s">
        <v>25</v>
      </c>
      <c r="M1447" s="558"/>
      <c r="N1447" s="558"/>
      <c r="O1447" s="590"/>
      <c r="P1447" s="564" t="s">
        <v>25</v>
      </c>
      <c r="Q1447" s="564" t="s">
        <v>25</v>
      </c>
      <c r="R1447" s="566"/>
      <c r="S1447" s="589"/>
      <c r="T1447" s="591"/>
      <c r="U1447" s="593"/>
      <c r="V1447" s="564" t="s">
        <v>2899</v>
      </c>
      <c r="W1447" s="564" t="s">
        <v>25</v>
      </c>
      <c r="X1447" s="562"/>
      <c r="Y1447" s="568"/>
      <c r="Z1447" s="568"/>
      <c r="AA1447" s="568"/>
      <c r="AB1447" s="568"/>
      <c r="AC1447" s="568"/>
      <c r="AD1447" s="568"/>
      <c r="AE1447" s="563"/>
      <c r="AF1447" s="570" t="s">
        <v>2899</v>
      </c>
      <c r="AG1447" s="570" t="s">
        <v>25</v>
      </c>
      <c r="AH1447" s="571" t="s">
        <v>25</v>
      </c>
      <c r="AI1447" s="558"/>
      <c r="AJ1447" s="558"/>
    </row>
    <row r="1448" spans="1:38" s="385" customFormat="1" ht="20.25" outlineLevel="2" x14ac:dyDescent="0.3">
      <c r="A1448" s="447">
        <v>113</v>
      </c>
      <c r="B1448" s="558"/>
      <c r="C1448" s="558"/>
      <c r="D1448" s="615"/>
      <c r="E1448" s="700"/>
      <c r="F1448" s="558"/>
      <c r="G1448" s="604"/>
      <c r="H1448" s="546"/>
      <c r="I1448" s="563" t="s">
        <v>25</v>
      </c>
      <c r="J1448" s="563" t="s">
        <v>25</v>
      </c>
      <c r="K1448" s="564" t="s">
        <v>25</v>
      </c>
      <c r="L1448" s="564" t="s">
        <v>25</v>
      </c>
      <c r="M1448" s="558"/>
      <c r="N1448" s="558"/>
      <c r="O1448" s="590"/>
      <c r="P1448" s="564" t="s">
        <v>25</v>
      </c>
      <c r="Q1448" s="564" t="s">
        <v>25</v>
      </c>
      <c r="R1448" s="566"/>
      <c r="S1448" s="589"/>
      <c r="T1448" s="591"/>
      <c r="U1448" s="593"/>
      <c r="V1448" s="564" t="s">
        <v>2899</v>
      </c>
      <c r="W1448" s="564" t="s">
        <v>25</v>
      </c>
      <c r="X1448" s="562"/>
      <c r="Y1448" s="568"/>
      <c r="Z1448" s="568"/>
      <c r="AA1448" s="568"/>
      <c r="AB1448" s="568"/>
      <c r="AC1448" s="568"/>
      <c r="AD1448" s="568"/>
      <c r="AE1448" s="563"/>
      <c r="AF1448" s="570" t="s">
        <v>2899</v>
      </c>
      <c r="AG1448" s="570" t="s">
        <v>25</v>
      </c>
      <c r="AH1448" s="571" t="s">
        <v>25</v>
      </c>
      <c r="AI1448" s="558"/>
      <c r="AJ1448" s="558"/>
    </row>
    <row r="1449" spans="1:38" s="385" customFormat="1" ht="20.25" outlineLevel="2" x14ac:dyDescent="0.3">
      <c r="A1449" s="447">
        <v>113</v>
      </c>
      <c r="B1449" s="558"/>
      <c r="C1449" s="558"/>
      <c r="D1449" s="615"/>
      <c r="E1449" s="700"/>
      <c r="F1449" s="558"/>
      <c r="G1449" s="604"/>
      <c r="H1449" s="546"/>
      <c r="I1449" s="563" t="s">
        <v>25</v>
      </c>
      <c r="J1449" s="563" t="s">
        <v>25</v>
      </c>
      <c r="K1449" s="564" t="s">
        <v>25</v>
      </c>
      <c r="L1449" s="564" t="s">
        <v>25</v>
      </c>
      <c r="M1449" s="558"/>
      <c r="N1449" s="558"/>
      <c r="O1449" s="590"/>
      <c r="P1449" s="564" t="s">
        <v>25</v>
      </c>
      <c r="Q1449" s="564" t="s">
        <v>25</v>
      </c>
      <c r="R1449" s="566"/>
      <c r="S1449" s="589"/>
      <c r="T1449" s="591"/>
      <c r="U1449" s="593"/>
      <c r="V1449" s="564" t="s">
        <v>2899</v>
      </c>
      <c r="W1449" s="564" t="s">
        <v>25</v>
      </c>
      <c r="X1449" s="562"/>
      <c r="Y1449" s="568"/>
      <c r="Z1449" s="568"/>
      <c r="AA1449" s="568"/>
      <c r="AB1449" s="568"/>
      <c r="AC1449" s="568"/>
      <c r="AD1449" s="568"/>
      <c r="AE1449" s="563"/>
      <c r="AF1449" s="570" t="s">
        <v>2899</v>
      </c>
      <c r="AG1449" s="570" t="s">
        <v>25</v>
      </c>
      <c r="AH1449" s="571" t="s">
        <v>25</v>
      </c>
      <c r="AI1449" s="558"/>
      <c r="AJ1449" s="558"/>
    </row>
    <row r="1450" spans="1:38" s="385" customFormat="1" ht="20.25" outlineLevel="2" x14ac:dyDescent="0.3">
      <c r="A1450" s="447">
        <v>113</v>
      </c>
      <c r="B1450" s="558"/>
      <c r="C1450" s="558"/>
      <c r="D1450" s="615"/>
      <c r="E1450" s="700"/>
      <c r="F1450" s="558"/>
      <c r="G1450" s="604"/>
      <c r="H1450" s="546"/>
      <c r="I1450" s="563" t="s">
        <v>25</v>
      </c>
      <c r="J1450" s="563" t="s">
        <v>25</v>
      </c>
      <c r="K1450" s="564" t="s">
        <v>25</v>
      </c>
      <c r="L1450" s="564" t="s">
        <v>25</v>
      </c>
      <c r="M1450" s="558"/>
      <c r="N1450" s="558"/>
      <c r="O1450" s="590"/>
      <c r="P1450" s="564" t="s">
        <v>25</v>
      </c>
      <c r="Q1450" s="564" t="s">
        <v>25</v>
      </c>
      <c r="R1450" s="566"/>
      <c r="S1450" s="589"/>
      <c r="T1450" s="591"/>
      <c r="U1450" s="593"/>
      <c r="V1450" s="564" t="s">
        <v>2899</v>
      </c>
      <c r="W1450" s="564" t="s">
        <v>25</v>
      </c>
      <c r="X1450" s="562"/>
      <c r="Y1450" s="568"/>
      <c r="Z1450" s="568"/>
      <c r="AA1450" s="568"/>
      <c r="AB1450" s="568"/>
      <c r="AC1450" s="568"/>
      <c r="AD1450" s="568"/>
      <c r="AE1450" s="563"/>
      <c r="AF1450" s="570" t="s">
        <v>2899</v>
      </c>
      <c r="AG1450" s="570" t="s">
        <v>25</v>
      </c>
      <c r="AH1450" s="571" t="s">
        <v>25</v>
      </c>
      <c r="AI1450" s="558"/>
      <c r="AJ1450" s="558"/>
    </row>
    <row r="1451" spans="1:38" s="385" customFormat="1" ht="20.25" outlineLevel="2" x14ac:dyDescent="0.3">
      <c r="A1451" s="447">
        <v>113</v>
      </c>
      <c r="B1451" s="574"/>
      <c r="C1451" s="574"/>
      <c r="D1451" s="705"/>
      <c r="E1451" s="706"/>
      <c r="F1451" s="558"/>
      <c r="G1451" s="604"/>
      <c r="H1451" s="546"/>
      <c r="I1451" s="563" t="s">
        <v>25</v>
      </c>
      <c r="J1451" s="563" t="s">
        <v>25</v>
      </c>
      <c r="K1451" s="564" t="s">
        <v>25</v>
      </c>
      <c r="L1451" s="564" t="s">
        <v>25</v>
      </c>
      <c r="M1451" s="558"/>
      <c r="N1451" s="558"/>
      <c r="O1451" s="590"/>
      <c r="P1451" s="564" t="s">
        <v>25</v>
      </c>
      <c r="Q1451" s="564" t="s">
        <v>25</v>
      </c>
      <c r="R1451" s="558"/>
      <c r="S1451" s="558"/>
      <c r="T1451" s="686"/>
      <c r="U1451" s="558"/>
      <c r="V1451" s="564" t="s">
        <v>2899</v>
      </c>
      <c r="W1451" s="564" t="s">
        <v>25</v>
      </c>
      <c r="X1451" s="558"/>
      <c r="Y1451" s="558"/>
      <c r="Z1451" s="558"/>
      <c r="AA1451" s="558"/>
      <c r="AB1451" s="558"/>
      <c r="AC1451" s="568"/>
      <c r="AD1451" s="568"/>
      <c r="AE1451" s="563"/>
      <c r="AF1451" s="570" t="s">
        <v>2899</v>
      </c>
      <c r="AG1451" s="570" t="s">
        <v>25</v>
      </c>
      <c r="AH1451" s="571" t="s">
        <v>25</v>
      </c>
      <c r="AI1451" s="558"/>
      <c r="AJ1451" s="558"/>
    </row>
    <row r="1452" spans="1:38" s="385" customFormat="1" ht="40.5" outlineLevel="1" x14ac:dyDescent="0.25">
      <c r="A1452" s="467">
        <v>114</v>
      </c>
      <c r="B1452" s="574" t="s">
        <v>1043</v>
      </c>
      <c r="C1452" s="586" t="s">
        <v>2903</v>
      </c>
      <c r="D1452" s="615"/>
      <c r="E1452" s="700"/>
      <c r="F1452" s="574"/>
      <c r="G1452" s="596">
        <v>0</v>
      </c>
      <c r="H1452" s="579">
        <v>0</v>
      </c>
      <c r="I1452" s="581"/>
      <c r="J1452" s="581"/>
      <c r="K1452" s="571">
        <v>0</v>
      </c>
      <c r="L1452" s="571">
        <v>0</v>
      </c>
      <c r="M1452" s="574"/>
      <c r="N1452" s="574"/>
      <c r="O1452" s="599">
        <v>0</v>
      </c>
      <c r="P1452" s="571"/>
      <c r="Q1452" s="571">
        <v>0</v>
      </c>
      <c r="R1452" s="582"/>
      <c r="S1452" s="597"/>
      <c r="T1452" s="600">
        <v>25.06</v>
      </c>
      <c r="U1452" s="608"/>
      <c r="V1452" s="571"/>
      <c r="W1452" s="571">
        <v>2002000</v>
      </c>
      <c r="X1452" s="562"/>
      <c r="Y1452" s="568"/>
      <c r="Z1452" s="568"/>
      <c r="AA1452" s="568"/>
      <c r="AB1452" s="568"/>
      <c r="AC1452" s="568"/>
      <c r="AD1452" s="584"/>
      <c r="AE1452" s="581">
        <f>SUBTOTAL(9,AE1453:AE1458)</f>
        <v>0</v>
      </c>
      <c r="AF1452" s="585"/>
      <c r="AG1452" s="585">
        <v>0</v>
      </c>
      <c r="AH1452" s="571">
        <v>2002000</v>
      </c>
      <c r="AI1452" s="574"/>
      <c r="AJ1452" s="574"/>
      <c r="AL1452" s="473"/>
    </row>
    <row r="1453" spans="1:38" s="385" customFormat="1" ht="121.5" outlineLevel="2" x14ac:dyDescent="0.3">
      <c r="A1453" s="447">
        <v>114</v>
      </c>
      <c r="B1453" s="558" t="s">
        <v>1045</v>
      </c>
      <c r="C1453" s="558"/>
      <c r="D1453" s="615"/>
      <c r="E1453" s="700"/>
      <c r="F1453" s="558"/>
      <c r="G1453" s="604"/>
      <c r="H1453" s="546"/>
      <c r="I1453" s="563" t="s">
        <v>25</v>
      </c>
      <c r="J1453" s="563" t="s">
        <v>25</v>
      </c>
      <c r="K1453" s="564" t="s">
        <v>25</v>
      </c>
      <c r="L1453" s="564" t="s">
        <v>25</v>
      </c>
      <c r="M1453" s="558"/>
      <c r="N1453" s="558"/>
      <c r="O1453" s="590"/>
      <c r="P1453" s="564" t="s">
        <v>25</v>
      </c>
      <c r="Q1453" s="564" t="s">
        <v>25</v>
      </c>
      <c r="R1453" s="566" t="s">
        <v>1748</v>
      </c>
      <c r="S1453" s="589" t="s">
        <v>2804</v>
      </c>
      <c r="T1453" s="591">
        <v>9.4499999999999993</v>
      </c>
      <c r="U1453" s="593"/>
      <c r="V1453" s="564">
        <v>0</v>
      </c>
      <c r="W1453" s="564">
        <v>0</v>
      </c>
      <c r="X1453" s="562"/>
      <c r="Y1453" s="568"/>
      <c r="Z1453" s="568"/>
      <c r="AA1453" s="568"/>
      <c r="AB1453" s="568"/>
      <c r="AC1453" s="568"/>
      <c r="AD1453" s="568"/>
      <c r="AE1453" s="563"/>
      <c r="AF1453" s="570" t="s">
        <v>2899</v>
      </c>
      <c r="AG1453" s="570" t="s">
        <v>25</v>
      </c>
      <c r="AH1453" s="571" t="s">
        <v>25</v>
      </c>
      <c r="AI1453" s="558" t="s">
        <v>1044</v>
      </c>
      <c r="AJ1453" s="558" t="s">
        <v>2450</v>
      </c>
      <c r="AL1453" s="378" t="s">
        <v>2157</v>
      </c>
    </row>
    <row r="1454" spans="1:38" s="385" customFormat="1" ht="101.25" outlineLevel="2" x14ac:dyDescent="0.3">
      <c r="A1454" s="447">
        <v>114</v>
      </c>
      <c r="B1454" s="558" t="s">
        <v>1661</v>
      </c>
      <c r="C1454" s="558"/>
      <c r="D1454" s="615"/>
      <c r="E1454" s="700"/>
      <c r="F1454" s="558"/>
      <c r="G1454" s="604"/>
      <c r="H1454" s="546"/>
      <c r="I1454" s="563" t="s">
        <v>25</v>
      </c>
      <c r="J1454" s="563" t="s">
        <v>25</v>
      </c>
      <c r="K1454" s="564" t="s">
        <v>25</v>
      </c>
      <c r="L1454" s="564" t="s">
        <v>25</v>
      </c>
      <c r="M1454" s="558"/>
      <c r="N1454" s="558"/>
      <c r="O1454" s="590"/>
      <c r="P1454" s="564" t="s">
        <v>25</v>
      </c>
      <c r="Q1454" s="564" t="s">
        <v>25</v>
      </c>
      <c r="R1454" s="566" t="s">
        <v>1749</v>
      </c>
      <c r="S1454" s="589" t="s">
        <v>2804</v>
      </c>
      <c r="T1454" s="591">
        <v>9.4499999999999993</v>
      </c>
      <c r="U1454" s="593"/>
      <c r="V1454" s="564">
        <v>211811</v>
      </c>
      <c r="W1454" s="564">
        <v>2002000</v>
      </c>
      <c r="X1454" s="562"/>
      <c r="Y1454" s="568"/>
      <c r="Z1454" s="568"/>
      <c r="AA1454" s="568"/>
      <c r="AB1454" s="568"/>
      <c r="AC1454" s="568"/>
      <c r="AD1454" s="568"/>
      <c r="AE1454" s="563"/>
      <c r="AF1454" s="570" t="s">
        <v>2899</v>
      </c>
      <c r="AG1454" s="570" t="s">
        <v>25</v>
      </c>
      <c r="AH1454" s="571" t="s">
        <v>25</v>
      </c>
      <c r="AI1454" s="704"/>
      <c r="AJ1454" s="558" t="s">
        <v>2800</v>
      </c>
    </row>
    <row r="1455" spans="1:38" s="385" customFormat="1" ht="40.5" outlineLevel="2" x14ac:dyDescent="0.3">
      <c r="A1455" s="447">
        <v>114</v>
      </c>
      <c r="B1455" s="558"/>
      <c r="C1455" s="558"/>
      <c r="D1455" s="615"/>
      <c r="E1455" s="700"/>
      <c r="F1455" s="558"/>
      <c r="G1455" s="604"/>
      <c r="H1455" s="546"/>
      <c r="I1455" s="563" t="s">
        <v>25</v>
      </c>
      <c r="J1455" s="563" t="s">
        <v>25</v>
      </c>
      <c r="K1455" s="564" t="s">
        <v>25</v>
      </c>
      <c r="L1455" s="564" t="s">
        <v>25</v>
      </c>
      <c r="M1455" s="558"/>
      <c r="N1455" s="558"/>
      <c r="O1455" s="590"/>
      <c r="P1455" s="564" t="s">
        <v>25</v>
      </c>
      <c r="Q1455" s="564" t="s">
        <v>25</v>
      </c>
      <c r="R1455" s="566" t="s">
        <v>1812</v>
      </c>
      <c r="S1455" s="589" t="s">
        <v>2804</v>
      </c>
      <c r="T1455" s="617">
        <v>6.16</v>
      </c>
      <c r="U1455" s="593"/>
      <c r="V1455" s="564">
        <v>0</v>
      </c>
      <c r="W1455" s="564">
        <v>0</v>
      </c>
      <c r="X1455" s="562"/>
      <c r="Y1455" s="568"/>
      <c r="Z1455" s="568"/>
      <c r="AA1455" s="568"/>
      <c r="AB1455" s="568"/>
      <c r="AC1455" s="568"/>
      <c r="AD1455" s="568"/>
      <c r="AE1455" s="563"/>
      <c r="AF1455" s="570" t="s">
        <v>2899</v>
      </c>
      <c r="AG1455" s="570" t="s">
        <v>25</v>
      </c>
      <c r="AH1455" s="571" t="s">
        <v>25</v>
      </c>
      <c r="AI1455" s="558"/>
      <c r="AJ1455" s="558"/>
    </row>
    <row r="1456" spans="1:38" s="385" customFormat="1" ht="20.25" outlineLevel="2" x14ac:dyDescent="0.3">
      <c r="A1456" s="447">
        <v>114</v>
      </c>
      <c r="B1456" s="558"/>
      <c r="C1456" s="558"/>
      <c r="D1456" s="615"/>
      <c r="E1456" s="700"/>
      <c r="F1456" s="558"/>
      <c r="G1456" s="604"/>
      <c r="H1456" s="546"/>
      <c r="I1456" s="563" t="s">
        <v>25</v>
      </c>
      <c r="J1456" s="563" t="s">
        <v>25</v>
      </c>
      <c r="K1456" s="564" t="s">
        <v>25</v>
      </c>
      <c r="L1456" s="564" t="s">
        <v>25</v>
      </c>
      <c r="M1456" s="558"/>
      <c r="N1456" s="558"/>
      <c r="O1456" s="590"/>
      <c r="P1456" s="564" t="s">
        <v>25</v>
      </c>
      <c r="Q1456" s="564" t="s">
        <v>25</v>
      </c>
      <c r="R1456" s="566"/>
      <c r="S1456" s="589"/>
      <c r="T1456" s="617"/>
      <c r="U1456" s="593"/>
      <c r="V1456" s="564" t="s">
        <v>2899</v>
      </c>
      <c r="W1456" s="564" t="s">
        <v>25</v>
      </c>
      <c r="X1456" s="562"/>
      <c r="Y1456" s="568"/>
      <c r="Z1456" s="568"/>
      <c r="AA1456" s="568"/>
      <c r="AB1456" s="568"/>
      <c r="AC1456" s="568"/>
      <c r="AD1456" s="568"/>
      <c r="AE1456" s="563"/>
      <c r="AF1456" s="570" t="s">
        <v>2899</v>
      </c>
      <c r="AG1456" s="570" t="s">
        <v>25</v>
      </c>
      <c r="AH1456" s="571" t="s">
        <v>25</v>
      </c>
      <c r="AI1456" s="558"/>
      <c r="AJ1456" s="558"/>
    </row>
    <row r="1457" spans="1:38" s="385" customFormat="1" ht="20.25" outlineLevel="2" x14ac:dyDescent="0.3">
      <c r="A1457" s="447">
        <v>114</v>
      </c>
      <c r="B1457" s="558"/>
      <c r="C1457" s="558"/>
      <c r="D1457" s="615"/>
      <c r="E1457" s="700"/>
      <c r="F1457" s="558"/>
      <c r="G1457" s="604"/>
      <c r="H1457" s="546"/>
      <c r="I1457" s="563" t="s">
        <v>25</v>
      </c>
      <c r="J1457" s="563" t="s">
        <v>25</v>
      </c>
      <c r="K1457" s="564" t="s">
        <v>25</v>
      </c>
      <c r="L1457" s="564" t="s">
        <v>25</v>
      </c>
      <c r="M1457" s="558"/>
      <c r="N1457" s="558"/>
      <c r="O1457" s="590"/>
      <c r="P1457" s="564" t="s">
        <v>25</v>
      </c>
      <c r="Q1457" s="564" t="s">
        <v>25</v>
      </c>
      <c r="R1457" s="566"/>
      <c r="S1457" s="589"/>
      <c r="T1457" s="617"/>
      <c r="U1457" s="593"/>
      <c r="V1457" s="564" t="s">
        <v>2899</v>
      </c>
      <c r="W1457" s="564" t="s">
        <v>25</v>
      </c>
      <c r="X1457" s="562"/>
      <c r="Y1457" s="568"/>
      <c r="Z1457" s="568"/>
      <c r="AA1457" s="568"/>
      <c r="AB1457" s="568"/>
      <c r="AC1457" s="568"/>
      <c r="AD1457" s="568"/>
      <c r="AE1457" s="563"/>
      <c r="AF1457" s="570" t="s">
        <v>2899</v>
      </c>
      <c r="AG1457" s="570" t="s">
        <v>25</v>
      </c>
      <c r="AH1457" s="571" t="s">
        <v>25</v>
      </c>
      <c r="AI1457" s="558"/>
      <c r="AJ1457" s="558"/>
    </row>
    <row r="1458" spans="1:38" s="385" customFormat="1" ht="20.25" outlineLevel="2" x14ac:dyDescent="0.3">
      <c r="A1458" s="447">
        <v>114</v>
      </c>
      <c r="B1458" s="574"/>
      <c r="C1458" s="574"/>
      <c r="D1458" s="705"/>
      <c r="E1458" s="706"/>
      <c r="F1458" s="558"/>
      <c r="G1458" s="604"/>
      <c r="H1458" s="546"/>
      <c r="I1458" s="563" t="s">
        <v>25</v>
      </c>
      <c r="J1458" s="563" t="s">
        <v>25</v>
      </c>
      <c r="K1458" s="564" t="s">
        <v>25</v>
      </c>
      <c r="L1458" s="564" t="s">
        <v>25</v>
      </c>
      <c r="M1458" s="558"/>
      <c r="N1458" s="558"/>
      <c r="O1458" s="590"/>
      <c r="P1458" s="564" t="s">
        <v>25</v>
      </c>
      <c r="Q1458" s="564" t="s">
        <v>25</v>
      </c>
      <c r="R1458" s="566"/>
      <c r="S1458" s="589"/>
      <c r="T1458" s="591"/>
      <c r="U1458" s="593"/>
      <c r="V1458" s="564" t="s">
        <v>2899</v>
      </c>
      <c r="W1458" s="564" t="s">
        <v>25</v>
      </c>
      <c r="X1458" s="562"/>
      <c r="Y1458" s="568"/>
      <c r="Z1458" s="568"/>
      <c r="AA1458" s="568"/>
      <c r="AB1458" s="568"/>
      <c r="AC1458" s="568"/>
      <c r="AD1458" s="568"/>
      <c r="AE1458" s="563"/>
      <c r="AF1458" s="570" t="s">
        <v>2899</v>
      </c>
      <c r="AG1458" s="570" t="s">
        <v>25</v>
      </c>
      <c r="AH1458" s="571" t="s">
        <v>25</v>
      </c>
      <c r="AI1458" s="683"/>
      <c r="AJ1458" s="683"/>
    </row>
    <row r="1459" spans="1:38" s="385" customFormat="1" ht="40.5" outlineLevel="1" x14ac:dyDescent="0.25">
      <c r="A1459" s="467">
        <v>115</v>
      </c>
      <c r="B1459" s="574" t="s">
        <v>1046</v>
      </c>
      <c r="C1459" s="586" t="s">
        <v>2903</v>
      </c>
      <c r="D1459" s="615"/>
      <c r="E1459" s="700"/>
      <c r="F1459" s="574"/>
      <c r="G1459" s="596">
        <v>0</v>
      </c>
      <c r="H1459" s="579">
        <v>0</v>
      </c>
      <c r="I1459" s="581"/>
      <c r="J1459" s="581"/>
      <c r="K1459" s="571">
        <v>0</v>
      </c>
      <c r="L1459" s="571">
        <v>0</v>
      </c>
      <c r="M1459" s="574"/>
      <c r="N1459" s="574"/>
      <c r="O1459" s="599">
        <v>0</v>
      </c>
      <c r="P1459" s="571"/>
      <c r="Q1459" s="571">
        <v>0</v>
      </c>
      <c r="R1459" s="582"/>
      <c r="S1459" s="597"/>
      <c r="T1459" s="600">
        <v>118.86</v>
      </c>
      <c r="U1459" s="608"/>
      <c r="V1459" s="571"/>
      <c r="W1459" s="571">
        <v>156730000</v>
      </c>
      <c r="X1459" s="562"/>
      <c r="Y1459" s="568"/>
      <c r="Z1459" s="568"/>
      <c r="AA1459" s="568"/>
      <c r="AB1459" s="568"/>
      <c r="AC1459" s="568"/>
      <c r="AD1459" s="584"/>
      <c r="AE1459" s="581">
        <f>SUBTOTAL(9,AE1460:AE1468)</f>
        <v>0</v>
      </c>
      <c r="AF1459" s="585"/>
      <c r="AG1459" s="585">
        <v>0</v>
      </c>
      <c r="AH1459" s="571">
        <v>156730000</v>
      </c>
      <c r="AI1459" s="574"/>
      <c r="AJ1459" s="574"/>
      <c r="AL1459" s="472"/>
    </row>
    <row r="1460" spans="1:38" s="385" customFormat="1" ht="121.5" outlineLevel="2" x14ac:dyDescent="0.3">
      <c r="A1460" s="447">
        <v>115</v>
      </c>
      <c r="B1460" s="558" t="s">
        <v>1049</v>
      </c>
      <c r="C1460" s="558"/>
      <c r="D1460" s="615"/>
      <c r="E1460" s="700"/>
      <c r="F1460" s="558"/>
      <c r="G1460" s="604"/>
      <c r="H1460" s="546"/>
      <c r="I1460" s="563" t="s">
        <v>25</v>
      </c>
      <c r="J1460" s="563" t="s">
        <v>25</v>
      </c>
      <c r="K1460" s="564" t="s">
        <v>25</v>
      </c>
      <c r="L1460" s="564" t="s">
        <v>25</v>
      </c>
      <c r="M1460" s="558"/>
      <c r="N1460" s="558"/>
      <c r="O1460" s="590"/>
      <c r="P1460" s="564" t="s">
        <v>25</v>
      </c>
      <c r="Q1460" s="564" t="s">
        <v>25</v>
      </c>
      <c r="R1460" s="566" t="s">
        <v>1763</v>
      </c>
      <c r="S1460" s="589" t="s">
        <v>2804</v>
      </c>
      <c r="T1460" s="591">
        <v>25</v>
      </c>
      <c r="U1460" s="593"/>
      <c r="V1460" s="564">
        <v>3550600</v>
      </c>
      <c r="W1460" s="564">
        <v>88765000</v>
      </c>
      <c r="X1460" s="562" t="s">
        <v>139</v>
      </c>
      <c r="Y1460" s="568" t="s">
        <v>980</v>
      </c>
      <c r="Z1460" s="568" t="s">
        <v>1012</v>
      </c>
      <c r="AA1460" s="568" t="s">
        <v>269</v>
      </c>
      <c r="AB1460" s="568" t="s">
        <v>139</v>
      </c>
      <c r="AC1460" s="568" t="s">
        <v>1047</v>
      </c>
      <c r="AD1460" s="568"/>
      <c r="AE1460" s="563"/>
      <c r="AF1460" s="570" t="s">
        <v>2899</v>
      </c>
      <c r="AG1460" s="570" t="s">
        <v>25</v>
      </c>
      <c r="AH1460" s="571" t="s">
        <v>25</v>
      </c>
      <c r="AI1460" s="558" t="s">
        <v>250</v>
      </c>
      <c r="AJ1460" s="558" t="s">
        <v>2450</v>
      </c>
      <c r="AL1460" s="377" t="s">
        <v>1861</v>
      </c>
    </row>
    <row r="1461" spans="1:38" s="385" customFormat="1" ht="121.5" outlineLevel="2" x14ac:dyDescent="0.3">
      <c r="A1461" s="447">
        <v>115</v>
      </c>
      <c r="B1461" s="558" t="s">
        <v>1578</v>
      </c>
      <c r="C1461" s="558"/>
      <c r="D1461" s="615"/>
      <c r="E1461" s="700"/>
      <c r="F1461" s="558"/>
      <c r="G1461" s="604"/>
      <c r="H1461" s="546"/>
      <c r="I1461" s="563" t="s">
        <v>25</v>
      </c>
      <c r="J1461" s="563" t="s">
        <v>25</v>
      </c>
      <c r="K1461" s="564" t="s">
        <v>25</v>
      </c>
      <c r="L1461" s="564" t="s">
        <v>25</v>
      </c>
      <c r="M1461" s="558"/>
      <c r="N1461" s="558"/>
      <c r="O1461" s="590"/>
      <c r="P1461" s="564" t="s">
        <v>25</v>
      </c>
      <c r="Q1461" s="564" t="s">
        <v>25</v>
      </c>
      <c r="R1461" s="566" t="s">
        <v>1813</v>
      </c>
      <c r="S1461" s="589" t="s">
        <v>2804</v>
      </c>
      <c r="T1461" s="617">
        <v>2.5</v>
      </c>
      <c r="U1461" s="593"/>
      <c r="V1461" s="564">
        <v>9347414</v>
      </c>
      <c r="W1461" s="564">
        <v>23369000</v>
      </c>
      <c r="X1461" s="562" t="s">
        <v>139</v>
      </c>
      <c r="Y1461" s="568" t="s">
        <v>980</v>
      </c>
      <c r="Z1461" s="568" t="s">
        <v>1012</v>
      </c>
      <c r="AA1461" s="568" t="s">
        <v>269</v>
      </c>
      <c r="AB1461" s="568" t="s">
        <v>139</v>
      </c>
      <c r="AC1461" s="568" t="s">
        <v>1047</v>
      </c>
      <c r="AD1461" s="568"/>
      <c r="AE1461" s="563"/>
      <c r="AF1461" s="570" t="s">
        <v>2899</v>
      </c>
      <c r="AG1461" s="570" t="s">
        <v>25</v>
      </c>
      <c r="AH1461" s="571" t="s">
        <v>25</v>
      </c>
      <c r="AI1461" s="704"/>
      <c r="AJ1461" s="558" t="s">
        <v>2800</v>
      </c>
    </row>
    <row r="1462" spans="1:38" s="385" customFormat="1" ht="40.5" outlineLevel="2" x14ac:dyDescent="0.3">
      <c r="A1462" s="447">
        <v>115</v>
      </c>
      <c r="B1462" s="558"/>
      <c r="C1462" s="558"/>
      <c r="D1462" s="615"/>
      <c r="E1462" s="700"/>
      <c r="F1462" s="558"/>
      <c r="G1462" s="604"/>
      <c r="H1462" s="546"/>
      <c r="I1462" s="563" t="s">
        <v>25</v>
      </c>
      <c r="J1462" s="563" t="s">
        <v>25</v>
      </c>
      <c r="K1462" s="564" t="s">
        <v>25</v>
      </c>
      <c r="L1462" s="564" t="s">
        <v>25</v>
      </c>
      <c r="M1462" s="558"/>
      <c r="N1462" s="558"/>
      <c r="O1462" s="590"/>
      <c r="P1462" s="564" t="s">
        <v>25</v>
      </c>
      <c r="Q1462" s="564" t="s">
        <v>25</v>
      </c>
      <c r="R1462" s="566" t="s">
        <v>1776</v>
      </c>
      <c r="S1462" s="589" t="s">
        <v>2804</v>
      </c>
      <c r="T1462" s="591">
        <v>32.799999999999997</v>
      </c>
      <c r="U1462" s="593"/>
      <c r="V1462" s="564">
        <v>177161</v>
      </c>
      <c r="W1462" s="564">
        <v>5811000</v>
      </c>
      <c r="X1462" s="562"/>
      <c r="Y1462" s="568"/>
      <c r="Z1462" s="568"/>
      <c r="AA1462" s="568"/>
      <c r="AB1462" s="568"/>
      <c r="AC1462" s="568"/>
      <c r="AD1462" s="568"/>
      <c r="AE1462" s="563"/>
      <c r="AF1462" s="570" t="s">
        <v>2899</v>
      </c>
      <c r="AG1462" s="570" t="s">
        <v>25</v>
      </c>
      <c r="AH1462" s="571" t="s">
        <v>25</v>
      </c>
      <c r="AI1462" s="558"/>
      <c r="AJ1462" s="558"/>
    </row>
    <row r="1463" spans="1:38" s="385" customFormat="1" ht="60.75" outlineLevel="2" x14ac:dyDescent="0.3">
      <c r="A1463" s="447">
        <v>115</v>
      </c>
      <c r="B1463" s="558"/>
      <c r="C1463" s="558"/>
      <c r="D1463" s="615"/>
      <c r="E1463" s="700"/>
      <c r="F1463" s="558"/>
      <c r="G1463" s="604"/>
      <c r="H1463" s="546"/>
      <c r="I1463" s="563" t="s">
        <v>25</v>
      </c>
      <c r="J1463" s="563" t="s">
        <v>25</v>
      </c>
      <c r="K1463" s="564" t="s">
        <v>25</v>
      </c>
      <c r="L1463" s="564" t="s">
        <v>25</v>
      </c>
      <c r="M1463" s="558"/>
      <c r="N1463" s="558"/>
      <c r="O1463" s="590"/>
      <c r="P1463" s="564" t="s">
        <v>25</v>
      </c>
      <c r="Q1463" s="564" t="s">
        <v>25</v>
      </c>
      <c r="R1463" s="566" t="s">
        <v>1777</v>
      </c>
      <c r="S1463" s="589" t="s">
        <v>2804</v>
      </c>
      <c r="T1463" s="591">
        <v>41.6</v>
      </c>
      <c r="U1463" s="593"/>
      <c r="V1463" s="564">
        <v>286855</v>
      </c>
      <c r="W1463" s="564">
        <v>11933000</v>
      </c>
      <c r="X1463" s="562"/>
      <c r="Y1463" s="568"/>
      <c r="Z1463" s="568"/>
      <c r="AA1463" s="568"/>
      <c r="AB1463" s="568"/>
      <c r="AC1463" s="568"/>
      <c r="AD1463" s="568"/>
      <c r="AE1463" s="563"/>
      <c r="AF1463" s="570" t="s">
        <v>2899</v>
      </c>
      <c r="AG1463" s="570" t="s">
        <v>25</v>
      </c>
      <c r="AH1463" s="571" t="s">
        <v>25</v>
      </c>
      <c r="AI1463" s="704"/>
      <c r="AJ1463" s="558"/>
    </row>
    <row r="1464" spans="1:38" s="385" customFormat="1" ht="40.5" outlineLevel="2" x14ac:dyDescent="0.3">
      <c r="A1464" s="447">
        <v>115</v>
      </c>
      <c r="B1464" s="558"/>
      <c r="C1464" s="558"/>
      <c r="D1464" s="615"/>
      <c r="E1464" s="700"/>
      <c r="F1464" s="558"/>
      <c r="G1464" s="604"/>
      <c r="H1464" s="546"/>
      <c r="I1464" s="563" t="s">
        <v>25</v>
      </c>
      <c r="J1464" s="563" t="s">
        <v>25</v>
      </c>
      <c r="K1464" s="564" t="s">
        <v>25</v>
      </c>
      <c r="L1464" s="564" t="s">
        <v>25</v>
      </c>
      <c r="M1464" s="558"/>
      <c r="N1464" s="558"/>
      <c r="O1464" s="590"/>
      <c r="P1464" s="564" t="s">
        <v>25</v>
      </c>
      <c r="Q1464" s="564" t="s">
        <v>25</v>
      </c>
      <c r="R1464" s="566" t="s">
        <v>1814</v>
      </c>
      <c r="S1464" s="589" t="s">
        <v>2804</v>
      </c>
      <c r="T1464" s="591">
        <v>4.96</v>
      </c>
      <c r="U1464" s="593"/>
      <c r="V1464" s="564">
        <v>3550600</v>
      </c>
      <c r="W1464" s="564">
        <v>17611000</v>
      </c>
      <c r="X1464" s="562" t="s">
        <v>139</v>
      </c>
      <c r="Y1464" s="568" t="s">
        <v>980</v>
      </c>
      <c r="Z1464" s="568" t="s">
        <v>1012</v>
      </c>
      <c r="AA1464" s="568" t="s">
        <v>269</v>
      </c>
      <c r="AB1464" s="568" t="s">
        <v>139</v>
      </c>
      <c r="AC1464" s="568" t="s">
        <v>1047</v>
      </c>
      <c r="AD1464" s="568"/>
      <c r="AE1464" s="563"/>
      <c r="AF1464" s="570" t="s">
        <v>2899</v>
      </c>
      <c r="AG1464" s="570" t="s">
        <v>25</v>
      </c>
      <c r="AH1464" s="571" t="s">
        <v>25</v>
      </c>
      <c r="AI1464" s="593"/>
      <c r="AJ1464" s="593"/>
    </row>
    <row r="1465" spans="1:38" s="385" customFormat="1" ht="60.75" outlineLevel="2" x14ac:dyDescent="0.3">
      <c r="A1465" s="447">
        <v>115</v>
      </c>
      <c r="B1465" s="558"/>
      <c r="C1465" s="558"/>
      <c r="D1465" s="615"/>
      <c r="E1465" s="700"/>
      <c r="F1465" s="558"/>
      <c r="G1465" s="604"/>
      <c r="H1465" s="546"/>
      <c r="I1465" s="563" t="s">
        <v>25</v>
      </c>
      <c r="J1465" s="563" t="s">
        <v>25</v>
      </c>
      <c r="K1465" s="564" t="s">
        <v>25</v>
      </c>
      <c r="L1465" s="564" t="s">
        <v>25</v>
      </c>
      <c r="M1465" s="558"/>
      <c r="N1465" s="558"/>
      <c r="O1465" s="590"/>
      <c r="P1465" s="564" t="s">
        <v>25</v>
      </c>
      <c r="Q1465" s="564" t="s">
        <v>25</v>
      </c>
      <c r="R1465" s="566" t="s">
        <v>1762</v>
      </c>
      <c r="S1465" s="589" t="s">
        <v>2804</v>
      </c>
      <c r="T1465" s="591">
        <v>12</v>
      </c>
      <c r="U1465" s="593"/>
      <c r="V1465" s="564">
        <v>770070</v>
      </c>
      <c r="W1465" s="564">
        <v>9241000</v>
      </c>
      <c r="X1465" s="562"/>
      <c r="Y1465" s="568" t="s">
        <v>980</v>
      </c>
      <c r="Z1465" s="568" t="s">
        <v>1005</v>
      </c>
      <c r="AA1465" s="568"/>
      <c r="AB1465" s="568" t="s">
        <v>267</v>
      </c>
      <c r="AC1465" s="568"/>
      <c r="AD1465" s="568"/>
      <c r="AE1465" s="563"/>
      <c r="AF1465" s="570" t="s">
        <v>2899</v>
      </c>
      <c r="AG1465" s="570" t="s">
        <v>25</v>
      </c>
      <c r="AH1465" s="571" t="s">
        <v>25</v>
      </c>
      <c r="AI1465" s="593"/>
      <c r="AJ1465" s="593"/>
    </row>
    <row r="1466" spans="1:38" s="385" customFormat="1" ht="20.25" outlineLevel="2" x14ac:dyDescent="0.3">
      <c r="A1466" s="447">
        <v>115</v>
      </c>
      <c r="B1466" s="558"/>
      <c r="C1466" s="558"/>
      <c r="D1466" s="615"/>
      <c r="E1466" s="700"/>
      <c r="F1466" s="558"/>
      <c r="G1466" s="604"/>
      <c r="H1466" s="546"/>
      <c r="I1466" s="563" t="s">
        <v>25</v>
      </c>
      <c r="J1466" s="563" t="s">
        <v>25</v>
      </c>
      <c r="K1466" s="564" t="s">
        <v>25</v>
      </c>
      <c r="L1466" s="564" t="s">
        <v>25</v>
      </c>
      <c r="M1466" s="558"/>
      <c r="N1466" s="558"/>
      <c r="O1466" s="590"/>
      <c r="P1466" s="564" t="s">
        <v>25</v>
      </c>
      <c r="Q1466" s="564" t="s">
        <v>25</v>
      </c>
      <c r="R1466" s="566"/>
      <c r="S1466" s="589"/>
      <c r="T1466" s="591"/>
      <c r="U1466" s="593"/>
      <c r="V1466" s="564" t="s">
        <v>2899</v>
      </c>
      <c r="W1466" s="564" t="s">
        <v>25</v>
      </c>
      <c r="X1466" s="562"/>
      <c r="Y1466" s="568"/>
      <c r="Z1466" s="568"/>
      <c r="AA1466" s="568"/>
      <c r="AB1466" s="568"/>
      <c r="AC1466" s="568"/>
      <c r="AD1466" s="568"/>
      <c r="AE1466" s="563"/>
      <c r="AF1466" s="570" t="s">
        <v>2899</v>
      </c>
      <c r="AG1466" s="570" t="s">
        <v>25</v>
      </c>
      <c r="AH1466" s="571" t="s">
        <v>25</v>
      </c>
      <c r="AI1466" s="593"/>
      <c r="AJ1466" s="593"/>
    </row>
    <row r="1467" spans="1:38" s="385" customFormat="1" ht="20.25" outlineLevel="2" x14ac:dyDescent="0.3">
      <c r="A1467" s="447">
        <v>115</v>
      </c>
      <c r="B1467" s="558"/>
      <c r="C1467" s="558"/>
      <c r="D1467" s="615"/>
      <c r="E1467" s="700"/>
      <c r="F1467" s="558"/>
      <c r="G1467" s="604"/>
      <c r="H1467" s="546"/>
      <c r="I1467" s="563" t="s">
        <v>25</v>
      </c>
      <c r="J1467" s="563" t="s">
        <v>25</v>
      </c>
      <c r="K1467" s="564" t="s">
        <v>25</v>
      </c>
      <c r="L1467" s="564" t="s">
        <v>25</v>
      </c>
      <c r="M1467" s="558"/>
      <c r="N1467" s="558"/>
      <c r="O1467" s="590"/>
      <c r="P1467" s="564" t="s">
        <v>25</v>
      </c>
      <c r="Q1467" s="564" t="s">
        <v>25</v>
      </c>
      <c r="R1467" s="566"/>
      <c r="S1467" s="589"/>
      <c r="T1467" s="591"/>
      <c r="U1467" s="593"/>
      <c r="V1467" s="564" t="s">
        <v>2899</v>
      </c>
      <c r="W1467" s="564" t="s">
        <v>25</v>
      </c>
      <c r="X1467" s="562"/>
      <c r="Y1467" s="568"/>
      <c r="Z1467" s="568"/>
      <c r="AA1467" s="568"/>
      <c r="AB1467" s="568"/>
      <c r="AC1467" s="568"/>
      <c r="AD1467" s="568"/>
      <c r="AE1467" s="563"/>
      <c r="AF1467" s="570" t="s">
        <v>2899</v>
      </c>
      <c r="AG1467" s="570" t="s">
        <v>25</v>
      </c>
      <c r="AH1467" s="571" t="s">
        <v>25</v>
      </c>
      <c r="AI1467" s="593"/>
      <c r="AJ1467" s="593"/>
    </row>
    <row r="1468" spans="1:38" s="385" customFormat="1" ht="20.25" outlineLevel="2" x14ac:dyDescent="0.3">
      <c r="A1468" s="447">
        <v>115</v>
      </c>
      <c r="B1468" s="574"/>
      <c r="C1468" s="574"/>
      <c r="D1468" s="705"/>
      <c r="E1468" s="706"/>
      <c r="F1468" s="558"/>
      <c r="G1468" s="604"/>
      <c r="H1468" s="546"/>
      <c r="I1468" s="563" t="s">
        <v>25</v>
      </c>
      <c r="J1468" s="563" t="s">
        <v>25</v>
      </c>
      <c r="K1468" s="564" t="s">
        <v>25</v>
      </c>
      <c r="L1468" s="564" t="s">
        <v>25</v>
      </c>
      <c r="M1468" s="558"/>
      <c r="N1468" s="558"/>
      <c r="O1468" s="590"/>
      <c r="P1468" s="564" t="s">
        <v>25</v>
      </c>
      <c r="Q1468" s="564" t="s">
        <v>25</v>
      </c>
      <c r="R1468" s="566"/>
      <c r="S1468" s="589"/>
      <c r="T1468" s="591"/>
      <c r="U1468" s="593"/>
      <c r="V1468" s="564" t="s">
        <v>2899</v>
      </c>
      <c r="W1468" s="564" t="s">
        <v>25</v>
      </c>
      <c r="X1468" s="562"/>
      <c r="Y1468" s="568"/>
      <c r="Z1468" s="568"/>
      <c r="AA1468" s="568"/>
      <c r="AB1468" s="568"/>
      <c r="AC1468" s="568"/>
      <c r="AD1468" s="568"/>
      <c r="AE1468" s="563"/>
      <c r="AF1468" s="570" t="s">
        <v>2899</v>
      </c>
      <c r="AG1468" s="570" t="s">
        <v>25</v>
      </c>
      <c r="AH1468" s="571" t="s">
        <v>25</v>
      </c>
      <c r="AI1468" s="593"/>
      <c r="AJ1468" s="593"/>
    </row>
    <row r="1469" spans="1:38" s="385" customFormat="1" ht="40.5" outlineLevel="1" x14ac:dyDescent="0.25">
      <c r="A1469" s="467">
        <v>116</v>
      </c>
      <c r="B1469" s="574" t="s">
        <v>1052</v>
      </c>
      <c r="C1469" s="586" t="s">
        <v>2903</v>
      </c>
      <c r="D1469" s="615"/>
      <c r="E1469" s="700"/>
      <c r="F1469" s="574"/>
      <c r="G1469" s="596">
        <v>0</v>
      </c>
      <c r="H1469" s="579">
        <v>0</v>
      </c>
      <c r="I1469" s="581"/>
      <c r="J1469" s="581"/>
      <c r="K1469" s="571">
        <v>0</v>
      </c>
      <c r="L1469" s="571">
        <v>0</v>
      </c>
      <c r="M1469" s="574"/>
      <c r="N1469" s="574"/>
      <c r="O1469" s="599">
        <v>0</v>
      </c>
      <c r="P1469" s="571"/>
      <c r="Q1469" s="571">
        <v>0</v>
      </c>
      <c r="R1469" s="582"/>
      <c r="S1469" s="597"/>
      <c r="T1469" s="600">
        <v>71.710000000000008</v>
      </c>
      <c r="U1469" s="608"/>
      <c r="V1469" s="571"/>
      <c r="W1469" s="571">
        <v>108305000</v>
      </c>
      <c r="X1469" s="562"/>
      <c r="Y1469" s="568"/>
      <c r="Z1469" s="568"/>
      <c r="AA1469" s="568"/>
      <c r="AB1469" s="568"/>
      <c r="AC1469" s="568"/>
      <c r="AD1469" s="584"/>
      <c r="AE1469" s="581">
        <f>SUBTOTAL(9,AE1470:AE1482)</f>
        <v>0</v>
      </c>
      <c r="AF1469" s="585"/>
      <c r="AG1469" s="585">
        <v>0</v>
      </c>
      <c r="AH1469" s="571">
        <v>108305000</v>
      </c>
      <c r="AI1469" s="574"/>
      <c r="AJ1469" s="574"/>
      <c r="AL1469" s="472"/>
    </row>
    <row r="1470" spans="1:38" s="385" customFormat="1" ht="121.5" outlineLevel="2" x14ac:dyDescent="0.3">
      <c r="A1470" s="447">
        <v>116</v>
      </c>
      <c r="B1470" s="558" t="s">
        <v>1054</v>
      </c>
      <c r="C1470" s="558"/>
      <c r="D1470" s="615"/>
      <c r="E1470" s="700"/>
      <c r="F1470" s="558"/>
      <c r="G1470" s="604"/>
      <c r="H1470" s="546"/>
      <c r="I1470" s="563" t="s">
        <v>25</v>
      </c>
      <c r="J1470" s="563" t="s">
        <v>25</v>
      </c>
      <c r="K1470" s="564" t="s">
        <v>25</v>
      </c>
      <c r="L1470" s="564" t="s">
        <v>25</v>
      </c>
      <c r="M1470" s="558"/>
      <c r="N1470" s="558"/>
      <c r="O1470" s="590"/>
      <c r="P1470" s="564" t="s">
        <v>25</v>
      </c>
      <c r="Q1470" s="564" t="s">
        <v>25</v>
      </c>
      <c r="R1470" s="566" t="s">
        <v>1767</v>
      </c>
      <c r="S1470" s="589" t="s">
        <v>2804</v>
      </c>
      <c r="T1470" s="591">
        <v>3.36</v>
      </c>
      <c r="U1470" s="593"/>
      <c r="V1470" s="564">
        <v>0</v>
      </c>
      <c r="W1470" s="564">
        <v>0</v>
      </c>
      <c r="X1470" s="562"/>
      <c r="Y1470" s="568"/>
      <c r="Z1470" s="568"/>
      <c r="AA1470" s="568"/>
      <c r="AB1470" s="568"/>
      <c r="AC1470" s="568"/>
      <c r="AD1470" s="568"/>
      <c r="AE1470" s="563"/>
      <c r="AF1470" s="570" t="s">
        <v>2899</v>
      </c>
      <c r="AG1470" s="570" t="s">
        <v>25</v>
      </c>
      <c r="AH1470" s="571" t="s">
        <v>25</v>
      </c>
      <c r="AI1470" s="558" t="s">
        <v>250</v>
      </c>
      <c r="AJ1470" s="558" t="s">
        <v>2450</v>
      </c>
      <c r="AL1470" s="377" t="s">
        <v>1861</v>
      </c>
    </row>
    <row r="1471" spans="1:38" s="385" customFormat="1" ht="101.25" outlineLevel="2" x14ac:dyDescent="0.3">
      <c r="A1471" s="447">
        <v>116</v>
      </c>
      <c r="B1471" s="558" t="s">
        <v>1579</v>
      </c>
      <c r="C1471" s="558"/>
      <c r="D1471" s="615"/>
      <c r="E1471" s="700"/>
      <c r="F1471" s="558"/>
      <c r="G1471" s="604"/>
      <c r="H1471" s="546"/>
      <c r="I1471" s="563" t="s">
        <v>25</v>
      </c>
      <c r="J1471" s="563" t="s">
        <v>25</v>
      </c>
      <c r="K1471" s="564" t="s">
        <v>25</v>
      </c>
      <c r="L1471" s="564" t="s">
        <v>25</v>
      </c>
      <c r="M1471" s="558"/>
      <c r="N1471" s="558"/>
      <c r="O1471" s="590"/>
      <c r="P1471" s="564" t="s">
        <v>25</v>
      </c>
      <c r="Q1471" s="564" t="s">
        <v>25</v>
      </c>
      <c r="R1471" s="566" t="s">
        <v>1768</v>
      </c>
      <c r="S1471" s="589" t="s">
        <v>2804</v>
      </c>
      <c r="T1471" s="591">
        <v>3.36</v>
      </c>
      <c r="U1471" s="593"/>
      <c r="V1471" s="564">
        <v>238288</v>
      </c>
      <c r="W1471" s="564">
        <v>801000</v>
      </c>
      <c r="X1471" s="562"/>
      <c r="Y1471" s="568"/>
      <c r="Z1471" s="568"/>
      <c r="AA1471" s="568"/>
      <c r="AB1471" s="568"/>
      <c r="AC1471" s="568"/>
      <c r="AD1471" s="568"/>
      <c r="AE1471" s="563"/>
      <c r="AF1471" s="570" t="s">
        <v>2899</v>
      </c>
      <c r="AG1471" s="570" t="s">
        <v>25</v>
      </c>
      <c r="AH1471" s="571" t="s">
        <v>25</v>
      </c>
      <c r="AI1471" s="704"/>
      <c r="AJ1471" s="558" t="s">
        <v>2800</v>
      </c>
    </row>
    <row r="1472" spans="1:38" s="385" customFormat="1" ht="60.75" outlineLevel="2" x14ac:dyDescent="0.3">
      <c r="A1472" s="447">
        <v>116</v>
      </c>
      <c r="B1472" s="558"/>
      <c r="C1472" s="558"/>
      <c r="D1472" s="615"/>
      <c r="E1472" s="700"/>
      <c r="F1472" s="558"/>
      <c r="G1472" s="604"/>
      <c r="H1472" s="546"/>
      <c r="I1472" s="563" t="s">
        <v>25</v>
      </c>
      <c r="J1472" s="563" t="s">
        <v>25</v>
      </c>
      <c r="K1472" s="564" t="s">
        <v>25</v>
      </c>
      <c r="L1472" s="564" t="s">
        <v>25</v>
      </c>
      <c r="M1472" s="558"/>
      <c r="N1472" s="558"/>
      <c r="O1472" s="590"/>
      <c r="P1472" s="564" t="s">
        <v>25</v>
      </c>
      <c r="Q1472" s="564" t="s">
        <v>25</v>
      </c>
      <c r="R1472" s="566" t="s">
        <v>1762</v>
      </c>
      <c r="S1472" s="589" t="s">
        <v>2804</v>
      </c>
      <c r="T1472" s="591">
        <v>12.5</v>
      </c>
      <c r="U1472" s="593"/>
      <c r="V1472" s="564">
        <v>770070</v>
      </c>
      <c r="W1472" s="564">
        <v>9626000</v>
      </c>
      <c r="X1472" s="562"/>
      <c r="Y1472" s="568" t="s">
        <v>980</v>
      </c>
      <c r="Z1472" s="568" t="s">
        <v>1005</v>
      </c>
      <c r="AA1472" s="568"/>
      <c r="AB1472" s="568" t="s">
        <v>267</v>
      </c>
      <c r="AC1472" s="568"/>
      <c r="AD1472" s="568"/>
      <c r="AE1472" s="563"/>
      <c r="AF1472" s="570" t="s">
        <v>2899</v>
      </c>
      <c r="AG1472" s="570" t="s">
        <v>25</v>
      </c>
      <c r="AH1472" s="571" t="s">
        <v>25</v>
      </c>
      <c r="AI1472" s="558"/>
      <c r="AJ1472" s="558"/>
    </row>
    <row r="1473" spans="1:38" s="385" customFormat="1" ht="40.5" outlineLevel="2" x14ac:dyDescent="0.3">
      <c r="A1473" s="447">
        <v>116</v>
      </c>
      <c r="B1473" s="558"/>
      <c r="C1473" s="558"/>
      <c r="D1473" s="615"/>
      <c r="E1473" s="700"/>
      <c r="F1473" s="558"/>
      <c r="G1473" s="604"/>
      <c r="H1473" s="546"/>
      <c r="I1473" s="563" t="s">
        <v>25</v>
      </c>
      <c r="J1473" s="563" t="s">
        <v>25</v>
      </c>
      <c r="K1473" s="564" t="s">
        <v>25</v>
      </c>
      <c r="L1473" s="564" t="s">
        <v>25</v>
      </c>
      <c r="M1473" s="558"/>
      <c r="N1473" s="558"/>
      <c r="O1473" s="590"/>
      <c r="P1473" s="564" t="s">
        <v>25</v>
      </c>
      <c r="Q1473" s="564" t="s">
        <v>25</v>
      </c>
      <c r="R1473" s="566" t="s">
        <v>1763</v>
      </c>
      <c r="S1473" s="589" t="s">
        <v>2804</v>
      </c>
      <c r="T1473" s="591">
        <v>26.6</v>
      </c>
      <c r="U1473" s="593"/>
      <c r="V1473" s="564">
        <v>3550600</v>
      </c>
      <c r="W1473" s="564">
        <v>94446000</v>
      </c>
      <c r="X1473" s="562" t="s">
        <v>139</v>
      </c>
      <c r="Y1473" s="568" t="s">
        <v>980</v>
      </c>
      <c r="Z1473" s="568" t="s">
        <v>1012</v>
      </c>
      <c r="AA1473" s="568" t="s">
        <v>269</v>
      </c>
      <c r="AB1473" s="568" t="s">
        <v>139</v>
      </c>
      <c r="AC1473" s="568"/>
      <c r="AD1473" s="568"/>
      <c r="AE1473" s="563"/>
      <c r="AF1473" s="570" t="s">
        <v>2899</v>
      </c>
      <c r="AG1473" s="570" t="s">
        <v>25</v>
      </c>
      <c r="AH1473" s="571" t="s">
        <v>25</v>
      </c>
      <c r="AI1473" s="704"/>
      <c r="AJ1473" s="558"/>
    </row>
    <row r="1474" spans="1:38" s="385" customFormat="1" ht="40.5" outlineLevel="2" x14ac:dyDescent="0.3">
      <c r="A1474" s="447">
        <v>116</v>
      </c>
      <c r="B1474" s="558"/>
      <c r="C1474" s="558"/>
      <c r="D1474" s="615"/>
      <c r="E1474" s="700"/>
      <c r="F1474" s="558"/>
      <c r="G1474" s="604"/>
      <c r="H1474" s="546"/>
      <c r="I1474" s="563" t="s">
        <v>25</v>
      </c>
      <c r="J1474" s="563" t="s">
        <v>25</v>
      </c>
      <c r="K1474" s="564" t="s">
        <v>25</v>
      </c>
      <c r="L1474" s="564" t="s">
        <v>25</v>
      </c>
      <c r="M1474" s="558"/>
      <c r="N1474" s="558"/>
      <c r="O1474" s="590"/>
      <c r="P1474" s="564" t="s">
        <v>25</v>
      </c>
      <c r="Q1474" s="564" t="s">
        <v>25</v>
      </c>
      <c r="R1474" s="566" t="s">
        <v>1767</v>
      </c>
      <c r="S1474" s="589" t="s">
        <v>2804</v>
      </c>
      <c r="T1474" s="591">
        <v>10.4</v>
      </c>
      <c r="U1474" s="593"/>
      <c r="V1474" s="564">
        <v>0</v>
      </c>
      <c r="W1474" s="564">
        <v>0</v>
      </c>
      <c r="X1474" s="562"/>
      <c r="Y1474" s="568"/>
      <c r="Z1474" s="568"/>
      <c r="AA1474" s="568"/>
      <c r="AB1474" s="568"/>
      <c r="AC1474" s="568"/>
      <c r="AD1474" s="568"/>
      <c r="AE1474" s="563"/>
      <c r="AF1474" s="570" t="s">
        <v>2899</v>
      </c>
      <c r="AG1474" s="570" t="s">
        <v>25</v>
      </c>
      <c r="AH1474" s="571" t="s">
        <v>25</v>
      </c>
      <c r="AI1474" s="593"/>
      <c r="AJ1474" s="593"/>
    </row>
    <row r="1475" spans="1:38" s="385" customFormat="1" ht="60.75" outlineLevel="2" x14ac:dyDescent="0.3">
      <c r="A1475" s="447">
        <v>116</v>
      </c>
      <c r="B1475" s="558"/>
      <c r="C1475" s="558"/>
      <c r="D1475" s="615"/>
      <c r="E1475" s="700"/>
      <c r="F1475" s="558"/>
      <c r="G1475" s="604"/>
      <c r="H1475" s="546"/>
      <c r="I1475" s="563" t="s">
        <v>25</v>
      </c>
      <c r="J1475" s="563" t="s">
        <v>25</v>
      </c>
      <c r="K1475" s="564" t="s">
        <v>25</v>
      </c>
      <c r="L1475" s="564" t="s">
        <v>25</v>
      </c>
      <c r="M1475" s="558"/>
      <c r="N1475" s="558"/>
      <c r="O1475" s="590"/>
      <c r="P1475" s="564" t="s">
        <v>25</v>
      </c>
      <c r="Q1475" s="564" t="s">
        <v>25</v>
      </c>
      <c r="R1475" s="566" t="s">
        <v>1768</v>
      </c>
      <c r="S1475" s="589" t="s">
        <v>2804</v>
      </c>
      <c r="T1475" s="591">
        <v>10.4</v>
      </c>
      <c r="U1475" s="593"/>
      <c r="V1475" s="564">
        <v>238288</v>
      </c>
      <c r="W1475" s="564">
        <v>2478000</v>
      </c>
      <c r="X1475" s="562"/>
      <c r="Y1475" s="568"/>
      <c r="Z1475" s="568"/>
      <c r="AA1475" s="568"/>
      <c r="AB1475" s="568"/>
      <c r="AC1475" s="568"/>
      <c r="AD1475" s="568"/>
      <c r="AE1475" s="563"/>
      <c r="AF1475" s="570" t="s">
        <v>2899</v>
      </c>
      <c r="AG1475" s="570" t="s">
        <v>25</v>
      </c>
      <c r="AH1475" s="571" t="s">
        <v>25</v>
      </c>
      <c r="AI1475" s="558"/>
      <c r="AJ1475" s="558"/>
    </row>
    <row r="1476" spans="1:38" s="385" customFormat="1" ht="40.5" outlineLevel="2" x14ac:dyDescent="0.3">
      <c r="A1476" s="447">
        <v>116</v>
      </c>
      <c r="B1476" s="558"/>
      <c r="C1476" s="558"/>
      <c r="D1476" s="615"/>
      <c r="E1476" s="700"/>
      <c r="F1476" s="558"/>
      <c r="G1476" s="604"/>
      <c r="H1476" s="546"/>
      <c r="I1476" s="563" t="s">
        <v>25</v>
      </c>
      <c r="J1476" s="563" t="s">
        <v>25</v>
      </c>
      <c r="K1476" s="564" t="s">
        <v>25</v>
      </c>
      <c r="L1476" s="564" t="s">
        <v>25</v>
      </c>
      <c r="M1476" s="558"/>
      <c r="N1476" s="558"/>
      <c r="O1476" s="590"/>
      <c r="P1476" s="564" t="s">
        <v>25</v>
      </c>
      <c r="Q1476" s="564" t="s">
        <v>25</v>
      </c>
      <c r="R1476" s="566" t="s">
        <v>1770</v>
      </c>
      <c r="S1476" s="589" t="s">
        <v>2827</v>
      </c>
      <c r="T1476" s="591">
        <v>0.22</v>
      </c>
      <c r="U1476" s="593"/>
      <c r="V1476" s="564">
        <v>3591896</v>
      </c>
      <c r="W1476" s="564">
        <v>790000</v>
      </c>
      <c r="X1476" s="562"/>
      <c r="Y1476" s="568"/>
      <c r="Z1476" s="568"/>
      <c r="AA1476" s="568"/>
      <c r="AB1476" s="568"/>
      <c r="AC1476" s="568"/>
      <c r="AD1476" s="568"/>
      <c r="AE1476" s="563"/>
      <c r="AF1476" s="570" t="s">
        <v>2899</v>
      </c>
      <c r="AG1476" s="570" t="s">
        <v>25</v>
      </c>
      <c r="AH1476" s="571" t="s">
        <v>25</v>
      </c>
      <c r="AI1476" s="558"/>
      <c r="AJ1476" s="558"/>
    </row>
    <row r="1477" spans="1:38" s="385" customFormat="1" ht="40.5" outlineLevel="2" x14ac:dyDescent="0.3">
      <c r="A1477" s="447">
        <v>116</v>
      </c>
      <c r="B1477" s="558"/>
      <c r="C1477" s="558"/>
      <c r="D1477" s="615"/>
      <c r="E1477" s="700"/>
      <c r="F1477" s="558"/>
      <c r="G1477" s="604"/>
      <c r="H1477" s="546"/>
      <c r="I1477" s="563" t="s">
        <v>25</v>
      </c>
      <c r="J1477" s="563" t="s">
        <v>25</v>
      </c>
      <c r="K1477" s="564" t="s">
        <v>25</v>
      </c>
      <c r="L1477" s="564" t="s">
        <v>25</v>
      </c>
      <c r="M1477" s="558"/>
      <c r="N1477" s="558"/>
      <c r="O1477" s="590"/>
      <c r="P1477" s="564" t="s">
        <v>25</v>
      </c>
      <c r="Q1477" s="564" t="s">
        <v>25</v>
      </c>
      <c r="R1477" s="566" t="s">
        <v>1816</v>
      </c>
      <c r="S1477" s="589" t="s">
        <v>2827</v>
      </c>
      <c r="T1477" s="591">
        <v>0.06</v>
      </c>
      <c r="U1477" s="593"/>
      <c r="V1477" s="564">
        <v>0</v>
      </c>
      <c r="W1477" s="564">
        <v>0</v>
      </c>
      <c r="X1477" s="562"/>
      <c r="Y1477" s="568"/>
      <c r="Z1477" s="568"/>
      <c r="AA1477" s="568"/>
      <c r="AB1477" s="568"/>
      <c r="AC1477" s="568"/>
      <c r="AD1477" s="568"/>
      <c r="AE1477" s="563"/>
      <c r="AF1477" s="570" t="s">
        <v>2899</v>
      </c>
      <c r="AG1477" s="570" t="s">
        <v>25</v>
      </c>
      <c r="AH1477" s="571" t="s">
        <v>25</v>
      </c>
      <c r="AI1477" s="558"/>
      <c r="AJ1477" s="558"/>
    </row>
    <row r="1478" spans="1:38" s="385" customFormat="1" ht="40.5" outlineLevel="2" x14ac:dyDescent="0.3">
      <c r="A1478" s="447">
        <v>116</v>
      </c>
      <c r="B1478" s="558"/>
      <c r="C1478" s="558"/>
      <c r="D1478" s="615"/>
      <c r="E1478" s="700"/>
      <c r="F1478" s="558"/>
      <c r="G1478" s="604"/>
      <c r="H1478" s="546"/>
      <c r="I1478" s="563" t="s">
        <v>25</v>
      </c>
      <c r="J1478" s="563" t="s">
        <v>25</v>
      </c>
      <c r="K1478" s="564" t="s">
        <v>25</v>
      </c>
      <c r="L1478" s="564" t="s">
        <v>25</v>
      </c>
      <c r="M1478" s="558"/>
      <c r="N1478" s="558"/>
      <c r="O1478" s="590"/>
      <c r="P1478" s="564" t="s">
        <v>25</v>
      </c>
      <c r="Q1478" s="564" t="s">
        <v>25</v>
      </c>
      <c r="R1478" s="566" t="s">
        <v>1817</v>
      </c>
      <c r="S1478" s="589" t="s">
        <v>2804</v>
      </c>
      <c r="T1478" s="591">
        <v>0.81</v>
      </c>
      <c r="U1478" s="593"/>
      <c r="V1478" s="564">
        <v>202204</v>
      </c>
      <c r="W1478" s="564">
        <v>164000</v>
      </c>
      <c r="X1478" s="562"/>
      <c r="Y1478" s="568"/>
      <c r="Z1478" s="568"/>
      <c r="AA1478" s="568"/>
      <c r="AB1478" s="568"/>
      <c r="AC1478" s="568"/>
      <c r="AD1478" s="568"/>
      <c r="AE1478" s="563"/>
      <c r="AF1478" s="570" t="s">
        <v>2899</v>
      </c>
      <c r="AG1478" s="570" t="s">
        <v>25</v>
      </c>
      <c r="AH1478" s="571" t="s">
        <v>25</v>
      </c>
      <c r="AI1478" s="558"/>
      <c r="AJ1478" s="558"/>
    </row>
    <row r="1479" spans="1:38" s="385" customFormat="1" ht="24" outlineLevel="2" x14ac:dyDescent="0.3">
      <c r="A1479" s="447">
        <v>116</v>
      </c>
      <c r="B1479" s="558"/>
      <c r="C1479" s="558"/>
      <c r="D1479" s="615"/>
      <c r="E1479" s="700"/>
      <c r="F1479" s="558"/>
      <c r="G1479" s="604"/>
      <c r="H1479" s="546"/>
      <c r="I1479" s="563" t="s">
        <v>25</v>
      </c>
      <c r="J1479" s="563" t="s">
        <v>25</v>
      </c>
      <c r="K1479" s="564" t="s">
        <v>25</v>
      </c>
      <c r="L1479" s="564" t="s">
        <v>25</v>
      </c>
      <c r="M1479" s="558"/>
      <c r="N1479" s="558"/>
      <c r="O1479" s="590"/>
      <c r="P1479" s="564" t="s">
        <v>25</v>
      </c>
      <c r="Q1479" s="564" t="s">
        <v>25</v>
      </c>
      <c r="R1479" s="661" t="s">
        <v>1818</v>
      </c>
      <c r="S1479" s="589" t="s">
        <v>2804</v>
      </c>
      <c r="T1479" s="591">
        <v>4</v>
      </c>
      <c r="U1479" s="593"/>
      <c r="V1479" s="564">
        <v>0</v>
      </c>
      <c r="W1479" s="564">
        <v>0</v>
      </c>
      <c r="X1479" s="562"/>
      <c r="Y1479" s="568"/>
      <c r="Z1479" s="568"/>
      <c r="AA1479" s="568"/>
      <c r="AB1479" s="568"/>
      <c r="AC1479" s="568"/>
      <c r="AD1479" s="568"/>
      <c r="AE1479" s="563"/>
      <c r="AF1479" s="570" t="s">
        <v>2899</v>
      </c>
      <c r="AG1479" s="570" t="s">
        <v>25</v>
      </c>
      <c r="AH1479" s="571" t="s">
        <v>25</v>
      </c>
      <c r="AI1479" s="558"/>
      <c r="AJ1479" s="558"/>
    </row>
    <row r="1480" spans="1:38" s="385" customFormat="1" ht="20.25" outlineLevel="2" x14ac:dyDescent="0.3">
      <c r="A1480" s="447">
        <v>116</v>
      </c>
      <c r="B1480" s="558"/>
      <c r="C1480" s="558"/>
      <c r="D1480" s="615"/>
      <c r="E1480" s="700"/>
      <c r="F1480" s="558"/>
      <c r="G1480" s="604"/>
      <c r="H1480" s="546"/>
      <c r="I1480" s="563" t="s">
        <v>25</v>
      </c>
      <c r="J1480" s="563" t="s">
        <v>25</v>
      </c>
      <c r="K1480" s="564" t="s">
        <v>25</v>
      </c>
      <c r="L1480" s="564" t="s">
        <v>25</v>
      </c>
      <c r="M1480" s="558"/>
      <c r="N1480" s="558"/>
      <c r="O1480" s="590"/>
      <c r="P1480" s="564" t="s">
        <v>25</v>
      </c>
      <c r="Q1480" s="564" t="s">
        <v>25</v>
      </c>
      <c r="R1480" s="661"/>
      <c r="S1480" s="589"/>
      <c r="T1480" s="591"/>
      <c r="U1480" s="593"/>
      <c r="V1480" s="564" t="s">
        <v>2899</v>
      </c>
      <c r="W1480" s="564" t="s">
        <v>25</v>
      </c>
      <c r="X1480" s="562"/>
      <c r="Y1480" s="568"/>
      <c r="Z1480" s="568"/>
      <c r="AA1480" s="568"/>
      <c r="AB1480" s="568"/>
      <c r="AC1480" s="568"/>
      <c r="AD1480" s="568"/>
      <c r="AE1480" s="563"/>
      <c r="AF1480" s="570" t="s">
        <v>2899</v>
      </c>
      <c r="AG1480" s="570" t="s">
        <v>25</v>
      </c>
      <c r="AH1480" s="571" t="s">
        <v>25</v>
      </c>
      <c r="AI1480" s="558"/>
      <c r="AJ1480" s="558"/>
    </row>
    <row r="1481" spans="1:38" s="385" customFormat="1" ht="20.25" outlineLevel="2" x14ac:dyDescent="0.3">
      <c r="A1481" s="447">
        <v>116</v>
      </c>
      <c r="B1481" s="558"/>
      <c r="C1481" s="558"/>
      <c r="D1481" s="615"/>
      <c r="E1481" s="700"/>
      <c r="F1481" s="558"/>
      <c r="G1481" s="604"/>
      <c r="H1481" s="546"/>
      <c r="I1481" s="563" t="s">
        <v>25</v>
      </c>
      <c r="J1481" s="563" t="s">
        <v>25</v>
      </c>
      <c r="K1481" s="564" t="s">
        <v>25</v>
      </c>
      <c r="L1481" s="564" t="s">
        <v>25</v>
      </c>
      <c r="M1481" s="558"/>
      <c r="N1481" s="558"/>
      <c r="O1481" s="590"/>
      <c r="P1481" s="564" t="s">
        <v>25</v>
      </c>
      <c r="Q1481" s="564" t="s">
        <v>25</v>
      </c>
      <c r="R1481" s="566"/>
      <c r="S1481" s="589"/>
      <c r="T1481" s="591"/>
      <c r="U1481" s="593"/>
      <c r="V1481" s="564" t="s">
        <v>2899</v>
      </c>
      <c r="W1481" s="564" t="s">
        <v>25</v>
      </c>
      <c r="X1481" s="562"/>
      <c r="Y1481" s="568"/>
      <c r="Z1481" s="568"/>
      <c r="AA1481" s="568"/>
      <c r="AB1481" s="568"/>
      <c r="AC1481" s="568"/>
      <c r="AD1481" s="568"/>
      <c r="AE1481" s="563"/>
      <c r="AF1481" s="570" t="s">
        <v>2899</v>
      </c>
      <c r="AG1481" s="570" t="s">
        <v>25</v>
      </c>
      <c r="AH1481" s="571" t="s">
        <v>25</v>
      </c>
      <c r="AI1481" s="558"/>
      <c r="AJ1481" s="558"/>
    </row>
    <row r="1482" spans="1:38" s="385" customFormat="1" ht="20.25" outlineLevel="2" x14ac:dyDescent="0.3">
      <c r="A1482" s="447">
        <v>116</v>
      </c>
      <c r="B1482" s="574"/>
      <c r="C1482" s="574"/>
      <c r="D1482" s="705"/>
      <c r="E1482" s="706"/>
      <c r="F1482" s="558"/>
      <c r="G1482" s="604"/>
      <c r="H1482" s="546"/>
      <c r="I1482" s="563" t="s">
        <v>25</v>
      </c>
      <c r="J1482" s="563" t="s">
        <v>25</v>
      </c>
      <c r="K1482" s="564" t="s">
        <v>25</v>
      </c>
      <c r="L1482" s="564" t="s">
        <v>25</v>
      </c>
      <c r="M1482" s="558"/>
      <c r="N1482" s="558"/>
      <c r="O1482" s="590"/>
      <c r="P1482" s="564" t="s">
        <v>25</v>
      </c>
      <c r="Q1482" s="564" t="s">
        <v>25</v>
      </c>
      <c r="R1482" s="566"/>
      <c r="S1482" s="589"/>
      <c r="T1482" s="591"/>
      <c r="U1482" s="593"/>
      <c r="V1482" s="564" t="s">
        <v>2899</v>
      </c>
      <c r="W1482" s="564" t="s">
        <v>25</v>
      </c>
      <c r="X1482" s="562"/>
      <c r="Y1482" s="568"/>
      <c r="Z1482" s="568"/>
      <c r="AA1482" s="568"/>
      <c r="AB1482" s="568"/>
      <c r="AC1482" s="568"/>
      <c r="AD1482" s="568"/>
      <c r="AE1482" s="563"/>
      <c r="AF1482" s="570" t="s">
        <v>2899</v>
      </c>
      <c r="AG1482" s="570" t="s">
        <v>25</v>
      </c>
      <c r="AH1482" s="571" t="s">
        <v>25</v>
      </c>
      <c r="AI1482" s="558"/>
      <c r="AJ1482" s="558"/>
    </row>
    <row r="1483" spans="1:38" s="385" customFormat="1" ht="40.5" outlineLevel="1" x14ac:dyDescent="0.25">
      <c r="A1483" s="467">
        <v>117</v>
      </c>
      <c r="B1483" s="574" t="s">
        <v>1055</v>
      </c>
      <c r="C1483" s="586" t="s">
        <v>2903</v>
      </c>
      <c r="D1483" s="615"/>
      <c r="E1483" s="700"/>
      <c r="F1483" s="574"/>
      <c r="G1483" s="596">
        <v>0</v>
      </c>
      <c r="H1483" s="579">
        <v>0</v>
      </c>
      <c r="I1483" s="581"/>
      <c r="J1483" s="581"/>
      <c r="K1483" s="571">
        <v>0</v>
      </c>
      <c r="L1483" s="571">
        <v>0</v>
      </c>
      <c r="M1483" s="574"/>
      <c r="N1483" s="574"/>
      <c r="O1483" s="599">
        <v>41</v>
      </c>
      <c r="P1483" s="571"/>
      <c r="Q1483" s="571">
        <v>35907000</v>
      </c>
      <c r="R1483" s="582"/>
      <c r="S1483" s="597"/>
      <c r="T1483" s="600">
        <v>162.48999999999998</v>
      </c>
      <c r="U1483" s="608"/>
      <c r="V1483" s="571"/>
      <c r="W1483" s="571">
        <v>397767000</v>
      </c>
      <c r="X1483" s="562"/>
      <c r="Y1483" s="568"/>
      <c r="Z1483" s="568"/>
      <c r="AA1483" s="568"/>
      <c r="AB1483" s="568"/>
      <c r="AC1483" s="568"/>
      <c r="AD1483" s="584"/>
      <c r="AE1483" s="581">
        <f>SUBTOTAL(9,AE1484:AE1500)</f>
        <v>0</v>
      </c>
      <c r="AF1483" s="585"/>
      <c r="AG1483" s="585">
        <v>0</v>
      </c>
      <c r="AH1483" s="571">
        <v>433674000</v>
      </c>
      <c r="AI1483" s="574"/>
      <c r="AJ1483" s="574"/>
      <c r="AL1483" s="472"/>
    </row>
    <row r="1484" spans="1:38" s="385" customFormat="1" ht="121.5" outlineLevel="2" x14ac:dyDescent="0.3">
      <c r="A1484" s="447">
        <v>117</v>
      </c>
      <c r="B1484" s="558" t="s">
        <v>1057</v>
      </c>
      <c r="C1484" s="558"/>
      <c r="D1484" s="615"/>
      <c r="E1484" s="700"/>
      <c r="F1484" s="558"/>
      <c r="G1484" s="604"/>
      <c r="H1484" s="546"/>
      <c r="I1484" s="563" t="s">
        <v>25</v>
      </c>
      <c r="J1484" s="563" t="s">
        <v>25</v>
      </c>
      <c r="K1484" s="564" t="s">
        <v>25</v>
      </c>
      <c r="L1484" s="564" t="s">
        <v>25</v>
      </c>
      <c r="M1484" s="558" t="s">
        <v>64</v>
      </c>
      <c r="N1484" s="558"/>
      <c r="O1484" s="590">
        <v>7</v>
      </c>
      <c r="P1484" s="564">
        <v>1122000</v>
      </c>
      <c r="Q1484" s="564">
        <v>7854000</v>
      </c>
      <c r="R1484" s="566" t="s">
        <v>1762</v>
      </c>
      <c r="S1484" s="589" t="s">
        <v>2804</v>
      </c>
      <c r="T1484" s="591">
        <v>26.6</v>
      </c>
      <c r="U1484" s="593"/>
      <c r="V1484" s="564">
        <v>770070</v>
      </c>
      <c r="W1484" s="564">
        <v>20484000</v>
      </c>
      <c r="X1484" s="562"/>
      <c r="Y1484" s="568" t="s">
        <v>980</v>
      </c>
      <c r="Z1484" s="568" t="s">
        <v>1005</v>
      </c>
      <c r="AA1484" s="568"/>
      <c r="AB1484" s="568" t="s">
        <v>267</v>
      </c>
      <c r="AC1484" s="568"/>
      <c r="AD1484" s="568"/>
      <c r="AE1484" s="563"/>
      <c r="AF1484" s="570" t="s">
        <v>2899</v>
      </c>
      <c r="AG1484" s="570" t="s">
        <v>25</v>
      </c>
      <c r="AH1484" s="571" t="s">
        <v>25</v>
      </c>
      <c r="AI1484" s="558" t="s">
        <v>1058</v>
      </c>
      <c r="AJ1484" s="558" t="s">
        <v>2450</v>
      </c>
      <c r="AL1484" s="377" t="s">
        <v>1861</v>
      </c>
    </row>
    <row r="1485" spans="1:38" s="385" customFormat="1" ht="121.5" outlineLevel="2" x14ac:dyDescent="0.3">
      <c r="A1485" s="447">
        <v>117</v>
      </c>
      <c r="B1485" s="586" t="s">
        <v>1580</v>
      </c>
      <c r="C1485" s="586"/>
      <c r="D1485" s="615"/>
      <c r="E1485" s="700"/>
      <c r="F1485" s="558"/>
      <c r="G1485" s="604"/>
      <c r="H1485" s="546"/>
      <c r="I1485" s="563" t="s">
        <v>25</v>
      </c>
      <c r="J1485" s="563" t="s">
        <v>25</v>
      </c>
      <c r="K1485" s="564" t="s">
        <v>25</v>
      </c>
      <c r="L1485" s="564" t="s">
        <v>25</v>
      </c>
      <c r="M1485" s="558" t="s">
        <v>67</v>
      </c>
      <c r="N1485" s="558"/>
      <c r="O1485" s="590">
        <v>3</v>
      </c>
      <c r="P1485" s="564">
        <v>494000</v>
      </c>
      <c r="Q1485" s="564">
        <v>1482000</v>
      </c>
      <c r="R1485" s="566" t="s">
        <v>1819</v>
      </c>
      <c r="S1485" s="589" t="s">
        <v>2804</v>
      </c>
      <c r="T1485" s="591">
        <v>10</v>
      </c>
      <c r="U1485" s="593"/>
      <c r="V1485" s="564">
        <v>4246132</v>
      </c>
      <c r="W1485" s="564">
        <v>42461000</v>
      </c>
      <c r="X1485" s="562" t="s">
        <v>981</v>
      </c>
      <c r="Y1485" s="568" t="s">
        <v>980</v>
      </c>
      <c r="Z1485" s="568" t="s">
        <v>1012</v>
      </c>
      <c r="AA1485" s="568"/>
      <c r="AB1485" s="568" t="s">
        <v>981</v>
      </c>
      <c r="AC1485" s="568"/>
      <c r="AD1485" s="568"/>
      <c r="AE1485" s="563"/>
      <c r="AF1485" s="570" t="s">
        <v>2899</v>
      </c>
      <c r="AG1485" s="570" t="s">
        <v>25</v>
      </c>
      <c r="AH1485" s="571" t="s">
        <v>25</v>
      </c>
      <c r="AI1485" s="704"/>
      <c r="AJ1485" s="558" t="s">
        <v>2449</v>
      </c>
    </row>
    <row r="1486" spans="1:38" s="385" customFormat="1" ht="101.25" outlineLevel="2" x14ac:dyDescent="0.3">
      <c r="A1486" s="447">
        <v>117</v>
      </c>
      <c r="B1486" s="558"/>
      <c r="C1486" s="558"/>
      <c r="D1486" s="615"/>
      <c r="E1486" s="700"/>
      <c r="F1486" s="558"/>
      <c r="G1486" s="604"/>
      <c r="H1486" s="546"/>
      <c r="I1486" s="563" t="s">
        <v>25</v>
      </c>
      <c r="J1486" s="563" t="s">
        <v>25</v>
      </c>
      <c r="K1486" s="564" t="s">
        <v>25</v>
      </c>
      <c r="L1486" s="564" t="s">
        <v>25</v>
      </c>
      <c r="M1486" s="558" t="s">
        <v>77</v>
      </c>
      <c r="N1486" s="558"/>
      <c r="O1486" s="590">
        <v>2</v>
      </c>
      <c r="P1486" s="564">
        <v>3064000</v>
      </c>
      <c r="Q1486" s="564">
        <v>6128000</v>
      </c>
      <c r="R1486" s="566" t="s">
        <v>1820</v>
      </c>
      <c r="S1486" s="589" t="s">
        <v>2804</v>
      </c>
      <c r="T1486" s="591">
        <v>44.4</v>
      </c>
      <c r="U1486" s="593"/>
      <c r="V1486" s="564">
        <v>5307665</v>
      </c>
      <c r="W1486" s="564">
        <v>235660000</v>
      </c>
      <c r="X1486" s="562" t="s">
        <v>981</v>
      </c>
      <c r="Y1486" s="568" t="s">
        <v>980</v>
      </c>
      <c r="Z1486" s="568" t="s">
        <v>1012</v>
      </c>
      <c r="AA1486" s="568" t="s">
        <v>269</v>
      </c>
      <c r="AB1486" s="568" t="s">
        <v>981</v>
      </c>
      <c r="AC1486" s="568"/>
      <c r="AD1486" s="568"/>
      <c r="AE1486" s="563"/>
      <c r="AF1486" s="570" t="s">
        <v>2899</v>
      </c>
      <c r="AG1486" s="570" t="s">
        <v>25</v>
      </c>
      <c r="AH1486" s="571" t="s">
        <v>25</v>
      </c>
      <c r="AI1486" s="558"/>
      <c r="AJ1486" s="558" t="s">
        <v>2800</v>
      </c>
    </row>
    <row r="1487" spans="1:38" s="385" customFormat="1" ht="81" outlineLevel="2" x14ac:dyDescent="0.3">
      <c r="A1487" s="447">
        <v>117</v>
      </c>
      <c r="B1487" s="558"/>
      <c r="C1487" s="558"/>
      <c r="D1487" s="615"/>
      <c r="E1487" s="700"/>
      <c r="F1487" s="558"/>
      <c r="G1487" s="604"/>
      <c r="H1487" s="546"/>
      <c r="I1487" s="563" t="s">
        <v>25</v>
      </c>
      <c r="J1487" s="563" t="s">
        <v>25</v>
      </c>
      <c r="K1487" s="564" t="s">
        <v>25</v>
      </c>
      <c r="L1487" s="564" t="s">
        <v>25</v>
      </c>
      <c r="M1487" s="558" t="s">
        <v>79</v>
      </c>
      <c r="N1487" s="558"/>
      <c r="O1487" s="590">
        <v>19</v>
      </c>
      <c r="P1487" s="564">
        <v>1035000</v>
      </c>
      <c r="Q1487" s="564">
        <v>19665000</v>
      </c>
      <c r="R1487" s="566" t="s">
        <v>1821</v>
      </c>
      <c r="S1487" s="589" t="s">
        <v>2804</v>
      </c>
      <c r="T1487" s="617">
        <v>2.4</v>
      </c>
      <c r="U1487" s="593"/>
      <c r="V1487" s="564">
        <v>9347414</v>
      </c>
      <c r="W1487" s="564">
        <v>22434000</v>
      </c>
      <c r="X1487" s="562" t="s">
        <v>981</v>
      </c>
      <c r="Y1487" s="568" t="s">
        <v>980</v>
      </c>
      <c r="Z1487" s="568" t="s">
        <v>1012</v>
      </c>
      <c r="AA1487" s="568" t="s">
        <v>269</v>
      </c>
      <c r="AB1487" s="568" t="s">
        <v>981</v>
      </c>
      <c r="AC1487" s="568"/>
      <c r="AD1487" s="568"/>
      <c r="AE1487" s="563"/>
      <c r="AF1487" s="570" t="s">
        <v>2899</v>
      </c>
      <c r="AG1487" s="570" t="s">
        <v>25</v>
      </c>
      <c r="AH1487" s="571" t="s">
        <v>25</v>
      </c>
      <c r="AI1487" s="704"/>
      <c r="AJ1487" s="558"/>
    </row>
    <row r="1488" spans="1:38" s="385" customFormat="1" ht="60.75" outlineLevel="2" x14ac:dyDescent="0.3">
      <c r="A1488" s="447">
        <v>117</v>
      </c>
      <c r="B1488" s="558"/>
      <c r="C1488" s="558"/>
      <c r="D1488" s="615"/>
      <c r="E1488" s="700"/>
      <c r="F1488" s="558"/>
      <c r="G1488" s="604"/>
      <c r="H1488" s="546"/>
      <c r="I1488" s="563" t="s">
        <v>25</v>
      </c>
      <c r="J1488" s="563" t="s">
        <v>25</v>
      </c>
      <c r="K1488" s="564" t="s">
        <v>25</v>
      </c>
      <c r="L1488" s="564" t="s">
        <v>25</v>
      </c>
      <c r="M1488" s="558" t="s">
        <v>80</v>
      </c>
      <c r="N1488" s="558"/>
      <c r="O1488" s="590">
        <v>1</v>
      </c>
      <c r="P1488" s="564">
        <v>400000</v>
      </c>
      <c r="Q1488" s="564">
        <v>400000</v>
      </c>
      <c r="R1488" s="566" t="s">
        <v>1822</v>
      </c>
      <c r="S1488" s="589" t="s">
        <v>2804</v>
      </c>
      <c r="T1488" s="591">
        <v>29.67</v>
      </c>
      <c r="U1488" s="593"/>
      <c r="V1488" s="564">
        <v>1107311</v>
      </c>
      <c r="W1488" s="564">
        <v>32854000</v>
      </c>
      <c r="X1488" s="562" t="s">
        <v>139</v>
      </c>
      <c r="Y1488" s="568" t="s">
        <v>980</v>
      </c>
      <c r="Z1488" s="568" t="s">
        <v>1012</v>
      </c>
      <c r="AA1488" s="568" t="s">
        <v>269</v>
      </c>
      <c r="AB1488" s="568" t="s">
        <v>267</v>
      </c>
      <c r="AC1488" s="568"/>
      <c r="AD1488" s="568"/>
      <c r="AE1488" s="563"/>
      <c r="AF1488" s="570" t="s">
        <v>2899</v>
      </c>
      <c r="AG1488" s="570" t="s">
        <v>25</v>
      </c>
      <c r="AH1488" s="571" t="s">
        <v>25</v>
      </c>
      <c r="AI1488" s="593"/>
      <c r="AJ1488" s="593"/>
    </row>
    <row r="1489" spans="1:36" s="385" customFormat="1" ht="81" outlineLevel="2" x14ac:dyDescent="0.3">
      <c r="A1489" s="447">
        <v>117</v>
      </c>
      <c r="B1489" s="558"/>
      <c r="C1489" s="558"/>
      <c r="D1489" s="615"/>
      <c r="E1489" s="700"/>
      <c r="F1489" s="558"/>
      <c r="G1489" s="604"/>
      <c r="H1489" s="546"/>
      <c r="I1489" s="563" t="s">
        <v>25</v>
      </c>
      <c r="J1489" s="563" t="s">
        <v>25</v>
      </c>
      <c r="K1489" s="564" t="s">
        <v>25</v>
      </c>
      <c r="L1489" s="564" t="s">
        <v>25</v>
      </c>
      <c r="M1489" s="558" t="s">
        <v>131</v>
      </c>
      <c r="N1489" s="558"/>
      <c r="O1489" s="590">
        <v>1</v>
      </c>
      <c r="P1489" s="564">
        <v>228000</v>
      </c>
      <c r="Q1489" s="564">
        <v>228000</v>
      </c>
      <c r="R1489" s="566" t="s">
        <v>1823</v>
      </c>
      <c r="S1489" s="589" t="s">
        <v>2804</v>
      </c>
      <c r="T1489" s="617">
        <v>2.2799999999999998</v>
      </c>
      <c r="U1489" s="593"/>
      <c r="V1489" s="564">
        <v>8524607</v>
      </c>
      <c r="W1489" s="564">
        <v>19436000</v>
      </c>
      <c r="X1489" s="562" t="s">
        <v>139</v>
      </c>
      <c r="Y1489" s="568" t="s">
        <v>980</v>
      </c>
      <c r="Z1489" s="568" t="s">
        <v>1012</v>
      </c>
      <c r="AA1489" s="568" t="s">
        <v>269</v>
      </c>
      <c r="AB1489" s="568" t="s">
        <v>139</v>
      </c>
      <c r="AC1489" s="568"/>
      <c r="AD1489" s="568"/>
      <c r="AE1489" s="563"/>
      <c r="AF1489" s="570" t="s">
        <v>2899</v>
      </c>
      <c r="AG1489" s="570" t="s">
        <v>25</v>
      </c>
      <c r="AH1489" s="571" t="s">
        <v>25</v>
      </c>
      <c r="AI1489" s="558"/>
      <c r="AJ1489" s="558"/>
    </row>
    <row r="1490" spans="1:36" s="385" customFormat="1" ht="60.75" outlineLevel="2" x14ac:dyDescent="0.3">
      <c r="A1490" s="447">
        <v>117</v>
      </c>
      <c r="B1490" s="558"/>
      <c r="C1490" s="558"/>
      <c r="D1490" s="615"/>
      <c r="E1490" s="700"/>
      <c r="F1490" s="558"/>
      <c r="G1490" s="604"/>
      <c r="H1490" s="546"/>
      <c r="I1490" s="563" t="s">
        <v>25</v>
      </c>
      <c r="J1490" s="563" t="s">
        <v>25</v>
      </c>
      <c r="K1490" s="564" t="s">
        <v>25</v>
      </c>
      <c r="L1490" s="564" t="s">
        <v>25</v>
      </c>
      <c r="M1490" s="586" t="s">
        <v>783</v>
      </c>
      <c r="N1490" s="586"/>
      <c r="O1490" s="590">
        <v>1</v>
      </c>
      <c r="P1490" s="564">
        <v>60000</v>
      </c>
      <c r="Q1490" s="564">
        <v>60000</v>
      </c>
      <c r="R1490" s="566" t="s">
        <v>1824</v>
      </c>
      <c r="S1490" s="589" t="s">
        <v>2804</v>
      </c>
      <c r="T1490" s="591">
        <v>10.199999999999999</v>
      </c>
      <c r="U1490" s="593"/>
      <c r="V1490" s="564">
        <v>1737793</v>
      </c>
      <c r="W1490" s="564">
        <v>17725000</v>
      </c>
      <c r="X1490" s="562"/>
      <c r="Y1490" s="568"/>
      <c r="Z1490" s="568"/>
      <c r="AA1490" s="568"/>
      <c r="AB1490" s="568"/>
      <c r="AC1490" s="568"/>
      <c r="AD1490" s="568"/>
      <c r="AE1490" s="563"/>
      <c r="AF1490" s="570" t="s">
        <v>2899</v>
      </c>
      <c r="AG1490" s="570" t="s">
        <v>25</v>
      </c>
      <c r="AH1490" s="571" t="s">
        <v>25</v>
      </c>
      <c r="AI1490" s="558"/>
      <c r="AJ1490" s="558"/>
    </row>
    <row r="1491" spans="1:36" s="385" customFormat="1" ht="60.75" outlineLevel="2" x14ac:dyDescent="0.3">
      <c r="A1491" s="447">
        <v>117</v>
      </c>
      <c r="B1491" s="558"/>
      <c r="C1491" s="558"/>
      <c r="D1491" s="615"/>
      <c r="E1491" s="700"/>
      <c r="F1491" s="558"/>
      <c r="G1491" s="604"/>
      <c r="H1491" s="546"/>
      <c r="I1491" s="563" t="s">
        <v>25</v>
      </c>
      <c r="J1491" s="563" t="s">
        <v>25</v>
      </c>
      <c r="K1491" s="564" t="s">
        <v>25</v>
      </c>
      <c r="L1491" s="564" t="s">
        <v>25</v>
      </c>
      <c r="M1491" s="558" t="s">
        <v>836</v>
      </c>
      <c r="N1491" s="558"/>
      <c r="O1491" s="590">
        <v>2</v>
      </c>
      <c r="P1491" s="564">
        <v>0</v>
      </c>
      <c r="Q1491" s="564">
        <v>0</v>
      </c>
      <c r="R1491" s="566" t="s">
        <v>1768</v>
      </c>
      <c r="S1491" s="589" t="s">
        <v>2804</v>
      </c>
      <c r="T1491" s="591">
        <v>7</v>
      </c>
      <c r="U1491" s="593"/>
      <c r="V1491" s="564">
        <v>238288</v>
      </c>
      <c r="W1491" s="564">
        <v>1668000</v>
      </c>
      <c r="X1491" s="562"/>
      <c r="Y1491" s="568"/>
      <c r="Z1491" s="568"/>
      <c r="AA1491" s="568"/>
      <c r="AB1491" s="568"/>
      <c r="AC1491" s="568"/>
      <c r="AD1491" s="568"/>
      <c r="AE1491" s="563"/>
      <c r="AF1491" s="570" t="s">
        <v>2899</v>
      </c>
      <c r="AG1491" s="570" t="s">
        <v>25</v>
      </c>
      <c r="AH1491" s="571" t="s">
        <v>25</v>
      </c>
      <c r="AI1491" s="558"/>
      <c r="AJ1491" s="558"/>
    </row>
    <row r="1492" spans="1:36" s="385" customFormat="1" ht="60.75" outlineLevel="2" x14ac:dyDescent="0.3">
      <c r="A1492" s="447">
        <v>117</v>
      </c>
      <c r="B1492" s="558"/>
      <c r="C1492" s="558"/>
      <c r="D1492" s="615"/>
      <c r="E1492" s="700"/>
      <c r="F1492" s="558"/>
      <c r="G1492" s="604"/>
      <c r="H1492" s="546"/>
      <c r="I1492" s="563" t="s">
        <v>25</v>
      </c>
      <c r="J1492" s="563" t="s">
        <v>25</v>
      </c>
      <c r="K1492" s="564" t="s">
        <v>25</v>
      </c>
      <c r="L1492" s="564" t="s">
        <v>25</v>
      </c>
      <c r="M1492" s="558" t="s">
        <v>750</v>
      </c>
      <c r="N1492" s="558"/>
      <c r="O1492" s="590">
        <v>3</v>
      </c>
      <c r="P1492" s="564">
        <v>0</v>
      </c>
      <c r="Q1492" s="564">
        <v>0</v>
      </c>
      <c r="R1492" s="566" t="s">
        <v>1798</v>
      </c>
      <c r="S1492" s="589" t="s">
        <v>2804</v>
      </c>
      <c r="T1492" s="591">
        <v>6.1</v>
      </c>
      <c r="U1492" s="593"/>
      <c r="V1492" s="564">
        <v>348773</v>
      </c>
      <c r="W1492" s="564">
        <v>2128000</v>
      </c>
      <c r="X1492" s="562"/>
      <c r="Y1492" s="568"/>
      <c r="Z1492" s="568"/>
      <c r="AA1492" s="568"/>
      <c r="AB1492" s="568"/>
      <c r="AC1492" s="568"/>
      <c r="AD1492" s="568"/>
      <c r="AE1492" s="563"/>
      <c r="AF1492" s="570" t="s">
        <v>2899</v>
      </c>
      <c r="AG1492" s="570" t="s">
        <v>25</v>
      </c>
      <c r="AH1492" s="571" t="s">
        <v>25</v>
      </c>
      <c r="AI1492" s="558"/>
      <c r="AJ1492" s="558"/>
    </row>
    <row r="1493" spans="1:36" s="385" customFormat="1" ht="60.75" outlineLevel="2" x14ac:dyDescent="0.3">
      <c r="A1493" s="447">
        <v>117</v>
      </c>
      <c r="B1493" s="558"/>
      <c r="C1493" s="558"/>
      <c r="D1493" s="615"/>
      <c r="E1493" s="700"/>
      <c r="F1493" s="558"/>
      <c r="G1493" s="604"/>
      <c r="H1493" s="546"/>
      <c r="I1493" s="563" t="s">
        <v>25</v>
      </c>
      <c r="J1493" s="563" t="s">
        <v>25</v>
      </c>
      <c r="K1493" s="564" t="s">
        <v>25</v>
      </c>
      <c r="L1493" s="564" t="s">
        <v>25</v>
      </c>
      <c r="M1493" s="558" t="s">
        <v>76</v>
      </c>
      <c r="N1493" s="558"/>
      <c r="O1493" s="590">
        <v>2</v>
      </c>
      <c r="P1493" s="564">
        <v>45000</v>
      </c>
      <c r="Q1493" s="564">
        <v>90000</v>
      </c>
      <c r="R1493" s="566" t="s">
        <v>1798</v>
      </c>
      <c r="S1493" s="589" t="s">
        <v>2804</v>
      </c>
      <c r="T1493" s="591">
        <v>4.5</v>
      </c>
      <c r="U1493" s="593"/>
      <c r="V1493" s="564">
        <v>348773</v>
      </c>
      <c r="W1493" s="564">
        <v>1569000</v>
      </c>
      <c r="X1493" s="562"/>
      <c r="Y1493" s="568"/>
      <c r="Z1493" s="568"/>
      <c r="AA1493" s="568"/>
      <c r="AB1493" s="568"/>
      <c r="AC1493" s="568"/>
      <c r="AD1493" s="568"/>
      <c r="AE1493" s="563"/>
      <c r="AF1493" s="570" t="s">
        <v>2899</v>
      </c>
      <c r="AG1493" s="570" t="s">
        <v>25</v>
      </c>
      <c r="AH1493" s="571" t="s">
        <v>25</v>
      </c>
      <c r="AI1493" s="558"/>
      <c r="AJ1493" s="558"/>
    </row>
    <row r="1494" spans="1:36" s="385" customFormat="1" ht="40.5" outlineLevel="2" x14ac:dyDescent="0.3">
      <c r="A1494" s="447">
        <v>117</v>
      </c>
      <c r="B1494" s="558"/>
      <c r="C1494" s="558"/>
      <c r="D1494" s="615"/>
      <c r="E1494" s="700"/>
      <c r="F1494" s="558"/>
      <c r="G1494" s="604"/>
      <c r="H1494" s="546"/>
      <c r="I1494" s="563" t="s">
        <v>25</v>
      </c>
      <c r="J1494" s="563" t="s">
        <v>25</v>
      </c>
      <c r="K1494" s="564" t="s">
        <v>25</v>
      </c>
      <c r="L1494" s="564" t="s">
        <v>25</v>
      </c>
      <c r="M1494" s="558"/>
      <c r="N1494" s="558"/>
      <c r="O1494" s="590"/>
      <c r="P1494" s="564" t="s">
        <v>25</v>
      </c>
      <c r="Q1494" s="564" t="s">
        <v>25</v>
      </c>
      <c r="R1494" s="566" t="s">
        <v>1800</v>
      </c>
      <c r="S1494" s="589" t="s">
        <v>2827</v>
      </c>
      <c r="T1494" s="591">
        <v>0.2</v>
      </c>
      <c r="U1494" s="593"/>
      <c r="V1494" s="564">
        <v>0</v>
      </c>
      <c r="W1494" s="564">
        <v>0</v>
      </c>
      <c r="X1494" s="562"/>
      <c r="Y1494" s="568"/>
      <c r="Z1494" s="568"/>
      <c r="AA1494" s="568"/>
      <c r="AB1494" s="568"/>
      <c r="AC1494" s="568"/>
      <c r="AD1494" s="568"/>
      <c r="AE1494" s="563"/>
      <c r="AF1494" s="570" t="s">
        <v>2899</v>
      </c>
      <c r="AG1494" s="570" t="s">
        <v>25</v>
      </c>
      <c r="AH1494" s="571" t="s">
        <v>25</v>
      </c>
      <c r="AI1494" s="558"/>
      <c r="AJ1494" s="558"/>
    </row>
    <row r="1495" spans="1:36" s="385" customFormat="1" ht="60.75" outlineLevel="2" x14ac:dyDescent="0.3">
      <c r="A1495" s="447">
        <v>117</v>
      </c>
      <c r="B1495" s="558"/>
      <c r="C1495" s="558"/>
      <c r="D1495" s="615"/>
      <c r="E1495" s="700"/>
      <c r="F1495" s="558"/>
      <c r="G1495" s="604"/>
      <c r="H1495" s="546"/>
      <c r="I1495" s="563" t="s">
        <v>25</v>
      </c>
      <c r="J1495" s="563" t="s">
        <v>25</v>
      </c>
      <c r="K1495" s="564" t="s">
        <v>25</v>
      </c>
      <c r="L1495" s="564" t="s">
        <v>25</v>
      </c>
      <c r="M1495" s="558"/>
      <c r="N1495" s="558"/>
      <c r="O1495" s="590"/>
      <c r="P1495" s="564" t="s">
        <v>25</v>
      </c>
      <c r="Q1495" s="564" t="s">
        <v>25</v>
      </c>
      <c r="R1495" s="566" t="s">
        <v>1777</v>
      </c>
      <c r="S1495" s="589" t="s">
        <v>2804</v>
      </c>
      <c r="T1495" s="591">
        <v>4.7</v>
      </c>
      <c r="U1495" s="593"/>
      <c r="V1495" s="564">
        <v>286855</v>
      </c>
      <c r="W1495" s="564">
        <v>1348000</v>
      </c>
      <c r="X1495" s="562"/>
      <c r="Y1495" s="568"/>
      <c r="Z1495" s="568"/>
      <c r="AA1495" s="568"/>
      <c r="AB1495" s="568"/>
      <c r="AC1495" s="568"/>
      <c r="AD1495" s="568"/>
      <c r="AE1495" s="563"/>
      <c r="AF1495" s="570" t="s">
        <v>2899</v>
      </c>
      <c r="AG1495" s="570" t="s">
        <v>25</v>
      </c>
      <c r="AH1495" s="571" t="s">
        <v>25</v>
      </c>
      <c r="AI1495" s="558"/>
      <c r="AJ1495" s="558"/>
    </row>
    <row r="1496" spans="1:36" s="385" customFormat="1" ht="40.5" outlineLevel="2" x14ac:dyDescent="0.3">
      <c r="A1496" s="447">
        <v>117</v>
      </c>
      <c r="B1496" s="558"/>
      <c r="C1496" s="558"/>
      <c r="D1496" s="615"/>
      <c r="E1496" s="700"/>
      <c r="F1496" s="558"/>
      <c r="G1496" s="604"/>
      <c r="H1496" s="546"/>
      <c r="I1496" s="563" t="s">
        <v>25</v>
      </c>
      <c r="J1496" s="563" t="s">
        <v>25</v>
      </c>
      <c r="K1496" s="564" t="s">
        <v>25</v>
      </c>
      <c r="L1496" s="564" t="s">
        <v>25</v>
      </c>
      <c r="M1496" s="558"/>
      <c r="N1496" s="558"/>
      <c r="O1496" s="590"/>
      <c r="P1496" s="564" t="s">
        <v>25</v>
      </c>
      <c r="Q1496" s="564" t="s">
        <v>25</v>
      </c>
      <c r="R1496" s="566" t="s">
        <v>1775</v>
      </c>
      <c r="S1496" s="589" t="s">
        <v>2804</v>
      </c>
      <c r="T1496" s="591">
        <v>10.4</v>
      </c>
      <c r="U1496" s="593"/>
      <c r="V1496" s="564">
        <v>0</v>
      </c>
      <c r="W1496" s="564">
        <v>0</v>
      </c>
      <c r="X1496" s="562"/>
      <c r="Y1496" s="568"/>
      <c r="Z1496" s="568"/>
      <c r="AA1496" s="568"/>
      <c r="AB1496" s="568"/>
      <c r="AC1496" s="568"/>
      <c r="AD1496" s="568"/>
      <c r="AE1496" s="563"/>
      <c r="AF1496" s="570" t="s">
        <v>2899</v>
      </c>
      <c r="AG1496" s="570" t="s">
        <v>25</v>
      </c>
      <c r="AH1496" s="571" t="s">
        <v>25</v>
      </c>
      <c r="AI1496" s="558"/>
      <c r="AJ1496" s="558"/>
    </row>
    <row r="1497" spans="1:36" s="385" customFormat="1" ht="40.5" outlineLevel="2" x14ac:dyDescent="0.3">
      <c r="A1497" s="447">
        <v>117</v>
      </c>
      <c r="B1497" s="558"/>
      <c r="C1497" s="558"/>
      <c r="D1497" s="615"/>
      <c r="E1497" s="700"/>
      <c r="F1497" s="558"/>
      <c r="G1497" s="604"/>
      <c r="H1497" s="546"/>
      <c r="I1497" s="563" t="s">
        <v>25</v>
      </c>
      <c r="J1497" s="563" t="s">
        <v>25</v>
      </c>
      <c r="K1497" s="564" t="s">
        <v>25</v>
      </c>
      <c r="L1497" s="564" t="s">
        <v>25</v>
      </c>
      <c r="M1497" s="558"/>
      <c r="N1497" s="558"/>
      <c r="O1497" s="590"/>
      <c r="P1497" s="564" t="s">
        <v>25</v>
      </c>
      <c r="Q1497" s="564" t="s">
        <v>25</v>
      </c>
      <c r="R1497" s="566" t="s">
        <v>1775</v>
      </c>
      <c r="S1497" s="589" t="s">
        <v>2804</v>
      </c>
      <c r="T1497" s="591">
        <v>3.04</v>
      </c>
      <c r="U1497" s="593"/>
      <c r="V1497" s="564">
        <v>0</v>
      </c>
      <c r="W1497" s="564">
        <v>0</v>
      </c>
      <c r="X1497" s="562"/>
      <c r="Y1497" s="568" t="s">
        <v>266</v>
      </c>
      <c r="Z1497" s="568" t="s">
        <v>82</v>
      </c>
      <c r="AA1497" s="568" t="s">
        <v>1059</v>
      </c>
      <c r="AB1497" s="568" t="s">
        <v>1060</v>
      </c>
      <c r="AC1497" s="568"/>
      <c r="AD1497" s="568"/>
      <c r="AE1497" s="563"/>
      <c r="AF1497" s="570" t="s">
        <v>2899</v>
      </c>
      <c r="AG1497" s="570" t="s">
        <v>25</v>
      </c>
      <c r="AH1497" s="571" t="s">
        <v>25</v>
      </c>
      <c r="AI1497" s="558"/>
      <c r="AJ1497" s="558"/>
    </row>
    <row r="1498" spans="1:36" s="385" customFormat="1" ht="60.75" outlineLevel="2" x14ac:dyDescent="0.3">
      <c r="A1498" s="447">
        <v>117</v>
      </c>
      <c r="B1498" s="558"/>
      <c r="C1498" s="558"/>
      <c r="D1498" s="615"/>
      <c r="E1498" s="700"/>
      <c r="F1498" s="558"/>
      <c r="G1498" s="604"/>
      <c r="H1498" s="546"/>
      <c r="I1498" s="563" t="s">
        <v>25</v>
      </c>
      <c r="J1498" s="563" t="s">
        <v>25</v>
      </c>
      <c r="K1498" s="564" t="s">
        <v>25</v>
      </c>
      <c r="L1498" s="564" t="s">
        <v>25</v>
      </c>
      <c r="M1498" s="558"/>
      <c r="N1498" s="558"/>
      <c r="O1498" s="590"/>
      <c r="P1498" s="564" t="s">
        <v>25</v>
      </c>
      <c r="Q1498" s="564" t="s">
        <v>25</v>
      </c>
      <c r="R1498" s="566" t="s">
        <v>1825</v>
      </c>
      <c r="S1498" s="589" t="s">
        <v>93</v>
      </c>
      <c r="T1498" s="591">
        <v>1</v>
      </c>
      <c r="U1498" s="593"/>
      <c r="V1498" s="564">
        <v>0</v>
      </c>
      <c r="W1498" s="564">
        <v>0</v>
      </c>
      <c r="X1498" s="562"/>
      <c r="Y1498" s="568" t="s">
        <v>266</v>
      </c>
      <c r="Z1498" s="568" t="s">
        <v>82</v>
      </c>
      <c r="AA1498" s="568" t="s">
        <v>1059</v>
      </c>
      <c r="AB1498" s="568" t="s">
        <v>1060</v>
      </c>
      <c r="AC1498" s="568"/>
      <c r="AD1498" s="568"/>
      <c r="AE1498" s="563"/>
      <c r="AF1498" s="570" t="s">
        <v>2899</v>
      </c>
      <c r="AG1498" s="570" t="s">
        <v>25</v>
      </c>
      <c r="AH1498" s="571" t="s">
        <v>25</v>
      </c>
      <c r="AI1498" s="558"/>
      <c r="AJ1498" s="558"/>
    </row>
    <row r="1499" spans="1:36" s="385" customFormat="1" ht="20.25" outlineLevel="2" x14ac:dyDescent="0.3">
      <c r="A1499" s="447">
        <v>117</v>
      </c>
      <c r="B1499" s="558"/>
      <c r="C1499" s="558"/>
      <c r="D1499" s="615"/>
      <c r="E1499" s="700"/>
      <c r="F1499" s="558"/>
      <c r="G1499" s="604"/>
      <c r="H1499" s="546"/>
      <c r="I1499" s="563" t="s">
        <v>25</v>
      </c>
      <c r="J1499" s="563" t="s">
        <v>25</v>
      </c>
      <c r="K1499" s="564" t="s">
        <v>25</v>
      </c>
      <c r="L1499" s="564" t="s">
        <v>25</v>
      </c>
      <c r="M1499" s="558"/>
      <c r="N1499" s="558"/>
      <c r="O1499" s="590"/>
      <c r="P1499" s="564" t="s">
        <v>25</v>
      </c>
      <c r="Q1499" s="564" t="s">
        <v>25</v>
      </c>
      <c r="R1499" s="566"/>
      <c r="S1499" s="589"/>
      <c r="T1499" s="591"/>
      <c r="U1499" s="593"/>
      <c r="V1499" s="564" t="s">
        <v>2899</v>
      </c>
      <c r="W1499" s="564" t="s">
        <v>25</v>
      </c>
      <c r="X1499" s="562"/>
      <c r="Y1499" s="568"/>
      <c r="Z1499" s="568"/>
      <c r="AA1499" s="568"/>
      <c r="AB1499" s="568"/>
      <c r="AC1499" s="568"/>
      <c r="AD1499" s="568"/>
      <c r="AE1499" s="563"/>
      <c r="AF1499" s="570" t="s">
        <v>2899</v>
      </c>
      <c r="AG1499" s="570" t="s">
        <v>25</v>
      </c>
      <c r="AH1499" s="571" t="s">
        <v>25</v>
      </c>
      <c r="AI1499" s="558"/>
      <c r="AJ1499" s="558"/>
    </row>
    <row r="1500" spans="1:36" s="385" customFormat="1" ht="20.25" outlineLevel="2" x14ac:dyDescent="0.3">
      <c r="A1500" s="447">
        <v>117</v>
      </c>
      <c r="B1500" s="574"/>
      <c r="C1500" s="574"/>
      <c r="D1500" s="705"/>
      <c r="E1500" s="706"/>
      <c r="F1500" s="558"/>
      <c r="G1500" s="732"/>
      <c r="H1500" s="546"/>
      <c r="I1500" s="563" t="s">
        <v>25</v>
      </c>
      <c r="J1500" s="563" t="s">
        <v>25</v>
      </c>
      <c r="K1500" s="564" t="s">
        <v>25</v>
      </c>
      <c r="L1500" s="564" t="s">
        <v>25</v>
      </c>
      <c r="M1500" s="586"/>
      <c r="N1500" s="586"/>
      <c r="O1500" s="630"/>
      <c r="P1500" s="564" t="s">
        <v>25</v>
      </c>
      <c r="Q1500" s="564" t="s">
        <v>25</v>
      </c>
      <c r="R1500" s="586"/>
      <c r="S1500" s="609"/>
      <c r="T1500" s="567"/>
      <c r="U1500" s="661"/>
      <c r="V1500" s="564" t="s">
        <v>2899</v>
      </c>
      <c r="W1500" s="564" t="s">
        <v>25</v>
      </c>
      <c r="X1500" s="562"/>
      <c r="Y1500" s="568"/>
      <c r="Z1500" s="568"/>
      <c r="AA1500" s="568"/>
      <c r="AB1500" s="568"/>
      <c r="AC1500" s="568"/>
      <c r="AD1500" s="568"/>
      <c r="AE1500" s="563"/>
      <c r="AF1500" s="570" t="s">
        <v>2899</v>
      </c>
      <c r="AG1500" s="570" t="s">
        <v>25</v>
      </c>
      <c r="AH1500" s="571" t="s">
        <v>25</v>
      </c>
      <c r="AI1500" s="593"/>
      <c r="AJ1500" s="593"/>
    </row>
    <row r="1501" spans="1:36" s="385" customFormat="1" ht="40.5" outlineLevel="1" x14ac:dyDescent="0.25">
      <c r="A1501" s="467">
        <v>118</v>
      </c>
      <c r="B1501" s="574" t="s">
        <v>1061</v>
      </c>
      <c r="C1501" s="586" t="s">
        <v>2903</v>
      </c>
      <c r="D1501" s="615">
        <v>86</v>
      </c>
      <c r="E1501" s="700">
        <v>228</v>
      </c>
      <c r="F1501" s="574"/>
      <c r="G1501" s="596">
        <v>100</v>
      </c>
      <c r="H1501" s="579">
        <v>100</v>
      </c>
      <c r="I1501" s="581"/>
      <c r="J1501" s="581"/>
      <c r="K1501" s="571">
        <v>37680000</v>
      </c>
      <c r="L1501" s="571">
        <v>113040000</v>
      </c>
      <c r="M1501" s="574"/>
      <c r="N1501" s="574"/>
      <c r="O1501" s="599">
        <v>0</v>
      </c>
      <c r="P1501" s="571"/>
      <c r="Q1501" s="571">
        <v>0</v>
      </c>
      <c r="R1501" s="582"/>
      <c r="S1501" s="597"/>
      <c r="T1501" s="600">
        <v>0</v>
      </c>
      <c r="U1501" s="608"/>
      <c r="V1501" s="571"/>
      <c r="W1501" s="571">
        <v>0</v>
      </c>
      <c r="X1501" s="562"/>
      <c r="Y1501" s="568"/>
      <c r="Z1501" s="568"/>
      <c r="AA1501" s="568"/>
      <c r="AB1501" s="568"/>
      <c r="AC1501" s="568"/>
      <c r="AD1501" s="584"/>
      <c r="AE1501" s="581">
        <f>SUBTOTAL(9,AE1502:AE1506)</f>
        <v>0</v>
      </c>
      <c r="AF1501" s="585"/>
      <c r="AG1501" s="585">
        <v>0</v>
      </c>
      <c r="AH1501" s="571">
        <v>150720000</v>
      </c>
      <c r="AI1501" s="574"/>
      <c r="AJ1501" s="578"/>
    </row>
    <row r="1502" spans="1:36" s="385" customFormat="1" ht="121.5" outlineLevel="2" x14ac:dyDescent="0.3">
      <c r="A1502" s="447">
        <v>118</v>
      </c>
      <c r="B1502" s="684" t="s">
        <v>2784</v>
      </c>
      <c r="C1502" s="684"/>
      <c r="D1502" s="615"/>
      <c r="E1502" s="700"/>
      <c r="F1502" s="684" t="s">
        <v>2433</v>
      </c>
      <c r="G1502" s="604">
        <v>100</v>
      </c>
      <c r="H1502" s="546">
        <v>100</v>
      </c>
      <c r="I1502" s="563">
        <v>376800</v>
      </c>
      <c r="J1502" s="563">
        <v>1130400</v>
      </c>
      <c r="K1502" s="564">
        <v>37680000</v>
      </c>
      <c r="L1502" s="564">
        <v>113040000</v>
      </c>
      <c r="M1502" s="558"/>
      <c r="N1502" s="558"/>
      <c r="O1502" s="590"/>
      <c r="P1502" s="564" t="s">
        <v>25</v>
      </c>
      <c r="Q1502" s="564" t="s">
        <v>25</v>
      </c>
      <c r="R1502" s="566"/>
      <c r="S1502" s="589"/>
      <c r="T1502" s="591"/>
      <c r="U1502" s="593"/>
      <c r="V1502" s="564" t="s">
        <v>2899</v>
      </c>
      <c r="W1502" s="564" t="s">
        <v>25</v>
      </c>
      <c r="X1502" s="562"/>
      <c r="Y1502" s="568"/>
      <c r="Z1502" s="568"/>
      <c r="AA1502" s="568"/>
      <c r="AB1502" s="568"/>
      <c r="AC1502" s="568"/>
      <c r="AD1502" s="568"/>
      <c r="AE1502" s="563"/>
      <c r="AF1502" s="570" t="s">
        <v>2899</v>
      </c>
      <c r="AG1502" s="570"/>
      <c r="AH1502" s="571" t="s">
        <v>25</v>
      </c>
      <c r="AI1502" s="558" t="s">
        <v>1062</v>
      </c>
      <c r="AJ1502" s="586" t="s">
        <v>2771</v>
      </c>
    </row>
    <row r="1503" spans="1:36" s="385" customFormat="1" ht="121.5" outlineLevel="2" x14ac:dyDescent="0.3">
      <c r="A1503" s="447">
        <v>118</v>
      </c>
      <c r="B1503" s="586" t="s">
        <v>1581</v>
      </c>
      <c r="C1503" s="586"/>
      <c r="D1503" s="615"/>
      <c r="E1503" s="700"/>
      <c r="F1503" s="558"/>
      <c r="G1503" s="604"/>
      <c r="H1503" s="546"/>
      <c r="I1503" s="563" t="s">
        <v>25</v>
      </c>
      <c r="J1503" s="563" t="s">
        <v>25</v>
      </c>
      <c r="K1503" s="564" t="s">
        <v>25</v>
      </c>
      <c r="L1503" s="564" t="s">
        <v>25</v>
      </c>
      <c r="M1503" s="558"/>
      <c r="N1503" s="558"/>
      <c r="O1503" s="590"/>
      <c r="P1503" s="564" t="s">
        <v>25</v>
      </c>
      <c r="Q1503" s="564" t="s">
        <v>25</v>
      </c>
      <c r="R1503" s="566"/>
      <c r="S1503" s="589"/>
      <c r="T1503" s="617"/>
      <c r="U1503" s="593"/>
      <c r="V1503" s="564" t="s">
        <v>2899</v>
      </c>
      <c r="W1503" s="564" t="s">
        <v>25</v>
      </c>
      <c r="X1503" s="562"/>
      <c r="Y1503" s="568"/>
      <c r="Z1503" s="568"/>
      <c r="AA1503" s="568"/>
      <c r="AB1503" s="568"/>
      <c r="AC1503" s="568"/>
      <c r="AD1503" s="568"/>
      <c r="AE1503" s="563"/>
      <c r="AF1503" s="570" t="s">
        <v>2899</v>
      </c>
      <c r="AG1503" s="570" t="s">
        <v>25</v>
      </c>
      <c r="AH1503" s="571" t="s">
        <v>25</v>
      </c>
      <c r="AI1503" s="558" t="s">
        <v>2839</v>
      </c>
      <c r="AJ1503" s="605" t="s">
        <v>2448</v>
      </c>
    </row>
    <row r="1504" spans="1:36" s="385" customFormat="1" ht="60.75" outlineLevel="2" x14ac:dyDescent="0.3">
      <c r="A1504" s="447">
        <v>118</v>
      </c>
      <c r="B1504" s="558"/>
      <c r="C1504" s="558"/>
      <c r="D1504" s="615"/>
      <c r="E1504" s="700"/>
      <c r="F1504" s="558"/>
      <c r="G1504" s="604"/>
      <c r="H1504" s="546"/>
      <c r="I1504" s="563" t="s">
        <v>25</v>
      </c>
      <c r="J1504" s="563" t="s">
        <v>25</v>
      </c>
      <c r="K1504" s="564" t="s">
        <v>25</v>
      </c>
      <c r="L1504" s="564" t="s">
        <v>25</v>
      </c>
      <c r="M1504" s="558"/>
      <c r="N1504" s="558"/>
      <c r="O1504" s="590"/>
      <c r="P1504" s="564" t="s">
        <v>25</v>
      </c>
      <c r="Q1504" s="564" t="s">
        <v>25</v>
      </c>
      <c r="R1504" s="566"/>
      <c r="S1504" s="589"/>
      <c r="T1504" s="591"/>
      <c r="U1504" s="593"/>
      <c r="V1504" s="564" t="s">
        <v>2899</v>
      </c>
      <c r="W1504" s="564" t="s">
        <v>25</v>
      </c>
      <c r="X1504" s="562"/>
      <c r="Y1504" s="568"/>
      <c r="Z1504" s="568"/>
      <c r="AA1504" s="568"/>
      <c r="AB1504" s="568"/>
      <c r="AC1504" s="568"/>
      <c r="AD1504" s="568"/>
      <c r="AE1504" s="563"/>
      <c r="AF1504" s="570" t="s">
        <v>2899</v>
      </c>
      <c r="AG1504" s="570" t="s">
        <v>25</v>
      </c>
      <c r="AH1504" s="571" t="s">
        <v>25</v>
      </c>
      <c r="AI1504" s="558" t="s">
        <v>2074</v>
      </c>
      <c r="AJ1504" s="593"/>
    </row>
    <row r="1505" spans="1:36" s="385" customFormat="1" ht="20.25" outlineLevel="2" x14ac:dyDescent="0.3">
      <c r="A1505" s="447">
        <v>118</v>
      </c>
      <c r="B1505" s="558"/>
      <c r="C1505" s="558"/>
      <c r="D1505" s="615"/>
      <c r="E1505" s="700"/>
      <c r="F1505" s="558"/>
      <c r="G1505" s="604"/>
      <c r="H1505" s="546"/>
      <c r="I1505" s="563" t="s">
        <v>25</v>
      </c>
      <c r="J1505" s="563" t="s">
        <v>25</v>
      </c>
      <c r="K1505" s="564" t="s">
        <v>25</v>
      </c>
      <c r="L1505" s="564" t="s">
        <v>25</v>
      </c>
      <c r="M1505" s="558"/>
      <c r="N1505" s="558"/>
      <c r="O1505" s="590"/>
      <c r="P1505" s="564" t="s">
        <v>25</v>
      </c>
      <c r="Q1505" s="564" t="s">
        <v>25</v>
      </c>
      <c r="R1505" s="566"/>
      <c r="S1505" s="589"/>
      <c r="T1505" s="591"/>
      <c r="U1505" s="593"/>
      <c r="V1505" s="564" t="s">
        <v>2899</v>
      </c>
      <c r="W1505" s="564" t="s">
        <v>25</v>
      </c>
      <c r="X1505" s="562"/>
      <c r="Y1505" s="568"/>
      <c r="Z1505" s="568"/>
      <c r="AA1505" s="568"/>
      <c r="AB1505" s="568"/>
      <c r="AC1505" s="568"/>
      <c r="AD1505" s="568"/>
      <c r="AE1505" s="563"/>
      <c r="AF1505" s="570" t="s">
        <v>2899</v>
      </c>
      <c r="AG1505" s="570" t="s">
        <v>25</v>
      </c>
      <c r="AH1505" s="571" t="s">
        <v>25</v>
      </c>
      <c r="AI1505" s="704"/>
      <c r="AJ1505" s="558"/>
    </row>
    <row r="1506" spans="1:36" s="385" customFormat="1" ht="20.25" outlineLevel="2" x14ac:dyDescent="0.3">
      <c r="A1506" s="447">
        <v>118</v>
      </c>
      <c r="B1506" s="574"/>
      <c r="C1506" s="574"/>
      <c r="D1506" s="705"/>
      <c r="E1506" s="706"/>
      <c r="F1506" s="558"/>
      <c r="G1506" s="604"/>
      <c r="H1506" s="546"/>
      <c r="I1506" s="563" t="s">
        <v>25</v>
      </c>
      <c r="J1506" s="563" t="s">
        <v>25</v>
      </c>
      <c r="K1506" s="564" t="s">
        <v>25</v>
      </c>
      <c r="L1506" s="564" t="s">
        <v>25</v>
      </c>
      <c r="M1506" s="558"/>
      <c r="N1506" s="558"/>
      <c r="O1506" s="590"/>
      <c r="P1506" s="564" t="s">
        <v>25</v>
      </c>
      <c r="Q1506" s="564" t="s">
        <v>25</v>
      </c>
      <c r="R1506" s="566"/>
      <c r="S1506" s="589"/>
      <c r="T1506" s="591"/>
      <c r="U1506" s="593"/>
      <c r="V1506" s="564" t="s">
        <v>2899</v>
      </c>
      <c r="W1506" s="564" t="s">
        <v>25</v>
      </c>
      <c r="X1506" s="562"/>
      <c r="Y1506" s="568"/>
      <c r="Z1506" s="568"/>
      <c r="AA1506" s="568"/>
      <c r="AB1506" s="568"/>
      <c r="AC1506" s="568"/>
      <c r="AD1506" s="568"/>
      <c r="AE1506" s="563"/>
      <c r="AF1506" s="570" t="s">
        <v>2899</v>
      </c>
      <c r="AG1506" s="570" t="s">
        <v>25</v>
      </c>
      <c r="AH1506" s="571" t="s">
        <v>25</v>
      </c>
      <c r="AI1506" s="558"/>
      <c r="AJ1506" s="558"/>
    </row>
    <row r="1507" spans="1:36" s="385" customFormat="1" ht="40.5" outlineLevel="1" collapsed="1" x14ac:dyDescent="0.25">
      <c r="A1507" s="467">
        <v>119</v>
      </c>
      <c r="B1507" s="574" t="s">
        <v>1065</v>
      </c>
      <c r="C1507" s="586" t="s">
        <v>2903</v>
      </c>
      <c r="D1507" s="615">
        <v>86</v>
      </c>
      <c r="E1507" s="700">
        <v>229</v>
      </c>
      <c r="F1507" s="574"/>
      <c r="G1507" s="596">
        <v>100</v>
      </c>
      <c r="H1507" s="579">
        <v>100</v>
      </c>
      <c r="I1507" s="581"/>
      <c r="J1507" s="581"/>
      <c r="K1507" s="571">
        <v>37680000</v>
      </c>
      <c r="L1507" s="571">
        <v>113040000</v>
      </c>
      <c r="M1507" s="574"/>
      <c r="N1507" s="574"/>
      <c r="O1507" s="599">
        <v>0</v>
      </c>
      <c r="P1507" s="571"/>
      <c r="Q1507" s="571">
        <v>0</v>
      </c>
      <c r="R1507" s="582"/>
      <c r="S1507" s="597"/>
      <c r="T1507" s="600">
        <v>0</v>
      </c>
      <c r="U1507" s="608"/>
      <c r="V1507" s="571"/>
      <c r="W1507" s="571">
        <v>0</v>
      </c>
      <c r="X1507" s="562"/>
      <c r="Y1507" s="568"/>
      <c r="Z1507" s="568"/>
      <c r="AA1507" s="568"/>
      <c r="AB1507" s="568"/>
      <c r="AC1507" s="568"/>
      <c r="AD1507" s="584"/>
      <c r="AE1507" s="581">
        <f>SUBTOTAL(9,AE1508:AE1513)</f>
        <v>0</v>
      </c>
      <c r="AF1507" s="585"/>
      <c r="AG1507" s="585">
        <v>0</v>
      </c>
      <c r="AH1507" s="571">
        <v>150720000</v>
      </c>
      <c r="AI1507" s="574"/>
      <c r="AJ1507" s="578"/>
    </row>
    <row r="1508" spans="1:36" s="385" customFormat="1" ht="121.5" outlineLevel="2" x14ac:dyDescent="0.3">
      <c r="A1508" s="447">
        <v>119</v>
      </c>
      <c r="B1508" s="558" t="s">
        <v>1067</v>
      </c>
      <c r="C1508" s="558"/>
      <c r="D1508" s="615"/>
      <c r="E1508" s="700"/>
      <c r="F1508" s="684" t="s">
        <v>2433</v>
      </c>
      <c r="G1508" s="604">
        <v>100</v>
      </c>
      <c r="H1508" s="546">
        <v>100</v>
      </c>
      <c r="I1508" s="563">
        <v>376800</v>
      </c>
      <c r="J1508" s="563">
        <v>1130400</v>
      </c>
      <c r="K1508" s="564">
        <v>37680000</v>
      </c>
      <c r="L1508" s="564">
        <v>113040000</v>
      </c>
      <c r="M1508" s="558"/>
      <c r="N1508" s="558"/>
      <c r="O1508" s="590"/>
      <c r="P1508" s="564" t="s">
        <v>25</v>
      </c>
      <c r="Q1508" s="564" t="s">
        <v>25</v>
      </c>
      <c r="R1508" s="566"/>
      <c r="S1508" s="589"/>
      <c r="T1508" s="591"/>
      <c r="U1508" s="593"/>
      <c r="V1508" s="564" t="s">
        <v>2899</v>
      </c>
      <c r="W1508" s="564" t="s">
        <v>25</v>
      </c>
      <c r="X1508" s="562"/>
      <c r="Y1508" s="568"/>
      <c r="Z1508" s="568"/>
      <c r="AA1508" s="568"/>
      <c r="AB1508" s="568"/>
      <c r="AC1508" s="568"/>
      <c r="AD1508" s="568"/>
      <c r="AE1508" s="563"/>
      <c r="AF1508" s="570" t="s">
        <v>2899</v>
      </c>
      <c r="AG1508" s="570"/>
      <c r="AH1508" s="571" t="s">
        <v>25</v>
      </c>
      <c r="AI1508" s="558" t="s">
        <v>1066</v>
      </c>
      <c r="AJ1508" s="586" t="s">
        <v>2771</v>
      </c>
    </row>
    <row r="1509" spans="1:36" s="385" customFormat="1" ht="101.25" outlineLevel="2" x14ac:dyDescent="0.3">
      <c r="A1509" s="447">
        <v>119</v>
      </c>
      <c r="B1509" s="586" t="s">
        <v>1582</v>
      </c>
      <c r="C1509" s="586"/>
      <c r="D1509" s="615"/>
      <c r="E1509" s="700"/>
      <c r="F1509" s="558"/>
      <c r="G1509" s="604"/>
      <c r="H1509" s="546"/>
      <c r="I1509" s="563" t="s">
        <v>25</v>
      </c>
      <c r="J1509" s="563" t="s">
        <v>25</v>
      </c>
      <c r="K1509" s="564" t="s">
        <v>25</v>
      </c>
      <c r="L1509" s="564" t="s">
        <v>25</v>
      </c>
      <c r="M1509" s="558"/>
      <c r="N1509" s="558"/>
      <c r="O1509" s="590"/>
      <c r="P1509" s="564" t="s">
        <v>25</v>
      </c>
      <c r="Q1509" s="564" t="s">
        <v>25</v>
      </c>
      <c r="R1509" s="566"/>
      <c r="S1509" s="589"/>
      <c r="T1509" s="617"/>
      <c r="U1509" s="593"/>
      <c r="V1509" s="564" t="s">
        <v>2899</v>
      </c>
      <c r="W1509" s="564" t="s">
        <v>25</v>
      </c>
      <c r="X1509" s="562"/>
      <c r="Y1509" s="568"/>
      <c r="Z1509" s="568"/>
      <c r="AA1509" s="568"/>
      <c r="AB1509" s="568"/>
      <c r="AC1509" s="568"/>
      <c r="AD1509" s="568"/>
      <c r="AE1509" s="563"/>
      <c r="AF1509" s="570" t="s">
        <v>2899</v>
      </c>
      <c r="AG1509" s="570" t="s">
        <v>25</v>
      </c>
      <c r="AH1509" s="571" t="s">
        <v>25</v>
      </c>
      <c r="AI1509" s="558" t="s">
        <v>2840</v>
      </c>
      <c r="AJ1509" s="605" t="s">
        <v>2448</v>
      </c>
    </row>
    <row r="1510" spans="1:36" s="385" customFormat="1" ht="20.25" outlineLevel="2" x14ac:dyDescent="0.3">
      <c r="A1510" s="447">
        <v>119</v>
      </c>
      <c r="B1510" s="558"/>
      <c r="C1510" s="558"/>
      <c r="D1510" s="615"/>
      <c r="E1510" s="700"/>
      <c r="F1510" s="558"/>
      <c r="G1510" s="604"/>
      <c r="H1510" s="546"/>
      <c r="I1510" s="563" t="s">
        <v>25</v>
      </c>
      <c r="J1510" s="563" t="s">
        <v>25</v>
      </c>
      <c r="K1510" s="564" t="s">
        <v>25</v>
      </c>
      <c r="L1510" s="564" t="s">
        <v>25</v>
      </c>
      <c r="M1510" s="558"/>
      <c r="N1510" s="558"/>
      <c r="O1510" s="590"/>
      <c r="P1510" s="564" t="s">
        <v>25</v>
      </c>
      <c r="Q1510" s="564" t="s">
        <v>25</v>
      </c>
      <c r="R1510" s="566"/>
      <c r="S1510" s="589"/>
      <c r="T1510" s="591"/>
      <c r="U1510" s="593"/>
      <c r="V1510" s="564" t="s">
        <v>2899</v>
      </c>
      <c r="W1510" s="564" t="s">
        <v>25</v>
      </c>
      <c r="X1510" s="562"/>
      <c r="Y1510" s="568"/>
      <c r="Z1510" s="568"/>
      <c r="AA1510" s="568"/>
      <c r="AB1510" s="568"/>
      <c r="AC1510" s="568"/>
      <c r="AD1510" s="568"/>
      <c r="AE1510" s="563"/>
      <c r="AF1510" s="570" t="s">
        <v>2899</v>
      </c>
      <c r="AG1510" s="570" t="s">
        <v>25</v>
      </c>
      <c r="AH1510" s="571" t="s">
        <v>25</v>
      </c>
      <c r="AI1510" s="593" t="s">
        <v>809</v>
      </c>
      <c r="AJ1510" s="593"/>
    </row>
    <row r="1511" spans="1:36" s="385" customFormat="1" ht="60.75" outlineLevel="2" x14ac:dyDescent="0.3">
      <c r="A1511" s="447">
        <v>119</v>
      </c>
      <c r="B1511" s="558"/>
      <c r="C1511" s="558"/>
      <c r="D1511" s="615"/>
      <c r="E1511" s="700"/>
      <c r="F1511" s="558"/>
      <c r="G1511" s="604"/>
      <c r="H1511" s="546"/>
      <c r="I1511" s="563" t="s">
        <v>25</v>
      </c>
      <c r="J1511" s="563" t="s">
        <v>25</v>
      </c>
      <c r="K1511" s="564" t="s">
        <v>25</v>
      </c>
      <c r="L1511" s="564" t="s">
        <v>25</v>
      </c>
      <c r="M1511" s="558"/>
      <c r="N1511" s="558"/>
      <c r="O1511" s="590"/>
      <c r="P1511" s="564" t="s">
        <v>25</v>
      </c>
      <c r="Q1511" s="564" t="s">
        <v>25</v>
      </c>
      <c r="R1511" s="566"/>
      <c r="S1511" s="589"/>
      <c r="T1511" s="591"/>
      <c r="U1511" s="593"/>
      <c r="V1511" s="564" t="s">
        <v>2899</v>
      </c>
      <c r="W1511" s="564" t="s">
        <v>25</v>
      </c>
      <c r="X1511" s="562"/>
      <c r="Y1511" s="568"/>
      <c r="Z1511" s="568"/>
      <c r="AA1511" s="568"/>
      <c r="AB1511" s="568"/>
      <c r="AC1511" s="568"/>
      <c r="AD1511" s="568"/>
      <c r="AE1511" s="563"/>
      <c r="AF1511" s="570" t="s">
        <v>2899</v>
      </c>
      <c r="AG1511" s="570" t="s">
        <v>25</v>
      </c>
      <c r="AH1511" s="571" t="s">
        <v>25</v>
      </c>
      <c r="AI1511" s="558" t="s">
        <v>2074</v>
      </c>
      <c r="AJ1511" s="558"/>
    </row>
    <row r="1512" spans="1:36" s="385" customFormat="1" ht="20.25" outlineLevel="2" x14ac:dyDescent="0.3">
      <c r="A1512" s="447">
        <v>119</v>
      </c>
      <c r="B1512" s="558"/>
      <c r="C1512" s="558"/>
      <c r="D1512" s="615"/>
      <c r="E1512" s="700"/>
      <c r="F1512" s="558"/>
      <c r="G1512" s="604"/>
      <c r="H1512" s="546"/>
      <c r="I1512" s="563" t="s">
        <v>25</v>
      </c>
      <c r="J1512" s="563" t="s">
        <v>25</v>
      </c>
      <c r="K1512" s="564" t="s">
        <v>25</v>
      </c>
      <c r="L1512" s="564" t="s">
        <v>25</v>
      </c>
      <c r="M1512" s="558"/>
      <c r="N1512" s="558"/>
      <c r="O1512" s="590"/>
      <c r="P1512" s="564" t="s">
        <v>25</v>
      </c>
      <c r="Q1512" s="564" t="s">
        <v>25</v>
      </c>
      <c r="R1512" s="566"/>
      <c r="S1512" s="589"/>
      <c r="T1512" s="591"/>
      <c r="U1512" s="593"/>
      <c r="V1512" s="564" t="s">
        <v>2899</v>
      </c>
      <c r="W1512" s="564" t="s">
        <v>25</v>
      </c>
      <c r="X1512" s="562"/>
      <c r="Y1512" s="568"/>
      <c r="Z1512" s="568"/>
      <c r="AA1512" s="568"/>
      <c r="AB1512" s="568"/>
      <c r="AC1512" s="568"/>
      <c r="AD1512" s="568"/>
      <c r="AE1512" s="563"/>
      <c r="AF1512" s="570" t="s">
        <v>2899</v>
      </c>
      <c r="AG1512" s="570" t="s">
        <v>25</v>
      </c>
      <c r="AH1512" s="571" t="s">
        <v>25</v>
      </c>
      <c r="AI1512" s="558"/>
      <c r="AJ1512" s="558"/>
    </row>
    <row r="1513" spans="1:36" s="385" customFormat="1" ht="20.25" outlineLevel="2" x14ac:dyDescent="0.3">
      <c r="A1513" s="447">
        <v>119</v>
      </c>
      <c r="B1513" s="574"/>
      <c r="C1513" s="574"/>
      <c r="D1513" s="705"/>
      <c r="E1513" s="706"/>
      <c r="F1513" s="558"/>
      <c r="G1513" s="604"/>
      <c r="H1513" s="546"/>
      <c r="I1513" s="563" t="s">
        <v>25</v>
      </c>
      <c r="J1513" s="563" t="s">
        <v>25</v>
      </c>
      <c r="K1513" s="564" t="s">
        <v>25</v>
      </c>
      <c r="L1513" s="564" t="s">
        <v>25</v>
      </c>
      <c r="M1513" s="558"/>
      <c r="N1513" s="558"/>
      <c r="O1513" s="590"/>
      <c r="P1513" s="564" t="s">
        <v>25</v>
      </c>
      <c r="Q1513" s="564" t="s">
        <v>25</v>
      </c>
      <c r="R1513" s="566"/>
      <c r="S1513" s="589"/>
      <c r="T1513" s="617"/>
      <c r="U1513" s="593"/>
      <c r="V1513" s="564" t="s">
        <v>2899</v>
      </c>
      <c r="W1513" s="564" t="s">
        <v>25</v>
      </c>
      <c r="X1513" s="562"/>
      <c r="Y1513" s="568"/>
      <c r="Z1513" s="568"/>
      <c r="AA1513" s="568"/>
      <c r="AB1513" s="568"/>
      <c r="AC1513" s="568"/>
      <c r="AD1513" s="568"/>
      <c r="AE1513" s="563"/>
      <c r="AF1513" s="570" t="s">
        <v>2899</v>
      </c>
      <c r="AG1513" s="570" t="s">
        <v>25</v>
      </c>
      <c r="AH1513" s="571" t="s">
        <v>25</v>
      </c>
      <c r="AI1513" s="558"/>
      <c r="AJ1513" s="558"/>
    </row>
    <row r="1514" spans="1:36" s="385" customFormat="1" ht="40.5" outlineLevel="1" x14ac:dyDescent="0.25">
      <c r="A1514" s="467">
        <v>120</v>
      </c>
      <c r="B1514" s="574" t="s">
        <v>1069</v>
      </c>
      <c r="C1514" s="586" t="s">
        <v>2903</v>
      </c>
      <c r="D1514" s="615">
        <v>86</v>
      </c>
      <c r="E1514" s="700">
        <v>229</v>
      </c>
      <c r="F1514" s="574"/>
      <c r="G1514" s="596">
        <v>200</v>
      </c>
      <c r="H1514" s="579">
        <v>0</v>
      </c>
      <c r="I1514" s="581"/>
      <c r="J1514" s="581"/>
      <c r="K1514" s="571">
        <v>75360000</v>
      </c>
      <c r="L1514" s="571">
        <v>0</v>
      </c>
      <c r="M1514" s="574"/>
      <c r="N1514" s="574"/>
      <c r="O1514" s="599">
        <v>0</v>
      </c>
      <c r="P1514" s="571"/>
      <c r="Q1514" s="571">
        <v>0</v>
      </c>
      <c r="R1514" s="582"/>
      <c r="S1514" s="597"/>
      <c r="T1514" s="600">
        <v>0</v>
      </c>
      <c r="U1514" s="608"/>
      <c r="V1514" s="571"/>
      <c r="W1514" s="571">
        <v>0</v>
      </c>
      <c r="X1514" s="562"/>
      <c r="Y1514" s="568"/>
      <c r="Z1514" s="568"/>
      <c r="AA1514" s="568"/>
      <c r="AB1514" s="568"/>
      <c r="AC1514" s="568"/>
      <c r="AD1514" s="584"/>
      <c r="AE1514" s="581">
        <f>SUBTOTAL(9,AE1515:AE1519)</f>
        <v>0</v>
      </c>
      <c r="AF1514" s="585"/>
      <c r="AG1514" s="585">
        <v>0</v>
      </c>
      <c r="AH1514" s="571">
        <v>75360000</v>
      </c>
      <c r="AI1514" s="574"/>
      <c r="AJ1514" s="578"/>
    </row>
    <row r="1515" spans="1:36" s="385" customFormat="1" ht="121.5" outlineLevel="2" x14ac:dyDescent="0.3">
      <c r="A1515" s="447">
        <v>120</v>
      </c>
      <c r="B1515" s="558" t="s">
        <v>1071</v>
      </c>
      <c r="C1515" s="558"/>
      <c r="D1515" s="615"/>
      <c r="E1515" s="700"/>
      <c r="F1515" s="684" t="s">
        <v>2432</v>
      </c>
      <c r="G1515" s="604">
        <v>200</v>
      </c>
      <c r="H1515" s="546" t="s">
        <v>2899</v>
      </c>
      <c r="I1515" s="563">
        <v>376800</v>
      </c>
      <c r="J1515" s="563">
        <v>0</v>
      </c>
      <c r="K1515" s="564">
        <v>75360000</v>
      </c>
      <c r="L1515" s="564">
        <v>0</v>
      </c>
      <c r="M1515" s="558"/>
      <c r="N1515" s="558"/>
      <c r="O1515" s="590"/>
      <c r="P1515" s="564" t="s">
        <v>25</v>
      </c>
      <c r="Q1515" s="564" t="s">
        <v>25</v>
      </c>
      <c r="R1515" s="566"/>
      <c r="S1515" s="589"/>
      <c r="T1515" s="591"/>
      <c r="U1515" s="593"/>
      <c r="V1515" s="564" t="s">
        <v>2899</v>
      </c>
      <c r="W1515" s="564" t="s">
        <v>25</v>
      </c>
      <c r="X1515" s="562"/>
      <c r="Y1515" s="568"/>
      <c r="Z1515" s="568"/>
      <c r="AA1515" s="568"/>
      <c r="AB1515" s="568"/>
      <c r="AC1515" s="568"/>
      <c r="AD1515" s="568"/>
      <c r="AE1515" s="563"/>
      <c r="AF1515" s="570" t="s">
        <v>2899</v>
      </c>
      <c r="AG1515" s="570"/>
      <c r="AH1515" s="571" t="s">
        <v>25</v>
      </c>
      <c r="AI1515" s="558" t="s">
        <v>1070</v>
      </c>
      <c r="AJ1515" s="586" t="s">
        <v>2771</v>
      </c>
    </row>
    <row r="1516" spans="1:36" s="385" customFormat="1" ht="60.75" outlineLevel="2" x14ac:dyDescent="0.3">
      <c r="A1516" s="447">
        <v>120</v>
      </c>
      <c r="B1516" s="586" t="s">
        <v>1583</v>
      </c>
      <c r="C1516" s="586"/>
      <c r="D1516" s="615"/>
      <c r="E1516" s="700"/>
      <c r="F1516" s="558"/>
      <c r="G1516" s="604"/>
      <c r="H1516" s="546"/>
      <c r="I1516" s="563" t="s">
        <v>25</v>
      </c>
      <c r="J1516" s="563" t="s">
        <v>25</v>
      </c>
      <c r="K1516" s="564" t="s">
        <v>25</v>
      </c>
      <c r="L1516" s="564" t="s">
        <v>25</v>
      </c>
      <c r="M1516" s="558"/>
      <c r="N1516" s="558"/>
      <c r="O1516" s="590"/>
      <c r="P1516" s="564" t="s">
        <v>25</v>
      </c>
      <c r="Q1516" s="564" t="s">
        <v>25</v>
      </c>
      <c r="R1516" s="566"/>
      <c r="S1516" s="589"/>
      <c r="T1516" s="617"/>
      <c r="U1516" s="593"/>
      <c r="V1516" s="564" t="s">
        <v>2899</v>
      </c>
      <c r="W1516" s="564" t="s">
        <v>25</v>
      </c>
      <c r="X1516" s="562"/>
      <c r="Y1516" s="568"/>
      <c r="Z1516" s="568"/>
      <c r="AA1516" s="568"/>
      <c r="AB1516" s="568"/>
      <c r="AC1516" s="568"/>
      <c r="AD1516" s="568"/>
      <c r="AE1516" s="563"/>
      <c r="AF1516" s="570" t="s">
        <v>2899</v>
      </c>
      <c r="AG1516" s="570" t="s">
        <v>25</v>
      </c>
      <c r="AH1516" s="571" t="s">
        <v>25</v>
      </c>
      <c r="AI1516" s="558" t="s">
        <v>2841</v>
      </c>
      <c r="AJ1516" s="605"/>
    </row>
    <row r="1517" spans="1:36" s="385" customFormat="1" ht="141.75" outlineLevel="2" x14ac:dyDescent="0.3">
      <c r="A1517" s="447">
        <v>120</v>
      </c>
      <c r="B1517" s="558"/>
      <c r="C1517" s="558"/>
      <c r="D1517" s="615"/>
      <c r="E1517" s="700"/>
      <c r="F1517" s="558"/>
      <c r="G1517" s="604"/>
      <c r="H1517" s="546"/>
      <c r="I1517" s="563" t="s">
        <v>25</v>
      </c>
      <c r="J1517" s="563" t="s">
        <v>25</v>
      </c>
      <c r="K1517" s="564" t="s">
        <v>25</v>
      </c>
      <c r="L1517" s="564" t="s">
        <v>25</v>
      </c>
      <c r="M1517" s="558"/>
      <c r="N1517" s="558"/>
      <c r="O1517" s="590"/>
      <c r="P1517" s="564" t="s">
        <v>25</v>
      </c>
      <c r="Q1517" s="564" t="s">
        <v>25</v>
      </c>
      <c r="R1517" s="566"/>
      <c r="S1517" s="589"/>
      <c r="T1517" s="591"/>
      <c r="U1517" s="593"/>
      <c r="V1517" s="564" t="s">
        <v>2899</v>
      </c>
      <c r="W1517" s="564" t="s">
        <v>25</v>
      </c>
      <c r="X1517" s="562"/>
      <c r="Y1517" s="568"/>
      <c r="Z1517" s="568"/>
      <c r="AA1517" s="568"/>
      <c r="AB1517" s="568"/>
      <c r="AC1517" s="568"/>
      <c r="AD1517" s="568"/>
      <c r="AE1517" s="563"/>
      <c r="AF1517" s="570" t="s">
        <v>2899</v>
      </c>
      <c r="AG1517" s="570" t="s">
        <v>25</v>
      </c>
      <c r="AH1517" s="571" t="s">
        <v>25</v>
      </c>
      <c r="AI1517" s="558" t="s">
        <v>2076</v>
      </c>
      <c r="AJ1517" s="593"/>
    </row>
    <row r="1518" spans="1:36" s="385" customFormat="1" ht="20.25" outlineLevel="2" x14ac:dyDescent="0.3">
      <c r="A1518" s="447">
        <v>120</v>
      </c>
      <c r="B1518" s="558"/>
      <c r="C1518" s="558"/>
      <c r="D1518" s="615"/>
      <c r="E1518" s="700"/>
      <c r="F1518" s="558"/>
      <c r="G1518" s="604"/>
      <c r="H1518" s="546"/>
      <c r="I1518" s="563" t="s">
        <v>25</v>
      </c>
      <c r="J1518" s="563" t="s">
        <v>25</v>
      </c>
      <c r="K1518" s="564" t="s">
        <v>25</v>
      </c>
      <c r="L1518" s="564" t="s">
        <v>25</v>
      </c>
      <c r="M1518" s="558"/>
      <c r="N1518" s="558"/>
      <c r="O1518" s="590"/>
      <c r="P1518" s="564" t="s">
        <v>25</v>
      </c>
      <c r="Q1518" s="564" t="s">
        <v>25</v>
      </c>
      <c r="R1518" s="566"/>
      <c r="S1518" s="589"/>
      <c r="T1518" s="591"/>
      <c r="U1518" s="593"/>
      <c r="V1518" s="564" t="s">
        <v>2899</v>
      </c>
      <c r="W1518" s="564" t="s">
        <v>25</v>
      </c>
      <c r="X1518" s="562"/>
      <c r="Y1518" s="568"/>
      <c r="Z1518" s="568"/>
      <c r="AA1518" s="568"/>
      <c r="AB1518" s="568"/>
      <c r="AC1518" s="568"/>
      <c r="AD1518" s="568"/>
      <c r="AE1518" s="563"/>
      <c r="AF1518" s="570" t="s">
        <v>2899</v>
      </c>
      <c r="AG1518" s="570" t="s">
        <v>25</v>
      </c>
      <c r="AH1518" s="571" t="s">
        <v>25</v>
      </c>
      <c r="AI1518" s="704"/>
      <c r="AJ1518" s="558"/>
    </row>
    <row r="1519" spans="1:36" s="385" customFormat="1" ht="20.25" outlineLevel="2" x14ac:dyDescent="0.3">
      <c r="A1519" s="447">
        <v>120</v>
      </c>
      <c r="B1519" s="574"/>
      <c r="C1519" s="574"/>
      <c r="D1519" s="705"/>
      <c r="E1519" s="706"/>
      <c r="F1519" s="558"/>
      <c r="G1519" s="604"/>
      <c r="H1519" s="546"/>
      <c r="I1519" s="563" t="s">
        <v>25</v>
      </c>
      <c r="J1519" s="563" t="s">
        <v>25</v>
      </c>
      <c r="K1519" s="564" t="s">
        <v>25</v>
      </c>
      <c r="L1519" s="564" t="s">
        <v>25</v>
      </c>
      <c r="M1519" s="558"/>
      <c r="N1519" s="558"/>
      <c r="O1519" s="590"/>
      <c r="P1519" s="564" t="s">
        <v>25</v>
      </c>
      <c r="Q1519" s="564" t="s">
        <v>25</v>
      </c>
      <c r="R1519" s="566"/>
      <c r="S1519" s="589"/>
      <c r="T1519" s="591"/>
      <c r="U1519" s="593"/>
      <c r="V1519" s="564" t="s">
        <v>2899</v>
      </c>
      <c r="W1519" s="564" t="s">
        <v>25</v>
      </c>
      <c r="X1519" s="562"/>
      <c r="Y1519" s="568"/>
      <c r="Z1519" s="568"/>
      <c r="AA1519" s="568"/>
      <c r="AB1519" s="568"/>
      <c r="AC1519" s="568"/>
      <c r="AD1519" s="568"/>
      <c r="AE1519" s="563"/>
      <c r="AF1519" s="570" t="s">
        <v>2899</v>
      </c>
      <c r="AG1519" s="570" t="s">
        <v>25</v>
      </c>
      <c r="AH1519" s="571" t="s">
        <v>25</v>
      </c>
      <c r="AI1519" s="558"/>
      <c r="AJ1519" s="558"/>
    </row>
    <row r="1520" spans="1:36" s="385" customFormat="1" ht="40.5" outlineLevel="1" x14ac:dyDescent="0.25">
      <c r="A1520" s="467">
        <v>121</v>
      </c>
      <c r="B1520" s="574" t="s">
        <v>1073</v>
      </c>
      <c r="C1520" s="586" t="s">
        <v>2903</v>
      </c>
      <c r="D1520" s="615">
        <v>86</v>
      </c>
      <c r="E1520" s="700">
        <v>231</v>
      </c>
      <c r="F1520" s="574"/>
      <c r="G1520" s="596">
        <v>200</v>
      </c>
      <c r="H1520" s="579">
        <v>0</v>
      </c>
      <c r="I1520" s="581"/>
      <c r="J1520" s="581"/>
      <c r="K1520" s="571">
        <v>75360000</v>
      </c>
      <c r="L1520" s="571">
        <v>0</v>
      </c>
      <c r="M1520" s="574"/>
      <c r="N1520" s="574"/>
      <c r="O1520" s="599">
        <v>0</v>
      </c>
      <c r="P1520" s="571"/>
      <c r="Q1520" s="571">
        <v>0</v>
      </c>
      <c r="R1520" s="582"/>
      <c r="S1520" s="597"/>
      <c r="T1520" s="600">
        <v>0</v>
      </c>
      <c r="U1520" s="608"/>
      <c r="V1520" s="571"/>
      <c r="W1520" s="571">
        <v>0</v>
      </c>
      <c r="X1520" s="562"/>
      <c r="Y1520" s="568"/>
      <c r="Z1520" s="568"/>
      <c r="AA1520" s="568"/>
      <c r="AB1520" s="568"/>
      <c r="AC1520" s="568"/>
      <c r="AD1520" s="584"/>
      <c r="AE1520" s="581">
        <f>SUBTOTAL(9,AE1521:AE1527)</f>
        <v>0</v>
      </c>
      <c r="AF1520" s="585"/>
      <c r="AG1520" s="585">
        <v>0</v>
      </c>
      <c r="AH1520" s="571">
        <v>75360000</v>
      </c>
      <c r="AI1520" s="574"/>
      <c r="AJ1520" s="578"/>
    </row>
    <row r="1521" spans="1:36" s="385" customFormat="1" ht="121.5" outlineLevel="2" x14ac:dyDescent="0.3">
      <c r="A1521" s="447">
        <v>121</v>
      </c>
      <c r="B1521" s="558" t="s">
        <v>1075</v>
      </c>
      <c r="C1521" s="558"/>
      <c r="D1521" s="615">
        <v>86</v>
      </c>
      <c r="E1521" s="700">
        <v>214</v>
      </c>
      <c r="F1521" s="684" t="s">
        <v>2432</v>
      </c>
      <c r="G1521" s="604">
        <v>100</v>
      </c>
      <c r="H1521" s="546" t="s">
        <v>2899</v>
      </c>
      <c r="I1521" s="563">
        <v>376800</v>
      </c>
      <c r="J1521" s="563">
        <v>0</v>
      </c>
      <c r="K1521" s="564">
        <v>37680000</v>
      </c>
      <c r="L1521" s="564">
        <v>0</v>
      </c>
      <c r="M1521" s="558"/>
      <c r="N1521" s="558"/>
      <c r="O1521" s="590"/>
      <c r="P1521" s="564" t="s">
        <v>25</v>
      </c>
      <c r="Q1521" s="564" t="s">
        <v>25</v>
      </c>
      <c r="R1521" s="566"/>
      <c r="S1521" s="589"/>
      <c r="T1521" s="591"/>
      <c r="U1521" s="593"/>
      <c r="V1521" s="564" t="s">
        <v>2899</v>
      </c>
      <c r="W1521" s="564" t="s">
        <v>25</v>
      </c>
      <c r="X1521" s="562"/>
      <c r="Y1521" s="568"/>
      <c r="Z1521" s="568"/>
      <c r="AA1521" s="568"/>
      <c r="AB1521" s="568"/>
      <c r="AC1521" s="568"/>
      <c r="AD1521" s="568"/>
      <c r="AE1521" s="563"/>
      <c r="AF1521" s="570" t="s">
        <v>2899</v>
      </c>
      <c r="AG1521" s="570"/>
      <c r="AH1521" s="571" t="s">
        <v>25</v>
      </c>
      <c r="AI1521" s="558" t="s">
        <v>1074</v>
      </c>
      <c r="AJ1521" s="586" t="s">
        <v>2771</v>
      </c>
    </row>
    <row r="1522" spans="1:36" s="385" customFormat="1" ht="101.25" outlineLevel="2" x14ac:dyDescent="0.3">
      <c r="A1522" s="447">
        <v>121</v>
      </c>
      <c r="B1522" s="586" t="s">
        <v>1584</v>
      </c>
      <c r="C1522" s="586"/>
      <c r="D1522" s="615"/>
      <c r="E1522" s="700"/>
      <c r="F1522" s="684" t="s">
        <v>2432</v>
      </c>
      <c r="G1522" s="604">
        <v>100</v>
      </c>
      <c r="H1522" s="546" t="s">
        <v>2899</v>
      </c>
      <c r="I1522" s="563">
        <v>376800</v>
      </c>
      <c r="J1522" s="563">
        <v>0</v>
      </c>
      <c r="K1522" s="564">
        <v>37680000</v>
      </c>
      <c r="L1522" s="564">
        <v>0</v>
      </c>
      <c r="M1522" s="558"/>
      <c r="N1522" s="558"/>
      <c r="O1522" s="590"/>
      <c r="P1522" s="564" t="s">
        <v>25</v>
      </c>
      <c r="Q1522" s="564" t="s">
        <v>25</v>
      </c>
      <c r="R1522" s="566"/>
      <c r="S1522" s="589"/>
      <c r="T1522" s="617"/>
      <c r="U1522" s="593"/>
      <c r="V1522" s="564" t="s">
        <v>2899</v>
      </c>
      <c r="W1522" s="564" t="s">
        <v>25</v>
      </c>
      <c r="X1522" s="562"/>
      <c r="Y1522" s="568"/>
      <c r="Z1522" s="568"/>
      <c r="AA1522" s="568"/>
      <c r="AB1522" s="568"/>
      <c r="AC1522" s="568"/>
      <c r="AD1522" s="568"/>
      <c r="AE1522" s="563"/>
      <c r="AF1522" s="570" t="s">
        <v>2899</v>
      </c>
      <c r="AG1522" s="570" t="s">
        <v>25</v>
      </c>
      <c r="AH1522" s="571" t="s">
        <v>25</v>
      </c>
      <c r="AI1522" s="558" t="s">
        <v>2842</v>
      </c>
      <c r="AJ1522" s="558"/>
    </row>
    <row r="1523" spans="1:36" s="385" customFormat="1" ht="60.75" outlineLevel="2" x14ac:dyDescent="0.3">
      <c r="A1523" s="447">
        <v>121</v>
      </c>
      <c r="B1523" s="558"/>
      <c r="C1523" s="558"/>
      <c r="D1523" s="615"/>
      <c r="E1523" s="700"/>
      <c r="F1523" s="558"/>
      <c r="G1523" s="604"/>
      <c r="H1523" s="546"/>
      <c r="I1523" s="563" t="s">
        <v>25</v>
      </c>
      <c r="J1523" s="563" t="s">
        <v>25</v>
      </c>
      <c r="K1523" s="564" t="s">
        <v>25</v>
      </c>
      <c r="L1523" s="564" t="s">
        <v>25</v>
      </c>
      <c r="M1523" s="558"/>
      <c r="N1523" s="558"/>
      <c r="O1523" s="590"/>
      <c r="P1523" s="564" t="s">
        <v>25</v>
      </c>
      <c r="Q1523" s="564" t="s">
        <v>25</v>
      </c>
      <c r="R1523" s="566"/>
      <c r="S1523" s="589"/>
      <c r="T1523" s="591"/>
      <c r="U1523" s="593"/>
      <c r="V1523" s="564" t="s">
        <v>2899</v>
      </c>
      <c r="W1523" s="564" t="s">
        <v>25</v>
      </c>
      <c r="X1523" s="562"/>
      <c r="Y1523" s="568"/>
      <c r="Z1523" s="568"/>
      <c r="AA1523" s="568"/>
      <c r="AB1523" s="568"/>
      <c r="AC1523" s="568"/>
      <c r="AD1523" s="568"/>
      <c r="AE1523" s="563"/>
      <c r="AF1523" s="570" t="s">
        <v>2899</v>
      </c>
      <c r="AG1523" s="570" t="s">
        <v>25</v>
      </c>
      <c r="AH1523" s="571" t="s">
        <v>25</v>
      </c>
      <c r="AI1523" s="558" t="s">
        <v>1077</v>
      </c>
      <c r="AJ1523" s="558"/>
    </row>
    <row r="1524" spans="1:36" s="385" customFormat="1" ht="40.5" outlineLevel="2" x14ac:dyDescent="0.3">
      <c r="A1524" s="447">
        <v>121</v>
      </c>
      <c r="B1524" s="558"/>
      <c r="C1524" s="558"/>
      <c r="D1524" s="615"/>
      <c r="E1524" s="700"/>
      <c r="F1524" s="558"/>
      <c r="G1524" s="604"/>
      <c r="H1524" s="546"/>
      <c r="I1524" s="563" t="s">
        <v>25</v>
      </c>
      <c r="J1524" s="563" t="s">
        <v>25</v>
      </c>
      <c r="K1524" s="564" t="s">
        <v>25</v>
      </c>
      <c r="L1524" s="564" t="s">
        <v>25</v>
      </c>
      <c r="M1524" s="558"/>
      <c r="N1524" s="558"/>
      <c r="O1524" s="590"/>
      <c r="P1524" s="564" t="s">
        <v>25</v>
      </c>
      <c r="Q1524" s="564" t="s">
        <v>25</v>
      </c>
      <c r="R1524" s="566"/>
      <c r="S1524" s="589"/>
      <c r="T1524" s="591"/>
      <c r="U1524" s="593"/>
      <c r="V1524" s="564" t="s">
        <v>2899</v>
      </c>
      <c r="W1524" s="564" t="s">
        <v>25</v>
      </c>
      <c r="X1524" s="562"/>
      <c r="Y1524" s="568"/>
      <c r="Z1524" s="568"/>
      <c r="AA1524" s="568"/>
      <c r="AB1524" s="568"/>
      <c r="AC1524" s="568"/>
      <c r="AD1524" s="568"/>
      <c r="AE1524" s="563"/>
      <c r="AF1524" s="570" t="s">
        <v>2899</v>
      </c>
      <c r="AG1524" s="570" t="s">
        <v>25</v>
      </c>
      <c r="AH1524" s="571" t="s">
        <v>25</v>
      </c>
      <c r="AI1524" s="558" t="s">
        <v>1078</v>
      </c>
      <c r="AJ1524" s="558"/>
    </row>
    <row r="1525" spans="1:36" s="385" customFormat="1" ht="101.25" outlineLevel="2" x14ac:dyDescent="0.3">
      <c r="A1525" s="447">
        <v>121</v>
      </c>
      <c r="B1525" s="558"/>
      <c r="C1525" s="558"/>
      <c r="D1525" s="615"/>
      <c r="E1525" s="700"/>
      <c r="F1525" s="558"/>
      <c r="G1525" s="604"/>
      <c r="H1525" s="546"/>
      <c r="I1525" s="563" t="s">
        <v>25</v>
      </c>
      <c r="J1525" s="563" t="s">
        <v>25</v>
      </c>
      <c r="K1525" s="564" t="s">
        <v>25</v>
      </c>
      <c r="L1525" s="564" t="s">
        <v>25</v>
      </c>
      <c r="M1525" s="558"/>
      <c r="N1525" s="558"/>
      <c r="O1525" s="590"/>
      <c r="P1525" s="564" t="s">
        <v>25</v>
      </c>
      <c r="Q1525" s="564" t="s">
        <v>25</v>
      </c>
      <c r="R1525" s="566"/>
      <c r="S1525" s="589"/>
      <c r="T1525" s="591"/>
      <c r="U1525" s="593"/>
      <c r="V1525" s="564" t="s">
        <v>2899</v>
      </c>
      <c r="W1525" s="564" t="s">
        <v>25</v>
      </c>
      <c r="X1525" s="562"/>
      <c r="Y1525" s="568"/>
      <c r="Z1525" s="568"/>
      <c r="AA1525" s="568"/>
      <c r="AB1525" s="568"/>
      <c r="AC1525" s="568"/>
      <c r="AD1525" s="568"/>
      <c r="AE1525" s="563"/>
      <c r="AF1525" s="570" t="s">
        <v>2899</v>
      </c>
      <c r="AG1525" s="570" t="s">
        <v>25</v>
      </c>
      <c r="AH1525" s="571" t="s">
        <v>25</v>
      </c>
      <c r="AI1525" s="558" t="s">
        <v>2231</v>
      </c>
      <c r="AJ1525" s="593"/>
    </row>
    <row r="1526" spans="1:36" s="385" customFormat="1" ht="20.25" outlineLevel="2" x14ac:dyDescent="0.3">
      <c r="A1526" s="447">
        <v>121</v>
      </c>
      <c r="B1526" s="572"/>
      <c r="C1526" s="572"/>
      <c r="D1526" s="615"/>
      <c r="E1526" s="700"/>
      <c r="F1526" s="558"/>
      <c r="G1526" s="604"/>
      <c r="H1526" s="546"/>
      <c r="I1526" s="563" t="s">
        <v>25</v>
      </c>
      <c r="J1526" s="563" t="s">
        <v>25</v>
      </c>
      <c r="K1526" s="564" t="s">
        <v>25</v>
      </c>
      <c r="L1526" s="564" t="s">
        <v>25</v>
      </c>
      <c r="M1526" s="558"/>
      <c r="N1526" s="558"/>
      <c r="O1526" s="590"/>
      <c r="P1526" s="564" t="s">
        <v>25</v>
      </c>
      <c r="Q1526" s="564" t="s">
        <v>25</v>
      </c>
      <c r="R1526" s="566"/>
      <c r="S1526" s="589"/>
      <c r="T1526" s="591"/>
      <c r="U1526" s="593"/>
      <c r="V1526" s="564" t="s">
        <v>2899</v>
      </c>
      <c r="W1526" s="564" t="s">
        <v>25</v>
      </c>
      <c r="X1526" s="562"/>
      <c r="Y1526" s="568"/>
      <c r="Z1526" s="568"/>
      <c r="AA1526" s="568"/>
      <c r="AB1526" s="568"/>
      <c r="AC1526" s="568"/>
      <c r="AD1526" s="568"/>
      <c r="AE1526" s="563"/>
      <c r="AF1526" s="570" t="s">
        <v>2899</v>
      </c>
      <c r="AG1526" s="570" t="s">
        <v>25</v>
      </c>
      <c r="AH1526" s="571" t="s">
        <v>25</v>
      </c>
      <c r="AI1526" s="704"/>
      <c r="AJ1526" s="593"/>
    </row>
    <row r="1527" spans="1:36" s="385" customFormat="1" ht="20.25" outlineLevel="2" x14ac:dyDescent="0.3">
      <c r="A1527" s="447">
        <v>121</v>
      </c>
      <c r="B1527" s="574"/>
      <c r="C1527" s="574"/>
      <c r="D1527" s="705"/>
      <c r="E1527" s="706"/>
      <c r="F1527" s="558"/>
      <c r="G1527" s="732"/>
      <c r="H1527" s="546"/>
      <c r="I1527" s="563" t="s">
        <v>25</v>
      </c>
      <c r="J1527" s="563" t="s">
        <v>25</v>
      </c>
      <c r="K1527" s="564" t="s">
        <v>25</v>
      </c>
      <c r="L1527" s="564" t="s">
        <v>25</v>
      </c>
      <c r="M1527" s="586"/>
      <c r="N1527" s="586"/>
      <c r="O1527" s="630"/>
      <c r="P1527" s="564" t="s">
        <v>25</v>
      </c>
      <c r="Q1527" s="564" t="s">
        <v>25</v>
      </c>
      <c r="R1527" s="586"/>
      <c r="S1527" s="609"/>
      <c r="T1527" s="567"/>
      <c r="U1527" s="593"/>
      <c r="V1527" s="564" t="s">
        <v>2899</v>
      </c>
      <c r="W1527" s="564" t="s">
        <v>25</v>
      </c>
      <c r="X1527" s="562"/>
      <c r="Y1527" s="568"/>
      <c r="Z1527" s="568"/>
      <c r="AA1527" s="568"/>
      <c r="AB1527" s="568"/>
      <c r="AC1527" s="568"/>
      <c r="AD1527" s="568"/>
      <c r="AE1527" s="563"/>
      <c r="AF1527" s="570" t="s">
        <v>2899</v>
      </c>
      <c r="AG1527" s="570" t="s">
        <v>25</v>
      </c>
      <c r="AH1527" s="571" t="s">
        <v>25</v>
      </c>
      <c r="AI1527" s="593"/>
      <c r="AJ1527" s="593"/>
    </row>
    <row r="1528" spans="1:36" s="385" customFormat="1" ht="60.75" outlineLevel="1" x14ac:dyDescent="0.25">
      <c r="A1528" s="467">
        <v>122</v>
      </c>
      <c r="B1528" s="574" t="s">
        <v>2050</v>
      </c>
      <c r="C1528" s="586" t="s">
        <v>2903</v>
      </c>
      <c r="D1528" s="615">
        <v>86</v>
      </c>
      <c r="E1528" s="700">
        <v>217</v>
      </c>
      <c r="F1528" s="574"/>
      <c r="G1528" s="596">
        <v>100</v>
      </c>
      <c r="H1528" s="579">
        <v>0</v>
      </c>
      <c r="I1528" s="581"/>
      <c r="J1528" s="581"/>
      <c r="K1528" s="571">
        <v>37680000</v>
      </c>
      <c r="L1528" s="571">
        <v>0</v>
      </c>
      <c r="M1528" s="574"/>
      <c r="N1528" s="574"/>
      <c r="O1528" s="599">
        <v>0</v>
      </c>
      <c r="P1528" s="571"/>
      <c r="Q1528" s="571">
        <v>0</v>
      </c>
      <c r="R1528" s="582"/>
      <c r="S1528" s="597"/>
      <c r="T1528" s="600">
        <v>0</v>
      </c>
      <c r="U1528" s="608"/>
      <c r="V1528" s="571"/>
      <c r="W1528" s="571">
        <v>0</v>
      </c>
      <c r="X1528" s="562"/>
      <c r="Y1528" s="568"/>
      <c r="Z1528" s="568"/>
      <c r="AA1528" s="568"/>
      <c r="AB1528" s="568"/>
      <c r="AC1528" s="568"/>
      <c r="AD1528" s="584"/>
      <c r="AE1528" s="581">
        <f>SUBTOTAL(9,AE1529:AE1536)</f>
        <v>0</v>
      </c>
      <c r="AF1528" s="585"/>
      <c r="AG1528" s="585">
        <v>0</v>
      </c>
      <c r="AH1528" s="571">
        <v>37680000</v>
      </c>
      <c r="AI1528" s="574"/>
      <c r="AJ1528" s="578"/>
    </row>
    <row r="1529" spans="1:36" s="385" customFormat="1" ht="121.5" outlineLevel="2" x14ac:dyDescent="0.3">
      <c r="A1529" s="447">
        <v>122</v>
      </c>
      <c r="B1529" s="558"/>
      <c r="C1529" s="558"/>
      <c r="D1529" s="615"/>
      <c r="E1529" s="700"/>
      <c r="F1529" s="684" t="s">
        <v>2432</v>
      </c>
      <c r="G1529" s="604">
        <v>100</v>
      </c>
      <c r="H1529" s="546" t="s">
        <v>2899</v>
      </c>
      <c r="I1529" s="563">
        <v>376800</v>
      </c>
      <c r="J1529" s="563">
        <v>0</v>
      </c>
      <c r="K1529" s="564">
        <v>37680000</v>
      </c>
      <c r="L1529" s="564">
        <v>0</v>
      </c>
      <c r="M1529" s="558"/>
      <c r="N1529" s="558"/>
      <c r="O1529" s="590"/>
      <c r="P1529" s="564" t="s">
        <v>25</v>
      </c>
      <c r="Q1529" s="564" t="s">
        <v>25</v>
      </c>
      <c r="R1529" s="566"/>
      <c r="S1529" s="589"/>
      <c r="T1529" s="591"/>
      <c r="U1529" s="593"/>
      <c r="V1529" s="564" t="s">
        <v>2899</v>
      </c>
      <c r="W1529" s="564" t="s">
        <v>25</v>
      </c>
      <c r="X1529" s="562"/>
      <c r="Y1529" s="568"/>
      <c r="Z1529" s="568"/>
      <c r="AA1529" s="568"/>
      <c r="AB1529" s="568"/>
      <c r="AC1529" s="568"/>
      <c r="AD1529" s="568"/>
      <c r="AE1529" s="563"/>
      <c r="AF1529" s="570" t="s">
        <v>2899</v>
      </c>
      <c r="AG1529" s="570" t="s">
        <v>25</v>
      </c>
      <c r="AH1529" s="571" t="s">
        <v>25</v>
      </c>
      <c r="AI1529" s="558" t="s">
        <v>1080</v>
      </c>
      <c r="AJ1529" s="586" t="s">
        <v>2771</v>
      </c>
    </row>
    <row r="1530" spans="1:36" s="385" customFormat="1" ht="44.25" outlineLevel="2" x14ac:dyDescent="0.3">
      <c r="A1530" s="447">
        <v>122</v>
      </c>
      <c r="B1530" s="586"/>
      <c r="C1530" s="586"/>
      <c r="D1530" s="615"/>
      <c r="E1530" s="700"/>
      <c r="F1530" s="558"/>
      <c r="G1530" s="604"/>
      <c r="H1530" s="546"/>
      <c r="I1530" s="563" t="s">
        <v>25</v>
      </c>
      <c r="J1530" s="563" t="s">
        <v>25</v>
      </c>
      <c r="K1530" s="564" t="s">
        <v>25</v>
      </c>
      <c r="L1530" s="564" t="s">
        <v>25</v>
      </c>
      <c r="M1530" s="558"/>
      <c r="N1530" s="558"/>
      <c r="O1530" s="590"/>
      <c r="P1530" s="564" t="s">
        <v>25</v>
      </c>
      <c r="Q1530" s="564" t="s">
        <v>25</v>
      </c>
      <c r="R1530" s="566"/>
      <c r="S1530" s="589"/>
      <c r="T1530" s="617"/>
      <c r="U1530" s="593"/>
      <c r="V1530" s="564" t="s">
        <v>2899</v>
      </c>
      <c r="W1530" s="564" t="s">
        <v>25</v>
      </c>
      <c r="X1530" s="562"/>
      <c r="Y1530" s="568"/>
      <c r="Z1530" s="568"/>
      <c r="AA1530" s="568"/>
      <c r="AB1530" s="568"/>
      <c r="AC1530" s="568"/>
      <c r="AD1530" s="568"/>
      <c r="AE1530" s="563"/>
      <c r="AF1530" s="570" t="s">
        <v>2899</v>
      </c>
      <c r="AG1530" s="570" t="s">
        <v>25</v>
      </c>
      <c r="AH1530" s="571" t="s">
        <v>25</v>
      </c>
      <c r="AI1530" s="558" t="s">
        <v>2843</v>
      </c>
      <c r="AJ1530" s="558"/>
    </row>
    <row r="1531" spans="1:36" s="385" customFormat="1" ht="40.5" outlineLevel="2" x14ac:dyDescent="0.3">
      <c r="A1531" s="447">
        <v>122</v>
      </c>
      <c r="B1531" s="558"/>
      <c r="C1531" s="558"/>
      <c r="D1531" s="615"/>
      <c r="E1531" s="700"/>
      <c r="F1531" s="558"/>
      <c r="G1531" s="604"/>
      <c r="H1531" s="546"/>
      <c r="I1531" s="563" t="s">
        <v>25</v>
      </c>
      <c r="J1531" s="563" t="s">
        <v>25</v>
      </c>
      <c r="K1531" s="564" t="s">
        <v>25</v>
      </c>
      <c r="L1531" s="564" t="s">
        <v>25</v>
      </c>
      <c r="M1531" s="558"/>
      <c r="N1531" s="558"/>
      <c r="O1531" s="590"/>
      <c r="P1531" s="564" t="s">
        <v>25</v>
      </c>
      <c r="Q1531" s="564" t="s">
        <v>25</v>
      </c>
      <c r="R1531" s="566"/>
      <c r="S1531" s="589"/>
      <c r="T1531" s="591"/>
      <c r="U1531" s="593"/>
      <c r="V1531" s="564" t="s">
        <v>2899</v>
      </c>
      <c r="W1531" s="564" t="s">
        <v>25</v>
      </c>
      <c r="X1531" s="562"/>
      <c r="Y1531" s="568"/>
      <c r="Z1531" s="568"/>
      <c r="AA1531" s="568"/>
      <c r="AB1531" s="568"/>
      <c r="AC1531" s="568"/>
      <c r="AD1531" s="568"/>
      <c r="AE1531" s="563"/>
      <c r="AF1531" s="570" t="s">
        <v>2899</v>
      </c>
      <c r="AG1531" s="570" t="s">
        <v>25</v>
      </c>
      <c r="AH1531" s="571" t="s">
        <v>25</v>
      </c>
      <c r="AI1531" s="558" t="s">
        <v>1083</v>
      </c>
      <c r="AJ1531" s="558"/>
    </row>
    <row r="1532" spans="1:36" s="385" customFormat="1" ht="20.25" outlineLevel="2" x14ac:dyDescent="0.3">
      <c r="A1532" s="447">
        <v>122</v>
      </c>
      <c r="B1532" s="558"/>
      <c r="C1532" s="558"/>
      <c r="D1532" s="615"/>
      <c r="E1532" s="700"/>
      <c r="F1532" s="558"/>
      <c r="G1532" s="604"/>
      <c r="H1532" s="546"/>
      <c r="I1532" s="563" t="s">
        <v>25</v>
      </c>
      <c r="J1532" s="563" t="s">
        <v>25</v>
      </c>
      <c r="K1532" s="564" t="s">
        <v>25</v>
      </c>
      <c r="L1532" s="564" t="s">
        <v>25</v>
      </c>
      <c r="M1532" s="558"/>
      <c r="N1532" s="558"/>
      <c r="O1532" s="590"/>
      <c r="P1532" s="564" t="s">
        <v>25</v>
      </c>
      <c r="Q1532" s="564" t="s">
        <v>25</v>
      </c>
      <c r="R1532" s="566"/>
      <c r="S1532" s="589"/>
      <c r="T1532" s="591"/>
      <c r="U1532" s="593"/>
      <c r="V1532" s="564" t="s">
        <v>2899</v>
      </c>
      <c r="W1532" s="564" t="s">
        <v>25</v>
      </c>
      <c r="X1532" s="562"/>
      <c r="Y1532" s="568"/>
      <c r="Z1532" s="568"/>
      <c r="AA1532" s="568"/>
      <c r="AB1532" s="568"/>
      <c r="AC1532" s="568"/>
      <c r="AD1532" s="568"/>
      <c r="AE1532" s="563"/>
      <c r="AF1532" s="570" t="s">
        <v>2899</v>
      </c>
      <c r="AG1532" s="570" t="s">
        <v>25</v>
      </c>
      <c r="AH1532" s="571" t="s">
        <v>25</v>
      </c>
      <c r="AI1532" s="593"/>
      <c r="AJ1532" s="593"/>
    </row>
    <row r="1533" spans="1:36" s="385" customFormat="1" ht="20.25" outlineLevel="2" x14ac:dyDescent="0.3">
      <c r="A1533" s="447">
        <v>122</v>
      </c>
      <c r="B1533" s="558"/>
      <c r="C1533" s="558"/>
      <c r="D1533" s="615"/>
      <c r="E1533" s="700"/>
      <c r="F1533" s="558"/>
      <c r="G1533" s="604"/>
      <c r="H1533" s="546"/>
      <c r="I1533" s="563" t="s">
        <v>25</v>
      </c>
      <c r="J1533" s="563" t="s">
        <v>25</v>
      </c>
      <c r="K1533" s="564" t="s">
        <v>25</v>
      </c>
      <c r="L1533" s="564" t="s">
        <v>25</v>
      </c>
      <c r="M1533" s="558"/>
      <c r="N1533" s="558"/>
      <c r="O1533" s="590"/>
      <c r="P1533" s="564" t="s">
        <v>25</v>
      </c>
      <c r="Q1533" s="564" t="s">
        <v>25</v>
      </c>
      <c r="R1533" s="566"/>
      <c r="S1533" s="589"/>
      <c r="T1533" s="591"/>
      <c r="U1533" s="593"/>
      <c r="V1533" s="564" t="s">
        <v>2899</v>
      </c>
      <c r="W1533" s="564" t="s">
        <v>25</v>
      </c>
      <c r="X1533" s="562"/>
      <c r="Y1533" s="568"/>
      <c r="Z1533" s="568"/>
      <c r="AA1533" s="568"/>
      <c r="AB1533" s="568"/>
      <c r="AC1533" s="568"/>
      <c r="AD1533" s="568"/>
      <c r="AE1533" s="563"/>
      <c r="AF1533" s="570" t="s">
        <v>2899</v>
      </c>
      <c r="AG1533" s="570" t="s">
        <v>25</v>
      </c>
      <c r="AH1533" s="571" t="s">
        <v>25</v>
      </c>
      <c r="AI1533" s="558"/>
      <c r="AJ1533" s="558"/>
    </row>
    <row r="1534" spans="1:36" s="385" customFormat="1" ht="20.25" outlineLevel="2" x14ac:dyDescent="0.3">
      <c r="A1534" s="447">
        <v>122</v>
      </c>
      <c r="B1534" s="558"/>
      <c r="C1534" s="558"/>
      <c r="D1534" s="615"/>
      <c r="E1534" s="700"/>
      <c r="F1534" s="558"/>
      <c r="G1534" s="604"/>
      <c r="H1534" s="546"/>
      <c r="I1534" s="563" t="s">
        <v>25</v>
      </c>
      <c r="J1534" s="563" t="s">
        <v>25</v>
      </c>
      <c r="K1534" s="564" t="s">
        <v>25</v>
      </c>
      <c r="L1534" s="564" t="s">
        <v>25</v>
      </c>
      <c r="M1534" s="558"/>
      <c r="N1534" s="558"/>
      <c r="O1534" s="590"/>
      <c r="P1534" s="564" t="s">
        <v>25</v>
      </c>
      <c r="Q1534" s="564" t="s">
        <v>25</v>
      </c>
      <c r="R1534" s="566"/>
      <c r="S1534" s="589"/>
      <c r="T1534" s="591"/>
      <c r="U1534" s="593"/>
      <c r="V1534" s="564" t="s">
        <v>2899</v>
      </c>
      <c r="W1534" s="564" t="s">
        <v>25</v>
      </c>
      <c r="X1534" s="562"/>
      <c r="Y1534" s="568"/>
      <c r="Z1534" s="568"/>
      <c r="AA1534" s="568"/>
      <c r="AB1534" s="568"/>
      <c r="AC1534" s="568"/>
      <c r="AD1534" s="568"/>
      <c r="AE1534" s="563"/>
      <c r="AF1534" s="570" t="s">
        <v>2899</v>
      </c>
      <c r="AG1534" s="570" t="s">
        <v>25</v>
      </c>
      <c r="AH1534" s="571" t="s">
        <v>25</v>
      </c>
      <c r="AI1534" s="558"/>
      <c r="AJ1534" s="558"/>
    </row>
    <row r="1535" spans="1:36" s="385" customFormat="1" ht="20.25" outlineLevel="2" x14ac:dyDescent="0.3">
      <c r="A1535" s="447">
        <v>122</v>
      </c>
      <c r="B1535" s="572"/>
      <c r="C1535" s="572"/>
      <c r="D1535" s="615"/>
      <c r="E1535" s="700"/>
      <c r="F1535" s="558"/>
      <c r="G1535" s="604"/>
      <c r="H1535" s="546"/>
      <c r="I1535" s="563" t="s">
        <v>25</v>
      </c>
      <c r="J1535" s="563" t="s">
        <v>25</v>
      </c>
      <c r="K1535" s="564" t="s">
        <v>25</v>
      </c>
      <c r="L1535" s="564" t="s">
        <v>25</v>
      </c>
      <c r="M1535" s="558"/>
      <c r="N1535" s="558"/>
      <c r="O1535" s="590"/>
      <c r="P1535" s="564" t="s">
        <v>25</v>
      </c>
      <c r="Q1535" s="564" t="s">
        <v>25</v>
      </c>
      <c r="R1535" s="566"/>
      <c r="S1535" s="589"/>
      <c r="T1535" s="591"/>
      <c r="U1535" s="593"/>
      <c r="V1535" s="564" t="s">
        <v>2899</v>
      </c>
      <c r="W1535" s="564" t="s">
        <v>25</v>
      </c>
      <c r="X1535" s="562"/>
      <c r="Y1535" s="568"/>
      <c r="Z1535" s="568"/>
      <c r="AA1535" s="568"/>
      <c r="AB1535" s="568"/>
      <c r="AC1535" s="568"/>
      <c r="AD1535" s="568"/>
      <c r="AE1535" s="563"/>
      <c r="AF1535" s="570" t="s">
        <v>2899</v>
      </c>
      <c r="AG1535" s="570" t="s">
        <v>25</v>
      </c>
      <c r="AH1535" s="571" t="s">
        <v>25</v>
      </c>
      <c r="AI1535" s="558"/>
      <c r="AJ1535" s="558"/>
    </row>
    <row r="1536" spans="1:36" s="385" customFormat="1" ht="20.25" outlineLevel="2" x14ac:dyDescent="0.3">
      <c r="A1536" s="447">
        <v>122</v>
      </c>
      <c r="B1536" s="574"/>
      <c r="C1536" s="574"/>
      <c r="D1536" s="705"/>
      <c r="E1536" s="706"/>
      <c r="F1536" s="558"/>
      <c r="G1536" s="732"/>
      <c r="H1536" s="546"/>
      <c r="I1536" s="563" t="s">
        <v>25</v>
      </c>
      <c r="J1536" s="563" t="s">
        <v>25</v>
      </c>
      <c r="K1536" s="564" t="s">
        <v>25</v>
      </c>
      <c r="L1536" s="564" t="s">
        <v>25</v>
      </c>
      <c r="M1536" s="586"/>
      <c r="N1536" s="586"/>
      <c r="O1536" s="630"/>
      <c r="P1536" s="564" t="s">
        <v>25</v>
      </c>
      <c r="Q1536" s="564" t="s">
        <v>25</v>
      </c>
      <c r="R1536" s="586"/>
      <c r="S1536" s="609"/>
      <c r="T1536" s="567"/>
      <c r="U1536" s="593"/>
      <c r="V1536" s="564" t="s">
        <v>2899</v>
      </c>
      <c r="W1536" s="564" t="s">
        <v>25</v>
      </c>
      <c r="X1536" s="562"/>
      <c r="Y1536" s="568"/>
      <c r="Z1536" s="568"/>
      <c r="AA1536" s="568"/>
      <c r="AB1536" s="568"/>
      <c r="AC1536" s="568"/>
      <c r="AD1536" s="568"/>
      <c r="AE1536" s="563"/>
      <c r="AF1536" s="570" t="s">
        <v>2899</v>
      </c>
      <c r="AG1536" s="570" t="s">
        <v>25</v>
      </c>
      <c r="AH1536" s="571" t="s">
        <v>25</v>
      </c>
      <c r="AI1536" s="593"/>
      <c r="AJ1536" s="593"/>
    </row>
    <row r="1537" spans="1:36" s="385" customFormat="1" ht="40.5" outlineLevel="1" x14ac:dyDescent="0.25">
      <c r="A1537" s="467">
        <v>123</v>
      </c>
      <c r="B1537" s="574" t="s">
        <v>1084</v>
      </c>
      <c r="C1537" s="586" t="s">
        <v>2903</v>
      </c>
      <c r="D1537" s="615">
        <v>86</v>
      </c>
      <c r="E1537" s="736">
        <v>216</v>
      </c>
      <c r="F1537" s="574"/>
      <c r="G1537" s="596">
        <v>100</v>
      </c>
      <c r="H1537" s="579">
        <v>100</v>
      </c>
      <c r="I1537" s="581"/>
      <c r="J1537" s="581"/>
      <c r="K1537" s="571">
        <v>37680000</v>
      </c>
      <c r="L1537" s="571">
        <v>113040000</v>
      </c>
      <c r="M1537" s="574"/>
      <c r="N1537" s="574"/>
      <c r="O1537" s="599">
        <v>0</v>
      </c>
      <c r="P1537" s="571"/>
      <c r="Q1537" s="571">
        <v>0</v>
      </c>
      <c r="R1537" s="582"/>
      <c r="S1537" s="597"/>
      <c r="T1537" s="600">
        <v>0</v>
      </c>
      <c r="U1537" s="608"/>
      <c r="V1537" s="571"/>
      <c r="W1537" s="571">
        <v>0</v>
      </c>
      <c r="X1537" s="562"/>
      <c r="Y1537" s="568"/>
      <c r="Z1537" s="568"/>
      <c r="AA1537" s="568"/>
      <c r="AB1537" s="568"/>
      <c r="AC1537" s="568"/>
      <c r="AD1537" s="584"/>
      <c r="AE1537" s="581">
        <f>SUBTOTAL(9,AE1538:AE1542)</f>
        <v>0</v>
      </c>
      <c r="AF1537" s="585"/>
      <c r="AG1537" s="585">
        <v>0</v>
      </c>
      <c r="AH1537" s="571">
        <v>150720000</v>
      </c>
      <c r="AI1537" s="574"/>
      <c r="AJ1537" s="578"/>
    </row>
    <row r="1538" spans="1:36" s="385" customFormat="1" ht="121.5" outlineLevel="2" x14ac:dyDescent="0.3">
      <c r="A1538" s="447">
        <v>123</v>
      </c>
      <c r="B1538" s="558" t="s">
        <v>1086</v>
      </c>
      <c r="C1538" s="558"/>
      <c r="D1538" s="615"/>
      <c r="E1538" s="700"/>
      <c r="F1538" s="684" t="s">
        <v>2433</v>
      </c>
      <c r="G1538" s="604">
        <v>100</v>
      </c>
      <c r="H1538" s="546">
        <v>100</v>
      </c>
      <c r="I1538" s="563">
        <v>376800</v>
      </c>
      <c r="J1538" s="563">
        <v>1130400</v>
      </c>
      <c r="K1538" s="564">
        <v>37680000</v>
      </c>
      <c r="L1538" s="564">
        <v>113040000</v>
      </c>
      <c r="M1538" s="558"/>
      <c r="N1538" s="558"/>
      <c r="O1538" s="590"/>
      <c r="P1538" s="564" t="s">
        <v>25</v>
      </c>
      <c r="Q1538" s="564" t="s">
        <v>25</v>
      </c>
      <c r="R1538" s="566"/>
      <c r="S1538" s="589"/>
      <c r="T1538" s="591"/>
      <c r="U1538" s="593"/>
      <c r="V1538" s="564" t="s">
        <v>2899</v>
      </c>
      <c r="W1538" s="564" t="s">
        <v>25</v>
      </c>
      <c r="X1538" s="562"/>
      <c r="Y1538" s="568"/>
      <c r="Z1538" s="568"/>
      <c r="AA1538" s="568"/>
      <c r="AB1538" s="568"/>
      <c r="AC1538" s="568"/>
      <c r="AD1538" s="568"/>
      <c r="AE1538" s="563"/>
      <c r="AF1538" s="570" t="s">
        <v>2899</v>
      </c>
      <c r="AG1538" s="570"/>
      <c r="AH1538" s="571" t="s">
        <v>25</v>
      </c>
      <c r="AI1538" s="558" t="s">
        <v>1085</v>
      </c>
      <c r="AJ1538" s="586" t="s">
        <v>2771</v>
      </c>
    </row>
    <row r="1539" spans="1:36" s="385" customFormat="1" ht="101.25" outlineLevel="2" x14ac:dyDescent="0.3">
      <c r="A1539" s="447">
        <v>123</v>
      </c>
      <c r="B1539" s="586" t="s">
        <v>1586</v>
      </c>
      <c r="C1539" s="586"/>
      <c r="D1539" s="615"/>
      <c r="E1539" s="700"/>
      <c r="F1539" s="558"/>
      <c r="G1539" s="604"/>
      <c r="H1539" s="546"/>
      <c r="I1539" s="563" t="s">
        <v>25</v>
      </c>
      <c r="J1539" s="563" t="s">
        <v>25</v>
      </c>
      <c r="K1539" s="564" t="s">
        <v>25</v>
      </c>
      <c r="L1539" s="564" t="s">
        <v>25</v>
      </c>
      <c r="M1539" s="558"/>
      <c r="N1539" s="558"/>
      <c r="O1539" s="590"/>
      <c r="P1539" s="564" t="s">
        <v>25</v>
      </c>
      <c r="Q1539" s="564" t="s">
        <v>25</v>
      </c>
      <c r="R1539" s="566"/>
      <c r="S1539" s="589"/>
      <c r="T1539" s="617"/>
      <c r="U1539" s="593"/>
      <c r="V1539" s="564" t="s">
        <v>2899</v>
      </c>
      <c r="W1539" s="564" t="s">
        <v>25</v>
      </c>
      <c r="X1539" s="562"/>
      <c r="Y1539" s="568"/>
      <c r="Z1539" s="568"/>
      <c r="AA1539" s="568"/>
      <c r="AB1539" s="568"/>
      <c r="AC1539" s="568"/>
      <c r="AD1539" s="568"/>
      <c r="AE1539" s="563"/>
      <c r="AF1539" s="570" t="s">
        <v>2899</v>
      </c>
      <c r="AG1539" s="570" t="s">
        <v>25</v>
      </c>
      <c r="AH1539" s="571" t="s">
        <v>25</v>
      </c>
      <c r="AI1539" s="684" t="s">
        <v>2844</v>
      </c>
      <c r="AJ1539" s="605" t="s">
        <v>2448</v>
      </c>
    </row>
    <row r="1540" spans="1:36" s="385" customFormat="1" ht="60.75" outlineLevel="2" x14ac:dyDescent="0.3">
      <c r="A1540" s="447">
        <v>123</v>
      </c>
      <c r="B1540" s="558"/>
      <c r="C1540" s="558"/>
      <c r="D1540" s="615"/>
      <c r="E1540" s="700"/>
      <c r="F1540" s="558"/>
      <c r="G1540" s="604"/>
      <c r="H1540" s="546"/>
      <c r="I1540" s="563" t="s">
        <v>25</v>
      </c>
      <c r="J1540" s="563" t="s">
        <v>25</v>
      </c>
      <c r="K1540" s="564" t="s">
        <v>25</v>
      </c>
      <c r="L1540" s="564" t="s">
        <v>25</v>
      </c>
      <c r="M1540" s="558"/>
      <c r="N1540" s="558"/>
      <c r="O1540" s="590"/>
      <c r="P1540" s="564" t="s">
        <v>25</v>
      </c>
      <c r="Q1540" s="564" t="s">
        <v>25</v>
      </c>
      <c r="R1540" s="566"/>
      <c r="S1540" s="589"/>
      <c r="T1540" s="591"/>
      <c r="U1540" s="593"/>
      <c r="V1540" s="564" t="s">
        <v>2899</v>
      </c>
      <c r="W1540" s="564" t="s">
        <v>25</v>
      </c>
      <c r="X1540" s="562"/>
      <c r="Y1540" s="568"/>
      <c r="Z1540" s="568"/>
      <c r="AA1540" s="568"/>
      <c r="AB1540" s="568"/>
      <c r="AC1540" s="568"/>
      <c r="AD1540" s="568"/>
      <c r="AE1540" s="563"/>
      <c r="AF1540" s="570" t="s">
        <v>2899</v>
      </c>
      <c r="AG1540" s="570" t="s">
        <v>25</v>
      </c>
      <c r="AH1540" s="571" t="s">
        <v>25</v>
      </c>
      <c r="AI1540" s="558" t="s">
        <v>2074</v>
      </c>
      <c r="AJ1540" s="593"/>
    </row>
    <row r="1541" spans="1:36" s="385" customFormat="1" ht="20.25" outlineLevel="2" x14ac:dyDescent="0.3">
      <c r="A1541" s="447">
        <v>123</v>
      </c>
      <c r="B1541" s="558"/>
      <c r="C1541" s="558"/>
      <c r="D1541" s="615"/>
      <c r="E1541" s="700"/>
      <c r="F1541" s="558"/>
      <c r="G1541" s="604"/>
      <c r="H1541" s="546"/>
      <c r="I1541" s="563" t="s">
        <v>25</v>
      </c>
      <c r="J1541" s="563" t="s">
        <v>25</v>
      </c>
      <c r="K1541" s="564" t="s">
        <v>25</v>
      </c>
      <c r="L1541" s="564" t="s">
        <v>25</v>
      </c>
      <c r="M1541" s="558"/>
      <c r="N1541" s="558"/>
      <c r="O1541" s="590"/>
      <c r="P1541" s="564" t="s">
        <v>25</v>
      </c>
      <c r="Q1541" s="564" t="s">
        <v>25</v>
      </c>
      <c r="R1541" s="566"/>
      <c r="S1541" s="589"/>
      <c r="T1541" s="591"/>
      <c r="U1541" s="593"/>
      <c r="V1541" s="564" t="s">
        <v>2899</v>
      </c>
      <c r="W1541" s="564" t="s">
        <v>25</v>
      </c>
      <c r="X1541" s="562"/>
      <c r="Y1541" s="568"/>
      <c r="Z1541" s="568"/>
      <c r="AA1541" s="568"/>
      <c r="AB1541" s="568"/>
      <c r="AC1541" s="568"/>
      <c r="AD1541" s="568"/>
      <c r="AE1541" s="563"/>
      <c r="AF1541" s="570" t="s">
        <v>2899</v>
      </c>
      <c r="AG1541" s="570" t="s">
        <v>25</v>
      </c>
      <c r="AH1541" s="571" t="s">
        <v>25</v>
      </c>
      <c r="AI1541" s="704"/>
      <c r="AJ1541" s="558"/>
    </row>
    <row r="1542" spans="1:36" s="385" customFormat="1" ht="20.25" outlineLevel="2" x14ac:dyDescent="0.3">
      <c r="A1542" s="447">
        <v>123</v>
      </c>
      <c r="B1542" s="574"/>
      <c r="C1542" s="574"/>
      <c r="D1542" s="705"/>
      <c r="E1542" s="706"/>
      <c r="F1542" s="558"/>
      <c r="G1542" s="604"/>
      <c r="H1542" s="546"/>
      <c r="I1542" s="563" t="s">
        <v>25</v>
      </c>
      <c r="J1542" s="563" t="s">
        <v>25</v>
      </c>
      <c r="K1542" s="564" t="s">
        <v>25</v>
      </c>
      <c r="L1542" s="564" t="s">
        <v>25</v>
      </c>
      <c r="M1542" s="558"/>
      <c r="N1542" s="558"/>
      <c r="O1542" s="590"/>
      <c r="P1542" s="564" t="s">
        <v>25</v>
      </c>
      <c r="Q1542" s="564" t="s">
        <v>25</v>
      </c>
      <c r="R1542" s="566"/>
      <c r="S1542" s="589"/>
      <c r="T1542" s="591"/>
      <c r="U1542" s="593"/>
      <c r="V1542" s="564" t="s">
        <v>2899</v>
      </c>
      <c r="W1542" s="564" t="s">
        <v>25</v>
      </c>
      <c r="X1542" s="562"/>
      <c r="Y1542" s="568"/>
      <c r="Z1542" s="568"/>
      <c r="AA1542" s="568"/>
      <c r="AB1542" s="568"/>
      <c r="AC1542" s="568"/>
      <c r="AD1542" s="568"/>
      <c r="AE1542" s="563"/>
      <c r="AF1542" s="570" t="s">
        <v>2899</v>
      </c>
      <c r="AG1542" s="570" t="s">
        <v>25</v>
      </c>
      <c r="AH1542" s="571" t="s">
        <v>25</v>
      </c>
      <c r="AI1542" s="558"/>
      <c r="AJ1542" s="558"/>
    </row>
    <row r="1543" spans="1:36" s="385" customFormat="1" ht="40.5" outlineLevel="1" x14ac:dyDescent="0.25">
      <c r="A1543" s="467">
        <v>124</v>
      </c>
      <c r="B1543" s="574" t="s">
        <v>1088</v>
      </c>
      <c r="C1543" s="586" t="s">
        <v>2903</v>
      </c>
      <c r="D1543" s="615">
        <v>86</v>
      </c>
      <c r="E1543" s="700">
        <v>215</v>
      </c>
      <c r="F1543" s="574"/>
      <c r="G1543" s="596">
        <v>100</v>
      </c>
      <c r="H1543" s="579">
        <v>100</v>
      </c>
      <c r="I1543" s="581"/>
      <c r="J1543" s="581"/>
      <c r="K1543" s="571">
        <v>37680000</v>
      </c>
      <c r="L1543" s="571">
        <v>113040000</v>
      </c>
      <c r="M1543" s="574"/>
      <c r="N1543" s="574"/>
      <c r="O1543" s="599">
        <v>0</v>
      </c>
      <c r="P1543" s="571"/>
      <c r="Q1543" s="571">
        <v>0</v>
      </c>
      <c r="R1543" s="582"/>
      <c r="S1543" s="597"/>
      <c r="T1543" s="600">
        <v>0</v>
      </c>
      <c r="U1543" s="608"/>
      <c r="V1543" s="571"/>
      <c r="W1543" s="571">
        <v>0</v>
      </c>
      <c r="X1543" s="562"/>
      <c r="Y1543" s="568"/>
      <c r="Z1543" s="568"/>
      <c r="AA1543" s="568"/>
      <c r="AB1543" s="568"/>
      <c r="AC1543" s="568"/>
      <c r="AD1543" s="584"/>
      <c r="AE1543" s="581">
        <f>SUBTOTAL(9,AE1544:AE1548)</f>
        <v>0</v>
      </c>
      <c r="AF1543" s="585"/>
      <c r="AG1543" s="585">
        <v>0</v>
      </c>
      <c r="AH1543" s="571">
        <v>150720000</v>
      </c>
      <c r="AI1543" s="574"/>
      <c r="AJ1543" s="578"/>
    </row>
    <row r="1544" spans="1:36" s="385" customFormat="1" ht="121.5" outlineLevel="2" x14ac:dyDescent="0.3">
      <c r="A1544" s="447">
        <v>124</v>
      </c>
      <c r="B1544" s="558" t="s">
        <v>1090</v>
      </c>
      <c r="C1544" s="558"/>
      <c r="D1544" s="615"/>
      <c r="E1544" s="700"/>
      <c r="F1544" s="684" t="s">
        <v>2433</v>
      </c>
      <c r="G1544" s="604">
        <v>100</v>
      </c>
      <c r="H1544" s="546">
        <v>100</v>
      </c>
      <c r="I1544" s="563">
        <v>376800</v>
      </c>
      <c r="J1544" s="563">
        <v>1130400</v>
      </c>
      <c r="K1544" s="564">
        <v>37680000</v>
      </c>
      <c r="L1544" s="564">
        <v>113040000</v>
      </c>
      <c r="M1544" s="558"/>
      <c r="N1544" s="558"/>
      <c r="O1544" s="590"/>
      <c r="P1544" s="564" t="s">
        <v>25</v>
      </c>
      <c r="Q1544" s="564" t="s">
        <v>25</v>
      </c>
      <c r="R1544" s="566"/>
      <c r="S1544" s="589"/>
      <c r="T1544" s="591"/>
      <c r="U1544" s="593"/>
      <c r="V1544" s="564" t="s">
        <v>2899</v>
      </c>
      <c r="W1544" s="564" t="s">
        <v>25</v>
      </c>
      <c r="X1544" s="562"/>
      <c r="Y1544" s="568"/>
      <c r="Z1544" s="568"/>
      <c r="AA1544" s="568"/>
      <c r="AB1544" s="568"/>
      <c r="AC1544" s="568"/>
      <c r="AD1544" s="568"/>
      <c r="AE1544" s="563"/>
      <c r="AF1544" s="570" t="s">
        <v>2899</v>
      </c>
      <c r="AG1544" s="570"/>
      <c r="AH1544" s="571" t="s">
        <v>25</v>
      </c>
      <c r="AI1544" s="558" t="s">
        <v>1089</v>
      </c>
      <c r="AJ1544" s="586" t="s">
        <v>2771</v>
      </c>
    </row>
    <row r="1545" spans="1:36" s="385" customFormat="1" ht="101.25" outlineLevel="2" x14ac:dyDescent="0.3">
      <c r="A1545" s="447">
        <v>124</v>
      </c>
      <c r="B1545" s="718" t="s">
        <v>2785</v>
      </c>
      <c r="C1545" s="718"/>
      <c r="D1545" s="615"/>
      <c r="E1545" s="700"/>
      <c r="F1545" s="558"/>
      <c r="G1545" s="604"/>
      <c r="H1545" s="546"/>
      <c r="I1545" s="563" t="s">
        <v>25</v>
      </c>
      <c r="J1545" s="563" t="s">
        <v>25</v>
      </c>
      <c r="K1545" s="564" t="s">
        <v>25</v>
      </c>
      <c r="L1545" s="564" t="s">
        <v>25</v>
      </c>
      <c r="M1545" s="558"/>
      <c r="N1545" s="558"/>
      <c r="O1545" s="590"/>
      <c r="P1545" s="564" t="s">
        <v>25</v>
      </c>
      <c r="Q1545" s="564" t="s">
        <v>25</v>
      </c>
      <c r="R1545" s="566"/>
      <c r="S1545" s="589"/>
      <c r="T1545" s="617"/>
      <c r="U1545" s="593"/>
      <c r="V1545" s="564" t="s">
        <v>2899</v>
      </c>
      <c r="W1545" s="564" t="s">
        <v>25</v>
      </c>
      <c r="X1545" s="562"/>
      <c r="Y1545" s="568"/>
      <c r="Z1545" s="568"/>
      <c r="AA1545" s="568"/>
      <c r="AB1545" s="568"/>
      <c r="AC1545" s="568"/>
      <c r="AD1545" s="568"/>
      <c r="AE1545" s="563"/>
      <c r="AF1545" s="570" t="s">
        <v>2899</v>
      </c>
      <c r="AG1545" s="570" t="s">
        <v>25</v>
      </c>
      <c r="AH1545" s="571" t="s">
        <v>25</v>
      </c>
      <c r="AI1545" s="558" t="s">
        <v>2845</v>
      </c>
      <c r="AJ1545" s="605" t="s">
        <v>2448</v>
      </c>
    </row>
    <row r="1546" spans="1:36" s="385" customFormat="1" ht="60.75" outlineLevel="2" x14ac:dyDescent="0.3">
      <c r="A1546" s="447">
        <v>124</v>
      </c>
      <c r="B1546" s="586"/>
      <c r="C1546" s="586"/>
      <c r="D1546" s="615"/>
      <c r="E1546" s="700"/>
      <c r="F1546" s="558"/>
      <c r="G1546" s="604"/>
      <c r="H1546" s="546"/>
      <c r="I1546" s="563" t="s">
        <v>25</v>
      </c>
      <c r="J1546" s="563" t="s">
        <v>25</v>
      </c>
      <c r="K1546" s="564" t="s">
        <v>25</v>
      </c>
      <c r="L1546" s="564" t="s">
        <v>25</v>
      </c>
      <c r="M1546" s="558"/>
      <c r="N1546" s="558"/>
      <c r="O1546" s="590"/>
      <c r="P1546" s="564" t="s">
        <v>25</v>
      </c>
      <c r="Q1546" s="564" t="s">
        <v>25</v>
      </c>
      <c r="R1546" s="566"/>
      <c r="S1546" s="589"/>
      <c r="T1546" s="591"/>
      <c r="U1546" s="593"/>
      <c r="V1546" s="564" t="s">
        <v>2899</v>
      </c>
      <c r="W1546" s="564" t="s">
        <v>25</v>
      </c>
      <c r="X1546" s="562"/>
      <c r="Y1546" s="568"/>
      <c r="Z1546" s="568"/>
      <c r="AA1546" s="568"/>
      <c r="AB1546" s="568"/>
      <c r="AC1546" s="568"/>
      <c r="AD1546" s="568"/>
      <c r="AE1546" s="563"/>
      <c r="AF1546" s="570" t="s">
        <v>2899</v>
      </c>
      <c r="AG1546" s="570" t="s">
        <v>25</v>
      </c>
      <c r="AH1546" s="571" t="s">
        <v>25</v>
      </c>
      <c r="AI1546" s="558" t="s">
        <v>2074</v>
      </c>
      <c r="AJ1546" s="593"/>
    </row>
    <row r="1547" spans="1:36" s="385" customFormat="1" ht="20.25" outlineLevel="2" x14ac:dyDescent="0.3">
      <c r="A1547" s="447">
        <v>124</v>
      </c>
      <c r="B1547" s="558"/>
      <c r="C1547" s="558"/>
      <c r="D1547" s="615"/>
      <c r="E1547" s="700"/>
      <c r="F1547" s="558"/>
      <c r="G1547" s="604"/>
      <c r="H1547" s="546"/>
      <c r="I1547" s="563" t="s">
        <v>25</v>
      </c>
      <c r="J1547" s="563" t="s">
        <v>25</v>
      </c>
      <c r="K1547" s="564" t="s">
        <v>25</v>
      </c>
      <c r="L1547" s="564" t="s">
        <v>25</v>
      </c>
      <c r="M1547" s="558"/>
      <c r="N1547" s="558"/>
      <c r="O1547" s="590"/>
      <c r="P1547" s="564" t="s">
        <v>25</v>
      </c>
      <c r="Q1547" s="564" t="s">
        <v>25</v>
      </c>
      <c r="R1547" s="566"/>
      <c r="S1547" s="589"/>
      <c r="T1547" s="591"/>
      <c r="U1547" s="593"/>
      <c r="V1547" s="564" t="s">
        <v>2899</v>
      </c>
      <c r="W1547" s="564" t="s">
        <v>25</v>
      </c>
      <c r="X1547" s="562"/>
      <c r="Y1547" s="568"/>
      <c r="Z1547" s="568"/>
      <c r="AA1547" s="568"/>
      <c r="AB1547" s="568"/>
      <c r="AC1547" s="568"/>
      <c r="AD1547" s="568"/>
      <c r="AE1547" s="563"/>
      <c r="AF1547" s="570" t="s">
        <v>2899</v>
      </c>
      <c r="AG1547" s="570" t="s">
        <v>25</v>
      </c>
      <c r="AH1547" s="571" t="s">
        <v>25</v>
      </c>
      <c r="AI1547" s="704"/>
      <c r="AJ1547" s="593"/>
    </row>
    <row r="1548" spans="1:36" s="385" customFormat="1" ht="20.25" outlineLevel="2" x14ac:dyDescent="0.3">
      <c r="A1548" s="447">
        <v>124</v>
      </c>
      <c r="B1548" s="574"/>
      <c r="C1548" s="574"/>
      <c r="D1548" s="705"/>
      <c r="E1548" s="706"/>
      <c r="F1548" s="558"/>
      <c r="G1548" s="604"/>
      <c r="H1548" s="546"/>
      <c r="I1548" s="563" t="s">
        <v>25</v>
      </c>
      <c r="J1548" s="563" t="s">
        <v>25</v>
      </c>
      <c r="K1548" s="564" t="s">
        <v>25</v>
      </c>
      <c r="L1548" s="564" t="s">
        <v>25</v>
      </c>
      <c r="M1548" s="558"/>
      <c r="N1548" s="558"/>
      <c r="O1548" s="590"/>
      <c r="P1548" s="564" t="s">
        <v>25</v>
      </c>
      <c r="Q1548" s="564" t="s">
        <v>25</v>
      </c>
      <c r="R1548" s="566"/>
      <c r="S1548" s="589"/>
      <c r="T1548" s="591"/>
      <c r="U1548" s="593"/>
      <c r="V1548" s="564" t="s">
        <v>2899</v>
      </c>
      <c r="W1548" s="564" t="s">
        <v>25</v>
      </c>
      <c r="X1548" s="562"/>
      <c r="Y1548" s="568"/>
      <c r="Z1548" s="568"/>
      <c r="AA1548" s="568"/>
      <c r="AB1548" s="568"/>
      <c r="AC1548" s="568"/>
      <c r="AD1548" s="568"/>
      <c r="AE1548" s="563"/>
      <c r="AF1548" s="570" t="s">
        <v>2899</v>
      </c>
      <c r="AG1548" s="570" t="s">
        <v>25</v>
      </c>
      <c r="AH1548" s="571" t="s">
        <v>25</v>
      </c>
      <c r="AI1548" s="558"/>
      <c r="AJ1548" s="558"/>
    </row>
    <row r="1549" spans="1:36" s="385" customFormat="1" ht="40.5" outlineLevel="1" x14ac:dyDescent="0.25">
      <c r="A1549" s="467">
        <v>125</v>
      </c>
      <c r="B1549" s="574" t="s">
        <v>1092</v>
      </c>
      <c r="C1549" s="586" t="s">
        <v>2903</v>
      </c>
      <c r="D1549" s="615">
        <v>86</v>
      </c>
      <c r="E1549" s="700">
        <v>213</v>
      </c>
      <c r="F1549" s="574"/>
      <c r="G1549" s="596">
        <v>100</v>
      </c>
      <c r="H1549" s="579">
        <v>100</v>
      </c>
      <c r="I1549" s="581"/>
      <c r="J1549" s="581"/>
      <c r="K1549" s="571">
        <v>37680000</v>
      </c>
      <c r="L1549" s="571">
        <v>113040000</v>
      </c>
      <c r="M1549" s="574"/>
      <c r="N1549" s="574"/>
      <c r="O1549" s="599">
        <v>0</v>
      </c>
      <c r="P1549" s="571"/>
      <c r="Q1549" s="571">
        <v>0</v>
      </c>
      <c r="R1549" s="582"/>
      <c r="S1549" s="597"/>
      <c r="T1549" s="600">
        <v>0</v>
      </c>
      <c r="U1549" s="608"/>
      <c r="V1549" s="571"/>
      <c r="W1549" s="571">
        <v>0</v>
      </c>
      <c r="X1549" s="562"/>
      <c r="Y1549" s="568"/>
      <c r="Z1549" s="568"/>
      <c r="AA1549" s="568"/>
      <c r="AB1549" s="568"/>
      <c r="AC1549" s="568"/>
      <c r="AD1549" s="584"/>
      <c r="AE1549" s="581">
        <f>SUBTOTAL(9,AE1550:AE1555)</f>
        <v>0</v>
      </c>
      <c r="AF1549" s="585"/>
      <c r="AG1549" s="585">
        <v>0</v>
      </c>
      <c r="AH1549" s="571">
        <v>150720000</v>
      </c>
      <c r="AI1549" s="574"/>
      <c r="AJ1549" s="578"/>
    </row>
    <row r="1550" spans="1:36" s="385" customFormat="1" ht="121.5" outlineLevel="2" x14ac:dyDescent="0.3">
      <c r="A1550" s="447">
        <v>125</v>
      </c>
      <c r="B1550" s="684" t="s">
        <v>2786</v>
      </c>
      <c r="C1550" s="684"/>
      <c r="D1550" s="615"/>
      <c r="E1550" s="700"/>
      <c r="F1550" s="684" t="s">
        <v>2433</v>
      </c>
      <c r="G1550" s="604">
        <v>100</v>
      </c>
      <c r="H1550" s="546">
        <v>100</v>
      </c>
      <c r="I1550" s="563">
        <v>376800</v>
      </c>
      <c r="J1550" s="563">
        <v>1130400</v>
      </c>
      <c r="K1550" s="564">
        <v>37680000</v>
      </c>
      <c r="L1550" s="564">
        <v>113040000</v>
      </c>
      <c r="M1550" s="558"/>
      <c r="N1550" s="558"/>
      <c r="O1550" s="590"/>
      <c r="P1550" s="564" t="s">
        <v>25</v>
      </c>
      <c r="Q1550" s="564" t="s">
        <v>25</v>
      </c>
      <c r="R1550" s="566"/>
      <c r="S1550" s="589"/>
      <c r="T1550" s="591"/>
      <c r="U1550" s="593"/>
      <c r="V1550" s="564" t="s">
        <v>2899</v>
      </c>
      <c r="W1550" s="564" t="s">
        <v>25</v>
      </c>
      <c r="X1550" s="562"/>
      <c r="Y1550" s="568"/>
      <c r="Z1550" s="568"/>
      <c r="AA1550" s="568"/>
      <c r="AB1550" s="568"/>
      <c r="AC1550" s="568"/>
      <c r="AD1550" s="568"/>
      <c r="AE1550" s="563"/>
      <c r="AF1550" s="570" t="s">
        <v>2899</v>
      </c>
      <c r="AG1550" s="570"/>
      <c r="AH1550" s="571" t="s">
        <v>25</v>
      </c>
      <c r="AI1550" s="558" t="s">
        <v>1093</v>
      </c>
      <c r="AJ1550" s="586" t="s">
        <v>2771</v>
      </c>
    </row>
    <row r="1551" spans="1:36" s="385" customFormat="1" ht="81" outlineLevel="2" x14ac:dyDescent="0.3">
      <c r="A1551" s="447">
        <v>125</v>
      </c>
      <c r="B1551" s="572" t="s">
        <v>1588</v>
      </c>
      <c r="C1551" s="572"/>
      <c r="D1551" s="615"/>
      <c r="E1551" s="700"/>
      <c r="F1551" s="558"/>
      <c r="G1551" s="604"/>
      <c r="H1551" s="546"/>
      <c r="I1551" s="563" t="s">
        <v>25</v>
      </c>
      <c r="J1551" s="563" t="s">
        <v>25</v>
      </c>
      <c r="K1551" s="564" t="s">
        <v>25</v>
      </c>
      <c r="L1551" s="564" t="s">
        <v>25</v>
      </c>
      <c r="M1551" s="558"/>
      <c r="N1551" s="558"/>
      <c r="O1551" s="590"/>
      <c r="P1551" s="564" t="s">
        <v>25</v>
      </c>
      <c r="Q1551" s="564" t="s">
        <v>25</v>
      </c>
      <c r="R1551" s="566"/>
      <c r="S1551" s="589"/>
      <c r="T1551" s="617"/>
      <c r="U1551" s="593"/>
      <c r="V1551" s="564" t="s">
        <v>2899</v>
      </c>
      <c r="W1551" s="564" t="s">
        <v>25</v>
      </c>
      <c r="X1551" s="562"/>
      <c r="Y1551" s="568"/>
      <c r="Z1551" s="568"/>
      <c r="AA1551" s="568"/>
      <c r="AB1551" s="568"/>
      <c r="AC1551" s="568"/>
      <c r="AD1551" s="568"/>
      <c r="AE1551" s="563"/>
      <c r="AF1551" s="570" t="s">
        <v>2899</v>
      </c>
      <c r="AG1551" s="570" t="s">
        <v>25</v>
      </c>
      <c r="AH1551" s="571" t="s">
        <v>25</v>
      </c>
      <c r="AI1551" s="558" t="s">
        <v>2846</v>
      </c>
      <c r="AJ1551" s="605" t="s">
        <v>2448</v>
      </c>
    </row>
    <row r="1552" spans="1:36" s="385" customFormat="1" ht="60.75" outlineLevel="2" x14ac:dyDescent="0.3">
      <c r="A1552" s="447">
        <v>125</v>
      </c>
      <c r="B1552" s="572"/>
      <c r="C1552" s="572"/>
      <c r="D1552" s="615"/>
      <c r="E1552" s="700"/>
      <c r="F1552" s="558"/>
      <c r="G1552" s="604"/>
      <c r="H1552" s="546"/>
      <c r="I1552" s="563" t="s">
        <v>25</v>
      </c>
      <c r="J1552" s="563" t="s">
        <v>25</v>
      </c>
      <c r="K1552" s="564" t="s">
        <v>25</v>
      </c>
      <c r="L1552" s="564" t="s">
        <v>25</v>
      </c>
      <c r="M1552" s="558"/>
      <c r="N1552" s="558"/>
      <c r="O1552" s="590"/>
      <c r="P1552" s="564" t="s">
        <v>25</v>
      </c>
      <c r="Q1552" s="564" t="s">
        <v>25</v>
      </c>
      <c r="R1552" s="566"/>
      <c r="S1552" s="589"/>
      <c r="T1552" s="591"/>
      <c r="U1552" s="593"/>
      <c r="V1552" s="564" t="s">
        <v>2899</v>
      </c>
      <c r="W1552" s="564" t="s">
        <v>25</v>
      </c>
      <c r="X1552" s="562"/>
      <c r="Y1552" s="568"/>
      <c r="Z1552" s="568"/>
      <c r="AA1552" s="568"/>
      <c r="AB1552" s="568"/>
      <c r="AC1552" s="568"/>
      <c r="AD1552" s="568"/>
      <c r="AE1552" s="563"/>
      <c r="AF1552" s="570" t="s">
        <v>2899</v>
      </c>
      <c r="AG1552" s="570" t="s">
        <v>25</v>
      </c>
      <c r="AH1552" s="571" t="s">
        <v>25</v>
      </c>
      <c r="AI1552" s="558" t="s">
        <v>2077</v>
      </c>
      <c r="AJ1552" s="593"/>
    </row>
    <row r="1553" spans="1:36" s="385" customFormat="1" ht="20.25" outlineLevel="2" x14ac:dyDescent="0.3">
      <c r="A1553" s="447">
        <v>125</v>
      </c>
      <c r="B1553" s="572"/>
      <c r="C1553" s="572"/>
      <c r="D1553" s="615"/>
      <c r="E1553" s="700"/>
      <c r="F1553" s="558"/>
      <c r="G1553" s="604"/>
      <c r="H1553" s="546"/>
      <c r="I1553" s="563" t="s">
        <v>25</v>
      </c>
      <c r="J1553" s="563" t="s">
        <v>25</v>
      </c>
      <c r="K1553" s="564" t="s">
        <v>25</v>
      </c>
      <c r="L1553" s="564" t="s">
        <v>25</v>
      </c>
      <c r="M1553" s="558"/>
      <c r="N1553" s="558"/>
      <c r="O1553" s="590"/>
      <c r="P1553" s="564" t="s">
        <v>25</v>
      </c>
      <c r="Q1553" s="564" t="s">
        <v>25</v>
      </c>
      <c r="R1553" s="566"/>
      <c r="S1553" s="589"/>
      <c r="T1553" s="591"/>
      <c r="U1553" s="593"/>
      <c r="V1553" s="564" t="s">
        <v>2899</v>
      </c>
      <c r="W1553" s="564" t="s">
        <v>25</v>
      </c>
      <c r="X1553" s="562"/>
      <c r="Y1553" s="568"/>
      <c r="Z1553" s="568"/>
      <c r="AA1553" s="568"/>
      <c r="AB1553" s="568"/>
      <c r="AC1553" s="568"/>
      <c r="AD1553" s="568"/>
      <c r="AE1553" s="563"/>
      <c r="AF1553" s="570" t="s">
        <v>2899</v>
      </c>
      <c r="AG1553" s="570" t="s">
        <v>25</v>
      </c>
      <c r="AH1553" s="571" t="s">
        <v>25</v>
      </c>
      <c r="AI1553" s="704"/>
      <c r="AJ1553" s="558"/>
    </row>
    <row r="1554" spans="1:36" s="385" customFormat="1" ht="20.25" outlineLevel="2" x14ac:dyDescent="0.3">
      <c r="A1554" s="447">
        <v>125</v>
      </c>
      <c r="B1554" s="558"/>
      <c r="C1554" s="558"/>
      <c r="D1554" s="615"/>
      <c r="E1554" s="700"/>
      <c r="F1554" s="558"/>
      <c r="G1554" s="604"/>
      <c r="H1554" s="546"/>
      <c r="I1554" s="563" t="s">
        <v>25</v>
      </c>
      <c r="J1554" s="563" t="s">
        <v>25</v>
      </c>
      <c r="K1554" s="564" t="s">
        <v>25</v>
      </c>
      <c r="L1554" s="564" t="s">
        <v>25</v>
      </c>
      <c r="M1554" s="558"/>
      <c r="N1554" s="558"/>
      <c r="O1554" s="590"/>
      <c r="P1554" s="564" t="s">
        <v>25</v>
      </c>
      <c r="Q1554" s="564" t="s">
        <v>25</v>
      </c>
      <c r="R1554" s="566"/>
      <c r="S1554" s="589"/>
      <c r="T1554" s="591"/>
      <c r="U1554" s="593"/>
      <c r="V1554" s="564" t="s">
        <v>2899</v>
      </c>
      <c r="W1554" s="564" t="s">
        <v>25</v>
      </c>
      <c r="X1554" s="562"/>
      <c r="Y1554" s="568"/>
      <c r="Z1554" s="568"/>
      <c r="AA1554" s="568"/>
      <c r="AB1554" s="568"/>
      <c r="AC1554" s="568"/>
      <c r="AD1554" s="568"/>
      <c r="AE1554" s="563"/>
      <c r="AF1554" s="570" t="s">
        <v>2899</v>
      </c>
      <c r="AG1554" s="570" t="s">
        <v>25</v>
      </c>
      <c r="AH1554" s="571" t="s">
        <v>25</v>
      </c>
      <c r="AI1554" s="558"/>
      <c r="AJ1554" s="558"/>
    </row>
    <row r="1555" spans="1:36" s="385" customFormat="1" ht="20.25" outlineLevel="2" x14ac:dyDescent="0.3">
      <c r="A1555" s="447">
        <v>125</v>
      </c>
      <c r="B1555" s="574"/>
      <c r="C1555" s="574"/>
      <c r="D1555" s="705"/>
      <c r="E1555" s="706"/>
      <c r="F1555" s="558"/>
      <c r="G1555" s="604"/>
      <c r="H1555" s="546"/>
      <c r="I1555" s="563" t="s">
        <v>25</v>
      </c>
      <c r="J1555" s="563" t="s">
        <v>25</v>
      </c>
      <c r="K1555" s="564" t="s">
        <v>25</v>
      </c>
      <c r="L1555" s="564" t="s">
        <v>25</v>
      </c>
      <c r="M1555" s="558"/>
      <c r="N1555" s="558"/>
      <c r="O1555" s="590"/>
      <c r="P1555" s="564" t="s">
        <v>25</v>
      </c>
      <c r="Q1555" s="564" t="s">
        <v>25</v>
      </c>
      <c r="R1555" s="566"/>
      <c r="S1555" s="589"/>
      <c r="T1555" s="591"/>
      <c r="U1555" s="593"/>
      <c r="V1555" s="564" t="s">
        <v>2899</v>
      </c>
      <c r="W1555" s="564" t="s">
        <v>25</v>
      </c>
      <c r="X1555" s="562"/>
      <c r="Y1555" s="568"/>
      <c r="Z1555" s="568"/>
      <c r="AA1555" s="568"/>
      <c r="AB1555" s="568"/>
      <c r="AC1555" s="568"/>
      <c r="AD1555" s="568"/>
      <c r="AE1555" s="563"/>
      <c r="AF1555" s="570" t="s">
        <v>2899</v>
      </c>
      <c r="AG1555" s="570" t="s">
        <v>25</v>
      </c>
      <c r="AH1555" s="571" t="s">
        <v>25</v>
      </c>
      <c r="AI1555" s="558"/>
      <c r="AJ1555" s="558"/>
    </row>
    <row r="1556" spans="1:36" s="385" customFormat="1" ht="40.5" outlineLevel="1" x14ac:dyDescent="0.25">
      <c r="A1556" s="467">
        <v>126</v>
      </c>
      <c r="B1556" s="574" t="s">
        <v>1095</v>
      </c>
      <c r="C1556" s="586" t="s">
        <v>2903</v>
      </c>
      <c r="D1556" s="615">
        <v>86</v>
      </c>
      <c r="E1556" s="700">
        <v>166</v>
      </c>
      <c r="F1556" s="574"/>
      <c r="G1556" s="596">
        <v>902.2</v>
      </c>
      <c r="H1556" s="579">
        <v>601.5</v>
      </c>
      <c r="I1556" s="581"/>
      <c r="J1556" s="581"/>
      <c r="K1556" s="571">
        <v>420064000</v>
      </c>
      <c r="L1556" s="571">
        <v>840175000</v>
      </c>
      <c r="M1556" s="574"/>
      <c r="N1556" s="574"/>
      <c r="O1556" s="599">
        <v>0</v>
      </c>
      <c r="P1556" s="571"/>
      <c r="Q1556" s="571">
        <v>0</v>
      </c>
      <c r="R1556" s="582"/>
      <c r="S1556" s="597"/>
      <c r="T1556" s="600">
        <v>0</v>
      </c>
      <c r="U1556" s="608"/>
      <c r="V1556" s="571"/>
      <c r="W1556" s="571">
        <v>0</v>
      </c>
      <c r="X1556" s="562"/>
      <c r="Y1556" s="568"/>
      <c r="Z1556" s="568"/>
      <c r="AA1556" s="568"/>
      <c r="AB1556" s="568"/>
      <c r="AC1556" s="568"/>
      <c r="AD1556" s="584"/>
      <c r="AE1556" s="581">
        <f>SUBTOTAL(9,AE1557:AE1568)</f>
        <v>0</v>
      </c>
      <c r="AF1556" s="585"/>
      <c r="AG1556" s="585">
        <v>0</v>
      </c>
      <c r="AH1556" s="571">
        <v>1260239000</v>
      </c>
      <c r="AI1556" s="574"/>
      <c r="AJ1556" s="578"/>
    </row>
    <row r="1557" spans="1:36" s="385" customFormat="1" ht="121.5" outlineLevel="2" x14ac:dyDescent="0.3">
      <c r="A1557" s="447">
        <v>126</v>
      </c>
      <c r="B1557" s="558" t="s">
        <v>1097</v>
      </c>
      <c r="C1557" s="558"/>
      <c r="D1557" s="615"/>
      <c r="E1557" s="700"/>
      <c r="F1557" s="558" t="s">
        <v>2870</v>
      </c>
      <c r="G1557" s="604">
        <v>300.70000000000005</v>
      </c>
      <c r="H1557" s="546" t="s">
        <v>2899</v>
      </c>
      <c r="I1557" s="563">
        <v>465600</v>
      </c>
      <c r="J1557" s="563">
        <v>0</v>
      </c>
      <c r="K1557" s="564">
        <v>140006000</v>
      </c>
      <c r="L1557" s="564">
        <v>0</v>
      </c>
      <c r="M1557" s="558"/>
      <c r="N1557" s="558"/>
      <c r="O1557" s="590"/>
      <c r="P1557" s="564" t="s">
        <v>25</v>
      </c>
      <c r="Q1557" s="564" t="s">
        <v>25</v>
      </c>
      <c r="R1557" s="566"/>
      <c r="S1557" s="589"/>
      <c r="T1557" s="591"/>
      <c r="U1557" s="593"/>
      <c r="V1557" s="564" t="s">
        <v>2899</v>
      </c>
      <c r="W1557" s="564" t="s">
        <v>25</v>
      </c>
      <c r="X1557" s="562"/>
      <c r="Y1557" s="568"/>
      <c r="Z1557" s="568"/>
      <c r="AA1557" s="568"/>
      <c r="AB1557" s="568"/>
      <c r="AC1557" s="568"/>
      <c r="AD1557" s="568"/>
      <c r="AE1557" s="563"/>
      <c r="AF1557" s="570" t="s">
        <v>2899</v>
      </c>
      <c r="AG1557" s="570"/>
      <c r="AH1557" s="571" t="s">
        <v>25</v>
      </c>
      <c r="AI1557" s="558" t="s">
        <v>1096</v>
      </c>
      <c r="AJ1557" s="586" t="s">
        <v>2771</v>
      </c>
    </row>
    <row r="1558" spans="1:36" s="385" customFormat="1" ht="101.25" outlineLevel="2" x14ac:dyDescent="0.3">
      <c r="A1558" s="447">
        <v>126</v>
      </c>
      <c r="B1558" s="737" t="s">
        <v>2787</v>
      </c>
      <c r="C1558" s="737"/>
      <c r="D1558" s="615"/>
      <c r="E1558" s="700"/>
      <c r="F1558" s="558" t="s">
        <v>2872</v>
      </c>
      <c r="G1558" s="604">
        <v>601.5</v>
      </c>
      <c r="H1558" s="546">
        <v>601.5</v>
      </c>
      <c r="I1558" s="563">
        <v>465600</v>
      </c>
      <c r="J1558" s="563">
        <v>1396800</v>
      </c>
      <c r="K1558" s="564">
        <v>280058000</v>
      </c>
      <c r="L1558" s="564">
        <v>840175000</v>
      </c>
      <c r="M1558" s="558"/>
      <c r="N1558" s="558"/>
      <c r="O1558" s="590"/>
      <c r="P1558" s="564" t="s">
        <v>25</v>
      </c>
      <c r="Q1558" s="564" t="s">
        <v>25</v>
      </c>
      <c r="R1558" s="566"/>
      <c r="S1558" s="589"/>
      <c r="T1558" s="617"/>
      <c r="U1558" s="593"/>
      <c r="V1558" s="564" t="s">
        <v>2899</v>
      </c>
      <c r="W1558" s="564" t="s">
        <v>25</v>
      </c>
      <c r="X1558" s="562"/>
      <c r="Y1558" s="568"/>
      <c r="Z1558" s="568"/>
      <c r="AA1558" s="568"/>
      <c r="AB1558" s="568"/>
      <c r="AC1558" s="568"/>
      <c r="AD1558" s="568"/>
      <c r="AE1558" s="563"/>
      <c r="AF1558" s="570" t="s">
        <v>2899</v>
      </c>
      <c r="AG1558" s="570" t="s">
        <v>25</v>
      </c>
      <c r="AH1558" s="571" t="s">
        <v>25</v>
      </c>
      <c r="AI1558" s="558" t="s">
        <v>2847</v>
      </c>
      <c r="AJ1558" s="605" t="s">
        <v>2448</v>
      </c>
    </row>
    <row r="1559" spans="1:36" s="385" customFormat="1" ht="20.25" outlineLevel="2" x14ac:dyDescent="0.3">
      <c r="A1559" s="447">
        <v>126</v>
      </c>
      <c r="B1559" s="574" t="s">
        <v>1100</v>
      </c>
      <c r="C1559" s="574"/>
      <c r="D1559" s="615"/>
      <c r="E1559" s="700"/>
      <c r="F1559" s="558"/>
      <c r="G1559" s="604"/>
      <c r="H1559" s="546"/>
      <c r="I1559" s="563" t="s">
        <v>25</v>
      </c>
      <c r="J1559" s="563" t="s">
        <v>25</v>
      </c>
      <c r="K1559" s="564" t="s">
        <v>25</v>
      </c>
      <c r="L1559" s="564" t="s">
        <v>25</v>
      </c>
      <c r="M1559" s="558"/>
      <c r="N1559" s="558"/>
      <c r="O1559" s="590"/>
      <c r="P1559" s="564" t="s">
        <v>25</v>
      </c>
      <c r="Q1559" s="564" t="s">
        <v>25</v>
      </c>
      <c r="R1559" s="566"/>
      <c r="S1559" s="589"/>
      <c r="T1559" s="591"/>
      <c r="U1559" s="593"/>
      <c r="V1559" s="564" t="s">
        <v>2899</v>
      </c>
      <c r="W1559" s="564" t="s">
        <v>25</v>
      </c>
      <c r="X1559" s="562"/>
      <c r="Y1559" s="568"/>
      <c r="Z1559" s="568"/>
      <c r="AA1559" s="568"/>
      <c r="AB1559" s="568"/>
      <c r="AC1559" s="568"/>
      <c r="AD1559" s="568"/>
      <c r="AE1559" s="563"/>
      <c r="AF1559" s="570" t="s">
        <v>2899</v>
      </c>
      <c r="AG1559" s="570" t="s">
        <v>25</v>
      </c>
      <c r="AH1559" s="571" t="s">
        <v>25</v>
      </c>
      <c r="AI1559" s="593" t="s">
        <v>1815</v>
      </c>
      <c r="AJ1559" s="593"/>
    </row>
    <row r="1560" spans="1:36" s="385" customFormat="1" ht="81" outlineLevel="2" x14ac:dyDescent="0.3">
      <c r="A1560" s="447">
        <v>126</v>
      </c>
      <c r="B1560" s="558" t="s">
        <v>1101</v>
      </c>
      <c r="C1560" s="558"/>
      <c r="D1560" s="615"/>
      <c r="E1560" s="700"/>
      <c r="F1560" s="558"/>
      <c r="G1560" s="604"/>
      <c r="H1560" s="546"/>
      <c r="I1560" s="563" t="s">
        <v>25</v>
      </c>
      <c r="J1560" s="563" t="s">
        <v>25</v>
      </c>
      <c r="K1560" s="564" t="s">
        <v>25</v>
      </c>
      <c r="L1560" s="564" t="s">
        <v>25</v>
      </c>
      <c r="M1560" s="558"/>
      <c r="N1560" s="558"/>
      <c r="O1560" s="590"/>
      <c r="P1560" s="564" t="s">
        <v>25</v>
      </c>
      <c r="Q1560" s="564" t="s">
        <v>25</v>
      </c>
      <c r="R1560" s="566"/>
      <c r="S1560" s="589"/>
      <c r="T1560" s="591"/>
      <c r="U1560" s="593"/>
      <c r="V1560" s="564" t="s">
        <v>2899</v>
      </c>
      <c r="W1560" s="564" t="s">
        <v>25</v>
      </c>
      <c r="X1560" s="562"/>
      <c r="Y1560" s="568"/>
      <c r="Z1560" s="568"/>
      <c r="AA1560" s="568"/>
      <c r="AB1560" s="568"/>
      <c r="AC1560" s="568"/>
      <c r="AD1560" s="568"/>
      <c r="AE1560" s="563"/>
      <c r="AF1560" s="570" t="s">
        <v>2899</v>
      </c>
      <c r="AG1560" s="570" t="s">
        <v>25</v>
      </c>
      <c r="AH1560" s="571" t="s">
        <v>25</v>
      </c>
      <c r="AI1560" s="558" t="s">
        <v>2078</v>
      </c>
      <c r="AJ1560" s="558"/>
    </row>
    <row r="1561" spans="1:36" s="385" customFormat="1" ht="101.25" outlineLevel="2" x14ac:dyDescent="0.3">
      <c r="A1561" s="447">
        <v>126</v>
      </c>
      <c r="B1561" s="572" t="s">
        <v>1591</v>
      </c>
      <c r="C1561" s="572"/>
      <c r="D1561" s="615"/>
      <c r="E1561" s="700"/>
      <c r="F1561" s="558"/>
      <c r="G1561" s="604"/>
      <c r="H1561" s="546"/>
      <c r="I1561" s="563" t="s">
        <v>25</v>
      </c>
      <c r="J1561" s="563" t="s">
        <v>25</v>
      </c>
      <c r="K1561" s="564" t="s">
        <v>25</v>
      </c>
      <c r="L1561" s="564" t="s">
        <v>25</v>
      </c>
      <c r="M1561" s="558"/>
      <c r="N1561" s="558"/>
      <c r="O1561" s="590"/>
      <c r="P1561" s="564" t="s">
        <v>25</v>
      </c>
      <c r="Q1561" s="564" t="s">
        <v>25</v>
      </c>
      <c r="R1561" s="566"/>
      <c r="S1561" s="589"/>
      <c r="T1561" s="591"/>
      <c r="U1561" s="593"/>
      <c r="V1561" s="564" t="s">
        <v>2899</v>
      </c>
      <c r="W1561" s="564" t="s">
        <v>25</v>
      </c>
      <c r="X1561" s="562"/>
      <c r="Y1561" s="568"/>
      <c r="Z1561" s="568"/>
      <c r="AA1561" s="568"/>
      <c r="AB1561" s="568"/>
      <c r="AC1561" s="568"/>
      <c r="AD1561" s="568"/>
      <c r="AE1561" s="563"/>
      <c r="AF1561" s="570" t="s">
        <v>2899</v>
      </c>
      <c r="AG1561" s="570" t="s">
        <v>25</v>
      </c>
      <c r="AH1561" s="571" t="s">
        <v>25</v>
      </c>
      <c r="AI1561" s="558" t="s">
        <v>2079</v>
      </c>
      <c r="AJ1561" s="558"/>
    </row>
    <row r="1562" spans="1:36" s="385" customFormat="1" ht="20.25" outlineLevel="2" x14ac:dyDescent="0.3">
      <c r="A1562" s="447">
        <v>126</v>
      </c>
      <c r="B1562" s="574" t="s">
        <v>1102</v>
      </c>
      <c r="C1562" s="574"/>
      <c r="D1562" s="615"/>
      <c r="E1562" s="700"/>
      <c r="F1562" s="558"/>
      <c r="G1562" s="604"/>
      <c r="H1562" s="546"/>
      <c r="I1562" s="563" t="s">
        <v>25</v>
      </c>
      <c r="J1562" s="563" t="s">
        <v>25</v>
      </c>
      <c r="K1562" s="564" t="s">
        <v>25</v>
      </c>
      <c r="L1562" s="564" t="s">
        <v>25</v>
      </c>
      <c r="M1562" s="558"/>
      <c r="N1562" s="558"/>
      <c r="O1562" s="590"/>
      <c r="P1562" s="564" t="s">
        <v>25</v>
      </c>
      <c r="Q1562" s="564" t="s">
        <v>25</v>
      </c>
      <c r="R1562" s="566"/>
      <c r="S1562" s="589"/>
      <c r="T1562" s="591"/>
      <c r="U1562" s="593"/>
      <c r="V1562" s="564" t="s">
        <v>2899</v>
      </c>
      <c r="W1562" s="564" t="s">
        <v>25</v>
      </c>
      <c r="X1562" s="562"/>
      <c r="Y1562" s="568"/>
      <c r="Z1562" s="568"/>
      <c r="AA1562" s="568"/>
      <c r="AB1562" s="568"/>
      <c r="AC1562" s="568"/>
      <c r="AD1562" s="568"/>
      <c r="AE1562" s="563"/>
      <c r="AF1562" s="570" t="s">
        <v>2899</v>
      </c>
      <c r="AG1562" s="570" t="s">
        <v>25</v>
      </c>
      <c r="AH1562" s="571" t="s">
        <v>25</v>
      </c>
      <c r="AI1562" s="558"/>
      <c r="AJ1562" s="558"/>
    </row>
    <row r="1563" spans="1:36" s="385" customFormat="1" ht="40.5" outlineLevel="2" x14ac:dyDescent="0.3">
      <c r="A1563" s="447">
        <v>126</v>
      </c>
      <c r="B1563" s="558" t="s">
        <v>1103</v>
      </c>
      <c r="C1563" s="558"/>
      <c r="D1563" s="615"/>
      <c r="E1563" s="700"/>
      <c r="F1563" s="558"/>
      <c r="G1563" s="604"/>
      <c r="H1563" s="546"/>
      <c r="I1563" s="563" t="s">
        <v>25</v>
      </c>
      <c r="J1563" s="563" t="s">
        <v>25</v>
      </c>
      <c r="K1563" s="564" t="s">
        <v>25</v>
      </c>
      <c r="L1563" s="564" t="s">
        <v>25</v>
      </c>
      <c r="M1563" s="558"/>
      <c r="N1563" s="558"/>
      <c r="O1563" s="590"/>
      <c r="P1563" s="564" t="s">
        <v>25</v>
      </c>
      <c r="Q1563" s="564" t="s">
        <v>25</v>
      </c>
      <c r="R1563" s="566"/>
      <c r="S1563" s="589"/>
      <c r="T1563" s="591"/>
      <c r="U1563" s="593"/>
      <c r="V1563" s="564" t="s">
        <v>2899</v>
      </c>
      <c r="W1563" s="564" t="s">
        <v>25</v>
      </c>
      <c r="X1563" s="562"/>
      <c r="Y1563" s="568"/>
      <c r="Z1563" s="568"/>
      <c r="AA1563" s="568"/>
      <c r="AB1563" s="568"/>
      <c r="AC1563" s="568"/>
      <c r="AD1563" s="568"/>
      <c r="AE1563" s="563"/>
      <c r="AF1563" s="570" t="s">
        <v>2899</v>
      </c>
      <c r="AG1563" s="570" t="s">
        <v>25</v>
      </c>
      <c r="AH1563" s="571" t="s">
        <v>25</v>
      </c>
      <c r="AI1563" s="558"/>
      <c r="AJ1563" s="558"/>
    </row>
    <row r="1564" spans="1:36" s="385" customFormat="1" ht="81" outlineLevel="2" x14ac:dyDescent="0.3">
      <c r="A1564" s="447">
        <v>126</v>
      </c>
      <c r="B1564" s="572" t="s">
        <v>2232</v>
      </c>
      <c r="C1564" s="572"/>
      <c r="D1564" s="615"/>
      <c r="E1564" s="700"/>
      <c r="F1564" s="558"/>
      <c r="G1564" s="604"/>
      <c r="H1564" s="546"/>
      <c r="I1564" s="563" t="s">
        <v>25</v>
      </c>
      <c r="J1564" s="563" t="s">
        <v>25</v>
      </c>
      <c r="K1564" s="564" t="s">
        <v>25</v>
      </c>
      <c r="L1564" s="564" t="s">
        <v>25</v>
      </c>
      <c r="M1564" s="558"/>
      <c r="N1564" s="558"/>
      <c r="O1564" s="590"/>
      <c r="P1564" s="564" t="s">
        <v>25</v>
      </c>
      <c r="Q1564" s="564" t="s">
        <v>25</v>
      </c>
      <c r="R1564" s="566"/>
      <c r="S1564" s="589"/>
      <c r="T1564" s="591"/>
      <c r="U1564" s="593"/>
      <c r="V1564" s="564" t="s">
        <v>2899</v>
      </c>
      <c r="W1564" s="564" t="s">
        <v>25</v>
      </c>
      <c r="X1564" s="562"/>
      <c r="Y1564" s="568"/>
      <c r="Z1564" s="568"/>
      <c r="AA1564" s="568"/>
      <c r="AB1564" s="568"/>
      <c r="AC1564" s="568"/>
      <c r="AD1564" s="568"/>
      <c r="AE1564" s="563"/>
      <c r="AF1564" s="570" t="s">
        <v>2899</v>
      </c>
      <c r="AG1564" s="570" t="s">
        <v>25</v>
      </c>
      <c r="AH1564" s="571" t="s">
        <v>25</v>
      </c>
      <c r="AI1564" s="558"/>
      <c r="AJ1564" s="558"/>
    </row>
    <row r="1565" spans="1:36" s="385" customFormat="1" ht="20.25" outlineLevel="2" x14ac:dyDescent="0.3">
      <c r="A1565" s="447">
        <v>126</v>
      </c>
      <c r="B1565" s="721"/>
      <c r="C1565" s="721"/>
      <c r="D1565" s="615"/>
      <c r="E1565" s="700"/>
      <c r="F1565" s="558"/>
      <c r="G1565" s="604"/>
      <c r="H1565" s="546"/>
      <c r="I1565" s="563" t="s">
        <v>25</v>
      </c>
      <c r="J1565" s="563" t="s">
        <v>25</v>
      </c>
      <c r="K1565" s="564" t="s">
        <v>25</v>
      </c>
      <c r="L1565" s="564" t="s">
        <v>25</v>
      </c>
      <c r="M1565" s="558"/>
      <c r="N1565" s="558"/>
      <c r="O1565" s="590"/>
      <c r="P1565" s="564" t="s">
        <v>25</v>
      </c>
      <c r="Q1565" s="564" t="s">
        <v>25</v>
      </c>
      <c r="R1565" s="566"/>
      <c r="S1565" s="589"/>
      <c r="T1565" s="591"/>
      <c r="U1565" s="593"/>
      <c r="V1565" s="564" t="s">
        <v>2899</v>
      </c>
      <c r="W1565" s="564" t="s">
        <v>25</v>
      </c>
      <c r="X1565" s="562"/>
      <c r="Y1565" s="568"/>
      <c r="Z1565" s="568"/>
      <c r="AA1565" s="568"/>
      <c r="AB1565" s="568"/>
      <c r="AC1565" s="568"/>
      <c r="AD1565" s="568"/>
      <c r="AE1565" s="563"/>
      <c r="AF1565" s="570" t="s">
        <v>2899</v>
      </c>
      <c r="AG1565" s="570" t="s">
        <v>25</v>
      </c>
      <c r="AH1565" s="571" t="s">
        <v>25</v>
      </c>
      <c r="AI1565" s="558"/>
      <c r="AJ1565" s="558"/>
    </row>
    <row r="1566" spans="1:36" s="385" customFormat="1" ht="20.25" outlineLevel="2" x14ac:dyDescent="0.3">
      <c r="A1566" s="447">
        <v>126</v>
      </c>
      <c r="B1566" s="572"/>
      <c r="C1566" s="572"/>
      <c r="D1566" s="615"/>
      <c r="E1566" s="700"/>
      <c r="F1566" s="558"/>
      <c r="G1566" s="604"/>
      <c r="H1566" s="546"/>
      <c r="I1566" s="563" t="s">
        <v>25</v>
      </c>
      <c r="J1566" s="563" t="s">
        <v>25</v>
      </c>
      <c r="K1566" s="564" t="s">
        <v>25</v>
      </c>
      <c r="L1566" s="564" t="s">
        <v>25</v>
      </c>
      <c r="M1566" s="558"/>
      <c r="N1566" s="558"/>
      <c r="O1566" s="590"/>
      <c r="P1566" s="564" t="s">
        <v>25</v>
      </c>
      <c r="Q1566" s="564" t="s">
        <v>25</v>
      </c>
      <c r="R1566" s="566"/>
      <c r="S1566" s="589"/>
      <c r="T1566" s="591"/>
      <c r="U1566" s="593"/>
      <c r="V1566" s="564" t="s">
        <v>2899</v>
      </c>
      <c r="W1566" s="564" t="s">
        <v>25</v>
      </c>
      <c r="X1566" s="562"/>
      <c r="Y1566" s="568"/>
      <c r="Z1566" s="568"/>
      <c r="AA1566" s="568"/>
      <c r="AB1566" s="568"/>
      <c r="AC1566" s="568"/>
      <c r="AD1566" s="568"/>
      <c r="AE1566" s="563"/>
      <c r="AF1566" s="570" t="s">
        <v>2899</v>
      </c>
      <c r="AG1566" s="570" t="s">
        <v>25</v>
      </c>
      <c r="AH1566" s="571" t="s">
        <v>25</v>
      </c>
      <c r="AI1566" s="558"/>
      <c r="AJ1566" s="558"/>
    </row>
    <row r="1567" spans="1:36" s="385" customFormat="1" ht="20.25" outlineLevel="2" x14ac:dyDescent="0.3">
      <c r="A1567" s="447">
        <v>126</v>
      </c>
      <c r="B1567" s="572"/>
      <c r="C1567" s="572"/>
      <c r="D1567" s="615"/>
      <c r="E1567" s="700"/>
      <c r="F1567" s="558"/>
      <c r="G1567" s="604"/>
      <c r="H1567" s="546"/>
      <c r="I1567" s="563" t="s">
        <v>25</v>
      </c>
      <c r="J1567" s="563" t="s">
        <v>25</v>
      </c>
      <c r="K1567" s="564" t="s">
        <v>25</v>
      </c>
      <c r="L1567" s="564" t="s">
        <v>25</v>
      </c>
      <c r="M1567" s="558"/>
      <c r="N1567" s="558"/>
      <c r="O1567" s="590"/>
      <c r="P1567" s="564" t="s">
        <v>25</v>
      </c>
      <c r="Q1567" s="564" t="s">
        <v>25</v>
      </c>
      <c r="R1567" s="566"/>
      <c r="S1567" s="589"/>
      <c r="T1567" s="591"/>
      <c r="U1567" s="593"/>
      <c r="V1567" s="564" t="s">
        <v>2899</v>
      </c>
      <c r="W1567" s="564" t="s">
        <v>25</v>
      </c>
      <c r="X1567" s="562"/>
      <c r="Y1567" s="568"/>
      <c r="Z1567" s="568"/>
      <c r="AA1567" s="568"/>
      <c r="AB1567" s="568"/>
      <c r="AC1567" s="568"/>
      <c r="AD1567" s="568"/>
      <c r="AE1567" s="563"/>
      <c r="AF1567" s="570" t="s">
        <v>2899</v>
      </c>
      <c r="AG1567" s="570" t="s">
        <v>25</v>
      </c>
      <c r="AH1567" s="571" t="s">
        <v>25</v>
      </c>
      <c r="AI1567" s="558"/>
      <c r="AJ1567" s="558"/>
    </row>
    <row r="1568" spans="1:36" s="385" customFormat="1" ht="20.25" outlineLevel="2" x14ac:dyDescent="0.3">
      <c r="A1568" s="447">
        <v>126</v>
      </c>
      <c r="B1568" s="607"/>
      <c r="C1568" s="607"/>
      <c r="D1568" s="642"/>
      <c r="E1568" s="642"/>
      <c r="F1568" s="558"/>
      <c r="G1568" s="604"/>
      <c r="H1568" s="546"/>
      <c r="I1568" s="563" t="s">
        <v>25</v>
      </c>
      <c r="J1568" s="563" t="s">
        <v>25</v>
      </c>
      <c r="K1568" s="564" t="s">
        <v>25</v>
      </c>
      <c r="L1568" s="564" t="s">
        <v>25</v>
      </c>
      <c r="M1568" s="558"/>
      <c r="N1568" s="558"/>
      <c r="O1568" s="590"/>
      <c r="P1568" s="564" t="s">
        <v>25</v>
      </c>
      <c r="Q1568" s="564" t="s">
        <v>25</v>
      </c>
      <c r="R1568" s="566"/>
      <c r="S1568" s="589"/>
      <c r="T1568" s="591"/>
      <c r="U1568" s="593"/>
      <c r="V1568" s="564" t="s">
        <v>2899</v>
      </c>
      <c r="W1568" s="564" t="s">
        <v>25</v>
      </c>
      <c r="X1568" s="562"/>
      <c r="Y1568" s="568"/>
      <c r="Z1568" s="568"/>
      <c r="AA1568" s="568"/>
      <c r="AB1568" s="568"/>
      <c r="AC1568" s="568"/>
      <c r="AD1568" s="568"/>
      <c r="AE1568" s="563"/>
      <c r="AF1568" s="570" t="s">
        <v>2899</v>
      </c>
      <c r="AG1568" s="570" t="s">
        <v>25</v>
      </c>
      <c r="AH1568" s="571" t="s">
        <v>25</v>
      </c>
      <c r="AI1568" s="558"/>
      <c r="AJ1568" s="558"/>
    </row>
    <row r="1569" spans="1:36" s="394" customFormat="1" ht="40.5" outlineLevel="1" x14ac:dyDescent="0.25">
      <c r="A1569" s="467">
        <v>127</v>
      </c>
      <c r="B1569" s="607" t="s">
        <v>1104</v>
      </c>
      <c r="C1569" s="586" t="s">
        <v>2903</v>
      </c>
      <c r="D1569" s="612">
        <v>86</v>
      </c>
      <c r="E1569" s="612">
        <v>267</v>
      </c>
      <c r="F1569" s="578"/>
      <c r="G1569" s="707">
        <v>235.1</v>
      </c>
      <c r="H1569" s="579">
        <v>235.1</v>
      </c>
      <c r="I1569" s="581"/>
      <c r="J1569" s="581"/>
      <c r="K1569" s="571">
        <v>88585000</v>
      </c>
      <c r="L1569" s="571">
        <v>265757000</v>
      </c>
      <c r="M1569" s="607"/>
      <c r="N1569" s="607"/>
      <c r="O1569" s="738">
        <v>0</v>
      </c>
      <c r="P1569" s="571"/>
      <c r="Q1569" s="571">
        <v>0</v>
      </c>
      <c r="R1569" s="582"/>
      <c r="S1569" s="621"/>
      <c r="T1569" s="739">
        <v>0</v>
      </c>
      <c r="U1569" s="578"/>
      <c r="V1569" s="571"/>
      <c r="W1569" s="571">
        <v>0</v>
      </c>
      <c r="X1569" s="650"/>
      <c r="Y1569" s="586"/>
      <c r="Z1569" s="562"/>
      <c r="AA1569" s="586"/>
      <c r="AB1569" s="586"/>
      <c r="AC1569" s="586"/>
      <c r="AD1569" s="578"/>
      <c r="AE1569" s="712">
        <f>SUBTOTAL(9,AE1570:AE1575)</f>
        <v>0</v>
      </c>
      <c r="AF1569" s="585"/>
      <c r="AG1569" s="585">
        <v>0</v>
      </c>
      <c r="AH1569" s="571">
        <v>354342000</v>
      </c>
      <c r="AI1569" s="578"/>
      <c r="AJ1569" s="578"/>
    </row>
    <row r="1570" spans="1:36" s="394" customFormat="1" ht="121.5" outlineLevel="2" x14ac:dyDescent="0.3">
      <c r="A1570" s="447">
        <v>127</v>
      </c>
      <c r="B1570" s="572" t="s">
        <v>1107</v>
      </c>
      <c r="C1570" s="572"/>
      <c r="D1570" s="612">
        <v>86</v>
      </c>
      <c r="E1570" s="612" t="s">
        <v>1108</v>
      </c>
      <c r="F1570" s="586" t="s">
        <v>2433</v>
      </c>
      <c r="G1570" s="709">
        <v>222.1</v>
      </c>
      <c r="H1570" s="546">
        <v>222.1</v>
      </c>
      <c r="I1570" s="563">
        <v>376800</v>
      </c>
      <c r="J1570" s="563">
        <v>1130400</v>
      </c>
      <c r="K1570" s="564">
        <v>83687000</v>
      </c>
      <c r="L1570" s="564">
        <v>251062000</v>
      </c>
      <c r="M1570" s="572"/>
      <c r="N1570" s="572"/>
      <c r="O1570" s="740"/>
      <c r="P1570" s="564" t="s">
        <v>25</v>
      </c>
      <c r="Q1570" s="564" t="s">
        <v>25</v>
      </c>
      <c r="R1570" s="566"/>
      <c r="S1570" s="609"/>
      <c r="T1570" s="741"/>
      <c r="U1570" s="586"/>
      <c r="V1570" s="564" t="s">
        <v>2899</v>
      </c>
      <c r="W1570" s="564" t="s">
        <v>25</v>
      </c>
      <c r="X1570" s="650"/>
      <c r="Y1570" s="586"/>
      <c r="Z1570" s="562"/>
      <c r="AA1570" s="586"/>
      <c r="AB1570" s="586"/>
      <c r="AC1570" s="586"/>
      <c r="AD1570" s="586"/>
      <c r="AE1570" s="714"/>
      <c r="AF1570" s="570" t="s">
        <v>2899</v>
      </c>
      <c r="AG1570" s="570"/>
      <c r="AH1570" s="571" t="s">
        <v>25</v>
      </c>
      <c r="AI1570" s="586" t="s">
        <v>1106</v>
      </c>
      <c r="AJ1570" s="586" t="s">
        <v>2771</v>
      </c>
    </row>
    <row r="1571" spans="1:36" s="394" customFormat="1" ht="121.5" outlineLevel="2" x14ac:dyDescent="0.3">
      <c r="A1571" s="447">
        <v>127</v>
      </c>
      <c r="B1571" s="572" t="s">
        <v>1592</v>
      </c>
      <c r="C1571" s="572"/>
      <c r="D1571" s="612"/>
      <c r="E1571" s="612"/>
      <c r="F1571" s="586" t="s">
        <v>2441</v>
      </c>
      <c r="G1571" s="709">
        <v>13</v>
      </c>
      <c r="H1571" s="546">
        <v>13</v>
      </c>
      <c r="I1571" s="563">
        <v>376800</v>
      </c>
      <c r="J1571" s="563">
        <v>1130400</v>
      </c>
      <c r="K1571" s="564">
        <v>4898000</v>
      </c>
      <c r="L1571" s="564">
        <v>14695000</v>
      </c>
      <c r="M1571" s="572"/>
      <c r="N1571" s="572"/>
      <c r="O1571" s="740"/>
      <c r="P1571" s="564" t="s">
        <v>25</v>
      </c>
      <c r="Q1571" s="564" t="s">
        <v>25</v>
      </c>
      <c r="R1571" s="566"/>
      <c r="S1571" s="609"/>
      <c r="T1571" s="741"/>
      <c r="U1571" s="586"/>
      <c r="V1571" s="564" t="s">
        <v>2899</v>
      </c>
      <c r="W1571" s="564" t="s">
        <v>25</v>
      </c>
      <c r="X1571" s="650"/>
      <c r="Y1571" s="586"/>
      <c r="Z1571" s="742"/>
      <c r="AA1571" s="586"/>
      <c r="AB1571" s="586"/>
      <c r="AC1571" s="586"/>
      <c r="AD1571" s="586"/>
      <c r="AE1571" s="714"/>
      <c r="AF1571" s="570" t="s">
        <v>2899</v>
      </c>
      <c r="AG1571" s="570" t="s">
        <v>25</v>
      </c>
      <c r="AH1571" s="571" t="s">
        <v>25</v>
      </c>
      <c r="AI1571" s="586" t="s">
        <v>1110</v>
      </c>
      <c r="AJ1571" s="605" t="s">
        <v>2448</v>
      </c>
    </row>
    <row r="1572" spans="1:36" s="394" customFormat="1" ht="101.25" outlineLevel="2" x14ac:dyDescent="0.3">
      <c r="A1572" s="447">
        <v>127</v>
      </c>
      <c r="B1572" s="572"/>
      <c r="C1572" s="572"/>
      <c r="D1572" s="612"/>
      <c r="E1572" s="612"/>
      <c r="F1572" s="586"/>
      <c r="G1572" s="709"/>
      <c r="H1572" s="546"/>
      <c r="I1572" s="563" t="s">
        <v>25</v>
      </c>
      <c r="J1572" s="563" t="s">
        <v>25</v>
      </c>
      <c r="K1572" s="564" t="s">
        <v>25</v>
      </c>
      <c r="L1572" s="564" t="s">
        <v>25</v>
      </c>
      <c r="M1572" s="572"/>
      <c r="N1572" s="572"/>
      <c r="O1572" s="740"/>
      <c r="P1572" s="564" t="s">
        <v>25</v>
      </c>
      <c r="Q1572" s="564" t="s">
        <v>25</v>
      </c>
      <c r="R1572" s="566"/>
      <c r="S1572" s="609"/>
      <c r="T1572" s="741"/>
      <c r="U1572" s="586"/>
      <c r="V1572" s="564" t="s">
        <v>2899</v>
      </c>
      <c r="W1572" s="564" t="s">
        <v>25</v>
      </c>
      <c r="X1572" s="650"/>
      <c r="Y1572" s="586"/>
      <c r="Z1572" s="742"/>
      <c r="AA1572" s="586"/>
      <c r="AB1572" s="586"/>
      <c r="AC1572" s="586"/>
      <c r="AD1572" s="586"/>
      <c r="AE1572" s="714"/>
      <c r="AF1572" s="570" t="s">
        <v>2899</v>
      </c>
      <c r="AG1572" s="570" t="s">
        <v>25</v>
      </c>
      <c r="AH1572" s="571" t="s">
        <v>25</v>
      </c>
      <c r="AI1572" s="586" t="s">
        <v>1111</v>
      </c>
      <c r="AJ1572" s="586"/>
    </row>
    <row r="1573" spans="1:36" s="394" customFormat="1" ht="60.75" outlineLevel="2" x14ac:dyDescent="0.3">
      <c r="A1573" s="447">
        <v>127</v>
      </c>
      <c r="B1573" s="572"/>
      <c r="C1573" s="572"/>
      <c r="D1573" s="612"/>
      <c r="E1573" s="612"/>
      <c r="F1573" s="586"/>
      <c r="G1573" s="709"/>
      <c r="H1573" s="546"/>
      <c r="I1573" s="563" t="s">
        <v>25</v>
      </c>
      <c r="J1573" s="563" t="s">
        <v>25</v>
      </c>
      <c r="K1573" s="564" t="s">
        <v>25</v>
      </c>
      <c r="L1573" s="564" t="s">
        <v>25</v>
      </c>
      <c r="M1573" s="572"/>
      <c r="N1573" s="572"/>
      <c r="O1573" s="740"/>
      <c r="P1573" s="564" t="s">
        <v>25</v>
      </c>
      <c r="Q1573" s="564" t="s">
        <v>25</v>
      </c>
      <c r="R1573" s="566"/>
      <c r="S1573" s="609"/>
      <c r="T1573" s="741"/>
      <c r="U1573" s="586"/>
      <c r="V1573" s="564" t="s">
        <v>2899</v>
      </c>
      <c r="W1573" s="564" t="s">
        <v>25</v>
      </c>
      <c r="X1573" s="650"/>
      <c r="Y1573" s="586"/>
      <c r="Z1573" s="742"/>
      <c r="AA1573" s="586"/>
      <c r="AB1573" s="586"/>
      <c r="AC1573" s="586"/>
      <c r="AD1573" s="586"/>
      <c r="AE1573" s="714"/>
      <c r="AF1573" s="570" t="s">
        <v>2899</v>
      </c>
      <c r="AG1573" s="570" t="s">
        <v>25</v>
      </c>
      <c r="AH1573" s="571" t="s">
        <v>25</v>
      </c>
      <c r="AI1573" s="586" t="s">
        <v>2074</v>
      </c>
      <c r="AJ1573" s="586"/>
    </row>
    <row r="1574" spans="1:36" s="394" customFormat="1" ht="20.25" outlineLevel="2" x14ac:dyDescent="0.3">
      <c r="A1574" s="447">
        <v>127</v>
      </c>
      <c r="B1574" s="572"/>
      <c r="C1574" s="572"/>
      <c r="D1574" s="612"/>
      <c r="E1574" s="612"/>
      <c r="F1574" s="586"/>
      <c r="G1574" s="709"/>
      <c r="H1574" s="546"/>
      <c r="I1574" s="563" t="s">
        <v>25</v>
      </c>
      <c r="J1574" s="563" t="s">
        <v>25</v>
      </c>
      <c r="K1574" s="564" t="s">
        <v>25</v>
      </c>
      <c r="L1574" s="564" t="s">
        <v>25</v>
      </c>
      <c r="M1574" s="572"/>
      <c r="N1574" s="572"/>
      <c r="O1574" s="740"/>
      <c r="P1574" s="564" t="s">
        <v>25</v>
      </c>
      <c r="Q1574" s="564" t="s">
        <v>25</v>
      </c>
      <c r="R1574" s="566"/>
      <c r="S1574" s="609"/>
      <c r="T1574" s="741"/>
      <c r="U1574" s="586"/>
      <c r="V1574" s="564" t="s">
        <v>2899</v>
      </c>
      <c r="W1574" s="564" t="s">
        <v>25</v>
      </c>
      <c r="X1574" s="650"/>
      <c r="Y1574" s="586"/>
      <c r="Z1574" s="742"/>
      <c r="AA1574" s="586"/>
      <c r="AB1574" s="586"/>
      <c r="AC1574" s="586"/>
      <c r="AD1574" s="586"/>
      <c r="AE1574" s="714"/>
      <c r="AF1574" s="570" t="s">
        <v>2899</v>
      </c>
      <c r="AG1574" s="570" t="s">
        <v>25</v>
      </c>
      <c r="AH1574" s="571" t="s">
        <v>25</v>
      </c>
      <c r="AI1574" s="731"/>
      <c r="AJ1574" s="586"/>
    </row>
    <row r="1575" spans="1:36" s="394" customFormat="1" ht="20.25" outlineLevel="2" x14ac:dyDescent="0.3">
      <c r="A1575" s="447">
        <v>127</v>
      </c>
      <c r="B1575" s="607"/>
      <c r="C1575" s="607"/>
      <c r="D1575" s="642"/>
      <c r="E1575" s="642"/>
      <c r="F1575" s="586"/>
      <c r="G1575" s="709"/>
      <c r="H1575" s="546"/>
      <c r="I1575" s="563" t="s">
        <v>25</v>
      </c>
      <c r="J1575" s="563" t="s">
        <v>25</v>
      </c>
      <c r="K1575" s="564" t="s">
        <v>25</v>
      </c>
      <c r="L1575" s="564" t="s">
        <v>25</v>
      </c>
      <c r="M1575" s="572"/>
      <c r="N1575" s="572"/>
      <c r="O1575" s="740"/>
      <c r="P1575" s="564" t="s">
        <v>25</v>
      </c>
      <c r="Q1575" s="564" t="s">
        <v>25</v>
      </c>
      <c r="R1575" s="572"/>
      <c r="S1575" s="609"/>
      <c r="T1575" s="741"/>
      <c r="U1575" s="586"/>
      <c r="V1575" s="564" t="s">
        <v>2899</v>
      </c>
      <c r="W1575" s="564" t="s">
        <v>25</v>
      </c>
      <c r="X1575" s="650"/>
      <c r="Y1575" s="586"/>
      <c r="Z1575" s="742"/>
      <c r="AA1575" s="586"/>
      <c r="AB1575" s="586"/>
      <c r="AC1575" s="586"/>
      <c r="AD1575" s="586"/>
      <c r="AE1575" s="714"/>
      <c r="AF1575" s="570" t="s">
        <v>2899</v>
      </c>
      <c r="AG1575" s="570" t="s">
        <v>25</v>
      </c>
      <c r="AH1575" s="571" t="s">
        <v>25</v>
      </c>
      <c r="AI1575" s="586"/>
      <c r="AJ1575" s="586"/>
    </row>
    <row r="1576" spans="1:36" s="394" customFormat="1" ht="40.5" outlineLevel="1" x14ac:dyDescent="0.25">
      <c r="A1576" s="467">
        <v>128</v>
      </c>
      <c r="B1576" s="607" t="s">
        <v>1112</v>
      </c>
      <c r="C1576" s="586" t="s">
        <v>2903</v>
      </c>
      <c r="D1576" s="612">
        <v>86</v>
      </c>
      <c r="E1576" s="612">
        <v>21</v>
      </c>
      <c r="F1576" s="578"/>
      <c r="G1576" s="707">
        <v>272.2</v>
      </c>
      <c r="H1576" s="579">
        <v>0</v>
      </c>
      <c r="I1576" s="581"/>
      <c r="J1576" s="581"/>
      <c r="K1576" s="571">
        <v>126736000</v>
      </c>
      <c r="L1576" s="571">
        <v>0</v>
      </c>
      <c r="M1576" s="607"/>
      <c r="N1576" s="607"/>
      <c r="O1576" s="738">
        <v>0</v>
      </c>
      <c r="P1576" s="571"/>
      <c r="Q1576" s="571">
        <v>0</v>
      </c>
      <c r="R1576" s="582"/>
      <c r="S1576" s="621"/>
      <c r="T1576" s="739">
        <v>0</v>
      </c>
      <c r="U1576" s="578"/>
      <c r="V1576" s="571"/>
      <c r="W1576" s="571">
        <v>0</v>
      </c>
      <c r="X1576" s="650"/>
      <c r="Y1576" s="586"/>
      <c r="Z1576" s="742"/>
      <c r="AA1576" s="586"/>
      <c r="AB1576" s="586"/>
      <c r="AC1576" s="586"/>
      <c r="AD1576" s="578"/>
      <c r="AE1576" s="712">
        <f>SUBTOTAL(9,AE1577:AE1582)</f>
        <v>0</v>
      </c>
      <c r="AF1576" s="585"/>
      <c r="AG1576" s="585">
        <v>0</v>
      </c>
      <c r="AH1576" s="571">
        <v>126736000</v>
      </c>
      <c r="AI1576" s="578"/>
      <c r="AJ1576" s="578"/>
    </row>
    <row r="1577" spans="1:36" s="394" customFormat="1" ht="121.5" outlineLevel="2" x14ac:dyDescent="0.3">
      <c r="A1577" s="447">
        <v>128</v>
      </c>
      <c r="B1577" s="572" t="s">
        <v>1115</v>
      </c>
      <c r="C1577" s="572"/>
      <c r="D1577" s="612">
        <v>86</v>
      </c>
      <c r="E1577" s="612" t="s">
        <v>1116</v>
      </c>
      <c r="F1577" s="586" t="s">
        <v>2051</v>
      </c>
      <c r="G1577" s="709">
        <v>253.9</v>
      </c>
      <c r="H1577" s="546" t="s">
        <v>2899</v>
      </c>
      <c r="I1577" s="563">
        <v>465600</v>
      </c>
      <c r="J1577" s="563">
        <v>0</v>
      </c>
      <c r="K1577" s="564">
        <v>118216000</v>
      </c>
      <c r="L1577" s="564">
        <v>0</v>
      </c>
      <c r="M1577" s="572"/>
      <c r="N1577" s="572"/>
      <c r="O1577" s="740"/>
      <c r="P1577" s="564" t="s">
        <v>25</v>
      </c>
      <c r="Q1577" s="564" t="s">
        <v>25</v>
      </c>
      <c r="R1577" s="566"/>
      <c r="S1577" s="609"/>
      <c r="T1577" s="741"/>
      <c r="U1577" s="586"/>
      <c r="V1577" s="564" t="s">
        <v>2899</v>
      </c>
      <c r="W1577" s="564" t="s">
        <v>25</v>
      </c>
      <c r="X1577" s="650"/>
      <c r="Y1577" s="586"/>
      <c r="Z1577" s="742"/>
      <c r="AA1577" s="586"/>
      <c r="AB1577" s="586"/>
      <c r="AC1577" s="586"/>
      <c r="AD1577" s="586"/>
      <c r="AE1577" s="714"/>
      <c r="AF1577" s="570" t="s">
        <v>2899</v>
      </c>
      <c r="AG1577" s="570"/>
      <c r="AH1577" s="571" t="s">
        <v>25</v>
      </c>
      <c r="AI1577" s="586" t="s">
        <v>1114</v>
      </c>
      <c r="AJ1577" s="586" t="s">
        <v>2771</v>
      </c>
    </row>
    <row r="1578" spans="1:36" s="394" customFormat="1" ht="101.25" outlineLevel="2" x14ac:dyDescent="0.3">
      <c r="A1578" s="447">
        <v>128</v>
      </c>
      <c r="B1578" s="572" t="s">
        <v>1593</v>
      </c>
      <c r="C1578" s="572"/>
      <c r="D1578" s="612"/>
      <c r="E1578" s="612"/>
      <c r="F1578" s="586" t="s">
        <v>2052</v>
      </c>
      <c r="G1578" s="709">
        <v>18.3</v>
      </c>
      <c r="H1578" s="546" t="s">
        <v>2899</v>
      </c>
      <c r="I1578" s="563">
        <v>465600</v>
      </c>
      <c r="J1578" s="563">
        <v>0</v>
      </c>
      <c r="K1578" s="564">
        <v>8520000</v>
      </c>
      <c r="L1578" s="564">
        <v>0</v>
      </c>
      <c r="M1578" s="572"/>
      <c r="N1578" s="572"/>
      <c r="O1578" s="740"/>
      <c r="P1578" s="564" t="s">
        <v>25</v>
      </c>
      <c r="Q1578" s="564" t="s">
        <v>25</v>
      </c>
      <c r="R1578" s="566"/>
      <c r="S1578" s="609"/>
      <c r="T1578" s="741"/>
      <c r="U1578" s="586"/>
      <c r="V1578" s="564" t="s">
        <v>2899</v>
      </c>
      <c r="W1578" s="564" t="s">
        <v>25</v>
      </c>
      <c r="X1578" s="650"/>
      <c r="Y1578" s="586"/>
      <c r="Z1578" s="742"/>
      <c r="AA1578" s="586"/>
      <c r="AB1578" s="586"/>
      <c r="AC1578" s="586"/>
      <c r="AD1578" s="586"/>
      <c r="AE1578" s="714"/>
      <c r="AF1578" s="570" t="s">
        <v>2899</v>
      </c>
      <c r="AG1578" s="570" t="s">
        <v>25</v>
      </c>
      <c r="AH1578" s="571" t="s">
        <v>25</v>
      </c>
      <c r="AI1578" s="586" t="s">
        <v>1117</v>
      </c>
      <c r="AJ1578" s="586"/>
    </row>
    <row r="1579" spans="1:36" s="394" customFormat="1" ht="101.25" outlineLevel="2" x14ac:dyDescent="0.3">
      <c r="A1579" s="447">
        <v>128</v>
      </c>
      <c r="B1579" s="572"/>
      <c r="C1579" s="572"/>
      <c r="D1579" s="612"/>
      <c r="E1579" s="612"/>
      <c r="F1579" s="586"/>
      <c r="G1579" s="709"/>
      <c r="H1579" s="546"/>
      <c r="I1579" s="563" t="s">
        <v>25</v>
      </c>
      <c r="J1579" s="563" t="s">
        <v>25</v>
      </c>
      <c r="K1579" s="564" t="s">
        <v>25</v>
      </c>
      <c r="L1579" s="564" t="s">
        <v>25</v>
      </c>
      <c r="M1579" s="586"/>
      <c r="N1579" s="586"/>
      <c r="O1579" s="740"/>
      <c r="P1579" s="564" t="s">
        <v>25</v>
      </c>
      <c r="Q1579" s="564" t="s">
        <v>25</v>
      </c>
      <c r="R1579" s="566"/>
      <c r="S1579" s="609"/>
      <c r="T1579" s="741"/>
      <c r="U1579" s="586"/>
      <c r="V1579" s="564" t="s">
        <v>2899</v>
      </c>
      <c r="W1579" s="564" t="s">
        <v>25</v>
      </c>
      <c r="X1579" s="650"/>
      <c r="Y1579" s="586"/>
      <c r="Z1579" s="742"/>
      <c r="AA1579" s="586"/>
      <c r="AB1579" s="586"/>
      <c r="AC1579" s="586"/>
      <c r="AD1579" s="586"/>
      <c r="AE1579" s="714"/>
      <c r="AF1579" s="570" t="s">
        <v>2899</v>
      </c>
      <c r="AG1579" s="570" t="s">
        <v>25</v>
      </c>
      <c r="AH1579" s="571" t="s">
        <v>25</v>
      </c>
      <c r="AI1579" s="586" t="s">
        <v>1118</v>
      </c>
      <c r="AJ1579" s="558"/>
    </row>
    <row r="1580" spans="1:36" s="394" customFormat="1" ht="81" outlineLevel="2" x14ac:dyDescent="0.3">
      <c r="A1580" s="447">
        <v>128</v>
      </c>
      <c r="B1580" s="572"/>
      <c r="C1580" s="572"/>
      <c r="D1580" s="612"/>
      <c r="E1580" s="612"/>
      <c r="F1580" s="586"/>
      <c r="G1580" s="709"/>
      <c r="H1580" s="546"/>
      <c r="I1580" s="563" t="s">
        <v>25</v>
      </c>
      <c r="J1580" s="563" t="s">
        <v>25</v>
      </c>
      <c r="K1580" s="564" t="s">
        <v>25</v>
      </c>
      <c r="L1580" s="564" t="s">
        <v>25</v>
      </c>
      <c r="M1580" s="572"/>
      <c r="N1580" s="572"/>
      <c r="O1580" s="740"/>
      <c r="P1580" s="564" t="s">
        <v>25</v>
      </c>
      <c r="Q1580" s="564" t="s">
        <v>25</v>
      </c>
      <c r="R1580" s="572"/>
      <c r="S1580" s="609"/>
      <c r="T1580" s="741"/>
      <c r="U1580" s="586"/>
      <c r="V1580" s="564" t="s">
        <v>2899</v>
      </c>
      <c r="W1580" s="564" t="s">
        <v>25</v>
      </c>
      <c r="X1580" s="650"/>
      <c r="Y1580" s="586"/>
      <c r="Z1580" s="742"/>
      <c r="AA1580" s="586"/>
      <c r="AB1580" s="586"/>
      <c r="AC1580" s="586"/>
      <c r="AD1580" s="586"/>
      <c r="AE1580" s="714"/>
      <c r="AF1580" s="570" t="s">
        <v>2899</v>
      </c>
      <c r="AG1580" s="570" t="s">
        <v>25</v>
      </c>
      <c r="AH1580" s="571" t="s">
        <v>25</v>
      </c>
      <c r="AI1580" s="572" t="s">
        <v>2233</v>
      </c>
      <c r="AJ1580" s="586"/>
    </row>
    <row r="1581" spans="1:36" s="394" customFormat="1" ht="20.25" outlineLevel="2" x14ac:dyDescent="0.3">
      <c r="A1581" s="447">
        <v>128</v>
      </c>
      <c r="B1581" s="572"/>
      <c r="C1581" s="572"/>
      <c r="D1581" s="612"/>
      <c r="E1581" s="612"/>
      <c r="F1581" s="586"/>
      <c r="G1581" s="709"/>
      <c r="H1581" s="546"/>
      <c r="I1581" s="563" t="s">
        <v>25</v>
      </c>
      <c r="J1581" s="563" t="s">
        <v>25</v>
      </c>
      <c r="K1581" s="564" t="s">
        <v>25</v>
      </c>
      <c r="L1581" s="564" t="s">
        <v>25</v>
      </c>
      <c r="M1581" s="572"/>
      <c r="N1581" s="572"/>
      <c r="O1581" s="740"/>
      <c r="P1581" s="564" t="s">
        <v>25</v>
      </c>
      <c r="Q1581" s="564" t="s">
        <v>25</v>
      </c>
      <c r="R1581" s="572"/>
      <c r="S1581" s="609"/>
      <c r="T1581" s="741"/>
      <c r="U1581" s="586"/>
      <c r="V1581" s="564" t="s">
        <v>2899</v>
      </c>
      <c r="W1581" s="564" t="s">
        <v>25</v>
      </c>
      <c r="X1581" s="650"/>
      <c r="Y1581" s="586"/>
      <c r="Z1581" s="742"/>
      <c r="AA1581" s="586"/>
      <c r="AB1581" s="586"/>
      <c r="AC1581" s="586"/>
      <c r="AD1581" s="586"/>
      <c r="AE1581" s="714"/>
      <c r="AF1581" s="570" t="s">
        <v>2899</v>
      </c>
      <c r="AG1581" s="570" t="s">
        <v>25</v>
      </c>
      <c r="AH1581" s="571" t="s">
        <v>25</v>
      </c>
      <c r="AI1581" s="731"/>
      <c r="AJ1581" s="572"/>
    </row>
    <row r="1582" spans="1:36" s="394" customFormat="1" ht="20.25" outlineLevel="2" x14ac:dyDescent="0.3">
      <c r="A1582" s="447">
        <v>128</v>
      </c>
      <c r="B1582" s="607"/>
      <c r="C1582" s="607"/>
      <c r="D1582" s="642"/>
      <c r="E1582" s="642"/>
      <c r="F1582" s="586"/>
      <c r="G1582" s="709"/>
      <c r="H1582" s="546"/>
      <c r="I1582" s="563" t="s">
        <v>25</v>
      </c>
      <c r="J1582" s="563" t="s">
        <v>25</v>
      </c>
      <c r="K1582" s="564" t="s">
        <v>25</v>
      </c>
      <c r="L1582" s="564" t="s">
        <v>25</v>
      </c>
      <c r="M1582" s="572"/>
      <c r="N1582" s="572"/>
      <c r="O1582" s="740"/>
      <c r="P1582" s="564" t="s">
        <v>25</v>
      </c>
      <c r="Q1582" s="564" t="s">
        <v>25</v>
      </c>
      <c r="R1582" s="572"/>
      <c r="S1582" s="609"/>
      <c r="T1582" s="741"/>
      <c r="U1582" s="586"/>
      <c r="V1582" s="564" t="s">
        <v>2899</v>
      </c>
      <c r="W1582" s="564" t="s">
        <v>25</v>
      </c>
      <c r="X1582" s="650"/>
      <c r="Y1582" s="586"/>
      <c r="Z1582" s="742"/>
      <c r="AA1582" s="586"/>
      <c r="AB1582" s="586"/>
      <c r="AC1582" s="586"/>
      <c r="AD1582" s="586"/>
      <c r="AE1582" s="714"/>
      <c r="AF1582" s="570" t="s">
        <v>2899</v>
      </c>
      <c r="AG1582" s="570" t="s">
        <v>25</v>
      </c>
      <c r="AH1582" s="571" t="s">
        <v>25</v>
      </c>
      <c r="AI1582" s="586"/>
      <c r="AJ1582" s="586"/>
    </row>
    <row r="1583" spans="1:36" s="394" customFormat="1" ht="40.5" outlineLevel="1" x14ac:dyDescent="0.25">
      <c r="A1583" s="467">
        <v>129</v>
      </c>
      <c r="B1583" s="607" t="s">
        <v>1119</v>
      </c>
      <c r="C1583" s="586" t="s">
        <v>2903</v>
      </c>
      <c r="D1583" s="612">
        <v>86</v>
      </c>
      <c r="E1583" s="612">
        <v>368</v>
      </c>
      <c r="F1583" s="578"/>
      <c r="G1583" s="707">
        <v>318.2</v>
      </c>
      <c r="H1583" s="579">
        <v>318.2</v>
      </c>
      <c r="I1583" s="581"/>
      <c r="J1583" s="581"/>
      <c r="K1583" s="571">
        <v>119898000</v>
      </c>
      <c r="L1583" s="571">
        <v>359694000</v>
      </c>
      <c r="M1583" s="607"/>
      <c r="N1583" s="607"/>
      <c r="O1583" s="738">
        <v>200</v>
      </c>
      <c r="P1583" s="571"/>
      <c r="Q1583" s="571">
        <v>2636000</v>
      </c>
      <c r="R1583" s="582"/>
      <c r="S1583" s="621"/>
      <c r="T1583" s="739">
        <v>0</v>
      </c>
      <c r="U1583" s="578"/>
      <c r="V1583" s="571"/>
      <c r="W1583" s="571">
        <v>0</v>
      </c>
      <c r="X1583" s="650"/>
      <c r="Y1583" s="586"/>
      <c r="Z1583" s="742"/>
      <c r="AA1583" s="586"/>
      <c r="AB1583" s="586"/>
      <c r="AC1583" s="586"/>
      <c r="AD1583" s="578"/>
      <c r="AE1583" s="712">
        <f>SUBTOTAL(9,AE1584:AE1589)</f>
        <v>0</v>
      </c>
      <c r="AF1583" s="585"/>
      <c r="AG1583" s="585">
        <v>0</v>
      </c>
      <c r="AH1583" s="571">
        <v>482228000</v>
      </c>
      <c r="AI1583" s="578"/>
      <c r="AJ1583" s="578"/>
    </row>
    <row r="1584" spans="1:36" s="394" customFormat="1" ht="121.5" outlineLevel="2" x14ac:dyDescent="0.3">
      <c r="A1584" s="447">
        <v>129</v>
      </c>
      <c r="B1584" s="572" t="s">
        <v>1122</v>
      </c>
      <c r="C1584" s="572"/>
      <c r="D1584" s="612">
        <v>86</v>
      </c>
      <c r="E1584" s="612" t="s">
        <v>1123</v>
      </c>
      <c r="F1584" s="586" t="s">
        <v>2433</v>
      </c>
      <c r="G1584" s="709">
        <v>311.39999999999998</v>
      </c>
      <c r="H1584" s="546">
        <v>311.39999999999998</v>
      </c>
      <c r="I1584" s="563">
        <v>376800</v>
      </c>
      <c r="J1584" s="563">
        <v>1130400</v>
      </c>
      <c r="K1584" s="564">
        <v>117336000</v>
      </c>
      <c r="L1584" s="564">
        <v>352007000</v>
      </c>
      <c r="M1584" s="572" t="s">
        <v>154</v>
      </c>
      <c r="N1584" s="572"/>
      <c r="O1584" s="740">
        <v>1</v>
      </c>
      <c r="P1584" s="564">
        <v>248000</v>
      </c>
      <c r="Q1584" s="564">
        <v>248000</v>
      </c>
      <c r="R1584" s="566"/>
      <c r="S1584" s="609"/>
      <c r="T1584" s="741"/>
      <c r="U1584" s="586"/>
      <c r="V1584" s="564" t="s">
        <v>2899</v>
      </c>
      <c r="W1584" s="564" t="s">
        <v>25</v>
      </c>
      <c r="X1584" s="650"/>
      <c r="Y1584" s="586"/>
      <c r="Z1584" s="742"/>
      <c r="AA1584" s="586"/>
      <c r="AB1584" s="586"/>
      <c r="AC1584" s="586"/>
      <c r="AD1584" s="586"/>
      <c r="AE1584" s="714"/>
      <c r="AF1584" s="570" t="s">
        <v>2899</v>
      </c>
      <c r="AG1584" s="570"/>
      <c r="AH1584" s="571" t="s">
        <v>25</v>
      </c>
      <c r="AI1584" s="586" t="s">
        <v>1121</v>
      </c>
      <c r="AJ1584" s="586" t="s">
        <v>2771</v>
      </c>
    </row>
    <row r="1585" spans="1:36" s="394" customFormat="1" ht="81" outlineLevel="2" x14ac:dyDescent="0.3">
      <c r="A1585" s="447">
        <v>129</v>
      </c>
      <c r="B1585" s="572" t="s">
        <v>1594</v>
      </c>
      <c r="C1585" s="572"/>
      <c r="D1585" s="612"/>
      <c r="E1585" s="612"/>
      <c r="F1585" s="586" t="s">
        <v>2441</v>
      </c>
      <c r="G1585" s="709">
        <v>6.8</v>
      </c>
      <c r="H1585" s="546">
        <v>6.8</v>
      </c>
      <c r="I1585" s="563">
        <v>376800</v>
      </c>
      <c r="J1585" s="563">
        <v>1130400</v>
      </c>
      <c r="K1585" s="564">
        <v>2562000</v>
      </c>
      <c r="L1585" s="564">
        <v>7687000</v>
      </c>
      <c r="M1585" s="572" t="s">
        <v>347</v>
      </c>
      <c r="N1585" s="572"/>
      <c r="O1585" s="740">
        <v>199</v>
      </c>
      <c r="P1585" s="564">
        <v>12000</v>
      </c>
      <c r="Q1585" s="564">
        <v>2388000</v>
      </c>
      <c r="R1585" s="566"/>
      <c r="S1585" s="609"/>
      <c r="T1585" s="741"/>
      <c r="U1585" s="586"/>
      <c r="V1585" s="564" t="s">
        <v>2899</v>
      </c>
      <c r="W1585" s="564" t="s">
        <v>25</v>
      </c>
      <c r="X1585" s="650"/>
      <c r="Y1585" s="586"/>
      <c r="Z1585" s="742"/>
      <c r="AA1585" s="586"/>
      <c r="AB1585" s="586"/>
      <c r="AC1585" s="586"/>
      <c r="AD1585" s="586"/>
      <c r="AE1585" s="714"/>
      <c r="AF1585" s="570" t="s">
        <v>2899</v>
      </c>
      <c r="AG1585" s="570" t="s">
        <v>25</v>
      </c>
      <c r="AH1585" s="571" t="s">
        <v>25</v>
      </c>
      <c r="AI1585" s="586" t="s">
        <v>1124</v>
      </c>
      <c r="AJ1585" s="605" t="s">
        <v>2448</v>
      </c>
    </row>
    <row r="1586" spans="1:36" s="394" customFormat="1" ht="20.25" outlineLevel="2" x14ac:dyDescent="0.3">
      <c r="A1586" s="447">
        <v>129</v>
      </c>
      <c r="B1586" s="572"/>
      <c r="C1586" s="572"/>
      <c r="D1586" s="612"/>
      <c r="E1586" s="612"/>
      <c r="F1586" s="586"/>
      <c r="G1586" s="709"/>
      <c r="H1586" s="546"/>
      <c r="I1586" s="563" t="s">
        <v>25</v>
      </c>
      <c r="J1586" s="563" t="s">
        <v>25</v>
      </c>
      <c r="K1586" s="564" t="s">
        <v>25</v>
      </c>
      <c r="L1586" s="564" t="s">
        <v>25</v>
      </c>
      <c r="M1586" s="572"/>
      <c r="N1586" s="572"/>
      <c r="O1586" s="740"/>
      <c r="P1586" s="564" t="s">
        <v>25</v>
      </c>
      <c r="Q1586" s="564" t="s">
        <v>25</v>
      </c>
      <c r="R1586" s="566"/>
      <c r="S1586" s="609"/>
      <c r="T1586" s="741"/>
      <c r="U1586" s="586"/>
      <c r="V1586" s="564" t="s">
        <v>2899</v>
      </c>
      <c r="W1586" s="564" t="s">
        <v>25</v>
      </c>
      <c r="X1586" s="650"/>
      <c r="Y1586" s="586"/>
      <c r="Z1586" s="742"/>
      <c r="AA1586" s="586"/>
      <c r="AB1586" s="586"/>
      <c r="AC1586" s="586"/>
      <c r="AD1586" s="586"/>
      <c r="AE1586" s="714"/>
      <c r="AF1586" s="570" t="s">
        <v>2899</v>
      </c>
      <c r="AG1586" s="570" t="s">
        <v>25</v>
      </c>
      <c r="AH1586" s="571" t="s">
        <v>25</v>
      </c>
      <c r="AI1586" s="586" t="s">
        <v>404</v>
      </c>
      <c r="AJ1586" s="586"/>
    </row>
    <row r="1587" spans="1:36" s="394" customFormat="1" ht="101.25" outlineLevel="2" x14ac:dyDescent="0.3">
      <c r="A1587" s="447">
        <v>129</v>
      </c>
      <c r="B1587" s="572"/>
      <c r="C1587" s="572"/>
      <c r="D1587" s="612"/>
      <c r="E1587" s="612"/>
      <c r="F1587" s="586"/>
      <c r="G1587" s="709"/>
      <c r="H1587" s="546"/>
      <c r="I1587" s="563" t="s">
        <v>25</v>
      </c>
      <c r="J1587" s="563" t="s">
        <v>25</v>
      </c>
      <c r="K1587" s="564" t="s">
        <v>25</v>
      </c>
      <c r="L1587" s="564" t="s">
        <v>25</v>
      </c>
      <c r="M1587" s="572"/>
      <c r="N1587" s="572"/>
      <c r="O1587" s="740"/>
      <c r="P1587" s="564" t="s">
        <v>25</v>
      </c>
      <c r="Q1587" s="564" t="s">
        <v>25</v>
      </c>
      <c r="R1587" s="572"/>
      <c r="S1587" s="609"/>
      <c r="T1587" s="741"/>
      <c r="U1587" s="586"/>
      <c r="V1587" s="564" t="s">
        <v>2899</v>
      </c>
      <c r="W1587" s="564" t="s">
        <v>25</v>
      </c>
      <c r="X1587" s="650"/>
      <c r="Y1587" s="586"/>
      <c r="Z1587" s="742"/>
      <c r="AA1587" s="586"/>
      <c r="AB1587" s="586"/>
      <c r="AC1587" s="586"/>
      <c r="AD1587" s="586"/>
      <c r="AE1587" s="714"/>
      <c r="AF1587" s="570" t="s">
        <v>2899</v>
      </c>
      <c r="AG1587" s="570" t="s">
        <v>25</v>
      </c>
      <c r="AH1587" s="571" t="s">
        <v>25</v>
      </c>
      <c r="AI1587" s="586" t="s">
        <v>1125</v>
      </c>
      <c r="AJ1587" s="586"/>
    </row>
    <row r="1588" spans="1:36" s="394" customFormat="1" ht="60.75" outlineLevel="2" x14ac:dyDescent="0.3">
      <c r="A1588" s="447">
        <v>129</v>
      </c>
      <c r="B1588" s="572"/>
      <c r="C1588" s="572"/>
      <c r="D1588" s="612"/>
      <c r="E1588" s="612"/>
      <c r="F1588" s="586"/>
      <c r="G1588" s="709"/>
      <c r="H1588" s="546"/>
      <c r="I1588" s="563" t="s">
        <v>25</v>
      </c>
      <c r="J1588" s="563" t="s">
        <v>25</v>
      </c>
      <c r="K1588" s="564" t="s">
        <v>25</v>
      </c>
      <c r="L1588" s="564" t="s">
        <v>25</v>
      </c>
      <c r="M1588" s="572"/>
      <c r="N1588" s="572"/>
      <c r="O1588" s="740"/>
      <c r="P1588" s="564" t="s">
        <v>25</v>
      </c>
      <c r="Q1588" s="564" t="s">
        <v>25</v>
      </c>
      <c r="R1588" s="572"/>
      <c r="S1588" s="609"/>
      <c r="T1588" s="741"/>
      <c r="U1588" s="586"/>
      <c r="V1588" s="564" t="s">
        <v>2899</v>
      </c>
      <c r="W1588" s="564" t="s">
        <v>25</v>
      </c>
      <c r="X1588" s="650"/>
      <c r="Y1588" s="586"/>
      <c r="Z1588" s="742"/>
      <c r="AA1588" s="586"/>
      <c r="AB1588" s="586"/>
      <c r="AC1588" s="586"/>
      <c r="AD1588" s="586"/>
      <c r="AE1588" s="714"/>
      <c r="AF1588" s="570" t="s">
        <v>2899</v>
      </c>
      <c r="AG1588" s="570" t="s">
        <v>25</v>
      </c>
      <c r="AH1588" s="571" t="s">
        <v>25</v>
      </c>
      <c r="AI1588" s="586" t="s">
        <v>2074</v>
      </c>
      <c r="AJ1588" s="586"/>
    </row>
    <row r="1589" spans="1:36" s="394" customFormat="1" ht="20.25" outlineLevel="2" x14ac:dyDescent="0.3">
      <c r="A1589" s="447">
        <v>129</v>
      </c>
      <c r="B1589" s="607"/>
      <c r="C1589" s="607"/>
      <c r="D1589" s="642"/>
      <c r="E1589" s="642"/>
      <c r="F1589" s="586"/>
      <c r="G1589" s="709"/>
      <c r="H1589" s="546"/>
      <c r="I1589" s="563" t="s">
        <v>25</v>
      </c>
      <c r="J1589" s="563" t="s">
        <v>25</v>
      </c>
      <c r="K1589" s="564" t="s">
        <v>25</v>
      </c>
      <c r="L1589" s="564" t="s">
        <v>25</v>
      </c>
      <c r="M1589" s="572"/>
      <c r="N1589" s="572"/>
      <c r="O1589" s="740"/>
      <c r="P1589" s="564" t="s">
        <v>25</v>
      </c>
      <c r="Q1589" s="564" t="s">
        <v>25</v>
      </c>
      <c r="R1589" s="572"/>
      <c r="S1589" s="609"/>
      <c r="T1589" s="741"/>
      <c r="U1589" s="586"/>
      <c r="V1589" s="564" t="s">
        <v>2899</v>
      </c>
      <c r="W1589" s="564" t="s">
        <v>25</v>
      </c>
      <c r="X1589" s="650"/>
      <c r="Y1589" s="586"/>
      <c r="Z1589" s="742"/>
      <c r="AA1589" s="586"/>
      <c r="AB1589" s="586"/>
      <c r="AC1589" s="586"/>
      <c r="AD1589" s="586"/>
      <c r="AE1589" s="714"/>
      <c r="AF1589" s="570" t="s">
        <v>2899</v>
      </c>
      <c r="AG1589" s="570" t="s">
        <v>25</v>
      </c>
      <c r="AH1589" s="571" t="s">
        <v>25</v>
      </c>
      <c r="AI1589" s="586"/>
      <c r="AJ1589" s="586"/>
    </row>
    <row r="1590" spans="1:36" s="394" customFormat="1" ht="40.5" outlineLevel="1" x14ac:dyDescent="0.25">
      <c r="A1590" s="467">
        <v>130</v>
      </c>
      <c r="B1590" s="607" t="s">
        <v>1126</v>
      </c>
      <c r="C1590" s="586" t="s">
        <v>2903</v>
      </c>
      <c r="D1590" s="612">
        <v>86</v>
      </c>
      <c r="E1590" s="612">
        <v>367</v>
      </c>
      <c r="F1590" s="578"/>
      <c r="G1590" s="707">
        <v>307.39999999999998</v>
      </c>
      <c r="H1590" s="579">
        <v>307.39999999999998</v>
      </c>
      <c r="I1590" s="581"/>
      <c r="J1590" s="581"/>
      <c r="K1590" s="571">
        <v>115828000</v>
      </c>
      <c r="L1590" s="571">
        <v>347485000</v>
      </c>
      <c r="M1590" s="607"/>
      <c r="N1590" s="607"/>
      <c r="O1590" s="738">
        <v>195</v>
      </c>
      <c r="P1590" s="571"/>
      <c r="Q1590" s="571">
        <v>2340000</v>
      </c>
      <c r="R1590" s="582"/>
      <c r="S1590" s="621"/>
      <c r="T1590" s="739">
        <v>0</v>
      </c>
      <c r="U1590" s="578"/>
      <c r="V1590" s="571"/>
      <c r="W1590" s="571">
        <v>0</v>
      </c>
      <c r="X1590" s="650"/>
      <c r="Y1590" s="586"/>
      <c r="Z1590" s="742"/>
      <c r="AA1590" s="586"/>
      <c r="AB1590" s="586"/>
      <c r="AC1590" s="586"/>
      <c r="AD1590" s="578"/>
      <c r="AE1590" s="712">
        <f>SUBTOTAL(9,AE1591:AE1596)</f>
        <v>0</v>
      </c>
      <c r="AF1590" s="585"/>
      <c r="AG1590" s="585">
        <v>0</v>
      </c>
      <c r="AH1590" s="571">
        <v>465653000</v>
      </c>
      <c r="AI1590" s="578"/>
      <c r="AJ1590" s="578"/>
    </row>
    <row r="1591" spans="1:36" s="394" customFormat="1" ht="121.5" outlineLevel="2" x14ac:dyDescent="0.3">
      <c r="A1591" s="447">
        <v>130</v>
      </c>
      <c r="B1591" s="572" t="s">
        <v>1128</v>
      </c>
      <c r="C1591" s="572"/>
      <c r="D1591" s="612"/>
      <c r="E1591" s="612"/>
      <c r="F1591" s="586" t="s">
        <v>2433</v>
      </c>
      <c r="G1591" s="709">
        <v>307.39999999999998</v>
      </c>
      <c r="H1591" s="546">
        <v>307.39999999999998</v>
      </c>
      <c r="I1591" s="563">
        <v>376800</v>
      </c>
      <c r="J1591" s="563">
        <v>1130400</v>
      </c>
      <c r="K1591" s="564">
        <v>115828000</v>
      </c>
      <c r="L1591" s="564">
        <v>347485000</v>
      </c>
      <c r="M1591" s="572" t="s">
        <v>347</v>
      </c>
      <c r="N1591" s="572"/>
      <c r="O1591" s="740">
        <v>195</v>
      </c>
      <c r="P1591" s="564">
        <v>12000</v>
      </c>
      <c r="Q1591" s="564">
        <v>2340000</v>
      </c>
      <c r="R1591" s="566"/>
      <c r="S1591" s="609"/>
      <c r="T1591" s="741"/>
      <c r="U1591" s="586"/>
      <c r="V1591" s="564" t="s">
        <v>2899</v>
      </c>
      <c r="W1591" s="564" t="s">
        <v>25</v>
      </c>
      <c r="X1591" s="650"/>
      <c r="Y1591" s="586"/>
      <c r="Z1591" s="742"/>
      <c r="AA1591" s="586"/>
      <c r="AB1591" s="586"/>
      <c r="AC1591" s="586"/>
      <c r="AD1591" s="586"/>
      <c r="AE1591" s="714"/>
      <c r="AF1591" s="570" t="s">
        <v>2899</v>
      </c>
      <c r="AG1591" s="570"/>
      <c r="AH1591" s="571" t="s">
        <v>25</v>
      </c>
      <c r="AI1591" s="586" t="s">
        <v>1127</v>
      </c>
      <c r="AJ1591" s="586" t="s">
        <v>2771</v>
      </c>
    </row>
    <row r="1592" spans="1:36" s="394" customFormat="1" ht="101.25" outlineLevel="2" x14ac:dyDescent="0.3">
      <c r="A1592" s="447">
        <v>130</v>
      </c>
      <c r="B1592" s="572" t="s">
        <v>1595</v>
      </c>
      <c r="C1592" s="572"/>
      <c r="D1592" s="612"/>
      <c r="E1592" s="612"/>
      <c r="F1592" s="586"/>
      <c r="G1592" s="709"/>
      <c r="H1592" s="546"/>
      <c r="I1592" s="563" t="s">
        <v>25</v>
      </c>
      <c r="J1592" s="563" t="s">
        <v>25</v>
      </c>
      <c r="K1592" s="564" t="s">
        <v>25</v>
      </c>
      <c r="L1592" s="564" t="s">
        <v>25</v>
      </c>
      <c r="M1592" s="572"/>
      <c r="N1592" s="572"/>
      <c r="O1592" s="740"/>
      <c r="P1592" s="564" t="s">
        <v>25</v>
      </c>
      <c r="Q1592" s="564" t="s">
        <v>25</v>
      </c>
      <c r="R1592" s="566"/>
      <c r="S1592" s="609"/>
      <c r="T1592" s="741"/>
      <c r="U1592" s="586"/>
      <c r="V1592" s="564" t="s">
        <v>2899</v>
      </c>
      <c r="W1592" s="564" t="s">
        <v>25</v>
      </c>
      <c r="X1592" s="650"/>
      <c r="Y1592" s="586"/>
      <c r="Z1592" s="742"/>
      <c r="AA1592" s="586"/>
      <c r="AB1592" s="586"/>
      <c r="AC1592" s="586"/>
      <c r="AD1592" s="586"/>
      <c r="AE1592" s="714"/>
      <c r="AF1592" s="570" t="s">
        <v>2899</v>
      </c>
      <c r="AG1592" s="570" t="s">
        <v>25</v>
      </c>
      <c r="AH1592" s="571" t="s">
        <v>25</v>
      </c>
      <c r="AI1592" s="586" t="s">
        <v>1129</v>
      </c>
      <c r="AJ1592" s="605" t="s">
        <v>2448</v>
      </c>
    </row>
    <row r="1593" spans="1:36" s="394" customFormat="1" ht="101.25" outlineLevel="2" x14ac:dyDescent="0.3">
      <c r="A1593" s="447">
        <v>130</v>
      </c>
      <c r="B1593" s="572"/>
      <c r="C1593" s="572"/>
      <c r="D1593" s="612"/>
      <c r="E1593" s="612"/>
      <c r="F1593" s="586"/>
      <c r="G1593" s="709"/>
      <c r="H1593" s="546"/>
      <c r="I1593" s="563" t="s">
        <v>25</v>
      </c>
      <c r="J1593" s="563" t="s">
        <v>25</v>
      </c>
      <c r="K1593" s="564" t="s">
        <v>25</v>
      </c>
      <c r="L1593" s="564" t="s">
        <v>25</v>
      </c>
      <c r="M1593" s="572"/>
      <c r="N1593" s="572"/>
      <c r="O1593" s="740"/>
      <c r="P1593" s="564" t="s">
        <v>25</v>
      </c>
      <c r="Q1593" s="564" t="s">
        <v>25</v>
      </c>
      <c r="R1593" s="566"/>
      <c r="S1593" s="609"/>
      <c r="T1593" s="741"/>
      <c r="U1593" s="586"/>
      <c r="V1593" s="564" t="s">
        <v>2899</v>
      </c>
      <c r="W1593" s="564" t="s">
        <v>25</v>
      </c>
      <c r="X1593" s="650"/>
      <c r="Y1593" s="586"/>
      <c r="Z1593" s="742"/>
      <c r="AA1593" s="586"/>
      <c r="AB1593" s="586"/>
      <c r="AC1593" s="586"/>
      <c r="AD1593" s="586"/>
      <c r="AE1593" s="714"/>
      <c r="AF1593" s="570" t="s">
        <v>2899</v>
      </c>
      <c r="AG1593" s="570" t="s">
        <v>25</v>
      </c>
      <c r="AH1593" s="571" t="s">
        <v>25</v>
      </c>
      <c r="AI1593" s="586" t="s">
        <v>2074</v>
      </c>
      <c r="AJ1593" s="558" t="s">
        <v>2449</v>
      </c>
    </row>
    <row r="1594" spans="1:36" s="394" customFormat="1" ht="20.25" outlineLevel="2" x14ac:dyDescent="0.3">
      <c r="A1594" s="447">
        <v>130</v>
      </c>
      <c r="B1594" s="572"/>
      <c r="C1594" s="572"/>
      <c r="D1594" s="612"/>
      <c r="E1594" s="612"/>
      <c r="F1594" s="586"/>
      <c r="G1594" s="709"/>
      <c r="H1594" s="546"/>
      <c r="I1594" s="563" t="s">
        <v>25</v>
      </c>
      <c r="J1594" s="563" t="s">
        <v>25</v>
      </c>
      <c r="K1594" s="564" t="s">
        <v>25</v>
      </c>
      <c r="L1594" s="564" t="s">
        <v>25</v>
      </c>
      <c r="M1594" s="572"/>
      <c r="N1594" s="572"/>
      <c r="O1594" s="740"/>
      <c r="P1594" s="564" t="s">
        <v>25</v>
      </c>
      <c r="Q1594" s="564" t="s">
        <v>25</v>
      </c>
      <c r="R1594" s="572"/>
      <c r="S1594" s="609"/>
      <c r="T1594" s="741"/>
      <c r="U1594" s="586"/>
      <c r="V1594" s="564" t="s">
        <v>2899</v>
      </c>
      <c r="W1594" s="564" t="s">
        <v>25</v>
      </c>
      <c r="X1594" s="650"/>
      <c r="Y1594" s="586"/>
      <c r="Z1594" s="742"/>
      <c r="AA1594" s="586"/>
      <c r="AB1594" s="586"/>
      <c r="AC1594" s="586"/>
      <c r="AD1594" s="586"/>
      <c r="AE1594" s="714"/>
      <c r="AF1594" s="570" t="s">
        <v>2899</v>
      </c>
      <c r="AG1594" s="570" t="s">
        <v>25</v>
      </c>
      <c r="AH1594" s="571" t="s">
        <v>25</v>
      </c>
      <c r="AI1594" s="731"/>
      <c r="AJ1594" s="586"/>
    </row>
    <row r="1595" spans="1:36" s="394" customFormat="1" ht="20.25" outlineLevel="2" x14ac:dyDescent="0.3">
      <c r="A1595" s="447">
        <v>130</v>
      </c>
      <c r="B1595" s="572"/>
      <c r="C1595" s="572"/>
      <c r="D1595" s="612"/>
      <c r="E1595" s="612"/>
      <c r="F1595" s="586"/>
      <c r="G1595" s="709"/>
      <c r="H1595" s="546"/>
      <c r="I1595" s="563" t="s">
        <v>25</v>
      </c>
      <c r="J1595" s="563" t="s">
        <v>25</v>
      </c>
      <c r="K1595" s="564" t="s">
        <v>25</v>
      </c>
      <c r="L1595" s="564" t="s">
        <v>25</v>
      </c>
      <c r="M1595" s="572"/>
      <c r="N1595" s="572"/>
      <c r="O1595" s="740"/>
      <c r="P1595" s="564" t="s">
        <v>25</v>
      </c>
      <c r="Q1595" s="564" t="s">
        <v>25</v>
      </c>
      <c r="R1595" s="572"/>
      <c r="S1595" s="609"/>
      <c r="T1595" s="741"/>
      <c r="U1595" s="586"/>
      <c r="V1595" s="564" t="s">
        <v>2899</v>
      </c>
      <c r="W1595" s="564" t="s">
        <v>25</v>
      </c>
      <c r="X1595" s="650"/>
      <c r="Y1595" s="586"/>
      <c r="Z1595" s="742"/>
      <c r="AA1595" s="586"/>
      <c r="AB1595" s="586"/>
      <c r="AC1595" s="586"/>
      <c r="AD1595" s="586"/>
      <c r="AE1595" s="714"/>
      <c r="AF1595" s="570" t="s">
        <v>2899</v>
      </c>
      <c r="AG1595" s="570" t="s">
        <v>25</v>
      </c>
      <c r="AH1595" s="571" t="s">
        <v>25</v>
      </c>
      <c r="AI1595" s="586"/>
      <c r="AJ1595" s="586"/>
    </row>
    <row r="1596" spans="1:36" s="394" customFormat="1" ht="20.25" outlineLevel="2" x14ac:dyDescent="0.3">
      <c r="A1596" s="447">
        <v>130</v>
      </c>
      <c r="B1596" s="607"/>
      <c r="C1596" s="607"/>
      <c r="D1596" s="642"/>
      <c r="E1596" s="642"/>
      <c r="F1596" s="586"/>
      <c r="G1596" s="709"/>
      <c r="H1596" s="546"/>
      <c r="I1596" s="563" t="s">
        <v>25</v>
      </c>
      <c r="J1596" s="563" t="s">
        <v>25</v>
      </c>
      <c r="K1596" s="564" t="s">
        <v>25</v>
      </c>
      <c r="L1596" s="564" t="s">
        <v>25</v>
      </c>
      <c r="M1596" s="572"/>
      <c r="N1596" s="572"/>
      <c r="O1596" s="740"/>
      <c r="P1596" s="564" t="s">
        <v>25</v>
      </c>
      <c r="Q1596" s="564" t="s">
        <v>25</v>
      </c>
      <c r="R1596" s="572"/>
      <c r="S1596" s="609"/>
      <c r="T1596" s="741"/>
      <c r="U1596" s="586"/>
      <c r="V1596" s="564" t="s">
        <v>2899</v>
      </c>
      <c r="W1596" s="564" t="s">
        <v>25</v>
      </c>
      <c r="X1596" s="650"/>
      <c r="Y1596" s="586"/>
      <c r="Z1596" s="742"/>
      <c r="AA1596" s="586"/>
      <c r="AB1596" s="586"/>
      <c r="AC1596" s="586"/>
      <c r="AD1596" s="586"/>
      <c r="AE1596" s="714"/>
      <c r="AF1596" s="570" t="s">
        <v>2899</v>
      </c>
      <c r="AG1596" s="570" t="s">
        <v>25</v>
      </c>
      <c r="AH1596" s="571" t="s">
        <v>25</v>
      </c>
      <c r="AI1596" s="586"/>
      <c r="AJ1596" s="586"/>
    </row>
    <row r="1597" spans="1:36" s="396" customFormat="1" ht="40.5" outlineLevel="1" x14ac:dyDescent="0.25">
      <c r="A1597" s="467">
        <v>131</v>
      </c>
      <c r="B1597" s="607" t="s">
        <v>1130</v>
      </c>
      <c r="C1597" s="586" t="s">
        <v>2903</v>
      </c>
      <c r="D1597" s="612">
        <v>86</v>
      </c>
      <c r="E1597" s="612">
        <v>1576</v>
      </c>
      <c r="F1597" s="578"/>
      <c r="G1597" s="707">
        <v>249.79999999999998</v>
      </c>
      <c r="H1597" s="579">
        <v>0</v>
      </c>
      <c r="I1597" s="581"/>
      <c r="J1597" s="581"/>
      <c r="K1597" s="571">
        <v>1609174000</v>
      </c>
      <c r="L1597" s="571">
        <v>0</v>
      </c>
      <c r="M1597" s="607"/>
      <c r="N1597" s="607"/>
      <c r="O1597" s="738">
        <v>0</v>
      </c>
      <c r="P1597" s="571"/>
      <c r="Q1597" s="571">
        <v>0</v>
      </c>
      <c r="R1597" s="582"/>
      <c r="S1597" s="621"/>
      <c r="T1597" s="739">
        <v>268.62</v>
      </c>
      <c r="U1597" s="578"/>
      <c r="V1597" s="571"/>
      <c r="W1597" s="571">
        <v>1167944000</v>
      </c>
      <c r="X1597" s="650"/>
      <c r="Y1597" s="586"/>
      <c r="Z1597" s="742"/>
      <c r="AA1597" s="586"/>
      <c r="AB1597" s="586"/>
      <c r="AC1597" s="586"/>
      <c r="AD1597" s="578"/>
      <c r="AE1597" s="712">
        <f>SUBTOTAL(9,AE1598:AE1607)</f>
        <v>1</v>
      </c>
      <c r="AF1597" s="585"/>
      <c r="AG1597" s="585">
        <v>5000000</v>
      </c>
      <c r="AH1597" s="571">
        <v>2782118000</v>
      </c>
      <c r="AI1597" s="578"/>
      <c r="AJ1597" s="578"/>
    </row>
    <row r="1598" spans="1:36" s="396" customFormat="1" ht="121.5" outlineLevel="2" x14ac:dyDescent="0.3">
      <c r="A1598" s="447">
        <v>131</v>
      </c>
      <c r="B1598" s="572" t="s">
        <v>1135</v>
      </c>
      <c r="C1598" s="572"/>
      <c r="D1598" s="612">
        <v>86</v>
      </c>
      <c r="E1598" s="612">
        <v>1576</v>
      </c>
      <c r="F1598" s="586" t="s">
        <v>2874</v>
      </c>
      <c r="G1598" s="709">
        <v>30.1</v>
      </c>
      <c r="H1598" s="546" t="s">
        <v>2899</v>
      </c>
      <c r="I1598" s="563">
        <v>465600</v>
      </c>
      <c r="J1598" s="563">
        <v>0</v>
      </c>
      <c r="K1598" s="564">
        <v>14015000</v>
      </c>
      <c r="L1598" s="564">
        <v>0</v>
      </c>
      <c r="M1598" s="572"/>
      <c r="N1598" s="572"/>
      <c r="O1598" s="740"/>
      <c r="P1598" s="564" t="s">
        <v>25</v>
      </c>
      <c r="Q1598" s="564" t="s">
        <v>25</v>
      </c>
      <c r="R1598" s="566" t="s">
        <v>2363</v>
      </c>
      <c r="S1598" s="609" t="s">
        <v>1133</v>
      </c>
      <c r="T1598" s="741">
        <v>15.9</v>
      </c>
      <c r="U1598" s="586"/>
      <c r="V1598" s="564">
        <v>805811</v>
      </c>
      <c r="W1598" s="564">
        <v>12812000</v>
      </c>
      <c r="X1598" s="650"/>
      <c r="Y1598" s="586"/>
      <c r="Z1598" s="742"/>
      <c r="AA1598" s="586"/>
      <c r="AB1598" s="586"/>
      <c r="AC1598" s="586"/>
      <c r="AD1598" s="586" t="s">
        <v>2137</v>
      </c>
      <c r="AE1598" s="714">
        <v>1</v>
      </c>
      <c r="AF1598" s="570">
        <v>5000000</v>
      </c>
      <c r="AG1598" s="570">
        <v>5000000</v>
      </c>
      <c r="AH1598" s="571" t="s">
        <v>25</v>
      </c>
      <c r="AI1598" s="586" t="s">
        <v>1134</v>
      </c>
      <c r="AJ1598" s="586" t="s">
        <v>2771</v>
      </c>
    </row>
    <row r="1599" spans="1:36" s="394" customFormat="1" ht="121.5" outlineLevel="2" x14ac:dyDescent="0.3">
      <c r="A1599" s="447">
        <v>131</v>
      </c>
      <c r="B1599" s="607" t="s">
        <v>1141</v>
      </c>
      <c r="C1599" s="607"/>
      <c r="D1599" s="612"/>
      <c r="E1599" s="612"/>
      <c r="F1599" s="586" t="s">
        <v>2049</v>
      </c>
      <c r="G1599" s="709">
        <v>219.7</v>
      </c>
      <c r="H1599" s="546" t="s">
        <v>2899</v>
      </c>
      <c r="I1599" s="563">
        <v>7260624</v>
      </c>
      <c r="J1599" s="563">
        <v>0</v>
      </c>
      <c r="K1599" s="564">
        <v>1595159000</v>
      </c>
      <c r="L1599" s="564">
        <v>0</v>
      </c>
      <c r="M1599" s="572"/>
      <c r="N1599" s="572"/>
      <c r="O1599" s="740"/>
      <c r="P1599" s="564" t="s">
        <v>25</v>
      </c>
      <c r="Q1599" s="564" t="s">
        <v>25</v>
      </c>
      <c r="R1599" s="566" t="s">
        <v>1914</v>
      </c>
      <c r="S1599" s="609" t="s">
        <v>1133</v>
      </c>
      <c r="T1599" s="741">
        <v>177.6</v>
      </c>
      <c r="U1599" s="586"/>
      <c r="V1599" s="564">
        <v>5307665</v>
      </c>
      <c r="W1599" s="564">
        <v>942641000</v>
      </c>
      <c r="X1599" s="661" t="s">
        <v>1138</v>
      </c>
      <c r="Y1599" s="683" t="s">
        <v>1139</v>
      </c>
      <c r="Z1599" s="683" t="s">
        <v>56</v>
      </c>
      <c r="AA1599" s="694" t="s">
        <v>269</v>
      </c>
      <c r="AB1599" s="683" t="s">
        <v>1138</v>
      </c>
      <c r="AC1599" s="683"/>
      <c r="AD1599" s="683"/>
      <c r="AE1599" s="590"/>
      <c r="AF1599" s="570" t="s">
        <v>2899</v>
      </c>
      <c r="AG1599" s="570"/>
      <c r="AH1599" s="571" t="s">
        <v>25</v>
      </c>
      <c r="AI1599" s="586" t="s">
        <v>1140</v>
      </c>
      <c r="AJ1599" s="558" t="s">
        <v>2450</v>
      </c>
    </row>
    <row r="1600" spans="1:36" s="394" customFormat="1" ht="101.25" outlineLevel="2" x14ac:dyDescent="0.3">
      <c r="A1600" s="447">
        <v>131</v>
      </c>
      <c r="B1600" s="572" t="s">
        <v>1144</v>
      </c>
      <c r="C1600" s="572"/>
      <c r="D1600" s="612"/>
      <c r="E1600" s="612"/>
      <c r="F1600" s="572"/>
      <c r="G1600" s="709"/>
      <c r="H1600" s="546"/>
      <c r="I1600" s="563" t="s">
        <v>25</v>
      </c>
      <c r="J1600" s="563" t="s">
        <v>25</v>
      </c>
      <c r="K1600" s="564" t="s">
        <v>25</v>
      </c>
      <c r="L1600" s="564" t="s">
        <v>25</v>
      </c>
      <c r="M1600" s="572"/>
      <c r="N1600" s="572"/>
      <c r="O1600" s="740"/>
      <c r="P1600" s="564" t="s">
        <v>25</v>
      </c>
      <c r="Q1600" s="564" t="s">
        <v>25</v>
      </c>
      <c r="R1600" s="566" t="s">
        <v>2364</v>
      </c>
      <c r="S1600" s="609" t="s">
        <v>1133</v>
      </c>
      <c r="T1600" s="741">
        <v>16.5</v>
      </c>
      <c r="U1600" s="586"/>
      <c r="V1600" s="564">
        <v>9028527</v>
      </c>
      <c r="W1600" s="564">
        <v>148971000</v>
      </c>
      <c r="X1600" s="650"/>
      <c r="Y1600" s="586"/>
      <c r="Z1600" s="742"/>
      <c r="AA1600" s="586"/>
      <c r="AB1600" s="586"/>
      <c r="AC1600" s="586"/>
      <c r="AD1600" s="586"/>
      <c r="AE1600" s="714"/>
      <c r="AF1600" s="570" t="s">
        <v>2899</v>
      </c>
      <c r="AG1600" s="570" t="s">
        <v>25</v>
      </c>
      <c r="AH1600" s="571" t="s">
        <v>25</v>
      </c>
      <c r="AI1600" s="586" t="s">
        <v>1146</v>
      </c>
      <c r="AJ1600" s="558" t="s">
        <v>2447</v>
      </c>
    </row>
    <row r="1601" spans="1:38" s="394" customFormat="1" ht="101.25" outlineLevel="2" x14ac:dyDescent="0.3">
      <c r="A1601" s="447">
        <v>131</v>
      </c>
      <c r="B1601" s="572" t="s">
        <v>1596</v>
      </c>
      <c r="C1601" s="572"/>
      <c r="D1601" s="612"/>
      <c r="E1601" s="612"/>
      <c r="F1601" s="586"/>
      <c r="G1601" s="709"/>
      <c r="H1601" s="546"/>
      <c r="I1601" s="563" t="s">
        <v>25</v>
      </c>
      <c r="J1601" s="563" t="s">
        <v>25</v>
      </c>
      <c r="K1601" s="564" t="s">
        <v>25</v>
      </c>
      <c r="L1601" s="564" t="s">
        <v>25</v>
      </c>
      <c r="M1601" s="572"/>
      <c r="N1601" s="572"/>
      <c r="O1601" s="740"/>
      <c r="P1601" s="564" t="s">
        <v>25</v>
      </c>
      <c r="Q1601" s="564" t="s">
        <v>25</v>
      </c>
      <c r="R1601" s="572" t="s">
        <v>2365</v>
      </c>
      <c r="S1601" s="609" t="s">
        <v>1133</v>
      </c>
      <c r="T1601" s="741">
        <v>2.52</v>
      </c>
      <c r="U1601" s="586"/>
      <c r="V1601" s="564">
        <v>9213342</v>
      </c>
      <c r="W1601" s="564">
        <v>23218000</v>
      </c>
      <c r="X1601" s="650"/>
      <c r="Y1601" s="586"/>
      <c r="Z1601" s="742"/>
      <c r="AA1601" s="586"/>
      <c r="AB1601" s="586"/>
      <c r="AC1601" s="586"/>
      <c r="AD1601" s="586"/>
      <c r="AE1601" s="714"/>
      <c r="AF1601" s="570" t="s">
        <v>2899</v>
      </c>
      <c r="AG1601" s="570" t="s">
        <v>25</v>
      </c>
      <c r="AH1601" s="571" t="s">
        <v>25</v>
      </c>
      <c r="AI1601" s="731"/>
      <c r="AJ1601" s="586" t="s">
        <v>2800</v>
      </c>
    </row>
    <row r="1602" spans="1:38" s="394" customFormat="1" ht="81" outlineLevel="2" x14ac:dyDescent="0.3">
      <c r="A1602" s="447">
        <v>131</v>
      </c>
      <c r="B1602" s="572"/>
      <c r="C1602" s="572"/>
      <c r="D1602" s="612"/>
      <c r="E1602" s="612"/>
      <c r="F1602" s="586"/>
      <c r="G1602" s="709"/>
      <c r="H1602" s="546"/>
      <c r="I1602" s="563" t="s">
        <v>25</v>
      </c>
      <c r="J1602" s="563" t="s">
        <v>25</v>
      </c>
      <c r="K1602" s="564" t="s">
        <v>25</v>
      </c>
      <c r="L1602" s="564" t="s">
        <v>25</v>
      </c>
      <c r="M1602" s="572"/>
      <c r="N1602" s="572"/>
      <c r="O1602" s="740"/>
      <c r="P1602" s="564" t="s">
        <v>25</v>
      </c>
      <c r="Q1602" s="564" t="s">
        <v>25</v>
      </c>
      <c r="R1602" s="572" t="s">
        <v>2366</v>
      </c>
      <c r="S1602" s="609" t="s">
        <v>1133</v>
      </c>
      <c r="T1602" s="741">
        <v>19.8</v>
      </c>
      <c r="U1602" s="586"/>
      <c r="V1602" s="564">
        <v>623651</v>
      </c>
      <c r="W1602" s="564">
        <v>12348000</v>
      </c>
      <c r="X1602" s="650"/>
      <c r="Y1602" s="586"/>
      <c r="Z1602" s="742"/>
      <c r="AA1602" s="586"/>
      <c r="AB1602" s="586"/>
      <c r="AC1602" s="586"/>
      <c r="AD1602" s="586"/>
      <c r="AE1602" s="714"/>
      <c r="AF1602" s="570" t="s">
        <v>2899</v>
      </c>
      <c r="AG1602" s="570" t="s">
        <v>25</v>
      </c>
      <c r="AH1602" s="571" t="s">
        <v>25</v>
      </c>
      <c r="AI1602" s="586"/>
      <c r="AJ1602" s="586"/>
    </row>
    <row r="1603" spans="1:38" s="394" customFormat="1" ht="81" outlineLevel="2" x14ac:dyDescent="0.3">
      <c r="A1603" s="447">
        <v>131</v>
      </c>
      <c r="B1603" s="572"/>
      <c r="C1603" s="572"/>
      <c r="D1603" s="612"/>
      <c r="E1603" s="612"/>
      <c r="F1603" s="586"/>
      <c r="G1603" s="709"/>
      <c r="H1603" s="546"/>
      <c r="I1603" s="563" t="s">
        <v>25</v>
      </c>
      <c r="J1603" s="563" t="s">
        <v>25</v>
      </c>
      <c r="K1603" s="564" t="s">
        <v>25</v>
      </c>
      <c r="L1603" s="564" t="s">
        <v>25</v>
      </c>
      <c r="M1603" s="572"/>
      <c r="N1603" s="572"/>
      <c r="O1603" s="740"/>
      <c r="P1603" s="564" t="s">
        <v>25</v>
      </c>
      <c r="Q1603" s="564" t="s">
        <v>25</v>
      </c>
      <c r="R1603" s="572" t="s">
        <v>1945</v>
      </c>
      <c r="S1603" s="609" t="s">
        <v>1133</v>
      </c>
      <c r="T1603" s="741">
        <v>36.299999999999997</v>
      </c>
      <c r="U1603" s="586"/>
      <c r="V1603" s="564">
        <v>770070</v>
      </c>
      <c r="W1603" s="564">
        <v>27954000</v>
      </c>
      <c r="X1603" s="650"/>
      <c r="Y1603" s="586"/>
      <c r="Z1603" s="742"/>
      <c r="AA1603" s="586"/>
      <c r="AB1603" s="586"/>
      <c r="AC1603" s="586"/>
      <c r="AD1603" s="586"/>
      <c r="AE1603" s="714"/>
      <c r="AF1603" s="570" t="s">
        <v>2899</v>
      </c>
      <c r="AG1603" s="570" t="s">
        <v>25</v>
      </c>
      <c r="AH1603" s="571" t="s">
        <v>25</v>
      </c>
      <c r="AI1603" s="586"/>
      <c r="AJ1603" s="586"/>
    </row>
    <row r="1604" spans="1:38" s="394" customFormat="1" ht="20.25" outlineLevel="2" x14ac:dyDescent="0.3">
      <c r="A1604" s="447">
        <v>131</v>
      </c>
      <c r="B1604" s="572"/>
      <c r="C1604" s="572"/>
      <c r="D1604" s="612"/>
      <c r="E1604" s="612"/>
      <c r="F1604" s="586"/>
      <c r="G1604" s="709"/>
      <c r="H1604" s="546"/>
      <c r="I1604" s="563" t="s">
        <v>25</v>
      </c>
      <c r="J1604" s="563" t="s">
        <v>25</v>
      </c>
      <c r="K1604" s="564" t="s">
        <v>25</v>
      </c>
      <c r="L1604" s="564" t="s">
        <v>25</v>
      </c>
      <c r="M1604" s="572"/>
      <c r="N1604" s="572"/>
      <c r="O1604" s="740"/>
      <c r="P1604" s="564" t="s">
        <v>25</v>
      </c>
      <c r="Q1604" s="564" t="s">
        <v>25</v>
      </c>
      <c r="R1604" s="572"/>
      <c r="S1604" s="609"/>
      <c r="T1604" s="741"/>
      <c r="U1604" s="586"/>
      <c r="V1604" s="564" t="s">
        <v>2899</v>
      </c>
      <c r="W1604" s="564" t="s">
        <v>25</v>
      </c>
      <c r="X1604" s="650"/>
      <c r="Y1604" s="586"/>
      <c r="Z1604" s="742"/>
      <c r="AA1604" s="586"/>
      <c r="AB1604" s="586"/>
      <c r="AC1604" s="586"/>
      <c r="AD1604" s="586"/>
      <c r="AE1604" s="714"/>
      <c r="AF1604" s="570" t="s">
        <v>2899</v>
      </c>
      <c r="AG1604" s="570" t="s">
        <v>25</v>
      </c>
      <c r="AH1604" s="571" t="s">
        <v>25</v>
      </c>
      <c r="AI1604" s="586"/>
      <c r="AJ1604" s="586"/>
    </row>
    <row r="1605" spans="1:38" s="394" customFormat="1" ht="20.25" outlineLevel="2" x14ac:dyDescent="0.3">
      <c r="A1605" s="447">
        <v>131</v>
      </c>
      <c r="B1605" s="572"/>
      <c r="C1605" s="572"/>
      <c r="D1605" s="612"/>
      <c r="E1605" s="612"/>
      <c r="F1605" s="586"/>
      <c r="G1605" s="709"/>
      <c r="H1605" s="546"/>
      <c r="I1605" s="563" t="s">
        <v>25</v>
      </c>
      <c r="J1605" s="563" t="s">
        <v>25</v>
      </c>
      <c r="K1605" s="564" t="s">
        <v>25</v>
      </c>
      <c r="L1605" s="564" t="s">
        <v>25</v>
      </c>
      <c r="M1605" s="572"/>
      <c r="N1605" s="572"/>
      <c r="O1605" s="740"/>
      <c r="P1605" s="564" t="s">
        <v>25</v>
      </c>
      <c r="Q1605" s="564" t="s">
        <v>25</v>
      </c>
      <c r="R1605" s="572"/>
      <c r="S1605" s="609"/>
      <c r="T1605" s="741"/>
      <c r="U1605" s="586"/>
      <c r="V1605" s="564" t="s">
        <v>2899</v>
      </c>
      <c r="W1605" s="564" t="s">
        <v>25</v>
      </c>
      <c r="X1605" s="650"/>
      <c r="Y1605" s="586"/>
      <c r="Z1605" s="742"/>
      <c r="AA1605" s="586"/>
      <c r="AB1605" s="586"/>
      <c r="AC1605" s="586"/>
      <c r="AD1605" s="586"/>
      <c r="AE1605" s="714"/>
      <c r="AF1605" s="570" t="s">
        <v>2899</v>
      </c>
      <c r="AG1605" s="570" t="s">
        <v>25</v>
      </c>
      <c r="AH1605" s="571" t="s">
        <v>25</v>
      </c>
      <c r="AI1605" s="586"/>
      <c r="AJ1605" s="586"/>
    </row>
    <row r="1606" spans="1:38" s="394" customFormat="1" ht="20.25" outlineLevel="2" x14ac:dyDescent="0.3">
      <c r="A1606" s="447">
        <v>131</v>
      </c>
      <c r="B1606" s="572"/>
      <c r="C1606" s="572"/>
      <c r="D1606" s="612"/>
      <c r="E1606" s="612"/>
      <c r="F1606" s="586"/>
      <c r="G1606" s="709"/>
      <c r="H1606" s="546"/>
      <c r="I1606" s="563" t="s">
        <v>25</v>
      </c>
      <c r="J1606" s="563" t="s">
        <v>25</v>
      </c>
      <c r="K1606" s="564" t="s">
        <v>25</v>
      </c>
      <c r="L1606" s="564" t="s">
        <v>25</v>
      </c>
      <c r="M1606" s="572"/>
      <c r="N1606" s="572"/>
      <c r="O1606" s="740"/>
      <c r="P1606" s="564" t="s">
        <v>25</v>
      </c>
      <c r="Q1606" s="564" t="s">
        <v>25</v>
      </c>
      <c r="R1606" s="572"/>
      <c r="S1606" s="609"/>
      <c r="T1606" s="741"/>
      <c r="U1606" s="586"/>
      <c r="V1606" s="564" t="s">
        <v>2899</v>
      </c>
      <c r="W1606" s="564" t="s">
        <v>25</v>
      </c>
      <c r="X1606" s="650"/>
      <c r="Y1606" s="586"/>
      <c r="Z1606" s="742"/>
      <c r="AA1606" s="586"/>
      <c r="AB1606" s="586"/>
      <c r="AC1606" s="586"/>
      <c r="AD1606" s="586"/>
      <c r="AE1606" s="714"/>
      <c r="AF1606" s="570" t="s">
        <v>2899</v>
      </c>
      <c r="AG1606" s="570" t="s">
        <v>25</v>
      </c>
      <c r="AH1606" s="571" t="s">
        <v>25</v>
      </c>
      <c r="AI1606" s="586"/>
      <c r="AJ1606" s="586"/>
    </row>
    <row r="1607" spans="1:38" s="394" customFormat="1" ht="20.25" outlineLevel="2" x14ac:dyDescent="0.3">
      <c r="A1607" s="447">
        <v>131</v>
      </c>
      <c r="B1607" s="607"/>
      <c r="C1607" s="607"/>
      <c r="D1607" s="642"/>
      <c r="E1607" s="642"/>
      <c r="F1607" s="586"/>
      <c r="G1607" s="709"/>
      <c r="H1607" s="546"/>
      <c r="I1607" s="563" t="s">
        <v>25</v>
      </c>
      <c r="J1607" s="563" t="s">
        <v>25</v>
      </c>
      <c r="K1607" s="564" t="s">
        <v>25</v>
      </c>
      <c r="L1607" s="564" t="s">
        <v>25</v>
      </c>
      <c r="M1607" s="572"/>
      <c r="N1607" s="572"/>
      <c r="O1607" s="740"/>
      <c r="P1607" s="564" t="s">
        <v>25</v>
      </c>
      <c r="Q1607" s="564" t="s">
        <v>25</v>
      </c>
      <c r="R1607" s="572"/>
      <c r="S1607" s="609"/>
      <c r="T1607" s="741"/>
      <c r="U1607" s="586"/>
      <c r="V1607" s="564" t="s">
        <v>2899</v>
      </c>
      <c r="W1607" s="564" t="s">
        <v>25</v>
      </c>
      <c r="X1607" s="650"/>
      <c r="Y1607" s="586"/>
      <c r="Z1607" s="742"/>
      <c r="AA1607" s="586"/>
      <c r="AB1607" s="586"/>
      <c r="AC1607" s="586"/>
      <c r="AD1607" s="586"/>
      <c r="AE1607" s="714"/>
      <c r="AF1607" s="570" t="s">
        <v>2899</v>
      </c>
      <c r="AG1607" s="570" t="s">
        <v>25</v>
      </c>
      <c r="AH1607" s="571" t="s">
        <v>25</v>
      </c>
      <c r="AI1607" s="572"/>
      <c r="AJ1607" s="572"/>
    </row>
    <row r="1608" spans="1:38" s="396" customFormat="1" ht="40.5" outlineLevel="1" x14ac:dyDescent="0.25">
      <c r="A1608" s="467">
        <v>132</v>
      </c>
      <c r="B1608" s="607" t="s">
        <v>2454</v>
      </c>
      <c r="C1608" s="586" t="s">
        <v>2903</v>
      </c>
      <c r="D1608" s="612">
        <v>86</v>
      </c>
      <c r="E1608" s="612">
        <v>52</v>
      </c>
      <c r="F1608" s="578"/>
      <c r="G1608" s="707">
        <v>16.600000000000001</v>
      </c>
      <c r="H1608" s="579">
        <v>12.4</v>
      </c>
      <c r="I1608" s="581"/>
      <c r="J1608" s="581"/>
      <c r="K1608" s="571">
        <v>7729000</v>
      </c>
      <c r="L1608" s="571">
        <v>17320000</v>
      </c>
      <c r="M1608" s="607"/>
      <c r="N1608" s="607"/>
      <c r="O1608" s="738">
        <v>30</v>
      </c>
      <c r="P1608" s="571"/>
      <c r="Q1608" s="571">
        <v>4861000</v>
      </c>
      <c r="R1608" s="582"/>
      <c r="S1608" s="621"/>
      <c r="T1608" s="739">
        <v>16</v>
      </c>
      <c r="U1608" s="578"/>
      <c r="V1608" s="571"/>
      <c r="W1608" s="571">
        <v>11960000</v>
      </c>
      <c r="X1608" s="650"/>
      <c r="Y1608" s="586"/>
      <c r="Z1608" s="742"/>
      <c r="AA1608" s="586"/>
      <c r="AB1608" s="586"/>
      <c r="AC1608" s="586"/>
      <c r="AD1608" s="578"/>
      <c r="AE1608" s="712">
        <f>SUBTOTAL(9,AE1609:AE1621)</f>
        <v>0</v>
      </c>
      <c r="AF1608" s="585"/>
      <c r="AG1608" s="585">
        <v>0</v>
      </c>
      <c r="AH1608" s="571">
        <v>41870000</v>
      </c>
      <c r="AI1608" s="578"/>
      <c r="AJ1608" s="578"/>
      <c r="AL1608" s="468"/>
    </row>
    <row r="1609" spans="1:38" s="396" customFormat="1" ht="121.5" outlineLevel="2" x14ac:dyDescent="0.3">
      <c r="A1609" s="447">
        <v>132</v>
      </c>
      <c r="B1609" s="572" t="s">
        <v>1151</v>
      </c>
      <c r="C1609" s="572"/>
      <c r="D1609" s="612">
        <v>86</v>
      </c>
      <c r="E1609" s="612" t="s">
        <v>1152</v>
      </c>
      <c r="F1609" s="586" t="s">
        <v>2870</v>
      </c>
      <c r="G1609" s="709">
        <v>1.9000000000000004</v>
      </c>
      <c r="H1609" s="546" t="s">
        <v>2899</v>
      </c>
      <c r="I1609" s="563">
        <v>465600</v>
      </c>
      <c r="J1609" s="563">
        <v>0</v>
      </c>
      <c r="K1609" s="564">
        <v>885000</v>
      </c>
      <c r="L1609" s="564">
        <v>0</v>
      </c>
      <c r="M1609" s="572" t="s">
        <v>72</v>
      </c>
      <c r="N1609" s="572"/>
      <c r="O1609" s="740">
        <v>8</v>
      </c>
      <c r="P1609" s="564">
        <v>132000</v>
      </c>
      <c r="Q1609" s="564">
        <v>1056000</v>
      </c>
      <c r="R1609" s="566" t="s">
        <v>2367</v>
      </c>
      <c r="S1609" s="609" t="s">
        <v>1133</v>
      </c>
      <c r="T1609" s="741">
        <v>11</v>
      </c>
      <c r="U1609" s="586"/>
      <c r="V1609" s="564">
        <v>774798</v>
      </c>
      <c r="W1609" s="564">
        <v>8523000</v>
      </c>
      <c r="X1609" s="650"/>
      <c r="Y1609" s="586"/>
      <c r="Z1609" s="742"/>
      <c r="AA1609" s="586"/>
      <c r="AB1609" s="586"/>
      <c r="AC1609" s="586"/>
      <c r="AD1609" s="586"/>
      <c r="AE1609" s="714"/>
      <c r="AF1609" s="570" t="s">
        <v>2899</v>
      </c>
      <c r="AG1609" s="570"/>
      <c r="AH1609" s="571" t="s">
        <v>25</v>
      </c>
      <c r="AI1609" s="586" t="s">
        <v>1150</v>
      </c>
      <c r="AJ1609" s="586" t="s">
        <v>2771</v>
      </c>
      <c r="AK1609" s="396" t="s">
        <v>2234</v>
      </c>
      <c r="AL1609" s="380" t="s">
        <v>2159</v>
      </c>
    </row>
    <row r="1610" spans="1:38" s="394" customFormat="1" ht="121.5" outlineLevel="2" x14ac:dyDescent="0.3">
      <c r="A1610" s="447">
        <v>132</v>
      </c>
      <c r="B1610" s="572" t="s">
        <v>1597</v>
      </c>
      <c r="C1610" s="572"/>
      <c r="D1610" s="612"/>
      <c r="E1610" s="612"/>
      <c r="F1610" s="586" t="s">
        <v>2876</v>
      </c>
      <c r="G1610" s="709">
        <v>2.2999999999999998</v>
      </c>
      <c r="H1610" s="546" t="s">
        <v>2899</v>
      </c>
      <c r="I1610" s="563">
        <v>465600</v>
      </c>
      <c r="J1610" s="563">
        <v>0</v>
      </c>
      <c r="K1610" s="564">
        <v>1071000</v>
      </c>
      <c r="L1610" s="564">
        <v>0</v>
      </c>
      <c r="M1610" s="572" t="s">
        <v>73</v>
      </c>
      <c r="N1610" s="572"/>
      <c r="O1610" s="740">
        <v>6</v>
      </c>
      <c r="P1610" s="564">
        <v>76000</v>
      </c>
      <c r="Q1610" s="564">
        <v>456000</v>
      </c>
      <c r="R1610" s="566" t="s">
        <v>2368</v>
      </c>
      <c r="S1610" s="609" t="s">
        <v>1133</v>
      </c>
      <c r="T1610" s="741">
        <v>5</v>
      </c>
      <c r="U1610" s="586"/>
      <c r="V1610" s="564">
        <v>687379</v>
      </c>
      <c r="W1610" s="564">
        <v>3437000</v>
      </c>
      <c r="X1610" s="650"/>
      <c r="Y1610" s="586"/>
      <c r="Z1610" s="742"/>
      <c r="AA1610" s="586"/>
      <c r="AB1610" s="586"/>
      <c r="AC1610" s="586"/>
      <c r="AD1610" s="586"/>
      <c r="AE1610" s="714"/>
      <c r="AF1610" s="570" t="s">
        <v>2899</v>
      </c>
      <c r="AG1610" s="570" t="s">
        <v>25</v>
      </c>
      <c r="AH1610" s="571" t="s">
        <v>25</v>
      </c>
      <c r="AI1610" s="586" t="s">
        <v>1154</v>
      </c>
      <c r="AJ1610" s="558" t="s">
        <v>2450</v>
      </c>
    </row>
    <row r="1611" spans="1:38" s="394" customFormat="1" ht="101.25" outlineLevel="2" x14ac:dyDescent="0.3">
      <c r="A1611" s="447">
        <v>132</v>
      </c>
      <c r="B1611" s="572"/>
      <c r="C1611" s="572"/>
      <c r="D1611" s="612"/>
      <c r="E1611" s="612"/>
      <c r="F1611" s="586" t="s">
        <v>2873</v>
      </c>
      <c r="G1611" s="709">
        <v>12.4</v>
      </c>
      <c r="H1611" s="546">
        <v>12.4</v>
      </c>
      <c r="I1611" s="563">
        <v>465600</v>
      </c>
      <c r="J1611" s="563">
        <v>1396800</v>
      </c>
      <c r="K1611" s="564">
        <v>5773000</v>
      </c>
      <c r="L1611" s="564">
        <v>17320000</v>
      </c>
      <c r="M1611" s="572" t="s">
        <v>75</v>
      </c>
      <c r="N1611" s="572"/>
      <c r="O1611" s="740">
        <v>9</v>
      </c>
      <c r="P1611" s="564">
        <v>34000</v>
      </c>
      <c r="Q1611" s="564">
        <v>306000</v>
      </c>
      <c r="R1611" s="566"/>
      <c r="S1611" s="609"/>
      <c r="T1611" s="741"/>
      <c r="U1611" s="586"/>
      <c r="V1611" s="564" t="s">
        <v>2899</v>
      </c>
      <c r="W1611" s="564" t="s">
        <v>25</v>
      </c>
      <c r="X1611" s="650"/>
      <c r="Y1611" s="586"/>
      <c r="Z1611" s="742"/>
      <c r="AA1611" s="586"/>
      <c r="AB1611" s="586"/>
      <c r="AC1611" s="586"/>
      <c r="AD1611" s="586"/>
      <c r="AE1611" s="714"/>
      <c r="AF1611" s="570" t="s">
        <v>2899</v>
      </c>
      <c r="AG1611" s="570" t="s">
        <v>25</v>
      </c>
      <c r="AH1611" s="571" t="s">
        <v>25</v>
      </c>
      <c r="AI1611" s="574" t="s">
        <v>2071</v>
      </c>
      <c r="AJ1611" s="558" t="s">
        <v>2449</v>
      </c>
    </row>
    <row r="1612" spans="1:38" s="394" customFormat="1" ht="121.5" outlineLevel="2" x14ac:dyDescent="0.3">
      <c r="A1612" s="447">
        <v>132</v>
      </c>
      <c r="B1612" s="572"/>
      <c r="C1612" s="572"/>
      <c r="D1612" s="612"/>
      <c r="E1612" s="612"/>
      <c r="F1612" s="586"/>
      <c r="G1612" s="709"/>
      <c r="H1612" s="546"/>
      <c r="I1612" s="563" t="s">
        <v>25</v>
      </c>
      <c r="J1612" s="563" t="s">
        <v>25</v>
      </c>
      <c r="K1612" s="564" t="s">
        <v>25</v>
      </c>
      <c r="L1612" s="564" t="s">
        <v>25</v>
      </c>
      <c r="M1612" s="572" t="s">
        <v>165</v>
      </c>
      <c r="N1612" s="572"/>
      <c r="O1612" s="740">
        <v>1</v>
      </c>
      <c r="P1612" s="564">
        <v>180000</v>
      </c>
      <c r="Q1612" s="564">
        <v>180000</v>
      </c>
      <c r="R1612" s="572"/>
      <c r="S1612" s="609"/>
      <c r="T1612" s="741"/>
      <c r="U1612" s="586"/>
      <c r="V1612" s="564" t="s">
        <v>2899</v>
      </c>
      <c r="W1612" s="564" t="s">
        <v>25</v>
      </c>
      <c r="X1612" s="650"/>
      <c r="Y1612" s="586"/>
      <c r="Z1612" s="742"/>
      <c r="AA1612" s="586"/>
      <c r="AB1612" s="586"/>
      <c r="AC1612" s="586"/>
      <c r="AD1612" s="586"/>
      <c r="AE1612" s="714"/>
      <c r="AF1612" s="570" t="s">
        <v>2899</v>
      </c>
      <c r="AG1612" s="570" t="s">
        <v>25</v>
      </c>
      <c r="AH1612" s="571" t="s">
        <v>25</v>
      </c>
      <c r="AI1612" s="586" t="s">
        <v>1155</v>
      </c>
      <c r="AJ1612" s="731" t="s">
        <v>2800</v>
      </c>
    </row>
    <row r="1613" spans="1:38" s="394" customFormat="1" ht="101.25" outlineLevel="2" x14ac:dyDescent="0.3">
      <c r="A1613" s="447">
        <v>132</v>
      </c>
      <c r="B1613" s="572"/>
      <c r="C1613" s="572"/>
      <c r="D1613" s="612"/>
      <c r="E1613" s="612"/>
      <c r="F1613" s="586"/>
      <c r="G1613" s="709"/>
      <c r="H1613" s="546"/>
      <c r="I1613" s="563" t="s">
        <v>25</v>
      </c>
      <c r="J1613" s="563" t="s">
        <v>25</v>
      </c>
      <c r="K1613" s="564" t="s">
        <v>25</v>
      </c>
      <c r="L1613" s="564" t="s">
        <v>25</v>
      </c>
      <c r="M1613" s="572" t="s">
        <v>61</v>
      </c>
      <c r="N1613" s="572"/>
      <c r="O1613" s="740">
        <v>1</v>
      </c>
      <c r="P1613" s="564">
        <v>1708000</v>
      </c>
      <c r="Q1613" s="564">
        <v>1708000</v>
      </c>
      <c r="R1613" s="572"/>
      <c r="S1613" s="609"/>
      <c r="T1613" s="741"/>
      <c r="U1613" s="586"/>
      <c r="V1613" s="564" t="s">
        <v>2899</v>
      </c>
      <c r="W1613" s="564" t="s">
        <v>25</v>
      </c>
      <c r="X1613" s="650"/>
      <c r="Y1613" s="586"/>
      <c r="Z1613" s="742"/>
      <c r="AA1613" s="586"/>
      <c r="AB1613" s="586"/>
      <c r="AC1613" s="586"/>
      <c r="AD1613" s="586"/>
      <c r="AE1613" s="714"/>
      <c r="AF1613" s="570" t="s">
        <v>2899</v>
      </c>
      <c r="AG1613" s="570" t="s">
        <v>25</v>
      </c>
      <c r="AH1613" s="571" t="s">
        <v>25</v>
      </c>
      <c r="AI1613" s="586" t="s">
        <v>2235</v>
      </c>
      <c r="AJ1613" s="586"/>
    </row>
    <row r="1614" spans="1:38" s="394" customFormat="1" ht="20.25" outlineLevel="2" x14ac:dyDescent="0.3">
      <c r="A1614" s="447">
        <v>132</v>
      </c>
      <c r="B1614" s="572"/>
      <c r="C1614" s="572"/>
      <c r="D1614" s="612"/>
      <c r="E1614" s="612"/>
      <c r="F1614" s="586"/>
      <c r="G1614" s="709"/>
      <c r="H1614" s="546"/>
      <c r="I1614" s="563" t="s">
        <v>25</v>
      </c>
      <c r="J1614" s="563" t="s">
        <v>25</v>
      </c>
      <c r="K1614" s="564" t="s">
        <v>25</v>
      </c>
      <c r="L1614" s="564" t="s">
        <v>25</v>
      </c>
      <c r="M1614" s="572" t="s">
        <v>69</v>
      </c>
      <c r="N1614" s="572"/>
      <c r="O1614" s="740">
        <v>3</v>
      </c>
      <c r="P1614" s="564">
        <v>211000</v>
      </c>
      <c r="Q1614" s="564">
        <v>633000</v>
      </c>
      <c r="R1614" s="572"/>
      <c r="S1614" s="609"/>
      <c r="T1614" s="741"/>
      <c r="U1614" s="586"/>
      <c r="V1614" s="564" t="s">
        <v>2899</v>
      </c>
      <c r="W1614" s="564" t="s">
        <v>25</v>
      </c>
      <c r="X1614" s="650"/>
      <c r="Y1614" s="586"/>
      <c r="Z1614" s="742"/>
      <c r="AA1614" s="586"/>
      <c r="AB1614" s="586"/>
      <c r="AC1614" s="586"/>
      <c r="AD1614" s="586"/>
      <c r="AE1614" s="714"/>
      <c r="AF1614" s="570" t="s">
        <v>2899</v>
      </c>
      <c r="AG1614" s="570" t="s">
        <v>25</v>
      </c>
      <c r="AH1614" s="571" t="s">
        <v>25</v>
      </c>
      <c r="AI1614" s="731"/>
      <c r="AJ1614" s="586"/>
    </row>
    <row r="1615" spans="1:38" s="394" customFormat="1" ht="20.25" outlineLevel="2" x14ac:dyDescent="0.3">
      <c r="A1615" s="447">
        <v>132</v>
      </c>
      <c r="B1615" s="572"/>
      <c r="C1615" s="572"/>
      <c r="D1615" s="612"/>
      <c r="E1615" s="612"/>
      <c r="F1615" s="586"/>
      <c r="G1615" s="709"/>
      <c r="H1615" s="546"/>
      <c r="I1615" s="563" t="s">
        <v>25</v>
      </c>
      <c r="J1615" s="563" t="s">
        <v>25</v>
      </c>
      <c r="K1615" s="564" t="s">
        <v>25</v>
      </c>
      <c r="L1615" s="564" t="s">
        <v>25</v>
      </c>
      <c r="M1615" s="572" t="s">
        <v>131</v>
      </c>
      <c r="N1615" s="572"/>
      <c r="O1615" s="740">
        <v>1</v>
      </c>
      <c r="P1615" s="564">
        <v>228000</v>
      </c>
      <c r="Q1615" s="564">
        <v>228000</v>
      </c>
      <c r="R1615" s="572"/>
      <c r="S1615" s="609"/>
      <c r="T1615" s="741"/>
      <c r="U1615" s="586"/>
      <c r="V1615" s="564" t="s">
        <v>2899</v>
      </c>
      <c r="W1615" s="564" t="s">
        <v>25</v>
      </c>
      <c r="X1615" s="650"/>
      <c r="Y1615" s="586"/>
      <c r="Z1615" s="742"/>
      <c r="AA1615" s="586"/>
      <c r="AB1615" s="586"/>
      <c r="AC1615" s="586"/>
      <c r="AD1615" s="586"/>
      <c r="AE1615" s="714"/>
      <c r="AF1615" s="570" t="s">
        <v>2899</v>
      </c>
      <c r="AG1615" s="570" t="s">
        <v>25</v>
      </c>
      <c r="AH1615" s="571" t="s">
        <v>25</v>
      </c>
      <c r="AI1615" s="586"/>
      <c r="AJ1615" s="586"/>
    </row>
    <row r="1616" spans="1:38" s="394" customFormat="1" ht="40.5" outlineLevel="2" x14ac:dyDescent="0.3">
      <c r="A1616" s="447">
        <v>132</v>
      </c>
      <c r="B1616" s="572"/>
      <c r="C1616" s="572"/>
      <c r="D1616" s="612"/>
      <c r="E1616" s="612"/>
      <c r="F1616" s="586"/>
      <c r="G1616" s="709"/>
      <c r="H1616" s="546"/>
      <c r="I1616" s="563" t="s">
        <v>25</v>
      </c>
      <c r="J1616" s="563" t="s">
        <v>25</v>
      </c>
      <c r="K1616" s="564" t="s">
        <v>25</v>
      </c>
      <c r="L1616" s="564" t="s">
        <v>25</v>
      </c>
      <c r="M1616" s="572" t="s">
        <v>1156</v>
      </c>
      <c r="N1616" s="572"/>
      <c r="O1616" s="740">
        <v>1</v>
      </c>
      <c r="P1616" s="564">
        <v>294000</v>
      </c>
      <c r="Q1616" s="564">
        <v>294000</v>
      </c>
      <c r="R1616" s="572"/>
      <c r="S1616" s="609"/>
      <c r="T1616" s="741"/>
      <c r="U1616" s="586"/>
      <c r="V1616" s="564" t="s">
        <v>2899</v>
      </c>
      <c r="W1616" s="564" t="s">
        <v>25</v>
      </c>
      <c r="X1616" s="650"/>
      <c r="Y1616" s="586"/>
      <c r="Z1616" s="742"/>
      <c r="AA1616" s="586"/>
      <c r="AB1616" s="586"/>
      <c r="AC1616" s="586"/>
      <c r="AD1616" s="586"/>
      <c r="AE1616" s="714"/>
      <c r="AF1616" s="570" t="s">
        <v>2899</v>
      </c>
      <c r="AG1616" s="570" t="s">
        <v>25</v>
      </c>
      <c r="AH1616" s="571" t="s">
        <v>25</v>
      </c>
      <c r="AI1616" s="743"/>
      <c r="AJ1616" s="743"/>
    </row>
    <row r="1617" spans="1:36" s="394" customFormat="1" ht="20.25" outlineLevel="2" x14ac:dyDescent="0.3">
      <c r="A1617" s="447">
        <v>132</v>
      </c>
      <c r="B1617" s="572"/>
      <c r="C1617" s="572"/>
      <c r="D1617" s="612"/>
      <c r="E1617" s="612"/>
      <c r="F1617" s="586"/>
      <c r="G1617" s="709"/>
      <c r="H1617" s="546"/>
      <c r="I1617" s="563" t="s">
        <v>25</v>
      </c>
      <c r="J1617" s="563" t="s">
        <v>25</v>
      </c>
      <c r="K1617" s="564" t="s">
        <v>25</v>
      </c>
      <c r="L1617" s="564" t="s">
        <v>25</v>
      </c>
      <c r="M1617" s="572"/>
      <c r="N1617" s="572"/>
      <c r="O1617" s="740"/>
      <c r="P1617" s="564" t="s">
        <v>25</v>
      </c>
      <c r="Q1617" s="564" t="s">
        <v>25</v>
      </c>
      <c r="R1617" s="572"/>
      <c r="S1617" s="609"/>
      <c r="T1617" s="741"/>
      <c r="U1617" s="586"/>
      <c r="V1617" s="564" t="s">
        <v>2899</v>
      </c>
      <c r="W1617" s="564" t="s">
        <v>25</v>
      </c>
      <c r="X1617" s="650"/>
      <c r="Y1617" s="586"/>
      <c r="Z1617" s="742"/>
      <c r="AA1617" s="586"/>
      <c r="AB1617" s="586"/>
      <c r="AC1617" s="586"/>
      <c r="AD1617" s="586"/>
      <c r="AE1617" s="714"/>
      <c r="AF1617" s="570" t="s">
        <v>2899</v>
      </c>
      <c r="AG1617" s="570" t="s">
        <v>25</v>
      </c>
      <c r="AH1617" s="571" t="s">
        <v>25</v>
      </c>
      <c r="AI1617" s="572"/>
      <c r="AJ1617" s="572"/>
    </row>
    <row r="1618" spans="1:36" s="394" customFormat="1" ht="20.25" outlineLevel="2" x14ac:dyDescent="0.3">
      <c r="A1618" s="447">
        <v>132</v>
      </c>
      <c r="B1618" s="572"/>
      <c r="C1618" s="572"/>
      <c r="D1618" s="612"/>
      <c r="E1618" s="612"/>
      <c r="F1618" s="586"/>
      <c r="G1618" s="709"/>
      <c r="H1618" s="546"/>
      <c r="I1618" s="563" t="s">
        <v>25</v>
      </c>
      <c r="J1618" s="563" t="s">
        <v>25</v>
      </c>
      <c r="K1618" s="564" t="s">
        <v>25</v>
      </c>
      <c r="L1618" s="564" t="s">
        <v>25</v>
      </c>
      <c r="M1618" s="572"/>
      <c r="N1618" s="572"/>
      <c r="O1618" s="740"/>
      <c r="P1618" s="564" t="s">
        <v>25</v>
      </c>
      <c r="Q1618" s="564" t="s">
        <v>25</v>
      </c>
      <c r="R1618" s="572"/>
      <c r="S1618" s="609"/>
      <c r="T1618" s="741"/>
      <c r="U1618" s="586"/>
      <c r="V1618" s="564" t="s">
        <v>2899</v>
      </c>
      <c r="W1618" s="564" t="s">
        <v>25</v>
      </c>
      <c r="X1618" s="650"/>
      <c r="Y1618" s="586"/>
      <c r="Z1618" s="742"/>
      <c r="AA1618" s="586"/>
      <c r="AB1618" s="586"/>
      <c r="AC1618" s="586"/>
      <c r="AD1618" s="586"/>
      <c r="AE1618" s="714"/>
      <c r="AF1618" s="570" t="s">
        <v>2899</v>
      </c>
      <c r="AG1618" s="570" t="s">
        <v>25</v>
      </c>
      <c r="AH1618" s="571" t="s">
        <v>25</v>
      </c>
      <c r="AI1618" s="558"/>
      <c r="AJ1618" s="558"/>
    </row>
    <row r="1619" spans="1:36" s="394" customFormat="1" ht="20.25" outlineLevel="2" x14ac:dyDescent="0.3">
      <c r="A1619" s="447">
        <v>132</v>
      </c>
      <c r="B1619" s="572"/>
      <c r="C1619" s="572"/>
      <c r="D1619" s="612"/>
      <c r="E1619" s="612"/>
      <c r="F1619" s="586"/>
      <c r="G1619" s="709"/>
      <c r="H1619" s="546"/>
      <c r="I1619" s="563" t="s">
        <v>25</v>
      </c>
      <c r="J1619" s="563" t="s">
        <v>25</v>
      </c>
      <c r="K1619" s="564" t="s">
        <v>25</v>
      </c>
      <c r="L1619" s="564" t="s">
        <v>25</v>
      </c>
      <c r="M1619" s="572"/>
      <c r="N1619" s="572"/>
      <c r="O1619" s="740"/>
      <c r="P1619" s="564" t="s">
        <v>25</v>
      </c>
      <c r="Q1619" s="564" t="s">
        <v>25</v>
      </c>
      <c r="R1619" s="572"/>
      <c r="S1619" s="609"/>
      <c r="T1619" s="741"/>
      <c r="U1619" s="586"/>
      <c r="V1619" s="564" t="s">
        <v>2899</v>
      </c>
      <c r="W1619" s="564" t="s">
        <v>25</v>
      </c>
      <c r="X1619" s="650"/>
      <c r="Y1619" s="586"/>
      <c r="Z1619" s="742"/>
      <c r="AA1619" s="586"/>
      <c r="AB1619" s="586"/>
      <c r="AC1619" s="586"/>
      <c r="AD1619" s="586"/>
      <c r="AE1619" s="714"/>
      <c r="AF1619" s="570" t="s">
        <v>2899</v>
      </c>
      <c r="AG1619" s="570" t="s">
        <v>25</v>
      </c>
      <c r="AH1619" s="571" t="s">
        <v>25</v>
      </c>
      <c r="AI1619" s="558"/>
      <c r="AJ1619" s="558"/>
    </row>
    <row r="1620" spans="1:36" s="394" customFormat="1" ht="20.25" outlineLevel="2" x14ac:dyDescent="0.3">
      <c r="A1620" s="447">
        <v>132</v>
      </c>
      <c r="B1620" s="572"/>
      <c r="C1620" s="572"/>
      <c r="D1620" s="612"/>
      <c r="E1620" s="612"/>
      <c r="F1620" s="586"/>
      <c r="G1620" s="709"/>
      <c r="H1620" s="546"/>
      <c r="I1620" s="563" t="s">
        <v>25</v>
      </c>
      <c r="J1620" s="563" t="s">
        <v>25</v>
      </c>
      <c r="K1620" s="564" t="s">
        <v>25</v>
      </c>
      <c r="L1620" s="564" t="s">
        <v>25</v>
      </c>
      <c r="M1620" s="572"/>
      <c r="N1620" s="572"/>
      <c r="O1620" s="740"/>
      <c r="P1620" s="564" t="s">
        <v>25</v>
      </c>
      <c r="Q1620" s="564" t="s">
        <v>25</v>
      </c>
      <c r="R1620" s="572"/>
      <c r="S1620" s="609"/>
      <c r="T1620" s="741"/>
      <c r="U1620" s="586"/>
      <c r="V1620" s="564" t="s">
        <v>2899</v>
      </c>
      <c r="W1620" s="564" t="s">
        <v>25</v>
      </c>
      <c r="X1620" s="650"/>
      <c r="Y1620" s="586"/>
      <c r="Z1620" s="742"/>
      <c r="AA1620" s="586"/>
      <c r="AB1620" s="586"/>
      <c r="AC1620" s="586"/>
      <c r="AD1620" s="586"/>
      <c r="AE1620" s="714"/>
      <c r="AF1620" s="570" t="s">
        <v>2899</v>
      </c>
      <c r="AG1620" s="570" t="s">
        <v>25</v>
      </c>
      <c r="AH1620" s="571" t="s">
        <v>25</v>
      </c>
      <c r="AI1620" s="558"/>
      <c r="AJ1620" s="558"/>
    </row>
    <row r="1621" spans="1:36" s="394" customFormat="1" ht="20.25" outlineLevel="2" x14ac:dyDescent="0.3">
      <c r="A1621" s="447">
        <v>132</v>
      </c>
      <c r="B1621" s="607"/>
      <c r="C1621" s="607"/>
      <c r="D1621" s="642"/>
      <c r="E1621" s="642"/>
      <c r="F1621" s="586"/>
      <c r="G1621" s="709"/>
      <c r="H1621" s="546"/>
      <c r="I1621" s="563" t="s">
        <v>25</v>
      </c>
      <c r="J1621" s="563" t="s">
        <v>25</v>
      </c>
      <c r="K1621" s="564" t="s">
        <v>25</v>
      </c>
      <c r="L1621" s="564" t="s">
        <v>25</v>
      </c>
      <c r="M1621" s="572"/>
      <c r="N1621" s="572"/>
      <c r="O1621" s="740"/>
      <c r="P1621" s="564" t="s">
        <v>25</v>
      </c>
      <c r="Q1621" s="564" t="s">
        <v>25</v>
      </c>
      <c r="R1621" s="572"/>
      <c r="S1621" s="609"/>
      <c r="T1621" s="741"/>
      <c r="U1621" s="586"/>
      <c r="V1621" s="564" t="s">
        <v>2899</v>
      </c>
      <c r="W1621" s="564" t="s">
        <v>25</v>
      </c>
      <c r="X1621" s="650"/>
      <c r="Y1621" s="586"/>
      <c r="Z1621" s="742"/>
      <c r="AA1621" s="586"/>
      <c r="AB1621" s="586"/>
      <c r="AC1621" s="586"/>
      <c r="AD1621" s="586"/>
      <c r="AE1621" s="714"/>
      <c r="AF1621" s="570" t="s">
        <v>2899</v>
      </c>
      <c r="AG1621" s="570" t="s">
        <v>25</v>
      </c>
      <c r="AH1621" s="571" t="s">
        <v>25</v>
      </c>
      <c r="AI1621" s="586"/>
      <c r="AJ1621" s="586"/>
    </row>
    <row r="1622" spans="1:36" s="396" customFormat="1" ht="40.5" outlineLevel="1" x14ac:dyDescent="0.25">
      <c r="A1622" s="467">
        <v>133</v>
      </c>
      <c r="B1622" s="607" t="s">
        <v>1157</v>
      </c>
      <c r="C1622" s="586" t="s">
        <v>2903</v>
      </c>
      <c r="D1622" s="612">
        <v>86</v>
      </c>
      <c r="E1622" s="612">
        <v>147</v>
      </c>
      <c r="F1622" s="578"/>
      <c r="G1622" s="707">
        <v>14.8</v>
      </c>
      <c r="H1622" s="579">
        <v>0</v>
      </c>
      <c r="I1622" s="581"/>
      <c r="J1622" s="581"/>
      <c r="K1622" s="571">
        <v>6891000</v>
      </c>
      <c r="L1622" s="571">
        <v>0</v>
      </c>
      <c r="M1622" s="607"/>
      <c r="N1622" s="607"/>
      <c r="O1622" s="738">
        <v>0</v>
      </c>
      <c r="P1622" s="571"/>
      <c r="Q1622" s="571">
        <v>0</v>
      </c>
      <c r="R1622" s="582"/>
      <c r="S1622" s="621"/>
      <c r="T1622" s="739">
        <v>0</v>
      </c>
      <c r="U1622" s="578"/>
      <c r="V1622" s="571"/>
      <c r="W1622" s="571">
        <v>0</v>
      </c>
      <c r="X1622" s="650"/>
      <c r="Y1622" s="586"/>
      <c r="Z1622" s="742"/>
      <c r="AA1622" s="586"/>
      <c r="AB1622" s="586"/>
      <c r="AC1622" s="586"/>
      <c r="AD1622" s="578"/>
      <c r="AE1622" s="712">
        <f>SUBTOTAL(9,AE1623:AE1630)</f>
        <v>0</v>
      </c>
      <c r="AF1622" s="585"/>
      <c r="AG1622" s="585">
        <v>0</v>
      </c>
      <c r="AH1622" s="571">
        <v>6891000</v>
      </c>
      <c r="AI1622" s="578"/>
      <c r="AJ1622" s="578"/>
    </row>
    <row r="1623" spans="1:36" s="396" customFormat="1" ht="121.5" outlineLevel="2" x14ac:dyDescent="0.3">
      <c r="A1623" s="447">
        <v>133</v>
      </c>
      <c r="B1623" s="572" t="s">
        <v>1159</v>
      </c>
      <c r="C1623" s="572"/>
      <c r="D1623" s="612"/>
      <c r="E1623" s="612"/>
      <c r="F1623" s="586" t="s">
        <v>2870</v>
      </c>
      <c r="G1623" s="709">
        <v>14.8</v>
      </c>
      <c r="H1623" s="546" t="s">
        <v>2899</v>
      </c>
      <c r="I1623" s="563">
        <v>465600</v>
      </c>
      <c r="J1623" s="563">
        <v>0</v>
      </c>
      <c r="K1623" s="564">
        <v>6891000</v>
      </c>
      <c r="L1623" s="564">
        <v>0</v>
      </c>
      <c r="M1623" s="572"/>
      <c r="N1623" s="572"/>
      <c r="O1623" s="740"/>
      <c r="P1623" s="564" t="s">
        <v>25</v>
      </c>
      <c r="Q1623" s="564" t="s">
        <v>25</v>
      </c>
      <c r="R1623" s="566"/>
      <c r="S1623" s="609"/>
      <c r="T1623" s="741"/>
      <c r="U1623" s="586"/>
      <c r="V1623" s="564" t="s">
        <v>2899</v>
      </c>
      <c r="W1623" s="564" t="s">
        <v>25</v>
      </c>
      <c r="X1623" s="650"/>
      <c r="Y1623" s="586"/>
      <c r="Z1623" s="742"/>
      <c r="AA1623" s="586"/>
      <c r="AB1623" s="586"/>
      <c r="AC1623" s="586"/>
      <c r="AD1623" s="586"/>
      <c r="AE1623" s="714"/>
      <c r="AF1623" s="570" t="s">
        <v>2899</v>
      </c>
      <c r="AG1623" s="570" t="s">
        <v>25</v>
      </c>
      <c r="AH1623" s="571" t="s">
        <v>25</v>
      </c>
      <c r="AI1623" s="586" t="s">
        <v>1158</v>
      </c>
      <c r="AJ1623" s="586" t="s">
        <v>2771</v>
      </c>
    </row>
    <row r="1624" spans="1:36" s="394" customFormat="1" ht="101.25" outlineLevel="2" x14ac:dyDescent="0.3">
      <c r="A1624" s="447">
        <v>133</v>
      </c>
      <c r="B1624" s="572" t="s">
        <v>1597</v>
      </c>
      <c r="C1624" s="572"/>
      <c r="D1624" s="612"/>
      <c r="E1624" s="612"/>
      <c r="F1624" s="586"/>
      <c r="G1624" s="709"/>
      <c r="H1624" s="546"/>
      <c r="I1624" s="563" t="s">
        <v>25</v>
      </c>
      <c r="J1624" s="563" t="s">
        <v>25</v>
      </c>
      <c r="K1624" s="564" t="s">
        <v>25</v>
      </c>
      <c r="L1624" s="564" t="s">
        <v>25</v>
      </c>
      <c r="M1624" s="572"/>
      <c r="N1624" s="572"/>
      <c r="O1624" s="740"/>
      <c r="P1624" s="564" t="s">
        <v>25</v>
      </c>
      <c r="Q1624" s="564" t="s">
        <v>25</v>
      </c>
      <c r="R1624" s="566"/>
      <c r="S1624" s="609"/>
      <c r="T1624" s="741"/>
      <c r="U1624" s="586"/>
      <c r="V1624" s="564" t="s">
        <v>2899</v>
      </c>
      <c r="W1624" s="564" t="s">
        <v>25</v>
      </c>
      <c r="X1624" s="650"/>
      <c r="Y1624" s="586"/>
      <c r="Z1624" s="742"/>
      <c r="AA1624" s="586"/>
      <c r="AB1624" s="586"/>
      <c r="AC1624" s="586"/>
      <c r="AD1624" s="586"/>
      <c r="AE1624" s="714"/>
      <c r="AF1624" s="570" t="s">
        <v>2899</v>
      </c>
      <c r="AG1624" s="570" t="s">
        <v>25</v>
      </c>
      <c r="AH1624" s="571" t="s">
        <v>25</v>
      </c>
      <c r="AI1624" s="586" t="s">
        <v>1160</v>
      </c>
      <c r="AJ1624" s="586"/>
    </row>
    <row r="1625" spans="1:36" s="394" customFormat="1" ht="101.25" outlineLevel="2" x14ac:dyDescent="0.3">
      <c r="A1625" s="447">
        <v>133</v>
      </c>
      <c r="B1625" s="572"/>
      <c r="C1625" s="572"/>
      <c r="D1625" s="612"/>
      <c r="E1625" s="612"/>
      <c r="F1625" s="586"/>
      <c r="G1625" s="709"/>
      <c r="H1625" s="546"/>
      <c r="I1625" s="563" t="s">
        <v>25</v>
      </c>
      <c r="J1625" s="563" t="s">
        <v>25</v>
      </c>
      <c r="K1625" s="564" t="s">
        <v>25</v>
      </c>
      <c r="L1625" s="564" t="s">
        <v>25</v>
      </c>
      <c r="M1625" s="572"/>
      <c r="N1625" s="572"/>
      <c r="O1625" s="740"/>
      <c r="P1625" s="564" t="s">
        <v>25</v>
      </c>
      <c r="Q1625" s="564" t="s">
        <v>25</v>
      </c>
      <c r="R1625" s="566"/>
      <c r="S1625" s="609"/>
      <c r="T1625" s="741"/>
      <c r="U1625" s="586"/>
      <c r="V1625" s="564" t="s">
        <v>2899</v>
      </c>
      <c r="W1625" s="564" t="s">
        <v>25</v>
      </c>
      <c r="X1625" s="650"/>
      <c r="Y1625" s="586"/>
      <c r="Z1625" s="742"/>
      <c r="AA1625" s="586"/>
      <c r="AB1625" s="586"/>
      <c r="AC1625" s="586"/>
      <c r="AD1625" s="586"/>
      <c r="AE1625" s="714"/>
      <c r="AF1625" s="570" t="s">
        <v>2899</v>
      </c>
      <c r="AG1625" s="570" t="s">
        <v>25</v>
      </c>
      <c r="AH1625" s="571" t="s">
        <v>25</v>
      </c>
      <c r="AI1625" s="586" t="s">
        <v>2235</v>
      </c>
      <c r="AJ1625" s="558"/>
    </row>
    <row r="1626" spans="1:36" s="394" customFormat="1" ht="20.25" outlineLevel="2" x14ac:dyDescent="0.3">
      <c r="A1626" s="447">
        <v>133</v>
      </c>
      <c r="B1626" s="572"/>
      <c r="C1626" s="572"/>
      <c r="D1626" s="612"/>
      <c r="E1626" s="612"/>
      <c r="F1626" s="586"/>
      <c r="G1626" s="709"/>
      <c r="H1626" s="546"/>
      <c r="I1626" s="563" t="s">
        <v>25</v>
      </c>
      <c r="J1626" s="563" t="s">
        <v>25</v>
      </c>
      <c r="K1626" s="564" t="s">
        <v>25</v>
      </c>
      <c r="L1626" s="564" t="s">
        <v>25</v>
      </c>
      <c r="M1626" s="572"/>
      <c r="N1626" s="572"/>
      <c r="O1626" s="740"/>
      <c r="P1626" s="564" t="s">
        <v>25</v>
      </c>
      <c r="Q1626" s="564" t="s">
        <v>25</v>
      </c>
      <c r="R1626" s="572"/>
      <c r="S1626" s="609"/>
      <c r="T1626" s="741"/>
      <c r="U1626" s="586"/>
      <c r="V1626" s="564" t="s">
        <v>2899</v>
      </c>
      <c r="W1626" s="564" t="s">
        <v>25</v>
      </c>
      <c r="X1626" s="650"/>
      <c r="Y1626" s="586"/>
      <c r="Z1626" s="742"/>
      <c r="AA1626" s="586"/>
      <c r="AB1626" s="586"/>
      <c r="AC1626" s="586"/>
      <c r="AD1626" s="586"/>
      <c r="AE1626" s="714"/>
      <c r="AF1626" s="570" t="s">
        <v>2899</v>
      </c>
      <c r="AG1626" s="570" t="s">
        <v>25</v>
      </c>
      <c r="AH1626" s="571" t="s">
        <v>25</v>
      </c>
      <c r="AI1626" s="731"/>
      <c r="AJ1626" s="586"/>
    </row>
    <row r="1627" spans="1:36" s="394" customFormat="1" ht="20.25" outlineLevel="2" x14ac:dyDescent="0.3">
      <c r="A1627" s="447">
        <v>133</v>
      </c>
      <c r="B1627" s="572"/>
      <c r="C1627" s="572"/>
      <c r="D1627" s="612"/>
      <c r="E1627" s="612"/>
      <c r="F1627" s="586"/>
      <c r="G1627" s="709"/>
      <c r="H1627" s="546"/>
      <c r="I1627" s="563" t="s">
        <v>25</v>
      </c>
      <c r="J1627" s="563" t="s">
        <v>25</v>
      </c>
      <c r="K1627" s="564" t="s">
        <v>25</v>
      </c>
      <c r="L1627" s="564" t="s">
        <v>25</v>
      </c>
      <c r="M1627" s="572"/>
      <c r="N1627" s="572"/>
      <c r="O1627" s="740"/>
      <c r="P1627" s="564" t="s">
        <v>25</v>
      </c>
      <c r="Q1627" s="564" t="s">
        <v>25</v>
      </c>
      <c r="R1627" s="572"/>
      <c r="S1627" s="609"/>
      <c r="T1627" s="741"/>
      <c r="U1627" s="586"/>
      <c r="V1627" s="564" t="s">
        <v>2899</v>
      </c>
      <c r="W1627" s="564" t="s">
        <v>25</v>
      </c>
      <c r="X1627" s="650"/>
      <c r="Y1627" s="586"/>
      <c r="Z1627" s="742"/>
      <c r="AA1627" s="586"/>
      <c r="AB1627" s="586"/>
      <c r="AC1627" s="586"/>
      <c r="AD1627" s="586"/>
      <c r="AE1627" s="714"/>
      <c r="AF1627" s="570" t="s">
        <v>2899</v>
      </c>
      <c r="AG1627" s="570" t="s">
        <v>25</v>
      </c>
      <c r="AH1627" s="571" t="s">
        <v>25</v>
      </c>
      <c r="AI1627" s="572"/>
      <c r="AJ1627" s="572"/>
    </row>
    <row r="1628" spans="1:36" s="394" customFormat="1" ht="20.25" outlineLevel="2" x14ac:dyDescent="0.3">
      <c r="A1628" s="447">
        <v>133</v>
      </c>
      <c r="B1628" s="572"/>
      <c r="C1628" s="572"/>
      <c r="D1628" s="612"/>
      <c r="E1628" s="612"/>
      <c r="F1628" s="586"/>
      <c r="G1628" s="709"/>
      <c r="H1628" s="546"/>
      <c r="I1628" s="563" t="s">
        <v>25</v>
      </c>
      <c r="J1628" s="563" t="s">
        <v>25</v>
      </c>
      <c r="K1628" s="564" t="s">
        <v>25</v>
      </c>
      <c r="L1628" s="564" t="s">
        <v>25</v>
      </c>
      <c r="M1628" s="572"/>
      <c r="N1628" s="572"/>
      <c r="O1628" s="740"/>
      <c r="P1628" s="564" t="s">
        <v>25</v>
      </c>
      <c r="Q1628" s="564" t="s">
        <v>25</v>
      </c>
      <c r="R1628" s="572"/>
      <c r="S1628" s="609"/>
      <c r="T1628" s="741"/>
      <c r="U1628" s="586"/>
      <c r="V1628" s="564" t="s">
        <v>2899</v>
      </c>
      <c r="W1628" s="564" t="s">
        <v>25</v>
      </c>
      <c r="X1628" s="650"/>
      <c r="Y1628" s="586"/>
      <c r="Z1628" s="742"/>
      <c r="AA1628" s="586"/>
      <c r="AB1628" s="586"/>
      <c r="AC1628" s="586"/>
      <c r="AD1628" s="586"/>
      <c r="AE1628" s="714"/>
      <c r="AF1628" s="570" t="s">
        <v>2899</v>
      </c>
      <c r="AG1628" s="570" t="s">
        <v>25</v>
      </c>
      <c r="AH1628" s="571" t="s">
        <v>25</v>
      </c>
      <c r="AI1628" s="558"/>
      <c r="AJ1628" s="558"/>
    </row>
    <row r="1629" spans="1:36" s="394" customFormat="1" ht="20.25" outlineLevel="2" x14ac:dyDescent="0.3">
      <c r="A1629" s="447">
        <v>133</v>
      </c>
      <c r="B1629" s="572"/>
      <c r="C1629" s="572"/>
      <c r="D1629" s="612"/>
      <c r="E1629" s="612"/>
      <c r="F1629" s="586"/>
      <c r="G1629" s="709"/>
      <c r="H1629" s="546"/>
      <c r="I1629" s="563" t="s">
        <v>25</v>
      </c>
      <c r="J1629" s="563" t="s">
        <v>25</v>
      </c>
      <c r="K1629" s="564" t="s">
        <v>25</v>
      </c>
      <c r="L1629" s="564" t="s">
        <v>25</v>
      </c>
      <c r="M1629" s="572"/>
      <c r="N1629" s="572"/>
      <c r="O1629" s="740"/>
      <c r="P1629" s="564" t="s">
        <v>25</v>
      </c>
      <c r="Q1629" s="564" t="s">
        <v>25</v>
      </c>
      <c r="R1629" s="572"/>
      <c r="S1629" s="609"/>
      <c r="T1629" s="741"/>
      <c r="U1629" s="586"/>
      <c r="V1629" s="564" t="s">
        <v>2899</v>
      </c>
      <c r="W1629" s="564" t="s">
        <v>25</v>
      </c>
      <c r="X1629" s="650"/>
      <c r="Y1629" s="586"/>
      <c r="Z1629" s="742"/>
      <c r="AA1629" s="586"/>
      <c r="AB1629" s="586"/>
      <c r="AC1629" s="586"/>
      <c r="AD1629" s="586"/>
      <c r="AE1629" s="714"/>
      <c r="AF1629" s="570" t="s">
        <v>2899</v>
      </c>
      <c r="AG1629" s="570" t="s">
        <v>25</v>
      </c>
      <c r="AH1629" s="571" t="s">
        <v>25</v>
      </c>
      <c r="AI1629" s="586"/>
      <c r="AJ1629" s="586"/>
    </row>
    <row r="1630" spans="1:36" s="394" customFormat="1" ht="20.25" outlineLevel="2" x14ac:dyDescent="0.3">
      <c r="A1630" s="447">
        <v>133</v>
      </c>
      <c r="B1630" s="607"/>
      <c r="C1630" s="607"/>
      <c r="D1630" s="642"/>
      <c r="E1630" s="642"/>
      <c r="F1630" s="586"/>
      <c r="G1630" s="709"/>
      <c r="H1630" s="546"/>
      <c r="I1630" s="563" t="s">
        <v>25</v>
      </c>
      <c r="J1630" s="563" t="s">
        <v>25</v>
      </c>
      <c r="K1630" s="564" t="s">
        <v>25</v>
      </c>
      <c r="L1630" s="564" t="s">
        <v>25</v>
      </c>
      <c r="M1630" s="572"/>
      <c r="N1630" s="572"/>
      <c r="O1630" s="740"/>
      <c r="P1630" s="564" t="s">
        <v>25</v>
      </c>
      <c r="Q1630" s="564" t="s">
        <v>25</v>
      </c>
      <c r="R1630" s="572"/>
      <c r="S1630" s="609"/>
      <c r="T1630" s="741"/>
      <c r="U1630" s="586"/>
      <c r="V1630" s="564" t="s">
        <v>2899</v>
      </c>
      <c r="W1630" s="564" t="s">
        <v>25</v>
      </c>
      <c r="X1630" s="650"/>
      <c r="Y1630" s="586"/>
      <c r="Z1630" s="742"/>
      <c r="AA1630" s="586"/>
      <c r="AB1630" s="586"/>
      <c r="AC1630" s="586"/>
      <c r="AD1630" s="586"/>
      <c r="AE1630" s="714"/>
      <c r="AF1630" s="570" t="s">
        <v>2899</v>
      </c>
      <c r="AG1630" s="570" t="s">
        <v>25</v>
      </c>
      <c r="AH1630" s="571" t="s">
        <v>25</v>
      </c>
      <c r="AI1630" s="586"/>
      <c r="AJ1630" s="586"/>
    </row>
    <row r="1631" spans="1:36" s="396" customFormat="1" ht="40.5" outlineLevel="1" x14ac:dyDescent="0.25">
      <c r="A1631" s="467">
        <v>134</v>
      </c>
      <c r="B1631" s="607" t="s">
        <v>1161</v>
      </c>
      <c r="C1631" s="586" t="s">
        <v>2903</v>
      </c>
      <c r="D1631" s="612">
        <v>86</v>
      </c>
      <c r="E1631" s="612">
        <v>138</v>
      </c>
      <c r="F1631" s="578"/>
      <c r="G1631" s="707">
        <v>12.2</v>
      </c>
      <c r="H1631" s="579">
        <v>0</v>
      </c>
      <c r="I1631" s="581"/>
      <c r="J1631" s="581"/>
      <c r="K1631" s="571">
        <v>5680000</v>
      </c>
      <c r="L1631" s="571">
        <v>0</v>
      </c>
      <c r="M1631" s="598"/>
      <c r="N1631" s="598"/>
      <c r="O1631" s="738">
        <v>9</v>
      </c>
      <c r="P1631" s="571"/>
      <c r="Q1631" s="571">
        <v>108000</v>
      </c>
      <c r="R1631" s="582"/>
      <c r="S1631" s="621"/>
      <c r="T1631" s="739">
        <v>0</v>
      </c>
      <c r="U1631" s="578"/>
      <c r="V1631" s="571"/>
      <c r="W1631" s="571">
        <v>0</v>
      </c>
      <c r="X1631" s="650"/>
      <c r="Y1631" s="586"/>
      <c r="Z1631" s="742"/>
      <c r="AA1631" s="586"/>
      <c r="AB1631" s="586"/>
      <c r="AC1631" s="586"/>
      <c r="AD1631" s="578"/>
      <c r="AE1631" s="712">
        <f>SUBTOTAL(9,AE1632:AE1640)</f>
        <v>0</v>
      </c>
      <c r="AF1631" s="585"/>
      <c r="AG1631" s="585">
        <v>0</v>
      </c>
      <c r="AH1631" s="571">
        <v>5788000</v>
      </c>
      <c r="AI1631" s="578"/>
      <c r="AJ1631" s="578"/>
    </row>
    <row r="1632" spans="1:36" s="396" customFormat="1" ht="121.5" outlineLevel="2" x14ac:dyDescent="0.3">
      <c r="A1632" s="447">
        <v>134</v>
      </c>
      <c r="B1632" s="572" t="s">
        <v>1163</v>
      </c>
      <c r="C1632" s="572"/>
      <c r="D1632" s="612"/>
      <c r="E1632" s="612"/>
      <c r="F1632" s="586" t="s">
        <v>2870</v>
      </c>
      <c r="G1632" s="709">
        <v>12.2</v>
      </c>
      <c r="H1632" s="546" t="s">
        <v>2899</v>
      </c>
      <c r="I1632" s="563">
        <v>465600</v>
      </c>
      <c r="J1632" s="563">
        <v>0</v>
      </c>
      <c r="K1632" s="564">
        <v>5680000</v>
      </c>
      <c r="L1632" s="564">
        <v>0</v>
      </c>
      <c r="M1632" s="565" t="s">
        <v>429</v>
      </c>
      <c r="N1632" s="565"/>
      <c r="O1632" s="740">
        <v>9</v>
      </c>
      <c r="P1632" s="564">
        <v>12000</v>
      </c>
      <c r="Q1632" s="564">
        <v>108000</v>
      </c>
      <c r="R1632" s="566"/>
      <c r="S1632" s="609"/>
      <c r="T1632" s="741"/>
      <c r="U1632" s="586"/>
      <c r="V1632" s="564" t="s">
        <v>2899</v>
      </c>
      <c r="W1632" s="564" t="s">
        <v>25</v>
      </c>
      <c r="X1632" s="650"/>
      <c r="Y1632" s="586"/>
      <c r="Z1632" s="742"/>
      <c r="AA1632" s="586"/>
      <c r="AB1632" s="586"/>
      <c r="AC1632" s="586"/>
      <c r="AD1632" s="586"/>
      <c r="AE1632" s="714"/>
      <c r="AF1632" s="570" t="s">
        <v>2899</v>
      </c>
      <c r="AG1632" s="570"/>
      <c r="AH1632" s="571" t="s">
        <v>25</v>
      </c>
      <c r="AI1632" s="586" t="s">
        <v>1162</v>
      </c>
      <c r="AJ1632" s="586" t="s">
        <v>2771</v>
      </c>
    </row>
    <row r="1633" spans="1:36" s="394" customFormat="1" ht="101.25" outlineLevel="2" x14ac:dyDescent="0.3">
      <c r="A1633" s="447">
        <v>134</v>
      </c>
      <c r="B1633" s="572" t="s">
        <v>1598</v>
      </c>
      <c r="C1633" s="572"/>
      <c r="D1633" s="612"/>
      <c r="E1633" s="612"/>
      <c r="F1633" s="586"/>
      <c r="G1633" s="709"/>
      <c r="H1633" s="546"/>
      <c r="I1633" s="563" t="s">
        <v>25</v>
      </c>
      <c r="J1633" s="563" t="s">
        <v>25</v>
      </c>
      <c r="K1633" s="564" t="s">
        <v>25</v>
      </c>
      <c r="L1633" s="564" t="s">
        <v>25</v>
      </c>
      <c r="M1633" s="572"/>
      <c r="N1633" s="572"/>
      <c r="O1633" s="740"/>
      <c r="P1633" s="564" t="s">
        <v>25</v>
      </c>
      <c r="Q1633" s="564" t="s">
        <v>25</v>
      </c>
      <c r="R1633" s="566"/>
      <c r="S1633" s="609"/>
      <c r="T1633" s="741"/>
      <c r="U1633" s="586"/>
      <c r="V1633" s="564" t="s">
        <v>2899</v>
      </c>
      <c r="W1633" s="564" t="s">
        <v>25</v>
      </c>
      <c r="X1633" s="650"/>
      <c r="Y1633" s="586"/>
      <c r="Z1633" s="742"/>
      <c r="AA1633" s="586"/>
      <c r="AB1633" s="586"/>
      <c r="AC1633" s="586"/>
      <c r="AD1633" s="586"/>
      <c r="AE1633" s="714"/>
      <c r="AF1633" s="570" t="s">
        <v>2899</v>
      </c>
      <c r="AG1633" s="570" t="s">
        <v>25</v>
      </c>
      <c r="AH1633" s="571" t="s">
        <v>25</v>
      </c>
      <c r="AI1633" s="586" t="s">
        <v>1164</v>
      </c>
      <c r="AJ1633" s="558" t="s">
        <v>2449</v>
      </c>
    </row>
    <row r="1634" spans="1:36" s="394" customFormat="1" ht="81" outlineLevel="2" x14ac:dyDescent="0.3">
      <c r="A1634" s="447">
        <v>134</v>
      </c>
      <c r="B1634" s="572"/>
      <c r="C1634" s="572"/>
      <c r="D1634" s="612"/>
      <c r="E1634" s="612"/>
      <c r="F1634" s="586"/>
      <c r="G1634" s="709"/>
      <c r="H1634" s="546"/>
      <c r="I1634" s="563" t="s">
        <v>25</v>
      </c>
      <c r="J1634" s="563" t="s">
        <v>25</v>
      </c>
      <c r="K1634" s="564" t="s">
        <v>25</v>
      </c>
      <c r="L1634" s="564" t="s">
        <v>25</v>
      </c>
      <c r="M1634" s="572"/>
      <c r="N1634" s="572"/>
      <c r="O1634" s="740"/>
      <c r="P1634" s="564" t="s">
        <v>25</v>
      </c>
      <c r="Q1634" s="564" t="s">
        <v>25</v>
      </c>
      <c r="R1634" s="566"/>
      <c r="S1634" s="609"/>
      <c r="T1634" s="741"/>
      <c r="U1634" s="586"/>
      <c r="V1634" s="564" t="s">
        <v>2899</v>
      </c>
      <c r="W1634" s="564" t="s">
        <v>25</v>
      </c>
      <c r="X1634" s="650"/>
      <c r="Y1634" s="586"/>
      <c r="Z1634" s="742"/>
      <c r="AA1634" s="586"/>
      <c r="AB1634" s="586"/>
      <c r="AC1634" s="586"/>
      <c r="AD1634" s="586"/>
      <c r="AE1634" s="714"/>
      <c r="AF1634" s="570" t="s">
        <v>2899</v>
      </c>
      <c r="AG1634" s="570" t="s">
        <v>25</v>
      </c>
      <c r="AH1634" s="571" t="s">
        <v>25</v>
      </c>
      <c r="AI1634" s="586" t="s">
        <v>2236</v>
      </c>
      <c r="AJ1634" s="558"/>
    </row>
    <row r="1635" spans="1:36" s="394" customFormat="1" ht="20.25" outlineLevel="2" x14ac:dyDescent="0.3">
      <c r="A1635" s="447">
        <v>134</v>
      </c>
      <c r="B1635" s="572"/>
      <c r="C1635" s="572"/>
      <c r="D1635" s="612"/>
      <c r="E1635" s="612"/>
      <c r="F1635" s="586"/>
      <c r="G1635" s="709"/>
      <c r="H1635" s="546"/>
      <c r="I1635" s="563" t="s">
        <v>25</v>
      </c>
      <c r="J1635" s="563" t="s">
        <v>25</v>
      </c>
      <c r="K1635" s="564" t="s">
        <v>25</v>
      </c>
      <c r="L1635" s="564" t="s">
        <v>25</v>
      </c>
      <c r="M1635" s="572"/>
      <c r="N1635" s="572"/>
      <c r="O1635" s="740"/>
      <c r="P1635" s="564" t="s">
        <v>25</v>
      </c>
      <c r="Q1635" s="564" t="s">
        <v>25</v>
      </c>
      <c r="R1635" s="572"/>
      <c r="S1635" s="609"/>
      <c r="T1635" s="741"/>
      <c r="U1635" s="586"/>
      <c r="V1635" s="564" t="s">
        <v>2899</v>
      </c>
      <c r="W1635" s="564" t="s">
        <v>25</v>
      </c>
      <c r="X1635" s="650"/>
      <c r="Y1635" s="586"/>
      <c r="Z1635" s="742"/>
      <c r="AA1635" s="586"/>
      <c r="AB1635" s="586"/>
      <c r="AC1635" s="586"/>
      <c r="AD1635" s="586"/>
      <c r="AE1635" s="714"/>
      <c r="AF1635" s="570" t="s">
        <v>2899</v>
      </c>
      <c r="AG1635" s="570" t="s">
        <v>25</v>
      </c>
      <c r="AH1635" s="571" t="s">
        <v>25</v>
      </c>
      <c r="AI1635" s="731"/>
      <c r="AJ1635" s="586"/>
    </row>
    <row r="1636" spans="1:36" s="394" customFormat="1" ht="20.25" outlineLevel="2" x14ac:dyDescent="0.3">
      <c r="A1636" s="447">
        <v>134</v>
      </c>
      <c r="B1636" s="586"/>
      <c r="C1636" s="586"/>
      <c r="D1636" s="612"/>
      <c r="E1636" s="612"/>
      <c r="F1636" s="586"/>
      <c r="G1636" s="709"/>
      <c r="H1636" s="546"/>
      <c r="I1636" s="563" t="s">
        <v>25</v>
      </c>
      <c r="J1636" s="563" t="s">
        <v>25</v>
      </c>
      <c r="K1636" s="564" t="s">
        <v>25</v>
      </c>
      <c r="L1636" s="564" t="s">
        <v>25</v>
      </c>
      <c r="M1636" s="572"/>
      <c r="N1636" s="572"/>
      <c r="O1636" s="740"/>
      <c r="P1636" s="564" t="s">
        <v>25</v>
      </c>
      <c r="Q1636" s="564" t="s">
        <v>25</v>
      </c>
      <c r="R1636" s="572"/>
      <c r="S1636" s="609"/>
      <c r="T1636" s="741"/>
      <c r="U1636" s="586"/>
      <c r="V1636" s="564" t="s">
        <v>2899</v>
      </c>
      <c r="W1636" s="564" t="s">
        <v>25</v>
      </c>
      <c r="X1636" s="650"/>
      <c r="Y1636" s="586"/>
      <c r="Z1636" s="742"/>
      <c r="AA1636" s="586"/>
      <c r="AB1636" s="586"/>
      <c r="AC1636" s="586"/>
      <c r="AD1636" s="586"/>
      <c r="AE1636" s="714"/>
      <c r="AF1636" s="570" t="s">
        <v>2899</v>
      </c>
      <c r="AG1636" s="570" t="s">
        <v>25</v>
      </c>
      <c r="AH1636" s="571" t="s">
        <v>25</v>
      </c>
      <c r="AI1636" s="586"/>
      <c r="AJ1636" s="586"/>
    </row>
    <row r="1637" spans="1:36" s="394" customFormat="1" ht="20.25" outlineLevel="2" x14ac:dyDescent="0.3">
      <c r="A1637" s="447">
        <v>134</v>
      </c>
      <c r="B1637" s="572"/>
      <c r="C1637" s="572"/>
      <c r="D1637" s="612"/>
      <c r="E1637" s="612"/>
      <c r="F1637" s="586"/>
      <c r="G1637" s="709"/>
      <c r="H1637" s="546"/>
      <c r="I1637" s="563" t="s">
        <v>25</v>
      </c>
      <c r="J1637" s="563" t="s">
        <v>25</v>
      </c>
      <c r="K1637" s="564" t="s">
        <v>25</v>
      </c>
      <c r="L1637" s="564" t="s">
        <v>25</v>
      </c>
      <c r="M1637" s="572"/>
      <c r="N1637" s="572"/>
      <c r="O1637" s="740"/>
      <c r="P1637" s="564" t="s">
        <v>25</v>
      </c>
      <c r="Q1637" s="564" t="s">
        <v>25</v>
      </c>
      <c r="R1637" s="572"/>
      <c r="S1637" s="609"/>
      <c r="T1637" s="741"/>
      <c r="U1637" s="586"/>
      <c r="V1637" s="564" t="s">
        <v>2899</v>
      </c>
      <c r="W1637" s="564" t="s">
        <v>25</v>
      </c>
      <c r="X1637" s="650"/>
      <c r="Y1637" s="586"/>
      <c r="Z1637" s="742"/>
      <c r="AA1637" s="586"/>
      <c r="AB1637" s="586"/>
      <c r="AC1637" s="586"/>
      <c r="AD1637" s="586"/>
      <c r="AE1637" s="714"/>
      <c r="AF1637" s="570" t="s">
        <v>2899</v>
      </c>
      <c r="AG1637" s="570" t="s">
        <v>25</v>
      </c>
      <c r="AH1637" s="571" t="s">
        <v>25</v>
      </c>
      <c r="AI1637" s="572"/>
      <c r="AJ1637" s="572"/>
    </row>
    <row r="1638" spans="1:36" s="394" customFormat="1" ht="20.25" outlineLevel="2" x14ac:dyDescent="0.3">
      <c r="A1638" s="447">
        <v>134</v>
      </c>
      <c r="B1638" s="572"/>
      <c r="C1638" s="572"/>
      <c r="D1638" s="612"/>
      <c r="E1638" s="612"/>
      <c r="F1638" s="586"/>
      <c r="G1638" s="709"/>
      <c r="H1638" s="546"/>
      <c r="I1638" s="563" t="s">
        <v>25</v>
      </c>
      <c r="J1638" s="563" t="s">
        <v>25</v>
      </c>
      <c r="K1638" s="564" t="s">
        <v>25</v>
      </c>
      <c r="L1638" s="564" t="s">
        <v>25</v>
      </c>
      <c r="M1638" s="572"/>
      <c r="N1638" s="572"/>
      <c r="O1638" s="740"/>
      <c r="P1638" s="564" t="s">
        <v>25</v>
      </c>
      <c r="Q1638" s="564" t="s">
        <v>25</v>
      </c>
      <c r="R1638" s="572"/>
      <c r="S1638" s="609"/>
      <c r="T1638" s="741"/>
      <c r="U1638" s="586"/>
      <c r="V1638" s="564" t="s">
        <v>2899</v>
      </c>
      <c r="W1638" s="564" t="s">
        <v>25</v>
      </c>
      <c r="X1638" s="650"/>
      <c r="Y1638" s="586"/>
      <c r="Z1638" s="742"/>
      <c r="AA1638" s="586"/>
      <c r="AB1638" s="586"/>
      <c r="AC1638" s="586"/>
      <c r="AD1638" s="586"/>
      <c r="AE1638" s="714"/>
      <c r="AF1638" s="570" t="s">
        <v>2899</v>
      </c>
      <c r="AG1638" s="570" t="s">
        <v>25</v>
      </c>
      <c r="AH1638" s="571" t="s">
        <v>25</v>
      </c>
      <c r="AI1638" s="558"/>
      <c r="AJ1638" s="558"/>
    </row>
    <row r="1639" spans="1:36" s="394" customFormat="1" ht="20.25" outlineLevel="2" x14ac:dyDescent="0.3">
      <c r="A1639" s="447">
        <v>134</v>
      </c>
      <c r="B1639" s="572"/>
      <c r="C1639" s="572"/>
      <c r="D1639" s="612"/>
      <c r="E1639" s="612"/>
      <c r="F1639" s="586"/>
      <c r="G1639" s="709"/>
      <c r="H1639" s="546"/>
      <c r="I1639" s="563" t="s">
        <v>25</v>
      </c>
      <c r="J1639" s="563" t="s">
        <v>25</v>
      </c>
      <c r="K1639" s="564" t="s">
        <v>25</v>
      </c>
      <c r="L1639" s="564" t="s">
        <v>25</v>
      </c>
      <c r="M1639" s="572"/>
      <c r="N1639" s="572"/>
      <c r="O1639" s="740"/>
      <c r="P1639" s="564" t="s">
        <v>25</v>
      </c>
      <c r="Q1639" s="564" t="s">
        <v>25</v>
      </c>
      <c r="R1639" s="572"/>
      <c r="S1639" s="609"/>
      <c r="T1639" s="741"/>
      <c r="U1639" s="586"/>
      <c r="V1639" s="564" t="s">
        <v>2899</v>
      </c>
      <c r="W1639" s="564" t="s">
        <v>25</v>
      </c>
      <c r="X1639" s="650"/>
      <c r="Y1639" s="586"/>
      <c r="Z1639" s="742"/>
      <c r="AA1639" s="586"/>
      <c r="AB1639" s="586"/>
      <c r="AC1639" s="586"/>
      <c r="AD1639" s="586"/>
      <c r="AE1639" s="714"/>
      <c r="AF1639" s="570" t="s">
        <v>2899</v>
      </c>
      <c r="AG1639" s="570" t="s">
        <v>25</v>
      </c>
      <c r="AH1639" s="571" t="s">
        <v>25</v>
      </c>
      <c r="AI1639" s="586"/>
      <c r="AJ1639" s="586"/>
    </row>
    <row r="1640" spans="1:36" s="394" customFormat="1" ht="20.25" outlineLevel="2" x14ac:dyDescent="0.3">
      <c r="A1640" s="447">
        <v>134</v>
      </c>
      <c r="B1640" s="607"/>
      <c r="C1640" s="607"/>
      <c r="D1640" s="642"/>
      <c r="E1640" s="642"/>
      <c r="F1640" s="586"/>
      <c r="G1640" s="709"/>
      <c r="H1640" s="546"/>
      <c r="I1640" s="563" t="s">
        <v>25</v>
      </c>
      <c r="J1640" s="563" t="s">
        <v>25</v>
      </c>
      <c r="K1640" s="564" t="s">
        <v>25</v>
      </c>
      <c r="L1640" s="564" t="s">
        <v>25</v>
      </c>
      <c r="M1640" s="572"/>
      <c r="N1640" s="572"/>
      <c r="O1640" s="740"/>
      <c r="P1640" s="564" t="s">
        <v>25</v>
      </c>
      <c r="Q1640" s="564" t="s">
        <v>25</v>
      </c>
      <c r="R1640" s="572"/>
      <c r="S1640" s="609"/>
      <c r="T1640" s="741"/>
      <c r="U1640" s="586"/>
      <c r="V1640" s="564" t="s">
        <v>2899</v>
      </c>
      <c r="W1640" s="564" t="s">
        <v>25</v>
      </c>
      <c r="X1640" s="650"/>
      <c r="Y1640" s="586"/>
      <c r="Z1640" s="742"/>
      <c r="AA1640" s="586"/>
      <c r="AB1640" s="586"/>
      <c r="AC1640" s="586"/>
      <c r="AD1640" s="586"/>
      <c r="AE1640" s="714"/>
      <c r="AF1640" s="570" t="s">
        <v>2899</v>
      </c>
      <c r="AG1640" s="570" t="s">
        <v>25</v>
      </c>
      <c r="AH1640" s="571" t="s">
        <v>25</v>
      </c>
      <c r="AI1640" s="586"/>
      <c r="AJ1640" s="586"/>
    </row>
    <row r="1641" spans="1:36" s="394" customFormat="1" ht="40.5" outlineLevel="1" x14ac:dyDescent="0.25">
      <c r="A1641" s="467">
        <v>135</v>
      </c>
      <c r="B1641" s="607" t="s">
        <v>1161</v>
      </c>
      <c r="C1641" s="586" t="s">
        <v>2903</v>
      </c>
      <c r="D1641" s="612">
        <v>86</v>
      </c>
      <c r="E1641" s="612">
        <v>265</v>
      </c>
      <c r="F1641" s="578"/>
      <c r="G1641" s="707">
        <v>95</v>
      </c>
      <c r="H1641" s="579">
        <v>0</v>
      </c>
      <c r="I1641" s="581"/>
      <c r="J1641" s="581"/>
      <c r="K1641" s="571">
        <v>44232000</v>
      </c>
      <c r="L1641" s="571">
        <v>0</v>
      </c>
      <c r="M1641" s="607"/>
      <c r="N1641" s="607"/>
      <c r="O1641" s="738">
        <v>0</v>
      </c>
      <c r="P1641" s="571"/>
      <c r="Q1641" s="571">
        <v>0</v>
      </c>
      <c r="R1641" s="582"/>
      <c r="S1641" s="621"/>
      <c r="T1641" s="739">
        <v>109.97499999999999</v>
      </c>
      <c r="U1641" s="578"/>
      <c r="V1641" s="571"/>
      <c r="W1641" s="571">
        <v>454775000</v>
      </c>
      <c r="X1641" s="661"/>
      <c r="Y1641" s="683"/>
      <c r="Z1641" s="683"/>
      <c r="AA1641" s="694"/>
      <c r="AB1641" s="683"/>
      <c r="AC1641" s="586"/>
      <c r="AD1641" s="578"/>
      <c r="AE1641" s="712">
        <f>SUBTOTAL(9,AE1642:AE1648)</f>
        <v>1</v>
      </c>
      <c r="AF1641" s="585"/>
      <c r="AG1641" s="585">
        <v>5000000</v>
      </c>
      <c r="AH1641" s="571">
        <v>504007000</v>
      </c>
      <c r="AI1641" s="578"/>
      <c r="AJ1641" s="578"/>
    </row>
    <row r="1642" spans="1:36" s="394" customFormat="1" ht="121.5" outlineLevel="2" x14ac:dyDescent="0.3">
      <c r="A1642" s="447">
        <v>135</v>
      </c>
      <c r="B1642" s="572" t="s">
        <v>1163</v>
      </c>
      <c r="C1642" s="572"/>
      <c r="D1642" s="612"/>
      <c r="E1642" s="612"/>
      <c r="F1642" s="586" t="s">
        <v>2869</v>
      </c>
      <c r="G1642" s="709">
        <v>95</v>
      </c>
      <c r="H1642" s="546" t="s">
        <v>2899</v>
      </c>
      <c r="I1642" s="563">
        <v>465600</v>
      </c>
      <c r="J1642" s="563">
        <v>0</v>
      </c>
      <c r="K1642" s="564">
        <v>44232000</v>
      </c>
      <c r="L1642" s="564">
        <v>0</v>
      </c>
      <c r="M1642" s="572"/>
      <c r="N1642" s="572"/>
      <c r="O1642" s="740"/>
      <c r="P1642" s="564" t="s">
        <v>25</v>
      </c>
      <c r="Q1642" s="564" t="s">
        <v>25</v>
      </c>
      <c r="R1642" s="566" t="s">
        <v>1820</v>
      </c>
      <c r="S1642" s="609" t="s">
        <v>1133</v>
      </c>
      <c r="T1642" s="741">
        <v>68.754999999999995</v>
      </c>
      <c r="U1642" s="586"/>
      <c r="V1642" s="564">
        <v>5307665</v>
      </c>
      <c r="W1642" s="564">
        <v>364929000</v>
      </c>
      <c r="X1642" s="661" t="s">
        <v>1138</v>
      </c>
      <c r="Y1642" s="683" t="s">
        <v>1139</v>
      </c>
      <c r="Z1642" s="683" t="s">
        <v>56</v>
      </c>
      <c r="AA1642" s="694" t="s">
        <v>269</v>
      </c>
      <c r="AB1642" s="683" t="s">
        <v>1138</v>
      </c>
      <c r="AC1642" s="586"/>
      <c r="AD1642" s="586" t="s">
        <v>2137</v>
      </c>
      <c r="AE1642" s="714">
        <v>1</v>
      </c>
      <c r="AF1642" s="570">
        <v>5000000</v>
      </c>
      <c r="AG1642" s="570">
        <v>5000000</v>
      </c>
      <c r="AH1642" s="571" t="s">
        <v>25</v>
      </c>
      <c r="AI1642" s="586" t="s">
        <v>1165</v>
      </c>
      <c r="AJ1642" s="586" t="s">
        <v>2771</v>
      </c>
    </row>
    <row r="1643" spans="1:36" s="394" customFormat="1" ht="121.5" outlineLevel="2" x14ac:dyDescent="0.3">
      <c r="A1643" s="447">
        <v>135</v>
      </c>
      <c r="B1643" s="572" t="s">
        <v>1598</v>
      </c>
      <c r="C1643" s="572"/>
      <c r="D1643" s="612"/>
      <c r="E1643" s="612"/>
      <c r="F1643" s="586"/>
      <c r="G1643" s="709"/>
      <c r="H1643" s="546"/>
      <c r="I1643" s="563" t="s">
        <v>25</v>
      </c>
      <c r="J1643" s="563" t="s">
        <v>25</v>
      </c>
      <c r="K1643" s="564" t="s">
        <v>25</v>
      </c>
      <c r="L1643" s="564" t="s">
        <v>25</v>
      </c>
      <c r="M1643" s="572"/>
      <c r="N1643" s="572"/>
      <c r="O1643" s="740"/>
      <c r="P1643" s="564" t="s">
        <v>25</v>
      </c>
      <c r="Q1643" s="564" t="s">
        <v>25</v>
      </c>
      <c r="R1643" s="566" t="s">
        <v>1911</v>
      </c>
      <c r="S1643" s="609" t="s">
        <v>1133</v>
      </c>
      <c r="T1643" s="741">
        <v>9.1199999999999992</v>
      </c>
      <c r="U1643" s="586"/>
      <c r="V1643" s="564">
        <v>8524607</v>
      </c>
      <c r="W1643" s="564">
        <v>77744000</v>
      </c>
      <c r="X1643" s="650"/>
      <c r="Y1643" s="586"/>
      <c r="Z1643" s="742"/>
      <c r="AA1643" s="586"/>
      <c r="AB1643" s="586"/>
      <c r="AC1643" s="586"/>
      <c r="AD1643" s="586"/>
      <c r="AE1643" s="714"/>
      <c r="AF1643" s="570" t="s">
        <v>2899</v>
      </c>
      <c r="AG1643" s="570" t="s">
        <v>25</v>
      </c>
      <c r="AH1643" s="571" t="s">
        <v>25</v>
      </c>
      <c r="AI1643" s="586" t="s">
        <v>1166</v>
      </c>
      <c r="AJ1643" s="558" t="s">
        <v>2450</v>
      </c>
    </row>
    <row r="1644" spans="1:36" s="394" customFormat="1" ht="81" outlineLevel="2" x14ac:dyDescent="0.3">
      <c r="A1644" s="447">
        <v>135</v>
      </c>
      <c r="B1644" s="572"/>
      <c r="C1644" s="572"/>
      <c r="D1644" s="612"/>
      <c r="E1644" s="612"/>
      <c r="F1644" s="586"/>
      <c r="G1644" s="709"/>
      <c r="H1644" s="546"/>
      <c r="I1644" s="563" t="s">
        <v>25</v>
      </c>
      <c r="J1644" s="563" t="s">
        <v>25</v>
      </c>
      <c r="K1644" s="564" t="s">
        <v>25</v>
      </c>
      <c r="L1644" s="564" t="s">
        <v>25</v>
      </c>
      <c r="M1644" s="572"/>
      <c r="N1644" s="572"/>
      <c r="O1644" s="740"/>
      <c r="P1644" s="564" t="s">
        <v>25</v>
      </c>
      <c r="Q1644" s="564" t="s">
        <v>25</v>
      </c>
      <c r="R1644" s="572" t="s">
        <v>1912</v>
      </c>
      <c r="S1644" s="609" t="s">
        <v>1133</v>
      </c>
      <c r="T1644" s="741">
        <v>18.600000000000001</v>
      </c>
      <c r="U1644" s="586"/>
      <c r="V1644" s="564">
        <v>265836</v>
      </c>
      <c r="W1644" s="564">
        <v>4945000</v>
      </c>
      <c r="X1644" s="650"/>
      <c r="Y1644" s="586"/>
      <c r="Z1644" s="742"/>
      <c r="AA1644" s="586"/>
      <c r="AB1644" s="586"/>
      <c r="AC1644" s="586"/>
      <c r="AD1644" s="586"/>
      <c r="AE1644" s="714"/>
      <c r="AF1644" s="570" t="s">
        <v>2899</v>
      </c>
      <c r="AG1644" s="570" t="s">
        <v>25</v>
      </c>
      <c r="AH1644" s="571" t="s">
        <v>25</v>
      </c>
      <c r="AI1644" s="586" t="s">
        <v>1146</v>
      </c>
      <c r="AJ1644" s="558" t="s">
        <v>2447</v>
      </c>
    </row>
    <row r="1645" spans="1:36" s="394" customFormat="1" ht="101.25" outlineLevel="2" x14ac:dyDescent="0.3">
      <c r="A1645" s="447">
        <v>135</v>
      </c>
      <c r="B1645" s="572"/>
      <c r="C1645" s="572"/>
      <c r="D1645" s="612"/>
      <c r="E1645" s="612"/>
      <c r="F1645" s="586"/>
      <c r="G1645" s="709"/>
      <c r="H1645" s="546"/>
      <c r="I1645" s="563" t="s">
        <v>25</v>
      </c>
      <c r="J1645" s="563" t="s">
        <v>25</v>
      </c>
      <c r="K1645" s="564" t="s">
        <v>25</v>
      </c>
      <c r="L1645" s="564" t="s">
        <v>25</v>
      </c>
      <c r="M1645" s="572"/>
      <c r="N1645" s="572"/>
      <c r="O1645" s="740"/>
      <c r="P1645" s="564" t="s">
        <v>25</v>
      </c>
      <c r="Q1645" s="564" t="s">
        <v>25</v>
      </c>
      <c r="R1645" s="572" t="s">
        <v>1913</v>
      </c>
      <c r="S1645" s="609" t="s">
        <v>1133</v>
      </c>
      <c r="T1645" s="741">
        <v>13.5</v>
      </c>
      <c r="U1645" s="586"/>
      <c r="V1645" s="564">
        <v>530132</v>
      </c>
      <c r="W1645" s="564">
        <v>7157000</v>
      </c>
      <c r="X1645" s="650"/>
      <c r="Y1645" s="586"/>
      <c r="Z1645" s="742"/>
      <c r="AA1645" s="586"/>
      <c r="AB1645" s="586"/>
      <c r="AC1645" s="586"/>
      <c r="AD1645" s="586"/>
      <c r="AE1645" s="714"/>
      <c r="AF1645" s="570" t="s">
        <v>2899</v>
      </c>
      <c r="AG1645" s="570" t="s">
        <v>25</v>
      </c>
      <c r="AH1645" s="571" t="s">
        <v>25</v>
      </c>
      <c r="AI1645" s="586"/>
      <c r="AJ1645" s="586" t="s">
        <v>2800</v>
      </c>
    </row>
    <row r="1646" spans="1:36" s="394" customFormat="1" ht="20.25" outlineLevel="2" x14ac:dyDescent="0.3">
      <c r="A1646" s="447">
        <v>135</v>
      </c>
      <c r="B1646" s="586"/>
      <c r="C1646" s="586"/>
      <c r="D1646" s="612"/>
      <c r="E1646" s="612"/>
      <c r="F1646" s="586"/>
      <c r="G1646" s="709"/>
      <c r="H1646" s="546"/>
      <c r="I1646" s="563" t="s">
        <v>25</v>
      </c>
      <c r="J1646" s="563" t="s">
        <v>25</v>
      </c>
      <c r="K1646" s="564" t="s">
        <v>25</v>
      </c>
      <c r="L1646" s="564" t="s">
        <v>25</v>
      </c>
      <c r="M1646" s="572"/>
      <c r="N1646" s="572"/>
      <c r="O1646" s="740"/>
      <c r="P1646" s="564" t="s">
        <v>25</v>
      </c>
      <c r="Q1646" s="564" t="s">
        <v>25</v>
      </c>
      <c r="R1646" s="572"/>
      <c r="S1646" s="609"/>
      <c r="T1646" s="741"/>
      <c r="U1646" s="586"/>
      <c r="V1646" s="564" t="s">
        <v>2899</v>
      </c>
      <c r="W1646" s="564" t="s">
        <v>25</v>
      </c>
      <c r="X1646" s="650"/>
      <c r="Y1646" s="586"/>
      <c r="Z1646" s="742"/>
      <c r="AA1646" s="586"/>
      <c r="AB1646" s="586"/>
      <c r="AC1646" s="586"/>
      <c r="AD1646" s="586"/>
      <c r="AE1646" s="714"/>
      <c r="AF1646" s="570" t="s">
        <v>2899</v>
      </c>
      <c r="AG1646" s="570" t="s">
        <v>25</v>
      </c>
      <c r="AH1646" s="571" t="s">
        <v>25</v>
      </c>
      <c r="AI1646" s="572"/>
      <c r="AJ1646" s="572"/>
    </row>
    <row r="1647" spans="1:36" s="394" customFormat="1" ht="20.25" outlineLevel="2" x14ac:dyDescent="0.3">
      <c r="A1647" s="447">
        <v>135</v>
      </c>
      <c r="B1647" s="572"/>
      <c r="C1647" s="572"/>
      <c r="D1647" s="612"/>
      <c r="E1647" s="612"/>
      <c r="F1647" s="586"/>
      <c r="G1647" s="709"/>
      <c r="H1647" s="546"/>
      <c r="I1647" s="563" t="s">
        <v>25</v>
      </c>
      <c r="J1647" s="563" t="s">
        <v>25</v>
      </c>
      <c r="K1647" s="564" t="s">
        <v>25</v>
      </c>
      <c r="L1647" s="564" t="s">
        <v>25</v>
      </c>
      <c r="M1647" s="572"/>
      <c r="N1647" s="572"/>
      <c r="O1647" s="740"/>
      <c r="P1647" s="564" t="s">
        <v>25</v>
      </c>
      <c r="Q1647" s="564" t="s">
        <v>25</v>
      </c>
      <c r="R1647" s="572"/>
      <c r="S1647" s="609"/>
      <c r="T1647" s="741"/>
      <c r="U1647" s="586"/>
      <c r="V1647" s="564" t="s">
        <v>2899</v>
      </c>
      <c r="W1647" s="564" t="s">
        <v>25</v>
      </c>
      <c r="X1647" s="650"/>
      <c r="Y1647" s="586"/>
      <c r="Z1647" s="742"/>
      <c r="AA1647" s="586"/>
      <c r="AB1647" s="586"/>
      <c r="AC1647" s="586"/>
      <c r="AD1647" s="586"/>
      <c r="AE1647" s="714"/>
      <c r="AF1647" s="570" t="s">
        <v>2899</v>
      </c>
      <c r="AG1647" s="570" t="s">
        <v>25</v>
      </c>
      <c r="AH1647" s="571" t="s">
        <v>25</v>
      </c>
      <c r="AI1647" s="586"/>
      <c r="AJ1647" s="586"/>
    </row>
    <row r="1648" spans="1:36" s="394" customFormat="1" ht="20.25" outlineLevel="2" x14ac:dyDescent="0.3">
      <c r="A1648" s="447">
        <v>135</v>
      </c>
      <c r="B1648" s="607"/>
      <c r="C1648" s="607"/>
      <c r="D1648" s="642"/>
      <c r="E1648" s="642"/>
      <c r="F1648" s="586"/>
      <c r="G1648" s="709"/>
      <c r="H1648" s="546"/>
      <c r="I1648" s="563" t="s">
        <v>25</v>
      </c>
      <c r="J1648" s="563" t="s">
        <v>25</v>
      </c>
      <c r="K1648" s="564" t="s">
        <v>25</v>
      </c>
      <c r="L1648" s="564" t="s">
        <v>25</v>
      </c>
      <c r="M1648" s="572"/>
      <c r="N1648" s="572"/>
      <c r="O1648" s="740"/>
      <c r="P1648" s="564" t="s">
        <v>25</v>
      </c>
      <c r="Q1648" s="564" t="s">
        <v>25</v>
      </c>
      <c r="R1648" s="572"/>
      <c r="S1648" s="609"/>
      <c r="T1648" s="741"/>
      <c r="U1648" s="586"/>
      <c r="V1648" s="564" t="s">
        <v>2899</v>
      </c>
      <c r="W1648" s="564" t="s">
        <v>25</v>
      </c>
      <c r="X1648" s="650"/>
      <c r="Y1648" s="586"/>
      <c r="Z1648" s="742"/>
      <c r="AA1648" s="586"/>
      <c r="AB1648" s="586"/>
      <c r="AC1648" s="586"/>
      <c r="AD1648" s="586"/>
      <c r="AE1648" s="714"/>
      <c r="AF1648" s="570" t="s">
        <v>2899</v>
      </c>
      <c r="AG1648" s="570" t="s">
        <v>25</v>
      </c>
      <c r="AH1648" s="571" t="s">
        <v>25</v>
      </c>
      <c r="AI1648" s="586"/>
      <c r="AJ1648" s="586"/>
    </row>
    <row r="1649" spans="1:36" s="396" customFormat="1" ht="40.5" outlineLevel="1" x14ac:dyDescent="0.25">
      <c r="A1649" s="467">
        <v>136</v>
      </c>
      <c r="B1649" s="607" t="s">
        <v>1169</v>
      </c>
      <c r="C1649" s="586" t="s">
        <v>2903</v>
      </c>
      <c r="D1649" s="612">
        <v>86</v>
      </c>
      <c r="E1649" s="612">
        <v>47</v>
      </c>
      <c r="F1649" s="578"/>
      <c r="G1649" s="707">
        <v>263.5</v>
      </c>
      <c r="H1649" s="579">
        <v>0</v>
      </c>
      <c r="I1649" s="581"/>
      <c r="J1649" s="581"/>
      <c r="K1649" s="571">
        <v>122686000</v>
      </c>
      <c r="L1649" s="571">
        <v>0</v>
      </c>
      <c r="M1649" s="607"/>
      <c r="N1649" s="607"/>
      <c r="O1649" s="738">
        <v>0</v>
      </c>
      <c r="P1649" s="571"/>
      <c r="Q1649" s="571">
        <v>0</v>
      </c>
      <c r="R1649" s="582"/>
      <c r="S1649" s="621"/>
      <c r="T1649" s="739">
        <v>0</v>
      </c>
      <c r="U1649" s="578"/>
      <c r="V1649" s="571"/>
      <c r="W1649" s="571">
        <v>0</v>
      </c>
      <c r="X1649" s="650"/>
      <c r="Y1649" s="586"/>
      <c r="Z1649" s="742"/>
      <c r="AA1649" s="586"/>
      <c r="AB1649" s="586"/>
      <c r="AC1649" s="586"/>
      <c r="AD1649" s="578"/>
      <c r="AE1649" s="712">
        <f>SUBTOTAL(9,AE1650:AE1657)</f>
        <v>0</v>
      </c>
      <c r="AF1649" s="585"/>
      <c r="AG1649" s="585">
        <v>0</v>
      </c>
      <c r="AH1649" s="571">
        <v>122686000</v>
      </c>
      <c r="AI1649" s="578"/>
      <c r="AJ1649" s="578"/>
    </row>
    <row r="1650" spans="1:36" s="396" customFormat="1" ht="121.5" outlineLevel="2" x14ac:dyDescent="0.3">
      <c r="A1650" s="447">
        <v>136</v>
      </c>
      <c r="B1650" s="572" t="s">
        <v>1171</v>
      </c>
      <c r="C1650" s="572"/>
      <c r="D1650" s="612"/>
      <c r="E1650" s="612"/>
      <c r="F1650" s="586" t="s">
        <v>2870</v>
      </c>
      <c r="G1650" s="709">
        <v>263.5</v>
      </c>
      <c r="H1650" s="546" t="s">
        <v>2899</v>
      </c>
      <c r="I1650" s="563">
        <v>465600</v>
      </c>
      <c r="J1650" s="563">
        <v>0</v>
      </c>
      <c r="K1650" s="564">
        <v>122686000</v>
      </c>
      <c r="L1650" s="564">
        <v>0</v>
      </c>
      <c r="M1650" s="572"/>
      <c r="N1650" s="572"/>
      <c r="O1650" s="740"/>
      <c r="P1650" s="564" t="s">
        <v>25</v>
      </c>
      <c r="Q1650" s="564" t="s">
        <v>25</v>
      </c>
      <c r="R1650" s="566"/>
      <c r="S1650" s="609"/>
      <c r="T1650" s="741"/>
      <c r="U1650" s="586"/>
      <c r="V1650" s="564" t="s">
        <v>2899</v>
      </c>
      <c r="W1650" s="564" t="s">
        <v>25</v>
      </c>
      <c r="X1650" s="650"/>
      <c r="Y1650" s="586"/>
      <c r="Z1650" s="742"/>
      <c r="AA1650" s="586"/>
      <c r="AB1650" s="586"/>
      <c r="AC1650" s="586"/>
      <c r="AD1650" s="586"/>
      <c r="AE1650" s="714"/>
      <c r="AF1650" s="570" t="s">
        <v>2899</v>
      </c>
      <c r="AG1650" s="570"/>
      <c r="AH1650" s="571" t="s">
        <v>25</v>
      </c>
      <c r="AI1650" s="586" t="s">
        <v>1170</v>
      </c>
      <c r="AJ1650" s="586" t="s">
        <v>2771</v>
      </c>
    </row>
    <row r="1651" spans="1:36" s="394" customFormat="1" ht="40.5" outlineLevel="2" x14ac:dyDescent="0.3">
      <c r="A1651" s="447">
        <v>136</v>
      </c>
      <c r="B1651" s="607" t="s">
        <v>1173</v>
      </c>
      <c r="C1651" s="607"/>
      <c r="D1651" s="612"/>
      <c r="E1651" s="612"/>
      <c r="F1651" s="586"/>
      <c r="G1651" s="709"/>
      <c r="H1651" s="546"/>
      <c r="I1651" s="563" t="s">
        <v>25</v>
      </c>
      <c r="J1651" s="563" t="s">
        <v>25</v>
      </c>
      <c r="K1651" s="564" t="s">
        <v>25</v>
      </c>
      <c r="L1651" s="564" t="s">
        <v>25</v>
      </c>
      <c r="M1651" s="572"/>
      <c r="N1651" s="572"/>
      <c r="O1651" s="740"/>
      <c r="P1651" s="564" t="s">
        <v>25</v>
      </c>
      <c r="Q1651" s="564" t="s">
        <v>25</v>
      </c>
      <c r="R1651" s="566"/>
      <c r="S1651" s="609"/>
      <c r="T1651" s="741"/>
      <c r="U1651" s="586"/>
      <c r="V1651" s="564" t="s">
        <v>2899</v>
      </c>
      <c r="W1651" s="564" t="s">
        <v>25</v>
      </c>
      <c r="X1651" s="650"/>
      <c r="Y1651" s="586"/>
      <c r="Z1651" s="742"/>
      <c r="AA1651" s="586"/>
      <c r="AB1651" s="586"/>
      <c r="AC1651" s="586"/>
      <c r="AD1651" s="586"/>
      <c r="AE1651" s="714"/>
      <c r="AF1651" s="570" t="s">
        <v>2899</v>
      </c>
      <c r="AG1651" s="570" t="s">
        <v>25</v>
      </c>
      <c r="AH1651" s="571" t="s">
        <v>25</v>
      </c>
      <c r="AI1651" s="586" t="s">
        <v>1172</v>
      </c>
      <c r="AJ1651" s="586"/>
    </row>
    <row r="1652" spans="1:36" s="394" customFormat="1" ht="121.5" outlineLevel="2" x14ac:dyDescent="0.3">
      <c r="A1652" s="447">
        <v>136</v>
      </c>
      <c r="B1652" s="572" t="s">
        <v>1175</v>
      </c>
      <c r="C1652" s="572"/>
      <c r="D1652" s="612"/>
      <c r="E1652" s="612"/>
      <c r="F1652" s="586"/>
      <c r="G1652" s="709"/>
      <c r="H1652" s="546"/>
      <c r="I1652" s="563" t="s">
        <v>25</v>
      </c>
      <c r="J1652" s="563" t="s">
        <v>25</v>
      </c>
      <c r="K1652" s="564" t="s">
        <v>25</v>
      </c>
      <c r="L1652" s="564" t="s">
        <v>25</v>
      </c>
      <c r="M1652" s="572"/>
      <c r="N1652" s="572"/>
      <c r="O1652" s="740"/>
      <c r="P1652" s="564" t="s">
        <v>25</v>
      </c>
      <c r="Q1652" s="564" t="s">
        <v>25</v>
      </c>
      <c r="R1652" s="566"/>
      <c r="S1652" s="609"/>
      <c r="T1652" s="741"/>
      <c r="U1652" s="586"/>
      <c r="V1652" s="564" t="s">
        <v>2899</v>
      </c>
      <c r="W1652" s="564" t="s">
        <v>25</v>
      </c>
      <c r="X1652" s="650"/>
      <c r="Y1652" s="586"/>
      <c r="Z1652" s="742"/>
      <c r="AA1652" s="586"/>
      <c r="AB1652" s="586"/>
      <c r="AC1652" s="586"/>
      <c r="AD1652" s="586"/>
      <c r="AE1652" s="714"/>
      <c r="AF1652" s="570" t="s">
        <v>2899</v>
      </c>
      <c r="AG1652" s="570" t="s">
        <v>25</v>
      </c>
      <c r="AH1652" s="571" t="s">
        <v>25</v>
      </c>
      <c r="AI1652" s="586" t="s">
        <v>2237</v>
      </c>
      <c r="AJ1652" s="558"/>
    </row>
    <row r="1653" spans="1:36" s="394" customFormat="1" ht="81" outlineLevel="2" x14ac:dyDescent="0.3">
      <c r="A1653" s="447">
        <v>136</v>
      </c>
      <c r="B1653" s="572" t="s">
        <v>1599</v>
      </c>
      <c r="C1653" s="572"/>
      <c r="D1653" s="612"/>
      <c r="E1653" s="612"/>
      <c r="F1653" s="572"/>
      <c r="G1653" s="709"/>
      <c r="H1653" s="546"/>
      <c r="I1653" s="563" t="s">
        <v>25</v>
      </c>
      <c r="J1653" s="563" t="s">
        <v>25</v>
      </c>
      <c r="K1653" s="564" t="s">
        <v>25</v>
      </c>
      <c r="L1653" s="564" t="s">
        <v>25</v>
      </c>
      <c r="M1653" s="572"/>
      <c r="N1653" s="572"/>
      <c r="O1653" s="740"/>
      <c r="P1653" s="564" t="s">
        <v>25</v>
      </c>
      <c r="Q1653" s="564" t="s">
        <v>25</v>
      </c>
      <c r="R1653" s="572"/>
      <c r="S1653" s="609"/>
      <c r="T1653" s="741"/>
      <c r="U1653" s="586"/>
      <c r="V1653" s="564" t="s">
        <v>2899</v>
      </c>
      <c r="W1653" s="564" t="s">
        <v>25</v>
      </c>
      <c r="X1653" s="650"/>
      <c r="Y1653" s="586"/>
      <c r="Z1653" s="742"/>
      <c r="AA1653" s="586"/>
      <c r="AB1653" s="586"/>
      <c r="AC1653" s="586"/>
      <c r="AD1653" s="586"/>
      <c r="AE1653" s="714"/>
      <c r="AF1653" s="570" t="s">
        <v>2899</v>
      </c>
      <c r="AG1653" s="570" t="s">
        <v>25</v>
      </c>
      <c r="AH1653" s="571" t="s">
        <v>25</v>
      </c>
      <c r="AI1653" s="731"/>
      <c r="AJ1653" s="586"/>
    </row>
    <row r="1654" spans="1:36" s="394" customFormat="1" ht="20.25" outlineLevel="2" x14ac:dyDescent="0.3">
      <c r="A1654" s="447">
        <v>136</v>
      </c>
      <c r="B1654" s="572"/>
      <c r="C1654" s="572"/>
      <c r="D1654" s="612"/>
      <c r="E1654" s="612"/>
      <c r="F1654" s="586"/>
      <c r="G1654" s="709"/>
      <c r="H1654" s="546"/>
      <c r="I1654" s="563" t="s">
        <v>25</v>
      </c>
      <c r="J1654" s="563" t="s">
        <v>25</v>
      </c>
      <c r="K1654" s="564" t="s">
        <v>25</v>
      </c>
      <c r="L1654" s="564" t="s">
        <v>25</v>
      </c>
      <c r="M1654" s="572"/>
      <c r="N1654" s="572"/>
      <c r="O1654" s="740"/>
      <c r="P1654" s="564" t="s">
        <v>25</v>
      </c>
      <c r="Q1654" s="564" t="s">
        <v>25</v>
      </c>
      <c r="R1654" s="572"/>
      <c r="S1654" s="609"/>
      <c r="T1654" s="741"/>
      <c r="U1654" s="586"/>
      <c r="V1654" s="564" t="s">
        <v>2899</v>
      </c>
      <c r="W1654" s="564" t="s">
        <v>25</v>
      </c>
      <c r="X1654" s="650"/>
      <c r="Y1654" s="586"/>
      <c r="Z1654" s="742"/>
      <c r="AA1654" s="586"/>
      <c r="AB1654" s="586"/>
      <c r="AC1654" s="586"/>
      <c r="AD1654" s="586"/>
      <c r="AE1654" s="714"/>
      <c r="AF1654" s="570" t="s">
        <v>2899</v>
      </c>
      <c r="AG1654" s="570" t="s">
        <v>25</v>
      </c>
      <c r="AH1654" s="571" t="s">
        <v>25</v>
      </c>
      <c r="AI1654" s="558"/>
      <c r="AJ1654" s="558"/>
    </row>
    <row r="1655" spans="1:36" s="394" customFormat="1" ht="20.25" outlineLevel="2" x14ac:dyDescent="0.3">
      <c r="A1655" s="447">
        <v>136</v>
      </c>
      <c r="B1655" s="572"/>
      <c r="C1655" s="572"/>
      <c r="D1655" s="612"/>
      <c r="E1655" s="612"/>
      <c r="F1655" s="586"/>
      <c r="G1655" s="709"/>
      <c r="H1655" s="546"/>
      <c r="I1655" s="563" t="s">
        <v>25</v>
      </c>
      <c r="J1655" s="563" t="s">
        <v>25</v>
      </c>
      <c r="K1655" s="564" t="s">
        <v>25</v>
      </c>
      <c r="L1655" s="564" t="s">
        <v>25</v>
      </c>
      <c r="M1655" s="572"/>
      <c r="N1655" s="572"/>
      <c r="O1655" s="740"/>
      <c r="P1655" s="564" t="s">
        <v>25</v>
      </c>
      <c r="Q1655" s="564" t="s">
        <v>25</v>
      </c>
      <c r="R1655" s="572"/>
      <c r="S1655" s="609"/>
      <c r="T1655" s="741"/>
      <c r="U1655" s="586"/>
      <c r="V1655" s="564" t="s">
        <v>2899</v>
      </c>
      <c r="W1655" s="564" t="s">
        <v>25</v>
      </c>
      <c r="X1655" s="650"/>
      <c r="Y1655" s="586"/>
      <c r="Z1655" s="742"/>
      <c r="AA1655" s="586"/>
      <c r="AB1655" s="586"/>
      <c r="AC1655" s="586"/>
      <c r="AD1655" s="586"/>
      <c r="AE1655" s="714"/>
      <c r="AF1655" s="570" t="s">
        <v>2899</v>
      </c>
      <c r="AG1655" s="570" t="s">
        <v>25</v>
      </c>
      <c r="AH1655" s="571" t="s">
        <v>25</v>
      </c>
      <c r="AI1655" s="586"/>
      <c r="AJ1655" s="586"/>
    </row>
    <row r="1656" spans="1:36" s="394" customFormat="1" ht="20.25" outlineLevel="2" x14ac:dyDescent="0.3">
      <c r="A1656" s="447">
        <v>136</v>
      </c>
      <c r="B1656" s="572"/>
      <c r="C1656" s="572"/>
      <c r="D1656" s="612"/>
      <c r="E1656" s="612"/>
      <c r="F1656" s="586"/>
      <c r="G1656" s="709"/>
      <c r="H1656" s="546"/>
      <c r="I1656" s="563" t="s">
        <v>25</v>
      </c>
      <c r="J1656" s="563" t="s">
        <v>25</v>
      </c>
      <c r="K1656" s="564" t="s">
        <v>25</v>
      </c>
      <c r="L1656" s="564" t="s">
        <v>25</v>
      </c>
      <c r="M1656" s="572"/>
      <c r="N1656" s="572"/>
      <c r="O1656" s="740"/>
      <c r="P1656" s="564" t="s">
        <v>25</v>
      </c>
      <c r="Q1656" s="564" t="s">
        <v>25</v>
      </c>
      <c r="R1656" s="572"/>
      <c r="S1656" s="609"/>
      <c r="T1656" s="741"/>
      <c r="U1656" s="586"/>
      <c r="V1656" s="564" t="s">
        <v>2899</v>
      </c>
      <c r="W1656" s="564" t="s">
        <v>25</v>
      </c>
      <c r="X1656" s="650"/>
      <c r="Y1656" s="586"/>
      <c r="Z1656" s="742"/>
      <c r="AA1656" s="586"/>
      <c r="AB1656" s="586"/>
      <c r="AC1656" s="586"/>
      <c r="AD1656" s="586"/>
      <c r="AE1656" s="714"/>
      <c r="AF1656" s="570" t="s">
        <v>2899</v>
      </c>
      <c r="AG1656" s="570" t="s">
        <v>25</v>
      </c>
      <c r="AH1656" s="571" t="s">
        <v>25</v>
      </c>
      <c r="AI1656" s="586"/>
      <c r="AJ1656" s="586"/>
    </row>
    <row r="1657" spans="1:36" s="394" customFormat="1" ht="20.25" outlineLevel="2" x14ac:dyDescent="0.3">
      <c r="A1657" s="447">
        <v>136</v>
      </c>
      <c r="B1657" s="607"/>
      <c r="C1657" s="607"/>
      <c r="D1657" s="642"/>
      <c r="E1657" s="642"/>
      <c r="F1657" s="586"/>
      <c r="G1657" s="709"/>
      <c r="H1657" s="546"/>
      <c r="I1657" s="563" t="s">
        <v>25</v>
      </c>
      <c r="J1657" s="563" t="s">
        <v>25</v>
      </c>
      <c r="K1657" s="564" t="s">
        <v>25</v>
      </c>
      <c r="L1657" s="564" t="s">
        <v>25</v>
      </c>
      <c r="M1657" s="572"/>
      <c r="N1657" s="572"/>
      <c r="O1657" s="740"/>
      <c r="P1657" s="564" t="s">
        <v>25</v>
      </c>
      <c r="Q1657" s="564" t="s">
        <v>25</v>
      </c>
      <c r="R1657" s="572"/>
      <c r="S1657" s="609"/>
      <c r="T1657" s="741"/>
      <c r="U1657" s="586"/>
      <c r="V1657" s="564" t="s">
        <v>2899</v>
      </c>
      <c r="W1657" s="564" t="s">
        <v>25</v>
      </c>
      <c r="X1657" s="650"/>
      <c r="Y1657" s="586"/>
      <c r="Z1657" s="742"/>
      <c r="AA1657" s="586"/>
      <c r="AB1657" s="586"/>
      <c r="AC1657" s="586"/>
      <c r="AD1657" s="586"/>
      <c r="AE1657" s="714"/>
      <c r="AF1657" s="570" t="s">
        <v>2899</v>
      </c>
      <c r="AG1657" s="570" t="s">
        <v>25</v>
      </c>
      <c r="AH1657" s="571" t="s">
        <v>25</v>
      </c>
      <c r="AI1657" s="586"/>
      <c r="AJ1657" s="586"/>
    </row>
    <row r="1658" spans="1:36" s="394" customFormat="1" ht="40.5" outlineLevel="1" x14ac:dyDescent="0.25">
      <c r="A1658" s="467">
        <v>137</v>
      </c>
      <c r="B1658" s="607" t="s">
        <v>1176</v>
      </c>
      <c r="C1658" s="607"/>
      <c r="D1658" s="612"/>
      <c r="E1658" s="612"/>
      <c r="F1658" s="578"/>
      <c r="G1658" s="707">
        <v>0</v>
      </c>
      <c r="H1658" s="579">
        <v>0</v>
      </c>
      <c r="I1658" s="581"/>
      <c r="J1658" s="581"/>
      <c r="K1658" s="571">
        <v>0</v>
      </c>
      <c r="L1658" s="571">
        <v>0</v>
      </c>
      <c r="M1658" s="607"/>
      <c r="N1658" s="607"/>
      <c r="O1658" s="738">
        <v>0</v>
      </c>
      <c r="P1658" s="571"/>
      <c r="Q1658" s="571">
        <v>0</v>
      </c>
      <c r="R1658" s="582"/>
      <c r="S1658" s="621"/>
      <c r="T1658" s="739">
        <v>2</v>
      </c>
      <c r="U1658" s="578"/>
      <c r="V1658" s="571"/>
      <c r="W1658" s="571">
        <v>0</v>
      </c>
      <c r="X1658" s="650"/>
      <c r="Y1658" s="586"/>
      <c r="Z1658" s="742"/>
      <c r="AA1658" s="586"/>
      <c r="AB1658" s="586"/>
      <c r="AC1658" s="586"/>
      <c r="AD1658" s="578"/>
      <c r="AE1658" s="712">
        <f>SUBTOTAL(9,AE1659:AE1665)</f>
        <v>0</v>
      </c>
      <c r="AF1658" s="585"/>
      <c r="AG1658" s="585">
        <v>0</v>
      </c>
      <c r="AH1658" s="571">
        <v>0</v>
      </c>
      <c r="AI1658" s="578"/>
      <c r="AJ1658" s="578"/>
    </row>
    <row r="1659" spans="1:36" s="394" customFormat="1" ht="40.5" outlineLevel="2" x14ac:dyDescent="0.3">
      <c r="A1659" s="447">
        <v>137</v>
      </c>
      <c r="B1659" s="572" t="s">
        <v>1179</v>
      </c>
      <c r="C1659" s="572"/>
      <c r="D1659" s="612"/>
      <c r="E1659" s="612"/>
      <c r="F1659" s="586"/>
      <c r="G1659" s="709"/>
      <c r="H1659" s="546"/>
      <c r="I1659" s="563" t="s">
        <v>25</v>
      </c>
      <c r="J1659" s="563" t="s">
        <v>25</v>
      </c>
      <c r="K1659" s="564" t="s">
        <v>25</v>
      </c>
      <c r="L1659" s="564" t="s">
        <v>25</v>
      </c>
      <c r="M1659" s="572"/>
      <c r="N1659" s="572"/>
      <c r="O1659" s="740"/>
      <c r="P1659" s="564" t="s">
        <v>25</v>
      </c>
      <c r="Q1659" s="564" t="s">
        <v>25</v>
      </c>
      <c r="R1659" s="566" t="s">
        <v>1177</v>
      </c>
      <c r="S1659" s="609" t="s">
        <v>93</v>
      </c>
      <c r="T1659" s="741">
        <v>1</v>
      </c>
      <c r="U1659" s="586"/>
      <c r="V1659" s="564">
        <v>0</v>
      </c>
      <c r="W1659" s="564">
        <v>0</v>
      </c>
      <c r="X1659" s="650"/>
      <c r="Y1659" s="586"/>
      <c r="Z1659" s="742"/>
      <c r="AA1659" s="586"/>
      <c r="AB1659" s="586"/>
      <c r="AC1659" s="586"/>
      <c r="AD1659" s="586"/>
      <c r="AE1659" s="714"/>
      <c r="AF1659" s="570" t="s">
        <v>2899</v>
      </c>
      <c r="AG1659" s="570" t="s">
        <v>25</v>
      </c>
      <c r="AH1659" s="571" t="s">
        <v>25</v>
      </c>
      <c r="AI1659" s="586" t="s">
        <v>1178</v>
      </c>
      <c r="AJ1659" s="586"/>
    </row>
    <row r="1660" spans="1:36" s="394" customFormat="1" ht="101.25" outlineLevel="2" x14ac:dyDescent="0.3">
      <c r="A1660" s="447">
        <v>137</v>
      </c>
      <c r="B1660" s="572" t="s">
        <v>1600</v>
      </c>
      <c r="C1660" s="572"/>
      <c r="D1660" s="612"/>
      <c r="E1660" s="612"/>
      <c r="F1660" s="586"/>
      <c r="G1660" s="709"/>
      <c r="H1660" s="546"/>
      <c r="I1660" s="563" t="s">
        <v>25</v>
      </c>
      <c r="J1660" s="563" t="s">
        <v>25</v>
      </c>
      <c r="K1660" s="564" t="s">
        <v>25</v>
      </c>
      <c r="L1660" s="564" t="s">
        <v>25</v>
      </c>
      <c r="M1660" s="572"/>
      <c r="N1660" s="572"/>
      <c r="O1660" s="740"/>
      <c r="P1660" s="564" t="s">
        <v>25</v>
      </c>
      <c r="Q1660" s="564" t="s">
        <v>25</v>
      </c>
      <c r="R1660" s="566" t="s">
        <v>1180</v>
      </c>
      <c r="S1660" s="609" t="s">
        <v>93</v>
      </c>
      <c r="T1660" s="741">
        <v>1</v>
      </c>
      <c r="U1660" s="586"/>
      <c r="V1660" s="564">
        <v>0</v>
      </c>
      <c r="W1660" s="564">
        <v>0</v>
      </c>
      <c r="X1660" s="650"/>
      <c r="Y1660" s="586"/>
      <c r="Z1660" s="742"/>
      <c r="AA1660" s="586"/>
      <c r="AB1660" s="586"/>
      <c r="AC1660" s="586"/>
      <c r="AD1660" s="586"/>
      <c r="AE1660" s="714"/>
      <c r="AF1660" s="570" t="s">
        <v>2899</v>
      </c>
      <c r="AG1660" s="570" t="s">
        <v>25</v>
      </c>
      <c r="AH1660" s="571" t="s">
        <v>25</v>
      </c>
      <c r="AI1660" s="586"/>
      <c r="AJ1660" s="586"/>
    </row>
    <row r="1661" spans="1:36" s="394" customFormat="1" ht="20.25" outlineLevel="2" x14ac:dyDescent="0.3">
      <c r="A1661" s="447">
        <v>137</v>
      </c>
      <c r="B1661" s="572"/>
      <c r="C1661" s="572"/>
      <c r="D1661" s="612"/>
      <c r="E1661" s="612"/>
      <c r="F1661" s="586"/>
      <c r="G1661" s="709"/>
      <c r="H1661" s="546"/>
      <c r="I1661" s="563" t="s">
        <v>25</v>
      </c>
      <c r="J1661" s="563" t="s">
        <v>25</v>
      </c>
      <c r="K1661" s="564" t="s">
        <v>25</v>
      </c>
      <c r="L1661" s="564" t="s">
        <v>25</v>
      </c>
      <c r="M1661" s="572"/>
      <c r="N1661" s="572"/>
      <c r="O1661" s="740"/>
      <c r="P1661" s="564" t="s">
        <v>25</v>
      </c>
      <c r="Q1661" s="564" t="s">
        <v>25</v>
      </c>
      <c r="R1661" s="566"/>
      <c r="S1661" s="609"/>
      <c r="T1661" s="741"/>
      <c r="U1661" s="586"/>
      <c r="V1661" s="564" t="s">
        <v>2899</v>
      </c>
      <c r="W1661" s="564" t="s">
        <v>25</v>
      </c>
      <c r="X1661" s="650"/>
      <c r="Y1661" s="586"/>
      <c r="Z1661" s="742"/>
      <c r="AA1661" s="586"/>
      <c r="AB1661" s="586"/>
      <c r="AC1661" s="586"/>
      <c r="AD1661" s="586"/>
      <c r="AE1661" s="714"/>
      <c r="AF1661" s="570" t="s">
        <v>2899</v>
      </c>
      <c r="AG1661" s="570" t="s">
        <v>25</v>
      </c>
      <c r="AH1661" s="571" t="s">
        <v>25</v>
      </c>
      <c r="AI1661" s="586"/>
      <c r="AJ1661" s="586"/>
    </row>
    <row r="1662" spans="1:36" s="394" customFormat="1" ht="20.25" outlineLevel="2" x14ac:dyDescent="0.3">
      <c r="A1662" s="447">
        <v>137</v>
      </c>
      <c r="B1662" s="572"/>
      <c r="C1662" s="572"/>
      <c r="D1662" s="612"/>
      <c r="E1662" s="612"/>
      <c r="F1662" s="586"/>
      <c r="G1662" s="709"/>
      <c r="H1662" s="546"/>
      <c r="I1662" s="563" t="s">
        <v>25</v>
      </c>
      <c r="J1662" s="563" t="s">
        <v>25</v>
      </c>
      <c r="K1662" s="564" t="s">
        <v>25</v>
      </c>
      <c r="L1662" s="564" t="s">
        <v>25</v>
      </c>
      <c r="M1662" s="572"/>
      <c r="N1662" s="572"/>
      <c r="O1662" s="740"/>
      <c r="P1662" s="564" t="s">
        <v>25</v>
      </c>
      <c r="Q1662" s="564" t="s">
        <v>25</v>
      </c>
      <c r="R1662" s="566"/>
      <c r="S1662" s="609"/>
      <c r="T1662" s="741"/>
      <c r="U1662" s="586"/>
      <c r="V1662" s="564" t="s">
        <v>2899</v>
      </c>
      <c r="W1662" s="564" t="s">
        <v>25</v>
      </c>
      <c r="X1662" s="650"/>
      <c r="Y1662" s="586"/>
      <c r="Z1662" s="742"/>
      <c r="AA1662" s="586"/>
      <c r="AB1662" s="586"/>
      <c r="AC1662" s="586"/>
      <c r="AD1662" s="586"/>
      <c r="AE1662" s="714"/>
      <c r="AF1662" s="570" t="s">
        <v>2899</v>
      </c>
      <c r="AG1662" s="570" t="s">
        <v>25</v>
      </c>
      <c r="AH1662" s="571" t="s">
        <v>25</v>
      </c>
      <c r="AI1662" s="586"/>
      <c r="AJ1662" s="586"/>
    </row>
    <row r="1663" spans="1:36" s="394" customFormat="1" ht="20.25" outlineLevel="2" x14ac:dyDescent="0.3">
      <c r="A1663" s="447">
        <v>137</v>
      </c>
      <c r="B1663" s="572"/>
      <c r="C1663" s="572"/>
      <c r="D1663" s="612"/>
      <c r="E1663" s="612"/>
      <c r="F1663" s="586"/>
      <c r="G1663" s="709"/>
      <c r="H1663" s="546"/>
      <c r="I1663" s="563" t="s">
        <v>25</v>
      </c>
      <c r="J1663" s="563" t="s">
        <v>25</v>
      </c>
      <c r="K1663" s="564" t="s">
        <v>25</v>
      </c>
      <c r="L1663" s="564" t="s">
        <v>25</v>
      </c>
      <c r="M1663" s="572"/>
      <c r="N1663" s="572"/>
      <c r="O1663" s="740"/>
      <c r="P1663" s="564" t="s">
        <v>25</v>
      </c>
      <c r="Q1663" s="564" t="s">
        <v>25</v>
      </c>
      <c r="R1663" s="566"/>
      <c r="S1663" s="609"/>
      <c r="T1663" s="741"/>
      <c r="U1663" s="586"/>
      <c r="V1663" s="564" t="s">
        <v>2899</v>
      </c>
      <c r="W1663" s="564" t="s">
        <v>25</v>
      </c>
      <c r="X1663" s="650"/>
      <c r="Y1663" s="586"/>
      <c r="Z1663" s="742"/>
      <c r="AA1663" s="586"/>
      <c r="AB1663" s="586"/>
      <c r="AC1663" s="586"/>
      <c r="AD1663" s="586"/>
      <c r="AE1663" s="714"/>
      <c r="AF1663" s="570" t="s">
        <v>2899</v>
      </c>
      <c r="AG1663" s="570" t="s">
        <v>25</v>
      </c>
      <c r="AH1663" s="571" t="s">
        <v>25</v>
      </c>
      <c r="AI1663" s="572"/>
      <c r="AJ1663" s="572"/>
    </row>
    <row r="1664" spans="1:36" s="394" customFormat="1" ht="20.25" outlineLevel="2" x14ac:dyDescent="0.3">
      <c r="A1664" s="447">
        <v>137</v>
      </c>
      <c r="B1664" s="572"/>
      <c r="C1664" s="572"/>
      <c r="D1664" s="612"/>
      <c r="E1664" s="612"/>
      <c r="F1664" s="586"/>
      <c r="G1664" s="709"/>
      <c r="H1664" s="546"/>
      <c r="I1664" s="563" t="s">
        <v>25</v>
      </c>
      <c r="J1664" s="563" t="s">
        <v>25</v>
      </c>
      <c r="K1664" s="564" t="s">
        <v>25</v>
      </c>
      <c r="L1664" s="564" t="s">
        <v>25</v>
      </c>
      <c r="M1664" s="572"/>
      <c r="N1664" s="572"/>
      <c r="O1664" s="740"/>
      <c r="P1664" s="564" t="s">
        <v>25</v>
      </c>
      <c r="Q1664" s="564" t="s">
        <v>25</v>
      </c>
      <c r="R1664" s="566"/>
      <c r="S1664" s="609"/>
      <c r="T1664" s="741"/>
      <c r="U1664" s="586"/>
      <c r="V1664" s="564" t="s">
        <v>2899</v>
      </c>
      <c r="W1664" s="564" t="s">
        <v>25</v>
      </c>
      <c r="X1664" s="650"/>
      <c r="Y1664" s="586"/>
      <c r="Z1664" s="742"/>
      <c r="AA1664" s="586"/>
      <c r="AB1664" s="586"/>
      <c r="AC1664" s="586"/>
      <c r="AD1664" s="586"/>
      <c r="AE1664" s="714"/>
      <c r="AF1664" s="570" t="s">
        <v>2899</v>
      </c>
      <c r="AG1664" s="570" t="s">
        <v>25</v>
      </c>
      <c r="AH1664" s="571" t="s">
        <v>25</v>
      </c>
      <c r="AI1664" s="586"/>
      <c r="AJ1664" s="586"/>
    </row>
    <row r="1665" spans="1:36" s="394" customFormat="1" ht="20.25" outlineLevel="2" x14ac:dyDescent="0.3">
      <c r="A1665" s="447">
        <v>137</v>
      </c>
      <c r="B1665" s="607"/>
      <c r="C1665" s="607"/>
      <c r="D1665" s="642"/>
      <c r="E1665" s="642"/>
      <c r="F1665" s="586"/>
      <c r="G1665" s="709"/>
      <c r="H1665" s="546"/>
      <c r="I1665" s="563" t="s">
        <v>25</v>
      </c>
      <c r="J1665" s="563" t="s">
        <v>25</v>
      </c>
      <c r="K1665" s="564" t="s">
        <v>25</v>
      </c>
      <c r="L1665" s="564" t="s">
        <v>25</v>
      </c>
      <c r="M1665" s="572"/>
      <c r="N1665" s="572"/>
      <c r="O1665" s="740"/>
      <c r="P1665" s="564" t="s">
        <v>25</v>
      </c>
      <c r="Q1665" s="564" t="s">
        <v>25</v>
      </c>
      <c r="R1665" s="566"/>
      <c r="S1665" s="609"/>
      <c r="T1665" s="741"/>
      <c r="U1665" s="586"/>
      <c r="V1665" s="564" t="s">
        <v>2899</v>
      </c>
      <c r="W1665" s="564" t="s">
        <v>25</v>
      </c>
      <c r="X1665" s="650"/>
      <c r="Y1665" s="586"/>
      <c r="Z1665" s="742"/>
      <c r="AA1665" s="586"/>
      <c r="AB1665" s="586"/>
      <c r="AC1665" s="586"/>
      <c r="AD1665" s="586"/>
      <c r="AE1665" s="714"/>
      <c r="AF1665" s="570" t="s">
        <v>2899</v>
      </c>
      <c r="AG1665" s="570" t="s">
        <v>25</v>
      </c>
      <c r="AH1665" s="571" t="s">
        <v>25</v>
      </c>
      <c r="AI1665" s="586"/>
      <c r="AJ1665" s="586"/>
    </row>
    <row r="1666" spans="1:36" s="394" customFormat="1" ht="40.5" outlineLevel="1" x14ac:dyDescent="0.25">
      <c r="A1666" s="467">
        <v>138</v>
      </c>
      <c r="B1666" s="607" t="s">
        <v>1448</v>
      </c>
      <c r="C1666" s="586" t="s">
        <v>2903</v>
      </c>
      <c r="D1666" s="612">
        <v>86</v>
      </c>
      <c r="E1666" s="612">
        <v>25</v>
      </c>
      <c r="F1666" s="578"/>
      <c r="G1666" s="707">
        <v>11.9</v>
      </c>
      <c r="H1666" s="579">
        <v>11.9</v>
      </c>
      <c r="I1666" s="581"/>
      <c r="J1666" s="581"/>
      <c r="K1666" s="571">
        <v>6597000</v>
      </c>
      <c r="L1666" s="571">
        <v>19792000</v>
      </c>
      <c r="M1666" s="607"/>
      <c r="N1666" s="607"/>
      <c r="O1666" s="738">
        <v>0</v>
      </c>
      <c r="P1666" s="571"/>
      <c r="Q1666" s="571">
        <v>0</v>
      </c>
      <c r="R1666" s="582"/>
      <c r="S1666" s="621"/>
      <c r="T1666" s="739">
        <v>0</v>
      </c>
      <c r="U1666" s="578"/>
      <c r="V1666" s="571"/>
      <c r="W1666" s="571">
        <v>0</v>
      </c>
      <c r="X1666" s="650"/>
      <c r="Y1666" s="586"/>
      <c r="Z1666" s="742"/>
      <c r="AA1666" s="586"/>
      <c r="AB1666" s="586"/>
      <c r="AC1666" s="586"/>
      <c r="AD1666" s="578"/>
      <c r="AE1666" s="712">
        <f>SUBTOTAL(9,AE1667:AE1674)</f>
        <v>0</v>
      </c>
      <c r="AF1666" s="585"/>
      <c r="AG1666" s="585">
        <v>0</v>
      </c>
      <c r="AH1666" s="571">
        <v>26389000</v>
      </c>
      <c r="AI1666" s="578"/>
      <c r="AJ1666" s="578"/>
    </row>
    <row r="1667" spans="1:36" s="394" customFormat="1" ht="263.25" outlineLevel="2" x14ac:dyDescent="0.3">
      <c r="A1667" s="447">
        <v>138</v>
      </c>
      <c r="B1667" s="572" t="s">
        <v>1450</v>
      </c>
      <c r="C1667" s="572"/>
      <c r="D1667" s="612"/>
      <c r="E1667" s="612"/>
      <c r="F1667" s="586" t="s">
        <v>2420</v>
      </c>
      <c r="G1667" s="709">
        <v>11.9</v>
      </c>
      <c r="H1667" s="546">
        <v>11.9</v>
      </c>
      <c r="I1667" s="563">
        <v>554400</v>
      </c>
      <c r="J1667" s="563">
        <v>1663200</v>
      </c>
      <c r="K1667" s="564">
        <v>6597000</v>
      </c>
      <c r="L1667" s="564">
        <v>19792000</v>
      </c>
      <c r="M1667" s="572"/>
      <c r="N1667" s="572"/>
      <c r="O1667" s="740"/>
      <c r="P1667" s="564"/>
      <c r="Q1667" s="564"/>
      <c r="R1667" s="566"/>
      <c r="S1667" s="609"/>
      <c r="T1667" s="741"/>
      <c r="U1667" s="586"/>
      <c r="V1667" s="564"/>
      <c r="W1667" s="564"/>
      <c r="X1667" s="650"/>
      <c r="Y1667" s="586"/>
      <c r="Z1667" s="742"/>
      <c r="AA1667" s="586"/>
      <c r="AB1667" s="586"/>
      <c r="AC1667" s="586"/>
      <c r="AD1667" s="586"/>
      <c r="AE1667" s="714"/>
      <c r="AF1667" s="570"/>
      <c r="AG1667" s="570"/>
      <c r="AH1667" s="571" t="s">
        <v>25</v>
      </c>
      <c r="AI1667" s="586" t="s">
        <v>2466</v>
      </c>
      <c r="AJ1667" s="586" t="s">
        <v>2771</v>
      </c>
    </row>
    <row r="1668" spans="1:36" s="394" customFormat="1" ht="101.25" outlineLevel="2" x14ac:dyDescent="0.3">
      <c r="A1668" s="447">
        <v>138</v>
      </c>
      <c r="B1668" s="572" t="s">
        <v>1634</v>
      </c>
      <c r="C1668" s="572"/>
      <c r="D1668" s="612"/>
      <c r="E1668" s="612"/>
      <c r="F1668" s="586"/>
      <c r="G1668" s="709"/>
      <c r="H1668" s="546"/>
      <c r="I1668" s="563" t="s">
        <v>25</v>
      </c>
      <c r="J1668" s="563" t="s">
        <v>25</v>
      </c>
      <c r="K1668" s="564" t="s">
        <v>25</v>
      </c>
      <c r="L1668" s="564" t="s">
        <v>25</v>
      </c>
      <c r="M1668" s="572"/>
      <c r="N1668" s="572"/>
      <c r="O1668" s="740"/>
      <c r="P1668" s="564"/>
      <c r="Q1668" s="564"/>
      <c r="R1668" s="566"/>
      <c r="S1668" s="609"/>
      <c r="T1668" s="741"/>
      <c r="U1668" s="586"/>
      <c r="V1668" s="564"/>
      <c r="W1668" s="564"/>
      <c r="X1668" s="650"/>
      <c r="Y1668" s="586"/>
      <c r="Z1668" s="742"/>
      <c r="AA1668" s="586"/>
      <c r="AB1668" s="586"/>
      <c r="AC1668" s="586"/>
      <c r="AD1668" s="586"/>
      <c r="AE1668" s="714"/>
      <c r="AF1668" s="570"/>
      <c r="AG1668" s="570"/>
      <c r="AH1668" s="571" t="s">
        <v>25</v>
      </c>
      <c r="AI1668" s="586" t="s">
        <v>2074</v>
      </c>
      <c r="AJ1668" s="605" t="s">
        <v>2448</v>
      </c>
    </row>
    <row r="1669" spans="1:36" s="394" customFormat="1" ht="20.25" outlineLevel="2" x14ac:dyDescent="0.3">
      <c r="A1669" s="447">
        <v>138</v>
      </c>
      <c r="B1669" s="572"/>
      <c r="C1669" s="572"/>
      <c r="D1669" s="612"/>
      <c r="E1669" s="612"/>
      <c r="F1669" s="586"/>
      <c r="G1669" s="709"/>
      <c r="H1669" s="546"/>
      <c r="I1669" s="563" t="s">
        <v>25</v>
      </c>
      <c r="J1669" s="563" t="s">
        <v>25</v>
      </c>
      <c r="K1669" s="564" t="s">
        <v>25</v>
      </c>
      <c r="L1669" s="564" t="s">
        <v>25</v>
      </c>
      <c r="M1669" s="572"/>
      <c r="N1669" s="572"/>
      <c r="O1669" s="740"/>
      <c r="P1669" s="564"/>
      <c r="Q1669" s="564"/>
      <c r="R1669" s="566"/>
      <c r="S1669" s="609"/>
      <c r="T1669" s="741"/>
      <c r="U1669" s="586"/>
      <c r="V1669" s="564"/>
      <c r="W1669" s="564"/>
      <c r="X1669" s="650"/>
      <c r="Y1669" s="586"/>
      <c r="Z1669" s="742"/>
      <c r="AA1669" s="586"/>
      <c r="AB1669" s="586"/>
      <c r="AC1669" s="586"/>
      <c r="AD1669" s="586"/>
      <c r="AE1669" s="714"/>
      <c r="AF1669" s="570"/>
      <c r="AG1669" s="570"/>
      <c r="AH1669" s="571" t="s">
        <v>25</v>
      </c>
      <c r="AI1669" s="586"/>
      <c r="AJ1669" s="586"/>
    </row>
    <row r="1670" spans="1:36" s="394" customFormat="1" ht="20.25" outlineLevel="2" x14ac:dyDescent="0.3">
      <c r="A1670" s="447">
        <v>138</v>
      </c>
      <c r="B1670" s="572"/>
      <c r="C1670" s="572"/>
      <c r="D1670" s="612"/>
      <c r="E1670" s="612"/>
      <c r="F1670" s="586"/>
      <c r="G1670" s="709"/>
      <c r="H1670" s="546"/>
      <c r="I1670" s="563" t="s">
        <v>25</v>
      </c>
      <c r="J1670" s="563" t="s">
        <v>25</v>
      </c>
      <c r="K1670" s="564" t="s">
        <v>25</v>
      </c>
      <c r="L1670" s="564" t="s">
        <v>25</v>
      </c>
      <c r="M1670" s="572"/>
      <c r="N1670" s="572"/>
      <c r="O1670" s="740"/>
      <c r="P1670" s="564"/>
      <c r="Q1670" s="564"/>
      <c r="R1670" s="566"/>
      <c r="S1670" s="609"/>
      <c r="T1670" s="741"/>
      <c r="U1670" s="586"/>
      <c r="V1670" s="564"/>
      <c r="W1670" s="564"/>
      <c r="X1670" s="650"/>
      <c r="Y1670" s="586"/>
      <c r="Z1670" s="742"/>
      <c r="AA1670" s="586"/>
      <c r="AB1670" s="586"/>
      <c r="AC1670" s="586"/>
      <c r="AD1670" s="586"/>
      <c r="AE1670" s="714"/>
      <c r="AF1670" s="570"/>
      <c r="AG1670" s="570"/>
      <c r="AH1670" s="571" t="s">
        <v>25</v>
      </c>
      <c r="AI1670" s="586"/>
      <c r="AJ1670" s="586"/>
    </row>
    <row r="1671" spans="1:36" s="394" customFormat="1" ht="20.25" outlineLevel="2" x14ac:dyDescent="0.3">
      <c r="A1671" s="447">
        <v>138</v>
      </c>
      <c r="B1671" s="572"/>
      <c r="C1671" s="572"/>
      <c r="D1671" s="612"/>
      <c r="E1671" s="612"/>
      <c r="F1671" s="586"/>
      <c r="G1671" s="709"/>
      <c r="H1671" s="546"/>
      <c r="I1671" s="563" t="s">
        <v>25</v>
      </c>
      <c r="J1671" s="563" t="s">
        <v>25</v>
      </c>
      <c r="K1671" s="564" t="s">
        <v>25</v>
      </c>
      <c r="L1671" s="564" t="s">
        <v>25</v>
      </c>
      <c r="M1671" s="572"/>
      <c r="N1671" s="572"/>
      <c r="O1671" s="740"/>
      <c r="P1671" s="564"/>
      <c r="Q1671" s="564"/>
      <c r="R1671" s="566"/>
      <c r="S1671" s="609"/>
      <c r="T1671" s="741"/>
      <c r="U1671" s="586"/>
      <c r="V1671" s="564"/>
      <c r="W1671" s="564"/>
      <c r="X1671" s="650"/>
      <c r="Y1671" s="586"/>
      <c r="Z1671" s="742"/>
      <c r="AA1671" s="586"/>
      <c r="AB1671" s="586"/>
      <c r="AC1671" s="586"/>
      <c r="AD1671" s="586"/>
      <c r="AE1671" s="714"/>
      <c r="AF1671" s="570"/>
      <c r="AG1671" s="570"/>
      <c r="AH1671" s="571" t="s">
        <v>25</v>
      </c>
      <c r="AI1671" s="586"/>
      <c r="AJ1671" s="586"/>
    </row>
    <row r="1672" spans="1:36" s="394" customFormat="1" ht="20.25" outlineLevel="2" x14ac:dyDescent="0.3">
      <c r="A1672" s="447">
        <v>138</v>
      </c>
      <c r="B1672" s="572"/>
      <c r="C1672" s="572"/>
      <c r="D1672" s="612"/>
      <c r="E1672" s="612"/>
      <c r="F1672" s="586"/>
      <c r="G1672" s="709"/>
      <c r="H1672" s="546"/>
      <c r="I1672" s="563" t="s">
        <v>25</v>
      </c>
      <c r="J1672" s="563" t="s">
        <v>25</v>
      </c>
      <c r="K1672" s="564" t="s">
        <v>25</v>
      </c>
      <c r="L1672" s="564" t="s">
        <v>25</v>
      </c>
      <c r="M1672" s="572"/>
      <c r="N1672" s="572"/>
      <c r="O1672" s="740"/>
      <c r="P1672" s="564"/>
      <c r="Q1672" s="564"/>
      <c r="R1672" s="566"/>
      <c r="S1672" s="609"/>
      <c r="T1672" s="741"/>
      <c r="U1672" s="586"/>
      <c r="V1672" s="564"/>
      <c r="W1672" s="564"/>
      <c r="X1672" s="650"/>
      <c r="Y1672" s="586"/>
      <c r="Z1672" s="742"/>
      <c r="AA1672" s="586"/>
      <c r="AB1672" s="586"/>
      <c r="AC1672" s="586"/>
      <c r="AD1672" s="586"/>
      <c r="AE1672" s="714"/>
      <c r="AF1672" s="570"/>
      <c r="AG1672" s="570"/>
      <c r="AH1672" s="571" t="s">
        <v>25</v>
      </c>
      <c r="AI1672" s="586"/>
      <c r="AJ1672" s="586"/>
    </row>
    <row r="1673" spans="1:36" s="394" customFormat="1" ht="20.25" outlineLevel="2" x14ac:dyDescent="0.3">
      <c r="A1673" s="447">
        <v>138</v>
      </c>
      <c r="B1673" s="572"/>
      <c r="C1673" s="572"/>
      <c r="D1673" s="612"/>
      <c r="E1673" s="612"/>
      <c r="F1673" s="586"/>
      <c r="G1673" s="709"/>
      <c r="H1673" s="546"/>
      <c r="I1673" s="563" t="s">
        <v>25</v>
      </c>
      <c r="J1673" s="563" t="s">
        <v>25</v>
      </c>
      <c r="K1673" s="564" t="s">
        <v>25</v>
      </c>
      <c r="L1673" s="564" t="s">
        <v>25</v>
      </c>
      <c r="M1673" s="572"/>
      <c r="N1673" s="572"/>
      <c r="O1673" s="740"/>
      <c r="P1673" s="564"/>
      <c r="Q1673" s="564"/>
      <c r="R1673" s="566"/>
      <c r="S1673" s="609"/>
      <c r="T1673" s="741"/>
      <c r="U1673" s="586"/>
      <c r="V1673" s="564"/>
      <c r="W1673" s="564"/>
      <c r="X1673" s="650"/>
      <c r="Y1673" s="586"/>
      <c r="Z1673" s="742"/>
      <c r="AA1673" s="586"/>
      <c r="AB1673" s="586"/>
      <c r="AC1673" s="586"/>
      <c r="AD1673" s="586"/>
      <c r="AE1673" s="714"/>
      <c r="AF1673" s="570"/>
      <c r="AG1673" s="570"/>
      <c r="AH1673" s="571" t="s">
        <v>25</v>
      </c>
      <c r="AI1673" s="586"/>
      <c r="AJ1673" s="586"/>
    </row>
    <row r="1674" spans="1:36" s="394" customFormat="1" ht="20.25" outlineLevel="2" x14ac:dyDescent="0.3">
      <c r="A1674" s="447">
        <v>138</v>
      </c>
      <c r="B1674" s="607"/>
      <c r="C1674" s="607"/>
      <c r="D1674" s="642"/>
      <c r="E1674" s="642"/>
      <c r="F1674" s="586"/>
      <c r="G1674" s="709"/>
      <c r="H1674" s="546"/>
      <c r="I1674" s="563" t="s">
        <v>25</v>
      </c>
      <c r="J1674" s="563" t="s">
        <v>25</v>
      </c>
      <c r="K1674" s="564" t="s">
        <v>25</v>
      </c>
      <c r="L1674" s="564" t="s">
        <v>25</v>
      </c>
      <c r="M1674" s="572"/>
      <c r="N1674" s="572"/>
      <c r="O1674" s="740"/>
      <c r="P1674" s="564"/>
      <c r="Q1674" s="564"/>
      <c r="R1674" s="566"/>
      <c r="S1674" s="609"/>
      <c r="T1674" s="741"/>
      <c r="U1674" s="586"/>
      <c r="V1674" s="564"/>
      <c r="W1674" s="564"/>
      <c r="X1674" s="650"/>
      <c r="Y1674" s="586"/>
      <c r="Z1674" s="742"/>
      <c r="AA1674" s="586"/>
      <c r="AB1674" s="586"/>
      <c r="AC1674" s="586"/>
      <c r="AD1674" s="586"/>
      <c r="AE1674" s="714"/>
      <c r="AF1674" s="570"/>
      <c r="AG1674" s="570"/>
      <c r="AH1674" s="571" t="s">
        <v>25</v>
      </c>
      <c r="AI1674" s="586"/>
      <c r="AJ1674" s="586"/>
    </row>
    <row r="1675" spans="1:36" s="396" customFormat="1" ht="40.5" outlineLevel="1" x14ac:dyDescent="0.25">
      <c r="A1675" s="467">
        <v>139</v>
      </c>
      <c r="B1675" s="607" t="s">
        <v>1181</v>
      </c>
      <c r="C1675" s="586" t="s">
        <v>2903</v>
      </c>
      <c r="D1675" s="612">
        <v>86</v>
      </c>
      <c r="E1675" s="612">
        <v>1514</v>
      </c>
      <c r="F1675" s="578"/>
      <c r="G1675" s="707">
        <v>93.2</v>
      </c>
      <c r="H1675" s="579">
        <v>53.2</v>
      </c>
      <c r="I1675" s="581"/>
      <c r="J1675" s="581"/>
      <c r="K1675" s="571">
        <v>50765000</v>
      </c>
      <c r="L1675" s="571">
        <v>88482000</v>
      </c>
      <c r="M1675" s="607"/>
      <c r="N1675" s="607"/>
      <c r="O1675" s="738">
        <v>0</v>
      </c>
      <c r="P1675" s="571"/>
      <c r="Q1675" s="571">
        <v>0</v>
      </c>
      <c r="R1675" s="582"/>
      <c r="S1675" s="621"/>
      <c r="T1675" s="739">
        <v>0</v>
      </c>
      <c r="U1675" s="578"/>
      <c r="V1675" s="571"/>
      <c r="W1675" s="571">
        <v>0</v>
      </c>
      <c r="X1675" s="650"/>
      <c r="Y1675" s="586"/>
      <c r="Z1675" s="742"/>
      <c r="AA1675" s="586"/>
      <c r="AB1675" s="586"/>
      <c r="AC1675" s="586"/>
      <c r="AD1675" s="602"/>
      <c r="AE1675" s="581">
        <f>SUBTOTAL(9,AE1676:AE1684)</f>
        <v>0</v>
      </c>
      <c r="AF1675" s="585"/>
      <c r="AG1675" s="585">
        <v>0</v>
      </c>
      <c r="AH1675" s="571">
        <v>139247000</v>
      </c>
      <c r="AI1675" s="578"/>
      <c r="AJ1675" s="578"/>
    </row>
    <row r="1676" spans="1:36" s="396" customFormat="1" ht="121.5" outlineLevel="2" x14ac:dyDescent="0.3">
      <c r="A1676" s="447">
        <v>139</v>
      </c>
      <c r="B1676" s="572" t="s">
        <v>1184</v>
      </c>
      <c r="C1676" s="572"/>
      <c r="D1676" s="612">
        <v>86</v>
      </c>
      <c r="E1676" s="612">
        <v>1514</v>
      </c>
      <c r="F1676" s="586" t="s">
        <v>2420</v>
      </c>
      <c r="G1676" s="709">
        <v>53.2</v>
      </c>
      <c r="H1676" s="546">
        <v>53.2</v>
      </c>
      <c r="I1676" s="563">
        <v>554400</v>
      </c>
      <c r="J1676" s="563">
        <v>1663200</v>
      </c>
      <c r="K1676" s="564">
        <v>29494000</v>
      </c>
      <c r="L1676" s="564">
        <v>88482000</v>
      </c>
      <c r="M1676" s="572"/>
      <c r="N1676" s="572"/>
      <c r="O1676" s="740"/>
      <c r="P1676" s="564" t="s">
        <v>25</v>
      </c>
      <c r="Q1676" s="564" t="s">
        <v>25</v>
      </c>
      <c r="R1676" s="566"/>
      <c r="S1676" s="609"/>
      <c r="T1676" s="741"/>
      <c r="U1676" s="586"/>
      <c r="V1676" s="564" t="s">
        <v>2899</v>
      </c>
      <c r="W1676" s="564" t="s">
        <v>25</v>
      </c>
      <c r="X1676" s="650"/>
      <c r="Y1676" s="586"/>
      <c r="Z1676" s="742"/>
      <c r="AA1676" s="586"/>
      <c r="AB1676" s="586"/>
      <c r="AC1676" s="586"/>
      <c r="AD1676" s="569"/>
      <c r="AE1676" s="563"/>
      <c r="AF1676" s="570"/>
      <c r="AG1676" s="570"/>
      <c r="AH1676" s="571" t="s">
        <v>25</v>
      </c>
      <c r="AI1676" s="586" t="s">
        <v>1183</v>
      </c>
      <c r="AJ1676" s="586" t="s">
        <v>2771</v>
      </c>
    </row>
    <row r="1677" spans="1:36" s="394" customFormat="1" ht="81" outlineLevel="2" x14ac:dyDescent="0.3">
      <c r="A1677" s="447">
        <v>139</v>
      </c>
      <c r="B1677" s="607" t="s">
        <v>1186</v>
      </c>
      <c r="C1677" s="607"/>
      <c r="D1677" s="744"/>
      <c r="E1677" s="744"/>
      <c r="F1677" s="586" t="s">
        <v>2455</v>
      </c>
      <c r="G1677" s="709">
        <v>40</v>
      </c>
      <c r="H1677" s="546" t="s">
        <v>2899</v>
      </c>
      <c r="I1677" s="563">
        <v>531787.19999999995</v>
      </c>
      <c r="J1677" s="563">
        <v>0</v>
      </c>
      <c r="K1677" s="564">
        <v>21271000</v>
      </c>
      <c r="L1677" s="564">
        <v>0</v>
      </c>
      <c r="M1677" s="572"/>
      <c r="N1677" s="572"/>
      <c r="O1677" s="740"/>
      <c r="P1677" s="564" t="s">
        <v>25</v>
      </c>
      <c r="Q1677" s="564" t="s">
        <v>25</v>
      </c>
      <c r="R1677" s="566"/>
      <c r="S1677" s="609"/>
      <c r="T1677" s="741"/>
      <c r="U1677" s="586"/>
      <c r="V1677" s="564" t="s">
        <v>2899</v>
      </c>
      <c r="W1677" s="564" t="s">
        <v>25</v>
      </c>
      <c r="X1677" s="650"/>
      <c r="Y1677" s="586"/>
      <c r="Z1677" s="742"/>
      <c r="AA1677" s="586"/>
      <c r="AB1677" s="586"/>
      <c r="AC1677" s="586"/>
      <c r="AD1677" s="569"/>
      <c r="AE1677" s="590"/>
      <c r="AF1677" s="570" t="s">
        <v>2899</v>
      </c>
      <c r="AG1677" s="570" t="s">
        <v>25</v>
      </c>
      <c r="AH1677" s="571" t="s">
        <v>25</v>
      </c>
      <c r="AI1677" s="586" t="s">
        <v>1185</v>
      </c>
      <c r="AJ1677" s="605" t="s">
        <v>2448</v>
      </c>
    </row>
    <row r="1678" spans="1:36" s="396" customFormat="1" ht="60.75" outlineLevel="2" x14ac:dyDescent="0.3">
      <c r="A1678" s="447">
        <v>139</v>
      </c>
      <c r="B1678" s="572" t="s">
        <v>1189</v>
      </c>
      <c r="C1678" s="572"/>
      <c r="D1678" s="612"/>
      <c r="E1678" s="612"/>
      <c r="F1678" s="731"/>
      <c r="G1678" s="745"/>
      <c r="H1678" s="546"/>
      <c r="I1678" s="563" t="s">
        <v>25</v>
      </c>
      <c r="J1678" s="563" t="s">
        <v>25</v>
      </c>
      <c r="K1678" s="564" t="s">
        <v>25</v>
      </c>
      <c r="L1678" s="564" t="s">
        <v>25</v>
      </c>
      <c r="M1678" s="572"/>
      <c r="N1678" s="572"/>
      <c r="O1678" s="740"/>
      <c r="P1678" s="564" t="s">
        <v>25</v>
      </c>
      <c r="Q1678" s="564" t="s">
        <v>25</v>
      </c>
      <c r="R1678" s="566"/>
      <c r="S1678" s="609"/>
      <c r="T1678" s="741"/>
      <c r="U1678" s="586"/>
      <c r="V1678" s="564" t="s">
        <v>2899</v>
      </c>
      <c r="W1678" s="564" t="s">
        <v>25</v>
      </c>
      <c r="X1678" s="650"/>
      <c r="Y1678" s="586"/>
      <c r="Z1678" s="742"/>
      <c r="AA1678" s="586"/>
      <c r="AB1678" s="586"/>
      <c r="AC1678" s="586"/>
      <c r="AD1678" s="606"/>
      <c r="AE1678" s="590"/>
      <c r="AF1678" s="570" t="s">
        <v>2899</v>
      </c>
      <c r="AG1678" s="570" t="s">
        <v>25</v>
      </c>
      <c r="AH1678" s="571" t="s">
        <v>25</v>
      </c>
      <c r="AI1678" s="572" t="s">
        <v>2074</v>
      </c>
      <c r="AJ1678" s="586"/>
    </row>
    <row r="1679" spans="1:36" s="394" customFormat="1" ht="81" outlineLevel="2" x14ac:dyDescent="0.3">
      <c r="A1679" s="447">
        <v>139</v>
      </c>
      <c r="B1679" s="572" t="s">
        <v>1601</v>
      </c>
      <c r="C1679" s="572"/>
      <c r="D1679" s="612"/>
      <c r="E1679" s="612"/>
      <c r="F1679" s="586"/>
      <c r="G1679" s="709"/>
      <c r="H1679" s="546"/>
      <c r="I1679" s="563" t="s">
        <v>25</v>
      </c>
      <c r="J1679" s="563" t="s">
        <v>25</v>
      </c>
      <c r="K1679" s="564" t="s">
        <v>25</v>
      </c>
      <c r="L1679" s="564" t="s">
        <v>25</v>
      </c>
      <c r="M1679" s="572"/>
      <c r="N1679" s="572"/>
      <c r="O1679" s="740"/>
      <c r="P1679" s="564" t="s">
        <v>25</v>
      </c>
      <c r="Q1679" s="564" t="s">
        <v>25</v>
      </c>
      <c r="R1679" s="566"/>
      <c r="S1679" s="609"/>
      <c r="T1679" s="741"/>
      <c r="U1679" s="586"/>
      <c r="V1679" s="564" t="s">
        <v>2899</v>
      </c>
      <c r="W1679" s="564" t="s">
        <v>25</v>
      </c>
      <c r="X1679" s="650"/>
      <c r="Y1679" s="586"/>
      <c r="Z1679" s="742"/>
      <c r="AA1679" s="586"/>
      <c r="AB1679" s="586"/>
      <c r="AC1679" s="586"/>
      <c r="AD1679" s="586"/>
      <c r="AE1679" s="714"/>
      <c r="AF1679" s="570" t="s">
        <v>2899</v>
      </c>
      <c r="AG1679" s="570" t="s">
        <v>25</v>
      </c>
      <c r="AH1679" s="571" t="s">
        <v>25</v>
      </c>
      <c r="AI1679" s="731"/>
      <c r="AJ1679" s="586"/>
    </row>
    <row r="1680" spans="1:36" s="394" customFormat="1" ht="20.25" outlineLevel="2" x14ac:dyDescent="0.3">
      <c r="A1680" s="447">
        <v>139</v>
      </c>
      <c r="B1680" s="572"/>
      <c r="C1680" s="572"/>
      <c r="D1680" s="612"/>
      <c r="E1680" s="612"/>
      <c r="F1680" s="586"/>
      <c r="G1680" s="709"/>
      <c r="H1680" s="546"/>
      <c r="I1680" s="563" t="s">
        <v>25</v>
      </c>
      <c r="J1680" s="563" t="s">
        <v>25</v>
      </c>
      <c r="K1680" s="564" t="s">
        <v>25</v>
      </c>
      <c r="L1680" s="564" t="s">
        <v>25</v>
      </c>
      <c r="M1680" s="572"/>
      <c r="N1680" s="572"/>
      <c r="O1680" s="740"/>
      <c r="P1680" s="564" t="s">
        <v>25</v>
      </c>
      <c r="Q1680" s="564" t="s">
        <v>25</v>
      </c>
      <c r="R1680" s="566"/>
      <c r="S1680" s="609"/>
      <c r="T1680" s="741"/>
      <c r="U1680" s="586"/>
      <c r="V1680" s="564" t="s">
        <v>2899</v>
      </c>
      <c r="W1680" s="564" t="s">
        <v>25</v>
      </c>
      <c r="X1680" s="650"/>
      <c r="Y1680" s="586"/>
      <c r="Z1680" s="742"/>
      <c r="AA1680" s="586"/>
      <c r="AB1680" s="586"/>
      <c r="AC1680" s="586"/>
      <c r="AD1680" s="586"/>
      <c r="AE1680" s="714"/>
      <c r="AF1680" s="570" t="s">
        <v>2899</v>
      </c>
      <c r="AG1680" s="570" t="s">
        <v>25</v>
      </c>
      <c r="AH1680" s="571" t="s">
        <v>25</v>
      </c>
      <c r="AI1680" s="731"/>
      <c r="AJ1680" s="572"/>
    </row>
    <row r="1681" spans="1:38" s="394" customFormat="1" ht="20.25" outlineLevel="2" x14ac:dyDescent="0.3">
      <c r="A1681" s="447">
        <v>139</v>
      </c>
      <c r="B1681" s="572"/>
      <c r="C1681" s="572"/>
      <c r="D1681" s="612"/>
      <c r="E1681" s="612"/>
      <c r="F1681" s="586"/>
      <c r="G1681" s="709"/>
      <c r="H1681" s="546"/>
      <c r="I1681" s="563" t="s">
        <v>25</v>
      </c>
      <c r="J1681" s="563" t="s">
        <v>25</v>
      </c>
      <c r="K1681" s="564" t="s">
        <v>25</v>
      </c>
      <c r="L1681" s="564" t="s">
        <v>25</v>
      </c>
      <c r="M1681" s="572"/>
      <c r="N1681" s="572"/>
      <c r="O1681" s="740"/>
      <c r="P1681" s="564" t="s">
        <v>25</v>
      </c>
      <c r="Q1681" s="564" t="s">
        <v>25</v>
      </c>
      <c r="R1681" s="566"/>
      <c r="S1681" s="609"/>
      <c r="T1681" s="741"/>
      <c r="U1681" s="586"/>
      <c r="V1681" s="564" t="s">
        <v>2899</v>
      </c>
      <c r="W1681" s="564" t="s">
        <v>25</v>
      </c>
      <c r="X1681" s="650"/>
      <c r="Y1681" s="586"/>
      <c r="Z1681" s="742"/>
      <c r="AA1681" s="586"/>
      <c r="AB1681" s="586"/>
      <c r="AC1681" s="586"/>
      <c r="AD1681" s="586"/>
      <c r="AE1681" s="714"/>
      <c r="AF1681" s="570" t="s">
        <v>2899</v>
      </c>
      <c r="AG1681" s="570" t="s">
        <v>25</v>
      </c>
      <c r="AH1681" s="571" t="s">
        <v>25</v>
      </c>
      <c r="AI1681" s="586"/>
      <c r="AJ1681" s="586"/>
    </row>
    <row r="1682" spans="1:38" s="394" customFormat="1" ht="20.25" outlineLevel="2" x14ac:dyDescent="0.3">
      <c r="A1682" s="447">
        <v>139</v>
      </c>
      <c r="B1682" s="572"/>
      <c r="C1682" s="572"/>
      <c r="D1682" s="612"/>
      <c r="E1682" s="612"/>
      <c r="F1682" s="586"/>
      <c r="G1682" s="709"/>
      <c r="H1682" s="546"/>
      <c r="I1682" s="563" t="s">
        <v>25</v>
      </c>
      <c r="J1682" s="563" t="s">
        <v>25</v>
      </c>
      <c r="K1682" s="564" t="s">
        <v>25</v>
      </c>
      <c r="L1682" s="564" t="s">
        <v>25</v>
      </c>
      <c r="M1682" s="572"/>
      <c r="N1682" s="572"/>
      <c r="O1682" s="740"/>
      <c r="P1682" s="564" t="s">
        <v>25</v>
      </c>
      <c r="Q1682" s="564" t="s">
        <v>25</v>
      </c>
      <c r="R1682" s="566"/>
      <c r="S1682" s="609"/>
      <c r="T1682" s="741"/>
      <c r="U1682" s="586"/>
      <c r="V1682" s="564" t="s">
        <v>2899</v>
      </c>
      <c r="W1682" s="564" t="s">
        <v>25</v>
      </c>
      <c r="X1682" s="650"/>
      <c r="Y1682" s="586"/>
      <c r="Z1682" s="742"/>
      <c r="AA1682" s="586"/>
      <c r="AB1682" s="586"/>
      <c r="AC1682" s="586"/>
      <c r="AD1682" s="586"/>
      <c r="AE1682" s="714"/>
      <c r="AF1682" s="570" t="s">
        <v>2899</v>
      </c>
      <c r="AG1682" s="570" t="s">
        <v>25</v>
      </c>
      <c r="AH1682" s="571" t="s">
        <v>25</v>
      </c>
      <c r="AI1682" s="586"/>
      <c r="AJ1682" s="586"/>
    </row>
    <row r="1683" spans="1:38" s="394" customFormat="1" ht="20.25" outlineLevel="2" x14ac:dyDescent="0.3">
      <c r="A1683" s="447">
        <v>139</v>
      </c>
      <c r="B1683" s="572"/>
      <c r="C1683" s="572"/>
      <c r="D1683" s="612"/>
      <c r="E1683" s="612"/>
      <c r="F1683" s="586"/>
      <c r="G1683" s="709"/>
      <c r="H1683" s="546"/>
      <c r="I1683" s="563" t="s">
        <v>25</v>
      </c>
      <c r="J1683" s="563" t="s">
        <v>25</v>
      </c>
      <c r="K1683" s="564" t="s">
        <v>25</v>
      </c>
      <c r="L1683" s="564" t="s">
        <v>25</v>
      </c>
      <c r="M1683" s="572"/>
      <c r="N1683" s="572"/>
      <c r="O1683" s="740"/>
      <c r="P1683" s="564" t="s">
        <v>25</v>
      </c>
      <c r="Q1683" s="564" t="s">
        <v>25</v>
      </c>
      <c r="R1683" s="572"/>
      <c r="S1683" s="609"/>
      <c r="T1683" s="741"/>
      <c r="U1683" s="586"/>
      <c r="V1683" s="564" t="s">
        <v>2899</v>
      </c>
      <c r="W1683" s="564" t="s">
        <v>25</v>
      </c>
      <c r="X1683" s="650"/>
      <c r="Y1683" s="586"/>
      <c r="Z1683" s="742"/>
      <c r="AA1683" s="586"/>
      <c r="AB1683" s="586"/>
      <c r="AC1683" s="586"/>
      <c r="AD1683" s="586"/>
      <c r="AE1683" s="714"/>
      <c r="AF1683" s="570" t="s">
        <v>2899</v>
      </c>
      <c r="AG1683" s="570" t="s">
        <v>25</v>
      </c>
      <c r="AH1683" s="571" t="s">
        <v>25</v>
      </c>
      <c r="AI1683" s="586"/>
      <c r="AJ1683" s="586"/>
    </row>
    <row r="1684" spans="1:38" s="394" customFormat="1" ht="20.25" outlineLevel="2" x14ac:dyDescent="0.3">
      <c r="A1684" s="447">
        <v>139</v>
      </c>
      <c r="B1684" s="607"/>
      <c r="C1684" s="607"/>
      <c r="D1684" s="642"/>
      <c r="E1684" s="642"/>
      <c r="F1684" s="586"/>
      <c r="G1684" s="709"/>
      <c r="H1684" s="546"/>
      <c r="I1684" s="563" t="s">
        <v>25</v>
      </c>
      <c r="J1684" s="563" t="s">
        <v>25</v>
      </c>
      <c r="K1684" s="564" t="s">
        <v>25</v>
      </c>
      <c r="L1684" s="564" t="s">
        <v>25</v>
      </c>
      <c r="M1684" s="572"/>
      <c r="N1684" s="572"/>
      <c r="O1684" s="740"/>
      <c r="P1684" s="564"/>
      <c r="Q1684" s="564"/>
      <c r="R1684" s="572"/>
      <c r="S1684" s="609"/>
      <c r="T1684" s="741"/>
      <c r="U1684" s="586"/>
      <c r="V1684" s="564"/>
      <c r="W1684" s="564"/>
      <c r="X1684" s="650"/>
      <c r="Y1684" s="586"/>
      <c r="Z1684" s="742"/>
      <c r="AA1684" s="586"/>
      <c r="AB1684" s="586"/>
      <c r="AC1684" s="586"/>
      <c r="AD1684" s="586"/>
      <c r="AE1684" s="714"/>
      <c r="AF1684" s="570"/>
      <c r="AG1684" s="570"/>
      <c r="AH1684" s="571" t="s">
        <v>25</v>
      </c>
      <c r="AI1684" s="586"/>
      <c r="AJ1684" s="586"/>
    </row>
    <row r="1685" spans="1:38" s="394" customFormat="1" ht="40.5" outlineLevel="1" x14ac:dyDescent="0.25">
      <c r="A1685" s="467">
        <v>140</v>
      </c>
      <c r="B1685" s="607" t="s">
        <v>1448</v>
      </c>
      <c r="C1685" s="586" t="s">
        <v>2903</v>
      </c>
      <c r="D1685" s="612">
        <v>86</v>
      </c>
      <c r="E1685" s="612">
        <v>25</v>
      </c>
      <c r="F1685" s="578"/>
      <c r="G1685" s="707">
        <v>22.5</v>
      </c>
      <c r="H1685" s="579">
        <v>0</v>
      </c>
      <c r="I1685" s="581"/>
      <c r="J1685" s="581"/>
      <c r="K1685" s="571">
        <v>12474000</v>
      </c>
      <c r="L1685" s="571">
        <v>0</v>
      </c>
      <c r="M1685" s="607"/>
      <c r="N1685" s="607"/>
      <c r="O1685" s="738">
        <v>0</v>
      </c>
      <c r="P1685" s="571"/>
      <c r="Q1685" s="571">
        <v>0</v>
      </c>
      <c r="R1685" s="607"/>
      <c r="S1685" s="621"/>
      <c r="T1685" s="739">
        <v>0</v>
      </c>
      <c r="U1685" s="578"/>
      <c r="V1685" s="571"/>
      <c r="W1685" s="571">
        <v>0</v>
      </c>
      <c r="X1685" s="650"/>
      <c r="Y1685" s="586"/>
      <c r="Z1685" s="742"/>
      <c r="AA1685" s="586"/>
      <c r="AB1685" s="586"/>
      <c r="AC1685" s="586"/>
      <c r="AD1685" s="578"/>
      <c r="AE1685" s="712">
        <f>SUBTOTAL(9,AE1686:AE1692)</f>
        <v>0</v>
      </c>
      <c r="AF1685" s="585"/>
      <c r="AG1685" s="585">
        <v>0</v>
      </c>
      <c r="AH1685" s="571">
        <v>12474000</v>
      </c>
      <c r="AI1685" s="578"/>
      <c r="AJ1685" s="578"/>
    </row>
    <row r="1686" spans="1:38" s="394" customFormat="1" ht="263.25" outlineLevel="2" x14ac:dyDescent="0.3">
      <c r="A1686" s="447">
        <v>140</v>
      </c>
      <c r="B1686" s="572" t="s">
        <v>1450</v>
      </c>
      <c r="C1686" s="572"/>
      <c r="D1686" s="612"/>
      <c r="E1686" s="612"/>
      <c r="F1686" s="586" t="s">
        <v>2419</v>
      </c>
      <c r="G1686" s="709">
        <v>22.5</v>
      </c>
      <c r="H1686" s="546" t="s">
        <v>2899</v>
      </c>
      <c r="I1686" s="563">
        <v>554400</v>
      </c>
      <c r="J1686" s="563">
        <v>0</v>
      </c>
      <c r="K1686" s="564">
        <v>12474000</v>
      </c>
      <c r="L1686" s="564">
        <v>0</v>
      </c>
      <c r="M1686" s="572"/>
      <c r="N1686" s="572"/>
      <c r="O1686" s="740"/>
      <c r="P1686" s="564"/>
      <c r="Q1686" s="564"/>
      <c r="R1686" s="572"/>
      <c r="S1686" s="609"/>
      <c r="T1686" s="741"/>
      <c r="U1686" s="586"/>
      <c r="V1686" s="564"/>
      <c r="W1686" s="564"/>
      <c r="X1686" s="650"/>
      <c r="Y1686" s="586"/>
      <c r="Z1686" s="742"/>
      <c r="AA1686" s="586"/>
      <c r="AB1686" s="586"/>
      <c r="AC1686" s="586"/>
      <c r="AD1686" s="586"/>
      <c r="AE1686" s="714"/>
      <c r="AF1686" s="570"/>
      <c r="AG1686" s="570"/>
      <c r="AH1686" s="571" t="s">
        <v>25</v>
      </c>
      <c r="AI1686" s="586" t="s">
        <v>2463</v>
      </c>
      <c r="AJ1686" s="586" t="s">
        <v>2771</v>
      </c>
    </row>
    <row r="1687" spans="1:38" s="394" customFormat="1" ht="101.25" outlineLevel="2" x14ac:dyDescent="0.3">
      <c r="A1687" s="447">
        <v>140</v>
      </c>
      <c r="B1687" s="572" t="s">
        <v>1634</v>
      </c>
      <c r="C1687" s="572"/>
      <c r="D1687" s="612"/>
      <c r="E1687" s="612"/>
      <c r="F1687" s="586"/>
      <c r="G1687" s="709"/>
      <c r="H1687" s="546"/>
      <c r="I1687" s="563" t="s">
        <v>25</v>
      </c>
      <c r="J1687" s="563" t="s">
        <v>25</v>
      </c>
      <c r="K1687" s="564" t="s">
        <v>25</v>
      </c>
      <c r="L1687" s="564" t="s">
        <v>25</v>
      </c>
      <c r="M1687" s="572"/>
      <c r="N1687" s="572"/>
      <c r="O1687" s="740"/>
      <c r="P1687" s="564"/>
      <c r="Q1687" s="564"/>
      <c r="R1687" s="572"/>
      <c r="S1687" s="609"/>
      <c r="T1687" s="741"/>
      <c r="U1687" s="586"/>
      <c r="V1687" s="564"/>
      <c r="W1687" s="564"/>
      <c r="X1687" s="650"/>
      <c r="Y1687" s="586"/>
      <c r="Z1687" s="742"/>
      <c r="AA1687" s="586"/>
      <c r="AB1687" s="586"/>
      <c r="AC1687" s="586"/>
      <c r="AD1687" s="586"/>
      <c r="AE1687" s="714"/>
      <c r="AF1687" s="570"/>
      <c r="AG1687" s="570"/>
      <c r="AH1687" s="571" t="s">
        <v>25</v>
      </c>
      <c r="AI1687" s="586"/>
      <c r="AJ1687" s="586"/>
    </row>
    <row r="1688" spans="1:38" s="394" customFormat="1" ht="20.25" outlineLevel="2" x14ac:dyDescent="0.3">
      <c r="A1688" s="447">
        <v>140</v>
      </c>
      <c r="B1688" s="572"/>
      <c r="C1688" s="572"/>
      <c r="D1688" s="612"/>
      <c r="E1688" s="612"/>
      <c r="F1688" s="586"/>
      <c r="G1688" s="709"/>
      <c r="H1688" s="546"/>
      <c r="I1688" s="563" t="s">
        <v>25</v>
      </c>
      <c r="J1688" s="563" t="s">
        <v>25</v>
      </c>
      <c r="K1688" s="564" t="s">
        <v>25</v>
      </c>
      <c r="L1688" s="564" t="s">
        <v>25</v>
      </c>
      <c r="M1688" s="572"/>
      <c r="N1688" s="572"/>
      <c r="O1688" s="740"/>
      <c r="P1688" s="564"/>
      <c r="Q1688" s="564"/>
      <c r="R1688" s="572"/>
      <c r="S1688" s="609"/>
      <c r="T1688" s="741"/>
      <c r="U1688" s="586"/>
      <c r="V1688" s="564"/>
      <c r="W1688" s="564"/>
      <c r="X1688" s="650"/>
      <c r="Y1688" s="586"/>
      <c r="Z1688" s="742"/>
      <c r="AA1688" s="586"/>
      <c r="AB1688" s="586"/>
      <c r="AC1688" s="586"/>
      <c r="AD1688" s="586"/>
      <c r="AE1688" s="714"/>
      <c r="AF1688" s="570"/>
      <c r="AG1688" s="570"/>
      <c r="AH1688" s="571" t="s">
        <v>25</v>
      </c>
      <c r="AI1688" s="586"/>
      <c r="AJ1688" s="586"/>
    </row>
    <row r="1689" spans="1:38" s="394" customFormat="1" ht="20.25" outlineLevel="2" x14ac:dyDescent="0.3">
      <c r="A1689" s="447">
        <v>140</v>
      </c>
      <c r="B1689" s="572"/>
      <c r="C1689" s="572"/>
      <c r="D1689" s="612"/>
      <c r="E1689" s="612"/>
      <c r="F1689" s="586"/>
      <c r="G1689" s="709"/>
      <c r="H1689" s="546"/>
      <c r="I1689" s="563" t="s">
        <v>25</v>
      </c>
      <c r="J1689" s="563" t="s">
        <v>25</v>
      </c>
      <c r="K1689" s="564" t="s">
        <v>25</v>
      </c>
      <c r="L1689" s="564" t="s">
        <v>25</v>
      </c>
      <c r="M1689" s="572"/>
      <c r="N1689" s="572"/>
      <c r="O1689" s="740"/>
      <c r="P1689" s="564"/>
      <c r="Q1689" s="564"/>
      <c r="R1689" s="572"/>
      <c r="S1689" s="609"/>
      <c r="T1689" s="741"/>
      <c r="U1689" s="586"/>
      <c r="V1689" s="564"/>
      <c r="W1689" s="564"/>
      <c r="X1689" s="650"/>
      <c r="Y1689" s="586"/>
      <c r="Z1689" s="742"/>
      <c r="AA1689" s="586"/>
      <c r="AB1689" s="586"/>
      <c r="AC1689" s="586"/>
      <c r="AD1689" s="586"/>
      <c r="AE1689" s="714"/>
      <c r="AF1689" s="570"/>
      <c r="AG1689" s="570"/>
      <c r="AH1689" s="571" t="s">
        <v>25</v>
      </c>
      <c r="AI1689" s="586"/>
      <c r="AJ1689" s="586"/>
    </row>
    <row r="1690" spans="1:38" s="394" customFormat="1" ht="20.25" outlineLevel="2" x14ac:dyDescent="0.3">
      <c r="A1690" s="447">
        <v>140</v>
      </c>
      <c r="B1690" s="572"/>
      <c r="C1690" s="572"/>
      <c r="D1690" s="612"/>
      <c r="E1690" s="612"/>
      <c r="F1690" s="586"/>
      <c r="G1690" s="709"/>
      <c r="H1690" s="546"/>
      <c r="I1690" s="563" t="s">
        <v>25</v>
      </c>
      <c r="J1690" s="563" t="s">
        <v>25</v>
      </c>
      <c r="K1690" s="564" t="s">
        <v>25</v>
      </c>
      <c r="L1690" s="564" t="s">
        <v>25</v>
      </c>
      <c r="M1690" s="572"/>
      <c r="N1690" s="572"/>
      <c r="O1690" s="740"/>
      <c r="P1690" s="564"/>
      <c r="Q1690" s="564"/>
      <c r="R1690" s="572"/>
      <c r="S1690" s="609"/>
      <c r="T1690" s="741"/>
      <c r="U1690" s="586"/>
      <c r="V1690" s="564"/>
      <c r="W1690" s="564"/>
      <c r="X1690" s="650"/>
      <c r="Y1690" s="586"/>
      <c r="Z1690" s="742"/>
      <c r="AA1690" s="586"/>
      <c r="AB1690" s="586"/>
      <c r="AC1690" s="586"/>
      <c r="AD1690" s="586"/>
      <c r="AE1690" s="714"/>
      <c r="AF1690" s="570"/>
      <c r="AG1690" s="570"/>
      <c r="AH1690" s="571" t="s">
        <v>25</v>
      </c>
      <c r="AI1690" s="586"/>
      <c r="AJ1690" s="586"/>
    </row>
    <row r="1691" spans="1:38" s="394" customFormat="1" ht="20.25" outlineLevel="2" x14ac:dyDescent="0.3">
      <c r="A1691" s="447">
        <v>140</v>
      </c>
      <c r="B1691" s="572"/>
      <c r="C1691" s="572"/>
      <c r="D1691" s="612"/>
      <c r="E1691" s="612"/>
      <c r="F1691" s="586"/>
      <c r="G1691" s="709"/>
      <c r="H1691" s="546"/>
      <c r="I1691" s="563" t="s">
        <v>25</v>
      </c>
      <c r="J1691" s="563" t="s">
        <v>25</v>
      </c>
      <c r="K1691" s="564" t="s">
        <v>25</v>
      </c>
      <c r="L1691" s="564" t="s">
        <v>25</v>
      </c>
      <c r="M1691" s="572"/>
      <c r="N1691" s="572"/>
      <c r="O1691" s="740"/>
      <c r="P1691" s="564"/>
      <c r="Q1691" s="564"/>
      <c r="R1691" s="572"/>
      <c r="S1691" s="609"/>
      <c r="T1691" s="741"/>
      <c r="U1691" s="586"/>
      <c r="V1691" s="564"/>
      <c r="W1691" s="564"/>
      <c r="X1691" s="650"/>
      <c r="Y1691" s="586"/>
      <c r="Z1691" s="742"/>
      <c r="AA1691" s="586"/>
      <c r="AB1691" s="586"/>
      <c r="AC1691" s="586"/>
      <c r="AD1691" s="586"/>
      <c r="AE1691" s="714"/>
      <c r="AF1691" s="570"/>
      <c r="AG1691" s="570"/>
      <c r="AH1691" s="571" t="s">
        <v>25</v>
      </c>
      <c r="AI1691" s="586"/>
      <c r="AJ1691" s="586"/>
    </row>
    <row r="1692" spans="1:38" s="394" customFormat="1" ht="20.25" outlineLevel="2" x14ac:dyDescent="0.3">
      <c r="A1692" s="447">
        <v>140</v>
      </c>
      <c r="B1692" s="607"/>
      <c r="C1692" s="607"/>
      <c r="D1692" s="642"/>
      <c r="E1692" s="642"/>
      <c r="F1692" s="586"/>
      <c r="G1692" s="709"/>
      <c r="H1692" s="546"/>
      <c r="I1692" s="563" t="s">
        <v>25</v>
      </c>
      <c r="J1692" s="563" t="s">
        <v>25</v>
      </c>
      <c r="K1692" s="564" t="s">
        <v>25</v>
      </c>
      <c r="L1692" s="564" t="s">
        <v>25</v>
      </c>
      <c r="M1692" s="572"/>
      <c r="N1692" s="572"/>
      <c r="O1692" s="740"/>
      <c r="P1692" s="564"/>
      <c r="Q1692" s="564"/>
      <c r="R1692" s="572"/>
      <c r="S1692" s="609"/>
      <c r="T1692" s="741"/>
      <c r="U1692" s="586"/>
      <c r="V1692" s="564"/>
      <c r="W1692" s="564"/>
      <c r="X1692" s="650"/>
      <c r="Y1692" s="586"/>
      <c r="Z1692" s="742"/>
      <c r="AA1692" s="586"/>
      <c r="AB1692" s="586"/>
      <c r="AC1692" s="586"/>
      <c r="AD1692" s="586"/>
      <c r="AE1692" s="714"/>
      <c r="AF1692" s="570"/>
      <c r="AG1692" s="570"/>
      <c r="AH1692" s="571" t="s">
        <v>25</v>
      </c>
      <c r="AI1692" s="586"/>
      <c r="AJ1692" s="586"/>
    </row>
    <row r="1693" spans="1:38" s="394" customFormat="1" ht="40.5" outlineLevel="1" x14ac:dyDescent="0.25">
      <c r="A1693" s="467">
        <v>141</v>
      </c>
      <c r="B1693" s="607" t="s">
        <v>1191</v>
      </c>
      <c r="C1693" s="586" t="s">
        <v>2903</v>
      </c>
      <c r="D1693" s="612">
        <v>86</v>
      </c>
      <c r="E1693" s="612">
        <v>366</v>
      </c>
      <c r="F1693" s="578"/>
      <c r="G1693" s="707">
        <v>77.5</v>
      </c>
      <c r="H1693" s="579">
        <v>0</v>
      </c>
      <c r="I1693" s="581"/>
      <c r="J1693" s="581"/>
      <c r="K1693" s="571">
        <v>42966000</v>
      </c>
      <c r="L1693" s="571">
        <v>0</v>
      </c>
      <c r="M1693" s="607"/>
      <c r="N1693" s="607"/>
      <c r="O1693" s="738">
        <v>2</v>
      </c>
      <c r="P1693" s="571"/>
      <c r="Q1693" s="571">
        <v>4240000</v>
      </c>
      <c r="R1693" s="582"/>
      <c r="S1693" s="621"/>
      <c r="T1693" s="739">
        <v>158.82000000000002</v>
      </c>
      <c r="U1693" s="578"/>
      <c r="V1693" s="571"/>
      <c r="W1693" s="571">
        <v>203989000</v>
      </c>
      <c r="X1693" s="661"/>
      <c r="Y1693" s="683"/>
      <c r="Z1693" s="683"/>
      <c r="AA1693" s="694"/>
      <c r="AB1693" s="683"/>
      <c r="AC1693" s="683"/>
      <c r="AD1693" s="650"/>
      <c r="AE1693" s="599">
        <f>SUBTOTAL(9,AE1694:AE1705)</f>
        <v>0</v>
      </c>
      <c r="AF1693" s="585"/>
      <c r="AG1693" s="585">
        <v>0</v>
      </c>
      <c r="AH1693" s="571">
        <v>251195000</v>
      </c>
      <c r="AI1693" s="578"/>
      <c r="AJ1693" s="578"/>
      <c r="AL1693" s="468"/>
    </row>
    <row r="1694" spans="1:38" s="394" customFormat="1" ht="121.5" outlineLevel="2" x14ac:dyDescent="0.3">
      <c r="A1694" s="447">
        <v>141</v>
      </c>
      <c r="B1694" s="572" t="s">
        <v>1193</v>
      </c>
      <c r="C1694" s="572"/>
      <c r="D1694" s="744"/>
      <c r="E1694" s="744"/>
      <c r="F1694" s="586" t="s">
        <v>2419</v>
      </c>
      <c r="G1694" s="709">
        <v>77.5</v>
      </c>
      <c r="H1694" s="546" t="s">
        <v>2899</v>
      </c>
      <c r="I1694" s="563">
        <v>554400</v>
      </c>
      <c r="J1694" s="563">
        <v>0</v>
      </c>
      <c r="K1694" s="564">
        <v>42966000</v>
      </c>
      <c r="L1694" s="564">
        <v>0</v>
      </c>
      <c r="M1694" s="572" t="s">
        <v>145</v>
      </c>
      <c r="N1694" s="572"/>
      <c r="O1694" s="740">
        <v>1</v>
      </c>
      <c r="P1694" s="564">
        <v>4240000</v>
      </c>
      <c r="Q1694" s="564">
        <v>4240000</v>
      </c>
      <c r="R1694" s="566" t="s">
        <v>2369</v>
      </c>
      <c r="S1694" s="609" t="s">
        <v>1133</v>
      </c>
      <c r="T1694" s="741">
        <v>29.8</v>
      </c>
      <c r="U1694" s="586"/>
      <c r="V1694" s="564">
        <v>4717925</v>
      </c>
      <c r="W1694" s="564">
        <v>140594000</v>
      </c>
      <c r="X1694" s="661" t="s">
        <v>1138</v>
      </c>
      <c r="Y1694" s="683" t="s">
        <v>1139</v>
      </c>
      <c r="Z1694" s="683" t="s">
        <v>56</v>
      </c>
      <c r="AA1694" s="694" t="s">
        <v>269</v>
      </c>
      <c r="AB1694" s="683" t="s">
        <v>1138</v>
      </c>
      <c r="AC1694" s="683"/>
      <c r="AD1694" s="683"/>
      <c r="AE1694" s="590"/>
      <c r="AF1694" s="570" t="s">
        <v>2899</v>
      </c>
      <c r="AG1694" s="570"/>
      <c r="AH1694" s="571" t="s">
        <v>25</v>
      </c>
      <c r="AI1694" s="586" t="s">
        <v>1192</v>
      </c>
      <c r="AJ1694" s="586" t="s">
        <v>2771</v>
      </c>
      <c r="AL1694" s="380" t="s">
        <v>1923</v>
      </c>
    </row>
    <row r="1695" spans="1:38" s="394" customFormat="1" ht="121.5" outlineLevel="2" x14ac:dyDescent="0.3">
      <c r="A1695" s="447">
        <v>141</v>
      </c>
      <c r="B1695" s="607" t="s">
        <v>1196</v>
      </c>
      <c r="C1695" s="607"/>
      <c r="D1695" s="612"/>
      <c r="E1695" s="612"/>
      <c r="F1695" s="731"/>
      <c r="G1695" s="745"/>
      <c r="H1695" s="546"/>
      <c r="I1695" s="563" t="s">
        <v>25</v>
      </c>
      <c r="J1695" s="563" t="s">
        <v>25</v>
      </c>
      <c r="K1695" s="564" t="s">
        <v>25</v>
      </c>
      <c r="L1695" s="564" t="s">
        <v>25</v>
      </c>
      <c r="M1695" s="572" t="s">
        <v>1194</v>
      </c>
      <c r="N1695" s="572"/>
      <c r="O1695" s="740">
        <v>1</v>
      </c>
      <c r="P1695" s="564">
        <v>0</v>
      </c>
      <c r="Q1695" s="564">
        <v>0</v>
      </c>
      <c r="R1695" s="566" t="s">
        <v>2370</v>
      </c>
      <c r="S1695" s="609" t="s">
        <v>1133</v>
      </c>
      <c r="T1695" s="741">
        <v>3.6</v>
      </c>
      <c r="U1695" s="586"/>
      <c r="V1695" s="564">
        <v>8308812</v>
      </c>
      <c r="W1695" s="564">
        <v>29912000</v>
      </c>
      <c r="X1695" s="650"/>
      <c r="Y1695" s="586"/>
      <c r="Z1695" s="742"/>
      <c r="AA1695" s="586"/>
      <c r="AB1695" s="586"/>
      <c r="AC1695" s="586"/>
      <c r="AD1695" s="586"/>
      <c r="AE1695" s="714"/>
      <c r="AF1695" s="570" t="s">
        <v>2899</v>
      </c>
      <c r="AG1695" s="570" t="s">
        <v>25</v>
      </c>
      <c r="AH1695" s="571" t="s">
        <v>25</v>
      </c>
      <c r="AI1695" s="586" t="s">
        <v>1195</v>
      </c>
      <c r="AJ1695" s="558" t="s">
        <v>2450</v>
      </c>
    </row>
    <row r="1696" spans="1:38" s="394" customFormat="1" ht="101.25" outlineLevel="2" x14ac:dyDescent="0.3">
      <c r="A1696" s="447">
        <v>141</v>
      </c>
      <c r="B1696" s="572" t="s">
        <v>1198</v>
      </c>
      <c r="C1696" s="572"/>
      <c r="D1696" s="612"/>
      <c r="E1696" s="612"/>
      <c r="F1696" s="586"/>
      <c r="G1696" s="709"/>
      <c r="H1696" s="546"/>
      <c r="I1696" s="563" t="s">
        <v>25</v>
      </c>
      <c r="J1696" s="563" t="s">
        <v>25</v>
      </c>
      <c r="K1696" s="564" t="s">
        <v>25</v>
      </c>
      <c r="L1696" s="564" t="s">
        <v>25</v>
      </c>
      <c r="M1696" s="572"/>
      <c r="N1696" s="572"/>
      <c r="O1696" s="740"/>
      <c r="P1696" s="564" t="s">
        <v>25</v>
      </c>
      <c r="Q1696" s="564" t="s">
        <v>25</v>
      </c>
      <c r="R1696" s="572" t="s">
        <v>1992</v>
      </c>
      <c r="S1696" s="609" t="s">
        <v>1133</v>
      </c>
      <c r="T1696" s="741">
        <v>9.4</v>
      </c>
      <c r="U1696" s="586"/>
      <c r="V1696" s="564">
        <v>984277</v>
      </c>
      <c r="W1696" s="564">
        <v>9252000</v>
      </c>
      <c r="X1696" s="650"/>
      <c r="Y1696" s="586"/>
      <c r="Z1696" s="742"/>
      <c r="AA1696" s="586"/>
      <c r="AB1696" s="586"/>
      <c r="AC1696" s="586"/>
      <c r="AD1696" s="586"/>
      <c r="AE1696" s="714"/>
      <c r="AF1696" s="570" t="s">
        <v>2899</v>
      </c>
      <c r="AG1696" s="570" t="s">
        <v>25</v>
      </c>
      <c r="AH1696" s="571" t="s">
        <v>25</v>
      </c>
      <c r="AI1696" s="586" t="s">
        <v>1197</v>
      </c>
      <c r="AJ1696" s="558" t="s">
        <v>2449</v>
      </c>
    </row>
    <row r="1697" spans="1:36" s="394" customFormat="1" ht="101.25" outlineLevel="2" x14ac:dyDescent="0.3">
      <c r="A1697" s="447">
        <v>141</v>
      </c>
      <c r="B1697" s="572" t="s">
        <v>1602</v>
      </c>
      <c r="C1697" s="572"/>
      <c r="D1697" s="612"/>
      <c r="E1697" s="612"/>
      <c r="F1697" s="586"/>
      <c r="G1697" s="709"/>
      <c r="H1697" s="546"/>
      <c r="I1697" s="563" t="s">
        <v>25</v>
      </c>
      <c r="J1697" s="563" t="s">
        <v>25</v>
      </c>
      <c r="K1697" s="564" t="s">
        <v>25</v>
      </c>
      <c r="L1697" s="564" t="s">
        <v>25</v>
      </c>
      <c r="M1697" s="572"/>
      <c r="N1697" s="572"/>
      <c r="O1697" s="740"/>
      <c r="P1697" s="564" t="s">
        <v>25</v>
      </c>
      <c r="Q1697" s="564" t="s">
        <v>25</v>
      </c>
      <c r="R1697" s="566" t="s">
        <v>2371</v>
      </c>
      <c r="S1697" s="609" t="s">
        <v>1133</v>
      </c>
      <c r="T1697" s="741">
        <v>33.5</v>
      </c>
      <c r="U1697" s="586"/>
      <c r="V1697" s="564">
        <v>684506</v>
      </c>
      <c r="W1697" s="564">
        <v>22931000</v>
      </c>
      <c r="X1697" s="650"/>
      <c r="Y1697" s="586"/>
      <c r="Z1697" s="742"/>
      <c r="AA1697" s="586"/>
      <c r="AB1697" s="586"/>
      <c r="AC1697" s="586"/>
      <c r="AD1697" s="586"/>
      <c r="AE1697" s="714"/>
      <c r="AF1697" s="570" t="s">
        <v>2899</v>
      </c>
      <c r="AG1697" s="570" t="s">
        <v>25</v>
      </c>
      <c r="AH1697" s="571" t="s">
        <v>25</v>
      </c>
      <c r="AI1697" s="586" t="s">
        <v>111</v>
      </c>
      <c r="AJ1697" s="731" t="s">
        <v>2800</v>
      </c>
    </row>
    <row r="1698" spans="1:36" s="394" customFormat="1" ht="81" outlineLevel="2" x14ac:dyDescent="0.3">
      <c r="A1698" s="447">
        <v>141</v>
      </c>
      <c r="B1698" s="572"/>
      <c r="C1698" s="572"/>
      <c r="D1698" s="612"/>
      <c r="E1698" s="612"/>
      <c r="F1698" s="586"/>
      <c r="G1698" s="709"/>
      <c r="H1698" s="546"/>
      <c r="I1698" s="563" t="s">
        <v>25</v>
      </c>
      <c r="J1698" s="563" t="s">
        <v>25</v>
      </c>
      <c r="K1698" s="564" t="s">
        <v>25</v>
      </c>
      <c r="L1698" s="564" t="s">
        <v>25</v>
      </c>
      <c r="M1698" s="572"/>
      <c r="N1698" s="572"/>
      <c r="O1698" s="740"/>
      <c r="P1698" s="564" t="s">
        <v>25</v>
      </c>
      <c r="Q1698" s="564" t="s">
        <v>25</v>
      </c>
      <c r="R1698" s="566" t="s">
        <v>1978</v>
      </c>
      <c r="S1698" s="609" t="s">
        <v>1133</v>
      </c>
      <c r="T1698" s="741">
        <v>5.5</v>
      </c>
      <c r="U1698" s="586"/>
      <c r="V1698" s="564">
        <v>236298</v>
      </c>
      <c r="W1698" s="564">
        <v>1300000</v>
      </c>
      <c r="X1698" s="650"/>
      <c r="Y1698" s="586"/>
      <c r="Z1698" s="742"/>
      <c r="AA1698" s="586"/>
      <c r="AB1698" s="586"/>
      <c r="AC1698" s="586"/>
      <c r="AD1698" s="586"/>
      <c r="AE1698" s="714"/>
      <c r="AF1698" s="570" t="s">
        <v>2899</v>
      </c>
      <c r="AG1698" s="570" t="s">
        <v>25</v>
      </c>
      <c r="AH1698" s="571" t="s">
        <v>25</v>
      </c>
      <c r="AI1698" s="731" t="s">
        <v>1199</v>
      </c>
      <c r="AJ1698" s="586"/>
    </row>
    <row r="1699" spans="1:36" s="394" customFormat="1" ht="60.75" outlineLevel="2" x14ac:dyDescent="0.3">
      <c r="A1699" s="447">
        <v>141</v>
      </c>
      <c r="B1699" s="572"/>
      <c r="C1699" s="572"/>
      <c r="D1699" s="612"/>
      <c r="E1699" s="612"/>
      <c r="F1699" s="586"/>
      <c r="G1699" s="709"/>
      <c r="H1699" s="546"/>
      <c r="I1699" s="563" t="s">
        <v>25</v>
      </c>
      <c r="J1699" s="563" t="s">
        <v>25</v>
      </c>
      <c r="K1699" s="564" t="s">
        <v>25</v>
      </c>
      <c r="L1699" s="564" t="s">
        <v>25</v>
      </c>
      <c r="M1699" s="572"/>
      <c r="N1699" s="572"/>
      <c r="O1699" s="740"/>
      <c r="P1699" s="564" t="s">
        <v>25</v>
      </c>
      <c r="Q1699" s="564" t="s">
        <v>25</v>
      </c>
      <c r="R1699" s="566" t="s">
        <v>2372</v>
      </c>
      <c r="S1699" s="609" t="s">
        <v>1133</v>
      </c>
      <c r="T1699" s="741">
        <v>9.1999999999999993</v>
      </c>
      <c r="U1699" s="586"/>
      <c r="V1699" s="564">
        <v>0</v>
      </c>
      <c r="W1699" s="564">
        <v>0</v>
      </c>
      <c r="X1699" s="650"/>
      <c r="Y1699" s="586"/>
      <c r="Z1699" s="742"/>
      <c r="AA1699" s="586"/>
      <c r="AB1699" s="586"/>
      <c r="AC1699" s="586"/>
      <c r="AD1699" s="586"/>
      <c r="AE1699" s="714"/>
      <c r="AF1699" s="570" t="s">
        <v>2899</v>
      </c>
      <c r="AG1699" s="570" t="s">
        <v>25</v>
      </c>
      <c r="AH1699" s="571" t="s">
        <v>25</v>
      </c>
      <c r="AI1699" s="731"/>
      <c r="AJ1699" s="586"/>
    </row>
    <row r="1700" spans="1:36" s="394" customFormat="1" ht="60.75" outlineLevel="2" x14ac:dyDescent="0.3">
      <c r="A1700" s="447">
        <v>141</v>
      </c>
      <c r="B1700" s="572"/>
      <c r="C1700" s="572"/>
      <c r="D1700" s="612"/>
      <c r="E1700" s="612"/>
      <c r="F1700" s="586"/>
      <c r="G1700" s="709"/>
      <c r="H1700" s="546"/>
      <c r="I1700" s="563" t="s">
        <v>25</v>
      </c>
      <c r="J1700" s="563" t="s">
        <v>25</v>
      </c>
      <c r="K1700" s="564" t="s">
        <v>25</v>
      </c>
      <c r="L1700" s="564" t="s">
        <v>25</v>
      </c>
      <c r="M1700" s="572"/>
      <c r="N1700" s="572"/>
      <c r="O1700" s="740"/>
      <c r="P1700" s="564" t="s">
        <v>25</v>
      </c>
      <c r="Q1700" s="564" t="s">
        <v>25</v>
      </c>
      <c r="R1700" s="566" t="s">
        <v>2373</v>
      </c>
      <c r="S1700" s="609" t="s">
        <v>1133</v>
      </c>
      <c r="T1700" s="741">
        <v>43.3</v>
      </c>
      <c r="U1700" s="586"/>
      <c r="V1700" s="564">
        <v>0</v>
      </c>
      <c r="W1700" s="564">
        <v>0</v>
      </c>
      <c r="X1700" s="650"/>
      <c r="Y1700" s="586"/>
      <c r="Z1700" s="742"/>
      <c r="AA1700" s="586"/>
      <c r="AB1700" s="586"/>
      <c r="AC1700" s="586"/>
      <c r="AD1700" s="586"/>
      <c r="AE1700" s="714"/>
      <c r="AF1700" s="570" t="s">
        <v>2899</v>
      </c>
      <c r="AG1700" s="570" t="s">
        <v>25</v>
      </c>
      <c r="AH1700" s="571" t="s">
        <v>25</v>
      </c>
      <c r="AI1700" s="586"/>
      <c r="AJ1700" s="586"/>
    </row>
    <row r="1701" spans="1:36" s="394" customFormat="1" ht="81" outlineLevel="2" x14ac:dyDescent="0.3">
      <c r="A1701" s="447">
        <v>141</v>
      </c>
      <c r="B1701" s="586"/>
      <c r="C1701" s="586"/>
      <c r="D1701" s="612"/>
      <c r="E1701" s="612"/>
      <c r="F1701" s="586"/>
      <c r="G1701" s="709"/>
      <c r="H1701" s="546"/>
      <c r="I1701" s="563" t="s">
        <v>25</v>
      </c>
      <c r="J1701" s="563" t="s">
        <v>25</v>
      </c>
      <c r="K1701" s="564" t="s">
        <v>25</v>
      </c>
      <c r="L1701" s="564" t="s">
        <v>25</v>
      </c>
      <c r="M1701" s="572"/>
      <c r="N1701" s="572"/>
      <c r="O1701" s="740"/>
      <c r="P1701" s="564" t="s">
        <v>25</v>
      </c>
      <c r="Q1701" s="564" t="s">
        <v>25</v>
      </c>
      <c r="R1701" s="566" t="s">
        <v>2374</v>
      </c>
      <c r="S1701" s="609" t="s">
        <v>1133</v>
      </c>
      <c r="T1701" s="741">
        <v>1.96</v>
      </c>
      <c r="U1701" s="586"/>
      <c r="V1701" s="564">
        <v>0</v>
      </c>
      <c r="W1701" s="564">
        <v>0</v>
      </c>
      <c r="X1701" s="650"/>
      <c r="Y1701" s="586"/>
      <c r="Z1701" s="742"/>
      <c r="AA1701" s="586"/>
      <c r="AB1701" s="586"/>
      <c r="AC1701" s="586"/>
      <c r="AD1701" s="586"/>
      <c r="AE1701" s="714"/>
      <c r="AF1701" s="570" t="s">
        <v>2899</v>
      </c>
      <c r="AG1701" s="570" t="s">
        <v>25</v>
      </c>
      <c r="AH1701" s="571" t="s">
        <v>25</v>
      </c>
      <c r="AI1701" s="586"/>
      <c r="AJ1701" s="586"/>
    </row>
    <row r="1702" spans="1:36" s="394" customFormat="1" ht="60.75" outlineLevel="2" x14ac:dyDescent="0.3">
      <c r="A1702" s="447">
        <v>141</v>
      </c>
      <c r="B1702" s="572"/>
      <c r="C1702" s="572"/>
      <c r="D1702" s="612"/>
      <c r="E1702" s="612"/>
      <c r="F1702" s="586"/>
      <c r="G1702" s="709"/>
      <c r="H1702" s="546"/>
      <c r="I1702" s="563" t="s">
        <v>25</v>
      </c>
      <c r="J1702" s="563" t="s">
        <v>25</v>
      </c>
      <c r="K1702" s="564" t="s">
        <v>25</v>
      </c>
      <c r="L1702" s="564" t="s">
        <v>25</v>
      </c>
      <c r="M1702" s="572"/>
      <c r="N1702" s="572"/>
      <c r="O1702" s="740"/>
      <c r="P1702" s="564" t="s">
        <v>25</v>
      </c>
      <c r="Q1702" s="564" t="s">
        <v>25</v>
      </c>
      <c r="R1702" s="566" t="s">
        <v>2010</v>
      </c>
      <c r="S1702" s="609" t="s">
        <v>1133</v>
      </c>
      <c r="T1702" s="741">
        <v>22.56</v>
      </c>
      <c r="U1702" s="586"/>
      <c r="V1702" s="564">
        <v>0</v>
      </c>
      <c r="W1702" s="564">
        <v>0</v>
      </c>
      <c r="X1702" s="650"/>
      <c r="Y1702" s="586"/>
      <c r="Z1702" s="742"/>
      <c r="AA1702" s="586"/>
      <c r="AB1702" s="586"/>
      <c r="AC1702" s="586"/>
      <c r="AD1702" s="586"/>
      <c r="AE1702" s="714"/>
      <c r="AF1702" s="570" t="s">
        <v>2899</v>
      </c>
      <c r="AG1702" s="570" t="s">
        <v>25</v>
      </c>
      <c r="AH1702" s="571" t="s">
        <v>25</v>
      </c>
      <c r="AI1702" s="572"/>
      <c r="AJ1702" s="572"/>
    </row>
    <row r="1703" spans="1:36" s="394" customFormat="1" ht="20.25" outlineLevel="2" x14ac:dyDescent="0.3">
      <c r="A1703" s="447">
        <v>141</v>
      </c>
      <c r="B1703" s="572"/>
      <c r="C1703" s="572"/>
      <c r="D1703" s="612"/>
      <c r="E1703" s="612"/>
      <c r="F1703" s="586"/>
      <c r="G1703" s="709"/>
      <c r="H1703" s="546"/>
      <c r="I1703" s="563" t="s">
        <v>25</v>
      </c>
      <c r="J1703" s="563" t="s">
        <v>25</v>
      </c>
      <c r="K1703" s="564" t="s">
        <v>25</v>
      </c>
      <c r="L1703" s="564" t="s">
        <v>25</v>
      </c>
      <c r="M1703" s="572"/>
      <c r="N1703" s="572"/>
      <c r="O1703" s="740"/>
      <c r="P1703" s="564" t="s">
        <v>25</v>
      </c>
      <c r="Q1703" s="564" t="s">
        <v>25</v>
      </c>
      <c r="R1703" s="566"/>
      <c r="S1703" s="609"/>
      <c r="T1703" s="741"/>
      <c r="U1703" s="586"/>
      <c r="V1703" s="564" t="s">
        <v>2899</v>
      </c>
      <c r="W1703" s="564" t="s">
        <v>25</v>
      </c>
      <c r="X1703" s="650"/>
      <c r="Y1703" s="586"/>
      <c r="Z1703" s="742"/>
      <c r="AA1703" s="586"/>
      <c r="AB1703" s="586"/>
      <c r="AC1703" s="586"/>
      <c r="AD1703" s="586"/>
      <c r="AE1703" s="714"/>
      <c r="AF1703" s="570" t="s">
        <v>2899</v>
      </c>
      <c r="AG1703" s="570" t="s">
        <v>25</v>
      </c>
      <c r="AH1703" s="571" t="s">
        <v>25</v>
      </c>
      <c r="AI1703" s="558"/>
      <c r="AJ1703" s="558"/>
    </row>
    <row r="1704" spans="1:36" s="394" customFormat="1" ht="20.25" outlineLevel="2" x14ac:dyDescent="0.3">
      <c r="A1704" s="447">
        <v>141</v>
      </c>
      <c r="B1704" s="572"/>
      <c r="C1704" s="572"/>
      <c r="D1704" s="612"/>
      <c r="E1704" s="612"/>
      <c r="F1704" s="586"/>
      <c r="G1704" s="709"/>
      <c r="H1704" s="546"/>
      <c r="I1704" s="563" t="s">
        <v>25</v>
      </c>
      <c r="J1704" s="563" t="s">
        <v>25</v>
      </c>
      <c r="K1704" s="564" t="s">
        <v>25</v>
      </c>
      <c r="L1704" s="564" t="s">
        <v>25</v>
      </c>
      <c r="M1704" s="572"/>
      <c r="N1704" s="572"/>
      <c r="O1704" s="740"/>
      <c r="P1704" s="564" t="s">
        <v>25</v>
      </c>
      <c r="Q1704" s="564" t="s">
        <v>25</v>
      </c>
      <c r="R1704" s="566"/>
      <c r="S1704" s="609"/>
      <c r="T1704" s="741"/>
      <c r="U1704" s="586"/>
      <c r="V1704" s="564" t="s">
        <v>2899</v>
      </c>
      <c r="W1704" s="564" t="s">
        <v>25</v>
      </c>
      <c r="X1704" s="650"/>
      <c r="Y1704" s="586"/>
      <c r="Z1704" s="742"/>
      <c r="AA1704" s="586"/>
      <c r="AB1704" s="586"/>
      <c r="AC1704" s="586"/>
      <c r="AD1704" s="586"/>
      <c r="AE1704" s="714"/>
      <c r="AF1704" s="570" t="s">
        <v>2899</v>
      </c>
      <c r="AG1704" s="570" t="s">
        <v>25</v>
      </c>
      <c r="AH1704" s="571" t="s">
        <v>25</v>
      </c>
      <c r="AI1704" s="586"/>
      <c r="AJ1704" s="586"/>
    </row>
    <row r="1705" spans="1:36" s="394" customFormat="1" ht="20.25" outlineLevel="2" x14ac:dyDescent="0.3">
      <c r="A1705" s="447">
        <v>141</v>
      </c>
      <c r="B1705" s="607"/>
      <c r="C1705" s="607"/>
      <c r="D1705" s="642"/>
      <c r="E1705" s="642"/>
      <c r="F1705" s="586"/>
      <c r="G1705" s="709"/>
      <c r="H1705" s="546"/>
      <c r="I1705" s="563" t="s">
        <v>25</v>
      </c>
      <c r="J1705" s="563" t="s">
        <v>25</v>
      </c>
      <c r="K1705" s="564" t="s">
        <v>25</v>
      </c>
      <c r="L1705" s="564" t="s">
        <v>25</v>
      </c>
      <c r="M1705" s="572"/>
      <c r="N1705" s="572"/>
      <c r="O1705" s="740"/>
      <c r="P1705" s="564" t="s">
        <v>25</v>
      </c>
      <c r="Q1705" s="564" t="s">
        <v>25</v>
      </c>
      <c r="R1705" s="566"/>
      <c r="S1705" s="609"/>
      <c r="T1705" s="741"/>
      <c r="U1705" s="586"/>
      <c r="V1705" s="564" t="s">
        <v>2899</v>
      </c>
      <c r="W1705" s="564" t="s">
        <v>25</v>
      </c>
      <c r="X1705" s="650"/>
      <c r="Y1705" s="586"/>
      <c r="Z1705" s="742"/>
      <c r="AA1705" s="586"/>
      <c r="AB1705" s="586"/>
      <c r="AC1705" s="586"/>
      <c r="AD1705" s="586"/>
      <c r="AE1705" s="714"/>
      <c r="AF1705" s="570" t="s">
        <v>2899</v>
      </c>
      <c r="AG1705" s="570" t="s">
        <v>25</v>
      </c>
      <c r="AH1705" s="571" t="s">
        <v>25</v>
      </c>
      <c r="AI1705" s="586"/>
      <c r="AJ1705" s="586"/>
    </row>
    <row r="1706" spans="1:36" s="394" customFormat="1" ht="40.5" outlineLevel="1" x14ac:dyDescent="0.25">
      <c r="A1706" s="467">
        <v>142</v>
      </c>
      <c r="B1706" s="607" t="s">
        <v>1448</v>
      </c>
      <c r="C1706" s="586" t="s">
        <v>2903</v>
      </c>
      <c r="D1706" s="612">
        <v>86</v>
      </c>
      <c r="E1706" s="612">
        <v>25</v>
      </c>
      <c r="F1706" s="578"/>
      <c r="G1706" s="707">
        <v>23.8</v>
      </c>
      <c r="H1706" s="579">
        <v>115.6</v>
      </c>
      <c r="I1706" s="581"/>
      <c r="J1706" s="581"/>
      <c r="K1706" s="571">
        <v>13195000</v>
      </c>
      <c r="L1706" s="571">
        <v>39584000</v>
      </c>
      <c r="M1706" s="607"/>
      <c r="N1706" s="607"/>
      <c r="O1706" s="738">
        <v>0</v>
      </c>
      <c r="P1706" s="571"/>
      <c r="Q1706" s="571">
        <v>0</v>
      </c>
      <c r="R1706" s="582"/>
      <c r="S1706" s="621"/>
      <c r="T1706" s="739">
        <v>0</v>
      </c>
      <c r="U1706" s="578"/>
      <c r="V1706" s="571"/>
      <c r="W1706" s="571">
        <v>0</v>
      </c>
      <c r="X1706" s="650"/>
      <c r="Y1706" s="586"/>
      <c r="Z1706" s="742"/>
      <c r="AA1706" s="586"/>
      <c r="AB1706" s="586"/>
      <c r="AC1706" s="586"/>
      <c r="AD1706" s="578"/>
      <c r="AE1706" s="712">
        <f>SUBTOTAL(9,AE1707:AE1710)</f>
        <v>0</v>
      </c>
      <c r="AF1706" s="585"/>
      <c r="AG1706" s="585">
        <v>0</v>
      </c>
      <c r="AH1706" s="571">
        <v>52779000</v>
      </c>
      <c r="AI1706" s="578"/>
      <c r="AJ1706" s="578"/>
    </row>
    <row r="1707" spans="1:36" s="394" customFormat="1" ht="243" outlineLevel="2" x14ac:dyDescent="0.3">
      <c r="A1707" s="447">
        <v>142</v>
      </c>
      <c r="B1707" s="572" t="s">
        <v>1450</v>
      </c>
      <c r="C1707" s="572"/>
      <c r="D1707" s="612"/>
      <c r="E1707" s="612"/>
      <c r="F1707" s="586" t="s">
        <v>2421</v>
      </c>
      <c r="G1707" s="709">
        <v>23.8</v>
      </c>
      <c r="H1707" s="546">
        <v>23.8</v>
      </c>
      <c r="I1707" s="563">
        <v>554400</v>
      </c>
      <c r="J1707" s="563">
        <v>1663200</v>
      </c>
      <c r="K1707" s="564">
        <v>13195000</v>
      </c>
      <c r="L1707" s="564">
        <v>39584000</v>
      </c>
      <c r="M1707" s="572"/>
      <c r="N1707" s="572"/>
      <c r="O1707" s="740"/>
      <c r="P1707" s="564"/>
      <c r="Q1707" s="564"/>
      <c r="R1707" s="566"/>
      <c r="S1707" s="609"/>
      <c r="T1707" s="741"/>
      <c r="U1707" s="586"/>
      <c r="V1707" s="564"/>
      <c r="W1707" s="564"/>
      <c r="X1707" s="650"/>
      <c r="Y1707" s="586"/>
      <c r="Z1707" s="742"/>
      <c r="AA1707" s="586"/>
      <c r="AB1707" s="586"/>
      <c r="AC1707" s="586"/>
      <c r="AD1707" s="586"/>
      <c r="AE1707" s="714"/>
      <c r="AF1707" s="570"/>
      <c r="AG1707" s="570"/>
      <c r="AH1707" s="571" t="s">
        <v>25</v>
      </c>
      <c r="AI1707" s="586" t="s">
        <v>2464</v>
      </c>
      <c r="AJ1707" s="586" t="s">
        <v>2771</v>
      </c>
    </row>
    <row r="1708" spans="1:36" s="394" customFormat="1" ht="101.25" outlineLevel="2" x14ac:dyDescent="0.3">
      <c r="A1708" s="447">
        <v>142</v>
      </c>
      <c r="B1708" s="572" t="s">
        <v>1634</v>
      </c>
      <c r="C1708" s="572"/>
      <c r="D1708" s="612"/>
      <c r="E1708" s="612"/>
      <c r="F1708" s="586"/>
      <c r="G1708" s="709"/>
      <c r="H1708" s="546"/>
      <c r="I1708" s="563" t="s">
        <v>25</v>
      </c>
      <c r="J1708" s="563" t="s">
        <v>25</v>
      </c>
      <c r="K1708" s="564" t="s">
        <v>25</v>
      </c>
      <c r="L1708" s="564" t="s">
        <v>25</v>
      </c>
      <c r="M1708" s="572"/>
      <c r="N1708" s="572"/>
      <c r="O1708" s="740"/>
      <c r="P1708" s="564"/>
      <c r="Q1708" s="564"/>
      <c r="R1708" s="566"/>
      <c r="S1708" s="609"/>
      <c r="T1708" s="741"/>
      <c r="U1708" s="586"/>
      <c r="V1708" s="564"/>
      <c r="W1708" s="564"/>
      <c r="X1708" s="650"/>
      <c r="Y1708" s="586"/>
      <c r="Z1708" s="742"/>
      <c r="AA1708" s="586"/>
      <c r="AB1708" s="586"/>
      <c r="AC1708" s="586"/>
      <c r="AD1708" s="586"/>
      <c r="AE1708" s="714"/>
      <c r="AF1708" s="570"/>
      <c r="AG1708" s="570"/>
      <c r="AH1708" s="571" t="s">
        <v>25</v>
      </c>
      <c r="AI1708" s="586" t="s">
        <v>2074</v>
      </c>
      <c r="AJ1708" s="605" t="s">
        <v>2448</v>
      </c>
    </row>
    <row r="1709" spans="1:36" s="394" customFormat="1" ht="20.25" outlineLevel="2" x14ac:dyDescent="0.3">
      <c r="A1709" s="447">
        <v>142</v>
      </c>
      <c r="B1709" s="572"/>
      <c r="C1709" s="572"/>
      <c r="D1709" s="612"/>
      <c r="E1709" s="612"/>
      <c r="F1709" s="586"/>
      <c r="G1709" s="709"/>
      <c r="H1709" s="546"/>
      <c r="I1709" s="563" t="s">
        <v>25</v>
      </c>
      <c r="J1709" s="563" t="s">
        <v>25</v>
      </c>
      <c r="K1709" s="564" t="s">
        <v>25</v>
      </c>
      <c r="L1709" s="564" t="s">
        <v>25</v>
      </c>
      <c r="M1709" s="572"/>
      <c r="N1709" s="572"/>
      <c r="O1709" s="740"/>
      <c r="P1709" s="564"/>
      <c r="Q1709" s="564"/>
      <c r="R1709" s="566"/>
      <c r="S1709" s="609"/>
      <c r="T1709" s="741"/>
      <c r="U1709" s="586"/>
      <c r="V1709" s="564"/>
      <c r="W1709" s="564"/>
      <c r="X1709" s="650"/>
      <c r="Y1709" s="586"/>
      <c r="Z1709" s="742"/>
      <c r="AA1709" s="586"/>
      <c r="AB1709" s="586"/>
      <c r="AC1709" s="586"/>
      <c r="AD1709" s="586"/>
      <c r="AE1709" s="714"/>
      <c r="AF1709" s="570"/>
      <c r="AG1709" s="570"/>
      <c r="AH1709" s="571" t="s">
        <v>25</v>
      </c>
      <c r="AI1709" s="586"/>
      <c r="AJ1709" s="586"/>
    </row>
    <row r="1710" spans="1:36" s="394" customFormat="1" ht="20.25" outlineLevel="2" x14ac:dyDescent="0.3">
      <c r="A1710" s="447">
        <v>142</v>
      </c>
      <c r="B1710" s="607"/>
      <c r="C1710" s="607"/>
      <c r="D1710" s="642"/>
      <c r="E1710" s="642"/>
      <c r="F1710" s="586"/>
      <c r="G1710" s="709"/>
      <c r="H1710" s="546"/>
      <c r="I1710" s="563" t="s">
        <v>25</v>
      </c>
      <c r="J1710" s="563" t="s">
        <v>25</v>
      </c>
      <c r="K1710" s="564" t="s">
        <v>25</v>
      </c>
      <c r="L1710" s="564" t="s">
        <v>25</v>
      </c>
      <c r="M1710" s="572"/>
      <c r="N1710" s="572"/>
      <c r="O1710" s="740"/>
      <c r="P1710" s="564"/>
      <c r="Q1710" s="564"/>
      <c r="R1710" s="566"/>
      <c r="S1710" s="609"/>
      <c r="T1710" s="741"/>
      <c r="U1710" s="586"/>
      <c r="V1710" s="564"/>
      <c r="W1710" s="564"/>
      <c r="X1710" s="650"/>
      <c r="Y1710" s="586"/>
      <c r="Z1710" s="742"/>
      <c r="AA1710" s="586"/>
      <c r="AB1710" s="586"/>
      <c r="AC1710" s="586"/>
      <c r="AD1710" s="586"/>
      <c r="AE1710" s="714"/>
      <c r="AF1710" s="570"/>
      <c r="AG1710" s="570"/>
      <c r="AH1710" s="571" t="s">
        <v>25</v>
      </c>
      <c r="AI1710" s="586"/>
      <c r="AJ1710" s="586"/>
    </row>
    <row r="1711" spans="1:36" s="396" customFormat="1" ht="40.5" outlineLevel="1" x14ac:dyDescent="0.25">
      <c r="A1711" s="467">
        <v>143</v>
      </c>
      <c r="B1711" s="607" t="s">
        <v>1201</v>
      </c>
      <c r="C1711" s="586" t="s">
        <v>2903</v>
      </c>
      <c r="D1711" s="612">
        <v>86</v>
      </c>
      <c r="E1711" s="612">
        <v>397</v>
      </c>
      <c r="F1711" s="578"/>
      <c r="G1711" s="707">
        <v>91.8</v>
      </c>
      <c r="H1711" s="579">
        <v>91.8</v>
      </c>
      <c r="I1711" s="581"/>
      <c r="J1711" s="581"/>
      <c r="K1711" s="571">
        <v>50894000</v>
      </c>
      <c r="L1711" s="571">
        <v>152682000</v>
      </c>
      <c r="M1711" s="607"/>
      <c r="N1711" s="607"/>
      <c r="O1711" s="738">
        <v>28</v>
      </c>
      <c r="P1711" s="571"/>
      <c r="Q1711" s="571">
        <v>9030000</v>
      </c>
      <c r="R1711" s="582"/>
      <c r="S1711" s="621"/>
      <c r="T1711" s="739">
        <v>0</v>
      </c>
      <c r="U1711" s="578"/>
      <c r="V1711" s="571"/>
      <c r="W1711" s="571">
        <v>0</v>
      </c>
      <c r="X1711" s="650"/>
      <c r="Y1711" s="586"/>
      <c r="Z1711" s="742"/>
      <c r="AA1711" s="586"/>
      <c r="AB1711" s="586"/>
      <c r="AC1711" s="586"/>
      <c r="AD1711" s="578"/>
      <c r="AE1711" s="712">
        <f>SUBTOTAL(9,AE1712:AE1718)</f>
        <v>0</v>
      </c>
      <c r="AF1711" s="585"/>
      <c r="AG1711" s="585">
        <v>0</v>
      </c>
      <c r="AH1711" s="571">
        <v>212606000</v>
      </c>
      <c r="AI1711" s="578"/>
      <c r="AJ1711" s="578"/>
    </row>
    <row r="1712" spans="1:36" s="396" customFormat="1" ht="121.5" outlineLevel="2" x14ac:dyDescent="0.3">
      <c r="A1712" s="447">
        <v>143</v>
      </c>
      <c r="B1712" s="572" t="s">
        <v>1203</v>
      </c>
      <c r="C1712" s="572"/>
      <c r="D1712" s="744"/>
      <c r="E1712" s="744"/>
      <c r="F1712" s="586" t="s">
        <v>2420</v>
      </c>
      <c r="G1712" s="709">
        <v>91.8</v>
      </c>
      <c r="H1712" s="546">
        <v>91.8</v>
      </c>
      <c r="I1712" s="563">
        <v>554400</v>
      </c>
      <c r="J1712" s="563">
        <v>1663200</v>
      </c>
      <c r="K1712" s="564">
        <v>50894000</v>
      </c>
      <c r="L1712" s="564">
        <v>152682000</v>
      </c>
      <c r="M1712" s="572" t="s">
        <v>69</v>
      </c>
      <c r="N1712" s="572"/>
      <c r="O1712" s="740">
        <v>2</v>
      </c>
      <c r="P1712" s="564">
        <v>211000</v>
      </c>
      <c r="Q1712" s="564">
        <v>422000</v>
      </c>
      <c r="R1712" s="566"/>
      <c r="S1712" s="609"/>
      <c r="T1712" s="741"/>
      <c r="U1712" s="586"/>
      <c r="V1712" s="564" t="s">
        <v>2899</v>
      </c>
      <c r="W1712" s="564" t="s">
        <v>25</v>
      </c>
      <c r="X1712" s="650"/>
      <c r="Y1712" s="586"/>
      <c r="Z1712" s="742"/>
      <c r="AA1712" s="586"/>
      <c r="AB1712" s="586"/>
      <c r="AC1712" s="586"/>
      <c r="AD1712" s="586"/>
      <c r="AE1712" s="714"/>
      <c r="AF1712" s="570" t="s">
        <v>2899</v>
      </c>
      <c r="AG1712" s="570"/>
      <c r="AH1712" s="571" t="s">
        <v>25</v>
      </c>
      <c r="AI1712" s="586" t="s">
        <v>1202</v>
      </c>
      <c r="AJ1712" s="586" t="s">
        <v>2771</v>
      </c>
    </row>
    <row r="1713" spans="1:36" s="394" customFormat="1" ht="81" outlineLevel="2" x14ac:dyDescent="0.3">
      <c r="A1713" s="447">
        <v>143</v>
      </c>
      <c r="B1713" s="572" t="s">
        <v>1603</v>
      </c>
      <c r="C1713" s="572"/>
      <c r="D1713" s="612"/>
      <c r="E1713" s="612"/>
      <c r="F1713" s="731"/>
      <c r="G1713" s="745"/>
      <c r="H1713" s="546"/>
      <c r="I1713" s="563" t="s">
        <v>25</v>
      </c>
      <c r="J1713" s="563" t="s">
        <v>25</v>
      </c>
      <c r="K1713" s="564" t="s">
        <v>25</v>
      </c>
      <c r="L1713" s="564" t="s">
        <v>25</v>
      </c>
      <c r="M1713" s="572" t="s">
        <v>77</v>
      </c>
      <c r="N1713" s="572"/>
      <c r="O1713" s="740">
        <v>1</v>
      </c>
      <c r="P1713" s="564">
        <v>3064000</v>
      </c>
      <c r="Q1713" s="564">
        <v>3064000</v>
      </c>
      <c r="R1713" s="566"/>
      <c r="S1713" s="609"/>
      <c r="T1713" s="741"/>
      <c r="U1713" s="586"/>
      <c r="V1713" s="564" t="s">
        <v>2899</v>
      </c>
      <c r="W1713" s="564" t="s">
        <v>25</v>
      </c>
      <c r="X1713" s="650"/>
      <c r="Y1713" s="586"/>
      <c r="Z1713" s="742"/>
      <c r="AA1713" s="586"/>
      <c r="AB1713" s="586"/>
      <c r="AC1713" s="586"/>
      <c r="AD1713" s="586"/>
      <c r="AE1713" s="714"/>
      <c r="AF1713" s="570" t="s">
        <v>2899</v>
      </c>
      <c r="AG1713" s="570" t="s">
        <v>25</v>
      </c>
      <c r="AH1713" s="571" t="s">
        <v>25</v>
      </c>
      <c r="AI1713" s="586" t="s">
        <v>1204</v>
      </c>
      <c r="AJ1713" s="605" t="s">
        <v>2448</v>
      </c>
    </row>
    <row r="1714" spans="1:36" s="394" customFormat="1" ht="101.25" outlineLevel="2" x14ac:dyDescent="0.3">
      <c r="A1714" s="447">
        <v>143</v>
      </c>
      <c r="B1714" s="572"/>
      <c r="C1714" s="572"/>
      <c r="D1714" s="612"/>
      <c r="E1714" s="612"/>
      <c r="F1714" s="586"/>
      <c r="G1714" s="709"/>
      <c r="H1714" s="546"/>
      <c r="I1714" s="563" t="s">
        <v>25</v>
      </c>
      <c r="J1714" s="563" t="s">
        <v>25</v>
      </c>
      <c r="K1714" s="564" t="s">
        <v>25</v>
      </c>
      <c r="L1714" s="564" t="s">
        <v>25</v>
      </c>
      <c r="M1714" s="572" t="s">
        <v>350</v>
      </c>
      <c r="N1714" s="572"/>
      <c r="O1714" s="740">
        <v>1</v>
      </c>
      <c r="P1714" s="564">
        <v>72000</v>
      </c>
      <c r="Q1714" s="564">
        <v>72000</v>
      </c>
      <c r="R1714" s="566"/>
      <c r="S1714" s="609"/>
      <c r="T1714" s="741"/>
      <c r="U1714" s="586"/>
      <c r="V1714" s="564" t="s">
        <v>2899</v>
      </c>
      <c r="W1714" s="564" t="s">
        <v>25</v>
      </c>
      <c r="X1714" s="650"/>
      <c r="Y1714" s="586"/>
      <c r="Z1714" s="742"/>
      <c r="AA1714" s="586"/>
      <c r="AB1714" s="586"/>
      <c r="AC1714" s="586"/>
      <c r="AD1714" s="586"/>
      <c r="AE1714" s="714"/>
      <c r="AF1714" s="570" t="s">
        <v>2899</v>
      </c>
      <c r="AG1714" s="570" t="s">
        <v>25</v>
      </c>
      <c r="AH1714" s="571" t="s">
        <v>25</v>
      </c>
      <c r="AI1714" s="572" t="s">
        <v>2074</v>
      </c>
      <c r="AJ1714" s="558" t="s">
        <v>2449</v>
      </c>
    </row>
    <row r="1715" spans="1:36" s="394" customFormat="1" ht="40.5" outlineLevel="2" x14ac:dyDescent="0.3">
      <c r="A1715" s="447">
        <v>143</v>
      </c>
      <c r="B1715" s="572"/>
      <c r="C1715" s="572"/>
      <c r="D1715" s="612"/>
      <c r="E1715" s="612"/>
      <c r="F1715" s="586"/>
      <c r="G1715" s="709"/>
      <c r="H1715" s="546"/>
      <c r="I1715" s="563" t="s">
        <v>25</v>
      </c>
      <c r="J1715" s="563" t="s">
        <v>25</v>
      </c>
      <c r="K1715" s="564" t="s">
        <v>25</v>
      </c>
      <c r="L1715" s="564" t="s">
        <v>25</v>
      </c>
      <c r="M1715" s="572" t="s">
        <v>400</v>
      </c>
      <c r="N1715" s="572"/>
      <c r="O1715" s="740">
        <v>24</v>
      </c>
      <c r="P1715" s="564">
        <v>228000</v>
      </c>
      <c r="Q1715" s="564">
        <v>5472000</v>
      </c>
      <c r="R1715" s="566"/>
      <c r="S1715" s="609"/>
      <c r="T1715" s="741"/>
      <c r="U1715" s="586"/>
      <c r="V1715" s="564" t="s">
        <v>2899</v>
      </c>
      <c r="W1715" s="564" t="s">
        <v>25</v>
      </c>
      <c r="X1715" s="650"/>
      <c r="Y1715" s="586"/>
      <c r="Z1715" s="742"/>
      <c r="AA1715" s="586"/>
      <c r="AB1715" s="586"/>
      <c r="AC1715" s="586"/>
      <c r="AD1715" s="586"/>
      <c r="AE1715" s="714"/>
      <c r="AF1715" s="570" t="s">
        <v>2899</v>
      </c>
      <c r="AG1715" s="570" t="s">
        <v>25</v>
      </c>
      <c r="AH1715" s="571" t="s">
        <v>25</v>
      </c>
      <c r="AI1715" s="731"/>
      <c r="AJ1715" s="586"/>
    </row>
    <row r="1716" spans="1:36" s="394" customFormat="1" ht="20.25" outlineLevel="2" x14ac:dyDescent="0.3">
      <c r="A1716" s="447">
        <v>143</v>
      </c>
      <c r="B1716" s="586"/>
      <c r="C1716" s="586"/>
      <c r="D1716" s="612"/>
      <c r="E1716" s="612"/>
      <c r="F1716" s="586"/>
      <c r="G1716" s="709"/>
      <c r="H1716" s="546"/>
      <c r="I1716" s="563" t="s">
        <v>25</v>
      </c>
      <c r="J1716" s="563" t="s">
        <v>25</v>
      </c>
      <c r="K1716" s="564" t="s">
        <v>25</v>
      </c>
      <c r="L1716" s="564" t="s">
        <v>25</v>
      </c>
      <c r="M1716" s="572"/>
      <c r="N1716" s="572"/>
      <c r="O1716" s="740"/>
      <c r="P1716" s="564" t="s">
        <v>25</v>
      </c>
      <c r="Q1716" s="564" t="s">
        <v>25</v>
      </c>
      <c r="R1716" s="566"/>
      <c r="S1716" s="609"/>
      <c r="T1716" s="741"/>
      <c r="U1716" s="586"/>
      <c r="V1716" s="564" t="s">
        <v>2899</v>
      </c>
      <c r="W1716" s="564" t="s">
        <v>25</v>
      </c>
      <c r="X1716" s="650"/>
      <c r="Y1716" s="586"/>
      <c r="Z1716" s="742"/>
      <c r="AA1716" s="586"/>
      <c r="AB1716" s="586"/>
      <c r="AC1716" s="586"/>
      <c r="AD1716" s="586"/>
      <c r="AE1716" s="714"/>
      <c r="AF1716" s="570" t="s">
        <v>2899</v>
      </c>
      <c r="AG1716" s="570" t="s">
        <v>25</v>
      </c>
      <c r="AH1716" s="571" t="s">
        <v>25</v>
      </c>
      <c r="AI1716" s="731"/>
      <c r="AJ1716" s="572"/>
    </row>
    <row r="1717" spans="1:36" s="394" customFormat="1" ht="20.25" outlineLevel="2" x14ac:dyDescent="0.3">
      <c r="A1717" s="447">
        <v>143</v>
      </c>
      <c r="B1717" s="572"/>
      <c r="C1717" s="572"/>
      <c r="D1717" s="612"/>
      <c r="E1717" s="612"/>
      <c r="F1717" s="586"/>
      <c r="G1717" s="709"/>
      <c r="H1717" s="546"/>
      <c r="I1717" s="563" t="s">
        <v>25</v>
      </c>
      <c r="J1717" s="563" t="s">
        <v>25</v>
      </c>
      <c r="K1717" s="564" t="s">
        <v>25</v>
      </c>
      <c r="L1717" s="564" t="s">
        <v>25</v>
      </c>
      <c r="M1717" s="572"/>
      <c r="N1717" s="572"/>
      <c r="O1717" s="740"/>
      <c r="P1717" s="564" t="s">
        <v>25</v>
      </c>
      <c r="Q1717" s="564" t="s">
        <v>25</v>
      </c>
      <c r="R1717" s="566"/>
      <c r="S1717" s="609"/>
      <c r="T1717" s="741"/>
      <c r="U1717" s="586"/>
      <c r="V1717" s="564" t="s">
        <v>2899</v>
      </c>
      <c r="W1717" s="564" t="s">
        <v>25</v>
      </c>
      <c r="X1717" s="650"/>
      <c r="Y1717" s="586"/>
      <c r="Z1717" s="742"/>
      <c r="AA1717" s="586"/>
      <c r="AB1717" s="586"/>
      <c r="AC1717" s="586"/>
      <c r="AD1717" s="586"/>
      <c r="AE1717" s="714"/>
      <c r="AF1717" s="570" t="s">
        <v>2899</v>
      </c>
      <c r="AG1717" s="570" t="s">
        <v>25</v>
      </c>
      <c r="AH1717" s="571" t="s">
        <v>25</v>
      </c>
      <c r="AI1717" s="586"/>
      <c r="AJ1717" s="586"/>
    </row>
    <row r="1718" spans="1:36" s="394" customFormat="1" ht="20.25" outlineLevel="2" x14ac:dyDescent="0.3">
      <c r="A1718" s="447">
        <v>143</v>
      </c>
      <c r="B1718" s="607"/>
      <c r="C1718" s="607"/>
      <c r="D1718" s="642"/>
      <c r="E1718" s="642"/>
      <c r="F1718" s="586"/>
      <c r="G1718" s="709"/>
      <c r="H1718" s="546"/>
      <c r="I1718" s="563" t="s">
        <v>25</v>
      </c>
      <c r="J1718" s="563" t="s">
        <v>25</v>
      </c>
      <c r="K1718" s="564" t="s">
        <v>25</v>
      </c>
      <c r="L1718" s="564" t="s">
        <v>25</v>
      </c>
      <c r="M1718" s="572"/>
      <c r="N1718" s="572"/>
      <c r="O1718" s="740"/>
      <c r="P1718" s="564" t="s">
        <v>25</v>
      </c>
      <c r="Q1718" s="564" t="s">
        <v>25</v>
      </c>
      <c r="R1718" s="566"/>
      <c r="S1718" s="609"/>
      <c r="T1718" s="741"/>
      <c r="U1718" s="586"/>
      <c r="V1718" s="564" t="s">
        <v>2899</v>
      </c>
      <c r="W1718" s="564" t="s">
        <v>25</v>
      </c>
      <c r="X1718" s="650"/>
      <c r="Y1718" s="586"/>
      <c r="Z1718" s="742"/>
      <c r="AA1718" s="586"/>
      <c r="AB1718" s="586"/>
      <c r="AC1718" s="586"/>
      <c r="AD1718" s="586"/>
      <c r="AE1718" s="714"/>
      <c r="AF1718" s="570" t="s">
        <v>2899</v>
      </c>
      <c r="AG1718" s="570" t="s">
        <v>25</v>
      </c>
      <c r="AH1718" s="571" t="s">
        <v>25</v>
      </c>
      <c r="AI1718" s="586"/>
      <c r="AJ1718" s="586"/>
    </row>
    <row r="1719" spans="1:36" s="394" customFormat="1" ht="40.5" outlineLevel="1" x14ac:dyDescent="0.25">
      <c r="A1719" s="467">
        <v>144</v>
      </c>
      <c r="B1719" s="607" t="s">
        <v>1201</v>
      </c>
      <c r="C1719" s="586" t="s">
        <v>2903</v>
      </c>
      <c r="D1719" s="612">
        <v>86</v>
      </c>
      <c r="E1719" s="612">
        <v>396</v>
      </c>
      <c r="F1719" s="578"/>
      <c r="G1719" s="707">
        <v>92.3</v>
      </c>
      <c r="H1719" s="579">
        <v>92.3</v>
      </c>
      <c r="I1719" s="581"/>
      <c r="J1719" s="581"/>
      <c r="K1719" s="571">
        <v>51171000</v>
      </c>
      <c r="L1719" s="571">
        <v>153513000</v>
      </c>
      <c r="M1719" s="607"/>
      <c r="N1719" s="607"/>
      <c r="O1719" s="738">
        <v>0</v>
      </c>
      <c r="P1719" s="571"/>
      <c r="Q1719" s="571">
        <v>0</v>
      </c>
      <c r="R1719" s="582"/>
      <c r="S1719" s="621"/>
      <c r="T1719" s="739">
        <v>0</v>
      </c>
      <c r="U1719" s="578"/>
      <c r="V1719" s="571"/>
      <c r="W1719" s="571">
        <v>0</v>
      </c>
      <c r="X1719" s="650"/>
      <c r="Y1719" s="586"/>
      <c r="Z1719" s="742"/>
      <c r="AA1719" s="586"/>
      <c r="AB1719" s="586"/>
      <c r="AC1719" s="586"/>
      <c r="AD1719" s="578"/>
      <c r="AE1719" s="712">
        <f>SUBTOTAL(9,AE1720:AE1725)</f>
        <v>0</v>
      </c>
      <c r="AF1719" s="585"/>
      <c r="AG1719" s="585">
        <v>0</v>
      </c>
      <c r="AH1719" s="571">
        <v>204684000</v>
      </c>
      <c r="AI1719" s="578"/>
      <c r="AJ1719" s="578"/>
    </row>
    <row r="1720" spans="1:36" s="394" customFormat="1" ht="121.5" outlineLevel="2" x14ac:dyDescent="0.3">
      <c r="A1720" s="447">
        <v>144</v>
      </c>
      <c r="B1720" s="572" t="s">
        <v>1203</v>
      </c>
      <c r="C1720" s="572"/>
      <c r="D1720" s="612"/>
      <c r="E1720" s="612"/>
      <c r="F1720" s="586" t="s">
        <v>2440</v>
      </c>
      <c r="G1720" s="709">
        <v>92.3</v>
      </c>
      <c r="H1720" s="546">
        <v>92.3</v>
      </c>
      <c r="I1720" s="563">
        <v>554400</v>
      </c>
      <c r="J1720" s="563">
        <v>1663200</v>
      </c>
      <c r="K1720" s="564">
        <v>51171000</v>
      </c>
      <c r="L1720" s="564">
        <v>153513000</v>
      </c>
      <c r="M1720" s="572"/>
      <c r="N1720" s="572"/>
      <c r="O1720" s="740"/>
      <c r="P1720" s="564" t="s">
        <v>25</v>
      </c>
      <c r="Q1720" s="564" t="s">
        <v>25</v>
      </c>
      <c r="R1720" s="566"/>
      <c r="S1720" s="609"/>
      <c r="T1720" s="741"/>
      <c r="U1720" s="586"/>
      <c r="V1720" s="564" t="s">
        <v>2899</v>
      </c>
      <c r="W1720" s="564" t="s">
        <v>25</v>
      </c>
      <c r="X1720" s="650"/>
      <c r="Y1720" s="586"/>
      <c r="Z1720" s="742"/>
      <c r="AA1720" s="586"/>
      <c r="AB1720" s="586"/>
      <c r="AC1720" s="586"/>
      <c r="AD1720" s="586"/>
      <c r="AE1720" s="714"/>
      <c r="AF1720" s="570" t="s">
        <v>2899</v>
      </c>
      <c r="AG1720" s="570" t="s">
        <v>25</v>
      </c>
      <c r="AH1720" s="571" t="s">
        <v>25</v>
      </c>
      <c r="AI1720" s="586" t="s">
        <v>1207</v>
      </c>
      <c r="AJ1720" s="586" t="s">
        <v>2771</v>
      </c>
    </row>
    <row r="1721" spans="1:36" s="394" customFormat="1" ht="81" outlineLevel="2" x14ac:dyDescent="0.3">
      <c r="A1721" s="447">
        <v>144</v>
      </c>
      <c r="B1721" s="572" t="s">
        <v>1603</v>
      </c>
      <c r="C1721" s="572"/>
      <c r="D1721" s="612"/>
      <c r="E1721" s="612"/>
      <c r="F1721" s="586"/>
      <c r="G1721" s="709"/>
      <c r="H1721" s="546"/>
      <c r="I1721" s="563" t="s">
        <v>25</v>
      </c>
      <c r="J1721" s="563" t="s">
        <v>25</v>
      </c>
      <c r="K1721" s="564" t="s">
        <v>25</v>
      </c>
      <c r="L1721" s="564" t="s">
        <v>25</v>
      </c>
      <c r="M1721" s="572"/>
      <c r="N1721" s="572"/>
      <c r="O1721" s="740"/>
      <c r="P1721" s="564" t="s">
        <v>25</v>
      </c>
      <c r="Q1721" s="564" t="s">
        <v>25</v>
      </c>
      <c r="R1721" s="566"/>
      <c r="S1721" s="609"/>
      <c r="T1721" s="741"/>
      <c r="U1721" s="586"/>
      <c r="V1721" s="564" t="s">
        <v>2899</v>
      </c>
      <c r="W1721" s="564" t="s">
        <v>25</v>
      </c>
      <c r="X1721" s="650"/>
      <c r="Y1721" s="586"/>
      <c r="Z1721" s="742"/>
      <c r="AA1721" s="586"/>
      <c r="AB1721" s="586"/>
      <c r="AC1721" s="586"/>
      <c r="AD1721" s="586"/>
      <c r="AE1721" s="714"/>
      <c r="AF1721" s="570" t="s">
        <v>2899</v>
      </c>
      <c r="AG1721" s="570" t="s">
        <v>25</v>
      </c>
      <c r="AH1721" s="571" t="s">
        <v>25</v>
      </c>
      <c r="AI1721" s="586" t="s">
        <v>1208</v>
      </c>
      <c r="AJ1721" s="605" t="s">
        <v>2448</v>
      </c>
    </row>
    <row r="1722" spans="1:36" s="394" customFormat="1" ht="60.75" outlineLevel="2" x14ac:dyDescent="0.3">
      <c r="A1722" s="447">
        <v>144</v>
      </c>
      <c r="B1722" s="572"/>
      <c r="C1722" s="572"/>
      <c r="D1722" s="612"/>
      <c r="E1722" s="612"/>
      <c r="F1722" s="586"/>
      <c r="G1722" s="709"/>
      <c r="H1722" s="546"/>
      <c r="I1722" s="563" t="s">
        <v>25</v>
      </c>
      <c r="J1722" s="563" t="s">
        <v>25</v>
      </c>
      <c r="K1722" s="564" t="s">
        <v>25</v>
      </c>
      <c r="L1722" s="564" t="s">
        <v>25</v>
      </c>
      <c r="M1722" s="572"/>
      <c r="N1722" s="572"/>
      <c r="O1722" s="740"/>
      <c r="P1722" s="564" t="s">
        <v>25</v>
      </c>
      <c r="Q1722" s="564" t="s">
        <v>25</v>
      </c>
      <c r="R1722" s="566"/>
      <c r="S1722" s="609"/>
      <c r="T1722" s="741"/>
      <c r="U1722" s="586"/>
      <c r="V1722" s="564" t="s">
        <v>2899</v>
      </c>
      <c r="W1722" s="564" t="s">
        <v>25</v>
      </c>
      <c r="X1722" s="650"/>
      <c r="Y1722" s="586"/>
      <c r="Z1722" s="742"/>
      <c r="AA1722" s="586"/>
      <c r="AB1722" s="586"/>
      <c r="AC1722" s="586"/>
      <c r="AD1722" s="586"/>
      <c r="AE1722" s="714"/>
      <c r="AF1722" s="570" t="s">
        <v>2899</v>
      </c>
      <c r="AG1722" s="570" t="s">
        <v>25</v>
      </c>
      <c r="AH1722" s="571" t="s">
        <v>25</v>
      </c>
      <c r="AI1722" s="586" t="s">
        <v>2074</v>
      </c>
      <c r="AJ1722" s="586"/>
    </row>
    <row r="1723" spans="1:36" s="394" customFormat="1" ht="20.25" outlineLevel="2" x14ac:dyDescent="0.3">
      <c r="A1723" s="447">
        <v>144</v>
      </c>
      <c r="B1723" s="572"/>
      <c r="C1723" s="572"/>
      <c r="D1723" s="612"/>
      <c r="E1723" s="612"/>
      <c r="F1723" s="586"/>
      <c r="G1723" s="709"/>
      <c r="H1723" s="546"/>
      <c r="I1723" s="563" t="s">
        <v>25</v>
      </c>
      <c r="J1723" s="563" t="s">
        <v>25</v>
      </c>
      <c r="K1723" s="564" t="s">
        <v>25</v>
      </c>
      <c r="L1723" s="564" t="s">
        <v>25</v>
      </c>
      <c r="M1723" s="572"/>
      <c r="N1723" s="572"/>
      <c r="O1723" s="740"/>
      <c r="P1723" s="564" t="s">
        <v>25</v>
      </c>
      <c r="Q1723" s="564" t="s">
        <v>25</v>
      </c>
      <c r="R1723" s="566"/>
      <c r="S1723" s="609"/>
      <c r="T1723" s="741"/>
      <c r="U1723" s="586"/>
      <c r="V1723" s="564" t="s">
        <v>2899</v>
      </c>
      <c r="W1723" s="564" t="s">
        <v>25</v>
      </c>
      <c r="X1723" s="650"/>
      <c r="Y1723" s="586"/>
      <c r="Z1723" s="742"/>
      <c r="AA1723" s="586"/>
      <c r="AB1723" s="586"/>
      <c r="AC1723" s="586"/>
      <c r="AD1723" s="586"/>
      <c r="AE1723" s="714"/>
      <c r="AF1723" s="570" t="s">
        <v>2899</v>
      </c>
      <c r="AG1723" s="570" t="s">
        <v>25</v>
      </c>
      <c r="AH1723" s="571" t="s">
        <v>25</v>
      </c>
      <c r="AI1723" s="731"/>
      <c r="AJ1723" s="586"/>
    </row>
    <row r="1724" spans="1:36" s="394" customFormat="1" ht="20.25" outlineLevel="2" x14ac:dyDescent="0.3">
      <c r="A1724" s="447">
        <v>144</v>
      </c>
      <c r="B1724" s="572"/>
      <c r="C1724" s="572"/>
      <c r="D1724" s="612"/>
      <c r="E1724" s="612"/>
      <c r="F1724" s="586"/>
      <c r="G1724" s="709"/>
      <c r="H1724" s="546"/>
      <c r="I1724" s="563" t="s">
        <v>25</v>
      </c>
      <c r="J1724" s="563" t="s">
        <v>25</v>
      </c>
      <c r="K1724" s="564" t="s">
        <v>25</v>
      </c>
      <c r="L1724" s="564" t="s">
        <v>25</v>
      </c>
      <c r="M1724" s="572"/>
      <c r="N1724" s="572"/>
      <c r="O1724" s="740"/>
      <c r="P1724" s="564" t="s">
        <v>25</v>
      </c>
      <c r="Q1724" s="564" t="s">
        <v>25</v>
      </c>
      <c r="R1724" s="566"/>
      <c r="S1724" s="609"/>
      <c r="T1724" s="741"/>
      <c r="U1724" s="586"/>
      <c r="V1724" s="564" t="s">
        <v>2899</v>
      </c>
      <c r="W1724" s="564" t="s">
        <v>25</v>
      </c>
      <c r="X1724" s="650"/>
      <c r="Y1724" s="586"/>
      <c r="Z1724" s="742"/>
      <c r="AA1724" s="586"/>
      <c r="AB1724" s="586"/>
      <c r="AC1724" s="586"/>
      <c r="AD1724" s="586"/>
      <c r="AE1724" s="714"/>
      <c r="AF1724" s="570" t="s">
        <v>2899</v>
      </c>
      <c r="AG1724" s="570" t="s">
        <v>25</v>
      </c>
      <c r="AH1724" s="571" t="s">
        <v>25</v>
      </c>
      <c r="AI1724" s="572"/>
      <c r="AJ1724" s="572"/>
    </row>
    <row r="1725" spans="1:36" s="394" customFormat="1" ht="20.25" outlineLevel="2" x14ac:dyDescent="0.3">
      <c r="A1725" s="447">
        <v>144</v>
      </c>
      <c r="B1725" s="607"/>
      <c r="C1725" s="607"/>
      <c r="D1725" s="642"/>
      <c r="E1725" s="642"/>
      <c r="F1725" s="586"/>
      <c r="G1725" s="709"/>
      <c r="H1725" s="546"/>
      <c r="I1725" s="563" t="s">
        <v>25</v>
      </c>
      <c r="J1725" s="563" t="s">
        <v>25</v>
      </c>
      <c r="K1725" s="564" t="s">
        <v>25</v>
      </c>
      <c r="L1725" s="564" t="s">
        <v>25</v>
      </c>
      <c r="M1725" s="572"/>
      <c r="N1725" s="572"/>
      <c r="O1725" s="740"/>
      <c r="P1725" s="564" t="s">
        <v>25</v>
      </c>
      <c r="Q1725" s="564" t="s">
        <v>25</v>
      </c>
      <c r="R1725" s="566"/>
      <c r="S1725" s="609"/>
      <c r="T1725" s="741"/>
      <c r="U1725" s="586"/>
      <c r="V1725" s="564" t="s">
        <v>2899</v>
      </c>
      <c r="W1725" s="564" t="s">
        <v>25</v>
      </c>
      <c r="X1725" s="650"/>
      <c r="Y1725" s="586"/>
      <c r="Z1725" s="742"/>
      <c r="AA1725" s="586"/>
      <c r="AB1725" s="586"/>
      <c r="AC1725" s="586"/>
      <c r="AD1725" s="586"/>
      <c r="AE1725" s="714"/>
      <c r="AF1725" s="570" t="s">
        <v>2899</v>
      </c>
      <c r="AG1725" s="570" t="s">
        <v>25</v>
      </c>
      <c r="AH1725" s="571" t="s">
        <v>25</v>
      </c>
      <c r="AI1725" s="586"/>
      <c r="AJ1725" s="586"/>
    </row>
    <row r="1726" spans="1:36" s="396" customFormat="1" ht="40.5" outlineLevel="1" x14ac:dyDescent="0.25">
      <c r="A1726" s="467">
        <v>145</v>
      </c>
      <c r="B1726" s="607" t="s">
        <v>1209</v>
      </c>
      <c r="C1726" s="586" t="s">
        <v>2903</v>
      </c>
      <c r="D1726" s="612">
        <v>86</v>
      </c>
      <c r="E1726" s="612">
        <v>48</v>
      </c>
      <c r="F1726" s="578"/>
      <c r="G1726" s="707">
        <v>37.299999999999997</v>
      </c>
      <c r="H1726" s="579">
        <v>0</v>
      </c>
      <c r="I1726" s="581"/>
      <c r="J1726" s="581"/>
      <c r="K1726" s="571">
        <v>17367000</v>
      </c>
      <c r="L1726" s="571">
        <v>0</v>
      </c>
      <c r="M1726" s="607"/>
      <c r="N1726" s="607"/>
      <c r="O1726" s="738">
        <v>1</v>
      </c>
      <c r="P1726" s="571"/>
      <c r="Q1726" s="571">
        <v>4240000</v>
      </c>
      <c r="R1726" s="582"/>
      <c r="S1726" s="621"/>
      <c r="T1726" s="739">
        <v>27.4</v>
      </c>
      <c r="U1726" s="578"/>
      <c r="V1726" s="571"/>
      <c r="W1726" s="571">
        <v>30340000</v>
      </c>
      <c r="X1726" s="650"/>
      <c r="Y1726" s="586"/>
      <c r="Z1726" s="742"/>
      <c r="AA1726" s="586"/>
      <c r="AB1726" s="586"/>
      <c r="AC1726" s="586"/>
      <c r="AD1726" s="578"/>
      <c r="AE1726" s="712">
        <f>SUBTOTAL(9,AE1727:AE1733)</f>
        <v>0</v>
      </c>
      <c r="AF1726" s="585"/>
      <c r="AG1726" s="585">
        <v>0</v>
      </c>
      <c r="AH1726" s="571">
        <v>51947000</v>
      </c>
      <c r="AI1726" s="578"/>
      <c r="AJ1726" s="578"/>
    </row>
    <row r="1727" spans="1:36" s="396" customFormat="1" ht="121.5" outlineLevel="2" x14ac:dyDescent="0.3">
      <c r="A1727" s="447">
        <v>145</v>
      </c>
      <c r="B1727" s="572" t="s">
        <v>1211</v>
      </c>
      <c r="C1727" s="572"/>
      <c r="D1727" s="612"/>
      <c r="E1727" s="612"/>
      <c r="F1727" s="586" t="s">
        <v>2870</v>
      </c>
      <c r="G1727" s="709">
        <v>24.699999999999996</v>
      </c>
      <c r="H1727" s="546" t="s">
        <v>2899</v>
      </c>
      <c r="I1727" s="563">
        <v>465600</v>
      </c>
      <c r="J1727" s="563">
        <v>0</v>
      </c>
      <c r="K1727" s="564">
        <v>11500000</v>
      </c>
      <c r="L1727" s="564">
        <v>0</v>
      </c>
      <c r="M1727" s="572" t="s">
        <v>145</v>
      </c>
      <c r="N1727" s="572"/>
      <c r="O1727" s="740">
        <v>1</v>
      </c>
      <c r="P1727" s="564">
        <v>4240000</v>
      </c>
      <c r="Q1727" s="564">
        <v>4240000</v>
      </c>
      <c r="R1727" s="566" t="s">
        <v>1916</v>
      </c>
      <c r="S1727" s="609" t="s">
        <v>1133</v>
      </c>
      <c r="T1727" s="741">
        <v>27.4</v>
      </c>
      <c r="U1727" s="586"/>
      <c r="V1727" s="564">
        <v>1107311</v>
      </c>
      <c r="W1727" s="564">
        <v>30340000</v>
      </c>
      <c r="X1727" s="650"/>
      <c r="Y1727" s="586"/>
      <c r="Z1727" s="742"/>
      <c r="AA1727" s="586"/>
      <c r="AB1727" s="586"/>
      <c r="AC1727" s="586"/>
      <c r="AD1727" s="586"/>
      <c r="AE1727" s="714"/>
      <c r="AF1727" s="570" t="s">
        <v>2899</v>
      </c>
      <c r="AG1727" s="570"/>
      <c r="AH1727" s="571" t="s">
        <v>25</v>
      </c>
      <c r="AI1727" s="586" t="s">
        <v>1210</v>
      </c>
      <c r="AJ1727" s="586" t="s">
        <v>2771</v>
      </c>
    </row>
    <row r="1728" spans="1:36" s="394" customFormat="1" ht="121.5" outlineLevel="2" x14ac:dyDescent="0.3">
      <c r="A1728" s="447">
        <v>145</v>
      </c>
      <c r="B1728" s="572" t="s">
        <v>1604</v>
      </c>
      <c r="C1728" s="572"/>
      <c r="D1728" s="612"/>
      <c r="E1728" s="612"/>
      <c r="F1728" s="586" t="s">
        <v>2874</v>
      </c>
      <c r="G1728" s="709">
        <v>12.6</v>
      </c>
      <c r="H1728" s="546" t="s">
        <v>2899</v>
      </c>
      <c r="I1728" s="563">
        <v>465600</v>
      </c>
      <c r="J1728" s="563">
        <v>0</v>
      </c>
      <c r="K1728" s="564">
        <v>5867000</v>
      </c>
      <c r="L1728" s="564">
        <v>0</v>
      </c>
      <c r="M1728" s="572"/>
      <c r="N1728" s="572"/>
      <c r="O1728" s="740"/>
      <c r="P1728" s="564" t="s">
        <v>25</v>
      </c>
      <c r="Q1728" s="564" t="s">
        <v>25</v>
      </c>
      <c r="R1728" s="566"/>
      <c r="S1728" s="609"/>
      <c r="T1728" s="741"/>
      <c r="U1728" s="586"/>
      <c r="V1728" s="564" t="s">
        <v>2899</v>
      </c>
      <c r="W1728" s="564" t="s">
        <v>25</v>
      </c>
      <c r="X1728" s="650"/>
      <c r="Y1728" s="586"/>
      <c r="Z1728" s="742"/>
      <c r="AA1728" s="586"/>
      <c r="AB1728" s="586"/>
      <c r="AC1728" s="586"/>
      <c r="AD1728" s="586"/>
      <c r="AE1728" s="714"/>
      <c r="AF1728" s="570" t="s">
        <v>2899</v>
      </c>
      <c r="AG1728" s="570" t="s">
        <v>25</v>
      </c>
      <c r="AH1728" s="571" t="s">
        <v>25</v>
      </c>
      <c r="AI1728" s="586" t="s">
        <v>1212</v>
      </c>
      <c r="AJ1728" s="558" t="s">
        <v>2450</v>
      </c>
    </row>
    <row r="1729" spans="1:36" s="394" customFormat="1" ht="101.25" outlineLevel="2" x14ac:dyDescent="0.3">
      <c r="A1729" s="447">
        <v>145</v>
      </c>
      <c r="B1729" s="572"/>
      <c r="C1729" s="572"/>
      <c r="D1729" s="612"/>
      <c r="E1729" s="612"/>
      <c r="F1729" s="586"/>
      <c r="G1729" s="709"/>
      <c r="H1729" s="546"/>
      <c r="I1729" s="563" t="s">
        <v>25</v>
      </c>
      <c r="J1729" s="563" t="s">
        <v>25</v>
      </c>
      <c r="K1729" s="564" t="s">
        <v>25</v>
      </c>
      <c r="L1729" s="564" t="s">
        <v>25</v>
      </c>
      <c r="M1729" s="572"/>
      <c r="N1729" s="572"/>
      <c r="O1729" s="740"/>
      <c r="P1729" s="564" t="s">
        <v>25</v>
      </c>
      <c r="Q1729" s="564" t="s">
        <v>25</v>
      </c>
      <c r="R1729" s="566"/>
      <c r="S1729" s="609"/>
      <c r="T1729" s="741"/>
      <c r="U1729" s="586"/>
      <c r="V1729" s="564" t="s">
        <v>2899</v>
      </c>
      <c r="W1729" s="564" t="s">
        <v>25</v>
      </c>
      <c r="X1729" s="650"/>
      <c r="Y1729" s="586"/>
      <c r="Z1729" s="742"/>
      <c r="AA1729" s="586"/>
      <c r="AB1729" s="586"/>
      <c r="AC1729" s="586"/>
      <c r="AD1729" s="586"/>
      <c r="AE1729" s="714"/>
      <c r="AF1729" s="570" t="s">
        <v>2899</v>
      </c>
      <c r="AG1729" s="570" t="s">
        <v>25</v>
      </c>
      <c r="AH1729" s="571" t="s">
        <v>25</v>
      </c>
      <c r="AI1729" s="586" t="s">
        <v>1146</v>
      </c>
      <c r="AJ1729" s="558" t="s">
        <v>2449</v>
      </c>
    </row>
    <row r="1730" spans="1:36" s="394" customFormat="1" ht="101.25" outlineLevel="2" x14ac:dyDescent="0.3">
      <c r="A1730" s="447">
        <v>145</v>
      </c>
      <c r="B1730" s="572"/>
      <c r="C1730" s="572"/>
      <c r="D1730" s="612"/>
      <c r="E1730" s="612"/>
      <c r="F1730" s="586"/>
      <c r="G1730" s="709"/>
      <c r="H1730" s="546"/>
      <c r="I1730" s="563" t="s">
        <v>25</v>
      </c>
      <c r="J1730" s="563" t="s">
        <v>25</v>
      </c>
      <c r="K1730" s="564" t="s">
        <v>25</v>
      </c>
      <c r="L1730" s="564" t="s">
        <v>25</v>
      </c>
      <c r="M1730" s="572"/>
      <c r="N1730" s="572"/>
      <c r="O1730" s="740"/>
      <c r="P1730" s="564" t="s">
        <v>25</v>
      </c>
      <c r="Q1730" s="564" t="s">
        <v>25</v>
      </c>
      <c r="R1730" s="566"/>
      <c r="S1730" s="609"/>
      <c r="T1730" s="741"/>
      <c r="U1730" s="586"/>
      <c r="V1730" s="564" t="s">
        <v>2899</v>
      </c>
      <c r="W1730" s="564" t="s">
        <v>25</v>
      </c>
      <c r="X1730" s="650"/>
      <c r="Y1730" s="586"/>
      <c r="Z1730" s="742"/>
      <c r="AA1730" s="586"/>
      <c r="AB1730" s="586"/>
      <c r="AC1730" s="586"/>
      <c r="AD1730" s="586"/>
      <c r="AE1730" s="714"/>
      <c r="AF1730" s="570" t="s">
        <v>2899</v>
      </c>
      <c r="AG1730" s="570" t="s">
        <v>25</v>
      </c>
      <c r="AH1730" s="571" t="s">
        <v>25</v>
      </c>
      <c r="AI1730" s="731"/>
      <c r="AJ1730" s="731" t="s">
        <v>2800</v>
      </c>
    </row>
    <row r="1731" spans="1:36" s="394" customFormat="1" ht="20.25" outlineLevel="2" x14ac:dyDescent="0.3">
      <c r="A1731" s="447">
        <v>145</v>
      </c>
      <c r="B1731" s="572"/>
      <c r="C1731" s="572"/>
      <c r="D1731" s="612"/>
      <c r="E1731" s="612"/>
      <c r="F1731" s="586"/>
      <c r="G1731" s="709"/>
      <c r="H1731" s="546"/>
      <c r="I1731" s="563" t="s">
        <v>25</v>
      </c>
      <c r="J1731" s="563" t="s">
        <v>25</v>
      </c>
      <c r="K1731" s="564" t="s">
        <v>25</v>
      </c>
      <c r="L1731" s="564" t="s">
        <v>25</v>
      </c>
      <c r="M1731" s="572"/>
      <c r="N1731" s="572"/>
      <c r="O1731" s="740"/>
      <c r="P1731" s="564" t="s">
        <v>25</v>
      </c>
      <c r="Q1731" s="564" t="s">
        <v>25</v>
      </c>
      <c r="R1731" s="566"/>
      <c r="S1731" s="609"/>
      <c r="T1731" s="741"/>
      <c r="U1731" s="586"/>
      <c r="V1731" s="564" t="s">
        <v>2899</v>
      </c>
      <c r="W1731" s="564" t="s">
        <v>25</v>
      </c>
      <c r="X1731" s="650"/>
      <c r="Y1731" s="586"/>
      <c r="Z1731" s="742"/>
      <c r="AA1731" s="586"/>
      <c r="AB1731" s="586"/>
      <c r="AC1731" s="586"/>
      <c r="AD1731" s="586"/>
      <c r="AE1731" s="714"/>
      <c r="AF1731" s="570" t="s">
        <v>2899</v>
      </c>
      <c r="AG1731" s="570" t="s">
        <v>25</v>
      </c>
      <c r="AH1731" s="571" t="s">
        <v>25</v>
      </c>
      <c r="AI1731" s="586"/>
      <c r="AJ1731" s="586"/>
    </row>
    <row r="1732" spans="1:36" s="394" customFormat="1" ht="20.25" outlineLevel="2" x14ac:dyDescent="0.3">
      <c r="A1732" s="447">
        <v>145</v>
      </c>
      <c r="B1732" s="572"/>
      <c r="C1732" s="572"/>
      <c r="D1732" s="612"/>
      <c r="E1732" s="612"/>
      <c r="F1732" s="586"/>
      <c r="G1732" s="709"/>
      <c r="H1732" s="546"/>
      <c r="I1732" s="563" t="s">
        <v>25</v>
      </c>
      <c r="J1732" s="563" t="s">
        <v>25</v>
      </c>
      <c r="K1732" s="564" t="s">
        <v>25</v>
      </c>
      <c r="L1732" s="564" t="s">
        <v>25</v>
      </c>
      <c r="M1732" s="572"/>
      <c r="N1732" s="572"/>
      <c r="O1732" s="740"/>
      <c r="P1732" s="564" t="s">
        <v>25</v>
      </c>
      <c r="Q1732" s="564" t="s">
        <v>25</v>
      </c>
      <c r="R1732" s="566"/>
      <c r="S1732" s="609"/>
      <c r="T1732" s="741"/>
      <c r="U1732" s="586"/>
      <c r="V1732" s="564" t="s">
        <v>2899</v>
      </c>
      <c r="W1732" s="564" t="s">
        <v>25</v>
      </c>
      <c r="X1732" s="650"/>
      <c r="Y1732" s="586"/>
      <c r="Z1732" s="742"/>
      <c r="AA1732" s="586"/>
      <c r="AB1732" s="586"/>
      <c r="AC1732" s="586"/>
      <c r="AD1732" s="586"/>
      <c r="AE1732" s="714"/>
      <c r="AF1732" s="570" t="s">
        <v>2899</v>
      </c>
      <c r="AG1732" s="570" t="s">
        <v>25</v>
      </c>
      <c r="AH1732" s="571" t="s">
        <v>25</v>
      </c>
      <c r="AI1732" s="586"/>
      <c r="AJ1732" s="586"/>
    </row>
    <row r="1733" spans="1:36" s="394" customFormat="1" ht="20.25" outlineLevel="2" x14ac:dyDescent="0.3">
      <c r="A1733" s="447">
        <v>145</v>
      </c>
      <c r="B1733" s="607"/>
      <c r="C1733" s="607"/>
      <c r="D1733" s="642"/>
      <c r="E1733" s="642"/>
      <c r="F1733" s="586"/>
      <c r="G1733" s="709"/>
      <c r="H1733" s="546"/>
      <c r="I1733" s="563" t="s">
        <v>25</v>
      </c>
      <c r="J1733" s="563" t="s">
        <v>25</v>
      </c>
      <c r="K1733" s="564" t="s">
        <v>25</v>
      </c>
      <c r="L1733" s="564" t="s">
        <v>25</v>
      </c>
      <c r="M1733" s="572"/>
      <c r="N1733" s="572"/>
      <c r="O1733" s="740"/>
      <c r="P1733" s="564" t="s">
        <v>25</v>
      </c>
      <c r="Q1733" s="564" t="s">
        <v>25</v>
      </c>
      <c r="R1733" s="566"/>
      <c r="S1733" s="609"/>
      <c r="T1733" s="741"/>
      <c r="U1733" s="586"/>
      <c r="V1733" s="564" t="s">
        <v>2899</v>
      </c>
      <c r="W1733" s="564" t="s">
        <v>25</v>
      </c>
      <c r="X1733" s="650"/>
      <c r="Y1733" s="586"/>
      <c r="Z1733" s="742"/>
      <c r="AA1733" s="586"/>
      <c r="AB1733" s="586"/>
      <c r="AC1733" s="586"/>
      <c r="AD1733" s="586"/>
      <c r="AE1733" s="714"/>
      <c r="AF1733" s="570" t="s">
        <v>2899</v>
      </c>
      <c r="AG1733" s="570" t="s">
        <v>25</v>
      </c>
      <c r="AH1733" s="571" t="s">
        <v>25</v>
      </c>
      <c r="AI1733" s="586"/>
      <c r="AJ1733" s="586"/>
    </row>
    <row r="1734" spans="1:36" s="396" customFormat="1" ht="40.5" outlineLevel="1" x14ac:dyDescent="0.25">
      <c r="A1734" s="467">
        <v>146</v>
      </c>
      <c r="B1734" s="607" t="s">
        <v>1214</v>
      </c>
      <c r="C1734" s="586" t="s">
        <v>2903</v>
      </c>
      <c r="D1734" s="612">
        <v>86</v>
      </c>
      <c r="E1734" s="612">
        <v>714</v>
      </c>
      <c r="F1734" s="578"/>
      <c r="G1734" s="707">
        <v>960.8</v>
      </c>
      <c r="H1734" s="579">
        <v>889.3</v>
      </c>
      <c r="I1734" s="581"/>
      <c r="J1734" s="581"/>
      <c r="K1734" s="571">
        <v>447348000</v>
      </c>
      <c r="L1734" s="571">
        <v>1242174000</v>
      </c>
      <c r="M1734" s="607"/>
      <c r="N1734" s="607"/>
      <c r="O1734" s="738">
        <v>843</v>
      </c>
      <c r="P1734" s="571"/>
      <c r="Q1734" s="571">
        <v>75185000</v>
      </c>
      <c r="R1734" s="582"/>
      <c r="S1734" s="621"/>
      <c r="T1734" s="739">
        <v>289</v>
      </c>
      <c r="U1734" s="578"/>
      <c r="V1734" s="571"/>
      <c r="W1734" s="571">
        <v>201146000</v>
      </c>
      <c r="X1734" s="650"/>
      <c r="Y1734" s="586"/>
      <c r="Z1734" s="742"/>
      <c r="AA1734" s="586"/>
      <c r="AB1734" s="586"/>
      <c r="AC1734" s="586"/>
      <c r="AD1734" s="578"/>
      <c r="AE1734" s="712">
        <f>SUBTOTAL(9,AE1735:AE1756)</f>
        <v>0</v>
      </c>
      <c r="AF1734" s="585"/>
      <c r="AG1734" s="585">
        <v>0</v>
      </c>
      <c r="AH1734" s="571">
        <v>1965853000</v>
      </c>
      <c r="AI1734" s="578"/>
      <c r="AJ1734" s="578"/>
    </row>
    <row r="1735" spans="1:36" s="396" customFormat="1" ht="121.5" outlineLevel="2" x14ac:dyDescent="0.3">
      <c r="A1735" s="447">
        <v>146</v>
      </c>
      <c r="B1735" s="572" t="s">
        <v>1217</v>
      </c>
      <c r="C1735" s="572"/>
      <c r="D1735" s="612"/>
      <c r="E1735" s="612"/>
      <c r="F1735" s="586" t="s">
        <v>2871</v>
      </c>
      <c r="G1735" s="709">
        <v>889.3</v>
      </c>
      <c r="H1735" s="546">
        <v>889.3</v>
      </c>
      <c r="I1735" s="563">
        <v>465600</v>
      </c>
      <c r="J1735" s="563">
        <v>1396800</v>
      </c>
      <c r="K1735" s="564">
        <v>414058000</v>
      </c>
      <c r="L1735" s="564">
        <v>1242174000</v>
      </c>
      <c r="M1735" s="572" t="s">
        <v>1215</v>
      </c>
      <c r="N1735" s="572"/>
      <c r="O1735" s="740">
        <v>5</v>
      </c>
      <c r="P1735" s="564">
        <v>580000</v>
      </c>
      <c r="Q1735" s="564">
        <v>2900000</v>
      </c>
      <c r="R1735" s="566" t="s">
        <v>1980</v>
      </c>
      <c r="S1735" s="609" t="s">
        <v>1133</v>
      </c>
      <c r="T1735" s="741">
        <v>31.5</v>
      </c>
      <c r="U1735" s="586"/>
      <c r="V1735" s="564">
        <v>684506</v>
      </c>
      <c r="W1735" s="564">
        <v>21562000</v>
      </c>
      <c r="X1735" s="650"/>
      <c r="Y1735" s="586"/>
      <c r="Z1735" s="742"/>
      <c r="AA1735" s="586"/>
      <c r="AB1735" s="586"/>
      <c r="AC1735" s="586"/>
      <c r="AD1735" s="586"/>
      <c r="AE1735" s="714"/>
      <c r="AF1735" s="570" t="s">
        <v>2899</v>
      </c>
      <c r="AG1735" s="570"/>
      <c r="AH1735" s="571" t="s">
        <v>25</v>
      </c>
      <c r="AI1735" s="586" t="s">
        <v>1216</v>
      </c>
      <c r="AJ1735" s="586" t="s">
        <v>2771</v>
      </c>
    </row>
    <row r="1736" spans="1:36" s="394" customFormat="1" ht="101.25" outlineLevel="2" x14ac:dyDescent="0.3">
      <c r="A1736" s="447">
        <v>146</v>
      </c>
      <c r="B1736" s="572" t="s">
        <v>1605</v>
      </c>
      <c r="C1736" s="572"/>
      <c r="D1736" s="612"/>
      <c r="E1736" s="612"/>
      <c r="F1736" s="586" t="s">
        <v>2874</v>
      </c>
      <c r="G1736" s="709">
        <v>71.5</v>
      </c>
      <c r="H1736" s="546" t="s">
        <v>2899</v>
      </c>
      <c r="I1736" s="563">
        <v>465600</v>
      </c>
      <c r="J1736" s="563">
        <v>0</v>
      </c>
      <c r="K1736" s="564">
        <v>33290000</v>
      </c>
      <c r="L1736" s="564">
        <v>0</v>
      </c>
      <c r="M1736" s="572" t="s">
        <v>1218</v>
      </c>
      <c r="N1736" s="572"/>
      <c r="O1736" s="740">
        <v>2</v>
      </c>
      <c r="P1736" s="564">
        <v>571000</v>
      </c>
      <c r="Q1736" s="564">
        <v>1142000</v>
      </c>
      <c r="R1736" s="566" t="s">
        <v>2146</v>
      </c>
      <c r="S1736" s="609" t="s">
        <v>1133</v>
      </c>
      <c r="T1736" s="741">
        <v>188.3</v>
      </c>
      <c r="U1736" s="586"/>
      <c r="V1736" s="564">
        <v>840258</v>
      </c>
      <c r="W1736" s="564">
        <v>158221000</v>
      </c>
      <c r="X1736" s="650"/>
      <c r="Y1736" s="586"/>
      <c r="Z1736" s="742"/>
      <c r="AA1736" s="586"/>
      <c r="AB1736" s="586"/>
      <c r="AC1736" s="586"/>
      <c r="AD1736" s="586"/>
      <c r="AE1736" s="714"/>
      <c r="AF1736" s="570" t="s">
        <v>2899</v>
      </c>
      <c r="AG1736" s="570" t="s">
        <v>25</v>
      </c>
      <c r="AH1736" s="571" t="s">
        <v>25</v>
      </c>
      <c r="AI1736" s="586" t="s">
        <v>1220</v>
      </c>
      <c r="AJ1736" s="605" t="s">
        <v>2448</v>
      </c>
    </row>
    <row r="1737" spans="1:36" s="394" customFormat="1" ht="121.5" outlineLevel="2" x14ac:dyDescent="0.3">
      <c r="A1737" s="447">
        <v>146</v>
      </c>
      <c r="B1737" s="572"/>
      <c r="C1737" s="572"/>
      <c r="D1737" s="612"/>
      <c r="E1737" s="612"/>
      <c r="F1737" s="586"/>
      <c r="G1737" s="709"/>
      <c r="H1737" s="546"/>
      <c r="I1737" s="563" t="s">
        <v>25</v>
      </c>
      <c r="J1737" s="563" t="s">
        <v>25</v>
      </c>
      <c r="K1737" s="564" t="s">
        <v>25</v>
      </c>
      <c r="L1737" s="564" t="s">
        <v>25</v>
      </c>
      <c r="M1737" s="572" t="s">
        <v>1221</v>
      </c>
      <c r="N1737" s="572"/>
      <c r="O1737" s="740">
        <v>4</v>
      </c>
      <c r="P1737" s="564">
        <v>280000</v>
      </c>
      <c r="Q1737" s="564">
        <v>1120000</v>
      </c>
      <c r="R1737" s="566" t="s">
        <v>2147</v>
      </c>
      <c r="S1737" s="609" t="s">
        <v>1133</v>
      </c>
      <c r="T1737" s="741">
        <v>29.2</v>
      </c>
      <c r="U1737" s="586"/>
      <c r="V1737" s="564">
        <v>441467</v>
      </c>
      <c r="W1737" s="564">
        <v>12891000</v>
      </c>
      <c r="X1737" s="650"/>
      <c r="Y1737" s="586"/>
      <c r="Z1737" s="742"/>
      <c r="AA1737" s="586"/>
      <c r="AB1737" s="586"/>
      <c r="AC1737" s="586"/>
      <c r="AD1737" s="586"/>
      <c r="AE1737" s="714"/>
      <c r="AF1737" s="570" t="s">
        <v>2899</v>
      </c>
      <c r="AG1737" s="570" t="s">
        <v>25</v>
      </c>
      <c r="AH1737" s="571" t="s">
        <v>25</v>
      </c>
      <c r="AI1737" s="586" t="s">
        <v>1226</v>
      </c>
      <c r="AJ1737" s="558" t="s">
        <v>2450</v>
      </c>
    </row>
    <row r="1738" spans="1:36" s="394" customFormat="1" ht="101.25" outlineLevel="2" x14ac:dyDescent="0.3">
      <c r="A1738" s="447">
        <v>146</v>
      </c>
      <c r="B1738" s="572"/>
      <c r="C1738" s="572"/>
      <c r="D1738" s="612"/>
      <c r="E1738" s="612"/>
      <c r="F1738" s="586"/>
      <c r="G1738" s="709"/>
      <c r="H1738" s="546"/>
      <c r="I1738" s="563" t="s">
        <v>25</v>
      </c>
      <c r="J1738" s="563" t="s">
        <v>25</v>
      </c>
      <c r="K1738" s="564" t="s">
        <v>25</v>
      </c>
      <c r="L1738" s="564" t="s">
        <v>25</v>
      </c>
      <c r="M1738" s="572" t="s">
        <v>1224</v>
      </c>
      <c r="N1738" s="572"/>
      <c r="O1738" s="740">
        <v>1</v>
      </c>
      <c r="P1738" s="564">
        <v>667000</v>
      </c>
      <c r="Q1738" s="564">
        <v>667000</v>
      </c>
      <c r="R1738" s="566" t="s">
        <v>2148</v>
      </c>
      <c r="S1738" s="609" t="s">
        <v>1133</v>
      </c>
      <c r="T1738" s="741">
        <v>40</v>
      </c>
      <c r="U1738" s="586"/>
      <c r="V1738" s="564">
        <v>211811</v>
      </c>
      <c r="W1738" s="564">
        <v>8472000</v>
      </c>
      <c r="X1738" s="650"/>
      <c r="Y1738" s="586"/>
      <c r="Z1738" s="742"/>
      <c r="AA1738" s="586"/>
      <c r="AB1738" s="586"/>
      <c r="AC1738" s="586"/>
      <c r="AD1738" s="586"/>
      <c r="AE1738" s="714"/>
      <c r="AF1738" s="570" t="s">
        <v>2899</v>
      </c>
      <c r="AG1738" s="570" t="s">
        <v>25</v>
      </c>
      <c r="AH1738" s="571" t="s">
        <v>25</v>
      </c>
      <c r="AI1738" s="586" t="s">
        <v>2074</v>
      </c>
      <c r="AJ1738" s="558" t="s">
        <v>2449</v>
      </c>
    </row>
    <row r="1739" spans="1:36" s="394" customFormat="1" ht="101.25" outlineLevel="2" x14ac:dyDescent="0.3">
      <c r="A1739" s="447">
        <v>146</v>
      </c>
      <c r="B1739" s="572"/>
      <c r="C1739" s="572"/>
      <c r="D1739" s="612"/>
      <c r="E1739" s="612"/>
      <c r="F1739" s="586"/>
      <c r="G1739" s="709"/>
      <c r="H1739" s="546"/>
      <c r="I1739" s="563" t="s">
        <v>25</v>
      </c>
      <c r="J1739" s="563" t="s">
        <v>25</v>
      </c>
      <c r="K1739" s="564" t="s">
        <v>25</v>
      </c>
      <c r="L1739" s="564" t="s">
        <v>25</v>
      </c>
      <c r="M1739" s="572" t="s">
        <v>1227</v>
      </c>
      <c r="N1739" s="572"/>
      <c r="O1739" s="740">
        <v>1</v>
      </c>
      <c r="P1739" s="564">
        <v>800000</v>
      </c>
      <c r="Q1739" s="564">
        <v>800000</v>
      </c>
      <c r="R1739" s="566"/>
      <c r="S1739" s="609"/>
      <c r="T1739" s="741"/>
      <c r="U1739" s="586"/>
      <c r="V1739" s="564" t="s">
        <v>2899</v>
      </c>
      <c r="W1739" s="564" t="s">
        <v>25</v>
      </c>
      <c r="X1739" s="650"/>
      <c r="Y1739" s="586"/>
      <c r="Z1739" s="742"/>
      <c r="AA1739" s="586"/>
      <c r="AB1739" s="586"/>
      <c r="AC1739" s="586"/>
      <c r="AD1739" s="586"/>
      <c r="AE1739" s="714"/>
      <c r="AF1739" s="570" t="s">
        <v>2899</v>
      </c>
      <c r="AG1739" s="570" t="s">
        <v>25</v>
      </c>
      <c r="AH1739" s="571" t="s">
        <v>25</v>
      </c>
      <c r="AI1739" s="731"/>
      <c r="AJ1739" s="586" t="s">
        <v>2800</v>
      </c>
    </row>
    <row r="1740" spans="1:36" s="394" customFormat="1" ht="20.25" outlineLevel="2" x14ac:dyDescent="0.3">
      <c r="A1740" s="447">
        <v>146</v>
      </c>
      <c r="B1740" s="572"/>
      <c r="C1740" s="572"/>
      <c r="D1740" s="612"/>
      <c r="E1740" s="612"/>
      <c r="F1740" s="586"/>
      <c r="G1740" s="709"/>
      <c r="H1740" s="546"/>
      <c r="I1740" s="563" t="s">
        <v>25</v>
      </c>
      <c r="J1740" s="563" t="s">
        <v>25</v>
      </c>
      <c r="K1740" s="564" t="s">
        <v>25</v>
      </c>
      <c r="L1740" s="564" t="s">
        <v>25</v>
      </c>
      <c r="M1740" s="572" t="s">
        <v>154</v>
      </c>
      <c r="N1740" s="572"/>
      <c r="O1740" s="740">
        <v>8</v>
      </c>
      <c r="P1740" s="564">
        <v>248000</v>
      </c>
      <c r="Q1740" s="564">
        <v>1984000</v>
      </c>
      <c r="R1740" s="566"/>
      <c r="S1740" s="609"/>
      <c r="T1740" s="741"/>
      <c r="U1740" s="586"/>
      <c r="V1740" s="564" t="s">
        <v>2899</v>
      </c>
      <c r="W1740" s="564" t="s">
        <v>25</v>
      </c>
      <c r="X1740" s="650"/>
      <c r="Y1740" s="586"/>
      <c r="Z1740" s="742"/>
      <c r="AA1740" s="586"/>
      <c r="AB1740" s="586"/>
      <c r="AC1740" s="586"/>
      <c r="AD1740" s="586"/>
      <c r="AE1740" s="714"/>
      <c r="AF1740" s="570" t="s">
        <v>2899</v>
      </c>
      <c r="AG1740" s="570" t="s">
        <v>25</v>
      </c>
      <c r="AH1740" s="571" t="s">
        <v>25</v>
      </c>
      <c r="AI1740" s="586"/>
      <c r="AJ1740" s="586"/>
    </row>
    <row r="1741" spans="1:36" s="394" customFormat="1" ht="20.25" outlineLevel="2" x14ac:dyDescent="0.3">
      <c r="A1741" s="447">
        <v>146</v>
      </c>
      <c r="B1741" s="572"/>
      <c r="C1741" s="572"/>
      <c r="D1741" s="612"/>
      <c r="E1741" s="612"/>
      <c r="F1741" s="586"/>
      <c r="G1741" s="709"/>
      <c r="H1741" s="546"/>
      <c r="I1741" s="563" t="s">
        <v>25</v>
      </c>
      <c r="J1741" s="563" t="s">
        <v>25</v>
      </c>
      <c r="K1741" s="564" t="s">
        <v>25</v>
      </c>
      <c r="L1741" s="564" t="s">
        <v>25</v>
      </c>
      <c r="M1741" s="572" t="s">
        <v>1228</v>
      </c>
      <c r="N1741" s="572"/>
      <c r="O1741" s="740">
        <v>2</v>
      </c>
      <c r="P1741" s="564">
        <v>979000</v>
      </c>
      <c r="Q1741" s="564">
        <v>1958000</v>
      </c>
      <c r="R1741" s="566"/>
      <c r="S1741" s="609"/>
      <c r="T1741" s="741"/>
      <c r="U1741" s="586"/>
      <c r="V1741" s="564" t="s">
        <v>2899</v>
      </c>
      <c r="W1741" s="564" t="s">
        <v>25</v>
      </c>
      <c r="X1741" s="650"/>
      <c r="Y1741" s="586"/>
      <c r="Z1741" s="742"/>
      <c r="AA1741" s="586"/>
      <c r="AB1741" s="586"/>
      <c r="AC1741" s="586"/>
      <c r="AD1741" s="586"/>
      <c r="AE1741" s="714"/>
      <c r="AF1741" s="570" t="s">
        <v>2899</v>
      </c>
      <c r="AG1741" s="570" t="s">
        <v>25</v>
      </c>
      <c r="AH1741" s="571" t="s">
        <v>25</v>
      </c>
      <c r="AI1741" s="586"/>
      <c r="AJ1741" s="586"/>
    </row>
    <row r="1742" spans="1:36" s="394" customFormat="1" ht="20.25" outlineLevel="2" x14ac:dyDescent="0.3">
      <c r="A1742" s="447">
        <v>146</v>
      </c>
      <c r="B1742" s="572"/>
      <c r="C1742" s="572"/>
      <c r="D1742" s="612"/>
      <c r="E1742" s="612"/>
      <c r="F1742" s="586"/>
      <c r="G1742" s="709"/>
      <c r="H1742" s="546"/>
      <c r="I1742" s="563" t="s">
        <v>25</v>
      </c>
      <c r="J1742" s="563" t="s">
        <v>25</v>
      </c>
      <c r="K1742" s="564" t="s">
        <v>25</v>
      </c>
      <c r="L1742" s="564" t="s">
        <v>25</v>
      </c>
      <c r="M1742" s="572" t="s">
        <v>145</v>
      </c>
      <c r="N1742" s="572"/>
      <c r="O1742" s="740">
        <v>1</v>
      </c>
      <c r="P1742" s="564">
        <v>4240000</v>
      </c>
      <c r="Q1742" s="564">
        <v>4240000</v>
      </c>
      <c r="R1742" s="566"/>
      <c r="S1742" s="609"/>
      <c r="T1742" s="741"/>
      <c r="U1742" s="586"/>
      <c r="V1742" s="564" t="s">
        <v>2899</v>
      </c>
      <c r="W1742" s="564" t="s">
        <v>25</v>
      </c>
      <c r="X1742" s="650"/>
      <c r="Y1742" s="586"/>
      <c r="Z1742" s="742"/>
      <c r="AA1742" s="586"/>
      <c r="AB1742" s="586"/>
      <c r="AC1742" s="586"/>
      <c r="AD1742" s="586"/>
      <c r="AE1742" s="714"/>
      <c r="AF1742" s="570" t="s">
        <v>2899</v>
      </c>
      <c r="AG1742" s="570" t="s">
        <v>25</v>
      </c>
      <c r="AH1742" s="571" t="s">
        <v>25</v>
      </c>
      <c r="AI1742" s="586"/>
      <c r="AJ1742" s="586"/>
    </row>
    <row r="1743" spans="1:36" s="394" customFormat="1" ht="20.25" outlineLevel="2" x14ac:dyDescent="0.3">
      <c r="A1743" s="447">
        <v>146</v>
      </c>
      <c r="B1743" s="572"/>
      <c r="C1743" s="572"/>
      <c r="D1743" s="612"/>
      <c r="E1743" s="612"/>
      <c r="F1743" s="586"/>
      <c r="G1743" s="709"/>
      <c r="H1743" s="546"/>
      <c r="I1743" s="563" t="s">
        <v>25</v>
      </c>
      <c r="J1743" s="563" t="s">
        <v>25</v>
      </c>
      <c r="K1743" s="564" t="s">
        <v>25</v>
      </c>
      <c r="L1743" s="564" t="s">
        <v>25</v>
      </c>
      <c r="M1743" s="572" t="s">
        <v>1229</v>
      </c>
      <c r="N1743" s="572"/>
      <c r="O1743" s="740">
        <v>1</v>
      </c>
      <c r="P1743" s="564">
        <v>360000</v>
      </c>
      <c r="Q1743" s="564">
        <v>360000</v>
      </c>
      <c r="R1743" s="566"/>
      <c r="S1743" s="609"/>
      <c r="T1743" s="741"/>
      <c r="U1743" s="586"/>
      <c r="V1743" s="564" t="s">
        <v>2899</v>
      </c>
      <c r="W1743" s="564" t="s">
        <v>25</v>
      </c>
      <c r="X1743" s="650"/>
      <c r="Y1743" s="586"/>
      <c r="Z1743" s="742"/>
      <c r="AA1743" s="586"/>
      <c r="AB1743" s="586"/>
      <c r="AC1743" s="586"/>
      <c r="AD1743" s="586"/>
      <c r="AE1743" s="714"/>
      <c r="AF1743" s="570" t="s">
        <v>2899</v>
      </c>
      <c r="AG1743" s="570" t="s">
        <v>25</v>
      </c>
      <c r="AH1743" s="571" t="s">
        <v>25</v>
      </c>
      <c r="AI1743" s="586"/>
      <c r="AJ1743" s="586"/>
    </row>
    <row r="1744" spans="1:36" s="394" customFormat="1" ht="20.25" outlineLevel="2" x14ac:dyDescent="0.3">
      <c r="A1744" s="447">
        <v>146</v>
      </c>
      <c r="B1744" s="572"/>
      <c r="C1744" s="572"/>
      <c r="D1744" s="612"/>
      <c r="E1744" s="612"/>
      <c r="F1744" s="586"/>
      <c r="G1744" s="709"/>
      <c r="H1744" s="546"/>
      <c r="I1744" s="563" t="s">
        <v>25</v>
      </c>
      <c r="J1744" s="563" t="s">
        <v>25</v>
      </c>
      <c r="K1744" s="564" t="s">
        <v>25</v>
      </c>
      <c r="L1744" s="564" t="s">
        <v>25</v>
      </c>
      <c r="M1744" s="572" t="s">
        <v>91</v>
      </c>
      <c r="N1744" s="572"/>
      <c r="O1744" s="740">
        <v>2</v>
      </c>
      <c r="P1744" s="564">
        <v>93000</v>
      </c>
      <c r="Q1744" s="564">
        <v>186000</v>
      </c>
      <c r="R1744" s="566"/>
      <c r="S1744" s="609"/>
      <c r="T1744" s="741"/>
      <c r="U1744" s="586"/>
      <c r="V1744" s="564" t="s">
        <v>2899</v>
      </c>
      <c r="W1744" s="564" t="s">
        <v>25</v>
      </c>
      <c r="X1744" s="650"/>
      <c r="Y1744" s="586"/>
      <c r="Z1744" s="742"/>
      <c r="AA1744" s="586"/>
      <c r="AB1744" s="586"/>
      <c r="AC1744" s="586"/>
      <c r="AD1744" s="586"/>
      <c r="AE1744" s="714"/>
      <c r="AF1744" s="570" t="s">
        <v>2899</v>
      </c>
      <c r="AG1744" s="570" t="s">
        <v>25</v>
      </c>
      <c r="AH1744" s="571" t="s">
        <v>25</v>
      </c>
      <c r="AI1744" s="586"/>
      <c r="AJ1744" s="586"/>
    </row>
    <row r="1745" spans="1:36" s="394" customFormat="1" ht="20.25" outlineLevel="2" x14ac:dyDescent="0.3">
      <c r="A1745" s="447">
        <v>146</v>
      </c>
      <c r="B1745" s="572"/>
      <c r="C1745" s="572"/>
      <c r="D1745" s="612"/>
      <c r="E1745" s="612"/>
      <c r="F1745" s="586"/>
      <c r="G1745" s="709"/>
      <c r="H1745" s="546"/>
      <c r="I1745" s="563" t="s">
        <v>25</v>
      </c>
      <c r="J1745" s="563" t="s">
        <v>25</v>
      </c>
      <c r="K1745" s="564" t="s">
        <v>25</v>
      </c>
      <c r="L1745" s="564" t="s">
        <v>25</v>
      </c>
      <c r="M1745" s="572" t="s">
        <v>193</v>
      </c>
      <c r="N1745" s="572"/>
      <c r="O1745" s="740">
        <v>3</v>
      </c>
      <c r="P1745" s="564">
        <v>275000</v>
      </c>
      <c r="Q1745" s="564">
        <v>825000</v>
      </c>
      <c r="R1745" s="566"/>
      <c r="S1745" s="609"/>
      <c r="T1745" s="741"/>
      <c r="U1745" s="586"/>
      <c r="V1745" s="564" t="s">
        <v>2899</v>
      </c>
      <c r="W1745" s="564" t="s">
        <v>25</v>
      </c>
      <c r="X1745" s="650"/>
      <c r="Y1745" s="586"/>
      <c r="Z1745" s="742"/>
      <c r="AA1745" s="586"/>
      <c r="AB1745" s="586"/>
      <c r="AC1745" s="586"/>
      <c r="AD1745" s="586"/>
      <c r="AE1745" s="714"/>
      <c r="AF1745" s="570" t="s">
        <v>2899</v>
      </c>
      <c r="AG1745" s="570" t="s">
        <v>25</v>
      </c>
      <c r="AH1745" s="571" t="s">
        <v>25</v>
      </c>
      <c r="AI1745" s="586"/>
      <c r="AJ1745" s="586"/>
    </row>
    <row r="1746" spans="1:36" s="394" customFormat="1" ht="20.25" outlineLevel="2" x14ac:dyDescent="0.3">
      <c r="A1746" s="447">
        <v>146</v>
      </c>
      <c r="B1746" s="572"/>
      <c r="C1746" s="572"/>
      <c r="D1746" s="612"/>
      <c r="E1746" s="612"/>
      <c r="F1746" s="586"/>
      <c r="G1746" s="709"/>
      <c r="H1746" s="546"/>
      <c r="I1746" s="563" t="s">
        <v>25</v>
      </c>
      <c r="J1746" s="563" t="s">
        <v>25</v>
      </c>
      <c r="K1746" s="564" t="s">
        <v>25</v>
      </c>
      <c r="L1746" s="564" t="s">
        <v>25</v>
      </c>
      <c r="M1746" s="572" t="s">
        <v>1230</v>
      </c>
      <c r="N1746" s="572"/>
      <c r="O1746" s="740">
        <v>1</v>
      </c>
      <c r="P1746" s="564">
        <v>93000</v>
      </c>
      <c r="Q1746" s="564">
        <v>93000</v>
      </c>
      <c r="R1746" s="566"/>
      <c r="S1746" s="609"/>
      <c r="T1746" s="741"/>
      <c r="U1746" s="586"/>
      <c r="V1746" s="564" t="s">
        <v>2899</v>
      </c>
      <c r="W1746" s="564" t="s">
        <v>25</v>
      </c>
      <c r="X1746" s="650"/>
      <c r="Y1746" s="586"/>
      <c r="Z1746" s="742"/>
      <c r="AA1746" s="586"/>
      <c r="AB1746" s="586"/>
      <c r="AC1746" s="586"/>
      <c r="AD1746" s="586"/>
      <c r="AE1746" s="714"/>
      <c r="AF1746" s="570" t="s">
        <v>2899</v>
      </c>
      <c r="AG1746" s="570" t="s">
        <v>25</v>
      </c>
      <c r="AH1746" s="571" t="s">
        <v>25</v>
      </c>
      <c r="AI1746" s="586"/>
      <c r="AJ1746" s="586"/>
    </row>
    <row r="1747" spans="1:36" s="394" customFormat="1" ht="40.5" outlineLevel="2" x14ac:dyDescent="0.3">
      <c r="A1747" s="447">
        <v>146</v>
      </c>
      <c r="B1747" s="572"/>
      <c r="C1747" s="572"/>
      <c r="D1747" s="612"/>
      <c r="E1747" s="612"/>
      <c r="F1747" s="586"/>
      <c r="G1747" s="709"/>
      <c r="H1747" s="546"/>
      <c r="I1747" s="563" t="s">
        <v>25</v>
      </c>
      <c r="J1747" s="563" t="s">
        <v>25</v>
      </c>
      <c r="K1747" s="564" t="s">
        <v>25</v>
      </c>
      <c r="L1747" s="564" t="s">
        <v>25</v>
      </c>
      <c r="M1747" s="572" t="s">
        <v>405</v>
      </c>
      <c r="N1747" s="572"/>
      <c r="O1747" s="740">
        <v>64</v>
      </c>
      <c r="P1747" s="564">
        <v>72000</v>
      </c>
      <c r="Q1747" s="564">
        <v>4608000</v>
      </c>
      <c r="R1747" s="566"/>
      <c r="S1747" s="609"/>
      <c r="T1747" s="741"/>
      <c r="U1747" s="586"/>
      <c r="V1747" s="564" t="s">
        <v>2899</v>
      </c>
      <c r="W1747" s="564" t="s">
        <v>25</v>
      </c>
      <c r="X1747" s="650"/>
      <c r="Y1747" s="586"/>
      <c r="Z1747" s="742"/>
      <c r="AA1747" s="586"/>
      <c r="AB1747" s="586"/>
      <c r="AC1747" s="586"/>
      <c r="AD1747" s="586"/>
      <c r="AE1747" s="714"/>
      <c r="AF1747" s="570" t="s">
        <v>2899</v>
      </c>
      <c r="AG1747" s="570" t="s">
        <v>25</v>
      </c>
      <c r="AH1747" s="571" t="s">
        <v>25</v>
      </c>
      <c r="AI1747" s="586"/>
      <c r="AJ1747" s="586"/>
    </row>
    <row r="1748" spans="1:36" s="394" customFormat="1" ht="20.25" outlineLevel="2" x14ac:dyDescent="0.3">
      <c r="A1748" s="447">
        <v>146</v>
      </c>
      <c r="B1748" s="572"/>
      <c r="C1748" s="572"/>
      <c r="D1748" s="612"/>
      <c r="E1748" s="612"/>
      <c r="F1748" s="586"/>
      <c r="G1748" s="709"/>
      <c r="H1748" s="546"/>
      <c r="I1748" s="563" t="s">
        <v>25</v>
      </c>
      <c r="J1748" s="563" t="s">
        <v>25</v>
      </c>
      <c r="K1748" s="564" t="s">
        <v>25</v>
      </c>
      <c r="L1748" s="564" t="s">
        <v>25</v>
      </c>
      <c r="M1748" s="572" t="s">
        <v>736</v>
      </c>
      <c r="N1748" s="572"/>
      <c r="O1748" s="740">
        <v>1</v>
      </c>
      <c r="P1748" s="564">
        <v>32000</v>
      </c>
      <c r="Q1748" s="564">
        <v>32000</v>
      </c>
      <c r="R1748" s="566"/>
      <c r="S1748" s="609"/>
      <c r="T1748" s="741"/>
      <c r="U1748" s="586"/>
      <c r="V1748" s="564" t="s">
        <v>2899</v>
      </c>
      <c r="W1748" s="564" t="s">
        <v>25</v>
      </c>
      <c r="X1748" s="650"/>
      <c r="Y1748" s="586"/>
      <c r="Z1748" s="742"/>
      <c r="AA1748" s="586"/>
      <c r="AB1748" s="586"/>
      <c r="AC1748" s="586"/>
      <c r="AD1748" s="586"/>
      <c r="AE1748" s="714"/>
      <c r="AF1748" s="570" t="s">
        <v>2899</v>
      </c>
      <c r="AG1748" s="570" t="s">
        <v>25</v>
      </c>
      <c r="AH1748" s="571" t="s">
        <v>25</v>
      </c>
      <c r="AI1748" s="586"/>
      <c r="AJ1748" s="586"/>
    </row>
    <row r="1749" spans="1:36" s="394" customFormat="1" ht="20.25" outlineLevel="2" x14ac:dyDescent="0.3">
      <c r="A1749" s="447">
        <v>146</v>
      </c>
      <c r="B1749" s="572"/>
      <c r="C1749" s="572"/>
      <c r="D1749" s="612"/>
      <c r="E1749" s="612"/>
      <c r="F1749" s="586"/>
      <c r="G1749" s="709"/>
      <c r="H1749" s="546"/>
      <c r="I1749" s="563" t="s">
        <v>25</v>
      </c>
      <c r="J1749" s="563" t="s">
        <v>25</v>
      </c>
      <c r="K1749" s="564" t="s">
        <v>25</v>
      </c>
      <c r="L1749" s="564" t="s">
        <v>25</v>
      </c>
      <c r="M1749" s="572" t="s">
        <v>72</v>
      </c>
      <c r="N1749" s="572"/>
      <c r="O1749" s="740">
        <v>208</v>
      </c>
      <c r="P1749" s="564">
        <v>132000</v>
      </c>
      <c r="Q1749" s="564">
        <v>27456000</v>
      </c>
      <c r="R1749" s="566"/>
      <c r="S1749" s="609"/>
      <c r="T1749" s="741"/>
      <c r="U1749" s="586"/>
      <c r="V1749" s="564" t="s">
        <v>2899</v>
      </c>
      <c r="W1749" s="564" t="s">
        <v>25</v>
      </c>
      <c r="X1749" s="650"/>
      <c r="Y1749" s="586"/>
      <c r="Z1749" s="742"/>
      <c r="AA1749" s="586"/>
      <c r="AB1749" s="586"/>
      <c r="AC1749" s="586"/>
      <c r="AD1749" s="586"/>
      <c r="AE1749" s="714"/>
      <c r="AF1749" s="570" t="s">
        <v>2899</v>
      </c>
      <c r="AG1749" s="570" t="s">
        <v>25</v>
      </c>
      <c r="AH1749" s="571" t="s">
        <v>25</v>
      </c>
      <c r="AI1749" s="586"/>
      <c r="AJ1749" s="586"/>
    </row>
    <row r="1750" spans="1:36" s="394" customFormat="1" ht="20.25" outlineLevel="2" x14ac:dyDescent="0.3">
      <c r="A1750" s="447">
        <v>146</v>
      </c>
      <c r="B1750" s="572"/>
      <c r="C1750" s="572"/>
      <c r="D1750" s="612"/>
      <c r="E1750" s="612"/>
      <c r="F1750" s="586"/>
      <c r="G1750" s="709"/>
      <c r="H1750" s="546"/>
      <c r="I1750" s="563" t="s">
        <v>25</v>
      </c>
      <c r="J1750" s="563" t="s">
        <v>25</v>
      </c>
      <c r="K1750" s="564" t="s">
        <v>25</v>
      </c>
      <c r="L1750" s="564" t="s">
        <v>25</v>
      </c>
      <c r="M1750" s="572" t="s">
        <v>73</v>
      </c>
      <c r="N1750" s="572"/>
      <c r="O1750" s="740">
        <v>236</v>
      </c>
      <c r="P1750" s="564">
        <v>76000</v>
      </c>
      <c r="Q1750" s="564">
        <v>17936000</v>
      </c>
      <c r="R1750" s="566"/>
      <c r="S1750" s="609"/>
      <c r="T1750" s="741"/>
      <c r="U1750" s="586"/>
      <c r="V1750" s="564" t="s">
        <v>2899</v>
      </c>
      <c r="W1750" s="564" t="s">
        <v>25</v>
      </c>
      <c r="X1750" s="650"/>
      <c r="Y1750" s="586"/>
      <c r="Z1750" s="742"/>
      <c r="AA1750" s="586"/>
      <c r="AB1750" s="586"/>
      <c r="AC1750" s="586"/>
      <c r="AD1750" s="586"/>
      <c r="AE1750" s="714"/>
      <c r="AF1750" s="570" t="s">
        <v>2899</v>
      </c>
      <c r="AG1750" s="570" t="s">
        <v>25</v>
      </c>
      <c r="AH1750" s="571" t="s">
        <v>25</v>
      </c>
      <c r="AI1750" s="586"/>
      <c r="AJ1750" s="586"/>
    </row>
    <row r="1751" spans="1:36" s="394" customFormat="1" ht="20.25" outlineLevel="2" x14ac:dyDescent="0.3">
      <c r="A1751" s="447">
        <v>146</v>
      </c>
      <c r="B1751" s="572"/>
      <c r="C1751" s="572"/>
      <c r="D1751" s="612"/>
      <c r="E1751" s="612"/>
      <c r="F1751" s="586"/>
      <c r="G1751" s="709"/>
      <c r="H1751" s="546"/>
      <c r="I1751" s="563" t="s">
        <v>25</v>
      </c>
      <c r="J1751" s="563" t="s">
        <v>25</v>
      </c>
      <c r="K1751" s="564" t="s">
        <v>25</v>
      </c>
      <c r="L1751" s="564" t="s">
        <v>25</v>
      </c>
      <c r="M1751" s="572" t="s">
        <v>75</v>
      </c>
      <c r="N1751" s="572"/>
      <c r="O1751" s="740">
        <v>241</v>
      </c>
      <c r="P1751" s="564">
        <v>34000</v>
      </c>
      <c r="Q1751" s="564">
        <v>8194000</v>
      </c>
      <c r="R1751" s="566"/>
      <c r="S1751" s="609"/>
      <c r="T1751" s="741"/>
      <c r="U1751" s="586"/>
      <c r="V1751" s="564" t="s">
        <v>2899</v>
      </c>
      <c r="W1751" s="564" t="s">
        <v>25</v>
      </c>
      <c r="X1751" s="650"/>
      <c r="Y1751" s="586"/>
      <c r="Z1751" s="742"/>
      <c r="AA1751" s="586"/>
      <c r="AB1751" s="586"/>
      <c r="AC1751" s="586"/>
      <c r="AD1751" s="586"/>
      <c r="AE1751" s="714"/>
      <c r="AF1751" s="570" t="s">
        <v>2899</v>
      </c>
      <c r="AG1751" s="570" t="s">
        <v>25</v>
      </c>
      <c r="AH1751" s="571" t="s">
        <v>25</v>
      </c>
      <c r="AI1751" s="586"/>
      <c r="AJ1751" s="586"/>
    </row>
    <row r="1752" spans="1:36" s="394" customFormat="1" ht="40.5" outlineLevel="2" x14ac:dyDescent="0.3">
      <c r="A1752" s="447">
        <v>146</v>
      </c>
      <c r="B1752" s="572"/>
      <c r="C1752" s="572"/>
      <c r="D1752" s="612"/>
      <c r="E1752" s="612"/>
      <c r="F1752" s="586"/>
      <c r="G1752" s="709"/>
      <c r="H1752" s="546"/>
      <c r="I1752" s="563" t="s">
        <v>25</v>
      </c>
      <c r="J1752" s="563" t="s">
        <v>25</v>
      </c>
      <c r="K1752" s="564" t="s">
        <v>25</v>
      </c>
      <c r="L1752" s="564" t="s">
        <v>25</v>
      </c>
      <c r="M1752" s="572" t="s">
        <v>785</v>
      </c>
      <c r="N1752" s="572"/>
      <c r="O1752" s="740">
        <v>10</v>
      </c>
      <c r="P1752" s="564">
        <v>6000</v>
      </c>
      <c r="Q1752" s="564">
        <v>60000</v>
      </c>
      <c r="R1752" s="566"/>
      <c r="S1752" s="609"/>
      <c r="T1752" s="741"/>
      <c r="U1752" s="586"/>
      <c r="V1752" s="564" t="s">
        <v>2899</v>
      </c>
      <c r="W1752" s="564" t="s">
        <v>25</v>
      </c>
      <c r="X1752" s="650"/>
      <c r="Y1752" s="586"/>
      <c r="Z1752" s="742"/>
      <c r="AA1752" s="586"/>
      <c r="AB1752" s="586"/>
      <c r="AC1752" s="586"/>
      <c r="AD1752" s="586"/>
      <c r="AE1752" s="714"/>
      <c r="AF1752" s="570" t="s">
        <v>2899</v>
      </c>
      <c r="AG1752" s="570" t="s">
        <v>25</v>
      </c>
      <c r="AH1752" s="571" t="s">
        <v>25</v>
      </c>
      <c r="AI1752" s="586"/>
      <c r="AJ1752" s="586"/>
    </row>
    <row r="1753" spans="1:36" s="394" customFormat="1" ht="60.75" outlineLevel="2" x14ac:dyDescent="0.3">
      <c r="A1753" s="447">
        <v>146</v>
      </c>
      <c r="B1753" s="572"/>
      <c r="C1753" s="572"/>
      <c r="D1753" s="612"/>
      <c r="E1753" s="612"/>
      <c r="F1753" s="586"/>
      <c r="G1753" s="709"/>
      <c r="H1753" s="546"/>
      <c r="I1753" s="563" t="s">
        <v>25</v>
      </c>
      <c r="J1753" s="563" t="s">
        <v>25</v>
      </c>
      <c r="K1753" s="564" t="s">
        <v>25</v>
      </c>
      <c r="L1753" s="564" t="s">
        <v>25</v>
      </c>
      <c r="M1753" s="565" t="s">
        <v>429</v>
      </c>
      <c r="N1753" s="565"/>
      <c r="O1753" s="740">
        <v>52</v>
      </c>
      <c r="P1753" s="564">
        <v>12000</v>
      </c>
      <c r="Q1753" s="564">
        <v>624000</v>
      </c>
      <c r="R1753" s="566"/>
      <c r="S1753" s="609"/>
      <c r="T1753" s="741"/>
      <c r="U1753" s="586"/>
      <c r="V1753" s="564" t="s">
        <v>2899</v>
      </c>
      <c r="W1753" s="564" t="s">
        <v>25</v>
      </c>
      <c r="X1753" s="650"/>
      <c r="Y1753" s="586"/>
      <c r="Z1753" s="742"/>
      <c r="AA1753" s="586"/>
      <c r="AB1753" s="586"/>
      <c r="AC1753" s="586"/>
      <c r="AD1753" s="586"/>
      <c r="AE1753" s="714"/>
      <c r="AF1753" s="570" t="s">
        <v>2899</v>
      </c>
      <c r="AG1753" s="570" t="s">
        <v>25</v>
      </c>
      <c r="AH1753" s="571" t="s">
        <v>25</v>
      </c>
      <c r="AI1753" s="586"/>
      <c r="AJ1753" s="586"/>
    </row>
    <row r="1754" spans="1:36" s="394" customFormat="1" ht="20.25" outlineLevel="2" x14ac:dyDescent="0.3">
      <c r="A1754" s="447">
        <v>146</v>
      </c>
      <c r="B1754" s="572"/>
      <c r="C1754" s="572"/>
      <c r="D1754" s="612"/>
      <c r="E1754" s="612"/>
      <c r="F1754" s="586"/>
      <c r="G1754" s="709"/>
      <c r="H1754" s="546"/>
      <c r="I1754" s="563" t="s">
        <v>25</v>
      </c>
      <c r="J1754" s="563" t="s">
        <v>25</v>
      </c>
      <c r="K1754" s="564" t="s">
        <v>25</v>
      </c>
      <c r="L1754" s="564" t="s">
        <v>25</v>
      </c>
      <c r="M1754" s="572"/>
      <c r="N1754" s="572"/>
      <c r="O1754" s="740"/>
      <c r="P1754" s="564" t="s">
        <v>25</v>
      </c>
      <c r="Q1754" s="564" t="s">
        <v>25</v>
      </c>
      <c r="R1754" s="572"/>
      <c r="S1754" s="609"/>
      <c r="T1754" s="741"/>
      <c r="U1754" s="586"/>
      <c r="V1754" s="564" t="s">
        <v>2899</v>
      </c>
      <c r="W1754" s="564" t="s">
        <v>25</v>
      </c>
      <c r="X1754" s="650"/>
      <c r="Y1754" s="586"/>
      <c r="Z1754" s="742"/>
      <c r="AA1754" s="586"/>
      <c r="AB1754" s="586"/>
      <c r="AC1754" s="586"/>
      <c r="AD1754" s="586"/>
      <c r="AE1754" s="714"/>
      <c r="AF1754" s="570" t="s">
        <v>2899</v>
      </c>
      <c r="AG1754" s="570" t="s">
        <v>25</v>
      </c>
      <c r="AH1754" s="571" t="s">
        <v>25</v>
      </c>
      <c r="AI1754" s="586"/>
      <c r="AJ1754" s="586"/>
    </row>
    <row r="1755" spans="1:36" s="394" customFormat="1" ht="20.25" outlineLevel="2" x14ac:dyDescent="0.3">
      <c r="A1755" s="447">
        <v>146</v>
      </c>
      <c r="B1755" s="572"/>
      <c r="C1755" s="572"/>
      <c r="D1755" s="612"/>
      <c r="E1755" s="612"/>
      <c r="F1755" s="586"/>
      <c r="G1755" s="709"/>
      <c r="H1755" s="546"/>
      <c r="I1755" s="563" t="s">
        <v>25</v>
      </c>
      <c r="J1755" s="563" t="s">
        <v>25</v>
      </c>
      <c r="K1755" s="564" t="s">
        <v>25</v>
      </c>
      <c r="L1755" s="564" t="s">
        <v>25</v>
      </c>
      <c r="M1755" s="572"/>
      <c r="N1755" s="572"/>
      <c r="O1755" s="740"/>
      <c r="P1755" s="564" t="s">
        <v>25</v>
      </c>
      <c r="Q1755" s="564" t="s">
        <v>25</v>
      </c>
      <c r="R1755" s="572"/>
      <c r="S1755" s="609"/>
      <c r="T1755" s="741"/>
      <c r="U1755" s="586"/>
      <c r="V1755" s="564" t="s">
        <v>2899</v>
      </c>
      <c r="W1755" s="564" t="s">
        <v>25</v>
      </c>
      <c r="X1755" s="650"/>
      <c r="Y1755" s="586"/>
      <c r="Z1755" s="742"/>
      <c r="AA1755" s="586"/>
      <c r="AB1755" s="586"/>
      <c r="AC1755" s="586"/>
      <c r="AD1755" s="586"/>
      <c r="AE1755" s="714"/>
      <c r="AF1755" s="570" t="s">
        <v>2899</v>
      </c>
      <c r="AG1755" s="570" t="s">
        <v>25</v>
      </c>
      <c r="AH1755" s="571" t="s">
        <v>25</v>
      </c>
      <c r="AI1755" s="586"/>
      <c r="AJ1755" s="586"/>
    </row>
    <row r="1756" spans="1:36" s="394" customFormat="1" ht="20.25" outlineLevel="2" x14ac:dyDescent="0.3">
      <c r="A1756" s="447">
        <v>146</v>
      </c>
      <c r="B1756" s="607"/>
      <c r="C1756" s="607"/>
      <c r="D1756" s="642"/>
      <c r="E1756" s="642"/>
      <c r="F1756" s="586"/>
      <c r="G1756" s="709"/>
      <c r="H1756" s="546"/>
      <c r="I1756" s="563" t="s">
        <v>25</v>
      </c>
      <c r="J1756" s="563" t="s">
        <v>25</v>
      </c>
      <c r="K1756" s="564" t="s">
        <v>25</v>
      </c>
      <c r="L1756" s="564" t="s">
        <v>25</v>
      </c>
      <c r="M1756" s="572"/>
      <c r="N1756" s="572"/>
      <c r="O1756" s="740"/>
      <c r="P1756" s="564" t="s">
        <v>25</v>
      </c>
      <c r="Q1756" s="564" t="s">
        <v>25</v>
      </c>
      <c r="R1756" s="572"/>
      <c r="S1756" s="609"/>
      <c r="T1756" s="741"/>
      <c r="U1756" s="586"/>
      <c r="V1756" s="564" t="s">
        <v>2899</v>
      </c>
      <c r="W1756" s="564" t="s">
        <v>25</v>
      </c>
      <c r="X1756" s="650"/>
      <c r="Y1756" s="586"/>
      <c r="Z1756" s="742"/>
      <c r="AA1756" s="586"/>
      <c r="AB1756" s="586"/>
      <c r="AC1756" s="586"/>
      <c r="AD1756" s="586"/>
      <c r="AE1756" s="714"/>
      <c r="AF1756" s="570" t="s">
        <v>2899</v>
      </c>
      <c r="AG1756" s="570" t="s">
        <v>25</v>
      </c>
      <c r="AH1756" s="571" t="s">
        <v>25</v>
      </c>
      <c r="AI1756" s="586"/>
      <c r="AJ1756" s="586"/>
    </row>
    <row r="1757" spans="1:36" s="396" customFormat="1" ht="40.5" outlineLevel="1" x14ac:dyDescent="0.25">
      <c r="A1757" s="467">
        <v>147</v>
      </c>
      <c r="B1757" s="607" t="s">
        <v>1231</v>
      </c>
      <c r="C1757" s="586" t="s">
        <v>2903</v>
      </c>
      <c r="D1757" s="612">
        <v>86</v>
      </c>
      <c r="E1757" s="612">
        <v>283</v>
      </c>
      <c r="F1757" s="578"/>
      <c r="G1757" s="707">
        <v>861.4</v>
      </c>
      <c r="H1757" s="579">
        <v>0</v>
      </c>
      <c r="I1757" s="581"/>
      <c r="J1757" s="581"/>
      <c r="K1757" s="571">
        <v>401068000</v>
      </c>
      <c r="L1757" s="571">
        <v>0</v>
      </c>
      <c r="M1757" s="607"/>
      <c r="N1757" s="607"/>
      <c r="O1757" s="738">
        <v>416</v>
      </c>
      <c r="P1757" s="571"/>
      <c r="Q1757" s="571">
        <v>11897000</v>
      </c>
      <c r="R1757" s="582"/>
      <c r="S1757" s="621"/>
      <c r="T1757" s="739">
        <v>0</v>
      </c>
      <c r="U1757" s="578"/>
      <c r="V1757" s="571"/>
      <c r="W1757" s="571">
        <v>0</v>
      </c>
      <c r="X1757" s="650"/>
      <c r="Y1757" s="586"/>
      <c r="Z1757" s="742"/>
      <c r="AA1757" s="586"/>
      <c r="AB1757" s="586"/>
      <c r="AC1757" s="586"/>
      <c r="AD1757" s="578"/>
      <c r="AE1757" s="712">
        <f>SUBTOTAL(9,AE1758:AE1770)</f>
        <v>0</v>
      </c>
      <c r="AF1757" s="585"/>
      <c r="AG1757" s="585">
        <v>0</v>
      </c>
      <c r="AH1757" s="571">
        <v>412965000</v>
      </c>
      <c r="AI1757" s="578"/>
      <c r="AJ1757" s="578"/>
    </row>
    <row r="1758" spans="1:36" s="396" customFormat="1" ht="121.5" outlineLevel="2" x14ac:dyDescent="0.3">
      <c r="A1758" s="447">
        <v>147</v>
      </c>
      <c r="B1758" s="572" t="s">
        <v>1234</v>
      </c>
      <c r="C1758" s="572"/>
      <c r="D1758" s="612"/>
      <c r="E1758" s="612"/>
      <c r="F1758" s="586" t="s">
        <v>2436</v>
      </c>
      <c r="G1758" s="709">
        <v>861.4</v>
      </c>
      <c r="H1758" s="546" t="s">
        <v>2899</v>
      </c>
      <c r="I1758" s="563">
        <v>465600</v>
      </c>
      <c r="J1758" s="563">
        <v>0</v>
      </c>
      <c r="K1758" s="564">
        <v>401068000</v>
      </c>
      <c r="L1758" s="564">
        <v>0</v>
      </c>
      <c r="M1758" s="572" t="s">
        <v>353</v>
      </c>
      <c r="N1758" s="572"/>
      <c r="O1758" s="740">
        <v>19</v>
      </c>
      <c r="P1758" s="564">
        <v>96000</v>
      </c>
      <c r="Q1758" s="564">
        <v>1824000</v>
      </c>
      <c r="R1758" s="566"/>
      <c r="S1758" s="609"/>
      <c r="T1758" s="741"/>
      <c r="U1758" s="586"/>
      <c r="V1758" s="564" t="s">
        <v>2899</v>
      </c>
      <c r="W1758" s="564" t="s">
        <v>25</v>
      </c>
      <c r="X1758" s="650"/>
      <c r="Y1758" s="586"/>
      <c r="Z1758" s="742"/>
      <c r="AA1758" s="586"/>
      <c r="AB1758" s="586"/>
      <c r="AC1758" s="586"/>
      <c r="AD1758" s="586"/>
      <c r="AE1758" s="714"/>
      <c r="AF1758" s="570" t="s">
        <v>2899</v>
      </c>
      <c r="AG1758" s="570"/>
      <c r="AH1758" s="571" t="s">
        <v>25</v>
      </c>
      <c r="AI1758" s="586" t="s">
        <v>1233</v>
      </c>
      <c r="AJ1758" s="586" t="s">
        <v>2771</v>
      </c>
    </row>
    <row r="1759" spans="1:36" s="394" customFormat="1" ht="101.25" outlineLevel="2" x14ac:dyDescent="0.3">
      <c r="A1759" s="447">
        <v>147</v>
      </c>
      <c r="B1759" s="572" t="s">
        <v>1606</v>
      </c>
      <c r="C1759" s="572"/>
      <c r="D1759" s="612"/>
      <c r="E1759" s="612"/>
      <c r="F1759" s="586"/>
      <c r="G1759" s="709"/>
      <c r="H1759" s="546"/>
      <c r="I1759" s="563" t="s">
        <v>25</v>
      </c>
      <c r="J1759" s="563" t="s">
        <v>25</v>
      </c>
      <c r="K1759" s="564" t="s">
        <v>25</v>
      </c>
      <c r="L1759" s="564" t="s">
        <v>25</v>
      </c>
      <c r="M1759" s="572" t="s">
        <v>932</v>
      </c>
      <c r="N1759" s="572"/>
      <c r="O1759" s="740">
        <v>45</v>
      </c>
      <c r="P1759" s="564">
        <v>84000</v>
      </c>
      <c r="Q1759" s="564">
        <v>3780000</v>
      </c>
      <c r="R1759" s="566"/>
      <c r="S1759" s="609"/>
      <c r="T1759" s="741"/>
      <c r="U1759" s="586"/>
      <c r="V1759" s="564" t="s">
        <v>2899</v>
      </c>
      <c r="W1759" s="564" t="s">
        <v>25</v>
      </c>
      <c r="X1759" s="650"/>
      <c r="Y1759" s="586"/>
      <c r="Z1759" s="742"/>
      <c r="AA1759" s="586"/>
      <c r="AB1759" s="586"/>
      <c r="AC1759" s="586"/>
      <c r="AD1759" s="586"/>
      <c r="AE1759" s="714"/>
      <c r="AF1759" s="570" t="s">
        <v>2899</v>
      </c>
      <c r="AG1759" s="570" t="s">
        <v>25</v>
      </c>
      <c r="AH1759" s="571" t="s">
        <v>25</v>
      </c>
      <c r="AI1759" s="586" t="s">
        <v>1235</v>
      </c>
      <c r="AJ1759" s="558" t="s">
        <v>2449</v>
      </c>
    </row>
    <row r="1760" spans="1:36" s="394" customFormat="1" ht="40.5" outlineLevel="2" x14ac:dyDescent="0.3">
      <c r="A1760" s="447">
        <v>147</v>
      </c>
      <c r="B1760" s="572"/>
      <c r="C1760" s="572"/>
      <c r="D1760" s="612"/>
      <c r="E1760" s="612"/>
      <c r="F1760" s="586"/>
      <c r="G1760" s="709"/>
      <c r="H1760" s="546"/>
      <c r="I1760" s="563" t="s">
        <v>25</v>
      </c>
      <c r="J1760" s="563" t="s">
        <v>25</v>
      </c>
      <c r="K1760" s="564" t="s">
        <v>25</v>
      </c>
      <c r="L1760" s="564" t="s">
        <v>25</v>
      </c>
      <c r="M1760" s="572" t="s">
        <v>350</v>
      </c>
      <c r="N1760" s="572"/>
      <c r="O1760" s="740">
        <v>21</v>
      </c>
      <c r="P1760" s="564">
        <v>72000</v>
      </c>
      <c r="Q1760" s="564">
        <v>1512000</v>
      </c>
      <c r="R1760" s="566"/>
      <c r="S1760" s="609"/>
      <c r="T1760" s="741"/>
      <c r="U1760" s="586"/>
      <c r="V1760" s="564" t="s">
        <v>2899</v>
      </c>
      <c r="W1760" s="564" t="s">
        <v>25</v>
      </c>
      <c r="X1760" s="650"/>
      <c r="Y1760" s="586"/>
      <c r="Z1760" s="742"/>
      <c r="AA1760" s="586"/>
      <c r="AB1760" s="586"/>
      <c r="AC1760" s="586"/>
      <c r="AD1760" s="586"/>
      <c r="AE1760" s="714"/>
      <c r="AF1760" s="570" t="s">
        <v>2899</v>
      </c>
      <c r="AG1760" s="570" t="s">
        <v>25</v>
      </c>
      <c r="AH1760" s="571" t="s">
        <v>25</v>
      </c>
      <c r="AI1760" s="586"/>
      <c r="AJ1760" s="586"/>
    </row>
    <row r="1761" spans="1:38" s="394" customFormat="1" ht="40.5" outlineLevel="2" x14ac:dyDescent="0.3">
      <c r="A1761" s="447">
        <v>147</v>
      </c>
      <c r="B1761" s="572"/>
      <c r="C1761" s="572"/>
      <c r="D1761" s="612"/>
      <c r="E1761" s="612"/>
      <c r="F1761" s="586"/>
      <c r="G1761" s="709"/>
      <c r="H1761" s="546"/>
      <c r="I1761" s="563" t="s">
        <v>25</v>
      </c>
      <c r="J1761" s="563" t="s">
        <v>25</v>
      </c>
      <c r="K1761" s="564" t="s">
        <v>25</v>
      </c>
      <c r="L1761" s="564" t="s">
        <v>25</v>
      </c>
      <c r="M1761" s="572" t="s">
        <v>2104</v>
      </c>
      <c r="N1761" s="572"/>
      <c r="O1761" s="740">
        <v>1</v>
      </c>
      <c r="P1761" s="564">
        <v>600000</v>
      </c>
      <c r="Q1761" s="564">
        <v>600000</v>
      </c>
      <c r="R1761" s="572"/>
      <c r="S1761" s="609"/>
      <c r="T1761" s="741"/>
      <c r="U1761" s="586"/>
      <c r="V1761" s="564" t="s">
        <v>2899</v>
      </c>
      <c r="W1761" s="564" t="s">
        <v>25</v>
      </c>
      <c r="X1761" s="650"/>
      <c r="Y1761" s="586"/>
      <c r="Z1761" s="742"/>
      <c r="AA1761" s="586"/>
      <c r="AB1761" s="586"/>
      <c r="AC1761" s="586"/>
      <c r="AD1761" s="586"/>
      <c r="AE1761" s="714"/>
      <c r="AF1761" s="570" t="s">
        <v>2899</v>
      </c>
      <c r="AG1761" s="570" t="s">
        <v>25</v>
      </c>
      <c r="AH1761" s="571" t="s">
        <v>25</v>
      </c>
      <c r="AI1761" s="586"/>
      <c r="AJ1761" s="586"/>
    </row>
    <row r="1762" spans="1:38" s="394" customFormat="1" ht="40.5" outlineLevel="2" x14ac:dyDescent="0.3">
      <c r="A1762" s="447">
        <v>147</v>
      </c>
      <c r="B1762" s="572"/>
      <c r="C1762" s="572"/>
      <c r="D1762" s="612"/>
      <c r="E1762" s="612"/>
      <c r="F1762" s="586"/>
      <c r="G1762" s="709"/>
      <c r="H1762" s="546"/>
      <c r="I1762" s="563" t="s">
        <v>25</v>
      </c>
      <c r="J1762" s="563" t="s">
        <v>25</v>
      </c>
      <c r="K1762" s="564" t="s">
        <v>25</v>
      </c>
      <c r="L1762" s="564" t="s">
        <v>25</v>
      </c>
      <c r="M1762" s="572" t="s">
        <v>2105</v>
      </c>
      <c r="N1762" s="572"/>
      <c r="O1762" s="740">
        <v>1</v>
      </c>
      <c r="P1762" s="564">
        <v>165000</v>
      </c>
      <c r="Q1762" s="564">
        <v>165000</v>
      </c>
      <c r="R1762" s="572"/>
      <c r="S1762" s="609"/>
      <c r="T1762" s="741"/>
      <c r="U1762" s="586"/>
      <c r="V1762" s="564" t="s">
        <v>2899</v>
      </c>
      <c r="W1762" s="564" t="s">
        <v>25</v>
      </c>
      <c r="X1762" s="650"/>
      <c r="Y1762" s="586"/>
      <c r="Z1762" s="742"/>
      <c r="AA1762" s="586"/>
      <c r="AB1762" s="586"/>
      <c r="AC1762" s="586"/>
      <c r="AD1762" s="586"/>
      <c r="AE1762" s="714"/>
      <c r="AF1762" s="570" t="s">
        <v>2899</v>
      </c>
      <c r="AG1762" s="570" t="s">
        <v>25</v>
      </c>
      <c r="AH1762" s="571" t="s">
        <v>25</v>
      </c>
      <c r="AI1762" s="586"/>
      <c r="AJ1762" s="586"/>
    </row>
    <row r="1763" spans="1:38" s="394" customFormat="1" ht="40.5" outlineLevel="2" x14ac:dyDescent="0.3">
      <c r="A1763" s="447">
        <v>147</v>
      </c>
      <c r="B1763" s="572"/>
      <c r="C1763" s="572"/>
      <c r="D1763" s="612"/>
      <c r="E1763" s="612"/>
      <c r="F1763" s="586"/>
      <c r="G1763" s="709"/>
      <c r="H1763" s="546"/>
      <c r="I1763" s="563" t="s">
        <v>25</v>
      </c>
      <c r="J1763" s="563" t="s">
        <v>25</v>
      </c>
      <c r="K1763" s="564" t="s">
        <v>25</v>
      </c>
      <c r="L1763" s="564" t="s">
        <v>25</v>
      </c>
      <c r="M1763" s="572" t="s">
        <v>2106</v>
      </c>
      <c r="N1763" s="572"/>
      <c r="O1763" s="740">
        <v>3</v>
      </c>
      <c r="P1763" s="564">
        <v>32000</v>
      </c>
      <c r="Q1763" s="564">
        <v>96000</v>
      </c>
      <c r="R1763" s="572"/>
      <c r="S1763" s="609"/>
      <c r="T1763" s="741"/>
      <c r="U1763" s="586"/>
      <c r="V1763" s="564" t="s">
        <v>2899</v>
      </c>
      <c r="W1763" s="564" t="s">
        <v>25</v>
      </c>
      <c r="X1763" s="650"/>
      <c r="Y1763" s="586"/>
      <c r="Z1763" s="742"/>
      <c r="AA1763" s="586"/>
      <c r="AB1763" s="586"/>
      <c r="AC1763" s="586"/>
      <c r="AD1763" s="586"/>
      <c r="AE1763" s="714"/>
      <c r="AF1763" s="570" t="s">
        <v>2899</v>
      </c>
      <c r="AG1763" s="570" t="s">
        <v>25</v>
      </c>
      <c r="AH1763" s="571" t="s">
        <v>25</v>
      </c>
      <c r="AI1763" s="586"/>
      <c r="AJ1763" s="586"/>
    </row>
    <row r="1764" spans="1:38" s="394" customFormat="1" ht="20.25" outlineLevel="2" x14ac:dyDescent="0.3">
      <c r="A1764" s="447">
        <v>147</v>
      </c>
      <c r="B1764" s="572"/>
      <c r="C1764" s="572"/>
      <c r="D1764" s="612"/>
      <c r="E1764" s="612"/>
      <c r="F1764" s="586"/>
      <c r="G1764" s="709"/>
      <c r="H1764" s="546"/>
      <c r="I1764" s="563" t="s">
        <v>25</v>
      </c>
      <c r="J1764" s="563" t="s">
        <v>25</v>
      </c>
      <c r="K1764" s="564" t="s">
        <v>25</v>
      </c>
      <c r="L1764" s="564" t="s">
        <v>25</v>
      </c>
      <c r="M1764" s="572" t="s">
        <v>1239</v>
      </c>
      <c r="N1764" s="572"/>
      <c r="O1764" s="740">
        <v>1</v>
      </c>
      <c r="P1764" s="564">
        <v>32000</v>
      </c>
      <c r="Q1764" s="564">
        <v>32000</v>
      </c>
      <c r="R1764" s="572"/>
      <c r="S1764" s="609"/>
      <c r="T1764" s="741"/>
      <c r="U1764" s="586"/>
      <c r="V1764" s="564" t="s">
        <v>2899</v>
      </c>
      <c r="W1764" s="564" t="s">
        <v>25</v>
      </c>
      <c r="X1764" s="650"/>
      <c r="Y1764" s="586"/>
      <c r="Z1764" s="742"/>
      <c r="AA1764" s="586"/>
      <c r="AB1764" s="586"/>
      <c r="AC1764" s="586"/>
      <c r="AD1764" s="586"/>
      <c r="AE1764" s="714"/>
      <c r="AF1764" s="570" t="s">
        <v>2899</v>
      </c>
      <c r="AG1764" s="570" t="s">
        <v>25</v>
      </c>
      <c r="AH1764" s="571" t="s">
        <v>25</v>
      </c>
      <c r="AI1764" s="586"/>
      <c r="AJ1764" s="586"/>
    </row>
    <row r="1765" spans="1:38" s="394" customFormat="1" ht="20.25" outlineLevel="2" x14ac:dyDescent="0.3">
      <c r="A1765" s="447">
        <v>147</v>
      </c>
      <c r="B1765" s="572"/>
      <c r="C1765" s="572"/>
      <c r="D1765" s="612"/>
      <c r="E1765" s="612"/>
      <c r="F1765" s="586"/>
      <c r="G1765" s="709"/>
      <c r="H1765" s="546"/>
      <c r="I1765" s="563" t="s">
        <v>25</v>
      </c>
      <c r="J1765" s="563" t="s">
        <v>25</v>
      </c>
      <c r="K1765" s="564" t="s">
        <v>25</v>
      </c>
      <c r="L1765" s="564" t="s">
        <v>25</v>
      </c>
      <c r="M1765" s="572" t="s">
        <v>1240</v>
      </c>
      <c r="N1765" s="572"/>
      <c r="O1765" s="740">
        <v>1</v>
      </c>
      <c r="P1765" s="564">
        <v>0</v>
      </c>
      <c r="Q1765" s="564">
        <v>0</v>
      </c>
      <c r="R1765" s="572"/>
      <c r="S1765" s="609"/>
      <c r="T1765" s="741"/>
      <c r="U1765" s="586"/>
      <c r="V1765" s="564" t="s">
        <v>2899</v>
      </c>
      <c r="W1765" s="564" t="s">
        <v>25</v>
      </c>
      <c r="X1765" s="650"/>
      <c r="Y1765" s="586"/>
      <c r="Z1765" s="742"/>
      <c r="AA1765" s="586"/>
      <c r="AB1765" s="586"/>
      <c r="AC1765" s="586"/>
      <c r="AD1765" s="586"/>
      <c r="AE1765" s="714"/>
      <c r="AF1765" s="570" t="s">
        <v>2899</v>
      </c>
      <c r="AG1765" s="570" t="s">
        <v>25</v>
      </c>
      <c r="AH1765" s="571" t="s">
        <v>25</v>
      </c>
      <c r="AI1765" s="586"/>
      <c r="AJ1765" s="586"/>
    </row>
    <row r="1766" spans="1:38" s="394" customFormat="1" ht="40.5" outlineLevel="2" x14ac:dyDescent="0.3">
      <c r="A1766" s="447">
        <v>147</v>
      </c>
      <c r="B1766" s="572"/>
      <c r="C1766" s="572"/>
      <c r="D1766" s="612"/>
      <c r="E1766" s="612"/>
      <c r="F1766" s="586"/>
      <c r="G1766" s="709"/>
      <c r="H1766" s="546"/>
      <c r="I1766" s="563" t="s">
        <v>25</v>
      </c>
      <c r="J1766" s="563" t="s">
        <v>25</v>
      </c>
      <c r="K1766" s="564" t="s">
        <v>25</v>
      </c>
      <c r="L1766" s="564" t="s">
        <v>25</v>
      </c>
      <c r="M1766" s="572" t="s">
        <v>1241</v>
      </c>
      <c r="N1766" s="572"/>
      <c r="O1766" s="740">
        <v>324</v>
      </c>
      <c r="P1766" s="564">
        <v>12000</v>
      </c>
      <c r="Q1766" s="564">
        <v>3888000</v>
      </c>
      <c r="R1766" s="572"/>
      <c r="S1766" s="609"/>
      <c r="T1766" s="741"/>
      <c r="U1766" s="586"/>
      <c r="V1766" s="564" t="s">
        <v>2899</v>
      </c>
      <c r="W1766" s="564" t="s">
        <v>25</v>
      </c>
      <c r="X1766" s="650"/>
      <c r="Y1766" s="586"/>
      <c r="Z1766" s="742"/>
      <c r="AA1766" s="586"/>
      <c r="AB1766" s="586"/>
      <c r="AC1766" s="586"/>
      <c r="AD1766" s="586"/>
      <c r="AE1766" s="714"/>
      <c r="AF1766" s="570" t="s">
        <v>2899</v>
      </c>
      <c r="AG1766" s="570" t="s">
        <v>25</v>
      </c>
      <c r="AH1766" s="571" t="s">
        <v>25</v>
      </c>
      <c r="AI1766" s="586"/>
      <c r="AJ1766" s="586"/>
    </row>
    <row r="1767" spans="1:38" s="394" customFormat="1" ht="20.25" outlineLevel="2" x14ac:dyDescent="0.3">
      <c r="A1767" s="447">
        <v>147</v>
      </c>
      <c r="B1767" s="572"/>
      <c r="C1767" s="572"/>
      <c r="D1767" s="612"/>
      <c r="E1767" s="612"/>
      <c r="F1767" s="586"/>
      <c r="G1767" s="709"/>
      <c r="H1767" s="546"/>
      <c r="I1767" s="563" t="s">
        <v>25</v>
      </c>
      <c r="J1767" s="563" t="s">
        <v>25</v>
      </c>
      <c r="K1767" s="564" t="s">
        <v>25</v>
      </c>
      <c r="L1767" s="564" t="s">
        <v>25</v>
      </c>
      <c r="M1767" s="572"/>
      <c r="N1767" s="572"/>
      <c r="O1767" s="740"/>
      <c r="P1767" s="564" t="s">
        <v>25</v>
      </c>
      <c r="Q1767" s="564" t="s">
        <v>25</v>
      </c>
      <c r="R1767" s="572"/>
      <c r="S1767" s="609"/>
      <c r="T1767" s="741"/>
      <c r="U1767" s="586"/>
      <c r="V1767" s="564" t="s">
        <v>2899</v>
      </c>
      <c r="W1767" s="564" t="s">
        <v>25</v>
      </c>
      <c r="X1767" s="650"/>
      <c r="Y1767" s="586"/>
      <c r="Z1767" s="742"/>
      <c r="AA1767" s="586"/>
      <c r="AB1767" s="586"/>
      <c r="AC1767" s="586"/>
      <c r="AD1767" s="586"/>
      <c r="AE1767" s="714"/>
      <c r="AF1767" s="570" t="s">
        <v>2899</v>
      </c>
      <c r="AG1767" s="570" t="s">
        <v>25</v>
      </c>
      <c r="AH1767" s="571" t="s">
        <v>25</v>
      </c>
      <c r="AI1767" s="586"/>
      <c r="AJ1767" s="586"/>
    </row>
    <row r="1768" spans="1:38" s="394" customFormat="1" ht="20.25" outlineLevel="2" x14ac:dyDescent="0.3">
      <c r="A1768" s="447">
        <v>147</v>
      </c>
      <c r="B1768" s="572"/>
      <c r="C1768" s="572"/>
      <c r="D1768" s="612"/>
      <c r="E1768" s="612"/>
      <c r="F1768" s="586"/>
      <c r="G1768" s="709"/>
      <c r="H1768" s="546"/>
      <c r="I1768" s="563" t="s">
        <v>25</v>
      </c>
      <c r="J1768" s="563" t="s">
        <v>25</v>
      </c>
      <c r="K1768" s="564" t="s">
        <v>25</v>
      </c>
      <c r="L1768" s="564" t="s">
        <v>25</v>
      </c>
      <c r="M1768" s="572"/>
      <c r="N1768" s="572"/>
      <c r="O1768" s="740"/>
      <c r="P1768" s="564" t="s">
        <v>25</v>
      </c>
      <c r="Q1768" s="564" t="s">
        <v>25</v>
      </c>
      <c r="R1768" s="572"/>
      <c r="S1768" s="609"/>
      <c r="T1768" s="741"/>
      <c r="U1768" s="586"/>
      <c r="V1768" s="564" t="s">
        <v>2899</v>
      </c>
      <c r="W1768" s="564" t="s">
        <v>25</v>
      </c>
      <c r="X1768" s="650"/>
      <c r="Y1768" s="586"/>
      <c r="Z1768" s="742"/>
      <c r="AA1768" s="586"/>
      <c r="AB1768" s="586"/>
      <c r="AC1768" s="586"/>
      <c r="AD1768" s="586"/>
      <c r="AE1768" s="714"/>
      <c r="AF1768" s="570" t="s">
        <v>2899</v>
      </c>
      <c r="AG1768" s="570" t="s">
        <v>25</v>
      </c>
      <c r="AH1768" s="571" t="s">
        <v>25</v>
      </c>
      <c r="AI1768" s="572"/>
      <c r="AJ1768" s="572"/>
    </row>
    <row r="1769" spans="1:38" s="394" customFormat="1" ht="20.25" outlineLevel="2" x14ac:dyDescent="0.3">
      <c r="A1769" s="447">
        <v>147</v>
      </c>
      <c r="B1769" s="572"/>
      <c r="C1769" s="572"/>
      <c r="D1769" s="612"/>
      <c r="E1769" s="612"/>
      <c r="F1769" s="586"/>
      <c r="G1769" s="709"/>
      <c r="H1769" s="546"/>
      <c r="I1769" s="563" t="s">
        <v>25</v>
      </c>
      <c r="J1769" s="563" t="s">
        <v>25</v>
      </c>
      <c r="K1769" s="564" t="s">
        <v>25</v>
      </c>
      <c r="L1769" s="564" t="s">
        <v>25</v>
      </c>
      <c r="M1769" s="572"/>
      <c r="N1769" s="572"/>
      <c r="O1769" s="740"/>
      <c r="P1769" s="564" t="s">
        <v>25</v>
      </c>
      <c r="Q1769" s="564" t="s">
        <v>25</v>
      </c>
      <c r="R1769" s="572"/>
      <c r="S1769" s="609"/>
      <c r="T1769" s="741"/>
      <c r="U1769" s="586"/>
      <c r="V1769" s="564" t="s">
        <v>2899</v>
      </c>
      <c r="W1769" s="564" t="s">
        <v>25</v>
      </c>
      <c r="X1769" s="650"/>
      <c r="Y1769" s="586"/>
      <c r="Z1769" s="742"/>
      <c r="AA1769" s="586"/>
      <c r="AB1769" s="586"/>
      <c r="AC1769" s="586"/>
      <c r="AD1769" s="586"/>
      <c r="AE1769" s="714"/>
      <c r="AF1769" s="570" t="s">
        <v>2899</v>
      </c>
      <c r="AG1769" s="570" t="s">
        <v>25</v>
      </c>
      <c r="AH1769" s="571" t="s">
        <v>25</v>
      </c>
      <c r="AI1769" s="558"/>
      <c r="AJ1769" s="558"/>
    </row>
    <row r="1770" spans="1:38" s="394" customFormat="1" ht="20.25" outlineLevel="2" x14ac:dyDescent="0.3">
      <c r="A1770" s="447">
        <v>147</v>
      </c>
      <c r="B1770" s="607"/>
      <c r="C1770" s="607"/>
      <c r="D1770" s="642"/>
      <c r="E1770" s="642"/>
      <c r="F1770" s="586"/>
      <c r="G1770" s="709"/>
      <c r="H1770" s="546"/>
      <c r="I1770" s="563" t="s">
        <v>25</v>
      </c>
      <c r="J1770" s="563" t="s">
        <v>25</v>
      </c>
      <c r="K1770" s="564" t="s">
        <v>25</v>
      </c>
      <c r="L1770" s="564" t="s">
        <v>25</v>
      </c>
      <c r="M1770" s="572"/>
      <c r="N1770" s="572"/>
      <c r="O1770" s="740"/>
      <c r="P1770" s="564" t="s">
        <v>25</v>
      </c>
      <c r="Q1770" s="564" t="s">
        <v>25</v>
      </c>
      <c r="R1770" s="572"/>
      <c r="S1770" s="609"/>
      <c r="T1770" s="741"/>
      <c r="U1770" s="586"/>
      <c r="V1770" s="564" t="s">
        <v>2899</v>
      </c>
      <c r="W1770" s="564" t="s">
        <v>25</v>
      </c>
      <c r="X1770" s="650"/>
      <c r="Y1770" s="586"/>
      <c r="Z1770" s="742"/>
      <c r="AA1770" s="586"/>
      <c r="AB1770" s="586"/>
      <c r="AC1770" s="586"/>
      <c r="AD1770" s="586"/>
      <c r="AE1770" s="714"/>
      <c r="AF1770" s="570" t="s">
        <v>2899</v>
      </c>
      <c r="AG1770" s="570" t="s">
        <v>25</v>
      </c>
      <c r="AH1770" s="571" t="s">
        <v>25</v>
      </c>
      <c r="AI1770" s="586"/>
      <c r="AJ1770" s="586"/>
    </row>
    <row r="1771" spans="1:38" s="396" customFormat="1" ht="40.5" outlineLevel="1" x14ac:dyDescent="0.25">
      <c r="A1771" s="467">
        <v>148</v>
      </c>
      <c r="B1771" s="607" t="s">
        <v>1242</v>
      </c>
      <c r="C1771" s="586" t="s">
        <v>2903</v>
      </c>
      <c r="D1771" s="612">
        <v>86</v>
      </c>
      <c r="E1771" s="612">
        <v>261</v>
      </c>
      <c r="F1771" s="578"/>
      <c r="G1771" s="707">
        <v>14.8</v>
      </c>
      <c r="H1771" s="579">
        <v>0</v>
      </c>
      <c r="I1771" s="581"/>
      <c r="J1771" s="581"/>
      <c r="K1771" s="571">
        <v>8205000</v>
      </c>
      <c r="L1771" s="571">
        <v>0</v>
      </c>
      <c r="M1771" s="607"/>
      <c r="N1771" s="607"/>
      <c r="O1771" s="738">
        <v>0</v>
      </c>
      <c r="P1771" s="571"/>
      <c r="Q1771" s="571">
        <v>0</v>
      </c>
      <c r="R1771" s="582"/>
      <c r="S1771" s="621"/>
      <c r="T1771" s="739">
        <v>4.3</v>
      </c>
      <c r="U1771" s="578"/>
      <c r="V1771" s="571"/>
      <c r="W1771" s="571">
        <v>2956000</v>
      </c>
      <c r="X1771" s="650"/>
      <c r="Y1771" s="586"/>
      <c r="Z1771" s="742"/>
      <c r="AA1771" s="586"/>
      <c r="AB1771" s="586"/>
      <c r="AC1771" s="586"/>
      <c r="AD1771" s="578"/>
      <c r="AE1771" s="712">
        <f>SUBTOTAL(9,AE1772:AE1777)</f>
        <v>0</v>
      </c>
      <c r="AF1771" s="585"/>
      <c r="AG1771" s="585">
        <v>0</v>
      </c>
      <c r="AH1771" s="571">
        <v>11161000</v>
      </c>
      <c r="AI1771" s="578"/>
      <c r="AJ1771" s="578"/>
      <c r="AL1771" s="468"/>
    </row>
    <row r="1772" spans="1:38" s="396" customFormat="1" ht="121.5" outlineLevel="2" x14ac:dyDescent="0.3">
      <c r="A1772" s="447">
        <v>148</v>
      </c>
      <c r="B1772" s="572" t="s">
        <v>1244</v>
      </c>
      <c r="C1772" s="572"/>
      <c r="D1772" s="612"/>
      <c r="E1772" s="612"/>
      <c r="F1772" s="586" t="s">
        <v>2897</v>
      </c>
      <c r="G1772" s="709">
        <v>14.8</v>
      </c>
      <c r="H1772" s="546" t="s">
        <v>2899</v>
      </c>
      <c r="I1772" s="563">
        <v>554400</v>
      </c>
      <c r="J1772" s="563">
        <v>0</v>
      </c>
      <c r="K1772" s="564">
        <v>8205000</v>
      </c>
      <c r="L1772" s="564">
        <v>0</v>
      </c>
      <c r="M1772" s="572"/>
      <c r="N1772" s="572"/>
      <c r="O1772" s="740"/>
      <c r="P1772" s="564" t="s">
        <v>25</v>
      </c>
      <c r="Q1772" s="564" t="s">
        <v>25</v>
      </c>
      <c r="R1772" s="566" t="s">
        <v>2375</v>
      </c>
      <c r="S1772" s="609" t="s">
        <v>1133</v>
      </c>
      <c r="T1772" s="741">
        <v>4.3</v>
      </c>
      <c r="U1772" s="586"/>
      <c r="V1772" s="564">
        <v>687379</v>
      </c>
      <c r="W1772" s="564">
        <v>2956000</v>
      </c>
      <c r="X1772" s="650"/>
      <c r="Y1772" s="586"/>
      <c r="Z1772" s="742"/>
      <c r="AA1772" s="586"/>
      <c r="AB1772" s="586"/>
      <c r="AC1772" s="586"/>
      <c r="AD1772" s="586"/>
      <c r="AE1772" s="714"/>
      <c r="AF1772" s="570" t="s">
        <v>2899</v>
      </c>
      <c r="AG1772" s="570"/>
      <c r="AH1772" s="571" t="s">
        <v>25</v>
      </c>
      <c r="AI1772" s="586" t="s">
        <v>1243</v>
      </c>
      <c r="AJ1772" s="586" t="s">
        <v>2771</v>
      </c>
      <c r="AL1772" s="380" t="s">
        <v>1924</v>
      </c>
    </row>
    <row r="1773" spans="1:38" s="394" customFormat="1" ht="121.5" outlineLevel="2" x14ac:dyDescent="0.3">
      <c r="A1773" s="447">
        <v>148</v>
      </c>
      <c r="B1773" s="572" t="s">
        <v>1607</v>
      </c>
      <c r="C1773" s="572"/>
      <c r="D1773" s="612"/>
      <c r="E1773" s="612"/>
      <c r="F1773" s="586"/>
      <c r="G1773" s="709"/>
      <c r="H1773" s="546"/>
      <c r="I1773" s="563" t="s">
        <v>25</v>
      </c>
      <c r="J1773" s="563" t="s">
        <v>25</v>
      </c>
      <c r="K1773" s="564" t="s">
        <v>25</v>
      </c>
      <c r="L1773" s="564" t="s">
        <v>25</v>
      </c>
      <c r="M1773" s="572"/>
      <c r="N1773" s="572"/>
      <c r="O1773" s="740"/>
      <c r="P1773" s="564" t="s">
        <v>25</v>
      </c>
      <c r="Q1773" s="564" t="s">
        <v>25</v>
      </c>
      <c r="R1773" s="566"/>
      <c r="S1773" s="609"/>
      <c r="T1773" s="741"/>
      <c r="U1773" s="586"/>
      <c r="V1773" s="564" t="s">
        <v>2899</v>
      </c>
      <c r="W1773" s="564" t="s">
        <v>25</v>
      </c>
      <c r="X1773" s="650"/>
      <c r="Y1773" s="586"/>
      <c r="Z1773" s="742"/>
      <c r="AA1773" s="586"/>
      <c r="AB1773" s="586"/>
      <c r="AC1773" s="586"/>
      <c r="AD1773" s="586"/>
      <c r="AE1773" s="714"/>
      <c r="AF1773" s="570" t="s">
        <v>2899</v>
      </c>
      <c r="AG1773" s="570" t="s">
        <v>25</v>
      </c>
      <c r="AH1773" s="571" t="s">
        <v>25</v>
      </c>
      <c r="AI1773" s="586" t="s">
        <v>1245</v>
      </c>
      <c r="AJ1773" s="558" t="s">
        <v>2450</v>
      </c>
    </row>
    <row r="1774" spans="1:38" s="394" customFormat="1" ht="20.25" outlineLevel="2" x14ac:dyDescent="0.3">
      <c r="A1774" s="447">
        <v>148</v>
      </c>
      <c r="B1774" s="572"/>
      <c r="C1774" s="572"/>
      <c r="D1774" s="612"/>
      <c r="E1774" s="612"/>
      <c r="F1774" s="586"/>
      <c r="G1774" s="709"/>
      <c r="H1774" s="546"/>
      <c r="I1774" s="563" t="s">
        <v>25</v>
      </c>
      <c r="J1774" s="563" t="s">
        <v>25</v>
      </c>
      <c r="K1774" s="564" t="s">
        <v>25</v>
      </c>
      <c r="L1774" s="564" t="s">
        <v>25</v>
      </c>
      <c r="M1774" s="572"/>
      <c r="N1774" s="572"/>
      <c r="O1774" s="740"/>
      <c r="P1774" s="564" t="s">
        <v>25</v>
      </c>
      <c r="Q1774" s="564" t="s">
        <v>25</v>
      </c>
      <c r="R1774" s="566"/>
      <c r="S1774" s="609"/>
      <c r="T1774" s="741"/>
      <c r="U1774" s="586"/>
      <c r="V1774" s="564" t="s">
        <v>2899</v>
      </c>
      <c r="W1774" s="564" t="s">
        <v>25</v>
      </c>
      <c r="X1774" s="650"/>
      <c r="Y1774" s="586"/>
      <c r="Z1774" s="742"/>
      <c r="AA1774" s="586"/>
      <c r="AB1774" s="586"/>
      <c r="AC1774" s="586"/>
      <c r="AD1774" s="586"/>
      <c r="AE1774" s="714"/>
      <c r="AF1774" s="570" t="s">
        <v>2899</v>
      </c>
      <c r="AG1774" s="570" t="s">
        <v>25</v>
      </c>
      <c r="AH1774" s="571" t="s">
        <v>25</v>
      </c>
      <c r="AI1774" s="586" t="s">
        <v>1246</v>
      </c>
      <c r="AJ1774" s="586"/>
    </row>
    <row r="1775" spans="1:38" s="394" customFormat="1" ht="40.5" outlineLevel="2" x14ac:dyDescent="0.3">
      <c r="A1775" s="447">
        <v>148</v>
      </c>
      <c r="B1775" s="572"/>
      <c r="C1775" s="572"/>
      <c r="D1775" s="612"/>
      <c r="E1775" s="612"/>
      <c r="F1775" s="586"/>
      <c r="G1775" s="709"/>
      <c r="H1775" s="546"/>
      <c r="I1775" s="563" t="s">
        <v>25</v>
      </c>
      <c r="J1775" s="563" t="s">
        <v>25</v>
      </c>
      <c r="K1775" s="564" t="s">
        <v>25</v>
      </c>
      <c r="L1775" s="564" t="s">
        <v>25</v>
      </c>
      <c r="M1775" s="572"/>
      <c r="N1775" s="572"/>
      <c r="O1775" s="740"/>
      <c r="P1775" s="564" t="s">
        <v>25</v>
      </c>
      <c r="Q1775" s="564" t="s">
        <v>25</v>
      </c>
      <c r="R1775" s="572"/>
      <c r="S1775" s="609"/>
      <c r="T1775" s="741"/>
      <c r="U1775" s="586"/>
      <c r="V1775" s="564" t="s">
        <v>2899</v>
      </c>
      <c r="W1775" s="564" t="s">
        <v>25</v>
      </c>
      <c r="X1775" s="650"/>
      <c r="Y1775" s="586"/>
      <c r="Z1775" s="742"/>
      <c r="AA1775" s="586"/>
      <c r="AB1775" s="586"/>
      <c r="AC1775" s="586"/>
      <c r="AD1775" s="586"/>
      <c r="AE1775" s="714"/>
      <c r="AF1775" s="570" t="s">
        <v>2899</v>
      </c>
      <c r="AG1775" s="570" t="s">
        <v>25</v>
      </c>
      <c r="AH1775" s="571" t="s">
        <v>25</v>
      </c>
      <c r="AI1775" s="731" t="s">
        <v>2456</v>
      </c>
      <c r="AJ1775" s="586"/>
    </row>
    <row r="1776" spans="1:38" s="394" customFormat="1" ht="20.25" outlineLevel="2" x14ac:dyDescent="0.3">
      <c r="A1776" s="447">
        <v>148</v>
      </c>
      <c r="B1776" s="572"/>
      <c r="C1776" s="572"/>
      <c r="D1776" s="612"/>
      <c r="E1776" s="612"/>
      <c r="F1776" s="586"/>
      <c r="G1776" s="709"/>
      <c r="H1776" s="546"/>
      <c r="I1776" s="563" t="s">
        <v>25</v>
      </c>
      <c r="J1776" s="563" t="s">
        <v>25</v>
      </c>
      <c r="K1776" s="564" t="s">
        <v>25</v>
      </c>
      <c r="L1776" s="564" t="s">
        <v>25</v>
      </c>
      <c r="M1776" s="572"/>
      <c r="N1776" s="572"/>
      <c r="O1776" s="740"/>
      <c r="P1776" s="564" t="s">
        <v>25</v>
      </c>
      <c r="Q1776" s="564" t="s">
        <v>25</v>
      </c>
      <c r="R1776" s="572"/>
      <c r="S1776" s="609"/>
      <c r="T1776" s="741"/>
      <c r="U1776" s="586"/>
      <c r="V1776" s="564" t="s">
        <v>2899</v>
      </c>
      <c r="W1776" s="564" t="s">
        <v>25</v>
      </c>
      <c r="X1776" s="650"/>
      <c r="Y1776" s="586"/>
      <c r="Z1776" s="742"/>
      <c r="AA1776" s="586"/>
      <c r="AB1776" s="586"/>
      <c r="AC1776" s="586"/>
      <c r="AD1776" s="586"/>
      <c r="AE1776" s="714"/>
      <c r="AF1776" s="570" t="s">
        <v>2899</v>
      </c>
      <c r="AG1776" s="570" t="s">
        <v>25</v>
      </c>
      <c r="AH1776" s="571" t="s">
        <v>25</v>
      </c>
      <c r="AI1776" s="558"/>
      <c r="AJ1776" s="558"/>
    </row>
    <row r="1777" spans="1:38" s="394" customFormat="1" ht="20.25" outlineLevel="2" x14ac:dyDescent="0.3">
      <c r="A1777" s="447">
        <v>148</v>
      </c>
      <c r="B1777" s="607"/>
      <c r="C1777" s="607"/>
      <c r="D1777" s="642"/>
      <c r="E1777" s="642"/>
      <c r="F1777" s="586"/>
      <c r="G1777" s="709"/>
      <c r="H1777" s="546"/>
      <c r="I1777" s="563" t="s">
        <v>25</v>
      </c>
      <c r="J1777" s="563" t="s">
        <v>25</v>
      </c>
      <c r="K1777" s="564" t="s">
        <v>25</v>
      </c>
      <c r="L1777" s="564" t="s">
        <v>25</v>
      </c>
      <c r="M1777" s="572"/>
      <c r="N1777" s="572"/>
      <c r="O1777" s="740"/>
      <c r="P1777" s="564" t="s">
        <v>25</v>
      </c>
      <c r="Q1777" s="564" t="s">
        <v>25</v>
      </c>
      <c r="R1777" s="572"/>
      <c r="S1777" s="609"/>
      <c r="T1777" s="741"/>
      <c r="U1777" s="586"/>
      <c r="V1777" s="564" t="s">
        <v>2899</v>
      </c>
      <c r="W1777" s="564" t="s">
        <v>25</v>
      </c>
      <c r="X1777" s="650"/>
      <c r="Y1777" s="586"/>
      <c r="Z1777" s="742"/>
      <c r="AA1777" s="586"/>
      <c r="AB1777" s="586"/>
      <c r="AC1777" s="586"/>
      <c r="AD1777" s="586"/>
      <c r="AE1777" s="714"/>
      <c r="AF1777" s="570" t="s">
        <v>2899</v>
      </c>
      <c r="AG1777" s="570" t="s">
        <v>25</v>
      </c>
      <c r="AH1777" s="571" t="s">
        <v>25</v>
      </c>
      <c r="AI1777" s="586"/>
      <c r="AJ1777" s="586"/>
    </row>
    <row r="1778" spans="1:38" s="396" customFormat="1" ht="40.5" outlineLevel="1" x14ac:dyDescent="0.25">
      <c r="A1778" s="467">
        <v>149</v>
      </c>
      <c r="B1778" s="607" t="s">
        <v>1247</v>
      </c>
      <c r="C1778" s="586" t="s">
        <v>2903</v>
      </c>
      <c r="D1778" s="612">
        <v>86</v>
      </c>
      <c r="E1778" s="612">
        <v>282</v>
      </c>
      <c r="F1778" s="578"/>
      <c r="G1778" s="707">
        <v>570</v>
      </c>
      <c r="H1778" s="579">
        <v>0</v>
      </c>
      <c r="I1778" s="581"/>
      <c r="J1778" s="581"/>
      <c r="K1778" s="571">
        <v>265392000</v>
      </c>
      <c r="L1778" s="571">
        <v>0</v>
      </c>
      <c r="M1778" s="607"/>
      <c r="N1778" s="607"/>
      <c r="O1778" s="738">
        <v>70</v>
      </c>
      <c r="P1778" s="571"/>
      <c r="Q1778" s="571">
        <v>52760000</v>
      </c>
      <c r="R1778" s="582"/>
      <c r="S1778" s="621"/>
      <c r="T1778" s="739">
        <v>31.9</v>
      </c>
      <c r="U1778" s="578"/>
      <c r="V1778" s="571"/>
      <c r="W1778" s="571">
        <v>21927000</v>
      </c>
      <c r="X1778" s="650"/>
      <c r="Y1778" s="586"/>
      <c r="Z1778" s="742"/>
      <c r="AA1778" s="586"/>
      <c r="AB1778" s="586"/>
      <c r="AC1778" s="586"/>
      <c r="AD1778" s="578"/>
      <c r="AE1778" s="712">
        <f>SUBTOTAL(9,AE1779:AE1789)</f>
        <v>0</v>
      </c>
      <c r="AF1778" s="585"/>
      <c r="AG1778" s="585">
        <v>0</v>
      </c>
      <c r="AH1778" s="571">
        <v>340079000</v>
      </c>
      <c r="AI1778" s="578"/>
      <c r="AJ1778" s="578"/>
      <c r="AL1778" s="468"/>
    </row>
    <row r="1779" spans="1:38" s="396" customFormat="1" ht="121.5" outlineLevel="2" x14ac:dyDescent="0.3">
      <c r="A1779" s="447">
        <v>149</v>
      </c>
      <c r="B1779" s="572" t="s">
        <v>1250</v>
      </c>
      <c r="C1779" s="572"/>
      <c r="D1779" s="612"/>
      <c r="E1779" s="612"/>
      <c r="F1779" s="586" t="s">
        <v>2436</v>
      </c>
      <c r="G1779" s="709">
        <v>570</v>
      </c>
      <c r="H1779" s="546" t="s">
        <v>2899</v>
      </c>
      <c r="I1779" s="563">
        <v>465600</v>
      </c>
      <c r="J1779" s="563">
        <v>0</v>
      </c>
      <c r="K1779" s="564">
        <v>265392000</v>
      </c>
      <c r="L1779" s="564">
        <v>0</v>
      </c>
      <c r="M1779" s="572" t="s">
        <v>1248</v>
      </c>
      <c r="N1779" s="572"/>
      <c r="O1779" s="740">
        <v>1</v>
      </c>
      <c r="P1779" s="564">
        <v>0</v>
      </c>
      <c r="Q1779" s="564">
        <v>0</v>
      </c>
      <c r="R1779" s="566" t="s">
        <v>2375</v>
      </c>
      <c r="S1779" s="609" t="s">
        <v>1133</v>
      </c>
      <c r="T1779" s="741">
        <v>31.9</v>
      </c>
      <c r="U1779" s="586"/>
      <c r="V1779" s="564">
        <v>687379</v>
      </c>
      <c r="W1779" s="564">
        <v>21927000</v>
      </c>
      <c r="X1779" s="650"/>
      <c r="Y1779" s="586"/>
      <c r="Z1779" s="742"/>
      <c r="AA1779" s="586"/>
      <c r="AB1779" s="586"/>
      <c r="AC1779" s="586"/>
      <c r="AD1779" s="586"/>
      <c r="AE1779" s="714"/>
      <c r="AF1779" s="570" t="s">
        <v>2899</v>
      </c>
      <c r="AG1779" s="570"/>
      <c r="AH1779" s="571" t="s">
        <v>25</v>
      </c>
      <c r="AI1779" s="586" t="s">
        <v>1249</v>
      </c>
      <c r="AJ1779" s="586" t="s">
        <v>2771</v>
      </c>
      <c r="AL1779" s="380" t="s">
        <v>1924</v>
      </c>
    </row>
    <row r="1780" spans="1:38" s="394" customFormat="1" ht="121.5" outlineLevel="2" x14ac:dyDescent="0.3">
      <c r="A1780" s="447">
        <v>149</v>
      </c>
      <c r="B1780" s="572" t="s">
        <v>1608</v>
      </c>
      <c r="C1780" s="572"/>
      <c r="D1780" s="612"/>
      <c r="E1780" s="612"/>
      <c r="F1780" s="586"/>
      <c r="G1780" s="709"/>
      <c r="H1780" s="546"/>
      <c r="I1780" s="563" t="s">
        <v>25</v>
      </c>
      <c r="J1780" s="563" t="s">
        <v>25</v>
      </c>
      <c r="K1780" s="564" t="s">
        <v>25</v>
      </c>
      <c r="L1780" s="564" t="s">
        <v>25</v>
      </c>
      <c r="M1780" s="572" t="s">
        <v>1251</v>
      </c>
      <c r="N1780" s="572"/>
      <c r="O1780" s="740">
        <v>16</v>
      </c>
      <c r="P1780" s="564">
        <v>2400000</v>
      </c>
      <c r="Q1780" s="564">
        <v>38400000</v>
      </c>
      <c r="R1780" s="566"/>
      <c r="S1780" s="609"/>
      <c r="T1780" s="741"/>
      <c r="U1780" s="586"/>
      <c r="V1780" s="564" t="s">
        <v>2899</v>
      </c>
      <c r="W1780" s="564" t="s">
        <v>25</v>
      </c>
      <c r="X1780" s="650"/>
      <c r="Y1780" s="586"/>
      <c r="Z1780" s="742"/>
      <c r="AA1780" s="586"/>
      <c r="AB1780" s="586"/>
      <c r="AC1780" s="586"/>
      <c r="AD1780" s="586"/>
      <c r="AE1780" s="714"/>
      <c r="AF1780" s="570" t="s">
        <v>2899</v>
      </c>
      <c r="AG1780" s="570" t="s">
        <v>25</v>
      </c>
      <c r="AH1780" s="571" t="s">
        <v>25</v>
      </c>
      <c r="AI1780" s="586" t="s">
        <v>1252</v>
      </c>
      <c r="AJ1780" s="558" t="s">
        <v>2450</v>
      </c>
    </row>
    <row r="1781" spans="1:38" s="394" customFormat="1" ht="101.25" outlineLevel="2" x14ac:dyDescent="0.3">
      <c r="A1781" s="447">
        <v>149</v>
      </c>
      <c r="B1781" s="572"/>
      <c r="C1781" s="572"/>
      <c r="D1781" s="612"/>
      <c r="E1781" s="612"/>
      <c r="F1781" s="586"/>
      <c r="G1781" s="709"/>
      <c r="H1781" s="546"/>
      <c r="I1781" s="563" t="s">
        <v>25</v>
      </c>
      <c r="J1781" s="563" t="s">
        <v>25</v>
      </c>
      <c r="K1781" s="564" t="s">
        <v>25</v>
      </c>
      <c r="L1781" s="564" t="s">
        <v>25</v>
      </c>
      <c r="M1781" s="572" t="s">
        <v>1253</v>
      </c>
      <c r="N1781" s="572"/>
      <c r="O1781" s="740">
        <v>6</v>
      </c>
      <c r="P1781" s="564">
        <v>1080000</v>
      </c>
      <c r="Q1781" s="564">
        <v>6480000</v>
      </c>
      <c r="R1781" s="566"/>
      <c r="S1781" s="609"/>
      <c r="T1781" s="741"/>
      <c r="U1781" s="586"/>
      <c r="V1781" s="564" t="s">
        <v>2899</v>
      </c>
      <c r="W1781" s="564" t="s">
        <v>25</v>
      </c>
      <c r="X1781" s="650"/>
      <c r="Y1781" s="586"/>
      <c r="Z1781" s="742"/>
      <c r="AA1781" s="586"/>
      <c r="AB1781" s="586"/>
      <c r="AC1781" s="586"/>
      <c r="AD1781" s="586"/>
      <c r="AE1781" s="714"/>
      <c r="AF1781" s="570" t="s">
        <v>2899</v>
      </c>
      <c r="AG1781" s="570" t="s">
        <v>25</v>
      </c>
      <c r="AH1781" s="571" t="s">
        <v>25</v>
      </c>
      <c r="AI1781" s="586" t="s">
        <v>2457</v>
      </c>
      <c r="AJ1781" s="558" t="s">
        <v>2449</v>
      </c>
    </row>
    <row r="1782" spans="1:38" s="394" customFormat="1" ht="60.75" outlineLevel="2" x14ac:dyDescent="0.3">
      <c r="A1782" s="447">
        <v>149</v>
      </c>
      <c r="B1782" s="572"/>
      <c r="C1782" s="572"/>
      <c r="D1782" s="612"/>
      <c r="E1782" s="612"/>
      <c r="F1782" s="586"/>
      <c r="G1782" s="709"/>
      <c r="H1782" s="546"/>
      <c r="I1782" s="563" t="s">
        <v>25</v>
      </c>
      <c r="J1782" s="563" t="s">
        <v>25</v>
      </c>
      <c r="K1782" s="564" t="s">
        <v>25</v>
      </c>
      <c r="L1782" s="564" t="s">
        <v>25</v>
      </c>
      <c r="M1782" s="572" t="s">
        <v>1254</v>
      </c>
      <c r="N1782" s="572"/>
      <c r="O1782" s="740">
        <v>16</v>
      </c>
      <c r="P1782" s="564">
        <v>480000</v>
      </c>
      <c r="Q1782" s="564">
        <v>7680000</v>
      </c>
      <c r="R1782" s="566"/>
      <c r="S1782" s="609"/>
      <c r="T1782" s="741"/>
      <c r="U1782" s="586"/>
      <c r="V1782" s="564" t="s">
        <v>2899</v>
      </c>
      <c r="W1782" s="564" t="s">
        <v>25</v>
      </c>
      <c r="X1782" s="650"/>
      <c r="Y1782" s="586"/>
      <c r="Z1782" s="742"/>
      <c r="AA1782" s="586"/>
      <c r="AB1782" s="586"/>
      <c r="AC1782" s="586"/>
      <c r="AD1782" s="586"/>
      <c r="AE1782" s="714"/>
      <c r="AF1782" s="570" t="s">
        <v>2899</v>
      </c>
      <c r="AG1782" s="570" t="s">
        <v>25</v>
      </c>
      <c r="AH1782" s="571" t="s">
        <v>25</v>
      </c>
      <c r="AI1782" s="731"/>
      <c r="AJ1782" s="731"/>
    </row>
    <row r="1783" spans="1:38" s="394" customFormat="1" ht="60.75" outlineLevel="2" x14ac:dyDescent="0.3">
      <c r="A1783" s="447">
        <v>149</v>
      </c>
      <c r="B1783" s="572"/>
      <c r="C1783" s="572"/>
      <c r="D1783" s="612"/>
      <c r="E1783" s="612"/>
      <c r="F1783" s="586"/>
      <c r="G1783" s="709"/>
      <c r="H1783" s="546"/>
      <c r="I1783" s="563" t="s">
        <v>25</v>
      </c>
      <c r="J1783" s="563" t="s">
        <v>25</v>
      </c>
      <c r="K1783" s="564" t="s">
        <v>25</v>
      </c>
      <c r="L1783" s="564" t="s">
        <v>25</v>
      </c>
      <c r="M1783" s="572" t="s">
        <v>1255</v>
      </c>
      <c r="N1783" s="572"/>
      <c r="O1783" s="740">
        <v>28</v>
      </c>
      <c r="P1783" s="564">
        <v>6000</v>
      </c>
      <c r="Q1783" s="564">
        <v>168000</v>
      </c>
      <c r="R1783" s="566"/>
      <c r="S1783" s="609"/>
      <c r="T1783" s="741"/>
      <c r="U1783" s="586"/>
      <c r="V1783" s="564" t="s">
        <v>2899</v>
      </c>
      <c r="W1783" s="564" t="s">
        <v>25</v>
      </c>
      <c r="X1783" s="650"/>
      <c r="Y1783" s="586"/>
      <c r="Z1783" s="742"/>
      <c r="AA1783" s="586"/>
      <c r="AB1783" s="586"/>
      <c r="AC1783" s="586"/>
      <c r="AD1783" s="586"/>
      <c r="AE1783" s="714"/>
      <c r="AF1783" s="570" t="s">
        <v>2899</v>
      </c>
      <c r="AG1783" s="570" t="s">
        <v>25</v>
      </c>
      <c r="AH1783" s="571" t="s">
        <v>25</v>
      </c>
      <c r="AI1783" s="586"/>
      <c r="AJ1783" s="586"/>
    </row>
    <row r="1784" spans="1:38" s="394" customFormat="1" ht="20.25" outlineLevel="2" x14ac:dyDescent="0.3">
      <c r="A1784" s="447">
        <v>149</v>
      </c>
      <c r="B1784" s="572"/>
      <c r="C1784" s="572"/>
      <c r="D1784" s="612"/>
      <c r="E1784" s="612"/>
      <c r="F1784" s="586"/>
      <c r="G1784" s="709"/>
      <c r="H1784" s="546"/>
      <c r="I1784" s="563" t="s">
        <v>25</v>
      </c>
      <c r="J1784" s="563" t="s">
        <v>25</v>
      </c>
      <c r="K1784" s="564" t="s">
        <v>25</v>
      </c>
      <c r="L1784" s="564" t="s">
        <v>25</v>
      </c>
      <c r="M1784" s="572" t="s">
        <v>1256</v>
      </c>
      <c r="N1784" s="572"/>
      <c r="O1784" s="740">
        <v>1</v>
      </c>
      <c r="P1784" s="564">
        <v>0</v>
      </c>
      <c r="Q1784" s="564">
        <v>0</v>
      </c>
      <c r="R1784" s="566"/>
      <c r="S1784" s="609"/>
      <c r="T1784" s="741"/>
      <c r="U1784" s="586"/>
      <c r="V1784" s="564" t="s">
        <v>2899</v>
      </c>
      <c r="W1784" s="564" t="s">
        <v>25</v>
      </c>
      <c r="X1784" s="650"/>
      <c r="Y1784" s="586"/>
      <c r="Z1784" s="742"/>
      <c r="AA1784" s="586"/>
      <c r="AB1784" s="586"/>
      <c r="AC1784" s="586"/>
      <c r="AD1784" s="586"/>
      <c r="AE1784" s="714"/>
      <c r="AF1784" s="570" t="s">
        <v>2899</v>
      </c>
      <c r="AG1784" s="570" t="s">
        <v>25</v>
      </c>
      <c r="AH1784" s="571" t="s">
        <v>25</v>
      </c>
      <c r="AI1784" s="586"/>
      <c r="AJ1784" s="586"/>
    </row>
    <row r="1785" spans="1:38" s="394" customFormat="1" ht="40.5" outlineLevel="2" x14ac:dyDescent="0.3">
      <c r="A1785" s="447">
        <v>149</v>
      </c>
      <c r="B1785" s="572"/>
      <c r="C1785" s="572"/>
      <c r="D1785" s="612"/>
      <c r="E1785" s="612"/>
      <c r="F1785" s="586"/>
      <c r="G1785" s="709"/>
      <c r="H1785" s="546"/>
      <c r="I1785" s="563" t="s">
        <v>25</v>
      </c>
      <c r="J1785" s="563" t="s">
        <v>25</v>
      </c>
      <c r="K1785" s="564" t="s">
        <v>25</v>
      </c>
      <c r="L1785" s="564" t="s">
        <v>25</v>
      </c>
      <c r="M1785" s="572" t="s">
        <v>2106</v>
      </c>
      <c r="N1785" s="572"/>
      <c r="O1785" s="740">
        <v>1</v>
      </c>
      <c r="P1785" s="564">
        <v>32000</v>
      </c>
      <c r="Q1785" s="564">
        <v>32000</v>
      </c>
      <c r="R1785" s="566"/>
      <c r="S1785" s="609"/>
      <c r="T1785" s="741"/>
      <c r="U1785" s="586"/>
      <c r="V1785" s="564" t="s">
        <v>2899</v>
      </c>
      <c r="W1785" s="564" t="s">
        <v>25</v>
      </c>
      <c r="X1785" s="650"/>
      <c r="Y1785" s="586"/>
      <c r="Z1785" s="742"/>
      <c r="AA1785" s="586"/>
      <c r="AB1785" s="586"/>
      <c r="AC1785" s="586"/>
      <c r="AD1785" s="586"/>
      <c r="AE1785" s="714"/>
      <c r="AF1785" s="570" t="s">
        <v>2899</v>
      </c>
      <c r="AG1785" s="570" t="s">
        <v>25</v>
      </c>
      <c r="AH1785" s="571" t="s">
        <v>25</v>
      </c>
      <c r="AI1785" s="586"/>
      <c r="AJ1785" s="586"/>
    </row>
    <row r="1786" spans="1:38" s="394" customFormat="1" ht="20.25" outlineLevel="2" x14ac:dyDescent="0.3">
      <c r="A1786" s="447">
        <v>149</v>
      </c>
      <c r="B1786" s="572"/>
      <c r="C1786" s="572"/>
      <c r="D1786" s="612"/>
      <c r="E1786" s="612"/>
      <c r="F1786" s="586"/>
      <c r="G1786" s="709"/>
      <c r="H1786" s="546"/>
      <c r="I1786" s="563" t="s">
        <v>25</v>
      </c>
      <c r="J1786" s="563" t="s">
        <v>25</v>
      </c>
      <c r="K1786" s="564" t="s">
        <v>25</v>
      </c>
      <c r="L1786" s="564" t="s">
        <v>25</v>
      </c>
      <c r="M1786" s="572" t="s">
        <v>738</v>
      </c>
      <c r="N1786" s="572"/>
      <c r="O1786" s="740">
        <v>1</v>
      </c>
      <c r="P1786" s="564">
        <v>0</v>
      </c>
      <c r="Q1786" s="564">
        <v>0</v>
      </c>
      <c r="R1786" s="566"/>
      <c r="S1786" s="609"/>
      <c r="T1786" s="741"/>
      <c r="U1786" s="586"/>
      <c r="V1786" s="564" t="s">
        <v>2899</v>
      </c>
      <c r="W1786" s="564" t="s">
        <v>25</v>
      </c>
      <c r="X1786" s="650"/>
      <c r="Y1786" s="586"/>
      <c r="Z1786" s="742"/>
      <c r="AA1786" s="586"/>
      <c r="AB1786" s="586"/>
      <c r="AC1786" s="586"/>
      <c r="AD1786" s="586"/>
      <c r="AE1786" s="714"/>
      <c r="AF1786" s="570" t="s">
        <v>2899</v>
      </c>
      <c r="AG1786" s="570" t="s">
        <v>25</v>
      </c>
      <c r="AH1786" s="571" t="s">
        <v>25</v>
      </c>
      <c r="AI1786" s="586"/>
      <c r="AJ1786" s="586"/>
    </row>
    <row r="1787" spans="1:38" s="394" customFormat="1" ht="20.25" outlineLevel="2" x14ac:dyDescent="0.3">
      <c r="A1787" s="447">
        <v>149</v>
      </c>
      <c r="B1787" s="572"/>
      <c r="C1787" s="572"/>
      <c r="D1787" s="612"/>
      <c r="E1787" s="612"/>
      <c r="F1787" s="586"/>
      <c r="G1787" s="709"/>
      <c r="H1787" s="546"/>
      <c r="I1787" s="563" t="s">
        <v>25</v>
      </c>
      <c r="J1787" s="563" t="s">
        <v>25</v>
      </c>
      <c r="K1787" s="564" t="s">
        <v>25</v>
      </c>
      <c r="L1787" s="564" t="s">
        <v>25</v>
      </c>
      <c r="M1787" s="572"/>
      <c r="N1787" s="572"/>
      <c r="O1787" s="740"/>
      <c r="P1787" s="564" t="s">
        <v>25</v>
      </c>
      <c r="Q1787" s="564" t="s">
        <v>25</v>
      </c>
      <c r="R1787" s="566"/>
      <c r="S1787" s="609"/>
      <c r="T1787" s="741"/>
      <c r="U1787" s="586"/>
      <c r="V1787" s="564" t="s">
        <v>2899</v>
      </c>
      <c r="W1787" s="564" t="s">
        <v>25</v>
      </c>
      <c r="X1787" s="650"/>
      <c r="Y1787" s="586"/>
      <c r="Z1787" s="742"/>
      <c r="AA1787" s="586"/>
      <c r="AB1787" s="586"/>
      <c r="AC1787" s="586"/>
      <c r="AD1787" s="586"/>
      <c r="AE1787" s="714"/>
      <c r="AF1787" s="570" t="s">
        <v>2899</v>
      </c>
      <c r="AG1787" s="570" t="s">
        <v>25</v>
      </c>
      <c r="AH1787" s="571" t="s">
        <v>25</v>
      </c>
      <c r="AI1787" s="586"/>
      <c r="AJ1787" s="586"/>
    </row>
    <row r="1788" spans="1:38" s="394" customFormat="1" ht="20.25" outlineLevel="2" x14ac:dyDescent="0.3">
      <c r="A1788" s="447">
        <v>149</v>
      </c>
      <c r="B1788" s="572"/>
      <c r="C1788" s="572"/>
      <c r="D1788" s="612"/>
      <c r="E1788" s="612"/>
      <c r="F1788" s="586"/>
      <c r="G1788" s="709"/>
      <c r="H1788" s="546"/>
      <c r="I1788" s="563" t="s">
        <v>25</v>
      </c>
      <c r="J1788" s="563" t="s">
        <v>25</v>
      </c>
      <c r="K1788" s="564" t="s">
        <v>25</v>
      </c>
      <c r="L1788" s="564" t="s">
        <v>25</v>
      </c>
      <c r="M1788" s="572"/>
      <c r="N1788" s="572"/>
      <c r="O1788" s="740"/>
      <c r="P1788" s="564" t="s">
        <v>25</v>
      </c>
      <c r="Q1788" s="564" t="s">
        <v>25</v>
      </c>
      <c r="R1788" s="572"/>
      <c r="S1788" s="609"/>
      <c r="T1788" s="741"/>
      <c r="U1788" s="586"/>
      <c r="V1788" s="564" t="s">
        <v>2899</v>
      </c>
      <c r="W1788" s="564" t="s">
        <v>25</v>
      </c>
      <c r="X1788" s="650"/>
      <c r="Y1788" s="586"/>
      <c r="Z1788" s="742"/>
      <c r="AA1788" s="586"/>
      <c r="AB1788" s="586"/>
      <c r="AC1788" s="586"/>
      <c r="AD1788" s="586"/>
      <c r="AE1788" s="714"/>
      <c r="AF1788" s="570" t="s">
        <v>2899</v>
      </c>
      <c r="AG1788" s="570" t="s">
        <v>25</v>
      </c>
      <c r="AH1788" s="571" t="s">
        <v>25</v>
      </c>
      <c r="AI1788" s="558"/>
      <c r="AJ1788" s="558"/>
    </row>
    <row r="1789" spans="1:38" s="394" customFormat="1" ht="20.25" outlineLevel="2" x14ac:dyDescent="0.3">
      <c r="A1789" s="447">
        <v>149</v>
      </c>
      <c r="B1789" s="607"/>
      <c r="C1789" s="607"/>
      <c r="D1789" s="642"/>
      <c r="E1789" s="642"/>
      <c r="F1789" s="586"/>
      <c r="G1789" s="709"/>
      <c r="H1789" s="546"/>
      <c r="I1789" s="563" t="s">
        <v>25</v>
      </c>
      <c r="J1789" s="563" t="s">
        <v>25</v>
      </c>
      <c r="K1789" s="564" t="s">
        <v>25</v>
      </c>
      <c r="L1789" s="564" t="s">
        <v>25</v>
      </c>
      <c r="M1789" s="572"/>
      <c r="N1789" s="572"/>
      <c r="O1789" s="740"/>
      <c r="P1789" s="564" t="s">
        <v>25</v>
      </c>
      <c r="Q1789" s="564" t="s">
        <v>25</v>
      </c>
      <c r="R1789" s="572"/>
      <c r="S1789" s="609"/>
      <c r="T1789" s="741"/>
      <c r="U1789" s="586"/>
      <c r="V1789" s="564" t="s">
        <v>2899</v>
      </c>
      <c r="W1789" s="564" t="s">
        <v>25</v>
      </c>
      <c r="X1789" s="650"/>
      <c r="Y1789" s="586"/>
      <c r="Z1789" s="742"/>
      <c r="AA1789" s="586"/>
      <c r="AB1789" s="586"/>
      <c r="AC1789" s="586"/>
      <c r="AD1789" s="586"/>
      <c r="AE1789" s="714"/>
      <c r="AF1789" s="570" t="s">
        <v>2899</v>
      </c>
      <c r="AG1789" s="570" t="s">
        <v>25</v>
      </c>
      <c r="AH1789" s="571" t="s">
        <v>25</v>
      </c>
      <c r="AI1789" s="586"/>
      <c r="AJ1789" s="586"/>
    </row>
    <row r="1790" spans="1:38" s="396" customFormat="1" ht="40.5" outlineLevel="1" x14ac:dyDescent="0.25">
      <c r="A1790" s="467">
        <v>150</v>
      </c>
      <c r="B1790" s="607" t="s">
        <v>1257</v>
      </c>
      <c r="C1790" s="586" t="s">
        <v>2903</v>
      </c>
      <c r="D1790" s="612">
        <v>86</v>
      </c>
      <c r="E1790" s="612">
        <v>27</v>
      </c>
      <c r="F1790" s="578"/>
      <c r="G1790" s="707">
        <v>847.3</v>
      </c>
      <c r="H1790" s="579">
        <v>0</v>
      </c>
      <c r="I1790" s="581"/>
      <c r="J1790" s="581"/>
      <c r="K1790" s="571">
        <v>394503000</v>
      </c>
      <c r="L1790" s="571">
        <v>0</v>
      </c>
      <c r="M1790" s="607"/>
      <c r="N1790" s="607"/>
      <c r="O1790" s="738">
        <v>792</v>
      </c>
      <c r="P1790" s="571"/>
      <c r="Q1790" s="571">
        <v>9504000</v>
      </c>
      <c r="R1790" s="582"/>
      <c r="S1790" s="621"/>
      <c r="T1790" s="739">
        <v>0</v>
      </c>
      <c r="U1790" s="578"/>
      <c r="V1790" s="571"/>
      <c r="W1790" s="571">
        <v>0</v>
      </c>
      <c r="X1790" s="650"/>
      <c r="Y1790" s="586"/>
      <c r="Z1790" s="742"/>
      <c r="AA1790" s="586"/>
      <c r="AB1790" s="586"/>
      <c r="AC1790" s="586"/>
      <c r="AD1790" s="578"/>
      <c r="AE1790" s="712">
        <f>SUBTOTAL(9,AE1791:AE1796)</f>
        <v>0</v>
      </c>
      <c r="AF1790" s="585"/>
      <c r="AG1790" s="585">
        <v>0</v>
      </c>
      <c r="AH1790" s="571">
        <v>404007000</v>
      </c>
      <c r="AI1790" s="578"/>
      <c r="AJ1790" s="578"/>
    </row>
    <row r="1791" spans="1:38" s="396" customFormat="1" ht="121.5" outlineLevel="2" x14ac:dyDescent="0.3">
      <c r="A1791" s="447">
        <v>150</v>
      </c>
      <c r="B1791" s="572" t="s">
        <v>1259</v>
      </c>
      <c r="C1791" s="572"/>
      <c r="D1791" s="612"/>
      <c r="E1791" s="612"/>
      <c r="F1791" s="586" t="s">
        <v>2436</v>
      </c>
      <c r="G1791" s="709">
        <v>847.3</v>
      </c>
      <c r="H1791" s="546" t="s">
        <v>2899</v>
      </c>
      <c r="I1791" s="563">
        <v>465600</v>
      </c>
      <c r="J1791" s="563">
        <v>0</v>
      </c>
      <c r="K1791" s="564">
        <v>394503000</v>
      </c>
      <c r="L1791" s="564">
        <v>0</v>
      </c>
      <c r="M1791" s="572" t="s">
        <v>1241</v>
      </c>
      <c r="N1791" s="572"/>
      <c r="O1791" s="740">
        <v>792</v>
      </c>
      <c r="P1791" s="564">
        <v>12000</v>
      </c>
      <c r="Q1791" s="564">
        <v>9504000</v>
      </c>
      <c r="R1791" s="566"/>
      <c r="S1791" s="609"/>
      <c r="T1791" s="741"/>
      <c r="U1791" s="586"/>
      <c r="V1791" s="564" t="s">
        <v>2899</v>
      </c>
      <c r="W1791" s="564" t="s">
        <v>25</v>
      </c>
      <c r="X1791" s="650"/>
      <c r="Y1791" s="586"/>
      <c r="Z1791" s="742"/>
      <c r="AA1791" s="586"/>
      <c r="AB1791" s="586"/>
      <c r="AC1791" s="586"/>
      <c r="AD1791" s="586"/>
      <c r="AE1791" s="714"/>
      <c r="AF1791" s="570" t="s">
        <v>2899</v>
      </c>
      <c r="AG1791" s="570"/>
      <c r="AH1791" s="571" t="s">
        <v>25</v>
      </c>
      <c r="AI1791" s="586" t="s">
        <v>1258</v>
      </c>
      <c r="AJ1791" s="586" t="s">
        <v>2771</v>
      </c>
    </row>
    <row r="1792" spans="1:38" s="394" customFormat="1" ht="101.25" outlineLevel="2" x14ac:dyDescent="0.3">
      <c r="A1792" s="447">
        <v>150</v>
      </c>
      <c r="B1792" s="572" t="s">
        <v>1609</v>
      </c>
      <c r="C1792" s="572"/>
      <c r="D1792" s="612"/>
      <c r="E1792" s="612"/>
      <c r="F1792" s="586"/>
      <c r="G1792" s="709"/>
      <c r="H1792" s="546"/>
      <c r="I1792" s="563" t="s">
        <v>25</v>
      </c>
      <c r="J1792" s="563" t="s">
        <v>25</v>
      </c>
      <c r="K1792" s="564" t="s">
        <v>25</v>
      </c>
      <c r="L1792" s="564" t="s">
        <v>25</v>
      </c>
      <c r="M1792" s="572"/>
      <c r="N1792" s="572"/>
      <c r="O1792" s="740"/>
      <c r="P1792" s="564" t="s">
        <v>25</v>
      </c>
      <c r="Q1792" s="564" t="s">
        <v>25</v>
      </c>
      <c r="R1792" s="566"/>
      <c r="S1792" s="609"/>
      <c r="T1792" s="741"/>
      <c r="U1792" s="586"/>
      <c r="V1792" s="564" t="s">
        <v>2899</v>
      </c>
      <c r="W1792" s="564" t="s">
        <v>25</v>
      </c>
      <c r="X1792" s="650"/>
      <c r="Y1792" s="586"/>
      <c r="Z1792" s="742"/>
      <c r="AA1792" s="586"/>
      <c r="AB1792" s="586"/>
      <c r="AC1792" s="586"/>
      <c r="AD1792" s="586"/>
      <c r="AE1792" s="714"/>
      <c r="AF1792" s="570" t="s">
        <v>2899</v>
      </c>
      <c r="AG1792" s="570" t="s">
        <v>25</v>
      </c>
      <c r="AH1792" s="571" t="s">
        <v>25</v>
      </c>
      <c r="AI1792" s="586" t="s">
        <v>1260</v>
      </c>
      <c r="AJ1792" s="558" t="s">
        <v>2449</v>
      </c>
    </row>
    <row r="1793" spans="1:36" s="394" customFormat="1" ht="20.25" outlineLevel="2" x14ac:dyDescent="0.3">
      <c r="A1793" s="447">
        <v>150</v>
      </c>
      <c r="B1793" s="572"/>
      <c r="C1793" s="572"/>
      <c r="D1793" s="612"/>
      <c r="E1793" s="612"/>
      <c r="F1793" s="586"/>
      <c r="G1793" s="709"/>
      <c r="H1793" s="546"/>
      <c r="I1793" s="563" t="s">
        <v>25</v>
      </c>
      <c r="J1793" s="563" t="s">
        <v>25</v>
      </c>
      <c r="K1793" s="564" t="s">
        <v>25</v>
      </c>
      <c r="L1793" s="564" t="s">
        <v>25</v>
      </c>
      <c r="M1793" s="572"/>
      <c r="N1793" s="572"/>
      <c r="O1793" s="740"/>
      <c r="P1793" s="564" t="s">
        <v>25</v>
      </c>
      <c r="Q1793" s="564" t="s">
        <v>25</v>
      </c>
      <c r="R1793" s="566"/>
      <c r="S1793" s="609"/>
      <c r="T1793" s="741"/>
      <c r="U1793" s="586"/>
      <c r="V1793" s="564" t="s">
        <v>2899</v>
      </c>
      <c r="W1793" s="564" t="s">
        <v>25</v>
      </c>
      <c r="X1793" s="650"/>
      <c r="Y1793" s="586"/>
      <c r="Z1793" s="742"/>
      <c r="AA1793" s="586"/>
      <c r="AB1793" s="586"/>
      <c r="AC1793" s="586"/>
      <c r="AD1793" s="586"/>
      <c r="AE1793" s="714"/>
      <c r="AF1793" s="570" t="s">
        <v>2899</v>
      </c>
      <c r="AG1793" s="570" t="s">
        <v>25</v>
      </c>
      <c r="AH1793" s="571" t="s">
        <v>25</v>
      </c>
      <c r="AI1793" s="586" t="s">
        <v>1188</v>
      </c>
      <c r="AJ1793" s="586"/>
    </row>
    <row r="1794" spans="1:36" s="394" customFormat="1" ht="20.25" outlineLevel="2" x14ac:dyDescent="0.3">
      <c r="A1794" s="447">
        <v>150</v>
      </c>
      <c r="B1794" s="572"/>
      <c r="C1794" s="572"/>
      <c r="D1794" s="612"/>
      <c r="E1794" s="612"/>
      <c r="F1794" s="586"/>
      <c r="G1794" s="709"/>
      <c r="H1794" s="546"/>
      <c r="I1794" s="563" t="s">
        <v>25</v>
      </c>
      <c r="J1794" s="563" t="s">
        <v>25</v>
      </c>
      <c r="K1794" s="564" t="s">
        <v>25</v>
      </c>
      <c r="L1794" s="564" t="s">
        <v>25</v>
      </c>
      <c r="M1794" s="572"/>
      <c r="N1794" s="572"/>
      <c r="O1794" s="740"/>
      <c r="P1794" s="564" t="s">
        <v>25</v>
      </c>
      <c r="Q1794" s="564" t="s">
        <v>25</v>
      </c>
      <c r="R1794" s="572"/>
      <c r="S1794" s="609"/>
      <c r="T1794" s="741"/>
      <c r="U1794" s="586"/>
      <c r="V1794" s="564" t="s">
        <v>2899</v>
      </c>
      <c r="W1794" s="564" t="s">
        <v>25</v>
      </c>
      <c r="X1794" s="650"/>
      <c r="Y1794" s="586"/>
      <c r="Z1794" s="742"/>
      <c r="AA1794" s="586"/>
      <c r="AB1794" s="586"/>
      <c r="AC1794" s="586"/>
      <c r="AD1794" s="586"/>
      <c r="AE1794" s="714"/>
      <c r="AF1794" s="570" t="s">
        <v>2899</v>
      </c>
      <c r="AG1794" s="570" t="s">
        <v>25</v>
      </c>
      <c r="AH1794" s="571" t="s">
        <v>25</v>
      </c>
      <c r="AI1794" s="586"/>
      <c r="AJ1794" s="586"/>
    </row>
    <row r="1795" spans="1:36" s="394" customFormat="1" ht="20.25" outlineLevel="2" x14ac:dyDescent="0.3">
      <c r="A1795" s="447">
        <v>150</v>
      </c>
      <c r="B1795" s="572"/>
      <c r="C1795" s="572"/>
      <c r="D1795" s="612"/>
      <c r="E1795" s="612"/>
      <c r="F1795" s="586"/>
      <c r="G1795" s="709"/>
      <c r="H1795" s="546"/>
      <c r="I1795" s="563" t="s">
        <v>25</v>
      </c>
      <c r="J1795" s="563" t="s">
        <v>25</v>
      </c>
      <c r="K1795" s="564" t="s">
        <v>25</v>
      </c>
      <c r="L1795" s="564" t="s">
        <v>25</v>
      </c>
      <c r="M1795" s="572"/>
      <c r="N1795" s="572"/>
      <c r="O1795" s="740"/>
      <c r="P1795" s="564" t="s">
        <v>25</v>
      </c>
      <c r="Q1795" s="564" t="s">
        <v>25</v>
      </c>
      <c r="R1795" s="572"/>
      <c r="S1795" s="609"/>
      <c r="T1795" s="741"/>
      <c r="U1795" s="586"/>
      <c r="V1795" s="564" t="s">
        <v>2899</v>
      </c>
      <c r="W1795" s="564" t="s">
        <v>25</v>
      </c>
      <c r="X1795" s="650"/>
      <c r="Y1795" s="586"/>
      <c r="Z1795" s="742"/>
      <c r="AA1795" s="586"/>
      <c r="AB1795" s="586"/>
      <c r="AC1795" s="586"/>
      <c r="AD1795" s="586"/>
      <c r="AE1795" s="714"/>
      <c r="AF1795" s="570" t="s">
        <v>2899</v>
      </c>
      <c r="AG1795" s="570" t="s">
        <v>25</v>
      </c>
      <c r="AH1795" s="571" t="s">
        <v>25</v>
      </c>
      <c r="AI1795" s="572"/>
      <c r="AJ1795" s="572"/>
    </row>
    <row r="1796" spans="1:36" s="394" customFormat="1" ht="20.25" outlineLevel="2" x14ac:dyDescent="0.3">
      <c r="A1796" s="447">
        <v>150</v>
      </c>
      <c r="B1796" s="607"/>
      <c r="C1796" s="607"/>
      <c r="D1796" s="642"/>
      <c r="E1796" s="642"/>
      <c r="F1796" s="586"/>
      <c r="G1796" s="709"/>
      <c r="H1796" s="546"/>
      <c r="I1796" s="563" t="s">
        <v>25</v>
      </c>
      <c r="J1796" s="563" t="s">
        <v>25</v>
      </c>
      <c r="K1796" s="564" t="s">
        <v>25</v>
      </c>
      <c r="L1796" s="564" t="s">
        <v>25</v>
      </c>
      <c r="M1796" s="572"/>
      <c r="N1796" s="572"/>
      <c r="O1796" s="740"/>
      <c r="P1796" s="564" t="s">
        <v>25</v>
      </c>
      <c r="Q1796" s="564" t="s">
        <v>25</v>
      </c>
      <c r="R1796" s="572"/>
      <c r="S1796" s="609"/>
      <c r="T1796" s="741"/>
      <c r="U1796" s="586"/>
      <c r="V1796" s="564" t="s">
        <v>2899</v>
      </c>
      <c r="W1796" s="564" t="s">
        <v>25</v>
      </c>
      <c r="X1796" s="650"/>
      <c r="Y1796" s="586"/>
      <c r="Z1796" s="742"/>
      <c r="AA1796" s="586"/>
      <c r="AB1796" s="586"/>
      <c r="AC1796" s="586"/>
      <c r="AD1796" s="586"/>
      <c r="AE1796" s="714"/>
      <c r="AF1796" s="570" t="s">
        <v>2899</v>
      </c>
      <c r="AG1796" s="570" t="s">
        <v>25</v>
      </c>
      <c r="AH1796" s="571" t="s">
        <v>25</v>
      </c>
      <c r="AI1796" s="586"/>
      <c r="AJ1796" s="586"/>
    </row>
    <row r="1797" spans="1:36" s="394" customFormat="1" ht="40.5" outlineLevel="1" x14ac:dyDescent="0.25">
      <c r="A1797" s="467">
        <v>151</v>
      </c>
      <c r="B1797" s="607" t="s">
        <v>1261</v>
      </c>
      <c r="C1797" s="586" t="s">
        <v>2903</v>
      </c>
      <c r="D1797" s="612"/>
      <c r="E1797" s="612"/>
      <c r="F1797" s="578"/>
      <c r="G1797" s="707">
        <v>0</v>
      </c>
      <c r="H1797" s="579">
        <v>0</v>
      </c>
      <c r="I1797" s="581"/>
      <c r="J1797" s="581"/>
      <c r="K1797" s="571">
        <v>0</v>
      </c>
      <c r="L1797" s="571">
        <v>0</v>
      </c>
      <c r="M1797" s="607"/>
      <c r="N1797" s="607"/>
      <c r="O1797" s="738">
        <v>0</v>
      </c>
      <c r="P1797" s="571"/>
      <c r="Q1797" s="571">
        <v>0</v>
      </c>
      <c r="R1797" s="582"/>
      <c r="S1797" s="621"/>
      <c r="T1797" s="739">
        <v>44.92</v>
      </c>
      <c r="U1797" s="578"/>
      <c r="V1797" s="571"/>
      <c r="W1797" s="571">
        <v>69169000</v>
      </c>
      <c r="X1797" s="586"/>
      <c r="Y1797" s="694"/>
      <c r="Z1797" s="694"/>
      <c r="AA1797" s="694"/>
      <c r="AB1797" s="694"/>
      <c r="AC1797" s="694"/>
      <c r="AD1797" s="695"/>
      <c r="AE1797" s="581">
        <f>SUBTOTAL(9,AE1798:AE1804)</f>
        <v>0</v>
      </c>
      <c r="AF1797" s="585"/>
      <c r="AG1797" s="585">
        <v>0</v>
      </c>
      <c r="AH1797" s="571">
        <v>69169000</v>
      </c>
      <c r="AI1797" s="578"/>
      <c r="AJ1797" s="574"/>
    </row>
    <row r="1798" spans="1:36" s="394" customFormat="1" ht="121.5" outlineLevel="2" x14ac:dyDescent="0.3">
      <c r="A1798" s="447">
        <v>151</v>
      </c>
      <c r="B1798" s="572" t="s">
        <v>1266</v>
      </c>
      <c r="C1798" s="572"/>
      <c r="D1798" s="612"/>
      <c r="E1798" s="612"/>
      <c r="F1798" s="586"/>
      <c r="G1798" s="709"/>
      <c r="H1798" s="546"/>
      <c r="I1798" s="563" t="s">
        <v>25</v>
      </c>
      <c r="J1798" s="563" t="s">
        <v>25</v>
      </c>
      <c r="K1798" s="564" t="s">
        <v>25</v>
      </c>
      <c r="L1798" s="564" t="s">
        <v>25</v>
      </c>
      <c r="M1798" s="572"/>
      <c r="N1798" s="572"/>
      <c r="O1798" s="740"/>
      <c r="P1798" s="564" t="s">
        <v>25</v>
      </c>
      <c r="Q1798" s="564" t="s">
        <v>25</v>
      </c>
      <c r="R1798" s="566" t="s">
        <v>1926</v>
      </c>
      <c r="S1798" s="609" t="s">
        <v>1133</v>
      </c>
      <c r="T1798" s="741">
        <v>28.8</v>
      </c>
      <c r="U1798" s="586"/>
      <c r="V1798" s="564">
        <v>1458856</v>
      </c>
      <c r="W1798" s="564">
        <v>42015000</v>
      </c>
      <c r="X1798" s="586" t="s">
        <v>139</v>
      </c>
      <c r="Y1798" s="694" t="s">
        <v>1139</v>
      </c>
      <c r="Z1798" s="694" t="s">
        <v>1262</v>
      </c>
      <c r="AA1798" s="694" t="s">
        <v>1263</v>
      </c>
      <c r="AB1798" s="694" t="s">
        <v>1264</v>
      </c>
      <c r="AC1798" s="694"/>
      <c r="AD1798" s="694"/>
      <c r="AE1798" s="563"/>
      <c r="AF1798" s="570" t="s">
        <v>2899</v>
      </c>
      <c r="AG1798" s="570" t="s">
        <v>25</v>
      </c>
      <c r="AH1798" s="571" t="s">
        <v>25</v>
      </c>
      <c r="AI1798" s="586" t="s">
        <v>1265</v>
      </c>
      <c r="AJ1798" s="558" t="s">
        <v>2450</v>
      </c>
    </row>
    <row r="1799" spans="1:36" s="394" customFormat="1" ht="101.25" outlineLevel="2" x14ac:dyDescent="0.3">
      <c r="A1799" s="447">
        <v>151</v>
      </c>
      <c r="B1799" s="572" t="s">
        <v>1610</v>
      </c>
      <c r="C1799" s="572"/>
      <c r="D1799" s="612"/>
      <c r="E1799" s="612"/>
      <c r="F1799" s="586"/>
      <c r="G1799" s="709"/>
      <c r="H1799" s="546"/>
      <c r="I1799" s="563" t="s">
        <v>25</v>
      </c>
      <c r="J1799" s="563" t="s">
        <v>25</v>
      </c>
      <c r="K1799" s="564" t="s">
        <v>25</v>
      </c>
      <c r="L1799" s="564" t="s">
        <v>25</v>
      </c>
      <c r="M1799" s="572"/>
      <c r="N1799" s="572"/>
      <c r="O1799" s="740"/>
      <c r="P1799" s="564" t="s">
        <v>25</v>
      </c>
      <c r="Q1799" s="564" t="s">
        <v>25</v>
      </c>
      <c r="R1799" s="566" t="s">
        <v>1927</v>
      </c>
      <c r="S1799" s="609" t="s">
        <v>1133</v>
      </c>
      <c r="T1799" s="741">
        <v>9.52</v>
      </c>
      <c r="U1799" s="586"/>
      <c r="V1799" s="564">
        <v>684506</v>
      </c>
      <c r="W1799" s="564">
        <v>6516000</v>
      </c>
      <c r="X1799" s="650"/>
      <c r="Y1799" s="586"/>
      <c r="Z1799" s="742"/>
      <c r="AA1799" s="586"/>
      <c r="AB1799" s="586"/>
      <c r="AC1799" s="586"/>
      <c r="AD1799" s="586"/>
      <c r="AE1799" s="714"/>
      <c r="AF1799" s="570" t="s">
        <v>2899</v>
      </c>
      <c r="AG1799" s="570" t="s">
        <v>25</v>
      </c>
      <c r="AH1799" s="571" t="s">
        <v>25</v>
      </c>
      <c r="AI1799" s="586" t="s">
        <v>1267</v>
      </c>
      <c r="AJ1799" s="586" t="s">
        <v>2800</v>
      </c>
    </row>
    <row r="1800" spans="1:36" s="394" customFormat="1" ht="121.5" outlineLevel="2" x14ac:dyDescent="0.3">
      <c r="A1800" s="447">
        <v>151</v>
      </c>
      <c r="B1800" s="572"/>
      <c r="C1800" s="572"/>
      <c r="D1800" s="612"/>
      <c r="E1800" s="612"/>
      <c r="F1800" s="586"/>
      <c r="G1800" s="709"/>
      <c r="H1800" s="546"/>
      <c r="I1800" s="563" t="s">
        <v>25</v>
      </c>
      <c r="J1800" s="563" t="s">
        <v>25</v>
      </c>
      <c r="K1800" s="564" t="s">
        <v>25</v>
      </c>
      <c r="L1800" s="564" t="s">
        <v>25</v>
      </c>
      <c r="M1800" s="572"/>
      <c r="N1800" s="572"/>
      <c r="O1800" s="740"/>
      <c r="P1800" s="564" t="s">
        <v>25</v>
      </c>
      <c r="Q1800" s="564" t="s">
        <v>25</v>
      </c>
      <c r="R1800" s="566" t="s">
        <v>1928</v>
      </c>
      <c r="S1800" s="609" t="s">
        <v>1133</v>
      </c>
      <c r="T1800" s="741">
        <v>2.52</v>
      </c>
      <c r="U1800" s="586"/>
      <c r="V1800" s="564">
        <v>8189638</v>
      </c>
      <c r="W1800" s="564">
        <v>20638000</v>
      </c>
      <c r="X1800" s="650"/>
      <c r="Y1800" s="586"/>
      <c r="Z1800" s="742"/>
      <c r="AA1800" s="586"/>
      <c r="AB1800" s="586"/>
      <c r="AC1800" s="586"/>
      <c r="AD1800" s="586"/>
      <c r="AE1800" s="714"/>
      <c r="AF1800" s="570" t="s">
        <v>2899</v>
      </c>
      <c r="AG1800" s="570" t="s">
        <v>25</v>
      </c>
      <c r="AH1800" s="571" t="s">
        <v>25</v>
      </c>
      <c r="AI1800" s="578"/>
      <c r="AJ1800" s="586"/>
    </row>
    <row r="1801" spans="1:36" s="394" customFormat="1" ht="60.75" outlineLevel="2" x14ac:dyDescent="0.3">
      <c r="A1801" s="447">
        <v>151</v>
      </c>
      <c r="B1801" s="572"/>
      <c r="C1801" s="572"/>
      <c r="D1801" s="612"/>
      <c r="E1801" s="612"/>
      <c r="F1801" s="586"/>
      <c r="G1801" s="709"/>
      <c r="H1801" s="546"/>
      <c r="I1801" s="563" t="s">
        <v>25</v>
      </c>
      <c r="J1801" s="563" t="s">
        <v>25</v>
      </c>
      <c r="K1801" s="564" t="s">
        <v>25</v>
      </c>
      <c r="L1801" s="564" t="s">
        <v>25</v>
      </c>
      <c r="M1801" s="572"/>
      <c r="N1801" s="572"/>
      <c r="O1801" s="740"/>
      <c r="P1801" s="564" t="s">
        <v>25</v>
      </c>
      <c r="Q1801" s="564" t="s">
        <v>25</v>
      </c>
      <c r="R1801" s="572" t="s">
        <v>1929</v>
      </c>
      <c r="S1801" s="609" t="s">
        <v>1133</v>
      </c>
      <c r="T1801" s="741">
        <v>4.08</v>
      </c>
      <c r="U1801" s="586"/>
      <c r="V1801" s="564">
        <v>0</v>
      </c>
      <c r="W1801" s="564">
        <v>0</v>
      </c>
      <c r="X1801" s="650"/>
      <c r="Y1801" s="586"/>
      <c r="Z1801" s="742"/>
      <c r="AA1801" s="586"/>
      <c r="AB1801" s="586"/>
      <c r="AC1801" s="586"/>
      <c r="AD1801" s="586"/>
      <c r="AE1801" s="714"/>
      <c r="AF1801" s="570" t="s">
        <v>2899</v>
      </c>
      <c r="AG1801" s="570" t="s">
        <v>25</v>
      </c>
      <c r="AH1801" s="571" t="s">
        <v>25</v>
      </c>
      <c r="AI1801" s="586"/>
      <c r="AJ1801" s="586"/>
    </row>
    <row r="1802" spans="1:36" s="394" customFormat="1" ht="20.25" outlineLevel="2" x14ac:dyDescent="0.3">
      <c r="A1802" s="447">
        <v>151</v>
      </c>
      <c r="B1802" s="572"/>
      <c r="C1802" s="572"/>
      <c r="D1802" s="612"/>
      <c r="E1802" s="612"/>
      <c r="F1802" s="586"/>
      <c r="G1802" s="709"/>
      <c r="H1802" s="546"/>
      <c r="I1802" s="563" t="s">
        <v>25</v>
      </c>
      <c r="J1802" s="563" t="s">
        <v>25</v>
      </c>
      <c r="K1802" s="564" t="s">
        <v>25</v>
      </c>
      <c r="L1802" s="564" t="s">
        <v>25</v>
      </c>
      <c r="M1802" s="572"/>
      <c r="N1802" s="572"/>
      <c r="O1802" s="740"/>
      <c r="P1802" s="564" t="s">
        <v>25</v>
      </c>
      <c r="Q1802" s="564" t="s">
        <v>25</v>
      </c>
      <c r="R1802" s="566"/>
      <c r="S1802" s="609"/>
      <c r="T1802" s="741"/>
      <c r="U1802" s="586"/>
      <c r="V1802" s="564" t="s">
        <v>2899</v>
      </c>
      <c r="W1802" s="564" t="s">
        <v>25</v>
      </c>
      <c r="X1802" s="650"/>
      <c r="Y1802" s="586"/>
      <c r="Z1802" s="742"/>
      <c r="AA1802" s="586"/>
      <c r="AB1802" s="586"/>
      <c r="AC1802" s="586"/>
      <c r="AD1802" s="586"/>
      <c r="AE1802" s="714"/>
      <c r="AF1802" s="570" t="s">
        <v>2899</v>
      </c>
      <c r="AG1802" s="570" t="s">
        <v>25</v>
      </c>
      <c r="AH1802" s="571" t="s">
        <v>25</v>
      </c>
      <c r="AI1802" s="572"/>
      <c r="AJ1802" s="572"/>
    </row>
    <row r="1803" spans="1:36" s="394" customFormat="1" ht="20.25" outlineLevel="2" x14ac:dyDescent="0.3">
      <c r="A1803" s="447">
        <v>151</v>
      </c>
      <c r="B1803" s="572"/>
      <c r="C1803" s="572"/>
      <c r="D1803" s="612"/>
      <c r="E1803" s="612"/>
      <c r="F1803" s="586"/>
      <c r="G1803" s="709"/>
      <c r="H1803" s="546"/>
      <c r="I1803" s="563" t="s">
        <v>25</v>
      </c>
      <c r="J1803" s="563" t="s">
        <v>25</v>
      </c>
      <c r="K1803" s="564" t="s">
        <v>25</v>
      </c>
      <c r="L1803" s="564" t="s">
        <v>25</v>
      </c>
      <c r="M1803" s="572"/>
      <c r="N1803" s="572"/>
      <c r="O1803" s="740"/>
      <c r="P1803" s="564" t="s">
        <v>25</v>
      </c>
      <c r="Q1803" s="564" t="s">
        <v>25</v>
      </c>
      <c r="R1803" s="572"/>
      <c r="S1803" s="609"/>
      <c r="T1803" s="741"/>
      <c r="U1803" s="586"/>
      <c r="V1803" s="564" t="s">
        <v>2899</v>
      </c>
      <c r="W1803" s="564" t="s">
        <v>25</v>
      </c>
      <c r="X1803" s="650"/>
      <c r="Y1803" s="586"/>
      <c r="Z1803" s="742"/>
      <c r="AA1803" s="586"/>
      <c r="AB1803" s="586"/>
      <c r="AC1803" s="586"/>
      <c r="AD1803" s="586"/>
      <c r="AE1803" s="714"/>
      <c r="AF1803" s="570" t="s">
        <v>2899</v>
      </c>
      <c r="AG1803" s="570" t="s">
        <v>25</v>
      </c>
      <c r="AH1803" s="571" t="s">
        <v>25</v>
      </c>
      <c r="AI1803" s="586"/>
      <c r="AJ1803" s="586"/>
    </row>
    <row r="1804" spans="1:36" s="394" customFormat="1" ht="20.25" outlineLevel="2" x14ac:dyDescent="0.3">
      <c r="A1804" s="447">
        <v>151</v>
      </c>
      <c r="B1804" s="607"/>
      <c r="C1804" s="607"/>
      <c r="D1804" s="642"/>
      <c r="E1804" s="642"/>
      <c r="F1804" s="586"/>
      <c r="G1804" s="709"/>
      <c r="H1804" s="546"/>
      <c r="I1804" s="563" t="s">
        <v>25</v>
      </c>
      <c r="J1804" s="563" t="s">
        <v>25</v>
      </c>
      <c r="K1804" s="564" t="s">
        <v>25</v>
      </c>
      <c r="L1804" s="564" t="s">
        <v>25</v>
      </c>
      <c r="M1804" s="572"/>
      <c r="N1804" s="572"/>
      <c r="O1804" s="740"/>
      <c r="P1804" s="564" t="s">
        <v>25</v>
      </c>
      <c r="Q1804" s="564" t="s">
        <v>25</v>
      </c>
      <c r="R1804" s="572"/>
      <c r="S1804" s="609"/>
      <c r="T1804" s="741"/>
      <c r="U1804" s="586"/>
      <c r="V1804" s="564" t="s">
        <v>2899</v>
      </c>
      <c r="W1804" s="564" t="s">
        <v>25</v>
      </c>
      <c r="X1804" s="650"/>
      <c r="Y1804" s="586"/>
      <c r="Z1804" s="742"/>
      <c r="AA1804" s="586"/>
      <c r="AB1804" s="586"/>
      <c r="AC1804" s="586"/>
      <c r="AD1804" s="586"/>
      <c r="AE1804" s="714"/>
      <c r="AF1804" s="570" t="s">
        <v>2899</v>
      </c>
      <c r="AG1804" s="570" t="s">
        <v>25</v>
      </c>
      <c r="AH1804" s="571" t="s">
        <v>25</v>
      </c>
      <c r="AI1804" s="586"/>
      <c r="AJ1804" s="586"/>
    </row>
    <row r="1805" spans="1:36" s="394" customFormat="1" ht="40.5" outlineLevel="1" x14ac:dyDescent="0.25">
      <c r="A1805" s="467">
        <v>152</v>
      </c>
      <c r="B1805" s="607" t="s">
        <v>1268</v>
      </c>
      <c r="C1805" s="586" t="s">
        <v>2903</v>
      </c>
      <c r="D1805" s="612">
        <v>86</v>
      </c>
      <c r="E1805" s="612" t="s">
        <v>1269</v>
      </c>
      <c r="F1805" s="578"/>
      <c r="G1805" s="707">
        <v>250.3</v>
      </c>
      <c r="H1805" s="579">
        <v>0</v>
      </c>
      <c r="I1805" s="581"/>
      <c r="J1805" s="581"/>
      <c r="K1805" s="571">
        <v>1817334000</v>
      </c>
      <c r="L1805" s="571">
        <v>0</v>
      </c>
      <c r="M1805" s="607"/>
      <c r="N1805" s="607"/>
      <c r="O1805" s="738">
        <v>41</v>
      </c>
      <c r="P1805" s="571"/>
      <c r="Q1805" s="571">
        <v>5388000</v>
      </c>
      <c r="R1805" s="582"/>
      <c r="S1805" s="621"/>
      <c r="T1805" s="739">
        <v>482.52749999999997</v>
      </c>
      <c r="U1805" s="578"/>
      <c r="V1805" s="571"/>
      <c r="W1805" s="571">
        <v>1407724000</v>
      </c>
      <c r="X1805" s="650"/>
      <c r="Y1805" s="586"/>
      <c r="Z1805" s="742"/>
      <c r="AA1805" s="586"/>
      <c r="AB1805" s="586"/>
      <c r="AC1805" s="586"/>
      <c r="AD1805" s="578"/>
      <c r="AE1805" s="712">
        <f>SUBTOTAL(9,AE1806:AE1823)</f>
        <v>2</v>
      </c>
      <c r="AF1805" s="585"/>
      <c r="AG1805" s="585">
        <v>22000000</v>
      </c>
      <c r="AH1805" s="571">
        <v>3252446000</v>
      </c>
      <c r="AI1805" s="578"/>
      <c r="AJ1805" s="578"/>
    </row>
    <row r="1806" spans="1:36" s="394" customFormat="1" ht="121.5" outlineLevel="2" x14ac:dyDescent="0.3">
      <c r="A1806" s="447">
        <v>152</v>
      </c>
      <c r="B1806" s="572" t="s">
        <v>1274</v>
      </c>
      <c r="C1806" s="572"/>
      <c r="D1806" s="612"/>
      <c r="E1806" s="612"/>
      <c r="F1806" s="586" t="s">
        <v>2049</v>
      </c>
      <c r="G1806" s="709">
        <v>250.3</v>
      </c>
      <c r="H1806" s="546" t="s">
        <v>2899</v>
      </c>
      <c r="I1806" s="563">
        <v>7260624</v>
      </c>
      <c r="J1806" s="563">
        <v>0</v>
      </c>
      <c r="K1806" s="564">
        <v>1817334000</v>
      </c>
      <c r="L1806" s="564">
        <v>0</v>
      </c>
      <c r="M1806" s="572" t="s">
        <v>2142</v>
      </c>
      <c r="N1806" s="572"/>
      <c r="O1806" s="740">
        <v>1</v>
      </c>
      <c r="P1806" s="564">
        <v>1025000</v>
      </c>
      <c r="Q1806" s="564">
        <v>1025000</v>
      </c>
      <c r="R1806" s="566" t="s">
        <v>2376</v>
      </c>
      <c r="S1806" s="609" t="s">
        <v>1133</v>
      </c>
      <c r="T1806" s="741">
        <v>56.62</v>
      </c>
      <c r="U1806" s="586"/>
      <c r="V1806" s="564">
        <v>945291</v>
      </c>
      <c r="W1806" s="564">
        <v>53522000</v>
      </c>
      <c r="X1806" s="650"/>
      <c r="Y1806" s="586"/>
      <c r="Z1806" s="742"/>
      <c r="AA1806" s="586"/>
      <c r="AB1806" s="586"/>
      <c r="AC1806" s="586"/>
      <c r="AD1806" s="586" t="s">
        <v>2137</v>
      </c>
      <c r="AE1806" s="714">
        <v>1</v>
      </c>
      <c r="AF1806" s="570">
        <v>5000000</v>
      </c>
      <c r="AG1806" s="570">
        <v>5000000</v>
      </c>
      <c r="AH1806" s="571" t="s">
        <v>25</v>
      </c>
      <c r="AI1806" s="586" t="s">
        <v>1273</v>
      </c>
      <c r="AJ1806" s="586" t="s">
        <v>2771</v>
      </c>
    </row>
    <row r="1807" spans="1:36" s="394" customFormat="1" ht="121.5" outlineLevel="2" x14ac:dyDescent="0.3">
      <c r="A1807" s="447">
        <v>152</v>
      </c>
      <c r="B1807" s="572" t="s">
        <v>1611</v>
      </c>
      <c r="C1807" s="572"/>
      <c r="D1807" s="612"/>
      <c r="E1807" s="612"/>
      <c r="F1807" s="586"/>
      <c r="G1807" s="709"/>
      <c r="H1807" s="546"/>
      <c r="I1807" s="563" t="s">
        <v>25</v>
      </c>
      <c r="J1807" s="563" t="s">
        <v>25</v>
      </c>
      <c r="K1807" s="564" t="s">
        <v>25</v>
      </c>
      <c r="L1807" s="564" t="s">
        <v>25</v>
      </c>
      <c r="M1807" s="572" t="s">
        <v>147</v>
      </c>
      <c r="N1807" s="572"/>
      <c r="O1807" s="740">
        <v>2</v>
      </c>
      <c r="P1807" s="564">
        <v>979000</v>
      </c>
      <c r="Q1807" s="564">
        <v>1958000</v>
      </c>
      <c r="R1807" s="566" t="s">
        <v>2377</v>
      </c>
      <c r="S1807" s="609" t="s">
        <v>1133</v>
      </c>
      <c r="T1807" s="741">
        <v>105.60000000000001</v>
      </c>
      <c r="U1807" s="586"/>
      <c r="V1807" s="564">
        <v>890132</v>
      </c>
      <c r="W1807" s="564">
        <v>93998000</v>
      </c>
      <c r="X1807" s="650"/>
      <c r="Y1807" s="586"/>
      <c r="Z1807" s="742"/>
      <c r="AA1807" s="586"/>
      <c r="AB1807" s="586"/>
      <c r="AC1807" s="586"/>
      <c r="AD1807" s="569"/>
      <c r="AE1807" s="563"/>
      <c r="AF1807" s="570"/>
      <c r="AG1807" s="570"/>
      <c r="AH1807" s="571" t="s">
        <v>25</v>
      </c>
      <c r="AI1807" s="586" t="s">
        <v>1276</v>
      </c>
      <c r="AJ1807" s="558" t="s">
        <v>2450</v>
      </c>
    </row>
    <row r="1808" spans="1:36" s="394" customFormat="1" ht="101.25" outlineLevel="2" x14ac:dyDescent="0.3">
      <c r="A1808" s="447">
        <v>152</v>
      </c>
      <c r="B1808" s="572"/>
      <c r="C1808" s="572"/>
      <c r="D1808" s="612"/>
      <c r="E1808" s="612"/>
      <c r="F1808" s="586"/>
      <c r="G1808" s="709"/>
      <c r="H1808" s="546"/>
      <c r="I1808" s="563" t="s">
        <v>25</v>
      </c>
      <c r="J1808" s="563" t="s">
        <v>25</v>
      </c>
      <c r="K1808" s="564" t="s">
        <v>25</v>
      </c>
      <c r="L1808" s="564" t="s">
        <v>25</v>
      </c>
      <c r="M1808" s="572" t="s">
        <v>178</v>
      </c>
      <c r="N1808" s="572"/>
      <c r="O1808" s="740">
        <v>1</v>
      </c>
      <c r="P1808" s="564">
        <v>554000</v>
      </c>
      <c r="Q1808" s="564">
        <v>554000</v>
      </c>
      <c r="R1808" s="566" t="s">
        <v>1827</v>
      </c>
      <c r="S1808" s="609" t="s">
        <v>1133</v>
      </c>
      <c r="T1808" s="741">
        <v>100.3</v>
      </c>
      <c r="U1808" s="586"/>
      <c r="V1808" s="564">
        <v>5469063</v>
      </c>
      <c r="W1808" s="564">
        <v>548547000</v>
      </c>
      <c r="X1808" s="661" t="s">
        <v>1138</v>
      </c>
      <c r="Y1808" s="683" t="s">
        <v>1139</v>
      </c>
      <c r="Z1808" s="683" t="s">
        <v>56</v>
      </c>
      <c r="AA1808" s="694" t="s">
        <v>269</v>
      </c>
      <c r="AB1808" s="683" t="s">
        <v>1138</v>
      </c>
      <c r="AC1808" s="683"/>
      <c r="AD1808" s="569" t="s">
        <v>2791</v>
      </c>
      <c r="AE1808" s="590">
        <v>1</v>
      </c>
      <c r="AF1808" s="570">
        <v>17000000</v>
      </c>
      <c r="AG1808" s="570">
        <v>17000000</v>
      </c>
      <c r="AH1808" s="571" t="s">
        <v>25</v>
      </c>
      <c r="AI1808" s="586" t="s">
        <v>1279</v>
      </c>
      <c r="AJ1808" s="558" t="s">
        <v>2449</v>
      </c>
    </row>
    <row r="1809" spans="1:36" s="394" customFormat="1" ht="81" outlineLevel="2" x14ac:dyDescent="0.3">
      <c r="A1809" s="447">
        <v>152</v>
      </c>
      <c r="B1809" s="572"/>
      <c r="C1809" s="572"/>
      <c r="D1809" s="612"/>
      <c r="E1809" s="612"/>
      <c r="F1809" s="586"/>
      <c r="G1809" s="709"/>
      <c r="H1809" s="546"/>
      <c r="I1809" s="563" t="s">
        <v>25</v>
      </c>
      <c r="J1809" s="563" t="s">
        <v>25</v>
      </c>
      <c r="K1809" s="564" t="s">
        <v>25</v>
      </c>
      <c r="L1809" s="564" t="s">
        <v>25</v>
      </c>
      <c r="M1809" s="572" t="s">
        <v>1278</v>
      </c>
      <c r="N1809" s="572"/>
      <c r="O1809" s="740">
        <v>3</v>
      </c>
      <c r="P1809" s="564">
        <v>360000</v>
      </c>
      <c r="Q1809" s="564">
        <v>1080000</v>
      </c>
      <c r="R1809" s="566" t="s">
        <v>2251</v>
      </c>
      <c r="S1809" s="609" t="s">
        <v>1133</v>
      </c>
      <c r="T1809" s="741">
        <v>49.4</v>
      </c>
      <c r="U1809" s="586"/>
      <c r="V1809" s="564">
        <v>5789151</v>
      </c>
      <c r="W1809" s="564">
        <v>285984000</v>
      </c>
      <c r="X1809" s="661" t="s">
        <v>1138</v>
      </c>
      <c r="Y1809" s="683" t="s">
        <v>1139</v>
      </c>
      <c r="Z1809" s="683" t="s">
        <v>56</v>
      </c>
      <c r="AA1809" s="694" t="s">
        <v>269</v>
      </c>
      <c r="AB1809" s="683" t="s">
        <v>1138</v>
      </c>
      <c r="AC1809" s="683"/>
      <c r="AD1809" s="606"/>
      <c r="AE1809" s="590"/>
      <c r="AF1809" s="570" t="s">
        <v>2899</v>
      </c>
      <c r="AG1809" s="570" t="s">
        <v>25</v>
      </c>
      <c r="AH1809" s="571" t="s">
        <v>25</v>
      </c>
      <c r="AI1809" s="731"/>
      <c r="AJ1809" s="558" t="s">
        <v>2447</v>
      </c>
    </row>
    <row r="1810" spans="1:36" s="394" customFormat="1" ht="101.25" outlineLevel="2" x14ac:dyDescent="0.3">
      <c r="A1810" s="447">
        <v>152</v>
      </c>
      <c r="B1810" s="572"/>
      <c r="C1810" s="572"/>
      <c r="D1810" s="612"/>
      <c r="E1810" s="612"/>
      <c r="F1810" s="586"/>
      <c r="G1810" s="709"/>
      <c r="H1810" s="546"/>
      <c r="I1810" s="563" t="s">
        <v>25</v>
      </c>
      <c r="J1810" s="563" t="s">
        <v>25</v>
      </c>
      <c r="K1810" s="564" t="s">
        <v>25</v>
      </c>
      <c r="L1810" s="564" t="s">
        <v>25</v>
      </c>
      <c r="M1810" s="572" t="s">
        <v>76</v>
      </c>
      <c r="N1810" s="572"/>
      <c r="O1810" s="740">
        <v>11</v>
      </c>
      <c r="P1810" s="564">
        <v>45000</v>
      </c>
      <c r="Q1810" s="564">
        <v>495000</v>
      </c>
      <c r="R1810" s="566" t="s">
        <v>2378</v>
      </c>
      <c r="S1810" s="609" t="s">
        <v>1133</v>
      </c>
      <c r="T1810" s="741">
        <v>11.7</v>
      </c>
      <c r="U1810" s="586"/>
      <c r="V1810" s="564">
        <v>9347414</v>
      </c>
      <c r="W1810" s="564">
        <v>109365000</v>
      </c>
      <c r="X1810" s="650"/>
      <c r="Y1810" s="586"/>
      <c r="Z1810" s="742"/>
      <c r="AA1810" s="586"/>
      <c r="AB1810" s="586"/>
      <c r="AC1810" s="586"/>
      <c r="AD1810" s="586"/>
      <c r="AE1810" s="714"/>
      <c r="AF1810" s="570" t="s">
        <v>2899</v>
      </c>
      <c r="AG1810" s="570" t="s">
        <v>25</v>
      </c>
      <c r="AH1810" s="571" t="s">
        <v>25</v>
      </c>
      <c r="AI1810" s="586"/>
      <c r="AJ1810" s="586" t="s">
        <v>2451</v>
      </c>
    </row>
    <row r="1811" spans="1:36" s="394" customFormat="1" ht="101.25" outlineLevel="2" x14ac:dyDescent="0.3">
      <c r="A1811" s="447">
        <v>152</v>
      </c>
      <c r="B1811" s="572"/>
      <c r="C1811" s="572"/>
      <c r="D1811" s="612"/>
      <c r="E1811" s="612"/>
      <c r="F1811" s="586"/>
      <c r="G1811" s="709"/>
      <c r="H1811" s="546"/>
      <c r="I1811" s="563" t="s">
        <v>25</v>
      </c>
      <c r="J1811" s="563" t="s">
        <v>25</v>
      </c>
      <c r="K1811" s="564" t="s">
        <v>25</v>
      </c>
      <c r="L1811" s="564" t="s">
        <v>25</v>
      </c>
      <c r="M1811" s="565" t="s">
        <v>429</v>
      </c>
      <c r="N1811" s="565"/>
      <c r="O1811" s="740">
        <v>23</v>
      </c>
      <c r="P1811" s="564">
        <v>12000</v>
      </c>
      <c r="Q1811" s="564">
        <v>276000</v>
      </c>
      <c r="R1811" s="566" t="s">
        <v>2379</v>
      </c>
      <c r="S1811" s="609" t="s">
        <v>1133</v>
      </c>
      <c r="T1811" s="741">
        <v>7.4</v>
      </c>
      <c r="U1811" s="586"/>
      <c r="V1811" s="564">
        <v>9599897</v>
      </c>
      <c r="W1811" s="564">
        <v>71039000</v>
      </c>
      <c r="X1811" s="650"/>
      <c r="Y1811" s="586"/>
      <c r="Z1811" s="742"/>
      <c r="AA1811" s="586"/>
      <c r="AB1811" s="586"/>
      <c r="AC1811" s="586"/>
      <c r="AD1811" s="586"/>
      <c r="AE1811" s="714"/>
      <c r="AF1811" s="570" t="s">
        <v>2899</v>
      </c>
      <c r="AG1811" s="570" t="s">
        <v>25</v>
      </c>
      <c r="AH1811" s="571" t="s">
        <v>25</v>
      </c>
      <c r="AI1811" s="586"/>
      <c r="AJ1811" s="586" t="s">
        <v>2800</v>
      </c>
    </row>
    <row r="1812" spans="1:36" s="394" customFormat="1" ht="81" outlineLevel="2" x14ac:dyDescent="0.3">
      <c r="A1812" s="447">
        <v>152</v>
      </c>
      <c r="B1812" s="572"/>
      <c r="C1812" s="572"/>
      <c r="D1812" s="612"/>
      <c r="E1812" s="612"/>
      <c r="F1812" s="586"/>
      <c r="G1812" s="709"/>
      <c r="H1812" s="546"/>
      <c r="I1812" s="563" t="s">
        <v>25</v>
      </c>
      <c r="J1812" s="563" t="s">
        <v>25</v>
      </c>
      <c r="K1812" s="564" t="s">
        <v>25</v>
      </c>
      <c r="L1812" s="564" t="s">
        <v>25</v>
      </c>
      <c r="M1812" s="572"/>
      <c r="N1812" s="572"/>
      <c r="O1812" s="740"/>
      <c r="P1812" s="564" t="s">
        <v>25</v>
      </c>
      <c r="Q1812" s="564" t="s">
        <v>25</v>
      </c>
      <c r="R1812" s="566" t="s">
        <v>1945</v>
      </c>
      <c r="S1812" s="609" t="s">
        <v>1133</v>
      </c>
      <c r="T1812" s="741">
        <v>30.87</v>
      </c>
      <c r="U1812" s="586"/>
      <c r="V1812" s="564">
        <v>770070</v>
      </c>
      <c r="W1812" s="564">
        <v>23772000</v>
      </c>
      <c r="X1812" s="650"/>
      <c r="Y1812" s="586"/>
      <c r="Z1812" s="742"/>
      <c r="AA1812" s="586"/>
      <c r="AB1812" s="586"/>
      <c r="AC1812" s="586"/>
      <c r="AD1812" s="586"/>
      <c r="AE1812" s="714"/>
      <c r="AF1812" s="570" t="s">
        <v>2899</v>
      </c>
      <c r="AG1812" s="570" t="s">
        <v>25</v>
      </c>
      <c r="AH1812" s="571" t="s">
        <v>25</v>
      </c>
      <c r="AI1812" s="586"/>
      <c r="AJ1812" s="586"/>
    </row>
    <row r="1813" spans="1:36" s="394" customFormat="1" ht="81" outlineLevel="2" x14ac:dyDescent="0.3">
      <c r="A1813" s="447">
        <v>152</v>
      </c>
      <c r="B1813" s="572"/>
      <c r="C1813" s="572"/>
      <c r="D1813" s="612"/>
      <c r="E1813" s="612"/>
      <c r="F1813" s="586"/>
      <c r="G1813" s="709"/>
      <c r="H1813" s="546"/>
      <c r="I1813" s="563" t="s">
        <v>25</v>
      </c>
      <c r="J1813" s="563" t="s">
        <v>25</v>
      </c>
      <c r="K1813" s="564" t="s">
        <v>25</v>
      </c>
      <c r="L1813" s="564" t="s">
        <v>25</v>
      </c>
      <c r="M1813" s="572"/>
      <c r="N1813" s="572"/>
      <c r="O1813" s="740"/>
      <c r="P1813" s="564" t="s">
        <v>25</v>
      </c>
      <c r="Q1813" s="564" t="s">
        <v>25</v>
      </c>
      <c r="R1813" s="566" t="s">
        <v>1945</v>
      </c>
      <c r="S1813" s="609" t="s">
        <v>1133</v>
      </c>
      <c r="T1813" s="741">
        <v>10.199999999999999</v>
      </c>
      <c r="U1813" s="586"/>
      <c r="V1813" s="564">
        <v>770070</v>
      </c>
      <c r="W1813" s="564">
        <v>7855000</v>
      </c>
      <c r="X1813" s="650"/>
      <c r="Y1813" s="586"/>
      <c r="Z1813" s="742"/>
      <c r="AA1813" s="586"/>
      <c r="AB1813" s="586"/>
      <c r="AC1813" s="586"/>
      <c r="AD1813" s="586"/>
      <c r="AE1813" s="714"/>
      <c r="AF1813" s="570" t="s">
        <v>2899</v>
      </c>
      <c r="AG1813" s="570" t="s">
        <v>25</v>
      </c>
      <c r="AH1813" s="571" t="s">
        <v>25</v>
      </c>
      <c r="AI1813" s="586"/>
      <c r="AJ1813" s="586"/>
    </row>
    <row r="1814" spans="1:36" s="394" customFormat="1" ht="40.5" outlineLevel="2" x14ac:dyDescent="0.3">
      <c r="A1814" s="447">
        <v>152</v>
      </c>
      <c r="B1814" s="572"/>
      <c r="C1814" s="572"/>
      <c r="D1814" s="612"/>
      <c r="E1814" s="612"/>
      <c r="F1814" s="586"/>
      <c r="G1814" s="709"/>
      <c r="H1814" s="546"/>
      <c r="I1814" s="563" t="s">
        <v>25</v>
      </c>
      <c r="J1814" s="563" t="s">
        <v>25</v>
      </c>
      <c r="K1814" s="564" t="s">
        <v>25</v>
      </c>
      <c r="L1814" s="564" t="s">
        <v>25</v>
      </c>
      <c r="M1814" s="572"/>
      <c r="N1814" s="572"/>
      <c r="O1814" s="740"/>
      <c r="P1814" s="564" t="s">
        <v>25</v>
      </c>
      <c r="Q1814" s="564" t="s">
        <v>25</v>
      </c>
      <c r="R1814" s="566" t="s">
        <v>1820</v>
      </c>
      <c r="S1814" s="609" t="s">
        <v>1133</v>
      </c>
      <c r="T1814" s="741">
        <v>24.8</v>
      </c>
      <c r="U1814" s="586"/>
      <c r="V1814" s="564">
        <v>5307665</v>
      </c>
      <c r="W1814" s="564">
        <v>131630000</v>
      </c>
      <c r="X1814" s="661" t="s">
        <v>1138</v>
      </c>
      <c r="Y1814" s="683" t="s">
        <v>1139</v>
      </c>
      <c r="Z1814" s="683" t="s">
        <v>56</v>
      </c>
      <c r="AA1814" s="694" t="s">
        <v>269</v>
      </c>
      <c r="AB1814" s="683" t="s">
        <v>1138</v>
      </c>
      <c r="AC1814" s="683"/>
      <c r="AD1814" s="683"/>
      <c r="AE1814" s="590"/>
      <c r="AF1814" s="570" t="s">
        <v>2899</v>
      </c>
      <c r="AG1814" s="570" t="s">
        <v>25</v>
      </c>
      <c r="AH1814" s="571" t="s">
        <v>25</v>
      </c>
      <c r="AI1814" s="586"/>
      <c r="AJ1814" s="586"/>
    </row>
    <row r="1815" spans="1:36" s="394" customFormat="1" ht="40.5" outlineLevel="2" x14ac:dyDescent="0.3">
      <c r="A1815" s="447">
        <v>152</v>
      </c>
      <c r="B1815" s="572"/>
      <c r="C1815" s="572"/>
      <c r="D1815" s="612"/>
      <c r="E1815" s="612"/>
      <c r="F1815" s="586"/>
      <c r="G1815" s="709"/>
      <c r="H1815" s="546"/>
      <c r="I1815" s="563" t="s">
        <v>25</v>
      </c>
      <c r="J1815" s="563" t="s">
        <v>25</v>
      </c>
      <c r="K1815" s="564" t="s">
        <v>25</v>
      </c>
      <c r="L1815" s="564" t="s">
        <v>25</v>
      </c>
      <c r="M1815" s="572"/>
      <c r="N1815" s="572"/>
      <c r="O1815" s="740"/>
      <c r="P1815" s="564" t="s">
        <v>25</v>
      </c>
      <c r="Q1815" s="564" t="s">
        <v>25</v>
      </c>
      <c r="R1815" s="566" t="s">
        <v>2380</v>
      </c>
      <c r="S1815" s="609" t="s">
        <v>1133</v>
      </c>
      <c r="T1815" s="741">
        <v>30.659999999999997</v>
      </c>
      <c r="U1815" s="586"/>
      <c r="V1815" s="564">
        <v>121350</v>
      </c>
      <c r="W1815" s="564">
        <v>3721000</v>
      </c>
      <c r="X1815" s="650"/>
      <c r="Y1815" s="586"/>
      <c r="Z1815" s="742"/>
      <c r="AA1815" s="586"/>
      <c r="AB1815" s="586"/>
      <c r="AC1815" s="586"/>
      <c r="AD1815" s="586"/>
      <c r="AE1815" s="714"/>
      <c r="AF1815" s="570" t="s">
        <v>2899</v>
      </c>
      <c r="AG1815" s="570" t="s">
        <v>25</v>
      </c>
      <c r="AH1815" s="571" t="s">
        <v>25</v>
      </c>
      <c r="AI1815" s="586"/>
      <c r="AJ1815" s="586"/>
    </row>
    <row r="1816" spans="1:36" s="394" customFormat="1" ht="40.5" outlineLevel="2" x14ac:dyDescent="0.3">
      <c r="A1816" s="447">
        <v>152</v>
      </c>
      <c r="B1816" s="572"/>
      <c r="C1816" s="572"/>
      <c r="D1816" s="612"/>
      <c r="E1816" s="612"/>
      <c r="F1816" s="586"/>
      <c r="G1816" s="709"/>
      <c r="H1816" s="546"/>
      <c r="I1816" s="563" t="s">
        <v>25</v>
      </c>
      <c r="J1816" s="563" t="s">
        <v>25</v>
      </c>
      <c r="K1816" s="564" t="s">
        <v>25</v>
      </c>
      <c r="L1816" s="564" t="s">
        <v>25</v>
      </c>
      <c r="M1816" s="572"/>
      <c r="N1816" s="572"/>
      <c r="O1816" s="740"/>
      <c r="P1816" s="564" t="s">
        <v>25</v>
      </c>
      <c r="Q1816" s="564" t="s">
        <v>25</v>
      </c>
      <c r="R1816" s="566" t="s">
        <v>2381</v>
      </c>
      <c r="S1816" s="609" t="s">
        <v>1133</v>
      </c>
      <c r="T1816" s="741">
        <v>39.077500000000001</v>
      </c>
      <c r="U1816" s="586"/>
      <c r="V1816" s="564">
        <v>275180</v>
      </c>
      <c r="W1816" s="564">
        <v>10753000</v>
      </c>
      <c r="X1816" s="650"/>
      <c r="Y1816" s="586"/>
      <c r="Z1816" s="742"/>
      <c r="AA1816" s="586"/>
      <c r="AB1816" s="586"/>
      <c r="AC1816" s="586"/>
      <c r="AD1816" s="586"/>
      <c r="AE1816" s="714"/>
      <c r="AF1816" s="570" t="s">
        <v>2899</v>
      </c>
      <c r="AG1816" s="570" t="s">
        <v>25</v>
      </c>
      <c r="AH1816" s="571" t="s">
        <v>25</v>
      </c>
      <c r="AI1816" s="586"/>
      <c r="AJ1816" s="586"/>
    </row>
    <row r="1817" spans="1:36" s="394" customFormat="1" ht="60.75" outlineLevel="2" x14ac:dyDescent="0.3">
      <c r="A1817" s="447">
        <v>152</v>
      </c>
      <c r="B1817" s="572"/>
      <c r="C1817" s="572"/>
      <c r="D1817" s="612"/>
      <c r="E1817" s="612"/>
      <c r="F1817" s="586"/>
      <c r="G1817" s="709"/>
      <c r="H1817" s="546"/>
      <c r="I1817" s="563" t="s">
        <v>25</v>
      </c>
      <c r="J1817" s="563" t="s">
        <v>25</v>
      </c>
      <c r="K1817" s="564" t="s">
        <v>25</v>
      </c>
      <c r="L1817" s="564" t="s">
        <v>25</v>
      </c>
      <c r="M1817" s="572"/>
      <c r="N1817" s="572"/>
      <c r="O1817" s="740"/>
      <c r="P1817" s="564" t="s">
        <v>25</v>
      </c>
      <c r="Q1817" s="564" t="s">
        <v>25</v>
      </c>
      <c r="R1817" s="566" t="s">
        <v>2382</v>
      </c>
      <c r="S1817" s="609" t="s">
        <v>1133</v>
      </c>
      <c r="T1817" s="741">
        <v>7.8</v>
      </c>
      <c r="U1817" s="586"/>
      <c r="V1817" s="564">
        <v>4631321</v>
      </c>
      <c r="W1817" s="564">
        <v>36124000</v>
      </c>
      <c r="X1817" s="650"/>
      <c r="Y1817" s="586"/>
      <c r="Z1817" s="742"/>
      <c r="AA1817" s="586"/>
      <c r="AB1817" s="586"/>
      <c r="AC1817" s="586"/>
      <c r="AD1817" s="586"/>
      <c r="AE1817" s="714"/>
      <c r="AF1817" s="570" t="s">
        <v>2899</v>
      </c>
      <c r="AG1817" s="570" t="s">
        <v>25</v>
      </c>
      <c r="AH1817" s="571" t="s">
        <v>25</v>
      </c>
      <c r="AI1817" s="586"/>
      <c r="AJ1817" s="586"/>
    </row>
    <row r="1818" spans="1:36" s="394" customFormat="1" ht="101.25" outlineLevel="2" x14ac:dyDescent="0.3">
      <c r="A1818" s="447">
        <v>152</v>
      </c>
      <c r="B1818" s="572"/>
      <c r="C1818" s="572"/>
      <c r="D1818" s="612"/>
      <c r="E1818" s="612"/>
      <c r="F1818" s="586"/>
      <c r="G1818" s="709"/>
      <c r="H1818" s="546"/>
      <c r="I1818" s="563" t="s">
        <v>25</v>
      </c>
      <c r="J1818" s="563" t="s">
        <v>25</v>
      </c>
      <c r="K1818" s="564" t="s">
        <v>25</v>
      </c>
      <c r="L1818" s="564" t="s">
        <v>25</v>
      </c>
      <c r="M1818" s="572"/>
      <c r="N1818" s="572"/>
      <c r="O1818" s="740"/>
      <c r="P1818" s="564" t="s">
        <v>25</v>
      </c>
      <c r="Q1818" s="564" t="s">
        <v>25</v>
      </c>
      <c r="R1818" s="566" t="s">
        <v>2383</v>
      </c>
      <c r="S1818" s="609" t="s">
        <v>1286</v>
      </c>
      <c r="T1818" s="741">
        <v>8.1</v>
      </c>
      <c r="U1818" s="586"/>
      <c r="V1818" s="564">
        <v>3878211</v>
      </c>
      <c r="W1818" s="564">
        <v>31414000</v>
      </c>
      <c r="X1818" s="650"/>
      <c r="Y1818" s="586"/>
      <c r="Z1818" s="742"/>
      <c r="AA1818" s="586"/>
      <c r="AB1818" s="586"/>
      <c r="AC1818" s="586"/>
      <c r="AD1818" s="586"/>
      <c r="AE1818" s="714"/>
      <c r="AF1818" s="570" t="s">
        <v>2899</v>
      </c>
      <c r="AG1818" s="570" t="s">
        <v>25</v>
      </c>
      <c r="AH1818" s="571" t="s">
        <v>25</v>
      </c>
      <c r="AI1818" s="586"/>
      <c r="AJ1818" s="586"/>
    </row>
    <row r="1819" spans="1:36" s="394" customFormat="1" ht="20.25" outlineLevel="2" x14ac:dyDescent="0.3">
      <c r="A1819" s="447">
        <v>152</v>
      </c>
      <c r="B1819" s="572"/>
      <c r="C1819" s="572"/>
      <c r="D1819" s="612"/>
      <c r="E1819" s="612"/>
      <c r="F1819" s="586"/>
      <c r="G1819" s="709"/>
      <c r="H1819" s="546"/>
      <c r="I1819" s="563" t="s">
        <v>25</v>
      </c>
      <c r="J1819" s="563" t="s">
        <v>25</v>
      </c>
      <c r="K1819" s="564" t="s">
        <v>25</v>
      </c>
      <c r="L1819" s="564" t="s">
        <v>25</v>
      </c>
      <c r="M1819" s="572"/>
      <c r="N1819" s="572"/>
      <c r="O1819" s="740"/>
      <c r="P1819" s="564" t="s">
        <v>25</v>
      </c>
      <c r="Q1819" s="564" t="s">
        <v>25</v>
      </c>
      <c r="R1819" s="566"/>
      <c r="S1819" s="609"/>
      <c r="T1819" s="741"/>
      <c r="U1819" s="586"/>
      <c r="V1819" s="564" t="s">
        <v>2899</v>
      </c>
      <c r="W1819" s="564" t="s">
        <v>25</v>
      </c>
      <c r="X1819" s="650"/>
      <c r="Y1819" s="586"/>
      <c r="Z1819" s="742"/>
      <c r="AA1819" s="586"/>
      <c r="AB1819" s="586"/>
      <c r="AC1819" s="586"/>
      <c r="AD1819" s="586"/>
      <c r="AE1819" s="714"/>
      <c r="AF1819" s="570" t="s">
        <v>2899</v>
      </c>
      <c r="AG1819" s="570" t="s">
        <v>25</v>
      </c>
      <c r="AH1819" s="571" t="s">
        <v>25</v>
      </c>
      <c r="AI1819" s="586"/>
      <c r="AJ1819" s="586"/>
    </row>
    <row r="1820" spans="1:36" s="394" customFormat="1" ht="20.25" outlineLevel="2" x14ac:dyDescent="0.3">
      <c r="A1820" s="447">
        <v>152</v>
      </c>
      <c r="B1820" s="572"/>
      <c r="C1820" s="572"/>
      <c r="D1820" s="612"/>
      <c r="E1820" s="612"/>
      <c r="F1820" s="586"/>
      <c r="G1820" s="709"/>
      <c r="H1820" s="546"/>
      <c r="I1820" s="563" t="s">
        <v>25</v>
      </c>
      <c r="J1820" s="563" t="s">
        <v>25</v>
      </c>
      <c r="K1820" s="564" t="s">
        <v>25</v>
      </c>
      <c r="L1820" s="564" t="s">
        <v>25</v>
      </c>
      <c r="M1820" s="572"/>
      <c r="N1820" s="572"/>
      <c r="O1820" s="740"/>
      <c r="P1820" s="564" t="s">
        <v>25</v>
      </c>
      <c r="Q1820" s="564" t="s">
        <v>25</v>
      </c>
      <c r="R1820" s="572"/>
      <c r="S1820" s="609"/>
      <c r="T1820" s="741"/>
      <c r="U1820" s="586"/>
      <c r="V1820" s="564" t="s">
        <v>2899</v>
      </c>
      <c r="W1820" s="564" t="s">
        <v>25</v>
      </c>
      <c r="X1820" s="650"/>
      <c r="Y1820" s="586"/>
      <c r="Z1820" s="742"/>
      <c r="AA1820" s="586"/>
      <c r="AB1820" s="586"/>
      <c r="AC1820" s="586"/>
      <c r="AD1820" s="586"/>
      <c r="AE1820" s="714"/>
      <c r="AF1820" s="570" t="s">
        <v>2899</v>
      </c>
      <c r="AG1820" s="570" t="s">
        <v>25</v>
      </c>
      <c r="AH1820" s="571" t="s">
        <v>25</v>
      </c>
      <c r="AI1820" s="586"/>
      <c r="AJ1820" s="586"/>
    </row>
    <row r="1821" spans="1:36" s="394" customFormat="1" ht="20.25" outlineLevel="2" x14ac:dyDescent="0.3">
      <c r="A1821" s="447">
        <v>152</v>
      </c>
      <c r="B1821" s="572"/>
      <c r="C1821" s="572"/>
      <c r="D1821" s="612"/>
      <c r="E1821" s="612"/>
      <c r="F1821" s="586"/>
      <c r="G1821" s="709"/>
      <c r="H1821" s="546"/>
      <c r="I1821" s="563" t="s">
        <v>25</v>
      </c>
      <c r="J1821" s="563" t="s">
        <v>25</v>
      </c>
      <c r="K1821" s="564" t="s">
        <v>25</v>
      </c>
      <c r="L1821" s="564" t="s">
        <v>25</v>
      </c>
      <c r="M1821" s="572"/>
      <c r="N1821" s="572"/>
      <c r="O1821" s="740"/>
      <c r="P1821" s="564" t="s">
        <v>25</v>
      </c>
      <c r="Q1821" s="564" t="s">
        <v>25</v>
      </c>
      <c r="R1821" s="572"/>
      <c r="S1821" s="609"/>
      <c r="T1821" s="741"/>
      <c r="U1821" s="586"/>
      <c r="V1821" s="564" t="s">
        <v>2899</v>
      </c>
      <c r="W1821" s="564" t="s">
        <v>25</v>
      </c>
      <c r="X1821" s="650"/>
      <c r="Y1821" s="586"/>
      <c r="Z1821" s="742"/>
      <c r="AA1821" s="586"/>
      <c r="AB1821" s="586"/>
      <c r="AC1821" s="586"/>
      <c r="AD1821" s="586"/>
      <c r="AE1821" s="714"/>
      <c r="AF1821" s="570" t="s">
        <v>2899</v>
      </c>
      <c r="AG1821" s="570" t="s">
        <v>25</v>
      </c>
      <c r="AH1821" s="571" t="s">
        <v>25</v>
      </c>
      <c r="AI1821" s="572"/>
      <c r="AJ1821" s="572"/>
    </row>
    <row r="1822" spans="1:36" s="394" customFormat="1" ht="20.25" outlineLevel="2" x14ac:dyDescent="0.3">
      <c r="A1822" s="447">
        <v>152</v>
      </c>
      <c r="B1822" s="572"/>
      <c r="C1822" s="572"/>
      <c r="D1822" s="612"/>
      <c r="E1822" s="612"/>
      <c r="F1822" s="586"/>
      <c r="G1822" s="709"/>
      <c r="H1822" s="546"/>
      <c r="I1822" s="563" t="s">
        <v>25</v>
      </c>
      <c r="J1822" s="563" t="s">
        <v>25</v>
      </c>
      <c r="K1822" s="564" t="s">
        <v>25</v>
      </c>
      <c r="L1822" s="564" t="s">
        <v>25</v>
      </c>
      <c r="M1822" s="572"/>
      <c r="N1822" s="572"/>
      <c r="O1822" s="740"/>
      <c r="P1822" s="564" t="s">
        <v>25</v>
      </c>
      <c r="Q1822" s="564" t="s">
        <v>25</v>
      </c>
      <c r="R1822" s="572"/>
      <c r="S1822" s="609"/>
      <c r="T1822" s="741"/>
      <c r="U1822" s="586"/>
      <c r="V1822" s="564" t="s">
        <v>2899</v>
      </c>
      <c r="W1822" s="564" t="s">
        <v>25</v>
      </c>
      <c r="X1822" s="650"/>
      <c r="Y1822" s="586"/>
      <c r="Z1822" s="742"/>
      <c r="AA1822" s="586"/>
      <c r="AB1822" s="586"/>
      <c r="AC1822" s="586"/>
      <c r="AD1822" s="586"/>
      <c r="AE1822" s="714"/>
      <c r="AF1822" s="570" t="s">
        <v>2899</v>
      </c>
      <c r="AG1822" s="570" t="s">
        <v>25</v>
      </c>
      <c r="AH1822" s="571" t="s">
        <v>25</v>
      </c>
      <c r="AI1822" s="558"/>
      <c r="AJ1822" s="558"/>
    </row>
    <row r="1823" spans="1:36" s="394" customFormat="1" ht="20.25" outlineLevel="2" x14ac:dyDescent="0.3">
      <c r="A1823" s="447">
        <v>152</v>
      </c>
      <c r="B1823" s="607"/>
      <c r="C1823" s="607"/>
      <c r="D1823" s="642"/>
      <c r="E1823" s="642"/>
      <c r="F1823" s="586"/>
      <c r="G1823" s="709"/>
      <c r="H1823" s="546"/>
      <c r="I1823" s="563" t="s">
        <v>25</v>
      </c>
      <c r="J1823" s="563" t="s">
        <v>25</v>
      </c>
      <c r="K1823" s="564" t="s">
        <v>25</v>
      </c>
      <c r="L1823" s="564" t="s">
        <v>25</v>
      </c>
      <c r="M1823" s="572"/>
      <c r="N1823" s="572"/>
      <c r="O1823" s="740"/>
      <c r="P1823" s="564" t="s">
        <v>25</v>
      </c>
      <c r="Q1823" s="564" t="s">
        <v>25</v>
      </c>
      <c r="R1823" s="572"/>
      <c r="S1823" s="609"/>
      <c r="T1823" s="741"/>
      <c r="U1823" s="586"/>
      <c r="V1823" s="564" t="s">
        <v>2899</v>
      </c>
      <c r="W1823" s="564" t="s">
        <v>25</v>
      </c>
      <c r="X1823" s="650"/>
      <c r="Y1823" s="586"/>
      <c r="Z1823" s="742"/>
      <c r="AA1823" s="586"/>
      <c r="AB1823" s="586"/>
      <c r="AC1823" s="586"/>
      <c r="AD1823" s="586"/>
      <c r="AE1823" s="714"/>
      <c r="AF1823" s="570" t="s">
        <v>2899</v>
      </c>
      <c r="AG1823" s="570" t="s">
        <v>25</v>
      </c>
      <c r="AH1823" s="571" t="s">
        <v>25</v>
      </c>
      <c r="AI1823" s="586"/>
      <c r="AJ1823" s="586"/>
    </row>
    <row r="1824" spans="1:36" s="396" customFormat="1" ht="40.5" outlineLevel="1" x14ac:dyDescent="0.25">
      <c r="A1824" s="467">
        <v>153</v>
      </c>
      <c r="B1824" s="607" t="s">
        <v>1287</v>
      </c>
      <c r="C1824" s="586" t="s">
        <v>2903</v>
      </c>
      <c r="D1824" s="612">
        <v>86</v>
      </c>
      <c r="E1824" s="612">
        <v>380</v>
      </c>
      <c r="F1824" s="578"/>
      <c r="G1824" s="707">
        <v>14.1</v>
      </c>
      <c r="H1824" s="579">
        <v>0</v>
      </c>
      <c r="I1824" s="581"/>
      <c r="J1824" s="581"/>
      <c r="K1824" s="571">
        <v>7817000</v>
      </c>
      <c r="L1824" s="571">
        <v>0</v>
      </c>
      <c r="M1824" s="607"/>
      <c r="N1824" s="607"/>
      <c r="O1824" s="738">
        <v>1</v>
      </c>
      <c r="P1824" s="571"/>
      <c r="Q1824" s="571">
        <v>0</v>
      </c>
      <c r="R1824" s="582"/>
      <c r="S1824" s="621"/>
      <c r="T1824" s="739">
        <v>0</v>
      </c>
      <c r="U1824" s="578"/>
      <c r="V1824" s="571"/>
      <c r="W1824" s="571">
        <v>0</v>
      </c>
      <c r="X1824" s="650"/>
      <c r="Y1824" s="586"/>
      <c r="Z1824" s="742"/>
      <c r="AA1824" s="586"/>
      <c r="AB1824" s="586"/>
      <c r="AC1824" s="586"/>
      <c r="AD1824" s="578"/>
      <c r="AE1824" s="712">
        <f>SUBTOTAL(9,AE1825:AE1830)</f>
        <v>0</v>
      </c>
      <c r="AF1824" s="585"/>
      <c r="AG1824" s="585">
        <v>0</v>
      </c>
      <c r="AH1824" s="571">
        <v>7817000</v>
      </c>
      <c r="AI1824" s="578"/>
      <c r="AJ1824" s="578"/>
    </row>
    <row r="1825" spans="1:38" s="396" customFormat="1" ht="121.5" outlineLevel="2" x14ac:dyDescent="0.3">
      <c r="A1825" s="447">
        <v>153</v>
      </c>
      <c r="B1825" s="572" t="s">
        <v>1289</v>
      </c>
      <c r="C1825" s="572"/>
      <c r="D1825" s="612"/>
      <c r="E1825" s="612"/>
      <c r="F1825" s="586" t="s">
        <v>2897</v>
      </c>
      <c r="G1825" s="709">
        <v>14.1</v>
      </c>
      <c r="H1825" s="546" t="s">
        <v>2899</v>
      </c>
      <c r="I1825" s="563">
        <v>554400</v>
      </c>
      <c r="J1825" s="563">
        <v>0</v>
      </c>
      <c r="K1825" s="564">
        <v>7817000</v>
      </c>
      <c r="L1825" s="564">
        <v>0</v>
      </c>
      <c r="M1825" s="572" t="s">
        <v>1240</v>
      </c>
      <c r="N1825" s="572"/>
      <c r="O1825" s="740">
        <v>1</v>
      </c>
      <c r="P1825" s="564">
        <v>0</v>
      </c>
      <c r="Q1825" s="564">
        <v>0</v>
      </c>
      <c r="R1825" s="566"/>
      <c r="S1825" s="609"/>
      <c r="T1825" s="741"/>
      <c r="U1825" s="586"/>
      <c r="V1825" s="564" t="s">
        <v>2899</v>
      </c>
      <c r="W1825" s="564" t="s">
        <v>25</v>
      </c>
      <c r="X1825" s="650"/>
      <c r="Y1825" s="586"/>
      <c r="Z1825" s="742"/>
      <c r="AA1825" s="586"/>
      <c r="AB1825" s="586"/>
      <c r="AC1825" s="586"/>
      <c r="AD1825" s="586"/>
      <c r="AE1825" s="714"/>
      <c r="AF1825" s="570" t="s">
        <v>2899</v>
      </c>
      <c r="AG1825" s="570"/>
      <c r="AH1825" s="571" t="s">
        <v>25</v>
      </c>
      <c r="AI1825" s="586" t="s">
        <v>1288</v>
      </c>
      <c r="AJ1825" s="586" t="s">
        <v>2771</v>
      </c>
    </row>
    <row r="1826" spans="1:38" s="394" customFormat="1" ht="101.25" outlineLevel="2" x14ac:dyDescent="0.3">
      <c r="A1826" s="447">
        <v>153</v>
      </c>
      <c r="B1826" s="572" t="s">
        <v>1612</v>
      </c>
      <c r="C1826" s="572"/>
      <c r="D1826" s="612"/>
      <c r="E1826" s="612"/>
      <c r="F1826" s="586"/>
      <c r="G1826" s="709"/>
      <c r="H1826" s="546"/>
      <c r="I1826" s="563" t="s">
        <v>25</v>
      </c>
      <c r="J1826" s="563" t="s">
        <v>25</v>
      </c>
      <c r="K1826" s="564" t="s">
        <v>25</v>
      </c>
      <c r="L1826" s="564" t="s">
        <v>25</v>
      </c>
      <c r="M1826" s="572"/>
      <c r="N1826" s="572"/>
      <c r="O1826" s="740"/>
      <c r="P1826" s="564" t="s">
        <v>25</v>
      </c>
      <c r="Q1826" s="564" t="s">
        <v>25</v>
      </c>
      <c r="R1826" s="566"/>
      <c r="S1826" s="609"/>
      <c r="T1826" s="741"/>
      <c r="U1826" s="586"/>
      <c r="V1826" s="564" t="s">
        <v>2899</v>
      </c>
      <c r="W1826" s="564" t="s">
        <v>25</v>
      </c>
      <c r="X1826" s="650"/>
      <c r="Y1826" s="586"/>
      <c r="Z1826" s="742"/>
      <c r="AA1826" s="586"/>
      <c r="AB1826" s="586"/>
      <c r="AC1826" s="586"/>
      <c r="AD1826" s="586"/>
      <c r="AE1826" s="714"/>
      <c r="AF1826" s="570" t="s">
        <v>2899</v>
      </c>
      <c r="AG1826" s="570" t="s">
        <v>25</v>
      </c>
      <c r="AH1826" s="571" t="s">
        <v>25</v>
      </c>
      <c r="AI1826" s="586" t="s">
        <v>1290</v>
      </c>
      <c r="AJ1826" s="558" t="s">
        <v>2449</v>
      </c>
    </row>
    <row r="1827" spans="1:38" s="394" customFormat="1" ht="20.25" outlineLevel="2" x14ac:dyDescent="0.3">
      <c r="A1827" s="447">
        <v>153</v>
      </c>
      <c r="B1827" s="572"/>
      <c r="C1827" s="572"/>
      <c r="D1827" s="612"/>
      <c r="E1827" s="612"/>
      <c r="F1827" s="586"/>
      <c r="G1827" s="709"/>
      <c r="H1827" s="546"/>
      <c r="I1827" s="563" t="s">
        <v>25</v>
      </c>
      <c r="J1827" s="563" t="s">
        <v>25</v>
      </c>
      <c r="K1827" s="564" t="s">
        <v>25</v>
      </c>
      <c r="L1827" s="564" t="s">
        <v>25</v>
      </c>
      <c r="M1827" s="572"/>
      <c r="N1827" s="572"/>
      <c r="O1827" s="740"/>
      <c r="P1827" s="564" t="s">
        <v>25</v>
      </c>
      <c r="Q1827" s="564" t="s">
        <v>25</v>
      </c>
      <c r="R1827" s="566"/>
      <c r="S1827" s="609"/>
      <c r="T1827" s="741"/>
      <c r="U1827" s="586"/>
      <c r="V1827" s="564" t="s">
        <v>2899</v>
      </c>
      <c r="W1827" s="564" t="s">
        <v>25</v>
      </c>
      <c r="X1827" s="650"/>
      <c r="Y1827" s="586"/>
      <c r="Z1827" s="742"/>
      <c r="AA1827" s="586"/>
      <c r="AB1827" s="586"/>
      <c r="AC1827" s="586"/>
      <c r="AD1827" s="586"/>
      <c r="AE1827" s="714"/>
      <c r="AF1827" s="570" t="s">
        <v>2899</v>
      </c>
      <c r="AG1827" s="570" t="s">
        <v>25</v>
      </c>
      <c r="AH1827" s="571" t="s">
        <v>25</v>
      </c>
      <c r="AI1827" s="586" t="s">
        <v>1291</v>
      </c>
      <c r="AJ1827" s="586"/>
    </row>
    <row r="1828" spans="1:38" s="394" customFormat="1" ht="101.25" outlineLevel="2" x14ac:dyDescent="0.3">
      <c r="A1828" s="447">
        <v>153</v>
      </c>
      <c r="B1828" s="572"/>
      <c r="C1828" s="572"/>
      <c r="D1828" s="612"/>
      <c r="E1828" s="612"/>
      <c r="F1828" s="586"/>
      <c r="G1828" s="709"/>
      <c r="H1828" s="546"/>
      <c r="I1828" s="563" t="s">
        <v>25</v>
      </c>
      <c r="J1828" s="563" t="s">
        <v>25</v>
      </c>
      <c r="K1828" s="564" t="s">
        <v>25</v>
      </c>
      <c r="L1828" s="564" t="s">
        <v>25</v>
      </c>
      <c r="M1828" s="572"/>
      <c r="N1828" s="572"/>
      <c r="O1828" s="740"/>
      <c r="P1828" s="564" t="s">
        <v>25</v>
      </c>
      <c r="Q1828" s="564" t="s">
        <v>25</v>
      </c>
      <c r="R1828" s="572"/>
      <c r="S1828" s="609"/>
      <c r="T1828" s="741"/>
      <c r="U1828" s="586"/>
      <c r="V1828" s="564" t="s">
        <v>2899</v>
      </c>
      <c r="W1828" s="564" t="s">
        <v>25</v>
      </c>
      <c r="X1828" s="650"/>
      <c r="Y1828" s="586"/>
      <c r="Z1828" s="742"/>
      <c r="AA1828" s="586"/>
      <c r="AB1828" s="586"/>
      <c r="AC1828" s="586"/>
      <c r="AD1828" s="586"/>
      <c r="AE1828" s="714"/>
      <c r="AF1828" s="570" t="s">
        <v>2899</v>
      </c>
      <c r="AG1828" s="570" t="s">
        <v>25</v>
      </c>
      <c r="AH1828" s="571" t="s">
        <v>25</v>
      </c>
      <c r="AI1828" s="586" t="s">
        <v>2238</v>
      </c>
      <c r="AJ1828" s="586"/>
    </row>
    <row r="1829" spans="1:38" s="394" customFormat="1" ht="20.25" outlineLevel="2" x14ac:dyDescent="0.3">
      <c r="A1829" s="447">
        <v>153</v>
      </c>
      <c r="B1829" s="572"/>
      <c r="C1829" s="572"/>
      <c r="D1829" s="612"/>
      <c r="E1829" s="612"/>
      <c r="F1829" s="586"/>
      <c r="G1829" s="709"/>
      <c r="H1829" s="546"/>
      <c r="I1829" s="563" t="s">
        <v>25</v>
      </c>
      <c r="J1829" s="563" t="s">
        <v>25</v>
      </c>
      <c r="K1829" s="564" t="s">
        <v>25</v>
      </c>
      <c r="L1829" s="564" t="s">
        <v>25</v>
      </c>
      <c r="M1829" s="572"/>
      <c r="N1829" s="572"/>
      <c r="O1829" s="740"/>
      <c r="P1829" s="564" t="s">
        <v>25</v>
      </c>
      <c r="Q1829" s="564" t="s">
        <v>25</v>
      </c>
      <c r="R1829" s="572"/>
      <c r="S1829" s="609"/>
      <c r="T1829" s="741"/>
      <c r="U1829" s="586"/>
      <c r="V1829" s="564" t="s">
        <v>2899</v>
      </c>
      <c r="W1829" s="564" t="s">
        <v>25</v>
      </c>
      <c r="X1829" s="650"/>
      <c r="Y1829" s="586"/>
      <c r="Z1829" s="742"/>
      <c r="AA1829" s="586"/>
      <c r="AB1829" s="586"/>
      <c r="AC1829" s="586"/>
      <c r="AD1829" s="586"/>
      <c r="AE1829" s="714"/>
      <c r="AF1829" s="570" t="s">
        <v>2899</v>
      </c>
      <c r="AG1829" s="570" t="s">
        <v>25</v>
      </c>
      <c r="AH1829" s="571" t="s">
        <v>25</v>
      </c>
      <c r="AI1829" s="558"/>
      <c r="AJ1829" s="558"/>
    </row>
    <row r="1830" spans="1:38" s="394" customFormat="1" ht="20.25" outlineLevel="2" x14ac:dyDescent="0.3">
      <c r="A1830" s="447">
        <v>153</v>
      </c>
      <c r="B1830" s="607"/>
      <c r="C1830" s="607"/>
      <c r="D1830" s="642"/>
      <c r="E1830" s="642"/>
      <c r="F1830" s="586"/>
      <c r="G1830" s="709"/>
      <c r="H1830" s="546"/>
      <c r="I1830" s="563" t="s">
        <v>25</v>
      </c>
      <c r="J1830" s="563" t="s">
        <v>25</v>
      </c>
      <c r="K1830" s="564" t="s">
        <v>25</v>
      </c>
      <c r="L1830" s="564" t="s">
        <v>25</v>
      </c>
      <c r="M1830" s="572"/>
      <c r="N1830" s="572"/>
      <c r="O1830" s="740"/>
      <c r="P1830" s="564" t="s">
        <v>25</v>
      </c>
      <c r="Q1830" s="564" t="s">
        <v>25</v>
      </c>
      <c r="R1830" s="572"/>
      <c r="S1830" s="609"/>
      <c r="T1830" s="741"/>
      <c r="U1830" s="586"/>
      <c r="V1830" s="564" t="s">
        <v>2899</v>
      </c>
      <c r="W1830" s="564" t="s">
        <v>25</v>
      </c>
      <c r="X1830" s="650"/>
      <c r="Y1830" s="586"/>
      <c r="Z1830" s="742"/>
      <c r="AA1830" s="586"/>
      <c r="AB1830" s="586"/>
      <c r="AC1830" s="586"/>
      <c r="AD1830" s="586"/>
      <c r="AE1830" s="714"/>
      <c r="AF1830" s="570" t="s">
        <v>2899</v>
      </c>
      <c r="AG1830" s="570" t="s">
        <v>25</v>
      </c>
      <c r="AH1830" s="571" t="s">
        <v>25</v>
      </c>
      <c r="AI1830" s="586"/>
      <c r="AJ1830" s="586"/>
    </row>
    <row r="1831" spans="1:38" s="394" customFormat="1" ht="40.5" outlineLevel="1" x14ac:dyDescent="0.25">
      <c r="A1831" s="467">
        <v>154</v>
      </c>
      <c r="B1831" s="607" t="s">
        <v>1292</v>
      </c>
      <c r="C1831" s="586" t="s">
        <v>2903</v>
      </c>
      <c r="D1831" s="612">
        <v>86</v>
      </c>
      <c r="E1831" s="612">
        <v>393</v>
      </c>
      <c r="F1831" s="578"/>
      <c r="G1831" s="707">
        <v>14.3</v>
      </c>
      <c r="H1831" s="579">
        <v>0</v>
      </c>
      <c r="I1831" s="581"/>
      <c r="J1831" s="581"/>
      <c r="K1831" s="571">
        <v>103827000</v>
      </c>
      <c r="L1831" s="571">
        <v>0</v>
      </c>
      <c r="M1831" s="607"/>
      <c r="N1831" s="607"/>
      <c r="O1831" s="738">
        <v>22</v>
      </c>
      <c r="P1831" s="571"/>
      <c r="Q1831" s="571">
        <v>1424000</v>
      </c>
      <c r="R1831" s="582"/>
      <c r="S1831" s="621"/>
      <c r="T1831" s="739">
        <v>22</v>
      </c>
      <c r="U1831" s="578"/>
      <c r="V1831" s="571"/>
      <c r="W1831" s="571">
        <v>13762000</v>
      </c>
      <c r="X1831" s="650"/>
      <c r="Y1831" s="586"/>
      <c r="Z1831" s="742"/>
      <c r="AA1831" s="586"/>
      <c r="AB1831" s="586"/>
      <c r="AC1831" s="586"/>
      <c r="AD1831" s="578"/>
      <c r="AE1831" s="712">
        <f>SUBTOTAL(9,AE1832:AE1838)</f>
        <v>0</v>
      </c>
      <c r="AF1831" s="585"/>
      <c r="AG1831" s="585">
        <v>0</v>
      </c>
      <c r="AH1831" s="571">
        <v>119013000</v>
      </c>
      <c r="AI1831" s="578"/>
      <c r="AJ1831" s="578"/>
      <c r="AL1831" s="471"/>
    </row>
    <row r="1832" spans="1:38" s="394" customFormat="1" ht="141.75" outlineLevel="2" x14ac:dyDescent="0.3">
      <c r="A1832" s="447">
        <v>154</v>
      </c>
      <c r="B1832" s="572" t="s">
        <v>1295</v>
      </c>
      <c r="C1832" s="572"/>
      <c r="D1832" s="612"/>
      <c r="E1832" s="612"/>
      <c r="F1832" s="586" t="s">
        <v>2049</v>
      </c>
      <c r="G1832" s="709">
        <v>14.3</v>
      </c>
      <c r="H1832" s="546" t="s">
        <v>2899</v>
      </c>
      <c r="I1832" s="563">
        <v>7260624</v>
      </c>
      <c r="J1832" s="563">
        <v>0</v>
      </c>
      <c r="K1832" s="564">
        <v>103827000</v>
      </c>
      <c r="L1832" s="564">
        <v>0</v>
      </c>
      <c r="M1832" s="572" t="s">
        <v>72</v>
      </c>
      <c r="N1832" s="572"/>
      <c r="O1832" s="740">
        <v>5</v>
      </c>
      <c r="P1832" s="564">
        <v>132000</v>
      </c>
      <c r="Q1832" s="564">
        <v>660000</v>
      </c>
      <c r="R1832" s="566" t="s">
        <v>2384</v>
      </c>
      <c r="S1832" s="609" t="s">
        <v>1133</v>
      </c>
      <c r="T1832" s="741">
        <v>22</v>
      </c>
      <c r="U1832" s="586"/>
      <c r="V1832" s="564">
        <v>625568</v>
      </c>
      <c r="W1832" s="564">
        <v>13762000</v>
      </c>
      <c r="X1832" s="650"/>
      <c r="Y1832" s="586"/>
      <c r="Z1832" s="742"/>
      <c r="AA1832" s="586"/>
      <c r="AB1832" s="586"/>
      <c r="AC1832" s="586"/>
      <c r="AD1832" s="586"/>
      <c r="AE1832" s="714"/>
      <c r="AF1832" s="570" t="s">
        <v>2899</v>
      </c>
      <c r="AG1832" s="570"/>
      <c r="AH1832" s="571" t="s">
        <v>25</v>
      </c>
      <c r="AI1832" s="586" t="s">
        <v>1294</v>
      </c>
      <c r="AJ1832" s="586" t="s">
        <v>2771</v>
      </c>
      <c r="AL1832" s="182" t="s">
        <v>2162</v>
      </c>
    </row>
    <row r="1833" spans="1:38" s="394" customFormat="1" ht="121.5" outlineLevel="2" x14ac:dyDescent="0.3">
      <c r="A1833" s="447">
        <v>154</v>
      </c>
      <c r="B1833" s="572" t="s">
        <v>1613</v>
      </c>
      <c r="C1833" s="572"/>
      <c r="D1833" s="612"/>
      <c r="E1833" s="612"/>
      <c r="F1833" s="586"/>
      <c r="G1833" s="709"/>
      <c r="H1833" s="546"/>
      <c r="I1833" s="563" t="s">
        <v>25</v>
      </c>
      <c r="J1833" s="563" t="s">
        <v>25</v>
      </c>
      <c r="K1833" s="564" t="s">
        <v>25</v>
      </c>
      <c r="L1833" s="564" t="s">
        <v>25</v>
      </c>
      <c r="M1833" s="572" t="s">
        <v>73</v>
      </c>
      <c r="N1833" s="572"/>
      <c r="O1833" s="740">
        <v>6</v>
      </c>
      <c r="P1833" s="564">
        <v>76000</v>
      </c>
      <c r="Q1833" s="564">
        <v>456000</v>
      </c>
      <c r="R1833" s="566"/>
      <c r="S1833" s="609"/>
      <c r="T1833" s="741"/>
      <c r="U1833" s="586"/>
      <c r="V1833" s="564" t="s">
        <v>2899</v>
      </c>
      <c r="W1833" s="564" t="s">
        <v>25</v>
      </c>
      <c r="X1833" s="650"/>
      <c r="Y1833" s="586"/>
      <c r="Z1833" s="742"/>
      <c r="AA1833" s="586"/>
      <c r="AB1833" s="586"/>
      <c r="AC1833" s="586"/>
      <c r="AD1833" s="586"/>
      <c r="AE1833" s="714"/>
      <c r="AF1833" s="570" t="s">
        <v>2899</v>
      </c>
      <c r="AG1833" s="570" t="s">
        <v>25</v>
      </c>
      <c r="AH1833" s="571" t="s">
        <v>25</v>
      </c>
      <c r="AI1833" s="586" t="s">
        <v>1296</v>
      </c>
      <c r="AJ1833" s="558" t="s">
        <v>2450</v>
      </c>
    </row>
    <row r="1834" spans="1:38" s="394" customFormat="1" ht="101.25" outlineLevel="2" x14ac:dyDescent="0.3">
      <c r="A1834" s="447">
        <v>154</v>
      </c>
      <c r="B1834" s="572"/>
      <c r="C1834" s="572"/>
      <c r="D1834" s="612"/>
      <c r="E1834" s="612"/>
      <c r="F1834" s="586"/>
      <c r="G1834" s="709"/>
      <c r="H1834" s="546"/>
      <c r="I1834" s="563" t="s">
        <v>25</v>
      </c>
      <c r="J1834" s="563" t="s">
        <v>25</v>
      </c>
      <c r="K1834" s="564" t="s">
        <v>25</v>
      </c>
      <c r="L1834" s="564" t="s">
        <v>25</v>
      </c>
      <c r="M1834" s="572" t="s">
        <v>75</v>
      </c>
      <c r="N1834" s="572"/>
      <c r="O1834" s="740">
        <v>8</v>
      </c>
      <c r="P1834" s="564">
        <v>34000</v>
      </c>
      <c r="Q1834" s="564">
        <v>272000</v>
      </c>
      <c r="R1834" s="566"/>
      <c r="S1834" s="609"/>
      <c r="T1834" s="741"/>
      <c r="U1834" s="586"/>
      <c r="V1834" s="564" t="s">
        <v>2899</v>
      </c>
      <c r="W1834" s="564" t="s">
        <v>25</v>
      </c>
      <c r="X1834" s="650"/>
      <c r="Y1834" s="586"/>
      <c r="Z1834" s="742"/>
      <c r="AA1834" s="586"/>
      <c r="AB1834" s="586"/>
      <c r="AC1834" s="586"/>
      <c r="AD1834" s="586"/>
      <c r="AE1834" s="714"/>
      <c r="AF1834" s="570" t="s">
        <v>2899</v>
      </c>
      <c r="AG1834" s="570" t="s">
        <v>25</v>
      </c>
      <c r="AH1834" s="571" t="s">
        <v>25</v>
      </c>
      <c r="AI1834" s="586" t="s">
        <v>1297</v>
      </c>
      <c r="AJ1834" s="558" t="s">
        <v>2449</v>
      </c>
    </row>
    <row r="1835" spans="1:38" s="394" customFormat="1" ht="60.75" outlineLevel="2" x14ac:dyDescent="0.3">
      <c r="A1835" s="447">
        <v>154</v>
      </c>
      <c r="B1835" s="572"/>
      <c r="C1835" s="572"/>
      <c r="D1835" s="612"/>
      <c r="E1835" s="612"/>
      <c r="F1835" s="586"/>
      <c r="G1835" s="709"/>
      <c r="H1835" s="546"/>
      <c r="I1835" s="563" t="s">
        <v>25</v>
      </c>
      <c r="J1835" s="563" t="s">
        <v>25</v>
      </c>
      <c r="K1835" s="564" t="s">
        <v>25</v>
      </c>
      <c r="L1835" s="564" t="s">
        <v>25</v>
      </c>
      <c r="M1835" s="565" t="s">
        <v>429</v>
      </c>
      <c r="N1835" s="565"/>
      <c r="O1835" s="740">
        <v>3</v>
      </c>
      <c r="P1835" s="564">
        <v>12000</v>
      </c>
      <c r="Q1835" s="564">
        <v>36000</v>
      </c>
      <c r="R1835" s="572"/>
      <c r="S1835" s="609"/>
      <c r="T1835" s="741"/>
      <c r="U1835" s="586"/>
      <c r="V1835" s="564" t="s">
        <v>2899</v>
      </c>
      <c r="W1835" s="564" t="s">
        <v>25</v>
      </c>
      <c r="X1835" s="650"/>
      <c r="Y1835" s="586"/>
      <c r="Z1835" s="742"/>
      <c r="AA1835" s="586"/>
      <c r="AB1835" s="586"/>
      <c r="AC1835" s="586"/>
      <c r="AD1835" s="586"/>
      <c r="AE1835" s="714"/>
      <c r="AF1835" s="570" t="s">
        <v>2899</v>
      </c>
      <c r="AG1835" s="570" t="s">
        <v>25</v>
      </c>
      <c r="AH1835" s="571" t="s">
        <v>25</v>
      </c>
      <c r="AI1835" s="731"/>
      <c r="AJ1835" s="586"/>
    </row>
    <row r="1836" spans="1:38" s="394" customFormat="1" ht="20.25" outlineLevel="2" x14ac:dyDescent="0.3">
      <c r="A1836" s="447">
        <v>154</v>
      </c>
      <c r="B1836" s="572"/>
      <c r="C1836" s="572"/>
      <c r="D1836" s="612"/>
      <c r="E1836" s="612"/>
      <c r="F1836" s="586"/>
      <c r="G1836" s="709"/>
      <c r="H1836" s="546"/>
      <c r="I1836" s="563" t="s">
        <v>25</v>
      </c>
      <c r="J1836" s="563" t="s">
        <v>25</v>
      </c>
      <c r="K1836" s="564" t="s">
        <v>25</v>
      </c>
      <c r="L1836" s="564" t="s">
        <v>25</v>
      </c>
      <c r="M1836" s="572"/>
      <c r="N1836" s="572"/>
      <c r="O1836" s="740"/>
      <c r="P1836" s="564" t="s">
        <v>25</v>
      </c>
      <c r="Q1836" s="564" t="s">
        <v>25</v>
      </c>
      <c r="R1836" s="572"/>
      <c r="S1836" s="609"/>
      <c r="T1836" s="741"/>
      <c r="U1836" s="586"/>
      <c r="V1836" s="564" t="s">
        <v>2899</v>
      </c>
      <c r="W1836" s="564" t="s">
        <v>25</v>
      </c>
      <c r="X1836" s="650"/>
      <c r="Y1836" s="586"/>
      <c r="Z1836" s="742"/>
      <c r="AA1836" s="586"/>
      <c r="AB1836" s="586"/>
      <c r="AC1836" s="586"/>
      <c r="AD1836" s="586"/>
      <c r="AE1836" s="714"/>
      <c r="AF1836" s="570" t="s">
        <v>2899</v>
      </c>
      <c r="AG1836" s="570" t="s">
        <v>25</v>
      </c>
      <c r="AH1836" s="571" t="s">
        <v>25</v>
      </c>
      <c r="AI1836" s="586"/>
      <c r="AJ1836" s="586"/>
    </row>
    <row r="1837" spans="1:38" s="394" customFormat="1" ht="20.25" outlineLevel="2" x14ac:dyDescent="0.3">
      <c r="A1837" s="447">
        <v>154</v>
      </c>
      <c r="B1837" s="572"/>
      <c r="C1837" s="572"/>
      <c r="D1837" s="612"/>
      <c r="E1837" s="612"/>
      <c r="F1837" s="586"/>
      <c r="G1837" s="709"/>
      <c r="H1837" s="546"/>
      <c r="I1837" s="563" t="s">
        <v>25</v>
      </c>
      <c r="J1837" s="563" t="s">
        <v>25</v>
      </c>
      <c r="K1837" s="564" t="s">
        <v>25</v>
      </c>
      <c r="L1837" s="564" t="s">
        <v>25</v>
      </c>
      <c r="M1837" s="572"/>
      <c r="N1837" s="572"/>
      <c r="O1837" s="740"/>
      <c r="P1837" s="564" t="s">
        <v>25</v>
      </c>
      <c r="Q1837" s="564" t="s">
        <v>25</v>
      </c>
      <c r="R1837" s="572"/>
      <c r="S1837" s="609"/>
      <c r="T1837" s="741"/>
      <c r="U1837" s="586"/>
      <c r="V1837" s="564" t="s">
        <v>2899</v>
      </c>
      <c r="W1837" s="564" t="s">
        <v>25</v>
      </c>
      <c r="X1837" s="650"/>
      <c r="Y1837" s="586"/>
      <c r="Z1837" s="742"/>
      <c r="AA1837" s="586"/>
      <c r="AB1837" s="586"/>
      <c r="AC1837" s="586"/>
      <c r="AD1837" s="586"/>
      <c r="AE1837" s="714"/>
      <c r="AF1837" s="570" t="s">
        <v>2899</v>
      </c>
      <c r="AG1837" s="570" t="s">
        <v>25</v>
      </c>
      <c r="AH1837" s="571" t="s">
        <v>25</v>
      </c>
      <c r="AI1837" s="586"/>
      <c r="AJ1837" s="586"/>
    </row>
    <row r="1838" spans="1:38" s="394" customFormat="1" ht="20.25" outlineLevel="2" x14ac:dyDescent="0.3">
      <c r="A1838" s="447">
        <v>154</v>
      </c>
      <c r="B1838" s="607"/>
      <c r="C1838" s="607"/>
      <c r="D1838" s="642"/>
      <c r="E1838" s="642"/>
      <c r="F1838" s="586"/>
      <c r="G1838" s="709"/>
      <c r="H1838" s="546"/>
      <c r="I1838" s="563" t="s">
        <v>25</v>
      </c>
      <c r="J1838" s="563" t="s">
        <v>25</v>
      </c>
      <c r="K1838" s="564" t="s">
        <v>25</v>
      </c>
      <c r="L1838" s="564" t="s">
        <v>25</v>
      </c>
      <c r="M1838" s="572"/>
      <c r="N1838" s="572"/>
      <c r="O1838" s="740"/>
      <c r="P1838" s="564" t="s">
        <v>25</v>
      </c>
      <c r="Q1838" s="564" t="s">
        <v>25</v>
      </c>
      <c r="R1838" s="572"/>
      <c r="S1838" s="609"/>
      <c r="T1838" s="741"/>
      <c r="U1838" s="586"/>
      <c r="V1838" s="564" t="s">
        <v>2899</v>
      </c>
      <c r="W1838" s="564" t="s">
        <v>25</v>
      </c>
      <c r="X1838" s="650"/>
      <c r="Y1838" s="586"/>
      <c r="Z1838" s="742"/>
      <c r="AA1838" s="586"/>
      <c r="AB1838" s="586"/>
      <c r="AC1838" s="586"/>
      <c r="AD1838" s="586"/>
      <c r="AE1838" s="714"/>
      <c r="AF1838" s="570" t="s">
        <v>2899</v>
      </c>
      <c r="AG1838" s="570" t="s">
        <v>25</v>
      </c>
      <c r="AH1838" s="571" t="s">
        <v>25</v>
      </c>
      <c r="AI1838" s="586"/>
      <c r="AJ1838" s="586"/>
    </row>
    <row r="1839" spans="1:38" s="396" customFormat="1" ht="40.5" outlineLevel="1" x14ac:dyDescent="0.25">
      <c r="A1839" s="467">
        <v>155</v>
      </c>
      <c r="B1839" s="607" t="s">
        <v>1298</v>
      </c>
      <c r="C1839" s="586" t="s">
        <v>2903</v>
      </c>
      <c r="D1839" s="612">
        <v>86</v>
      </c>
      <c r="E1839" s="612">
        <v>411</v>
      </c>
      <c r="F1839" s="578"/>
      <c r="G1839" s="707">
        <v>17.899999999999999</v>
      </c>
      <c r="H1839" s="579">
        <v>0</v>
      </c>
      <c r="I1839" s="581"/>
      <c r="J1839" s="581"/>
      <c r="K1839" s="571">
        <v>9924000</v>
      </c>
      <c r="L1839" s="571">
        <v>0</v>
      </c>
      <c r="M1839" s="607"/>
      <c r="N1839" s="607"/>
      <c r="O1839" s="738">
        <v>0</v>
      </c>
      <c r="P1839" s="571"/>
      <c r="Q1839" s="571">
        <v>0</v>
      </c>
      <c r="R1839" s="582"/>
      <c r="S1839" s="621"/>
      <c r="T1839" s="739">
        <v>50.8</v>
      </c>
      <c r="U1839" s="578"/>
      <c r="V1839" s="571"/>
      <c r="W1839" s="571">
        <v>103880000</v>
      </c>
      <c r="X1839" s="661"/>
      <c r="Y1839" s="683"/>
      <c r="Z1839" s="683"/>
      <c r="AA1839" s="694"/>
      <c r="AB1839" s="683"/>
      <c r="AC1839" s="683"/>
      <c r="AD1839" s="578"/>
      <c r="AE1839" s="599">
        <f>SUBTOTAL(9,AE1840:AE1847)</f>
        <v>1</v>
      </c>
      <c r="AF1839" s="585"/>
      <c r="AG1839" s="585">
        <v>5000000</v>
      </c>
      <c r="AH1839" s="571">
        <v>118804000</v>
      </c>
      <c r="AI1839" s="578"/>
      <c r="AJ1839" s="578"/>
      <c r="AL1839" s="468"/>
    </row>
    <row r="1840" spans="1:38" s="396" customFormat="1" ht="121.5" outlineLevel="2" x14ac:dyDescent="0.3">
      <c r="A1840" s="447">
        <v>155</v>
      </c>
      <c r="B1840" s="572" t="s">
        <v>1300</v>
      </c>
      <c r="C1840" s="572"/>
      <c r="D1840" s="612"/>
      <c r="E1840" s="612"/>
      <c r="F1840" s="586" t="s">
        <v>2895</v>
      </c>
      <c r="G1840" s="709">
        <v>17.899999999999999</v>
      </c>
      <c r="H1840" s="546" t="s">
        <v>2899</v>
      </c>
      <c r="I1840" s="563">
        <v>554400</v>
      </c>
      <c r="J1840" s="563">
        <v>0</v>
      </c>
      <c r="K1840" s="564">
        <v>9924000</v>
      </c>
      <c r="L1840" s="564">
        <v>0</v>
      </c>
      <c r="M1840" s="572"/>
      <c r="N1840" s="572"/>
      <c r="O1840" s="740"/>
      <c r="P1840" s="564" t="s">
        <v>25</v>
      </c>
      <c r="Q1840" s="564" t="s">
        <v>25</v>
      </c>
      <c r="R1840" s="566" t="s">
        <v>1820</v>
      </c>
      <c r="S1840" s="609" t="s">
        <v>1133</v>
      </c>
      <c r="T1840" s="741">
        <v>13.5</v>
      </c>
      <c r="U1840" s="586"/>
      <c r="V1840" s="564">
        <v>5307665</v>
      </c>
      <c r="W1840" s="564">
        <v>71653000</v>
      </c>
      <c r="X1840" s="661" t="s">
        <v>1138</v>
      </c>
      <c r="Y1840" s="683" t="s">
        <v>1139</v>
      </c>
      <c r="Z1840" s="683" t="s">
        <v>56</v>
      </c>
      <c r="AA1840" s="694" t="s">
        <v>269</v>
      </c>
      <c r="AB1840" s="683" t="s">
        <v>1138</v>
      </c>
      <c r="AC1840" s="683"/>
      <c r="AD1840" s="586" t="s">
        <v>2137</v>
      </c>
      <c r="AE1840" s="590">
        <v>1</v>
      </c>
      <c r="AF1840" s="570">
        <v>5000000</v>
      </c>
      <c r="AG1840" s="570">
        <v>5000000</v>
      </c>
      <c r="AH1840" s="571" t="s">
        <v>25</v>
      </c>
      <c r="AI1840" s="586" t="s">
        <v>1299</v>
      </c>
      <c r="AJ1840" s="586" t="s">
        <v>2771</v>
      </c>
      <c r="AL1840" s="380"/>
    </row>
    <row r="1841" spans="1:36" s="394" customFormat="1" ht="121.5" outlineLevel="2" x14ac:dyDescent="0.3">
      <c r="A1841" s="447">
        <v>155</v>
      </c>
      <c r="B1841" s="572" t="s">
        <v>1614</v>
      </c>
      <c r="C1841" s="572"/>
      <c r="D1841" s="612"/>
      <c r="E1841" s="612"/>
      <c r="F1841" s="586"/>
      <c r="G1841" s="709"/>
      <c r="H1841" s="546"/>
      <c r="I1841" s="563" t="s">
        <v>25</v>
      </c>
      <c r="J1841" s="563" t="s">
        <v>25</v>
      </c>
      <c r="K1841" s="564" t="s">
        <v>25</v>
      </c>
      <c r="L1841" s="564" t="s">
        <v>25</v>
      </c>
      <c r="M1841" s="572"/>
      <c r="N1841" s="572"/>
      <c r="O1841" s="740"/>
      <c r="P1841" s="564" t="s">
        <v>25</v>
      </c>
      <c r="Q1841" s="564" t="s">
        <v>25</v>
      </c>
      <c r="R1841" s="566" t="s">
        <v>1930</v>
      </c>
      <c r="S1841" s="609" t="s">
        <v>1133</v>
      </c>
      <c r="T1841" s="741">
        <v>2.5</v>
      </c>
      <c r="U1841" s="586"/>
      <c r="V1841" s="564">
        <v>9347414</v>
      </c>
      <c r="W1841" s="564">
        <v>23369000</v>
      </c>
      <c r="X1841" s="650"/>
      <c r="Y1841" s="586"/>
      <c r="Z1841" s="742"/>
      <c r="AA1841" s="586"/>
      <c r="AB1841" s="586"/>
      <c r="AC1841" s="586"/>
      <c r="AD1841" s="586"/>
      <c r="AE1841" s="714"/>
      <c r="AF1841" s="570" t="s">
        <v>2899</v>
      </c>
      <c r="AG1841" s="570"/>
      <c r="AH1841" s="571" t="s">
        <v>25</v>
      </c>
      <c r="AI1841" s="586" t="s">
        <v>1301</v>
      </c>
      <c r="AJ1841" s="558" t="s">
        <v>2450</v>
      </c>
    </row>
    <row r="1842" spans="1:36" s="394" customFormat="1" ht="81" outlineLevel="2" x14ac:dyDescent="0.3">
      <c r="A1842" s="447">
        <v>155</v>
      </c>
      <c r="B1842" s="572"/>
      <c r="C1842" s="572"/>
      <c r="D1842" s="612"/>
      <c r="E1842" s="612"/>
      <c r="F1842" s="586"/>
      <c r="G1842" s="709"/>
      <c r="H1842" s="546"/>
      <c r="I1842" s="563" t="s">
        <v>25</v>
      </c>
      <c r="J1842" s="563" t="s">
        <v>25</v>
      </c>
      <c r="K1842" s="564" t="s">
        <v>25</v>
      </c>
      <c r="L1842" s="564" t="s">
        <v>25</v>
      </c>
      <c r="M1842" s="572"/>
      <c r="N1842" s="572"/>
      <c r="O1842" s="740"/>
      <c r="P1842" s="564" t="s">
        <v>25</v>
      </c>
      <c r="Q1842" s="564" t="s">
        <v>25</v>
      </c>
      <c r="R1842" s="572" t="s">
        <v>1931</v>
      </c>
      <c r="S1842" s="609" t="s">
        <v>1133</v>
      </c>
      <c r="T1842" s="741">
        <v>8</v>
      </c>
      <c r="U1842" s="586"/>
      <c r="V1842" s="564">
        <v>1107311</v>
      </c>
      <c r="W1842" s="564">
        <v>8858000</v>
      </c>
      <c r="X1842" s="661" t="s">
        <v>1138</v>
      </c>
      <c r="Y1842" s="683" t="s">
        <v>1139</v>
      </c>
      <c r="Z1842" s="683" t="s">
        <v>56</v>
      </c>
      <c r="AA1842" s="694"/>
      <c r="AB1842" s="683" t="s">
        <v>1138</v>
      </c>
      <c r="AC1842" s="683"/>
      <c r="AD1842" s="683"/>
      <c r="AE1842" s="590"/>
      <c r="AF1842" s="570" t="s">
        <v>2899</v>
      </c>
      <c r="AG1842" s="570" t="s">
        <v>25</v>
      </c>
      <c r="AH1842" s="571" t="s">
        <v>25</v>
      </c>
      <c r="AI1842" s="586" t="s">
        <v>1303</v>
      </c>
      <c r="AJ1842" s="558" t="s">
        <v>2447</v>
      </c>
    </row>
    <row r="1843" spans="1:36" s="394" customFormat="1" ht="60.75" outlineLevel="2" x14ac:dyDescent="0.3">
      <c r="A1843" s="447">
        <v>155</v>
      </c>
      <c r="B1843" s="572"/>
      <c r="C1843" s="572"/>
      <c r="D1843" s="612"/>
      <c r="E1843" s="612"/>
      <c r="F1843" s="586"/>
      <c r="G1843" s="709"/>
      <c r="H1843" s="546"/>
      <c r="I1843" s="563" t="s">
        <v>25</v>
      </c>
      <c r="J1843" s="563" t="s">
        <v>25</v>
      </c>
      <c r="K1843" s="564" t="s">
        <v>25</v>
      </c>
      <c r="L1843" s="564" t="s">
        <v>25</v>
      </c>
      <c r="M1843" s="572"/>
      <c r="N1843" s="572"/>
      <c r="O1843" s="740"/>
      <c r="P1843" s="564" t="s">
        <v>25</v>
      </c>
      <c r="Q1843" s="564" t="s">
        <v>25</v>
      </c>
      <c r="R1843" s="566" t="s">
        <v>1932</v>
      </c>
      <c r="S1843" s="609" t="s">
        <v>1133</v>
      </c>
      <c r="T1843" s="741">
        <v>9.6</v>
      </c>
      <c r="U1843" s="586"/>
      <c r="V1843" s="564">
        <v>0</v>
      </c>
      <c r="W1843" s="564">
        <v>0</v>
      </c>
      <c r="X1843" s="650"/>
      <c r="Y1843" s="586"/>
      <c r="Z1843" s="742"/>
      <c r="AA1843" s="586"/>
      <c r="AB1843" s="586"/>
      <c r="AC1843" s="586"/>
      <c r="AD1843" s="586"/>
      <c r="AE1843" s="714"/>
      <c r="AF1843" s="570" t="s">
        <v>2899</v>
      </c>
      <c r="AG1843" s="570" t="s">
        <v>25</v>
      </c>
      <c r="AH1843" s="571" t="s">
        <v>25</v>
      </c>
      <c r="AI1843" s="731"/>
      <c r="AJ1843" s="586"/>
    </row>
    <row r="1844" spans="1:36" s="394" customFormat="1" ht="60.75" outlineLevel="2" x14ac:dyDescent="0.3">
      <c r="A1844" s="447">
        <v>155</v>
      </c>
      <c r="B1844" s="572"/>
      <c r="C1844" s="572"/>
      <c r="D1844" s="612"/>
      <c r="E1844" s="612"/>
      <c r="F1844" s="586"/>
      <c r="G1844" s="709"/>
      <c r="H1844" s="546"/>
      <c r="I1844" s="563" t="s">
        <v>25</v>
      </c>
      <c r="J1844" s="563" t="s">
        <v>25</v>
      </c>
      <c r="K1844" s="564" t="s">
        <v>25</v>
      </c>
      <c r="L1844" s="564" t="s">
        <v>25</v>
      </c>
      <c r="M1844" s="572"/>
      <c r="N1844" s="572"/>
      <c r="O1844" s="740"/>
      <c r="P1844" s="564" t="s">
        <v>25</v>
      </c>
      <c r="Q1844" s="564" t="s">
        <v>25</v>
      </c>
      <c r="R1844" s="572" t="s">
        <v>1933</v>
      </c>
      <c r="S1844" s="609" t="s">
        <v>1133</v>
      </c>
      <c r="T1844" s="741">
        <v>17.2</v>
      </c>
      <c r="U1844" s="586"/>
      <c r="V1844" s="564">
        <v>0</v>
      </c>
      <c r="W1844" s="564">
        <v>0</v>
      </c>
      <c r="X1844" s="650"/>
      <c r="Y1844" s="586"/>
      <c r="Z1844" s="742"/>
      <c r="AA1844" s="586"/>
      <c r="AB1844" s="586"/>
      <c r="AC1844" s="586"/>
      <c r="AD1844" s="586"/>
      <c r="AE1844" s="714"/>
      <c r="AF1844" s="570" t="s">
        <v>2899</v>
      </c>
      <c r="AG1844" s="570" t="s">
        <v>25</v>
      </c>
      <c r="AH1844" s="571" t="s">
        <v>25</v>
      </c>
      <c r="AI1844" s="558"/>
      <c r="AJ1844" s="558"/>
    </row>
    <row r="1845" spans="1:36" s="394" customFormat="1" ht="20.25" outlineLevel="2" x14ac:dyDescent="0.3">
      <c r="A1845" s="447">
        <v>155</v>
      </c>
      <c r="B1845" s="572"/>
      <c r="C1845" s="572"/>
      <c r="D1845" s="612"/>
      <c r="E1845" s="612"/>
      <c r="F1845" s="586"/>
      <c r="G1845" s="709"/>
      <c r="H1845" s="546"/>
      <c r="I1845" s="563" t="s">
        <v>25</v>
      </c>
      <c r="J1845" s="563" t="s">
        <v>25</v>
      </c>
      <c r="K1845" s="564" t="s">
        <v>25</v>
      </c>
      <c r="L1845" s="564" t="s">
        <v>25</v>
      </c>
      <c r="M1845" s="572"/>
      <c r="N1845" s="572"/>
      <c r="O1845" s="740"/>
      <c r="P1845" s="564" t="s">
        <v>25</v>
      </c>
      <c r="Q1845" s="564" t="s">
        <v>25</v>
      </c>
      <c r="R1845" s="572"/>
      <c r="S1845" s="609"/>
      <c r="T1845" s="741"/>
      <c r="U1845" s="586"/>
      <c r="V1845" s="564" t="s">
        <v>2899</v>
      </c>
      <c r="W1845" s="564" t="s">
        <v>25</v>
      </c>
      <c r="X1845" s="650"/>
      <c r="Y1845" s="586"/>
      <c r="Z1845" s="742"/>
      <c r="AA1845" s="586"/>
      <c r="AB1845" s="586"/>
      <c r="AC1845" s="586"/>
      <c r="AD1845" s="586"/>
      <c r="AE1845" s="714"/>
      <c r="AF1845" s="570" t="s">
        <v>2899</v>
      </c>
      <c r="AG1845" s="570" t="s">
        <v>25</v>
      </c>
      <c r="AH1845" s="571" t="s">
        <v>25</v>
      </c>
      <c r="AI1845" s="586"/>
      <c r="AJ1845" s="586"/>
    </row>
    <row r="1846" spans="1:36" s="394" customFormat="1" ht="20.25" outlineLevel="2" x14ac:dyDescent="0.3">
      <c r="A1846" s="447">
        <v>155</v>
      </c>
      <c r="B1846" s="572"/>
      <c r="C1846" s="572"/>
      <c r="D1846" s="612"/>
      <c r="E1846" s="612"/>
      <c r="F1846" s="586"/>
      <c r="G1846" s="709"/>
      <c r="H1846" s="546"/>
      <c r="I1846" s="563" t="s">
        <v>25</v>
      </c>
      <c r="J1846" s="563" t="s">
        <v>25</v>
      </c>
      <c r="K1846" s="564" t="s">
        <v>25</v>
      </c>
      <c r="L1846" s="564" t="s">
        <v>25</v>
      </c>
      <c r="M1846" s="572"/>
      <c r="N1846" s="572"/>
      <c r="O1846" s="740"/>
      <c r="P1846" s="564" t="s">
        <v>25</v>
      </c>
      <c r="Q1846" s="564" t="s">
        <v>25</v>
      </c>
      <c r="R1846" s="572"/>
      <c r="S1846" s="609"/>
      <c r="T1846" s="741"/>
      <c r="U1846" s="586"/>
      <c r="V1846" s="564" t="s">
        <v>2899</v>
      </c>
      <c r="W1846" s="564" t="s">
        <v>25</v>
      </c>
      <c r="X1846" s="650"/>
      <c r="Y1846" s="586"/>
      <c r="Z1846" s="742"/>
      <c r="AA1846" s="586"/>
      <c r="AB1846" s="586"/>
      <c r="AC1846" s="586"/>
      <c r="AD1846" s="586"/>
      <c r="AE1846" s="714"/>
      <c r="AF1846" s="570" t="s">
        <v>2899</v>
      </c>
      <c r="AG1846" s="570" t="s">
        <v>25</v>
      </c>
      <c r="AH1846" s="571" t="s">
        <v>25</v>
      </c>
      <c r="AI1846" s="586"/>
      <c r="AJ1846" s="586"/>
    </row>
    <row r="1847" spans="1:36" s="394" customFormat="1" ht="20.25" outlineLevel="2" x14ac:dyDescent="0.3">
      <c r="A1847" s="447">
        <v>155</v>
      </c>
      <c r="B1847" s="607"/>
      <c r="C1847" s="607"/>
      <c r="D1847" s="642"/>
      <c r="E1847" s="642"/>
      <c r="F1847" s="586"/>
      <c r="G1847" s="709"/>
      <c r="H1847" s="546"/>
      <c r="I1847" s="563" t="s">
        <v>25</v>
      </c>
      <c r="J1847" s="563" t="s">
        <v>25</v>
      </c>
      <c r="K1847" s="564" t="s">
        <v>25</v>
      </c>
      <c r="L1847" s="564" t="s">
        <v>25</v>
      </c>
      <c r="M1847" s="572"/>
      <c r="N1847" s="572"/>
      <c r="O1847" s="740"/>
      <c r="P1847" s="564" t="s">
        <v>25</v>
      </c>
      <c r="Q1847" s="564" t="s">
        <v>25</v>
      </c>
      <c r="R1847" s="572"/>
      <c r="S1847" s="609"/>
      <c r="T1847" s="741"/>
      <c r="U1847" s="586"/>
      <c r="V1847" s="564" t="s">
        <v>2899</v>
      </c>
      <c r="W1847" s="564" t="s">
        <v>25</v>
      </c>
      <c r="X1847" s="650"/>
      <c r="Y1847" s="586"/>
      <c r="Z1847" s="742"/>
      <c r="AA1847" s="586"/>
      <c r="AB1847" s="586"/>
      <c r="AC1847" s="586"/>
      <c r="AD1847" s="586"/>
      <c r="AE1847" s="714"/>
      <c r="AF1847" s="570" t="s">
        <v>2899</v>
      </c>
      <c r="AG1847" s="570" t="s">
        <v>25</v>
      </c>
      <c r="AH1847" s="571" t="s">
        <v>25</v>
      </c>
      <c r="AI1847" s="586"/>
      <c r="AJ1847" s="586"/>
    </row>
    <row r="1848" spans="1:36" s="396" customFormat="1" ht="40.5" outlineLevel="1" x14ac:dyDescent="0.25">
      <c r="A1848" s="467">
        <v>156</v>
      </c>
      <c r="B1848" s="607" t="s">
        <v>1304</v>
      </c>
      <c r="C1848" s="586" t="s">
        <v>2903</v>
      </c>
      <c r="D1848" s="612">
        <v>86</v>
      </c>
      <c r="E1848" s="612">
        <v>413</v>
      </c>
      <c r="F1848" s="578"/>
      <c r="G1848" s="707">
        <v>29.5</v>
      </c>
      <c r="H1848" s="579">
        <v>0</v>
      </c>
      <c r="I1848" s="581"/>
      <c r="J1848" s="581"/>
      <c r="K1848" s="571">
        <v>16355000</v>
      </c>
      <c r="L1848" s="571">
        <v>0</v>
      </c>
      <c r="M1848" s="607"/>
      <c r="N1848" s="607"/>
      <c r="O1848" s="738">
        <v>0</v>
      </c>
      <c r="P1848" s="571"/>
      <c r="Q1848" s="571">
        <v>0</v>
      </c>
      <c r="R1848" s="582"/>
      <c r="S1848" s="621"/>
      <c r="T1848" s="739">
        <v>1</v>
      </c>
      <c r="U1848" s="578"/>
      <c r="V1848" s="571"/>
      <c r="W1848" s="571">
        <v>0</v>
      </c>
      <c r="X1848" s="650"/>
      <c r="Y1848" s="586"/>
      <c r="Z1848" s="742"/>
      <c r="AA1848" s="586"/>
      <c r="AB1848" s="586"/>
      <c r="AC1848" s="586"/>
      <c r="AD1848" s="578"/>
      <c r="AE1848" s="712">
        <f>SUBTOTAL(9,AE1849:AE1854)</f>
        <v>0</v>
      </c>
      <c r="AF1848" s="585"/>
      <c r="AG1848" s="585">
        <v>0</v>
      </c>
      <c r="AH1848" s="571">
        <v>16355000</v>
      </c>
      <c r="AI1848" s="578"/>
      <c r="AJ1848" s="578"/>
    </row>
    <row r="1849" spans="1:36" s="396" customFormat="1" ht="121.5" outlineLevel="2" x14ac:dyDescent="0.3">
      <c r="A1849" s="447">
        <v>156</v>
      </c>
      <c r="B1849" s="572" t="s">
        <v>1307</v>
      </c>
      <c r="C1849" s="572"/>
      <c r="D1849" s="612"/>
      <c r="E1849" s="612"/>
      <c r="F1849" s="586" t="s">
        <v>2897</v>
      </c>
      <c r="G1849" s="709">
        <v>23.4</v>
      </c>
      <c r="H1849" s="546" t="s">
        <v>2899</v>
      </c>
      <c r="I1849" s="563">
        <v>554400</v>
      </c>
      <c r="J1849" s="563">
        <v>0</v>
      </c>
      <c r="K1849" s="564">
        <v>12973000</v>
      </c>
      <c r="L1849" s="564">
        <v>0</v>
      </c>
      <c r="M1849" s="572"/>
      <c r="N1849" s="572"/>
      <c r="O1849" s="740"/>
      <c r="P1849" s="564" t="s">
        <v>25</v>
      </c>
      <c r="Q1849" s="564" t="s">
        <v>25</v>
      </c>
      <c r="R1849" s="566" t="s">
        <v>1305</v>
      </c>
      <c r="S1849" s="609" t="s">
        <v>93</v>
      </c>
      <c r="T1849" s="741">
        <v>1</v>
      </c>
      <c r="U1849" s="586"/>
      <c r="V1849" s="564">
        <v>0</v>
      </c>
      <c r="W1849" s="564">
        <v>0</v>
      </c>
      <c r="X1849" s="650"/>
      <c r="Y1849" s="586"/>
      <c r="Z1849" s="742"/>
      <c r="AA1849" s="586"/>
      <c r="AB1849" s="586"/>
      <c r="AC1849" s="586"/>
      <c r="AD1849" s="586"/>
      <c r="AE1849" s="714"/>
      <c r="AF1849" s="570" t="s">
        <v>2899</v>
      </c>
      <c r="AG1849" s="570"/>
      <c r="AH1849" s="571" t="s">
        <v>25</v>
      </c>
      <c r="AI1849" s="586" t="s">
        <v>1306</v>
      </c>
      <c r="AJ1849" s="586" t="s">
        <v>2771</v>
      </c>
    </row>
    <row r="1850" spans="1:36" s="396" customFormat="1" ht="101.25" outlineLevel="2" x14ac:dyDescent="0.3">
      <c r="A1850" s="447">
        <v>156</v>
      </c>
      <c r="B1850" s="572" t="s">
        <v>1615</v>
      </c>
      <c r="C1850" s="572"/>
      <c r="D1850" s="612"/>
      <c r="E1850" s="612"/>
      <c r="F1850" s="586" t="s">
        <v>2895</v>
      </c>
      <c r="G1850" s="709">
        <v>6.1</v>
      </c>
      <c r="H1850" s="546" t="s">
        <v>2899</v>
      </c>
      <c r="I1850" s="563">
        <v>554400</v>
      </c>
      <c r="J1850" s="563">
        <v>0</v>
      </c>
      <c r="K1850" s="564">
        <v>3382000</v>
      </c>
      <c r="L1850" s="564">
        <v>0</v>
      </c>
      <c r="M1850" s="572"/>
      <c r="N1850" s="572"/>
      <c r="O1850" s="740"/>
      <c r="P1850" s="564" t="s">
        <v>25</v>
      </c>
      <c r="Q1850" s="564" t="s">
        <v>25</v>
      </c>
      <c r="R1850" s="566"/>
      <c r="S1850" s="609"/>
      <c r="T1850" s="741"/>
      <c r="U1850" s="586"/>
      <c r="V1850" s="564" t="s">
        <v>2899</v>
      </c>
      <c r="W1850" s="564" t="s">
        <v>25</v>
      </c>
      <c r="X1850" s="650"/>
      <c r="Y1850" s="586"/>
      <c r="Z1850" s="742"/>
      <c r="AA1850" s="586"/>
      <c r="AB1850" s="586"/>
      <c r="AC1850" s="586"/>
      <c r="AD1850" s="586"/>
      <c r="AE1850" s="714"/>
      <c r="AF1850" s="570" t="s">
        <v>2899</v>
      </c>
      <c r="AG1850" s="570" t="s">
        <v>25</v>
      </c>
      <c r="AH1850" s="571" t="s">
        <v>25</v>
      </c>
      <c r="AI1850" s="586" t="s">
        <v>1308</v>
      </c>
      <c r="AJ1850" s="558"/>
    </row>
    <row r="1851" spans="1:36" s="394" customFormat="1" ht="20.25" outlineLevel="2" x14ac:dyDescent="0.3">
      <c r="A1851" s="447">
        <v>156</v>
      </c>
      <c r="B1851" s="572"/>
      <c r="C1851" s="572"/>
      <c r="D1851" s="612"/>
      <c r="E1851" s="612"/>
      <c r="F1851" s="586"/>
      <c r="G1851" s="709"/>
      <c r="H1851" s="546"/>
      <c r="I1851" s="563" t="s">
        <v>25</v>
      </c>
      <c r="J1851" s="563" t="s">
        <v>25</v>
      </c>
      <c r="K1851" s="564" t="s">
        <v>25</v>
      </c>
      <c r="L1851" s="564" t="s">
        <v>25</v>
      </c>
      <c r="M1851" s="572"/>
      <c r="N1851" s="572"/>
      <c r="O1851" s="740"/>
      <c r="P1851" s="564" t="s">
        <v>25</v>
      </c>
      <c r="Q1851" s="564" t="s">
        <v>25</v>
      </c>
      <c r="R1851" s="566"/>
      <c r="S1851" s="609"/>
      <c r="T1851" s="741"/>
      <c r="U1851" s="586"/>
      <c r="V1851" s="564" t="s">
        <v>2899</v>
      </c>
      <c r="W1851" s="564" t="s">
        <v>25</v>
      </c>
      <c r="X1851" s="650"/>
      <c r="Y1851" s="586"/>
      <c r="Z1851" s="742"/>
      <c r="AA1851" s="586"/>
      <c r="AB1851" s="586"/>
      <c r="AC1851" s="586"/>
      <c r="AD1851" s="586"/>
      <c r="AE1851" s="714"/>
      <c r="AF1851" s="570" t="s">
        <v>2899</v>
      </c>
      <c r="AG1851" s="570" t="s">
        <v>25</v>
      </c>
      <c r="AH1851" s="571" t="s">
        <v>25</v>
      </c>
      <c r="AI1851" s="586" t="s">
        <v>1309</v>
      </c>
      <c r="AJ1851" s="586"/>
    </row>
    <row r="1852" spans="1:36" s="394" customFormat="1" ht="20.25" outlineLevel="2" x14ac:dyDescent="0.3">
      <c r="A1852" s="447">
        <v>156</v>
      </c>
      <c r="B1852" s="572"/>
      <c r="C1852" s="572"/>
      <c r="D1852" s="612"/>
      <c r="E1852" s="612"/>
      <c r="F1852" s="586"/>
      <c r="G1852" s="709"/>
      <c r="H1852" s="546"/>
      <c r="I1852" s="563" t="s">
        <v>25</v>
      </c>
      <c r="J1852" s="563" t="s">
        <v>25</v>
      </c>
      <c r="K1852" s="564" t="s">
        <v>25</v>
      </c>
      <c r="L1852" s="564" t="s">
        <v>25</v>
      </c>
      <c r="M1852" s="572"/>
      <c r="N1852" s="572"/>
      <c r="O1852" s="740"/>
      <c r="P1852" s="564" t="s">
        <v>25</v>
      </c>
      <c r="Q1852" s="564" t="s">
        <v>25</v>
      </c>
      <c r="R1852" s="572"/>
      <c r="S1852" s="609"/>
      <c r="T1852" s="741"/>
      <c r="U1852" s="586"/>
      <c r="V1852" s="564" t="s">
        <v>2899</v>
      </c>
      <c r="W1852" s="564" t="s">
        <v>25</v>
      </c>
      <c r="X1852" s="650"/>
      <c r="Y1852" s="586"/>
      <c r="Z1852" s="742"/>
      <c r="AA1852" s="586"/>
      <c r="AB1852" s="586"/>
      <c r="AC1852" s="586"/>
      <c r="AD1852" s="586"/>
      <c r="AE1852" s="714"/>
      <c r="AF1852" s="570" t="s">
        <v>2899</v>
      </c>
      <c r="AG1852" s="570" t="s">
        <v>25</v>
      </c>
      <c r="AH1852" s="571" t="s">
        <v>25</v>
      </c>
      <c r="AI1852" s="663" t="s">
        <v>2072</v>
      </c>
      <c r="AJ1852" s="586"/>
    </row>
    <row r="1853" spans="1:36" s="394" customFormat="1" ht="121.5" outlineLevel="2" x14ac:dyDescent="0.3">
      <c r="A1853" s="447">
        <v>156</v>
      </c>
      <c r="B1853" s="572"/>
      <c r="C1853" s="572"/>
      <c r="D1853" s="612"/>
      <c r="E1853" s="612"/>
      <c r="F1853" s="586"/>
      <c r="G1853" s="709"/>
      <c r="H1853" s="546"/>
      <c r="I1853" s="563" t="s">
        <v>25</v>
      </c>
      <c r="J1853" s="563" t="s">
        <v>25</v>
      </c>
      <c r="K1853" s="564" t="s">
        <v>25</v>
      </c>
      <c r="L1853" s="564" t="s">
        <v>25</v>
      </c>
      <c r="M1853" s="572"/>
      <c r="N1853" s="572"/>
      <c r="O1853" s="740"/>
      <c r="P1853" s="564" t="s">
        <v>25</v>
      </c>
      <c r="Q1853" s="564" t="s">
        <v>25</v>
      </c>
      <c r="R1853" s="572"/>
      <c r="S1853" s="609"/>
      <c r="T1853" s="741"/>
      <c r="U1853" s="586"/>
      <c r="V1853" s="564" t="s">
        <v>2899</v>
      </c>
      <c r="W1853" s="564" t="s">
        <v>25</v>
      </c>
      <c r="X1853" s="650"/>
      <c r="Y1853" s="586"/>
      <c r="Z1853" s="742"/>
      <c r="AA1853" s="586"/>
      <c r="AB1853" s="586"/>
      <c r="AC1853" s="586"/>
      <c r="AD1853" s="586"/>
      <c r="AE1853" s="714"/>
      <c r="AF1853" s="570" t="s">
        <v>2899</v>
      </c>
      <c r="AG1853" s="570" t="s">
        <v>25</v>
      </c>
      <c r="AH1853" s="571" t="s">
        <v>25</v>
      </c>
      <c r="AI1853" s="586" t="s">
        <v>2239</v>
      </c>
      <c r="AJ1853" s="586"/>
    </row>
    <row r="1854" spans="1:36" s="394" customFormat="1" ht="20.25" outlineLevel="2" x14ac:dyDescent="0.3">
      <c r="A1854" s="447">
        <v>156</v>
      </c>
      <c r="B1854" s="607"/>
      <c r="C1854" s="607"/>
      <c r="D1854" s="642"/>
      <c r="E1854" s="642"/>
      <c r="F1854" s="586"/>
      <c r="G1854" s="709"/>
      <c r="H1854" s="546"/>
      <c r="I1854" s="563" t="s">
        <v>25</v>
      </c>
      <c r="J1854" s="563" t="s">
        <v>25</v>
      </c>
      <c r="K1854" s="564" t="s">
        <v>25</v>
      </c>
      <c r="L1854" s="564" t="s">
        <v>25</v>
      </c>
      <c r="M1854" s="572"/>
      <c r="N1854" s="572"/>
      <c r="O1854" s="740"/>
      <c r="P1854" s="564" t="s">
        <v>25</v>
      </c>
      <c r="Q1854" s="564" t="s">
        <v>25</v>
      </c>
      <c r="R1854" s="572"/>
      <c r="S1854" s="609"/>
      <c r="T1854" s="741"/>
      <c r="U1854" s="586"/>
      <c r="V1854" s="564" t="s">
        <v>2899</v>
      </c>
      <c r="W1854" s="564" t="s">
        <v>25</v>
      </c>
      <c r="X1854" s="650"/>
      <c r="Y1854" s="586"/>
      <c r="Z1854" s="742"/>
      <c r="AA1854" s="586"/>
      <c r="AB1854" s="586"/>
      <c r="AC1854" s="586"/>
      <c r="AD1854" s="586"/>
      <c r="AE1854" s="714"/>
      <c r="AF1854" s="570" t="s">
        <v>2899</v>
      </c>
      <c r="AG1854" s="570" t="s">
        <v>25</v>
      </c>
      <c r="AH1854" s="571" t="s">
        <v>25</v>
      </c>
      <c r="AI1854" s="586"/>
      <c r="AJ1854" s="586"/>
    </row>
    <row r="1855" spans="1:36" s="396" customFormat="1" ht="40.5" outlineLevel="1" x14ac:dyDescent="0.3">
      <c r="A1855" s="467">
        <v>157</v>
      </c>
      <c r="B1855" s="607" t="s">
        <v>1310</v>
      </c>
      <c r="C1855" s="586" t="s">
        <v>2903</v>
      </c>
      <c r="D1855" s="612">
        <v>86</v>
      </c>
      <c r="E1855" s="612">
        <v>483</v>
      </c>
      <c r="F1855" s="578"/>
      <c r="G1855" s="707">
        <v>19.600000000000001</v>
      </c>
      <c r="H1855" s="579">
        <v>9.8000000000000007</v>
      </c>
      <c r="I1855" s="581"/>
      <c r="J1855" s="581"/>
      <c r="K1855" s="571">
        <v>10866000</v>
      </c>
      <c r="L1855" s="571">
        <v>16299000</v>
      </c>
      <c r="M1855" s="607"/>
      <c r="N1855" s="607"/>
      <c r="O1855" s="738">
        <v>85</v>
      </c>
      <c r="P1855" s="571"/>
      <c r="Q1855" s="571">
        <v>6308000</v>
      </c>
      <c r="R1855" s="582"/>
      <c r="S1855" s="621"/>
      <c r="T1855" s="739">
        <v>0</v>
      </c>
      <c r="U1855" s="578"/>
      <c r="V1855" s="571"/>
      <c r="W1855" s="571">
        <v>0</v>
      </c>
      <c r="X1855" s="650"/>
      <c r="Y1855" s="586"/>
      <c r="Z1855" s="742"/>
      <c r="AA1855" s="586"/>
      <c r="AB1855" s="586"/>
      <c r="AC1855" s="586"/>
      <c r="AD1855" s="746"/>
      <c r="AE1855" s="712">
        <f>SUBTOTAL(9,AE1856:AE1865)</f>
        <v>0</v>
      </c>
      <c r="AF1855" s="585"/>
      <c r="AG1855" s="585">
        <v>0</v>
      </c>
      <c r="AH1855" s="571">
        <v>33473000</v>
      </c>
      <c r="AI1855" s="578"/>
      <c r="AJ1855" s="578"/>
    </row>
    <row r="1856" spans="1:36" s="396" customFormat="1" ht="121.5" outlineLevel="2" x14ac:dyDescent="0.3">
      <c r="A1856" s="447">
        <v>157</v>
      </c>
      <c r="B1856" s="572" t="s">
        <v>1312</v>
      </c>
      <c r="C1856" s="572"/>
      <c r="D1856" s="612"/>
      <c r="E1856" s="612"/>
      <c r="F1856" s="586" t="s">
        <v>2897</v>
      </c>
      <c r="G1856" s="709">
        <v>9.8000000000000007</v>
      </c>
      <c r="H1856" s="546" t="s">
        <v>2899</v>
      </c>
      <c r="I1856" s="563">
        <v>554400</v>
      </c>
      <c r="J1856" s="563">
        <v>0</v>
      </c>
      <c r="K1856" s="564">
        <v>5433000</v>
      </c>
      <c r="L1856" s="564">
        <v>0</v>
      </c>
      <c r="M1856" s="572" t="s">
        <v>738</v>
      </c>
      <c r="N1856" s="572"/>
      <c r="O1856" s="740">
        <v>1</v>
      </c>
      <c r="P1856" s="564">
        <v>0</v>
      </c>
      <c r="Q1856" s="564">
        <v>0</v>
      </c>
      <c r="R1856" s="566"/>
      <c r="S1856" s="609"/>
      <c r="T1856" s="741"/>
      <c r="U1856" s="586"/>
      <c r="V1856" s="564" t="s">
        <v>2899</v>
      </c>
      <c r="W1856" s="564" t="s">
        <v>25</v>
      </c>
      <c r="X1856" s="650"/>
      <c r="Y1856" s="586"/>
      <c r="Z1856" s="742"/>
      <c r="AA1856" s="586"/>
      <c r="AB1856" s="586"/>
      <c r="AC1856" s="586"/>
      <c r="AD1856" s="731"/>
      <c r="AE1856" s="714"/>
      <c r="AF1856" s="570" t="s">
        <v>2899</v>
      </c>
      <c r="AG1856" s="570"/>
      <c r="AH1856" s="571" t="s">
        <v>25</v>
      </c>
      <c r="AI1856" s="586" t="s">
        <v>1311</v>
      </c>
      <c r="AJ1856" s="586" t="s">
        <v>2771</v>
      </c>
    </row>
    <row r="1857" spans="1:36" s="394" customFormat="1" ht="81" outlineLevel="2" x14ac:dyDescent="0.3">
      <c r="A1857" s="447">
        <v>157</v>
      </c>
      <c r="B1857" s="607" t="s">
        <v>1313</v>
      </c>
      <c r="C1857" s="607"/>
      <c r="D1857" s="612"/>
      <c r="E1857" s="612"/>
      <c r="F1857" s="586" t="s">
        <v>2896</v>
      </c>
      <c r="G1857" s="709">
        <v>9.8000000000000007</v>
      </c>
      <c r="H1857" s="546">
        <v>9.8000000000000007</v>
      </c>
      <c r="I1857" s="563">
        <v>554400</v>
      </c>
      <c r="J1857" s="563">
        <v>1663200</v>
      </c>
      <c r="K1857" s="564">
        <v>5433000</v>
      </c>
      <c r="L1857" s="564">
        <v>16299000</v>
      </c>
      <c r="M1857" s="572" t="s">
        <v>1240</v>
      </c>
      <c r="N1857" s="572"/>
      <c r="O1857" s="740">
        <v>1</v>
      </c>
      <c r="P1857" s="564">
        <v>0</v>
      </c>
      <c r="Q1857" s="564">
        <v>0</v>
      </c>
      <c r="R1857" s="566"/>
      <c r="S1857" s="609"/>
      <c r="T1857" s="741"/>
      <c r="U1857" s="586"/>
      <c r="V1857" s="564" t="s">
        <v>2899</v>
      </c>
      <c r="W1857" s="564" t="s">
        <v>25</v>
      </c>
      <c r="X1857" s="650"/>
      <c r="Y1857" s="586"/>
      <c r="Z1857" s="742"/>
      <c r="AA1857" s="586"/>
      <c r="AB1857" s="586"/>
      <c r="AC1857" s="586"/>
      <c r="AD1857" s="586"/>
      <c r="AE1857" s="714"/>
      <c r="AF1857" s="570" t="s">
        <v>2899</v>
      </c>
      <c r="AG1857" s="570" t="s">
        <v>25</v>
      </c>
      <c r="AH1857" s="571" t="s">
        <v>25</v>
      </c>
      <c r="AI1857" s="586" t="s">
        <v>1734</v>
      </c>
      <c r="AJ1857" s="605" t="s">
        <v>2448</v>
      </c>
    </row>
    <row r="1858" spans="1:36" s="394" customFormat="1" ht="101.25" outlineLevel="2" x14ac:dyDescent="0.3">
      <c r="A1858" s="447">
        <v>157</v>
      </c>
      <c r="B1858" s="572" t="s">
        <v>1315</v>
      </c>
      <c r="C1858" s="572"/>
      <c r="D1858" s="612"/>
      <c r="E1858" s="612"/>
      <c r="F1858" s="586"/>
      <c r="G1858" s="709"/>
      <c r="H1858" s="546"/>
      <c r="I1858" s="563" t="s">
        <v>25</v>
      </c>
      <c r="J1858" s="563" t="s">
        <v>25</v>
      </c>
      <c r="K1858" s="564" t="s">
        <v>25</v>
      </c>
      <c r="L1858" s="564" t="s">
        <v>25</v>
      </c>
      <c r="M1858" s="572" t="s">
        <v>72</v>
      </c>
      <c r="N1858" s="572"/>
      <c r="O1858" s="740">
        <v>24</v>
      </c>
      <c r="P1858" s="564">
        <v>132000</v>
      </c>
      <c r="Q1858" s="564">
        <v>3168000</v>
      </c>
      <c r="R1858" s="566"/>
      <c r="S1858" s="609"/>
      <c r="T1858" s="741"/>
      <c r="U1858" s="586"/>
      <c r="V1858" s="564" t="s">
        <v>2899</v>
      </c>
      <c r="W1858" s="564" t="s">
        <v>25</v>
      </c>
      <c r="X1858" s="650"/>
      <c r="Y1858" s="586"/>
      <c r="Z1858" s="742"/>
      <c r="AA1858" s="586"/>
      <c r="AB1858" s="586"/>
      <c r="AC1858" s="586"/>
      <c r="AD1858" s="586"/>
      <c r="AE1858" s="714"/>
      <c r="AF1858" s="570" t="s">
        <v>2899</v>
      </c>
      <c r="AG1858" s="570" t="s">
        <v>25</v>
      </c>
      <c r="AH1858" s="571" t="s">
        <v>25</v>
      </c>
      <c r="AI1858" s="586" t="s">
        <v>1314</v>
      </c>
      <c r="AJ1858" s="558" t="s">
        <v>2449</v>
      </c>
    </row>
    <row r="1859" spans="1:36" s="394" customFormat="1" ht="121.5" outlineLevel="2" x14ac:dyDescent="0.3">
      <c r="A1859" s="447">
        <v>157</v>
      </c>
      <c r="B1859" s="572" t="s">
        <v>1615</v>
      </c>
      <c r="C1859" s="572"/>
      <c r="D1859" s="612"/>
      <c r="E1859" s="612"/>
      <c r="F1859" s="586"/>
      <c r="G1859" s="709"/>
      <c r="H1859" s="546"/>
      <c r="I1859" s="563" t="s">
        <v>25</v>
      </c>
      <c r="J1859" s="563" t="s">
        <v>25</v>
      </c>
      <c r="K1859" s="564" t="s">
        <v>25</v>
      </c>
      <c r="L1859" s="564" t="s">
        <v>25</v>
      </c>
      <c r="M1859" s="572" t="s">
        <v>73</v>
      </c>
      <c r="N1859" s="572"/>
      <c r="O1859" s="740">
        <v>27</v>
      </c>
      <c r="P1859" s="564">
        <v>76000</v>
      </c>
      <c r="Q1859" s="564">
        <v>2052000</v>
      </c>
      <c r="R1859" s="572"/>
      <c r="S1859" s="609"/>
      <c r="T1859" s="741"/>
      <c r="U1859" s="586"/>
      <c r="V1859" s="564" t="s">
        <v>2899</v>
      </c>
      <c r="W1859" s="564" t="s">
        <v>25</v>
      </c>
      <c r="X1859" s="650"/>
      <c r="Y1859" s="586"/>
      <c r="Z1859" s="742"/>
      <c r="AA1859" s="586"/>
      <c r="AB1859" s="586"/>
      <c r="AC1859" s="586"/>
      <c r="AD1859" s="586"/>
      <c r="AE1859" s="714"/>
      <c r="AF1859" s="570" t="s">
        <v>2899</v>
      </c>
      <c r="AG1859" s="570" t="s">
        <v>25</v>
      </c>
      <c r="AH1859" s="571" t="s">
        <v>25</v>
      </c>
      <c r="AI1859" s="586" t="s">
        <v>2240</v>
      </c>
      <c r="AJ1859" s="586"/>
    </row>
    <row r="1860" spans="1:36" s="394" customFormat="1" ht="20.25" outlineLevel="2" x14ac:dyDescent="0.3">
      <c r="A1860" s="447">
        <v>157</v>
      </c>
      <c r="B1860" s="572"/>
      <c r="C1860" s="572"/>
      <c r="D1860" s="612"/>
      <c r="E1860" s="612"/>
      <c r="F1860" s="586"/>
      <c r="G1860" s="709"/>
      <c r="H1860" s="546"/>
      <c r="I1860" s="563" t="s">
        <v>25</v>
      </c>
      <c r="J1860" s="563" t="s">
        <v>25</v>
      </c>
      <c r="K1860" s="564" t="s">
        <v>25</v>
      </c>
      <c r="L1860" s="564" t="s">
        <v>25</v>
      </c>
      <c r="M1860" s="572" t="s">
        <v>75</v>
      </c>
      <c r="N1860" s="572"/>
      <c r="O1860" s="740">
        <v>32</v>
      </c>
      <c r="P1860" s="564">
        <v>34000</v>
      </c>
      <c r="Q1860" s="564">
        <v>1088000</v>
      </c>
      <c r="R1860" s="572"/>
      <c r="S1860" s="609"/>
      <c r="T1860" s="741"/>
      <c r="U1860" s="586"/>
      <c r="V1860" s="564" t="s">
        <v>2899</v>
      </c>
      <c r="W1860" s="564" t="s">
        <v>25</v>
      </c>
      <c r="X1860" s="650"/>
      <c r="Y1860" s="586"/>
      <c r="Z1860" s="742"/>
      <c r="AA1860" s="586"/>
      <c r="AB1860" s="586"/>
      <c r="AC1860" s="586"/>
      <c r="AD1860" s="586"/>
      <c r="AE1860" s="714"/>
      <c r="AF1860" s="570" t="s">
        <v>2899</v>
      </c>
      <c r="AG1860" s="570" t="s">
        <v>25</v>
      </c>
      <c r="AH1860" s="571" t="s">
        <v>25</v>
      </c>
      <c r="AI1860" s="572"/>
      <c r="AJ1860" s="572"/>
    </row>
    <row r="1861" spans="1:36" s="394" customFormat="1" ht="20.25" outlineLevel="2" x14ac:dyDescent="0.3">
      <c r="A1861" s="447">
        <v>157</v>
      </c>
      <c r="B1861" s="572"/>
      <c r="C1861" s="572"/>
      <c r="D1861" s="612"/>
      <c r="E1861" s="612"/>
      <c r="F1861" s="586"/>
      <c r="G1861" s="709"/>
      <c r="H1861" s="546"/>
      <c r="I1861" s="563" t="s">
        <v>25</v>
      </c>
      <c r="J1861" s="563" t="s">
        <v>25</v>
      </c>
      <c r="K1861" s="564" t="s">
        <v>25</v>
      </c>
      <c r="L1861" s="564" t="s">
        <v>25</v>
      </c>
      <c r="M1861" s="572"/>
      <c r="N1861" s="572"/>
      <c r="O1861" s="740"/>
      <c r="P1861" s="564" t="s">
        <v>25</v>
      </c>
      <c r="Q1861" s="564" t="s">
        <v>25</v>
      </c>
      <c r="R1861" s="572"/>
      <c r="S1861" s="609"/>
      <c r="T1861" s="741"/>
      <c r="U1861" s="586"/>
      <c r="V1861" s="564" t="s">
        <v>2899</v>
      </c>
      <c r="W1861" s="564" t="s">
        <v>25</v>
      </c>
      <c r="X1861" s="650"/>
      <c r="Y1861" s="586"/>
      <c r="Z1861" s="742"/>
      <c r="AA1861" s="586"/>
      <c r="AB1861" s="586"/>
      <c r="AC1861" s="586"/>
      <c r="AD1861" s="586"/>
      <c r="AE1861" s="714"/>
      <c r="AF1861" s="570" t="s">
        <v>2899</v>
      </c>
      <c r="AG1861" s="570" t="s">
        <v>25</v>
      </c>
      <c r="AH1861" s="571" t="s">
        <v>25</v>
      </c>
      <c r="AI1861" s="558"/>
      <c r="AJ1861" s="558"/>
    </row>
    <row r="1862" spans="1:36" s="394" customFormat="1" ht="20.25" outlineLevel="2" x14ac:dyDescent="0.3">
      <c r="A1862" s="447">
        <v>157</v>
      </c>
      <c r="B1862" s="572"/>
      <c r="C1862" s="572"/>
      <c r="D1862" s="612"/>
      <c r="E1862" s="612"/>
      <c r="F1862" s="586"/>
      <c r="G1862" s="709"/>
      <c r="H1862" s="546"/>
      <c r="I1862" s="563" t="s">
        <v>25</v>
      </c>
      <c r="J1862" s="563" t="s">
        <v>25</v>
      </c>
      <c r="K1862" s="564" t="s">
        <v>25</v>
      </c>
      <c r="L1862" s="564" t="s">
        <v>25</v>
      </c>
      <c r="M1862" s="572"/>
      <c r="N1862" s="572"/>
      <c r="O1862" s="740"/>
      <c r="P1862" s="564" t="s">
        <v>25</v>
      </c>
      <c r="Q1862" s="564" t="s">
        <v>25</v>
      </c>
      <c r="R1862" s="572"/>
      <c r="S1862" s="609"/>
      <c r="T1862" s="741"/>
      <c r="U1862" s="586"/>
      <c r="V1862" s="564" t="s">
        <v>2899</v>
      </c>
      <c r="W1862" s="564" t="s">
        <v>25</v>
      </c>
      <c r="X1862" s="650"/>
      <c r="Y1862" s="586"/>
      <c r="Z1862" s="742"/>
      <c r="AA1862" s="586"/>
      <c r="AB1862" s="586"/>
      <c r="AC1862" s="586"/>
      <c r="AD1862" s="586"/>
      <c r="AE1862" s="714"/>
      <c r="AF1862" s="570" t="s">
        <v>2899</v>
      </c>
      <c r="AG1862" s="570" t="s">
        <v>25</v>
      </c>
      <c r="AH1862" s="571" t="s">
        <v>25</v>
      </c>
      <c r="AI1862" s="558"/>
      <c r="AJ1862" s="558"/>
    </row>
    <row r="1863" spans="1:36" s="394" customFormat="1" ht="20.25" outlineLevel="2" x14ac:dyDescent="0.3">
      <c r="A1863" s="447">
        <v>157</v>
      </c>
      <c r="B1863" s="572"/>
      <c r="C1863" s="572"/>
      <c r="D1863" s="612"/>
      <c r="E1863" s="612"/>
      <c r="F1863" s="586"/>
      <c r="G1863" s="709"/>
      <c r="H1863" s="546"/>
      <c r="I1863" s="563" t="s">
        <v>25</v>
      </c>
      <c r="J1863" s="563" t="s">
        <v>25</v>
      </c>
      <c r="K1863" s="564" t="s">
        <v>25</v>
      </c>
      <c r="L1863" s="564" t="s">
        <v>25</v>
      </c>
      <c r="M1863" s="572"/>
      <c r="N1863" s="572"/>
      <c r="O1863" s="740"/>
      <c r="P1863" s="564" t="s">
        <v>25</v>
      </c>
      <c r="Q1863" s="564" t="s">
        <v>25</v>
      </c>
      <c r="R1863" s="572"/>
      <c r="S1863" s="609"/>
      <c r="T1863" s="741"/>
      <c r="U1863" s="586"/>
      <c r="V1863" s="564" t="s">
        <v>2899</v>
      </c>
      <c r="W1863" s="564" t="s">
        <v>25</v>
      </c>
      <c r="X1863" s="650"/>
      <c r="Y1863" s="586"/>
      <c r="Z1863" s="742"/>
      <c r="AA1863" s="586"/>
      <c r="AB1863" s="586"/>
      <c r="AC1863" s="586"/>
      <c r="AD1863" s="586"/>
      <c r="AE1863" s="714"/>
      <c r="AF1863" s="570" t="s">
        <v>2899</v>
      </c>
      <c r="AG1863" s="570" t="s">
        <v>25</v>
      </c>
      <c r="AH1863" s="571" t="s">
        <v>25</v>
      </c>
      <c r="AI1863" s="558"/>
      <c r="AJ1863" s="558"/>
    </row>
    <row r="1864" spans="1:36" s="394" customFormat="1" ht="20.25" outlineLevel="2" x14ac:dyDescent="0.3">
      <c r="A1864" s="447">
        <v>157</v>
      </c>
      <c r="B1864" s="572"/>
      <c r="C1864" s="572"/>
      <c r="D1864" s="612"/>
      <c r="E1864" s="612"/>
      <c r="F1864" s="586"/>
      <c r="G1864" s="709"/>
      <c r="H1864" s="546"/>
      <c r="I1864" s="563" t="s">
        <v>25</v>
      </c>
      <c r="J1864" s="563" t="s">
        <v>25</v>
      </c>
      <c r="K1864" s="564" t="s">
        <v>25</v>
      </c>
      <c r="L1864" s="564" t="s">
        <v>25</v>
      </c>
      <c r="M1864" s="572"/>
      <c r="N1864" s="572"/>
      <c r="O1864" s="740"/>
      <c r="P1864" s="564" t="s">
        <v>25</v>
      </c>
      <c r="Q1864" s="564" t="s">
        <v>25</v>
      </c>
      <c r="R1864" s="572"/>
      <c r="S1864" s="609"/>
      <c r="T1864" s="741"/>
      <c r="U1864" s="586"/>
      <c r="V1864" s="564" t="s">
        <v>2899</v>
      </c>
      <c r="W1864" s="564" t="s">
        <v>25</v>
      </c>
      <c r="X1864" s="650"/>
      <c r="Y1864" s="586"/>
      <c r="Z1864" s="742"/>
      <c r="AA1864" s="586"/>
      <c r="AB1864" s="586"/>
      <c r="AC1864" s="586"/>
      <c r="AD1864" s="586"/>
      <c r="AE1864" s="714"/>
      <c r="AF1864" s="570" t="s">
        <v>2899</v>
      </c>
      <c r="AG1864" s="570" t="s">
        <v>25</v>
      </c>
      <c r="AH1864" s="571" t="s">
        <v>25</v>
      </c>
      <c r="AI1864" s="558"/>
      <c r="AJ1864" s="558"/>
    </row>
    <row r="1865" spans="1:36" s="394" customFormat="1" ht="20.25" outlineLevel="2" x14ac:dyDescent="0.3">
      <c r="A1865" s="447">
        <v>157</v>
      </c>
      <c r="B1865" s="607"/>
      <c r="C1865" s="607"/>
      <c r="D1865" s="642"/>
      <c r="E1865" s="642"/>
      <c r="F1865" s="586"/>
      <c r="G1865" s="709"/>
      <c r="H1865" s="546"/>
      <c r="I1865" s="563" t="s">
        <v>25</v>
      </c>
      <c r="J1865" s="563" t="s">
        <v>25</v>
      </c>
      <c r="K1865" s="564" t="s">
        <v>25</v>
      </c>
      <c r="L1865" s="564" t="s">
        <v>25</v>
      </c>
      <c r="M1865" s="572"/>
      <c r="N1865" s="572"/>
      <c r="O1865" s="740"/>
      <c r="P1865" s="564" t="s">
        <v>25</v>
      </c>
      <c r="Q1865" s="564" t="s">
        <v>25</v>
      </c>
      <c r="R1865" s="572"/>
      <c r="S1865" s="609"/>
      <c r="T1865" s="741"/>
      <c r="U1865" s="586"/>
      <c r="V1865" s="564" t="s">
        <v>2899</v>
      </c>
      <c r="W1865" s="564" t="s">
        <v>25</v>
      </c>
      <c r="X1865" s="650"/>
      <c r="Y1865" s="586"/>
      <c r="Z1865" s="742"/>
      <c r="AA1865" s="586"/>
      <c r="AB1865" s="586"/>
      <c r="AC1865" s="586"/>
      <c r="AD1865" s="586"/>
      <c r="AE1865" s="714"/>
      <c r="AF1865" s="570" t="s">
        <v>2899</v>
      </c>
      <c r="AG1865" s="570" t="s">
        <v>25</v>
      </c>
      <c r="AH1865" s="571" t="s">
        <v>25</v>
      </c>
      <c r="AI1865" s="586"/>
      <c r="AJ1865" s="586"/>
    </row>
    <row r="1866" spans="1:36" s="394" customFormat="1" ht="40.5" outlineLevel="1" x14ac:dyDescent="0.25">
      <c r="A1866" s="467">
        <v>158</v>
      </c>
      <c r="B1866" s="607" t="s">
        <v>1316</v>
      </c>
      <c r="C1866" s="586" t="s">
        <v>2903</v>
      </c>
      <c r="D1866" s="612">
        <v>86</v>
      </c>
      <c r="E1866" s="612">
        <v>50</v>
      </c>
      <c r="F1866" s="578"/>
      <c r="G1866" s="707">
        <v>2166.5</v>
      </c>
      <c r="H1866" s="579">
        <v>0</v>
      </c>
      <c r="I1866" s="581"/>
      <c r="J1866" s="581"/>
      <c r="K1866" s="571">
        <v>1151566000</v>
      </c>
      <c r="L1866" s="571">
        <v>0</v>
      </c>
      <c r="M1866" s="607"/>
      <c r="N1866" s="607"/>
      <c r="O1866" s="738">
        <v>1785</v>
      </c>
      <c r="P1866" s="571"/>
      <c r="Q1866" s="571">
        <v>23436000</v>
      </c>
      <c r="R1866" s="582"/>
      <c r="S1866" s="621"/>
      <c r="T1866" s="739">
        <v>0</v>
      </c>
      <c r="U1866" s="578"/>
      <c r="V1866" s="571"/>
      <c r="W1866" s="571">
        <v>0</v>
      </c>
      <c r="X1866" s="650"/>
      <c r="Y1866" s="586"/>
      <c r="Z1866" s="742"/>
      <c r="AA1866" s="586"/>
      <c r="AB1866" s="586"/>
      <c r="AC1866" s="586"/>
      <c r="AD1866" s="578"/>
      <c r="AE1866" s="712">
        <f>SUBTOTAL(9,AE1867:AE1873)</f>
        <v>0</v>
      </c>
      <c r="AF1866" s="585"/>
      <c r="AG1866" s="585">
        <v>0</v>
      </c>
      <c r="AH1866" s="571">
        <v>1175002000</v>
      </c>
      <c r="AI1866" s="578"/>
      <c r="AJ1866" s="578"/>
    </row>
    <row r="1867" spans="1:36" s="394" customFormat="1" ht="141.75" outlineLevel="2" x14ac:dyDescent="0.3">
      <c r="A1867" s="447">
        <v>158</v>
      </c>
      <c r="B1867" s="572" t="s">
        <v>1319</v>
      </c>
      <c r="C1867" s="572"/>
      <c r="D1867" s="612">
        <v>86</v>
      </c>
      <c r="E1867" s="612">
        <v>50</v>
      </c>
      <c r="F1867" s="586" t="s">
        <v>2423</v>
      </c>
      <c r="G1867" s="709">
        <v>499</v>
      </c>
      <c r="H1867" s="546" t="s">
        <v>2899</v>
      </c>
      <c r="I1867" s="563">
        <v>465600</v>
      </c>
      <c r="J1867" s="563">
        <v>0</v>
      </c>
      <c r="K1867" s="564">
        <v>232334000</v>
      </c>
      <c r="L1867" s="564">
        <v>0</v>
      </c>
      <c r="M1867" s="572" t="s">
        <v>347</v>
      </c>
      <c r="N1867" s="572"/>
      <c r="O1867" s="740">
        <v>1757</v>
      </c>
      <c r="P1867" s="564">
        <v>12000</v>
      </c>
      <c r="Q1867" s="564">
        <v>21084000</v>
      </c>
      <c r="R1867" s="566"/>
      <c r="S1867" s="609"/>
      <c r="T1867" s="741"/>
      <c r="U1867" s="586"/>
      <c r="V1867" s="564" t="s">
        <v>2899</v>
      </c>
      <c r="W1867" s="564" t="s">
        <v>25</v>
      </c>
      <c r="X1867" s="650"/>
      <c r="Y1867" s="586"/>
      <c r="Z1867" s="742"/>
      <c r="AA1867" s="586"/>
      <c r="AB1867" s="586"/>
      <c r="AC1867" s="586"/>
      <c r="AD1867" s="586"/>
      <c r="AE1867" s="714"/>
      <c r="AF1867" s="570" t="s">
        <v>2899</v>
      </c>
      <c r="AG1867" s="570"/>
      <c r="AH1867" s="571" t="s">
        <v>25</v>
      </c>
      <c r="AI1867" s="586" t="s">
        <v>1318</v>
      </c>
      <c r="AJ1867" s="586" t="s">
        <v>2771</v>
      </c>
    </row>
    <row r="1868" spans="1:36" s="394" customFormat="1" ht="121.5" outlineLevel="2" x14ac:dyDescent="0.3">
      <c r="A1868" s="447">
        <v>158</v>
      </c>
      <c r="B1868" s="572" t="s">
        <v>1616</v>
      </c>
      <c r="C1868" s="572"/>
      <c r="D1868" s="612">
        <v>86</v>
      </c>
      <c r="E1868" s="612" t="s">
        <v>1321</v>
      </c>
      <c r="F1868" s="586" t="s">
        <v>2424</v>
      </c>
      <c r="G1868" s="709">
        <v>1608.6</v>
      </c>
      <c r="H1868" s="546" t="s">
        <v>2899</v>
      </c>
      <c r="I1868" s="563">
        <v>554400</v>
      </c>
      <c r="J1868" s="563">
        <v>0</v>
      </c>
      <c r="K1868" s="564">
        <v>891808000</v>
      </c>
      <c r="L1868" s="564">
        <v>0</v>
      </c>
      <c r="M1868" s="572" t="s">
        <v>932</v>
      </c>
      <c r="N1868" s="572"/>
      <c r="O1868" s="740">
        <v>28</v>
      </c>
      <c r="P1868" s="564">
        <v>84000</v>
      </c>
      <c r="Q1868" s="564">
        <v>2352000</v>
      </c>
      <c r="R1868" s="566"/>
      <c r="S1868" s="609"/>
      <c r="T1868" s="741"/>
      <c r="U1868" s="586"/>
      <c r="V1868" s="564" t="s">
        <v>2899</v>
      </c>
      <c r="W1868" s="564" t="s">
        <v>25</v>
      </c>
      <c r="X1868" s="650"/>
      <c r="Y1868" s="586"/>
      <c r="Z1868" s="742"/>
      <c r="AA1868" s="586"/>
      <c r="AB1868" s="586"/>
      <c r="AC1868" s="586"/>
      <c r="AD1868" s="586"/>
      <c r="AE1868" s="714"/>
      <c r="AF1868" s="570" t="s">
        <v>2899</v>
      </c>
      <c r="AG1868" s="570" t="s">
        <v>25</v>
      </c>
      <c r="AH1868" s="571" t="s">
        <v>25</v>
      </c>
      <c r="AI1868" s="586" t="s">
        <v>2073</v>
      </c>
      <c r="AJ1868" s="558" t="s">
        <v>2449</v>
      </c>
    </row>
    <row r="1869" spans="1:36" s="394" customFormat="1" ht="81" outlineLevel="2" x14ac:dyDescent="0.3">
      <c r="A1869" s="447">
        <v>158</v>
      </c>
      <c r="B1869" s="572"/>
      <c r="C1869" s="572"/>
      <c r="D1869" s="612"/>
      <c r="E1869" s="612"/>
      <c r="F1869" s="586" t="s">
        <v>2425</v>
      </c>
      <c r="G1869" s="709">
        <v>58.9</v>
      </c>
      <c r="H1869" s="546" t="s">
        <v>2899</v>
      </c>
      <c r="I1869" s="563">
        <v>465600</v>
      </c>
      <c r="J1869" s="563">
        <v>0</v>
      </c>
      <c r="K1869" s="564">
        <v>27424000</v>
      </c>
      <c r="L1869" s="564">
        <v>0</v>
      </c>
      <c r="M1869" s="572"/>
      <c r="N1869" s="572"/>
      <c r="O1869" s="740"/>
      <c r="P1869" s="564" t="s">
        <v>25</v>
      </c>
      <c r="Q1869" s="564" t="s">
        <v>25</v>
      </c>
      <c r="R1869" s="566"/>
      <c r="S1869" s="609"/>
      <c r="T1869" s="741"/>
      <c r="U1869" s="586"/>
      <c r="V1869" s="564" t="s">
        <v>2899</v>
      </c>
      <c r="W1869" s="564" t="s">
        <v>25</v>
      </c>
      <c r="X1869" s="650"/>
      <c r="Y1869" s="586"/>
      <c r="Z1869" s="742"/>
      <c r="AA1869" s="586"/>
      <c r="AB1869" s="586"/>
      <c r="AC1869" s="586"/>
      <c r="AD1869" s="586"/>
      <c r="AE1869" s="714"/>
      <c r="AF1869" s="570" t="s">
        <v>2899</v>
      </c>
      <c r="AG1869" s="570" t="s">
        <v>25</v>
      </c>
      <c r="AH1869" s="571" t="s">
        <v>25</v>
      </c>
      <c r="AI1869" s="586" t="s">
        <v>1726</v>
      </c>
      <c r="AJ1869" s="731"/>
    </row>
    <row r="1870" spans="1:36" s="394" customFormat="1" ht="20.25" outlineLevel="2" x14ac:dyDescent="0.3">
      <c r="A1870" s="447">
        <v>158</v>
      </c>
      <c r="B1870" s="572"/>
      <c r="C1870" s="572"/>
      <c r="D1870" s="612"/>
      <c r="E1870" s="612"/>
      <c r="F1870" s="586"/>
      <c r="G1870" s="709"/>
      <c r="H1870" s="546"/>
      <c r="I1870" s="563" t="s">
        <v>25</v>
      </c>
      <c r="J1870" s="563" t="s">
        <v>25</v>
      </c>
      <c r="K1870" s="564" t="s">
        <v>25</v>
      </c>
      <c r="L1870" s="564" t="s">
        <v>25</v>
      </c>
      <c r="M1870" s="572"/>
      <c r="N1870" s="572"/>
      <c r="O1870" s="740"/>
      <c r="P1870" s="564" t="s">
        <v>25</v>
      </c>
      <c r="Q1870" s="564" t="s">
        <v>25</v>
      </c>
      <c r="R1870" s="566"/>
      <c r="S1870" s="609"/>
      <c r="T1870" s="741"/>
      <c r="U1870" s="586"/>
      <c r="V1870" s="564" t="s">
        <v>2899</v>
      </c>
      <c r="W1870" s="564" t="s">
        <v>25</v>
      </c>
      <c r="X1870" s="650"/>
      <c r="Y1870" s="586"/>
      <c r="Z1870" s="742"/>
      <c r="AA1870" s="586"/>
      <c r="AB1870" s="586"/>
      <c r="AC1870" s="586"/>
      <c r="AD1870" s="586"/>
      <c r="AE1870" s="714"/>
      <c r="AF1870" s="570" t="s">
        <v>2899</v>
      </c>
      <c r="AG1870" s="570" t="s">
        <v>25</v>
      </c>
      <c r="AH1870" s="571" t="s">
        <v>25</v>
      </c>
      <c r="AI1870" s="586"/>
      <c r="AJ1870" s="586"/>
    </row>
    <row r="1871" spans="1:36" s="394" customFormat="1" ht="20.25" outlineLevel="2" x14ac:dyDescent="0.3">
      <c r="A1871" s="447">
        <v>158</v>
      </c>
      <c r="B1871" s="572"/>
      <c r="C1871" s="572"/>
      <c r="D1871" s="612"/>
      <c r="E1871" s="612"/>
      <c r="F1871" s="586"/>
      <c r="G1871" s="709"/>
      <c r="H1871" s="546"/>
      <c r="I1871" s="563" t="s">
        <v>25</v>
      </c>
      <c r="J1871" s="563" t="s">
        <v>25</v>
      </c>
      <c r="K1871" s="564" t="s">
        <v>25</v>
      </c>
      <c r="L1871" s="564" t="s">
        <v>25</v>
      </c>
      <c r="M1871" s="572"/>
      <c r="N1871" s="572"/>
      <c r="O1871" s="740"/>
      <c r="P1871" s="564" t="s">
        <v>25</v>
      </c>
      <c r="Q1871" s="564" t="s">
        <v>25</v>
      </c>
      <c r="R1871" s="566"/>
      <c r="S1871" s="609"/>
      <c r="T1871" s="741"/>
      <c r="U1871" s="586"/>
      <c r="V1871" s="564" t="s">
        <v>2899</v>
      </c>
      <c r="W1871" s="564" t="s">
        <v>25</v>
      </c>
      <c r="X1871" s="650"/>
      <c r="Y1871" s="586"/>
      <c r="Z1871" s="742"/>
      <c r="AA1871" s="586"/>
      <c r="AB1871" s="586"/>
      <c r="AC1871" s="586"/>
      <c r="AD1871" s="586"/>
      <c r="AE1871" s="714"/>
      <c r="AF1871" s="570" t="s">
        <v>2899</v>
      </c>
      <c r="AG1871" s="570" t="s">
        <v>25</v>
      </c>
      <c r="AH1871" s="571" t="s">
        <v>25</v>
      </c>
      <c r="AI1871" s="586"/>
      <c r="AJ1871" s="586"/>
    </row>
    <row r="1872" spans="1:36" s="394" customFormat="1" ht="20.25" outlineLevel="2" x14ac:dyDescent="0.3">
      <c r="A1872" s="447">
        <v>158</v>
      </c>
      <c r="B1872" s="572"/>
      <c r="C1872" s="572"/>
      <c r="D1872" s="612"/>
      <c r="E1872" s="612"/>
      <c r="F1872" s="586"/>
      <c r="G1872" s="709"/>
      <c r="H1872" s="546"/>
      <c r="I1872" s="563" t="s">
        <v>25</v>
      </c>
      <c r="J1872" s="563" t="s">
        <v>25</v>
      </c>
      <c r="K1872" s="564" t="s">
        <v>25</v>
      </c>
      <c r="L1872" s="564" t="s">
        <v>25</v>
      </c>
      <c r="M1872" s="572"/>
      <c r="N1872" s="572"/>
      <c r="O1872" s="740"/>
      <c r="P1872" s="564" t="s">
        <v>25</v>
      </c>
      <c r="Q1872" s="564" t="s">
        <v>25</v>
      </c>
      <c r="R1872" s="566"/>
      <c r="S1872" s="609"/>
      <c r="T1872" s="741"/>
      <c r="U1872" s="586"/>
      <c r="V1872" s="564" t="s">
        <v>2899</v>
      </c>
      <c r="W1872" s="564" t="s">
        <v>25</v>
      </c>
      <c r="X1872" s="650"/>
      <c r="Y1872" s="586"/>
      <c r="Z1872" s="742"/>
      <c r="AA1872" s="586"/>
      <c r="AB1872" s="586"/>
      <c r="AC1872" s="586"/>
      <c r="AD1872" s="586"/>
      <c r="AE1872" s="714"/>
      <c r="AF1872" s="570" t="s">
        <v>2899</v>
      </c>
      <c r="AG1872" s="570" t="s">
        <v>25</v>
      </c>
      <c r="AH1872" s="571" t="s">
        <v>25</v>
      </c>
      <c r="AI1872" s="586"/>
      <c r="AJ1872" s="586"/>
    </row>
    <row r="1873" spans="1:36" s="394" customFormat="1" ht="20.25" outlineLevel="2" x14ac:dyDescent="0.3">
      <c r="A1873" s="447">
        <v>158</v>
      </c>
      <c r="B1873" s="607"/>
      <c r="C1873" s="607"/>
      <c r="D1873" s="642"/>
      <c r="E1873" s="642"/>
      <c r="F1873" s="586"/>
      <c r="G1873" s="709"/>
      <c r="H1873" s="546"/>
      <c r="I1873" s="563" t="s">
        <v>25</v>
      </c>
      <c r="J1873" s="563" t="s">
        <v>25</v>
      </c>
      <c r="K1873" s="564" t="s">
        <v>25</v>
      </c>
      <c r="L1873" s="564" t="s">
        <v>25</v>
      </c>
      <c r="M1873" s="572"/>
      <c r="N1873" s="572"/>
      <c r="O1873" s="740"/>
      <c r="P1873" s="564" t="s">
        <v>25</v>
      </c>
      <c r="Q1873" s="564" t="s">
        <v>25</v>
      </c>
      <c r="R1873" s="572"/>
      <c r="S1873" s="609"/>
      <c r="T1873" s="741"/>
      <c r="U1873" s="586"/>
      <c r="V1873" s="564" t="s">
        <v>2899</v>
      </c>
      <c r="W1873" s="564" t="s">
        <v>25</v>
      </c>
      <c r="X1873" s="650"/>
      <c r="Y1873" s="586"/>
      <c r="Z1873" s="742"/>
      <c r="AA1873" s="586"/>
      <c r="AB1873" s="586"/>
      <c r="AC1873" s="586"/>
      <c r="AD1873" s="586"/>
      <c r="AE1873" s="714"/>
      <c r="AF1873" s="570" t="s">
        <v>2899</v>
      </c>
      <c r="AG1873" s="570" t="s">
        <v>25</v>
      </c>
      <c r="AH1873" s="571" t="s">
        <v>25</v>
      </c>
      <c r="AI1873" s="586"/>
      <c r="AJ1873" s="586"/>
    </row>
    <row r="1874" spans="1:36" s="432" customFormat="1" ht="40.5" outlineLevel="1" x14ac:dyDescent="0.25">
      <c r="A1874" s="467">
        <v>159</v>
      </c>
      <c r="B1874" s="607" t="s">
        <v>2173</v>
      </c>
      <c r="C1874" s="586" t="s">
        <v>2903</v>
      </c>
      <c r="D1874" s="612">
        <v>86</v>
      </c>
      <c r="E1874" s="612">
        <v>52</v>
      </c>
      <c r="F1874" s="578"/>
      <c r="G1874" s="707">
        <v>14</v>
      </c>
      <c r="H1874" s="579">
        <v>0</v>
      </c>
      <c r="I1874" s="581"/>
      <c r="J1874" s="581"/>
      <c r="K1874" s="571">
        <v>6518000</v>
      </c>
      <c r="L1874" s="571">
        <v>0</v>
      </c>
      <c r="M1874" s="607"/>
      <c r="N1874" s="607"/>
      <c r="O1874" s="738">
        <v>0</v>
      </c>
      <c r="P1874" s="571"/>
      <c r="Q1874" s="571">
        <v>0</v>
      </c>
      <c r="R1874" s="607"/>
      <c r="S1874" s="621"/>
      <c r="T1874" s="739">
        <v>0</v>
      </c>
      <c r="U1874" s="578"/>
      <c r="V1874" s="571"/>
      <c r="W1874" s="571">
        <v>0</v>
      </c>
      <c r="X1874" s="650"/>
      <c r="Y1874" s="578"/>
      <c r="Z1874" s="747"/>
      <c r="AA1874" s="578"/>
      <c r="AB1874" s="578"/>
      <c r="AC1874" s="578"/>
      <c r="AD1874" s="578"/>
      <c r="AE1874" s="712">
        <f>SUBTOTAL(9,AE1875:AE1879)</f>
        <v>0</v>
      </c>
      <c r="AF1874" s="585"/>
      <c r="AG1874" s="585">
        <v>0</v>
      </c>
      <c r="AH1874" s="571">
        <v>6518000</v>
      </c>
      <c r="AI1874" s="578"/>
      <c r="AJ1874" s="578"/>
    </row>
    <row r="1875" spans="1:36" s="432" customFormat="1" ht="162" outlineLevel="2" x14ac:dyDescent="0.3">
      <c r="A1875" s="447">
        <v>159</v>
      </c>
      <c r="B1875" s="572" t="s">
        <v>2458</v>
      </c>
      <c r="C1875" s="572"/>
      <c r="D1875" s="612"/>
      <c r="E1875" s="612"/>
      <c r="F1875" s="586" t="s">
        <v>2874</v>
      </c>
      <c r="G1875" s="709">
        <v>14</v>
      </c>
      <c r="H1875" s="546" t="s">
        <v>2899</v>
      </c>
      <c r="I1875" s="563">
        <v>465600</v>
      </c>
      <c r="J1875" s="563">
        <v>0</v>
      </c>
      <c r="K1875" s="564">
        <v>6518000</v>
      </c>
      <c r="L1875" s="564">
        <v>0</v>
      </c>
      <c r="M1875" s="607"/>
      <c r="N1875" s="607"/>
      <c r="O1875" s="738"/>
      <c r="P1875" s="571"/>
      <c r="Q1875" s="571"/>
      <c r="R1875" s="607"/>
      <c r="S1875" s="621"/>
      <c r="T1875" s="739"/>
      <c r="U1875" s="578"/>
      <c r="V1875" s="564" t="s">
        <v>2899</v>
      </c>
      <c r="W1875" s="564" t="s">
        <v>25</v>
      </c>
      <c r="X1875" s="650"/>
      <c r="Y1875" s="578"/>
      <c r="Z1875" s="747"/>
      <c r="AA1875" s="578"/>
      <c r="AB1875" s="578"/>
      <c r="AC1875" s="578"/>
      <c r="AD1875" s="578"/>
      <c r="AE1875" s="712"/>
      <c r="AF1875" s="570" t="s">
        <v>2899</v>
      </c>
      <c r="AG1875" s="585"/>
      <c r="AH1875" s="571" t="s">
        <v>25</v>
      </c>
      <c r="AI1875" s="586" t="s">
        <v>2241</v>
      </c>
      <c r="AJ1875" s="586" t="s">
        <v>2771</v>
      </c>
    </row>
    <row r="1876" spans="1:36" s="394" customFormat="1" ht="101.25" outlineLevel="2" x14ac:dyDescent="0.3">
      <c r="A1876" s="447">
        <v>159</v>
      </c>
      <c r="B1876" s="572" t="s">
        <v>1617</v>
      </c>
      <c r="C1876" s="572"/>
      <c r="D1876" s="612"/>
      <c r="E1876" s="612"/>
      <c r="F1876" s="586"/>
      <c r="G1876" s="709"/>
      <c r="H1876" s="546"/>
      <c r="I1876" s="563" t="s">
        <v>25</v>
      </c>
      <c r="J1876" s="563" t="s">
        <v>25</v>
      </c>
      <c r="K1876" s="564" t="s">
        <v>25</v>
      </c>
      <c r="L1876" s="564" t="s">
        <v>25</v>
      </c>
      <c r="M1876" s="572"/>
      <c r="N1876" s="572"/>
      <c r="O1876" s="740"/>
      <c r="P1876" s="564"/>
      <c r="Q1876" s="564"/>
      <c r="R1876" s="572"/>
      <c r="S1876" s="609"/>
      <c r="T1876" s="741"/>
      <c r="U1876" s="586"/>
      <c r="V1876" s="564" t="s">
        <v>2899</v>
      </c>
      <c r="W1876" s="564" t="s">
        <v>25</v>
      </c>
      <c r="X1876" s="650"/>
      <c r="Y1876" s="586"/>
      <c r="Z1876" s="742"/>
      <c r="AA1876" s="586"/>
      <c r="AB1876" s="586"/>
      <c r="AC1876" s="586"/>
      <c r="AD1876" s="586"/>
      <c r="AE1876" s="714"/>
      <c r="AF1876" s="570" t="s">
        <v>2899</v>
      </c>
      <c r="AG1876" s="570"/>
      <c r="AH1876" s="571" t="s">
        <v>25</v>
      </c>
      <c r="AI1876" s="586"/>
      <c r="AJ1876" s="586"/>
    </row>
    <row r="1877" spans="1:36" s="394" customFormat="1" ht="20.25" outlineLevel="2" x14ac:dyDescent="0.3">
      <c r="A1877" s="447">
        <v>159</v>
      </c>
      <c r="B1877" s="572"/>
      <c r="C1877" s="572"/>
      <c r="D1877" s="612"/>
      <c r="E1877" s="612"/>
      <c r="F1877" s="586"/>
      <c r="G1877" s="709"/>
      <c r="H1877" s="546"/>
      <c r="I1877" s="563" t="s">
        <v>25</v>
      </c>
      <c r="J1877" s="563" t="s">
        <v>25</v>
      </c>
      <c r="K1877" s="564" t="s">
        <v>25</v>
      </c>
      <c r="L1877" s="564" t="s">
        <v>25</v>
      </c>
      <c r="M1877" s="572"/>
      <c r="N1877" s="572"/>
      <c r="O1877" s="740"/>
      <c r="P1877" s="564"/>
      <c r="Q1877" s="564"/>
      <c r="R1877" s="572"/>
      <c r="S1877" s="609"/>
      <c r="T1877" s="741"/>
      <c r="U1877" s="586"/>
      <c r="V1877" s="564" t="s">
        <v>2899</v>
      </c>
      <c r="W1877" s="564" t="s">
        <v>25</v>
      </c>
      <c r="X1877" s="650"/>
      <c r="Y1877" s="586"/>
      <c r="Z1877" s="742"/>
      <c r="AA1877" s="586"/>
      <c r="AB1877" s="586"/>
      <c r="AC1877" s="586"/>
      <c r="AD1877" s="586"/>
      <c r="AE1877" s="714"/>
      <c r="AF1877" s="570" t="s">
        <v>2899</v>
      </c>
      <c r="AG1877" s="570"/>
      <c r="AH1877" s="571" t="s">
        <v>25</v>
      </c>
      <c r="AI1877" s="586"/>
      <c r="AJ1877" s="586"/>
    </row>
    <row r="1878" spans="1:36" s="394" customFormat="1" ht="20.25" outlineLevel="2" x14ac:dyDescent="0.3">
      <c r="A1878" s="447">
        <v>159</v>
      </c>
      <c r="B1878" s="572"/>
      <c r="C1878" s="572"/>
      <c r="D1878" s="612"/>
      <c r="E1878" s="612"/>
      <c r="F1878" s="586"/>
      <c r="G1878" s="709"/>
      <c r="H1878" s="546"/>
      <c r="I1878" s="563" t="s">
        <v>25</v>
      </c>
      <c r="J1878" s="563" t="s">
        <v>25</v>
      </c>
      <c r="K1878" s="564" t="s">
        <v>25</v>
      </c>
      <c r="L1878" s="564" t="s">
        <v>25</v>
      </c>
      <c r="M1878" s="572"/>
      <c r="N1878" s="572"/>
      <c r="O1878" s="740"/>
      <c r="P1878" s="564"/>
      <c r="Q1878" s="564"/>
      <c r="R1878" s="572"/>
      <c r="S1878" s="609"/>
      <c r="T1878" s="741"/>
      <c r="U1878" s="586"/>
      <c r="V1878" s="564" t="s">
        <v>2899</v>
      </c>
      <c r="W1878" s="564" t="s">
        <v>25</v>
      </c>
      <c r="X1878" s="650"/>
      <c r="Y1878" s="586"/>
      <c r="Z1878" s="742"/>
      <c r="AA1878" s="586"/>
      <c r="AB1878" s="586"/>
      <c r="AC1878" s="586"/>
      <c r="AD1878" s="586"/>
      <c r="AE1878" s="714"/>
      <c r="AF1878" s="570" t="s">
        <v>2899</v>
      </c>
      <c r="AG1878" s="570"/>
      <c r="AH1878" s="571" t="s">
        <v>25</v>
      </c>
      <c r="AI1878" s="586"/>
      <c r="AJ1878" s="586"/>
    </row>
    <row r="1879" spans="1:36" s="394" customFormat="1" ht="20.25" outlineLevel="2" x14ac:dyDescent="0.3">
      <c r="A1879" s="447">
        <v>159</v>
      </c>
      <c r="B1879" s="607"/>
      <c r="C1879" s="607"/>
      <c r="D1879" s="642"/>
      <c r="E1879" s="642"/>
      <c r="F1879" s="586"/>
      <c r="G1879" s="709"/>
      <c r="H1879" s="546"/>
      <c r="I1879" s="563" t="s">
        <v>25</v>
      </c>
      <c r="J1879" s="563" t="s">
        <v>25</v>
      </c>
      <c r="K1879" s="564" t="s">
        <v>25</v>
      </c>
      <c r="L1879" s="564" t="s">
        <v>25</v>
      </c>
      <c r="M1879" s="572"/>
      <c r="N1879" s="572"/>
      <c r="O1879" s="740"/>
      <c r="P1879" s="564"/>
      <c r="Q1879" s="564"/>
      <c r="R1879" s="572"/>
      <c r="S1879" s="609"/>
      <c r="T1879" s="741"/>
      <c r="U1879" s="586"/>
      <c r="V1879" s="564" t="s">
        <v>2899</v>
      </c>
      <c r="W1879" s="564" t="s">
        <v>25</v>
      </c>
      <c r="X1879" s="650"/>
      <c r="Y1879" s="586"/>
      <c r="Z1879" s="742"/>
      <c r="AA1879" s="586"/>
      <c r="AB1879" s="586"/>
      <c r="AC1879" s="586"/>
      <c r="AD1879" s="586"/>
      <c r="AE1879" s="714"/>
      <c r="AF1879" s="570" t="s">
        <v>2899</v>
      </c>
      <c r="AG1879" s="570"/>
      <c r="AH1879" s="571" t="s">
        <v>25</v>
      </c>
      <c r="AI1879" s="586"/>
      <c r="AJ1879" s="586"/>
    </row>
    <row r="1880" spans="1:36" s="396" customFormat="1" ht="40.5" outlineLevel="1" x14ac:dyDescent="0.25">
      <c r="A1880" s="467">
        <v>160</v>
      </c>
      <c r="B1880" s="607" t="s">
        <v>2173</v>
      </c>
      <c r="C1880" s="586" t="s">
        <v>2903</v>
      </c>
      <c r="D1880" s="612">
        <v>86</v>
      </c>
      <c r="E1880" s="612">
        <v>52</v>
      </c>
      <c r="F1880" s="578"/>
      <c r="G1880" s="707">
        <v>8.1</v>
      </c>
      <c r="H1880" s="579">
        <v>0</v>
      </c>
      <c r="I1880" s="581"/>
      <c r="J1880" s="581"/>
      <c r="K1880" s="571">
        <v>3772000</v>
      </c>
      <c r="L1880" s="571">
        <v>0</v>
      </c>
      <c r="M1880" s="607"/>
      <c r="N1880" s="607"/>
      <c r="O1880" s="738">
        <v>0</v>
      </c>
      <c r="P1880" s="571"/>
      <c r="Q1880" s="571">
        <v>0</v>
      </c>
      <c r="R1880" s="607"/>
      <c r="S1880" s="621"/>
      <c r="T1880" s="739">
        <v>0</v>
      </c>
      <c r="U1880" s="578"/>
      <c r="V1880" s="571"/>
      <c r="W1880" s="571">
        <v>0</v>
      </c>
      <c r="X1880" s="650"/>
      <c r="Y1880" s="586"/>
      <c r="Z1880" s="742"/>
      <c r="AA1880" s="586"/>
      <c r="AB1880" s="586"/>
      <c r="AC1880" s="586"/>
      <c r="AD1880" s="578"/>
      <c r="AE1880" s="712">
        <f>SUBTOTAL(9,AE1881:AE1890)</f>
        <v>0</v>
      </c>
      <c r="AF1880" s="585"/>
      <c r="AG1880" s="585">
        <v>0</v>
      </c>
      <c r="AH1880" s="571">
        <v>3772000</v>
      </c>
      <c r="AI1880" s="578"/>
      <c r="AJ1880" s="578"/>
    </row>
    <row r="1881" spans="1:36" s="396" customFormat="1" ht="162" outlineLevel="2" x14ac:dyDescent="0.3">
      <c r="A1881" s="447">
        <v>160</v>
      </c>
      <c r="B1881" s="572" t="s">
        <v>2458</v>
      </c>
      <c r="C1881" s="572"/>
      <c r="D1881" s="612">
        <v>86</v>
      </c>
      <c r="E1881" s="612" t="s">
        <v>1329</v>
      </c>
      <c r="F1881" s="586" t="s">
        <v>2874</v>
      </c>
      <c r="G1881" s="709">
        <v>7.6</v>
      </c>
      <c r="H1881" s="546" t="s">
        <v>2899</v>
      </c>
      <c r="I1881" s="563">
        <v>465600</v>
      </c>
      <c r="J1881" s="563">
        <v>0</v>
      </c>
      <c r="K1881" s="564">
        <v>3539000</v>
      </c>
      <c r="L1881" s="564">
        <v>0</v>
      </c>
      <c r="M1881" s="572"/>
      <c r="N1881" s="572"/>
      <c r="O1881" s="740"/>
      <c r="P1881" s="564"/>
      <c r="Q1881" s="564"/>
      <c r="R1881" s="572"/>
      <c r="S1881" s="609"/>
      <c r="T1881" s="741"/>
      <c r="U1881" s="586"/>
      <c r="V1881" s="564" t="s">
        <v>2899</v>
      </c>
      <c r="W1881" s="564" t="s">
        <v>25</v>
      </c>
      <c r="X1881" s="650"/>
      <c r="Y1881" s="586"/>
      <c r="Z1881" s="742"/>
      <c r="AA1881" s="586"/>
      <c r="AB1881" s="586"/>
      <c r="AC1881" s="586"/>
      <c r="AD1881" s="586"/>
      <c r="AE1881" s="714"/>
      <c r="AF1881" s="570" t="s">
        <v>2899</v>
      </c>
      <c r="AG1881" s="570"/>
      <c r="AH1881" s="571" t="s">
        <v>25</v>
      </c>
      <c r="AI1881" s="586" t="s">
        <v>2242</v>
      </c>
      <c r="AJ1881" s="586" t="s">
        <v>2771</v>
      </c>
    </row>
    <row r="1882" spans="1:36" s="394" customFormat="1" ht="101.25" outlineLevel="2" x14ac:dyDescent="0.3">
      <c r="A1882" s="447">
        <v>160</v>
      </c>
      <c r="B1882" s="572" t="s">
        <v>1617</v>
      </c>
      <c r="C1882" s="572"/>
      <c r="D1882" s="612"/>
      <c r="E1882" s="612"/>
      <c r="F1882" s="586" t="s">
        <v>2877</v>
      </c>
      <c r="G1882" s="709">
        <v>0.5</v>
      </c>
      <c r="H1882" s="546" t="s">
        <v>2899</v>
      </c>
      <c r="I1882" s="563">
        <v>465600</v>
      </c>
      <c r="J1882" s="563">
        <v>0</v>
      </c>
      <c r="K1882" s="564">
        <v>233000</v>
      </c>
      <c r="L1882" s="564">
        <v>0</v>
      </c>
      <c r="M1882" s="572"/>
      <c r="N1882" s="572"/>
      <c r="O1882" s="740"/>
      <c r="P1882" s="564"/>
      <c r="Q1882" s="564"/>
      <c r="R1882" s="572"/>
      <c r="S1882" s="609"/>
      <c r="T1882" s="741"/>
      <c r="U1882" s="586"/>
      <c r="V1882" s="564" t="s">
        <v>2899</v>
      </c>
      <c r="W1882" s="564" t="s">
        <v>25</v>
      </c>
      <c r="X1882" s="650"/>
      <c r="Y1882" s="586"/>
      <c r="Z1882" s="742"/>
      <c r="AA1882" s="586"/>
      <c r="AB1882" s="586"/>
      <c r="AC1882" s="586"/>
      <c r="AD1882" s="586"/>
      <c r="AE1882" s="714"/>
      <c r="AF1882" s="570" t="s">
        <v>2899</v>
      </c>
      <c r="AG1882" s="570"/>
      <c r="AH1882" s="571" t="s">
        <v>25</v>
      </c>
      <c r="AI1882" s="586" t="s">
        <v>1330</v>
      </c>
      <c r="AJ1882" s="586"/>
    </row>
    <row r="1883" spans="1:36" s="394" customFormat="1" ht="20.25" outlineLevel="2" x14ac:dyDescent="0.3">
      <c r="A1883" s="447">
        <v>160</v>
      </c>
      <c r="B1883" s="572"/>
      <c r="C1883" s="572"/>
      <c r="D1883" s="612"/>
      <c r="E1883" s="612"/>
      <c r="F1883" s="586"/>
      <c r="G1883" s="709"/>
      <c r="H1883" s="546"/>
      <c r="I1883" s="563" t="s">
        <v>25</v>
      </c>
      <c r="J1883" s="563" t="s">
        <v>25</v>
      </c>
      <c r="K1883" s="564" t="s">
        <v>25</v>
      </c>
      <c r="L1883" s="564" t="s">
        <v>25</v>
      </c>
      <c r="M1883" s="572"/>
      <c r="N1883" s="572"/>
      <c r="O1883" s="740"/>
      <c r="P1883" s="564"/>
      <c r="Q1883" s="564"/>
      <c r="R1883" s="572"/>
      <c r="S1883" s="609"/>
      <c r="T1883" s="741"/>
      <c r="U1883" s="586"/>
      <c r="V1883" s="564" t="s">
        <v>2899</v>
      </c>
      <c r="W1883" s="564" t="s">
        <v>25</v>
      </c>
      <c r="X1883" s="650"/>
      <c r="Y1883" s="586"/>
      <c r="Z1883" s="742"/>
      <c r="AA1883" s="586"/>
      <c r="AB1883" s="586"/>
      <c r="AC1883" s="586"/>
      <c r="AD1883" s="586"/>
      <c r="AE1883" s="714"/>
      <c r="AF1883" s="570" t="s">
        <v>2899</v>
      </c>
      <c r="AG1883" s="570"/>
      <c r="AH1883" s="571" t="s">
        <v>25</v>
      </c>
      <c r="AI1883" s="586"/>
      <c r="AJ1883" s="586"/>
    </row>
    <row r="1884" spans="1:36" s="394" customFormat="1" ht="20.25" outlineLevel="2" x14ac:dyDescent="0.3">
      <c r="A1884" s="447">
        <v>160</v>
      </c>
      <c r="B1884" s="572"/>
      <c r="C1884" s="572"/>
      <c r="D1884" s="612"/>
      <c r="E1884" s="612"/>
      <c r="F1884" s="586"/>
      <c r="G1884" s="709"/>
      <c r="H1884" s="546"/>
      <c r="I1884" s="563" t="s">
        <v>25</v>
      </c>
      <c r="J1884" s="563" t="s">
        <v>25</v>
      </c>
      <c r="K1884" s="564" t="s">
        <v>25</v>
      </c>
      <c r="L1884" s="564" t="s">
        <v>25</v>
      </c>
      <c r="M1884" s="572"/>
      <c r="N1884" s="572"/>
      <c r="O1884" s="740"/>
      <c r="P1884" s="564"/>
      <c r="Q1884" s="564"/>
      <c r="R1884" s="572"/>
      <c r="S1884" s="609"/>
      <c r="T1884" s="741"/>
      <c r="U1884" s="586"/>
      <c r="V1884" s="564" t="s">
        <v>2899</v>
      </c>
      <c r="W1884" s="564" t="s">
        <v>25</v>
      </c>
      <c r="X1884" s="650"/>
      <c r="Y1884" s="586"/>
      <c r="Z1884" s="742"/>
      <c r="AA1884" s="586"/>
      <c r="AB1884" s="586"/>
      <c r="AC1884" s="586"/>
      <c r="AD1884" s="586"/>
      <c r="AE1884" s="714"/>
      <c r="AF1884" s="570" t="s">
        <v>2899</v>
      </c>
      <c r="AG1884" s="570"/>
      <c r="AH1884" s="571" t="s">
        <v>25</v>
      </c>
      <c r="AI1884" s="586"/>
      <c r="AJ1884" s="586"/>
    </row>
    <row r="1885" spans="1:36" s="394" customFormat="1" ht="20.25" outlineLevel="2" x14ac:dyDescent="0.3">
      <c r="A1885" s="447">
        <v>160</v>
      </c>
      <c r="B1885" s="572"/>
      <c r="C1885" s="572"/>
      <c r="D1885" s="612"/>
      <c r="E1885" s="612"/>
      <c r="F1885" s="586"/>
      <c r="G1885" s="709"/>
      <c r="H1885" s="546"/>
      <c r="I1885" s="563" t="s">
        <v>25</v>
      </c>
      <c r="J1885" s="563" t="s">
        <v>25</v>
      </c>
      <c r="K1885" s="564" t="s">
        <v>25</v>
      </c>
      <c r="L1885" s="564" t="s">
        <v>25</v>
      </c>
      <c r="M1885" s="572"/>
      <c r="N1885" s="572"/>
      <c r="O1885" s="740"/>
      <c r="P1885" s="564"/>
      <c r="Q1885" s="564"/>
      <c r="R1885" s="572"/>
      <c r="S1885" s="609"/>
      <c r="T1885" s="741"/>
      <c r="U1885" s="586"/>
      <c r="V1885" s="564" t="s">
        <v>2899</v>
      </c>
      <c r="W1885" s="564" t="s">
        <v>25</v>
      </c>
      <c r="X1885" s="650"/>
      <c r="Y1885" s="586"/>
      <c r="Z1885" s="742"/>
      <c r="AA1885" s="586"/>
      <c r="AB1885" s="586"/>
      <c r="AC1885" s="586"/>
      <c r="AD1885" s="586"/>
      <c r="AE1885" s="714"/>
      <c r="AF1885" s="570" t="s">
        <v>2899</v>
      </c>
      <c r="AG1885" s="570"/>
      <c r="AH1885" s="571" t="s">
        <v>25</v>
      </c>
      <c r="AI1885" s="586"/>
      <c r="AJ1885" s="586"/>
    </row>
    <row r="1886" spans="1:36" s="394" customFormat="1" ht="20.25" outlineLevel="2" x14ac:dyDescent="0.3">
      <c r="A1886" s="447">
        <v>160</v>
      </c>
      <c r="B1886" s="572"/>
      <c r="C1886" s="572"/>
      <c r="D1886" s="612"/>
      <c r="E1886" s="612"/>
      <c r="F1886" s="586"/>
      <c r="G1886" s="709"/>
      <c r="H1886" s="546"/>
      <c r="I1886" s="563" t="s">
        <v>25</v>
      </c>
      <c r="J1886" s="563" t="s">
        <v>25</v>
      </c>
      <c r="K1886" s="564" t="s">
        <v>25</v>
      </c>
      <c r="L1886" s="564" t="s">
        <v>25</v>
      </c>
      <c r="M1886" s="572"/>
      <c r="N1886" s="572"/>
      <c r="O1886" s="740"/>
      <c r="P1886" s="564"/>
      <c r="Q1886" s="564"/>
      <c r="R1886" s="572"/>
      <c r="S1886" s="609"/>
      <c r="T1886" s="741"/>
      <c r="U1886" s="586"/>
      <c r="V1886" s="564" t="s">
        <v>2899</v>
      </c>
      <c r="W1886" s="564" t="s">
        <v>25</v>
      </c>
      <c r="X1886" s="650"/>
      <c r="Y1886" s="586"/>
      <c r="Z1886" s="742"/>
      <c r="AA1886" s="586"/>
      <c r="AB1886" s="586"/>
      <c r="AC1886" s="586"/>
      <c r="AD1886" s="586"/>
      <c r="AE1886" s="714"/>
      <c r="AF1886" s="570" t="s">
        <v>2899</v>
      </c>
      <c r="AG1886" s="570"/>
      <c r="AH1886" s="571" t="s">
        <v>25</v>
      </c>
      <c r="AI1886" s="586"/>
      <c r="AJ1886" s="586"/>
    </row>
    <row r="1887" spans="1:36" s="394" customFormat="1" ht="20.25" outlineLevel="2" x14ac:dyDescent="0.3">
      <c r="A1887" s="447">
        <v>160</v>
      </c>
      <c r="B1887" s="572"/>
      <c r="C1887" s="572"/>
      <c r="D1887" s="612"/>
      <c r="E1887" s="612"/>
      <c r="F1887" s="586"/>
      <c r="G1887" s="709"/>
      <c r="H1887" s="546"/>
      <c r="I1887" s="563" t="s">
        <v>25</v>
      </c>
      <c r="J1887" s="563" t="s">
        <v>25</v>
      </c>
      <c r="K1887" s="564" t="s">
        <v>25</v>
      </c>
      <c r="L1887" s="564" t="s">
        <v>25</v>
      </c>
      <c r="M1887" s="572"/>
      <c r="N1887" s="572"/>
      <c r="O1887" s="740"/>
      <c r="P1887" s="564"/>
      <c r="Q1887" s="564"/>
      <c r="R1887" s="572"/>
      <c r="S1887" s="609"/>
      <c r="T1887" s="741"/>
      <c r="U1887" s="586"/>
      <c r="V1887" s="564" t="s">
        <v>2899</v>
      </c>
      <c r="W1887" s="564" t="s">
        <v>25</v>
      </c>
      <c r="X1887" s="650"/>
      <c r="Y1887" s="586"/>
      <c r="Z1887" s="742"/>
      <c r="AA1887" s="586"/>
      <c r="AB1887" s="586"/>
      <c r="AC1887" s="586"/>
      <c r="AD1887" s="586"/>
      <c r="AE1887" s="714"/>
      <c r="AF1887" s="570" t="s">
        <v>2899</v>
      </c>
      <c r="AG1887" s="570"/>
      <c r="AH1887" s="571" t="s">
        <v>25</v>
      </c>
      <c r="AI1887" s="586"/>
      <c r="AJ1887" s="586"/>
    </row>
    <row r="1888" spans="1:36" s="394" customFormat="1" ht="20.25" outlineLevel="2" x14ac:dyDescent="0.3">
      <c r="A1888" s="447">
        <v>160</v>
      </c>
      <c r="B1888" s="572"/>
      <c r="C1888" s="572"/>
      <c r="D1888" s="612"/>
      <c r="E1888" s="612"/>
      <c r="F1888" s="586"/>
      <c r="G1888" s="709"/>
      <c r="H1888" s="546"/>
      <c r="I1888" s="563" t="s">
        <v>25</v>
      </c>
      <c r="J1888" s="563" t="s">
        <v>25</v>
      </c>
      <c r="K1888" s="564" t="s">
        <v>25</v>
      </c>
      <c r="L1888" s="564" t="s">
        <v>25</v>
      </c>
      <c r="M1888" s="572"/>
      <c r="N1888" s="572"/>
      <c r="O1888" s="740"/>
      <c r="P1888" s="564"/>
      <c r="Q1888" s="564"/>
      <c r="R1888" s="572"/>
      <c r="S1888" s="609"/>
      <c r="T1888" s="741"/>
      <c r="U1888" s="586"/>
      <c r="V1888" s="564" t="s">
        <v>2899</v>
      </c>
      <c r="W1888" s="564" t="s">
        <v>25</v>
      </c>
      <c r="X1888" s="650"/>
      <c r="Y1888" s="586"/>
      <c r="Z1888" s="742"/>
      <c r="AA1888" s="586"/>
      <c r="AB1888" s="586"/>
      <c r="AC1888" s="586"/>
      <c r="AD1888" s="586"/>
      <c r="AE1888" s="714"/>
      <c r="AF1888" s="570" t="s">
        <v>2899</v>
      </c>
      <c r="AG1888" s="570"/>
      <c r="AH1888" s="571" t="s">
        <v>25</v>
      </c>
      <c r="AI1888" s="586"/>
      <c r="AJ1888" s="586"/>
    </row>
    <row r="1889" spans="1:36" s="394" customFormat="1" ht="20.25" outlineLevel="2" x14ac:dyDescent="0.3">
      <c r="A1889" s="447">
        <v>160</v>
      </c>
      <c r="B1889" s="572"/>
      <c r="C1889" s="572"/>
      <c r="D1889" s="612"/>
      <c r="E1889" s="612"/>
      <c r="F1889" s="586"/>
      <c r="G1889" s="709"/>
      <c r="H1889" s="546"/>
      <c r="I1889" s="563" t="s">
        <v>25</v>
      </c>
      <c r="J1889" s="563" t="s">
        <v>25</v>
      </c>
      <c r="K1889" s="564" t="s">
        <v>25</v>
      </c>
      <c r="L1889" s="564" t="s">
        <v>25</v>
      </c>
      <c r="M1889" s="572"/>
      <c r="N1889" s="572"/>
      <c r="O1889" s="740"/>
      <c r="P1889" s="564"/>
      <c r="Q1889" s="564"/>
      <c r="R1889" s="572"/>
      <c r="S1889" s="609"/>
      <c r="T1889" s="741"/>
      <c r="U1889" s="586"/>
      <c r="V1889" s="564" t="s">
        <v>2899</v>
      </c>
      <c r="W1889" s="564" t="s">
        <v>25</v>
      </c>
      <c r="X1889" s="650"/>
      <c r="Y1889" s="586"/>
      <c r="Z1889" s="742"/>
      <c r="AA1889" s="586"/>
      <c r="AB1889" s="586"/>
      <c r="AC1889" s="586"/>
      <c r="AD1889" s="586"/>
      <c r="AE1889" s="714"/>
      <c r="AF1889" s="570" t="s">
        <v>2899</v>
      </c>
      <c r="AG1889" s="570"/>
      <c r="AH1889" s="571" t="s">
        <v>25</v>
      </c>
      <c r="AI1889" s="586"/>
      <c r="AJ1889" s="586"/>
    </row>
    <row r="1890" spans="1:36" s="394" customFormat="1" ht="20.25" outlineLevel="2" x14ac:dyDescent="0.3">
      <c r="A1890" s="447">
        <v>160</v>
      </c>
      <c r="B1890" s="607"/>
      <c r="C1890" s="607"/>
      <c r="D1890" s="748"/>
      <c r="E1890" s="748"/>
      <c r="F1890" s="586"/>
      <c r="G1890" s="709"/>
      <c r="H1890" s="546"/>
      <c r="I1890" s="563" t="s">
        <v>25</v>
      </c>
      <c r="J1890" s="563" t="s">
        <v>25</v>
      </c>
      <c r="K1890" s="564" t="s">
        <v>25</v>
      </c>
      <c r="L1890" s="564" t="s">
        <v>25</v>
      </c>
      <c r="M1890" s="572"/>
      <c r="N1890" s="572"/>
      <c r="O1890" s="740"/>
      <c r="P1890" s="564"/>
      <c r="Q1890" s="564"/>
      <c r="R1890" s="572"/>
      <c r="S1890" s="609"/>
      <c r="T1890" s="741"/>
      <c r="U1890" s="586"/>
      <c r="V1890" s="564" t="s">
        <v>2899</v>
      </c>
      <c r="W1890" s="564" t="s">
        <v>25</v>
      </c>
      <c r="X1890" s="650"/>
      <c r="Y1890" s="586"/>
      <c r="Z1890" s="742"/>
      <c r="AA1890" s="586"/>
      <c r="AB1890" s="586"/>
      <c r="AC1890" s="586"/>
      <c r="AD1890" s="586"/>
      <c r="AE1890" s="714"/>
      <c r="AF1890" s="570" t="s">
        <v>2899</v>
      </c>
      <c r="AG1890" s="570"/>
      <c r="AH1890" s="571" t="s">
        <v>25</v>
      </c>
      <c r="AI1890" s="586"/>
      <c r="AJ1890" s="586"/>
    </row>
    <row r="1891" spans="1:36" s="394" customFormat="1" ht="40.5" outlineLevel="1" x14ac:dyDescent="0.3">
      <c r="A1891" s="467">
        <v>161</v>
      </c>
      <c r="B1891" s="607" t="s">
        <v>2174</v>
      </c>
      <c r="C1891" s="586" t="s">
        <v>2903</v>
      </c>
      <c r="D1891" s="744"/>
      <c r="E1891" s="744"/>
      <c r="F1891" s="746"/>
      <c r="G1891" s="749">
        <v>0</v>
      </c>
      <c r="H1891" s="579">
        <v>0</v>
      </c>
      <c r="I1891" s="581"/>
      <c r="J1891" s="581"/>
      <c r="K1891" s="571">
        <v>0</v>
      </c>
      <c r="L1891" s="571">
        <v>0</v>
      </c>
      <c r="M1891" s="607"/>
      <c r="N1891" s="607"/>
      <c r="O1891" s="738">
        <v>0</v>
      </c>
      <c r="P1891" s="571"/>
      <c r="Q1891" s="571">
        <v>0</v>
      </c>
      <c r="R1891" s="582"/>
      <c r="S1891" s="621"/>
      <c r="T1891" s="739">
        <v>19.600000000000001</v>
      </c>
      <c r="U1891" s="578"/>
      <c r="V1891" s="571"/>
      <c r="W1891" s="571">
        <v>117426000</v>
      </c>
      <c r="X1891" s="661"/>
      <c r="Y1891" s="683"/>
      <c r="Z1891" s="683"/>
      <c r="AA1891" s="694"/>
      <c r="AB1891" s="683"/>
      <c r="AC1891" s="683"/>
      <c r="AD1891" s="650"/>
      <c r="AE1891" s="599">
        <f>SUBTOTAL(9,AE1892:AE1898)</f>
        <v>0</v>
      </c>
      <c r="AF1891" s="585"/>
      <c r="AG1891" s="585">
        <v>0</v>
      </c>
      <c r="AH1891" s="571">
        <v>117426000</v>
      </c>
      <c r="AI1891" s="578"/>
      <c r="AJ1891" s="574"/>
    </row>
    <row r="1892" spans="1:36" s="394" customFormat="1" ht="121.5" outlineLevel="2" x14ac:dyDescent="0.3">
      <c r="A1892" s="447">
        <v>161</v>
      </c>
      <c r="B1892" s="572" t="s">
        <v>1324</v>
      </c>
      <c r="C1892" s="572"/>
      <c r="D1892" s="612"/>
      <c r="E1892" s="612"/>
      <c r="F1892" s="731"/>
      <c r="G1892" s="745"/>
      <c r="H1892" s="546"/>
      <c r="I1892" s="563" t="s">
        <v>25</v>
      </c>
      <c r="J1892" s="563" t="s">
        <v>25</v>
      </c>
      <c r="K1892" s="564" t="s">
        <v>25</v>
      </c>
      <c r="L1892" s="564" t="s">
        <v>25</v>
      </c>
      <c r="M1892" s="572"/>
      <c r="N1892" s="572"/>
      <c r="O1892" s="740"/>
      <c r="P1892" s="564" t="s">
        <v>25</v>
      </c>
      <c r="Q1892" s="564" t="s">
        <v>25</v>
      </c>
      <c r="R1892" s="566" t="s">
        <v>1934</v>
      </c>
      <c r="S1892" s="609" t="s">
        <v>1133</v>
      </c>
      <c r="T1892" s="741">
        <v>16</v>
      </c>
      <c r="U1892" s="586"/>
      <c r="V1892" s="564">
        <v>5307665</v>
      </c>
      <c r="W1892" s="564">
        <v>84923000</v>
      </c>
      <c r="X1892" s="661" t="s">
        <v>1138</v>
      </c>
      <c r="Y1892" s="683" t="s">
        <v>1139</v>
      </c>
      <c r="Z1892" s="683" t="s">
        <v>56</v>
      </c>
      <c r="AA1892" s="694" t="s">
        <v>269</v>
      </c>
      <c r="AB1892" s="683" t="s">
        <v>1138</v>
      </c>
      <c r="AC1892" s="683"/>
      <c r="AD1892" s="683"/>
      <c r="AE1892" s="590"/>
      <c r="AF1892" s="570" t="s">
        <v>2899</v>
      </c>
      <c r="AG1892" s="570" t="s">
        <v>25</v>
      </c>
      <c r="AH1892" s="571" t="s">
        <v>25</v>
      </c>
      <c r="AI1892" s="586" t="s">
        <v>1325</v>
      </c>
      <c r="AJ1892" s="558" t="s">
        <v>2450</v>
      </c>
    </row>
    <row r="1893" spans="1:36" s="394" customFormat="1" ht="101.25" outlineLevel="2" x14ac:dyDescent="0.3">
      <c r="A1893" s="447">
        <v>161</v>
      </c>
      <c r="B1893" s="572" t="s">
        <v>1617</v>
      </c>
      <c r="C1893" s="572"/>
      <c r="D1893" s="612"/>
      <c r="E1893" s="612"/>
      <c r="F1893" s="586"/>
      <c r="G1893" s="709"/>
      <c r="H1893" s="546"/>
      <c r="I1893" s="563" t="s">
        <v>25</v>
      </c>
      <c r="J1893" s="563" t="s">
        <v>25</v>
      </c>
      <c r="K1893" s="564" t="s">
        <v>25</v>
      </c>
      <c r="L1893" s="564" t="s">
        <v>25</v>
      </c>
      <c r="M1893" s="572"/>
      <c r="N1893" s="572"/>
      <c r="O1893" s="740"/>
      <c r="P1893" s="564" t="s">
        <v>25</v>
      </c>
      <c r="Q1893" s="564" t="s">
        <v>25</v>
      </c>
      <c r="R1893" s="566" t="s">
        <v>1935</v>
      </c>
      <c r="S1893" s="609" t="s">
        <v>1133</v>
      </c>
      <c r="T1893" s="741">
        <v>3.6</v>
      </c>
      <c r="U1893" s="586"/>
      <c r="V1893" s="564">
        <v>9028527</v>
      </c>
      <c r="W1893" s="564">
        <v>32503000</v>
      </c>
      <c r="X1893" s="650"/>
      <c r="Y1893" s="586"/>
      <c r="Z1893" s="742"/>
      <c r="AA1893" s="586"/>
      <c r="AB1893" s="586"/>
      <c r="AC1893" s="586"/>
      <c r="AD1893" s="586"/>
      <c r="AE1893" s="714"/>
      <c r="AF1893" s="570" t="s">
        <v>2899</v>
      </c>
      <c r="AG1893" s="570" t="s">
        <v>25</v>
      </c>
      <c r="AH1893" s="571" t="s">
        <v>25</v>
      </c>
      <c r="AI1893" s="731"/>
      <c r="AJ1893" s="586"/>
    </row>
    <row r="1894" spans="1:36" s="394" customFormat="1" ht="60.75" outlineLevel="2" x14ac:dyDescent="0.3">
      <c r="A1894" s="447">
        <v>161</v>
      </c>
      <c r="B1894" s="572"/>
      <c r="C1894" s="572"/>
      <c r="D1894" s="612"/>
      <c r="E1894" s="612"/>
      <c r="F1894" s="586"/>
      <c r="G1894" s="709"/>
      <c r="H1894" s="546"/>
      <c r="I1894" s="563" t="s">
        <v>25</v>
      </c>
      <c r="J1894" s="563" t="s">
        <v>25</v>
      </c>
      <c r="K1894" s="564" t="s">
        <v>25</v>
      </c>
      <c r="L1894" s="564" t="s">
        <v>25</v>
      </c>
      <c r="M1894" s="572"/>
      <c r="N1894" s="572"/>
      <c r="O1894" s="740"/>
      <c r="P1894" s="564" t="s">
        <v>25</v>
      </c>
      <c r="Q1894" s="564" t="s">
        <v>25</v>
      </c>
      <c r="R1894" s="572" t="s">
        <v>1932</v>
      </c>
      <c r="S1894" s="609" t="s">
        <v>1133</v>
      </c>
      <c r="T1894" s="741"/>
      <c r="U1894" s="586">
        <v>14.4</v>
      </c>
      <c r="V1894" s="564">
        <v>0</v>
      </c>
      <c r="W1894" s="564">
        <v>0</v>
      </c>
      <c r="X1894" s="650"/>
      <c r="Y1894" s="586"/>
      <c r="Z1894" s="742"/>
      <c r="AA1894" s="586"/>
      <c r="AB1894" s="586"/>
      <c r="AC1894" s="586"/>
      <c r="AD1894" s="586"/>
      <c r="AE1894" s="714"/>
      <c r="AF1894" s="570" t="s">
        <v>2899</v>
      </c>
      <c r="AG1894" s="570" t="s">
        <v>25</v>
      </c>
      <c r="AH1894" s="571" t="s">
        <v>25</v>
      </c>
      <c r="AI1894" s="586"/>
      <c r="AJ1894" s="586"/>
    </row>
    <row r="1895" spans="1:36" s="394" customFormat="1" ht="60.75" outlineLevel="2" x14ac:dyDescent="0.3">
      <c r="A1895" s="447">
        <v>161</v>
      </c>
      <c r="B1895" s="572"/>
      <c r="C1895" s="572"/>
      <c r="D1895" s="612"/>
      <c r="E1895" s="612"/>
      <c r="F1895" s="586"/>
      <c r="G1895" s="709"/>
      <c r="H1895" s="546"/>
      <c r="I1895" s="563" t="s">
        <v>25</v>
      </c>
      <c r="J1895" s="563" t="s">
        <v>25</v>
      </c>
      <c r="K1895" s="564" t="s">
        <v>25</v>
      </c>
      <c r="L1895" s="564" t="s">
        <v>25</v>
      </c>
      <c r="M1895" s="572"/>
      <c r="N1895" s="572"/>
      <c r="O1895" s="740"/>
      <c r="P1895" s="564" t="s">
        <v>25</v>
      </c>
      <c r="Q1895" s="564" t="s">
        <v>25</v>
      </c>
      <c r="R1895" s="566" t="s">
        <v>1936</v>
      </c>
      <c r="S1895" s="609" t="s">
        <v>1133</v>
      </c>
      <c r="T1895" s="741"/>
      <c r="U1895" s="586">
        <v>14.4</v>
      </c>
      <c r="V1895" s="564">
        <v>5307665</v>
      </c>
      <c r="W1895" s="564">
        <v>0</v>
      </c>
      <c r="X1895" s="661" t="s">
        <v>1138</v>
      </c>
      <c r="Y1895" s="683" t="s">
        <v>1139</v>
      </c>
      <c r="Z1895" s="683" t="s">
        <v>56</v>
      </c>
      <c r="AA1895" s="694" t="s">
        <v>269</v>
      </c>
      <c r="AB1895" s="683" t="s">
        <v>1138</v>
      </c>
      <c r="AC1895" s="683"/>
      <c r="AD1895" s="683"/>
      <c r="AE1895" s="590"/>
      <c r="AF1895" s="570" t="s">
        <v>2899</v>
      </c>
      <c r="AG1895" s="570" t="s">
        <v>25</v>
      </c>
      <c r="AH1895" s="571" t="s">
        <v>25</v>
      </c>
      <c r="AI1895" s="586"/>
      <c r="AJ1895" s="586"/>
    </row>
    <row r="1896" spans="1:36" s="394" customFormat="1" ht="20.25" outlineLevel="2" x14ac:dyDescent="0.3">
      <c r="A1896" s="447">
        <v>161</v>
      </c>
      <c r="B1896" s="572"/>
      <c r="C1896" s="572"/>
      <c r="D1896" s="612"/>
      <c r="E1896" s="612"/>
      <c r="F1896" s="586"/>
      <c r="G1896" s="709"/>
      <c r="H1896" s="546"/>
      <c r="I1896" s="563" t="s">
        <v>25</v>
      </c>
      <c r="J1896" s="563" t="s">
        <v>25</v>
      </c>
      <c r="K1896" s="564" t="s">
        <v>25</v>
      </c>
      <c r="L1896" s="564" t="s">
        <v>25</v>
      </c>
      <c r="M1896" s="572"/>
      <c r="N1896" s="572"/>
      <c r="O1896" s="740"/>
      <c r="P1896" s="564" t="s">
        <v>25</v>
      </c>
      <c r="Q1896" s="564" t="s">
        <v>25</v>
      </c>
      <c r="R1896" s="566"/>
      <c r="S1896" s="609"/>
      <c r="T1896" s="741"/>
      <c r="U1896" s="586"/>
      <c r="V1896" s="564" t="s">
        <v>2899</v>
      </c>
      <c r="W1896" s="564" t="s">
        <v>25</v>
      </c>
      <c r="X1896" s="650"/>
      <c r="Y1896" s="586"/>
      <c r="Z1896" s="742"/>
      <c r="AA1896" s="586"/>
      <c r="AB1896" s="586"/>
      <c r="AC1896" s="586"/>
      <c r="AD1896" s="586"/>
      <c r="AE1896" s="714"/>
      <c r="AF1896" s="570" t="s">
        <v>2899</v>
      </c>
      <c r="AG1896" s="570" t="s">
        <v>25</v>
      </c>
      <c r="AH1896" s="571" t="s">
        <v>25</v>
      </c>
      <c r="AI1896" s="586"/>
      <c r="AJ1896" s="586"/>
    </row>
    <row r="1897" spans="1:36" s="394" customFormat="1" ht="20.25" outlineLevel="2" x14ac:dyDescent="0.3">
      <c r="A1897" s="447">
        <v>161</v>
      </c>
      <c r="B1897" s="572"/>
      <c r="C1897" s="572"/>
      <c r="D1897" s="612"/>
      <c r="E1897" s="612"/>
      <c r="F1897" s="586"/>
      <c r="G1897" s="709"/>
      <c r="H1897" s="546"/>
      <c r="I1897" s="563" t="s">
        <v>25</v>
      </c>
      <c r="J1897" s="563" t="s">
        <v>25</v>
      </c>
      <c r="K1897" s="564" t="s">
        <v>25</v>
      </c>
      <c r="L1897" s="564" t="s">
        <v>25</v>
      </c>
      <c r="M1897" s="572"/>
      <c r="N1897" s="572"/>
      <c r="O1897" s="740"/>
      <c r="P1897" s="564" t="s">
        <v>25</v>
      </c>
      <c r="Q1897" s="564" t="s">
        <v>25</v>
      </c>
      <c r="R1897" s="566"/>
      <c r="S1897" s="609"/>
      <c r="T1897" s="741"/>
      <c r="U1897" s="586"/>
      <c r="V1897" s="564" t="s">
        <v>2899</v>
      </c>
      <c r="W1897" s="564" t="s">
        <v>25</v>
      </c>
      <c r="X1897" s="650"/>
      <c r="Y1897" s="586"/>
      <c r="Z1897" s="742"/>
      <c r="AA1897" s="586"/>
      <c r="AB1897" s="586"/>
      <c r="AC1897" s="586"/>
      <c r="AD1897" s="586"/>
      <c r="AE1897" s="714"/>
      <c r="AF1897" s="570" t="s">
        <v>2899</v>
      </c>
      <c r="AG1897" s="570" t="s">
        <v>25</v>
      </c>
      <c r="AH1897" s="571" t="s">
        <v>25</v>
      </c>
      <c r="AI1897" s="586"/>
      <c r="AJ1897" s="586"/>
    </row>
    <row r="1898" spans="1:36" s="394" customFormat="1" ht="20.25" outlineLevel="2" x14ac:dyDescent="0.3">
      <c r="A1898" s="447">
        <v>161</v>
      </c>
      <c r="B1898" s="607"/>
      <c r="C1898" s="607"/>
      <c r="D1898" s="748"/>
      <c r="E1898" s="748"/>
      <c r="F1898" s="586"/>
      <c r="G1898" s="709"/>
      <c r="H1898" s="546"/>
      <c r="I1898" s="563" t="s">
        <v>25</v>
      </c>
      <c r="J1898" s="563" t="s">
        <v>25</v>
      </c>
      <c r="K1898" s="564" t="s">
        <v>25</v>
      </c>
      <c r="L1898" s="564" t="s">
        <v>25</v>
      </c>
      <c r="M1898" s="572"/>
      <c r="N1898" s="572"/>
      <c r="O1898" s="740"/>
      <c r="P1898" s="564" t="s">
        <v>25</v>
      </c>
      <c r="Q1898" s="564" t="s">
        <v>25</v>
      </c>
      <c r="R1898" s="566"/>
      <c r="S1898" s="609"/>
      <c r="T1898" s="741"/>
      <c r="U1898" s="586"/>
      <c r="V1898" s="564" t="s">
        <v>2899</v>
      </c>
      <c r="W1898" s="564" t="s">
        <v>25</v>
      </c>
      <c r="X1898" s="650"/>
      <c r="Y1898" s="586"/>
      <c r="Z1898" s="742"/>
      <c r="AA1898" s="586"/>
      <c r="AB1898" s="586"/>
      <c r="AC1898" s="586"/>
      <c r="AD1898" s="586"/>
      <c r="AE1898" s="714"/>
      <c r="AF1898" s="570" t="s">
        <v>2899</v>
      </c>
      <c r="AG1898" s="570" t="s">
        <v>25</v>
      </c>
      <c r="AH1898" s="571" t="s">
        <v>25</v>
      </c>
      <c r="AI1898" s="586"/>
      <c r="AJ1898" s="586"/>
    </row>
    <row r="1899" spans="1:36" s="394" customFormat="1" ht="40.5" outlineLevel="1" x14ac:dyDescent="0.3">
      <c r="A1899" s="467">
        <v>162</v>
      </c>
      <c r="B1899" s="607" t="s">
        <v>2175</v>
      </c>
      <c r="C1899" s="586" t="s">
        <v>2903</v>
      </c>
      <c r="D1899" s="744"/>
      <c r="E1899" s="744"/>
      <c r="F1899" s="746"/>
      <c r="G1899" s="749">
        <v>0</v>
      </c>
      <c r="H1899" s="579">
        <v>0</v>
      </c>
      <c r="I1899" s="581"/>
      <c r="J1899" s="581"/>
      <c r="K1899" s="571">
        <v>0</v>
      </c>
      <c r="L1899" s="571">
        <v>0</v>
      </c>
      <c r="M1899" s="607"/>
      <c r="N1899" s="607"/>
      <c r="O1899" s="738">
        <v>0</v>
      </c>
      <c r="P1899" s="571"/>
      <c r="Q1899" s="571">
        <v>0</v>
      </c>
      <c r="R1899" s="582"/>
      <c r="S1899" s="621"/>
      <c r="T1899" s="739">
        <v>33.599999999999994</v>
      </c>
      <c r="U1899" s="578"/>
      <c r="V1899" s="571"/>
      <c r="W1899" s="571">
        <v>39566000</v>
      </c>
      <c r="X1899" s="661"/>
      <c r="Y1899" s="683"/>
      <c r="Z1899" s="683"/>
      <c r="AA1899" s="694"/>
      <c r="AB1899" s="683"/>
      <c r="AC1899" s="683"/>
      <c r="AD1899" s="650"/>
      <c r="AE1899" s="599">
        <f>SUBTOTAL(9,AE1900:AE1906)</f>
        <v>0</v>
      </c>
      <c r="AF1899" s="585"/>
      <c r="AG1899" s="585">
        <v>0</v>
      </c>
      <c r="AH1899" s="571">
        <v>39566000</v>
      </c>
      <c r="AI1899" s="578"/>
      <c r="AJ1899" s="574"/>
    </row>
    <row r="1900" spans="1:36" s="394" customFormat="1" ht="121.5" outlineLevel="2" x14ac:dyDescent="0.3">
      <c r="A1900" s="447">
        <v>162</v>
      </c>
      <c r="B1900" s="572" t="s">
        <v>1328</v>
      </c>
      <c r="C1900" s="572"/>
      <c r="D1900" s="744"/>
      <c r="E1900" s="744"/>
      <c r="F1900" s="731"/>
      <c r="G1900" s="745"/>
      <c r="H1900" s="546"/>
      <c r="I1900" s="563" t="s">
        <v>25</v>
      </c>
      <c r="J1900" s="563" t="s">
        <v>25</v>
      </c>
      <c r="K1900" s="564" t="s">
        <v>25</v>
      </c>
      <c r="L1900" s="564" t="s">
        <v>25</v>
      </c>
      <c r="M1900" s="572"/>
      <c r="N1900" s="572"/>
      <c r="O1900" s="740"/>
      <c r="P1900" s="564" t="s">
        <v>25</v>
      </c>
      <c r="Q1900" s="564" t="s">
        <v>25</v>
      </c>
      <c r="R1900" s="566" t="s">
        <v>1852</v>
      </c>
      <c r="S1900" s="609" t="s">
        <v>1133</v>
      </c>
      <c r="T1900" s="741">
        <v>7.7</v>
      </c>
      <c r="U1900" s="586"/>
      <c r="V1900" s="564">
        <v>1490563</v>
      </c>
      <c r="W1900" s="564">
        <v>11477000</v>
      </c>
      <c r="X1900" s="661" t="s">
        <v>139</v>
      </c>
      <c r="Y1900" s="683" t="s">
        <v>1139</v>
      </c>
      <c r="Z1900" s="683" t="s">
        <v>56</v>
      </c>
      <c r="AA1900" s="694" t="s">
        <v>1263</v>
      </c>
      <c r="AB1900" s="683" t="s">
        <v>1326</v>
      </c>
      <c r="AC1900" s="683"/>
      <c r="AD1900" s="683"/>
      <c r="AE1900" s="590"/>
      <c r="AF1900" s="570" t="s">
        <v>2899</v>
      </c>
      <c r="AG1900" s="570" t="s">
        <v>25</v>
      </c>
      <c r="AH1900" s="571" t="s">
        <v>25</v>
      </c>
      <c r="AI1900" s="586" t="s">
        <v>1267</v>
      </c>
      <c r="AJ1900" s="558" t="s">
        <v>2450</v>
      </c>
    </row>
    <row r="1901" spans="1:36" s="394" customFormat="1" ht="101.25" outlineLevel="2" x14ac:dyDescent="0.3">
      <c r="A1901" s="447">
        <v>162</v>
      </c>
      <c r="B1901" s="572" t="s">
        <v>1617</v>
      </c>
      <c r="C1901" s="572"/>
      <c r="D1901" s="612"/>
      <c r="E1901" s="612"/>
      <c r="F1901" s="731"/>
      <c r="G1901" s="745"/>
      <c r="H1901" s="546"/>
      <c r="I1901" s="563" t="s">
        <v>25</v>
      </c>
      <c r="J1901" s="563" t="s">
        <v>25</v>
      </c>
      <c r="K1901" s="564" t="s">
        <v>25</v>
      </c>
      <c r="L1901" s="564" t="s">
        <v>25</v>
      </c>
      <c r="M1901" s="572"/>
      <c r="N1901" s="572"/>
      <c r="O1901" s="740"/>
      <c r="P1901" s="564" t="s">
        <v>25</v>
      </c>
      <c r="Q1901" s="564" t="s">
        <v>25</v>
      </c>
      <c r="R1901" s="566" t="s">
        <v>1937</v>
      </c>
      <c r="S1901" s="609" t="s">
        <v>1133</v>
      </c>
      <c r="T1901" s="741">
        <v>3.5</v>
      </c>
      <c r="U1901" s="586"/>
      <c r="V1901" s="564">
        <v>8025358</v>
      </c>
      <c r="W1901" s="564">
        <v>28089000</v>
      </c>
      <c r="X1901" s="650"/>
      <c r="Y1901" s="586"/>
      <c r="Z1901" s="742"/>
      <c r="AA1901" s="586"/>
      <c r="AB1901" s="586"/>
      <c r="AC1901" s="586"/>
      <c r="AD1901" s="586"/>
      <c r="AE1901" s="714"/>
      <c r="AF1901" s="570" t="s">
        <v>2899</v>
      </c>
      <c r="AG1901" s="570" t="s">
        <v>25</v>
      </c>
      <c r="AH1901" s="571" t="s">
        <v>25</v>
      </c>
      <c r="AI1901" s="731"/>
      <c r="AJ1901" s="586"/>
    </row>
    <row r="1902" spans="1:36" s="394" customFormat="1" ht="60.75" outlineLevel="2" x14ac:dyDescent="0.3">
      <c r="A1902" s="447">
        <v>162</v>
      </c>
      <c r="B1902" s="572"/>
      <c r="C1902" s="572"/>
      <c r="D1902" s="612"/>
      <c r="E1902" s="612"/>
      <c r="F1902" s="586"/>
      <c r="G1902" s="709"/>
      <c r="H1902" s="546"/>
      <c r="I1902" s="563" t="s">
        <v>25</v>
      </c>
      <c r="J1902" s="563" t="s">
        <v>25</v>
      </c>
      <c r="K1902" s="564" t="s">
        <v>25</v>
      </c>
      <c r="L1902" s="564" t="s">
        <v>25</v>
      </c>
      <c r="M1902" s="572"/>
      <c r="N1902" s="572"/>
      <c r="O1902" s="740"/>
      <c r="P1902" s="564" t="s">
        <v>25</v>
      </c>
      <c r="Q1902" s="564" t="s">
        <v>25</v>
      </c>
      <c r="R1902" s="572" t="s">
        <v>1938</v>
      </c>
      <c r="S1902" s="609" t="s">
        <v>1133</v>
      </c>
      <c r="T1902" s="741">
        <v>22.4</v>
      </c>
      <c r="U1902" s="586"/>
      <c r="V1902" s="564">
        <v>0</v>
      </c>
      <c r="W1902" s="564">
        <v>0</v>
      </c>
      <c r="X1902" s="650"/>
      <c r="Y1902" s="586"/>
      <c r="Z1902" s="742"/>
      <c r="AA1902" s="586"/>
      <c r="AB1902" s="586"/>
      <c r="AC1902" s="586"/>
      <c r="AD1902" s="586"/>
      <c r="AE1902" s="714"/>
      <c r="AF1902" s="570" t="s">
        <v>2899</v>
      </c>
      <c r="AG1902" s="570" t="s">
        <v>25</v>
      </c>
      <c r="AH1902" s="571" t="s">
        <v>25</v>
      </c>
      <c r="AI1902" s="731"/>
      <c r="AJ1902" s="586"/>
    </row>
    <row r="1903" spans="1:36" s="394" customFormat="1" ht="60.75" outlineLevel="2" x14ac:dyDescent="0.3">
      <c r="A1903" s="447">
        <v>162</v>
      </c>
      <c r="B1903" s="572"/>
      <c r="C1903" s="572"/>
      <c r="D1903" s="612"/>
      <c r="E1903" s="612"/>
      <c r="F1903" s="586"/>
      <c r="G1903" s="709"/>
      <c r="H1903" s="546"/>
      <c r="I1903" s="563" t="s">
        <v>25</v>
      </c>
      <c r="J1903" s="563" t="s">
        <v>25</v>
      </c>
      <c r="K1903" s="564" t="s">
        <v>25</v>
      </c>
      <c r="L1903" s="564" t="s">
        <v>25</v>
      </c>
      <c r="M1903" s="572"/>
      <c r="N1903" s="572"/>
      <c r="O1903" s="740"/>
      <c r="P1903" s="564" t="s">
        <v>25</v>
      </c>
      <c r="Q1903" s="564" t="s">
        <v>25</v>
      </c>
      <c r="R1903" s="566" t="s">
        <v>1939</v>
      </c>
      <c r="S1903" s="609" t="s">
        <v>1133</v>
      </c>
      <c r="T1903" s="741"/>
      <c r="U1903" s="586">
        <v>11.2</v>
      </c>
      <c r="V1903" s="564">
        <v>1490563</v>
      </c>
      <c r="W1903" s="564">
        <v>0</v>
      </c>
      <c r="X1903" s="650"/>
      <c r="Y1903" s="586"/>
      <c r="Z1903" s="742"/>
      <c r="AA1903" s="586"/>
      <c r="AB1903" s="586"/>
      <c r="AC1903" s="586"/>
      <c r="AD1903" s="586"/>
      <c r="AE1903" s="714"/>
      <c r="AF1903" s="570" t="s">
        <v>2899</v>
      </c>
      <c r="AG1903" s="570" t="s">
        <v>25</v>
      </c>
      <c r="AH1903" s="571" t="s">
        <v>25</v>
      </c>
      <c r="AI1903" s="586"/>
      <c r="AJ1903" s="586"/>
    </row>
    <row r="1904" spans="1:36" s="394" customFormat="1" ht="20.25" outlineLevel="2" x14ac:dyDescent="0.3">
      <c r="A1904" s="447">
        <v>162</v>
      </c>
      <c r="B1904" s="572"/>
      <c r="C1904" s="572"/>
      <c r="D1904" s="612"/>
      <c r="E1904" s="612"/>
      <c r="F1904" s="586"/>
      <c r="G1904" s="709"/>
      <c r="H1904" s="546"/>
      <c r="I1904" s="563" t="s">
        <v>25</v>
      </c>
      <c r="J1904" s="563" t="s">
        <v>25</v>
      </c>
      <c r="K1904" s="564" t="s">
        <v>25</v>
      </c>
      <c r="L1904" s="564" t="s">
        <v>25</v>
      </c>
      <c r="M1904" s="572"/>
      <c r="N1904" s="572"/>
      <c r="O1904" s="740"/>
      <c r="P1904" s="564" t="s">
        <v>25</v>
      </c>
      <c r="Q1904" s="564" t="s">
        <v>25</v>
      </c>
      <c r="R1904" s="566"/>
      <c r="S1904" s="609"/>
      <c r="T1904" s="741"/>
      <c r="U1904" s="586"/>
      <c r="V1904" s="564" t="s">
        <v>2899</v>
      </c>
      <c r="W1904" s="564" t="s">
        <v>25</v>
      </c>
      <c r="X1904" s="650"/>
      <c r="Y1904" s="586"/>
      <c r="Z1904" s="742"/>
      <c r="AA1904" s="586"/>
      <c r="AB1904" s="586"/>
      <c r="AC1904" s="586"/>
      <c r="AD1904" s="586"/>
      <c r="AE1904" s="714"/>
      <c r="AF1904" s="570" t="s">
        <v>2899</v>
      </c>
      <c r="AG1904" s="570" t="s">
        <v>25</v>
      </c>
      <c r="AH1904" s="571" t="s">
        <v>25</v>
      </c>
      <c r="AI1904" s="586"/>
      <c r="AJ1904" s="586"/>
    </row>
    <row r="1905" spans="1:36" s="394" customFormat="1" ht="20.25" outlineLevel="2" x14ac:dyDescent="0.3">
      <c r="A1905" s="447">
        <v>162</v>
      </c>
      <c r="B1905" s="572"/>
      <c r="C1905" s="572"/>
      <c r="D1905" s="612"/>
      <c r="E1905" s="612"/>
      <c r="F1905" s="586"/>
      <c r="G1905" s="709"/>
      <c r="H1905" s="546"/>
      <c r="I1905" s="563" t="s">
        <v>25</v>
      </c>
      <c r="J1905" s="563" t="s">
        <v>25</v>
      </c>
      <c r="K1905" s="564" t="s">
        <v>25</v>
      </c>
      <c r="L1905" s="564" t="s">
        <v>25</v>
      </c>
      <c r="M1905" s="572"/>
      <c r="N1905" s="572"/>
      <c r="O1905" s="740"/>
      <c r="P1905" s="564" t="s">
        <v>25</v>
      </c>
      <c r="Q1905" s="564" t="s">
        <v>25</v>
      </c>
      <c r="R1905" s="566"/>
      <c r="S1905" s="609"/>
      <c r="T1905" s="741"/>
      <c r="U1905" s="586"/>
      <c r="V1905" s="564" t="s">
        <v>2899</v>
      </c>
      <c r="W1905" s="564" t="s">
        <v>25</v>
      </c>
      <c r="X1905" s="650"/>
      <c r="Y1905" s="586"/>
      <c r="Z1905" s="742"/>
      <c r="AA1905" s="586"/>
      <c r="AB1905" s="586"/>
      <c r="AC1905" s="586"/>
      <c r="AD1905" s="586"/>
      <c r="AE1905" s="714"/>
      <c r="AF1905" s="570" t="s">
        <v>2899</v>
      </c>
      <c r="AG1905" s="570" t="s">
        <v>25</v>
      </c>
      <c r="AH1905" s="571" t="s">
        <v>25</v>
      </c>
      <c r="AI1905" s="586"/>
      <c r="AJ1905" s="586"/>
    </row>
    <row r="1906" spans="1:36" s="394" customFormat="1" ht="20.25" outlineLevel="2" x14ac:dyDescent="0.3">
      <c r="A1906" s="447">
        <v>162</v>
      </c>
      <c r="B1906" s="607"/>
      <c r="C1906" s="607"/>
      <c r="D1906" s="642"/>
      <c r="E1906" s="642"/>
      <c r="F1906" s="586"/>
      <c r="G1906" s="709"/>
      <c r="H1906" s="546"/>
      <c r="I1906" s="563" t="s">
        <v>25</v>
      </c>
      <c r="J1906" s="563" t="s">
        <v>25</v>
      </c>
      <c r="K1906" s="564" t="s">
        <v>25</v>
      </c>
      <c r="L1906" s="564" t="s">
        <v>25</v>
      </c>
      <c r="M1906" s="572"/>
      <c r="N1906" s="572"/>
      <c r="O1906" s="740"/>
      <c r="P1906" s="564" t="s">
        <v>25</v>
      </c>
      <c r="Q1906" s="564" t="s">
        <v>25</v>
      </c>
      <c r="R1906" s="566"/>
      <c r="S1906" s="609"/>
      <c r="T1906" s="741"/>
      <c r="U1906" s="586"/>
      <c r="V1906" s="564" t="s">
        <v>2899</v>
      </c>
      <c r="W1906" s="564" t="s">
        <v>25</v>
      </c>
      <c r="X1906" s="650"/>
      <c r="Y1906" s="586"/>
      <c r="Z1906" s="742"/>
      <c r="AA1906" s="586"/>
      <c r="AB1906" s="586"/>
      <c r="AC1906" s="586"/>
      <c r="AD1906" s="586"/>
      <c r="AE1906" s="714"/>
      <c r="AF1906" s="570" t="s">
        <v>2899</v>
      </c>
      <c r="AG1906" s="570" t="s">
        <v>25</v>
      </c>
      <c r="AH1906" s="571" t="s">
        <v>25</v>
      </c>
      <c r="AI1906" s="586"/>
      <c r="AJ1906" s="586"/>
    </row>
    <row r="1907" spans="1:36" s="396" customFormat="1" ht="40.5" outlineLevel="1" x14ac:dyDescent="0.25">
      <c r="A1907" s="467">
        <v>163</v>
      </c>
      <c r="B1907" s="607" t="s">
        <v>1331</v>
      </c>
      <c r="C1907" s="586" t="s">
        <v>2903</v>
      </c>
      <c r="D1907" s="612">
        <v>86</v>
      </c>
      <c r="E1907" s="612">
        <v>27</v>
      </c>
      <c r="F1907" s="578"/>
      <c r="G1907" s="707">
        <v>2657.2</v>
      </c>
      <c r="H1907" s="579">
        <v>2457.1999999999998</v>
      </c>
      <c r="I1907" s="581"/>
      <c r="J1907" s="581"/>
      <c r="K1907" s="571">
        <v>1218522000</v>
      </c>
      <c r="L1907" s="571">
        <v>3432217000</v>
      </c>
      <c r="M1907" s="607"/>
      <c r="N1907" s="607"/>
      <c r="O1907" s="738">
        <v>483</v>
      </c>
      <c r="P1907" s="571"/>
      <c r="Q1907" s="571">
        <v>5796000</v>
      </c>
      <c r="R1907" s="582"/>
      <c r="S1907" s="621"/>
      <c r="T1907" s="739">
        <v>0</v>
      </c>
      <c r="U1907" s="578"/>
      <c r="V1907" s="571"/>
      <c r="W1907" s="571">
        <v>0</v>
      </c>
      <c r="X1907" s="650"/>
      <c r="Y1907" s="586"/>
      <c r="Z1907" s="742"/>
      <c r="AA1907" s="586"/>
      <c r="AB1907" s="586"/>
      <c r="AC1907" s="586"/>
      <c r="AD1907" s="602"/>
      <c r="AE1907" s="581">
        <f>SUBTOTAL(9,AE1908:AE1914)</f>
        <v>0</v>
      </c>
      <c r="AF1907" s="585"/>
      <c r="AG1907" s="585">
        <v>0</v>
      </c>
      <c r="AH1907" s="571">
        <v>4656535000</v>
      </c>
      <c r="AI1907" s="578"/>
      <c r="AJ1907" s="578"/>
    </row>
    <row r="1908" spans="1:36" s="396" customFormat="1" ht="121.5" outlineLevel="2" x14ac:dyDescent="0.3">
      <c r="A1908" s="447">
        <v>163</v>
      </c>
      <c r="B1908" s="572" t="s">
        <v>1334</v>
      </c>
      <c r="C1908" s="572"/>
      <c r="D1908" s="612">
        <v>86</v>
      </c>
      <c r="E1908" s="612">
        <v>27</v>
      </c>
      <c r="F1908" s="586" t="s">
        <v>2418</v>
      </c>
      <c r="G1908" s="709">
        <v>2457.1999999999998</v>
      </c>
      <c r="H1908" s="546">
        <v>2457.1999999999998</v>
      </c>
      <c r="I1908" s="563">
        <v>465600</v>
      </c>
      <c r="J1908" s="563">
        <v>1396800</v>
      </c>
      <c r="K1908" s="564">
        <v>1144072000</v>
      </c>
      <c r="L1908" s="564">
        <v>3432217000</v>
      </c>
      <c r="M1908" s="572" t="s">
        <v>1332</v>
      </c>
      <c r="N1908" s="572"/>
      <c r="O1908" s="740">
        <v>483</v>
      </c>
      <c r="P1908" s="564">
        <v>12000</v>
      </c>
      <c r="Q1908" s="564">
        <v>5796000</v>
      </c>
      <c r="R1908" s="566"/>
      <c r="S1908" s="609"/>
      <c r="T1908" s="741"/>
      <c r="U1908" s="586"/>
      <c r="V1908" s="564" t="s">
        <v>2899</v>
      </c>
      <c r="W1908" s="564" t="s">
        <v>25</v>
      </c>
      <c r="X1908" s="650"/>
      <c r="Y1908" s="586"/>
      <c r="Z1908" s="742"/>
      <c r="AA1908" s="586"/>
      <c r="AB1908" s="586"/>
      <c r="AC1908" s="586"/>
      <c r="AD1908" s="569"/>
      <c r="AE1908" s="563"/>
      <c r="AF1908" s="570"/>
      <c r="AG1908" s="570"/>
      <c r="AH1908" s="571" t="s">
        <v>25</v>
      </c>
      <c r="AI1908" s="586" t="s">
        <v>1333</v>
      </c>
      <c r="AJ1908" s="586" t="s">
        <v>2771</v>
      </c>
    </row>
    <row r="1909" spans="1:36" s="394" customFormat="1" ht="202.5" outlineLevel="2" x14ac:dyDescent="0.3">
      <c r="A1909" s="447">
        <v>163</v>
      </c>
      <c r="B1909" s="572" t="s">
        <v>1336</v>
      </c>
      <c r="C1909" s="572"/>
      <c r="D1909" s="612"/>
      <c r="E1909" s="612"/>
      <c r="F1909" s="586" t="s">
        <v>2437</v>
      </c>
      <c r="G1909" s="709">
        <v>200</v>
      </c>
      <c r="H1909" s="546" t="s">
        <v>2899</v>
      </c>
      <c r="I1909" s="563">
        <v>372251.03999999992</v>
      </c>
      <c r="J1909" s="563">
        <v>0</v>
      </c>
      <c r="K1909" s="564">
        <v>74450000</v>
      </c>
      <c r="L1909" s="564">
        <v>0</v>
      </c>
      <c r="M1909" s="572"/>
      <c r="N1909" s="572"/>
      <c r="O1909" s="740"/>
      <c r="P1909" s="564" t="s">
        <v>25</v>
      </c>
      <c r="Q1909" s="564" t="s">
        <v>25</v>
      </c>
      <c r="R1909" s="566"/>
      <c r="S1909" s="609"/>
      <c r="T1909" s="741"/>
      <c r="U1909" s="586"/>
      <c r="V1909" s="564" t="s">
        <v>2899</v>
      </c>
      <c r="W1909" s="564" t="s">
        <v>25</v>
      </c>
      <c r="X1909" s="650"/>
      <c r="Y1909" s="586"/>
      <c r="Z1909" s="742"/>
      <c r="AA1909" s="586"/>
      <c r="AB1909" s="586"/>
      <c r="AC1909" s="586"/>
      <c r="AD1909" s="569"/>
      <c r="AE1909" s="590"/>
      <c r="AF1909" s="570" t="s">
        <v>2899</v>
      </c>
      <c r="AG1909" s="570" t="s">
        <v>25</v>
      </c>
      <c r="AH1909" s="571" t="s">
        <v>25</v>
      </c>
      <c r="AI1909" s="586" t="s">
        <v>1335</v>
      </c>
      <c r="AJ1909" s="605" t="s">
        <v>2448</v>
      </c>
    </row>
    <row r="1910" spans="1:36" s="394" customFormat="1" ht="101.25" outlineLevel="2" x14ac:dyDescent="0.3">
      <c r="A1910" s="447">
        <v>163</v>
      </c>
      <c r="B1910" s="572"/>
      <c r="C1910" s="572"/>
      <c r="D1910" s="612"/>
      <c r="E1910" s="612"/>
      <c r="F1910" s="586"/>
      <c r="G1910" s="709"/>
      <c r="H1910" s="546"/>
      <c r="I1910" s="563" t="s">
        <v>25</v>
      </c>
      <c r="J1910" s="563" t="s">
        <v>25</v>
      </c>
      <c r="K1910" s="564" t="s">
        <v>25</v>
      </c>
      <c r="L1910" s="564" t="s">
        <v>25</v>
      </c>
      <c r="M1910" s="572"/>
      <c r="N1910" s="572"/>
      <c r="O1910" s="740"/>
      <c r="P1910" s="564" t="s">
        <v>25</v>
      </c>
      <c r="Q1910" s="564" t="s">
        <v>25</v>
      </c>
      <c r="R1910" s="566"/>
      <c r="S1910" s="609"/>
      <c r="T1910" s="741"/>
      <c r="U1910" s="586"/>
      <c r="V1910" s="564" t="s">
        <v>2899</v>
      </c>
      <c r="W1910" s="564" t="s">
        <v>25</v>
      </c>
      <c r="X1910" s="650"/>
      <c r="Y1910" s="586"/>
      <c r="Z1910" s="742"/>
      <c r="AA1910" s="586"/>
      <c r="AB1910" s="586"/>
      <c r="AC1910" s="586"/>
      <c r="AD1910" s="606"/>
      <c r="AE1910" s="590"/>
      <c r="AF1910" s="570" t="s">
        <v>2899</v>
      </c>
      <c r="AG1910" s="570" t="s">
        <v>25</v>
      </c>
      <c r="AH1910" s="571" t="s">
        <v>25</v>
      </c>
      <c r="AI1910" s="586" t="s">
        <v>2074</v>
      </c>
      <c r="AJ1910" s="558" t="s">
        <v>2449</v>
      </c>
    </row>
    <row r="1911" spans="1:36" s="394" customFormat="1" ht="20.25" outlineLevel="2" x14ac:dyDescent="0.3">
      <c r="A1911" s="447">
        <v>163</v>
      </c>
      <c r="B1911" s="572"/>
      <c r="C1911" s="572"/>
      <c r="D1911" s="612"/>
      <c r="E1911" s="612"/>
      <c r="F1911" s="586"/>
      <c r="G1911" s="709"/>
      <c r="H1911" s="546"/>
      <c r="I1911" s="563" t="s">
        <v>25</v>
      </c>
      <c r="J1911" s="563" t="s">
        <v>25</v>
      </c>
      <c r="K1911" s="564" t="s">
        <v>25</v>
      </c>
      <c r="L1911" s="564" t="s">
        <v>25</v>
      </c>
      <c r="M1911" s="572"/>
      <c r="N1911" s="572"/>
      <c r="O1911" s="740"/>
      <c r="P1911" s="564" t="s">
        <v>25</v>
      </c>
      <c r="Q1911" s="564" t="s">
        <v>25</v>
      </c>
      <c r="R1911" s="566"/>
      <c r="S1911" s="609"/>
      <c r="T1911" s="741"/>
      <c r="U1911" s="586"/>
      <c r="V1911" s="564" t="s">
        <v>2899</v>
      </c>
      <c r="W1911" s="564" t="s">
        <v>25</v>
      </c>
      <c r="X1911" s="650"/>
      <c r="Y1911" s="586"/>
      <c r="Z1911" s="742"/>
      <c r="AA1911" s="586"/>
      <c r="AB1911" s="586"/>
      <c r="AC1911" s="586"/>
      <c r="AD1911" s="586"/>
      <c r="AE1911" s="714"/>
      <c r="AF1911" s="570" t="s">
        <v>2899</v>
      </c>
      <c r="AG1911" s="570" t="s">
        <v>25</v>
      </c>
      <c r="AH1911" s="571" t="s">
        <v>25</v>
      </c>
      <c r="AI1911" s="731"/>
      <c r="AJ1911" s="586"/>
    </row>
    <row r="1912" spans="1:36" s="394" customFormat="1" ht="20.25" outlineLevel="2" x14ac:dyDescent="0.3">
      <c r="A1912" s="447">
        <v>163</v>
      </c>
      <c r="B1912" s="572"/>
      <c r="C1912" s="572"/>
      <c r="D1912" s="612"/>
      <c r="E1912" s="612"/>
      <c r="F1912" s="586"/>
      <c r="G1912" s="709"/>
      <c r="H1912" s="546"/>
      <c r="I1912" s="563" t="s">
        <v>25</v>
      </c>
      <c r="J1912" s="563" t="s">
        <v>25</v>
      </c>
      <c r="K1912" s="564" t="s">
        <v>25</v>
      </c>
      <c r="L1912" s="564" t="s">
        <v>25</v>
      </c>
      <c r="M1912" s="572"/>
      <c r="N1912" s="572"/>
      <c r="O1912" s="740"/>
      <c r="P1912" s="564" t="s">
        <v>25</v>
      </c>
      <c r="Q1912" s="564" t="s">
        <v>25</v>
      </c>
      <c r="R1912" s="566"/>
      <c r="S1912" s="609"/>
      <c r="T1912" s="741"/>
      <c r="U1912" s="586"/>
      <c r="V1912" s="564" t="s">
        <v>2899</v>
      </c>
      <c r="W1912" s="564" t="s">
        <v>25</v>
      </c>
      <c r="X1912" s="650"/>
      <c r="Y1912" s="586"/>
      <c r="Z1912" s="742"/>
      <c r="AA1912" s="586"/>
      <c r="AB1912" s="586"/>
      <c r="AC1912" s="586"/>
      <c r="AD1912" s="586"/>
      <c r="AE1912" s="714"/>
      <c r="AF1912" s="570" t="s">
        <v>2899</v>
      </c>
      <c r="AG1912" s="570" t="s">
        <v>25</v>
      </c>
      <c r="AH1912" s="571" t="s">
        <v>25</v>
      </c>
      <c r="AI1912" s="572"/>
      <c r="AJ1912" s="572"/>
    </row>
    <row r="1913" spans="1:36" s="394" customFormat="1" ht="20.25" outlineLevel="2" x14ac:dyDescent="0.3">
      <c r="A1913" s="447">
        <v>163</v>
      </c>
      <c r="B1913" s="572"/>
      <c r="C1913" s="572"/>
      <c r="D1913" s="612"/>
      <c r="E1913" s="612"/>
      <c r="F1913" s="586"/>
      <c r="G1913" s="709"/>
      <c r="H1913" s="546"/>
      <c r="I1913" s="563" t="s">
        <v>25</v>
      </c>
      <c r="J1913" s="563" t="s">
        <v>25</v>
      </c>
      <c r="K1913" s="564" t="s">
        <v>25</v>
      </c>
      <c r="L1913" s="564" t="s">
        <v>25</v>
      </c>
      <c r="M1913" s="572"/>
      <c r="N1913" s="572"/>
      <c r="O1913" s="740"/>
      <c r="P1913" s="564" t="s">
        <v>25</v>
      </c>
      <c r="Q1913" s="564" t="s">
        <v>25</v>
      </c>
      <c r="R1913" s="566"/>
      <c r="S1913" s="609"/>
      <c r="T1913" s="741"/>
      <c r="U1913" s="586"/>
      <c r="V1913" s="564" t="s">
        <v>2899</v>
      </c>
      <c r="W1913" s="564" t="s">
        <v>25</v>
      </c>
      <c r="X1913" s="650"/>
      <c r="Y1913" s="586"/>
      <c r="Z1913" s="742"/>
      <c r="AA1913" s="586"/>
      <c r="AB1913" s="586"/>
      <c r="AC1913" s="586"/>
      <c r="AD1913" s="586"/>
      <c r="AE1913" s="714"/>
      <c r="AF1913" s="570" t="s">
        <v>2899</v>
      </c>
      <c r="AG1913" s="570" t="s">
        <v>25</v>
      </c>
      <c r="AH1913" s="571" t="s">
        <v>25</v>
      </c>
      <c r="AI1913" s="586"/>
      <c r="AJ1913" s="586"/>
    </row>
    <row r="1914" spans="1:36" s="394" customFormat="1" ht="20.25" outlineLevel="2" x14ac:dyDescent="0.3">
      <c r="A1914" s="447">
        <v>163</v>
      </c>
      <c r="B1914" s="607"/>
      <c r="C1914" s="607"/>
      <c r="D1914" s="642"/>
      <c r="E1914" s="642"/>
      <c r="F1914" s="586"/>
      <c r="G1914" s="709"/>
      <c r="H1914" s="546"/>
      <c r="I1914" s="563" t="s">
        <v>25</v>
      </c>
      <c r="J1914" s="563" t="s">
        <v>25</v>
      </c>
      <c r="K1914" s="564" t="s">
        <v>25</v>
      </c>
      <c r="L1914" s="564" t="s">
        <v>25</v>
      </c>
      <c r="M1914" s="572"/>
      <c r="N1914" s="572"/>
      <c r="O1914" s="740"/>
      <c r="P1914" s="564" t="s">
        <v>25</v>
      </c>
      <c r="Q1914" s="564" t="s">
        <v>25</v>
      </c>
      <c r="R1914" s="566"/>
      <c r="S1914" s="609"/>
      <c r="T1914" s="741"/>
      <c r="U1914" s="586"/>
      <c r="V1914" s="564" t="s">
        <v>2899</v>
      </c>
      <c r="W1914" s="564" t="s">
        <v>25</v>
      </c>
      <c r="X1914" s="650"/>
      <c r="Y1914" s="586"/>
      <c r="Z1914" s="742"/>
      <c r="AA1914" s="586"/>
      <c r="AB1914" s="586"/>
      <c r="AC1914" s="586"/>
      <c r="AD1914" s="586"/>
      <c r="AE1914" s="714"/>
      <c r="AF1914" s="570" t="s">
        <v>2899</v>
      </c>
      <c r="AG1914" s="570" t="s">
        <v>25</v>
      </c>
      <c r="AH1914" s="571" t="s">
        <v>25</v>
      </c>
      <c r="AI1914" s="586"/>
      <c r="AJ1914" s="586"/>
    </row>
    <row r="1915" spans="1:36" s="396" customFormat="1" ht="40.5" outlineLevel="1" x14ac:dyDescent="0.25">
      <c r="A1915" s="467">
        <v>164</v>
      </c>
      <c r="B1915" s="607" t="s">
        <v>1338</v>
      </c>
      <c r="C1915" s="586" t="s">
        <v>2903</v>
      </c>
      <c r="D1915" s="612">
        <v>86</v>
      </c>
      <c r="E1915" s="612">
        <v>275</v>
      </c>
      <c r="F1915" s="578"/>
      <c r="G1915" s="707">
        <v>1000</v>
      </c>
      <c r="H1915" s="579">
        <v>550</v>
      </c>
      <c r="I1915" s="581"/>
      <c r="J1915" s="581"/>
      <c r="K1915" s="571">
        <v>465600000</v>
      </c>
      <c r="L1915" s="571">
        <v>768240000</v>
      </c>
      <c r="M1915" s="607"/>
      <c r="N1915" s="607"/>
      <c r="O1915" s="738">
        <v>1092</v>
      </c>
      <c r="P1915" s="571"/>
      <c r="Q1915" s="571">
        <v>375355000</v>
      </c>
      <c r="R1915" s="582"/>
      <c r="S1915" s="621"/>
      <c r="T1915" s="739">
        <v>505.45499999999993</v>
      </c>
      <c r="U1915" s="578"/>
      <c r="V1915" s="571"/>
      <c r="W1915" s="571">
        <v>635628000</v>
      </c>
      <c r="X1915" s="661"/>
      <c r="Y1915" s="683"/>
      <c r="Z1915" s="683"/>
      <c r="AA1915" s="694"/>
      <c r="AB1915" s="683"/>
      <c r="AC1915" s="586"/>
      <c r="AD1915" s="578"/>
      <c r="AE1915" s="712">
        <f>SUBTOTAL(9,AE1916:AE1941)</f>
        <v>2</v>
      </c>
      <c r="AF1915" s="585"/>
      <c r="AG1915" s="585">
        <v>22000000</v>
      </c>
      <c r="AH1915" s="571">
        <v>2266823000</v>
      </c>
      <c r="AI1915" s="578"/>
      <c r="AJ1915" s="578"/>
    </row>
    <row r="1916" spans="1:36" s="396" customFormat="1" ht="121.5" outlineLevel="2" x14ac:dyDescent="0.3">
      <c r="A1916" s="447">
        <v>164</v>
      </c>
      <c r="B1916" s="572" t="s">
        <v>1341</v>
      </c>
      <c r="C1916" s="572"/>
      <c r="D1916" s="612"/>
      <c r="E1916" s="612"/>
      <c r="F1916" s="586" t="s">
        <v>2438</v>
      </c>
      <c r="G1916" s="709">
        <v>550</v>
      </c>
      <c r="H1916" s="546">
        <v>550</v>
      </c>
      <c r="I1916" s="563">
        <v>465600</v>
      </c>
      <c r="J1916" s="563">
        <v>1396800</v>
      </c>
      <c r="K1916" s="564">
        <v>256080000</v>
      </c>
      <c r="L1916" s="564">
        <v>768240000</v>
      </c>
      <c r="M1916" s="572" t="s">
        <v>1339</v>
      </c>
      <c r="N1916" s="572"/>
      <c r="O1916" s="740">
        <v>1</v>
      </c>
      <c r="P1916" s="564">
        <v>554000</v>
      </c>
      <c r="Q1916" s="564">
        <v>554000</v>
      </c>
      <c r="R1916" s="566" t="s">
        <v>1820</v>
      </c>
      <c r="S1916" s="609" t="s">
        <v>1133</v>
      </c>
      <c r="T1916" s="741">
        <v>73.44</v>
      </c>
      <c r="U1916" s="586"/>
      <c r="V1916" s="564">
        <v>5307665</v>
      </c>
      <c r="W1916" s="564">
        <v>389795000</v>
      </c>
      <c r="X1916" s="661" t="s">
        <v>1138</v>
      </c>
      <c r="Y1916" s="683" t="s">
        <v>1139</v>
      </c>
      <c r="Z1916" s="683" t="s">
        <v>56</v>
      </c>
      <c r="AA1916" s="694" t="s">
        <v>269</v>
      </c>
      <c r="AB1916" s="683" t="s">
        <v>1138</v>
      </c>
      <c r="AC1916" s="586"/>
      <c r="AD1916" s="586" t="s">
        <v>2137</v>
      </c>
      <c r="AE1916" s="714">
        <v>1</v>
      </c>
      <c r="AF1916" s="570">
        <v>5000000</v>
      </c>
      <c r="AG1916" s="570">
        <v>5000000</v>
      </c>
      <c r="AH1916" s="571" t="s">
        <v>25</v>
      </c>
      <c r="AI1916" s="586" t="s">
        <v>1340</v>
      </c>
      <c r="AJ1916" s="586" t="s">
        <v>2771</v>
      </c>
    </row>
    <row r="1917" spans="1:36" s="394" customFormat="1" ht="101.25" outlineLevel="2" x14ac:dyDescent="0.3">
      <c r="A1917" s="447">
        <v>164</v>
      </c>
      <c r="B1917" s="572" t="s">
        <v>1618</v>
      </c>
      <c r="C1917" s="572"/>
      <c r="D1917" s="612"/>
      <c r="E1917" s="612"/>
      <c r="F1917" s="586" t="s">
        <v>2439</v>
      </c>
      <c r="G1917" s="709">
        <v>450</v>
      </c>
      <c r="H1917" s="546" t="s">
        <v>2899</v>
      </c>
      <c r="I1917" s="563">
        <v>465600</v>
      </c>
      <c r="J1917" s="563">
        <v>0</v>
      </c>
      <c r="K1917" s="564">
        <v>209520000</v>
      </c>
      <c r="L1917" s="564">
        <v>0</v>
      </c>
      <c r="M1917" s="572" t="s">
        <v>61</v>
      </c>
      <c r="N1917" s="572"/>
      <c r="O1917" s="740">
        <v>27</v>
      </c>
      <c r="P1917" s="564">
        <v>1708000</v>
      </c>
      <c r="Q1917" s="564">
        <v>46116000</v>
      </c>
      <c r="R1917" s="566" t="s">
        <v>1944</v>
      </c>
      <c r="S1917" s="609" t="s">
        <v>1133</v>
      </c>
      <c r="T1917" s="741">
        <v>10.709999999999999</v>
      </c>
      <c r="U1917" s="586"/>
      <c r="V1917" s="564">
        <v>4246132</v>
      </c>
      <c r="W1917" s="564">
        <v>45476000</v>
      </c>
      <c r="X1917" s="661" t="s">
        <v>1138</v>
      </c>
      <c r="Y1917" s="683" t="s">
        <v>1139</v>
      </c>
      <c r="Z1917" s="683" t="s">
        <v>56</v>
      </c>
      <c r="AA1917" s="694"/>
      <c r="AB1917" s="683" t="s">
        <v>1138</v>
      </c>
      <c r="AC1917" s="586"/>
      <c r="AD1917" s="569"/>
      <c r="AE1917" s="563"/>
      <c r="AF1917" s="570"/>
      <c r="AG1917" s="570"/>
      <c r="AH1917" s="571" t="s">
        <v>25</v>
      </c>
      <c r="AI1917" s="586" t="s">
        <v>1342</v>
      </c>
      <c r="AJ1917" s="586" t="s">
        <v>2448</v>
      </c>
    </row>
    <row r="1918" spans="1:36" s="394" customFormat="1" ht="121.5" outlineLevel="2" x14ac:dyDescent="0.3">
      <c r="A1918" s="447">
        <v>164</v>
      </c>
      <c r="B1918" s="572"/>
      <c r="C1918" s="572"/>
      <c r="D1918" s="612"/>
      <c r="E1918" s="612"/>
      <c r="F1918" s="586"/>
      <c r="G1918" s="709"/>
      <c r="H1918" s="546"/>
      <c r="I1918" s="563" t="s">
        <v>25</v>
      </c>
      <c r="J1918" s="563" t="s">
        <v>25</v>
      </c>
      <c r="K1918" s="564" t="s">
        <v>25</v>
      </c>
      <c r="L1918" s="564" t="s">
        <v>25</v>
      </c>
      <c r="M1918" s="572" t="s">
        <v>64</v>
      </c>
      <c r="N1918" s="572"/>
      <c r="O1918" s="740">
        <v>2</v>
      </c>
      <c r="P1918" s="564">
        <v>1122000</v>
      </c>
      <c r="Q1918" s="564">
        <v>2244000</v>
      </c>
      <c r="R1918" s="566" t="s">
        <v>1915</v>
      </c>
      <c r="S1918" s="609" t="s">
        <v>1133</v>
      </c>
      <c r="T1918" s="741">
        <v>6.12</v>
      </c>
      <c r="U1918" s="586"/>
      <c r="V1918" s="564">
        <v>9347414</v>
      </c>
      <c r="W1918" s="564">
        <v>57206000</v>
      </c>
      <c r="X1918" s="650"/>
      <c r="Y1918" s="586"/>
      <c r="Z1918" s="742"/>
      <c r="AA1918" s="586"/>
      <c r="AB1918" s="586"/>
      <c r="AC1918" s="586"/>
      <c r="AD1918" s="569" t="s">
        <v>2791</v>
      </c>
      <c r="AE1918" s="590">
        <v>1</v>
      </c>
      <c r="AF1918" s="570">
        <v>17000000</v>
      </c>
      <c r="AG1918" s="570">
        <v>17000000</v>
      </c>
      <c r="AH1918" s="571" t="s">
        <v>25</v>
      </c>
      <c r="AI1918" s="586" t="s">
        <v>1343</v>
      </c>
      <c r="AJ1918" s="558" t="s">
        <v>2450</v>
      </c>
    </row>
    <row r="1919" spans="1:36" s="394" customFormat="1" ht="101.25" outlineLevel="2" x14ac:dyDescent="0.3">
      <c r="A1919" s="447">
        <v>164</v>
      </c>
      <c r="B1919" s="572"/>
      <c r="C1919" s="572"/>
      <c r="D1919" s="612"/>
      <c r="E1919" s="612"/>
      <c r="F1919" s="586"/>
      <c r="G1919" s="709"/>
      <c r="H1919" s="546"/>
      <c r="I1919" s="563" t="s">
        <v>25</v>
      </c>
      <c r="J1919" s="563" t="s">
        <v>25</v>
      </c>
      <c r="K1919" s="564" t="s">
        <v>25</v>
      </c>
      <c r="L1919" s="564" t="s">
        <v>25</v>
      </c>
      <c r="M1919" s="572" t="s">
        <v>67</v>
      </c>
      <c r="N1919" s="572"/>
      <c r="O1919" s="740">
        <v>2</v>
      </c>
      <c r="P1919" s="564">
        <v>494000</v>
      </c>
      <c r="Q1919" s="564">
        <v>988000</v>
      </c>
      <c r="R1919" s="566" t="s">
        <v>1945</v>
      </c>
      <c r="S1919" s="609" t="s">
        <v>1133</v>
      </c>
      <c r="T1919" s="741">
        <v>33.840000000000003</v>
      </c>
      <c r="U1919" s="586"/>
      <c r="V1919" s="564">
        <v>770070</v>
      </c>
      <c r="W1919" s="564">
        <v>26059000</v>
      </c>
      <c r="X1919" s="650"/>
      <c r="Y1919" s="586"/>
      <c r="Z1919" s="742"/>
      <c r="AA1919" s="586"/>
      <c r="AB1919" s="586"/>
      <c r="AC1919" s="586"/>
      <c r="AD1919" s="606"/>
      <c r="AE1919" s="590"/>
      <c r="AF1919" s="570" t="s">
        <v>2899</v>
      </c>
      <c r="AG1919" s="570" t="s">
        <v>25</v>
      </c>
      <c r="AH1919" s="571" t="s">
        <v>25</v>
      </c>
      <c r="AI1919" s="586" t="s">
        <v>2074</v>
      </c>
      <c r="AJ1919" s="558" t="s">
        <v>2449</v>
      </c>
    </row>
    <row r="1920" spans="1:36" s="394" customFormat="1" ht="81" outlineLevel="2" x14ac:dyDescent="0.3">
      <c r="A1920" s="447">
        <v>164</v>
      </c>
      <c r="B1920" s="586"/>
      <c r="C1920" s="586"/>
      <c r="D1920" s="612"/>
      <c r="E1920" s="612"/>
      <c r="F1920" s="586"/>
      <c r="G1920" s="709"/>
      <c r="H1920" s="546"/>
      <c r="I1920" s="563" t="s">
        <v>25</v>
      </c>
      <c r="J1920" s="563" t="s">
        <v>25</v>
      </c>
      <c r="K1920" s="564" t="s">
        <v>25</v>
      </c>
      <c r="L1920" s="564" t="s">
        <v>25</v>
      </c>
      <c r="M1920" s="572" t="s">
        <v>69</v>
      </c>
      <c r="N1920" s="572"/>
      <c r="O1920" s="740">
        <v>22</v>
      </c>
      <c r="P1920" s="564">
        <v>211000</v>
      </c>
      <c r="Q1920" s="564">
        <v>4642000</v>
      </c>
      <c r="R1920" s="566" t="s">
        <v>1946</v>
      </c>
      <c r="S1920" s="609" t="s">
        <v>1133</v>
      </c>
      <c r="T1920" s="741">
        <v>4.08</v>
      </c>
      <c r="U1920" s="586"/>
      <c r="V1920" s="564">
        <v>0</v>
      </c>
      <c r="W1920" s="564">
        <v>0</v>
      </c>
      <c r="X1920" s="650"/>
      <c r="Y1920" s="586"/>
      <c r="Z1920" s="742"/>
      <c r="AA1920" s="586"/>
      <c r="AB1920" s="586"/>
      <c r="AC1920" s="586"/>
      <c r="AD1920" s="586"/>
      <c r="AE1920" s="714"/>
      <c r="AF1920" s="570" t="s">
        <v>2899</v>
      </c>
      <c r="AG1920" s="570" t="s">
        <v>25</v>
      </c>
      <c r="AH1920" s="571" t="s">
        <v>25</v>
      </c>
      <c r="AI1920" s="731"/>
      <c r="AJ1920" s="558" t="s">
        <v>2447</v>
      </c>
    </row>
    <row r="1921" spans="1:36" s="394" customFormat="1" ht="81" outlineLevel="2" x14ac:dyDescent="0.3">
      <c r="A1921" s="447">
        <v>164</v>
      </c>
      <c r="B1921" s="586"/>
      <c r="C1921" s="586"/>
      <c r="D1921" s="612"/>
      <c r="E1921" s="612"/>
      <c r="F1921" s="586"/>
      <c r="G1921" s="709"/>
      <c r="H1921" s="546"/>
      <c r="I1921" s="563" t="s">
        <v>25</v>
      </c>
      <c r="J1921" s="563" t="s">
        <v>25</v>
      </c>
      <c r="K1921" s="564" t="s">
        <v>25</v>
      </c>
      <c r="L1921" s="564" t="s">
        <v>25</v>
      </c>
      <c r="M1921" s="572" t="s">
        <v>145</v>
      </c>
      <c r="N1921" s="572"/>
      <c r="O1921" s="740">
        <v>61</v>
      </c>
      <c r="P1921" s="564">
        <v>4240000</v>
      </c>
      <c r="Q1921" s="564">
        <v>258640000</v>
      </c>
      <c r="R1921" s="566" t="s">
        <v>1912</v>
      </c>
      <c r="S1921" s="609" t="s">
        <v>1133</v>
      </c>
      <c r="T1921" s="741">
        <v>50.7</v>
      </c>
      <c r="U1921" s="586"/>
      <c r="V1921" s="564">
        <v>265836</v>
      </c>
      <c r="W1921" s="564">
        <v>13478000</v>
      </c>
      <c r="X1921" s="650"/>
      <c r="Y1921" s="586"/>
      <c r="Z1921" s="742"/>
      <c r="AA1921" s="586"/>
      <c r="AB1921" s="586"/>
      <c r="AC1921" s="586"/>
      <c r="AD1921" s="586"/>
      <c r="AE1921" s="714"/>
      <c r="AF1921" s="570" t="s">
        <v>2899</v>
      </c>
      <c r="AG1921" s="570" t="s">
        <v>25</v>
      </c>
      <c r="AH1921" s="571" t="s">
        <v>25</v>
      </c>
      <c r="AI1921" s="572"/>
      <c r="AJ1921" s="572" t="s">
        <v>2451</v>
      </c>
    </row>
    <row r="1922" spans="1:36" s="394" customFormat="1" ht="101.25" outlineLevel="2" x14ac:dyDescent="0.3">
      <c r="A1922" s="447">
        <v>164</v>
      </c>
      <c r="B1922" s="586"/>
      <c r="C1922" s="586"/>
      <c r="D1922" s="612"/>
      <c r="E1922" s="612"/>
      <c r="F1922" s="586"/>
      <c r="G1922" s="709"/>
      <c r="H1922" s="546"/>
      <c r="I1922" s="563" t="s">
        <v>25</v>
      </c>
      <c r="J1922" s="563" t="s">
        <v>25</v>
      </c>
      <c r="K1922" s="564" t="s">
        <v>25</v>
      </c>
      <c r="L1922" s="564" t="s">
        <v>25</v>
      </c>
      <c r="M1922" s="572" t="s">
        <v>77</v>
      </c>
      <c r="N1922" s="572"/>
      <c r="O1922" s="740">
        <v>3</v>
      </c>
      <c r="P1922" s="564">
        <v>3064000</v>
      </c>
      <c r="Q1922" s="564">
        <v>9192000</v>
      </c>
      <c r="R1922" s="566" t="s">
        <v>1799</v>
      </c>
      <c r="S1922" s="609" t="s">
        <v>1133</v>
      </c>
      <c r="T1922" s="741">
        <v>4.32</v>
      </c>
      <c r="U1922" s="586"/>
      <c r="V1922" s="564">
        <v>275180</v>
      </c>
      <c r="W1922" s="564">
        <v>1189000</v>
      </c>
      <c r="X1922" s="650"/>
      <c r="Y1922" s="586"/>
      <c r="Z1922" s="742"/>
      <c r="AA1922" s="586"/>
      <c r="AB1922" s="586"/>
      <c r="AC1922" s="586"/>
      <c r="AD1922" s="586"/>
      <c r="AE1922" s="714"/>
      <c r="AF1922" s="570" t="s">
        <v>2899</v>
      </c>
      <c r="AG1922" s="570" t="s">
        <v>25</v>
      </c>
      <c r="AH1922" s="571" t="s">
        <v>25</v>
      </c>
      <c r="AI1922" s="572"/>
      <c r="AJ1922" s="572" t="s">
        <v>2800</v>
      </c>
    </row>
    <row r="1923" spans="1:36" s="394" customFormat="1" ht="101.25" outlineLevel="2" x14ac:dyDescent="0.3">
      <c r="A1923" s="447">
        <v>164</v>
      </c>
      <c r="B1923" s="586"/>
      <c r="C1923" s="586"/>
      <c r="D1923" s="612"/>
      <c r="E1923" s="612"/>
      <c r="F1923" s="586"/>
      <c r="G1923" s="709"/>
      <c r="H1923" s="546"/>
      <c r="I1923" s="563" t="s">
        <v>25</v>
      </c>
      <c r="J1923" s="563" t="s">
        <v>25</v>
      </c>
      <c r="K1923" s="564" t="s">
        <v>25</v>
      </c>
      <c r="L1923" s="564" t="s">
        <v>25</v>
      </c>
      <c r="M1923" s="572" t="s">
        <v>1228</v>
      </c>
      <c r="N1923" s="572"/>
      <c r="O1923" s="740">
        <v>1</v>
      </c>
      <c r="P1923" s="564">
        <v>979000</v>
      </c>
      <c r="Q1923" s="564">
        <v>979000</v>
      </c>
      <c r="R1923" s="566" t="s">
        <v>1948</v>
      </c>
      <c r="S1923" s="609" t="s">
        <v>1133</v>
      </c>
      <c r="T1923" s="741">
        <v>20.979999999999997</v>
      </c>
      <c r="U1923" s="586"/>
      <c r="V1923" s="564">
        <v>890132</v>
      </c>
      <c r="W1923" s="564">
        <v>18675000</v>
      </c>
      <c r="X1923" s="650"/>
      <c r="Y1923" s="586"/>
      <c r="Z1923" s="742"/>
      <c r="AA1923" s="586"/>
      <c r="AB1923" s="586"/>
      <c r="AC1923" s="586"/>
      <c r="AD1923" s="586"/>
      <c r="AE1923" s="714"/>
      <c r="AF1923" s="570" t="s">
        <v>2899</v>
      </c>
      <c r="AG1923" s="570" t="s">
        <v>25</v>
      </c>
      <c r="AH1923" s="571" t="s">
        <v>25</v>
      </c>
      <c r="AI1923" s="572"/>
      <c r="AJ1923" s="572"/>
    </row>
    <row r="1924" spans="1:36" s="394" customFormat="1" ht="60.75" outlineLevel="2" x14ac:dyDescent="0.3">
      <c r="A1924" s="447">
        <v>164</v>
      </c>
      <c r="B1924" s="586"/>
      <c r="C1924" s="586"/>
      <c r="D1924" s="612"/>
      <c r="E1924" s="612"/>
      <c r="F1924" s="586"/>
      <c r="G1924" s="709"/>
      <c r="H1924" s="546"/>
      <c r="I1924" s="563" t="s">
        <v>25</v>
      </c>
      <c r="J1924" s="563" t="s">
        <v>25</v>
      </c>
      <c r="K1924" s="564" t="s">
        <v>25</v>
      </c>
      <c r="L1924" s="564" t="s">
        <v>25</v>
      </c>
      <c r="M1924" s="572" t="s">
        <v>1218</v>
      </c>
      <c r="N1924" s="572"/>
      <c r="O1924" s="740">
        <v>1</v>
      </c>
      <c r="P1924" s="564">
        <v>571000</v>
      </c>
      <c r="Q1924" s="564">
        <v>571000</v>
      </c>
      <c r="R1924" s="566" t="s">
        <v>1916</v>
      </c>
      <c r="S1924" s="609" t="s">
        <v>1133</v>
      </c>
      <c r="T1924" s="741">
        <v>31.000000000000004</v>
      </c>
      <c r="U1924" s="586"/>
      <c r="V1924" s="564">
        <v>1107311</v>
      </c>
      <c r="W1924" s="564">
        <v>34327000</v>
      </c>
      <c r="X1924" s="650"/>
      <c r="Y1924" s="586"/>
      <c r="Z1924" s="742"/>
      <c r="AA1924" s="586"/>
      <c r="AB1924" s="586"/>
      <c r="AC1924" s="586"/>
      <c r="AD1924" s="586"/>
      <c r="AE1924" s="714"/>
      <c r="AF1924" s="570" t="s">
        <v>2899</v>
      </c>
      <c r="AG1924" s="570" t="s">
        <v>25</v>
      </c>
      <c r="AH1924" s="571" t="s">
        <v>25</v>
      </c>
      <c r="AI1924" s="572"/>
      <c r="AJ1924" s="572"/>
    </row>
    <row r="1925" spans="1:36" s="394" customFormat="1" ht="101.25" outlineLevel="2" x14ac:dyDescent="0.3">
      <c r="A1925" s="447">
        <v>164</v>
      </c>
      <c r="B1925" s="586"/>
      <c r="C1925" s="586"/>
      <c r="D1925" s="612"/>
      <c r="E1925" s="612"/>
      <c r="F1925" s="586"/>
      <c r="G1925" s="709"/>
      <c r="H1925" s="546"/>
      <c r="I1925" s="563" t="s">
        <v>25</v>
      </c>
      <c r="J1925" s="563" t="s">
        <v>25</v>
      </c>
      <c r="K1925" s="564" t="s">
        <v>25</v>
      </c>
      <c r="L1925" s="564" t="s">
        <v>25</v>
      </c>
      <c r="M1925" s="572" t="s">
        <v>408</v>
      </c>
      <c r="N1925" s="572"/>
      <c r="O1925" s="740">
        <v>1</v>
      </c>
      <c r="P1925" s="564">
        <v>337000</v>
      </c>
      <c r="Q1925" s="564">
        <v>337000</v>
      </c>
      <c r="R1925" s="566" t="s">
        <v>1949</v>
      </c>
      <c r="S1925" s="609" t="s">
        <v>1133</v>
      </c>
      <c r="T1925" s="741">
        <v>3.2</v>
      </c>
      <c r="U1925" s="586"/>
      <c r="V1925" s="564">
        <v>9347414</v>
      </c>
      <c r="W1925" s="564">
        <v>29912000</v>
      </c>
      <c r="X1925" s="650"/>
      <c r="Y1925" s="586"/>
      <c r="Z1925" s="742"/>
      <c r="AA1925" s="586"/>
      <c r="AB1925" s="586"/>
      <c r="AC1925" s="586"/>
      <c r="AD1925" s="586"/>
      <c r="AE1925" s="714"/>
      <c r="AF1925" s="570" t="s">
        <v>2899</v>
      </c>
      <c r="AG1925" s="570" t="s">
        <v>25</v>
      </c>
      <c r="AH1925" s="571" t="s">
        <v>25</v>
      </c>
      <c r="AI1925" s="572"/>
      <c r="AJ1925" s="572"/>
    </row>
    <row r="1926" spans="1:36" s="394" customFormat="1" ht="40.5" outlineLevel="2" x14ac:dyDescent="0.3">
      <c r="A1926" s="447">
        <v>164</v>
      </c>
      <c r="B1926" s="586"/>
      <c r="C1926" s="586"/>
      <c r="D1926" s="612"/>
      <c r="E1926" s="612"/>
      <c r="F1926" s="586"/>
      <c r="G1926" s="709"/>
      <c r="H1926" s="546"/>
      <c r="I1926" s="563" t="s">
        <v>25</v>
      </c>
      <c r="J1926" s="563" t="s">
        <v>25</v>
      </c>
      <c r="K1926" s="564" t="s">
        <v>25</v>
      </c>
      <c r="L1926" s="564" t="s">
        <v>25</v>
      </c>
      <c r="M1926" s="572" t="s">
        <v>165</v>
      </c>
      <c r="N1926" s="572"/>
      <c r="O1926" s="740">
        <v>3</v>
      </c>
      <c r="P1926" s="564">
        <v>180000</v>
      </c>
      <c r="Q1926" s="564">
        <v>540000</v>
      </c>
      <c r="R1926" s="566" t="s">
        <v>1902</v>
      </c>
      <c r="S1926" s="609" t="s">
        <v>1133</v>
      </c>
      <c r="T1926" s="741">
        <v>127.2</v>
      </c>
      <c r="U1926" s="586"/>
      <c r="V1926" s="564">
        <v>0</v>
      </c>
      <c r="W1926" s="564">
        <v>0</v>
      </c>
      <c r="X1926" s="650"/>
      <c r="Y1926" s="586"/>
      <c r="Z1926" s="742"/>
      <c r="AA1926" s="586"/>
      <c r="AB1926" s="586"/>
      <c r="AC1926" s="586"/>
      <c r="AD1926" s="586"/>
      <c r="AE1926" s="714"/>
      <c r="AF1926" s="570" t="s">
        <v>2899</v>
      </c>
      <c r="AG1926" s="570" t="s">
        <v>25</v>
      </c>
      <c r="AH1926" s="571" t="s">
        <v>25</v>
      </c>
      <c r="AI1926" s="572"/>
      <c r="AJ1926" s="572"/>
    </row>
    <row r="1927" spans="1:36" s="394" customFormat="1" ht="40.5" outlineLevel="2" x14ac:dyDescent="0.3">
      <c r="A1927" s="447">
        <v>164</v>
      </c>
      <c r="B1927" s="586"/>
      <c r="C1927" s="586"/>
      <c r="D1927" s="612"/>
      <c r="E1927" s="612"/>
      <c r="F1927" s="586"/>
      <c r="G1927" s="709"/>
      <c r="H1927" s="546"/>
      <c r="I1927" s="563" t="s">
        <v>25</v>
      </c>
      <c r="J1927" s="563" t="s">
        <v>25</v>
      </c>
      <c r="K1927" s="564" t="s">
        <v>25</v>
      </c>
      <c r="L1927" s="564" t="s">
        <v>25</v>
      </c>
      <c r="M1927" s="572" t="s">
        <v>1345</v>
      </c>
      <c r="N1927" s="572"/>
      <c r="O1927" s="740">
        <v>4</v>
      </c>
      <c r="P1927" s="564">
        <v>1200000</v>
      </c>
      <c r="Q1927" s="564">
        <v>4800000</v>
      </c>
      <c r="R1927" s="566" t="s">
        <v>1950</v>
      </c>
      <c r="S1927" s="609" t="s">
        <v>1286</v>
      </c>
      <c r="T1927" s="741">
        <v>65.024999999999991</v>
      </c>
      <c r="U1927" s="586"/>
      <c r="V1927" s="564">
        <v>0</v>
      </c>
      <c r="W1927" s="564">
        <v>0</v>
      </c>
      <c r="X1927" s="650"/>
      <c r="Y1927" s="586"/>
      <c r="Z1927" s="742"/>
      <c r="AA1927" s="586"/>
      <c r="AB1927" s="586"/>
      <c r="AC1927" s="586"/>
      <c r="AD1927" s="586"/>
      <c r="AE1927" s="714"/>
      <c r="AF1927" s="570" t="s">
        <v>2899</v>
      </c>
      <c r="AG1927" s="570" t="s">
        <v>25</v>
      </c>
      <c r="AH1927" s="571" t="s">
        <v>25</v>
      </c>
      <c r="AI1927" s="572"/>
      <c r="AJ1927" s="572"/>
    </row>
    <row r="1928" spans="1:36" s="394" customFormat="1" ht="81" outlineLevel="2" x14ac:dyDescent="0.3">
      <c r="A1928" s="447">
        <v>164</v>
      </c>
      <c r="B1928" s="586"/>
      <c r="C1928" s="586"/>
      <c r="D1928" s="612"/>
      <c r="E1928" s="612"/>
      <c r="F1928" s="586"/>
      <c r="G1928" s="709"/>
      <c r="H1928" s="546"/>
      <c r="I1928" s="563" t="s">
        <v>25</v>
      </c>
      <c r="J1928" s="563" t="s">
        <v>25</v>
      </c>
      <c r="K1928" s="564" t="s">
        <v>25</v>
      </c>
      <c r="L1928" s="564" t="s">
        <v>25</v>
      </c>
      <c r="M1928" s="572" t="s">
        <v>1346</v>
      </c>
      <c r="N1928" s="572"/>
      <c r="O1928" s="740">
        <v>3</v>
      </c>
      <c r="P1928" s="564">
        <v>165000</v>
      </c>
      <c r="Q1928" s="564">
        <v>495000</v>
      </c>
      <c r="R1928" s="566" t="s">
        <v>1951</v>
      </c>
      <c r="S1928" s="609" t="s">
        <v>93</v>
      </c>
      <c r="T1928" s="741">
        <v>1</v>
      </c>
      <c r="U1928" s="586"/>
      <c r="V1928" s="564">
        <v>0</v>
      </c>
      <c r="W1928" s="564">
        <v>0</v>
      </c>
      <c r="X1928" s="650"/>
      <c r="Y1928" s="586"/>
      <c r="Z1928" s="742"/>
      <c r="AA1928" s="586"/>
      <c r="AB1928" s="586"/>
      <c r="AC1928" s="586"/>
      <c r="AD1928" s="586"/>
      <c r="AE1928" s="714"/>
      <c r="AF1928" s="570" t="s">
        <v>2899</v>
      </c>
      <c r="AG1928" s="570" t="s">
        <v>25</v>
      </c>
      <c r="AH1928" s="571" t="s">
        <v>25</v>
      </c>
      <c r="AI1928" s="572"/>
      <c r="AJ1928" s="572"/>
    </row>
    <row r="1929" spans="1:36" s="394" customFormat="1" ht="81" outlineLevel="2" x14ac:dyDescent="0.3">
      <c r="A1929" s="447">
        <v>164</v>
      </c>
      <c r="B1929" s="586"/>
      <c r="C1929" s="586"/>
      <c r="D1929" s="612"/>
      <c r="E1929" s="612"/>
      <c r="F1929" s="586"/>
      <c r="G1929" s="709"/>
      <c r="H1929" s="546"/>
      <c r="I1929" s="563" t="s">
        <v>25</v>
      </c>
      <c r="J1929" s="563" t="s">
        <v>25</v>
      </c>
      <c r="K1929" s="564" t="s">
        <v>25</v>
      </c>
      <c r="L1929" s="564" t="s">
        <v>25</v>
      </c>
      <c r="M1929" s="572" t="s">
        <v>1348</v>
      </c>
      <c r="N1929" s="572"/>
      <c r="O1929" s="740">
        <v>1</v>
      </c>
      <c r="P1929" s="564">
        <v>3600000</v>
      </c>
      <c r="Q1929" s="564">
        <v>3600000</v>
      </c>
      <c r="R1929" s="566" t="s">
        <v>1952</v>
      </c>
      <c r="S1929" s="609" t="s">
        <v>93</v>
      </c>
      <c r="T1929" s="741">
        <v>1</v>
      </c>
      <c r="U1929" s="586"/>
      <c r="V1929" s="564">
        <v>0</v>
      </c>
      <c r="W1929" s="564">
        <v>0</v>
      </c>
      <c r="X1929" s="650"/>
      <c r="Y1929" s="586"/>
      <c r="Z1929" s="742"/>
      <c r="AA1929" s="586"/>
      <c r="AB1929" s="586"/>
      <c r="AC1929" s="586"/>
      <c r="AD1929" s="586"/>
      <c r="AE1929" s="714"/>
      <c r="AF1929" s="570" t="s">
        <v>2899</v>
      </c>
      <c r="AG1929" s="570" t="s">
        <v>25</v>
      </c>
      <c r="AH1929" s="571" t="s">
        <v>25</v>
      </c>
      <c r="AI1929" s="572"/>
      <c r="AJ1929" s="572"/>
    </row>
    <row r="1930" spans="1:36" s="394" customFormat="1" ht="81" outlineLevel="2" x14ac:dyDescent="0.3">
      <c r="A1930" s="447">
        <v>164</v>
      </c>
      <c r="B1930" s="586"/>
      <c r="C1930" s="586"/>
      <c r="D1930" s="612"/>
      <c r="E1930" s="612"/>
      <c r="F1930" s="586"/>
      <c r="G1930" s="709"/>
      <c r="H1930" s="546"/>
      <c r="I1930" s="563" t="s">
        <v>25</v>
      </c>
      <c r="J1930" s="563" t="s">
        <v>25</v>
      </c>
      <c r="K1930" s="564" t="s">
        <v>25</v>
      </c>
      <c r="L1930" s="564" t="s">
        <v>25</v>
      </c>
      <c r="M1930" s="572" t="s">
        <v>1349</v>
      </c>
      <c r="N1930" s="572"/>
      <c r="O1930" s="740">
        <v>1</v>
      </c>
      <c r="P1930" s="564">
        <v>2400000</v>
      </c>
      <c r="Q1930" s="564">
        <v>2400000</v>
      </c>
      <c r="R1930" s="566" t="s">
        <v>1912</v>
      </c>
      <c r="S1930" s="609" t="s">
        <v>1133</v>
      </c>
      <c r="T1930" s="741">
        <v>25.7</v>
      </c>
      <c r="U1930" s="586"/>
      <c r="V1930" s="564">
        <v>265836</v>
      </c>
      <c r="W1930" s="564">
        <v>6832000</v>
      </c>
      <c r="X1930" s="650"/>
      <c r="Y1930" s="586"/>
      <c r="Z1930" s="742"/>
      <c r="AA1930" s="586"/>
      <c r="AB1930" s="586"/>
      <c r="AC1930" s="586"/>
      <c r="AD1930" s="586"/>
      <c r="AE1930" s="714"/>
      <c r="AF1930" s="570" t="s">
        <v>2899</v>
      </c>
      <c r="AG1930" s="570" t="s">
        <v>25</v>
      </c>
      <c r="AH1930" s="571" t="s">
        <v>25</v>
      </c>
      <c r="AI1930" s="572"/>
      <c r="AJ1930" s="572"/>
    </row>
    <row r="1931" spans="1:36" s="394" customFormat="1" ht="60.75" outlineLevel="2" x14ac:dyDescent="0.3">
      <c r="A1931" s="447">
        <v>164</v>
      </c>
      <c r="B1931" s="586"/>
      <c r="C1931" s="586"/>
      <c r="D1931" s="612"/>
      <c r="E1931" s="612"/>
      <c r="F1931" s="586"/>
      <c r="G1931" s="709"/>
      <c r="H1931" s="546"/>
      <c r="I1931" s="563" t="s">
        <v>25</v>
      </c>
      <c r="J1931" s="563" t="s">
        <v>25</v>
      </c>
      <c r="K1931" s="564" t="s">
        <v>25</v>
      </c>
      <c r="L1931" s="564" t="s">
        <v>25</v>
      </c>
      <c r="M1931" s="572" t="s">
        <v>1350</v>
      </c>
      <c r="N1931" s="572"/>
      <c r="O1931" s="740">
        <v>6</v>
      </c>
      <c r="P1931" s="564">
        <v>1200000</v>
      </c>
      <c r="Q1931" s="564">
        <v>7200000</v>
      </c>
      <c r="R1931" s="566" t="s">
        <v>2130</v>
      </c>
      <c r="S1931" s="609" t="s">
        <v>1133</v>
      </c>
      <c r="T1931" s="741">
        <v>0.52</v>
      </c>
      <c r="U1931" s="586"/>
      <c r="V1931" s="564">
        <v>438095</v>
      </c>
      <c r="W1931" s="564">
        <v>228000</v>
      </c>
      <c r="X1931" s="650"/>
      <c r="Y1931" s="586"/>
      <c r="Z1931" s="742"/>
      <c r="AA1931" s="586"/>
      <c r="AB1931" s="586"/>
      <c r="AC1931" s="586"/>
      <c r="AD1931" s="586"/>
      <c r="AE1931" s="714"/>
      <c r="AF1931" s="570" t="s">
        <v>2899</v>
      </c>
      <c r="AG1931" s="570" t="s">
        <v>25</v>
      </c>
      <c r="AH1931" s="571" t="s">
        <v>25</v>
      </c>
      <c r="AI1931" s="572"/>
      <c r="AJ1931" s="572"/>
    </row>
    <row r="1932" spans="1:36" s="394" customFormat="1" ht="81" outlineLevel="2" x14ac:dyDescent="0.3">
      <c r="A1932" s="447">
        <v>164</v>
      </c>
      <c r="B1932" s="586"/>
      <c r="C1932" s="586"/>
      <c r="D1932" s="612"/>
      <c r="E1932" s="612"/>
      <c r="F1932" s="586"/>
      <c r="G1932" s="709"/>
      <c r="H1932" s="546"/>
      <c r="I1932" s="563" t="s">
        <v>25</v>
      </c>
      <c r="J1932" s="563" t="s">
        <v>25</v>
      </c>
      <c r="K1932" s="564" t="s">
        <v>25</v>
      </c>
      <c r="L1932" s="564" t="s">
        <v>25</v>
      </c>
      <c r="M1932" s="572" t="s">
        <v>798</v>
      </c>
      <c r="N1932" s="572"/>
      <c r="O1932" s="740">
        <v>13</v>
      </c>
      <c r="P1932" s="564">
        <v>32000</v>
      </c>
      <c r="Q1932" s="564">
        <v>416000</v>
      </c>
      <c r="R1932" s="566" t="s">
        <v>1954</v>
      </c>
      <c r="S1932" s="609" t="s">
        <v>1133</v>
      </c>
      <c r="T1932" s="741">
        <v>11.440000000000001</v>
      </c>
      <c r="U1932" s="586"/>
      <c r="V1932" s="564">
        <v>0</v>
      </c>
      <c r="W1932" s="564">
        <v>0</v>
      </c>
      <c r="X1932" s="650"/>
      <c r="Y1932" s="586"/>
      <c r="Z1932" s="742"/>
      <c r="AA1932" s="586"/>
      <c r="AB1932" s="586"/>
      <c r="AC1932" s="586"/>
      <c r="AD1932" s="586"/>
      <c r="AE1932" s="714"/>
      <c r="AF1932" s="570" t="s">
        <v>2899</v>
      </c>
      <c r="AG1932" s="570" t="s">
        <v>25</v>
      </c>
      <c r="AH1932" s="571" t="s">
        <v>25</v>
      </c>
      <c r="AI1932" s="572"/>
      <c r="AJ1932" s="572"/>
    </row>
    <row r="1933" spans="1:36" s="394" customFormat="1" ht="60.75" outlineLevel="2" x14ac:dyDescent="0.3">
      <c r="A1933" s="447">
        <v>164</v>
      </c>
      <c r="B1933" s="586"/>
      <c r="C1933" s="586"/>
      <c r="D1933" s="612"/>
      <c r="E1933" s="612"/>
      <c r="F1933" s="586"/>
      <c r="G1933" s="709"/>
      <c r="H1933" s="546"/>
      <c r="I1933" s="563" t="s">
        <v>25</v>
      </c>
      <c r="J1933" s="563" t="s">
        <v>25</v>
      </c>
      <c r="K1933" s="564" t="s">
        <v>25</v>
      </c>
      <c r="L1933" s="564" t="s">
        <v>25</v>
      </c>
      <c r="M1933" s="572" t="s">
        <v>1351</v>
      </c>
      <c r="N1933" s="572"/>
      <c r="O1933" s="740">
        <v>5</v>
      </c>
      <c r="P1933" s="564">
        <v>2400000</v>
      </c>
      <c r="Q1933" s="564">
        <v>12000000</v>
      </c>
      <c r="R1933" s="566" t="s">
        <v>1771</v>
      </c>
      <c r="S1933" s="609" t="s">
        <v>1133</v>
      </c>
      <c r="T1933" s="741">
        <v>19.8</v>
      </c>
      <c r="U1933" s="586"/>
      <c r="V1933" s="564">
        <v>348773</v>
      </c>
      <c r="W1933" s="564">
        <v>6906000</v>
      </c>
      <c r="X1933" s="650"/>
      <c r="Y1933" s="586"/>
      <c r="Z1933" s="742"/>
      <c r="AA1933" s="586"/>
      <c r="AB1933" s="586"/>
      <c r="AC1933" s="586"/>
      <c r="AD1933" s="586"/>
      <c r="AE1933" s="714"/>
      <c r="AF1933" s="570" t="s">
        <v>2899</v>
      </c>
      <c r="AG1933" s="570" t="s">
        <v>25</v>
      </c>
      <c r="AH1933" s="571" t="s">
        <v>25</v>
      </c>
      <c r="AI1933" s="572"/>
      <c r="AJ1933" s="572"/>
    </row>
    <row r="1934" spans="1:36" s="394" customFormat="1" ht="60.75" outlineLevel="2" x14ac:dyDescent="0.3">
      <c r="A1934" s="447">
        <v>164</v>
      </c>
      <c r="B1934" s="586"/>
      <c r="C1934" s="586"/>
      <c r="D1934" s="612"/>
      <c r="E1934" s="612"/>
      <c r="F1934" s="586"/>
      <c r="G1934" s="709"/>
      <c r="H1934" s="546"/>
      <c r="I1934" s="563" t="s">
        <v>25</v>
      </c>
      <c r="J1934" s="563" t="s">
        <v>25</v>
      </c>
      <c r="K1934" s="564" t="s">
        <v>25</v>
      </c>
      <c r="L1934" s="564" t="s">
        <v>25</v>
      </c>
      <c r="M1934" s="572" t="s">
        <v>400</v>
      </c>
      <c r="N1934" s="572"/>
      <c r="O1934" s="740">
        <v>26</v>
      </c>
      <c r="P1934" s="564">
        <v>228000</v>
      </c>
      <c r="Q1934" s="564">
        <v>5928000</v>
      </c>
      <c r="R1934" s="566" t="s">
        <v>1956</v>
      </c>
      <c r="S1934" s="609" t="s">
        <v>1286</v>
      </c>
      <c r="T1934" s="741">
        <v>0.18000000000000005</v>
      </c>
      <c r="U1934" s="586"/>
      <c r="V1934" s="564">
        <v>0</v>
      </c>
      <c r="W1934" s="564">
        <v>0</v>
      </c>
      <c r="X1934" s="650"/>
      <c r="Y1934" s="586"/>
      <c r="Z1934" s="742"/>
      <c r="AA1934" s="586"/>
      <c r="AB1934" s="586"/>
      <c r="AC1934" s="586"/>
      <c r="AD1934" s="586"/>
      <c r="AE1934" s="714"/>
      <c r="AF1934" s="570" t="s">
        <v>2899</v>
      </c>
      <c r="AG1934" s="570" t="s">
        <v>25</v>
      </c>
      <c r="AH1934" s="571" t="s">
        <v>25</v>
      </c>
      <c r="AI1934" s="572"/>
      <c r="AJ1934" s="572"/>
    </row>
    <row r="1935" spans="1:36" s="394" customFormat="1" ht="60.75" outlineLevel="2" x14ac:dyDescent="0.3">
      <c r="A1935" s="447">
        <v>164</v>
      </c>
      <c r="B1935" s="586"/>
      <c r="C1935" s="586"/>
      <c r="D1935" s="612"/>
      <c r="E1935" s="612"/>
      <c r="F1935" s="586"/>
      <c r="G1935" s="709"/>
      <c r="H1935" s="546"/>
      <c r="I1935" s="563" t="s">
        <v>25</v>
      </c>
      <c r="J1935" s="563" t="s">
        <v>25</v>
      </c>
      <c r="K1935" s="564" t="s">
        <v>25</v>
      </c>
      <c r="L1935" s="564" t="s">
        <v>25</v>
      </c>
      <c r="M1935" s="661" t="s">
        <v>1409</v>
      </c>
      <c r="N1935" s="661"/>
      <c r="O1935" s="740">
        <v>5</v>
      </c>
      <c r="P1935" s="564">
        <v>2400000</v>
      </c>
      <c r="Q1935" s="564">
        <v>12000000</v>
      </c>
      <c r="R1935" s="566" t="s">
        <v>1957</v>
      </c>
      <c r="S1935" s="609" t="s">
        <v>1133</v>
      </c>
      <c r="T1935" s="741">
        <v>8</v>
      </c>
      <c r="U1935" s="586"/>
      <c r="V1935" s="564">
        <v>0</v>
      </c>
      <c r="W1935" s="564">
        <v>0</v>
      </c>
      <c r="X1935" s="650"/>
      <c r="Y1935" s="586"/>
      <c r="Z1935" s="742"/>
      <c r="AA1935" s="586"/>
      <c r="AB1935" s="586"/>
      <c r="AC1935" s="586"/>
      <c r="AD1935" s="586"/>
      <c r="AE1935" s="714"/>
      <c r="AF1935" s="570" t="s">
        <v>2899</v>
      </c>
      <c r="AG1935" s="570" t="s">
        <v>25</v>
      </c>
      <c r="AH1935" s="571" t="s">
        <v>25</v>
      </c>
      <c r="AI1935" s="572"/>
      <c r="AJ1935" s="572"/>
    </row>
    <row r="1936" spans="1:36" s="394" customFormat="1" ht="81" outlineLevel="2" x14ac:dyDescent="0.3">
      <c r="A1936" s="447">
        <v>164</v>
      </c>
      <c r="B1936" s="586"/>
      <c r="C1936" s="586"/>
      <c r="D1936" s="612"/>
      <c r="E1936" s="612"/>
      <c r="F1936" s="586"/>
      <c r="G1936" s="709"/>
      <c r="H1936" s="546"/>
      <c r="I1936" s="563" t="s">
        <v>25</v>
      </c>
      <c r="J1936" s="563" t="s">
        <v>25</v>
      </c>
      <c r="K1936" s="564" t="s">
        <v>25</v>
      </c>
      <c r="L1936" s="564" t="s">
        <v>25</v>
      </c>
      <c r="M1936" s="572" t="s">
        <v>1353</v>
      </c>
      <c r="N1936" s="572"/>
      <c r="O1936" s="740">
        <v>1</v>
      </c>
      <c r="P1936" s="564">
        <v>1713000</v>
      </c>
      <c r="Q1936" s="564">
        <v>1713000</v>
      </c>
      <c r="R1936" s="566" t="s">
        <v>1945</v>
      </c>
      <c r="S1936" s="609" t="s">
        <v>1133</v>
      </c>
      <c r="T1936" s="741">
        <v>7.2</v>
      </c>
      <c r="U1936" s="586"/>
      <c r="V1936" s="564">
        <v>770070</v>
      </c>
      <c r="W1936" s="564">
        <v>5545000</v>
      </c>
      <c r="X1936" s="650"/>
      <c r="Y1936" s="586"/>
      <c r="Z1936" s="742"/>
      <c r="AA1936" s="586"/>
      <c r="AB1936" s="586"/>
      <c r="AC1936" s="586"/>
      <c r="AD1936" s="586"/>
      <c r="AE1936" s="714"/>
      <c r="AF1936" s="570" t="s">
        <v>2899</v>
      </c>
      <c r="AG1936" s="570" t="s">
        <v>25</v>
      </c>
      <c r="AH1936" s="571" t="s">
        <v>25</v>
      </c>
      <c r="AI1936" s="572"/>
      <c r="AJ1936" s="572"/>
    </row>
    <row r="1937" spans="1:36" s="394" customFormat="1" ht="81" outlineLevel="2" x14ac:dyDescent="0.3">
      <c r="A1937" s="447">
        <v>164</v>
      </c>
      <c r="B1937" s="586"/>
      <c r="C1937" s="586"/>
      <c r="D1937" s="612"/>
      <c r="E1937" s="612"/>
      <c r="F1937" s="586"/>
      <c r="G1937" s="709"/>
      <c r="H1937" s="546"/>
      <c r="I1937" s="563" t="s">
        <v>25</v>
      </c>
      <c r="J1937" s="563" t="s">
        <v>25</v>
      </c>
      <c r="K1937" s="564" t="s">
        <v>25</v>
      </c>
      <c r="L1937" s="564" t="s">
        <v>25</v>
      </c>
      <c r="M1937" s="572" t="s">
        <v>1354</v>
      </c>
      <c r="N1937" s="572"/>
      <c r="O1937" s="740">
        <v>903</v>
      </c>
      <c r="P1937" s="564">
        <v>0</v>
      </c>
      <c r="Q1937" s="564">
        <v>0</v>
      </c>
      <c r="R1937" s="566"/>
      <c r="S1937" s="609"/>
      <c r="T1937" s="741"/>
      <c r="U1937" s="586"/>
      <c r="V1937" s="564" t="s">
        <v>2899</v>
      </c>
      <c r="W1937" s="564" t="s">
        <v>25</v>
      </c>
      <c r="X1937" s="650"/>
      <c r="Y1937" s="586"/>
      <c r="Z1937" s="742"/>
      <c r="AA1937" s="586"/>
      <c r="AB1937" s="586"/>
      <c r="AC1937" s="586"/>
      <c r="AD1937" s="586"/>
      <c r="AE1937" s="714"/>
      <c r="AF1937" s="570" t="s">
        <v>2899</v>
      </c>
      <c r="AG1937" s="570" t="s">
        <v>25</v>
      </c>
      <c r="AH1937" s="571" t="s">
        <v>25</v>
      </c>
      <c r="AI1937" s="572"/>
      <c r="AJ1937" s="572"/>
    </row>
    <row r="1938" spans="1:36" s="394" customFormat="1" ht="20.25" outlineLevel="2" x14ac:dyDescent="0.3">
      <c r="A1938" s="447">
        <v>164</v>
      </c>
      <c r="B1938" s="586"/>
      <c r="C1938" s="586"/>
      <c r="D1938" s="612"/>
      <c r="E1938" s="612"/>
      <c r="F1938" s="586"/>
      <c r="G1938" s="709"/>
      <c r="H1938" s="546"/>
      <c r="I1938" s="563" t="s">
        <v>25</v>
      </c>
      <c r="J1938" s="563" t="s">
        <v>25</v>
      </c>
      <c r="K1938" s="564" t="s">
        <v>25</v>
      </c>
      <c r="L1938" s="564" t="s">
        <v>25</v>
      </c>
      <c r="M1938" s="572"/>
      <c r="N1938" s="572"/>
      <c r="O1938" s="740"/>
      <c r="P1938" s="564" t="s">
        <v>25</v>
      </c>
      <c r="Q1938" s="564" t="s">
        <v>25</v>
      </c>
      <c r="R1938" s="566"/>
      <c r="S1938" s="609"/>
      <c r="T1938" s="741"/>
      <c r="U1938" s="586"/>
      <c r="V1938" s="564" t="s">
        <v>2899</v>
      </c>
      <c r="W1938" s="564" t="s">
        <v>25</v>
      </c>
      <c r="X1938" s="650"/>
      <c r="Y1938" s="586"/>
      <c r="Z1938" s="742"/>
      <c r="AA1938" s="586"/>
      <c r="AB1938" s="586"/>
      <c r="AC1938" s="586"/>
      <c r="AD1938" s="586"/>
      <c r="AE1938" s="714"/>
      <c r="AF1938" s="570" t="s">
        <v>2899</v>
      </c>
      <c r="AG1938" s="570" t="s">
        <v>25</v>
      </c>
      <c r="AH1938" s="571" t="s">
        <v>25</v>
      </c>
      <c r="AI1938" s="572"/>
      <c r="AJ1938" s="572"/>
    </row>
    <row r="1939" spans="1:36" s="394" customFormat="1" ht="20.25" outlineLevel="2" x14ac:dyDescent="0.3">
      <c r="A1939" s="447">
        <v>164</v>
      </c>
      <c r="B1939" s="572"/>
      <c r="C1939" s="572"/>
      <c r="D1939" s="612"/>
      <c r="E1939" s="612"/>
      <c r="F1939" s="586"/>
      <c r="G1939" s="709"/>
      <c r="H1939" s="546"/>
      <c r="I1939" s="563" t="s">
        <v>25</v>
      </c>
      <c r="J1939" s="563" t="s">
        <v>25</v>
      </c>
      <c r="K1939" s="564" t="s">
        <v>25</v>
      </c>
      <c r="L1939" s="564" t="s">
        <v>25</v>
      </c>
      <c r="M1939" s="572"/>
      <c r="N1939" s="572"/>
      <c r="O1939" s="740"/>
      <c r="P1939" s="564" t="s">
        <v>25</v>
      </c>
      <c r="Q1939" s="564" t="s">
        <v>25</v>
      </c>
      <c r="R1939" s="566"/>
      <c r="S1939" s="609"/>
      <c r="T1939" s="741"/>
      <c r="U1939" s="586"/>
      <c r="V1939" s="564" t="s">
        <v>2899</v>
      </c>
      <c r="W1939" s="564" t="s">
        <v>25</v>
      </c>
      <c r="X1939" s="650"/>
      <c r="Y1939" s="586"/>
      <c r="Z1939" s="742"/>
      <c r="AA1939" s="586"/>
      <c r="AB1939" s="586"/>
      <c r="AC1939" s="586"/>
      <c r="AD1939" s="586"/>
      <c r="AE1939" s="714"/>
      <c r="AF1939" s="570" t="s">
        <v>2899</v>
      </c>
      <c r="AG1939" s="570" t="s">
        <v>25</v>
      </c>
      <c r="AH1939" s="571" t="s">
        <v>25</v>
      </c>
      <c r="AI1939" s="558"/>
      <c r="AJ1939" s="558"/>
    </row>
    <row r="1940" spans="1:36" s="394" customFormat="1" ht="20.25" outlineLevel="2" x14ac:dyDescent="0.3">
      <c r="A1940" s="447">
        <v>164</v>
      </c>
      <c r="B1940" s="572"/>
      <c r="C1940" s="572"/>
      <c r="D1940" s="612"/>
      <c r="E1940" s="612"/>
      <c r="F1940" s="586"/>
      <c r="G1940" s="709"/>
      <c r="H1940" s="546"/>
      <c r="I1940" s="563" t="s">
        <v>25</v>
      </c>
      <c r="J1940" s="563" t="s">
        <v>25</v>
      </c>
      <c r="K1940" s="564" t="s">
        <v>25</v>
      </c>
      <c r="L1940" s="564" t="s">
        <v>25</v>
      </c>
      <c r="M1940" s="572"/>
      <c r="N1940" s="572"/>
      <c r="O1940" s="740"/>
      <c r="P1940" s="564" t="s">
        <v>25</v>
      </c>
      <c r="Q1940" s="564" t="s">
        <v>25</v>
      </c>
      <c r="R1940" s="566"/>
      <c r="S1940" s="609"/>
      <c r="T1940" s="741"/>
      <c r="U1940" s="586"/>
      <c r="V1940" s="564" t="s">
        <v>2899</v>
      </c>
      <c r="W1940" s="564" t="s">
        <v>25</v>
      </c>
      <c r="X1940" s="650"/>
      <c r="Y1940" s="586"/>
      <c r="Z1940" s="742"/>
      <c r="AA1940" s="586"/>
      <c r="AB1940" s="586"/>
      <c r="AC1940" s="586"/>
      <c r="AD1940" s="586"/>
      <c r="AE1940" s="714"/>
      <c r="AF1940" s="570" t="s">
        <v>2899</v>
      </c>
      <c r="AG1940" s="570" t="s">
        <v>25</v>
      </c>
      <c r="AH1940" s="571" t="s">
        <v>25</v>
      </c>
      <c r="AI1940" s="586"/>
      <c r="AJ1940" s="586"/>
    </row>
    <row r="1941" spans="1:36" s="394" customFormat="1" ht="20.25" outlineLevel="2" x14ac:dyDescent="0.3">
      <c r="A1941" s="447">
        <v>164</v>
      </c>
      <c r="B1941" s="607"/>
      <c r="C1941" s="607"/>
      <c r="D1941" s="642"/>
      <c r="E1941" s="642"/>
      <c r="F1941" s="586"/>
      <c r="G1941" s="709"/>
      <c r="H1941" s="546"/>
      <c r="I1941" s="563" t="s">
        <v>25</v>
      </c>
      <c r="J1941" s="563" t="s">
        <v>25</v>
      </c>
      <c r="K1941" s="564" t="s">
        <v>25</v>
      </c>
      <c r="L1941" s="564" t="s">
        <v>25</v>
      </c>
      <c r="M1941" s="572"/>
      <c r="N1941" s="572"/>
      <c r="O1941" s="740"/>
      <c r="P1941" s="564" t="s">
        <v>25</v>
      </c>
      <c r="Q1941" s="564" t="s">
        <v>25</v>
      </c>
      <c r="R1941" s="566"/>
      <c r="S1941" s="609"/>
      <c r="T1941" s="741"/>
      <c r="U1941" s="586"/>
      <c r="V1941" s="564" t="s">
        <v>2899</v>
      </c>
      <c r="W1941" s="564" t="s">
        <v>25</v>
      </c>
      <c r="X1941" s="650"/>
      <c r="Y1941" s="586"/>
      <c r="Z1941" s="742"/>
      <c r="AA1941" s="586"/>
      <c r="AB1941" s="586"/>
      <c r="AC1941" s="586"/>
      <c r="AD1941" s="586"/>
      <c r="AE1941" s="714"/>
      <c r="AF1941" s="570" t="s">
        <v>2899</v>
      </c>
      <c r="AG1941" s="570" t="s">
        <v>25</v>
      </c>
      <c r="AH1941" s="571" t="s">
        <v>25</v>
      </c>
      <c r="AI1941" s="586"/>
      <c r="AJ1941" s="586"/>
    </row>
    <row r="1942" spans="1:36" s="394" customFormat="1" ht="40.5" outlineLevel="1" x14ac:dyDescent="0.25">
      <c r="A1942" s="467">
        <v>165</v>
      </c>
      <c r="B1942" s="607" t="s">
        <v>1355</v>
      </c>
      <c r="C1942" s="586" t="s">
        <v>2903</v>
      </c>
      <c r="D1942" s="612"/>
      <c r="E1942" s="612"/>
      <c r="F1942" s="578"/>
      <c r="G1942" s="707">
        <v>0</v>
      </c>
      <c r="H1942" s="579">
        <v>0</v>
      </c>
      <c r="I1942" s="581"/>
      <c r="J1942" s="581"/>
      <c r="K1942" s="571">
        <v>0</v>
      </c>
      <c r="L1942" s="571">
        <v>0</v>
      </c>
      <c r="M1942" s="607"/>
      <c r="N1942" s="607"/>
      <c r="O1942" s="738">
        <v>0</v>
      </c>
      <c r="P1942" s="571"/>
      <c r="Q1942" s="571">
        <v>0</v>
      </c>
      <c r="R1942" s="582"/>
      <c r="S1942" s="621"/>
      <c r="T1942" s="739">
        <v>362.01799999999997</v>
      </c>
      <c r="U1942" s="578"/>
      <c r="V1942" s="571"/>
      <c r="W1942" s="571">
        <v>815393000</v>
      </c>
      <c r="X1942" s="661"/>
      <c r="Y1942" s="683"/>
      <c r="Z1942" s="683"/>
      <c r="AA1942" s="694"/>
      <c r="AB1942" s="683"/>
      <c r="AC1942" s="683"/>
      <c r="AD1942" s="650"/>
      <c r="AE1942" s="599">
        <f>SUBTOTAL(9,AE1943:AE1958)</f>
        <v>0</v>
      </c>
      <c r="AF1942" s="585"/>
      <c r="AG1942" s="585">
        <v>0</v>
      </c>
      <c r="AH1942" s="571">
        <v>815393000</v>
      </c>
      <c r="AI1942" s="578"/>
      <c r="AJ1942" s="574"/>
    </row>
    <row r="1943" spans="1:36" s="394" customFormat="1" ht="121.5" outlineLevel="2" x14ac:dyDescent="0.3">
      <c r="A1943" s="447">
        <v>165</v>
      </c>
      <c r="B1943" s="572" t="s">
        <v>1357</v>
      </c>
      <c r="C1943" s="572"/>
      <c r="D1943" s="612"/>
      <c r="E1943" s="612"/>
      <c r="F1943" s="586"/>
      <c r="G1943" s="709"/>
      <c r="H1943" s="546"/>
      <c r="I1943" s="563" t="s">
        <v>25</v>
      </c>
      <c r="J1943" s="563" t="s">
        <v>25</v>
      </c>
      <c r="K1943" s="564" t="s">
        <v>25</v>
      </c>
      <c r="L1943" s="564" t="s">
        <v>25</v>
      </c>
      <c r="M1943" s="572"/>
      <c r="N1943" s="572"/>
      <c r="O1943" s="740"/>
      <c r="P1943" s="564" t="s">
        <v>25</v>
      </c>
      <c r="Q1943" s="564" t="s">
        <v>25</v>
      </c>
      <c r="R1943" s="566" t="s">
        <v>1958</v>
      </c>
      <c r="S1943" s="609" t="s">
        <v>1133</v>
      </c>
      <c r="T1943" s="741">
        <v>162.57000000000002</v>
      </c>
      <c r="U1943" s="586"/>
      <c r="V1943" s="564">
        <v>3550600</v>
      </c>
      <c r="W1943" s="564">
        <v>577221000</v>
      </c>
      <c r="X1943" s="661" t="s">
        <v>1138</v>
      </c>
      <c r="Y1943" s="683" t="s">
        <v>1139</v>
      </c>
      <c r="Z1943" s="683" t="s">
        <v>56</v>
      </c>
      <c r="AA1943" s="694" t="s">
        <v>269</v>
      </c>
      <c r="AB1943" s="683" t="s">
        <v>1138</v>
      </c>
      <c r="AC1943" s="683"/>
      <c r="AD1943" s="683"/>
      <c r="AE1943" s="590"/>
      <c r="AF1943" s="570" t="s">
        <v>2899</v>
      </c>
      <c r="AG1943" s="570" t="s">
        <v>25</v>
      </c>
      <c r="AH1943" s="571" t="s">
        <v>25</v>
      </c>
      <c r="AI1943" s="586" t="s">
        <v>1356</v>
      </c>
      <c r="AJ1943" s="558" t="s">
        <v>2450</v>
      </c>
    </row>
    <row r="1944" spans="1:36" s="394" customFormat="1" ht="101.25" outlineLevel="2" x14ac:dyDescent="0.3">
      <c r="A1944" s="447">
        <v>165</v>
      </c>
      <c r="B1944" s="572" t="s">
        <v>1619</v>
      </c>
      <c r="C1944" s="572"/>
      <c r="D1944" s="612"/>
      <c r="E1944" s="612"/>
      <c r="F1944" s="586"/>
      <c r="G1944" s="709"/>
      <c r="H1944" s="546"/>
      <c r="I1944" s="563" t="s">
        <v>25</v>
      </c>
      <c r="J1944" s="563" t="s">
        <v>25</v>
      </c>
      <c r="K1944" s="564" t="s">
        <v>25</v>
      </c>
      <c r="L1944" s="564" t="s">
        <v>25</v>
      </c>
      <c r="M1944" s="572"/>
      <c r="N1944" s="572"/>
      <c r="O1944" s="740"/>
      <c r="P1944" s="564" t="s">
        <v>25</v>
      </c>
      <c r="Q1944" s="564" t="s">
        <v>25</v>
      </c>
      <c r="R1944" s="566" t="s">
        <v>1959</v>
      </c>
      <c r="S1944" s="609" t="s">
        <v>1133</v>
      </c>
      <c r="T1944" s="741">
        <v>17.849999999999998</v>
      </c>
      <c r="U1944" s="586"/>
      <c r="V1944" s="564">
        <v>9347414</v>
      </c>
      <c r="W1944" s="564">
        <v>166851000</v>
      </c>
      <c r="X1944" s="650"/>
      <c r="Y1944" s="586"/>
      <c r="Z1944" s="742"/>
      <c r="AA1944" s="586"/>
      <c r="AB1944" s="586"/>
      <c r="AC1944" s="586"/>
      <c r="AD1944" s="586"/>
      <c r="AE1944" s="714"/>
      <c r="AF1944" s="570" t="s">
        <v>2899</v>
      </c>
      <c r="AG1944" s="570" t="s">
        <v>25</v>
      </c>
      <c r="AH1944" s="571" t="s">
        <v>25</v>
      </c>
      <c r="AI1944" s="586" t="s">
        <v>1146</v>
      </c>
      <c r="AJ1944" s="586" t="s">
        <v>2800</v>
      </c>
    </row>
    <row r="1945" spans="1:36" s="394" customFormat="1" ht="60.75" outlineLevel="2" x14ac:dyDescent="0.3">
      <c r="A1945" s="447">
        <v>165</v>
      </c>
      <c r="B1945" s="572"/>
      <c r="C1945" s="572"/>
      <c r="D1945" s="612"/>
      <c r="E1945" s="612"/>
      <c r="F1945" s="586"/>
      <c r="G1945" s="709"/>
      <c r="H1945" s="546"/>
      <c r="I1945" s="563" t="s">
        <v>25</v>
      </c>
      <c r="J1945" s="563" t="s">
        <v>25</v>
      </c>
      <c r="K1945" s="564" t="s">
        <v>25</v>
      </c>
      <c r="L1945" s="564" t="s">
        <v>25</v>
      </c>
      <c r="M1945" s="572"/>
      <c r="N1945" s="572"/>
      <c r="O1945" s="740"/>
      <c r="P1945" s="564" t="s">
        <v>25</v>
      </c>
      <c r="Q1945" s="564" t="s">
        <v>25</v>
      </c>
      <c r="R1945" s="566" t="s">
        <v>1347</v>
      </c>
      <c r="S1945" s="609" t="s">
        <v>93</v>
      </c>
      <c r="T1945" s="741">
        <v>1</v>
      </c>
      <c r="U1945" s="586"/>
      <c r="V1945" s="564">
        <v>0</v>
      </c>
      <c r="W1945" s="564">
        <v>0</v>
      </c>
      <c r="X1945" s="650"/>
      <c r="Y1945" s="586"/>
      <c r="Z1945" s="742"/>
      <c r="AA1945" s="586"/>
      <c r="AB1945" s="586"/>
      <c r="AC1945" s="586"/>
      <c r="AD1945" s="586"/>
      <c r="AE1945" s="714"/>
      <c r="AF1945" s="570" t="s">
        <v>2899</v>
      </c>
      <c r="AG1945" s="570" t="s">
        <v>25</v>
      </c>
      <c r="AH1945" s="571" t="s">
        <v>25</v>
      </c>
      <c r="AI1945" s="586"/>
      <c r="AJ1945" s="586"/>
    </row>
    <row r="1946" spans="1:36" s="394" customFormat="1" ht="81" outlineLevel="2" x14ac:dyDescent="0.3">
      <c r="A1946" s="447">
        <v>165</v>
      </c>
      <c r="B1946" s="572"/>
      <c r="C1946" s="572"/>
      <c r="D1946" s="612"/>
      <c r="E1946" s="612"/>
      <c r="F1946" s="586"/>
      <c r="G1946" s="709"/>
      <c r="H1946" s="546"/>
      <c r="I1946" s="563" t="s">
        <v>25</v>
      </c>
      <c r="J1946" s="563" t="s">
        <v>25</v>
      </c>
      <c r="K1946" s="564" t="s">
        <v>25</v>
      </c>
      <c r="L1946" s="564" t="s">
        <v>25</v>
      </c>
      <c r="M1946" s="572"/>
      <c r="N1946" s="572"/>
      <c r="O1946" s="740"/>
      <c r="P1946" s="564" t="s">
        <v>25</v>
      </c>
      <c r="Q1946" s="564" t="s">
        <v>25</v>
      </c>
      <c r="R1946" s="566" t="s">
        <v>1912</v>
      </c>
      <c r="S1946" s="609" t="s">
        <v>1133</v>
      </c>
      <c r="T1946" s="741">
        <v>52.3</v>
      </c>
      <c r="U1946" s="586"/>
      <c r="V1946" s="564">
        <v>265836</v>
      </c>
      <c r="W1946" s="564">
        <v>13903000</v>
      </c>
      <c r="X1946" s="650"/>
      <c r="Y1946" s="586"/>
      <c r="Z1946" s="742"/>
      <c r="AA1946" s="586"/>
      <c r="AB1946" s="586"/>
      <c r="AC1946" s="586"/>
      <c r="AD1946" s="586"/>
      <c r="AE1946" s="714"/>
      <c r="AF1946" s="570" t="s">
        <v>2899</v>
      </c>
      <c r="AG1946" s="570" t="s">
        <v>25</v>
      </c>
      <c r="AH1946" s="571" t="s">
        <v>25</v>
      </c>
      <c r="AI1946" s="586"/>
      <c r="AJ1946" s="586"/>
    </row>
    <row r="1947" spans="1:36" s="394" customFormat="1" ht="81" outlineLevel="2" x14ac:dyDescent="0.3">
      <c r="A1947" s="447">
        <v>165</v>
      </c>
      <c r="B1947" s="572"/>
      <c r="C1947" s="572"/>
      <c r="D1947" s="612"/>
      <c r="E1947" s="612"/>
      <c r="F1947" s="586"/>
      <c r="G1947" s="709"/>
      <c r="H1947" s="546"/>
      <c r="I1947" s="563" t="s">
        <v>25</v>
      </c>
      <c r="J1947" s="563" t="s">
        <v>25</v>
      </c>
      <c r="K1947" s="564" t="s">
        <v>25</v>
      </c>
      <c r="L1947" s="564" t="s">
        <v>25</v>
      </c>
      <c r="M1947" s="572"/>
      <c r="N1947" s="572"/>
      <c r="O1947" s="740"/>
      <c r="P1947" s="564" t="s">
        <v>25</v>
      </c>
      <c r="Q1947" s="564" t="s">
        <v>25</v>
      </c>
      <c r="R1947" s="566" t="s">
        <v>1960</v>
      </c>
      <c r="S1947" s="609" t="s">
        <v>1133</v>
      </c>
      <c r="T1947" s="741">
        <v>34.200000000000003</v>
      </c>
      <c r="U1947" s="586"/>
      <c r="V1947" s="564">
        <v>770070</v>
      </c>
      <c r="W1947" s="564">
        <v>26336000</v>
      </c>
      <c r="X1947" s="650"/>
      <c r="Y1947" s="586"/>
      <c r="Z1947" s="742"/>
      <c r="AA1947" s="586"/>
      <c r="AB1947" s="586"/>
      <c r="AC1947" s="586"/>
      <c r="AD1947" s="586"/>
      <c r="AE1947" s="714"/>
      <c r="AF1947" s="570" t="s">
        <v>2899</v>
      </c>
      <c r="AG1947" s="570" t="s">
        <v>25</v>
      </c>
      <c r="AH1947" s="571" t="s">
        <v>25</v>
      </c>
      <c r="AI1947" s="586"/>
      <c r="AJ1947" s="586"/>
    </row>
    <row r="1948" spans="1:36" s="394" customFormat="1" ht="101.25" outlineLevel="2" x14ac:dyDescent="0.3">
      <c r="A1948" s="447">
        <v>165</v>
      </c>
      <c r="B1948" s="572"/>
      <c r="C1948" s="572"/>
      <c r="D1948" s="612"/>
      <c r="E1948" s="612"/>
      <c r="F1948" s="586"/>
      <c r="G1948" s="709"/>
      <c r="H1948" s="546"/>
      <c r="I1948" s="563" t="s">
        <v>25</v>
      </c>
      <c r="J1948" s="563" t="s">
        <v>25</v>
      </c>
      <c r="K1948" s="564" t="s">
        <v>25</v>
      </c>
      <c r="L1948" s="564" t="s">
        <v>25</v>
      </c>
      <c r="M1948" s="572"/>
      <c r="N1948" s="572"/>
      <c r="O1948" s="740"/>
      <c r="P1948" s="564" t="s">
        <v>25</v>
      </c>
      <c r="Q1948" s="564" t="s">
        <v>25</v>
      </c>
      <c r="R1948" s="566" t="s">
        <v>1961</v>
      </c>
      <c r="S1948" s="609" t="s">
        <v>1133</v>
      </c>
      <c r="T1948" s="741">
        <v>44.4</v>
      </c>
      <c r="U1948" s="586"/>
      <c r="V1948" s="564">
        <v>700040</v>
      </c>
      <c r="W1948" s="564">
        <v>31082000</v>
      </c>
      <c r="X1948" s="650"/>
      <c r="Y1948" s="586"/>
      <c r="Z1948" s="742"/>
      <c r="AA1948" s="586"/>
      <c r="AB1948" s="586"/>
      <c r="AC1948" s="586"/>
      <c r="AD1948" s="586"/>
      <c r="AE1948" s="714"/>
      <c r="AF1948" s="570" t="s">
        <v>2899</v>
      </c>
      <c r="AG1948" s="570" t="s">
        <v>25</v>
      </c>
      <c r="AH1948" s="571" t="s">
        <v>25</v>
      </c>
      <c r="AI1948" s="586"/>
      <c r="AJ1948" s="586"/>
    </row>
    <row r="1949" spans="1:36" s="394" customFormat="1" ht="60.75" outlineLevel="2" x14ac:dyDescent="0.3">
      <c r="A1949" s="447">
        <v>165</v>
      </c>
      <c r="B1949" s="572"/>
      <c r="C1949" s="572"/>
      <c r="D1949" s="612"/>
      <c r="E1949" s="612"/>
      <c r="F1949" s="586"/>
      <c r="G1949" s="709"/>
      <c r="H1949" s="546"/>
      <c r="I1949" s="563" t="s">
        <v>25</v>
      </c>
      <c r="J1949" s="563" t="s">
        <v>25</v>
      </c>
      <c r="K1949" s="564" t="s">
        <v>25</v>
      </c>
      <c r="L1949" s="564" t="s">
        <v>25</v>
      </c>
      <c r="M1949" s="572"/>
      <c r="N1949" s="572"/>
      <c r="O1949" s="740"/>
      <c r="P1949" s="564" t="s">
        <v>25</v>
      </c>
      <c r="Q1949" s="564" t="s">
        <v>25</v>
      </c>
      <c r="R1949" s="566" t="s">
        <v>1962</v>
      </c>
      <c r="S1949" s="609" t="s">
        <v>1286</v>
      </c>
      <c r="T1949" s="741">
        <v>0.19800000000000001</v>
      </c>
      <c r="U1949" s="586"/>
      <c r="V1949" s="564">
        <v>0</v>
      </c>
      <c r="W1949" s="564">
        <v>0</v>
      </c>
      <c r="X1949" s="650"/>
      <c r="Y1949" s="586"/>
      <c r="Z1949" s="742"/>
      <c r="AA1949" s="586"/>
      <c r="AB1949" s="586"/>
      <c r="AC1949" s="586"/>
      <c r="AD1949" s="586"/>
      <c r="AE1949" s="714"/>
      <c r="AF1949" s="570" t="s">
        <v>2899</v>
      </c>
      <c r="AG1949" s="570" t="s">
        <v>25</v>
      </c>
      <c r="AH1949" s="571" t="s">
        <v>25</v>
      </c>
      <c r="AI1949" s="586"/>
      <c r="AJ1949" s="586"/>
    </row>
    <row r="1950" spans="1:36" s="394" customFormat="1" ht="60.75" outlineLevel="2" x14ac:dyDescent="0.3">
      <c r="A1950" s="447">
        <v>165</v>
      </c>
      <c r="B1950" s="572"/>
      <c r="C1950" s="572"/>
      <c r="D1950" s="612"/>
      <c r="E1950" s="612"/>
      <c r="F1950" s="586"/>
      <c r="G1950" s="709"/>
      <c r="H1950" s="546"/>
      <c r="I1950" s="563" t="s">
        <v>25</v>
      </c>
      <c r="J1950" s="563" t="s">
        <v>25</v>
      </c>
      <c r="K1950" s="564" t="s">
        <v>25</v>
      </c>
      <c r="L1950" s="564" t="s">
        <v>25</v>
      </c>
      <c r="M1950" s="572"/>
      <c r="N1950" s="572"/>
      <c r="O1950" s="740"/>
      <c r="P1950" s="564" t="s">
        <v>25</v>
      </c>
      <c r="Q1950" s="564" t="s">
        <v>25</v>
      </c>
      <c r="R1950" s="566" t="s">
        <v>1956</v>
      </c>
      <c r="S1950" s="609" t="s">
        <v>1286</v>
      </c>
      <c r="T1950" s="741">
        <v>0.26999999999999996</v>
      </c>
      <c r="U1950" s="586"/>
      <c r="V1950" s="564">
        <v>0</v>
      </c>
      <c r="W1950" s="564">
        <v>0</v>
      </c>
      <c r="X1950" s="650"/>
      <c r="Y1950" s="586"/>
      <c r="Z1950" s="742"/>
      <c r="AA1950" s="586"/>
      <c r="AB1950" s="586"/>
      <c r="AC1950" s="586"/>
      <c r="AD1950" s="586"/>
      <c r="AE1950" s="714"/>
      <c r="AF1950" s="570" t="s">
        <v>2899</v>
      </c>
      <c r="AG1950" s="570" t="s">
        <v>25</v>
      </c>
      <c r="AH1950" s="571" t="s">
        <v>25</v>
      </c>
      <c r="AI1950" s="586"/>
      <c r="AJ1950" s="586"/>
    </row>
    <row r="1951" spans="1:36" s="394" customFormat="1" ht="60.75" outlineLevel="2" x14ac:dyDescent="0.3">
      <c r="A1951" s="447">
        <v>165</v>
      </c>
      <c r="B1951" s="572"/>
      <c r="C1951" s="572"/>
      <c r="D1951" s="612"/>
      <c r="E1951" s="612"/>
      <c r="F1951" s="586"/>
      <c r="G1951" s="709"/>
      <c r="H1951" s="546"/>
      <c r="I1951" s="563" t="s">
        <v>25</v>
      </c>
      <c r="J1951" s="563" t="s">
        <v>25</v>
      </c>
      <c r="K1951" s="564" t="s">
        <v>25</v>
      </c>
      <c r="L1951" s="564" t="s">
        <v>25</v>
      </c>
      <c r="M1951" s="572"/>
      <c r="N1951" s="572"/>
      <c r="O1951" s="740"/>
      <c r="P1951" s="564" t="s">
        <v>25</v>
      </c>
      <c r="Q1951" s="564" t="s">
        <v>25</v>
      </c>
      <c r="R1951" s="566" t="s">
        <v>1963</v>
      </c>
      <c r="S1951" s="609" t="s">
        <v>93</v>
      </c>
      <c r="T1951" s="741">
        <v>1</v>
      </c>
      <c r="U1951" s="586"/>
      <c r="V1951" s="564">
        <v>0</v>
      </c>
      <c r="W1951" s="564">
        <v>0</v>
      </c>
      <c r="X1951" s="650"/>
      <c r="Y1951" s="586"/>
      <c r="Z1951" s="742"/>
      <c r="AA1951" s="586"/>
      <c r="AB1951" s="586"/>
      <c r="AC1951" s="586"/>
      <c r="AD1951" s="586"/>
      <c r="AE1951" s="714"/>
      <c r="AF1951" s="570" t="s">
        <v>2899</v>
      </c>
      <c r="AG1951" s="570" t="s">
        <v>25</v>
      </c>
      <c r="AH1951" s="571" t="s">
        <v>25</v>
      </c>
      <c r="AI1951" s="586"/>
      <c r="AJ1951" s="586"/>
    </row>
    <row r="1952" spans="1:36" s="394" customFormat="1" ht="60.75" outlineLevel="2" x14ac:dyDescent="0.3">
      <c r="A1952" s="447">
        <v>165</v>
      </c>
      <c r="B1952" s="572"/>
      <c r="C1952" s="572"/>
      <c r="D1952" s="612"/>
      <c r="E1952" s="612"/>
      <c r="F1952" s="586"/>
      <c r="G1952" s="709"/>
      <c r="H1952" s="546"/>
      <c r="I1952" s="563" t="s">
        <v>25</v>
      </c>
      <c r="J1952" s="563" t="s">
        <v>25</v>
      </c>
      <c r="K1952" s="564" t="s">
        <v>25</v>
      </c>
      <c r="L1952" s="564" t="s">
        <v>25</v>
      </c>
      <c r="M1952" s="572"/>
      <c r="N1952" s="572"/>
      <c r="O1952" s="740"/>
      <c r="P1952" s="564" t="s">
        <v>25</v>
      </c>
      <c r="Q1952" s="564" t="s">
        <v>25</v>
      </c>
      <c r="R1952" s="566" t="s">
        <v>1964</v>
      </c>
      <c r="S1952" s="609" t="s">
        <v>1133</v>
      </c>
      <c r="T1952" s="741">
        <v>34.339999999999996</v>
      </c>
      <c r="U1952" s="586"/>
      <c r="V1952" s="564">
        <v>0</v>
      </c>
      <c r="W1952" s="564">
        <v>0</v>
      </c>
      <c r="X1952" s="650"/>
      <c r="Y1952" s="586"/>
      <c r="Z1952" s="742"/>
      <c r="AA1952" s="586"/>
      <c r="AB1952" s="586"/>
      <c r="AC1952" s="586"/>
      <c r="AD1952" s="586"/>
      <c r="AE1952" s="714"/>
      <c r="AF1952" s="570" t="s">
        <v>2899</v>
      </c>
      <c r="AG1952" s="570" t="s">
        <v>25</v>
      </c>
      <c r="AH1952" s="571" t="s">
        <v>25</v>
      </c>
      <c r="AI1952" s="586"/>
      <c r="AJ1952" s="586"/>
    </row>
    <row r="1953" spans="1:36" s="394" customFormat="1" ht="60.75" outlineLevel="2" x14ac:dyDescent="0.3">
      <c r="A1953" s="447">
        <v>165</v>
      </c>
      <c r="B1953" s="572"/>
      <c r="C1953" s="572"/>
      <c r="D1953" s="612"/>
      <c r="E1953" s="612"/>
      <c r="F1953" s="586"/>
      <c r="G1953" s="709"/>
      <c r="H1953" s="546"/>
      <c r="I1953" s="563" t="s">
        <v>25</v>
      </c>
      <c r="J1953" s="563" t="s">
        <v>25</v>
      </c>
      <c r="K1953" s="564" t="s">
        <v>25</v>
      </c>
      <c r="L1953" s="564" t="s">
        <v>25</v>
      </c>
      <c r="M1953" s="572"/>
      <c r="N1953" s="572"/>
      <c r="O1953" s="740"/>
      <c r="P1953" s="564" t="s">
        <v>25</v>
      </c>
      <c r="Q1953" s="564" t="s">
        <v>25</v>
      </c>
      <c r="R1953" s="566" t="s">
        <v>1918</v>
      </c>
      <c r="S1953" s="609" t="s">
        <v>1133</v>
      </c>
      <c r="T1953" s="741">
        <v>11.729999999999999</v>
      </c>
      <c r="U1953" s="586"/>
      <c r="V1953" s="564">
        <v>0</v>
      </c>
      <c r="W1953" s="564">
        <v>0</v>
      </c>
      <c r="X1953" s="650"/>
      <c r="Y1953" s="586"/>
      <c r="Z1953" s="742"/>
      <c r="AA1953" s="586"/>
      <c r="AB1953" s="586"/>
      <c r="AC1953" s="586"/>
      <c r="AD1953" s="586"/>
      <c r="AE1953" s="714"/>
      <c r="AF1953" s="570" t="s">
        <v>2899</v>
      </c>
      <c r="AG1953" s="570" t="s">
        <v>25</v>
      </c>
      <c r="AH1953" s="571" t="s">
        <v>25</v>
      </c>
      <c r="AI1953" s="586"/>
      <c r="AJ1953" s="586"/>
    </row>
    <row r="1954" spans="1:36" s="394" customFormat="1" ht="60.75" outlineLevel="2" x14ac:dyDescent="0.3">
      <c r="A1954" s="447">
        <v>165</v>
      </c>
      <c r="B1954" s="572"/>
      <c r="C1954" s="572"/>
      <c r="D1954" s="612"/>
      <c r="E1954" s="612"/>
      <c r="F1954" s="586"/>
      <c r="G1954" s="709"/>
      <c r="H1954" s="546"/>
      <c r="I1954" s="563" t="s">
        <v>25</v>
      </c>
      <c r="J1954" s="563" t="s">
        <v>25</v>
      </c>
      <c r="K1954" s="564" t="s">
        <v>25</v>
      </c>
      <c r="L1954" s="564" t="s">
        <v>25</v>
      </c>
      <c r="M1954" s="572"/>
      <c r="N1954" s="572"/>
      <c r="O1954" s="740"/>
      <c r="P1954" s="564" t="s">
        <v>25</v>
      </c>
      <c r="Q1954" s="564" t="s">
        <v>25</v>
      </c>
      <c r="R1954" s="566" t="s">
        <v>1965</v>
      </c>
      <c r="S1954" s="609" t="s">
        <v>1133</v>
      </c>
      <c r="T1954" s="741">
        <v>2.16</v>
      </c>
      <c r="U1954" s="586"/>
      <c r="V1954" s="564">
        <v>0</v>
      </c>
      <c r="W1954" s="564">
        <v>0</v>
      </c>
      <c r="X1954" s="650"/>
      <c r="Y1954" s="586"/>
      <c r="Z1954" s="742"/>
      <c r="AA1954" s="586"/>
      <c r="AB1954" s="586"/>
      <c r="AC1954" s="586"/>
      <c r="AD1954" s="586"/>
      <c r="AE1954" s="714"/>
      <c r="AF1954" s="570" t="s">
        <v>2899</v>
      </c>
      <c r="AG1954" s="570" t="s">
        <v>25</v>
      </c>
      <c r="AH1954" s="571" t="s">
        <v>25</v>
      </c>
      <c r="AI1954" s="586"/>
      <c r="AJ1954" s="586"/>
    </row>
    <row r="1955" spans="1:36" s="394" customFormat="1" ht="20.25" outlineLevel="2" x14ac:dyDescent="0.3">
      <c r="A1955" s="447">
        <v>165</v>
      </c>
      <c r="B1955" s="572"/>
      <c r="C1955" s="572"/>
      <c r="D1955" s="612"/>
      <c r="E1955" s="612"/>
      <c r="F1955" s="586"/>
      <c r="G1955" s="709"/>
      <c r="H1955" s="546"/>
      <c r="I1955" s="563" t="s">
        <v>25</v>
      </c>
      <c r="J1955" s="563" t="s">
        <v>25</v>
      </c>
      <c r="K1955" s="564" t="s">
        <v>25</v>
      </c>
      <c r="L1955" s="564" t="s">
        <v>25</v>
      </c>
      <c r="M1955" s="572"/>
      <c r="N1955" s="572"/>
      <c r="O1955" s="740"/>
      <c r="P1955" s="564" t="s">
        <v>25</v>
      </c>
      <c r="Q1955" s="564" t="s">
        <v>25</v>
      </c>
      <c r="R1955" s="566"/>
      <c r="S1955" s="609"/>
      <c r="T1955" s="741"/>
      <c r="U1955" s="586"/>
      <c r="V1955" s="564" t="s">
        <v>2899</v>
      </c>
      <c r="W1955" s="564" t="s">
        <v>25</v>
      </c>
      <c r="X1955" s="650"/>
      <c r="Y1955" s="586"/>
      <c r="Z1955" s="742"/>
      <c r="AA1955" s="586"/>
      <c r="AB1955" s="586"/>
      <c r="AC1955" s="586"/>
      <c r="AD1955" s="586"/>
      <c r="AE1955" s="714"/>
      <c r="AF1955" s="570" t="s">
        <v>2899</v>
      </c>
      <c r="AG1955" s="570" t="s">
        <v>25</v>
      </c>
      <c r="AH1955" s="571" t="s">
        <v>25</v>
      </c>
      <c r="AI1955" s="586"/>
      <c r="AJ1955" s="586"/>
    </row>
    <row r="1956" spans="1:36" s="394" customFormat="1" ht="20.25" outlineLevel="2" x14ac:dyDescent="0.3">
      <c r="A1956" s="447">
        <v>165</v>
      </c>
      <c r="B1956" s="572"/>
      <c r="C1956" s="572"/>
      <c r="D1956" s="612"/>
      <c r="E1956" s="612"/>
      <c r="F1956" s="586"/>
      <c r="G1956" s="709"/>
      <c r="H1956" s="546"/>
      <c r="I1956" s="563" t="s">
        <v>25</v>
      </c>
      <c r="J1956" s="563" t="s">
        <v>25</v>
      </c>
      <c r="K1956" s="564" t="s">
        <v>25</v>
      </c>
      <c r="L1956" s="564" t="s">
        <v>25</v>
      </c>
      <c r="M1956" s="572"/>
      <c r="N1956" s="572"/>
      <c r="O1956" s="740"/>
      <c r="P1956" s="564" t="s">
        <v>25</v>
      </c>
      <c r="Q1956" s="564" t="s">
        <v>25</v>
      </c>
      <c r="R1956" s="566"/>
      <c r="S1956" s="609"/>
      <c r="T1956" s="741"/>
      <c r="U1956" s="586"/>
      <c r="V1956" s="564" t="s">
        <v>2899</v>
      </c>
      <c r="W1956" s="564" t="s">
        <v>25</v>
      </c>
      <c r="X1956" s="650"/>
      <c r="Y1956" s="586"/>
      <c r="Z1956" s="742"/>
      <c r="AA1956" s="586"/>
      <c r="AB1956" s="586"/>
      <c r="AC1956" s="586"/>
      <c r="AD1956" s="586"/>
      <c r="AE1956" s="714"/>
      <c r="AF1956" s="570" t="s">
        <v>2899</v>
      </c>
      <c r="AG1956" s="570" t="s">
        <v>25</v>
      </c>
      <c r="AH1956" s="571" t="s">
        <v>25</v>
      </c>
      <c r="AI1956" s="586"/>
      <c r="AJ1956" s="586"/>
    </row>
    <row r="1957" spans="1:36" s="394" customFormat="1" ht="20.25" outlineLevel="2" x14ac:dyDescent="0.3">
      <c r="A1957" s="447">
        <v>165</v>
      </c>
      <c r="B1957" s="572"/>
      <c r="C1957" s="572"/>
      <c r="D1957" s="612"/>
      <c r="E1957" s="612"/>
      <c r="F1957" s="586"/>
      <c r="G1957" s="709"/>
      <c r="H1957" s="546"/>
      <c r="I1957" s="563" t="s">
        <v>25</v>
      </c>
      <c r="J1957" s="563" t="s">
        <v>25</v>
      </c>
      <c r="K1957" s="564" t="s">
        <v>25</v>
      </c>
      <c r="L1957" s="564" t="s">
        <v>25</v>
      </c>
      <c r="M1957" s="572"/>
      <c r="N1957" s="572"/>
      <c r="O1957" s="740"/>
      <c r="P1957" s="564" t="s">
        <v>25</v>
      </c>
      <c r="Q1957" s="564" t="s">
        <v>25</v>
      </c>
      <c r="R1957" s="566"/>
      <c r="S1957" s="609"/>
      <c r="T1957" s="741"/>
      <c r="U1957" s="586"/>
      <c r="V1957" s="564" t="s">
        <v>2899</v>
      </c>
      <c r="W1957" s="564" t="s">
        <v>25</v>
      </c>
      <c r="X1957" s="650"/>
      <c r="Y1957" s="586"/>
      <c r="Z1957" s="742"/>
      <c r="AA1957" s="586"/>
      <c r="AB1957" s="586"/>
      <c r="AC1957" s="586"/>
      <c r="AD1957" s="586"/>
      <c r="AE1957" s="714"/>
      <c r="AF1957" s="570" t="s">
        <v>2899</v>
      </c>
      <c r="AG1957" s="570" t="s">
        <v>25</v>
      </c>
      <c r="AH1957" s="571" t="s">
        <v>25</v>
      </c>
      <c r="AI1957" s="586"/>
      <c r="AJ1957" s="586"/>
    </row>
    <row r="1958" spans="1:36" s="394" customFormat="1" ht="20.25" outlineLevel="2" x14ac:dyDescent="0.3">
      <c r="A1958" s="447">
        <v>165</v>
      </c>
      <c r="B1958" s="607"/>
      <c r="C1958" s="607"/>
      <c r="D1958" s="642"/>
      <c r="E1958" s="642"/>
      <c r="F1958" s="586"/>
      <c r="G1958" s="709"/>
      <c r="H1958" s="546"/>
      <c r="I1958" s="563" t="s">
        <v>25</v>
      </c>
      <c r="J1958" s="563" t="s">
        <v>25</v>
      </c>
      <c r="K1958" s="564" t="s">
        <v>25</v>
      </c>
      <c r="L1958" s="564" t="s">
        <v>25</v>
      </c>
      <c r="M1958" s="572"/>
      <c r="N1958" s="572"/>
      <c r="O1958" s="740"/>
      <c r="P1958" s="564" t="s">
        <v>25</v>
      </c>
      <c r="Q1958" s="564" t="s">
        <v>25</v>
      </c>
      <c r="R1958" s="566"/>
      <c r="S1958" s="609"/>
      <c r="T1958" s="741"/>
      <c r="U1958" s="586"/>
      <c r="V1958" s="564" t="s">
        <v>2899</v>
      </c>
      <c r="W1958" s="564" t="s">
        <v>25</v>
      </c>
      <c r="X1958" s="650"/>
      <c r="Y1958" s="586"/>
      <c r="Z1958" s="742"/>
      <c r="AA1958" s="586"/>
      <c r="AB1958" s="586"/>
      <c r="AC1958" s="586"/>
      <c r="AD1958" s="586"/>
      <c r="AE1958" s="714"/>
      <c r="AF1958" s="570" t="s">
        <v>2899</v>
      </c>
      <c r="AG1958" s="570" t="s">
        <v>25</v>
      </c>
      <c r="AH1958" s="571" t="s">
        <v>25</v>
      </c>
      <c r="AI1958" s="586"/>
      <c r="AJ1958" s="586"/>
    </row>
    <row r="1959" spans="1:36" s="394" customFormat="1" ht="40.5" outlineLevel="1" x14ac:dyDescent="0.25">
      <c r="A1959" s="467">
        <v>166</v>
      </c>
      <c r="B1959" s="607" t="s">
        <v>1358</v>
      </c>
      <c r="C1959" s="586" t="s">
        <v>2903</v>
      </c>
      <c r="D1959" s="612">
        <v>86</v>
      </c>
      <c r="E1959" s="612">
        <v>220</v>
      </c>
      <c r="F1959" s="578"/>
      <c r="G1959" s="707">
        <v>95</v>
      </c>
      <c r="H1959" s="579">
        <v>0</v>
      </c>
      <c r="I1959" s="581"/>
      <c r="J1959" s="581"/>
      <c r="K1959" s="571">
        <v>50520000</v>
      </c>
      <c r="L1959" s="571">
        <v>0</v>
      </c>
      <c r="M1959" s="607"/>
      <c r="N1959" s="607"/>
      <c r="O1959" s="738">
        <v>0</v>
      </c>
      <c r="P1959" s="571"/>
      <c r="Q1959" s="571">
        <v>0</v>
      </c>
      <c r="R1959" s="582"/>
      <c r="S1959" s="621"/>
      <c r="T1959" s="739">
        <v>109.8</v>
      </c>
      <c r="U1959" s="578"/>
      <c r="V1959" s="571"/>
      <c r="W1959" s="571">
        <v>360340000</v>
      </c>
      <c r="X1959" s="661"/>
      <c r="Y1959" s="683"/>
      <c r="Z1959" s="683"/>
      <c r="AA1959" s="694"/>
      <c r="AB1959" s="683"/>
      <c r="AC1959" s="683"/>
      <c r="AD1959" s="695"/>
      <c r="AE1959" s="599">
        <f>SUBTOTAL(9,AE1960:AE1966)</f>
        <v>2</v>
      </c>
      <c r="AF1959" s="585"/>
      <c r="AG1959" s="585">
        <v>18000000</v>
      </c>
      <c r="AH1959" s="571">
        <v>428860000</v>
      </c>
      <c r="AI1959" s="578"/>
      <c r="AJ1959" s="578"/>
    </row>
    <row r="1960" spans="1:36" s="394" customFormat="1" ht="121.5" outlineLevel="2" x14ac:dyDescent="0.3">
      <c r="A1960" s="447">
        <v>166</v>
      </c>
      <c r="B1960" s="572" t="s">
        <v>1360</v>
      </c>
      <c r="C1960" s="572"/>
      <c r="D1960" s="612"/>
      <c r="E1960" s="612"/>
      <c r="F1960" s="586" t="s">
        <v>2455</v>
      </c>
      <c r="G1960" s="709">
        <v>95</v>
      </c>
      <c r="H1960" s="546" t="s">
        <v>2899</v>
      </c>
      <c r="I1960" s="563">
        <v>531787.19999999995</v>
      </c>
      <c r="J1960" s="563">
        <v>0</v>
      </c>
      <c r="K1960" s="564">
        <v>50520000</v>
      </c>
      <c r="L1960" s="564">
        <v>0</v>
      </c>
      <c r="M1960" s="572"/>
      <c r="N1960" s="572"/>
      <c r="O1960" s="740"/>
      <c r="P1960" s="564" t="s">
        <v>25</v>
      </c>
      <c r="Q1960" s="564" t="s">
        <v>25</v>
      </c>
      <c r="R1960" s="566" t="s">
        <v>1838</v>
      </c>
      <c r="S1960" s="609" t="s">
        <v>1133</v>
      </c>
      <c r="T1960" s="741">
        <v>87.36</v>
      </c>
      <c r="U1960" s="586"/>
      <c r="V1960" s="564">
        <v>3156089</v>
      </c>
      <c r="W1960" s="564">
        <v>275716000</v>
      </c>
      <c r="X1960" s="661" t="s">
        <v>1138</v>
      </c>
      <c r="Y1960" s="683" t="s">
        <v>1139</v>
      </c>
      <c r="Z1960" s="683" t="s">
        <v>56</v>
      </c>
      <c r="AA1960" s="694" t="s">
        <v>269</v>
      </c>
      <c r="AB1960" s="683" t="s">
        <v>1138</v>
      </c>
      <c r="AC1960" s="683"/>
      <c r="AD1960" s="694" t="s">
        <v>2137</v>
      </c>
      <c r="AE1960" s="590">
        <v>1</v>
      </c>
      <c r="AF1960" s="570">
        <v>5000000</v>
      </c>
      <c r="AG1960" s="570">
        <v>5000000</v>
      </c>
      <c r="AH1960" s="571" t="s">
        <v>25</v>
      </c>
      <c r="AI1960" s="586" t="s">
        <v>1359</v>
      </c>
      <c r="AJ1960" s="586" t="s">
        <v>2771</v>
      </c>
    </row>
    <row r="1961" spans="1:36" s="394" customFormat="1" ht="121.5" outlineLevel="2" x14ac:dyDescent="0.3">
      <c r="A1961" s="447">
        <v>166</v>
      </c>
      <c r="B1961" s="572" t="s">
        <v>1620</v>
      </c>
      <c r="C1961" s="572"/>
      <c r="D1961" s="612"/>
      <c r="E1961" s="612"/>
      <c r="F1961" s="586"/>
      <c r="G1961" s="709"/>
      <c r="H1961" s="546"/>
      <c r="I1961" s="563" t="s">
        <v>25</v>
      </c>
      <c r="J1961" s="563" t="s">
        <v>25</v>
      </c>
      <c r="K1961" s="564" t="s">
        <v>25</v>
      </c>
      <c r="L1961" s="564" t="s">
        <v>25</v>
      </c>
      <c r="M1961" s="572"/>
      <c r="N1961" s="572"/>
      <c r="O1961" s="740"/>
      <c r="P1961" s="564" t="s">
        <v>25</v>
      </c>
      <c r="Q1961" s="564" t="s">
        <v>25</v>
      </c>
      <c r="R1961" s="566" t="s">
        <v>2385</v>
      </c>
      <c r="S1961" s="609" t="s">
        <v>1133</v>
      </c>
      <c r="T1961" s="741">
        <v>8.64</v>
      </c>
      <c r="U1961" s="586"/>
      <c r="V1961" s="564">
        <v>9028527</v>
      </c>
      <c r="W1961" s="564">
        <v>78006000</v>
      </c>
      <c r="X1961" s="650"/>
      <c r="Y1961" s="586"/>
      <c r="Z1961" s="742"/>
      <c r="AA1961" s="586"/>
      <c r="AB1961" s="586"/>
      <c r="AC1961" s="586"/>
      <c r="AD1961" s="569"/>
      <c r="AE1961" s="563"/>
      <c r="AF1961" s="570"/>
      <c r="AG1961" s="570"/>
      <c r="AH1961" s="571" t="s">
        <v>25</v>
      </c>
      <c r="AI1961" s="586" t="s">
        <v>1362</v>
      </c>
      <c r="AJ1961" s="558" t="s">
        <v>2450</v>
      </c>
    </row>
    <row r="1962" spans="1:36" s="394" customFormat="1" ht="101.25" outlineLevel="2" x14ac:dyDescent="0.3">
      <c r="A1962" s="447">
        <v>166</v>
      </c>
      <c r="B1962" s="572"/>
      <c r="C1962" s="572"/>
      <c r="D1962" s="612"/>
      <c r="E1962" s="612"/>
      <c r="F1962" s="586"/>
      <c r="G1962" s="709"/>
      <c r="H1962" s="546"/>
      <c r="I1962" s="563" t="s">
        <v>25</v>
      </c>
      <c r="J1962" s="563" t="s">
        <v>25</v>
      </c>
      <c r="K1962" s="564" t="s">
        <v>25</v>
      </c>
      <c r="L1962" s="564" t="s">
        <v>25</v>
      </c>
      <c r="M1962" s="572"/>
      <c r="N1962" s="572"/>
      <c r="O1962" s="740"/>
      <c r="P1962" s="564" t="s">
        <v>25</v>
      </c>
      <c r="Q1962" s="564" t="s">
        <v>25</v>
      </c>
      <c r="R1962" s="572" t="s">
        <v>1945</v>
      </c>
      <c r="S1962" s="609" t="s">
        <v>1133</v>
      </c>
      <c r="T1962" s="741">
        <v>5.7</v>
      </c>
      <c r="U1962" s="586"/>
      <c r="V1962" s="564">
        <v>770070</v>
      </c>
      <c r="W1962" s="564">
        <v>4389000</v>
      </c>
      <c r="X1962" s="650"/>
      <c r="Y1962" s="586"/>
      <c r="Z1962" s="742"/>
      <c r="AA1962" s="586"/>
      <c r="AB1962" s="586"/>
      <c r="AC1962" s="586"/>
      <c r="AD1962" s="569" t="s">
        <v>2789</v>
      </c>
      <c r="AE1962" s="590">
        <v>1</v>
      </c>
      <c r="AF1962" s="570">
        <v>13000000</v>
      </c>
      <c r="AG1962" s="570">
        <v>13000000</v>
      </c>
      <c r="AH1962" s="571" t="s">
        <v>25</v>
      </c>
      <c r="AI1962" s="586" t="s">
        <v>1199</v>
      </c>
      <c r="AJ1962" s="586" t="s">
        <v>2447</v>
      </c>
    </row>
    <row r="1963" spans="1:36" s="394" customFormat="1" ht="81" outlineLevel="2" x14ac:dyDescent="0.3">
      <c r="A1963" s="447">
        <v>166</v>
      </c>
      <c r="B1963" s="572"/>
      <c r="C1963" s="572"/>
      <c r="D1963" s="612"/>
      <c r="E1963" s="612"/>
      <c r="F1963" s="586"/>
      <c r="G1963" s="709"/>
      <c r="H1963" s="546"/>
      <c r="I1963" s="563" t="s">
        <v>25</v>
      </c>
      <c r="J1963" s="563" t="s">
        <v>25</v>
      </c>
      <c r="K1963" s="564" t="s">
        <v>25</v>
      </c>
      <c r="L1963" s="564" t="s">
        <v>25</v>
      </c>
      <c r="M1963" s="572"/>
      <c r="N1963" s="572"/>
      <c r="O1963" s="740"/>
      <c r="P1963" s="564" t="s">
        <v>25</v>
      </c>
      <c r="Q1963" s="564" t="s">
        <v>25</v>
      </c>
      <c r="R1963" s="572" t="s">
        <v>1799</v>
      </c>
      <c r="S1963" s="609" t="s">
        <v>1133</v>
      </c>
      <c r="T1963" s="741">
        <v>8.1</v>
      </c>
      <c r="U1963" s="586"/>
      <c r="V1963" s="564">
        <v>275180</v>
      </c>
      <c r="W1963" s="564">
        <v>2229000</v>
      </c>
      <c r="X1963" s="650"/>
      <c r="Y1963" s="586"/>
      <c r="Z1963" s="742"/>
      <c r="AA1963" s="586"/>
      <c r="AB1963" s="586"/>
      <c r="AC1963" s="586"/>
      <c r="AD1963" s="606"/>
      <c r="AE1963" s="590"/>
      <c r="AF1963" s="570" t="s">
        <v>2899</v>
      </c>
      <c r="AG1963" s="570" t="s">
        <v>25</v>
      </c>
      <c r="AH1963" s="571" t="s">
        <v>25</v>
      </c>
      <c r="AI1963" s="586"/>
      <c r="AJ1963" s="586" t="s">
        <v>2451</v>
      </c>
    </row>
    <row r="1964" spans="1:36" s="394" customFormat="1" ht="101.25" outlineLevel="2" x14ac:dyDescent="0.3">
      <c r="A1964" s="447">
        <v>166</v>
      </c>
      <c r="B1964" s="572"/>
      <c r="C1964" s="572"/>
      <c r="D1964" s="612"/>
      <c r="E1964" s="612"/>
      <c r="F1964" s="586"/>
      <c r="G1964" s="709"/>
      <c r="H1964" s="546"/>
      <c r="I1964" s="563" t="s">
        <v>25</v>
      </c>
      <c r="J1964" s="563" t="s">
        <v>25</v>
      </c>
      <c r="K1964" s="564" t="s">
        <v>25</v>
      </c>
      <c r="L1964" s="564" t="s">
        <v>25</v>
      </c>
      <c r="M1964" s="572"/>
      <c r="N1964" s="572"/>
      <c r="O1964" s="740"/>
      <c r="P1964" s="564" t="s">
        <v>25</v>
      </c>
      <c r="Q1964" s="564" t="s">
        <v>25</v>
      </c>
      <c r="R1964" s="572"/>
      <c r="S1964" s="609"/>
      <c r="T1964" s="741"/>
      <c r="U1964" s="586"/>
      <c r="V1964" s="564" t="s">
        <v>2899</v>
      </c>
      <c r="W1964" s="564" t="s">
        <v>25</v>
      </c>
      <c r="X1964" s="650"/>
      <c r="Y1964" s="586"/>
      <c r="Z1964" s="742"/>
      <c r="AA1964" s="586"/>
      <c r="AB1964" s="586"/>
      <c r="AC1964" s="586"/>
      <c r="AD1964" s="586"/>
      <c r="AE1964" s="714"/>
      <c r="AF1964" s="570" t="s">
        <v>2899</v>
      </c>
      <c r="AG1964" s="570" t="s">
        <v>25</v>
      </c>
      <c r="AH1964" s="571" t="s">
        <v>25</v>
      </c>
      <c r="AI1964" s="586"/>
      <c r="AJ1964" s="586" t="s">
        <v>2800</v>
      </c>
    </row>
    <row r="1965" spans="1:36" s="394" customFormat="1" ht="20.25" outlineLevel="2" x14ac:dyDescent="0.3">
      <c r="A1965" s="447">
        <v>166</v>
      </c>
      <c r="B1965" s="572"/>
      <c r="C1965" s="572"/>
      <c r="D1965" s="612"/>
      <c r="E1965" s="612"/>
      <c r="F1965" s="586"/>
      <c r="G1965" s="709"/>
      <c r="H1965" s="546"/>
      <c r="I1965" s="563" t="s">
        <v>25</v>
      </c>
      <c r="J1965" s="563" t="s">
        <v>25</v>
      </c>
      <c r="K1965" s="564" t="s">
        <v>25</v>
      </c>
      <c r="L1965" s="564" t="s">
        <v>25</v>
      </c>
      <c r="M1965" s="572"/>
      <c r="N1965" s="572"/>
      <c r="O1965" s="740"/>
      <c r="P1965" s="564" t="s">
        <v>25</v>
      </c>
      <c r="Q1965" s="564" t="s">
        <v>25</v>
      </c>
      <c r="R1965" s="572"/>
      <c r="S1965" s="609"/>
      <c r="T1965" s="741"/>
      <c r="U1965" s="586"/>
      <c r="V1965" s="564" t="s">
        <v>2899</v>
      </c>
      <c r="W1965" s="564" t="s">
        <v>25</v>
      </c>
      <c r="X1965" s="650"/>
      <c r="Y1965" s="586"/>
      <c r="Z1965" s="742"/>
      <c r="AA1965" s="586"/>
      <c r="AB1965" s="586"/>
      <c r="AC1965" s="586"/>
      <c r="AD1965" s="586"/>
      <c r="AE1965" s="714"/>
      <c r="AF1965" s="570" t="s">
        <v>2899</v>
      </c>
      <c r="AG1965" s="570" t="s">
        <v>25</v>
      </c>
      <c r="AH1965" s="571" t="s">
        <v>25</v>
      </c>
      <c r="AI1965" s="558"/>
      <c r="AJ1965" s="558"/>
    </row>
    <row r="1966" spans="1:36" s="394" customFormat="1" ht="20.25" outlineLevel="2" x14ac:dyDescent="0.3">
      <c r="A1966" s="447">
        <v>166</v>
      </c>
      <c r="B1966" s="607"/>
      <c r="C1966" s="607"/>
      <c r="D1966" s="642"/>
      <c r="E1966" s="642"/>
      <c r="F1966" s="586"/>
      <c r="G1966" s="709"/>
      <c r="H1966" s="546"/>
      <c r="I1966" s="563" t="s">
        <v>25</v>
      </c>
      <c r="J1966" s="563" t="s">
        <v>25</v>
      </c>
      <c r="K1966" s="564" t="s">
        <v>25</v>
      </c>
      <c r="L1966" s="564" t="s">
        <v>25</v>
      </c>
      <c r="M1966" s="572"/>
      <c r="N1966" s="572"/>
      <c r="O1966" s="740"/>
      <c r="P1966" s="564" t="s">
        <v>25</v>
      </c>
      <c r="Q1966" s="564" t="s">
        <v>25</v>
      </c>
      <c r="R1966" s="572"/>
      <c r="S1966" s="609"/>
      <c r="T1966" s="741"/>
      <c r="U1966" s="586"/>
      <c r="V1966" s="564" t="s">
        <v>2899</v>
      </c>
      <c r="W1966" s="564" t="s">
        <v>25</v>
      </c>
      <c r="X1966" s="650"/>
      <c r="Y1966" s="586"/>
      <c r="Z1966" s="742"/>
      <c r="AA1966" s="586"/>
      <c r="AB1966" s="586"/>
      <c r="AC1966" s="586"/>
      <c r="AD1966" s="586"/>
      <c r="AE1966" s="714"/>
      <c r="AF1966" s="570" t="s">
        <v>2899</v>
      </c>
      <c r="AG1966" s="570" t="s">
        <v>25</v>
      </c>
      <c r="AH1966" s="571" t="s">
        <v>25</v>
      </c>
      <c r="AI1966" s="586"/>
      <c r="AJ1966" s="586"/>
    </row>
    <row r="1967" spans="1:36" s="396" customFormat="1" ht="40.5" outlineLevel="1" x14ac:dyDescent="0.25">
      <c r="A1967" s="467">
        <v>167</v>
      </c>
      <c r="B1967" s="607" t="s">
        <v>1363</v>
      </c>
      <c r="C1967" s="586" t="s">
        <v>2903</v>
      </c>
      <c r="D1967" s="612">
        <v>86</v>
      </c>
      <c r="E1967" s="612" t="s">
        <v>2180</v>
      </c>
      <c r="F1967" s="578"/>
      <c r="G1967" s="707">
        <v>89.9</v>
      </c>
      <c r="H1967" s="579">
        <v>45.8</v>
      </c>
      <c r="I1967" s="581"/>
      <c r="J1967" s="581"/>
      <c r="K1967" s="571">
        <v>41857000</v>
      </c>
      <c r="L1967" s="571">
        <v>63973000</v>
      </c>
      <c r="M1967" s="607"/>
      <c r="N1967" s="607"/>
      <c r="O1967" s="738">
        <v>0</v>
      </c>
      <c r="P1967" s="571"/>
      <c r="Q1967" s="571">
        <v>0</v>
      </c>
      <c r="R1967" s="607"/>
      <c r="S1967" s="621"/>
      <c r="T1967" s="739">
        <v>0</v>
      </c>
      <c r="U1967" s="578"/>
      <c r="V1967" s="571"/>
      <c r="W1967" s="571">
        <v>0</v>
      </c>
      <c r="X1967" s="650"/>
      <c r="Y1967" s="586"/>
      <c r="Z1967" s="742"/>
      <c r="AA1967" s="586"/>
      <c r="AB1967" s="586"/>
      <c r="AC1967" s="586"/>
      <c r="AD1967" s="578"/>
      <c r="AE1967" s="712">
        <f>SUBTOTAL(9,AE1968:AE1972)</f>
        <v>0</v>
      </c>
      <c r="AF1967" s="585"/>
      <c r="AG1967" s="585">
        <v>0</v>
      </c>
      <c r="AH1967" s="571">
        <v>105830000</v>
      </c>
      <c r="AI1967" s="574"/>
      <c r="AJ1967" s="578"/>
    </row>
    <row r="1968" spans="1:36" s="396" customFormat="1" ht="246.75" outlineLevel="2" x14ac:dyDescent="0.3">
      <c r="A1968" s="447">
        <v>167</v>
      </c>
      <c r="B1968" s="572" t="s">
        <v>1366</v>
      </c>
      <c r="C1968" s="572"/>
      <c r="D1968" s="612"/>
      <c r="E1968" s="612"/>
      <c r="F1968" s="586" t="s">
        <v>2438</v>
      </c>
      <c r="G1968" s="709">
        <v>45.8</v>
      </c>
      <c r="H1968" s="546">
        <v>45.8</v>
      </c>
      <c r="I1968" s="563">
        <v>465600</v>
      </c>
      <c r="J1968" s="563">
        <v>1396800</v>
      </c>
      <c r="K1968" s="564">
        <v>21324000</v>
      </c>
      <c r="L1968" s="564">
        <v>63973000</v>
      </c>
      <c r="M1968" s="572"/>
      <c r="N1968" s="572"/>
      <c r="O1968" s="740"/>
      <c r="P1968" s="564"/>
      <c r="Q1968" s="564"/>
      <c r="R1968" s="572"/>
      <c r="S1968" s="609"/>
      <c r="T1968" s="741"/>
      <c r="U1968" s="586"/>
      <c r="V1968" s="564" t="s">
        <v>2899</v>
      </c>
      <c r="W1968" s="564" t="s">
        <v>25</v>
      </c>
      <c r="X1968" s="650"/>
      <c r="Y1968" s="586"/>
      <c r="Z1968" s="742"/>
      <c r="AA1968" s="586"/>
      <c r="AB1968" s="586"/>
      <c r="AC1968" s="586"/>
      <c r="AD1968" s="586"/>
      <c r="AE1968" s="714"/>
      <c r="AF1968" s="570" t="s">
        <v>2899</v>
      </c>
      <c r="AG1968" s="570"/>
      <c r="AH1968" s="571" t="s">
        <v>25</v>
      </c>
      <c r="AI1968" s="558" t="s">
        <v>2848</v>
      </c>
      <c r="AJ1968" s="586" t="s">
        <v>2771</v>
      </c>
    </row>
    <row r="1969" spans="1:36" s="394" customFormat="1" ht="81" outlineLevel="2" x14ac:dyDescent="0.3">
      <c r="A1969" s="447">
        <v>167</v>
      </c>
      <c r="B1969" s="572" t="s">
        <v>1621</v>
      </c>
      <c r="C1969" s="572"/>
      <c r="D1969" s="612"/>
      <c r="E1969" s="612"/>
      <c r="F1969" s="586" t="s">
        <v>2434</v>
      </c>
      <c r="G1969" s="709">
        <v>44.1</v>
      </c>
      <c r="H1969" s="546" t="s">
        <v>2899</v>
      </c>
      <c r="I1969" s="563">
        <v>465600</v>
      </c>
      <c r="J1969" s="563">
        <v>0</v>
      </c>
      <c r="K1969" s="564">
        <v>20533000</v>
      </c>
      <c r="L1969" s="564">
        <v>0</v>
      </c>
      <c r="M1969" s="572"/>
      <c r="N1969" s="572"/>
      <c r="O1969" s="740"/>
      <c r="P1969" s="564"/>
      <c r="Q1969" s="564"/>
      <c r="R1969" s="572"/>
      <c r="S1969" s="609"/>
      <c r="T1969" s="741"/>
      <c r="U1969" s="586"/>
      <c r="V1969" s="564" t="s">
        <v>2899</v>
      </c>
      <c r="W1969" s="564" t="s">
        <v>25</v>
      </c>
      <c r="X1969" s="650"/>
      <c r="Y1969" s="586"/>
      <c r="Z1969" s="742"/>
      <c r="AA1969" s="586"/>
      <c r="AB1969" s="586"/>
      <c r="AC1969" s="586"/>
      <c r="AD1969" s="586"/>
      <c r="AE1969" s="714"/>
      <c r="AF1969" s="570" t="s">
        <v>2899</v>
      </c>
      <c r="AG1969" s="570"/>
      <c r="AH1969" s="571" t="s">
        <v>25</v>
      </c>
      <c r="AI1969" s="586" t="s">
        <v>2074</v>
      </c>
      <c r="AJ1969" s="605" t="s">
        <v>2448</v>
      </c>
    </row>
    <row r="1970" spans="1:36" s="394" customFormat="1" ht="20.25" outlineLevel="2" x14ac:dyDescent="0.3">
      <c r="A1970" s="447">
        <v>167</v>
      </c>
      <c r="B1970" s="572"/>
      <c r="C1970" s="572"/>
      <c r="D1970" s="612"/>
      <c r="E1970" s="612"/>
      <c r="F1970" s="586"/>
      <c r="G1970" s="709"/>
      <c r="H1970" s="546"/>
      <c r="I1970" s="563" t="s">
        <v>25</v>
      </c>
      <c r="J1970" s="563" t="s">
        <v>25</v>
      </c>
      <c r="K1970" s="564" t="s">
        <v>25</v>
      </c>
      <c r="L1970" s="564" t="s">
        <v>25</v>
      </c>
      <c r="M1970" s="572"/>
      <c r="N1970" s="572"/>
      <c r="O1970" s="740"/>
      <c r="P1970" s="564"/>
      <c r="Q1970" s="564"/>
      <c r="R1970" s="572"/>
      <c r="S1970" s="609"/>
      <c r="T1970" s="741"/>
      <c r="U1970" s="586"/>
      <c r="V1970" s="564" t="s">
        <v>2899</v>
      </c>
      <c r="W1970" s="564" t="s">
        <v>25</v>
      </c>
      <c r="X1970" s="650"/>
      <c r="Y1970" s="586"/>
      <c r="Z1970" s="742"/>
      <c r="AA1970" s="586"/>
      <c r="AB1970" s="586"/>
      <c r="AC1970" s="586"/>
      <c r="AD1970" s="586"/>
      <c r="AE1970" s="714"/>
      <c r="AF1970" s="570" t="s">
        <v>2899</v>
      </c>
      <c r="AG1970" s="570"/>
      <c r="AH1970" s="571" t="s">
        <v>25</v>
      </c>
      <c r="AI1970" s="586"/>
      <c r="AJ1970" s="586"/>
    </row>
    <row r="1971" spans="1:36" s="394" customFormat="1" ht="20.25" outlineLevel="2" x14ac:dyDescent="0.3">
      <c r="A1971" s="447">
        <v>167</v>
      </c>
      <c r="B1971" s="572"/>
      <c r="C1971" s="572"/>
      <c r="D1971" s="612"/>
      <c r="E1971" s="612"/>
      <c r="F1971" s="586"/>
      <c r="G1971" s="709"/>
      <c r="H1971" s="546"/>
      <c r="I1971" s="563" t="s">
        <v>25</v>
      </c>
      <c r="J1971" s="563" t="s">
        <v>25</v>
      </c>
      <c r="K1971" s="564" t="s">
        <v>25</v>
      </c>
      <c r="L1971" s="564" t="s">
        <v>25</v>
      </c>
      <c r="M1971" s="572"/>
      <c r="N1971" s="572"/>
      <c r="O1971" s="740"/>
      <c r="P1971" s="564"/>
      <c r="Q1971" s="564"/>
      <c r="R1971" s="572"/>
      <c r="S1971" s="609"/>
      <c r="T1971" s="741"/>
      <c r="U1971" s="586"/>
      <c r="V1971" s="564" t="s">
        <v>2899</v>
      </c>
      <c r="W1971" s="564" t="s">
        <v>25</v>
      </c>
      <c r="X1971" s="650"/>
      <c r="Y1971" s="586"/>
      <c r="Z1971" s="742"/>
      <c r="AA1971" s="586"/>
      <c r="AB1971" s="586"/>
      <c r="AC1971" s="586"/>
      <c r="AD1971" s="586"/>
      <c r="AE1971" s="714"/>
      <c r="AF1971" s="570" t="s">
        <v>2899</v>
      </c>
      <c r="AG1971" s="570"/>
      <c r="AH1971" s="571" t="s">
        <v>25</v>
      </c>
      <c r="AI1971" s="586"/>
      <c r="AJ1971" s="586"/>
    </row>
    <row r="1972" spans="1:36" s="394" customFormat="1" ht="20.25" outlineLevel="2" x14ac:dyDescent="0.3">
      <c r="A1972" s="447">
        <v>167</v>
      </c>
      <c r="B1972" s="607"/>
      <c r="C1972" s="607"/>
      <c r="D1972" s="642"/>
      <c r="E1972" s="642"/>
      <c r="F1972" s="586"/>
      <c r="G1972" s="709"/>
      <c r="H1972" s="546"/>
      <c r="I1972" s="563" t="s">
        <v>25</v>
      </c>
      <c r="J1972" s="563" t="s">
        <v>25</v>
      </c>
      <c r="K1972" s="564" t="s">
        <v>25</v>
      </c>
      <c r="L1972" s="564" t="s">
        <v>25</v>
      </c>
      <c r="M1972" s="572"/>
      <c r="N1972" s="572"/>
      <c r="O1972" s="740"/>
      <c r="P1972" s="564"/>
      <c r="Q1972" s="564"/>
      <c r="R1972" s="572"/>
      <c r="S1972" s="609"/>
      <c r="T1972" s="741"/>
      <c r="U1972" s="586"/>
      <c r="V1972" s="564" t="s">
        <v>2899</v>
      </c>
      <c r="W1972" s="564" t="s">
        <v>25</v>
      </c>
      <c r="X1972" s="650"/>
      <c r="Y1972" s="586"/>
      <c r="Z1972" s="742"/>
      <c r="AA1972" s="586"/>
      <c r="AB1972" s="586"/>
      <c r="AC1972" s="586"/>
      <c r="AD1972" s="586"/>
      <c r="AE1972" s="714"/>
      <c r="AF1972" s="570" t="s">
        <v>2899</v>
      </c>
      <c r="AG1972" s="570"/>
      <c r="AH1972" s="571" t="s">
        <v>25</v>
      </c>
      <c r="AI1972" s="586"/>
      <c r="AJ1972" s="586"/>
    </row>
    <row r="1973" spans="1:36" s="396" customFormat="1" ht="40.5" outlineLevel="1" x14ac:dyDescent="0.25">
      <c r="A1973" s="467">
        <v>168</v>
      </c>
      <c r="B1973" s="607" t="s">
        <v>1363</v>
      </c>
      <c r="C1973" s="586" t="s">
        <v>2903</v>
      </c>
      <c r="D1973" s="612">
        <v>86</v>
      </c>
      <c r="E1973" s="612" t="s">
        <v>2180</v>
      </c>
      <c r="F1973" s="578"/>
      <c r="G1973" s="707">
        <v>79.099999999999994</v>
      </c>
      <c r="H1973" s="579">
        <v>29.6</v>
      </c>
      <c r="I1973" s="581"/>
      <c r="J1973" s="581"/>
      <c r="K1973" s="571">
        <v>36829000</v>
      </c>
      <c r="L1973" s="571">
        <v>41345000</v>
      </c>
      <c r="M1973" s="607"/>
      <c r="N1973" s="607"/>
      <c r="O1973" s="738">
        <v>0</v>
      </c>
      <c r="P1973" s="571"/>
      <c r="Q1973" s="571">
        <v>0</v>
      </c>
      <c r="R1973" s="607"/>
      <c r="S1973" s="621"/>
      <c r="T1973" s="739">
        <v>0</v>
      </c>
      <c r="U1973" s="578"/>
      <c r="V1973" s="571"/>
      <c r="W1973" s="571">
        <v>0</v>
      </c>
      <c r="X1973" s="650"/>
      <c r="Y1973" s="586"/>
      <c r="Z1973" s="742"/>
      <c r="AA1973" s="586"/>
      <c r="AB1973" s="586"/>
      <c r="AC1973" s="586"/>
      <c r="AD1973" s="578"/>
      <c r="AE1973" s="712">
        <f>SUBTOTAL(9,AE1974:AE1979)</f>
        <v>0</v>
      </c>
      <c r="AF1973" s="585"/>
      <c r="AG1973" s="585">
        <v>0</v>
      </c>
      <c r="AH1973" s="571">
        <v>78174000</v>
      </c>
      <c r="AI1973" s="574"/>
      <c r="AJ1973" s="578"/>
    </row>
    <row r="1974" spans="1:36" s="396" customFormat="1" ht="243" outlineLevel="2" x14ac:dyDescent="0.3">
      <c r="A1974" s="447">
        <v>168</v>
      </c>
      <c r="B1974" s="572" t="s">
        <v>1366</v>
      </c>
      <c r="C1974" s="572"/>
      <c r="D1974" s="612"/>
      <c r="E1974" s="612"/>
      <c r="F1974" s="586" t="s">
        <v>2435</v>
      </c>
      <c r="G1974" s="709">
        <v>29.6</v>
      </c>
      <c r="H1974" s="546">
        <v>29.6</v>
      </c>
      <c r="I1974" s="563">
        <v>465600</v>
      </c>
      <c r="J1974" s="563">
        <v>1396800</v>
      </c>
      <c r="K1974" s="564">
        <v>13782000</v>
      </c>
      <c r="L1974" s="564">
        <v>41345000</v>
      </c>
      <c r="M1974" s="572"/>
      <c r="N1974" s="572"/>
      <c r="O1974" s="740"/>
      <c r="P1974" s="564"/>
      <c r="Q1974" s="564"/>
      <c r="R1974" s="572"/>
      <c r="S1974" s="609"/>
      <c r="T1974" s="741"/>
      <c r="U1974" s="586"/>
      <c r="V1974" s="564" t="s">
        <v>2899</v>
      </c>
      <c r="W1974" s="564" t="s">
        <v>25</v>
      </c>
      <c r="X1974" s="650"/>
      <c r="Y1974" s="586"/>
      <c r="Z1974" s="742"/>
      <c r="AA1974" s="586"/>
      <c r="AB1974" s="586"/>
      <c r="AC1974" s="586"/>
      <c r="AD1974" s="586"/>
      <c r="AE1974" s="714"/>
      <c r="AF1974" s="570" t="s">
        <v>2899</v>
      </c>
      <c r="AG1974" s="570"/>
      <c r="AH1974" s="571" t="s">
        <v>25</v>
      </c>
      <c r="AI1974" s="558" t="s">
        <v>2243</v>
      </c>
      <c r="AJ1974" s="586" t="s">
        <v>2771</v>
      </c>
    </row>
    <row r="1975" spans="1:36" s="394" customFormat="1" ht="81" outlineLevel="2" x14ac:dyDescent="0.3">
      <c r="A1975" s="447">
        <v>168</v>
      </c>
      <c r="B1975" s="572" t="s">
        <v>1621</v>
      </c>
      <c r="C1975" s="572"/>
      <c r="D1975" s="612"/>
      <c r="E1975" s="612"/>
      <c r="F1975" s="586" t="s">
        <v>2434</v>
      </c>
      <c r="G1975" s="709">
        <v>49.5</v>
      </c>
      <c r="H1975" s="546" t="s">
        <v>2899</v>
      </c>
      <c r="I1975" s="563">
        <v>465600</v>
      </c>
      <c r="J1975" s="563">
        <v>0</v>
      </c>
      <c r="K1975" s="564">
        <v>23047000</v>
      </c>
      <c r="L1975" s="564">
        <v>0</v>
      </c>
      <c r="M1975" s="572"/>
      <c r="N1975" s="572"/>
      <c r="O1975" s="740"/>
      <c r="P1975" s="564"/>
      <c r="Q1975" s="564"/>
      <c r="R1975" s="572"/>
      <c r="S1975" s="609"/>
      <c r="T1975" s="741"/>
      <c r="U1975" s="586"/>
      <c r="V1975" s="564" t="s">
        <v>2899</v>
      </c>
      <c r="W1975" s="564" t="s">
        <v>25</v>
      </c>
      <c r="X1975" s="650"/>
      <c r="Y1975" s="586"/>
      <c r="Z1975" s="742"/>
      <c r="AA1975" s="586"/>
      <c r="AB1975" s="586"/>
      <c r="AC1975" s="586"/>
      <c r="AD1975" s="586"/>
      <c r="AE1975" s="714"/>
      <c r="AF1975" s="570" t="s">
        <v>2899</v>
      </c>
      <c r="AG1975" s="570"/>
      <c r="AH1975" s="571" t="s">
        <v>25</v>
      </c>
      <c r="AI1975" s="586" t="s">
        <v>2074</v>
      </c>
      <c r="AJ1975" s="605" t="s">
        <v>2448</v>
      </c>
    </row>
    <row r="1976" spans="1:36" s="394" customFormat="1" ht="20.25" outlineLevel="2" x14ac:dyDescent="0.3">
      <c r="A1976" s="447">
        <v>168</v>
      </c>
      <c r="B1976" s="572"/>
      <c r="C1976" s="572"/>
      <c r="D1976" s="612"/>
      <c r="E1976" s="612"/>
      <c r="F1976" s="586"/>
      <c r="G1976" s="709"/>
      <c r="H1976" s="546"/>
      <c r="I1976" s="563" t="s">
        <v>25</v>
      </c>
      <c r="J1976" s="563" t="s">
        <v>25</v>
      </c>
      <c r="K1976" s="564" t="s">
        <v>25</v>
      </c>
      <c r="L1976" s="564" t="s">
        <v>25</v>
      </c>
      <c r="M1976" s="572"/>
      <c r="N1976" s="572"/>
      <c r="O1976" s="740"/>
      <c r="P1976" s="564"/>
      <c r="Q1976" s="564"/>
      <c r="R1976" s="572"/>
      <c r="S1976" s="609"/>
      <c r="T1976" s="741"/>
      <c r="U1976" s="586"/>
      <c r="V1976" s="564" t="s">
        <v>2899</v>
      </c>
      <c r="W1976" s="564" t="s">
        <v>25</v>
      </c>
      <c r="X1976" s="650"/>
      <c r="Y1976" s="586"/>
      <c r="Z1976" s="742"/>
      <c r="AA1976" s="586"/>
      <c r="AB1976" s="586"/>
      <c r="AC1976" s="586"/>
      <c r="AD1976" s="586"/>
      <c r="AE1976" s="714"/>
      <c r="AF1976" s="570" t="s">
        <v>2899</v>
      </c>
      <c r="AG1976" s="570"/>
      <c r="AH1976" s="571" t="s">
        <v>25</v>
      </c>
      <c r="AI1976" s="586"/>
      <c r="AJ1976" s="586"/>
    </row>
    <row r="1977" spans="1:36" s="394" customFormat="1" ht="20.25" outlineLevel="2" x14ac:dyDescent="0.3">
      <c r="A1977" s="447">
        <v>168</v>
      </c>
      <c r="B1977" s="572"/>
      <c r="C1977" s="572"/>
      <c r="D1977" s="612"/>
      <c r="E1977" s="612"/>
      <c r="F1977" s="586"/>
      <c r="G1977" s="709"/>
      <c r="H1977" s="546"/>
      <c r="I1977" s="563" t="s">
        <v>25</v>
      </c>
      <c r="J1977" s="563" t="s">
        <v>25</v>
      </c>
      <c r="K1977" s="564" t="s">
        <v>25</v>
      </c>
      <c r="L1977" s="564" t="s">
        <v>25</v>
      </c>
      <c r="M1977" s="572"/>
      <c r="N1977" s="572"/>
      <c r="O1977" s="740"/>
      <c r="P1977" s="564"/>
      <c r="Q1977" s="564"/>
      <c r="R1977" s="572"/>
      <c r="S1977" s="609"/>
      <c r="T1977" s="741"/>
      <c r="U1977" s="586"/>
      <c r="V1977" s="564" t="s">
        <v>2899</v>
      </c>
      <c r="W1977" s="564" t="s">
        <v>25</v>
      </c>
      <c r="X1977" s="650"/>
      <c r="Y1977" s="586"/>
      <c r="Z1977" s="742"/>
      <c r="AA1977" s="586"/>
      <c r="AB1977" s="586"/>
      <c r="AC1977" s="586"/>
      <c r="AD1977" s="586"/>
      <c r="AE1977" s="714"/>
      <c r="AF1977" s="570" t="s">
        <v>2899</v>
      </c>
      <c r="AG1977" s="570"/>
      <c r="AH1977" s="571" t="s">
        <v>25</v>
      </c>
      <c r="AI1977" s="586"/>
      <c r="AJ1977" s="586"/>
    </row>
    <row r="1978" spans="1:36" s="394" customFormat="1" ht="20.25" outlineLevel="2" x14ac:dyDescent="0.3">
      <c r="A1978" s="447">
        <v>168</v>
      </c>
      <c r="B1978" s="572"/>
      <c r="C1978" s="572"/>
      <c r="D1978" s="612"/>
      <c r="E1978" s="612"/>
      <c r="F1978" s="586"/>
      <c r="G1978" s="709"/>
      <c r="H1978" s="546"/>
      <c r="I1978" s="563" t="s">
        <v>25</v>
      </c>
      <c r="J1978" s="563" t="s">
        <v>25</v>
      </c>
      <c r="K1978" s="564" t="s">
        <v>25</v>
      </c>
      <c r="L1978" s="564" t="s">
        <v>25</v>
      </c>
      <c r="M1978" s="572"/>
      <c r="N1978" s="572"/>
      <c r="O1978" s="740"/>
      <c r="P1978" s="564"/>
      <c r="Q1978" s="564"/>
      <c r="R1978" s="572"/>
      <c r="S1978" s="609"/>
      <c r="T1978" s="741"/>
      <c r="U1978" s="586"/>
      <c r="V1978" s="564" t="s">
        <v>2899</v>
      </c>
      <c r="W1978" s="564" t="s">
        <v>25</v>
      </c>
      <c r="X1978" s="650"/>
      <c r="Y1978" s="586"/>
      <c r="Z1978" s="742"/>
      <c r="AA1978" s="586"/>
      <c r="AB1978" s="586"/>
      <c r="AC1978" s="586"/>
      <c r="AD1978" s="586"/>
      <c r="AE1978" s="714"/>
      <c r="AF1978" s="570" t="s">
        <v>2899</v>
      </c>
      <c r="AG1978" s="570"/>
      <c r="AH1978" s="571" t="s">
        <v>25</v>
      </c>
      <c r="AI1978" s="586"/>
      <c r="AJ1978" s="586"/>
    </row>
    <row r="1979" spans="1:36" s="394" customFormat="1" ht="20.25" outlineLevel="2" x14ac:dyDescent="0.3">
      <c r="A1979" s="447">
        <v>168</v>
      </c>
      <c r="B1979" s="607"/>
      <c r="C1979" s="607"/>
      <c r="D1979" s="642"/>
      <c r="E1979" s="642"/>
      <c r="F1979" s="586"/>
      <c r="G1979" s="709"/>
      <c r="H1979" s="546"/>
      <c r="I1979" s="563" t="s">
        <v>25</v>
      </c>
      <c r="J1979" s="563" t="s">
        <v>25</v>
      </c>
      <c r="K1979" s="564" t="s">
        <v>25</v>
      </c>
      <c r="L1979" s="564" t="s">
        <v>25</v>
      </c>
      <c r="M1979" s="572"/>
      <c r="N1979" s="572"/>
      <c r="O1979" s="740"/>
      <c r="P1979" s="564"/>
      <c r="Q1979" s="564"/>
      <c r="R1979" s="572"/>
      <c r="S1979" s="609"/>
      <c r="T1979" s="741"/>
      <c r="U1979" s="586"/>
      <c r="V1979" s="564" t="s">
        <v>2899</v>
      </c>
      <c r="W1979" s="564" t="s">
        <v>25</v>
      </c>
      <c r="X1979" s="650"/>
      <c r="Y1979" s="586"/>
      <c r="Z1979" s="742"/>
      <c r="AA1979" s="586"/>
      <c r="AB1979" s="586"/>
      <c r="AC1979" s="586"/>
      <c r="AD1979" s="586"/>
      <c r="AE1979" s="714"/>
      <c r="AF1979" s="570" t="s">
        <v>2899</v>
      </c>
      <c r="AG1979" s="570"/>
      <c r="AH1979" s="571" t="s">
        <v>25</v>
      </c>
      <c r="AI1979" s="586"/>
      <c r="AJ1979" s="586"/>
    </row>
    <row r="1980" spans="1:36" s="396" customFormat="1" ht="40.5" outlineLevel="1" x14ac:dyDescent="0.25">
      <c r="A1980" s="467">
        <v>169</v>
      </c>
      <c r="B1980" s="607" t="s">
        <v>1363</v>
      </c>
      <c r="C1980" s="586" t="s">
        <v>2903</v>
      </c>
      <c r="D1980" s="612">
        <v>86</v>
      </c>
      <c r="E1980" s="612" t="s">
        <v>2180</v>
      </c>
      <c r="F1980" s="578"/>
      <c r="G1980" s="707">
        <v>112.9</v>
      </c>
      <c r="H1980" s="579">
        <v>0</v>
      </c>
      <c r="I1980" s="581"/>
      <c r="J1980" s="581"/>
      <c r="K1980" s="571">
        <v>52566000</v>
      </c>
      <c r="L1980" s="571">
        <v>0</v>
      </c>
      <c r="M1980" s="607"/>
      <c r="N1980" s="607"/>
      <c r="O1980" s="738">
        <v>0</v>
      </c>
      <c r="P1980" s="571"/>
      <c r="Q1980" s="571">
        <v>0</v>
      </c>
      <c r="R1980" s="607"/>
      <c r="S1980" s="621"/>
      <c r="T1980" s="739">
        <v>0</v>
      </c>
      <c r="U1980" s="578"/>
      <c r="V1980" s="571"/>
      <c r="W1980" s="571">
        <v>0</v>
      </c>
      <c r="X1980" s="650"/>
      <c r="Y1980" s="586"/>
      <c r="Z1980" s="742"/>
      <c r="AA1980" s="586"/>
      <c r="AB1980" s="586"/>
      <c r="AC1980" s="586"/>
      <c r="AD1980" s="578"/>
      <c r="AE1980" s="712">
        <f>SUBTOTAL(9,AE1981:AE1989)</f>
        <v>0</v>
      </c>
      <c r="AF1980" s="585"/>
      <c r="AG1980" s="585">
        <v>0</v>
      </c>
      <c r="AH1980" s="571">
        <v>52566000</v>
      </c>
      <c r="AI1980" s="574"/>
      <c r="AJ1980" s="578"/>
    </row>
    <row r="1981" spans="1:36" s="396" customFormat="1" ht="246.75" outlineLevel="2" x14ac:dyDescent="0.3">
      <c r="A1981" s="447">
        <v>169</v>
      </c>
      <c r="B1981" s="572" t="s">
        <v>1366</v>
      </c>
      <c r="C1981" s="572"/>
      <c r="D1981" s="612"/>
      <c r="E1981" s="612"/>
      <c r="F1981" s="586" t="s">
        <v>2434</v>
      </c>
      <c r="G1981" s="709">
        <v>112.9</v>
      </c>
      <c r="H1981" s="546" t="s">
        <v>2899</v>
      </c>
      <c r="I1981" s="563">
        <v>465600</v>
      </c>
      <c r="J1981" s="563">
        <v>0</v>
      </c>
      <c r="K1981" s="564">
        <v>52566000</v>
      </c>
      <c r="L1981" s="564">
        <v>0</v>
      </c>
      <c r="M1981" s="572"/>
      <c r="N1981" s="572"/>
      <c r="O1981" s="740"/>
      <c r="P1981" s="564"/>
      <c r="Q1981" s="564"/>
      <c r="R1981" s="572"/>
      <c r="S1981" s="609"/>
      <c r="T1981" s="741"/>
      <c r="U1981" s="586"/>
      <c r="V1981" s="564" t="s">
        <v>2899</v>
      </c>
      <c r="W1981" s="564" t="s">
        <v>25</v>
      </c>
      <c r="X1981" s="650"/>
      <c r="Y1981" s="586"/>
      <c r="Z1981" s="742"/>
      <c r="AA1981" s="586"/>
      <c r="AB1981" s="586"/>
      <c r="AC1981" s="586"/>
      <c r="AD1981" s="586"/>
      <c r="AE1981" s="714"/>
      <c r="AF1981" s="570" t="s">
        <v>2899</v>
      </c>
      <c r="AG1981" s="570"/>
      <c r="AH1981" s="571" t="s">
        <v>25</v>
      </c>
      <c r="AI1981" s="558" t="s">
        <v>2849</v>
      </c>
      <c r="AJ1981" s="586" t="s">
        <v>2771</v>
      </c>
    </row>
    <row r="1982" spans="1:36" s="394" customFormat="1" ht="81" outlineLevel="2" x14ac:dyDescent="0.3">
      <c r="A1982" s="447">
        <v>169</v>
      </c>
      <c r="B1982" s="572" t="s">
        <v>1621</v>
      </c>
      <c r="C1982" s="572"/>
      <c r="D1982" s="612"/>
      <c r="E1982" s="612"/>
      <c r="F1982" s="731"/>
      <c r="G1982" s="745"/>
      <c r="H1982" s="546"/>
      <c r="I1982" s="563" t="s">
        <v>25</v>
      </c>
      <c r="J1982" s="563" t="s">
        <v>25</v>
      </c>
      <c r="K1982" s="564" t="s">
        <v>25</v>
      </c>
      <c r="L1982" s="564" t="s">
        <v>25</v>
      </c>
      <c r="M1982" s="572"/>
      <c r="N1982" s="572"/>
      <c r="O1982" s="740"/>
      <c r="P1982" s="564"/>
      <c r="Q1982" s="564"/>
      <c r="R1982" s="572"/>
      <c r="S1982" s="609"/>
      <c r="T1982" s="741"/>
      <c r="U1982" s="586"/>
      <c r="V1982" s="564" t="s">
        <v>2899</v>
      </c>
      <c r="W1982" s="564" t="s">
        <v>25</v>
      </c>
      <c r="X1982" s="650"/>
      <c r="Y1982" s="586"/>
      <c r="Z1982" s="742"/>
      <c r="AA1982" s="586"/>
      <c r="AB1982" s="586"/>
      <c r="AC1982" s="586"/>
      <c r="AD1982" s="586"/>
      <c r="AE1982" s="714"/>
      <c r="AF1982" s="570" t="s">
        <v>2899</v>
      </c>
      <c r="AG1982" s="570"/>
      <c r="AH1982" s="571" t="s">
        <v>25</v>
      </c>
      <c r="AI1982" s="586"/>
      <c r="AJ1982" s="586"/>
    </row>
    <row r="1983" spans="1:36" s="394" customFormat="1" ht="20.25" outlineLevel="2" x14ac:dyDescent="0.3">
      <c r="A1983" s="447">
        <v>169</v>
      </c>
      <c r="B1983" s="572"/>
      <c r="C1983" s="572"/>
      <c r="D1983" s="612"/>
      <c r="E1983" s="612"/>
      <c r="F1983" s="586"/>
      <c r="G1983" s="709"/>
      <c r="H1983" s="546"/>
      <c r="I1983" s="563" t="s">
        <v>25</v>
      </c>
      <c r="J1983" s="563" t="s">
        <v>25</v>
      </c>
      <c r="K1983" s="564" t="s">
        <v>25</v>
      </c>
      <c r="L1983" s="564" t="s">
        <v>25</v>
      </c>
      <c r="M1983" s="572"/>
      <c r="N1983" s="572"/>
      <c r="O1983" s="740"/>
      <c r="P1983" s="564"/>
      <c r="Q1983" s="564"/>
      <c r="R1983" s="572"/>
      <c r="S1983" s="609"/>
      <c r="T1983" s="741"/>
      <c r="U1983" s="586"/>
      <c r="V1983" s="564" t="s">
        <v>2899</v>
      </c>
      <c r="W1983" s="564" t="s">
        <v>25</v>
      </c>
      <c r="X1983" s="650"/>
      <c r="Y1983" s="586"/>
      <c r="Z1983" s="742"/>
      <c r="AA1983" s="586"/>
      <c r="AB1983" s="586"/>
      <c r="AC1983" s="586"/>
      <c r="AD1983" s="586"/>
      <c r="AE1983" s="714"/>
      <c r="AF1983" s="570" t="s">
        <v>2899</v>
      </c>
      <c r="AG1983" s="570"/>
      <c r="AH1983" s="571" t="s">
        <v>25</v>
      </c>
      <c r="AI1983" s="586"/>
      <c r="AJ1983" s="586"/>
    </row>
    <row r="1984" spans="1:36" s="394" customFormat="1" ht="20.25" outlineLevel="2" x14ac:dyDescent="0.3">
      <c r="A1984" s="447">
        <v>169</v>
      </c>
      <c r="B1984" s="572"/>
      <c r="C1984" s="572"/>
      <c r="D1984" s="612"/>
      <c r="E1984" s="612"/>
      <c r="F1984" s="586"/>
      <c r="G1984" s="709"/>
      <c r="H1984" s="546"/>
      <c r="I1984" s="563" t="s">
        <v>25</v>
      </c>
      <c r="J1984" s="563" t="s">
        <v>25</v>
      </c>
      <c r="K1984" s="564" t="s">
        <v>25</v>
      </c>
      <c r="L1984" s="564" t="s">
        <v>25</v>
      </c>
      <c r="M1984" s="572"/>
      <c r="N1984" s="572"/>
      <c r="O1984" s="740"/>
      <c r="P1984" s="564"/>
      <c r="Q1984" s="564"/>
      <c r="R1984" s="572"/>
      <c r="S1984" s="609"/>
      <c r="T1984" s="741"/>
      <c r="U1984" s="586"/>
      <c r="V1984" s="564" t="s">
        <v>2899</v>
      </c>
      <c r="W1984" s="564" t="s">
        <v>25</v>
      </c>
      <c r="X1984" s="650"/>
      <c r="Y1984" s="586"/>
      <c r="Z1984" s="742"/>
      <c r="AA1984" s="586"/>
      <c r="AB1984" s="586"/>
      <c r="AC1984" s="586"/>
      <c r="AD1984" s="586"/>
      <c r="AE1984" s="714"/>
      <c r="AF1984" s="570" t="s">
        <v>2899</v>
      </c>
      <c r="AG1984" s="570"/>
      <c r="AH1984" s="571" t="s">
        <v>25</v>
      </c>
      <c r="AI1984" s="586"/>
      <c r="AJ1984" s="586"/>
    </row>
    <row r="1985" spans="1:36" s="394" customFormat="1" ht="20.25" outlineLevel="2" x14ac:dyDescent="0.3">
      <c r="A1985" s="447">
        <v>169</v>
      </c>
      <c r="B1985" s="572"/>
      <c r="C1985" s="572"/>
      <c r="D1985" s="612"/>
      <c r="E1985" s="612"/>
      <c r="F1985" s="586"/>
      <c r="G1985" s="709"/>
      <c r="H1985" s="546"/>
      <c r="I1985" s="563" t="s">
        <v>25</v>
      </c>
      <c r="J1985" s="563" t="s">
        <v>25</v>
      </c>
      <c r="K1985" s="564" t="s">
        <v>25</v>
      </c>
      <c r="L1985" s="564" t="s">
        <v>25</v>
      </c>
      <c r="M1985" s="572"/>
      <c r="N1985" s="572"/>
      <c r="O1985" s="740"/>
      <c r="P1985" s="564"/>
      <c r="Q1985" s="564"/>
      <c r="R1985" s="572"/>
      <c r="S1985" s="609"/>
      <c r="T1985" s="741"/>
      <c r="U1985" s="586"/>
      <c r="V1985" s="564" t="s">
        <v>2899</v>
      </c>
      <c r="W1985" s="564" t="s">
        <v>25</v>
      </c>
      <c r="X1985" s="650"/>
      <c r="Y1985" s="586"/>
      <c r="Z1985" s="742"/>
      <c r="AA1985" s="586"/>
      <c r="AB1985" s="586"/>
      <c r="AC1985" s="586"/>
      <c r="AD1985" s="586"/>
      <c r="AE1985" s="714"/>
      <c r="AF1985" s="570" t="s">
        <v>2899</v>
      </c>
      <c r="AG1985" s="570"/>
      <c r="AH1985" s="571" t="s">
        <v>25</v>
      </c>
      <c r="AI1985" s="586"/>
      <c r="AJ1985" s="586"/>
    </row>
    <row r="1986" spans="1:36" s="394" customFormat="1" ht="20.25" outlineLevel="2" x14ac:dyDescent="0.3">
      <c r="A1986" s="447">
        <v>169</v>
      </c>
      <c r="B1986" s="572"/>
      <c r="C1986" s="572"/>
      <c r="D1986" s="612"/>
      <c r="E1986" s="612"/>
      <c r="F1986" s="586"/>
      <c r="G1986" s="709"/>
      <c r="H1986" s="546"/>
      <c r="I1986" s="563" t="s">
        <v>25</v>
      </c>
      <c r="J1986" s="563" t="s">
        <v>25</v>
      </c>
      <c r="K1986" s="564" t="s">
        <v>25</v>
      </c>
      <c r="L1986" s="564" t="s">
        <v>25</v>
      </c>
      <c r="M1986" s="572"/>
      <c r="N1986" s="572"/>
      <c r="O1986" s="740"/>
      <c r="P1986" s="564"/>
      <c r="Q1986" s="564"/>
      <c r="R1986" s="572"/>
      <c r="S1986" s="609"/>
      <c r="T1986" s="741"/>
      <c r="U1986" s="586"/>
      <c r="V1986" s="564" t="s">
        <v>2899</v>
      </c>
      <c r="W1986" s="564" t="s">
        <v>25</v>
      </c>
      <c r="X1986" s="650"/>
      <c r="Y1986" s="586"/>
      <c r="Z1986" s="742"/>
      <c r="AA1986" s="586"/>
      <c r="AB1986" s="586"/>
      <c r="AC1986" s="586"/>
      <c r="AD1986" s="586"/>
      <c r="AE1986" s="714"/>
      <c r="AF1986" s="570" t="s">
        <v>2899</v>
      </c>
      <c r="AG1986" s="570"/>
      <c r="AH1986" s="571" t="s">
        <v>25</v>
      </c>
      <c r="AI1986" s="586"/>
      <c r="AJ1986" s="586"/>
    </row>
    <row r="1987" spans="1:36" s="394" customFormat="1" ht="20.25" outlineLevel="2" x14ac:dyDescent="0.3">
      <c r="A1987" s="447">
        <v>169</v>
      </c>
      <c r="B1987" s="572"/>
      <c r="C1987" s="572"/>
      <c r="D1987" s="612"/>
      <c r="E1987" s="612"/>
      <c r="F1987" s="586"/>
      <c r="G1987" s="709"/>
      <c r="H1987" s="546"/>
      <c r="I1987" s="563" t="s">
        <v>25</v>
      </c>
      <c r="J1987" s="563" t="s">
        <v>25</v>
      </c>
      <c r="K1987" s="564" t="s">
        <v>25</v>
      </c>
      <c r="L1987" s="564" t="s">
        <v>25</v>
      </c>
      <c r="M1987" s="572"/>
      <c r="N1987" s="572"/>
      <c r="O1987" s="740"/>
      <c r="P1987" s="564"/>
      <c r="Q1987" s="564"/>
      <c r="R1987" s="572"/>
      <c r="S1987" s="609"/>
      <c r="T1987" s="741"/>
      <c r="U1987" s="586"/>
      <c r="V1987" s="564" t="s">
        <v>2899</v>
      </c>
      <c r="W1987" s="564" t="s">
        <v>25</v>
      </c>
      <c r="X1987" s="650"/>
      <c r="Y1987" s="586"/>
      <c r="Z1987" s="742"/>
      <c r="AA1987" s="586"/>
      <c r="AB1987" s="586"/>
      <c r="AC1987" s="586"/>
      <c r="AD1987" s="586"/>
      <c r="AE1987" s="714"/>
      <c r="AF1987" s="570" t="s">
        <v>2899</v>
      </c>
      <c r="AG1987" s="570"/>
      <c r="AH1987" s="571" t="s">
        <v>25</v>
      </c>
      <c r="AI1987" s="586"/>
      <c r="AJ1987" s="586"/>
    </row>
    <row r="1988" spans="1:36" s="394" customFormat="1" ht="20.25" outlineLevel="2" x14ac:dyDescent="0.3">
      <c r="A1988" s="447">
        <v>169</v>
      </c>
      <c r="B1988" s="572"/>
      <c r="C1988" s="572"/>
      <c r="D1988" s="612"/>
      <c r="E1988" s="612"/>
      <c r="F1988" s="586"/>
      <c r="G1988" s="709"/>
      <c r="H1988" s="546"/>
      <c r="I1988" s="563" t="s">
        <v>25</v>
      </c>
      <c r="J1988" s="563" t="s">
        <v>25</v>
      </c>
      <c r="K1988" s="564" t="s">
        <v>25</v>
      </c>
      <c r="L1988" s="564" t="s">
        <v>25</v>
      </c>
      <c r="M1988" s="572"/>
      <c r="N1988" s="572"/>
      <c r="O1988" s="740"/>
      <c r="P1988" s="564"/>
      <c r="Q1988" s="564"/>
      <c r="R1988" s="572"/>
      <c r="S1988" s="609"/>
      <c r="T1988" s="741"/>
      <c r="U1988" s="586"/>
      <c r="V1988" s="564" t="s">
        <v>2899</v>
      </c>
      <c r="W1988" s="564" t="s">
        <v>25</v>
      </c>
      <c r="X1988" s="650"/>
      <c r="Y1988" s="586"/>
      <c r="Z1988" s="742"/>
      <c r="AA1988" s="586"/>
      <c r="AB1988" s="586"/>
      <c r="AC1988" s="586"/>
      <c r="AD1988" s="586"/>
      <c r="AE1988" s="714"/>
      <c r="AF1988" s="570" t="s">
        <v>2899</v>
      </c>
      <c r="AG1988" s="570"/>
      <c r="AH1988" s="571" t="s">
        <v>25</v>
      </c>
      <c r="AI1988" s="586"/>
      <c r="AJ1988" s="586"/>
    </row>
    <row r="1989" spans="1:36" s="394" customFormat="1" ht="20.25" outlineLevel="2" x14ac:dyDescent="0.3">
      <c r="A1989" s="447">
        <v>169</v>
      </c>
      <c r="B1989" s="607"/>
      <c r="C1989" s="607"/>
      <c r="D1989" s="642"/>
      <c r="E1989" s="642"/>
      <c r="F1989" s="586"/>
      <c r="G1989" s="709"/>
      <c r="H1989" s="546"/>
      <c r="I1989" s="563" t="s">
        <v>25</v>
      </c>
      <c r="J1989" s="563" t="s">
        <v>25</v>
      </c>
      <c r="K1989" s="564" t="s">
        <v>25</v>
      </c>
      <c r="L1989" s="564" t="s">
        <v>25</v>
      </c>
      <c r="M1989" s="572"/>
      <c r="N1989" s="572"/>
      <c r="O1989" s="740"/>
      <c r="P1989" s="564"/>
      <c r="Q1989" s="564"/>
      <c r="R1989" s="572"/>
      <c r="S1989" s="609"/>
      <c r="T1989" s="741"/>
      <c r="U1989" s="586"/>
      <c r="V1989" s="564" t="s">
        <v>2899</v>
      </c>
      <c r="W1989" s="564" t="s">
        <v>25</v>
      </c>
      <c r="X1989" s="650"/>
      <c r="Y1989" s="586"/>
      <c r="Z1989" s="742"/>
      <c r="AA1989" s="586"/>
      <c r="AB1989" s="586"/>
      <c r="AC1989" s="586"/>
      <c r="AD1989" s="586"/>
      <c r="AE1989" s="714"/>
      <c r="AF1989" s="570" t="s">
        <v>2899</v>
      </c>
      <c r="AG1989" s="570"/>
      <c r="AH1989" s="571" t="s">
        <v>25</v>
      </c>
      <c r="AI1989" s="586"/>
      <c r="AJ1989" s="586"/>
    </row>
    <row r="1990" spans="1:36" s="396" customFormat="1" ht="40.5" outlineLevel="1" x14ac:dyDescent="0.25">
      <c r="A1990" s="467">
        <v>170</v>
      </c>
      <c r="B1990" s="607" t="s">
        <v>1363</v>
      </c>
      <c r="C1990" s="586" t="s">
        <v>2903</v>
      </c>
      <c r="D1990" s="612">
        <v>86</v>
      </c>
      <c r="E1990" s="612" t="s">
        <v>1364</v>
      </c>
      <c r="F1990" s="578"/>
      <c r="G1990" s="707">
        <v>2591.6</v>
      </c>
      <c r="H1990" s="579">
        <v>1878.7</v>
      </c>
      <c r="I1990" s="581"/>
      <c r="J1990" s="581"/>
      <c r="K1990" s="571">
        <v>1206649000</v>
      </c>
      <c r="L1990" s="571">
        <v>2624168000</v>
      </c>
      <c r="M1990" s="607"/>
      <c r="N1990" s="607"/>
      <c r="O1990" s="738">
        <v>6</v>
      </c>
      <c r="P1990" s="571"/>
      <c r="Q1990" s="571">
        <v>4199000</v>
      </c>
      <c r="R1990" s="582"/>
      <c r="S1990" s="621"/>
      <c r="T1990" s="739">
        <v>511.77</v>
      </c>
      <c r="U1990" s="578"/>
      <c r="V1990" s="571"/>
      <c r="W1990" s="571">
        <v>419115000</v>
      </c>
      <c r="X1990" s="650"/>
      <c r="Y1990" s="586"/>
      <c r="Z1990" s="742"/>
      <c r="AA1990" s="586"/>
      <c r="AB1990" s="586"/>
      <c r="AC1990" s="586"/>
      <c r="AD1990" s="578"/>
      <c r="AE1990" s="712">
        <f>SUBTOTAL(9,AE1991:AE2011)</f>
        <v>0</v>
      </c>
      <c r="AF1990" s="585"/>
      <c r="AG1990" s="585">
        <v>0</v>
      </c>
      <c r="AH1990" s="571">
        <v>4254131000</v>
      </c>
      <c r="AI1990" s="578"/>
      <c r="AJ1990" s="578"/>
    </row>
    <row r="1991" spans="1:36" s="396" customFormat="1" ht="121.5" outlineLevel="2" x14ac:dyDescent="0.3">
      <c r="A1991" s="447">
        <v>170</v>
      </c>
      <c r="B1991" s="572" t="s">
        <v>1366</v>
      </c>
      <c r="C1991" s="572"/>
      <c r="D1991" s="612"/>
      <c r="E1991" s="612"/>
      <c r="F1991" s="586" t="s">
        <v>2438</v>
      </c>
      <c r="G1991" s="709">
        <v>1878.7</v>
      </c>
      <c r="H1991" s="546">
        <v>1878.7</v>
      </c>
      <c r="I1991" s="563">
        <v>465600</v>
      </c>
      <c r="J1991" s="563">
        <v>1396800</v>
      </c>
      <c r="K1991" s="564">
        <v>874723000</v>
      </c>
      <c r="L1991" s="564">
        <v>2624168000</v>
      </c>
      <c r="M1991" s="572" t="s">
        <v>1218</v>
      </c>
      <c r="N1991" s="572"/>
      <c r="O1991" s="740">
        <v>1</v>
      </c>
      <c r="P1991" s="564">
        <v>571000</v>
      </c>
      <c r="Q1991" s="564">
        <v>571000</v>
      </c>
      <c r="R1991" s="566" t="s">
        <v>1966</v>
      </c>
      <c r="S1991" s="609" t="s">
        <v>1133</v>
      </c>
      <c r="T1991" s="741">
        <v>83.6</v>
      </c>
      <c r="U1991" s="586"/>
      <c r="V1991" s="564">
        <v>945291</v>
      </c>
      <c r="W1991" s="564">
        <v>79026000</v>
      </c>
      <c r="X1991" s="650"/>
      <c r="Y1991" s="586"/>
      <c r="Z1991" s="742"/>
      <c r="AA1991" s="586"/>
      <c r="AB1991" s="586"/>
      <c r="AC1991" s="586"/>
      <c r="AD1991" s="586"/>
      <c r="AE1991" s="714"/>
      <c r="AF1991" s="570" t="s">
        <v>2899</v>
      </c>
      <c r="AG1991" s="570"/>
      <c r="AH1991" s="571" t="s">
        <v>25</v>
      </c>
      <c r="AI1991" s="586" t="s">
        <v>1365</v>
      </c>
      <c r="AJ1991" s="586" t="s">
        <v>2771</v>
      </c>
    </row>
    <row r="1992" spans="1:36" s="394" customFormat="1" ht="81" outlineLevel="2" x14ac:dyDescent="0.3">
      <c r="A1992" s="447">
        <v>170</v>
      </c>
      <c r="B1992" s="572" t="s">
        <v>1621</v>
      </c>
      <c r="C1992" s="572"/>
      <c r="D1992" s="612"/>
      <c r="E1992" s="612"/>
      <c r="F1992" s="586" t="s">
        <v>2439</v>
      </c>
      <c r="G1992" s="709">
        <v>712.9</v>
      </c>
      <c r="H1992" s="546" t="s">
        <v>2899</v>
      </c>
      <c r="I1992" s="563">
        <v>465600</v>
      </c>
      <c r="J1992" s="563">
        <v>0</v>
      </c>
      <c r="K1992" s="564">
        <v>331926000</v>
      </c>
      <c r="L1992" s="564">
        <v>0</v>
      </c>
      <c r="M1992" s="572" t="s">
        <v>408</v>
      </c>
      <c r="N1992" s="572"/>
      <c r="O1992" s="740">
        <v>2</v>
      </c>
      <c r="P1992" s="564">
        <v>337000</v>
      </c>
      <c r="Q1992" s="564">
        <v>674000</v>
      </c>
      <c r="R1992" s="566" t="s">
        <v>1763</v>
      </c>
      <c r="S1992" s="609" t="s">
        <v>1133</v>
      </c>
      <c r="T1992" s="741">
        <v>31.079999999999995</v>
      </c>
      <c r="U1992" s="586"/>
      <c r="V1992" s="564">
        <v>3550600</v>
      </c>
      <c r="W1992" s="564">
        <v>110353000</v>
      </c>
      <c r="X1992" s="661" t="s">
        <v>1138</v>
      </c>
      <c r="Y1992" s="683" t="s">
        <v>1139</v>
      </c>
      <c r="Z1992" s="683" t="s">
        <v>56</v>
      </c>
      <c r="AA1992" s="694" t="s">
        <v>269</v>
      </c>
      <c r="AB1992" s="683" t="s">
        <v>1138</v>
      </c>
      <c r="AC1992" s="683"/>
      <c r="AD1992" s="683"/>
      <c r="AE1992" s="590"/>
      <c r="AF1992" s="570" t="s">
        <v>2899</v>
      </c>
      <c r="AG1992" s="570" t="s">
        <v>25</v>
      </c>
      <c r="AH1992" s="571" t="s">
        <v>25</v>
      </c>
      <c r="AI1992" s="586" t="s">
        <v>1367</v>
      </c>
      <c r="AJ1992" s="605" t="s">
        <v>2448</v>
      </c>
    </row>
    <row r="1993" spans="1:36" s="394" customFormat="1" ht="121.5" outlineLevel="2" x14ac:dyDescent="0.3">
      <c r="A1993" s="447">
        <v>170</v>
      </c>
      <c r="B1993" s="572"/>
      <c r="C1993" s="572"/>
      <c r="D1993" s="612"/>
      <c r="E1993" s="612"/>
      <c r="F1993" s="586"/>
      <c r="G1993" s="709"/>
      <c r="H1993" s="546"/>
      <c r="I1993" s="563" t="s">
        <v>25</v>
      </c>
      <c r="J1993" s="563" t="s">
        <v>25</v>
      </c>
      <c r="K1993" s="564" t="s">
        <v>25</v>
      </c>
      <c r="L1993" s="564" t="s">
        <v>25</v>
      </c>
      <c r="M1993" s="572" t="s">
        <v>1368</v>
      </c>
      <c r="N1993" s="572"/>
      <c r="O1993" s="740">
        <v>1</v>
      </c>
      <c r="P1993" s="564">
        <v>554000</v>
      </c>
      <c r="Q1993" s="564">
        <v>554000</v>
      </c>
      <c r="R1993" s="566" t="s">
        <v>1959</v>
      </c>
      <c r="S1993" s="609" t="s">
        <v>1133</v>
      </c>
      <c r="T1993" s="741">
        <v>2.52</v>
      </c>
      <c r="U1993" s="586"/>
      <c r="V1993" s="564">
        <v>9347414</v>
      </c>
      <c r="W1993" s="564">
        <v>23555000</v>
      </c>
      <c r="X1993" s="650"/>
      <c r="Y1993" s="586"/>
      <c r="Z1993" s="742"/>
      <c r="AA1993" s="586"/>
      <c r="AB1993" s="586"/>
      <c r="AC1993" s="586"/>
      <c r="AD1993" s="586"/>
      <c r="AE1993" s="714"/>
      <c r="AF1993" s="570" t="s">
        <v>2899</v>
      </c>
      <c r="AG1993" s="570" t="s">
        <v>25</v>
      </c>
      <c r="AH1993" s="571" t="s">
        <v>25</v>
      </c>
      <c r="AI1993" s="586" t="s">
        <v>1303</v>
      </c>
      <c r="AJ1993" s="558" t="s">
        <v>2450</v>
      </c>
    </row>
    <row r="1994" spans="1:36" s="394" customFormat="1" ht="101.25" outlineLevel="2" x14ac:dyDescent="0.3">
      <c r="A1994" s="447">
        <v>170</v>
      </c>
      <c r="B1994" s="572"/>
      <c r="C1994" s="572"/>
      <c r="D1994" s="612"/>
      <c r="E1994" s="612"/>
      <c r="F1994" s="586"/>
      <c r="G1994" s="709"/>
      <c r="H1994" s="546"/>
      <c r="I1994" s="563" t="s">
        <v>25</v>
      </c>
      <c r="J1994" s="563" t="s">
        <v>25</v>
      </c>
      <c r="K1994" s="564" t="s">
        <v>25</v>
      </c>
      <c r="L1994" s="564" t="s">
        <v>25</v>
      </c>
      <c r="M1994" s="572" t="s">
        <v>1351</v>
      </c>
      <c r="N1994" s="572"/>
      <c r="O1994" s="740">
        <v>1</v>
      </c>
      <c r="P1994" s="564">
        <v>2400000</v>
      </c>
      <c r="Q1994" s="564">
        <v>2400000</v>
      </c>
      <c r="R1994" s="566" t="s">
        <v>1960</v>
      </c>
      <c r="S1994" s="609" t="s">
        <v>1133</v>
      </c>
      <c r="T1994" s="741">
        <v>24</v>
      </c>
      <c r="U1994" s="586"/>
      <c r="V1994" s="564">
        <v>770070</v>
      </c>
      <c r="W1994" s="564">
        <v>18482000</v>
      </c>
      <c r="X1994" s="650"/>
      <c r="Y1994" s="586"/>
      <c r="Z1994" s="742"/>
      <c r="AA1994" s="586"/>
      <c r="AB1994" s="586"/>
      <c r="AC1994" s="586"/>
      <c r="AD1994" s="586"/>
      <c r="AE1994" s="714"/>
      <c r="AF1994" s="570" t="s">
        <v>2899</v>
      </c>
      <c r="AG1994" s="570" t="s">
        <v>25</v>
      </c>
      <c r="AH1994" s="571" t="s">
        <v>25</v>
      </c>
      <c r="AI1994" s="586" t="s">
        <v>2074</v>
      </c>
      <c r="AJ1994" s="558" t="s">
        <v>2449</v>
      </c>
    </row>
    <row r="1995" spans="1:36" s="394" customFormat="1" ht="101.25" outlineLevel="2" x14ac:dyDescent="0.3">
      <c r="A1995" s="447">
        <v>170</v>
      </c>
      <c r="B1995" s="572"/>
      <c r="C1995" s="572"/>
      <c r="D1995" s="612"/>
      <c r="E1995" s="612"/>
      <c r="F1995" s="586"/>
      <c r="G1995" s="709"/>
      <c r="H1995" s="546"/>
      <c r="I1995" s="563" t="s">
        <v>25</v>
      </c>
      <c r="J1995" s="563" t="s">
        <v>25</v>
      </c>
      <c r="K1995" s="564" t="s">
        <v>25</v>
      </c>
      <c r="L1995" s="564" t="s">
        <v>25</v>
      </c>
      <c r="M1995" s="572" t="s">
        <v>1369</v>
      </c>
      <c r="N1995" s="572"/>
      <c r="O1995" s="740">
        <v>1</v>
      </c>
      <c r="P1995" s="564">
        <v>0</v>
      </c>
      <c r="Q1995" s="564">
        <v>0</v>
      </c>
      <c r="R1995" s="566" t="s">
        <v>1961</v>
      </c>
      <c r="S1995" s="609" t="s">
        <v>1133</v>
      </c>
      <c r="T1995" s="741">
        <v>63.5</v>
      </c>
      <c r="U1995" s="586"/>
      <c r="V1995" s="564">
        <v>700040</v>
      </c>
      <c r="W1995" s="564">
        <v>44453000</v>
      </c>
      <c r="X1995" s="650"/>
      <c r="Y1995" s="586"/>
      <c r="Z1995" s="742"/>
      <c r="AA1995" s="586"/>
      <c r="AB1995" s="586"/>
      <c r="AC1995" s="586"/>
      <c r="AD1995" s="586"/>
      <c r="AE1995" s="714"/>
      <c r="AF1995" s="570" t="s">
        <v>2899</v>
      </c>
      <c r="AG1995" s="570" t="s">
        <v>25</v>
      </c>
      <c r="AH1995" s="571" t="s">
        <v>25</v>
      </c>
      <c r="AI1995" s="750"/>
      <c r="AJ1995" s="586" t="s">
        <v>2800</v>
      </c>
    </row>
    <row r="1996" spans="1:36" s="394" customFormat="1" ht="60.75" outlineLevel="2" x14ac:dyDescent="0.3">
      <c r="A1996" s="447">
        <v>170</v>
      </c>
      <c r="B1996" s="572"/>
      <c r="C1996" s="572"/>
      <c r="D1996" s="612"/>
      <c r="E1996" s="612"/>
      <c r="F1996" s="586"/>
      <c r="G1996" s="709"/>
      <c r="H1996" s="546"/>
      <c r="I1996" s="563" t="s">
        <v>25</v>
      </c>
      <c r="J1996" s="563" t="s">
        <v>25</v>
      </c>
      <c r="K1996" s="564" t="s">
        <v>25</v>
      </c>
      <c r="L1996" s="564" t="s">
        <v>25</v>
      </c>
      <c r="M1996" s="572"/>
      <c r="N1996" s="572"/>
      <c r="O1996" s="740"/>
      <c r="P1996" s="564" t="s">
        <v>25</v>
      </c>
      <c r="Q1996" s="564" t="s">
        <v>25</v>
      </c>
      <c r="R1996" s="566" t="s">
        <v>2131</v>
      </c>
      <c r="S1996" s="609" t="s">
        <v>1133</v>
      </c>
      <c r="T1996" s="741">
        <v>0.95</v>
      </c>
      <c r="U1996" s="586"/>
      <c r="V1996" s="564">
        <v>532230</v>
      </c>
      <c r="W1996" s="564">
        <v>506000</v>
      </c>
      <c r="X1996" s="650"/>
      <c r="Y1996" s="586"/>
      <c r="Z1996" s="742"/>
      <c r="AA1996" s="586"/>
      <c r="AB1996" s="586"/>
      <c r="AC1996" s="586"/>
      <c r="AD1996" s="586"/>
      <c r="AE1996" s="714"/>
      <c r="AF1996" s="570" t="s">
        <v>2899</v>
      </c>
      <c r="AG1996" s="570" t="s">
        <v>25</v>
      </c>
      <c r="AH1996" s="571" t="s">
        <v>25</v>
      </c>
      <c r="AI1996" s="572"/>
      <c r="AJ1996" s="572"/>
    </row>
    <row r="1997" spans="1:36" s="394" customFormat="1" ht="40.5" outlineLevel="2" x14ac:dyDescent="0.3">
      <c r="A1997" s="447">
        <v>170</v>
      </c>
      <c r="B1997" s="572"/>
      <c r="C1997" s="572"/>
      <c r="D1997" s="612"/>
      <c r="E1997" s="612"/>
      <c r="F1997" s="586"/>
      <c r="G1997" s="709"/>
      <c r="H1997" s="546"/>
      <c r="I1997" s="563" t="s">
        <v>25</v>
      </c>
      <c r="J1997" s="563" t="s">
        <v>25</v>
      </c>
      <c r="K1997" s="564" t="s">
        <v>25</v>
      </c>
      <c r="L1997" s="564" t="s">
        <v>25</v>
      </c>
      <c r="M1997" s="572"/>
      <c r="N1997" s="572"/>
      <c r="O1997" s="740"/>
      <c r="P1997" s="564" t="s">
        <v>25</v>
      </c>
      <c r="Q1997" s="564" t="s">
        <v>25</v>
      </c>
      <c r="R1997" s="566" t="s">
        <v>2129</v>
      </c>
      <c r="S1997" s="609" t="s">
        <v>1133</v>
      </c>
      <c r="T1997" s="741">
        <v>2.2799999999999998</v>
      </c>
      <c r="U1997" s="586"/>
      <c r="V1997" s="564">
        <v>1842140</v>
      </c>
      <c r="W1997" s="564">
        <v>4200000</v>
      </c>
      <c r="X1997" s="650"/>
      <c r="Y1997" s="586"/>
      <c r="Z1997" s="742"/>
      <c r="AA1997" s="586"/>
      <c r="AB1997" s="586"/>
      <c r="AC1997" s="586"/>
      <c r="AD1997" s="586"/>
      <c r="AE1997" s="714"/>
      <c r="AF1997" s="570" t="s">
        <v>2899</v>
      </c>
      <c r="AG1997" s="570" t="s">
        <v>25</v>
      </c>
      <c r="AH1997" s="571" t="s">
        <v>25</v>
      </c>
      <c r="AI1997" s="572"/>
      <c r="AJ1997" s="572"/>
    </row>
    <row r="1998" spans="1:36" s="394" customFormat="1" ht="60.75" outlineLevel="2" x14ac:dyDescent="0.3">
      <c r="A1998" s="447">
        <v>170</v>
      </c>
      <c r="B1998" s="572"/>
      <c r="C1998" s="572"/>
      <c r="D1998" s="612"/>
      <c r="E1998" s="612"/>
      <c r="F1998" s="586"/>
      <c r="G1998" s="709"/>
      <c r="H1998" s="546"/>
      <c r="I1998" s="563" t="s">
        <v>25</v>
      </c>
      <c r="J1998" s="563" t="s">
        <v>25</v>
      </c>
      <c r="K1998" s="564" t="s">
        <v>25</v>
      </c>
      <c r="L1998" s="564" t="s">
        <v>25</v>
      </c>
      <c r="M1998" s="572"/>
      <c r="N1998" s="572"/>
      <c r="O1998" s="740"/>
      <c r="P1998" s="564" t="s">
        <v>25</v>
      </c>
      <c r="Q1998" s="564" t="s">
        <v>25</v>
      </c>
      <c r="R1998" s="566" t="s">
        <v>1969</v>
      </c>
      <c r="S1998" s="609" t="s">
        <v>1133</v>
      </c>
      <c r="T1998" s="741">
        <v>50.61</v>
      </c>
      <c r="U1998" s="586"/>
      <c r="V1998" s="564">
        <v>0</v>
      </c>
      <c r="W1998" s="564">
        <v>0</v>
      </c>
      <c r="X1998" s="650"/>
      <c r="Y1998" s="586"/>
      <c r="Z1998" s="742"/>
      <c r="AA1998" s="586"/>
      <c r="AB1998" s="586"/>
      <c r="AC1998" s="586"/>
      <c r="AD1998" s="586"/>
      <c r="AE1998" s="714"/>
      <c r="AF1998" s="570" t="s">
        <v>2899</v>
      </c>
      <c r="AG1998" s="570" t="s">
        <v>25</v>
      </c>
      <c r="AH1998" s="571" t="s">
        <v>25</v>
      </c>
      <c r="AI1998" s="572"/>
      <c r="AJ1998" s="572"/>
    </row>
    <row r="1999" spans="1:36" s="394" customFormat="1" ht="60.75" outlineLevel="2" x14ac:dyDescent="0.3">
      <c r="A1999" s="447">
        <v>170</v>
      </c>
      <c r="B1999" s="572"/>
      <c r="C1999" s="572"/>
      <c r="D1999" s="612"/>
      <c r="E1999" s="612"/>
      <c r="F1999" s="586"/>
      <c r="G1999" s="709"/>
      <c r="H1999" s="546"/>
      <c r="I1999" s="563" t="s">
        <v>25</v>
      </c>
      <c r="J1999" s="563" t="s">
        <v>25</v>
      </c>
      <c r="K1999" s="564" t="s">
        <v>25</v>
      </c>
      <c r="L1999" s="564" t="s">
        <v>25</v>
      </c>
      <c r="M1999" s="572"/>
      <c r="N1999" s="572"/>
      <c r="O1999" s="740"/>
      <c r="P1999" s="564" t="s">
        <v>25</v>
      </c>
      <c r="Q1999" s="564" t="s">
        <v>25</v>
      </c>
      <c r="R1999" s="566" t="s">
        <v>1956</v>
      </c>
      <c r="S1999" s="609" t="s">
        <v>1286</v>
      </c>
      <c r="T1999" s="741">
        <v>0.05</v>
      </c>
      <c r="U1999" s="586"/>
      <c r="V1999" s="564">
        <v>0</v>
      </c>
      <c r="W1999" s="564">
        <v>0</v>
      </c>
      <c r="X1999" s="650"/>
      <c r="Y1999" s="586"/>
      <c r="Z1999" s="742"/>
      <c r="AA1999" s="586"/>
      <c r="AB1999" s="586"/>
      <c r="AC1999" s="586"/>
      <c r="AD1999" s="586"/>
      <c r="AE1999" s="714"/>
      <c r="AF1999" s="570" t="s">
        <v>2899</v>
      </c>
      <c r="AG1999" s="570" t="s">
        <v>25</v>
      </c>
      <c r="AH1999" s="571" t="s">
        <v>25</v>
      </c>
      <c r="AI1999" s="572"/>
      <c r="AJ1999" s="572"/>
    </row>
    <row r="2000" spans="1:36" s="394" customFormat="1" ht="60.75" outlineLevel="2" x14ac:dyDescent="0.3">
      <c r="A2000" s="447">
        <v>170</v>
      </c>
      <c r="B2000" s="572"/>
      <c r="C2000" s="572"/>
      <c r="D2000" s="612"/>
      <c r="E2000" s="612"/>
      <c r="F2000" s="586"/>
      <c r="G2000" s="709"/>
      <c r="H2000" s="546"/>
      <c r="I2000" s="563" t="s">
        <v>25</v>
      </c>
      <c r="J2000" s="563" t="s">
        <v>25</v>
      </c>
      <c r="K2000" s="564" t="s">
        <v>25</v>
      </c>
      <c r="L2000" s="564" t="s">
        <v>25</v>
      </c>
      <c r="M2000" s="572"/>
      <c r="N2000" s="572"/>
      <c r="O2000" s="740"/>
      <c r="P2000" s="564" t="s">
        <v>25</v>
      </c>
      <c r="Q2000" s="564" t="s">
        <v>25</v>
      </c>
      <c r="R2000" s="566" t="s">
        <v>1970</v>
      </c>
      <c r="S2000" s="609" t="s">
        <v>1133</v>
      </c>
      <c r="T2000" s="741">
        <v>7.8</v>
      </c>
      <c r="U2000" s="586"/>
      <c r="V2000" s="564">
        <v>0</v>
      </c>
      <c r="W2000" s="564">
        <v>0</v>
      </c>
      <c r="X2000" s="650"/>
      <c r="Y2000" s="586"/>
      <c r="Z2000" s="742"/>
      <c r="AA2000" s="586"/>
      <c r="AB2000" s="586"/>
      <c r="AC2000" s="586"/>
      <c r="AD2000" s="586"/>
      <c r="AE2000" s="714"/>
      <c r="AF2000" s="570" t="s">
        <v>2899</v>
      </c>
      <c r="AG2000" s="570" t="s">
        <v>25</v>
      </c>
      <c r="AH2000" s="571" t="s">
        <v>25</v>
      </c>
      <c r="AI2000" s="572"/>
      <c r="AJ2000" s="572"/>
    </row>
    <row r="2001" spans="1:36" s="394" customFormat="1" ht="60.75" outlineLevel="2" x14ac:dyDescent="0.3">
      <c r="A2001" s="447">
        <v>170</v>
      </c>
      <c r="B2001" s="572"/>
      <c r="C2001" s="572"/>
      <c r="D2001" s="612"/>
      <c r="E2001" s="612"/>
      <c r="F2001" s="586"/>
      <c r="G2001" s="709"/>
      <c r="H2001" s="546"/>
      <c r="I2001" s="563" t="s">
        <v>25</v>
      </c>
      <c r="J2001" s="563" t="s">
        <v>25</v>
      </c>
      <c r="K2001" s="564" t="s">
        <v>25</v>
      </c>
      <c r="L2001" s="564" t="s">
        <v>25</v>
      </c>
      <c r="M2001" s="572"/>
      <c r="N2001" s="572"/>
      <c r="O2001" s="740"/>
      <c r="P2001" s="564" t="s">
        <v>25</v>
      </c>
      <c r="Q2001" s="564" t="s">
        <v>25</v>
      </c>
      <c r="R2001" s="566" t="s">
        <v>1971</v>
      </c>
      <c r="S2001" s="589" t="s">
        <v>2804</v>
      </c>
      <c r="T2001" s="591">
        <v>2.48</v>
      </c>
      <c r="U2001" s="586"/>
      <c r="V2001" s="564">
        <v>160256</v>
      </c>
      <c r="W2001" s="564">
        <v>397000</v>
      </c>
      <c r="X2001" s="650"/>
      <c r="Y2001" s="586"/>
      <c r="Z2001" s="742"/>
      <c r="AA2001" s="586"/>
      <c r="AB2001" s="586"/>
      <c r="AC2001" s="586"/>
      <c r="AD2001" s="586"/>
      <c r="AE2001" s="714"/>
      <c r="AF2001" s="570" t="s">
        <v>2899</v>
      </c>
      <c r="AG2001" s="570" t="s">
        <v>25</v>
      </c>
      <c r="AH2001" s="571" t="s">
        <v>25</v>
      </c>
      <c r="AI2001" s="572"/>
      <c r="AJ2001" s="572"/>
    </row>
    <row r="2002" spans="1:36" s="394" customFormat="1" ht="40.5" outlineLevel="2" x14ac:dyDescent="0.3">
      <c r="A2002" s="447">
        <v>170</v>
      </c>
      <c r="B2002" s="572"/>
      <c r="C2002" s="572"/>
      <c r="D2002" s="612"/>
      <c r="E2002" s="612"/>
      <c r="F2002" s="586"/>
      <c r="G2002" s="709"/>
      <c r="H2002" s="546"/>
      <c r="I2002" s="563" t="s">
        <v>25</v>
      </c>
      <c r="J2002" s="563" t="s">
        <v>25</v>
      </c>
      <c r="K2002" s="564" t="s">
        <v>25</v>
      </c>
      <c r="L2002" s="564" t="s">
        <v>25</v>
      </c>
      <c r="M2002" s="572"/>
      <c r="N2002" s="572"/>
      <c r="O2002" s="740"/>
      <c r="P2002" s="564" t="s">
        <v>25</v>
      </c>
      <c r="Q2002" s="564" t="s">
        <v>25</v>
      </c>
      <c r="R2002" s="566" t="s">
        <v>1972</v>
      </c>
      <c r="S2002" s="589" t="s">
        <v>2827</v>
      </c>
      <c r="T2002" s="591">
        <v>4</v>
      </c>
      <c r="U2002" s="586"/>
      <c r="V2002" s="564">
        <v>757794</v>
      </c>
      <c r="W2002" s="564">
        <v>3031000</v>
      </c>
      <c r="X2002" s="650"/>
      <c r="Y2002" s="586"/>
      <c r="Z2002" s="742"/>
      <c r="AA2002" s="586"/>
      <c r="AB2002" s="586"/>
      <c r="AC2002" s="586"/>
      <c r="AD2002" s="586"/>
      <c r="AE2002" s="714"/>
      <c r="AF2002" s="570" t="s">
        <v>2899</v>
      </c>
      <c r="AG2002" s="570" t="s">
        <v>25</v>
      </c>
      <c r="AH2002" s="571" t="s">
        <v>25</v>
      </c>
      <c r="AI2002" s="572"/>
      <c r="AJ2002" s="572"/>
    </row>
    <row r="2003" spans="1:36" s="394" customFormat="1" ht="81" outlineLevel="2" x14ac:dyDescent="0.3">
      <c r="A2003" s="447">
        <v>170</v>
      </c>
      <c r="B2003" s="572"/>
      <c r="C2003" s="572"/>
      <c r="D2003" s="612"/>
      <c r="E2003" s="612"/>
      <c r="F2003" s="586"/>
      <c r="G2003" s="709"/>
      <c r="H2003" s="546"/>
      <c r="I2003" s="563" t="s">
        <v>25</v>
      </c>
      <c r="J2003" s="563" t="s">
        <v>25</v>
      </c>
      <c r="K2003" s="564" t="s">
        <v>25</v>
      </c>
      <c r="L2003" s="564" t="s">
        <v>25</v>
      </c>
      <c r="M2003" s="572"/>
      <c r="N2003" s="572"/>
      <c r="O2003" s="740"/>
      <c r="P2003" s="564" t="s">
        <v>25</v>
      </c>
      <c r="Q2003" s="564" t="s">
        <v>25</v>
      </c>
      <c r="R2003" s="566" t="s">
        <v>1973</v>
      </c>
      <c r="S2003" s="589" t="s">
        <v>2804</v>
      </c>
      <c r="T2003" s="591">
        <v>64.3</v>
      </c>
      <c r="U2003" s="586"/>
      <c r="V2003" s="564">
        <v>700040</v>
      </c>
      <c r="W2003" s="564">
        <v>45013000</v>
      </c>
      <c r="X2003" s="650"/>
      <c r="Y2003" s="586"/>
      <c r="Z2003" s="742"/>
      <c r="AA2003" s="586"/>
      <c r="AB2003" s="586"/>
      <c r="AC2003" s="586"/>
      <c r="AD2003" s="586"/>
      <c r="AE2003" s="714"/>
      <c r="AF2003" s="570" t="s">
        <v>2899</v>
      </c>
      <c r="AG2003" s="570" t="s">
        <v>25</v>
      </c>
      <c r="AH2003" s="571" t="s">
        <v>25</v>
      </c>
      <c r="AI2003" s="572"/>
      <c r="AJ2003" s="572"/>
    </row>
    <row r="2004" spans="1:36" s="394" customFormat="1" ht="81" outlineLevel="2" x14ac:dyDescent="0.3">
      <c r="A2004" s="447">
        <v>170</v>
      </c>
      <c r="B2004" s="572"/>
      <c r="C2004" s="572"/>
      <c r="D2004" s="612"/>
      <c r="E2004" s="612"/>
      <c r="F2004" s="586"/>
      <c r="G2004" s="709"/>
      <c r="H2004" s="546"/>
      <c r="I2004" s="563" t="s">
        <v>25</v>
      </c>
      <c r="J2004" s="563" t="s">
        <v>25</v>
      </c>
      <c r="K2004" s="564" t="s">
        <v>25</v>
      </c>
      <c r="L2004" s="564" t="s">
        <v>25</v>
      </c>
      <c r="M2004" s="572"/>
      <c r="N2004" s="572"/>
      <c r="O2004" s="740"/>
      <c r="P2004" s="564" t="s">
        <v>25</v>
      </c>
      <c r="Q2004" s="564" t="s">
        <v>25</v>
      </c>
      <c r="R2004" s="566" t="s">
        <v>1973</v>
      </c>
      <c r="S2004" s="589" t="s">
        <v>2804</v>
      </c>
      <c r="T2004" s="591">
        <v>38.700000000000003</v>
      </c>
      <c r="U2004" s="586"/>
      <c r="V2004" s="564">
        <v>700040</v>
      </c>
      <c r="W2004" s="564">
        <v>27092000</v>
      </c>
      <c r="X2004" s="650"/>
      <c r="Y2004" s="586"/>
      <c r="Z2004" s="742"/>
      <c r="AA2004" s="586"/>
      <c r="AB2004" s="586"/>
      <c r="AC2004" s="586"/>
      <c r="AD2004" s="586"/>
      <c r="AE2004" s="714"/>
      <c r="AF2004" s="570" t="s">
        <v>2899</v>
      </c>
      <c r="AG2004" s="570" t="s">
        <v>25</v>
      </c>
      <c r="AH2004" s="571" t="s">
        <v>25</v>
      </c>
      <c r="AI2004" s="572"/>
      <c r="AJ2004" s="572"/>
    </row>
    <row r="2005" spans="1:36" s="394" customFormat="1" ht="60.75" outlineLevel="2" x14ac:dyDescent="0.3">
      <c r="A2005" s="447">
        <v>170</v>
      </c>
      <c r="B2005" s="572"/>
      <c r="C2005" s="572"/>
      <c r="D2005" s="612"/>
      <c r="E2005" s="612"/>
      <c r="F2005" s="586"/>
      <c r="G2005" s="709"/>
      <c r="H2005" s="546"/>
      <c r="I2005" s="563" t="s">
        <v>25</v>
      </c>
      <c r="J2005" s="563" t="s">
        <v>25</v>
      </c>
      <c r="K2005" s="564" t="s">
        <v>25</v>
      </c>
      <c r="L2005" s="564" t="s">
        <v>25</v>
      </c>
      <c r="M2005" s="572"/>
      <c r="N2005" s="572"/>
      <c r="O2005" s="740"/>
      <c r="P2005" s="564" t="s">
        <v>25</v>
      </c>
      <c r="Q2005" s="564" t="s">
        <v>25</v>
      </c>
      <c r="R2005" s="566" t="s">
        <v>1846</v>
      </c>
      <c r="S2005" s="589" t="s">
        <v>2804</v>
      </c>
      <c r="T2005" s="591">
        <v>10</v>
      </c>
      <c r="U2005" s="586"/>
      <c r="V2005" s="564">
        <v>238288</v>
      </c>
      <c r="W2005" s="564">
        <v>2383000</v>
      </c>
      <c r="X2005" s="650"/>
      <c r="Y2005" s="586"/>
      <c r="Z2005" s="742"/>
      <c r="AA2005" s="586"/>
      <c r="AB2005" s="586"/>
      <c r="AC2005" s="586"/>
      <c r="AD2005" s="586"/>
      <c r="AE2005" s="714"/>
      <c r="AF2005" s="570" t="s">
        <v>2899</v>
      </c>
      <c r="AG2005" s="570" t="s">
        <v>25</v>
      </c>
      <c r="AH2005" s="571" t="s">
        <v>25</v>
      </c>
      <c r="AI2005" s="572"/>
      <c r="AJ2005" s="572"/>
    </row>
    <row r="2006" spans="1:36" s="394" customFormat="1" ht="40.5" outlineLevel="2" x14ac:dyDescent="0.3">
      <c r="A2006" s="447">
        <v>170</v>
      </c>
      <c r="B2006" s="572"/>
      <c r="C2006" s="572"/>
      <c r="D2006" s="612"/>
      <c r="E2006" s="612"/>
      <c r="F2006" s="586"/>
      <c r="G2006" s="709"/>
      <c r="H2006" s="546"/>
      <c r="I2006" s="563" t="s">
        <v>25</v>
      </c>
      <c r="J2006" s="563" t="s">
        <v>25</v>
      </c>
      <c r="K2006" s="564" t="s">
        <v>25</v>
      </c>
      <c r="L2006" s="564" t="s">
        <v>25</v>
      </c>
      <c r="M2006" s="572"/>
      <c r="N2006" s="572"/>
      <c r="O2006" s="740"/>
      <c r="P2006" s="564" t="s">
        <v>25</v>
      </c>
      <c r="Q2006" s="564" t="s">
        <v>25</v>
      </c>
      <c r="R2006" s="566" t="s">
        <v>1974</v>
      </c>
      <c r="S2006" s="589" t="s">
        <v>2827</v>
      </c>
      <c r="T2006" s="591">
        <v>80</v>
      </c>
      <c r="U2006" s="586"/>
      <c r="V2006" s="564">
        <v>757794</v>
      </c>
      <c r="W2006" s="564">
        <v>60624000</v>
      </c>
      <c r="X2006" s="650"/>
      <c r="Y2006" s="586"/>
      <c r="Z2006" s="742"/>
      <c r="AA2006" s="586"/>
      <c r="AB2006" s="586"/>
      <c r="AC2006" s="586"/>
      <c r="AD2006" s="586"/>
      <c r="AE2006" s="714"/>
      <c r="AF2006" s="570" t="s">
        <v>2899</v>
      </c>
      <c r="AG2006" s="570" t="s">
        <v>25</v>
      </c>
      <c r="AH2006" s="571" t="s">
        <v>25</v>
      </c>
      <c r="AI2006" s="572"/>
      <c r="AJ2006" s="572"/>
    </row>
    <row r="2007" spans="1:36" s="394" customFormat="1" ht="60.75" outlineLevel="2" x14ac:dyDescent="0.3">
      <c r="A2007" s="447">
        <v>170</v>
      </c>
      <c r="B2007" s="572"/>
      <c r="C2007" s="572"/>
      <c r="D2007" s="612"/>
      <c r="E2007" s="612"/>
      <c r="F2007" s="586"/>
      <c r="G2007" s="709"/>
      <c r="H2007" s="546"/>
      <c r="I2007" s="563" t="s">
        <v>25</v>
      </c>
      <c r="J2007" s="563" t="s">
        <v>25</v>
      </c>
      <c r="K2007" s="564" t="s">
        <v>25</v>
      </c>
      <c r="L2007" s="564" t="s">
        <v>25</v>
      </c>
      <c r="M2007" s="572"/>
      <c r="N2007" s="572"/>
      <c r="O2007" s="740"/>
      <c r="P2007" s="564" t="s">
        <v>25</v>
      </c>
      <c r="Q2007" s="564" t="s">
        <v>25</v>
      </c>
      <c r="R2007" s="566" t="s">
        <v>1975</v>
      </c>
      <c r="S2007" s="589" t="s">
        <v>2804</v>
      </c>
      <c r="T2007" s="591">
        <v>45.9</v>
      </c>
      <c r="U2007" s="586"/>
      <c r="V2007" s="564">
        <v>0</v>
      </c>
      <c r="W2007" s="564">
        <v>0</v>
      </c>
      <c r="X2007" s="650"/>
      <c r="Y2007" s="586"/>
      <c r="Z2007" s="742"/>
      <c r="AA2007" s="586"/>
      <c r="AB2007" s="586"/>
      <c r="AC2007" s="586"/>
      <c r="AD2007" s="586"/>
      <c r="AE2007" s="714"/>
      <c r="AF2007" s="570" t="s">
        <v>2899</v>
      </c>
      <c r="AG2007" s="570" t="s">
        <v>25</v>
      </c>
      <c r="AH2007" s="571" t="s">
        <v>25</v>
      </c>
      <c r="AI2007" s="572"/>
      <c r="AJ2007" s="572"/>
    </row>
    <row r="2008" spans="1:36" s="394" customFormat="1" ht="20.25" outlineLevel="2" x14ac:dyDescent="0.3">
      <c r="A2008" s="447">
        <v>170</v>
      </c>
      <c r="B2008" s="572"/>
      <c r="C2008" s="572"/>
      <c r="D2008" s="612"/>
      <c r="E2008" s="612"/>
      <c r="F2008" s="586"/>
      <c r="G2008" s="709"/>
      <c r="H2008" s="546"/>
      <c r="I2008" s="563" t="s">
        <v>25</v>
      </c>
      <c r="J2008" s="563" t="s">
        <v>25</v>
      </c>
      <c r="K2008" s="564" t="s">
        <v>25</v>
      </c>
      <c r="L2008" s="564" t="s">
        <v>25</v>
      </c>
      <c r="M2008" s="572"/>
      <c r="N2008" s="572"/>
      <c r="O2008" s="740"/>
      <c r="P2008" s="564" t="s">
        <v>25</v>
      </c>
      <c r="Q2008" s="564" t="s">
        <v>25</v>
      </c>
      <c r="R2008" s="566"/>
      <c r="S2008" s="609"/>
      <c r="T2008" s="741"/>
      <c r="U2008" s="586"/>
      <c r="V2008" s="564" t="s">
        <v>2899</v>
      </c>
      <c r="W2008" s="564" t="s">
        <v>25</v>
      </c>
      <c r="X2008" s="650"/>
      <c r="Y2008" s="586"/>
      <c r="Z2008" s="742"/>
      <c r="AA2008" s="586"/>
      <c r="AB2008" s="586"/>
      <c r="AC2008" s="586"/>
      <c r="AD2008" s="586"/>
      <c r="AE2008" s="714"/>
      <c r="AF2008" s="570" t="s">
        <v>2899</v>
      </c>
      <c r="AG2008" s="570" t="s">
        <v>25</v>
      </c>
      <c r="AH2008" s="571" t="s">
        <v>25</v>
      </c>
      <c r="AI2008" s="572"/>
      <c r="AJ2008" s="572"/>
    </row>
    <row r="2009" spans="1:36" s="394" customFormat="1" ht="20.25" outlineLevel="2" x14ac:dyDescent="0.3">
      <c r="A2009" s="447">
        <v>170</v>
      </c>
      <c r="B2009" s="572"/>
      <c r="C2009" s="572"/>
      <c r="D2009" s="612"/>
      <c r="E2009" s="612"/>
      <c r="F2009" s="586"/>
      <c r="G2009" s="709"/>
      <c r="H2009" s="546"/>
      <c r="I2009" s="563" t="s">
        <v>25</v>
      </c>
      <c r="J2009" s="563" t="s">
        <v>25</v>
      </c>
      <c r="K2009" s="564" t="s">
        <v>25</v>
      </c>
      <c r="L2009" s="564" t="s">
        <v>25</v>
      </c>
      <c r="M2009" s="572"/>
      <c r="N2009" s="572"/>
      <c r="O2009" s="740"/>
      <c r="P2009" s="564" t="s">
        <v>25</v>
      </c>
      <c r="Q2009" s="564" t="s">
        <v>25</v>
      </c>
      <c r="R2009" s="566"/>
      <c r="S2009" s="609"/>
      <c r="T2009" s="741"/>
      <c r="U2009" s="586"/>
      <c r="V2009" s="564" t="s">
        <v>2899</v>
      </c>
      <c r="W2009" s="564" t="s">
        <v>25</v>
      </c>
      <c r="X2009" s="650"/>
      <c r="Y2009" s="586"/>
      <c r="Z2009" s="742"/>
      <c r="AA2009" s="586"/>
      <c r="AB2009" s="586"/>
      <c r="AC2009" s="586"/>
      <c r="AD2009" s="586"/>
      <c r="AE2009" s="714"/>
      <c r="AF2009" s="570" t="s">
        <v>2899</v>
      </c>
      <c r="AG2009" s="570" t="s">
        <v>25</v>
      </c>
      <c r="AH2009" s="571" t="s">
        <v>25</v>
      </c>
      <c r="AI2009" s="572"/>
      <c r="AJ2009" s="572"/>
    </row>
    <row r="2010" spans="1:36" s="394" customFormat="1" ht="20.25" outlineLevel="2" x14ac:dyDescent="0.3">
      <c r="A2010" s="447">
        <v>170</v>
      </c>
      <c r="B2010" s="572"/>
      <c r="C2010" s="572"/>
      <c r="D2010" s="612"/>
      <c r="E2010" s="612"/>
      <c r="F2010" s="586"/>
      <c r="G2010" s="709"/>
      <c r="H2010" s="546"/>
      <c r="I2010" s="563" t="s">
        <v>25</v>
      </c>
      <c r="J2010" s="563" t="s">
        <v>25</v>
      </c>
      <c r="K2010" s="564" t="s">
        <v>25</v>
      </c>
      <c r="L2010" s="564" t="s">
        <v>25</v>
      </c>
      <c r="M2010" s="572"/>
      <c r="N2010" s="572"/>
      <c r="O2010" s="740"/>
      <c r="P2010" s="564" t="s">
        <v>25</v>
      </c>
      <c r="Q2010" s="564" t="s">
        <v>25</v>
      </c>
      <c r="R2010" s="566"/>
      <c r="S2010" s="609"/>
      <c r="T2010" s="741"/>
      <c r="U2010" s="586"/>
      <c r="V2010" s="564" t="s">
        <v>2899</v>
      </c>
      <c r="W2010" s="564" t="s">
        <v>25</v>
      </c>
      <c r="X2010" s="650"/>
      <c r="Y2010" s="586"/>
      <c r="Z2010" s="742"/>
      <c r="AA2010" s="586"/>
      <c r="AB2010" s="586"/>
      <c r="AC2010" s="586"/>
      <c r="AD2010" s="586"/>
      <c r="AE2010" s="714"/>
      <c r="AF2010" s="570" t="s">
        <v>2899</v>
      </c>
      <c r="AG2010" s="570" t="s">
        <v>25</v>
      </c>
      <c r="AH2010" s="571" t="s">
        <v>25</v>
      </c>
      <c r="AI2010" s="586"/>
      <c r="AJ2010" s="586"/>
    </row>
    <row r="2011" spans="1:36" s="394" customFormat="1" ht="20.25" outlineLevel="2" x14ac:dyDescent="0.3">
      <c r="A2011" s="447">
        <v>170</v>
      </c>
      <c r="B2011" s="607"/>
      <c r="C2011" s="607"/>
      <c r="D2011" s="642"/>
      <c r="E2011" s="642"/>
      <c r="F2011" s="586"/>
      <c r="G2011" s="709"/>
      <c r="H2011" s="546"/>
      <c r="I2011" s="563" t="s">
        <v>25</v>
      </c>
      <c r="J2011" s="563" t="s">
        <v>25</v>
      </c>
      <c r="K2011" s="564" t="s">
        <v>25</v>
      </c>
      <c r="L2011" s="564" t="s">
        <v>25</v>
      </c>
      <c r="M2011" s="572"/>
      <c r="N2011" s="572"/>
      <c r="O2011" s="740"/>
      <c r="P2011" s="564" t="s">
        <v>25</v>
      </c>
      <c r="Q2011" s="564" t="s">
        <v>25</v>
      </c>
      <c r="R2011" s="566"/>
      <c r="S2011" s="609"/>
      <c r="T2011" s="741"/>
      <c r="U2011" s="586"/>
      <c r="V2011" s="564" t="s">
        <v>2899</v>
      </c>
      <c r="W2011" s="564" t="s">
        <v>25</v>
      </c>
      <c r="X2011" s="650"/>
      <c r="Y2011" s="586"/>
      <c r="Z2011" s="742"/>
      <c r="AA2011" s="586"/>
      <c r="AB2011" s="586"/>
      <c r="AC2011" s="586"/>
      <c r="AD2011" s="586"/>
      <c r="AE2011" s="714"/>
      <c r="AF2011" s="570" t="s">
        <v>2899</v>
      </c>
      <c r="AG2011" s="570" t="s">
        <v>25</v>
      </c>
      <c r="AH2011" s="571" t="s">
        <v>25</v>
      </c>
      <c r="AI2011" s="586"/>
      <c r="AJ2011" s="586"/>
    </row>
    <row r="2012" spans="1:36" s="396" customFormat="1" ht="40.5" outlineLevel="1" x14ac:dyDescent="0.25">
      <c r="A2012" s="467">
        <v>171</v>
      </c>
      <c r="B2012" s="607" t="s">
        <v>1363</v>
      </c>
      <c r="C2012" s="586" t="s">
        <v>2903</v>
      </c>
      <c r="D2012" s="612">
        <v>86</v>
      </c>
      <c r="E2012" s="612">
        <v>222</v>
      </c>
      <c r="F2012" s="578"/>
      <c r="G2012" s="707">
        <v>95</v>
      </c>
      <c r="H2012" s="579">
        <v>95</v>
      </c>
      <c r="I2012" s="581"/>
      <c r="J2012" s="581"/>
      <c r="K2012" s="571">
        <v>35796000</v>
      </c>
      <c r="L2012" s="571">
        <v>107388000</v>
      </c>
      <c r="M2012" s="607"/>
      <c r="N2012" s="607"/>
      <c r="O2012" s="738">
        <v>0</v>
      </c>
      <c r="P2012" s="571"/>
      <c r="Q2012" s="571">
        <v>0</v>
      </c>
      <c r="R2012" s="582"/>
      <c r="S2012" s="621"/>
      <c r="T2012" s="739">
        <v>0</v>
      </c>
      <c r="U2012" s="578"/>
      <c r="V2012" s="571"/>
      <c r="W2012" s="571">
        <v>0</v>
      </c>
      <c r="X2012" s="650"/>
      <c r="Y2012" s="586"/>
      <c r="Z2012" s="742"/>
      <c r="AA2012" s="586"/>
      <c r="AB2012" s="586"/>
      <c r="AC2012" s="586"/>
      <c r="AD2012" s="578"/>
      <c r="AE2012" s="712">
        <f>SUBTOTAL(9,AE2013:AE2019)</f>
        <v>0</v>
      </c>
      <c r="AF2012" s="585"/>
      <c r="AG2012" s="585">
        <v>0</v>
      </c>
      <c r="AH2012" s="571">
        <v>143184000</v>
      </c>
      <c r="AI2012" s="578"/>
      <c r="AJ2012" s="578"/>
    </row>
    <row r="2013" spans="1:36" s="396" customFormat="1" ht="121.5" outlineLevel="2" x14ac:dyDescent="0.3">
      <c r="A2013" s="447">
        <v>171</v>
      </c>
      <c r="B2013" s="572" t="s">
        <v>1366</v>
      </c>
      <c r="C2013" s="572"/>
      <c r="D2013" s="612"/>
      <c r="E2013" s="612"/>
      <c r="F2013" s="586" t="s">
        <v>2433</v>
      </c>
      <c r="G2013" s="709">
        <v>95</v>
      </c>
      <c r="H2013" s="546">
        <v>95</v>
      </c>
      <c r="I2013" s="563">
        <v>376800</v>
      </c>
      <c r="J2013" s="563">
        <v>1130400</v>
      </c>
      <c r="K2013" s="564">
        <v>35796000</v>
      </c>
      <c r="L2013" s="564">
        <v>107388000</v>
      </c>
      <c r="M2013" s="572"/>
      <c r="N2013" s="572"/>
      <c r="O2013" s="740"/>
      <c r="P2013" s="564" t="s">
        <v>25</v>
      </c>
      <c r="Q2013" s="564" t="s">
        <v>25</v>
      </c>
      <c r="R2013" s="566"/>
      <c r="S2013" s="609"/>
      <c r="T2013" s="741"/>
      <c r="U2013" s="586"/>
      <c r="V2013" s="564" t="s">
        <v>2899</v>
      </c>
      <c r="W2013" s="564" t="s">
        <v>25</v>
      </c>
      <c r="X2013" s="650"/>
      <c r="Y2013" s="586"/>
      <c r="Z2013" s="742"/>
      <c r="AA2013" s="586"/>
      <c r="AB2013" s="586"/>
      <c r="AC2013" s="586"/>
      <c r="AD2013" s="586"/>
      <c r="AE2013" s="714"/>
      <c r="AF2013" s="570" t="s">
        <v>2899</v>
      </c>
      <c r="AG2013" s="570" t="s">
        <v>25</v>
      </c>
      <c r="AH2013" s="571" t="s">
        <v>25</v>
      </c>
      <c r="AI2013" s="586" t="s">
        <v>1371</v>
      </c>
      <c r="AJ2013" s="586" t="s">
        <v>2771</v>
      </c>
    </row>
    <row r="2014" spans="1:36" s="394" customFormat="1" ht="81" outlineLevel="2" x14ac:dyDescent="0.3">
      <c r="A2014" s="447">
        <v>171</v>
      </c>
      <c r="B2014" s="572" t="s">
        <v>1621</v>
      </c>
      <c r="C2014" s="572"/>
      <c r="D2014" s="612"/>
      <c r="E2014" s="612"/>
      <c r="F2014" s="586"/>
      <c r="G2014" s="709"/>
      <c r="H2014" s="546"/>
      <c r="I2014" s="563" t="s">
        <v>25</v>
      </c>
      <c r="J2014" s="563" t="s">
        <v>25</v>
      </c>
      <c r="K2014" s="564" t="s">
        <v>25</v>
      </c>
      <c r="L2014" s="564" t="s">
        <v>25</v>
      </c>
      <c r="M2014" s="572"/>
      <c r="N2014" s="572"/>
      <c r="O2014" s="740"/>
      <c r="P2014" s="564" t="s">
        <v>25</v>
      </c>
      <c r="Q2014" s="564" t="s">
        <v>25</v>
      </c>
      <c r="R2014" s="566"/>
      <c r="S2014" s="609"/>
      <c r="T2014" s="741"/>
      <c r="U2014" s="586"/>
      <c r="V2014" s="564" t="s">
        <v>2899</v>
      </c>
      <c r="W2014" s="564" t="s">
        <v>25</v>
      </c>
      <c r="X2014" s="650"/>
      <c r="Y2014" s="586"/>
      <c r="Z2014" s="742"/>
      <c r="AA2014" s="586"/>
      <c r="AB2014" s="586"/>
      <c r="AC2014" s="586"/>
      <c r="AD2014" s="586"/>
      <c r="AE2014" s="714"/>
      <c r="AF2014" s="570" t="s">
        <v>2899</v>
      </c>
      <c r="AG2014" s="570" t="s">
        <v>25</v>
      </c>
      <c r="AH2014" s="571" t="s">
        <v>25</v>
      </c>
      <c r="AI2014" s="586" t="s">
        <v>1736</v>
      </c>
      <c r="AJ2014" s="605" t="s">
        <v>2448</v>
      </c>
    </row>
    <row r="2015" spans="1:36" s="394" customFormat="1" ht="60.75" outlineLevel="2" x14ac:dyDescent="0.3">
      <c r="A2015" s="447">
        <v>171</v>
      </c>
      <c r="B2015" s="572"/>
      <c r="C2015" s="572"/>
      <c r="D2015" s="612"/>
      <c r="E2015" s="612"/>
      <c r="F2015" s="586"/>
      <c r="G2015" s="709"/>
      <c r="H2015" s="546"/>
      <c r="I2015" s="563" t="s">
        <v>25</v>
      </c>
      <c r="J2015" s="563" t="s">
        <v>25</v>
      </c>
      <c r="K2015" s="564" t="s">
        <v>25</v>
      </c>
      <c r="L2015" s="564" t="s">
        <v>25</v>
      </c>
      <c r="M2015" s="572"/>
      <c r="N2015" s="572"/>
      <c r="O2015" s="740"/>
      <c r="P2015" s="564" t="s">
        <v>25</v>
      </c>
      <c r="Q2015" s="564" t="s">
        <v>25</v>
      </c>
      <c r="R2015" s="566"/>
      <c r="S2015" s="609"/>
      <c r="T2015" s="741"/>
      <c r="U2015" s="586"/>
      <c r="V2015" s="564" t="s">
        <v>2899</v>
      </c>
      <c r="W2015" s="564" t="s">
        <v>25</v>
      </c>
      <c r="X2015" s="650"/>
      <c r="Y2015" s="586"/>
      <c r="Z2015" s="742"/>
      <c r="AA2015" s="586"/>
      <c r="AB2015" s="586"/>
      <c r="AC2015" s="586"/>
      <c r="AD2015" s="586"/>
      <c r="AE2015" s="714"/>
      <c r="AF2015" s="570" t="s">
        <v>2899</v>
      </c>
      <c r="AG2015" s="570" t="s">
        <v>25</v>
      </c>
      <c r="AH2015" s="571" t="s">
        <v>25</v>
      </c>
      <c r="AI2015" s="586" t="s">
        <v>2074</v>
      </c>
      <c r="AJ2015" s="586"/>
    </row>
    <row r="2016" spans="1:36" s="394" customFormat="1" ht="20.25" outlineLevel="2" x14ac:dyDescent="0.3">
      <c r="A2016" s="447">
        <v>171</v>
      </c>
      <c r="B2016" s="572"/>
      <c r="C2016" s="572"/>
      <c r="D2016" s="612"/>
      <c r="E2016" s="612"/>
      <c r="F2016" s="586"/>
      <c r="G2016" s="709"/>
      <c r="H2016" s="546"/>
      <c r="I2016" s="563" t="s">
        <v>25</v>
      </c>
      <c r="J2016" s="563" t="s">
        <v>25</v>
      </c>
      <c r="K2016" s="564" t="s">
        <v>25</v>
      </c>
      <c r="L2016" s="564" t="s">
        <v>25</v>
      </c>
      <c r="M2016" s="572"/>
      <c r="N2016" s="572"/>
      <c r="O2016" s="740"/>
      <c r="P2016" s="564" t="s">
        <v>25</v>
      </c>
      <c r="Q2016" s="564" t="s">
        <v>25</v>
      </c>
      <c r="R2016" s="566"/>
      <c r="S2016" s="609"/>
      <c r="T2016" s="741"/>
      <c r="U2016" s="586"/>
      <c r="V2016" s="564" t="s">
        <v>2899</v>
      </c>
      <c r="W2016" s="564" t="s">
        <v>25</v>
      </c>
      <c r="X2016" s="650"/>
      <c r="Y2016" s="586"/>
      <c r="Z2016" s="742"/>
      <c r="AA2016" s="586"/>
      <c r="AB2016" s="586"/>
      <c r="AC2016" s="586"/>
      <c r="AD2016" s="586"/>
      <c r="AE2016" s="714"/>
      <c r="AF2016" s="570" t="s">
        <v>2899</v>
      </c>
      <c r="AG2016" s="570" t="s">
        <v>25</v>
      </c>
      <c r="AH2016" s="571" t="s">
        <v>25</v>
      </c>
      <c r="AI2016" s="731"/>
      <c r="AJ2016" s="586"/>
    </row>
    <row r="2017" spans="1:36" s="394" customFormat="1" ht="20.25" outlineLevel="2" x14ac:dyDescent="0.3">
      <c r="A2017" s="447">
        <v>171</v>
      </c>
      <c r="B2017" s="572"/>
      <c r="C2017" s="572"/>
      <c r="D2017" s="612"/>
      <c r="E2017" s="612"/>
      <c r="F2017" s="586"/>
      <c r="G2017" s="709"/>
      <c r="H2017" s="546"/>
      <c r="I2017" s="563" t="s">
        <v>25</v>
      </c>
      <c r="J2017" s="563" t="s">
        <v>25</v>
      </c>
      <c r="K2017" s="564" t="s">
        <v>25</v>
      </c>
      <c r="L2017" s="564" t="s">
        <v>25</v>
      </c>
      <c r="M2017" s="572"/>
      <c r="N2017" s="572"/>
      <c r="O2017" s="740"/>
      <c r="P2017" s="564" t="s">
        <v>25</v>
      </c>
      <c r="Q2017" s="564" t="s">
        <v>25</v>
      </c>
      <c r="R2017" s="566"/>
      <c r="S2017" s="609"/>
      <c r="T2017" s="741"/>
      <c r="U2017" s="586"/>
      <c r="V2017" s="564" t="s">
        <v>2899</v>
      </c>
      <c r="W2017" s="564" t="s">
        <v>25</v>
      </c>
      <c r="X2017" s="650"/>
      <c r="Y2017" s="586"/>
      <c r="Z2017" s="742"/>
      <c r="AA2017" s="586"/>
      <c r="AB2017" s="586"/>
      <c r="AC2017" s="586"/>
      <c r="AD2017" s="586"/>
      <c r="AE2017" s="714"/>
      <c r="AF2017" s="570" t="s">
        <v>2899</v>
      </c>
      <c r="AG2017" s="570" t="s">
        <v>25</v>
      </c>
      <c r="AH2017" s="571" t="s">
        <v>25</v>
      </c>
      <c r="AI2017" s="586"/>
      <c r="AJ2017" s="586"/>
    </row>
    <row r="2018" spans="1:36" s="394" customFormat="1" ht="20.25" outlineLevel="2" x14ac:dyDescent="0.3">
      <c r="A2018" s="447">
        <v>171</v>
      </c>
      <c r="B2018" s="572"/>
      <c r="C2018" s="572"/>
      <c r="D2018" s="612"/>
      <c r="E2018" s="612"/>
      <c r="F2018" s="586"/>
      <c r="G2018" s="709"/>
      <c r="H2018" s="546"/>
      <c r="I2018" s="563" t="s">
        <v>25</v>
      </c>
      <c r="J2018" s="563" t="s">
        <v>25</v>
      </c>
      <c r="K2018" s="564" t="s">
        <v>25</v>
      </c>
      <c r="L2018" s="564" t="s">
        <v>25</v>
      </c>
      <c r="M2018" s="572"/>
      <c r="N2018" s="572"/>
      <c r="O2018" s="740"/>
      <c r="P2018" s="564" t="s">
        <v>25</v>
      </c>
      <c r="Q2018" s="564" t="s">
        <v>25</v>
      </c>
      <c r="R2018" s="566"/>
      <c r="S2018" s="609"/>
      <c r="T2018" s="741"/>
      <c r="U2018" s="586"/>
      <c r="V2018" s="564" t="s">
        <v>2899</v>
      </c>
      <c r="W2018" s="564" t="s">
        <v>25</v>
      </c>
      <c r="X2018" s="650"/>
      <c r="Y2018" s="586"/>
      <c r="Z2018" s="742"/>
      <c r="AA2018" s="586"/>
      <c r="AB2018" s="586"/>
      <c r="AC2018" s="586"/>
      <c r="AD2018" s="586"/>
      <c r="AE2018" s="714"/>
      <c r="AF2018" s="570" t="s">
        <v>2899</v>
      </c>
      <c r="AG2018" s="570" t="s">
        <v>25</v>
      </c>
      <c r="AH2018" s="571" t="s">
        <v>25</v>
      </c>
      <c r="AI2018" s="586"/>
      <c r="AJ2018" s="586"/>
    </row>
    <row r="2019" spans="1:36" s="394" customFormat="1" ht="20.25" outlineLevel="2" x14ac:dyDescent="0.3">
      <c r="A2019" s="447">
        <v>171</v>
      </c>
      <c r="B2019" s="607"/>
      <c r="C2019" s="607"/>
      <c r="D2019" s="642"/>
      <c r="E2019" s="642"/>
      <c r="F2019" s="586"/>
      <c r="G2019" s="709"/>
      <c r="H2019" s="546"/>
      <c r="I2019" s="563" t="s">
        <v>25</v>
      </c>
      <c r="J2019" s="563" t="s">
        <v>25</v>
      </c>
      <c r="K2019" s="564" t="s">
        <v>25</v>
      </c>
      <c r="L2019" s="564" t="s">
        <v>25</v>
      </c>
      <c r="M2019" s="572"/>
      <c r="N2019" s="572"/>
      <c r="O2019" s="740"/>
      <c r="P2019" s="564" t="s">
        <v>25</v>
      </c>
      <c r="Q2019" s="564" t="s">
        <v>25</v>
      </c>
      <c r="R2019" s="566"/>
      <c r="S2019" s="609"/>
      <c r="T2019" s="741"/>
      <c r="U2019" s="586"/>
      <c r="V2019" s="564" t="s">
        <v>2899</v>
      </c>
      <c r="W2019" s="564" t="s">
        <v>25</v>
      </c>
      <c r="X2019" s="650"/>
      <c r="Y2019" s="586"/>
      <c r="Z2019" s="742"/>
      <c r="AA2019" s="586"/>
      <c r="AB2019" s="586"/>
      <c r="AC2019" s="586"/>
      <c r="AD2019" s="586"/>
      <c r="AE2019" s="714"/>
      <c r="AF2019" s="570" t="s">
        <v>2899</v>
      </c>
      <c r="AG2019" s="570" t="s">
        <v>25</v>
      </c>
      <c r="AH2019" s="571" t="s">
        <v>25</v>
      </c>
      <c r="AI2019" s="586"/>
      <c r="AJ2019" s="586"/>
    </row>
    <row r="2020" spans="1:36" s="394" customFormat="1" ht="40.5" outlineLevel="1" x14ac:dyDescent="0.25">
      <c r="A2020" s="467">
        <v>172</v>
      </c>
      <c r="B2020" s="607" t="s">
        <v>1373</v>
      </c>
      <c r="C2020" s="586" t="s">
        <v>2903</v>
      </c>
      <c r="D2020" s="612"/>
      <c r="E2020" s="612"/>
      <c r="F2020" s="578"/>
      <c r="G2020" s="707">
        <v>0</v>
      </c>
      <c r="H2020" s="579">
        <v>0</v>
      </c>
      <c r="I2020" s="581"/>
      <c r="J2020" s="581"/>
      <c r="K2020" s="571">
        <v>0</v>
      </c>
      <c r="L2020" s="571">
        <v>0</v>
      </c>
      <c r="M2020" s="607"/>
      <c r="N2020" s="607"/>
      <c r="O2020" s="738">
        <v>0</v>
      </c>
      <c r="P2020" s="571"/>
      <c r="Q2020" s="571">
        <v>0</v>
      </c>
      <c r="R2020" s="582"/>
      <c r="S2020" s="621"/>
      <c r="T2020" s="739">
        <v>51.870000000000005</v>
      </c>
      <c r="U2020" s="578"/>
      <c r="V2020" s="571"/>
      <c r="W2020" s="571">
        <v>101345000</v>
      </c>
      <c r="X2020" s="661"/>
      <c r="Y2020" s="683"/>
      <c r="Z2020" s="683"/>
      <c r="AA2020" s="694"/>
      <c r="AB2020" s="683"/>
      <c r="AC2020" s="683"/>
      <c r="AD2020" s="650"/>
      <c r="AE2020" s="599">
        <f>SUBTOTAL(9,AE2021:AE2027)</f>
        <v>0</v>
      </c>
      <c r="AF2020" s="585"/>
      <c r="AG2020" s="585">
        <v>0</v>
      </c>
      <c r="AH2020" s="571">
        <v>101345000</v>
      </c>
      <c r="AI2020" s="578"/>
      <c r="AJ2020" s="574"/>
    </row>
    <row r="2021" spans="1:36" s="394" customFormat="1" ht="121.5" outlineLevel="2" x14ac:dyDescent="0.3">
      <c r="A2021" s="447">
        <v>172</v>
      </c>
      <c r="B2021" s="572" t="s">
        <v>1375</v>
      </c>
      <c r="C2021" s="572"/>
      <c r="D2021" s="612"/>
      <c r="E2021" s="612"/>
      <c r="F2021" s="586"/>
      <c r="G2021" s="709"/>
      <c r="H2021" s="546"/>
      <c r="I2021" s="563" t="s">
        <v>25</v>
      </c>
      <c r="J2021" s="563" t="s">
        <v>25</v>
      </c>
      <c r="K2021" s="564" t="s">
        <v>25</v>
      </c>
      <c r="L2021" s="564" t="s">
        <v>25</v>
      </c>
      <c r="M2021" s="572"/>
      <c r="N2021" s="572"/>
      <c r="O2021" s="740"/>
      <c r="P2021" s="564" t="s">
        <v>25</v>
      </c>
      <c r="Q2021" s="564" t="s">
        <v>25</v>
      </c>
      <c r="R2021" s="566" t="s">
        <v>1838</v>
      </c>
      <c r="S2021" s="609" t="s">
        <v>1133</v>
      </c>
      <c r="T2021" s="741">
        <v>19.73</v>
      </c>
      <c r="U2021" s="586"/>
      <c r="V2021" s="564">
        <v>3156089</v>
      </c>
      <c r="W2021" s="564">
        <v>62270000</v>
      </c>
      <c r="X2021" s="661" t="s">
        <v>1138</v>
      </c>
      <c r="Y2021" s="683" t="s">
        <v>1139</v>
      </c>
      <c r="Z2021" s="683" t="s">
        <v>56</v>
      </c>
      <c r="AA2021" s="694" t="s">
        <v>269</v>
      </c>
      <c r="AB2021" s="683" t="s">
        <v>1138</v>
      </c>
      <c r="AC2021" s="683"/>
      <c r="AD2021" s="683"/>
      <c r="AE2021" s="590"/>
      <c r="AF2021" s="570" t="s">
        <v>2899</v>
      </c>
      <c r="AG2021" s="570" t="s">
        <v>25</v>
      </c>
      <c r="AH2021" s="571" t="s">
        <v>25</v>
      </c>
      <c r="AI2021" s="586" t="s">
        <v>1374</v>
      </c>
      <c r="AJ2021" s="558" t="s">
        <v>2450</v>
      </c>
    </row>
    <row r="2022" spans="1:36" s="394" customFormat="1" ht="101.25" outlineLevel="2" x14ac:dyDescent="0.3">
      <c r="A2022" s="447">
        <v>172</v>
      </c>
      <c r="B2022" s="572" t="s">
        <v>1622</v>
      </c>
      <c r="C2022" s="572"/>
      <c r="D2022" s="612"/>
      <c r="E2022" s="612"/>
      <c r="F2022" s="586"/>
      <c r="G2022" s="709"/>
      <c r="H2022" s="546"/>
      <c r="I2022" s="563" t="s">
        <v>25</v>
      </c>
      <c r="J2022" s="563" t="s">
        <v>25</v>
      </c>
      <c r="K2022" s="564" t="s">
        <v>25</v>
      </c>
      <c r="L2022" s="564" t="s">
        <v>25</v>
      </c>
      <c r="M2022" s="572"/>
      <c r="N2022" s="572"/>
      <c r="O2022" s="740"/>
      <c r="P2022" s="564" t="s">
        <v>25</v>
      </c>
      <c r="Q2022" s="564" t="s">
        <v>25</v>
      </c>
      <c r="R2022" s="566" t="s">
        <v>2386</v>
      </c>
      <c r="S2022" s="609" t="s">
        <v>1133</v>
      </c>
      <c r="T2022" s="741">
        <v>3.2199999999999998</v>
      </c>
      <c r="U2022" s="586"/>
      <c r="V2022" s="564">
        <v>8308812</v>
      </c>
      <c r="W2022" s="564">
        <v>26754000</v>
      </c>
      <c r="X2022" s="650"/>
      <c r="Y2022" s="586"/>
      <c r="Z2022" s="742"/>
      <c r="AA2022" s="586"/>
      <c r="AB2022" s="586"/>
      <c r="AC2022" s="586"/>
      <c r="AD2022" s="586"/>
      <c r="AE2022" s="714"/>
      <c r="AF2022" s="570" t="s">
        <v>2899</v>
      </c>
      <c r="AG2022" s="570" t="s">
        <v>25</v>
      </c>
      <c r="AH2022" s="571" t="s">
        <v>25</v>
      </c>
      <c r="AI2022" s="586" t="s">
        <v>169</v>
      </c>
      <c r="AJ2022" s="586" t="s">
        <v>2800</v>
      </c>
    </row>
    <row r="2023" spans="1:36" s="394" customFormat="1" ht="81" outlineLevel="2" x14ac:dyDescent="0.3">
      <c r="A2023" s="447">
        <v>172</v>
      </c>
      <c r="B2023" s="572"/>
      <c r="C2023" s="572"/>
      <c r="D2023" s="612"/>
      <c r="E2023" s="612"/>
      <c r="F2023" s="586"/>
      <c r="G2023" s="709"/>
      <c r="H2023" s="546"/>
      <c r="I2023" s="563" t="s">
        <v>25</v>
      </c>
      <c r="J2023" s="563" t="s">
        <v>25</v>
      </c>
      <c r="K2023" s="564" t="s">
        <v>25</v>
      </c>
      <c r="L2023" s="564" t="s">
        <v>25</v>
      </c>
      <c r="M2023" s="572"/>
      <c r="N2023" s="572"/>
      <c r="O2023" s="740"/>
      <c r="P2023" s="564" t="s">
        <v>25</v>
      </c>
      <c r="Q2023" s="564" t="s">
        <v>25</v>
      </c>
      <c r="R2023" s="566" t="s">
        <v>1927</v>
      </c>
      <c r="S2023" s="609" t="s">
        <v>1133</v>
      </c>
      <c r="T2023" s="741">
        <v>18</v>
      </c>
      <c r="U2023" s="586"/>
      <c r="V2023" s="564">
        <v>684506</v>
      </c>
      <c r="W2023" s="564">
        <v>12321000</v>
      </c>
      <c r="X2023" s="650"/>
      <c r="Y2023" s="586"/>
      <c r="Z2023" s="742"/>
      <c r="AA2023" s="586"/>
      <c r="AB2023" s="586"/>
      <c r="AC2023" s="586"/>
      <c r="AD2023" s="586"/>
      <c r="AE2023" s="714"/>
      <c r="AF2023" s="570" t="s">
        <v>2899</v>
      </c>
      <c r="AG2023" s="570" t="s">
        <v>25</v>
      </c>
      <c r="AH2023" s="571" t="s">
        <v>25</v>
      </c>
      <c r="AI2023" s="586"/>
      <c r="AJ2023" s="586"/>
    </row>
    <row r="2024" spans="1:36" s="394" customFormat="1" ht="60.75" outlineLevel="2" x14ac:dyDescent="0.3">
      <c r="A2024" s="447">
        <v>172</v>
      </c>
      <c r="B2024" s="572"/>
      <c r="C2024" s="572"/>
      <c r="D2024" s="612"/>
      <c r="E2024" s="612"/>
      <c r="F2024" s="586"/>
      <c r="G2024" s="709"/>
      <c r="H2024" s="546"/>
      <c r="I2024" s="563" t="s">
        <v>25</v>
      </c>
      <c r="J2024" s="563" t="s">
        <v>25</v>
      </c>
      <c r="K2024" s="564" t="s">
        <v>25</v>
      </c>
      <c r="L2024" s="564" t="s">
        <v>25</v>
      </c>
      <c r="M2024" s="572"/>
      <c r="N2024" s="572"/>
      <c r="O2024" s="740"/>
      <c r="P2024" s="564" t="s">
        <v>25</v>
      </c>
      <c r="Q2024" s="564" t="s">
        <v>25</v>
      </c>
      <c r="R2024" s="566" t="s">
        <v>2387</v>
      </c>
      <c r="S2024" s="609" t="s">
        <v>1133</v>
      </c>
      <c r="T2024" s="741">
        <v>10.920000000000002</v>
      </c>
      <c r="U2024" s="586"/>
      <c r="V2024" s="564">
        <v>0</v>
      </c>
      <c r="W2024" s="564">
        <v>0</v>
      </c>
      <c r="X2024" s="650"/>
      <c r="Y2024" s="586"/>
      <c r="Z2024" s="742"/>
      <c r="AA2024" s="586"/>
      <c r="AB2024" s="586"/>
      <c r="AC2024" s="586"/>
      <c r="AD2024" s="586"/>
      <c r="AE2024" s="714"/>
      <c r="AF2024" s="570" t="s">
        <v>2899</v>
      </c>
      <c r="AG2024" s="570" t="s">
        <v>25</v>
      </c>
      <c r="AH2024" s="571" t="s">
        <v>25</v>
      </c>
      <c r="AI2024" s="586"/>
      <c r="AJ2024" s="586"/>
    </row>
    <row r="2025" spans="1:36" s="394" customFormat="1" ht="20.25" outlineLevel="2" x14ac:dyDescent="0.3">
      <c r="A2025" s="447">
        <v>172</v>
      </c>
      <c r="B2025" s="572"/>
      <c r="C2025" s="572"/>
      <c r="D2025" s="612"/>
      <c r="E2025" s="612"/>
      <c r="F2025" s="586"/>
      <c r="G2025" s="709"/>
      <c r="H2025" s="546"/>
      <c r="I2025" s="563" t="s">
        <v>25</v>
      </c>
      <c r="J2025" s="563" t="s">
        <v>25</v>
      </c>
      <c r="K2025" s="564" t="s">
        <v>25</v>
      </c>
      <c r="L2025" s="564" t="s">
        <v>25</v>
      </c>
      <c r="M2025" s="572"/>
      <c r="N2025" s="572"/>
      <c r="O2025" s="740"/>
      <c r="P2025" s="564" t="s">
        <v>25</v>
      </c>
      <c r="Q2025" s="564" t="s">
        <v>25</v>
      </c>
      <c r="R2025" s="566"/>
      <c r="S2025" s="609"/>
      <c r="T2025" s="741"/>
      <c r="U2025" s="586"/>
      <c r="V2025" s="564" t="s">
        <v>2899</v>
      </c>
      <c r="W2025" s="564" t="s">
        <v>25</v>
      </c>
      <c r="X2025" s="650"/>
      <c r="Y2025" s="586"/>
      <c r="Z2025" s="742"/>
      <c r="AA2025" s="586"/>
      <c r="AB2025" s="586"/>
      <c r="AC2025" s="586"/>
      <c r="AD2025" s="586"/>
      <c r="AE2025" s="714"/>
      <c r="AF2025" s="570" t="s">
        <v>2899</v>
      </c>
      <c r="AG2025" s="570" t="s">
        <v>25</v>
      </c>
      <c r="AH2025" s="571" t="s">
        <v>25</v>
      </c>
      <c r="AI2025" s="586"/>
      <c r="AJ2025" s="586"/>
    </row>
    <row r="2026" spans="1:36" s="394" customFormat="1" ht="20.25" outlineLevel="2" x14ac:dyDescent="0.3">
      <c r="A2026" s="447">
        <v>172</v>
      </c>
      <c r="B2026" s="572"/>
      <c r="C2026" s="572"/>
      <c r="D2026" s="612"/>
      <c r="E2026" s="612"/>
      <c r="F2026" s="586"/>
      <c r="G2026" s="709"/>
      <c r="H2026" s="546"/>
      <c r="I2026" s="563" t="s">
        <v>25</v>
      </c>
      <c r="J2026" s="563" t="s">
        <v>25</v>
      </c>
      <c r="K2026" s="564" t="s">
        <v>25</v>
      </c>
      <c r="L2026" s="564" t="s">
        <v>25</v>
      </c>
      <c r="M2026" s="572"/>
      <c r="N2026" s="572"/>
      <c r="O2026" s="740"/>
      <c r="P2026" s="564" t="s">
        <v>25</v>
      </c>
      <c r="Q2026" s="564" t="s">
        <v>25</v>
      </c>
      <c r="R2026" s="572"/>
      <c r="S2026" s="609"/>
      <c r="T2026" s="741"/>
      <c r="U2026" s="586"/>
      <c r="V2026" s="564" t="s">
        <v>2899</v>
      </c>
      <c r="W2026" s="564" t="s">
        <v>25</v>
      </c>
      <c r="X2026" s="650"/>
      <c r="Y2026" s="586"/>
      <c r="Z2026" s="742"/>
      <c r="AA2026" s="586"/>
      <c r="AB2026" s="586"/>
      <c r="AC2026" s="586"/>
      <c r="AD2026" s="586"/>
      <c r="AE2026" s="714"/>
      <c r="AF2026" s="570" t="s">
        <v>2899</v>
      </c>
      <c r="AG2026" s="570" t="s">
        <v>25</v>
      </c>
      <c r="AH2026" s="571" t="s">
        <v>25</v>
      </c>
      <c r="AI2026" s="572"/>
      <c r="AJ2026" s="572"/>
    </row>
    <row r="2027" spans="1:36" s="394" customFormat="1" ht="20.25" outlineLevel="2" x14ac:dyDescent="0.3">
      <c r="A2027" s="447">
        <v>172</v>
      </c>
      <c r="B2027" s="607"/>
      <c r="C2027" s="607"/>
      <c r="D2027" s="642"/>
      <c r="E2027" s="642"/>
      <c r="F2027" s="586"/>
      <c r="G2027" s="709"/>
      <c r="H2027" s="546"/>
      <c r="I2027" s="563" t="s">
        <v>25</v>
      </c>
      <c r="J2027" s="563" t="s">
        <v>25</v>
      </c>
      <c r="K2027" s="564" t="s">
        <v>25</v>
      </c>
      <c r="L2027" s="564" t="s">
        <v>25</v>
      </c>
      <c r="M2027" s="572"/>
      <c r="N2027" s="572"/>
      <c r="O2027" s="740"/>
      <c r="P2027" s="564" t="s">
        <v>25</v>
      </c>
      <c r="Q2027" s="564" t="s">
        <v>25</v>
      </c>
      <c r="R2027" s="572"/>
      <c r="S2027" s="609"/>
      <c r="T2027" s="741"/>
      <c r="U2027" s="586"/>
      <c r="V2027" s="564" t="s">
        <v>2899</v>
      </c>
      <c r="W2027" s="564" t="s">
        <v>25</v>
      </c>
      <c r="X2027" s="650"/>
      <c r="Y2027" s="586"/>
      <c r="Z2027" s="742"/>
      <c r="AA2027" s="586"/>
      <c r="AB2027" s="586"/>
      <c r="AC2027" s="586"/>
      <c r="AD2027" s="586"/>
      <c r="AE2027" s="714"/>
      <c r="AF2027" s="570" t="s">
        <v>2899</v>
      </c>
      <c r="AG2027" s="570" t="s">
        <v>25</v>
      </c>
      <c r="AH2027" s="571" t="s">
        <v>25</v>
      </c>
      <c r="AI2027" s="572"/>
      <c r="AJ2027" s="572"/>
    </row>
    <row r="2028" spans="1:36" s="394" customFormat="1" ht="40.5" outlineLevel="1" x14ac:dyDescent="0.25">
      <c r="A2028" s="467">
        <v>173</v>
      </c>
      <c r="B2028" s="607" t="s">
        <v>1376</v>
      </c>
      <c r="C2028" s="586" t="s">
        <v>2903</v>
      </c>
      <c r="D2028" s="612"/>
      <c r="E2028" s="612"/>
      <c r="F2028" s="578"/>
      <c r="G2028" s="707">
        <v>0</v>
      </c>
      <c r="H2028" s="579">
        <v>0</v>
      </c>
      <c r="I2028" s="581"/>
      <c r="J2028" s="581"/>
      <c r="K2028" s="571">
        <v>0</v>
      </c>
      <c r="L2028" s="571">
        <v>0</v>
      </c>
      <c r="M2028" s="607"/>
      <c r="N2028" s="607"/>
      <c r="O2028" s="738">
        <v>0</v>
      </c>
      <c r="P2028" s="571"/>
      <c r="Q2028" s="571">
        <v>0</v>
      </c>
      <c r="R2028" s="582"/>
      <c r="S2028" s="621"/>
      <c r="T2028" s="739">
        <v>52.44</v>
      </c>
      <c r="U2028" s="578"/>
      <c r="V2028" s="571"/>
      <c r="W2028" s="571">
        <v>125745000</v>
      </c>
      <c r="X2028" s="661"/>
      <c r="Y2028" s="683"/>
      <c r="Z2028" s="683"/>
      <c r="AA2028" s="694"/>
      <c r="AB2028" s="683"/>
      <c r="AC2028" s="683"/>
      <c r="AD2028" s="650"/>
      <c r="AE2028" s="599">
        <f>SUBTOTAL(9,AE2029:AE2035)</f>
        <v>0</v>
      </c>
      <c r="AF2028" s="585"/>
      <c r="AG2028" s="585">
        <v>0</v>
      </c>
      <c r="AH2028" s="571">
        <v>125745000</v>
      </c>
      <c r="AI2028" s="578"/>
      <c r="AJ2028" s="574"/>
    </row>
    <row r="2029" spans="1:36" s="394" customFormat="1" ht="121.5" outlineLevel="2" x14ac:dyDescent="0.3">
      <c r="A2029" s="447">
        <v>173</v>
      </c>
      <c r="B2029" s="572" t="s">
        <v>1378</v>
      </c>
      <c r="C2029" s="572"/>
      <c r="D2029" s="612"/>
      <c r="E2029" s="612"/>
      <c r="F2029" s="586"/>
      <c r="G2029" s="709"/>
      <c r="H2029" s="546"/>
      <c r="I2029" s="563" t="s">
        <v>25</v>
      </c>
      <c r="J2029" s="563" t="s">
        <v>25</v>
      </c>
      <c r="K2029" s="564" t="s">
        <v>25</v>
      </c>
      <c r="L2029" s="564" t="s">
        <v>25</v>
      </c>
      <c r="M2029" s="572"/>
      <c r="N2029" s="572"/>
      <c r="O2029" s="740"/>
      <c r="P2029" s="564" t="s">
        <v>25</v>
      </c>
      <c r="Q2029" s="564" t="s">
        <v>25</v>
      </c>
      <c r="R2029" s="566" t="s">
        <v>1838</v>
      </c>
      <c r="S2029" s="609" t="s">
        <v>1133</v>
      </c>
      <c r="T2029" s="741">
        <v>26.42</v>
      </c>
      <c r="U2029" s="586"/>
      <c r="V2029" s="564">
        <v>3156089</v>
      </c>
      <c r="W2029" s="564">
        <v>83384000</v>
      </c>
      <c r="X2029" s="661" t="s">
        <v>1138</v>
      </c>
      <c r="Y2029" s="683" t="s">
        <v>1139</v>
      </c>
      <c r="Z2029" s="683" t="s">
        <v>56</v>
      </c>
      <c r="AA2029" s="694" t="s">
        <v>269</v>
      </c>
      <c r="AB2029" s="683" t="s">
        <v>1138</v>
      </c>
      <c r="AC2029" s="683"/>
      <c r="AD2029" s="683"/>
      <c r="AE2029" s="590"/>
      <c r="AF2029" s="570" t="s">
        <v>2899</v>
      </c>
      <c r="AG2029" s="570" t="s">
        <v>25</v>
      </c>
      <c r="AH2029" s="571" t="s">
        <v>25</v>
      </c>
      <c r="AI2029" s="586" t="s">
        <v>1377</v>
      </c>
      <c r="AJ2029" s="558" t="s">
        <v>2450</v>
      </c>
    </row>
    <row r="2030" spans="1:36" s="394" customFormat="1" ht="101.25" outlineLevel="2" x14ac:dyDescent="0.3">
      <c r="A2030" s="447">
        <v>173</v>
      </c>
      <c r="B2030" s="572" t="s">
        <v>1623</v>
      </c>
      <c r="C2030" s="572"/>
      <c r="D2030" s="612"/>
      <c r="E2030" s="612"/>
      <c r="F2030" s="586"/>
      <c r="G2030" s="709"/>
      <c r="H2030" s="546"/>
      <c r="I2030" s="563" t="s">
        <v>25</v>
      </c>
      <c r="J2030" s="563" t="s">
        <v>25</v>
      </c>
      <c r="K2030" s="564" t="s">
        <v>25</v>
      </c>
      <c r="L2030" s="564" t="s">
        <v>25</v>
      </c>
      <c r="M2030" s="572"/>
      <c r="N2030" s="572"/>
      <c r="O2030" s="740"/>
      <c r="P2030" s="564" t="s">
        <v>25</v>
      </c>
      <c r="Q2030" s="564" t="s">
        <v>25</v>
      </c>
      <c r="R2030" s="566" t="s">
        <v>2386</v>
      </c>
      <c r="S2030" s="609" t="s">
        <v>1133</v>
      </c>
      <c r="T2030" s="741">
        <v>3.2199999999999998</v>
      </c>
      <c r="U2030" s="586"/>
      <c r="V2030" s="564">
        <v>8308812</v>
      </c>
      <c r="W2030" s="564">
        <v>26754000</v>
      </c>
      <c r="X2030" s="650"/>
      <c r="Y2030" s="586"/>
      <c r="Z2030" s="742"/>
      <c r="AA2030" s="586"/>
      <c r="AB2030" s="586"/>
      <c r="AC2030" s="586"/>
      <c r="AD2030" s="586"/>
      <c r="AE2030" s="714"/>
      <c r="AF2030" s="570" t="s">
        <v>2899</v>
      </c>
      <c r="AG2030" s="570" t="s">
        <v>25</v>
      </c>
      <c r="AH2030" s="571" t="s">
        <v>25</v>
      </c>
      <c r="AI2030" s="586" t="s">
        <v>169</v>
      </c>
      <c r="AJ2030" s="586" t="s">
        <v>2800</v>
      </c>
    </row>
    <row r="2031" spans="1:36" s="394" customFormat="1" ht="81" outlineLevel="2" x14ac:dyDescent="0.3">
      <c r="A2031" s="447">
        <v>173</v>
      </c>
      <c r="B2031" s="572"/>
      <c r="C2031" s="572"/>
      <c r="D2031" s="612"/>
      <c r="E2031" s="612"/>
      <c r="F2031" s="586"/>
      <c r="G2031" s="709"/>
      <c r="H2031" s="546"/>
      <c r="I2031" s="563" t="s">
        <v>25</v>
      </c>
      <c r="J2031" s="563" t="s">
        <v>25</v>
      </c>
      <c r="K2031" s="564" t="s">
        <v>25</v>
      </c>
      <c r="L2031" s="564" t="s">
        <v>25</v>
      </c>
      <c r="M2031" s="572"/>
      <c r="N2031" s="572"/>
      <c r="O2031" s="740"/>
      <c r="P2031" s="564" t="s">
        <v>25</v>
      </c>
      <c r="Q2031" s="564" t="s">
        <v>25</v>
      </c>
      <c r="R2031" s="566" t="s">
        <v>1927</v>
      </c>
      <c r="S2031" s="609" t="s">
        <v>1133</v>
      </c>
      <c r="T2031" s="741">
        <v>22.8</v>
      </c>
      <c r="U2031" s="586"/>
      <c r="V2031" s="564">
        <v>684506</v>
      </c>
      <c r="W2031" s="564">
        <v>15607000</v>
      </c>
      <c r="X2031" s="650"/>
      <c r="Y2031" s="586"/>
      <c r="Z2031" s="742"/>
      <c r="AA2031" s="586"/>
      <c r="AB2031" s="586"/>
      <c r="AC2031" s="586"/>
      <c r="AD2031" s="586"/>
      <c r="AE2031" s="714"/>
      <c r="AF2031" s="570" t="s">
        <v>2899</v>
      </c>
      <c r="AG2031" s="570" t="s">
        <v>25</v>
      </c>
      <c r="AH2031" s="571" t="s">
        <v>25</v>
      </c>
      <c r="AI2031" s="586"/>
      <c r="AJ2031" s="586"/>
    </row>
    <row r="2032" spans="1:36" s="394" customFormat="1" ht="20.25" outlineLevel="2" x14ac:dyDescent="0.3">
      <c r="A2032" s="447">
        <v>173</v>
      </c>
      <c r="B2032" s="572"/>
      <c r="C2032" s="572"/>
      <c r="D2032" s="612"/>
      <c r="E2032" s="612"/>
      <c r="F2032" s="586"/>
      <c r="G2032" s="709"/>
      <c r="H2032" s="546"/>
      <c r="I2032" s="563" t="s">
        <v>25</v>
      </c>
      <c r="J2032" s="563" t="s">
        <v>25</v>
      </c>
      <c r="K2032" s="564" t="s">
        <v>25</v>
      </c>
      <c r="L2032" s="564" t="s">
        <v>25</v>
      </c>
      <c r="M2032" s="572"/>
      <c r="N2032" s="572"/>
      <c r="O2032" s="740"/>
      <c r="P2032" s="564" t="s">
        <v>25</v>
      </c>
      <c r="Q2032" s="564" t="s">
        <v>25</v>
      </c>
      <c r="R2032" s="566"/>
      <c r="S2032" s="609"/>
      <c r="T2032" s="741"/>
      <c r="U2032" s="586"/>
      <c r="V2032" s="564" t="s">
        <v>2899</v>
      </c>
      <c r="W2032" s="564" t="s">
        <v>25</v>
      </c>
      <c r="X2032" s="650"/>
      <c r="Y2032" s="586"/>
      <c r="Z2032" s="742"/>
      <c r="AA2032" s="586"/>
      <c r="AB2032" s="586"/>
      <c r="AC2032" s="586"/>
      <c r="AD2032" s="586"/>
      <c r="AE2032" s="714"/>
      <c r="AF2032" s="570" t="s">
        <v>2899</v>
      </c>
      <c r="AG2032" s="570" t="s">
        <v>25</v>
      </c>
      <c r="AH2032" s="571" t="s">
        <v>25</v>
      </c>
      <c r="AI2032" s="586"/>
      <c r="AJ2032" s="586"/>
    </row>
    <row r="2033" spans="1:37" s="394" customFormat="1" ht="20.25" outlineLevel="2" x14ac:dyDescent="0.3">
      <c r="A2033" s="447">
        <v>173</v>
      </c>
      <c r="B2033" s="572"/>
      <c r="C2033" s="572"/>
      <c r="D2033" s="612"/>
      <c r="E2033" s="612"/>
      <c r="F2033" s="586"/>
      <c r="G2033" s="709"/>
      <c r="H2033" s="546"/>
      <c r="I2033" s="563" t="s">
        <v>25</v>
      </c>
      <c r="J2033" s="563" t="s">
        <v>25</v>
      </c>
      <c r="K2033" s="564" t="s">
        <v>25</v>
      </c>
      <c r="L2033" s="564" t="s">
        <v>25</v>
      </c>
      <c r="M2033" s="572"/>
      <c r="N2033" s="572"/>
      <c r="O2033" s="740"/>
      <c r="P2033" s="564" t="s">
        <v>25</v>
      </c>
      <c r="Q2033" s="564" t="s">
        <v>25</v>
      </c>
      <c r="R2033" s="566"/>
      <c r="S2033" s="609"/>
      <c r="T2033" s="741"/>
      <c r="U2033" s="586"/>
      <c r="V2033" s="564" t="s">
        <v>2899</v>
      </c>
      <c r="W2033" s="564" t="s">
        <v>25</v>
      </c>
      <c r="X2033" s="650"/>
      <c r="Y2033" s="586"/>
      <c r="Z2033" s="742"/>
      <c r="AA2033" s="586"/>
      <c r="AB2033" s="586"/>
      <c r="AC2033" s="586"/>
      <c r="AD2033" s="586"/>
      <c r="AE2033" s="714"/>
      <c r="AF2033" s="570" t="s">
        <v>2899</v>
      </c>
      <c r="AG2033" s="570" t="s">
        <v>25</v>
      </c>
      <c r="AH2033" s="571" t="s">
        <v>25</v>
      </c>
      <c r="AI2033" s="586"/>
      <c r="AJ2033" s="586"/>
    </row>
    <row r="2034" spans="1:37" s="394" customFormat="1" ht="20.25" outlineLevel="2" x14ac:dyDescent="0.3">
      <c r="A2034" s="447">
        <v>173</v>
      </c>
      <c r="B2034" s="586"/>
      <c r="C2034" s="586"/>
      <c r="D2034" s="612"/>
      <c r="E2034" s="612"/>
      <c r="F2034" s="586"/>
      <c r="G2034" s="709"/>
      <c r="H2034" s="546"/>
      <c r="I2034" s="563" t="s">
        <v>25</v>
      </c>
      <c r="J2034" s="563" t="s">
        <v>25</v>
      </c>
      <c r="K2034" s="564" t="s">
        <v>25</v>
      </c>
      <c r="L2034" s="564" t="s">
        <v>25</v>
      </c>
      <c r="M2034" s="572"/>
      <c r="N2034" s="572"/>
      <c r="O2034" s="740"/>
      <c r="P2034" s="564" t="s">
        <v>25</v>
      </c>
      <c r="Q2034" s="564" t="s">
        <v>25</v>
      </c>
      <c r="R2034" s="572"/>
      <c r="S2034" s="609"/>
      <c r="T2034" s="741"/>
      <c r="U2034" s="586"/>
      <c r="V2034" s="564" t="s">
        <v>2899</v>
      </c>
      <c r="W2034" s="564" t="s">
        <v>25</v>
      </c>
      <c r="X2034" s="650"/>
      <c r="Y2034" s="586"/>
      <c r="Z2034" s="742"/>
      <c r="AA2034" s="586"/>
      <c r="AB2034" s="586"/>
      <c r="AC2034" s="586"/>
      <c r="AD2034" s="586"/>
      <c r="AE2034" s="714"/>
      <c r="AF2034" s="570" t="s">
        <v>2899</v>
      </c>
      <c r="AG2034" s="570" t="s">
        <v>25</v>
      </c>
      <c r="AH2034" s="571" t="s">
        <v>25</v>
      </c>
      <c r="AI2034" s="586"/>
      <c r="AJ2034" s="586"/>
    </row>
    <row r="2035" spans="1:37" s="394" customFormat="1" ht="20.25" outlineLevel="2" x14ac:dyDescent="0.3">
      <c r="A2035" s="447">
        <v>173</v>
      </c>
      <c r="B2035" s="607"/>
      <c r="C2035" s="607"/>
      <c r="D2035" s="642"/>
      <c r="E2035" s="642"/>
      <c r="F2035" s="586"/>
      <c r="G2035" s="709"/>
      <c r="H2035" s="546"/>
      <c r="I2035" s="563" t="s">
        <v>25</v>
      </c>
      <c r="J2035" s="563" t="s">
        <v>25</v>
      </c>
      <c r="K2035" s="564" t="s">
        <v>25</v>
      </c>
      <c r="L2035" s="564" t="s">
        <v>25</v>
      </c>
      <c r="M2035" s="572"/>
      <c r="N2035" s="572"/>
      <c r="O2035" s="740"/>
      <c r="P2035" s="564" t="s">
        <v>25</v>
      </c>
      <c r="Q2035" s="564" t="s">
        <v>25</v>
      </c>
      <c r="R2035" s="572"/>
      <c r="S2035" s="609"/>
      <c r="T2035" s="741"/>
      <c r="U2035" s="586"/>
      <c r="V2035" s="564" t="s">
        <v>2899</v>
      </c>
      <c r="W2035" s="564" t="s">
        <v>25</v>
      </c>
      <c r="X2035" s="650"/>
      <c r="Y2035" s="586"/>
      <c r="Z2035" s="742"/>
      <c r="AA2035" s="586"/>
      <c r="AB2035" s="586"/>
      <c r="AC2035" s="586"/>
      <c r="AD2035" s="586"/>
      <c r="AE2035" s="714"/>
      <c r="AF2035" s="570" t="s">
        <v>2899</v>
      </c>
      <c r="AG2035" s="570" t="s">
        <v>25</v>
      </c>
      <c r="AH2035" s="571" t="s">
        <v>25</v>
      </c>
      <c r="AI2035" s="572"/>
      <c r="AJ2035" s="572"/>
    </row>
    <row r="2036" spans="1:37" s="394" customFormat="1" ht="40.5" outlineLevel="1" x14ac:dyDescent="0.25">
      <c r="A2036" s="467">
        <v>174</v>
      </c>
      <c r="B2036" s="607" t="s">
        <v>1379</v>
      </c>
      <c r="C2036" s="586" t="s">
        <v>2903</v>
      </c>
      <c r="D2036" s="612"/>
      <c r="E2036" s="612"/>
      <c r="F2036" s="578"/>
      <c r="G2036" s="707">
        <v>0</v>
      </c>
      <c r="H2036" s="579">
        <v>0</v>
      </c>
      <c r="I2036" s="581"/>
      <c r="J2036" s="581"/>
      <c r="K2036" s="571">
        <v>0</v>
      </c>
      <c r="L2036" s="571">
        <v>0</v>
      </c>
      <c r="M2036" s="607"/>
      <c r="N2036" s="607"/>
      <c r="O2036" s="738">
        <v>0</v>
      </c>
      <c r="P2036" s="571"/>
      <c r="Q2036" s="571">
        <v>0</v>
      </c>
      <c r="R2036" s="582"/>
      <c r="S2036" s="621"/>
      <c r="T2036" s="739">
        <v>51.870000000000005</v>
      </c>
      <c r="U2036" s="578"/>
      <c r="V2036" s="571"/>
      <c r="W2036" s="571">
        <v>100211000</v>
      </c>
      <c r="X2036" s="661"/>
      <c r="Y2036" s="683"/>
      <c r="Z2036" s="683"/>
      <c r="AA2036" s="694"/>
      <c r="AB2036" s="683"/>
      <c r="AC2036" s="683"/>
      <c r="AD2036" s="650"/>
      <c r="AE2036" s="599">
        <f>SUBTOTAL(9,AE2037:AE2043)</f>
        <v>0</v>
      </c>
      <c r="AF2036" s="585"/>
      <c r="AG2036" s="585">
        <v>0</v>
      </c>
      <c r="AH2036" s="571">
        <v>100211000</v>
      </c>
      <c r="AI2036" s="578"/>
      <c r="AJ2036" s="574"/>
    </row>
    <row r="2037" spans="1:37" s="394" customFormat="1" ht="121.5" outlineLevel="2" x14ac:dyDescent="0.3">
      <c r="A2037" s="447">
        <v>174</v>
      </c>
      <c r="B2037" s="572" t="s">
        <v>1381</v>
      </c>
      <c r="C2037" s="572"/>
      <c r="D2037" s="612"/>
      <c r="E2037" s="612"/>
      <c r="F2037" s="586"/>
      <c r="G2037" s="709"/>
      <c r="H2037" s="546"/>
      <c r="I2037" s="563" t="s">
        <v>25</v>
      </c>
      <c r="J2037" s="563" t="s">
        <v>25</v>
      </c>
      <c r="K2037" s="564" t="s">
        <v>25</v>
      </c>
      <c r="L2037" s="564" t="s">
        <v>25</v>
      </c>
      <c r="M2037" s="572"/>
      <c r="N2037" s="572"/>
      <c r="O2037" s="740"/>
      <c r="P2037" s="564" t="s">
        <v>25</v>
      </c>
      <c r="Q2037" s="564" t="s">
        <v>25</v>
      </c>
      <c r="R2037" s="566" t="s">
        <v>1838</v>
      </c>
      <c r="S2037" s="609" t="s">
        <v>1133</v>
      </c>
      <c r="T2037" s="741">
        <v>19.95</v>
      </c>
      <c r="U2037" s="586"/>
      <c r="V2037" s="564">
        <v>3156089</v>
      </c>
      <c r="W2037" s="564">
        <v>62964000</v>
      </c>
      <c r="X2037" s="661" t="s">
        <v>1138</v>
      </c>
      <c r="Y2037" s="683" t="s">
        <v>1139</v>
      </c>
      <c r="Z2037" s="683" t="s">
        <v>56</v>
      </c>
      <c r="AA2037" s="694" t="s">
        <v>269</v>
      </c>
      <c r="AB2037" s="683" t="s">
        <v>1138</v>
      </c>
      <c r="AC2037" s="683"/>
      <c r="AD2037" s="683"/>
      <c r="AE2037" s="590"/>
      <c r="AF2037" s="570" t="s">
        <v>2899</v>
      </c>
      <c r="AG2037" s="570" t="s">
        <v>25</v>
      </c>
      <c r="AH2037" s="571" t="s">
        <v>25</v>
      </c>
      <c r="AI2037" s="586" t="s">
        <v>1380</v>
      </c>
      <c r="AJ2037" s="558" t="s">
        <v>2450</v>
      </c>
    </row>
    <row r="2038" spans="1:37" s="394" customFormat="1" ht="101.25" outlineLevel="2" x14ac:dyDescent="0.3">
      <c r="A2038" s="447">
        <v>174</v>
      </c>
      <c r="B2038" s="572" t="s">
        <v>1624</v>
      </c>
      <c r="C2038" s="572"/>
      <c r="D2038" s="612"/>
      <c r="E2038" s="612"/>
      <c r="F2038" s="586"/>
      <c r="G2038" s="709"/>
      <c r="H2038" s="546"/>
      <c r="I2038" s="563" t="s">
        <v>25</v>
      </c>
      <c r="J2038" s="563" t="s">
        <v>25</v>
      </c>
      <c r="K2038" s="564" t="s">
        <v>25</v>
      </c>
      <c r="L2038" s="564" t="s">
        <v>25</v>
      </c>
      <c r="M2038" s="572"/>
      <c r="N2038" s="572"/>
      <c r="O2038" s="740"/>
      <c r="P2038" s="564" t="s">
        <v>25</v>
      </c>
      <c r="Q2038" s="564" t="s">
        <v>25</v>
      </c>
      <c r="R2038" s="566" t="s">
        <v>2386</v>
      </c>
      <c r="S2038" s="609" t="s">
        <v>1133</v>
      </c>
      <c r="T2038" s="741">
        <v>3</v>
      </c>
      <c r="U2038" s="586"/>
      <c r="V2038" s="564">
        <v>8308812</v>
      </c>
      <c r="W2038" s="564">
        <v>24926000</v>
      </c>
      <c r="X2038" s="650"/>
      <c r="Y2038" s="586"/>
      <c r="Z2038" s="742"/>
      <c r="AA2038" s="586"/>
      <c r="AB2038" s="586"/>
      <c r="AC2038" s="586"/>
      <c r="AD2038" s="586"/>
      <c r="AE2038" s="714"/>
      <c r="AF2038" s="570" t="s">
        <v>2899</v>
      </c>
      <c r="AG2038" s="570" t="s">
        <v>25</v>
      </c>
      <c r="AH2038" s="571" t="s">
        <v>25</v>
      </c>
      <c r="AI2038" s="586" t="s">
        <v>169</v>
      </c>
      <c r="AJ2038" s="586" t="s">
        <v>2800</v>
      </c>
    </row>
    <row r="2039" spans="1:37" s="394" customFormat="1" ht="81" outlineLevel="2" x14ac:dyDescent="0.3">
      <c r="A2039" s="447">
        <v>174</v>
      </c>
      <c r="B2039" s="572"/>
      <c r="C2039" s="572"/>
      <c r="D2039" s="612"/>
      <c r="E2039" s="612"/>
      <c r="F2039" s="586"/>
      <c r="G2039" s="709"/>
      <c r="H2039" s="546"/>
      <c r="I2039" s="563" t="s">
        <v>25</v>
      </c>
      <c r="J2039" s="563" t="s">
        <v>25</v>
      </c>
      <c r="K2039" s="564" t="s">
        <v>25</v>
      </c>
      <c r="L2039" s="564" t="s">
        <v>25</v>
      </c>
      <c r="M2039" s="572"/>
      <c r="N2039" s="572"/>
      <c r="O2039" s="740"/>
      <c r="P2039" s="564" t="s">
        <v>25</v>
      </c>
      <c r="Q2039" s="564" t="s">
        <v>25</v>
      </c>
      <c r="R2039" s="566" t="s">
        <v>1927</v>
      </c>
      <c r="S2039" s="609" t="s">
        <v>1133</v>
      </c>
      <c r="T2039" s="741">
        <v>18</v>
      </c>
      <c r="U2039" s="586"/>
      <c r="V2039" s="564">
        <v>684506</v>
      </c>
      <c r="W2039" s="564">
        <v>12321000</v>
      </c>
      <c r="X2039" s="650"/>
      <c r="Y2039" s="586"/>
      <c r="Z2039" s="742"/>
      <c r="AA2039" s="586"/>
      <c r="AB2039" s="586"/>
      <c r="AC2039" s="586"/>
      <c r="AD2039" s="586"/>
      <c r="AE2039" s="714"/>
      <c r="AF2039" s="570" t="s">
        <v>2899</v>
      </c>
      <c r="AG2039" s="570" t="s">
        <v>25</v>
      </c>
      <c r="AH2039" s="571" t="s">
        <v>25</v>
      </c>
      <c r="AI2039" s="586"/>
      <c r="AJ2039" s="586"/>
    </row>
    <row r="2040" spans="1:37" s="394" customFormat="1" ht="60.75" outlineLevel="2" x14ac:dyDescent="0.3">
      <c r="A2040" s="447">
        <v>174</v>
      </c>
      <c r="B2040" s="572"/>
      <c r="C2040" s="572"/>
      <c r="D2040" s="612"/>
      <c r="E2040" s="612"/>
      <c r="F2040" s="586"/>
      <c r="G2040" s="709"/>
      <c r="H2040" s="546"/>
      <c r="I2040" s="563" t="s">
        <v>25</v>
      </c>
      <c r="J2040" s="563" t="s">
        <v>25</v>
      </c>
      <c r="K2040" s="564" t="s">
        <v>25</v>
      </c>
      <c r="L2040" s="564" t="s">
        <v>25</v>
      </c>
      <c r="M2040" s="572"/>
      <c r="N2040" s="572"/>
      <c r="O2040" s="740"/>
      <c r="P2040" s="564" t="s">
        <v>25</v>
      </c>
      <c r="Q2040" s="564" t="s">
        <v>25</v>
      </c>
      <c r="R2040" s="566" t="s">
        <v>2387</v>
      </c>
      <c r="S2040" s="609" t="s">
        <v>1133</v>
      </c>
      <c r="T2040" s="741">
        <v>10.920000000000002</v>
      </c>
      <c r="U2040" s="586"/>
      <c r="V2040" s="564">
        <v>0</v>
      </c>
      <c r="W2040" s="564">
        <v>0</v>
      </c>
      <c r="X2040" s="650"/>
      <c r="Y2040" s="586"/>
      <c r="Z2040" s="742"/>
      <c r="AA2040" s="586"/>
      <c r="AB2040" s="586"/>
      <c r="AC2040" s="586"/>
      <c r="AD2040" s="586"/>
      <c r="AE2040" s="714"/>
      <c r="AF2040" s="570" t="s">
        <v>2899</v>
      </c>
      <c r="AG2040" s="570" t="s">
        <v>25</v>
      </c>
      <c r="AH2040" s="571" t="s">
        <v>25</v>
      </c>
      <c r="AI2040" s="586"/>
      <c r="AJ2040" s="586"/>
    </row>
    <row r="2041" spans="1:37" s="394" customFormat="1" ht="20.25" outlineLevel="2" x14ac:dyDescent="0.3">
      <c r="A2041" s="447">
        <v>174</v>
      </c>
      <c r="B2041" s="572"/>
      <c r="C2041" s="572"/>
      <c r="D2041" s="612"/>
      <c r="E2041" s="612"/>
      <c r="F2041" s="586"/>
      <c r="G2041" s="709"/>
      <c r="H2041" s="546"/>
      <c r="I2041" s="563" t="s">
        <v>25</v>
      </c>
      <c r="J2041" s="563" t="s">
        <v>25</v>
      </c>
      <c r="K2041" s="564" t="s">
        <v>25</v>
      </c>
      <c r="L2041" s="564" t="s">
        <v>25</v>
      </c>
      <c r="M2041" s="572"/>
      <c r="N2041" s="572"/>
      <c r="O2041" s="740"/>
      <c r="P2041" s="564" t="s">
        <v>25</v>
      </c>
      <c r="Q2041" s="564" t="s">
        <v>25</v>
      </c>
      <c r="R2041" s="566"/>
      <c r="S2041" s="609"/>
      <c r="T2041" s="741"/>
      <c r="U2041" s="586"/>
      <c r="V2041" s="564" t="s">
        <v>2899</v>
      </c>
      <c r="W2041" s="564" t="s">
        <v>25</v>
      </c>
      <c r="X2041" s="650"/>
      <c r="Y2041" s="586"/>
      <c r="Z2041" s="742"/>
      <c r="AA2041" s="586"/>
      <c r="AB2041" s="586"/>
      <c r="AC2041" s="586"/>
      <c r="AD2041" s="586"/>
      <c r="AE2041" s="714"/>
      <c r="AF2041" s="570" t="s">
        <v>2899</v>
      </c>
      <c r="AG2041" s="570" t="s">
        <v>25</v>
      </c>
      <c r="AH2041" s="571" t="s">
        <v>25</v>
      </c>
      <c r="AI2041" s="586"/>
      <c r="AJ2041" s="586"/>
    </row>
    <row r="2042" spans="1:37" s="394" customFormat="1" ht="20.25" outlineLevel="2" x14ac:dyDescent="0.3">
      <c r="A2042" s="447">
        <v>174</v>
      </c>
      <c r="B2042" s="586"/>
      <c r="C2042" s="586"/>
      <c r="D2042" s="612"/>
      <c r="E2042" s="612"/>
      <c r="F2042" s="586"/>
      <c r="G2042" s="709"/>
      <c r="H2042" s="546"/>
      <c r="I2042" s="563" t="s">
        <v>25</v>
      </c>
      <c r="J2042" s="563" t="s">
        <v>25</v>
      </c>
      <c r="K2042" s="564" t="s">
        <v>25</v>
      </c>
      <c r="L2042" s="564" t="s">
        <v>25</v>
      </c>
      <c r="M2042" s="572"/>
      <c r="N2042" s="572"/>
      <c r="O2042" s="740"/>
      <c r="P2042" s="564" t="s">
        <v>25</v>
      </c>
      <c r="Q2042" s="564" t="s">
        <v>25</v>
      </c>
      <c r="R2042" s="572"/>
      <c r="S2042" s="609"/>
      <c r="T2042" s="741"/>
      <c r="U2042" s="586"/>
      <c r="V2042" s="564" t="s">
        <v>2899</v>
      </c>
      <c r="W2042" s="564" t="s">
        <v>25</v>
      </c>
      <c r="X2042" s="650"/>
      <c r="Y2042" s="586"/>
      <c r="Z2042" s="742"/>
      <c r="AA2042" s="586"/>
      <c r="AB2042" s="586"/>
      <c r="AC2042" s="586"/>
      <c r="AD2042" s="586"/>
      <c r="AE2042" s="714"/>
      <c r="AF2042" s="570" t="s">
        <v>2899</v>
      </c>
      <c r="AG2042" s="570" t="s">
        <v>25</v>
      </c>
      <c r="AH2042" s="571" t="s">
        <v>25</v>
      </c>
      <c r="AI2042" s="586"/>
      <c r="AJ2042" s="586"/>
    </row>
    <row r="2043" spans="1:37" s="394" customFormat="1" ht="20.25" outlineLevel="2" x14ac:dyDescent="0.3">
      <c r="A2043" s="447">
        <v>174</v>
      </c>
      <c r="B2043" s="607"/>
      <c r="C2043" s="607"/>
      <c r="D2043" s="642"/>
      <c r="E2043" s="642"/>
      <c r="F2043" s="586"/>
      <c r="G2043" s="709"/>
      <c r="H2043" s="546"/>
      <c r="I2043" s="563" t="s">
        <v>25</v>
      </c>
      <c r="J2043" s="563" t="s">
        <v>25</v>
      </c>
      <c r="K2043" s="564" t="s">
        <v>25</v>
      </c>
      <c r="L2043" s="564" t="s">
        <v>25</v>
      </c>
      <c r="M2043" s="572"/>
      <c r="N2043" s="572"/>
      <c r="O2043" s="740"/>
      <c r="P2043" s="564" t="s">
        <v>25</v>
      </c>
      <c r="Q2043" s="564" t="s">
        <v>25</v>
      </c>
      <c r="R2043" s="572"/>
      <c r="S2043" s="609"/>
      <c r="T2043" s="741"/>
      <c r="U2043" s="586"/>
      <c r="V2043" s="564" t="s">
        <v>2899</v>
      </c>
      <c r="W2043" s="564" t="s">
        <v>25</v>
      </c>
      <c r="X2043" s="650"/>
      <c r="Y2043" s="586"/>
      <c r="Z2043" s="742"/>
      <c r="AA2043" s="586"/>
      <c r="AB2043" s="586"/>
      <c r="AC2043" s="586"/>
      <c r="AD2043" s="586"/>
      <c r="AE2043" s="714"/>
      <c r="AF2043" s="570" t="s">
        <v>2899</v>
      </c>
      <c r="AG2043" s="570" t="s">
        <v>25</v>
      </c>
      <c r="AH2043" s="571" t="s">
        <v>25</v>
      </c>
      <c r="AI2043" s="572"/>
      <c r="AJ2043" s="572"/>
    </row>
    <row r="2044" spans="1:37" s="394" customFormat="1" ht="40.5" outlineLevel="1" x14ac:dyDescent="0.25">
      <c r="A2044" s="467">
        <v>175</v>
      </c>
      <c r="B2044" s="607" t="s">
        <v>1382</v>
      </c>
      <c r="C2044" s="586" t="s">
        <v>2903</v>
      </c>
      <c r="D2044" s="612">
        <v>86</v>
      </c>
      <c r="E2044" s="612">
        <v>293</v>
      </c>
      <c r="F2044" s="578"/>
      <c r="G2044" s="707">
        <v>166.79999999999998</v>
      </c>
      <c r="H2044" s="579">
        <v>71.699999999999989</v>
      </c>
      <c r="I2044" s="581"/>
      <c r="J2044" s="581"/>
      <c r="K2044" s="571">
        <v>108083000</v>
      </c>
      <c r="L2044" s="571">
        <v>100151000</v>
      </c>
      <c r="M2044" s="607"/>
      <c r="N2044" s="607"/>
      <c r="O2044" s="738">
        <v>64</v>
      </c>
      <c r="P2044" s="571"/>
      <c r="Q2044" s="571">
        <v>2556000</v>
      </c>
      <c r="R2044" s="582"/>
      <c r="S2044" s="621"/>
      <c r="T2044" s="739">
        <v>141.66</v>
      </c>
      <c r="U2044" s="578"/>
      <c r="V2044" s="571"/>
      <c r="W2044" s="571">
        <v>131706000</v>
      </c>
      <c r="X2044" s="661"/>
      <c r="Y2044" s="683"/>
      <c r="Z2044" s="683"/>
      <c r="AA2044" s="694"/>
      <c r="AB2044" s="683"/>
      <c r="AC2044" s="683"/>
      <c r="AD2044" s="695"/>
      <c r="AE2044" s="599">
        <f>SUBTOTAL(9,AE2045:AE2053)</f>
        <v>2</v>
      </c>
      <c r="AF2044" s="585"/>
      <c r="AG2044" s="585">
        <v>18000000</v>
      </c>
      <c r="AH2044" s="571">
        <v>360496000</v>
      </c>
      <c r="AI2044" s="578"/>
      <c r="AJ2044" s="578"/>
      <c r="AK2044" s="466"/>
    </row>
    <row r="2045" spans="1:37" s="394" customFormat="1" ht="121.5" outlineLevel="2" x14ac:dyDescent="0.3">
      <c r="A2045" s="447">
        <v>175</v>
      </c>
      <c r="B2045" s="572" t="s">
        <v>1385</v>
      </c>
      <c r="C2045" s="572"/>
      <c r="D2045" s="612">
        <v>86</v>
      </c>
      <c r="E2045" s="612">
        <v>293</v>
      </c>
      <c r="F2045" s="586" t="s">
        <v>2860</v>
      </c>
      <c r="G2045" s="709">
        <v>71.699999999999989</v>
      </c>
      <c r="H2045" s="546">
        <v>71.699999999999989</v>
      </c>
      <c r="I2045" s="563">
        <v>465600</v>
      </c>
      <c r="J2045" s="563">
        <v>1396800</v>
      </c>
      <c r="K2045" s="564">
        <v>33384000</v>
      </c>
      <c r="L2045" s="564">
        <v>100151000</v>
      </c>
      <c r="M2045" s="572" t="s">
        <v>1383</v>
      </c>
      <c r="N2045" s="572"/>
      <c r="O2045" s="740">
        <v>1</v>
      </c>
      <c r="P2045" s="564">
        <v>1800000</v>
      </c>
      <c r="Q2045" s="564">
        <v>1800000</v>
      </c>
      <c r="R2045" s="566" t="s">
        <v>1779</v>
      </c>
      <c r="S2045" s="609" t="s">
        <v>1133</v>
      </c>
      <c r="T2045" s="741">
        <v>50.9</v>
      </c>
      <c r="U2045" s="586"/>
      <c r="V2045" s="564">
        <v>1399121</v>
      </c>
      <c r="W2045" s="564">
        <v>71215000</v>
      </c>
      <c r="X2045" s="661" t="s">
        <v>139</v>
      </c>
      <c r="Y2045" s="683" t="s">
        <v>1139</v>
      </c>
      <c r="Z2045" s="683" t="s">
        <v>1262</v>
      </c>
      <c r="AA2045" s="694" t="s">
        <v>1263</v>
      </c>
      <c r="AB2045" s="683" t="s">
        <v>1326</v>
      </c>
      <c r="AC2045" s="683"/>
      <c r="AD2045" s="694" t="s">
        <v>2137</v>
      </c>
      <c r="AE2045" s="590">
        <v>1</v>
      </c>
      <c r="AF2045" s="570">
        <v>5000000</v>
      </c>
      <c r="AG2045" s="570">
        <v>5000000</v>
      </c>
      <c r="AH2045" s="571" t="s">
        <v>25</v>
      </c>
      <c r="AI2045" s="586" t="s">
        <v>1384</v>
      </c>
      <c r="AJ2045" s="586" t="s">
        <v>2771</v>
      </c>
      <c r="AK2045" s="466" t="s">
        <v>2462</v>
      </c>
    </row>
    <row r="2046" spans="1:37" s="394" customFormat="1" ht="121.5" outlineLevel="2" x14ac:dyDescent="0.3">
      <c r="A2046" s="447">
        <v>175</v>
      </c>
      <c r="B2046" s="572" t="s">
        <v>1625</v>
      </c>
      <c r="C2046" s="572"/>
      <c r="D2046" s="612"/>
      <c r="E2046" s="612"/>
      <c r="F2046" s="586" t="s">
        <v>2492</v>
      </c>
      <c r="G2046" s="709">
        <v>50</v>
      </c>
      <c r="H2046" s="546" t="s">
        <v>2899</v>
      </c>
      <c r="I2046" s="563">
        <v>1074001.5999999999</v>
      </c>
      <c r="J2046" s="563">
        <v>0</v>
      </c>
      <c r="K2046" s="564">
        <v>53700000</v>
      </c>
      <c r="L2046" s="564">
        <v>0</v>
      </c>
      <c r="M2046" s="572" t="s">
        <v>1332</v>
      </c>
      <c r="N2046" s="572"/>
      <c r="O2046" s="740">
        <v>63</v>
      </c>
      <c r="P2046" s="564">
        <v>12000</v>
      </c>
      <c r="Q2046" s="564">
        <v>756000</v>
      </c>
      <c r="R2046" s="566" t="s">
        <v>2388</v>
      </c>
      <c r="S2046" s="609" t="s">
        <v>1133</v>
      </c>
      <c r="T2046" s="741">
        <v>3.8</v>
      </c>
      <c r="U2046" s="586"/>
      <c r="V2046" s="564">
        <v>8533242</v>
      </c>
      <c r="W2046" s="564">
        <v>32426000</v>
      </c>
      <c r="X2046" s="650"/>
      <c r="Y2046" s="586"/>
      <c r="Z2046" s="742"/>
      <c r="AA2046" s="586"/>
      <c r="AB2046" s="586"/>
      <c r="AC2046" s="586"/>
      <c r="AD2046" s="569"/>
      <c r="AE2046" s="563"/>
      <c r="AF2046" s="570"/>
      <c r="AG2046" s="570"/>
      <c r="AH2046" s="571" t="s">
        <v>25</v>
      </c>
      <c r="AI2046" s="586" t="s">
        <v>1387</v>
      </c>
      <c r="AJ2046" s="605" t="s">
        <v>2448</v>
      </c>
      <c r="AK2046" s="394">
        <f>140-116.8</f>
        <v>23.200000000000003</v>
      </c>
    </row>
    <row r="2047" spans="1:37" s="394" customFormat="1" ht="121.5" outlineLevel="2" x14ac:dyDescent="0.3">
      <c r="A2047" s="447">
        <v>175</v>
      </c>
      <c r="B2047" s="572"/>
      <c r="C2047" s="572"/>
      <c r="D2047" s="612"/>
      <c r="E2047" s="612"/>
      <c r="F2047" s="586" t="s">
        <v>2861</v>
      </c>
      <c r="G2047" s="709">
        <v>45.1</v>
      </c>
      <c r="H2047" s="546" t="s">
        <v>2899</v>
      </c>
      <c r="I2047" s="563">
        <v>465600</v>
      </c>
      <c r="J2047" s="563">
        <v>0</v>
      </c>
      <c r="K2047" s="564">
        <v>20999000</v>
      </c>
      <c r="L2047" s="564">
        <v>0</v>
      </c>
      <c r="M2047" s="572"/>
      <c r="N2047" s="572"/>
      <c r="O2047" s="740"/>
      <c r="P2047" s="564" t="s">
        <v>25</v>
      </c>
      <c r="Q2047" s="564" t="s">
        <v>25</v>
      </c>
      <c r="R2047" s="566" t="s">
        <v>1978</v>
      </c>
      <c r="S2047" s="609" t="s">
        <v>1133</v>
      </c>
      <c r="T2047" s="741">
        <v>22.8</v>
      </c>
      <c r="U2047" s="586"/>
      <c r="V2047" s="564">
        <v>236298</v>
      </c>
      <c r="W2047" s="564">
        <v>5388000</v>
      </c>
      <c r="X2047" s="650"/>
      <c r="Y2047" s="586"/>
      <c r="Z2047" s="742"/>
      <c r="AA2047" s="586"/>
      <c r="AB2047" s="586"/>
      <c r="AC2047" s="586"/>
      <c r="AD2047" s="569" t="s">
        <v>2789</v>
      </c>
      <c r="AE2047" s="590">
        <v>1</v>
      </c>
      <c r="AF2047" s="570">
        <v>13000000</v>
      </c>
      <c r="AG2047" s="570">
        <v>13000000</v>
      </c>
      <c r="AH2047" s="571" t="s">
        <v>25</v>
      </c>
      <c r="AI2047" s="586" t="s">
        <v>2141</v>
      </c>
      <c r="AJ2047" s="558" t="s">
        <v>2450</v>
      </c>
    </row>
    <row r="2048" spans="1:37" s="394" customFormat="1" ht="101.25" outlineLevel="2" x14ac:dyDescent="0.3">
      <c r="A2048" s="447">
        <v>175</v>
      </c>
      <c r="B2048" s="572"/>
      <c r="C2048" s="572"/>
      <c r="D2048" s="612"/>
      <c r="E2048" s="612"/>
      <c r="F2048" s="586"/>
      <c r="G2048" s="709"/>
      <c r="H2048" s="546"/>
      <c r="I2048" s="563" t="s">
        <v>25</v>
      </c>
      <c r="J2048" s="563" t="s">
        <v>25</v>
      </c>
      <c r="K2048" s="564" t="s">
        <v>25</v>
      </c>
      <c r="L2048" s="564" t="s">
        <v>25</v>
      </c>
      <c r="M2048" s="572"/>
      <c r="N2048" s="572"/>
      <c r="O2048" s="740"/>
      <c r="P2048" s="564" t="s">
        <v>25</v>
      </c>
      <c r="Q2048" s="564" t="s">
        <v>25</v>
      </c>
      <c r="R2048" s="572" t="s">
        <v>2389</v>
      </c>
      <c r="S2048" s="609" t="s">
        <v>1133</v>
      </c>
      <c r="T2048" s="741">
        <v>27.7</v>
      </c>
      <c r="U2048" s="586">
        <v>4.2</v>
      </c>
      <c r="V2048" s="564">
        <v>471229</v>
      </c>
      <c r="W2048" s="564">
        <v>13053000</v>
      </c>
      <c r="X2048" s="650"/>
      <c r="Y2048" s="586"/>
      <c r="Z2048" s="742"/>
      <c r="AA2048" s="586"/>
      <c r="AB2048" s="586"/>
      <c r="AC2048" s="586"/>
      <c r="AD2048" s="606"/>
      <c r="AE2048" s="590"/>
      <c r="AF2048" s="570" t="s">
        <v>2899</v>
      </c>
      <c r="AG2048" s="570" t="s">
        <v>25</v>
      </c>
      <c r="AH2048" s="571" t="s">
        <v>25</v>
      </c>
      <c r="AI2048" s="586" t="s">
        <v>1388</v>
      </c>
      <c r="AJ2048" s="558" t="s">
        <v>2449</v>
      </c>
    </row>
    <row r="2049" spans="1:36" s="394" customFormat="1" ht="81" outlineLevel="2" x14ac:dyDescent="0.3">
      <c r="A2049" s="447">
        <v>175</v>
      </c>
      <c r="B2049" s="572"/>
      <c r="C2049" s="572"/>
      <c r="D2049" s="612"/>
      <c r="E2049" s="612"/>
      <c r="F2049" s="586"/>
      <c r="G2049" s="709"/>
      <c r="H2049" s="546"/>
      <c r="I2049" s="563" t="s">
        <v>25</v>
      </c>
      <c r="J2049" s="563" t="s">
        <v>25</v>
      </c>
      <c r="K2049" s="564" t="s">
        <v>25</v>
      </c>
      <c r="L2049" s="564" t="s">
        <v>25</v>
      </c>
      <c r="M2049" s="572"/>
      <c r="N2049" s="572"/>
      <c r="O2049" s="740"/>
      <c r="P2049" s="564" t="s">
        <v>25</v>
      </c>
      <c r="Q2049" s="564" t="s">
        <v>25</v>
      </c>
      <c r="R2049" s="572" t="s">
        <v>1980</v>
      </c>
      <c r="S2049" s="609" t="s">
        <v>1133</v>
      </c>
      <c r="T2049" s="741">
        <v>14.06</v>
      </c>
      <c r="U2049" s="586"/>
      <c r="V2049" s="564">
        <v>684506</v>
      </c>
      <c r="W2049" s="564">
        <v>9624000</v>
      </c>
      <c r="X2049" s="650"/>
      <c r="Y2049" s="586"/>
      <c r="Z2049" s="742"/>
      <c r="AA2049" s="586"/>
      <c r="AB2049" s="586"/>
      <c r="AC2049" s="586"/>
      <c r="AD2049" s="586"/>
      <c r="AE2049" s="714"/>
      <c r="AF2049" s="570" t="s">
        <v>2899</v>
      </c>
      <c r="AG2049" s="570" t="s">
        <v>25</v>
      </c>
      <c r="AH2049" s="571" t="s">
        <v>25</v>
      </c>
      <c r="AI2049" s="572" t="s">
        <v>1389</v>
      </c>
      <c r="AJ2049" s="572" t="s">
        <v>2447</v>
      </c>
    </row>
    <row r="2050" spans="1:36" s="394" customFormat="1" ht="81" outlineLevel="2" x14ac:dyDescent="0.3">
      <c r="A2050" s="447">
        <v>175</v>
      </c>
      <c r="B2050" s="572"/>
      <c r="C2050" s="572"/>
      <c r="D2050" s="612"/>
      <c r="E2050" s="612"/>
      <c r="F2050" s="586"/>
      <c r="G2050" s="709"/>
      <c r="H2050" s="546"/>
      <c r="I2050" s="563" t="s">
        <v>25</v>
      </c>
      <c r="J2050" s="563" t="s">
        <v>25</v>
      </c>
      <c r="K2050" s="564" t="s">
        <v>25</v>
      </c>
      <c r="L2050" s="564" t="s">
        <v>25</v>
      </c>
      <c r="M2050" s="572"/>
      <c r="N2050" s="572"/>
      <c r="O2050" s="740"/>
      <c r="P2050" s="564" t="s">
        <v>25</v>
      </c>
      <c r="Q2050" s="564" t="s">
        <v>25</v>
      </c>
      <c r="R2050" s="572" t="s">
        <v>2390</v>
      </c>
      <c r="S2050" s="609" t="s">
        <v>1133</v>
      </c>
      <c r="T2050" s="741">
        <v>22.4</v>
      </c>
      <c r="U2050" s="586"/>
      <c r="V2050" s="564">
        <v>0</v>
      </c>
      <c r="W2050" s="564">
        <v>0</v>
      </c>
      <c r="X2050" s="650"/>
      <c r="Y2050" s="586"/>
      <c r="Z2050" s="742"/>
      <c r="AA2050" s="586"/>
      <c r="AB2050" s="586"/>
      <c r="AC2050" s="586"/>
      <c r="AD2050" s="586"/>
      <c r="AE2050" s="714"/>
      <c r="AF2050" s="570" t="s">
        <v>2899</v>
      </c>
      <c r="AG2050" s="570" t="s">
        <v>25</v>
      </c>
      <c r="AH2050" s="571" t="s">
        <v>25</v>
      </c>
      <c r="AI2050" s="558" t="s">
        <v>2074</v>
      </c>
      <c r="AJ2050" s="558" t="s">
        <v>2451</v>
      </c>
    </row>
    <row r="2051" spans="1:36" s="394" customFormat="1" ht="101.25" outlineLevel="2" x14ac:dyDescent="0.3">
      <c r="A2051" s="447">
        <v>175</v>
      </c>
      <c r="B2051" s="572"/>
      <c r="C2051" s="572"/>
      <c r="D2051" s="612"/>
      <c r="E2051" s="612"/>
      <c r="F2051" s="586"/>
      <c r="G2051" s="709"/>
      <c r="H2051" s="546"/>
      <c r="I2051" s="563" t="s">
        <v>25</v>
      </c>
      <c r="J2051" s="563" t="s">
        <v>25</v>
      </c>
      <c r="K2051" s="564" t="s">
        <v>25</v>
      </c>
      <c r="L2051" s="564" t="s">
        <v>25</v>
      </c>
      <c r="M2051" s="572"/>
      <c r="N2051" s="572"/>
      <c r="O2051" s="740"/>
      <c r="P2051" s="564" t="s">
        <v>25</v>
      </c>
      <c r="Q2051" s="564" t="s">
        <v>25</v>
      </c>
      <c r="R2051" s="572"/>
      <c r="S2051" s="609"/>
      <c r="T2051" s="741"/>
      <c r="U2051" s="586"/>
      <c r="V2051" s="564" t="s">
        <v>2899</v>
      </c>
      <c r="W2051" s="564" t="s">
        <v>25</v>
      </c>
      <c r="X2051" s="650"/>
      <c r="Y2051" s="586"/>
      <c r="Z2051" s="742"/>
      <c r="AA2051" s="586"/>
      <c r="AB2051" s="586"/>
      <c r="AC2051" s="586"/>
      <c r="AD2051" s="586"/>
      <c r="AE2051" s="714"/>
      <c r="AF2051" s="570" t="s">
        <v>2899</v>
      </c>
      <c r="AG2051" s="570" t="s">
        <v>25</v>
      </c>
      <c r="AH2051" s="571" t="s">
        <v>25</v>
      </c>
      <c r="AI2051" s="558"/>
      <c r="AJ2051" s="558" t="s">
        <v>2800</v>
      </c>
    </row>
    <row r="2052" spans="1:36" s="394" customFormat="1" ht="20.25" outlineLevel="2" x14ac:dyDescent="0.3">
      <c r="A2052" s="447">
        <v>175</v>
      </c>
      <c r="B2052" s="572"/>
      <c r="C2052" s="572"/>
      <c r="D2052" s="612"/>
      <c r="E2052" s="612"/>
      <c r="F2052" s="586"/>
      <c r="G2052" s="709"/>
      <c r="H2052" s="546"/>
      <c r="I2052" s="563" t="s">
        <v>25</v>
      </c>
      <c r="J2052" s="563" t="s">
        <v>25</v>
      </c>
      <c r="K2052" s="564" t="s">
        <v>25</v>
      </c>
      <c r="L2052" s="564" t="s">
        <v>25</v>
      </c>
      <c r="M2052" s="572"/>
      <c r="N2052" s="572"/>
      <c r="O2052" s="740"/>
      <c r="P2052" s="564" t="s">
        <v>25</v>
      </c>
      <c r="Q2052" s="564" t="s">
        <v>25</v>
      </c>
      <c r="R2052" s="572"/>
      <c r="S2052" s="609"/>
      <c r="T2052" s="741"/>
      <c r="U2052" s="586"/>
      <c r="V2052" s="564" t="s">
        <v>2899</v>
      </c>
      <c r="W2052" s="564" t="s">
        <v>25</v>
      </c>
      <c r="X2052" s="650"/>
      <c r="Y2052" s="586"/>
      <c r="Z2052" s="742"/>
      <c r="AA2052" s="586"/>
      <c r="AB2052" s="586"/>
      <c r="AC2052" s="586"/>
      <c r="AD2052" s="586"/>
      <c r="AE2052" s="714"/>
      <c r="AF2052" s="570" t="s">
        <v>2899</v>
      </c>
      <c r="AG2052" s="570" t="s">
        <v>25</v>
      </c>
      <c r="AH2052" s="571" t="s">
        <v>25</v>
      </c>
      <c r="AI2052" s="558"/>
      <c r="AJ2052" s="558"/>
    </row>
    <row r="2053" spans="1:36" s="394" customFormat="1" ht="20.25" outlineLevel="2" x14ac:dyDescent="0.3">
      <c r="A2053" s="447">
        <v>175</v>
      </c>
      <c r="B2053" s="607"/>
      <c r="C2053" s="607"/>
      <c r="D2053" s="642"/>
      <c r="E2053" s="642"/>
      <c r="F2053" s="586"/>
      <c r="G2053" s="709"/>
      <c r="H2053" s="546"/>
      <c r="I2053" s="563" t="s">
        <v>25</v>
      </c>
      <c r="J2053" s="563" t="s">
        <v>25</v>
      </c>
      <c r="K2053" s="564" t="s">
        <v>25</v>
      </c>
      <c r="L2053" s="564" t="s">
        <v>25</v>
      </c>
      <c r="M2053" s="572"/>
      <c r="N2053" s="572"/>
      <c r="O2053" s="740"/>
      <c r="P2053" s="564" t="s">
        <v>25</v>
      </c>
      <c r="Q2053" s="564" t="s">
        <v>25</v>
      </c>
      <c r="R2053" s="572"/>
      <c r="S2053" s="609"/>
      <c r="T2053" s="741"/>
      <c r="U2053" s="586"/>
      <c r="V2053" s="564" t="s">
        <v>2899</v>
      </c>
      <c r="W2053" s="564" t="s">
        <v>25</v>
      </c>
      <c r="X2053" s="650"/>
      <c r="Y2053" s="586"/>
      <c r="Z2053" s="742"/>
      <c r="AA2053" s="586"/>
      <c r="AB2053" s="586"/>
      <c r="AC2053" s="586"/>
      <c r="AD2053" s="586"/>
      <c r="AE2053" s="714"/>
      <c r="AF2053" s="570" t="s">
        <v>2899</v>
      </c>
      <c r="AG2053" s="570" t="s">
        <v>25</v>
      </c>
      <c r="AH2053" s="571" t="s">
        <v>25</v>
      </c>
      <c r="AI2053" s="586"/>
      <c r="AJ2053" s="586"/>
    </row>
    <row r="2054" spans="1:36" s="394" customFormat="1" ht="40.5" outlineLevel="1" x14ac:dyDescent="0.25">
      <c r="A2054" s="467">
        <v>176</v>
      </c>
      <c r="B2054" s="607" t="s">
        <v>1391</v>
      </c>
      <c r="C2054" s="586" t="s">
        <v>2903</v>
      </c>
      <c r="D2054" s="612">
        <v>86</v>
      </c>
      <c r="E2054" s="612">
        <v>406</v>
      </c>
      <c r="F2054" s="578"/>
      <c r="G2054" s="707">
        <v>153.1</v>
      </c>
      <c r="H2054" s="579">
        <v>0</v>
      </c>
      <c r="I2054" s="581"/>
      <c r="J2054" s="581"/>
      <c r="K2054" s="571">
        <v>57688000</v>
      </c>
      <c r="L2054" s="571">
        <v>0</v>
      </c>
      <c r="M2054" s="607"/>
      <c r="N2054" s="607"/>
      <c r="O2054" s="738">
        <v>92.6</v>
      </c>
      <c r="P2054" s="571"/>
      <c r="Q2054" s="571">
        <v>1111200</v>
      </c>
      <c r="R2054" s="582"/>
      <c r="S2054" s="621"/>
      <c r="T2054" s="739">
        <v>0</v>
      </c>
      <c r="U2054" s="578"/>
      <c r="V2054" s="571"/>
      <c r="W2054" s="571">
        <v>0</v>
      </c>
      <c r="X2054" s="650"/>
      <c r="Y2054" s="586"/>
      <c r="Z2054" s="742"/>
      <c r="AA2054" s="586"/>
      <c r="AB2054" s="586"/>
      <c r="AC2054" s="586"/>
      <c r="AD2054" s="578"/>
      <c r="AE2054" s="712">
        <f>SUBTOTAL(9,AE2055:AE2063)</f>
        <v>0</v>
      </c>
      <c r="AF2054" s="585"/>
      <c r="AG2054" s="585">
        <v>0</v>
      </c>
      <c r="AH2054" s="571">
        <v>58799200</v>
      </c>
      <c r="AI2054" s="578"/>
      <c r="AJ2054" s="578"/>
    </row>
    <row r="2055" spans="1:36" s="394" customFormat="1" ht="121.5" outlineLevel="2" x14ac:dyDescent="0.3">
      <c r="A2055" s="447">
        <v>176</v>
      </c>
      <c r="B2055" s="572" t="s">
        <v>1393</v>
      </c>
      <c r="C2055" s="572"/>
      <c r="D2055" s="612">
        <v>86</v>
      </c>
      <c r="E2055" s="612" t="s">
        <v>1394</v>
      </c>
      <c r="F2055" s="586" t="s">
        <v>2432</v>
      </c>
      <c r="G2055" s="709">
        <v>144.1</v>
      </c>
      <c r="H2055" s="546" t="s">
        <v>2899</v>
      </c>
      <c r="I2055" s="563">
        <v>376800</v>
      </c>
      <c r="J2055" s="563">
        <v>0</v>
      </c>
      <c r="K2055" s="564">
        <v>54297000</v>
      </c>
      <c r="L2055" s="564">
        <v>0</v>
      </c>
      <c r="M2055" s="572" t="s">
        <v>347</v>
      </c>
      <c r="N2055" s="572"/>
      <c r="O2055" s="740">
        <v>92.6</v>
      </c>
      <c r="P2055" s="564">
        <v>12000</v>
      </c>
      <c r="Q2055" s="564">
        <v>1111200</v>
      </c>
      <c r="R2055" s="566"/>
      <c r="S2055" s="609"/>
      <c r="T2055" s="741"/>
      <c r="U2055" s="586"/>
      <c r="V2055" s="564" t="s">
        <v>2899</v>
      </c>
      <c r="W2055" s="564" t="s">
        <v>25</v>
      </c>
      <c r="X2055" s="650"/>
      <c r="Y2055" s="586"/>
      <c r="Z2055" s="742"/>
      <c r="AA2055" s="586"/>
      <c r="AB2055" s="586"/>
      <c r="AC2055" s="586"/>
      <c r="AD2055" s="586"/>
      <c r="AE2055" s="714"/>
      <c r="AF2055" s="570" t="s">
        <v>2899</v>
      </c>
      <c r="AG2055" s="570"/>
      <c r="AH2055" s="571" t="s">
        <v>25</v>
      </c>
      <c r="AI2055" s="586" t="s">
        <v>1392</v>
      </c>
      <c r="AJ2055" s="586" t="s">
        <v>2771</v>
      </c>
    </row>
    <row r="2056" spans="1:36" s="394" customFormat="1" ht="101.25" outlineLevel="2" x14ac:dyDescent="0.3">
      <c r="A2056" s="447">
        <v>176</v>
      </c>
      <c r="B2056" s="607" t="s">
        <v>1396</v>
      </c>
      <c r="C2056" s="607"/>
      <c r="D2056" s="612"/>
      <c r="E2056" s="612"/>
      <c r="F2056" s="586" t="s">
        <v>2429</v>
      </c>
      <c r="G2056" s="709">
        <v>9</v>
      </c>
      <c r="H2056" s="546" t="s">
        <v>2899</v>
      </c>
      <c r="I2056" s="563">
        <v>376800</v>
      </c>
      <c r="J2056" s="563">
        <v>0</v>
      </c>
      <c r="K2056" s="564">
        <v>3391000</v>
      </c>
      <c r="L2056" s="564">
        <v>0</v>
      </c>
      <c r="M2056" s="572"/>
      <c r="N2056" s="572"/>
      <c r="O2056" s="740"/>
      <c r="P2056" s="564" t="s">
        <v>25</v>
      </c>
      <c r="Q2056" s="564" t="s">
        <v>25</v>
      </c>
      <c r="R2056" s="566"/>
      <c r="S2056" s="609"/>
      <c r="T2056" s="741"/>
      <c r="U2056" s="586"/>
      <c r="V2056" s="564" t="s">
        <v>2899</v>
      </c>
      <c r="W2056" s="564" t="s">
        <v>25</v>
      </c>
      <c r="X2056" s="650"/>
      <c r="Y2056" s="586"/>
      <c r="Z2056" s="742"/>
      <c r="AA2056" s="586"/>
      <c r="AB2056" s="586"/>
      <c r="AC2056" s="586"/>
      <c r="AD2056" s="586"/>
      <c r="AE2056" s="714"/>
      <c r="AF2056" s="570" t="s">
        <v>2899</v>
      </c>
      <c r="AG2056" s="570" t="s">
        <v>25</v>
      </c>
      <c r="AH2056" s="571" t="s">
        <v>25</v>
      </c>
      <c r="AI2056" s="586" t="s">
        <v>1395</v>
      </c>
      <c r="AJ2056" s="558" t="s">
        <v>2449</v>
      </c>
    </row>
    <row r="2057" spans="1:36" s="394" customFormat="1" ht="40.5" outlineLevel="2" x14ac:dyDescent="0.3">
      <c r="A2057" s="447">
        <v>176</v>
      </c>
      <c r="B2057" s="572" t="s">
        <v>1397</v>
      </c>
      <c r="C2057" s="572"/>
      <c r="D2057" s="612"/>
      <c r="E2057" s="612"/>
      <c r="F2057" s="586"/>
      <c r="G2057" s="709"/>
      <c r="H2057" s="546"/>
      <c r="I2057" s="563" t="s">
        <v>25</v>
      </c>
      <c r="J2057" s="563" t="s">
        <v>25</v>
      </c>
      <c r="K2057" s="564" t="s">
        <v>25</v>
      </c>
      <c r="L2057" s="564" t="s">
        <v>25</v>
      </c>
      <c r="M2057" s="572"/>
      <c r="N2057" s="572"/>
      <c r="O2057" s="740"/>
      <c r="P2057" s="564" t="s">
        <v>25</v>
      </c>
      <c r="Q2057" s="564" t="s">
        <v>25</v>
      </c>
      <c r="R2057" s="566"/>
      <c r="S2057" s="609"/>
      <c r="T2057" s="741"/>
      <c r="U2057" s="586"/>
      <c r="V2057" s="564" t="s">
        <v>2899</v>
      </c>
      <c r="W2057" s="564" t="s">
        <v>25</v>
      </c>
      <c r="X2057" s="650"/>
      <c r="Y2057" s="586"/>
      <c r="Z2057" s="742"/>
      <c r="AA2057" s="586"/>
      <c r="AB2057" s="586"/>
      <c r="AC2057" s="586"/>
      <c r="AD2057" s="586"/>
      <c r="AE2057" s="714"/>
      <c r="AF2057" s="570" t="s">
        <v>2899</v>
      </c>
      <c r="AG2057" s="570" t="s">
        <v>25</v>
      </c>
      <c r="AH2057" s="571" t="s">
        <v>25</v>
      </c>
      <c r="AI2057" s="586" t="s">
        <v>1188</v>
      </c>
      <c r="AJ2057" s="586"/>
    </row>
    <row r="2058" spans="1:36" s="394" customFormat="1" ht="101.25" outlineLevel="2" x14ac:dyDescent="0.3">
      <c r="A2058" s="447">
        <v>176</v>
      </c>
      <c r="B2058" s="572" t="s">
        <v>1626</v>
      </c>
      <c r="C2058" s="572"/>
      <c r="D2058" s="612"/>
      <c r="E2058" s="612"/>
      <c r="F2058" s="586"/>
      <c r="G2058" s="709"/>
      <c r="H2058" s="546"/>
      <c r="I2058" s="563" t="s">
        <v>25</v>
      </c>
      <c r="J2058" s="563" t="s">
        <v>25</v>
      </c>
      <c r="K2058" s="564" t="s">
        <v>25</v>
      </c>
      <c r="L2058" s="564" t="s">
        <v>25</v>
      </c>
      <c r="M2058" s="572"/>
      <c r="N2058" s="572"/>
      <c r="O2058" s="740"/>
      <c r="P2058" s="564" t="s">
        <v>25</v>
      </c>
      <c r="Q2058" s="564" t="s">
        <v>25</v>
      </c>
      <c r="R2058" s="572"/>
      <c r="S2058" s="609"/>
      <c r="T2058" s="741"/>
      <c r="U2058" s="586"/>
      <c r="V2058" s="564" t="s">
        <v>2899</v>
      </c>
      <c r="W2058" s="564" t="s">
        <v>25</v>
      </c>
      <c r="X2058" s="650"/>
      <c r="Y2058" s="586"/>
      <c r="Z2058" s="742"/>
      <c r="AA2058" s="586"/>
      <c r="AB2058" s="586"/>
      <c r="AC2058" s="586"/>
      <c r="AD2058" s="586"/>
      <c r="AE2058" s="714"/>
      <c r="AF2058" s="570" t="s">
        <v>2899</v>
      </c>
      <c r="AG2058" s="570" t="s">
        <v>25</v>
      </c>
      <c r="AH2058" s="571" t="s">
        <v>25</v>
      </c>
      <c r="AI2058" s="586" t="s">
        <v>1398</v>
      </c>
      <c r="AJ2058" s="586"/>
    </row>
    <row r="2059" spans="1:36" s="394" customFormat="1" ht="101.25" outlineLevel="2" x14ac:dyDescent="0.3">
      <c r="A2059" s="447">
        <v>176</v>
      </c>
      <c r="B2059" s="572"/>
      <c r="C2059" s="572"/>
      <c r="D2059" s="612"/>
      <c r="E2059" s="612"/>
      <c r="F2059" s="586"/>
      <c r="G2059" s="709"/>
      <c r="H2059" s="546"/>
      <c r="I2059" s="563" t="s">
        <v>25</v>
      </c>
      <c r="J2059" s="563" t="s">
        <v>25</v>
      </c>
      <c r="K2059" s="564" t="s">
        <v>25</v>
      </c>
      <c r="L2059" s="564" t="s">
        <v>25</v>
      </c>
      <c r="M2059" s="572"/>
      <c r="N2059" s="572"/>
      <c r="O2059" s="740"/>
      <c r="P2059" s="564" t="s">
        <v>25</v>
      </c>
      <c r="Q2059" s="564" t="s">
        <v>25</v>
      </c>
      <c r="R2059" s="572"/>
      <c r="S2059" s="609"/>
      <c r="T2059" s="741"/>
      <c r="U2059" s="586"/>
      <c r="V2059" s="564" t="s">
        <v>2899</v>
      </c>
      <c r="W2059" s="564" t="s">
        <v>25</v>
      </c>
      <c r="X2059" s="650"/>
      <c r="Y2059" s="586"/>
      <c r="Z2059" s="742"/>
      <c r="AA2059" s="586"/>
      <c r="AB2059" s="586"/>
      <c r="AC2059" s="586"/>
      <c r="AD2059" s="586"/>
      <c r="AE2059" s="714"/>
      <c r="AF2059" s="570" t="s">
        <v>2899</v>
      </c>
      <c r="AG2059" s="570" t="s">
        <v>25</v>
      </c>
      <c r="AH2059" s="571" t="s">
        <v>25</v>
      </c>
      <c r="AI2059" s="572" t="s">
        <v>2446</v>
      </c>
      <c r="AJ2059" s="572"/>
    </row>
    <row r="2060" spans="1:36" s="394" customFormat="1" ht="20.25" outlineLevel="2" x14ac:dyDescent="0.3">
      <c r="A2060" s="447">
        <v>176</v>
      </c>
      <c r="B2060" s="572"/>
      <c r="C2060" s="572"/>
      <c r="D2060" s="612"/>
      <c r="E2060" s="612"/>
      <c r="F2060" s="586"/>
      <c r="G2060" s="709"/>
      <c r="H2060" s="546"/>
      <c r="I2060" s="563" t="s">
        <v>25</v>
      </c>
      <c r="J2060" s="563" t="s">
        <v>25</v>
      </c>
      <c r="K2060" s="564" t="s">
        <v>25</v>
      </c>
      <c r="L2060" s="564" t="s">
        <v>25</v>
      </c>
      <c r="M2060" s="572"/>
      <c r="N2060" s="572"/>
      <c r="O2060" s="740"/>
      <c r="P2060" s="564" t="s">
        <v>25</v>
      </c>
      <c r="Q2060" s="564" t="s">
        <v>25</v>
      </c>
      <c r="R2060" s="572"/>
      <c r="S2060" s="609"/>
      <c r="T2060" s="741"/>
      <c r="U2060" s="586"/>
      <c r="V2060" s="564" t="s">
        <v>2899</v>
      </c>
      <c r="W2060" s="564" t="s">
        <v>25</v>
      </c>
      <c r="X2060" s="650"/>
      <c r="Y2060" s="586"/>
      <c r="Z2060" s="742"/>
      <c r="AA2060" s="586"/>
      <c r="AB2060" s="586"/>
      <c r="AC2060" s="586"/>
      <c r="AD2060" s="586"/>
      <c r="AE2060" s="714"/>
      <c r="AF2060" s="570" t="s">
        <v>2899</v>
      </c>
      <c r="AG2060" s="570" t="s">
        <v>25</v>
      </c>
      <c r="AH2060" s="571" t="s">
        <v>25</v>
      </c>
      <c r="AI2060" s="572"/>
      <c r="AJ2060" s="572"/>
    </row>
    <row r="2061" spans="1:36" s="394" customFormat="1" ht="20.25" outlineLevel="2" x14ac:dyDescent="0.3">
      <c r="A2061" s="447">
        <v>176</v>
      </c>
      <c r="B2061" s="572"/>
      <c r="C2061" s="572"/>
      <c r="D2061" s="612"/>
      <c r="E2061" s="612"/>
      <c r="F2061" s="586"/>
      <c r="G2061" s="709"/>
      <c r="H2061" s="546"/>
      <c r="I2061" s="563" t="s">
        <v>25</v>
      </c>
      <c r="J2061" s="563" t="s">
        <v>25</v>
      </c>
      <c r="K2061" s="564" t="s">
        <v>25</v>
      </c>
      <c r="L2061" s="564" t="s">
        <v>25</v>
      </c>
      <c r="M2061" s="572"/>
      <c r="N2061" s="572"/>
      <c r="O2061" s="740"/>
      <c r="P2061" s="564" t="s">
        <v>25</v>
      </c>
      <c r="Q2061" s="564" t="s">
        <v>25</v>
      </c>
      <c r="R2061" s="572"/>
      <c r="S2061" s="609"/>
      <c r="T2061" s="741"/>
      <c r="U2061" s="586"/>
      <c r="V2061" s="564" t="s">
        <v>2899</v>
      </c>
      <c r="W2061" s="564" t="s">
        <v>25</v>
      </c>
      <c r="X2061" s="650"/>
      <c r="Y2061" s="586"/>
      <c r="Z2061" s="742"/>
      <c r="AA2061" s="586"/>
      <c r="AB2061" s="586"/>
      <c r="AC2061" s="586"/>
      <c r="AD2061" s="586"/>
      <c r="AE2061" s="714"/>
      <c r="AF2061" s="570" t="s">
        <v>2899</v>
      </c>
      <c r="AG2061" s="570" t="s">
        <v>25</v>
      </c>
      <c r="AH2061" s="571" t="s">
        <v>25</v>
      </c>
      <c r="AI2061" s="572"/>
      <c r="AJ2061" s="572"/>
    </row>
    <row r="2062" spans="1:36" s="394" customFormat="1" ht="20.25" outlineLevel="2" x14ac:dyDescent="0.3">
      <c r="A2062" s="447">
        <v>176</v>
      </c>
      <c r="B2062" s="572"/>
      <c r="C2062" s="572"/>
      <c r="D2062" s="612"/>
      <c r="E2062" s="612"/>
      <c r="F2062" s="586"/>
      <c r="G2062" s="709"/>
      <c r="H2062" s="546"/>
      <c r="I2062" s="563" t="s">
        <v>25</v>
      </c>
      <c r="J2062" s="563" t="s">
        <v>25</v>
      </c>
      <c r="K2062" s="564" t="s">
        <v>25</v>
      </c>
      <c r="L2062" s="564" t="s">
        <v>25</v>
      </c>
      <c r="M2062" s="572"/>
      <c r="N2062" s="572"/>
      <c r="O2062" s="740"/>
      <c r="P2062" s="564" t="s">
        <v>25</v>
      </c>
      <c r="Q2062" s="564" t="s">
        <v>25</v>
      </c>
      <c r="R2062" s="572"/>
      <c r="S2062" s="609"/>
      <c r="T2062" s="741"/>
      <c r="U2062" s="586"/>
      <c r="V2062" s="564" t="s">
        <v>2899</v>
      </c>
      <c r="W2062" s="564" t="s">
        <v>25</v>
      </c>
      <c r="X2062" s="650"/>
      <c r="Y2062" s="586"/>
      <c r="Z2062" s="742"/>
      <c r="AA2062" s="586"/>
      <c r="AB2062" s="586"/>
      <c r="AC2062" s="586"/>
      <c r="AD2062" s="586"/>
      <c r="AE2062" s="714"/>
      <c r="AF2062" s="570" t="s">
        <v>2899</v>
      </c>
      <c r="AG2062" s="570" t="s">
        <v>25</v>
      </c>
      <c r="AH2062" s="571" t="s">
        <v>25</v>
      </c>
      <c r="AI2062" s="558"/>
      <c r="AJ2062" s="558"/>
    </row>
    <row r="2063" spans="1:36" s="394" customFormat="1" ht="20.25" outlineLevel="2" x14ac:dyDescent="0.3">
      <c r="A2063" s="447">
        <v>176</v>
      </c>
      <c r="B2063" s="607"/>
      <c r="C2063" s="607"/>
      <c r="D2063" s="642"/>
      <c r="E2063" s="642"/>
      <c r="F2063" s="586"/>
      <c r="G2063" s="709"/>
      <c r="H2063" s="546"/>
      <c r="I2063" s="563" t="s">
        <v>25</v>
      </c>
      <c r="J2063" s="563" t="s">
        <v>25</v>
      </c>
      <c r="K2063" s="564" t="s">
        <v>25</v>
      </c>
      <c r="L2063" s="564" t="s">
        <v>25</v>
      </c>
      <c r="M2063" s="572"/>
      <c r="N2063" s="572"/>
      <c r="O2063" s="740"/>
      <c r="P2063" s="564" t="s">
        <v>25</v>
      </c>
      <c r="Q2063" s="564" t="s">
        <v>25</v>
      </c>
      <c r="R2063" s="572"/>
      <c r="S2063" s="609"/>
      <c r="T2063" s="741"/>
      <c r="U2063" s="586"/>
      <c r="V2063" s="564" t="s">
        <v>2899</v>
      </c>
      <c r="W2063" s="564" t="s">
        <v>25</v>
      </c>
      <c r="X2063" s="650"/>
      <c r="Y2063" s="586"/>
      <c r="Z2063" s="742"/>
      <c r="AA2063" s="586"/>
      <c r="AB2063" s="586"/>
      <c r="AC2063" s="586"/>
      <c r="AD2063" s="586"/>
      <c r="AE2063" s="714"/>
      <c r="AF2063" s="570" t="s">
        <v>2899</v>
      </c>
      <c r="AG2063" s="570" t="s">
        <v>25</v>
      </c>
      <c r="AH2063" s="571" t="s">
        <v>25</v>
      </c>
      <c r="AI2063" s="586"/>
      <c r="AJ2063" s="586"/>
    </row>
    <row r="2064" spans="1:36" s="394" customFormat="1" ht="40.5" outlineLevel="1" x14ac:dyDescent="0.25">
      <c r="A2064" s="467">
        <v>177</v>
      </c>
      <c r="B2064" s="607" t="s">
        <v>1399</v>
      </c>
      <c r="C2064" s="586" t="s">
        <v>2903</v>
      </c>
      <c r="D2064" s="612">
        <v>86</v>
      </c>
      <c r="E2064" s="612">
        <v>405</v>
      </c>
      <c r="F2064" s="578"/>
      <c r="G2064" s="707">
        <v>153.5</v>
      </c>
      <c r="H2064" s="579">
        <v>0</v>
      </c>
      <c r="I2064" s="581"/>
      <c r="J2064" s="581"/>
      <c r="K2064" s="571">
        <v>57839000</v>
      </c>
      <c r="L2064" s="571">
        <v>0</v>
      </c>
      <c r="M2064" s="607"/>
      <c r="N2064" s="607"/>
      <c r="O2064" s="738">
        <v>93.4</v>
      </c>
      <c r="P2064" s="571"/>
      <c r="Q2064" s="571">
        <v>1120800</v>
      </c>
      <c r="R2064" s="582"/>
      <c r="S2064" s="621"/>
      <c r="T2064" s="739">
        <v>0</v>
      </c>
      <c r="U2064" s="578"/>
      <c r="V2064" s="571"/>
      <c r="W2064" s="571">
        <v>0</v>
      </c>
      <c r="X2064" s="650"/>
      <c r="Y2064" s="586"/>
      <c r="Z2064" s="742"/>
      <c r="AA2064" s="586"/>
      <c r="AB2064" s="586"/>
      <c r="AC2064" s="586"/>
      <c r="AD2064" s="578"/>
      <c r="AE2064" s="712">
        <f>SUBTOTAL(9,AE2065:AE2074)</f>
        <v>0</v>
      </c>
      <c r="AF2064" s="585"/>
      <c r="AG2064" s="585">
        <v>0</v>
      </c>
      <c r="AH2064" s="571">
        <v>58959800</v>
      </c>
      <c r="AI2064" s="578"/>
      <c r="AJ2064" s="578"/>
    </row>
    <row r="2065" spans="1:36" s="394" customFormat="1" ht="121.5" outlineLevel="2" x14ac:dyDescent="0.3">
      <c r="A2065" s="447">
        <v>177</v>
      </c>
      <c r="B2065" s="572" t="s">
        <v>1401</v>
      </c>
      <c r="C2065" s="572"/>
      <c r="D2065" s="612">
        <v>86</v>
      </c>
      <c r="E2065" s="612" t="s">
        <v>1402</v>
      </c>
      <c r="F2065" s="586" t="s">
        <v>2432</v>
      </c>
      <c r="G2065" s="709">
        <v>142.9</v>
      </c>
      <c r="H2065" s="546" t="s">
        <v>2899</v>
      </c>
      <c r="I2065" s="563">
        <v>376800</v>
      </c>
      <c r="J2065" s="563">
        <v>0</v>
      </c>
      <c r="K2065" s="564">
        <v>53845000</v>
      </c>
      <c r="L2065" s="564">
        <v>0</v>
      </c>
      <c r="M2065" s="572" t="s">
        <v>347</v>
      </c>
      <c r="N2065" s="572"/>
      <c r="O2065" s="740">
        <v>93.4</v>
      </c>
      <c r="P2065" s="564">
        <v>12000</v>
      </c>
      <c r="Q2065" s="564">
        <v>1120800</v>
      </c>
      <c r="R2065" s="566"/>
      <c r="S2065" s="609"/>
      <c r="T2065" s="741"/>
      <c r="U2065" s="586"/>
      <c r="V2065" s="564" t="s">
        <v>2899</v>
      </c>
      <c r="W2065" s="564" t="s">
        <v>25</v>
      </c>
      <c r="X2065" s="650"/>
      <c r="Y2065" s="586"/>
      <c r="Z2065" s="742"/>
      <c r="AA2065" s="586"/>
      <c r="AB2065" s="586"/>
      <c r="AC2065" s="586"/>
      <c r="AD2065" s="586"/>
      <c r="AE2065" s="714"/>
      <c r="AF2065" s="570" t="s">
        <v>2899</v>
      </c>
      <c r="AG2065" s="570"/>
      <c r="AH2065" s="571" t="s">
        <v>25</v>
      </c>
      <c r="AI2065" s="586" t="s">
        <v>1400</v>
      </c>
      <c r="AJ2065" s="586" t="s">
        <v>2771</v>
      </c>
    </row>
    <row r="2066" spans="1:36" s="394" customFormat="1" ht="101.25" outlineLevel="2" x14ac:dyDescent="0.3">
      <c r="A2066" s="447">
        <v>177</v>
      </c>
      <c r="B2066" s="572" t="s">
        <v>1627</v>
      </c>
      <c r="C2066" s="572"/>
      <c r="D2066" s="612"/>
      <c r="E2066" s="612"/>
      <c r="F2066" s="586" t="s">
        <v>2429</v>
      </c>
      <c r="G2066" s="709">
        <v>10.6</v>
      </c>
      <c r="H2066" s="546" t="s">
        <v>2899</v>
      </c>
      <c r="I2066" s="563">
        <v>376800</v>
      </c>
      <c r="J2066" s="563">
        <v>0</v>
      </c>
      <c r="K2066" s="564">
        <v>3994000</v>
      </c>
      <c r="L2066" s="564">
        <v>0</v>
      </c>
      <c r="M2066" s="572"/>
      <c r="N2066" s="572"/>
      <c r="O2066" s="740"/>
      <c r="P2066" s="564" t="s">
        <v>25</v>
      </c>
      <c r="Q2066" s="564" t="s">
        <v>25</v>
      </c>
      <c r="R2066" s="566"/>
      <c r="S2066" s="609"/>
      <c r="T2066" s="741"/>
      <c r="U2066" s="586"/>
      <c r="V2066" s="564" t="s">
        <v>2899</v>
      </c>
      <c r="W2066" s="564" t="s">
        <v>25</v>
      </c>
      <c r="X2066" s="650"/>
      <c r="Y2066" s="586"/>
      <c r="Z2066" s="742"/>
      <c r="AA2066" s="586"/>
      <c r="AB2066" s="586"/>
      <c r="AC2066" s="586"/>
      <c r="AD2066" s="586"/>
      <c r="AE2066" s="714"/>
      <c r="AF2066" s="570" t="s">
        <v>2899</v>
      </c>
      <c r="AG2066" s="570" t="s">
        <v>25</v>
      </c>
      <c r="AH2066" s="571" t="s">
        <v>25</v>
      </c>
      <c r="AI2066" s="586" t="s">
        <v>1403</v>
      </c>
      <c r="AJ2066" s="558" t="s">
        <v>2449</v>
      </c>
    </row>
    <row r="2067" spans="1:36" s="394" customFormat="1" ht="40.5" outlineLevel="2" x14ac:dyDescent="0.3">
      <c r="A2067" s="447">
        <v>177</v>
      </c>
      <c r="B2067" s="607" t="s">
        <v>1404</v>
      </c>
      <c r="C2067" s="607"/>
      <c r="D2067" s="612"/>
      <c r="E2067" s="612"/>
      <c r="F2067" s="586"/>
      <c r="G2067" s="709"/>
      <c r="H2067" s="546"/>
      <c r="I2067" s="563" t="s">
        <v>25</v>
      </c>
      <c r="J2067" s="563" t="s">
        <v>25</v>
      </c>
      <c r="K2067" s="564" t="s">
        <v>25</v>
      </c>
      <c r="L2067" s="564" t="s">
        <v>25</v>
      </c>
      <c r="M2067" s="572"/>
      <c r="N2067" s="572"/>
      <c r="O2067" s="740"/>
      <c r="P2067" s="564" t="s">
        <v>25</v>
      </c>
      <c r="Q2067" s="564" t="s">
        <v>25</v>
      </c>
      <c r="R2067" s="566"/>
      <c r="S2067" s="609"/>
      <c r="T2067" s="741"/>
      <c r="U2067" s="586"/>
      <c r="V2067" s="564" t="s">
        <v>2899</v>
      </c>
      <c r="W2067" s="564" t="s">
        <v>25</v>
      </c>
      <c r="X2067" s="650"/>
      <c r="Y2067" s="586"/>
      <c r="Z2067" s="742"/>
      <c r="AA2067" s="586"/>
      <c r="AB2067" s="586"/>
      <c r="AC2067" s="586"/>
      <c r="AD2067" s="586"/>
      <c r="AE2067" s="714"/>
      <c r="AF2067" s="570" t="s">
        <v>2899</v>
      </c>
      <c r="AG2067" s="570" t="s">
        <v>25</v>
      </c>
      <c r="AH2067" s="571" t="s">
        <v>25</v>
      </c>
      <c r="AI2067" s="586" t="s">
        <v>404</v>
      </c>
      <c r="AJ2067" s="586"/>
    </row>
    <row r="2068" spans="1:36" s="394" customFormat="1" ht="101.25" outlineLevel="2" x14ac:dyDescent="0.3">
      <c r="A2068" s="447">
        <v>177</v>
      </c>
      <c r="B2068" s="572" t="s">
        <v>1406</v>
      </c>
      <c r="C2068" s="572"/>
      <c r="D2068" s="612"/>
      <c r="E2068" s="612"/>
      <c r="F2068" s="586"/>
      <c r="G2068" s="709"/>
      <c r="H2068" s="546"/>
      <c r="I2068" s="563" t="s">
        <v>25</v>
      </c>
      <c r="J2068" s="563" t="s">
        <v>25</v>
      </c>
      <c r="K2068" s="564" t="s">
        <v>25</v>
      </c>
      <c r="L2068" s="564" t="s">
        <v>25</v>
      </c>
      <c r="M2068" s="572"/>
      <c r="N2068" s="572"/>
      <c r="O2068" s="740"/>
      <c r="P2068" s="564" t="s">
        <v>25</v>
      </c>
      <c r="Q2068" s="564" t="s">
        <v>25</v>
      </c>
      <c r="R2068" s="572"/>
      <c r="S2068" s="609"/>
      <c r="T2068" s="741"/>
      <c r="U2068" s="586"/>
      <c r="V2068" s="564" t="s">
        <v>2899</v>
      </c>
      <c r="W2068" s="564" t="s">
        <v>25</v>
      </c>
      <c r="X2068" s="650"/>
      <c r="Y2068" s="586"/>
      <c r="Z2068" s="742"/>
      <c r="AA2068" s="586"/>
      <c r="AB2068" s="586"/>
      <c r="AC2068" s="586"/>
      <c r="AD2068" s="586"/>
      <c r="AE2068" s="714"/>
      <c r="AF2068" s="570" t="s">
        <v>2899</v>
      </c>
      <c r="AG2068" s="570" t="s">
        <v>25</v>
      </c>
      <c r="AH2068" s="571" t="s">
        <v>25</v>
      </c>
      <c r="AI2068" s="586" t="s">
        <v>1405</v>
      </c>
      <c r="AJ2068" s="586"/>
    </row>
    <row r="2069" spans="1:36" s="394" customFormat="1" ht="81" outlineLevel="2" x14ac:dyDescent="0.3">
      <c r="A2069" s="447">
        <v>177</v>
      </c>
      <c r="B2069" s="572" t="s">
        <v>1628</v>
      </c>
      <c r="C2069" s="572"/>
      <c r="D2069" s="612"/>
      <c r="E2069" s="612"/>
      <c r="F2069" s="586"/>
      <c r="G2069" s="709"/>
      <c r="H2069" s="546"/>
      <c r="I2069" s="563" t="s">
        <v>25</v>
      </c>
      <c r="J2069" s="563" t="s">
        <v>25</v>
      </c>
      <c r="K2069" s="564" t="s">
        <v>25</v>
      </c>
      <c r="L2069" s="564" t="s">
        <v>25</v>
      </c>
      <c r="M2069" s="572"/>
      <c r="N2069" s="572"/>
      <c r="O2069" s="740"/>
      <c r="P2069" s="564" t="s">
        <v>25</v>
      </c>
      <c r="Q2069" s="564" t="s">
        <v>25</v>
      </c>
      <c r="R2069" s="572"/>
      <c r="S2069" s="609"/>
      <c r="T2069" s="741"/>
      <c r="U2069" s="586"/>
      <c r="V2069" s="564" t="s">
        <v>2899</v>
      </c>
      <c r="W2069" s="564" t="s">
        <v>25</v>
      </c>
      <c r="X2069" s="650"/>
      <c r="Y2069" s="586"/>
      <c r="Z2069" s="742"/>
      <c r="AA2069" s="586"/>
      <c r="AB2069" s="586"/>
      <c r="AC2069" s="586"/>
      <c r="AD2069" s="586"/>
      <c r="AE2069" s="714"/>
      <c r="AF2069" s="570" t="s">
        <v>2899</v>
      </c>
      <c r="AG2069" s="570" t="s">
        <v>25</v>
      </c>
      <c r="AH2069" s="571" t="s">
        <v>25</v>
      </c>
      <c r="AI2069" s="586"/>
      <c r="AJ2069" s="586"/>
    </row>
    <row r="2070" spans="1:36" s="394" customFormat="1" ht="20.25" outlineLevel="2" x14ac:dyDescent="0.3">
      <c r="A2070" s="447">
        <v>177</v>
      </c>
      <c r="B2070" s="572"/>
      <c r="C2070" s="572"/>
      <c r="D2070" s="612"/>
      <c r="E2070" s="612"/>
      <c r="F2070" s="586"/>
      <c r="G2070" s="709"/>
      <c r="H2070" s="546"/>
      <c r="I2070" s="563" t="s">
        <v>25</v>
      </c>
      <c r="J2070" s="563" t="s">
        <v>25</v>
      </c>
      <c r="K2070" s="564" t="s">
        <v>25</v>
      </c>
      <c r="L2070" s="564" t="s">
        <v>25</v>
      </c>
      <c r="M2070" s="572"/>
      <c r="N2070" s="572"/>
      <c r="O2070" s="740"/>
      <c r="P2070" s="564" t="s">
        <v>25</v>
      </c>
      <c r="Q2070" s="564" t="s">
        <v>25</v>
      </c>
      <c r="R2070" s="572"/>
      <c r="S2070" s="609"/>
      <c r="T2070" s="741"/>
      <c r="U2070" s="586"/>
      <c r="V2070" s="564" t="s">
        <v>2899</v>
      </c>
      <c r="W2070" s="564" t="s">
        <v>25</v>
      </c>
      <c r="X2070" s="650"/>
      <c r="Y2070" s="586"/>
      <c r="Z2070" s="742"/>
      <c r="AA2070" s="586"/>
      <c r="AB2070" s="586"/>
      <c r="AC2070" s="586"/>
      <c r="AD2070" s="586"/>
      <c r="AE2070" s="714"/>
      <c r="AF2070" s="570" t="s">
        <v>2899</v>
      </c>
      <c r="AG2070" s="570" t="s">
        <v>25</v>
      </c>
      <c r="AH2070" s="571" t="s">
        <v>25</v>
      </c>
      <c r="AI2070" s="586"/>
      <c r="AJ2070" s="586"/>
    </row>
    <row r="2071" spans="1:36" s="394" customFormat="1" ht="20.25" outlineLevel="2" x14ac:dyDescent="0.3">
      <c r="A2071" s="447">
        <v>177</v>
      </c>
      <c r="B2071" s="572"/>
      <c r="C2071" s="572"/>
      <c r="D2071" s="612"/>
      <c r="E2071" s="612"/>
      <c r="F2071" s="586"/>
      <c r="G2071" s="709"/>
      <c r="H2071" s="546"/>
      <c r="I2071" s="563" t="s">
        <v>25</v>
      </c>
      <c r="J2071" s="563" t="s">
        <v>25</v>
      </c>
      <c r="K2071" s="564" t="s">
        <v>25</v>
      </c>
      <c r="L2071" s="564" t="s">
        <v>25</v>
      </c>
      <c r="M2071" s="572"/>
      <c r="N2071" s="572"/>
      <c r="O2071" s="740"/>
      <c r="P2071" s="564" t="s">
        <v>25</v>
      </c>
      <c r="Q2071" s="564" t="s">
        <v>25</v>
      </c>
      <c r="R2071" s="572"/>
      <c r="S2071" s="609"/>
      <c r="T2071" s="741"/>
      <c r="U2071" s="586"/>
      <c r="V2071" s="564" t="s">
        <v>2899</v>
      </c>
      <c r="W2071" s="564" t="s">
        <v>25</v>
      </c>
      <c r="X2071" s="650"/>
      <c r="Y2071" s="586"/>
      <c r="Z2071" s="742"/>
      <c r="AA2071" s="586"/>
      <c r="AB2071" s="586"/>
      <c r="AC2071" s="586"/>
      <c r="AD2071" s="586"/>
      <c r="AE2071" s="714"/>
      <c r="AF2071" s="570" t="s">
        <v>2899</v>
      </c>
      <c r="AG2071" s="570" t="s">
        <v>25</v>
      </c>
      <c r="AH2071" s="571" t="s">
        <v>25</v>
      </c>
      <c r="AI2071" s="586"/>
      <c r="AJ2071" s="586"/>
    </row>
    <row r="2072" spans="1:36" s="394" customFormat="1" ht="20.25" outlineLevel="2" x14ac:dyDescent="0.3">
      <c r="A2072" s="447">
        <v>177</v>
      </c>
      <c r="B2072" s="572"/>
      <c r="C2072" s="572"/>
      <c r="D2072" s="612"/>
      <c r="E2072" s="612"/>
      <c r="F2072" s="586"/>
      <c r="G2072" s="709"/>
      <c r="H2072" s="546"/>
      <c r="I2072" s="563" t="s">
        <v>25</v>
      </c>
      <c r="J2072" s="563" t="s">
        <v>25</v>
      </c>
      <c r="K2072" s="564" t="s">
        <v>25</v>
      </c>
      <c r="L2072" s="564" t="s">
        <v>25</v>
      </c>
      <c r="M2072" s="572"/>
      <c r="N2072" s="572"/>
      <c r="O2072" s="740"/>
      <c r="P2072" s="564" t="s">
        <v>25</v>
      </c>
      <c r="Q2072" s="564" t="s">
        <v>25</v>
      </c>
      <c r="R2072" s="572"/>
      <c r="S2072" s="609"/>
      <c r="T2072" s="741"/>
      <c r="U2072" s="586"/>
      <c r="V2072" s="564" t="s">
        <v>2899</v>
      </c>
      <c r="W2072" s="564" t="s">
        <v>25</v>
      </c>
      <c r="X2072" s="650"/>
      <c r="Y2072" s="586"/>
      <c r="Z2072" s="742"/>
      <c r="AA2072" s="586"/>
      <c r="AB2072" s="586"/>
      <c r="AC2072" s="586"/>
      <c r="AD2072" s="586"/>
      <c r="AE2072" s="714"/>
      <c r="AF2072" s="570" t="s">
        <v>2899</v>
      </c>
      <c r="AG2072" s="570" t="s">
        <v>25</v>
      </c>
      <c r="AH2072" s="571" t="s">
        <v>25</v>
      </c>
      <c r="AI2072" s="572"/>
      <c r="AJ2072" s="572"/>
    </row>
    <row r="2073" spans="1:36" s="394" customFormat="1" ht="20.25" outlineLevel="2" x14ac:dyDescent="0.3">
      <c r="A2073" s="447">
        <v>177</v>
      </c>
      <c r="B2073" s="572"/>
      <c r="C2073" s="572"/>
      <c r="D2073" s="612"/>
      <c r="E2073" s="612"/>
      <c r="F2073" s="586"/>
      <c r="G2073" s="709"/>
      <c r="H2073" s="546"/>
      <c r="I2073" s="563" t="s">
        <v>25</v>
      </c>
      <c r="J2073" s="563" t="s">
        <v>25</v>
      </c>
      <c r="K2073" s="564" t="s">
        <v>25</v>
      </c>
      <c r="L2073" s="564" t="s">
        <v>25</v>
      </c>
      <c r="M2073" s="572"/>
      <c r="N2073" s="572"/>
      <c r="O2073" s="740"/>
      <c r="P2073" s="564" t="s">
        <v>25</v>
      </c>
      <c r="Q2073" s="564" t="s">
        <v>25</v>
      </c>
      <c r="R2073" s="572"/>
      <c r="S2073" s="609"/>
      <c r="T2073" s="741"/>
      <c r="U2073" s="586"/>
      <c r="V2073" s="564" t="s">
        <v>2899</v>
      </c>
      <c r="W2073" s="564" t="s">
        <v>25</v>
      </c>
      <c r="X2073" s="650"/>
      <c r="Y2073" s="586"/>
      <c r="Z2073" s="742"/>
      <c r="AA2073" s="586"/>
      <c r="AB2073" s="586"/>
      <c r="AC2073" s="586"/>
      <c r="AD2073" s="586"/>
      <c r="AE2073" s="714"/>
      <c r="AF2073" s="570" t="s">
        <v>2899</v>
      </c>
      <c r="AG2073" s="570" t="s">
        <v>25</v>
      </c>
      <c r="AH2073" s="571" t="s">
        <v>25</v>
      </c>
      <c r="AI2073" s="558"/>
      <c r="AJ2073" s="558"/>
    </row>
    <row r="2074" spans="1:36" s="394" customFormat="1" ht="20.25" outlineLevel="2" x14ac:dyDescent="0.3">
      <c r="A2074" s="447">
        <v>177</v>
      </c>
      <c r="B2074" s="607"/>
      <c r="C2074" s="607"/>
      <c r="D2074" s="642"/>
      <c r="E2074" s="642"/>
      <c r="F2074" s="586"/>
      <c r="G2074" s="709"/>
      <c r="H2074" s="546"/>
      <c r="I2074" s="563" t="s">
        <v>25</v>
      </c>
      <c r="J2074" s="563" t="s">
        <v>25</v>
      </c>
      <c r="K2074" s="564" t="s">
        <v>25</v>
      </c>
      <c r="L2074" s="564" t="s">
        <v>25</v>
      </c>
      <c r="M2074" s="572"/>
      <c r="N2074" s="572"/>
      <c r="O2074" s="740"/>
      <c r="P2074" s="564" t="s">
        <v>25</v>
      </c>
      <c r="Q2074" s="564" t="s">
        <v>25</v>
      </c>
      <c r="R2074" s="572"/>
      <c r="S2074" s="609"/>
      <c r="T2074" s="741"/>
      <c r="U2074" s="586"/>
      <c r="V2074" s="564" t="s">
        <v>2899</v>
      </c>
      <c r="W2074" s="564" t="s">
        <v>25</v>
      </c>
      <c r="X2074" s="650"/>
      <c r="Y2074" s="586"/>
      <c r="Z2074" s="742"/>
      <c r="AA2074" s="586"/>
      <c r="AB2074" s="586"/>
      <c r="AC2074" s="586"/>
      <c r="AD2074" s="586"/>
      <c r="AE2074" s="714"/>
      <c r="AF2074" s="570" t="s">
        <v>2899</v>
      </c>
      <c r="AG2074" s="570" t="s">
        <v>25</v>
      </c>
      <c r="AH2074" s="571" t="s">
        <v>25</v>
      </c>
      <c r="AI2074" s="586"/>
      <c r="AJ2074" s="586"/>
    </row>
    <row r="2075" spans="1:36" s="394" customFormat="1" ht="40.5" outlineLevel="1" x14ac:dyDescent="0.25">
      <c r="A2075" s="467">
        <v>178</v>
      </c>
      <c r="B2075" s="607" t="s">
        <v>1407</v>
      </c>
      <c r="C2075" s="586" t="s">
        <v>2903</v>
      </c>
      <c r="D2075" s="612">
        <v>86</v>
      </c>
      <c r="E2075" s="612" t="s">
        <v>1408</v>
      </c>
      <c r="F2075" s="578"/>
      <c r="G2075" s="707">
        <v>1745.8000000000004</v>
      </c>
      <c r="H2075" s="579">
        <v>1553.4000000000003</v>
      </c>
      <c r="I2075" s="581"/>
      <c r="J2075" s="581"/>
      <c r="K2075" s="571">
        <v>785353000</v>
      </c>
      <c r="L2075" s="571">
        <v>2087312000</v>
      </c>
      <c r="M2075" s="663"/>
      <c r="N2075" s="663"/>
      <c r="O2075" s="738">
        <v>1022</v>
      </c>
      <c r="P2075" s="571"/>
      <c r="Q2075" s="571">
        <v>194302000</v>
      </c>
      <c r="R2075" s="582"/>
      <c r="S2075" s="621"/>
      <c r="T2075" s="739">
        <v>798.48000000000013</v>
      </c>
      <c r="U2075" s="578"/>
      <c r="V2075" s="571"/>
      <c r="W2075" s="571">
        <v>612264000</v>
      </c>
      <c r="X2075" s="650"/>
      <c r="Y2075" s="586"/>
      <c r="Z2075" s="742"/>
      <c r="AA2075" s="586"/>
      <c r="AB2075" s="586"/>
      <c r="AC2075" s="586"/>
      <c r="AD2075" s="578"/>
      <c r="AE2075" s="712">
        <f>SUBTOTAL(9,AE2076:AE2129)</f>
        <v>1</v>
      </c>
      <c r="AF2075" s="585"/>
      <c r="AG2075" s="585">
        <v>5000000</v>
      </c>
      <c r="AH2075" s="571">
        <v>3684231000</v>
      </c>
      <c r="AI2075" s="578"/>
      <c r="AJ2075" s="578"/>
    </row>
    <row r="2076" spans="1:36" s="394" customFormat="1" ht="121.5" outlineLevel="2" x14ac:dyDescent="0.3">
      <c r="A2076" s="447">
        <v>178</v>
      </c>
      <c r="B2076" s="572" t="s">
        <v>1411</v>
      </c>
      <c r="C2076" s="572"/>
      <c r="D2076" s="612">
        <v>86</v>
      </c>
      <c r="E2076" s="612" t="s">
        <v>1569</v>
      </c>
      <c r="F2076" s="586" t="s">
        <v>2442</v>
      </c>
      <c r="G2076" s="709">
        <v>953.00000000000011</v>
      </c>
      <c r="H2076" s="546">
        <v>953.00000000000011</v>
      </c>
      <c r="I2076" s="563">
        <v>465600</v>
      </c>
      <c r="J2076" s="563">
        <v>1396800</v>
      </c>
      <c r="K2076" s="564">
        <v>443717000</v>
      </c>
      <c r="L2076" s="564">
        <v>1331150000</v>
      </c>
      <c r="M2076" s="661" t="s">
        <v>1409</v>
      </c>
      <c r="N2076" s="661"/>
      <c r="O2076" s="740">
        <v>1</v>
      </c>
      <c r="P2076" s="564">
        <v>2400000</v>
      </c>
      <c r="Q2076" s="564">
        <v>2400000</v>
      </c>
      <c r="R2076" s="566" t="s">
        <v>1978</v>
      </c>
      <c r="S2076" s="609" t="s">
        <v>1133</v>
      </c>
      <c r="T2076" s="741">
        <v>2.16</v>
      </c>
      <c r="U2076" s="586"/>
      <c r="V2076" s="564">
        <v>236298</v>
      </c>
      <c r="W2076" s="564">
        <v>510000</v>
      </c>
      <c r="X2076" s="650"/>
      <c r="Y2076" s="586"/>
      <c r="Z2076" s="742"/>
      <c r="AA2076" s="586"/>
      <c r="AB2076" s="586"/>
      <c r="AC2076" s="586"/>
      <c r="AD2076" s="586" t="s">
        <v>2137</v>
      </c>
      <c r="AE2076" s="714">
        <v>1</v>
      </c>
      <c r="AF2076" s="570">
        <v>5000000</v>
      </c>
      <c r="AG2076" s="570">
        <v>5000000</v>
      </c>
      <c r="AH2076" s="571" t="s">
        <v>25</v>
      </c>
      <c r="AI2076" s="586" t="s">
        <v>1410</v>
      </c>
      <c r="AJ2076" s="586" t="s">
        <v>2771</v>
      </c>
    </row>
    <row r="2077" spans="1:36" s="394" customFormat="1" ht="101.25" outlineLevel="2" x14ac:dyDescent="0.3">
      <c r="A2077" s="447">
        <v>178</v>
      </c>
      <c r="B2077" s="572" t="s">
        <v>1629</v>
      </c>
      <c r="C2077" s="572"/>
      <c r="D2077" s="612">
        <v>86</v>
      </c>
      <c r="E2077" s="612" t="s">
        <v>1563</v>
      </c>
      <c r="F2077" s="586" t="s">
        <v>2443</v>
      </c>
      <c r="G2077" s="709">
        <v>38.5</v>
      </c>
      <c r="H2077" s="546">
        <v>38.5</v>
      </c>
      <c r="I2077" s="563">
        <v>465600</v>
      </c>
      <c r="J2077" s="563">
        <v>1396800</v>
      </c>
      <c r="K2077" s="564">
        <v>17926000</v>
      </c>
      <c r="L2077" s="564">
        <v>53777000</v>
      </c>
      <c r="M2077" s="661" t="s">
        <v>1412</v>
      </c>
      <c r="N2077" s="661"/>
      <c r="O2077" s="740">
        <v>4</v>
      </c>
      <c r="P2077" s="564">
        <v>1200000</v>
      </c>
      <c r="Q2077" s="564">
        <v>4800000</v>
      </c>
      <c r="R2077" s="566" t="s">
        <v>1839</v>
      </c>
      <c r="S2077" s="609" t="s">
        <v>1133</v>
      </c>
      <c r="T2077" s="741">
        <v>8.6999999999999993</v>
      </c>
      <c r="U2077" s="586"/>
      <c r="V2077" s="564">
        <v>244604</v>
      </c>
      <c r="W2077" s="564">
        <v>2128000</v>
      </c>
      <c r="X2077" s="650"/>
      <c r="Y2077" s="586"/>
      <c r="Z2077" s="742"/>
      <c r="AA2077" s="586"/>
      <c r="AB2077" s="586"/>
      <c r="AC2077" s="586"/>
      <c r="AD2077" s="586"/>
      <c r="AE2077" s="714"/>
      <c r="AF2077" s="570" t="s">
        <v>2899</v>
      </c>
      <c r="AG2077" s="570"/>
      <c r="AH2077" s="571" t="s">
        <v>25</v>
      </c>
      <c r="AI2077" s="586" t="s">
        <v>1566</v>
      </c>
      <c r="AJ2077" s="572" t="s">
        <v>2448</v>
      </c>
    </row>
    <row r="2078" spans="1:36" s="394" customFormat="1" ht="121.5" outlineLevel="2" x14ac:dyDescent="0.3">
      <c r="A2078" s="447">
        <v>178</v>
      </c>
      <c r="B2078" s="607" t="s">
        <v>1414</v>
      </c>
      <c r="C2078" s="607"/>
      <c r="D2078" s="612">
        <v>86</v>
      </c>
      <c r="E2078" s="612" t="s">
        <v>1565</v>
      </c>
      <c r="F2078" s="586" t="s">
        <v>2444</v>
      </c>
      <c r="G2078" s="709">
        <v>252.3</v>
      </c>
      <c r="H2078" s="546">
        <v>252.3</v>
      </c>
      <c r="I2078" s="563">
        <v>465600</v>
      </c>
      <c r="J2078" s="563">
        <v>1396800</v>
      </c>
      <c r="K2078" s="564">
        <v>117471000</v>
      </c>
      <c r="L2078" s="564">
        <v>352413000</v>
      </c>
      <c r="M2078" s="661" t="s">
        <v>1413</v>
      </c>
      <c r="N2078" s="661"/>
      <c r="O2078" s="740">
        <v>4</v>
      </c>
      <c r="P2078" s="564">
        <v>600000</v>
      </c>
      <c r="Q2078" s="564">
        <v>2400000</v>
      </c>
      <c r="R2078" s="566" t="s">
        <v>1980</v>
      </c>
      <c r="S2078" s="609" t="s">
        <v>1133</v>
      </c>
      <c r="T2078" s="741">
        <v>14.4</v>
      </c>
      <c r="U2078" s="586"/>
      <c r="V2078" s="564">
        <v>684506</v>
      </c>
      <c r="W2078" s="564">
        <v>9857000</v>
      </c>
      <c r="X2078" s="650"/>
      <c r="Y2078" s="586"/>
      <c r="Z2078" s="742"/>
      <c r="AA2078" s="586"/>
      <c r="AB2078" s="586"/>
      <c r="AC2078" s="586"/>
      <c r="AD2078" s="586"/>
      <c r="AE2078" s="714"/>
      <c r="AF2078" s="570" t="s">
        <v>2899</v>
      </c>
      <c r="AG2078" s="570" t="s">
        <v>25</v>
      </c>
      <c r="AH2078" s="571" t="s">
        <v>25</v>
      </c>
      <c r="AI2078" s="586" t="s">
        <v>1416</v>
      </c>
      <c r="AJ2078" s="558" t="s">
        <v>2450</v>
      </c>
    </row>
    <row r="2079" spans="1:36" s="394" customFormat="1" ht="101.25" outlineLevel="2" x14ac:dyDescent="0.3">
      <c r="A2079" s="447">
        <v>178</v>
      </c>
      <c r="B2079" s="572" t="s">
        <v>1417</v>
      </c>
      <c r="C2079" s="572"/>
      <c r="D2079" s="612"/>
      <c r="E2079" s="612"/>
      <c r="F2079" s="586" t="s">
        <v>2445</v>
      </c>
      <c r="G2079" s="709">
        <v>170.4</v>
      </c>
      <c r="H2079" s="546">
        <v>170.4</v>
      </c>
      <c r="I2079" s="563">
        <v>376800</v>
      </c>
      <c r="J2079" s="563">
        <v>1130400</v>
      </c>
      <c r="K2079" s="564">
        <v>64207000</v>
      </c>
      <c r="L2079" s="564">
        <v>192620000</v>
      </c>
      <c r="M2079" s="661" t="s">
        <v>1415</v>
      </c>
      <c r="N2079" s="661"/>
      <c r="O2079" s="740">
        <v>1</v>
      </c>
      <c r="P2079" s="564">
        <v>180000</v>
      </c>
      <c r="Q2079" s="564">
        <v>180000</v>
      </c>
      <c r="R2079" s="566" t="s">
        <v>1838</v>
      </c>
      <c r="S2079" s="609" t="s">
        <v>1133</v>
      </c>
      <c r="T2079" s="741">
        <v>55.52</v>
      </c>
      <c r="U2079" s="586"/>
      <c r="V2079" s="564">
        <v>3156089</v>
      </c>
      <c r="W2079" s="564">
        <v>175226000</v>
      </c>
      <c r="X2079" s="661" t="s">
        <v>1138</v>
      </c>
      <c r="Y2079" s="683" t="s">
        <v>1139</v>
      </c>
      <c r="Z2079" s="683" t="s">
        <v>56</v>
      </c>
      <c r="AA2079" s="694" t="s">
        <v>269</v>
      </c>
      <c r="AB2079" s="683" t="s">
        <v>1138</v>
      </c>
      <c r="AC2079" s="586"/>
      <c r="AD2079" s="586"/>
      <c r="AE2079" s="714"/>
      <c r="AF2079" s="570" t="s">
        <v>2899</v>
      </c>
      <c r="AG2079" s="570" t="s">
        <v>25</v>
      </c>
      <c r="AH2079" s="571" t="s">
        <v>25</v>
      </c>
      <c r="AI2079" s="586" t="s">
        <v>1567</v>
      </c>
      <c r="AJ2079" s="558" t="s">
        <v>2449</v>
      </c>
    </row>
    <row r="2080" spans="1:36" s="394" customFormat="1" ht="141.75" outlineLevel="2" x14ac:dyDescent="0.3">
      <c r="A2080" s="447">
        <v>178</v>
      </c>
      <c r="B2080" s="572" t="s">
        <v>1630</v>
      </c>
      <c r="C2080" s="572"/>
      <c r="D2080" s="612">
        <v>86</v>
      </c>
      <c r="E2080" s="612" t="s">
        <v>1408</v>
      </c>
      <c r="F2080" s="586" t="s">
        <v>2459</v>
      </c>
      <c r="G2080" s="709">
        <v>192.4</v>
      </c>
      <c r="H2080" s="546" t="s">
        <v>2899</v>
      </c>
      <c r="I2080" s="563">
        <v>465600</v>
      </c>
      <c r="J2080" s="563">
        <v>0</v>
      </c>
      <c r="K2080" s="564">
        <v>89581000</v>
      </c>
      <c r="L2080" s="564">
        <v>0</v>
      </c>
      <c r="M2080" s="572" t="s">
        <v>1418</v>
      </c>
      <c r="N2080" s="572"/>
      <c r="O2080" s="740">
        <v>1</v>
      </c>
      <c r="P2080" s="564">
        <v>1950000</v>
      </c>
      <c r="Q2080" s="564">
        <v>1950000</v>
      </c>
      <c r="R2080" s="566" t="s">
        <v>1981</v>
      </c>
      <c r="S2080" s="609" t="s">
        <v>1133</v>
      </c>
      <c r="T2080" s="741">
        <v>2.8</v>
      </c>
      <c r="U2080" s="586"/>
      <c r="V2080" s="564">
        <v>8308812</v>
      </c>
      <c r="W2080" s="564">
        <v>23265000</v>
      </c>
      <c r="X2080" s="650"/>
      <c r="Y2080" s="586"/>
      <c r="Z2080" s="742"/>
      <c r="AA2080" s="586"/>
      <c r="AB2080" s="586"/>
      <c r="AC2080" s="586"/>
      <c r="AD2080" s="586"/>
      <c r="AE2080" s="714"/>
      <c r="AF2080" s="570" t="s">
        <v>2899</v>
      </c>
      <c r="AG2080" s="570" t="s">
        <v>25</v>
      </c>
      <c r="AH2080" s="571" t="s">
        <v>25</v>
      </c>
      <c r="AI2080" s="586" t="s">
        <v>1568</v>
      </c>
      <c r="AJ2080" s="572" t="s">
        <v>2447</v>
      </c>
    </row>
    <row r="2081" spans="1:36" s="394" customFormat="1" ht="101.25" outlineLevel="2" x14ac:dyDescent="0.3">
      <c r="A2081" s="447">
        <v>178</v>
      </c>
      <c r="B2081" s="572"/>
      <c r="C2081" s="572"/>
      <c r="D2081" s="612"/>
      <c r="E2081" s="612"/>
      <c r="F2081" s="586" t="s">
        <v>2493</v>
      </c>
      <c r="G2081" s="709">
        <v>139.19999999999999</v>
      </c>
      <c r="H2081" s="546">
        <v>139.19999999999999</v>
      </c>
      <c r="I2081" s="563">
        <v>376800</v>
      </c>
      <c r="J2081" s="563">
        <v>1130400</v>
      </c>
      <c r="K2081" s="564">
        <v>52451000</v>
      </c>
      <c r="L2081" s="564">
        <v>157352000</v>
      </c>
      <c r="M2081" s="572" t="s">
        <v>1419</v>
      </c>
      <c r="N2081" s="572"/>
      <c r="O2081" s="740">
        <v>1</v>
      </c>
      <c r="P2081" s="564">
        <v>4000</v>
      </c>
      <c r="Q2081" s="564">
        <v>4000</v>
      </c>
      <c r="R2081" s="572" t="s">
        <v>1938</v>
      </c>
      <c r="S2081" s="609" t="s">
        <v>1133</v>
      </c>
      <c r="T2081" s="741">
        <v>13.32</v>
      </c>
      <c r="U2081" s="586"/>
      <c r="V2081" s="564">
        <v>0</v>
      </c>
      <c r="W2081" s="564">
        <v>0</v>
      </c>
      <c r="X2081" s="650"/>
      <c r="Y2081" s="586"/>
      <c r="Z2081" s="742"/>
      <c r="AA2081" s="586"/>
      <c r="AB2081" s="586"/>
      <c r="AC2081" s="586"/>
      <c r="AD2081" s="586"/>
      <c r="AE2081" s="714"/>
      <c r="AF2081" s="570" t="s">
        <v>2899</v>
      </c>
      <c r="AG2081" s="570" t="s">
        <v>25</v>
      </c>
      <c r="AH2081" s="571" t="s">
        <v>25</v>
      </c>
      <c r="AI2081" s="558" t="s">
        <v>2074</v>
      </c>
      <c r="AJ2081" s="558" t="s">
        <v>2800</v>
      </c>
    </row>
    <row r="2082" spans="1:36" s="394" customFormat="1" ht="81" outlineLevel="2" x14ac:dyDescent="0.3">
      <c r="A2082" s="447">
        <v>178</v>
      </c>
      <c r="B2082" s="572"/>
      <c r="C2082" s="572"/>
      <c r="D2082" s="612"/>
      <c r="E2082" s="612"/>
      <c r="F2082" s="586"/>
      <c r="G2082" s="709"/>
      <c r="H2082" s="546"/>
      <c r="I2082" s="563" t="s">
        <v>25</v>
      </c>
      <c r="J2082" s="563" t="s">
        <v>25</v>
      </c>
      <c r="K2082" s="564" t="s">
        <v>25</v>
      </c>
      <c r="L2082" s="564" t="s">
        <v>25</v>
      </c>
      <c r="M2082" s="565" t="s">
        <v>429</v>
      </c>
      <c r="N2082" s="565"/>
      <c r="O2082" s="740">
        <v>22</v>
      </c>
      <c r="P2082" s="564">
        <v>12000</v>
      </c>
      <c r="Q2082" s="564">
        <v>264000</v>
      </c>
      <c r="R2082" s="566" t="s">
        <v>1980</v>
      </c>
      <c r="S2082" s="609" t="s">
        <v>1133</v>
      </c>
      <c r="T2082" s="741">
        <v>76.400000000000006</v>
      </c>
      <c r="U2082" s="586"/>
      <c r="V2082" s="564">
        <v>684506</v>
      </c>
      <c r="W2082" s="564">
        <v>52296000</v>
      </c>
      <c r="X2082" s="650"/>
      <c r="Y2082" s="586"/>
      <c r="Z2082" s="742"/>
      <c r="AA2082" s="586"/>
      <c r="AB2082" s="586"/>
      <c r="AC2082" s="586"/>
      <c r="AD2082" s="586"/>
      <c r="AE2082" s="714"/>
      <c r="AF2082" s="570" t="s">
        <v>2899</v>
      </c>
      <c r="AG2082" s="570" t="s">
        <v>25</v>
      </c>
      <c r="AH2082" s="571" t="s">
        <v>25</v>
      </c>
      <c r="AI2082" s="731"/>
      <c r="AJ2082" s="558"/>
    </row>
    <row r="2083" spans="1:36" s="394" customFormat="1" ht="40.5" outlineLevel="2" x14ac:dyDescent="0.3">
      <c r="A2083" s="447">
        <v>178</v>
      </c>
      <c r="B2083" s="572"/>
      <c r="C2083" s="572"/>
      <c r="D2083" s="612"/>
      <c r="E2083" s="612"/>
      <c r="F2083" s="586"/>
      <c r="G2083" s="709"/>
      <c r="H2083" s="546"/>
      <c r="I2083" s="563" t="s">
        <v>25</v>
      </c>
      <c r="J2083" s="563" t="s">
        <v>25</v>
      </c>
      <c r="K2083" s="564" t="s">
        <v>25</v>
      </c>
      <c r="L2083" s="564" t="s">
        <v>25</v>
      </c>
      <c r="M2083" s="572" t="s">
        <v>145</v>
      </c>
      <c r="N2083" s="572"/>
      <c r="O2083" s="740">
        <v>6</v>
      </c>
      <c r="P2083" s="564">
        <v>4240000</v>
      </c>
      <c r="Q2083" s="564">
        <v>25440000</v>
      </c>
      <c r="R2083" s="566" t="s">
        <v>1838</v>
      </c>
      <c r="S2083" s="609" t="s">
        <v>1133</v>
      </c>
      <c r="T2083" s="741">
        <v>15.12</v>
      </c>
      <c r="U2083" s="586"/>
      <c r="V2083" s="564">
        <v>3156089</v>
      </c>
      <c r="W2083" s="564">
        <v>47720000</v>
      </c>
      <c r="X2083" s="650"/>
      <c r="Y2083" s="586"/>
      <c r="Z2083" s="742"/>
      <c r="AA2083" s="586"/>
      <c r="AB2083" s="586"/>
      <c r="AC2083" s="586"/>
      <c r="AD2083" s="586"/>
      <c r="AE2083" s="714"/>
      <c r="AF2083" s="570" t="s">
        <v>2899</v>
      </c>
      <c r="AG2083" s="570" t="s">
        <v>25</v>
      </c>
      <c r="AH2083" s="571" t="s">
        <v>25</v>
      </c>
      <c r="AI2083" s="558"/>
      <c r="AJ2083" s="558"/>
    </row>
    <row r="2084" spans="1:36" s="394" customFormat="1" ht="81" outlineLevel="2" x14ac:dyDescent="0.3">
      <c r="A2084" s="447">
        <v>178</v>
      </c>
      <c r="B2084" s="572"/>
      <c r="C2084" s="572"/>
      <c r="D2084" s="612"/>
      <c r="E2084" s="612"/>
      <c r="F2084" s="586"/>
      <c r="G2084" s="709"/>
      <c r="H2084" s="546"/>
      <c r="I2084" s="563" t="s">
        <v>25</v>
      </c>
      <c r="J2084" s="563" t="s">
        <v>25</v>
      </c>
      <c r="K2084" s="564" t="s">
        <v>25</v>
      </c>
      <c r="L2084" s="564" t="s">
        <v>25</v>
      </c>
      <c r="M2084" s="572" t="s">
        <v>80</v>
      </c>
      <c r="N2084" s="572"/>
      <c r="O2084" s="740">
        <v>1</v>
      </c>
      <c r="P2084" s="564">
        <v>400000</v>
      </c>
      <c r="Q2084" s="564">
        <v>400000</v>
      </c>
      <c r="R2084" s="572" t="s">
        <v>1980</v>
      </c>
      <c r="S2084" s="609" t="s">
        <v>1133</v>
      </c>
      <c r="T2084" s="741">
        <v>152</v>
      </c>
      <c r="U2084" s="586"/>
      <c r="V2084" s="564">
        <v>684506</v>
      </c>
      <c r="W2084" s="564">
        <v>104045000</v>
      </c>
      <c r="X2084" s="650"/>
      <c r="Y2084" s="586"/>
      <c r="Z2084" s="742"/>
      <c r="AA2084" s="586"/>
      <c r="AB2084" s="586"/>
      <c r="AC2084" s="586"/>
      <c r="AD2084" s="586"/>
      <c r="AE2084" s="714"/>
      <c r="AF2084" s="570" t="s">
        <v>2899</v>
      </c>
      <c r="AG2084" s="570" t="s">
        <v>25</v>
      </c>
      <c r="AH2084" s="571" t="s">
        <v>25</v>
      </c>
      <c r="AI2084" s="558"/>
      <c r="AJ2084" s="558"/>
    </row>
    <row r="2085" spans="1:36" s="394" customFormat="1" ht="101.25" outlineLevel="2" x14ac:dyDescent="0.3">
      <c r="A2085" s="447">
        <v>178</v>
      </c>
      <c r="B2085" s="572"/>
      <c r="C2085" s="572"/>
      <c r="D2085" s="612"/>
      <c r="E2085" s="612"/>
      <c r="F2085" s="586"/>
      <c r="G2085" s="709"/>
      <c r="H2085" s="546"/>
      <c r="I2085" s="563" t="s">
        <v>25</v>
      </c>
      <c r="J2085" s="563" t="s">
        <v>25</v>
      </c>
      <c r="K2085" s="564" t="s">
        <v>25</v>
      </c>
      <c r="L2085" s="564" t="s">
        <v>25</v>
      </c>
      <c r="M2085" s="572" t="s">
        <v>61</v>
      </c>
      <c r="N2085" s="572"/>
      <c r="O2085" s="740">
        <v>25</v>
      </c>
      <c r="P2085" s="564">
        <v>1708000</v>
      </c>
      <c r="Q2085" s="564">
        <v>42700000</v>
      </c>
      <c r="R2085" s="572" t="s">
        <v>1981</v>
      </c>
      <c r="S2085" s="609" t="s">
        <v>1133</v>
      </c>
      <c r="T2085" s="741">
        <v>4</v>
      </c>
      <c r="U2085" s="586"/>
      <c r="V2085" s="564">
        <v>8308812</v>
      </c>
      <c r="W2085" s="564">
        <v>33235000</v>
      </c>
      <c r="X2085" s="650"/>
      <c r="Y2085" s="586"/>
      <c r="Z2085" s="742"/>
      <c r="AA2085" s="586"/>
      <c r="AB2085" s="586"/>
      <c r="AC2085" s="586"/>
      <c r="AD2085" s="586"/>
      <c r="AE2085" s="714"/>
      <c r="AF2085" s="570" t="s">
        <v>2899</v>
      </c>
      <c r="AG2085" s="570" t="s">
        <v>25</v>
      </c>
      <c r="AH2085" s="571" t="s">
        <v>25</v>
      </c>
      <c r="AI2085" s="558"/>
      <c r="AJ2085" s="558"/>
    </row>
    <row r="2086" spans="1:36" s="394" customFormat="1" ht="60.75" outlineLevel="2" x14ac:dyDescent="0.3">
      <c r="A2086" s="447">
        <v>178</v>
      </c>
      <c r="B2086" s="572"/>
      <c r="C2086" s="572"/>
      <c r="D2086" s="612"/>
      <c r="E2086" s="612"/>
      <c r="F2086" s="586"/>
      <c r="G2086" s="709"/>
      <c r="H2086" s="546"/>
      <c r="I2086" s="563" t="s">
        <v>25</v>
      </c>
      <c r="J2086" s="563" t="s">
        <v>25</v>
      </c>
      <c r="K2086" s="564" t="s">
        <v>25</v>
      </c>
      <c r="L2086" s="564" t="s">
        <v>25</v>
      </c>
      <c r="M2086" s="572" t="s">
        <v>64</v>
      </c>
      <c r="N2086" s="572"/>
      <c r="O2086" s="740">
        <v>18</v>
      </c>
      <c r="P2086" s="564">
        <v>1122000</v>
      </c>
      <c r="Q2086" s="564">
        <v>20196000</v>
      </c>
      <c r="R2086" s="572" t="s">
        <v>1938</v>
      </c>
      <c r="S2086" s="609" t="s">
        <v>1133</v>
      </c>
      <c r="T2086" s="741">
        <v>15.120000000000001</v>
      </c>
      <c r="U2086" s="586"/>
      <c r="V2086" s="564">
        <v>0</v>
      </c>
      <c r="W2086" s="564">
        <v>0</v>
      </c>
      <c r="X2086" s="650"/>
      <c r="Y2086" s="586"/>
      <c r="Z2086" s="742"/>
      <c r="AA2086" s="586"/>
      <c r="AB2086" s="586"/>
      <c r="AC2086" s="586"/>
      <c r="AD2086" s="586"/>
      <c r="AE2086" s="714"/>
      <c r="AF2086" s="570" t="s">
        <v>2899</v>
      </c>
      <c r="AG2086" s="570" t="s">
        <v>25</v>
      </c>
      <c r="AH2086" s="571" t="s">
        <v>25</v>
      </c>
      <c r="AI2086" s="558"/>
      <c r="AJ2086" s="558"/>
    </row>
    <row r="2087" spans="1:36" s="394" customFormat="1" ht="81" outlineLevel="2" x14ac:dyDescent="0.3">
      <c r="A2087" s="447">
        <v>178</v>
      </c>
      <c r="B2087" s="572"/>
      <c r="C2087" s="572"/>
      <c r="D2087" s="612"/>
      <c r="E2087" s="612"/>
      <c r="F2087" s="586"/>
      <c r="G2087" s="709"/>
      <c r="H2087" s="546"/>
      <c r="I2087" s="563" t="s">
        <v>25</v>
      </c>
      <c r="J2087" s="563" t="s">
        <v>25</v>
      </c>
      <c r="K2087" s="564" t="s">
        <v>25</v>
      </c>
      <c r="L2087" s="564" t="s">
        <v>25</v>
      </c>
      <c r="M2087" s="572" t="s">
        <v>67</v>
      </c>
      <c r="N2087" s="572"/>
      <c r="O2087" s="740">
        <v>25</v>
      </c>
      <c r="P2087" s="564">
        <v>494000</v>
      </c>
      <c r="Q2087" s="564">
        <v>12350000</v>
      </c>
      <c r="R2087" s="572" t="s">
        <v>1978</v>
      </c>
      <c r="S2087" s="609" t="s">
        <v>1133</v>
      </c>
      <c r="T2087" s="741">
        <v>81.900000000000006</v>
      </c>
      <c r="U2087" s="586">
        <v>6.4</v>
      </c>
      <c r="V2087" s="564">
        <v>236298</v>
      </c>
      <c r="W2087" s="564">
        <v>19353000</v>
      </c>
      <c r="X2087" s="650"/>
      <c r="Y2087" s="586"/>
      <c r="Z2087" s="742"/>
      <c r="AA2087" s="586"/>
      <c r="AB2087" s="586"/>
      <c r="AC2087" s="586"/>
      <c r="AD2087" s="586"/>
      <c r="AE2087" s="714"/>
      <c r="AF2087" s="570" t="s">
        <v>2899</v>
      </c>
      <c r="AG2087" s="570" t="s">
        <v>25</v>
      </c>
      <c r="AH2087" s="571" t="s">
        <v>25</v>
      </c>
      <c r="AI2087" s="558"/>
      <c r="AJ2087" s="558"/>
    </row>
    <row r="2088" spans="1:36" s="394" customFormat="1" ht="81" outlineLevel="2" x14ac:dyDescent="0.3">
      <c r="A2088" s="447">
        <v>178</v>
      </c>
      <c r="B2088" s="572"/>
      <c r="C2088" s="572"/>
      <c r="D2088" s="612"/>
      <c r="E2088" s="612"/>
      <c r="F2088" s="586"/>
      <c r="G2088" s="709"/>
      <c r="H2088" s="546"/>
      <c r="I2088" s="563" t="s">
        <v>25</v>
      </c>
      <c r="J2088" s="563" t="s">
        <v>25</v>
      </c>
      <c r="K2088" s="564" t="s">
        <v>25</v>
      </c>
      <c r="L2088" s="564" t="s">
        <v>25</v>
      </c>
      <c r="M2088" s="572" t="s">
        <v>69</v>
      </c>
      <c r="N2088" s="572"/>
      <c r="O2088" s="740">
        <v>15</v>
      </c>
      <c r="P2088" s="564">
        <v>211000</v>
      </c>
      <c r="Q2088" s="564">
        <v>3165000</v>
      </c>
      <c r="R2088" s="566" t="s">
        <v>1982</v>
      </c>
      <c r="S2088" s="609" t="s">
        <v>1420</v>
      </c>
      <c r="T2088" s="741">
        <v>1</v>
      </c>
      <c r="U2088" s="586"/>
      <c r="V2088" s="564">
        <v>0</v>
      </c>
      <c r="W2088" s="564">
        <v>0</v>
      </c>
      <c r="X2088" s="650"/>
      <c r="Y2088" s="586"/>
      <c r="Z2088" s="742"/>
      <c r="AA2088" s="586"/>
      <c r="AB2088" s="586"/>
      <c r="AC2088" s="586"/>
      <c r="AD2088" s="586"/>
      <c r="AE2088" s="714"/>
      <c r="AF2088" s="570" t="s">
        <v>2899</v>
      </c>
      <c r="AG2088" s="570" t="s">
        <v>25</v>
      </c>
      <c r="AH2088" s="571" t="s">
        <v>25</v>
      </c>
      <c r="AI2088" s="558"/>
      <c r="AJ2088" s="558"/>
    </row>
    <row r="2089" spans="1:36" s="394" customFormat="1" ht="40.5" outlineLevel="2" x14ac:dyDescent="0.3">
      <c r="A2089" s="447">
        <v>178</v>
      </c>
      <c r="B2089" s="572"/>
      <c r="C2089" s="572"/>
      <c r="D2089" s="612"/>
      <c r="E2089" s="612"/>
      <c r="F2089" s="586"/>
      <c r="G2089" s="709"/>
      <c r="H2089" s="546"/>
      <c r="I2089" s="563" t="s">
        <v>25</v>
      </c>
      <c r="J2089" s="563" t="s">
        <v>25</v>
      </c>
      <c r="K2089" s="564" t="s">
        <v>25</v>
      </c>
      <c r="L2089" s="564" t="s">
        <v>25</v>
      </c>
      <c r="M2089" s="572" t="s">
        <v>76</v>
      </c>
      <c r="N2089" s="572"/>
      <c r="O2089" s="740">
        <v>29</v>
      </c>
      <c r="P2089" s="564">
        <v>45000</v>
      </c>
      <c r="Q2089" s="564">
        <v>1305000</v>
      </c>
      <c r="R2089" s="572" t="s">
        <v>1839</v>
      </c>
      <c r="S2089" s="609" t="s">
        <v>1133</v>
      </c>
      <c r="T2089" s="741">
        <v>12.48</v>
      </c>
      <c r="U2089" s="586"/>
      <c r="V2089" s="564">
        <v>244604</v>
      </c>
      <c r="W2089" s="564">
        <v>3053000</v>
      </c>
      <c r="X2089" s="650"/>
      <c r="Y2089" s="586"/>
      <c r="Z2089" s="742"/>
      <c r="AA2089" s="586"/>
      <c r="AB2089" s="586"/>
      <c r="AC2089" s="586"/>
      <c r="AD2089" s="586"/>
      <c r="AE2089" s="714"/>
      <c r="AF2089" s="570" t="s">
        <v>2899</v>
      </c>
      <c r="AG2089" s="570" t="s">
        <v>25</v>
      </c>
      <c r="AH2089" s="571" t="s">
        <v>25</v>
      </c>
      <c r="AI2089" s="558"/>
      <c r="AJ2089" s="558"/>
    </row>
    <row r="2090" spans="1:36" s="394" customFormat="1" ht="81" outlineLevel="2" x14ac:dyDescent="0.3">
      <c r="A2090" s="447">
        <v>178</v>
      </c>
      <c r="B2090" s="572"/>
      <c r="C2090" s="572"/>
      <c r="D2090" s="612"/>
      <c r="E2090" s="612"/>
      <c r="F2090" s="586"/>
      <c r="G2090" s="709"/>
      <c r="H2090" s="546"/>
      <c r="I2090" s="563" t="s">
        <v>25</v>
      </c>
      <c r="J2090" s="563" t="s">
        <v>25</v>
      </c>
      <c r="K2090" s="564" t="s">
        <v>25</v>
      </c>
      <c r="L2090" s="564" t="s">
        <v>25</v>
      </c>
      <c r="M2090" s="572" t="s">
        <v>156</v>
      </c>
      <c r="N2090" s="572"/>
      <c r="O2090" s="740">
        <v>3</v>
      </c>
      <c r="P2090" s="564">
        <v>288000</v>
      </c>
      <c r="Q2090" s="564">
        <v>864000</v>
      </c>
      <c r="R2090" s="572" t="s">
        <v>1978</v>
      </c>
      <c r="S2090" s="609" t="s">
        <v>1133</v>
      </c>
      <c r="T2090" s="741">
        <v>16.100000000000001</v>
      </c>
      <c r="U2090" s="586"/>
      <c r="V2090" s="564">
        <v>236298</v>
      </c>
      <c r="W2090" s="564">
        <v>3804000</v>
      </c>
      <c r="X2090" s="650"/>
      <c r="Y2090" s="586"/>
      <c r="Z2090" s="742"/>
      <c r="AA2090" s="586"/>
      <c r="AB2090" s="586"/>
      <c r="AC2090" s="586"/>
      <c r="AD2090" s="586"/>
      <c r="AE2090" s="714"/>
      <c r="AF2090" s="570" t="s">
        <v>2899</v>
      </c>
      <c r="AG2090" s="570" t="s">
        <v>25</v>
      </c>
      <c r="AH2090" s="571" t="s">
        <v>25</v>
      </c>
      <c r="AI2090" s="558"/>
      <c r="AJ2090" s="558"/>
    </row>
    <row r="2091" spans="1:36" s="394" customFormat="1" ht="81" outlineLevel="2" x14ac:dyDescent="0.3">
      <c r="A2091" s="447">
        <v>178</v>
      </c>
      <c r="B2091" s="572"/>
      <c r="C2091" s="572"/>
      <c r="D2091" s="612"/>
      <c r="E2091" s="612"/>
      <c r="F2091" s="586"/>
      <c r="G2091" s="709"/>
      <c r="H2091" s="546"/>
      <c r="I2091" s="563" t="s">
        <v>25</v>
      </c>
      <c r="J2091" s="563" t="s">
        <v>25</v>
      </c>
      <c r="K2091" s="564" t="s">
        <v>25</v>
      </c>
      <c r="L2091" s="564" t="s">
        <v>25</v>
      </c>
      <c r="M2091" s="572" t="s">
        <v>405</v>
      </c>
      <c r="N2091" s="572"/>
      <c r="O2091" s="740">
        <v>15</v>
      </c>
      <c r="P2091" s="564">
        <v>72000</v>
      </c>
      <c r="Q2091" s="564">
        <v>1080000</v>
      </c>
      <c r="R2091" s="572" t="s">
        <v>1978</v>
      </c>
      <c r="S2091" s="609" t="s">
        <v>1133</v>
      </c>
      <c r="T2091" s="741">
        <v>25.9</v>
      </c>
      <c r="U2091" s="586"/>
      <c r="V2091" s="564">
        <v>236298</v>
      </c>
      <c r="W2091" s="564">
        <v>6120000</v>
      </c>
      <c r="X2091" s="650"/>
      <c r="Y2091" s="586"/>
      <c r="Z2091" s="742"/>
      <c r="AA2091" s="586"/>
      <c r="AB2091" s="586"/>
      <c r="AC2091" s="586"/>
      <c r="AD2091" s="586"/>
      <c r="AE2091" s="714"/>
      <c r="AF2091" s="570" t="s">
        <v>2899</v>
      </c>
      <c r="AG2091" s="570" t="s">
        <v>25</v>
      </c>
      <c r="AH2091" s="571" t="s">
        <v>25</v>
      </c>
      <c r="AI2091" s="558"/>
      <c r="AJ2091" s="558"/>
    </row>
    <row r="2092" spans="1:36" s="394" customFormat="1" ht="60.75" outlineLevel="2" x14ac:dyDescent="0.3">
      <c r="A2092" s="447">
        <v>178</v>
      </c>
      <c r="B2092" s="572"/>
      <c r="C2092" s="572"/>
      <c r="D2092" s="612"/>
      <c r="E2092" s="612"/>
      <c r="F2092" s="586"/>
      <c r="G2092" s="709"/>
      <c r="H2092" s="546"/>
      <c r="I2092" s="563" t="s">
        <v>25</v>
      </c>
      <c r="J2092" s="563" t="s">
        <v>25</v>
      </c>
      <c r="K2092" s="564" t="s">
        <v>25</v>
      </c>
      <c r="L2092" s="564" t="s">
        <v>25</v>
      </c>
      <c r="M2092" s="572" t="s">
        <v>72</v>
      </c>
      <c r="N2092" s="572"/>
      <c r="O2092" s="740">
        <v>31</v>
      </c>
      <c r="P2092" s="564">
        <v>132000</v>
      </c>
      <c r="Q2092" s="564">
        <v>4092000</v>
      </c>
      <c r="R2092" s="572" t="s">
        <v>1983</v>
      </c>
      <c r="S2092" s="609" t="s">
        <v>1133</v>
      </c>
      <c r="T2092" s="741">
        <v>13.2</v>
      </c>
      <c r="U2092" s="586"/>
      <c r="V2092" s="564">
        <v>625568</v>
      </c>
      <c r="W2092" s="564">
        <v>8257000</v>
      </c>
      <c r="X2092" s="650"/>
      <c r="Y2092" s="586"/>
      <c r="Z2092" s="742"/>
      <c r="AA2092" s="586"/>
      <c r="AB2092" s="586"/>
      <c r="AC2092" s="586"/>
      <c r="AD2092" s="586"/>
      <c r="AE2092" s="714"/>
      <c r="AF2092" s="570" t="s">
        <v>2899</v>
      </c>
      <c r="AG2092" s="570" t="s">
        <v>25</v>
      </c>
      <c r="AH2092" s="571" t="s">
        <v>25</v>
      </c>
      <c r="AI2092" s="558"/>
      <c r="AJ2092" s="558"/>
    </row>
    <row r="2093" spans="1:36" s="394" customFormat="1" ht="60.75" outlineLevel="2" x14ac:dyDescent="0.3">
      <c r="A2093" s="447">
        <v>178</v>
      </c>
      <c r="B2093" s="572"/>
      <c r="C2093" s="572"/>
      <c r="D2093" s="612"/>
      <c r="E2093" s="612"/>
      <c r="F2093" s="586"/>
      <c r="G2093" s="709"/>
      <c r="H2093" s="546"/>
      <c r="I2093" s="563" t="s">
        <v>25</v>
      </c>
      <c r="J2093" s="563" t="s">
        <v>25</v>
      </c>
      <c r="K2093" s="564" t="s">
        <v>25</v>
      </c>
      <c r="L2093" s="564" t="s">
        <v>25</v>
      </c>
      <c r="M2093" s="572" t="s">
        <v>73</v>
      </c>
      <c r="N2093" s="572"/>
      <c r="O2093" s="740">
        <v>27</v>
      </c>
      <c r="P2093" s="564">
        <v>76000</v>
      </c>
      <c r="Q2093" s="564">
        <v>2052000</v>
      </c>
      <c r="R2093" s="572" t="s">
        <v>1983</v>
      </c>
      <c r="S2093" s="609" t="s">
        <v>1133</v>
      </c>
      <c r="T2093" s="741">
        <v>14.04</v>
      </c>
      <c r="U2093" s="586"/>
      <c r="V2093" s="564">
        <v>625568</v>
      </c>
      <c r="W2093" s="564">
        <v>8783000</v>
      </c>
      <c r="X2093" s="650"/>
      <c r="Y2093" s="586"/>
      <c r="Z2093" s="742"/>
      <c r="AA2093" s="586"/>
      <c r="AB2093" s="586"/>
      <c r="AC2093" s="586"/>
      <c r="AD2093" s="586"/>
      <c r="AE2093" s="714"/>
      <c r="AF2093" s="570" t="s">
        <v>2899</v>
      </c>
      <c r="AG2093" s="570" t="s">
        <v>25</v>
      </c>
      <c r="AH2093" s="571" t="s">
        <v>25</v>
      </c>
      <c r="AI2093" s="558"/>
      <c r="AJ2093" s="558"/>
    </row>
    <row r="2094" spans="1:36" s="394" customFormat="1" ht="60.75" outlineLevel="2" x14ac:dyDescent="0.3">
      <c r="A2094" s="447">
        <v>178</v>
      </c>
      <c r="B2094" s="572"/>
      <c r="C2094" s="572"/>
      <c r="D2094" s="612"/>
      <c r="E2094" s="612"/>
      <c r="F2094" s="586"/>
      <c r="G2094" s="709"/>
      <c r="H2094" s="546"/>
      <c r="I2094" s="563" t="s">
        <v>25</v>
      </c>
      <c r="J2094" s="563" t="s">
        <v>25</v>
      </c>
      <c r="K2094" s="564" t="s">
        <v>25</v>
      </c>
      <c r="L2094" s="564" t="s">
        <v>25</v>
      </c>
      <c r="M2094" s="572" t="s">
        <v>75</v>
      </c>
      <c r="N2094" s="572"/>
      <c r="O2094" s="740">
        <v>38</v>
      </c>
      <c r="P2094" s="564">
        <v>34000</v>
      </c>
      <c r="Q2094" s="564">
        <v>1292000</v>
      </c>
      <c r="R2094" s="572" t="s">
        <v>1984</v>
      </c>
      <c r="S2094" s="609" t="s">
        <v>1133</v>
      </c>
      <c r="T2094" s="741">
        <v>25.92</v>
      </c>
      <c r="U2094" s="586"/>
      <c r="V2094" s="564">
        <v>791229</v>
      </c>
      <c r="W2094" s="564">
        <v>20509000</v>
      </c>
      <c r="X2094" s="650"/>
      <c r="Y2094" s="586"/>
      <c r="Z2094" s="742"/>
      <c r="AA2094" s="586"/>
      <c r="AB2094" s="586"/>
      <c r="AC2094" s="586"/>
      <c r="AD2094" s="586"/>
      <c r="AE2094" s="714"/>
      <c r="AF2094" s="570" t="s">
        <v>2899</v>
      </c>
      <c r="AG2094" s="570" t="s">
        <v>25</v>
      </c>
      <c r="AH2094" s="571" t="s">
        <v>25</v>
      </c>
      <c r="AI2094" s="558"/>
      <c r="AJ2094" s="558"/>
    </row>
    <row r="2095" spans="1:36" s="394" customFormat="1" ht="81" outlineLevel="2" x14ac:dyDescent="0.3">
      <c r="A2095" s="447">
        <v>178</v>
      </c>
      <c r="B2095" s="572"/>
      <c r="C2095" s="572"/>
      <c r="D2095" s="612"/>
      <c r="E2095" s="612"/>
      <c r="F2095" s="586"/>
      <c r="G2095" s="709"/>
      <c r="H2095" s="546"/>
      <c r="I2095" s="563" t="s">
        <v>25</v>
      </c>
      <c r="J2095" s="563" t="s">
        <v>25</v>
      </c>
      <c r="K2095" s="564" t="s">
        <v>25</v>
      </c>
      <c r="L2095" s="564" t="s">
        <v>25</v>
      </c>
      <c r="M2095" s="572" t="s">
        <v>1353</v>
      </c>
      <c r="N2095" s="572"/>
      <c r="O2095" s="740">
        <v>1</v>
      </c>
      <c r="P2095" s="564">
        <v>1713000</v>
      </c>
      <c r="Q2095" s="564">
        <v>1713000</v>
      </c>
      <c r="R2095" s="572" t="s">
        <v>1985</v>
      </c>
      <c r="S2095" s="609" t="s">
        <v>1133</v>
      </c>
      <c r="T2095" s="741">
        <v>144</v>
      </c>
      <c r="U2095" s="586"/>
      <c r="V2095" s="564">
        <v>625568</v>
      </c>
      <c r="W2095" s="564">
        <v>90082000</v>
      </c>
      <c r="X2095" s="650"/>
      <c r="Y2095" s="586"/>
      <c r="Z2095" s="742"/>
      <c r="AA2095" s="586"/>
      <c r="AB2095" s="586"/>
      <c r="AC2095" s="586"/>
      <c r="AD2095" s="586"/>
      <c r="AE2095" s="714"/>
      <c r="AF2095" s="570" t="s">
        <v>2899</v>
      </c>
      <c r="AG2095" s="570" t="s">
        <v>25</v>
      </c>
      <c r="AH2095" s="571" t="s">
        <v>25</v>
      </c>
      <c r="AI2095" s="558"/>
      <c r="AJ2095" s="558"/>
    </row>
    <row r="2096" spans="1:36" s="394" customFormat="1" ht="40.5" outlineLevel="2" x14ac:dyDescent="0.3">
      <c r="A2096" s="447">
        <v>178</v>
      </c>
      <c r="B2096" s="572"/>
      <c r="C2096" s="572"/>
      <c r="D2096" s="612"/>
      <c r="E2096" s="612"/>
      <c r="F2096" s="586"/>
      <c r="G2096" s="709"/>
      <c r="H2096" s="546"/>
      <c r="I2096" s="563" t="s">
        <v>25</v>
      </c>
      <c r="J2096" s="563" t="s">
        <v>25</v>
      </c>
      <c r="K2096" s="564" t="s">
        <v>25</v>
      </c>
      <c r="L2096" s="564" t="s">
        <v>25</v>
      </c>
      <c r="M2096" s="572" t="s">
        <v>132</v>
      </c>
      <c r="N2096" s="572"/>
      <c r="O2096" s="740">
        <v>1</v>
      </c>
      <c r="P2096" s="564">
        <v>473000</v>
      </c>
      <c r="Q2096" s="564">
        <v>473000</v>
      </c>
      <c r="R2096" s="572" t="s">
        <v>1986</v>
      </c>
      <c r="S2096" s="609" t="s">
        <v>1286</v>
      </c>
      <c r="T2096" s="741">
        <v>0.2</v>
      </c>
      <c r="U2096" s="586"/>
      <c r="V2096" s="564">
        <v>0</v>
      </c>
      <c r="W2096" s="564">
        <v>0</v>
      </c>
      <c r="X2096" s="650"/>
      <c r="Y2096" s="586"/>
      <c r="Z2096" s="742"/>
      <c r="AA2096" s="586"/>
      <c r="AB2096" s="586"/>
      <c r="AC2096" s="586"/>
      <c r="AD2096" s="586"/>
      <c r="AE2096" s="714"/>
      <c r="AF2096" s="570" t="s">
        <v>2899</v>
      </c>
      <c r="AG2096" s="570" t="s">
        <v>25</v>
      </c>
      <c r="AH2096" s="571" t="s">
        <v>25</v>
      </c>
      <c r="AI2096" s="558"/>
      <c r="AJ2096" s="558"/>
    </row>
    <row r="2097" spans="1:36" s="394" customFormat="1" ht="60.75" outlineLevel="2" x14ac:dyDescent="0.3">
      <c r="A2097" s="447">
        <v>178</v>
      </c>
      <c r="B2097" s="572"/>
      <c r="C2097" s="572"/>
      <c r="D2097" s="612"/>
      <c r="E2097" s="612"/>
      <c r="F2097" s="586"/>
      <c r="G2097" s="709"/>
      <c r="H2097" s="546"/>
      <c r="I2097" s="563" t="s">
        <v>25</v>
      </c>
      <c r="J2097" s="563" t="s">
        <v>25</v>
      </c>
      <c r="K2097" s="564" t="s">
        <v>25</v>
      </c>
      <c r="L2097" s="564" t="s">
        <v>25</v>
      </c>
      <c r="M2097" s="572" t="s">
        <v>1421</v>
      </c>
      <c r="N2097" s="572"/>
      <c r="O2097" s="740">
        <v>5</v>
      </c>
      <c r="P2097" s="564">
        <v>4800000</v>
      </c>
      <c r="Q2097" s="564">
        <v>24000000</v>
      </c>
      <c r="R2097" s="572" t="s">
        <v>1987</v>
      </c>
      <c r="S2097" s="609" t="s">
        <v>101</v>
      </c>
      <c r="T2097" s="741">
        <v>5</v>
      </c>
      <c r="U2097" s="586"/>
      <c r="V2097" s="564">
        <v>674018</v>
      </c>
      <c r="W2097" s="564">
        <v>3370000</v>
      </c>
      <c r="X2097" s="650"/>
      <c r="Y2097" s="586"/>
      <c r="Z2097" s="742"/>
      <c r="AA2097" s="586"/>
      <c r="AB2097" s="586"/>
      <c r="AC2097" s="586"/>
      <c r="AD2097" s="586"/>
      <c r="AE2097" s="714"/>
      <c r="AF2097" s="570" t="s">
        <v>2899</v>
      </c>
      <c r="AG2097" s="570" t="s">
        <v>25</v>
      </c>
      <c r="AH2097" s="571" t="s">
        <v>25</v>
      </c>
      <c r="AI2097" s="558"/>
      <c r="AJ2097" s="558"/>
    </row>
    <row r="2098" spans="1:36" s="394" customFormat="1" ht="60.75" outlineLevel="2" x14ac:dyDescent="0.3">
      <c r="A2098" s="447">
        <v>178</v>
      </c>
      <c r="B2098" s="572"/>
      <c r="C2098" s="572"/>
      <c r="D2098" s="612"/>
      <c r="E2098" s="612"/>
      <c r="F2098" s="586"/>
      <c r="G2098" s="709"/>
      <c r="H2098" s="546"/>
      <c r="I2098" s="563" t="s">
        <v>25</v>
      </c>
      <c r="J2098" s="563" t="s">
        <v>25</v>
      </c>
      <c r="K2098" s="564" t="s">
        <v>25</v>
      </c>
      <c r="L2098" s="564" t="s">
        <v>25</v>
      </c>
      <c r="M2098" s="572" t="s">
        <v>1253</v>
      </c>
      <c r="N2098" s="572"/>
      <c r="O2098" s="740">
        <v>1</v>
      </c>
      <c r="P2098" s="564">
        <v>1080000</v>
      </c>
      <c r="Q2098" s="564">
        <v>1080000</v>
      </c>
      <c r="R2098" s="572" t="s">
        <v>1988</v>
      </c>
      <c r="S2098" s="609" t="s">
        <v>1133</v>
      </c>
      <c r="T2098" s="741">
        <v>96</v>
      </c>
      <c r="U2098" s="586"/>
      <c r="V2098" s="564">
        <v>0</v>
      </c>
      <c r="W2098" s="564">
        <v>0</v>
      </c>
      <c r="X2098" s="650"/>
      <c r="Y2098" s="586"/>
      <c r="Z2098" s="742"/>
      <c r="AA2098" s="586"/>
      <c r="AB2098" s="586"/>
      <c r="AC2098" s="586"/>
      <c r="AD2098" s="586"/>
      <c r="AE2098" s="714"/>
      <c r="AF2098" s="570" t="s">
        <v>2899</v>
      </c>
      <c r="AG2098" s="570" t="s">
        <v>25</v>
      </c>
      <c r="AH2098" s="571" t="s">
        <v>25</v>
      </c>
      <c r="AI2098" s="558"/>
      <c r="AJ2098" s="558"/>
    </row>
    <row r="2099" spans="1:36" s="394" customFormat="1" ht="60.75" outlineLevel="2" x14ac:dyDescent="0.3">
      <c r="A2099" s="447">
        <v>178</v>
      </c>
      <c r="B2099" s="572"/>
      <c r="C2099" s="572"/>
      <c r="D2099" s="612"/>
      <c r="E2099" s="612"/>
      <c r="F2099" s="586"/>
      <c r="G2099" s="709"/>
      <c r="H2099" s="546"/>
      <c r="I2099" s="563" t="s">
        <v>25</v>
      </c>
      <c r="J2099" s="563" t="s">
        <v>25</v>
      </c>
      <c r="K2099" s="564" t="s">
        <v>25</v>
      </c>
      <c r="L2099" s="564" t="s">
        <v>25</v>
      </c>
      <c r="M2099" s="572" t="s">
        <v>1254</v>
      </c>
      <c r="N2099" s="572"/>
      <c r="O2099" s="740">
        <v>1</v>
      </c>
      <c r="P2099" s="564">
        <v>480000</v>
      </c>
      <c r="Q2099" s="564">
        <v>480000</v>
      </c>
      <c r="R2099" s="572" t="s">
        <v>1989</v>
      </c>
      <c r="S2099" s="609" t="s">
        <v>1133</v>
      </c>
      <c r="T2099" s="741">
        <v>2.1</v>
      </c>
      <c r="U2099" s="586"/>
      <c r="V2099" s="564">
        <v>310020</v>
      </c>
      <c r="W2099" s="564">
        <v>651000</v>
      </c>
      <c r="X2099" s="650"/>
      <c r="Y2099" s="586"/>
      <c r="Z2099" s="742"/>
      <c r="AA2099" s="586"/>
      <c r="AB2099" s="586"/>
      <c r="AC2099" s="586"/>
      <c r="AD2099" s="586"/>
      <c r="AE2099" s="714"/>
      <c r="AF2099" s="570" t="s">
        <v>2899</v>
      </c>
      <c r="AG2099" s="570" t="s">
        <v>25</v>
      </c>
      <c r="AH2099" s="571" t="s">
        <v>25</v>
      </c>
      <c r="AI2099" s="558"/>
      <c r="AJ2099" s="558"/>
    </row>
    <row r="2100" spans="1:36" s="394" customFormat="1" ht="40.5" outlineLevel="2" x14ac:dyDescent="0.3">
      <c r="A2100" s="447">
        <v>178</v>
      </c>
      <c r="B2100" s="572"/>
      <c r="C2100" s="572"/>
      <c r="D2100" s="612"/>
      <c r="E2100" s="612"/>
      <c r="F2100" s="586"/>
      <c r="G2100" s="709"/>
      <c r="H2100" s="546"/>
      <c r="I2100" s="563" t="s">
        <v>25</v>
      </c>
      <c r="J2100" s="563" t="s">
        <v>25</v>
      </c>
      <c r="K2100" s="564" t="s">
        <v>25</v>
      </c>
      <c r="L2100" s="564" t="s">
        <v>25</v>
      </c>
      <c r="M2100" s="572" t="s">
        <v>1424</v>
      </c>
      <c r="N2100" s="572"/>
      <c r="O2100" s="740">
        <v>16</v>
      </c>
      <c r="P2100" s="564">
        <v>120000</v>
      </c>
      <c r="Q2100" s="564">
        <v>1920000</v>
      </c>
      <c r="R2100" s="572" t="s">
        <v>1990</v>
      </c>
      <c r="S2100" s="609" t="s">
        <v>1133</v>
      </c>
      <c r="T2100" s="741">
        <v>1.1000000000000001</v>
      </c>
      <c r="U2100" s="586"/>
      <c r="V2100" s="564">
        <v>0</v>
      </c>
      <c r="W2100" s="564">
        <v>0</v>
      </c>
      <c r="X2100" s="650"/>
      <c r="Y2100" s="586"/>
      <c r="Z2100" s="742"/>
      <c r="AA2100" s="586"/>
      <c r="AB2100" s="586"/>
      <c r="AC2100" s="586"/>
      <c r="AD2100" s="586"/>
      <c r="AE2100" s="714"/>
      <c r="AF2100" s="570" t="s">
        <v>2899</v>
      </c>
      <c r="AG2100" s="570" t="s">
        <v>25</v>
      </c>
      <c r="AH2100" s="571" t="s">
        <v>25</v>
      </c>
      <c r="AI2100" s="558"/>
      <c r="AJ2100" s="558"/>
    </row>
    <row r="2101" spans="1:36" s="394" customFormat="1" ht="40.5" outlineLevel="2" x14ac:dyDescent="0.3">
      <c r="A2101" s="447">
        <v>178</v>
      </c>
      <c r="B2101" s="572"/>
      <c r="C2101" s="572"/>
      <c r="D2101" s="612"/>
      <c r="E2101" s="612"/>
      <c r="F2101" s="586"/>
      <c r="G2101" s="709"/>
      <c r="H2101" s="546"/>
      <c r="I2101" s="563" t="s">
        <v>25</v>
      </c>
      <c r="J2101" s="563" t="s">
        <v>25</v>
      </c>
      <c r="K2101" s="564" t="s">
        <v>25</v>
      </c>
      <c r="L2101" s="564" t="s">
        <v>25</v>
      </c>
      <c r="M2101" s="572" t="s">
        <v>2090</v>
      </c>
      <c r="N2101" s="572"/>
      <c r="O2101" s="740">
        <v>3</v>
      </c>
      <c r="P2101" s="564">
        <v>24000</v>
      </c>
      <c r="Q2101" s="564">
        <v>72000</v>
      </c>
      <c r="R2101" s="572"/>
      <c r="S2101" s="609"/>
      <c r="T2101" s="741"/>
      <c r="U2101" s="586"/>
      <c r="V2101" s="564" t="s">
        <v>2899</v>
      </c>
      <c r="W2101" s="564" t="s">
        <v>25</v>
      </c>
      <c r="X2101" s="650"/>
      <c r="Y2101" s="586"/>
      <c r="Z2101" s="742"/>
      <c r="AA2101" s="586"/>
      <c r="AB2101" s="586"/>
      <c r="AC2101" s="586"/>
      <c r="AD2101" s="586"/>
      <c r="AE2101" s="714"/>
      <c r="AF2101" s="570" t="s">
        <v>2899</v>
      </c>
      <c r="AG2101" s="570" t="s">
        <v>25</v>
      </c>
      <c r="AH2101" s="571" t="s">
        <v>25</v>
      </c>
      <c r="AI2101" s="558"/>
      <c r="AJ2101" s="558"/>
    </row>
    <row r="2102" spans="1:36" s="394" customFormat="1" ht="40.5" outlineLevel="2" x14ac:dyDescent="0.3">
      <c r="A2102" s="447">
        <v>178</v>
      </c>
      <c r="B2102" s="572"/>
      <c r="C2102" s="572"/>
      <c r="D2102" s="612"/>
      <c r="E2102" s="612"/>
      <c r="F2102" s="586"/>
      <c r="G2102" s="709"/>
      <c r="H2102" s="546"/>
      <c r="I2102" s="563" t="s">
        <v>25</v>
      </c>
      <c r="J2102" s="563" t="s">
        <v>25</v>
      </c>
      <c r="K2102" s="564" t="s">
        <v>25</v>
      </c>
      <c r="L2102" s="564" t="s">
        <v>25</v>
      </c>
      <c r="M2102" s="572" t="s">
        <v>1424</v>
      </c>
      <c r="N2102" s="572"/>
      <c r="O2102" s="740">
        <v>1</v>
      </c>
      <c r="P2102" s="564">
        <v>120000</v>
      </c>
      <c r="Q2102" s="564">
        <v>120000</v>
      </c>
      <c r="R2102" s="572"/>
      <c r="S2102" s="609"/>
      <c r="T2102" s="741"/>
      <c r="U2102" s="586"/>
      <c r="V2102" s="564" t="s">
        <v>2899</v>
      </c>
      <c r="W2102" s="564" t="s">
        <v>25</v>
      </c>
      <c r="X2102" s="650"/>
      <c r="Y2102" s="586"/>
      <c r="Z2102" s="742"/>
      <c r="AA2102" s="586"/>
      <c r="AB2102" s="586"/>
      <c r="AC2102" s="586"/>
      <c r="AD2102" s="586"/>
      <c r="AE2102" s="714"/>
      <c r="AF2102" s="570" t="s">
        <v>2899</v>
      </c>
      <c r="AG2102" s="570" t="s">
        <v>25</v>
      </c>
      <c r="AH2102" s="571" t="s">
        <v>25</v>
      </c>
      <c r="AI2102" s="558"/>
      <c r="AJ2102" s="558"/>
    </row>
    <row r="2103" spans="1:36" s="394" customFormat="1" ht="20.25" outlineLevel="2" x14ac:dyDescent="0.3">
      <c r="A2103" s="447">
        <v>178</v>
      </c>
      <c r="B2103" s="572"/>
      <c r="C2103" s="572"/>
      <c r="D2103" s="612"/>
      <c r="E2103" s="612"/>
      <c r="F2103" s="586"/>
      <c r="G2103" s="709"/>
      <c r="H2103" s="546"/>
      <c r="I2103" s="563" t="s">
        <v>25</v>
      </c>
      <c r="J2103" s="563" t="s">
        <v>25</v>
      </c>
      <c r="K2103" s="564" t="s">
        <v>25</v>
      </c>
      <c r="L2103" s="564" t="s">
        <v>25</v>
      </c>
      <c r="M2103" s="572" t="s">
        <v>1425</v>
      </c>
      <c r="N2103" s="572"/>
      <c r="O2103" s="740">
        <v>1</v>
      </c>
      <c r="P2103" s="564">
        <v>1007000</v>
      </c>
      <c r="Q2103" s="564">
        <v>1007000</v>
      </c>
      <c r="R2103" s="572"/>
      <c r="S2103" s="609"/>
      <c r="T2103" s="741"/>
      <c r="U2103" s="586"/>
      <c r="V2103" s="564" t="s">
        <v>2899</v>
      </c>
      <c r="W2103" s="564" t="s">
        <v>25</v>
      </c>
      <c r="X2103" s="650"/>
      <c r="Y2103" s="586"/>
      <c r="Z2103" s="742"/>
      <c r="AA2103" s="586"/>
      <c r="AB2103" s="586"/>
      <c r="AC2103" s="586"/>
      <c r="AD2103" s="586"/>
      <c r="AE2103" s="714"/>
      <c r="AF2103" s="570" t="s">
        <v>2899</v>
      </c>
      <c r="AG2103" s="570" t="s">
        <v>25</v>
      </c>
      <c r="AH2103" s="571" t="s">
        <v>25</v>
      </c>
      <c r="AI2103" s="558"/>
      <c r="AJ2103" s="558"/>
    </row>
    <row r="2104" spans="1:36" s="394" customFormat="1" ht="20.25" outlineLevel="2" x14ac:dyDescent="0.3">
      <c r="A2104" s="447">
        <v>178</v>
      </c>
      <c r="B2104" s="572"/>
      <c r="C2104" s="572"/>
      <c r="D2104" s="612"/>
      <c r="E2104" s="612"/>
      <c r="F2104" s="586"/>
      <c r="G2104" s="709"/>
      <c r="H2104" s="546"/>
      <c r="I2104" s="563" t="s">
        <v>25</v>
      </c>
      <c r="J2104" s="563" t="s">
        <v>25</v>
      </c>
      <c r="K2104" s="564" t="s">
        <v>25</v>
      </c>
      <c r="L2104" s="564" t="s">
        <v>25</v>
      </c>
      <c r="M2104" s="572" t="s">
        <v>1224</v>
      </c>
      <c r="N2104" s="572"/>
      <c r="O2104" s="740">
        <v>1</v>
      </c>
      <c r="P2104" s="564">
        <v>667000</v>
      </c>
      <c r="Q2104" s="564">
        <v>667000</v>
      </c>
      <c r="R2104" s="572"/>
      <c r="S2104" s="609"/>
      <c r="T2104" s="741"/>
      <c r="U2104" s="586"/>
      <c r="V2104" s="564" t="s">
        <v>2899</v>
      </c>
      <c r="W2104" s="564" t="s">
        <v>25</v>
      </c>
      <c r="X2104" s="650"/>
      <c r="Y2104" s="586"/>
      <c r="Z2104" s="742"/>
      <c r="AA2104" s="586"/>
      <c r="AB2104" s="586"/>
      <c r="AC2104" s="586"/>
      <c r="AD2104" s="586"/>
      <c r="AE2104" s="714"/>
      <c r="AF2104" s="570" t="s">
        <v>2899</v>
      </c>
      <c r="AG2104" s="570" t="s">
        <v>25</v>
      </c>
      <c r="AH2104" s="571" t="s">
        <v>25</v>
      </c>
      <c r="AI2104" s="558"/>
      <c r="AJ2104" s="558"/>
    </row>
    <row r="2105" spans="1:36" s="394" customFormat="1" ht="20.25" outlineLevel="2" x14ac:dyDescent="0.3">
      <c r="A2105" s="447">
        <v>178</v>
      </c>
      <c r="B2105" s="572"/>
      <c r="C2105" s="572"/>
      <c r="D2105" s="612"/>
      <c r="E2105" s="612"/>
      <c r="F2105" s="586"/>
      <c r="G2105" s="709"/>
      <c r="H2105" s="546"/>
      <c r="I2105" s="563" t="s">
        <v>25</v>
      </c>
      <c r="J2105" s="563" t="s">
        <v>25</v>
      </c>
      <c r="K2105" s="564" t="s">
        <v>25</v>
      </c>
      <c r="L2105" s="564" t="s">
        <v>25</v>
      </c>
      <c r="M2105" s="572" t="s">
        <v>1278</v>
      </c>
      <c r="N2105" s="572"/>
      <c r="O2105" s="740">
        <v>1</v>
      </c>
      <c r="P2105" s="564">
        <v>360000</v>
      </c>
      <c r="Q2105" s="564">
        <v>360000</v>
      </c>
      <c r="R2105" s="572"/>
      <c r="S2105" s="609"/>
      <c r="T2105" s="741"/>
      <c r="U2105" s="586"/>
      <c r="V2105" s="564" t="s">
        <v>2899</v>
      </c>
      <c r="W2105" s="564" t="s">
        <v>25</v>
      </c>
      <c r="X2105" s="650"/>
      <c r="Y2105" s="586"/>
      <c r="Z2105" s="742"/>
      <c r="AA2105" s="586"/>
      <c r="AB2105" s="586"/>
      <c r="AC2105" s="586"/>
      <c r="AD2105" s="586"/>
      <c r="AE2105" s="714"/>
      <c r="AF2105" s="570" t="s">
        <v>2899</v>
      </c>
      <c r="AG2105" s="570" t="s">
        <v>25</v>
      </c>
      <c r="AH2105" s="571" t="s">
        <v>25</v>
      </c>
      <c r="AI2105" s="558"/>
      <c r="AJ2105" s="558"/>
    </row>
    <row r="2106" spans="1:36" s="394" customFormat="1" ht="40.5" outlineLevel="2" x14ac:dyDescent="0.3">
      <c r="A2106" s="447">
        <v>178</v>
      </c>
      <c r="B2106" s="572"/>
      <c r="C2106" s="572"/>
      <c r="D2106" s="612"/>
      <c r="E2106" s="612"/>
      <c r="F2106" s="586"/>
      <c r="G2106" s="709"/>
      <c r="H2106" s="546"/>
      <c r="I2106" s="563" t="s">
        <v>25</v>
      </c>
      <c r="J2106" s="563" t="s">
        <v>25</v>
      </c>
      <c r="K2106" s="564" t="s">
        <v>25</v>
      </c>
      <c r="L2106" s="564" t="s">
        <v>25</v>
      </c>
      <c r="M2106" s="572" t="s">
        <v>409</v>
      </c>
      <c r="N2106" s="572"/>
      <c r="O2106" s="740">
        <v>1</v>
      </c>
      <c r="P2106" s="564">
        <v>72000</v>
      </c>
      <c r="Q2106" s="564">
        <v>72000</v>
      </c>
      <c r="R2106" s="572"/>
      <c r="S2106" s="609"/>
      <c r="T2106" s="741"/>
      <c r="U2106" s="586"/>
      <c r="V2106" s="564" t="s">
        <v>2899</v>
      </c>
      <c r="W2106" s="564" t="s">
        <v>25</v>
      </c>
      <c r="X2106" s="650"/>
      <c r="Y2106" s="586"/>
      <c r="Z2106" s="742"/>
      <c r="AA2106" s="586"/>
      <c r="AB2106" s="586"/>
      <c r="AC2106" s="586"/>
      <c r="AD2106" s="586"/>
      <c r="AE2106" s="714"/>
      <c r="AF2106" s="570" t="s">
        <v>2899</v>
      </c>
      <c r="AG2106" s="570" t="s">
        <v>25</v>
      </c>
      <c r="AH2106" s="571" t="s">
        <v>25</v>
      </c>
      <c r="AI2106" s="558"/>
      <c r="AJ2106" s="558"/>
    </row>
    <row r="2107" spans="1:36" s="394" customFormat="1" ht="40.5" outlineLevel="2" x14ac:dyDescent="0.3">
      <c r="A2107" s="447">
        <v>178</v>
      </c>
      <c r="B2107" s="572"/>
      <c r="C2107" s="572"/>
      <c r="D2107" s="612"/>
      <c r="E2107" s="612"/>
      <c r="F2107" s="586"/>
      <c r="G2107" s="709"/>
      <c r="H2107" s="546"/>
      <c r="I2107" s="563" t="s">
        <v>25</v>
      </c>
      <c r="J2107" s="563" t="s">
        <v>25</v>
      </c>
      <c r="K2107" s="564" t="s">
        <v>25</v>
      </c>
      <c r="L2107" s="564" t="s">
        <v>25</v>
      </c>
      <c r="M2107" s="572" t="s">
        <v>1426</v>
      </c>
      <c r="N2107" s="572"/>
      <c r="O2107" s="740">
        <v>1</v>
      </c>
      <c r="P2107" s="564">
        <v>0</v>
      </c>
      <c r="Q2107" s="564">
        <v>0</v>
      </c>
      <c r="R2107" s="572"/>
      <c r="S2107" s="609"/>
      <c r="T2107" s="741"/>
      <c r="U2107" s="586"/>
      <c r="V2107" s="564" t="s">
        <v>2899</v>
      </c>
      <c r="W2107" s="564" t="s">
        <v>25</v>
      </c>
      <c r="X2107" s="650"/>
      <c r="Y2107" s="586"/>
      <c r="Z2107" s="742"/>
      <c r="AA2107" s="586"/>
      <c r="AB2107" s="586"/>
      <c r="AC2107" s="586"/>
      <c r="AD2107" s="586"/>
      <c r="AE2107" s="714"/>
      <c r="AF2107" s="570" t="s">
        <v>2899</v>
      </c>
      <c r="AG2107" s="570" t="s">
        <v>25</v>
      </c>
      <c r="AH2107" s="571" t="s">
        <v>25</v>
      </c>
      <c r="AI2107" s="558"/>
      <c r="AJ2107" s="558"/>
    </row>
    <row r="2108" spans="1:36" s="394" customFormat="1" ht="40.5" outlineLevel="2" x14ac:dyDescent="0.3">
      <c r="A2108" s="447">
        <v>178</v>
      </c>
      <c r="B2108" s="572"/>
      <c r="C2108" s="572"/>
      <c r="D2108" s="612"/>
      <c r="E2108" s="612"/>
      <c r="F2108" s="586"/>
      <c r="G2108" s="709"/>
      <c r="H2108" s="546"/>
      <c r="I2108" s="563" t="s">
        <v>25</v>
      </c>
      <c r="J2108" s="563" t="s">
        <v>25</v>
      </c>
      <c r="K2108" s="564" t="s">
        <v>25</v>
      </c>
      <c r="L2108" s="564" t="s">
        <v>25</v>
      </c>
      <c r="M2108" s="572" t="s">
        <v>1427</v>
      </c>
      <c r="N2108" s="572"/>
      <c r="O2108" s="740">
        <v>2</v>
      </c>
      <c r="P2108" s="564">
        <v>360000</v>
      </c>
      <c r="Q2108" s="564">
        <v>720000</v>
      </c>
      <c r="R2108" s="572"/>
      <c r="S2108" s="609"/>
      <c r="T2108" s="741"/>
      <c r="U2108" s="586"/>
      <c r="V2108" s="564" t="s">
        <v>2899</v>
      </c>
      <c r="W2108" s="564" t="s">
        <v>25</v>
      </c>
      <c r="X2108" s="650"/>
      <c r="Y2108" s="586"/>
      <c r="Z2108" s="742"/>
      <c r="AA2108" s="586"/>
      <c r="AB2108" s="586"/>
      <c r="AC2108" s="586"/>
      <c r="AD2108" s="586"/>
      <c r="AE2108" s="714"/>
      <c r="AF2108" s="570" t="s">
        <v>2899</v>
      </c>
      <c r="AG2108" s="570" t="s">
        <v>25</v>
      </c>
      <c r="AH2108" s="571" t="s">
        <v>25</v>
      </c>
      <c r="AI2108" s="558"/>
      <c r="AJ2108" s="558"/>
    </row>
    <row r="2109" spans="1:36" s="394" customFormat="1" ht="40.5" outlineLevel="2" x14ac:dyDescent="0.3">
      <c r="A2109" s="447">
        <v>178</v>
      </c>
      <c r="B2109" s="572"/>
      <c r="C2109" s="572"/>
      <c r="D2109" s="612"/>
      <c r="E2109" s="612"/>
      <c r="F2109" s="586"/>
      <c r="G2109" s="709"/>
      <c r="H2109" s="546"/>
      <c r="I2109" s="563" t="s">
        <v>25</v>
      </c>
      <c r="J2109" s="563" t="s">
        <v>25</v>
      </c>
      <c r="K2109" s="564" t="s">
        <v>25</v>
      </c>
      <c r="L2109" s="564" t="s">
        <v>25</v>
      </c>
      <c r="M2109" s="572" t="s">
        <v>401</v>
      </c>
      <c r="N2109" s="572"/>
      <c r="O2109" s="740">
        <v>95</v>
      </c>
      <c r="P2109" s="564">
        <v>80000</v>
      </c>
      <c r="Q2109" s="564">
        <v>7600000</v>
      </c>
      <c r="R2109" s="572"/>
      <c r="S2109" s="609"/>
      <c r="T2109" s="741"/>
      <c r="U2109" s="586"/>
      <c r="V2109" s="564" t="s">
        <v>2899</v>
      </c>
      <c r="W2109" s="564" t="s">
        <v>25</v>
      </c>
      <c r="X2109" s="650"/>
      <c r="Y2109" s="586"/>
      <c r="Z2109" s="742"/>
      <c r="AA2109" s="586"/>
      <c r="AB2109" s="586"/>
      <c r="AC2109" s="586"/>
      <c r="AD2109" s="586"/>
      <c r="AE2109" s="714"/>
      <c r="AF2109" s="570" t="s">
        <v>2899</v>
      </c>
      <c r="AG2109" s="570" t="s">
        <v>25</v>
      </c>
      <c r="AH2109" s="571" t="s">
        <v>25</v>
      </c>
      <c r="AI2109" s="558"/>
      <c r="AJ2109" s="558"/>
    </row>
    <row r="2110" spans="1:36" s="394" customFormat="1" ht="20.25" outlineLevel="2" x14ac:dyDescent="0.3">
      <c r="A2110" s="447">
        <v>178</v>
      </c>
      <c r="B2110" s="572"/>
      <c r="C2110" s="572"/>
      <c r="D2110" s="612"/>
      <c r="E2110" s="612"/>
      <c r="F2110" s="586"/>
      <c r="G2110" s="709"/>
      <c r="H2110" s="546"/>
      <c r="I2110" s="563" t="s">
        <v>25</v>
      </c>
      <c r="J2110" s="563" t="s">
        <v>25</v>
      </c>
      <c r="K2110" s="564" t="s">
        <v>25</v>
      </c>
      <c r="L2110" s="564" t="s">
        <v>25</v>
      </c>
      <c r="M2110" s="572" t="s">
        <v>1383</v>
      </c>
      <c r="N2110" s="572"/>
      <c r="O2110" s="740">
        <v>2</v>
      </c>
      <c r="P2110" s="564">
        <v>1800000</v>
      </c>
      <c r="Q2110" s="564">
        <v>3600000</v>
      </c>
      <c r="R2110" s="572"/>
      <c r="S2110" s="609"/>
      <c r="T2110" s="741"/>
      <c r="U2110" s="586"/>
      <c r="V2110" s="564" t="s">
        <v>2899</v>
      </c>
      <c r="W2110" s="564" t="s">
        <v>25</v>
      </c>
      <c r="X2110" s="650"/>
      <c r="Y2110" s="586"/>
      <c r="Z2110" s="742"/>
      <c r="AA2110" s="586"/>
      <c r="AB2110" s="586"/>
      <c r="AC2110" s="586"/>
      <c r="AD2110" s="586"/>
      <c r="AE2110" s="714"/>
      <c r="AF2110" s="570" t="s">
        <v>2899</v>
      </c>
      <c r="AG2110" s="570" t="s">
        <v>25</v>
      </c>
      <c r="AH2110" s="571" t="s">
        <v>25</v>
      </c>
      <c r="AI2110" s="558"/>
      <c r="AJ2110" s="558"/>
    </row>
    <row r="2111" spans="1:36" s="394" customFormat="1" ht="20.25" outlineLevel="2" x14ac:dyDescent="0.3">
      <c r="A2111" s="447">
        <v>178</v>
      </c>
      <c r="B2111" s="572"/>
      <c r="C2111" s="572"/>
      <c r="D2111" s="612"/>
      <c r="E2111" s="612"/>
      <c r="F2111" s="586"/>
      <c r="G2111" s="709"/>
      <c r="H2111" s="546"/>
      <c r="I2111" s="563" t="s">
        <v>25</v>
      </c>
      <c r="J2111" s="563" t="s">
        <v>25</v>
      </c>
      <c r="K2111" s="564" t="s">
        <v>25</v>
      </c>
      <c r="L2111" s="564" t="s">
        <v>25</v>
      </c>
      <c r="M2111" s="572" t="s">
        <v>352</v>
      </c>
      <c r="N2111" s="572"/>
      <c r="O2111" s="740">
        <v>3</v>
      </c>
      <c r="P2111" s="564">
        <v>60000</v>
      </c>
      <c r="Q2111" s="564">
        <v>180000</v>
      </c>
      <c r="R2111" s="572"/>
      <c r="S2111" s="609"/>
      <c r="T2111" s="741"/>
      <c r="U2111" s="586"/>
      <c r="V2111" s="564" t="s">
        <v>2899</v>
      </c>
      <c r="W2111" s="564" t="s">
        <v>25</v>
      </c>
      <c r="X2111" s="650"/>
      <c r="Y2111" s="586"/>
      <c r="Z2111" s="742"/>
      <c r="AA2111" s="586"/>
      <c r="AB2111" s="586"/>
      <c r="AC2111" s="586"/>
      <c r="AD2111" s="586"/>
      <c r="AE2111" s="714"/>
      <c r="AF2111" s="570" t="s">
        <v>2899</v>
      </c>
      <c r="AG2111" s="570" t="s">
        <v>25</v>
      </c>
      <c r="AH2111" s="571" t="s">
        <v>25</v>
      </c>
      <c r="AI2111" s="558"/>
      <c r="AJ2111" s="558"/>
    </row>
    <row r="2112" spans="1:36" s="394" customFormat="1" ht="60.75" outlineLevel="2" x14ac:dyDescent="0.3">
      <c r="A2112" s="447">
        <v>178</v>
      </c>
      <c r="B2112" s="572"/>
      <c r="C2112" s="572"/>
      <c r="D2112" s="612"/>
      <c r="E2112" s="612"/>
      <c r="F2112" s="586"/>
      <c r="G2112" s="709"/>
      <c r="H2112" s="546"/>
      <c r="I2112" s="563" t="s">
        <v>25</v>
      </c>
      <c r="J2112" s="563" t="s">
        <v>25</v>
      </c>
      <c r="K2112" s="564" t="s">
        <v>25</v>
      </c>
      <c r="L2112" s="564" t="s">
        <v>25</v>
      </c>
      <c r="M2112" s="572" t="s">
        <v>1428</v>
      </c>
      <c r="N2112" s="572"/>
      <c r="O2112" s="740">
        <v>1</v>
      </c>
      <c r="P2112" s="564">
        <v>450000</v>
      </c>
      <c r="Q2112" s="564">
        <v>450000</v>
      </c>
      <c r="R2112" s="572"/>
      <c r="S2112" s="609"/>
      <c r="T2112" s="741"/>
      <c r="U2112" s="586"/>
      <c r="V2112" s="564" t="s">
        <v>2899</v>
      </c>
      <c r="W2112" s="564" t="s">
        <v>25</v>
      </c>
      <c r="X2112" s="650"/>
      <c r="Y2112" s="586"/>
      <c r="Z2112" s="742"/>
      <c r="AA2112" s="586"/>
      <c r="AB2112" s="586"/>
      <c r="AC2112" s="586"/>
      <c r="AD2112" s="586"/>
      <c r="AE2112" s="714"/>
      <c r="AF2112" s="570" t="s">
        <v>2899</v>
      </c>
      <c r="AG2112" s="570" t="s">
        <v>25</v>
      </c>
      <c r="AH2112" s="571" t="s">
        <v>25</v>
      </c>
      <c r="AI2112" s="558"/>
      <c r="AJ2112" s="558"/>
    </row>
    <row r="2113" spans="1:36" s="394" customFormat="1" ht="20.25" outlineLevel="2" x14ac:dyDescent="0.3">
      <c r="A2113" s="447">
        <v>178</v>
      </c>
      <c r="B2113" s="572"/>
      <c r="C2113" s="572"/>
      <c r="D2113" s="612"/>
      <c r="E2113" s="612"/>
      <c r="F2113" s="586"/>
      <c r="G2113" s="709"/>
      <c r="H2113" s="546"/>
      <c r="I2113" s="563" t="s">
        <v>25</v>
      </c>
      <c r="J2113" s="563" t="s">
        <v>25</v>
      </c>
      <c r="K2113" s="564" t="s">
        <v>25</v>
      </c>
      <c r="L2113" s="564" t="s">
        <v>25</v>
      </c>
      <c r="M2113" s="572" t="s">
        <v>1351</v>
      </c>
      <c r="N2113" s="572"/>
      <c r="O2113" s="740">
        <v>1</v>
      </c>
      <c r="P2113" s="564">
        <v>2400000</v>
      </c>
      <c r="Q2113" s="564">
        <v>2400000</v>
      </c>
      <c r="R2113" s="572"/>
      <c r="S2113" s="609"/>
      <c r="T2113" s="741"/>
      <c r="U2113" s="586"/>
      <c r="V2113" s="564" t="s">
        <v>2899</v>
      </c>
      <c r="W2113" s="564" t="s">
        <v>25</v>
      </c>
      <c r="X2113" s="650"/>
      <c r="Y2113" s="586"/>
      <c r="Z2113" s="742"/>
      <c r="AA2113" s="586"/>
      <c r="AB2113" s="586"/>
      <c r="AC2113" s="586"/>
      <c r="AD2113" s="586"/>
      <c r="AE2113" s="714"/>
      <c r="AF2113" s="570" t="s">
        <v>2899</v>
      </c>
      <c r="AG2113" s="570" t="s">
        <v>25</v>
      </c>
      <c r="AH2113" s="571" t="s">
        <v>25</v>
      </c>
      <c r="AI2113" s="558"/>
      <c r="AJ2113" s="558"/>
    </row>
    <row r="2114" spans="1:36" s="394" customFormat="1" ht="20.25" outlineLevel="2" x14ac:dyDescent="0.3">
      <c r="A2114" s="447">
        <v>178</v>
      </c>
      <c r="B2114" s="572"/>
      <c r="C2114" s="572"/>
      <c r="D2114" s="612"/>
      <c r="E2114" s="612"/>
      <c r="F2114" s="586"/>
      <c r="G2114" s="709"/>
      <c r="H2114" s="546"/>
      <c r="I2114" s="563" t="s">
        <v>25</v>
      </c>
      <c r="J2114" s="563" t="s">
        <v>25</v>
      </c>
      <c r="K2114" s="564" t="s">
        <v>25</v>
      </c>
      <c r="L2114" s="564" t="s">
        <v>25</v>
      </c>
      <c r="M2114" s="572" t="s">
        <v>1429</v>
      </c>
      <c r="N2114" s="572"/>
      <c r="O2114" s="740">
        <v>3</v>
      </c>
      <c r="P2114" s="564">
        <v>1200000</v>
      </c>
      <c r="Q2114" s="564">
        <v>3600000</v>
      </c>
      <c r="R2114" s="572"/>
      <c r="S2114" s="609"/>
      <c r="T2114" s="741"/>
      <c r="U2114" s="586"/>
      <c r="V2114" s="564" t="s">
        <v>2899</v>
      </c>
      <c r="W2114" s="564" t="s">
        <v>25</v>
      </c>
      <c r="X2114" s="650"/>
      <c r="Y2114" s="586"/>
      <c r="Z2114" s="742"/>
      <c r="AA2114" s="586"/>
      <c r="AB2114" s="586"/>
      <c r="AC2114" s="586"/>
      <c r="AD2114" s="586"/>
      <c r="AE2114" s="714"/>
      <c r="AF2114" s="570" t="s">
        <v>2899</v>
      </c>
      <c r="AG2114" s="570" t="s">
        <v>25</v>
      </c>
      <c r="AH2114" s="571" t="s">
        <v>25</v>
      </c>
      <c r="AI2114" s="558"/>
      <c r="AJ2114" s="558"/>
    </row>
    <row r="2115" spans="1:36" s="394" customFormat="1" ht="20.25" outlineLevel="2" x14ac:dyDescent="0.3">
      <c r="A2115" s="447">
        <v>178</v>
      </c>
      <c r="B2115" s="572"/>
      <c r="C2115" s="572"/>
      <c r="D2115" s="612"/>
      <c r="E2115" s="612"/>
      <c r="F2115" s="586"/>
      <c r="G2115" s="709"/>
      <c r="H2115" s="546"/>
      <c r="I2115" s="563" t="s">
        <v>25</v>
      </c>
      <c r="J2115" s="563" t="s">
        <v>25</v>
      </c>
      <c r="K2115" s="564" t="s">
        <v>25</v>
      </c>
      <c r="L2115" s="564" t="s">
        <v>25</v>
      </c>
      <c r="M2115" s="572" t="s">
        <v>1430</v>
      </c>
      <c r="N2115" s="572"/>
      <c r="O2115" s="740">
        <v>1</v>
      </c>
      <c r="P2115" s="564">
        <v>600000</v>
      </c>
      <c r="Q2115" s="564">
        <v>600000</v>
      </c>
      <c r="R2115" s="572"/>
      <c r="S2115" s="609"/>
      <c r="T2115" s="741"/>
      <c r="U2115" s="586"/>
      <c r="V2115" s="564" t="s">
        <v>2899</v>
      </c>
      <c r="W2115" s="564" t="s">
        <v>25</v>
      </c>
      <c r="X2115" s="650"/>
      <c r="Y2115" s="586"/>
      <c r="Z2115" s="742"/>
      <c r="AA2115" s="586"/>
      <c r="AB2115" s="586"/>
      <c r="AC2115" s="586"/>
      <c r="AD2115" s="586"/>
      <c r="AE2115" s="714"/>
      <c r="AF2115" s="570" t="s">
        <v>2899</v>
      </c>
      <c r="AG2115" s="570" t="s">
        <v>25</v>
      </c>
      <c r="AH2115" s="571" t="s">
        <v>25</v>
      </c>
      <c r="AI2115" s="558"/>
      <c r="AJ2115" s="558"/>
    </row>
    <row r="2116" spans="1:36" s="394" customFormat="1" ht="20.25" outlineLevel="2" x14ac:dyDescent="0.3">
      <c r="A2116" s="447">
        <v>178</v>
      </c>
      <c r="B2116" s="572"/>
      <c r="C2116" s="572"/>
      <c r="D2116" s="612"/>
      <c r="E2116" s="612"/>
      <c r="F2116" s="586"/>
      <c r="G2116" s="709"/>
      <c r="H2116" s="546"/>
      <c r="I2116" s="563" t="s">
        <v>25</v>
      </c>
      <c r="J2116" s="563" t="s">
        <v>25</v>
      </c>
      <c r="K2116" s="564" t="s">
        <v>25</v>
      </c>
      <c r="L2116" s="564" t="s">
        <v>25</v>
      </c>
      <c r="M2116" s="572" t="s">
        <v>1431</v>
      </c>
      <c r="N2116" s="572"/>
      <c r="O2116" s="740">
        <v>1</v>
      </c>
      <c r="P2116" s="564">
        <v>165000</v>
      </c>
      <c r="Q2116" s="564">
        <v>165000</v>
      </c>
      <c r="R2116" s="572"/>
      <c r="S2116" s="609"/>
      <c r="T2116" s="741"/>
      <c r="U2116" s="586"/>
      <c r="V2116" s="564" t="s">
        <v>2899</v>
      </c>
      <c r="W2116" s="564" t="s">
        <v>25</v>
      </c>
      <c r="X2116" s="650"/>
      <c r="Y2116" s="586"/>
      <c r="Z2116" s="742"/>
      <c r="AA2116" s="586"/>
      <c r="AB2116" s="586"/>
      <c r="AC2116" s="586"/>
      <c r="AD2116" s="586"/>
      <c r="AE2116" s="714"/>
      <c r="AF2116" s="570" t="s">
        <v>2899</v>
      </c>
      <c r="AG2116" s="570" t="s">
        <v>25</v>
      </c>
      <c r="AH2116" s="571" t="s">
        <v>25</v>
      </c>
      <c r="AI2116" s="558"/>
      <c r="AJ2116" s="558"/>
    </row>
    <row r="2117" spans="1:36" s="394" customFormat="1" ht="40.5" outlineLevel="2" x14ac:dyDescent="0.3">
      <c r="A2117" s="447">
        <v>178</v>
      </c>
      <c r="B2117" s="572"/>
      <c r="C2117" s="572"/>
      <c r="D2117" s="612"/>
      <c r="E2117" s="612"/>
      <c r="F2117" s="586"/>
      <c r="G2117" s="709"/>
      <c r="H2117" s="546"/>
      <c r="I2117" s="563" t="s">
        <v>25</v>
      </c>
      <c r="J2117" s="563" t="s">
        <v>25</v>
      </c>
      <c r="K2117" s="564" t="s">
        <v>25</v>
      </c>
      <c r="L2117" s="564" t="s">
        <v>25</v>
      </c>
      <c r="M2117" s="572" t="s">
        <v>1432</v>
      </c>
      <c r="N2117" s="572"/>
      <c r="O2117" s="740">
        <v>9</v>
      </c>
      <c r="P2117" s="564">
        <v>165000</v>
      </c>
      <c r="Q2117" s="564">
        <v>1485000</v>
      </c>
      <c r="R2117" s="572"/>
      <c r="S2117" s="609"/>
      <c r="T2117" s="741"/>
      <c r="U2117" s="586"/>
      <c r="V2117" s="564" t="s">
        <v>2899</v>
      </c>
      <c r="W2117" s="564" t="s">
        <v>25</v>
      </c>
      <c r="X2117" s="650"/>
      <c r="Y2117" s="586"/>
      <c r="Z2117" s="742"/>
      <c r="AA2117" s="586"/>
      <c r="AB2117" s="586"/>
      <c r="AC2117" s="586"/>
      <c r="AD2117" s="586"/>
      <c r="AE2117" s="714"/>
      <c r="AF2117" s="570" t="s">
        <v>2899</v>
      </c>
      <c r="AG2117" s="570" t="s">
        <v>25</v>
      </c>
      <c r="AH2117" s="571" t="s">
        <v>25</v>
      </c>
      <c r="AI2117" s="558"/>
      <c r="AJ2117" s="558"/>
    </row>
    <row r="2118" spans="1:36" s="394" customFormat="1" ht="20.25" outlineLevel="2" x14ac:dyDescent="0.3">
      <c r="A2118" s="447">
        <v>178</v>
      </c>
      <c r="B2118" s="572"/>
      <c r="C2118" s="572"/>
      <c r="D2118" s="612"/>
      <c r="E2118" s="612"/>
      <c r="F2118" s="586"/>
      <c r="G2118" s="709"/>
      <c r="H2118" s="546"/>
      <c r="I2118" s="563" t="s">
        <v>25</v>
      </c>
      <c r="J2118" s="563" t="s">
        <v>25</v>
      </c>
      <c r="K2118" s="564" t="s">
        <v>25</v>
      </c>
      <c r="L2118" s="564" t="s">
        <v>25</v>
      </c>
      <c r="M2118" s="572" t="s">
        <v>1433</v>
      </c>
      <c r="N2118" s="572"/>
      <c r="O2118" s="740">
        <v>1</v>
      </c>
      <c r="P2118" s="564">
        <v>2200000</v>
      </c>
      <c r="Q2118" s="564">
        <v>2200000</v>
      </c>
      <c r="R2118" s="572"/>
      <c r="S2118" s="609"/>
      <c r="T2118" s="741"/>
      <c r="U2118" s="586"/>
      <c r="V2118" s="564" t="s">
        <v>2899</v>
      </c>
      <c r="W2118" s="564" t="s">
        <v>25</v>
      </c>
      <c r="X2118" s="650"/>
      <c r="Y2118" s="586"/>
      <c r="Z2118" s="742"/>
      <c r="AA2118" s="586"/>
      <c r="AB2118" s="586"/>
      <c r="AC2118" s="586"/>
      <c r="AD2118" s="586"/>
      <c r="AE2118" s="714"/>
      <c r="AF2118" s="570" t="s">
        <v>2899</v>
      </c>
      <c r="AG2118" s="570" t="s">
        <v>25</v>
      </c>
      <c r="AH2118" s="571" t="s">
        <v>25</v>
      </c>
      <c r="AI2118" s="558"/>
      <c r="AJ2118" s="558"/>
    </row>
    <row r="2119" spans="1:36" s="394" customFormat="1" ht="20.25" outlineLevel="2" x14ac:dyDescent="0.3">
      <c r="A2119" s="447">
        <v>178</v>
      </c>
      <c r="B2119" s="572"/>
      <c r="C2119" s="572"/>
      <c r="D2119" s="612"/>
      <c r="E2119" s="612"/>
      <c r="F2119" s="586"/>
      <c r="G2119" s="709"/>
      <c r="H2119" s="546"/>
      <c r="I2119" s="563" t="s">
        <v>25</v>
      </c>
      <c r="J2119" s="563" t="s">
        <v>25</v>
      </c>
      <c r="K2119" s="564" t="s">
        <v>25</v>
      </c>
      <c r="L2119" s="564" t="s">
        <v>25</v>
      </c>
      <c r="M2119" s="572" t="s">
        <v>1434</v>
      </c>
      <c r="N2119" s="572"/>
      <c r="O2119" s="740">
        <v>1</v>
      </c>
      <c r="P2119" s="564">
        <v>1280000</v>
      </c>
      <c r="Q2119" s="564">
        <v>1280000</v>
      </c>
      <c r="R2119" s="572"/>
      <c r="S2119" s="609"/>
      <c r="T2119" s="741"/>
      <c r="U2119" s="586"/>
      <c r="V2119" s="564" t="s">
        <v>2899</v>
      </c>
      <c r="W2119" s="564" t="s">
        <v>25</v>
      </c>
      <c r="X2119" s="650"/>
      <c r="Y2119" s="586"/>
      <c r="Z2119" s="742"/>
      <c r="AA2119" s="586"/>
      <c r="AB2119" s="586"/>
      <c r="AC2119" s="586"/>
      <c r="AD2119" s="586"/>
      <c r="AE2119" s="714"/>
      <c r="AF2119" s="570" t="s">
        <v>2899</v>
      </c>
      <c r="AG2119" s="570" t="s">
        <v>25</v>
      </c>
      <c r="AH2119" s="571" t="s">
        <v>25</v>
      </c>
      <c r="AI2119" s="558"/>
      <c r="AJ2119" s="558"/>
    </row>
    <row r="2120" spans="1:36" s="394" customFormat="1" ht="20.25" outlineLevel="2" x14ac:dyDescent="0.3">
      <c r="A2120" s="447">
        <v>178</v>
      </c>
      <c r="B2120" s="572"/>
      <c r="C2120" s="572"/>
      <c r="D2120" s="612"/>
      <c r="E2120" s="612"/>
      <c r="F2120" s="586"/>
      <c r="G2120" s="709"/>
      <c r="H2120" s="546"/>
      <c r="I2120" s="563" t="s">
        <v>25</v>
      </c>
      <c r="J2120" s="563" t="s">
        <v>25</v>
      </c>
      <c r="K2120" s="564" t="s">
        <v>25</v>
      </c>
      <c r="L2120" s="564" t="s">
        <v>25</v>
      </c>
      <c r="M2120" s="572" t="s">
        <v>1435</v>
      </c>
      <c r="N2120" s="572"/>
      <c r="O2120" s="740">
        <v>3</v>
      </c>
      <c r="P2120" s="564">
        <v>550000</v>
      </c>
      <c r="Q2120" s="564">
        <v>1650000</v>
      </c>
      <c r="R2120" s="572"/>
      <c r="S2120" s="609"/>
      <c r="T2120" s="741"/>
      <c r="U2120" s="586"/>
      <c r="V2120" s="564" t="s">
        <v>2899</v>
      </c>
      <c r="W2120" s="564" t="s">
        <v>25</v>
      </c>
      <c r="X2120" s="650"/>
      <c r="Y2120" s="586"/>
      <c r="Z2120" s="742"/>
      <c r="AA2120" s="586"/>
      <c r="AB2120" s="586"/>
      <c r="AC2120" s="586"/>
      <c r="AD2120" s="586"/>
      <c r="AE2120" s="714"/>
      <c r="AF2120" s="570" t="s">
        <v>2899</v>
      </c>
      <c r="AG2120" s="570" t="s">
        <v>25</v>
      </c>
      <c r="AH2120" s="571" t="s">
        <v>25</v>
      </c>
      <c r="AI2120" s="558"/>
      <c r="AJ2120" s="558"/>
    </row>
    <row r="2121" spans="1:36" s="394" customFormat="1" ht="20.25" outlineLevel="2" x14ac:dyDescent="0.3">
      <c r="A2121" s="447">
        <v>178</v>
      </c>
      <c r="B2121" s="572"/>
      <c r="C2121" s="572"/>
      <c r="D2121" s="612"/>
      <c r="E2121" s="612"/>
      <c r="F2121" s="586"/>
      <c r="G2121" s="709"/>
      <c r="H2121" s="546"/>
      <c r="I2121" s="563" t="s">
        <v>25</v>
      </c>
      <c r="J2121" s="563" t="s">
        <v>25</v>
      </c>
      <c r="K2121" s="564" t="s">
        <v>25</v>
      </c>
      <c r="L2121" s="564" t="s">
        <v>25</v>
      </c>
      <c r="M2121" s="572" t="s">
        <v>193</v>
      </c>
      <c r="N2121" s="572"/>
      <c r="O2121" s="740">
        <v>2</v>
      </c>
      <c r="P2121" s="564">
        <v>275000</v>
      </c>
      <c r="Q2121" s="564">
        <v>550000</v>
      </c>
      <c r="R2121" s="572"/>
      <c r="S2121" s="609"/>
      <c r="T2121" s="741"/>
      <c r="U2121" s="586"/>
      <c r="V2121" s="564" t="s">
        <v>2899</v>
      </c>
      <c r="W2121" s="564" t="s">
        <v>25</v>
      </c>
      <c r="X2121" s="650"/>
      <c r="Y2121" s="586"/>
      <c r="Z2121" s="742"/>
      <c r="AA2121" s="586"/>
      <c r="AB2121" s="586"/>
      <c r="AC2121" s="586"/>
      <c r="AD2121" s="586"/>
      <c r="AE2121" s="714"/>
      <c r="AF2121" s="570" t="s">
        <v>2899</v>
      </c>
      <c r="AG2121" s="570" t="s">
        <v>25</v>
      </c>
      <c r="AH2121" s="571" t="s">
        <v>25</v>
      </c>
      <c r="AI2121" s="558"/>
      <c r="AJ2121" s="558"/>
    </row>
    <row r="2122" spans="1:36" s="394" customFormat="1" ht="20.25" outlineLevel="2" x14ac:dyDescent="0.3">
      <c r="A2122" s="447">
        <v>178</v>
      </c>
      <c r="B2122" s="572"/>
      <c r="C2122" s="572"/>
      <c r="D2122" s="612"/>
      <c r="E2122" s="612"/>
      <c r="F2122" s="586"/>
      <c r="G2122" s="709"/>
      <c r="H2122" s="546"/>
      <c r="I2122" s="563" t="s">
        <v>25</v>
      </c>
      <c r="J2122" s="563" t="s">
        <v>25</v>
      </c>
      <c r="K2122" s="564" t="s">
        <v>25</v>
      </c>
      <c r="L2122" s="564" t="s">
        <v>25</v>
      </c>
      <c r="M2122" s="572" t="s">
        <v>1436</v>
      </c>
      <c r="N2122" s="572"/>
      <c r="O2122" s="740">
        <v>3</v>
      </c>
      <c r="P2122" s="564">
        <v>600000</v>
      </c>
      <c r="Q2122" s="564">
        <v>1800000</v>
      </c>
      <c r="R2122" s="572"/>
      <c r="S2122" s="609"/>
      <c r="T2122" s="741"/>
      <c r="U2122" s="586"/>
      <c r="V2122" s="564" t="s">
        <v>2899</v>
      </c>
      <c r="W2122" s="564" t="s">
        <v>25</v>
      </c>
      <c r="X2122" s="650"/>
      <c r="Y2122" s="586"/>
      <c r="Z2122" s="742"/>
      <c r="AA2122" s="586"/>
      <c r="AB2122" s="586"/>
      <c r="AC2122" s="586"/>
      <c r="AD2122" s="586"/>
      <c r="AE2122" s="714"/>
      <c r="AF2122" s="570" t="s">
        <v>2899</v>
      </c>
      <c r="AG2122" s="570" t="s">
        <v>25</v>
      </c>
      <c r="AH2122" s="571" t="s">
        <v>25</v>
      </c>
      <c r="AI2122" s="558"/>
      <c r="AJ2122" s="558"/>
    </row>
    <row r="2123" spans="1:36" s="394" customFormat="1" ht="20.25" outlineLevel="2" x14ac:dyDescent="0.3">
      <c r="A2123" s="447">
        <v>178</v>
      </c>
      <c r="B2123" s="572"/>
      <c r="C2123" s="572"/>
      <c r="D2123" s="612"/>
      <c r="E2123" s="612"/>
      <c r="F2123" s="586"/>
      <c r="G2123" s="709"/>
      <c r="H2123" s="546"/>
      <c r="I2123" s="563" t="s">
        <v>25</v>
      </c>
      <c r="J2123" s="563" t="s">
        <v>25</v>
      </c>
      <c r="K2123" s="564" t="s">
        <v>25</v>
      </c>
      <c r="L2123" s="564" t="s">
        <v>25</v>
      </c>
      <c r="M2123" s="572" t="s">
        <v>736</v>
      </c>
      <c r="N2123" s="572"/>
      <c r="O2123" s="740">
        <v>1</v>
      </c>
      <c r="P2123" s="564">
        <v>32000</v>
      </c>
      <c r="Q2123" s="564">
        <v>32000</v>
      </c>
      <c r="R2123" s="572"/>
      <c r="S2123" s="609"/>
      <c r="T2123" s="741"/>
      <c r="U2123" s="586"/>
      <c r="V2123" s="564" t="s">
        <v>2899</v>
      </c>
      <c r="W2123" s="564" t="s">
        <v>25</v>
      </c>
      <c r="X2123" s="650"/>
      <c r="Y2123" s="586"/>
      <c r="Z2123" s="742"/>
      <c r="AA2123" s="586"/>
      <c r="AB2123" s="586"/>
      <c r="AC2123" s="586"/>
      <c r="AD2123" s="586"/>
      <c r="AE2123" s="714"/>
      <c r="AF2123" s="570" t="s">
        <v>2899</v>
      </c>
      <c r="AG2123" s="570" t="s">
        <v>25</v>
      </c>
      <c r="AH2123" s="571" t="s">
        <v>25</v>
      </c>
      <c r="AI2123" s="558"/>
      <c r="AJ2123" s="558"/>
    </row>
    <row r="2124" spans="1:36" s="394" customFormat="1" ht="20.25" outlineLevel="2" x14ac:dyDescent="0.3">
      <c r="A2124" s="447">
        <v>178</v>
      </c>
      <c r="B2124" s="572"/>
      <c r="C2124" s="572"/>
      <c r="D2124" s="612"/>
      <c r="E2124" s="612"/>
      <c r="F2124" s="586"/>
      <c r="G2124" s="709"/>
      <c r="H2124" s="546"/>
      <c r="I2124" s="563" t="s">
        <v>25</v>
      </c>
      <c r="J2124" s="563" t="s">
        <v>25</v>
      </c>
      <c r="K2124" s="564" t="s">
        <v>25</v>
      </c>
      <c r="L2124" s="564" t="s">
        <v>25</v>
      </c>
      <c r="M2124" s="572" t="s">
        <v>1437</v>
      </c>
      <c r="N2124" s="572"/>
      <c r="O2124" s="740">
        <v>1</v>
      </c>
      <c r="P2124" s="564">
        <v>0</v>
      </c>
      <c r="Q2124" s="564">
        <v>0</v>
      </c>
      <c r="R2124" s="572"/>
      <c r="S2124" s="609"/>
      <c r="T2124" s="741"/>
      <c r="U2124" s="586"/>
      <c r="V2124" s="564" t="s">
        <v>2899</v>
      </c>
      <c r="W2124" s="564" t="s">
        <v>25</v>
      </c>
      <c r="X2124" s="650"/>
      <c r="Y2124" s="586"/>
      <c r="Z2124" s="742"/>
      <c r="AA2124" s="586"/>
      <c r="AB2124" s="586"/>
      <c r="AC2124" s="586"/>
      <c r="AD2124" s="586"/>
      <c r="AE2124" s="714"/>
      <c r="AF2124" s="570" t="s">
        <v>2899</v>
      </c>
      <c r="AG2124" s="570" t="s">
        <v>25</v>
      </c>
      <c r="AH2124" s="571" t="s">
        <v>25</v>
      </c>
      <c r="AI2124" s="558"/>
      <c r="AJ2124" s="558"/>
    </row>
    <row r="2125" spans="1:36" s="394" customFormat="1" ht="40.5" outlineLevel="2" x14ac:dyDescent="0.3">
      <c r="A2125" s="447">
        <v>178</v>
      </c>
      <c r="B2125" s="572"/>
      <c r="C2125" s="572"/>
      <c r="D2125" s="612"/>
      <c r="E2125" s="612"/>
      <c r="F2125" s="586"/>
      <c r="G2125" s="709"/>
      <c r="H2125" s="546"/>
      <c r="I2125" s="563" t="s">
        <v>25</v>
      </c>
      <c r="J2125" s="563" t="s">
        <v>25</v>
      </c>
      <c r="K2125" s="564" t="s">
        <v>25</v>
      </c>
      <c r="L2125" s="564" t="s">
        <v>25</v>
      </c>
      <c r="M2125" s="572" t="s">
        <v>347</v>
      </c>
      <c r="N2125" s="572"/>
      <c r="O2125" s="740">
        <v>591</v>
      </c>
      <c r="P2125" s="564">
        <v>12000</v>
      </c>
      <c r="Q2125" s="564">
        <v>7092000</v>
      </c>
      <c r="R2125" s="572"/>
      <c r="S2125" s="609"/>
      <c r="T2125" s="741"/>
      <c r="U2125" s="586"/>
      <c r="V2125" s="564" t="s">
        <v>2899</v>
      </c>
      <c r="W2125" s="564" t="s">
        <v>25</v>
      </c>
      <c r="X2125" s="650"/>
      <c r="Y2125" s="586"/>
      <c r="Z2125" s="742"/>
      <c r="AA2125" s="586"/>
      <c r="AB2125" s="586"/>
      <c r="AC2125" s="586"/>
      <c r="AD2125" s="586"/>
      <c r="AE2125" s="714"/>
      <c r="AF2125" s="570" t="s">
        <v>2899</v>
      </c>
      <c r="AG2125" s="570" t="s">
        <v>25</v>
      </c>
      <c r="AH2125" s="571" t="s">
        <v>25</v>
      </c>
      <c r="AI2125" s="558"/>
      <c r="AJ2125" s="558"/>
    </row>
    <row r="2126" spans="1:36" s="394" customFormat="1" ht="20.25" outlineLevel="2" x14ac:dyDescent="0.3">
      <c r="A2126" s="447">
        <v>178</v>
      </c>
      <c r="B2126" s="572"/>
      <c r="C2126" s="572"/>
      <c r="D2126" s="612"/>
      <c r="E2126" s="612"/>
      <c r="F2126" s="586"/>
      <c r="G2126" s="709"/>
      <c r="H2126" s="546"/>
      <c r="I2126" s="563" t="s">
        <v>25</v>
      </c>
      <c r="J2126" s="563" t="s">
        <v>25</v>
      </c>
      <c r="K2126" s="564" t="s">
        <v>25</v>
      </c>
      <c r="L2126" s="564" t="s">
        <v>25</v>
      </c>
      <c r="M2126" s="572"/>
      <c r="N2126" s="572"/>
      <c r="O2126" s="740"/>
      <c r="P2126" s="564" t="s">
        <v>25</v>
      </c>
      <c r="Q2126" s="564" t="s">
        <v>25</v>
      </c>
      <c r="R2126" s="572"/>
      <c r="S2126" s="609"/>
      <c r="T2126" s="741"/>
      <c r="U2126" s="586"/>
      <c r="V2126" s="564" t="s">
        <v>2899</v>
      </c>
      <c r="W2126" s="564" t="s">
        <v>25</v>
      </c>
      <c r="X2126" s="650"/>
      <c r="Y2126" s="586"/>
      <c r="Z2126" s="742"/>
      <c r="AA2126" s="586"/>
      <c r="AB2126" s="586"/>
      <c r="AC2126" s="586"/>
      <c r="AD2126" s="586"/>
      <c r="AE2126" s="714"/>
      <c r="AF2126" s="570" t="s">
        <v>2899</v>
      </c>
      <c r="AG2126" s="570" t="s">
        <v>25</v>
      </c>
      <c r="AH2126" s="571" t="s">
        <v>25</v>
      </c>
      <c r="AI2126" s="558"/>
      <c r="AJ2126" s="558"/>
    </row>
    <row r="2127" spans="1:36" s="394" customFormat="1" ht="20.25" outlineLevel="2" x14ac:dyDescent="0.3">
      <c r="A2127" s="447">
        <v>178</v>
      </c>
      <c r="B2127" s="572"/>
      <c r="C2127" s="572"/>
      <c r="D2127" s="612"/>
      <c r="E2127" s="612"/>
      <c r="F2127" s="586"/>
      <c r="G2127" s="709"/>
      <c r="H2127" s="546"/>
      <c r="I2127" s="563" t="s">
        <v>25</v>
      </c>
      <c r="J2127" s="563" t="s">
        <v>25</v>
      </c>
      <c r="K2127" s="564" t="s">
        <v>25</v>
      </c>
      <c r="L2127" s="564" t="s">
        <v>25</v>
      </c>
      <c r="M2127" s="572"/>
      <c r="N2127" s="572"/>
      <c r="O2127" s="740"/>
      <c r="P2127" s="564" t="s">
        <v>25</v>
      </c>
      <c r="Q2127" s="564" t="s">
        <v>25</v>
      </c>
      <c r="R2127" s="572"/>
      <c r="S2127" s="609"/>
      <c r="T2127" s="741"/>
      <c r="U2127" s="586"/>
      <c r="V2127" s="564" t="s">
        <v>2899</v>
      </c>
      <c r="W2127" s="564" t="s">
        <v>25</v>
      </c>
      <c r="X2127" s="650"/>
      <c r="Y2127" s="586"/>
      <c r="Z2127" s="742"/>
      <c r="AA2127" s="586"/>
      <c r="AB2127" s="586"/>
      <c r="AC2127" s="586"/>
      <c r="AD2127" s="586"/>
      <c r="AE2127" s="714"/>
      <c r="AF2127" s="570" t="s">
        <v>2899</v>
      </c>
      <c r="AG2127" s="570" t="s">
        <v>25</v>
      </c>
      <c r="AH2127" s="571" t="s">
        <v>25</v>
      </c>
      <c r="AI2127" s="558"/>
      <c r="AJ2127" s="558"/>
    </row>
    <row r="2128" spans="1:36" s="394" customFormat="1" ht="20.25" outlineLevel="2" x14ac:dyDescent="0.3">
      <c r="A2128" s="447">
        <v>178</v>
      </c>
      <c r="B2128" s="572"/>
      <c r="C2128" s="572"/>
      <c r="D2128" s="612"/>
      <c r="E2128" s="612"/>
      <c r="F2128" s="586"/>
      <c r="G2128" s="709"/>
      <c r="H2128" s="546"/>
      <c r="I2128" s="563" t="s">
        <v>25</v>
      </c>
      <c r="J2128" s="563" t="s">
        <v>25</v>
      </c>
      <c r="K2128" s="564" t="s">
        <v>25</v>
      </c>
      <c r="L2128" s="564" t="s">
        <v>25</v>
      </c>
      <c r="M2128" s="572"/>
      <c r="N2128" s="572"/>
      <c r="O2128" s="740"/>
      <c r="P2128" s="564" t="s">
        <v>25</v>
      </c>
      <c r="Q2128" s="564" t="s">
        <v>25</v>
      </c>
      <c r="R2128" s="572"/>
      <c r="S2128" s="609"/>
      <c r="T2128" s="741"/>
      <c r="U2128" s="586"/>
      <c r="V2128" s="564" t="s">
        <v>2899</v>
      </c>
      <c r="W2128" s="564" t="s">
        <v>25</v>
      </c>
      <c r="X2128" s="650"/>
      <c r="Y2128" s="586"/>
      <c r="Z2128" s="742"/>
      <c r="AA2128" s="586"/>
      <c r="AB2128" s="586"/>
      <c r="AC2128" s="586"/>
      <c r="AD2128" s="586"/>
      <c r="AE2128" s="714"/>
      <c r="AF2128" s="570" t="s">
        <v>2899</v>
      </c>
      <c r="AG2128" s="570" t="s">
        <v>25</v>
      </c>
      <c r="AH2128" s="571" t="s">
        <v>25</v>
      </c>
      <c r="AI2128" s="558"/>
      <c r="AJ2128" s="558"/>
    </row>
    <row r="2129" spans="1:36" s="394" customFormat="1" ht="20.25" outlineLevel="2" x14ac:dyDescent="0.3">
      <c r="A2129" s="447">
        <v>178</v>
      </c>
      <c r="B2129" s="607"/>
      <c r="C2129" s="607"/>
      <c r="D2129" s="642"/>
      <c r="E2129" s="642"/>
      <c r="F2129" s="586"/>
      <c r="G2129" s="709"/>
      <c r="H2129" s="546"/>
      <c r="I2129" s="563" t="s">
        <v>25</v>
      </c>
      <c r="J2129" s="563" t="s">
        <v>25</v>
      </c>
      <c r="K2129" s="564" t="s">
        <v>25</v>
      </c>
      <c r="L2129" s="564" t="s">
        <v>25</v>
      </c>
      <c r="M2129" s="572"/>
      <c r="N2129" s="572"/>
      <c r="O2129" s="740"/>
      <c r="P2129" s="564" t="s">
        <v>25</v>
      </c>
      <c r="Q2129" s="564" t="s">
        <v>25</v>
      </c>
      <c r="R2129" s="572"/>
      <c r="S2129" s="609"/>
      <c r="T2129" s="741"/>
      <c r="U2129" s="586"/>
      <c r="V2129" s="564" t="s">
        <v>2899</v>
      </c>
      <c r="W2129" s="564" t="s">
        <v>25</v>
      </c>
      <c r="X2129" s="650"/>
      <c r="Y2129" s="586"/>
      <c r="Z2129" s="742"/>
      <c r="AA2129" s="586"/>
      <c r="AB2129" s="586"/>
      <c r="AC2129" s="586"/>
      <c r="AD2129" s="586"/>
      <c r="AE2129" s="714"/>
      <c r="AF2129" s="570" t="s">
        <v>2899</v>
      </c>
      <c r="AG2129" s="570" t="s">
        <v>25</v>
      </c>
      <c r="AH2129" s="571" t="s">
        <v>25</v>
      </c>
      <c r="AI2129" s="558"/>
      <c r="AJ2129" s="558"/>
    </row>
    <row r="2130" spans="1:36" s="394" customFormat="1" ht="40.5" outlineLevel="1" x14ac:dyDescent="0.25">
      <c r="A2130" s="467">
        <v>179</v>
      </c>
      <c r="B2130" s="607" t="s">
        <v>1438</v>
      </c>
      <c r="C2130" s="586" t="s">
        <v>2903</v>
      </c>
      <c r="D2130" s="612"/>
      <c r="E2130" s="612"/>
      <c r="F2130" s="578"/>
      <c r="G2130" s="707">
        <v>0</v>
      </c>
      <c r="H2130" s="579">
        <v>0</v>
      </c>
      <c r="I2130" s="581"/>
      <c r="J2130" s="581"/>
      <c r="K2130" s="571">
        <v>0</v>
      </c>
      <c r="L2130" s="571">
        <v>0</v>
      </c>
      <c r="M2130" s="607"/>
      <c r="N2130" s="607"/>
      <c r="O2130" s="738">
        <v>0</v>
      </c>
      <c r="P2130" s="571"/>
      <c r="Q2130" s="571">
        <v>0</v>
      </c>
      <c r="R2130" s="582"/>
      <c r="S2130" s="621"/>
      <c r="T2130" s="739">
        <v>30.849999999999998</v>
      </c>
      <c r="U2130" s="578"/>
      <c r="V2130" s="571"/>
      <c r="W2130" s="571">
        <v>56937000</v>
      </c>
      <c r="X2130" s="586"/>
      <c r="Y2130" s="694"/>
      <c r="Z2130" s="694"/>
      <c r="AA2130" s="694"/>
      <c r="AB2130" s="694"/>
      <c r="AC2130" s="694"/>
      <c r="AD2130" s="695"/>
      <c r="AE2130" s="581">
        <f>SUBTOTAL(9,AE2131:AE2136)</f>
        <v>0</v>
      </c>
      <c r="AF2130" s="585"/>
      <c r="AG2130" s="585">
        <v>0</v>
      </c>
      <c r="AH2130" s="571">
        <v>56937000</v>
      </c>
      <c r="AI2130" s="578"/>
      <c r="AJ2130" s="574"/>
    </row>
    <row r="2131" spans="1:36" s="394" customFormat="1" ht="121.5" outlineLevel="2" x14ac:dyDescent="0.3">
      <c r="A2131" s="447">
        <v>179</v>
      </c>
      <c r="B2131" s="572" t="s">
        <v>1440</v>
      </c>
      <c r="C2131" s="572"/>
      <c r="D2131" s="612"/>
      <c r="E2131" s="612"/>
      <c r="F2131" s="586"/>
      <c r="G2131" s="709"/>
      <c r="H2131" s="546"/>
      <c r="I2131" s="563" t="s">
        <v>25</v>
      </c>
      <c r="J2131" s="563" t="s">
        <v>25</v>
      </c>
      <c r="K2131" s="564" t="s">
        <v>25</v>
      </c>
      <c r="L2131" s="564" t="s">
        <v>25</v>
      </c>
      <c r="M2131" s="572"/>
      <c r="N2131" s="572"/>
      <c r="O2131" s="740"/>
      <c r="P2131" s="564" t="s">
        <v>25</v>
      </c>
      <c r="Q2131" s="564" t="s">
        <v>25</v>
      </c>
      <c r="R2131" s="566" t="s">
        <v>1926</v>
      </c>
      <c r="S2131" s="609" t="s">
        <v>1133</v>
      </c>
      <c r="T2131" s="741">
        <v>28.9</v>
      </c>
      <c r="U2131" s="586"/>
      <c r="V2131" s="564">
        <v>1458856</v>
      </c>
      <c r="W2131" s="564">
        <v>42161000</v>
      </c>
      <c r="X2131" s="586" t="s">
        <v>139</v>
      </c>
      <c r="Y2131" s="694" t="s">
        <v>1139</v>
      </c>
      <c r="Z2131" s="694" t="s">
        <v>1262</v>
      </c>
      <c r="AA2131" s="694" t="s">
        <v>1263</v>
      </c>
      <c r="AB2131" s="694" t="s">
        <v>1264</v>
      </c>
      <c r="AC2131" s="694"/>
      <c r="AD2131" s="694"/>
      <c r="AE2131" s="563"/>
      <c r="AF2131" s="570" t="s">
        <v>2899</v>
      </c>
      <c r="AG2131" s="570" t="s">
        <v>25</v>
      </c>
      <c r="AH2131" s="571" t="s">
        <v>25</v>
      </c>
      <c r="AI2131" s="586" t="s">
        <v>1439</v>
      </c>
      <c r="AJ2131" s="558" t="s">
        <v>2450</v>
      </c>
    </row>
    <row r="2132" spans="1:36" s="394" customFormat="1" ht="121.5" outlineLevel="2" x14ac:dyDescent="0.3">
      <c r="A2132" s="447">
        <v>179</v>
      </c>
      <c r="B2132" s="572" t="s">
        <v>1631</v>
      </c>
      <c r="C2132" s="572"/>
      <c r="D2132" s="612"/>
      <c r="E2132" s="612"/>
      <c r="F2132" s="586"/>
      <c r="G2132" s="709"/>
      <c r="H2132" s="546"/>
      <c r="I2132" s="563" t="s">
        <v>25</v>
      </c>
      <c r="J2132" s="563" t="s">
        <v>25</v>
      </c>
      <c r="K2132" s="564" t="s">
        <v>25</v>
      </c>
      <c r="L2132" s="564" t="s">
        <v>25</v>
      </c>
      <c r="M2132" s="572"/>
      <c r="N2132" s="572"/>
      <c r="O2132" s="740"/>
      <c r="P2132" s="564" t="s">
        <v>25</v>
      </c>
      <c r="Q2132" s="564" t="s">
        <v>25</v>
      </c>
      <c r="R2132" s="566" t="s">
        <v>1991</v>
      </c>
      <c r="S2132" s="609" t="s">
        <v>1133</v>
      </c>
      <c r="T2132" s="741">
        <v>1.95</v>
      </c>
      <c r="U2132" s="586"/>
      <c r="V2132" s="564">
        <v>7577429</v>
      </c>
      <c r="W2132" s="564">
        <v>14776000</v>
      </c>
      <c r="X2132" s="650"/>
      <c r="Y2132" s="586"/>
      <c r="Z2132" s="742"/>
      <c r="AA2132" s="586"/>
      <c r="AB2132" s="586"/>
      <c r="AC2132" s="586"/>
      <c r="AD2132" s="586"/>
      <c r="AE2132" s="714"/>
      <c r="AF2132" s="570" t="s">
        <v>2899</v>
      </c>
      <c r="AG2132" s="570" t="s">
        <v>25</v>
      </c>
      <c r="AH2132" s="571" t="s">
        <v>25</v>
      </c>
      <c r="AI2132" s="586" t="s">
        <v>1416</v>
      </c>
      <c r="AJ2132" s="586" t="s">
        <v>2800</v>
      </c>
    </row>
    <row r="2133" spans="1:36" s="394" customFormat="1" ht="20.25" outlineLevel="2" x14ac:dyDescent="0.3">
      <c r="A2133" s="447">
        <v>179</v>
      </c>
      <c r="B2133" s="572"/>
      <c r="C2133" s="572"/>
      <c r="D2133" s="612"/>
      <c r="E2133" s="612"/>
      <c r="F2133" s="586"/>
      <c r="G2133" s="709"/>
      <c r="H2133" s="546"/>
      <c r="I2133" s="563" t="s">
        <v>25</v>
      </c>
      <c r="J2133" s="563" t="s">
        <v>25</v>
      </c>
      <c r="K2133" s="564" t="s">
        <v>25</v>
      </c>
      <c r="L2133" s="564" t="s">
        <v>25</v>
      </c>
      <c r="M2133" s="572"/>
      <c r="N2133" s="572"/>
      <c r="O2133" s="740"/>
      <c r="P2133" s="564" t="s">
        <v>25</v>
      </c>
      <c r="Q2133" s="564" t="s">
        <v>25</v>
      </c>
      <c r="R2133" s="566"/>
      <c r="S2133" s="609"/>
      <c r="T2133" s="741"/>
      <c r="U2133" s="586"/>
      <c r="V2133" s="564" t="s">
        <v>2899</v>
      </c>
      <c r="W2133" s="564" t="s">
        <v>25</v>
      </c>
      <c r="X2133" s="650"/>
      <c r="Y2133" s="586"/>
      <c r="Z2133" s="742"/>
      <c r="AA2133" s="586"/>
      <c r="AB2133" s="586"/>
      <c r="AC2133" s="586"/>
      <c r="AD2133" s="586"/>
      <c r="AE2133" s="714"/>
      <c r="AF2133" s="570" t="s">
        <v>2899</v>
      </c>
      <c r="AG2133" s="570" t="s">
        <v>25</v>
      </c>
      <c r="AH2133" s="571" t="s">
        <v>25</v>
      </c>
      <c r="AI2133" s="586"/>
      <c r="AJ2133" s="586"/>
    </row>
    <row r="2134" spans="1:36" s="394" customFormat="1" ht="20.25" outlineLevel="2" x14ac:dyDescent="0.3">
      <c r="A2134" s="447">
        <v>179</v>
      </c>
      <c r="B2134" s="572"/>
      <c r="C2134" s="572"/>
      <c r="D2134" s="612"/>
      <c r="E2134" s="612"/>
      <c r="F2134" s="586"/>
      <c r="G2134" s="709"/>
      <c r="H2134" s="546"/>
      <c r="I2134" s="563" t="s">
        <v>25</v>
      </c>
      <c r="J2134" s="563" t="s">
        <v>25</v>
      </c>
      <c r="K2134" s="564" t="s">
        <v>25</v>
      </c>
      <c r="L2134" s="564" t="s">
        <v>25</v>
      </c>
      <c r="M2134" s="572"/>
      <c r="N2134" s="572"/>
      <c r="O2134" s="740"/>
      <c r="P2134" s="564" t="s">
        <v>25</v>
      </c>
      <c r="Q2134" s="564" t="s">
        <v>25</v>
      </c>
      <c r="R2134" s="566"/>
      <c r="S2134" s="609"/>
      <c r="T2134" s="741"/>
      <c r="U2134" s="586"/>
      <c r="V2134" s="564" t="s">
        <v>2899</v>
      </c>
      <c r="W2134" s="564" t="s">
        <v>25</v>
      </c>
      <c r="X2134" s="650"/>
      <c r="Y2134" s="586"/>
      <c r="Z2134" s="742"/>
      <c r="AA2134" s="586"/>
      <c r="AB2134" s="586"/>
      <c r="AC2134" s="586"/>
      <c r="AD2134" s="586"/>
      <c r="AE2134" s="714"/>
      <c r="AF2134" s="570" t="s">
        <v>2899</v>
      </c>
      <c r="AG2134" s="570" t="s">
        <v>25</v>
      </c>
      <c r="AH2134" s="571" t="s">
        <v>25</v>
      </c>
      <c r="AI2134" s="586"/>
      <c r="AJ2134" s="586"/>
    </row>
    <row r="2135" spans="1:36" s="394" customFormat="1" ht="20.25" outlineLevel="2" x14ac:dyDescent="0.3">
      <c r="A2135" s="447">
        <v>179</v>
      </c>
      <c r="B2135" s="572"/>
      <c r="C2135" s="572"/>
      <c r="D2135" s="612"/>
      <c r="E2135" s="612"/>
      <c r="F2135" s="586"/>
      <c r="G2135" s="709"/>
      <c r="H2135" s="546"/>
      <c r="I2135" s="563" t="s">
        <v>25</v>
      </c>
      <c r="J2135" s="563" t="s">
        <v>25</v>
      </c>
      <c r="K2135" s="564" t="s">
        <v>25</v>
      </c>
      <c r="L2135" s="564" t="s">
        <v>25</v>
      </c>
      <c r="M2135" s="572"/>
      <c r="N2135" s="572"/>
      <c r="O2135" s="740"/>
      <c r="P2135" s="564" t="s">
        <v>25</v>
      </c>
      <c r="Q2135" s="564" t="s">
        <v>25</v>
      </c>
      <c r="R2135" s="566"/>
      <c r="S2135" s="609"/>
      <c r="T2135" s="741"/>
      <c r="U2135" s="586"/>
      <c r="V2135" s="564" t="s">
        <v>2899</v>
      </c>
      <c r="W2135" s="564" t="s">
        <v>25</v>
      </c>
      <c r="X2135" s="650"/>
      <c r="Y2135" s="586"/>
      <c r="Z2135" s="742"/>
      <c r="AA2135" s="586"/>
      <c r="AB2135" s="586"/>
      <c r="AC2135" s="586"/>
      <c r="AD2135" s="586"/>
      <c r="AE2135" s="714"/>
      <c r="AF2135" s="570" t="s">
        <v>2899</v>
      </c>
      <c r="AG2135" s="570" t="s">
        <v>25</v>
      </c>
      <c r="AH2135" s="571" t="s">
        <v>25</v>
      </c>
      <c r="AI2135" s="586"/>
      <c r="AJ2135" s="586"/>
    </row>
    <row r="2136" spans="1:36" s="394" customFormat="1" ht="20.25" outlineLevel="2" x14ac:dyDescent="0.3">
      <c r="A2136" s="447">
        <v>179</v>
      </c>
      <c r="B2136" s="607"/>
      <c r="C2136" s="607"/>
      <c r="D2136" s="642"/>
      <c r="E2136" s="642"/>
      <c r="F2136" s="586"/>
      <c r="G2136" s="709"/>
      <c r="H2136" s="546"/>
      <c r="I2136" s="563" t="s">
        <v>25</v>
      </c>
      <c r="J2136" s="563" t="s">
        <v>25</v>
      </c>
      <c r="K2136" s="564" t="s">
        <v>25</v>
      </c>
      <c r="L2136" s="564" t="s">
        <v>25</v>
      </c>
      <c r="M2136" s="572"/>
      <c r="N2136" s="572"/>
      <c r="O2136" s="740"/>
      <c r="P2136" s="564" t="s">
        <v>25</v>
      </c>
      <c r="Q2136" s="564" t="s">
        <v>25</v>
      </c>
      <c r="R2136" s="566"/>
      <c r="S2136" s="609"/>
      <c r="T2136" s="741"/>
      <c r="U2136" s="586"/>
      <c r="V2136" s="564" t="s">
        <v>2899</v>
      </c>
      <c r="W2136" s="564" t="s">
        <v>25</v>
      </c>
      <c r="X2136" s="650"/>
      <c r="Y2136" s="586"/>
      <c r="Z2136" s="742"/>
      <c r="AA2136" s="586"/>
      <c r="AB2136" s="586"/>
      <c r="AC2136" s="586"/>
      <c r="AD2136" s="586"/>
      <c r="AE2136" s="714"/>
      <c r="AF2136" s="570" t="s">
        <v>2899</v>
      </c>
      <c r="AG2136" s="570" t="s">
        <v>25</v>
      </c>
      <c r="AH2136" s="571" t="s">
        <v>25</v>
      </c>
      <c r="AI2136" s="586"/>
      <c r="AJ2136" s="586"/>
    </row>
    <row r="2137" spans="1:36" s="394" customFormat="1" ht="40.5" outlineLevel="1" x14ac:dyDescent="0.25">
      <c r="A2137" s="467">
        <v>180</v>
      </c>
      <c r="B2137" s="607" t="s">
        <v>1441</v>
      </c>
      <c r="C2137" s="586" t="s">
        <v>2903</v>
      </c>
      <c r="D2137" s="612"/>
      <c r="E2137" s="612"/>
      <c r="F2137" s="578"/>
      <c r="G2137" s="707">
        <v>0</v>
      </c>
      <c r="H2137" s="579">
        <v>0</v>
      </c>
      <c r="I2137" s="581"/>
      <c r="J2137" s="581"/>
      <c r="K2137" s="571">
        <v>0</v>
      </c>
      <c r="L2137" s="571">
        <v>0</v>
      </c>
      <c r="M2137" s="607"/>
      <c r="N2137" s="607"/>
      <c r="O2137" s="738">
        <v>0</v>
      </c>
      <c r="P2137" s="571"/>
      <c r="Q2137" s="571">
        <v>0</v>
      </c>
      <c r="R2137" s="582"/>
      <c r="S2137" s="621"/>
      <c r="T2137" s="739">
        <v>25.2</v>
      </c>
      <c r="U2137" s="578"/>
      <c r="V2137" s="571"/>
      <c r="W2137" s="571">
        <v>36763000</v>
      </c>
      <c r="X2137" s="586"/>
      <c r="Y2137" s="694"/>
      <c r="Z2137" s="694"/>
      <c r="AA2137" s="694"/>
      <c r="AB2137" s="694"/>
      <c r="AC2137" s="694"/>
      <c r="AD2137" s="695"/>
      <c r="AE2137" s="581">
        <f>SUBTOTAL(9,AE2138:AE2144)</f>
        <v>0</v>
      </c>
      <c r="AF2137" s="585"/>
      <c r="AG2137" s="585">
        <v>0</v>
      </c>
      <c r="AH2137" s="571">
        <v>36763000</v>
      </c>
      <c r="AI2137" s="578"/>
      <c r="AJ2137" s="574"/>
    </row>
    <row r="2138" spans="1:36" s="394" customFormat="1" ht="121.5" outlineLevel="2" x14ac:dyDescent="0.3">
      <c r="A2138" s="447">
        <v>180</v>
      </c>
      <c r="B2138" s="572" t="s">
        <v>1443</v>
      </c>
      <c r="C2138" s="572"/>
      <c r="D2138" s="612"/>
      <c r="E2138" s="612"/>
      <c r="F2138" s="586"/>
      <c r="G2138" s="709"/>
      <c r="H2138" s="546"/>
      <c r="I2138" s="563" t="s">
        <v>25</v>
      </c>
      <c r="J2138" s="563" t="s">
        <v>25</v>
      </c>
      <c r="K2138" s="564" t="s">
        <v>25</v>
      </c>
      <c r="L2138" s="564" t="s">
        <v>25</v>
      </c>
      <c r="M2138" s="572"/>
      <c r="N2138" s="572"/>
      <c r="O2138" s="740"/>
      <c r="P2138" s="564" t="s">
        <v>25</v>
      </c>
      <c r="Q2138" s="564" t="s">
        <v>25</v>
      </c>
      <c r="R2138" s="566" t="s">
        <v>1926</v>
      </c>
      <c r="S2138" s="609" t="s">
        <v>1133</v>
      </c>
      <c r="T2138" s="741">
        <v>25.2</v>
      </c>
      <c r="U2138" s="586"/>
      <c r="V2138" s="564">
        <v>1458856</v>
      </c>
      <c r="W2138" s="564">
        <v>36763000</v>
      </c>
      <c r="X2138" s="586" t="s">
        <v>139</v>
      </c>
      <c r="Y2138" s="694" t="s">
        <v>1139</v>
      </c>
      <c r="Z2138" s="694" t="s">
        <v>1262</v>
      </c>
      <c r="AA2138" s="694" t="s">
        <v>1263</v>
      </c>
      <c r="AB2138" s="694" t="s">
        <v>1264</v>
      </c>
      <c r="AC2138" s="694"/>
      <c r="AD2138" s="694"/>
      <c r="AE2138" s="563"/>
      <c r="AF2138" s="570" t="s">
        <v>2899</v>
      </c>
      <c r="AG2138" s="570" t="s">
        <v>25</v>
      </c>
      <c r="AH2138" s="571" t="s">
        <v>25</v>
      </c>
      <c r="AI2138" s="586" t="s">
        <v>1442</v>
      </c>
      <c r="AJ2138" s="558" t="s">
        <v>2450</v>
      </c>
    </row>
    <row r="2139" spans="1:36" s="394" customFormat="1" ht="101.25" outlineLevel="2" x14ac:dyDescent="0.3">
      <c r="A2139" s="447">
        <v>180</v>
      </c>
      <c r="B2139" s="572" t="s">
        <v>1632</v>
      </c>
      <c r="C2139" s="572"/>
      <c r="D2139" s="612"/>
      <c r="E2139" s="612"/>
      <c r="F2139" s="586"/>
      <c r="G2139" s="709"/>
      <c r="H2139" s="546"/>
      <c r="I2139" s="563" t="s">
        <v>25</v>
      </c>
      <c r="J2139" s="563" t="s">
        <v>25</v>
      </c>
      <c r="K2139" s="564" t="s">
        <v>25</v>
      </c>
      <c r="L2139" s="564" t="s">
        <v>25</v>
      </c>
      <c r="M2139" s="572"/>
      <c r="N2139" s="572"/>
      <c r="O2139" s="740"/>
      <c r="P2139" s="564" t="s">
        <v>25</v>
      </c>
      <c r="Q2139" s="564" t="s">
        <v>25</v>
      </c>
      <c r="R2139" s="566"/>
      <c r="S2139" s="609"/>
      <c r="T2139" s="741"/>
      <c r="U2139" s="586"/>
      <c r="V2139" s="564" t="s">
        <v>2899</v>
      </c>
      <c r="W2139" s="564" t="s">
        <v>25</v>
      </c>
      <c r="X2139" s="650"/>
      <c r="Y2139" s="586"/>
      <c r="Z2139" s="742"/>
      <c r="AA2139" s="586"/>
      <c r="AB2139" s="586"/>
      <c r="AC2139" s="586"/>
      <c r="AD2139" s="586"/>
      <c r="AE2139" s="714"/>
      <c r="AF2139" s="570" t="s">
        <v>2899</v>
      </c>
      <c r="AG2139" s="570" t="s">
        <v>25</v>
      </c>
      <c r="AH2139" s="571" t="s">
        <v>25</v>
      </c>
      <c r="AI2139" s="586" t="s">
        <v>1416</v>
      </c>
      <c r="AJ2139" s="586" t="s">
        <v>2800</v>
      </c>
    </row>
    <row r="2140" spans="1:36" s="394" customFormat="1" ht="20.25" outlineLevel="2" x14ac:dyDescent="0.3">
      <c r="A2140" s="447">
        <v>180</v>
      </c>
      <c r="B2140" s="572"/>
      <c r="C2140" s="572"/>
      <c r="D2140" s="612"/>
      <c r="E2140" s="612"/>
      <c r="F2140" s="586"/>
      <c r="G2140" s="709"/>
      <c r="H2140" s="546"/>
      <c r="I2140" s="563" t="s">
        <v>25</v>
      </c>
      <c r="J2140" s="563" t="s">
        <v>25</v>
      </c>
      <c r="K2140" s="564" t="s">
        <v>25</v>
      </c>
      <c r="L2140" s="564" t="s">
        <v>25</v>
      </c>
      <c r="M2140" s="572"/>
      <c r="N2140" s="572"/>
      <c r="O2140" s="740"/>
      <c r="P2140" s="564" t="s">
        <v>25</v>
      </c>
      <c r="Q2140" s="564" t="s">
        <v>25</v>
      </c>
      <c r="R2140" s="566"/>
      <c r="S2140" s="609"/>
      <c r="T2140" s="741"/>
      <c r="U2140" s="586"/>
      <c r="V2140" s="564" t="s">
        <v>2899</v>
      </c>
      <c r="W2140" s="564" t="s">
        <v>25</v>
      </c>
      <c r="X2140" s="650"/>
      <c r="Y2140" s="586"/>
      <c r="Z2140" s="742"/>
      <c r="AA2140" s="586"/>
      <c r="AB2140" s="586"/>
      <c r="AC2140" s="586"/>
      <c r="AD2140" s="586"/>
      <c r="AE2140" s="714"/>
      <c r="AF2140" s="570" t="s">
        <v>2899</v>
      </c>
      <c r="AG2140" s="570" t="s">
        <v>25</v>
      </c>
      <c r="AH2140" s="571" t="s">
        <v>25</v>
      </c>
      <c r="AI2140" s="586"/>
      <c r="AJ2140" s="586"/>
    </row>
    <row r="2141" spans="1:36" s="394" customFormat="1" ht="20.25" outlineLevel="2" x14ac:dyDescent="0.3">
      <c r="A2141" s="447">
        <v>180</v>
      </c>
      <c r="B2141" s="572"/>
      <c r="C2141" s="572"/>
      <c r="D2141" s="612"/>
      <c r="E2141" s="612"/>
      <c r="F2141" s="586"/>
      <c r="G2141" s="709"/>
      <c r="H2141" s="546"/>
      <c r="I2141" s="563" t="s">
        <v>25</v>
      </c>
      <c r="J2141" s="563" t="s">
        <v>25</v>
      </c>
      <c r="K2141" s="564" t="s">
        <v>25</v>
      </c>
      <c r="L2141" s="564" t="s">
        <v>25</v>
      </c>
      <c r="M2141" s="572"/>
      <c r="N2141" s="572"/>
      <c r="O2141" s="740"/>
      <c r="P2141" s="564" t="s">
        <v>25</v>
      </c>
      <c r="Q2141" s="564" t="s">
        <v>25</v>
      </c>
      <c r="R2141" s="566"/>
      <c r="S2141" s="609"/>
      <c r="T2141" s="741"/>
      <c r="U2141" s="586"/>
      <c r="V2141" s="564" t="s">
        <v>2899</v>
      </c>
      <c r="W2141" s="564" t="s">
        <v>25</v>
      </c>
      <c r="X2141" s="650"/>
      <c r="Y2141" s="586"/>
      <c r="Z2141" s="742"/>
      <c r="AA2141" s="586"/>
      <c r="AB2141" s="586"/>
      <c r="AC2141" s="586"/>
      <c r="AD2141" s="586"/>
      <c r="AE2141" s="714"/>
      <c r="AF2141" s="570" t="s">
        <v>2899</v>
      </c>
      <c r="AG2141" s="570" t="s">
        <v>25</v>
      </c>
      <c r="AH2141" s="571" t="s">
        <v>25</v>
      </c>
      <c r="AI2141" s="586"/>
      <c r="AJ2141" s="586"/>
    </row>
    <row r="2142" spans="1:36" s="394" customFormat="1" ht="20.25" outlineLevel="2" x14ac:dyDescent="0.3">
      <c r="A2142" s="447">
        <v>180</v>
      </c>
      <c r="B2142" s="572"/>
      <c r="C2142" s="572"/>
      <c r="D2142" s="612"/>
      <c r="E2142" s="612"/>
      <c r="F2142" s="586"/>
      <c r="G2142" s="709"/>
      <c r="H2142" s="546"/>
      <c r="I2142" s="563" t="s">
        <v>25</v>
      </c>
      <c r="J2142" s="563" t="s">
        <v>25</v>
      </c>
      <c r="K2142" s="564" t="s">
        <v>25</v>
      </c>
      <c r="L2142" s="564" t="s">
        <v>25</v>
      </c>
      <c r="M2142" s="572"/>
      <c r="N2142" s="572"/>
      <c r="O2142" s="740"/>
      <c r="P2142" s="564" t="s">
        <v>25</v>
      </c>
      <c r="Q2142" s="564" t="s">
        <v>25</v>
      </c>
      <c r="R2142" s="572"/>
      <c r="S2142" s="609"/>
      <c r="T2142" s="741"/>
      <c r="U2142" s="586"/>
      <c r="V2142" s="564" t="s">
        <v>2899</v>
      </c>
      <c r="W2142" s="564" t="s">
        <v>25</v>
      </c>
      <c r="X2142" s="650"/>
      <c r="Y2142" s="586"/>
      <c r="Z2142" s="742"/>
      <c r="AA2142" s="586"/>
      <c r="AB2142" s="586"/>
      <c r="AC2142" s="586"/>
      <c r="AD2142" s="586"/>
      <c r="AE2142" s="714"/>
      <c r="AF2142" s="570" t="s">
        <v>2899</v>
      </c>
      <c r="AG2142" s="570" t="s">
        <v>25</v>
      </c>
      <c r="AH2142" s="571" t="s">
        <v>25</v>
      </c>
      <c r="AI2142" s="586"/>
      <c r="AJ2142" s="586"/>
    </row>
    <row r="2143" spans="1:36" s="394" customFormat="1" ht="20.25" outlineLevel="2" x14ac:dyDescent="0.3">
      <c r="A2143" s="447">
        <v>180</v>
      </c>
      <c r="B2143" s="572"/>
      <c r="C2143" s="572"/>
      <c r="D2143" s="612"/>
      <c r="E2143" s="612"/>
      <c r="F2143" s="586"/>
      <c r="G2143" s="709"/>
      <c r="H2143" s="546"/>
      <c r="I2143" s="563" t="s">
        <v>25</v>
      </c>
      <c r="J2143" s="563" t="s">
        <v>25</v>
      </c>
      <c r="K2143" s="564" t="s">
        <v>25</v>
      </c>
      <c r="L2143" s="564" t="s">
        <v>25</v>
      </c>
      <c r="M2143" s="572"/>
      <c r="N2143" s="572"/>
      <c r="O2143" s="740"/>
      <c r="P2143" s="564" t="s">
        <v>25</v>
      </c>
      <c r="Q2143" s="564" t="s">
        <v>25</v>
      </c>
      <c r="R2143" s="572"/>
      <c r="S2143" s="609"/>
      <c r="T2143" s="741"/>
      <c r="U2143" s="586"/>
      <c r="V2143" s="564" t="s">
        <v>2899</v>
      </c>
      <c r="W2143" s="564" t="s">
        <v>25</v>
      </c>
      <c r="X2143" s="650"/>
      <c r="Y2143" s="586"/>
      <c r="Z2143" s="742"/>
      <c r="AA2143" s="586"/>
      <c r="AB2143" s="586"/>
      <c r="AC2143" s="586"/>
      <c r="AD2143" s="586"/>
      <c r="AE2143" s="714"/>
      <c r="AF2143" s="570" t="s">
        <v>2899</v>
      </c>
      <c r="AG2143" s="570" t="s">
        <v>25</v>
      </c>
      <c r="AH2143" s="571" t="s">
        <v>25</v>
      </c>
      <c r="AI2143" s="586"/>
      <c r="AJ2143" s="586"/>
    </row>
    <row r="2144" spans="1:36" s="394" customFormat="1" ht="20.25" outlineLevel="2" x14ac:dyDescent="0.3">
      <c r="A2144" s="447">
        <v>180</v>
      </c>
      <c r="B2144" s="607"/>
      <c r="C2144" s="607"/>
      <c r="D2144" s="642"/>
      <c r="E2144" s="642"/>
      <c r="F2144" s="586"/>
      <c r="G2144" s="709"/>
      <c r="H2144" s="546"/>
      <c r="I2144" s="563" t="s">
        <v>25</v>
      </c>
      <c r="J2144" s="563" t="s">
        <v>25</v>
      </c>
      <c r="K2144" s="564" t="s">
        <v>25</v>
      </c>
      <c r="L2144" s="564" t="s">
        <v>25</v>
      </c>
      <c r="M2144" s="572"/>
      <c r="N2144" s="572"/>
      <c r="O2144" s="740"/>
      <c r="P2144" s="564" t="s">
        <v>25</v>
      </c>
      <c r="Q2144" s="564" t="s">
        <v>25</v>
      </c>
      <c r="R2144" s="572"/>
      <c r="S2144" s="609"/>
      <c r="T2144" s="741"/>
      <c r="U2144" s="586"/>
      <c r="V2144" s="564" t="s">
        <v>2899</v>
      </c>
      <c r="W2144" s="564" t="s">
        <v>25</v>
      </c>
      <c r="X2144" s="650"/>
      <c r="Y2144" s="586"/>
      <c r="Z2144" s="742"/>
      <c r="AA2144" s="586"/>
      <c r="AB2144" s="586"/>
      <c r="AC2144" s="586"/>
      <c r="AD2144" s="586"/>
      <c r="AE2144" s="714"/>
      <c r="AF2144" s="570" t="s">
        <v>2899</v>
      </c>
      <c r="AG2144" s="570" t="s">
        <v>25</v>
      </c>
      <c r="AH2144" s="571" t="s">
        <v>25</v>
      </c>
      <c r="AI2144" s="586"/>
      <c r="AJ2144" s="586"/>
    </row>
    <row r="2145" spans="1:36" s="394" customFormat="1" ht="40.5" outlineLevel="1" x14ac:dyDescent="0.25">
      <c r="A2145" s="467">
        <v>181</v>
      </c>
      <c r="B2145" s="607" t="s">
        <v>2801</v>
      </c>
      <c r="C2145" s="586" t="s">
        <v>2903</v>
      </c>
      <c r="D2145" s="612">
        <v>86</v>
      </c>
      <c r="E2145" s="612">
        <v>351</v>
      </c>
      <c r="F2145" s="578"/>
      <c r="G2145" s="707">
        <v>596</v>
      </c>
      <c r="H2145" s="579">
        <v>164</v>
      </c>
      <c r="I2145" s="581"/>
      <c r="J2145" s="581"/>
      <c r="K2145" s="571">
        <v>277497000</v>
      </c>
      <c r="L2145" s="571">
        <v>229075000</v>
      </c>
      <c r="M2145" s="607"/>
      <c r="N2145" s="607"/>
      <c r="O2145" s="738">
        <v>0</v>
      </c>
      <c r="P2145" s="571"/>
      <c r="Q2145" s="571">
        <v>0</v>
      </c>
      <c r="R2145" s="582"/>
      <c r="S2145" s="621"/>
      <c r="T2145" s="739">
        <v>149.30000000000001</v>
      </c>
      <c r="U2145" s="578"/>
      <c r="V2145" s="571"/>
      <c r="W2145" s="571">
        <v>393578000</v>
      </c>
      <c r="X2145" s="650"/>
      <c r="Y2145" s="586"/>
      <c r="Z2145" s="742"/>
      <c r="AA2145" s="586"/>
      <c r="AB2145" s="586"/>
      <c r="AC2145" s="586"/>
      <c r="AD2145" s="602"/>
      <c r="AE2145" s="581">
        <f>SUBTOTAL(9,AE2146:AE2158)</f>
        <v>1</v>
      </c>
      <c r="AF2145" s="585"/>
      <c r="AG2145" s="585">
        <v>17000000</v>
      </c>
      <c r="AH2145" s="571">
        <v>917150000</v>
      </c>
      <c r="AI2145" s="578"/>
      <c r="AJ2145" s="578"/>
    </row>
    <row r="2146" spans="1:36" s="394" customFormat="1" ht="121.5" outlineLevel="2" x14ac:dyDescent="0.3">
      <c r="A2146" s="447">
        <v>181</v>
      </c>
      <c r="B2146" s="572" t="s">
        <v>1446</v>
      </c>
      <c r="C2146" s="572"/>
      <c r="D2146" s="612"/>
      <c r="E2146" s="612"/>
      <c r="F2146" s="586" t="s">
        <v>2080</v>
      </c>
      <c r="G2146" s="709">
        <v>164</v>
      </c>
      <c r="H2146" s="546">
        <v>164</v>
      </c>
      <c r="I2146" s="563">
        <v>465600</v>
      </c>
      <c r="J2146" s="563">
        <v>1396800</v>
      </c>
      <c r="K2146" s="564">
        <v>76358000</v>
      </c>
      <c r="L2146" s="564">
        <v>229075000</v>
      </c>
      <c r="M2146" s="572"/>
      <c r="N2146" s="572"/>
      <c r="O2146" s="740"/>
      <c r="P2146" s="564" t="s">
        <v>25</v>
      </c>
      <c r="Q2146" s="564" t="s">
        <v>25</v>
      </c>
      <c r="R2146" s="566" t="s">
        <v>1978</v>
      </c>
      <c r="S2146" s="609" t="s">
        <v>1133</v>
      </c>
      <c r="T2146" s="741">
        <v>2.9</v>
      </c>
      <c r="U2146" s="586"/>
      <c r="V2146" s="564">
        <v>236298</v>
      </c>
      <c r="W2146" s="564">
        <v>685000</v>
      </c>
      <c r="X2146" s="650"/>
      <c r="Y2146" s="586"/>
      <c r="Z2146" s="742"/>
      <c r="AA2146" s="586"/>
      <c r="AB2146" s="586"/>
      <c r="AC2146" s="586"/>
      <c r="AD2146" s="569"/>
      <c r="AE2146" s="563"/>
      <c r="AF2146" s="570"/>
      <c r="AG2146" s="570"/>
      <c r="AH2146" s="571" t="s">
        <v>25</v>
      </c>
      <c r="AI2146" s="586" t="s">
        <v>1445</v>
      </c>
      <c r="AJ2146" s="586" t="s">
        <v>2771</v>
      </c>
    </row>
    <row r="2147" spans="1:36" s="394" customFormat="1" ht="101.25" outlineLevel="2" x14ac:dyDescent="0.3">
      <c r="A2147" s="447">
        <v>181</v>
      </c>
      <c r="B2147" s="572" t="s">
        <v>1633</v>
      </c>
      <c r="C2147" s="572"/>
      <c r="D2147" s="612"/>
      <c r="E2147" s="612"/>
      <c r="F2147" s="586" t="s">
        <v>2065</v>
      </c>
      <c r="G2147" s="709">
        <v>432</v>
      </c>
      <c r="H2147" s="546" t="s">
        <v>2899</v>
      </c>
      <c r="I2147" s="563">
        <v>465600</v>
      </c>
      <c r="J2147" s="563">
        <v>0</v>
      </c>
      <c r="K2147" s="564">
        <v>201139000</v>
      </c>
      <c r="L2147" s="564">
        <v>0</v>
      </c>
      <c r="M2147" s="572"/>
      <c r="N2147" s="572"/>
      <c r="O2147" s="740"/>
      <c r="P2147" s="564" t="s">
        <v>25</v>
      </c>
      <c r="Q2147" s="564" t="s">
        <v>25</v>
      </c>
      <c r="R2147" s="566" t="s">
        <v>1839</v>
      </c>
      <c r="S2147" s="609" t="s">
        <v>1133</v>
      </c>
      <c r="T2147" s="741">
        <v>12</v>
      </c>
      <c r="U2147" s="586"/>
      <c r="V2147" s="564">
        <v>244604</v>
      </c>
      <c r="W2147" s="564">
        <v>2935000</v>
      </c>
      <c r="X2147" s="650"/>
      <c r="Y2147" s="586"/>
      <c r="Z2147" s="742"/>
      <c r="AA2147" s="586"/>
      <c r="AB2147" s="586"/>
      <c r="AC2147" s="586"/>
      <c r="AD2147" s="569" t="s">
        <v>2791</v>
      </c>
      <c r="AE2147" s="590">
        <v>1</v>
      </c>
      <c r="AF2147" s="570">
        <v>17000000</v>
      </c>
      <c r="AG2147" s="570">
        <v>17000000</v>
      </c>
      <c r="AH2147" s="571" t="s">
        <v>25</v>
      </c>
      <c r="AI2147" s="586" t="s">
        <v>1447</v>
      </c>
      <c r="AJ2147" s="605" t="s">
        <v>2448</v>
      </c>
    </row>
    <row r="2148" spans="1:36" s="394" customFormat="1" ht="121.5" outlineLevel="2" x14ac:dyDescent="0.3">
      <c r="A2148" s="447">
        <v>181</v>
      </c>
      <c r="B2148" s="572"/>
      <c r="C2148" s="572"/>
      <c r="D2148" s="612"/>
      <c r="E2148" s="612"/>
      <c r="F2148" s="586"/>
      <c r="G2148" s="709"/>
      <c r="H2148" s="546"/>
      <c r="I2148" s="563" t="s">
        <v>25</v>
      </c>
      <c r="J2148" s="563" t="s">
        <v>25</v>
      </c>
      <c r="K2148" s="564" t="s">
        <v>25</v>
      </c>
      <c r="L2148" s="564" t="s">
        <v>25</v>
      </c>
      <c r="M2148" s="572"/>
      <c r="N2148" s="572"/>
      <c r="O2148" s="740"/>
      <c r="P2148" s="564" t="s">
        <v>25</v>
      </c>
      <c r="Q2148" s="564" t="s">
        <v>25</v>
      </c>
      <c r="R2148" s="566" t="s">
        <v>1992</v>
      </c>
      <c r="S2148" s="609" t="s">
        <v>1133</v>
      </c>
      <c r="T2148" s="741">
        <v>22.4</v>
      </c>
      <c r="U2148" s="586"/>
      <c r="V2148" s="564">
        <v>984277</v>
      </c>
      <c r="W2148" s="564">
        <v>22048000</v>
      </c>
      <c r="X2148" s="683" t="s">
        <v>1139</v>
      </c>
      <c r="Y2148" s="683" t="s">
        <v>56</v>
      </c>
      <c r="Z2148" s="683"/>
      <c r="AA2148" s="694" t="s">
        <v>1138</v>
      </c>
      <c r="AB2148" s="586"/>
      <c r="AC2148" s="586"/>
      <c r="AD2148" s="606"/>
      <c r="AE2148" s="590"/>
      <c r="AF2148" s="570" t="s">
        <v>2899</v>
      </c>
      <c r="AG2148" s="570" t="s">
        <v>25</v>
      </c>
      <c r="AH2148" s="571" t="s">
        <v>25</v>
      </c>
      <c r="AI2148" s="586" t="s">
        <v>1416</v>
      </c>
      <c r="AJ2148" s="558" t="s">
        <v>2450</v>
      </c>
    </row>
    <row r="2149" spans="1:36" s="394" customFormat="1" ht="81" outlineLevel="2" x14ac:dyDescent="0.3">
      <c r="A2149" s="447">
        <v>181</v>
      </c>
      <c r="B2149" s="572"/>
      <c r="C2149" s="572"/>
      <c r="D2149" s="612"/>
      <c r="E2149" s="612"/>
      <c r="F2149" s="586"/>
      <c r="G2149" s="709"/>
      <c r="H2149" s="546"/>
      <c r="I2149" s="563" t="s">
        <v>25</v>
      </c>
      <c r="J2149" s="563" t="s">
        <v>25</v>
      </c>
      <c r="K2149" s="564" t="s">
        <v>25</v>
      </c>
      <c r="L2149" s="564" t="s">
        <v>25</v>
      </c>
      <c r="M2149" s="572"/>
      <c r="N2149" s="572"/>
      <c r="O2149" s="740"/>
      <c r="P2149" s="564" t="s">
        <v>25</v>
      </c>
      <c r="Q2149" s="564" t="s">
        <v>25</v>
      </c>
      <c r="R2149" s="566" t="s">
        <v>1838</v>
      </c>
      <c r="S2149" s="609" t="s">
        <v>1133</v>
      </c>
      <c r="T2149" s="741">
        <v>87.9</v>
      </c>
      <c r="U2149" s="586"/>
      <c r="V2149" s="564">
        <v>3156089</v>
      </c>
      <c r="W2149" s="564">
        <v>277420000</v>
      </c>
      <c r="X2149" s="683" t="s">
        <v>1139</v>
      </c>
      <c r="Y2149" s="683" t="s">
        <v>56</v>
      </c>
      <c r="Z2149" s="683" t="s">
        <v>269</v>
      </c>
      <c r="AA2149" s="694" t="s">
        <v>1138</v>
      </c>
      <c r="AB2149" s="586"/>
      <c r="AC2149" s="586"/>
      <c r="AD2149" s="586"/>
      <c r="AE2149" s="714"/>
      <c r="AF2149" s="570" t="s">
        <v>2899</v>
      </c>
      <c r="AG2149" s="570" t="s">
        <v>25</v>
      </c>
      <c r="AH2149" s="571" t="s">
        <v>25</v>
      </c>
      <c r="AI2149" s="586" t="s">
        <v>2074</v>
      </c>
      <c r="AJ2149" s="586" t="s">
        <v>2451</v>
      </c>
    </row>
    <row r="2150" spans="1:36" s="394" customFormat="1" ht="101.25" outlineLevel="2" x14ac:dyDescent="0.3">
      <c r="A2150" s="447">
        <v>181</v>
      </c>
      <c r="B2150" s="572"/>
      <c r="C2150" s="572"/>
      <c r="D2150" s="612"/>
      <c r="E2150" s="612"/>
      <c r="F2150" s="586"/>
      <c r="G2150" s="709"/>
      <c r="H2150" s="546"/>
      <c r="I2150" s="563" t="s">
        <v>25</v>
      </c>
      <c r="J2150" s="563" t="s">
        <v>25</v>
      </c>
      <c r="K2150" s="564" t="s">
        <v>25</v>
      </c>
      <c r="L2150" s="564" t="s">
        <v>25</v>
      </c>
      <c r="M2150" s="572"/>
      <c r="N2150" s="572"/>
      <c r="O2150" s="740"/>
      <c r="P2150" s="564" t="s">
        <v>25</v>
      </c>
      <c r="Q2150" s="564" t="s">
        <v>25</v>
      </c>
      <c r="R2150" s="566" t="s">
        <v>1981</v>
      </c>
      <c r="S2150" s="609" t="s">
        <v>1133</v>
      </c>
      <c r="T2150" s="741">
        <v>2.8</v>
      </c>
      <c r="U2150" s="586"/>
      <c r="V2150" s="564">
        <v>8308812</v>
      </c>
      <c r="W2150" s="564">
        <v>23265000</v>
      </c>
      <c r="X2150" s="683"/>
      <c r="Y2150" s="683"/>
      <c r="Z2150" s="683"/>
      <c r="AA2150" s="694"/>
      <c r="AB2150" s="586"/>
      <c r="AC2150" s="586"/>
      <c r="AD2150" s="586"/>
      <c r="AE2150" s="714"/>
      <c r="AF2150" s="570" t="s">
        <v>2899</v>
      </c>
      <c r="AG2150" s="570" t="s">
        <v>25</v>
      </c>
      <c r="AH2150" s="571" t="s">
        <v>25</v>
      </c>
      <c r="AI2150" s="731"/>
      <c r="AJ2150" s="586" t="s">
        <v>2800</v>
      </c>
    </row>
    <row r="2151" spans="1:36" s="394" customFormat="1" ht="40.5" outlineLevel="2" x14ac:dyDescent="0.3">
      <c r="A2151" s="447">
        <v>181</v>
      </c>
      <c r="B2151" s="572"/>
      <c r="C2151" s="572"/>
      <c r="D2151" s="612"/>
      <c r="E2151" s="612"/>
      <c r="F2151" s="586"/>
      <c r="G2151" s="709"/>
      <c r="H2151" s="546"/>
      <c r="I2151" s="563" t="s">
        <v>25</v>
      </c>
      <c r="J2151" s="563" t="s">
        <v>25</v>
      </c>
      <c r="K2151" s="564" t="s">
        <v>25</v>
      </c>
      <c r="L2151" s="564" t="s">
        <v>25</v>
      </c>
      <c r="M2151" s="572"/>
      <c r="N2151" s="572"/>
      <c r="O2151" s="740"/>
      <c r="P2151" s="564" t="s">
        <v>25</v>
      </c>
      <c r="Q2151" s="564" t="s">
        <v>25</v>
      </c>
      <c r="R2151" s="572" t="s">
        <v>1838</v>
      </c>
      <c r="S2151" s="609" t="s">
        <v>1133</v>
      </c>
      <c r="T2151" s="741">
        <v>21.3</v>
      </c>
      <c r="U2151" s="586"/>
      <c r="V2151" s="564">
        <v>3156089</v>
      </c>
      <c r="W2151" s="564">
        <v>67225000</v>
      </c>
      <c r="X2151" s="683" t="s">
        <v>1139</v>
      </c>
      <c r="Y2151" s="683" t="s">
        <v>56</v>
      </c>
      <c r="Z2151" s="683" t="s">
        <v>269</v>
      </c>
      <c r="AA2151" s="694" t="s">
        <v>139</v>
      </c>
      <c r="AB2151" s="586"/>
      <c r="AC2151" s="586"/>
      <c r="AD2151" s="586"/>
      <c r="AE2151" s="714"/>
      <c r="AF2151" s="570" t="s">
        <v>2899</v>
      </c>
      <c r="AG2151" s="570" t="s">
        <v>25</v>
      </c>
      <c r="AH2151" s="571" t="s">
        <v>25</v>
      </c>
      <c r="AI2151" s="586"/>
      <c r="AJ2151" s="586"/>
    </row>
    <row r="2152" spans="1:36" s="394" customFormat="1" ht="20.25" outlineLevel="2" x14ac:dyDescent="0.3">
      <c r="A2152" s="447">
        <v>181</v>
      </c>
      <c r="B2152" s="572"/>
      <c r="C2152" s="572"/>
      <c r="D2152" s="612"/>
      <c r="E2152" s="612"/>
      <c r="F2152" s="586"/>
      <c r="G2152" s="709"/>
      <c r="H2152" s="546"/>
      <c r="I2152" s="563" t="s">
        <v>25</v>
      </c>
      <c r="J2152" s="563" t="s">
        <v>25</v>
      </c>
      <c r="K2152" s="564" t="s">
        <v>25</v>
      </c>
      <c r="L2152" s="564" t="s">
        <v>25</v>
      </c>
      <c r="M2152" s="572"/>
      <c r="N2152" s="572"/>
      <c r="O2152" s="740"/>
      <c r="P2152" s="564" t="s">
        <v>25</v>
      </c>
      <c r="Q2152" s="564" t="s">
        <v>25</v>
      </c>
      <c r="R2152" s="566"/>
      <c r="S2152" s="609"/>
      <c r="T2152" s="741"/>
      <c r="U2152" s="586"/>
      <c r="V2152" s="564" t="s">
        <v>2899</v>
      </c>
      <c r="W2152" s="564" t="s">
        <v>25</v>
      </c>
      <c r="X2152" s="650"/>
      <c r="Y2152" s="586"/>
      <c r="Z2152" s="742"/>
      <c r="AA2152" s="586"/>
      <c r="AB2152" s="586"/>
      <c r="AC2152" s="586"/>
      <c r="AD2152" s="586"/>
      <c r="AE2152" s="714"/>
      <c r="AF2152" s="570" t="s">
        <v>2899</v>
      </c>
      <c r="AG2152" s="570" t="s">
        <v>25</v>
      </c>
      <c r="AH2152" s="571" t="s">
        <v>25</v>
      </c>
      <c r="AI2152" s="586"/>
      <c r="AJ2152" s="586"/>
    </row>
    <row r="2153" spans="1:36" s="394" customFormat="1" ht="20.25" outlineLevel="2" x14ac:dyDescent="0.3">
      <c r="A2153" s="447">
        <v>181</v>
      </c>
      <c r="B2153" s="572"/>
      <c r="C2153" s="572"/>
      <c r="D2153" s="612"/>
      <c r="E2153" s="612"/>
      <c r="F2153" s="586"/>
      <c r="G2153" s="709"/>
      <c r="H2153" s="546"/>
      <c r="I2153" s="563" t="s">
        <v>25</v>
      </c>
      <c r="J2153" s="563" t="s">
        <v>25</v>
      </c>
      <c r="K2153" s="564" t="s">
        <v>25</v>
      </c>
      <c r="L2153" s="564" t="s">
        <v>25</v>
      </c>
      <c r="M2153" s="572"/>
      <c r="N2153" s="572"/>
      <c r="O2153" s="740"/>
      <c r="P2153" s="564" t="s">
        <v>25</v>
      </c>
      <c r="Q2153" s="564" t="s">
        <v>25</v>
      </c>
      <c r="R2153" s="566"/>
      <c r="S2153" s="609"/>
      <c r="T2153" s="741"/>
      <c r="U2153" s="586"/>
      <c r="V2153" s="564" t="s">
        <v>2899</v>
      </c>
      <c r="W2153" s="564" t="s">
        <v>25</v>
      </c>
      <c r="X2153" s="650"/>
      <c r="Y2153" s="586"/>
      <c r="Z2153" s="742"/>
      <c r="AA2153" s="586"/>
      <c r="AB2153" s="586"/>
      <c r="AC2153" s="586"/>
      <c r="AD2153" s="586"/>
      <c r="AE2153" s="714"/>
      <c r="AF2153" s="570" t="s">
        <v>2899</v>
      </c>
      <c r="AG2153" s="570" t="s">
        <v>25</v>
      </c>
      <c r="AH2153" s="571" t="s">
        <v>25</v>
      </c>
      <c r="AI2153" s="586"/>
      <c r="AJ2153" s="586"/>
    </row>
    <row r="2154" spans="1:36" s="394" customFormat="1" ht="20.25" outlineLevel="2" x14ac:dyDescent="0.3">
      <c r="A2154" s="447">
        <v>181</v>
      </c>
      <c r="B2154" s="572"/>
      <c r="C2154" s="572"/>
      <c r="D2154" s="612"/>
      <c r="E2154" s="612"/>
      <c r="F2154" s="586"/>
      <c r="G2154" s="709"/>
      <c r="H2154" s="546"/>
      <c r="I2154" s="563" t="s">
        <v>25</v>
      </c>
      <c r="J2154" s="563" t="s">
        <v>25</v>
      </c>
      <c r="K2154" s="564" t="s">
        <v>25</v>
      </c>
      <c r="L2154" s="564" t="s">
        <v>25</v>
      </c>
      <c r="M2154" s="572"/>
      <c r="N2154" s="572"/>
      <c r="O2154" s="740"/>
      <c r="P2154" s="564" t="s">
        <v>25</v>
      </c>
      <c r="Q2154" s="564" t="s">
        <v>25</v>
      </c>
      <c r="R2154" s="566"/>
      <c r="S2154" s="609"/>
      <c r="T2154" s="741"/>
      <c r="U2154" s="586"/>
      <c r="V2154" s="564" t="s">
        <v>2899</v>
      </c>
      <c r="W2154" s="564" t="s">
        <v>25</v>
      </c>
      <c r="X2154" s="650"/>
      <c r="Y2154" s="586"/>
      <c r="Z2154" s="742"/>
      <c r="AA2154" s="586"/>
      <c r="AB2154" s="586"/>
      <c r="AC2154" s="586"/>
      <c r="AD2154" s="586"/>
      <c r="AE2154" s="714"/>
      <c r="AF2154" s="570" t="s">
        <v>2899</v>
      </c>
      <c r="AG2154" s="570" t="s">
        <v>25</v>
      </c>
      <c r="AH2154" s="571" t="s">
        <v>25</v>
      </c>
      <c r="AI2154" s="586"/>
      <c r="AJ2154" s="586"/>
    </row>
    <row r="2155" spans="1:36" s="394" customFormat="1" ht="20.25" outlineLevel="2" x14ac:dyDescent="0.3">
      <c r="A2155" s="447">
        <v>181</v>
      </c>
      <c r="B2155" s="572"/>
      <c r="C2155" s="572"/>
      <c r="D2155" s="612"/>
      <c r="E2155" s="612"/>
      <c r="F2155" s="586"/>
      <c r="G2155" s="709"/>
      <c r="H2155" s="546"/>
      <c r="I2155" s="563" t="s">
        <v>25</v>
      </c>
      <c r="J2155" s="563" t="s">
        <v>25</v>
      </c>
      <c r="K2155" s="564" t="s">
        <v>25</v>
      </c>
      <c r="L2155" s="564" t="s">
        <v>25</v>
      </c>
      <c r="M2155" s="572"/>
      <c r="N2155" s="572"/>
      <c r="O2155" s="740"/>
      <c r="P2155" s="564" t="s">
        <v>25</v>
      </c>
      <c r="Q2155" s="564" t="s">
        <v>25</v>
      </c>
      <c r="R2155" s="566"/>
      <c r="S2155" s="609"/>
      <c r="T2155" s="741"/>
      <c r="U2155" s="586"/>
      <c r="V2155" s="564" t="s">
        <v>2899</v>
      </c>
      <c r="W2155" s="564" t="s">
        <v>25</v>
      </c>
      <c r="X2155" s="650"/>
      <c r="Y2155" s="586"/>
      <c r="Z2155" s="742"/>
      <c r="AA2155" s="586"/>
      <c r="AB2155" s="586"/>
      <c r="AC2155" s="586"/>
      <c r="AD2155" s="586"/>
      <c r="AE2155" s="714"/>
      <c r="AF2155" s="570" t="s">
        <v>2899</v>
      </c>
      <c r="AG2155" s="570" t="s">
        <v>25</v>
      </c>
      <c r="AH2155" s="571" t="s">
        <v>25</v>
      </c>
      <c r="AI2155" s="586"/>
      <c r="AJ2155" s="586"/>
    </row>
    <row r="2156" spans="1:36" s="394" customFormat="1" ht="20.25" outlineLevel="2" x14ac:dyDescent="0.3">
      <c r="A2156" s="447">
        <v>181</v>
      </c>
      <c r="B2156" s="572"/>
      <c r="C2156" s="572"/>
      <c r="D2156" s="612"/>
      <c r="E2156" s="612"/>
      <c r="F2156" s="586"/>
      <c r="G2156" s="709"/>
      <c r="H2156" s="546"/>
      <c r="I2156" s="563" t="s">
        <v>25</v>
      </c>
      <c r="J2156" s="563" t="s">
        <v>25</v>
      </c>
      <c r="K2156" s="564" t="s">
        <v>25</v>
      </c>
      <c r="L2156" s="564" t="s">
        <v>25</v>
      </c>
      <c r="M2156" s="572"/>
      <c r="N2156" s="572"/>
      <c r="O2156" s="740"/>
      <c r="P2156" s="564" t="s">
        <v>25</v>
      </c>
      <c r="Q2156" s="564" t="s">
        <v>25</v>
      </c>
      <c r="R2156" s="566"/>
      <c r="S2156" s="609"/>
      <c r="T2156" s="741"/>
      <c r="U2156" s="586"/>
      <c r="V2156" s="564" t="s">
        <v>2899</v>
      </c>
      <c r="W2156" s="564" t="s">
        <v>25</v>
      </c>
      <c r="X2156" s="650"/>
      <c r="Y2156" s="586"/>
      <c r="Z2156" s="742"/>
      <c r="AA2156" s="586"/>
      <c r="AB2156" s="586"/>
      <c r="AC2156" s="586"/>
      <c r="AD2156" s="586"/>
      <c r="AE2156" s="714"/>
      <c r="AF2156" s="570" t="s">
        <v>2899</v>
      </c>
      <c r="AG2156" s="570" t="s">
        <v>25</v>
      </c>
      <c r="AH2156" s="571" t="s">
        <v>25</v>
      </c>
      <c r="AI2156" s="572"/>
      <c r="AJ2156" s="572"/>
    </row>
    <row r="2157" spans="1:36" s="394" customFormat="1" ht="20.25" outlineLevel="2" x14ac:dyDescent="0.3">
      <c r="A2157" s="447">
        <v>181</v>
      </c>
      <c r="B2157" s="572"/>
      <c r="C2157" s="572"/>
      <c r="D2157" s="612"/>
      <c r="E2157" s="612"/>
      <c r="F2157" s="586"/>
      <c r="G2157" s="709"/>
      <c r="H2157" s="546"/>
      <c r="I2157" s="563" t="s">
        <v>25</v>
      </c>
      <c r="J2157" s="563" t="s">
        <v>25</v>
      </c>
      <c r="K2157" s="564" t="s">
        <v>25</v>
      </c>
      <c r="L2157" s="564" t="s">
        <v>25</v>
      </c>
      <c r="M2157" s="572"/>
      <c r="N2157" s="572"/>
      <c r="O2157" s="740"/>
      <c r="P2157" s="564" t="s">
        <v>25</v>
      </c>
      <c r="Q2157" s="564" t="s">
        <v>25</v>
      </c>
      <c r="R2157" s="566"/>
      <c r="S2157" s="609"/>
      <c r="T2157" s="741"/>
      <c r="U2157" s="586"/>
      <c r="V2157" s="564" t="s">
        <v>2899</v>
      </c>
      <c r="W2157" s="564" t="s">
        <v>25</v>
      </c>
      <c r="X2157" s="650"/>
      <c r="Y2157" s="586"/>
      <c r="Z2157" s="742"/>
      <c r="AA2157" s="586"/>
      <c r="AB2157" s="586"/>
      <c r="AC2157" s="586"/>
      <c r="AD2157" s="586"/>
      <c r="AE2157" s="714"/>
      <c r="AF2157" s="570" t="s">
        <v>2899</v>
      </c>
      <c r="AG2157" s="570" t="s">
        <v>25</v>
      </c>
      <c r="AH2157" s="571" t="s">
        <v>25</v>
      </c>
      <c r="AI2157" s="558"/>
      <c r="AJ2157" s="558"/>
    </row>
    <row r="2158" spans="1:36" s="394" customFormat="1" ht="20.25" outlineLevel="2" x14ac:dyDescent="0.3">
      <c r="A2158" s="447">
        <v>181</v>
      </c>
      <c r="B2158" s="607"/>
      <c r="C2158" s="607"/>
      <c r="D2158" s="642"/>
      <c r="E2158" s="642"/>
      <c r="F2158" s="586"/>
      <c r="G2158" s="709"/>
      <c r="H2158" s="546"/>
      <c r="I2158" s="563" t="s">
        <v>25</v>
      </c>
      <c r="J2158" s="563" t="s">
        <v>25</v>
      </c>
      <c r="K2158" s="564" t="s">
        <v>25</v>
      </c>
      <c r="L2158" s="564" t="s">
        <v>25</v>
      </c>
      <c r="M2158" s="572"/>
      <c r="N2158" s="572"/>
      <c r="O2158" s="740"/>
      <c r="P2158" s="564" t="s">
        <v>25</v>
      </c>
      <c r="Q2158" s="564" t="s">
        <v>25</v>
      </c>
      <c r="R2158" s="566"/>
      <c r="S2158" s="609"/>
      <c r="T2158" s="741"/>
      <c r="U2158" s="586"/>
      <c r="V2158" s="564" t="s">
        <v>2899</v>
      </c>
      <c r="W2158" s="564" t="s">
        <v>25</v>
      </c>
      <c r="X2158" s="650"/>
      <c r="Y2158" s="586"/>
      <c r="Z2158" s="742"/>
      <c r="AA2158" s="586"/>
      <c r="AB2158" s="586"/>
      <c r="AC2158" s="586"/>
      <c r="AD2158" s="586"/>
      <c r="AE2158" s="714"/>
      <c r="AF2158" s="570" t="s">
        <v>2899</v>
      </c>
      <c r="AG2158" s="570" t="s">
        <v>25</v>
      </c>
      <c r="AH2158" s="571" t="s">
        <v>25</v>
      </c>
      <c r="AI2158" s="586"/>
      <c r="AJ2158" s="586"/>
    </row>
    <row r="2159" spans="1:36" s="394" customFormat="1" ht="40.5" outlineLevel="1" x14ac:dyDescent="0.25">
      <c r="A2159" s="467">
        <v>182</v>
      </c>
      <c r="B2159" s="607" t="s">
        <v>1448</v>
      </c>
      <c r="C2159" s="586" t="s">
        <v>2903</v>
      </c>
      <c r="D2159" s="612">
        <v>86</v>
      </c>
      <c r="E2159" s="612">
        <v>25</v>
      </c>
      <c r="F2159" s="578"/>
      <c r="G2159" s="707">
        <v>1145.4000000000001</v>
      </c>
      <c r="H2159" s="579">
        <v>996.50000000000011</v>
      </c>
      <c r="I2159" s="581"/>
      <c r="J2159" s="581"/>
      <c r="K2159" s="571">
        <v>635010000</v>
      </c>
      <c r="L2159" s="571">
        <v>1657379000</v>
      </c>
      <c r="M2159" s="607"/>
      <c r="N2159" s="607"/>
      <c r="O2159" s="738">
        <v>269</v>
      </c>
      <c r="P2159" s="571"/>
      <c r="Q2159" s="571">
        <v>78597000</v>
      </c>
      <c r="R2159" s="582"/>
      <c r="S2159" s="621"/>
      <c r="T2159" s="739">
        <v>241.36</v>
      </c>
      <c r="U2159" s="578"/>
      <c r="V2159" s="571"/>
      <c r="W2159" s="571">
        <v>155092000</v>
      </c>
      <c r="X2159" s="650"/>
      <c r="Y2159" s="586"/>
      <c r="Z2159" s="742"/>
      <c r="AA2159" s="586"/>
      <c r="AB2159" s="586"/>
      <c r="AC2159" s="586"/>
      <c r="AD2159" s="578"/>
      <c r="AE2159" s="712">
        <f>SUBTOTAL(9,AE2160:AE2175)</f>
        <v>0</v>
      </c>
      <c r="AF2159" s="585"/>
      <c r="AG2159" s="585">
        <v>0</v>
      </c>
      <c r="AH2159" s="571">
        <v>2526078000</v>
      </c>
      <c r="AI2159" s="578"/>
      <c r="AJ2159" s="578"/>
    </row>
    <row r="2160" spans="1:36" s="394" customFormat="1" ht="121.5" outlineLevel="2" x14ac:dyDescent="0.3">
      <c r="A2160" s="447">
        <v>182</v>
      </c>
      <c r="B2160" s="572" t="s">
        <v>1450</v>
      </c>
      <c r="C2160" s="572"/>
      <c r="D2160" s="612"/>
      <c r="E2160" s="612"/>
      <c r="F2160" s="586" t="s">
        <v>2494</v>
      </c>
      <c r="G2160" s="709">
        <v>996.50000000000011</v>
      </c>
      <c r="H2160" s="546">
        <v>996.50000000000011</v>
      </c>
      <c r="I2160" s="563">
        <v>554400</v>
      </c>
      <c r="J2160" s="563">
        <v>1663200</v>
      </c>
      <c r="K2160" s="564">
        <v>552460000</v>
      </c>
      <c r="L2160" s="564">
        <v>1657379000</v>
      </c>
      <c r="M2160" s="572" t="s">
        <v>145</v>
      </c>
      <c r="N2160" s="572"/>
      <c r="O2160" s="740">
        <v>1</v>
      </c>
      <c r="P2160" s="564">
        <v>4240000</v>
      </c>
      <c r="Q2160" s="564">
        <v>4240000</v>
      </c>
      <c r="R2160" s="566" t="s">
        <v>1993</v>
      </c>
      <c r="S2160" s="609" t="s">
        <v>1133</v>
      </c>
      <c r="T2160" s="741">
        <v>104.4</v>
      </c>
      <c r="U2160" s="586"/>
      <c r="V2160" s="564">
        <v>625568</v>
      </c>
      <c r="W2160" s="564">
        <v>65309000</v>
      </c>
      <c r="X2160" s="650"/>
      <c r="Y2160" s="586"/>
      <c r="Z2160" s="742"/>
      <c r="AA2160" s="586"/>
      <c r="AB2160" s="586"/>
      <c r="AC2160" s="586"/>
      <c r="AD2160" s="586"/>
      <c r="AE2160" s="714"/>
      <c r="AF2160" s="570" t="s">
        <v>2899</v>
      </c>
      <c r="AG2160" s="570"/>
      <c r="AH2160" s="571" t="s">
        <v>25</v>
      </c>
      <c r="AI2160" s="586" t="s">
        <v>1449</v>
      </c>
      <c r="AJ2160" s="586" t="s">
        <v>2771</v>
      </c>
    </row>
    <row r="2161" spans="1:37" s="394" customFormat="1" ht="101.25" outlineLevel="2" x14ac:dyDescent="0.3">
      <c r="A2161" s="447">
        <v>182</v>
      </c>
      <c r="B2161" s="572" t="s">
        <v>1634</v>
      </c>
      <c r="C2161" s="572"/>
      <c r="D2161" s="744"/>
      <c r="E2161" s="744"/>
      <c r="F2161" s="586" t="s">
        <v>2495</v>
      </c>
      <c r="G2161" s="709">
        <v>148.9</v>
      </c>
      <c r="H2161" s="546" t="s">
        <v>2899</v>
      </c>
      <c r="I2161" s="563">
        <v>554400</v>
      </c>
      <c r="J2161" s="563">
        <v>0</v>
      </c>
      <c r="K2161" s="564">
        <v>82550000</v>
      </c>
      <c r="L2161" s="564">
        <v>0</v>
      </c>
      <c r="M2161" s="572" t="s">
        <v>77</v>
      </c>
      <c r="N2161" s="572"/>
      <c r="O2161" s="740">
        <v>1</v>
      </c>
      <c r="P2161" s="564">
        <v>3064000</v>
      </c>
      <c r="Q2161" s="564">
        <v>3064000</v>
      </c>
      <c r="R2161" s="566" t="s">
        <v>1980</v>
      </c>
      <c r="S2161" s="609" t="s">
        <v>1133</v>
      </c>
      <c r="T2161" s="741">
        <v>8.4</v>
      </c>
      <c r="U2161" s="586"/>
      <c r="V2161" s="564">
        <v>684506</v>
      </c>
      <c r="W2161" s="564">
        <v>5750000</v>
      </c>
      <c r="X2161" s="650"/>
      <c r="Y2161" s="586"/>
      <c r="Z2161" s="742"/>
      <c r="AA2161" s="586"/>
      <c r="AB2161" s="586"/>
      <c r="AC2161" s="586"/>
      <c r="AD2161" s="586"/>
      <c r="AE2161" s="714"/>
      <c r="AF2161" s="570" t="s">
        <v>2899</v>
      </c>
      <c r="AG2161" s="570" t="s">
        <v>25</v>
      </c>
      <c r="AH2161" s="571" t="s">
        <v>25</v>
      </c>
      <c r="AI2161" s="586" t="s">
        <v>1451</v>
      </c>
      <c r="AJ2161" s="605" t="s">
        <v>2448</v>
      </c>
    </row>
    <row r="2162" spans="1:37" s="394" customFormat="1" ht="121.5" outlineLevel="2" x14ac:dyDescent="0.3">
      <c r="A2162" s="447">
        <v>182</v>
      </c>
      <c r="B2162" s="572"/>
      <c r="C2162" s="572"/>
      <c r="D2162" s="744"/>
      <c r="E2162" s="744"/>
      <c r="F2162" s="731"/>
      <c r="G2162" s="745"/>
      <c r="H2162" s="546"/>
      <c r="I2162" s="563" t="s">
        <v>25</v>
      </c>
      <c r="J2162" s="563" t="s">
        <v>25</v>
      </c>
      <c r="K2162" s="564" t="s">
        <v>25</v>
      </c>
      <c r="L2162" s="564" t="s">
        <v>25</v>
      </c>
      <c r="M2162" s="572" t="s">
        <v>61</v>
      </c>
      <c r="N2162" s="572"/>
      <c r="O2162" s="740">
        <v>31</v>
      </c>
      <c r="P2162" s="564">
        <v>1708000</v>
      </c>
      <c r="Q2162" s="564">
        <v>52948000</v>
      </c>
      <c r="R2162" s="566" t="s">
        <v>1994</v>
      </c>
      <c r="S2162" s="609" t="s">
        <v>1133</v>
      </c>
      <c r="T2162" s="741">
        <v>3.61</v>
      </c>
      <c r="U2162" s="586"/>
      <c r="V2162" s="564">
        <v>7741709</v>
      </c>
      <c r="W2162" s="564">
        <v>27948000</v>
      </c>
      <c r="X2162" s="650"/>
      <c r="Y2162" s="586"/>
      <c r="Z2162" s="742"/>
      <c r="AA2162" s="586"/>
      <c r="AB2162" s="586"/>
      <c r="AC2162" s="586"/>
      <c r="AD2162" s="586"/>
      <c r="AE2162" s="714"/>
      <c r="AF2162" s="570" t="s">
        <v>2899</v>
      </c>
      <c r="AG2162" s="570" t="s">
        <v>25</v>
      </c>
      <c r="AH2162" s="571" t="s">
        <v>25</v>
      </c>
      <c r="AI2162" s="586" t="s">
        <v>2074</v>
      </c>
      <c r="AJ2162" s="558" t="s">
        <v>2450</v>
      </c>
    </row>
    <row r="2163" spans="1:37" s="394" customFormat="1" ht="101.25" outlineLevel="2" x14ac:dyDescent="0.3">
      <c r="A2163" s="447">
        <v>182</v>
      </c>
      <c r="B2163" s="572"/>
      <c r="C2163" s="572"/>
      <c r="D2163" s="612"/>
      <c r="E2163" s="612"/>
      <c r="F2163" s="731"/>
      <c r="G2163" s="745"/>
      <c r="H2163" s="546"/>
      <c r="I2163" s="563" t="s">
        <v>25</v>
      </c>
      <c r="J2163" s="563" t="s">
        <v>25</v>
      </c>
      <c r="K2163" s="564" t="s">
        <v>25</v>
      </c>
      <c r="L2163" s="564" t="s">
        <v>25</v>
      </c>
      <c r="M2163" s="572" t="s">
        <v>69</v>
      </c>
      <c r="N2163" s="572"/>
      <c r="O2163" s="740">
        <v>9</v>
      </c>
      <c r="P2163" s="564">
        <v>211000</v>
      </c>
      <c r="Q2163" s="564">
        <v>1899000</v>
      </c>
      <c r="R2163" s="566" t="s">
        <v>1995</v>
      </c>
      <c r="S2163" s="609" t="s">
        <v>1133</v>
      </c>
      <c r="T2163" s="741">
        <v>4.75</v>
      </c>
      <c r="U2163" s="586"/>
      <c r="V2163" s="564">
        <v>3075567</v>
      </c>
      <c r="W2163" s="564">
        <v>14609000</v>
      </c>
      <c r="X2163" s="661" t="s">
        <v>139</v>
      </c>
      <c r="Y2163" s="683" t="s">
        <v>1139</v>
      </c>
      <c r="Z2163" s="683" t="s">
        <v>1262</v>
      </c>
      <c r="AA2163" s="694" t="s">
        <v>269</v>
      </c>
      <c r="AB2163" s="683" t="s">
        <v>139</v>
      </c>
      <c r="AC2163" s="586"/>
      <c r="AD2163" s="586"/>
      <c r="AE2163" s="714"/>
      <c r="AF2163" s="570" t="s">
        <v>2899</v>
      </c>
      <c r="AG2163" s="570" t="s">
        <v>25</v>
      </c>
      <c r="AH2163" s="571" t="s">
        <v>25</v>
      </c>
      <c r="AI2163" s="731" t="s">
        <v>1226</v>
      </c>
      <c r="AJ2163" s="558" t="s">
        <v>2449</v>
      </c>
    </row>
    <row r="2164" spans="1:37" s="394" customFormat="1" ht="101.25" outlineLevel="2" x14ac:dyDescent="0.3">
      <c r="A2164" s="447">
        <v>182</v>
      </c>
      <c r="B2164" s="572"/>
      <c r="C2164" s="572"/>
      <c r="D2164" s="612"/>
      <c r="E2164" s="612"/>
      <c r="F2164" s="586"/>
      <c r="G2164" s="709"/>
      <c r="H2164" s="546"/>
      <c r="I2164" s="563" t="s">
        <v>25</v>
      </c>
      <c r="J2164" s="563" t="s">
        <v>25</v>
      </c>
      <c r="K2164" s="564" t="s">
        <v>25</v>
      </c>
      <c r="L2164" s="564" t="s">
        <v>25</v>
      </c>
      <c r="M2164" s="572" t="s">
        <v>72</v>
      </c>
      <c r="N2164" s="572"/>
      <c r="O2164" s="740">
        <v>42</v>
      </c>
      <c r="P2164" s="564">
        <v>132000</v>
      </c>
      <c r="Q2164" s="564">
        <v>5544000</v>
      </c>
      <c r="R2164" s="566" t="s">
        <v>1996</v>
      </c>
      <c r="S2164" s="609" t="s">
        <v>1133</v>
      </c>
      <c r="T2164" s="741">
        <v>9</v>
      </c>
      <c r="U2164" s="586"/>
      <c r="V2164" s="564">
        <v>1524322</v>
      </c>
      <c r="W2164" s="564">
        <v>13719000</v>
      </c>
      <c r="X2164" s="661" t="s">
        <v>139</v>
      </c>
      <c r="Y2164" s="694" t="s">
        <v>1453</v>
      </c>
      <c r="Z2164" s="683" t="s">
        <v>56</v>
      </c>
      <c r="AA2164" s="694" t="s">
        <v>1263</v>
      </c>
      <c r="AB2164" s="683" t="s">
        <v>267</v>
      </c>
      <c r="AC2164" s="586"/>
      <c r="AD2164" s="586"/>
      <c r="AE2164" s="714"/>
      <c r="AF2164" s="570" t="s">
        <v>2899</v>
      </c>
      <c r="AG2164" s="570" t="s">
        <v>25</v>
      </c>
      <c r="AH2164" s="571" t="s">
        <v>25</v>
      </c>
      <c r="AI2164" s="586"/>
      <c r="AJ2164" s="572" t="s">
        <v>2800</v>
      </c>
    </row>
    <row r="2165" spans="1:37" s="394" customFormat="1" ht="40.5" outlineLevel="2" x14ac:dyDescent="0.3">
      <c r="A2165" s="447">
        <v>182</v>
      </c>
      <c r="B2165" s="572"/>
      <c r="C2165" s="572"/>
      <c r="D2165" s="612"/>
      <c r="E2165" s="612"/>
      <c r="F2165" s="586"/>
      <c r="G2165" s="709"/>
      <c r="H2165" s="546"/>
      <c r="I2165" s="563" t="s">
        <v>25</v>
      </c>
      <c r="J2165" s="563" t="s">
        <v>25</v>
      </c>
      <c r="K2165" s="564" t="s">
        <v>25</v>
      </c>
      <c r="L2165" s="564" t="s">
        <v>25</v>
      </c>
      <c r="M2165" s="572" t="s">
        <v>73</v>
      </c>
      <c r="N2165" s="572"/>
      <c r="O2165" s="740">
        <v>46</v>
      </c>
      <c r="P2165" s="564">
        <v>76000</v>
      </c>
      <c r="Q2165" s="564">
        <v>3496000</v>
      </c>
      <c r="R2165" s="566" t="s">
        <v>1997</v>
      </c>
      <c r="S2165" s="609" t="s">
        <v>1133</v>
      </c>
      <c r="T2165" s="741">
        <v>9</v>
      </c>
      <c r="U2165" s="586"/>
      <c r="V2165" s="564">
        <v>1180501</v>
      </c>
      <c r="W2165" s="564">
        <v>10625000</v>
      </c>
      <c r="X2165" s="661"/>
      <c r="Y2165" s="694" t="s">
        <v>1453</v>
      </c>
      <c r="Z2165" s="694" t="s">
        <v>1454</v>
      </c>
      <c r="AA2165" s="694" t="s">
        <v>1263</v>
      </c>
      <c r="AB2165" s="683" t="s">
        <v>267</v>
      </c>
      <c r="AC2165" s="586"/>
      <c r="AD2165" s="586"/>
      <c r="AE2165" s="714"/>
      <c r="AF2165" s="570" t="s">
        <v>2899</v>
      </c>
      <c r="AG2165" s="570" t="s">
        <v>25</v>
      </c>
      <c r="AH2165" s="571" t="s">
        <v>25</v>
      </c>
      <c r="AI2165" s="586"/>
      <c r="AJ2165" s="572"/>
    </row>
    <row r="2166" spans="1:37" s="394" customFormat="1" ht="81" outlineLevel="2" x14ac:dyDescent="0.3">
      <c r="A2166" s="447">
        <v>182</v>
      </c>
      <c r="B2166" s="572"/>
      <c r="C2166" s="572"/>
      <c r="D2166" s="612"/>
      <c r="E2166" s="612"/>
      <c r="F2166" s="586"/>
      <c r="G2166" s="709"/>
      <c r="H2166" s="546"/>
      <c r="I2166" s="563" t="s">
        <v>25</v>
      </c>
      <c r="J2166" s="563" t="s">
        <v>25</v>
      </c>
      <c r="K2166" s="564" t="s">
        <v>25</v>
      </c>
      <c r="L2166" s="564" t="s">
        <v>25</v>
      </c>
      <c r="M2166" s="572" t="s">
        <v>75</v>
      </c>
      <c r="N2166" s="572"/>
      <c r="O2166" s="740">
        <v>53</v>
      </c>
      <c r="P2166" s="564">
        <v>34000</v>
      </c>
      <c r="Q2166" s="564">
        <v>1802000</v>
      </c>
      <c r="R2166" s="566" t="s">
        <v>1978</v>
      </c>
      <c r="S2166" s="609" t="s">
        <v>1133</v>
      </c>
      <c r="T2166" s="741">
        <v>72.5</v>
      </c>
      <c r="U2166" s="586"/>
      <c r="V2166" s="564">
        <v>236298</v>
      </c>
      <c r="W2166" s="564">
        <v>17132000</v>
      </c>
      <c r="X2166" s="650"/>
      <c r="Y2166" s="586"/>
      <c r="Z2166" s="742"/>
      <c r="AA2166" s="586"/>
      <c r="AB2166" s="586"/>
      <c r="AC2166" s="586"/>
      <c r="AD2166" s="586"/>
      <c r="AE2166" s="714"/>
      <c r="AF2166" s="570" t="s">
        <v>2899</v>
      </c>
      <c r="AG2166" s="570" t="s">
        <v>25</v>
      </c>
      <c r="AH2166" s="571" t="s">
        <v>25</v>
      </c>
      <c r="AI2166" s="572"/>
      <c r="AJ2166" s="572"/>
    </row>
    <row r="2167" spans="1:37" s="394" customFormat="1" ht="81" outlineLevel="2" x14ac:dyDescent="0.3">
      <c r="A2167" s="447">
        <v>182</v>
      </c>
      <c r="B2167" s="572"/>
      <c r="C2167" s="572"/>
      <c r="D2167" s="612"/>
      <c r="E2167" s="612"/>
      <c r="F2167" s="586"/>
      <c r="G2167" s="709"/>
      <c r="H2167" s="546"/>
      <c r="I2167" s="563" t="s">
        <v>25</v>
      </c>
      <c r="J2167" s="563" t="s">
        <v>25</v>
      </c>
      <c r="K2167" s="564" t="s">
        <v>25</v>
      </c>
      <c r="L2167" s="564" t="s">
        <v>25</v>
      </c>
      <c r="M2167" s="572" t="s">
        <v>400</v>
      </c>
      <c r="N2167" s="572"/>
      <c r="O2167" s="740">
        <v>8</v>
      </c>
      <c r="P2167" s="564">
        <v>228000</v>
      </c>
      <c r="Q2167" s="564">
        <v>1824000</v>
      </c>
      <c r="R2167" s="566" t="s">
        <v>1998</v>
      </c>
      <c r="S2167" s="609" t="s">
        <v>1133</v>
      </c>
      <c r="T2167" s="741">
        <v>9</v>
      </c>
      <c r="U2167" s="586"/>
      <c r="V2167" s="564">
        <v>0</v>
      </c>
      <c r="W2167" s="564">
        <v>0</v>
      </c>
      <c r="X2167" s="650"/>
      <c r="Y2167" s="586"/>
      <c r="Z2167" s="742"/>
      <c r="AA2167" s="586"/>
      <c r="AB2167" s="586"/>
      <c r="AC2167" s="586"/>
      <c r="AD2167" s="586"/>
      <c r="AE2167" s="714"/>
      <c r="AF2167" s="570" t="s">
        <v>2899</v>
      </c>
      <c r="AG2167" s="570" t="s">
        <v>25</v>
      </c>
      <c r="AH2167" s="571" t="s">
        <v>25</v>
      </c>
      <c r="AI2167" s="572"/>
      <c r="AJ2167" s="572"/>
    </row>
    <row r="2168" spans="1:37" s="394" customFormat="1" ht="81" outlineLevel="2" x14ac:dyDescent="0.3">
      <c r="A2168" s="447">
        <v>182</v>
      </c>
      <c r="B2168" s="572"/>
      <c r="C2168" s="572"/>
      <c r="D2168" s="612"/>
      <c r="E2168" s="612"/>
      <c r="F2168" s="586"/>
      <c r="G2168" s="709"/>
      <c r="H2168" s="546"/>
      <c r="I2168" s="563" t="s">
        <v>25</v>
      </c>
      <c r="J2168" s="563" t="s">
        <v>25</v>
      </c>
      <c r="K2168" s="564" t="s">
        <v>25</v>
      </c>
      <c r="L2168" s="564" t="s">
        <v>25</v>
      </c>
      <c r="M2168" s="572" t="s">
        <v>401</v>
      </c>
      <c r="N2168" s="572"/>
      <c r="O2168" s="740">
        <v>38</v>
      </c>
      <c r="P2168" s="564">
        <v>80000</v>
      </c>
      <c r="Q2168" s="564">
        <v>3040000</v>
      </c>
      <c r="R2168" s="566" t="s">
        <v>1998</v>
      </c>
      <c r="S2168" s="609" t="s">
        <v>1133</v>
      </c>
      <c r="T2168" s="741">
        <v>18</v>
      </c>
      <c r="U2168" s="586"/>
      <c r="V2168" s="564">
        <v>0</v>
      </c>
      <c r="W2168" s="564">
        <v>0</v>
      </c>
      <c r="X2168" s="650"/>
      <c r="Y2168" s="586"/>
      <c r="Z2168" s="742"/>
      <c r="AA2168" s="586"/>
      <c r="AB2168" s="586"/>
      <c r="AC2168" s="586"/>
      <c r="AD2168" s="586"/>
      <c r="AE2168" s="714"/>
      <c r="AF2168" s="570" t="s">
        <v>2899</v>
      </c>
      <c r="AG2168" s="570" t="s">
        <v>25</v>
      </c>
      <c r="AH2168" s="571" t="s">
        <v>25</v>
      </c>
      <c r="AI2168" s="572"/>
      <c r="AJ2168" s="572"/>
    </row>
    <row r="2169" spans="1:37" s="394" customFormat="1" ht="81" outlineLevel="2" x14ac:dyDescent="0.3">
      <c r="A2169" s="447">
        <v>182</v>
      </c>
      <c r="B2169" s="572"/>
      <c r="C2169" s="572"/>
      <c r="D2169" s="612"/>
      <c r="E2169" s="612"/>
      <c r="F2169" s="586"/>
      <c r="G2169" s="709"/>
      <c r="H2169" s="546"/>
      <c r="I2169" s="563" t="s">
        <v>25</v>
      </c>
      <c r="J2169" s="563" t="s">
        <v>25</v>
      </c>
      <c r="K2169" s="564" t="s">
        <v>25</v>
      </c>
      <c r="L2169" s="564" t="s">
        <v>25</v>
      </c>
      <c r="M2169" s="572" t="s">
        <v>1455</v>
      </c>
      <c r="N2169" s="572"/>
      <c r="O2169" s="740">
        <v>20</v>
      </c>
      <c r="P2169" s="564">
        <v>25000</v>
      </c>
      <c r="Q2169" s="564">
        <v>500000</v>
      </c>
      <c r="R2169" s="566" t="s">
        <v>1999</v>
      </c>
      <c r="S2169" s="609" t="s">
        <v>93</v>
      </c>
      <c r="T2169" s="741">
        <v>1</v>
      </c>
      <c r="U2169" s="586"/>
      <c r="V2169" s="564">
        <v>0</v>
      </c>
      <c r="W2169" s="564">
        <v>0</v>
      </c>
      <c r="X2169" s="650"/>
      <c r="Y2169" s="586"/>
      <c r="Z2169" s="742"/>
      <c r="AA2169" s="586"/>
      <c r="AB2169" s="586"/>
      <c r="AC2169" s="586"/>
      <c r="AD2169" s="586"/>
      <c r="AE2169" s="714"/>
      <c r="AF2169" s="570" t="s">
        <v>2899</v>
      </c>
      <c r="AG2169" s="570" t="s">
        <v>25</v>
      </c>
      <c r="AH2169" s="571" t="s">
        <v>25</v>
      </c>
      <c r="AI2169" s="572"/>
      <c r="AJ2169" s="572"/>
    </row>
    <row r="2170" spans="1:37" s="394" customFormat="1" ht="60.75" outlineLevel="2" x14ac:dyDescent="0.3">
      <c r="A2170" s="447">
        <v>182</v>
      </c>
      <c r="B2170" s="572"/>
      <c r="C2170" s="572"/>
      <c r="D2170" s="612"/>
      <c r="E2170" s="612"/>
      <c r="F2170" s="586"/>
      <c r="G2170" s="709"/>
      <c r="H2170" s="546"/>
      <c r="I2170" s="563" t="s">
        <v>25</v>
      </c>
      <c r="J2170" s="563" t="s">
        <v>25</v>
      </c>
      <c r="K2170" s="564" t="s">
        <v>25</v>
      </c>
      <c r="L2170" s="564" t="s">
        <v>25</v>
      </c>
      <c r="M2170" s="572" t="s">
        <v>1332</v>
      </c>
      <c r="N2170" s="572"/>
      <c r="O2170" s="740">
        <v>12</v>
      </c>
      <c r="P2170" s="564">
        <v>12000</v>
      </c>
      <c r="Q2170" s="564">
        <v>144000</v>
      </c>
      <c r="R2170" s="566" t="s">
        <v>2000</v>
      </c>
      <c r="S2170" s="609" t="s">
        <v>1286</v>
      </c>
      <c r="T2170" s="741">
        <v>1.7</v>
      </c>
      <c r="U2170" s="586"/>
      <c r="V2170" s="564">
        <v>0</v>
      </c>
      <c r="W2170" s="564">
        <v>0</v>
      </c>
      <c r="X2170" s="650"/>
      <c r="Y2170" s="586"/>
      <c r="Z2170" s="742"/>
      <c r="AA2170" s="586"/>
      <c r="AB2170" s="586"/>
      <c r="AC2170" s="586"/>
      <c r="AD2170" s="586"/>
      <c r="AE2170" s="714"/>
      <c r="AF2170" s="570" t="s">
        <v>2899</v>
      </c>
      <c r="AG2170" s="570" t="s">
        <v>25</v>
      </c>
      <c r="AH2170" s="571" t="s">
        <v>25</v>
      </c>
      <c r="AI2170" s="572"/>
      <c r="AJ2170" s="572"/>
    </row>
    <row r="2171" spans="1:37" s="394" customFormat="1" ht="60.75" outlineLevel="2" x14ac:dyDescent="0.3">
      <c r="A2171" s="447">
        <v>182</v>
      </c>
      <c r="B2171" s="572"/>
      <c r="C2171" s="572"/>
      <c r="D2171" s="612"/>
      <c r="E2171" s="612"/>
      <c r="F2171" s="586"/>
      <c r="G2171" s="709"/>
      <c r="H2171" s="546"/>
      <c r="I2171" s="563" t="s">
        <v>25</v>
      </c>
      <c r="J2171" s="563" t="s">
        <v>25</v>
      </c>
      <c r="K2171" s="564" t="s">
        <v>25</v>
      </c>
      <c r="L2171" s="564" t="s">
        <v>25</v>
      </c>
      <c r="M2171" s="572" t="s">
        <v>1456</v>
      </c>
      <c r="N2171" s="572"/>
      <c r="O2171" s="740">
        <v>8</v>
      </c>
      <c r="P2171" s="564">
        <v>12000</v>
      </c>
      <c r="Q2171" s="564">
        <v>96000</v>
      </c>
      <c r="R2171" s="566"/>
      <c r="S2171" s="609"/>
      <c r="T2171" s="741"/>
      <c r="U2171" s="586"/>
      <c r="V2171" s="564" t="s">
        <v>2899</v>
      </c>
      <c r="W2171" s="564" t="s">
        <v>25</v>
      </c>
      <c r="X2171" s="650"/>
      <c r="Y2171" s="586"/>
      <c r="Z2171" s="742"/>
      <c r="AA2171" s="586"/>
      <c r="AB2171" s="586"/>
      <c r="AC2171" s="586"/>
      <c r="AD2171" s="586"/>
      <c r="AE2171" s="714"/>
      <c r="AF2171" s="570" t="s">
        <v>2899</v>
      </c>
      <c r="AG2171" s="570" t="s">
        <v>25</v>
      </c>
      <c r="AH2171" s="571" t="s">
        <v>25</v>
      </c>
      <c r="AI2171" s="731"/>
      <c r="AJ2171" s="572"/>
    </row>
    <row r="2172" spans="1:37" s="394" customFormat="1" ht="20.25" outlineLevel="2" x14ac:dyDescent="0.3">
      <c r="A2172" s="447">
        <v>182</v>
      </c>
      <c r="B2172" s="572"/>
      <c r="C2172" s="572"/>
      <c r="D2172" s="612"/>
      <c r="E2172" s="612"/>
      <c r="F2172" s="586"/>
      <c r="G2172" s="709"/>
      <c r="H2172" s="546"/>
      <c r="I2172" s="563" t="s">
        <v>25</v>
      </c>
      <c r="J2172" s="563" t="s">
        <v>25</v>
      </c>
      <c r="K2172" s="564" t="s">
        <v>25</v>
      </c>
      <c r="L2172" s="564" t="s">
        <v>25</v>
      </c>
      <c r="M2172" s="572"/>
      <c r="N2172" s="572"/>
      <c r="O2172" s="740"/>
      <c r="P2172" s="564" t="s">
        <v>25</v>
      </c>
      <c r="Q2172" s="564" t="s">
        <v>25</v>
      </c>
      <c r="R2172" s="566"/>
      <c r="S2172" s="609"/>
      <c r="T2172" s="741"/>
      <c r="U2172" s="586"/>
      <c r="V2172" s="564" t="s">
        <v>2899</v>
      </c>
      <c r="W2172" s="564" t="s">
        <v>25</v>
      </c>
      <c r="X2172" s="650"/>
      <c r="Y2172" s="586"/>
      <c r="Z2172" s="742"/>
      <c r="AA2172" s="586"/>
      <c r="AB2172" s="586"/>
      <c r="AC2172" s="586"/>
      <c r="AD2172" s="586"/>
      <c r="AE2172" s="714"/>
      <c r="AF2172" s="570" t="s">
        <v>2899</v>
      </c>
      <c r="AG2172" s="570" t="s">
        <v>25</v>
      </c>
      <c r="AH2172" s="571" t="s">
        <v>25</v>
      </c>
      <c r="AI2172" s="731"/>
      <c r="AJ2172" s="572"/>
    </row>
    <row r="2173" spans="1:37" s="394" customFormat="1" ht="20.25" outlineLevel="2" x14ac:dyDescent="0.3">
      <c r="A2173" s="447">
        <v>182</v>
      </c>
      <c r="B2173" s="572"/>
      <c r="C2173" s="572"/>
      <c r="D2173" s="612"/>
      <c r="E2173" s="612"/>
      <c r="F2173" s="586"/>
      <c r="G2173" s="709"/>
      <c r="H2173" s="546"/>
      <c r="I2173" s="563" t="s">
        <v>25</v>
      </c>
      <c r="J2173" s="563" t="s">
        <v>25</v>
      </c>
      <c r="K2173" s="564" t="s">
        <v>25</v>
      </c>
      <c r="L2173" s="564" t="s">
        <v>25</v>
      </c>
      <c r="M2173" s="572"/>
      <c r="N2173" s="572"/>
      <c r="O2173" s="740"/>
      <c r="P2173" s="564" t="s">
        <v>25</v>
      </c>
      <c r="Q2173" s="564" t="s">
        <v>25</v>
      </c>
      <c r="R2173" s="566"/>
      <c r="S2173" s="609"/>
      <c r="T2173" s="741"/>
      <c r="U2173" s="586"/>
      <c r="V2173" s="564" t="s">
        <v>2899</v>
      </c>
      <c r="W2173" s="564" t="s">
        <v>25</v>
      </c>
      <c r="X2173" s="650"/>
      <c r="Y2173" s="586"/>
      <c r="Z2173" s="742"/>
      <c r="AA2173" s="586"/>
      <c r="AB2173" s="586"/>
      <c r="AC2173" s="586"/>
      <c r="AD2173" s="586"/>
      <c r="AE2173" s="714"/>
      <c r="AF2173" s="570" t="s">
        <v>2899</v>
      </c>
      <c r="AG2173" s="570" t="s">
        <v>25</v>
      </c>
      <c r="AH2173" s="571" t="s">
        <v>25</v>
      </c>
      <c r="AI2173" s="731"/>
      <c r="AJ2173" s="572"/>
    </row>
    <row r="2174" spans="1:37" s="394" customFormat="1" ht="20.25" outlineLevel="2" x14ac:dyDescent="0.3">
      <c r="A2174" s="447">
        <v>182</v>
      </c>
      <c r="B2174" s="572"/>
      <c r="C2174" s="572"/>
      <c r="D2174" s="612"/>
      <c r="E2174" s="612"/>
      <c r="F2174" s="586"/>
      <c r="G2174" s="709"/>
      <c r="H2174" s="546"/>
      <c r="I2174" s="563" t="s">
        <v>25</v>
      </c>
      <c r="J2174" s="563" t="s">
        <v>25</v>
      </c>
      <c r="K2174" s="564" t="s">
        <v>25</v>
      </c>
      <c r="L2174" s="564" t="s">
        <v>25</v>
      </c>
      <c r="M2174" s="572"/>
      <c r="N2174" s="572"/>
      <c r="O2174" s="740"/>
      <c r="P2174" s="564" t="s">
        <v>25</v>
      </c>
      <c r="Q2174" s="564" t="s">
        <v>25</v>
      </c>
      <c r="R2174" s="566"/>
      <c r="S2174" s="609"/>
      <c r="T2174" s="741"/>
      <c r="U2174" s="586"/>
      <c r="V2174" s="564" t="s">
        <v>2899</v>
      </c>
      <c r="W2174" s="564" t="s">
        <v>25</v>
      </c>
      <c r="X2174" s="650"/>
      <c r="Y2174" s="586"/>
      <c r="Z2174" s="742"/>
      <c r="AA2174" s="586"/>
      <c r="AB2174" s="586"/>
      <c r="AC2174" s="586"/>
      <c r="AD2174" s="586"/>
      <c r="AE2174" s="714"/>
      <c r="AF2174" s="570" t="s">
        <v>2899</v>
      </c>
      <c r="AG2174" s="570" t="s">
        <v>25</v>
      </c>
      <c r="AH2174" s="571" t="s">
        <v>25</v>
      </c>
      <c r="AI2174" s="572"/>
      <c r="AJ2174" s="572"/>
    </row>
    <row r="2175" spans="1:37" s="394" customFormat="1" ht="20.25" outlineLevel="2" x14ac:dyDescent="0.3">
      <c r="A2175" s="447">
        <v>182</v>
      </c>
      <c r="B2175" s="607"/>
      <c r="C2175" s="607"/>
      <c r="D2175" s="642"/>
      <c r="E2175" s="642"/>
      <c r="F2175" s="586"/>
      <c r="G2175" s="709"/>
      <c r="H2175" s="546"/>
      <c r="I2175" s="563" t="s">
        <v>25</v>
      </c>
      <c r="J2175" s="563" t="s">
        <v>25</v>
      </c>
      <c r="K2175" s="564" t="s">
        <v>25</v>
      </c>
      <c r="L2175" s="564" t="s">
        <v>25</v>
      </c>
      <c r="M2175" s="572"/>
      <c r="N2175" s="572"/>
      <c r="O2175" s="740"/>
      <c r="P2175" s="564" t="s">
        <v>25</v>
      </c>
      <c r="Q2175" s="564" t="s">
        <v>25</v>
      </c>
      <c r="R2175" s="566"/>
      <c r="S2175" s="609"/>
      <c r="T2175" s="741"/>
      <c r="U2175" s="586"/>
      <c r="V2175" s="564" t="s">
        <v>2899</v>
      </c>
      <c r="W2175" s="564" t="s">
        <v>25</v>
      </c>
      <c r="X2175" s="650"/>
      <c r="Y2175" s="586"/>
      <c r="Z2175" s="742"/>
      <c r="AA2175" s="586"/>
      <c r="AB2175" s="586"/>
      <c r="AC2175" s="586"/>
      <c r="AD2175" s="586"/>
      <c r="AE2175" s="714"/>
      <c r="AF2175" s="570" t="s">
        <v>2899</v>
      </c>
      <c r="AG2175" s="570" t="s">
        <v>25</v>
      </c>
      <c r="AH2175" s="571" t="s">
        <v>25</v>
      </c>
      <c r="AI2175" s="572"/>
      <c r="AJ2175" s="572"/>
    </row>
    <row r="2176" spans="1:37" s="396" customFormat="1" ht="40.5" outlineLevel="1" x14ac:dyDescent="0.25">
      <c r="A2176" s="467">
        <v>183</v>
      </c>
      <c r="B2176" s="607" t="s">
        <v>1457</v>
      </c>
      <c r="C2176" s="586" t="s">
        <v>2903</v>
      </c>
      <c r="D2176" s="612">
        <v>86</v>
      </c>
      <c r="E2176" s="612">
        <v>51</v>
      </c>
      <c r="F2176" s="578"/>
      <c r="G2176" s="707">
        <v>1320.4</v>
      </c>
      <c r="H2176" s="579">
        <v>1185.7</v>
      </c>
      <c r="I2176" s="581"/>
      <c r="J2176" s="581"/>
      <c r="K2176" s="571">
        <v>497527000</v>
      </c>
      <c r="L2176" s="571">
        <v>1340315000</v>
      </c>
      <c r="M2176" s="607"/>
      <c r="N2176" s="607"/>
      <c r="O2176" s="738">
        <v>935</v>
      </c>
      <c r="P2176" s="571"/>
      <c r="Q2176" s="571">
        <v>65281000</v>
      </c>
      <c r="R2176" s="582"/>
      <c r="S2176" s="621"/>
      <c r="T2176" s="739">
        <v>422.85</v>
      </c>
      <c r="U2176" s="578"/>
      <c r="V2176" s="571"/>
      <c r="W2176" s="571">
        <v>327418000</v>
      </c>
      <c r="X2176" s="683"/>
      <c r="Y2176" s="683"/>
      <c r="Z2176" s="683"/>
      <c r="AA2176" s="694"/>
      <c r="AB2176" s="586"/>
      <c r="AC2176" s="586"/>
      <c r="AD2176" s="578"/>
      <c r="AE2176" s="712">
        <f>SUBTOTAL(9,AE2177:AE2199)</f>
        <v>0</v>
      </c>
      <c r="AF2176" s="585"/>
      <c r="AG2176" s="585">
        <v>0</v>
      </c>
      <c r="AH2176" s="571">
        <v>2230541000</v>
      </c>
      <c r="AI2176" s="578"/>
      <c r="AJ2176" s="578"/>
      <c r="AK2176" s="430"/>
    </row>
    <row r="2177" spans="1:37" s="396" customFormat="1" ht="121.5" outlineLevel="2" x14ac:dyDescent="0.3">
      <c r="A2177" s="447">
        <v>183</v>
      </c>
      <c r="B2177" s="572" t="s">
        <v>1460</v>
      </c>
      <c r="C2177" s="572"/>
      <c r="D2177" s="612"/>
      <c r="E2177" s="612"/>
      <c r="F2177" s="586" t="s">
        <v>2433</v>
      </c>
      <c r="G2177" s="709">
        <v>1185.7</v>
      </c>
      <c r="H2177" s="546">
        <v>1185.7</v>
      </c>
      <c r="I2177" s="563">
        <v>376800</v>
      </c>
      <c r="J2177" s="563">
        <v>1130400</v>
      </c>
      <c r="K2177" s="564">
        <v>446772000</v>
      </c>
      <c r="L2177" s="564">
        <v>1340315000</v>
      </c>
      <c r="M2177" s="572" t="s">
        <v>61</v>
      </c>
      <c r="N2177" s="572"/>
      <c r="O2177" s="740">
        <v>22</v>
      </c>
      <c r="P2177" s="564">
        <v>1708000</v>
      </c>
      <c r="Q2177" s="564">
        <v>37576000</v>
      </c>
      <c r="R2177" s="566" t="s">
        <v>2391</v>
      </c>
      <c r="S2177" s="609" t="s">
        <v>1133</v>
      </c>
      <c r="T2177" s="741">
        <v>30</v>
      </c>
      <c r="U2177" s="586"/>
      <c r="V2177" s="564">
        <v>1044880</v>
      </c>
      <c r="W2177" s="564">
        <v>31346000</v>
      </c>
      <c r="X2177" s="683" t="s">
        <v>1263</v>
      </c>
      <c r="Y2177" s="683" t="s">
        <v>82</v>
      </c>
      <c r="Z2177" s="683" t="s">
        <v>1263</v>
      </c>
      <c r="AA2177" s="694" t="s">
        <v>143</v>
      </c>
      <c r="AB2177" s="586"/>
      <c r="AC2177" s="586"/>
      <c r="AD2177" s="586"/>
      <c r="AE2177" s="714"/>
      <c r="AF2177" s="570" t="s">
        <v>2899</v>
      </c>
      <c r="AG2177" s="570"/>
      <c r="AH2177" s="571" t="s">
        <v>25</v>
      </c>
      <c r="AI2177" s="586" t="s">
        <v>2398</v>
      </c>
      <c r="AJ2177" s="586" t="s">
        <v>2771</v>
      </c>
      <c r="AK2177" s="430"/>
    </row>
    <row r="2178" spans="1:37" s="394" customFormat="1" ht="121.5" outlineLevel="2" x14ac:dyDescent="0.3">
      <c r="A2178" s="447">
        <v>183</v>
      </c>
      <c r="B2178" s="572" t="s">
        <v>1635</v>
      </c>
      <c r="C2178" s="572"/>
      <c r="D2178" s="612"/>
      <c r="E2178" s="612"/>
      <c r="F2178" s="586" t="s">
        <v>2431</v>
      </c>
      <c r="G2178" s="709">
        <v>134.69999999999999</v>
      </c>
      <c r="H2178" s="546" t="s">
        <v>2899</v>
      </c>
      <c r="I2178" s="563">
        <v>376800</v>
      </c>
      <c r="J2178" s="563">
        <v>0</v>
      </c>
      <c r="K2178" s="564">
        <v>50755000</v>
      </c>
      <c r="L2178" s="564">
        <v>0</v>
      </c>
      <c r="M2178" s="572" t="s">
        <v>64</v>
      </c>
      <c r="N2178" s="572"/>
      <c r="O2178" s="740">
        <v>2</v>
      </c>
      <c r="P2178" s="564">
        <v>1122000</v>
      </c>
      <c r="Q2178" s="564">
        <v>2244000</v>
      </c>
      <c r="R2178" s="566" t="s">
        <v>1945</v>
      </c>
      <c r="S2178" s="609" t="s">
        <v>1133</v>
      </c>
      <c r="T2178" s="741">
        <v>6.16</v>
      </c>
      <c r="U2178" s="586"/>
      <c r="V2178" s="564">
        <v>770070</v>
      </c>
      <c r="W2178" s="564">
        <v>4744000</v>
      </c>
      <c r="X2178" s="683" t="s">
        <v>1263</v>
      </c>
      <c r="Y2178" s="683" t="s">
        <v>82</v>
      </c>
      <c r="Z2178" s="683" t="s">
        <v>1263</v>
      </c>
      <c r="AA2178" s="694" t="s">
        <v>143</v>
      </c>
      <c r="AB2178" s="586"/>
      <c r="AC2178" s="586"/>
      <c r="AD2178" s="586"/>
      <c r="AE2178" s="714"/>
      <c r="AF2178" s="570" t="s">
        <v>2899</v>
      </c>
      <c r="AG2178" s="570" t="s">
        <v>25</v>
      </c>
      <c r="AH2178" s="571" t="s">
        <v>25</v>
      </c>
      <c r="AI2178" s="586" t="s">
        <v>1465</v>
      </c>
      <c r="AJ2178" s="558" t="s">
        <v>2450</v>
      </c>
    </row>
    <row r="2179" spans="1:37" s="394" customFormat="1" ht="101.25" outlineLevel="2" x14ac:dyDescent="0.3">
      <c r="A2179" s="447">
        <v>183</v>
      </c>
      <c r="B2179" s="572"/>
      <c r="C2179" s="572"/>
      <c r="D2179" s="612"/>
      <c r="E2179" s="612"/>
      <c r="F2179" s="586"/>
      <c r="G2179" s="709"/>
      <c r="H2179" s="546"/>
      <c r="I2179" s="563" t="s">
        <v>25</v>
      </c>
      <c r="J2179" s="563" t="s">
        <v>25</v>
      </c>
      <c r="K2179" s="564" t="s">
        <v>25</v>
      </c>
      <c r="L2179" s="564" t="s">
        <v>25</v>
      </c>
      <c r="M2179" s="572" t="s">
        <v>932</v>
      </c>
      <c r="N2179" s="572"/>
      <c r="O2179" s="740">
        <v>4</v>
      </c>
      <c r="P2179" s="564">
        <v>84000</v>
      </c>
      <c r="Q2179" s="564">
        <v>336000</v>
      </c>
      <c r="R2179" s="566" t="s">
        <v>2391</v>
      </c>
      <c r="S2179" s="609" t="s">
        <v>1133</v>
      </c>
      <c r="T2179" s="741">
        <v>17.64</v>
      </c>
      <c r="U2179" s="586"/>
      <c r="V2179" s="564">
        <v>1044880</v>
      </c>
      <c r="W2179" s="564">
        <v>18432000</v>
      </c>
      <c r="X2179" s="683" t="s">
        <v>1263</v>
      </c>
      <c r="Y2179" s="683" t="s">
        <v>82</v>
      </c>
      <c r="Z2179" s="683" t="s">
        <v>1263</v>
      </c>
      <c r="AA2179" s="694" t="s">
        <v>143</v>
      </c>
      <c r="AB2179" s="586"/>
      <c r="AC2179" s="586"/>
      <c r="AD2179" s="586"/>
      <c r="AE2179" s="714"/>
      <c r="AF2179" s="570" t="s">
        <v>2899</v>
      </c>
      <c r="AG2179" s="570" t="s">
        <v>25</v>
      </c>
      <c r="AH2179" s="571" t="s">
        <v>25</v>
      </c>
      <c r="AI2179" s="586" t="s">
        <v>1267</v>
      </c>
      <c r="AJ2179" s="558" t="s">
        <v>2449</v>
      </c>
    </row>
    <row r="2180" spans="1:37" s="394" customFormat="1" ht="101.25" outlineLevel="2" x14ac:dyDescent="0.3">
      <c r="A2180" s="447">
        <v>183</v>
      </c>
      <c r="B2180" s="572"/>
      <c r="C2180" s="572"/>
      <c r="D2180" s="612"/>
      <c r="E2180" s="612"/>
      <c r="F2180" s="586"/>
      <c r="G2180" s="709"/>
      <c r="H2180" s="546"/>
      <c r="I2180" s="563" t="s">
        <v>25</v>
      </c>
      <c r="J2180" s="563" t="s">
        <v>25</v>
      </c>
      <c r="K2180" s="564" t="s">
        <v>25</v>
      </c>
      <c r="L2180" s="564" t="s">
        <v>25</v>
      </c>
      <c r="M2180" s="572" t="s">
        <v>355</v>
      </c>
      <c r="N2180" s="572"/>
      <c r="O2180" s="740">
        <v>1</v>
      </c>
      <c r="P2180" s="564">
        <v>979000</v>
      </c>
      <c r="Q2180" s="564">
        <v>979000</v>
      </c>
      <c r="R2180" s="566" t="s">
        <v>2391</v>
      </c>
      <c r="S2180" s="609" t="s">
        <v>1133</v>
      </c>
      <c r="T2180" s="741">
        <v>11.2</v>
      </c>
      <c r="U2180" s="586"/>
      <c r="V2180" s="564">
        <v>1044880</v>
      </c>
      <c r="W2180" s="564">
        <v>11703000</v>
      </c>
      <c r="X2180" s="683" t="s">
        <v>1263</v>
      </c>
      <c r="Y2180" s="683" t="s">
        <v>82</v>
      </c>
      <c r="Z2180" s="683" t="s">
        <v>1263</v>
      </c>
      <c r="AA2180" s="694" t="s">
        <v>143</v>
      </c>
      <c r="AB2180" s="586"/>
      <c r="AC2180" s="586"/>
      <c r="AD2180" s="586"/>
      <c r="AE2180" s="714"/>
      <c r="AF2180" s="570" t="s">
        <v>2899</v>
      </c>
      <c r="AG2180" s="570" t="s">
        <v>25</v>
      </c>
      <c r="AH2180" s="571" t="s">
        <v>25</v>
      </c>
      <c r="AI2180" s="731" t="s">
        <v>2074</v>
      </c>
      <c r="AJ2180" s="586" t="s">
        <v>2800</v>
      </c>
    </row>
    <row r="2181" spans="1:37" s="394" customFormat="1" ht="40.5" outlineLevel="2" x14ac:dyDescent="0.3">
      <c r="A2181" s="447">
        <v>183</v>
      </c>
      <c r="B2181" s="572"/>
      <c r="C2181" s="572"/>
      <c r="D2181" s="612"/>
      <c r="E2181" s="612"/>
      <c r="F2181" s="586"/>
      <c r="G2181" s="709"/>
      <c r="H2181" s="546"/>
      <c r="I2181" s="563" t="s">
        <v>25</v>
      </c>
      <c r="J2181" s="563" t="s">
        <v>25</v>
      </c>
      <c r="K2181" s="564" t="s">
        <v>25</v>
      </c>
      <c r="L2181" s="564" t="s">
        <v>25</v>
      </c>
      <c r="M2181" s="572" t="s">
        <v>145</v>
      </c>
      <c r="N2181" s="572"/>
      <c r="O2181" s="740">
        <v>3</v>
      </c>
      <c r="P2181" s="564">
        <v>4240000</v>
      </c>
      <c r="Q2181" s="564">
        <v>12720000</v>
      </c>
      <c r="R2181" s="566" t="s">
        <v>2391</v>
      </c>
      <c r="S2181" s="609" t="s">
        <v>1133</v>
      </c>
      <c r="T2181" s="741">
        <v>38.03</v>
      </c>
      <c r="U2181" s="586"/>
      <c r="V2181" s="564">
        <v>1044880</v>
      </c>
      <c r="W2181" s="564">
        <v>39737000</v>
      </c>
      <c r="X2181" s="683" t="s">
        <v>1263</v>
      </c>
      <c r="Y2181" s="683" t="s">
        <v>82</v>
      </c>
      <c r="Z2181" s="683" t="s">
        <v>1263</v>
      </c>
      <c r="AA2181" s="694" t="s">
        <v>143</v>
      </c>
      <c r="AB2181" s="586"/>
      <c r="AC2181" s="586"/>
      <c r="AD2181" s="586"/>
      <c r="AE2181" s="714"/>
      <c r="AF2181" s="570" t="s">
        <v>2899</v>
      </c>
      <c r="AG2181" s="570" t="s">
        <v>25</v>
      </c>
      <c r="AH2181" s="571" t="s">
        <v>25</v>
      </c>
      <c r="AI2181" s="731"/>
      <c r="AJ2181" s="586"/>
    </row>
    <row r="2182" spans="1:37" s="394" customFormat="1" ht="40.5" outlineLevel="2" x14ac:dyDescent="0.3">
      <c r="A2182" s="447">
        <v>183</v>
      </c>
      <c r="B2182" s="572"/>
      <c r="C2182" s="572"/>
      <c r="D2182" s="612"/>
      <c r="E2182" s="612"/>
      <c r="F2182" s="586"/>
      <c r="G2182" s="709"/>
      <c r="H2182" s="546"/>
      <c r="I2182" s="563" t="s">
        <v>25</v>
      </c>
      <c r="J2182" s="563" t="s">
        <v>25</v>
      </c>
      <c r="K2182" s="564" t="s">
        <v>25</v>
      </c>
      <c r="L2182" s="564" t="s">
        <v>25</v>
      </c>
      <c r="M2182" s="572" t="s">
        <v>1463</v>
      </c>
      <c r="N2182" s="572"/>
      <c r="O2182" s="740">
        <v>1</v>
      </c>
      <c r="P2182" s="564">
        <v>1200000</v>
      </c>
      <c r="Q2182" s="564">
        <v>1200000</v>
      </c>
      <c r="R2182" s="566" t="s">
        <v>2391</v>
      </c>
      <c r="S2182" s="609" t="s">
        <v>1133</v>
      </c>
      <c r="T2182" s="741">
        <v>37.019999999999996</v>
      </c>
      <c r="U2182" s="586"/>
      <c r="V2182" s="564">
        <v>1044880</v>
      </c>
      <c r="W2182" s="564">
        <v>38681000</v>
      </c>
      <c r="X2182" s="683" t="s">
        <v>1263</v>
      </c>
      <c r="Y2182" s="683" t="s">
        <v>82</v>
      </c>
      <c r="Z2182" s="683" t="s">
        <v>1263</v>
      </c>
      <c r="AA2182" s="694" t="s">
        <v>143</v>
      </c>
      <c r="AB2182" s="586"/>
      <c r="AC2182" s="586"/>
      <c r="AD2182" s="586"/>
      <c r="AE2182" s="714"/>
      <c r="AF2182" s="570" t="s">
        <v>2899</v>
      </c>
      <c r="AG2182" s="570" t="s">
        <v>25</v>
      </c>
      <c r="AH2182" s="571" t="s">
        <v>25</v>
      </c>
      <c r="AI2182" s="586"/>
      <c r="AJ2182" s="586"/>
    </row>
    <row r="2183" spans="1:37" s="394" customFormat="1" ht="60.75" outlineLevel="2" x14ac:dyDescent="0.3">
      <c r="A2183" s="447">
        <v>183</v>
      </c>
      <c r="B2183" s="572"/>
      <c r="C2183" s="572"/>
      <c r="D2183" s="612"/>
      <c r="E2183" s="612"/>
      <c r="F2183" s="586"/>
      <c r="G2183" s="709"/>
      <c r="H2183" s="546"/>
      <c r="I2183" s="563" t="s">
        <v>25</v>
      </c>
      <c r="J2183" s="563" t="s">
        <v>25</v>
      </c>
      <c r="K2183" s="564" t="s">
        <v>25</v>
      </c>
      <c r="L2183" s="564" t="s">
        <v>25</v>
      </c>
      <c r="M2183" s="572" t="s">
        <v>1464</v>
      </c>
      <c r="N2183" s="572"/>
      <c r="O2183" s="740">
        <v>1</v>
      </c>
      <c r="P2183" s="564">
        <v>920000</v>
      </c>
      <c r="Q2183" s="564">
        <v>920000</v>
      </c>
      <c r="R2183" s="566" t="s">
        <v>2392</v>
      </c>
      <c r="S2183" s="609" t="s">
        <v>1133</v>
      </c>
      <c r="T2183" s="741">
        <v>10.54</v>
      </c>
      <c r="U2183" s="586"/>
      <c r="V2183" s="564">
        <v>0</v>
      </c>
      <c r="W2183" s="564">
        <v>0</v>
      </c>
      <c r="X2183" s="650"/>
      <c r="Y2183" s="586"/>
      <c r="Z2183" s="742"/>
      <c r="AA2183" s="586"/>
      <c r="AB2183" s="586"/>
      <c r="AC2183" s="586"/>
      <c r="AD2183" s="586"/>
      <c r="AE2183" s="714"/>
      <c r="AF2183" s="570" t="s">
        <v>2899</v>
      </c>
      <c r="AG2183" s="570" t="s">
        <v>25</v>
      </c>
      <c r="AH2183" s="571" t="s">
        <v>25</v>
      </c>
      <c r="AI2183" s="731"/>
      <c r="AJ2183" s="586"/>
    </row>
    <row r="2184" spans="1:37" s="394" customFormat="1" ht="121.5" outlineLevel="2" x14ac:dyDescent="0.3">
      <c r="A2184" s="447">
        <v>183</v>
      </c>
      <c r="B2184" s="572"/>
      <c r="C2184" s="572"/>
      <c r="D2184" s="612"/>
      <c r="E2184" s="612"/>
      <c r="F2184" s="586"/>
      <c r="G2184" s="709"/>
      <c r="H2184" s="546"/>
      <c r="I2184" s="563" t="s">
        <v>25</v>
      </c>
      <c r="J2184" s="563" t="s">
        <v>25</v>
      </c>
      <c r="K2184" s="564" t="s">
        <v>25</v>
      </c>
      <c r="L2184" s="564" t="s">
        <v>25</v>
      </c>
      <c r="M2184" s="572" t="s">
        <v>1466</v>
      </c>
      <c r="N2184" s="572"/>
      <c r="O2184" s="740">
        <v>1</v>
      </c>
      <c r="P2184" s="564">
        <v>605000</v>
      </c>
      <c r="Q2184" s="564">
        <v>605000</v>
      </c>
      <c r="R2184" s="572" t="s">
        <v>2393</v>
      </c>
      <c r="S2184" s="609" t="s">
        <v>1133</v>
      </c>
      <c r="T2184" s="741">
        <v>2.21</v>
      </c>
      <c r="U2184" s="586"/>
      <c r="V2184" s="564">
        <v>7741709</v>
      </c>
      <c r="W2184" s="564">
        <v>17109000</v>
      </c>
      <c r="X2184" s="650"/>
      <c r="Y2184" s="586"/>
      <c r="Z2184" s="742"/>
      <c r="AA2184" s="586"/>
      <c r="AB2184" s="586"/>
      <c r="AC2184" s="586"/>
      <c r="AD2184" s="586"/>
      <c r="AE2184" s="714"/>
      <c r="AF2184" s="570" t="s">
        <v>2899</v>
      </c>
      <c r="AG2184" s="570" t="s">
        <v>25</v>
      </c>
      <c r="AH2184" s="571" t="s">
        <v>25</v>
      </c>
      <c r="AI2184" s="586"/>
      <c r="AJ2184" s="586"/>
    </row>
    <row r="2185" spans="1:37" s="394" customFormat="1" ht="121.5" outlineLevel="2" x14ac:dyDescent="0.3">
      <c r="A2185" s="447">
        <v>183</v>
      </c>
      <c r="B2185" s="572"/>
      <c r="C2185" s="572"/>
      <c r="D2185" s="612"/>
      <c r="E2185" s="612"/>
      <c r="F2185" s="586"/>
      <c r="G2185" s="709"/>
      <c r="H2185" s="546"/>
      <c r="I2185" s="563" t="s">
        <v>25</v>
      </c>
      <c r="J2185" s="563" t="s">
        <v>25</v>
      </c>
      <c r="K2185" s="564" t="s">
        <v>25</v>
      </c>
      <c r="L2185" s="564" t="s">
        <v>25</v>
      </c>
      <c r="M2185" s="572" t="s">
        <v>1467</v>
      </c>
      <c r="N2185" s="572"/>
      <c r="O2185" s="740">
        <v>1</v>
      </c>
      <c r="P2185" s="564">
        <v>294000</v>
      </c>
      <c r="Q2185" s="564">
        <v>294000</v>
      </c>
      <c r="R2185" s="572" t="s">
        <v>2394</v>
      </c>
      <c r="S2185" s="609" t="s">
        <v>1133</v>
      </c>
      <c r="T2185" s="741">
        <v>2.8499999999999996</v>
      </c>
      <c r="U2185" s="586"/>
      <c r="V2185" s="564">
        <v>2093161</v>
      </c>
      <c r="W2185" s="564">
        <v>5966000</v>
      </c>
      <c r="X2185" s="650"/>
      <c r="Y2185" s="586"/>
      <c r="Z2185" s="742"/>
      <c r="AA2185" s="586"/>
      <c r="AB2185" s="586"/>
      <c r="AC2185" s="586"/>
      <c r="AD2185" s="586"/>
      <c r="AE2185" s="714"/>
      <c r="AF2185" s="570" t="s">
        <v>2899</v>
      </c>
      <c r="AG2185" s="570" t="s">
        <v>25</v>
      </c>
      <c r="AH2185" s="571" t="s">
        <v>25</v>
      </c>
      <c r="AI2185" s="586"/>
      <c r="AJ2185" s="586"/>
    </row>
    <row r="2186" spans="1:37" s="394" customFormat="1" ht="101.25" outlineLevel="2" x14ac:dyDescent="0.3">
      <c r="A2186" s="447">
        <v>183</v>
      </c>
      <c r="B2186" s="572"/>
      <c r="C2186" s="572"/>
      <c r="D2186" s="612"/>
      <c r="E2186" s="612"/>
      <c r="F2186" s="586"/>
      <c r="G2186" s="709"/>
      <c r="H2186" s="546"/>
      <c r="I2186" s="563" t="s">
        <v>25</v>
      </c>
      <c r="J2186" s="563" t="s">
        <v>25</v>
      </c>
      <c r="K2186" s="564" t="s">
        <v>25</v>
      </c>
      <c r="L2186" s="564" t="s">
        <v>25</v>
      </c>
      <c r="M2186" s="572" t="s">
        <v>1353</v>
      </c>
      <c r="N2186" s="572"/>
      <c r="O2186" s="740">
        <v>2</v>
      </c>
      <c r="P2186" s="564">
        <v>1713000</v>
      </c>
      <c r="Q2186" s="564">
        <v>3426000</v>
      </c>
      <c r="R2186" s="572" t="s">
        <v>2395</v>
      </c>
      <c r="S2186" s="609" t="s">
        <v>1133</v>
      </c>
      <c r="T2186" s="741">
        <v>133.19999999999999</v>
      </c>
      <c r="U2186" s="586"/>
      <c r="V2186" s="564">
        <v>738254</v>
      </c>
      <c r="W2186" s="564">
        <v>98335000</v>
      </c>
      <c r="X2186" s="650"/>
      <c r="Y2186" s="586"/>
      <c r="Z2186" s="742"/>
      <c r="AA2186" s="586"/>
      <c r="AB2186" s="586"/>
      <c r="AC2186" s="586"/>
      <c r="AD2186" s="586"/>
      <c r="AE2186" s="714"/>
      <c r="AF2186" s="570" t="s">
        <v>2899</v>
      </c>
      <c r="AG2186" s="570" t="s">
        <v>25</v>
      </c>
      <c r="AH2186" s="571" t="s">
        <v>25</v>
      </c>
      <c r="AI2186" s="586"/>
      <c r="AJ2186" s="586"/>
    </row>
    <row r="2187" spans="1:37" s="394" customFormat="1" ht="101.25" outlineLevel="2" x14ac:dyDescent="0.3">
      <c r="A2187" s="447">
        <v>183</v>
      </c>
      <c r="B2187" s="572"/>
      <c r="C2187" s="572"/>
      <c r="D2187" s="612"/>
      <c r="E2187" s="612"/>
      <c r="F2187" s="586"/>
      <c r="G2187" s="709"/>
      <c r="H2187" s="546"/>
      <c r="I2187" s="563" t="s">
        <v>25</v>
      </c>
      <c r="J2187" s="563" t="s">
        <v>25</v>
      </c>
      <c r="K2187" s="564" t="s">
        <v>25</v>
      </c>
      <c r="L2187" s="564" t="s">
        <v>25</v>
      </c>
      <c r="M2187" s="572" t="s">
        <v>1431</v>
      </c>
      <c r="N2187" s="572"/>
      <c r="O2187" s="740">
        <v>1</v>
      </c>
      <c r="P2187" s="564">
        <v>165000</v>
      </c>
      <c r="Q2187" s="564">
        <v>165000</v>
      </c>
      <c r="R2187" s="572" t="s">
        <v>2396</v>
      </c>
      <c r="S2187" s="609" t="s">
        <v>1133</v>
      </c>
      <c r="T2187" s="741">
        <v>11</v>
      </c>
      <c r="U2187" s="586"/>
      <c r="V2187" s="564">
        <v>642264</v>
      </c>
      <c r="W2187" s="564">
        <v>7065000</v>
      </c>
      <c r="X2187" s="650"/>
      <c r="Y2187" s="586"/>
      <c r="Z2187" s="742"/>
      <c r="AA2187" s="586"/>
      <c r="AB2187" s="586"/>
      <c r="AC2187" s="586"/>
      <c r="AD2187" s="586"/>
      <c r="AE2187" s="714"/>
      <c r="AF2187" s="570" t="s">
        <v>2899</v>
      </c>
      <c r="AG2187" s="570" t="s">
        <v>25</v>
      </c>
      <c r="AH2187" s="571" t="s">
        <v>25</v>
      </c>
      <c r="AI2187" s="586"/>
      <c r="AJ2187" s="586"/>
    </row>
    <row r="2188" spans="1:37" s="394" customFormat="1" ht="101.25" outlineLevel="2" x14ac:dyDescent="0.3">
      <c r="A2188" s="447">
        <v>183</v>
      </c>
      <c r="B2188" s="572"/>
      <c r="C2188" s="572"/>
      <c r="D2188" s="612"/>
      <c r="E2188" s="612"/>
      <c r="F2188" s="586"/>
      <c r="G2188" s="709"/>
      <c r="H2188" s="546"/>
      <c r="I2188" s="563" t="s">
        <v>25</v>
      </c>
      <c r="J2188" s="563" t="s">
        <v>25</v>
      </c>
      <c r="K2188" s="564" t="s">
        <v>25</v>
      </c>
      <c r="L2188" s="564" t="s">
        <v>25</v>
      </c>
      <c r="M2188" s="572" t="s">
        <v>727</v>
      </c>
      <c r="N2188" s="572"/>
      <c r="O2188" s="740">
        <v>1</v>
      </c>
      <c r="P2188" s="564">
        <v>32000</v>
      </c>
      <c r="Q2188" s="564">
        <v>32000</v>
      </c>
      <c r="R2188" s="572" t="s">
        <v>2397</v>
      </c>
      <c r="S2188" s="609" t="s">
        <v>1133</v>
      </c>
      <c r="T2188" s="741">
        <v>123</v>
      </c>
      <c r="U2188" s="586"/>
      <c r="V2188" s="564">
        <v>441467</v>
      </c>
      <c r="W2188" s="564">
        <v>54300000</v>
      </c>
      <c r="X2188" s="650"/>
      <c r="Y2188" s="586"/>
      <c r="Z2188" s="742"/>
      <c r="AA2188" s="586"/>
      <c r="AB2188" s="586"/>
      <c r="AC2188" s="586"/>
      <c r="AD2188" s="586"/>
      <c r="AE2188" s="714"/>
      <c r="AF2188" s="570" t="s">
        <v>2899</v>
      </c>
      <c r="AG2188" s="570" t="s">
        <v>25</v>
      </c>
      <c r="AH2188" s="571" t="s">
        <v>25</v>
      </c>
      <c r="AI2188" s="586"/>
      <c r="AJ2188" s="586"/>
    </row>
    <row r="2189" spans="1:37" s="394" customFormat="1" ht="20.25" outlineLevel="2" x14ac:dyDescent="0.3">
      <c r="A2189" s="447">
        <v>183</v>
      </c>
      <c r="B2189" s="572"/>
      <c r="C2189" s="572"/>
      <c r="D2189" s="612"/>
      <c r="E2189" s="612"/>
      <c r="F2189" s="586"/>
      <c r="G2189" s="709"/>
      <c r="H2189" s="546"/>
      <c r="I2189" s="563" t="s">
        <v>25</v>
      </c>
      <c r="J2189" s="563" t="s">
        <v>25</v>
      </c>
      <c r="K2189" s="564" t="s">
        <v>25</v>
      </c>
      <c r="L2189" s="564" t="s">
        <v>25</v>
      </c>
      <c r="M2189" s="572" t="s">
        <v>754</v>
      </c>
      <c r="N2189" s="572"/>
      <c r="O2189" s="740">
        <v>6</v>
      </c>
      <c r="P2189" s="564">
        <v>0</v>
      </c>
      <c r="Q2189" s="564">
        <v>0</v>
      </c>
      <c r="R2189" s="572"/>
      <c r="S2189" s="609"/>
      <c r="T2189" s="741"/>
      <c r="U2189" s="586"/>
      <c r="V2189" s="564" t="s">
        <v>2899</v>
      </c>
      <c r="W2189" s="564" t="s">
        <v>25</v>
      </c>
      <c r="X2189" s="650"/>
      <c r="Y2189" s="586"/>
      <c r="Z2189" s="742"/>
      <c r="AA2189" s="586"/>
      <c r="AB2189" s="586"/>
      <c r="AC2189" s="586"/>
      <c r="AD2189" s="586"/>
      <c r="AE2189" s="714"/>
      <c r="AF2189" s="570" t="s">
        <v>2899</v>
      </c>
      <c r="AG2189" s="570" t="s">
        <v>25</v>
      </c>
      <c r="AH2189" s="571" t="s">
        <v>25</v>
      </c>
      <c r="AI2189" s="586"/>
      <c r="AJ2189" s="586"/>
    </row>
    <row r="2190" spans="1:37" s="394" customFormat="1" ht="20.25" outlineLevel="2" x14ac:dyDescent="0.3">
      <c r="A2190" s="447">
        <v>183</v>
      </c>
      <c r="B2190" s="572"/>
      <c r="C2190" s="572"/>
      <c r="D2190" s="612"/>
      <c r="E2190" s="612"/>
      <c r="F2190" s="586"/>
      <c r="G2190" s="709"/>
      <c r="H2190" s="546"/>
      <c r="I2190" s="563" t="s">
        <v>25</v>
      </c>
      <c r="J2190" s="563" t="s">
        <v>25</v>
      </c>
      <c r="K2190" s="564" t="s">
        <v>25</v>
      </c>
      <c r="L2190" s="564" t="s">
        <v>25</v>
      </c>
      <c r="M2190" s="572" t="s">
        <v>744</v>
      </c>
      <c r="N2190" s="572"/>
      <c r="O2190" s="740">
        <v>1</v>
      </c>
      <c r="P2190" s="564">
        <v>0</v>
      </c>
      <c r="Q2190" s="564">
        <v>0</v>
      </c>
      <c r="R2190" s="572"/>
      <c r="S2190" s="609"/>
      <c r="T2190" s="741"/>
      <c r="U2190" s="586"/>
      <c r="V2190" s="564" t="s">
        <v>2899</v>
      </c>
      <c r="W2190" s="564" t="s">
        <v>25</v>
      </c>
      <c r="X2190" s="650"/>
      <c r="Y2190" s="586"/>
      <c r="Z2190" s="742"/>
      <c r="AA2190" s="586"/>
      <c r="AB2190" s="586"/>
      <c r="AC2190" s="586"/>
      <c r="AD2190" s="586"/>
      <c r="AE2190" s="714"/>
      <c r="AF2190" s="570" t="s">
        <v>2899</v>
      </c>
      <c r="AG2190" s="570" t="s">
        <v>25</v>
      </c>
      <c r="AH2190" s="571" t="s">
        <v>25</v>
      </c>
      <c r="AI2190" s="586"/>
      <c r="AJ2190" s="586"/>
    </row>
    <row r="2191" spans="1:37" s="394" customFormat="1" ht="60.75" outlineLevel="2" x14ac:dyDescent="0.3">
      <c r="A2191" s="447">
        <v>183</v>
      </c>
      <c r="B2191" s="572"/>
      <c r="C2191" s="572"/>
      <c r="D2191" s="612"/>
      <c r="E2191" s="612"/>
      <c r="F2191" s="586"/>
      <c r="G2191" s="709"/>
      <c r="H2191" s="546"/>
      <c r="I2191" s="563" t="s">
        <v>25</v>
      </c>
      <c r="J2191" s="563" t="s">
        <v>25</v>
      </c>
      <c r="K2191" s="564" t="s">
        <v>25</v>
      </c>
      <c r="L2191" s="564" t="s">
        <v>25</v>
      </c>
      <c r="M2191" s="565" t="s">
        <v>429</v>
      </c>
      <c r="N2191" s="565"/>
      <c r="O2191" s="740">
        <v>32</v>
      </c>
      <c r="P2191" s="564">
        <v>12000</v>
      </c>
      <c r="Q2191" s="564">
        <v>384000</v>
      </c>
      <c r="R2191" s="572"/>
      <c r="S2191" s="609"/>
      <c r="T2191" s="741"/>
      <c r="U2191" s="586"/>
      <c r="V2191" s="564" t="s">
        <v>2899</v>
      </c>
      <c r="W2191" s="564" t="s">
        <v>25</v>
      </c>
      <c r="X2191" s="650"/>
      <c r="Y2191" s="586"/>
      <c r="Z2191" s="742"/>
      <c r="AA2191" s="586"/>
      <c r="AB2191" s="586"/>
      <c r="AC2191" s="586"/>
      <c r="AD2191" s="586"/>
      <c r="AE2191" s="714"/>
      <c r="AF2191" s="570" t="s">
        <v>2899</v>
      </c>
      <c r="AG2191" s="570" t="s">
        <v>25</v>
      </c>
      <c r="AH2191" s="571" t="s">
        <v>25</v>
      </c>
      <c r="AI2191" s="586"/>
      <c r="AJ2191" s="586"/>
    </row>
    <row r="2192" spans="1:37" s="394" customFormat="1" ht="40.5" outlineLevel="2" x14ac:dyDescent="0.3">
      <c r="A2192" s="447">
        <v>183</v>
      </c>
      <c r="B2192" s="572"/>
      <c r="C2192" s="572"/>
      <c r="D2192" s="612"/>
      <c r="E2192" s="612"/>
      <c r="F2192" s="586"/>
      <c r="G2192" s="709"/>
      <c r="H2192" s="546"/>
      <c r="I2192" s="563" t="s">
        <v>25</v>
      </c>
      <c r="J2192" s="563" t="s">
        <v>25</v>
      </c>
      <c r="K2192" s="564" t="s">
        <v>25</v>
      </c>
      <c r="L2192" s="564" t="s">
        <v>25</v>
      </c>
      <c r="M2192" s="572" t="s">
        <v>1427</v>
      </c>
      <c r="N2192" s="572"/>
      <c r="O2192" s="740">
        <v>2</v>
      </c>
      <c r="P2192" s="564">
        <v>360000</v>
      </c>
      <c r="Q2192" s="564">
        <v>720000</v>
      </c>
      <c r="R2192" s="572"/>
      <c r="S2192" s="609"/>
      <c r="T2192" s="741"/>
      <c r="U2192" s="586"/>
      <c r="V2192" s="564" t="s">
        <v>2899</v>
      </c>
      <c r="W2192" s="564" t="s">
        <v>25</v>
      </c>
      <c r="X2192" s="650"/>
      <c r="Y2192" s="586"/>
      <c r="Z2192" s="742"/>
      <c r="AA2192" s="586"/>
      <c r="AB2192" s="586"/>
      <c r="AC2192" s="586"/>
      <c r="AD2192" s="586"/>
      <c r="AE2192" s="714"/>
      <c r="AF2192" s="570" t="s">
        <v>2899</v>
      </c>
      <c r="AG2192" s="570" t="s">
        <v>25</v>
      </c>
      <c r="AH2192" s="571" t="s">
        <v>25</v>
      </c>
      <c r="AI2192" s="586"/>
      <c r="AJ2192" s="586"/>
    </row>
    <row r="2193" spans="1:36" s="394" customFormat="1" ht="40.5" outlineLevel="2" x14ac:dyDescent="0.3">
      <c r="A2193" s="447">
        <v>183</v>
      </c>
      <c r="B2193" s="572"/>
      <c r="C2193" s="572"/>
      <c r="D2193" s="612"/>
      <c r="E2193" s="612"/>
      <c r="F2193" s="586"/>
      <c r="G2193" s="709"/>
      <c r="H2193" s="546"/>
      <c r="I2193" s="563" t="s">
        <v>25</v>
      </c>
      <c r="J2193" s="563" t="s">
        <v>25</v>
      </c>
      <c r="K2193" s="564" t="s">
        <v>25</v>
      </c>
      <c r="L2193" s="564" t="s">
        <v>25</v>
      </c>
      <c r="M2193" s="572" t="s">
        <v>401</v>
      </c>
      <c r="N2193" s="572"/>
      <c r="O2193" s="740">
        <v>46</v>
      </c>
      <c r="P2193" s="564">
        <v>80000</v>
      </c>
      <c r="Q2193" s="564">
        <v>3680000</v>
      </c>
      <c r="R2193" s="572"/>
      <c r="S2193" s="609"/>
      <c r="T2193" s="741"/>
      <c r="U2193" s="586"/>
      <c r="V2193" s="564" t="s">
        <v>2899</v>
      </c>
      <c r="W2193" s="564" t="s">
        <v>25</v>
      </c>
      <c r="X2193" s="650"/>
      <c r="Y2193" s="586"/>
      <c r="Z2193" s="742"/>
      <c r="AA2193" s="586"/>
      <c r="AB2193" s="586"/>
      <c r="AC2193" s="586"/>
      <c r="AD2193" s="586"/>
      <c r="AE2193" s="714"/>
      <c r="AF2193" s="570" t="s">
        <v>2899</v>
      </c>
      <c r="AG2193" s="570" t="s">
        <v>25</v>
      </c>
      <c r="AH2193" s="571" t="s">
        <v>25</v>
      </c>
      <c r="AI2193" s="586"/>
      <c r="AJ2193" s="586"/>
    </row>
    <row r="2194" spans="1:36" s="394" customFormat="1" ht="60.75" outlineLevel="2" x14ac:dyDescent="0.3">
      <c r="A2194" s="447">
        <v>183</v>
      </c>
      <c r="B2194" s="572"/>
      <c r="C2194" s="572"/>
      <c r="D2194" s="612"/>
      <c r="E2194" s="612"/>
      <c r="F2194" s="586"/>
      <c r="G2194" s="709"/>
      <c r="H2194" s="546"/>
      <c r="I2194" s="563" t="s">
        <v>25</v>
      </c>
      <c r="J2194" s="563" t="s">
        <v>25</v>
      </c>
      <c r="K2194" s="564" t="s">
        <v>25</v>
      </c>
      <c r="L2194" s="564" t="s">
        <v>25</v>
      </c>
      <c r="M2194" s="572" t="s">
        <v>1468</v>
      </c>
      <c r="N2194" s="572"/>
      <c r="O2194" s="740">
        <v>808</v>
      </c>
      <c r="P2194" s="564">
        <v>0</v>
      </c>
      <c r="Q2194" s="564">
        <v>0</v>
      </c>
      <c r="R2194" s="572"/>
      <c r="S2194" s="609"/>
      <c r="T2194" s="741"/>
      <c r="U2194" s="586"/>
      <c r="V2194" s="564" t="s">
        <v>2899</v>
      </c>
      <c r="W2194" s="564" t="s">
        <v>25</v>
      </c>
      <c r="X2194" s="650"/>
      <c r="Y2194" s="586"/>
      <c r="Z2194" s="742"/>
      <c r="AA2194" s="586"/>
      <c r="AB2194" s="586"/>
      <c r="AC2194" s="586"/>
      <c r="AD2194" s="586"/>
      <c r="AE2194" s="714"/>
      <c r="AF2194" s="570" t="s">
        <v>2899</v>
      </c>
      <c r="AG2194" s="570" t="s">
        <v>25</v>
      </c>
      <c r="AH2194" s="571" t="s">
        <v>25</v>
      </c>
      <c r="AI2194" s="586"/>
      <c r="AJ2194" s="586"/>
    </row>
    <row r="2195" spans="1:36" s="394" customFormat="1" ht="20.25" outlineLevel="2" x14ac:dyDescent="0.3">
      <c r="A2195" s="447">
        <v>183</v>
      </c>
      <c r="B2195" s="572"/>
      <c r="C2195" s="572"/>
      <c r="D2195" s="612"/>
      <c r="E2195" s="612"/>
      <c r="F2195" s="586"/>
      <c r="G2195" s="709"/>
      <c r="H2195" s="546"/>
      <c r="I2195" s="563" t="s">
        <v>25</v>
      </c>
      <c r="J2195" s="563" t="s">
        <v>25</v>
      </c>
      <c r="K2195" s="564" t="s">
        <v>25</v>
      </c>
      <c r="L2195" s="564" t="s">
        <v>25</v>
      </c>
      <c r="M2195" s="572"/>
      <c r="N2195" s="572"/>
      <c r="O2195" s="740"/>
      <c r="P2195" s="564" t="s">
        <v>25</v>
      </c>
      <c r="Q2195" s="564" t="s">
        <v>25</v>
      </c>
      <c r="R2195" s="572"/>
      <c r="S2195" s="609"/>
      <c r="T2195" s="741"/>
      <c r="U2195" s="586"/>
      <c r="V2195" s="564" t="s">
        <v>2899</v>
      </c>
      <c r="W2195" s="564" t="s">
        <v>25</v>
      </c>
      <c r="X2195" s="650"/>
      <c r="Y2195" s="586"/>
      <c r="Z2195" s="742"/>
      <c r="AA2195" s="586"/>
      <c r="AB2195" s="586"/>
      <c r="AC2195" s="586"/>
      <c r="AD2195" s="586"/>
      <c r="AE2195" s="714"/>
      <c r="AF2195" s="570" t="s">
        <v>2899</v>
      </c>
      <c r="AG2195" s="570" t="s">
        <v>25</v>
      </c>
      <c r="AH2195" s="571" t="s">
        <v>25</v>
      </c>
      <c r="AI2195" s="586"/>
      <c r="AJ2195" s="586"/>
    </row>
    <row r="2196" spans="1:36" s="394" customFormat="1" ht="20.25" outlineLevel="2" x14ac:dyDescent="0.3">
      <c r="A2196" s="447">
        <v>183</v>
      </c>
      <c r="B2196" s="572"/>
      <c r="C2196" s="572"/>
      <c r="D2196" s="612"/>
      <c r="E2196" s="612"/>
      <c r="F2196" s="586"/>
      <c r="G2196" s="709"/>
      <c r="H2196" s="546"/>
      <c r="I2196" s="563" t="s">
        <v>25</v>
      </c>
      <c r="J2196" s="563" t="s">
        <v>25</v>
      </c>
      <c r="K2196" s="564" t="s">
        <v>25</v>
      </c>
      <c r="L2196" s="564" t="s">
        <v>25</v>
      </c>
      <c r="M2196" s="572"/>
      <c r="N2196" s="572"/>
      <c r="O2196" s="740"/>
      <c r="P2196" s="564" t="s">
        <v>25</v>
      </c>
      <c r="Q2196" s="564" t="s">
        <v>25</v>
      </c>
      <c r="R2196" s="572"/>
      <c r="S2196" s="609"/>
      <c r="T2196" s="741"/>
      <c r="U2196" s="586"/>
      <c r="V2196" s="564" t="s">
        <v>2899</v>
      </c>
      <c r="W2196" s="564" t="s">
        <v>25</v>
      </c>
      <c r="X2196" s="650"/>
      <c r="Y2196" s="586"/>
      <c r="Z2196" s="742"/>
      <c r="AA2196" s="586"/>
      <c r="AB2196" s="586"/>
      <c r="AC2196" s="586"/>
      <c r="AD2196" s="586"/>
      <c r="AE2196" s="714"/>
      <c r="AF2196" s="570" t="s">
        <v>2899</v>
      </c>
      <c r="AG2196" s="570" t="s">
        <v>25</v>
      </c>
      <c r="AH2196" s="571" t="s">
        <v>25</v>
      </c>
      <c r="AI2196" s="558"/>
      <c r="AJ2196" s="558"/>
    </row>
    <row r="2197" spans="1:36" s="394" customFormat="1" ht="20.25" outlineLevel="2" x14ac:dyDescent="0.3">
      <c r="A2197" s="447">
        <v>183</v>
      </c>
      <c r="B2197" s="572"/>
      <c r="C2197" s="572"/>
      <c r="D2197" s="612"/>
      <c r="E2197" s="612"/>
      <c r="F2197" s="586"/>
      <c r="G2197" s="709"/>
      <c r="H2197" s="546"/>
      <c r="I2197" s="563" t="s">
        <v>25</v>
      </c>
      <c r="J2197" s="563" t="s">
        <v>25</v>
      </c>
      <c r="K2197" s="564" t="s">
        <v>25</v>
      </c>
      <c r="L2197" s="564" t="s">
        <v>25</v>
      </c>
      <c r="M2197" s="572"/>
      <c r="N2197" s="572"/>
      <c r="O2197" s="740"/>
      <c r="P2197" s="564" t="s">
        <v>25</v>
      </c>
      <c r="Q2197" s="564" t="s">
        <v>25</v>
      </c>
      <c r="R2197" s="572"/>
      <c r="S2197" s="609"/>
      <c r="T2197" s="741"/>
      <c r="U2197" s="586"/>
      <c r="V2197" s="564" t="s">
        <v>2899</v>
      </c>
      <c r="W2197" s="564" t="s">
        <v>25</v>
      </c>
      <c r="X2197" s="650"/>
      <c r="Y2197" s="586"/>
      <c r="Z2197" s="742"/>
      <c r="AA2197" s="586"/>
      <c r="AB2197" s="586"/>
      <c r="AC2197" s="586"/>
      <c r="AD2197" s="586"/>
      <c r="AE2197" s="714"/>
      <c r="AF2197" s="570" t="s">
        <v>2899</v>
      </c>
      <c r="AG2197" s="570" t="s">
        <v>25</v>
      </c>
      <c r="AH2197" s="571" t="s">
        <v>25</v>
      </c>
      <c r="AI2197" s="586"/>
      <c r="AJ2197" s="586"/>
    </row>
    <row r="2198" spans="1:36" s="394" customFormat="1" ht="20.25" outlineLevel="2" x14ac:dyDescent="0.3">
      <c r="A2198" s="447">
        <v>183</v>
      </c>
      <c r="B2198" s="572"/>
      <c r="C2198" s="572"/>
      <c r="D2198" s="612"/>
      <c r="E2198" s="612"/>
      <c r="F2198" s="586"/>
      <c r="G2198" s="709"/>
      <c r="H2198" s="546"/>
      <c r="I2198" s="563" t="s">
        <v>25</v>
      </c>
      <c r="J2198" s="563" t="s">
        <v>25</v>
      </c>
      <c r="K2198" s="564" t="s">
        <v>25</v>
      </c>
      <c r="L2198" s="564" t="s">
        <v>25</v>
      </c>
      <c r="M2198" s="572"/>
      <c r="N2198" s="572"/>
      <c r="O2198" s="740"/>
      <c r="P2198" s="564" t="s">
        <v>25</v>
      </c>
      <c r="Q2198" s="564" t="s">
        <v>25</v>
      </c>
      <c r="R2198" s="572"/>
      <c r="S2198" s="609"/>
      <c r="T2198" s="741"/>
      <c r="U2198" s="586"/>
      <c r="V2198" s="564" t="s">
        <v>2899</v>
      </c>
      <c r="W2198" s="564" t="s">
        <v>25</v>
      </c>
      <c r="X2198" s="650"/>
      <c r="Y2198" s="586"/>
      <c r="Z2198" s="742"/>
      <c r="AA2198" s="586"/>
      <c r="AB2198" s="586"/>
      <c r="AC2198" s="586"/>
      <c r="AD2198" s="586"/>
      <c r="AE2198" s="714"/>
      <c r="AF2198" s="570" t="s">
        <v>2899</v>
      </c>
      <c r="AG2198" s="570" t="s">
        <v>25</v>
      </c>
      <c r="AH2198" s="571" t="s">
        <v>25</v>
      </c>
      <c r="AI2198" s="586"/>
      <c r="AJ2198" s="586"/>
    </row>
    <row r="2199" spans="1:36" s="394" customFormat="1" ht="20.25" outlineLevel="2" x14ac:dyDescent="0.3">
      <c r="A2199" s="447">
        <v>183</v>
      </c>
      <c r="B2199" s="607"/>
      <c r="C2199" s="607"/>
      <c r="D2199" s="642"/>
      <c r="E2199" s="642"/>
      <c r="F2199" s="586"/>
      <c r="G2199" s="709"/>
      <c r="H2199" s="546"/>
      <c r="I2199" s="563" t="s">
        <v>25</v>
      </c>
      <c r="J2199" s="563" t="s">
        <v>25</v>
      </c>
      <c r="K2199" s="564" t="s">
        <v>25</v>
      </c>
      <c r="L2199" s="564" t="s">
        <v>25</v>
      </c>
      <c r="M2199" s="572"/>
      <c r="N2199" s="572"/>
      <c r="O2199" s="740"/>
      <c r="P2199" s="564" t="s">
        <v>25</v>
      </c>
      <c r="Q2199" s="564" t="s">
        <v>25</v>
      </c>
      <c r="R2199" s="572"/>
      <c r="S2199" s="609"/>
      <c r="T2199" s="741"/>
      <c r="U2199" s="586"/>
      <c r="V2199" s="564" t="s">
        <v>2899</v>
      </c>
      <c r="W2199" s="564" t="s">
        <v>25</v>
      </c>
      <c r="X2199" s="650"/>
      <c r="Y2199" s="586"/>
      <c r="Z2199" s="742"/>
      <c r="AA2199" s="586"/>
      <c r="AB2199" s="586"/>
      <c r="AC2199" s="586"/>
      <c r="AD2199" s="586"/>
      <c r="AE2199" s="714"/>
      <c r="AF2199" s="570" t="s">
        <v>2899</v>
      </c>
      <c r="AG2199" s="570" t="s">
        <v>25</v>
      </c>
      <c r="AH2199" s="571" t="s">
        <v>25</v>
      </c>
      <c r="AI2199" s="586"/>
      <c r="AJ2199" s="586"/>
    </row>
    <row r="2200" spans="1:36" s="396" customFormat="1" ht="40.5" outlineLevel="1" x14ac:dyDescent="0.25">
      <c r="A2200" s="467">
        <v>184</v>
      </c>
      <c r="B2200" s="607" t="s">
        <v>1469</v>
      </c>
      <c r="C2200" s="586" t="s">
        <v>2903</v>
      </c>
      <c r="D2200" s="612">
        <v>86</v>
      </c>
      <c r="E2200" s="612">
        <v>716</v>
      </c>
      <c r="F2200" s="578"/>
      <c r="G2200" s="707">
        <v>85.8</v>
      </c>
      <c r="H2200" s="579">
        <v>29.199999999999996</v>
      </c>
      <c r="I2200" s="581"/>
      <c r="J2200" s="581"/>
      <c r="K2200" s="571">
        <v>47567000</v>
      </c>
      <c r="L2200" s="571">
        <v>48565000</v>
      </c>
      <c r="M2200" s="607"/>
      <c r="N2200" s="607"/>
      <c r="O2200" s="738">
        <v>36</v>
      </c>
      <c r="P2200" s="571"/>
      <c r="Q2200" s="571">
        <v>9741000</v>
      </c>
      <c r="R2200" s="582"/>
      <c r="S2200" s="621"/>
      <c r="T2200" s="739">
        <v>79.8</v>
      </c>
      <c r="U2200" s="578"/>
      <c r="V2200" s="571"/>
      <c r="W2200" s="571">
        <v>128301000</v>
      </c>
      <c r="X2200" s="586"/>
      <c r="Y2200" s="694"/>
      <c r="Z2200" s="694"/>
      <c r="AA2200" s="694"/>
      <c r="AB2200" s="694"/>
      <c r="AC2200" s="586"/>
      <c r="AD2200" s="578"/>
      <c r="AE2200" s="712">
        <f>SUBTOTAL(9,AE2201:AE2213)</f>
        <v>0</v>
      </c>
      <c r="AF2200" s="585"/>
      <c r="AG2200" s="585">
        <v>0</v>
      </c>
      <c r="AH2200" s="571">
        <v>234174000</v>
      </c>
      <c r="AI2200" s="578"/>
      <c r="AJ2200" s="578"/>
    </row>
    <row r="2201" spans="1:36" s="396" customFormat="1" ht="121.5" outlineLevel="2" x14ac:dyDescent="0.3">
      <c r="A2201" s="447">
        <v>184</v>
      </c>
      <c r="B2201" s="572" t="s">
        <v>1471</v>
      </c>
      <c r="C2201" s="572"/>
      <c r="D2201" s="612"/>
      <c r="E2201" s="612"/>
      <c r="F2201" s="586" t="s">
        <v>2497</v>
      </c>
      <c r="G2201" s="709">
        <v>29.199999999999996</v>
      </c>
      <c r="H2201" s="546">
        <v>29.199999999999996</v>
      </c>
      <c r="I2201" s="563">
        <v>554400</v>
      </c>
      <c r="J2201" s="563">
        <v>1663200</v>
      </c>
      <c r="K2201" s="564">
        <v>16188000</v>
      </c>
      <c r="L2201" s="564">
        <v>48565000</v>
      </c>
      <c r="M2201" s="572" t="s">
        <v>61</v>
      </c>
      <c r="N2201" s="572"/>
      <c r="O2201" s="740">
        <v>3</v>
      </c>
      <c r="P2201" s="564">
        <v>1708000</v>
      </c>
      <c r="Q2201" s="564">
        <v>5124000</v>
      </c>
      <c r="R2201" s="566" t="s">
        <v>1763</v>
      </c>
      <c r="S2201" s="609" t="s">
        <v>1133</v>
      </c>
      <c r="T2201" s="741">
        <v>26.5</v>
      </c>
      <c r="U2201" s="586"/>
      <c r="V2201" s="564">
        <v>3550600</v>
      </c>
      <c r="W2201" s="564">
        <v>94091000</v>
      </c>
      <c r="X2201" s="586" t="s">
        <v>1138</v>
      </c>
      <c r="Y2201" s="694" t="s">
        <v>1139</v>
      </c>
      <c r="Z2201" s="694" t="s">
        <v>56</v>
      </c>
      <c r="AA2201" s="694" t="s">
        <v>269</v>
      </c>
      <c r="AB2201" s="694" t="s">
        <v>1138</v>
      </c>
      <c r="AC2201" s="586"/>
      <c r="AD2201" s="586"/>
      <c r="AE2201" s="714"/>
      <c r="AF2201" s="570" t="s">
        <v>2899</v>
      </c>
      <c r="AG2201" s="570"/>
      <c r="AH2201" s="571" t="s">
        <v>25</v>
      </c>
      <c r="AI2201" s="586" t="s">
        <v>1470</v>
      </c>
      <c r="AJ2201" s="586" t="s">
        <v>2771</v>
      </c>
    </row>
    <row r="2202" spans="1:36" s="394" customFormat="1" ht="101.25" outlineLevel="2" x14ac:dyDescent="0.3">
      <c r="A2202" s="447">
        <v>184</v>
      </c>
      <c r="B2202" s="572" t="s">
        <v>1636</v>
      </c>
      <c r="C2202" s="572"/>
      <c r="D2202" s="612"/>
      <c r="E2202" s="612"/>
      <c r="F2202" s="586" t="s">
        <v>2496</v>
      </c>
      <c r="G2202" s="709">
        <v>56.6</v>
      </c>
      <c r="H2202" s="546" t="s">
        <v>2899</v>
      </c>
      <c r="I2202" s="563">
        <v>554400</v>
      </c>
      <c r="J2202" s="563">
        <v>0</v>
      </c>
      <c r="K2202" s="564">
        <v>31379000</v>
      </c>
      <c r="L2202" s="564">
        <v>0</v>
      </c>
      <c r="M2202" s="572" t="s">
        <v>69</v>
      </c>
      <c r="N2202" s="572"/>
      <c r="O2202" s="740">
        <v>1</v>
      </c>
      <c r="P2202" s="564">
        <v>211000</v>
      </c>
      <c r="Q2202" s="564">
        <v>211000</v>
      </c>
      <c r="R2202" s="566" t="s">
        <v>2007</v>
      </c>
      <c r="S2202" s="609" t="s">
        <v>1133</v>
      </c>
      <c r="T2202" s="741">
        <v>8.19</v>
      </c>
      <c r="U2202" s="586"/>
      <c r="V2202" s="564">
        <v>1641213</v>
      </c>
      <c r="W2202" s="564">
        <v>13442000</v>
      </c>
      <c r="X2202" s="694"/>
      <c r="Y2202" s="694" t="s">
        <v>1263</v>
      </c>
      <c r="Z2202" s="694" t="s">
        <v>1262</v>
      </c>
      <c r="AA2202" s="694" t="s">
        <v>269</v>
      </c>
      <c r="AB2202" s="694" t="s">
        <v>1264</v>
      </c>
      <c r="AC2202" s="586"/>
      <c r="AD2202" s="586"/>
      <c r="AE2202" s="714"/>
      <c r="AF2202" s="570" t="s">
        <v>2899</v>
      </c>
      <c r="AG2202" s="570" t="s">
        <v>25</v>
      </c>
      <c r="AH2202" s="571" t="s">
        <v>25</v>
      </c>
      <c r="AI2202" s="586" t="s">
        <v>1472</v>
      </c>
      <c r="AJ2202" s="605" t="s">
        <v>2448</v>
      </c>
    </row>
    <row r="2203" spans="1:36" s="394" customFormat="1" ht="121.5" outlineLevel="2" x14ac:dyDescent="0.3">
      <c r="A2203" s="447">
        <v>184</v>
      </c>
      <c r="B2203" s="572"/>
      <c r="C2203" s="572"/>
      <c r="D2203" s="612"/>
      <c r="E2203" s="612"/>
      <c r="F2203" s="586"/>
      <c r="G2203" s="709"/>
      <c r="H2203" s="546"/>
      <c r="I2203" s="563" t="s">
        <v>25</v>
      </c>
      <c r="J2203" s="563" t="s">
        <v>25</v>
      </c>
      <c r="K2203" s="564" t="s">
        <v>25</v>
      </c>
      <c r="L2203" s="564" t="s">
        <v>25</v>
      </c>
      <c r="M2203" s="572" t="s">
        <v>77</v>
      </c>
      <c r="N2203" s="572"/>
      <c r="O2203" s="740">
        <v>1</v>
      </c>
      <c r="P2203" s="564">
        <v>3064000</v>
      </c>
      <c r="Q2203" s="564">
        <v>3064000</v>
      </c>
      <c r="R2203" s="566" t="s">
        <v>2008</v>
      </c>
      <c r="S2203" s="609" t="s">
        <v>1133</v>
      </c>
      <c r="T2203" s="741">
        <v>29.51</v>
      </c>
      <c r="U2203" s="586"/>
      <c r="V2203" s="564">
        <v>703764</v>
      </c>
      <c r="W2203" s="564">
        <v>20768000</v>
      </c>
      <c r="X2203" s="650"/>
      <c r="Y2203" s="586"/>
      <c r="Z2203" s="742"/>
      <c r="AA2203" s="586"/>
      <c r="AB2203" s="586"/>
      <c r="AC2203" s="586"/>
      <c r="AD2203" s="586"/>
      <c r="AE2203" s="714"/>
      <c r="AF2203" s="570" t="s">
        <v>2899</v>
      </c>
      <c r="AG2203" s="570" t="s">
        <v>25</v>
      </c>
      <c r="AH2203" s="571" t="s">
        <v>25</v>
      </c>
      <c r="AI2203" s="586" t="s">
        <v>1465</v>
      </c>
      <c r="AJ2203" s="558" t="s">
        <v>2450</v>
      </c>
    </row>
    <row r="2204" spans="1:36" s="394" customFormat="1" ht="101.25" outlineLevel="2" x14ac:dyDescent="0.3">
      <c r="A2204" s="447">
        <v>184</v>
      </c>
      <c r="B2204" s="572"/>
      <c r="C2204" s="572"/>
      <c r="D2204" s="612"/>
      <c r="E2204" s="612"/>
      <c r="F2204" s="586"/>
      <c r="G2204" s="709"/>
      <c r="H2204" s="546"/>
      <c r="I2204" s="563" t="s">
        <v>25</v>
      </c>
      <c r="J2204" s="563" t="s">
        <v>25</v>
      </c>
      <c r="K2204" s="564" t="s">
        <v>25</v>
      </c>
      <c r="L2204" s="564" t="s">
        <v>25</v>
      </c>
      <c r="M2204" s="572" t="s">
        <v>72</v>
      </c>
      <c r="N2204" s="572"/>
      <c r="O2204" s="740">
        <v>4</v>
      </c>
      <c r="P2204" s="564">
        <v>132000</v>
      </c>
      <c r="Q2204" s="564">
        <v>528000</v>
      </c>
      <c r="R2204" s="566" t="s">
        <v>1921</v>
      </c>
      <c r="S2204" s="609" t="s">
        <v>1133</v>
      </c>
      <c r="T2204" s="741">
        <v>15.6</v>
      </c>
      <c r="U2204" s="586"/>
      <c r="V2204" s="564">
        <v>0</v>
      </c>
      <c r="W2204" s="564">
        <v>0</v>
      </c>
      <c r="X2204" s="650"/>
      <c r="Y2204" s="586"/>
      <c r="Z2204" s="742"/>
      <c r="AA2204" s="586"/>
      <c r="AB2204" s="586"/>
      <c r="AC2204" s="586"/>
      <c r="AD2204" s="586"/>
      <c r="AE2204" s="714"/>
      <c r="AF2204" s="570" t="s">
        <v>2899</v>
      </c>
      <c r="AG2204" s="570" t="s">
        <v>25</v>
      </c>
      <c r="AH2204" s="571" t="s">
        <v>25</v>
      </c>
      <c r="AI2204" s="586" t="s">
        <v>2074</v>
      </c>
      <c r="AJ2204" s="558" t="s">
        <v>2449</v>
      </c>
    </row>
    <row r="2205" spans="1:36" s="394" customFormat="1" ht="101.25" outlineLevel="2" x14ac:dyDescent="0.3">
      <c r="A2205" s="447">
        <v>184</v>
      </c>
      <c r="B2205" s="572"/>
      <c r="C2205" s="572"/>
      <c r="D2205" s="612"/>
      <c r="E2205" s="612"/>
      <c r="F2205" s="586"/>
      <c r="G2205" s="709"/>
      <c r="H2205" s="546"/>
      <c r="I2205" s="563" t="s">
        <v>25</v>
      </c>
      <c r="J2205" s="563" t="s">
        <v>25</v>
      </c>
      <c r="K2205" s="564" t="s">
        <v>25</v>
      </c>
      <c r="L2205" s="564" t="s">
        <v>25</v>
      </c>
      <c r="M2205" s="572" t="s">
        <v>73</v>
      </c>
      <c r="N2205" s="572"/>
      <c r="O2205" s="740">
        <v>6</v>
      </c>
      <c r="P2205" s="564">
        <v>76000</v>
      </c>
      <c r="Q2205" s="564">
        <v>456000</v>
      </c>
      <c r="R2205" s="566"/>
      <c r="S2205" s="609"/>
      <c r="T2205" s="741"/>
      <c r="U2205" s="586"/>
      <c r="V2205" s="564" t="s">
        <v>2899</v>
      </c>
      <c r="W2205" s="564" t="s">
        <v>25</v>
      </c>
      <c r="X2205" s="650"/>
      <c r="Y2205" s="586"/>
      <c r="Z2205" s="742"/>
      <c r="AA2205" s="586"/>
      <c r="AB2205" s="586"/>
      <c r="AC2205" s="586"/>
      <c r="AD2205" s="586"/>
      <c r="AE2205" s="714"/>
      <c r="AF2205" s="570" t="s">
        <v>2899</v>
      </c>
      <c r="AG2205" s="570" t="s">
        <v>25</v>
      </c>
      <c r="AH2205" s="571" t="s">
        <v>25</v>
      </c>
      <c r="AI2205" s="731"/>
      <c r="AJ2205" s="586" t="s">
        <v>2800</v>
      </c>
    </row>
    <row r="2206" spans="1:36" s="394" customFormat="1" ht="20.25" outlineLevel="2" x14ac:dyDescent="0.3">
      <c r="A2206" s="447">
        <v>184</v>
      </c>
      <c r="B2206" s="572"/>
      <c r="C2206" s="572"/>
      <c r="D2206" s="612"/>
      <c r="E2206" s="612"/>
      <c r="F2206" s="586"/>
      <c r="G2206" s="709"/>
      <c r="H2206" s="546"/>
      <c r="I2206" s="563" t="s">
        <v>25</v>
      </c>
      <c r="J2206" s="563" t="s">
        <v>25</v>
      </c>
      <c r="K2206" s="564" t="s">
        <v>25</v>
      </c>
      <c r="L2206" s="564" t="s">
        <v>25</v>
      </c>
      <c r="M2206" s="572" t="s">
        <v>75</v>
      </c>
      <c r="N2206" s="572"/>
      <c r="O2206" s="740">
        <v>7</v>
      </c>
      <c r="P2206" s="564">
        <v>34000</v>
      </c>
      <c r="Q2206" s="564">
        <v>238000</v>
      </c>
      <c r="R2206" s="566"/>
      <c r="S2206" s="609"/>
      <c r="T2206" s="741"/>
      <c r="U2206" s="586"/>
      <c r="V2206" s="564" t="s">
        <v>2899</v>
      </c>
      <c r="W2206" s="564" t="s">
        <v>25</v>
      </c>
      <c r="X2206" s="650"/>
      <c r="Y2206" s="586"/>
      <c r="Z2206" s="742"/>
      <c r="AA2206" s="586"/>
      <c r="AB2206" s="586"/>
      <c r="AC2206" s="586"/>
      <c r="AD2206" s="586"/>
      <c r="AE2206" s="714"/>
      <c r="AF2206" s="570" t="s">
        <v>2899</v>
      </c>
      <c r="AG2206" s="570" t="s">
        <v>25</v>
      </c>
      <c r="AH2206" s="571" t="s">
        <v>25</v>
      </c>
      <c r="AI2206" s="586"/>
      <c r="AJ2206" s="586"/>
    </row>
    <row r="2207" spans="1:36" s="394" customFormat="1" ht="20.25" outlineLevel="2" x14ac:dyDescent="0.3">
      <c r="A2207" s="447">
        <v>184</v>
      </c>
      <c r="B2207" s="572"/>
      <c r="C2207" s="572"/>
      <c r="D2207" s="612"/>
      <c r="E2207" s="612"/>
      <c r="F2207" s="586"/>
      <c r="G2207" s="709"/>
      <c r="H2207" s="546"/>
      <c r="I2207" s="563" t="s">
        <v>25</v>
      </c>
      <c r="J2207" s="563" t="s">
        <v>25</v>
      </c>
      <c r="K2207" s="564" t="s">
        <v>25</v>
      </c>
      <c r="L2207" s="564" t="s">
        <v>25</v>
      </c>
      <c r="M2207" s="572" t="s">
        <v>754</v>
      </c>
      <c r="N2207" s="572"/>
      <c r="O2207" s="740">
        <v>4</v>
      </c>
      <c r="P2207" s="564">
        <v>0</v>
      </c>
      <c r="Q2207" s="564">
        <v>0</v>
      </c>
      <c r="R2207" s="566"/>
      <c r="S2207" s="609"/>
      <c r="T2207" s="741"/>
      <c r="U2207" s="586"/>
      <c r="V2207" s="564" t="s">
        <v>2899</v>
      </c>
      <c r="W2207" s="564" t="s">
        <v>25</v>
      </c>
      <c r="X2207" s="650"/>
      <c r="Y2207" s="586"/>
      <c r="Z2207" s="742"/>
      <c r="AA2207" s="586"/>
      <c r="AB2207" s="586"/>
      <c r="AC2207" s="586"/>
      <c r="AD2207" s="586"/>
      <c r="AE2207" s="714"/>
      <c r="AF2207" s="570" t="s">
        <v>2899</v>
      </c>
      <c r="AG2207" s="570" t="s">
        <v>25</v>
      </c>
      <c r="AH2207" s="571" t="s">
        <v>25</v>
      </c>
      <c r="AI2207" s="586"/>
      <c r="AJ2207" s="586"/>
    </row>
    <row r="2208" spans="1:36" s="394" customFormat="1" ht="60.75" outlineLevel="2" x14ac:dyDescent="0.3">
      <c r="A2208" s="447">
        <v>184</v>
      </c>
      <c r="B2208" s="572"/>
      <c r="C2208" s="572"/>
      <c r="D2208" s="612"/>
      <c r="E2208" s="612"/>
      <c r="F2208" s="586"/>
      <c r="G2208" s="709"/>
      <c r="H2208" s="546"/>
      <c r="I2208" s="563" t="s">
        <v>25</v>
      </c>
      <c r="J2208" s="563" t="s">
        <v>25</v>
      </c>
      <c r="K2208" s="564" t="s">
        <v>25</v>
      </c>
      <c r="L2208" s="564" t="s">
        <v>25</v>
      </c>
      <c r="M2208" s="565" t="s">
        <v>429</v>
      </c>
      <c r="N2208" s="565"/>
      <c r="O2208" s="740">
        <v>10</v>
      </c>
      <c r="P2208" s="564">
        <v>12000</v>
      </c>
      <c r="Q2208" s="564">
        <v>120000</v>
      </c>
      <c r="R2208" s="566"/>
      <c r="S2208" s="609"/>
      <c r="T2208" s="741"/>
      <c r="U2208" s="586"/>
      <c r="V2208" s="564" t="s">
        <v>2899</v>
      </c>
      <c r="W2208" s="564" t="s">
        <v>25</v>
      </c>
      <c r="X2208" s="650"/>
      <c r="Y2208" s="586"/>
      <c r="Z2208" s="742"/>
      <c r="AA2208" s="586"/>
      <c r="AB2208" s="586"/>
      <c r="AC2208" s="586"/>
      <c r="AD2208" s="586"/>
      <c r="AE2208" s="714"/>
      <c r="AF2208" s="570" t="s">
        <v>2899</v>
      </c>
      <c r="AG2208" s="570" t="s">
        <v>25</v>
      </c>
      <c r="AH2208" s="571" t="s">
        <v>25</v>
      </c>
      <c r="AI2208" s="586"/>
      <c r="AJ2208" s="586"/>
    </row>
    <row r="2209" spans="1:38" s="394" customFormat="1" ht="20.25" outlineLevel="2" x14ac:dyDescent="0.3">
      <c r="A2209" s="447">
        <v>184</v>
      </c>
      <c r="B2209" s="572"/>
      <c r="C2209" s="572"/>
      <c r="D2209" s="612"/>
      <c r="E2209" s="612"/>
      <c r="F2209" s="586"/>
      <c r="G2209" s="709"/>
      <c r="H2209" s="546"/>
      <c r="I2209" s="563" t="s">
        <v>25</v>
      </c>
      <c r="J2209" s="563" t="s">
        <v>25</v>
      </c>
      <c r="K2209" s="564" t="s">
        <v>25</v>
      </c>
      <c r="L2209" s="564" t="s">
        <v>25</v>
      </c>
      <c r="M2209" s="572"/>
      <c r="N2209" s="572"/>
      <c r="O2209" s="740"/>
      <c r="P2209" s="564" t="s">
        <v>25</v>
      </c>
      <c r="Q2209" s="564" t="s">
        <v>25</v>
      </c>
      <c r="R2209" s="566"/>
      <c r="S2209" s="609"/>
      <c r="T2209" s="741"/>
      <c r="U2209" s="586"/>
      <c r="V2209" s="564" t="s">
        <v>2899</v>
      </c>
      <c r="W2209" s="564" t="s">
        <v>25</v>
      </c>
      <c r="X2209" s="650"/>
      <c r="Y2209" s="586"/>
      <c r="Z2209" s="742"/>
      <c r="AA2209" s="586"/>
      <c r="AB2209" s="586"/>
      <c r="AC2209" s="586"/>
      <c r="AD2209" s="586"/>
      <c r="AE2209" s="714"/>
      <c r="AF2209" s="570" t="s">
        <v>2899</v>
      </c>
      <c r="AG2209" s="570" t="s">
        <v>25</v>
      </c>
      <c r="AH2209" s="571" t="s">
        <v>25</v>
      </c>
      <c r="AI2209" s="586"/>
      <c r="AJ2209" s="586"/>
    </row>
    <row r="2210" spans="1:38" s="394" customFormat="1" ht="20.25" outlineLevel="2" x14ac:dyDescent="0.3">
      <c r="A2210" s="447">
        <v>184</v>
      </c>
      <c r="B2210" s="572"/>
      <c r="C2210" s="572"/>
      <c r="D2210" s="612"/>
      <c r="E2210" s="612"/>
      <c r="F2210" s="586"/>
      <c r="G2210" s="709"/>
      <c r="H2210" s="546"/>
      <c r="I2210" s="563" t="s">
        <v>25</v>
      </c>
      <c r="J2210" s="563" t="s">
        <v>25</v>
      </c>
      <c r="K2210" s="564" t="s">
        <v>25</v>
      </c>
      <c r="L2210" s="564" t="s">
        <v>25</v>
      </c>
      <c r="M2210" s="572"/>
      <c r="N2210" s="572"/>
      <c r="O2210" s="740"/>
      <c r="P2210" s="564" t="s">
        <v>25</v>
      </c>
      <c r="Q2210" s="564" t="s">
        <v>25</v>
      </c>
      <c r="R2210" s="566"/>
      <c r="S2210" s="609"/>
      <c r="T2210" s="741"/>
      <c r="U2210" s="586"/>
      <c r="V2210" s="564" t="s">
        <v>2899</v>
      </c>
      <c r="W2210" s="564" t="s">
        <v>25</v>
      </c>
      <c r="X2210" s="650"/>
      <c r="Y2210" s="586"/>
      <c r="Z2210" s="742"/>
      <c r="AA2210" s="586"/>
      <c r="AB2210" s="586"/>
      <c r="AC2210" s="586"/>
      <c r="AD2210" s="586"/>
      <c r="AE2210" s="714"/>
      <c r="AF2210" s="570" t="s">
        <v>2899</v>
      </c>
      <c r="AG2210" s="570" t="s">
        <v>25</v>
      </c>
      <c r="AH2210" s="571" t="s">
        <v>25</v>
      </c>
      <c r="AI2210" s="586"/>
      <c r="AJ2210" s="586"/>
    </row>
    <row r="2211" spans="1:38" s="394" customFormat="1" ht="20.25" outlineLevel="2" x14ac:dyDescent="0.3">
      <c r="A2211" s="447">
        <v>184</v>
      </c>
      <c r="B2211" s="572"/>
      <c r="C2211" s="572"/>
      <c r="D2211" s="612"/>
      <c r="E2211" s="612"/>
      <c r="F2211" s="586"/>
      <c r="G2211" s="709"/>
      <c r="H2211" s="546"/>
      <c r="I2211" s="563" t="s">
        <v>25</v>
      </c>
      <c r="J2211" s="563" t="s">
        <v>25</v>
      </c>
      <c r="K2211" s="564" t="s">
        <v>25</v>
      </c>
      <c r="L2211" s="564" t="s">
        <v>25</v>
      </c>
      <c r="M2211" s="572"/>
      <c r="N2211" s="572"/>
      <c r="O2211" s="740"/>
      <c r="P2211" s="564" t="s">
        <v>25</v>
      </c>
      <c r="Q2211" s="564" t="s">
        <v>25</v>
      </c>
      <c r="R2211" s="566"/>
      <c r="S2211" s="609"/>
      <c r="T2211" s="741"/>
      <c r="U2211" s="586"/>
      <c r="V2211" s="564" t="s">
        <v>2899</v>
      </c>
      <c r="W2211" s="564" t="s">
        <v>25</v>
      </c>
      <c r="X2211" s="650"/>
      <c r="Y2211" s="586"/>
      <c r="Z2211" s="742"/>
      <c r="AA2211" s="586"/>
      <c r="AB2211" s="586"/>
      <c r="AC2211" s="586"/>
      <c r="AD2211" s="586"/>
      <c r="AE2211" s="714"/>
      <c r="AF2211" s="570" t="s">
        <v>2899</v>
      </c>
      <c r="AG2211" s="570" t="s">
        <v>25</v>
      </c>
      <c r="AH2211" s="571" t="s">
        <v>25</v>
      </c>
      <c r="AI2211" s="586"/>
      <c r="AJ2211" s="586"/>
    </row>
    <row r="2212" spans="1:38" s="394" customFormat="1" ht="20.25" outlineLevel="2" x14ac:dyDescent="0.3">
      <c r="A2212" s="447">
        <v>184</v>
      </c>
      <c r="B2212" s="572"/>
      <c r="C2212" s="572"/>
      <c r="D2212" s="612"/>
      <c r="E2212" s="612"/>
      <c r="F2212" s="586"/>
      <c r="G2212" s="709"/>
      <c r="H2212" s="546"/>
      <c r="I2212" s="563" t="s">
        <v>25</v>
      </c>
      <c r="J2212" s="563" t="s">
        <v>25</v>
      </c>
      <c r="K2212" s="564" t="s">
        <v>25</v>
      </c>
      <c r="L2212" s="564" t="s">
        <v>25</v>
      </c>
      <c r="M2212" s="572"/>
      <c r="N2212" s="572"/>
      <c r="O2212" s="740"/>
      <c r="P2212" s="564" t="s">
        <v>25</v>
      </c>
      <c r="Q2212" s="564" t="s">
        <v>25</v>
      </c>
      <c r="R2212" s="566"/>
      <c r="S2212" s="609"/>
      <c r="T2212" s="741"/>
      <c r="U2212" s="586"/>
      <c r="V2212" s="564" t="s">
        <v>2899</v>
      </c>
      <c r="W2212" s="564" t="s">
        <v>25</v>
      </c>
      <c r="X2212" s="650"/>
      <c r="Y2212" s="586"/>
      <c r="Z2212" s="742"/>
      <c r="AA2212" s="586"/>
      <c r="AB2212" s="586"/>
      <c r="AC2212" s="586"/>
      <c r="AD2212" s="586"/>
      <c r="AE2212" s="714"/>
      <c r="AF2212" s="570" t="s">
        <v>2899</v>
      </c>
      <c r="AG2212" s="570" t="s">
        <v>25</v>
      </c>
      <c r="AH2212" s="571" t="s">
        <v>25</v>
      </c>
      <c r="AI2212" s="586"/>
      <c r="AJ2212" s="586"/>
    </row>
    <row r="2213" spans="1:38" s="394" customFormat="1" ht="20.25" outlineLevel="2" x14ac:dyDescent="0.3">
      <c r="A2213" s="447">
        <v>184</v>
      </c>
      <c r="B2213" s="607"/>
      <c r="C2213" s="607"/>
      <c r="D2213" s="642"/>
      <c r="E2213" s="642"/>
      <c r="F2213" s="586"/>
      <c r="G2213" s="709"/>
      <c r="H2213" s="546"/>
      <c r="I2213" s="563" t="s">
        <v>25</v>
      </c>
      <c r="J2213" s="563" t="s">
        <v>25</v>
      </c>
      <c r="K2213" s="564" t="s">
        <v>25</v>
      </c>
      <c r="L2213" s="564" t="s">
        <v>25</v>
      </c>
      <c r="M2213" s="572"/>
      <c r="N2213" s="572"/>
      <c r="O2213" s="740"/>
      <c r="P2213" s="564" t="s">
        <v>25</v>
      </c>
      <c r="Q2213" s="564" t="s">
        <v>25</v>
      </c>
      <c r="R2213" s="572"/>
      <c r="S2213" s="609"/>
      <c r="T2213" s="741"/>
      <c r="U2213" s="586"/>
      <c r="V2213" s="564" t="s">
        <v>2899</v>
      </c>
      <c r="W2213" s="564" t="s">
        <v>25</v>
      </c>
      <c r="X2213" s="650"/>
      <c r="Y2213" s="586"/>
      <c r="Z2213" s="742"/>
      <c r="AA2213" s="586"/>
      <c r="AB2213" s="586"/>
      <c r="AC2213" s="586"/>
      <c r="AD2213" s="586"/>
      <c r="AE2213" s="714"/>
      <c r="AF2213" s="570" t="s">
        <v>2899</v>
      </c>
      <c r="AG2213" s="570" t="s">
        <v>25</v>
      </c>
      <c r="AH2213" s="571" t="s">
        <v>25</v>
      </c>
      <c r="AI2213" s="586"/>
      <c r="AJ2213" s="586"/>
    </row>
    <row r="2214" spans="1:38" s="394" customFormat="1" ht="40.5" outlineLevel="1" x14ac:dyDescent="0.25">
      <c r="A2214" s="467">
        <v>185</v>
      </c>
      <c r="B2214" s="607" t="s">
        <v>1474</v>
      </c>
      <c r="C2214" s="586" t="s">
        <v>2903</v>
      </c>
      <c r="D2214" s="612"/>
      <c r="E2214" s="612"/>
      <c r="F2214" s="578"/>
      <c r="G2214" s="707">
        <v>0</v>
      </c>
      <c r="H2214" s="579">
        <v>0</v>
      </c>
      <c r="I2214" s="581"/>
      <c r="J2214" s="581"/>
      <c r="K2214" s="571">
        <v>0</v>
      </c>
      <c r="L2214" s="571">
        <v>0</v>
      </c>
      <c r="M2214" s="607"/>
      <c r="N2214" s="607"/>
      <c r="O2214" s="738">
        <v>0</v>
      </c>
      <c r="P2214" s="571"/>
      <c r="Q2214" s="571">
        <v>0</v>
      </c>
      <c r="R2214" s="582"/>
      <c r="S2214" s="621"/>
      <c r="T2214" s="739">
        <v>46.2</v>
      </c>
      <c r="U2214" s="578"/>
      <c r="V2214" s="571"/>
      <c r="W2214" s="571">
        <v>62132000</v>
      </c>
      <c r="X2214" s="661"/>
      <c r="Y2214" s="683"/>
      <c r="Z2214" s="683"/>
      <c r="AA2214" s="694"/>
      <c r="AB2214" s="683"/>
      <c r="AC2214" s="586"/>
      <c r="AD2214" s="578"/>
      <c r="AE2214" s="712">
        <f>SUBTOTAL(9,AE2215:AE2223)</f>
        <v>0</v>
      </c>
      <c r="AF2214" s="585"/>
      <c r="AG2214" s="585">
        <v>0</v>
      </c>
      <c r="AH2214" s="571">
        <v>62132000</v>
      </c>
      <c r="AI2214" s="578"/>
      <c r="AJ2214" s="574"/>
    </row>
    <row r="2215" spans="1:38" s="394" customFormat="1" ht="121.5" outlineLevel="2" x14ac:dyDescent="0.3">
      <c r="A2215" s="447">
        <v>185</v>
      </c>
      <c r="B2215" s="572" t="s">
        <v>1476</v>
      </c>
      <c r="C2215" s="572"/>
      <c r="D2215" s="612"/>
      <c r="E2215" s="612"/>
      <c r="F2215" s="586"/>
      <c r="G2215" s="709"/>
      <c r="H2215" s="546"/>
      <c r="I2215" s="563" t="s">
        <v>25</v>
      </c>
      <c r="J2215" s="563" t="s">
        <v>25</v>
      </c>
      <c r="K2215" s="564" t="s">
        <v>25</v>
      </c>
      <c r="L2215" s="564" t="s">
        <v>25</v>
      </c>
      <c r="M2215" s="572"/>
      <c r="N2215" s="572"/>
      <c r="O2215" s="740"/>
      <c r="P2215" s="564" t="s">
        <v>25</v>
      </c>
      <c r="Q2215" s="564" t="s">
        <v>25</v>
      </c>
      <c r="R2215" s="566" t="s">
        <v>1838</v>
      </c>
      <c r="S2215" s="609" t="s">
        <v>1133</v>
      </c>
      <c r="T2215" s="741">
        <v>10.199999999999999</v>
      </c>
      <c r="U2215" s="586"/>
      <c r="V2215" s="564">
        <v>3156089</v>
      </c>
      <c r="W2215" s="564">
        <v>32192000</v>
      </c>
      <c r="X2215" s="661" t="s">
        <v>139</v>
      </c>
      <c r="Y2215" s="683" t="s">
        <v>1139</v>
      </c>
      <c r="Z2215" s="683" t="s">
        <v>56</v>
      </c>
      <c r="AA2215" s="694" t="s">
        <v>269</v>
      </c>
      <c r="AB2215" s="683" t="s">
        <v>139</v>
      </c>
      <c r="AC2215" s="586"/>
      <c r="AD2215" s="586"/>
      <c r="AE2215" s="714"/>
      <c r="AF2215" s="570" t="s">
        <v>2899</v>
      </c>
      <c r="AG2215" s="570" t="s">
        <v>25</v>
      </c>
      <c r="AH2215" s="571" t="s">
        <v>25</v>
      </c>
      <c r="AI2215" s="586" t="s">
        <v>1475</v>
      </c>
      <c r="AJ2215" s="558" t="s">
        <v>2450</v>
      </c>
    </row>
    <row r="2216" spans="1:38" s="394" customFormat="1" ht="101.25" outlineLevel="2" x14ac:dyDescent="0.3">
      <c r="A2216" s="447">
        <v>185</v>
      </c>
      <c r="B2216" s="572" t="s">
        <v>1637</v>
      </c>
      <c r="C2216" s="572"/>
      <c r="D2216" s="612"/>
      <c r="E2216" s="612"/>
      <c r="F2216" s="586"/>
      <c r="G2216" s="709"/>
      <c r="H2216" s="546"/>
      <c r="I2216" s="563" t="s">
        <v>25</v>
      </c>
      <c r="J2216" s="563" t="s">
        <v>25</v>
      </c>
      <c r="K2216" s="564" t="s">
        <v>25</v>
      </c>
      <c r="L2216" s="564" t="s">
        <v>25</v>
      </c>
      <c r="M2216" s="572"/>
      <c r="N2216" s="572"/>
      <c r="O2216" s="740"/>
      <c r="P2216" s="564" t="s">
        <v>25</v>
      </c>
      <c r="Q2216" s="564" t="s">
        <v>25</v>
      </c>
      <c r="R2216" s="566" t="s">
        <v>2009</v>
      </c>
      <c r="S2216" s="609" t="s">
        <v>1133</v>
      </c>
      <c r="T2216" s="710">
        <v>2.4</v>
      </c>
      <c r="U2216" s="586"/>
      <c r="V2216" s="564">
        <v>8308812</v>
      </c>
      <c r="W2216" s="564">
        <v>19941000</v>
      </c>
      <c r="X2216" s="650"/>
      <c r="Y2216" s="586"/>
      <c r="Z2216" s="742"/>
      <c r="AA2216" s="586"/>
      <c r="AB2216" s="586"/>
      <c r="AC2216" s="586"/>
      <c r="AD2216" s="586"/>
      <c r="AE2216" s="714"/>
      <c r="AF2216" s="570" t="s">
        <v>2899</v>
      </c>
      <c r="AG2216" s="570" t="s">
        <v>25</v>
      </c>
      <c r="AH2216" s="571" t="s">
        <v>25</v>
      </c>
      <c r="AI2216" s="586" t="s">
        <v>1477</v>
      </c>
      <c r="AJ2216" s="586" t="s">
        <v>2800</v>
      </c>
    </row>
    <row r="2217" spans="1:38" s="394" customFormat="1" ht="81" outlineLevel="2" x14ac:dyDescent="0.3">
      <c r="A2217" s="447">
        <v>185</v>
      </c>
      <c r="B2217" s="572"/>
      <c r="C2217" s="572"/>
      <c r="D2217" s="612"/>
      <c r="E2217" s="612"/>
      <c r="F2217" s="586"/>
      <c r="G2217" s="709"/>
      <c r="H2217" s="546"/>
      <c r="I2217" s="563" t="s">
        <v>25</v>
      </c>
      <c r="J2217" s="563" t="s">
        <v>25</v>
      </c>
      <c r="K2217" s="564" t="s">
        <v>25</v>
      </c>
      <c r="L2217" s="564" t="s">
        <v>25</v>
      </c>
      <c r="M2217" s="572"/>
      <c r="N2217" s="572"/>
      <c r="O2217" s="740"/>
      <c r="P2217" s="564" t="s">
        <v>25</v>
      </c>
      <c r="Q2217" s="564" t="s">
        <v>25</v>
      </c>
      <c r="R2217" s="566" t="s">
        <v>1980</v>
      </c>
      <c r="S2217" s="609" t="s">
        <v>1133</v>
      </c>
      <c r="T2217" s="741">
        <v>10.5</v>
      </c>
      <c r="U2217" s="586"/>
      <c r="V2217" s="564">
        <v>684506</v>
      </c>
      <c r="W2217" s="564">
        <v>7187000</v>
      </c>
      <c r="X2217" s="650"/>
      <c r="Y2217" s="586"/>
      <c r="Z2217" s="742"/>
      <c r="AA2217" s="586"/>
      <c r="AB2217" s="586"/>
      <c r="AC2217" s="586"/>
      <c r="AD2217" s="586"/>
      <c r="AE2217" s="714"/>
      <c r="AF2217" s="570" t="s">
        <v>2899</v>
      </c>
      <c r="AG2217" s="570" t="s">
        <v>25</v>
      </c>
      <c r="AH2217" s="571" t="s">
        <v>25</v>
      </c>
      <c r="AI2217" s="586"/>
      <c r="AJ2217" s="586"/>
    </row>
    <row r="2218" spans="1:38" s="394" customFormat="1" ht="81" outlineLevel="2" x14ac:dyDescent="0.3">
      <c r="A2218" s="447">
        <v>185</v>
      </c>
      <c r="B2218" s="572"/>
      <c r="C2218" s="572"/>
      <c r="D2218" s="612"/>
      <c r="E2218" s="612"/>
      <c r="F2218" s="586"/>
      <c r="G2218" s="709"/>
      <c r="H2218" s="546"/>
      <c r="I2218" s="563" t="s">
        <v>25</v>
      </c>
      <c r="J2218" s="563" t="s">
        <v>25</v>
      </c>
      <c r="K2218" s="564" t="s">
        <v>25</v>
      </c>
      <c r="L2218" s="564" t="s">
        <v>25</v>
      </c>
      <c r="M2218" s="572"/>
      <c r="N2218" s="572"/>
      <c r="O2218" s="740"/>
      <c r="P2218" s="564" t="s">
        <v>25</v>
      </c>
      <c r="Q2218" s="564" t="s">
        <v>25</v>
      </c>
      <c r="R2218" s="572" t="s">
        <v>1978</v>
      </c>
      <c r="S2218" s="609" t="s">
        <v>1133</v>
      </c>
      <c r="T2218" s="741">
        <v>11.9</v>
      </c>
      <c r="U2218" s="586"/>
      <c r="V2218" s="564">
        <v>236298</v>
      </c>
      <c r="W2218" s="564">
        <v>2812000</v>
      </c>
      <c r="X2218" s="650"/>
      <c r="Y2218" s="586"/>
      <c r="Z2218" s="742"/>
      <c r="AA2218" s="586"/>
      <c r="AB2218" s="586"/>
      <c r="AC2218" s="586"/>
      <c r="AD2218" s="586"/>
      <c r="AE2218" s="714"/>
      <c r="AF2218" s="570" t="s">
        <v>2899</v>
      </c>
      <c r="AG2218" s="570" t="s">
        <v>25</v>
      </c>
      <c r="AH2218" s="571" t="s">
        <v>25</v>
      </c>
      <c r="AI2218" s="586"/>
      <c r="AJ2218" s="586"/>
    </row>
    <row r="2219" spans="1:38" s="394" customFormat="1" ht="60.75" outlineLevel="2" x14ac:dyDescent="0.3">
      <c r="A2219" s="447">
        <v>185</v>
      </c>
      <c r="B2219" s="572"/>
      <c r="C2219" s="572"/>
      <c r="D2219" s="612"/>
      <c r="E2219" s="612"/>
      <c r="F2219" s="586"/>
      <c r="G2219" s="709"/>
      <c r="H2219" s="546"/>
      <c r="I2219" s="563" t="s">
        <v>25</v>
      </c>
      <c r="J2219" s="563" t="s">
        <v>25</v>
      </c>
      <c r="K2219" s="564" t="s">
        <v>25</v>
      </c>
      <c r="L2219" s="564" t="s">
        <v>25</v>
      </c>
      <c r="M2219" s="572"/>
      <c r="N2219" s="572"/>
      <c r="O2219" s="740"/>
      <c r="P2219" s="564" t="s">
        <v>25</v>
      </c>
      <c r="Q2219" s="564" t="s">
        <v>25</v>
      </c>
      <c r="R2219" s="572" t="s">
        <v>2010</v>
      </c>
      <c r="S2219" s="609" t="s">
        <v>1133</v>
      </c>
      <c r="T2219" s="741">
        <v>11.200000000000001</v>
      </c>
      <c r="U2219" s="586"/>
      <c r="V2219" s="564">
        <v>0</v>
      </c>
      <c r="W2219" s="564">
        <v>0</v>
      </c>
      <c r="X2219" s="650"/>
      <c r="Y2219" s="586"/>
      <c r="Z2219" s="742"/>
      <c r="AA2219" s="586"/>
      <c r="AB2219" s="586"/>
      <c r="AC2219" s="586"/>
      <c r="AD2219" s="586"/>
      <c r="AE2219" s="714"/>
      <c r="AF2219" s="570" t="s">
        <v>2899</v>
      </c>
      <c r="AG2219" s="570" t="s">
        <v>25</v>
      </c>
      <c r="AH2219" s="571" t="s">
        <v>25</v>
      </c>
      <c r="AI2219" s="586"/>
      <c r="AJ2219" s="586"/>
    </row>
    <row r="2220" spans="1:38" s="394" customFormat="1" ht="20.25" outlineLevel="2" x14ac:dyDescent="0.3">
      <c r="A2220" s="447">
        <v>185</v>
      </c>
      <c r="B2220" s="572"/>
      <c r="C2220" s="572"/>
      <c r="D2220" s="612"/>
      <c r="E2220" s="612"/>
      <c r="F2220" s="586"/>
      <c r="G2220" s="709"/>
      <c r="H2220" s="546"/>
      <c r="I2220" s="563" t="s">
        <v>25</v>
      </c>
      <c r="J2220" s="563" t="s">
        <v>25</v>
      </c>
      <c r="K2220" s="564" t="s">
        <v>25</v>
      </c>
      <c r="L2220" s="564" t="s">
        <v>25</v>
      </c>
      <c r="M2220" s="572"/>
      <c r="N2220" s="572"/>
      <c r="O2220" s="740"/>
      <c r="P2220" s="564" t="s">
        <v>25</v>
      </c>
      <c r="Q2220" s="564" t="s">
        <v>25</v>
      </c>
      <c r="R2220" s="566"/>
      <c r="S2220" s="609"/>
      <c r="T2220" s="741"/>
      <c r="U2220" s="586"/>
      <c r="V2220" s="564" t="s">
        <v>2899</v>
      </c>
      <c r="W2220" s="564" t="s">
        <v>25</v>
      </c>
      <c r="X2220" s="650"/>
      <c r="Y2220" s="586"/>
      <c r="Z2220" s="742"/>
      <c r="AA2220" s="586"/>
      <c r="AB2220" s="586"/>
      <c r="AC2220" s="586"/>
      <c r="AD2220" s="586"/>
      <c r="AE2220" s="714"/>
      <c r="AF2220" s="570" t="s">
        <v>2899</v>
      </c>
      <c r="AG2220" s="570" t="s">
        <v>25</v>
      </c>
      <c r="AH2220" s="571" t="s">
        <v>25</v>
      </c>
      <c r="AI2220" s="572"/>
      <c r="AJ2220" s="572"/>
    </row>
    <row r="2221" spans="1:38" s="394" customFormat="1" ht="20.25" outlineLevel="2" x14ac:dyDescent="0.3">
      <c r="A2221" s="447">
        <v>185</v>
      </c>
      <c r="B2221" s="572"/>
      <c r="C2221" s="572"/>
      <c r="D2221" s="612"/>
      <c r="E2221" s="612"/>
      <c r="F2221" s="586"/>
      <c r="G2221" s="709"/>
      <c r="H2221" s="546"/>
      <c r="I2221" s="563" t="s">
        <v>25</v>
      </c>
      <c r="J2221" s="563" t="s">
        <v>25</v>
      </c>
      <c r="K2221" s="564" t="s">
        <v>25</v>
      </c>
      <c r="L2221" s="564" t="s">
        <v>25</v>
      </c>
      <c r="M2221" s="572"/>
      <c r="N2221" s="572"/>
      <c r="O2221" s="740"/>
      <c r="P2221" s="564" t="s">
        <v>25</v>
      </c>
      <c r="Q2221" s="564" t="s">
        <v>25</v>
      </c>
      <c r="R2221" s="572"/>
      <c r="S2221" s="609"/>
      <c r="T2221" s="741"/>
      <c r="U2221" s="586"/>
      <c r="V2221" s="564" t="s">
        <v>2899</v>
      </c>
      <c r="W2221" s="564" t="s">
        <v>25</v>
      </c>
      <c r="X2221" s="650"/>
      <c r="Y2221" s="586"/>
      <c r="Z2221" s="742"/>
      <c r="AA2221" s="586"/>
      <c r="AB2221" s="586"/>
      <c r="AC2221" s="586"/>
      <c r="AD2221" s="586"/>
      <c r="AE2221" s="714"/>
      <c r="AF2221" s="570" t="s">
        <v>2899</v>
      </c>
      <c r="AG2221" s="570" t="s">
        <v>25</v>
      </c>
      <c r="AH2221" s="571" t="s">
        <v>25</v>
      </c>
      <c r="AI2221" s="558"/>
      <c r="AJ2221" s="558"/>
    </row>
    <row r="2222" spans="1:38" s="394" customFormat="1" ht="20.25" outlineLevel="2" x14ac:dyDescent="0.3">
      <c r="A2222" s="447">
        <v>185</v>
      </c>
      <c r="B2222" s="572"/>
      <c r="C2222" s="572"/>
      <c r="D2222" s="612"/>
      <c r="E2222" s="612"/>
      <c r="F2222" s="586"/>
      <c r="G2222" s="709"/>
      <c r="H2222" s="546"/>
      <c r="I2222" s="563" t="s">
        <v>25</v>
      </c>
      <c r="J2222" s="563" t="s">
        <v>25</v>
      </c>
      <c r="K2222" s="564" t="s">
        <v>25</v>
      </c>
      <c r="L2222" s="564" t="s">
        <v>25</v>
      </c>
      <c r="M2222" s="572"/>
      <c r="N2222" s="572"/>
      <c r="O2222" s="740"/>
      <c r="P2222" s="564" t="s">
        <v>25</v>
      </c>
      <c r="Q2222" s="564" t="s">
        <v>25</v>
      </c>
      <c r="R2222" s="572"/>
      <c r="S2222" s="609"/>
      <c r="T2222" s="741"/>
      <c r="U2222" s="586"/>
      <c r="V2222" s="564" t="s">
        <v>2899</v>
      </c>
      <c r="W2222" s="564" t="s">
        <v>25</v>
      </c>
      <c r="X2222" s="650"/>
      <c r="Y2222" s="586"/>
      <c r="Z2222" s="742"/>
      <c r="AA2222" s="586"/>
      <c r="AB2222" s="586"/>
      <c r="AC2222" s="586"/>
      <c r="AD2222" s="586"/>
      <c r="AE2222" s="714"/>
      <c r="AF2222" s="570" t="s">
        <v>2899</v>
      </c>
      <c r="AG2222" s="570" t="s">
        <v>25</v>
      </c>
      <c r="AH2222" s="571" t="s">
        <v>25</v>
      </c>
      <c r="AI2222" s="586"/>
      <c r="AJ2222" s="586"/>
    </row>
    <row r="2223" spans="1:38" s="394" customFormat="1" ht="20.25" outlineLevel="2" x14ac:dyDescent="0.3">
      <c r="A2223" s="447">
        <v>185</v>
      </c>
      <c r="B2223" s="607"/>
      <c r="C2223" s="607"/>
      <c r="D2223" s="642"/>
      <c r="E2223" s="642"/>
      <c r="F2223" s="586"/>
      <c r="G2223" s="709"/>
      <c r="H2223" s="546"/>
      <c r="I2223" s="563" t="s">
        <v>25</v>
      </c>
      <c r="J2223" s="563" t="s">
        <v>25</v>
      </c>
      <c r="K2223" s="564" t="s">
        <v>25</v>
      </c>
      <c r="L2223" s="564" t="s">
        <v>25</v>
      </c>
      <c r="M2223" s="572"/>
      <c r="N2223" s="572"/>
      <c r="O2223" s="740"/>
      <c r="P2223" s="564" t="s">
        <v>25</v>
      </c>
      <c r="Q2223" s="564" t="s">
        <v>25</v>
      </c>
      <c r="R2223" s="572"/>
      <c r="S2223" s="609"/>
      <c r="T2223" s="741"/>
      <c r="U2223" s="586"/>
      <c r="V2223" s="564" t="s">
        <v>2899</v>
      </c>
      <c r="W2223" s="564" t="s">
        <v>25</v>
      </c>
      <c r="X2223" s="650"/>
      <c r="Y2223" s="586"/>
      <c r="Z2223" s="742"/>
      <c r="AA2223" s="586"/>
      <c r="AB2223" s="586"/>
      <c r="AC2223" s="586"/>
      <c r="AD2223" s="586"/>
      <c r="AE2223" s="714"/>
      <c r="AF2223" s="570" t="s">
        <v>2899</v>
      </c>
      <c r="AG2223" s="570" t="s">
        <v>25</v>
      </c>
      <c r="AH2223" s="571" t="s">
        <v>25</v>
      </c>
      <c r="AI2223" s="586"/>
      <c r="AJ2223" s="586"/>
    </row>
    <row r="2224" spans="1:38" s="396" customFormat="1" ht="40.5" outlineLevel="1" x14ac:dyDescent="0.25">
      <c r="A2224" s="467">
        <v>186</v>
      </c>
      <c r="B2224" s="607" t="s">
        <v>1478</v>
      </c>
      <c r="C2224" s="586" t="s">
        <v>2903</v>
      </c>
      <c r="D2224" s="612">
        <v>86</v>
      </c>
      <c r="E2224" s="612">
        <v>412</v>
      </c>
      <c r="F2224" s="578"/>
      <c r="G2224" s="707">
        <v>33.1</v>
      </c>
      <c r="H2224" s="579">
        <v>0</v>
      </c>
      <c r="I2224" s="581"/>
      <c r="J2224" s="581"/>
      <c r="K2224" s="571">
        <v>153146000</v>
      </c>
      <c r="L2224" s="571">
        <v>0</v>
      </c>
      <c r="M2224" s="607"/>
      <c r="N2224" s="607"/>
      <c r="O2224" s="738">
        <v>37</v>
      </c>
      <c r="P2224" s="571"/>
      <c r="Q2224" s="571">
        <v>12984000</v>
      </c>
      <c r="R2224" s="582"/>
      <c r="S2224" s="621"/>
      <c r="T2224" s="739">
        <v>55.6</v>
      </c>
      <c r="U2224" s="578"/>
      <c r="V2224" s="571"/>
      <c r="W2224" s="571">
        <v>45878000</v>
      </c>
      <c r="X2224" s="650"/>
      <c r="Y2224" s="586"/>
      <c r="Z2224" s="742"/>
      <c r="AA2224" s="586"/>
      <c r="AB2224" s="586"/>
      <c r="AC2224" s="586"/>
      <c r="AD2224" s="578"/>
      <c r="AE2224" s="712">
        <f>SUBTOTAL(9,AE2225:AE2239)</f>
        <v>0</v>
      </c>
      <c r="AF2224" s="585"/>
      <c r="AG2224" s="585">
        <v>0</v>
      </c>
      <c r="AH2224" s="571">
        <v>212008000</v>
      </c>
      <c r="AI2224" s="578"/>
      <c r="AJ2224" s="578"/>
      <c r="AL2224" s="470"/>
    </row>
    <row r="2225" spans="1:38" s="396" customFormat="1" ht="141.75" outlineLevel="2" x14ac:dyDescent="0.3">
      <c r="A2225" s="447">
        <v>186</v>
      </c>
      <c r="B2225" s="572" t="s">
        <v>1481</v>
      </c>
      <c r="C2225" s="572"/>
      <c r="D2225" s="612">
        <v>86</v>
      </c>
      <c r="E2225" s="612">
        <v>412</v>
      </c>
      <c r="F2225" s="586" t="s">
        <v>2897</v>
      </c>
      <c r="G2225" s="709">
        <v>13</v>
      </c>
      <c r="H2225" s="546" t="s">
        <v>2899</v>
      </c>
      <c r="I2225" s="563">
        <v>554400</v>
      </c>
      <c r="J2225" s="563">
        <v>0</v>
      </c>
      <c r="K2225" s="564">
        <v>7207000</v>
      </c>
      <c r="L2225" s="564">
        <v>0</v>
      </c>
      <c r="M2225" s="572" t="s">
        <v>145</v>
      </c>
      <c r="N2225" s="572"/>
      <c r="O2225" s="740">
        <v>1</v>
      </c>
      <c r="P2225" s="564">
        <v>4240000</v>
      </c>
      <c r="Q2225" s="564">
        <v>4240000</v>
      </c>
      <c r="R2225" s="566" t="s">
        <v>2399</v>
      </c>
      <c r="S2225" s="609" t="s">
        <v>1133</v>
      </c>
      <c r="T2225" s="741">
        <v>54.6</v>
      </c>
      <c r="U2225" s="586"/>
      <c r="V2225" s="564">
        <v>840258</v>
      </c>
      <c r="W2225" s="564">
        <v>45878000</v>
      </c>
      <c r="X2225" s="650"/>
      <c r="Y2225" s="586"/>
      <c r="Z2225" s="742"/>
      <c r="AA2225" s="586"/>
      <c r="AB2225" s="586"/>
      <c r="AC2225" s="586"/>
      <c r="AD2225" s="586"/>
      <c r="AE2225" s="714"/>
      <c r="AF2225" s="570" t="s">
        <v>2899</v>
      </c>
      <c r="AG2225" s="570"/>
      <c r="AH2225" s="571" t="s">
        <v>25</v>
      </c>
      <c r="AI2225" s="586" t="s">
        <v>1480</v>
      </c>
      <c r="AJ2225" s="586" t="s">
        <v>2771</v>
      </c>
      <c r="AL2225" s="395" t="s">
        <v>2161</v>
      </c>
    </row>
    <row r="2226" spans="1:38" s="394" customFormat="1" ht="121.5" outlineLevel="2" x14ac:dyDescent="0.3">
      <c r="A2226" s="447">
        <v>186</v>
      </c>
      <c r="B2226" s="572" t="s">
        <v>1638</v>
      </c>
      <c r="C2226" s="572"/>
      <c r="D2226" s="612"/>
      <c r="E2226" s="612"/>
      <c r="F2226" s="586" t="s">
        <v>2049</v>
      </c>
      <c r="G2226" s="709">
        <v>20.100000000000001</v>
      </c>
      <c r="H2226" s="546" t="s">
        <v>2899</v>
      </c>
      <c r="I2226" s="563">
        <v>7260624</v>
      </c>
      <c r="J2226" s="563">
        <v>0</v>
      </c>
      <c r="K2226" s="564">
        <v>145939000</v>
      </c>
      <c r="L2226" s="564">
        <v>0</v>
      </c>
      <c r="M2226" s="572" t="s">
        <v>1482</v>
      </c>
      <c r="N2226" s="572"/>
      <c r="O2226" s="740">
        <v>5</v>
      </c>
      <c r="P2226" s="564">
        <v>202000</v>
      </c>
      <c r="Q2226" s="564">
        <v>1010000</v>
      </c>
      <c r="R2226" s="566" t="s">
        <v>2400</v>
      </c>
      <c r="S2226" s="609" t="s">
        <v>93</v>
      </c>
      <c r="T2226" s="741">
        <v>1</v>
      </c>
      <c r="U2226" s="586"/>
      <c r="V2226" s="564">
        <v>0</v>
      </c>
      <c r="W2226" s="564">
        <v>0</v>
      </c>
      <c r="X2226" s="650"/>
      <c r="Y2226" s="586"/>
      <c r="Z2226" s="742"/>
      <c r="AA2226" s="586"/>
      <c r="AB2226" s="586"/>
      <c r="AC2226" s="586"/>
      <c r="AD2226" s="586"/>
      <c r="AE2226" s="714"/>
      <c r="AF2226" s="570" t="s">
        <v>2899</v>
      </c>
      <c r="AG2226" s="570" t="s">
        <v>25</v>
      </c>
      <c r="AH2226" s="571" t="s">
        <v>25</v>
      </c>
      <c r="AI2226" s="586" t="s">
        <v>1484</v>
      </c>
      <c r="AJ2226" s="558" t="s">
        <v>2450</v>
      </c>
    </row>
    <row r="2227" spans="1:38" s="394" customFormat="1" ht="101.25" outlineLevel="2" x14ac:dyDescent="0.3">
      <c r="A2227" s="447">
        <v>186</v>
      </c>
      <c r="B2227" s="572"/>
      <c r="C2227" s="572"/>
      <c r="D2227" s="612"/>
      <c r="E2227" s="612"/>
      <c r="F2227" s="586"/>
      <c r="G2227" s="709"/>
      <c r="H2227" s="546"/>
      <c r="I2227" s="563" t="s">
        <v>25</v>
      </c>
      <c r="J2227" s="563" t="s">
        <v>25</v>
      </c>
      <c r="K2227" s="564" t="s">
        <v>25</v>
      </c>
      <c r="L2227" s="564" t="s">
        <v>25</v>
      </c>
      <c r="M2227" s="572" t="s">
        <v>156</v>
      </c>
      <c r="N2227" s="572"/>
      <c r="O2227" s="740">
        <v>3</v>
      </c>
      <c r="P2227" s="564">
        <v>288000</v>
      </c>
      <c r="Q2227" s="564">
        <v>864000</v>
      </c>
      <c r="R2227" s="566"/>
      <c r="S2227" s="609"/>
      <c r="T2227" s="741"/>
      <c r="U2227" s="586"/>
      <c r="V2227" s="564" t="s">
        <v>2899</v>
      </c>
      <c r="W2227" s="564" t="s">
        <v>25</v>
      </c>
      <c r="X2227" s="650"/>
      <c r="Y2227" s="586"/>
      <c r="Z2227" s="742"/>
      <c r="AA2227" s="586"/>
      <c r="AB2227" s="586"/>
      <c r="AC2227" s="586"/>
      <c r="AD2227" s="586"/>
      <c r="AE2227" s="714"/>
      <c r="AF2227" s="570" t="s">
        <v>2899</v>
      </c>
      <c r="AG2227" s="570" t="s">
        <v>25</v>
      </c>
      <c r="AH2227" s="571" t="s">
        <v>25</v>
      </c>
      <c r="AI2227" s="586" t="s">
        <v>2244</v>
      </c>
      <c r="AJ2227" s="558" t="s">
        <v>2449</v>
      </c>
    </row>
    <row r="2228" spans="1:38" s="394" customFormat="1" ht="20.25" outlineLevel="2" x14ac:dyDescent="0.3">
      <c r="A2228" s="447">
        <v>186</v>
      </c>
      <c r="B2228" s="572"/>
      <c r="C2228" s="572"/>
      <c r="D2228" s="612"/>
      <c r="E2228" s="612"/>
      <c r="F2228" s="586"/>
      <c r="G2228" s="709"/>
      <c r="H2228" s="546"/>
      <c r="I2228" s="563" t="s">
        <v>25</v>
      </c>
      <c r="J2228" s="563" t="s">
        <v>25</v>
      </c>
      <c r="K2228" s="564" t="s">
        <v>25</v>
      </c>
      <c r="L2228" s="564" t="s">
        <v>25</v>
      </c>
      <c r="M2228" s="572" t="s">
        <v>1218</v>
      </c>
      <c r="N2228" s="572"/>
      <c r="O2228" s="740">
        <v>1</v>
      </c>
      <c r="P2228" s="564">
        <v>571000</v>
      </c>
      <c r="Q2228" s="564">
        <v>571000</v>
      </c>
      <c r="R2228" s="566"/>
      <c r="S2228" s="609"/>
      <c r="T2228" s="741"/>
      <c r="U2228" s="586"/>
      <c r="V2228" s="564" t="s">
        <v>2899</v>
      </c>
      <c r="W2228" s="564" t="s">
        <v>25</v>
      </c>
      <c r="X2228" s="650"/>
      <c r="Y2228" s="586"/>
      <c r="Z2228" s="742"/>
      <c r="AA2228" s="586"/>
      <c r="AB2228" s="586"/>
      <c r="AC2228" s="586"/>
      <c r="AD2228" s="586"/>
      <c r="AE2228" s="714"/>
      <c r="AF2228" s="570" t="s">
        <v>2899</v>
      </c>
      <c r="AG2228" s="570" t="s">
        <v>25</v>
      </c>
      <c r="AH2228" s="571" t="s">
        <v>25</v>
      </c>
      <c r="AI2228" s="731"/>
      <c r="AJ2228" s="731"/>
    </row>
    <row r="2229" spans="1:38" s="394" customFormat="1" ht="40.5" outlineLevel="2" x14ac:dyDescent="0.3">
      <c r="A2229" s="447">
        <v>186</v>
      </c>
      <c r="B2229" s="572"/>
      <c r="C2229" s="572"/>
      <c r="D2229" s="612"/>
      <c r="E2229" s="612"/>
      <c r="F2229" s="586"/>
      <c r="G2229" s="709"/>
      <c r="H2229" s="546"/>
      <c r="I2229" s="563" t="s">
        <v>25</v>
      </c>
      <c r="J2229" s="563" t="s">
        <v>25</v>
      </c>
      <c r="K2229" s="564" t="s">
        <v>25</v>
      </c>
      <c r="L2229" s="564" t="s">
        <v>25</v>
      </c>
      <c r="M2229" s="572" t="s">
        <v>1486</v>
      </c>
      <c r="N2229" s="572"/>
      <c r="O2229" s="740">
        <v>2</v>
      </c>
      <c r="P2229" s="564">
        <v>293000</v>
      </c>
      <c r="Q2229" s="564">
        <v>586000</v>
      </c>
      <c r="R2229" s="566"/>
      <c r="S2229" s="609"/>
      <c r="T2229" s="741"/>
      <c r="U2229" s="586"/>
      <c r="V2229" s="564" t="s">
        <v>2899</v>
      </c>
      <c r="W2229" s="564" t="s">
        <v>25</v>
      </c>
      <c r="X2229" s="650"/>
      <c r="Y2229" s="586"/>
      <c r="Z2229" s="742"/>
      <c r="AA2229" s="586"/>
      <c r="AB2229" s="586"/>
      <c r="AC2229" s="586"/>
      <c r="AD2229" s="586"/>
      <c r="AE2229" s="714"/>
      <c r="AF2229" s="570" t="s">
        <v>2899</v>
      </c>
      <c r="AG2229" s="570" t="s">
        <v>25</v>
      </c>
      <c r="AH2229" s="571" t="s">
        <v>25</v>
      </c>
      <c r="AI2229" s="731"/>
      <c r="AJ2229" s="572"/>
    </row>
    <row r="2230" spans="1:38" s="394" customFormat="1" ht="20.25" outlineLevel="2" x14ac:dyDescent="0.3">
      <c r="A2230" s="447">
        <v>186</v>
      </c>
      <c r="B2230" s="572"/>
      <c r="C2230" s="572"/>
      <c r="D2230" s="612"/>
      <c r="E2230" s="612"/>
      <c r="F2230" s="586"/>
      <c r="G2230" s="709"/>
      <c r="H2230" s="546"/>
      <c r="I2230" s="563" t="s">
        <v>25</v>
      </c>
      <c r="J2230" s="563" t="s">
        <v>25</v>
      </c>
      <c r="K2230" s="564" t="s">
        <v>25</v>
      </c>
      <c r="L2230" s="564" t="s">
        <v>25</v>
      </c>
      <c r="M2230" s="572" t="s">
        <v>76</v>
      </c>
      <c r="N2230" s="572"/>
      <c r="O2230" s="740">
        <v>3</v>
      </c>
      <c r="P2230" s="564">
        <v>45000</v>
      </c>
      <c r="Q2230" s="564">
        <v>135000</v>
      </c>
      <c r="R2230" s="566"/>
      <c r="S2230" s="609"/>
      <c r="T2230" s="741"/>
      <c r="U2230" s="586"/>
      <c r="V2230" s="564" t="s">
        <v>2899</v>
      </c>
      <c r="W2230" s="564" t="s">
        <v>25</v>
      </c>
      <c r="X2230" s="650"/>
      <c r="Y2230" s="586"/>
      <c r="Z2230" s="742"/>
      <c r="AA2230" s="586"/>
      <c r="AB2230" s="586"/>
      <c r="AC2230" s="586"/>
      <c r="AD2230" s="586"/>
      <c r="AE2230" s="714"/>
      <c r="AF2230" s="570" t="s">
        <v>2899</v>
      </c>
      <c r="AG2230" s="570" t="s">
        <v>25</v>
      </c>
      <c r="AH2230" s="571" t="s">
        <v>25</v>
      </c>
      <c r="AI2230" s="558"/>
      <c r="AJ2230" s="558"/>
    </row>
    <row r="2231" spans="1:38" s="394" customFormat="1" ht="20.25" outlineLevel="2" x14ac:dyDescent="0.3">
      <c r="A2231" s="447">
        <v>186</v>
      </c>
      <c r="B2231" s="572"/>
      <c r="C2231" s="572"/>
      <c r="D2231" s="612"/>
      <c r="E2231" s="612"/>
      <c r="F2231" s="586"/>
      <c r="G2231" s="709"/>
      <c r="H2231" s="546"/>
      <c r="I2231" s="563" t="s">
        <v>25</v>
      </c>
      <c r="J2231" s="563" t="s">
        <v>25</v>
      </c>
      <c r="K2231" s="564" t="s">
        <v>25</v>
      </c>
      <c r="L2231" s="564" t="s">
        <v>25</v>
      </c>
      <c r="M2231" s="572" t="s">
        <v>147</v>
      </c>
      <c r="N2231" s="572"/>
      <c r="O2231" s="740">
        <v>2</v>
      </c>
      <c r="P2231" s="564">
        <v>979000</v>
      </c>
      <c r="Q2231" s="564">
        <v>1958000</v>
      </c>
      <c r="R2231" s="566"/>
      <c r="S2231" s="609"/>
      <c r="T2231" s="741"/>
      <c r="U2231" s="586"/>
      <c r="V2231" s="564" t="s">
        <v>2899</v>
      </c>
      <c r="W2231" s="564" t="s">
        <v>25</v>
      </c>
      <c r="X2231" s="650"/>
      <c r="Y2231" s="586"/>
      <c r="Z2231" s="742"/>
      <c r="AA2231" s="586"/>
      <c r="AB2231" s="586"/>
      <c r="AC2231" s="586"/>
      <c r="AD2231" s="586"/>
      <c r="AE2231" s="714"/>
      <c r="AF2231" s="570" t="s">
        <v>2899</v>
      </c>
      <c r="AG2231" s="570" t="s">
        <v>25</v>
      </c>
      <c r="AH2231" s="571" t="s">
        <v>25</v>
      </c>
      <c r="AI2231" s="586"/>
      <c r="AJ2231" s="586"/>
    </row>
    <row r="2232" spans="1:38" s="394" customFormat="1" ht="20.25" outlineLevel="2" x14ac:dyDescent="0.3">
      <c r="A2232" s="447">
        <v>186</v>
      </c>
      <c r="B2232" s="572"/>
      <c r="C2232" s="572"/>
      <c r="D2232" s="612"/>
      <c r="E2232" s="612"/>
      <c r="F2232" s="586"/>
      <c r="G2232" s="709"/>
      <c r="H2232" s="546"/>
      <c r="I2232" s="563" t="s">
        <v>25</v>
      </c>
      <c r="J2232" s="563" t="s">
        <v>25</v>
      </c>
      <c r="K2232" s="564" t="s">
        <v>25</v>
      </c>
      <c r="L2232" s="564" t="s">
        <v>25</v>
      </c>
      <c r="M2232" s="572" t="s">
        <v>165</v>
      </c>
      <c r="N2232" s="572"/>
      <c r="O2232" s="740">
        <v>1</v>
      </c>
      <c r="P2232" s="564">
        <v>180000</v>
      </c>
      <c r="Q2232" s="564">
        <v>180000</v>
      </c>
      <c r="R2232" s="566"/>
      <c r="S2232" s="609"/>
      <c r="T2232" s="741"/>
      <c r="U2232" s="586"/>
      <c r="V2232" s="564" t="s">
        <v>2899</v>
      </c>
      <c r="W2232" s="564" t="s">
        <v>25</v>
      </c>
      <c r="X2232" s="650"/>
      <c r="Y2232" s="586"/>
      <c r="Z2232" s="742"/>
      <c r="AA2232" s="586"/>
      <c r="AB2232" s="586"/>
      <c r="AC2232" s="586"/>
      <c r="AD2232" s="586"/>
      <c r="AE2232" s="714"/>
      <c r="AF2232" s="570" t="s">
        <v>2899</v>
      </c>
      <c r="AG2232" s="570" t="s">
        <v>25</v>
      </c>
      <c r="AH2232" s="571" t="s">
        <v>25</v>
      </c>
      <c r="AI2232" s="586"/>
      <c r="AJ2232" s="586"/>
    </row>
    <row r="2233" spans="1:38" s="394" customFormat="1" ht="40.5" outlineLevel="2" x14ac:dyDescent="0.3">
      <c r="A2233" s="447">
        <v>186</v>
      </c>
      <c r="B2233" s="572"/>
      <c r="C2233" s="572"/>
      <c r="D2233" s="612"/>
      <c r="E2233" s="612"/>
      <c r="F2233" s="586"/>
      <c r="G2233" s="709"/>
      <c r="H2233" s="546"/>
      <c r="I2233" s="563" t="s">
        <v>25</v>
      </c>
      <c r="J2233" s="563" t="s">
        <v>25</v>
      </c>
      <c r="K2233" s="564" t="s">
        <v>25</v>
      </c>
      <c r="L2233" s="564" t="s">
        <v>25</v>
      </c>
      <c r="M2233" s="572" t="s">
        <v>1487</v>
      </c>
      <c r="N2233" s="572"/>
      <c r="O2233" s="740">
        <v>1</v>
      </c>
      <c r="P2233" s="564">
        <v>80000</v>
      </c>
      <c r="Q2233" s="564">
        <v>80000</v>
      </c>
      <c r="R2233" s="566"/>
      <c r="S2233" s="609"/>
      <c r="T2233" s="741"/>
      <c r="U2233" s="586"/>
      <c r="V2233" s="564" t="s">
        <v>2899</v>
      </c>
      <c r="W2233" s="564" t="s">
        <v>25</v>
      </c>
      <c r="X2233" s="650"/>
      <c r="Y2233" s="586"/>
      <c r="Z2233" s="742"/>
      <c r="AA2233" s="586"/>
      <c r="AB2233" s="586"/>
      <c r="AC2233" s="586"/>
      <c r="AD2233" s="586"/>
      <c r="AE2233" s="714"/>
      <c r="AF2233" s="570" t="s">
        <v>2899</v>
      </c>
      <c r="AG2233" s="570" t="s">
        <v>25</v>
      </c>
      <c r="AH2233" s="571" t="s">
        <v>25</v>
      </c>
      <c r="AI2233" s="586"/>
      <c r="AJ2233" s="586"/>
    </row>
    <row r="2234" spans="1:38" s="394" customFormat="1" ht="40.5" outlineLevel="2" x14ac:dyDescent="0.3">
      <c r="A2234" s="447">
        <v>186</v>
      </c>
      <c r="B2234" s="572"/>
      <c r="C2234" s="572"/>
      <c r="D2234" s="612"/>
      <c r="E2234" s="612"/>
      <c r="F2234" s="586"/>
      <c r="G2234" s="709"/>
      <c r="H2234" s="546"/>
      <c r="I2234" s="563" t="s">
        <v>25</v>
      </c>
      <c r="J2234" s="563" t="s">
        <v>25</v>
      </c>
      <c r="K2234" s="564" t="s">
        <v>25</v>
      </c>
      <c r="L2234" s="564" t="s">
        <v>25</v>
      </c>
      <c r="M2234" s="572" t="s">
        <v>1488</v>
      </c>
      <c r="N2234" s="572"/>
      <c r="O2234" s="740">
        <v>2</v>
      </c>
      <c r="P2234" s="564">
        <v>390000</v>
      </c>
      <c r="Q2234" s="564">
        <v>780000</v>
      </c>
      <c r="R2234" s="566"/>
      <c r="S2234" s="609"/>
      <c r="T2234" s="741"/>
      <c r="U2234" s="586"/>
      <c r="V2234" s="564" t="s">
        <v>2899</v>
      </c>
      <c r="W2234" s="564" t="s">
        <v>25</v>
      </c>
      <c r="X2234" s="650"/>
      <c r="Y2234" s="586"/>
      <c r="Z2234" s="742"/>
      <c r="AA2234" s="586"/>
      <c r="AB2234" s="586"/>
      <c r="AC2234" s="586"/>
      <c r="AD2234" s="586"/>
      <c r="AE2234" s="714"/>
      <c r="AF2234" s="570" t="s">
        <v>2899</v>
      </c>
      <c r="AG2234" s="570" t="s">
        <v>25</v>
      </c>
      <c r="AH2234" s="571" t="s">
        <v>25</v>
      </c>
      <c r="AI2234" s="586"/>
      <c r="AJ2234" s="586"/>
    </row>
    <row r="2235" spans="1:38" s="394" customFormat="1" ht="20.25" outlineLevel="2" x14ac:dyDescent="0.3">
      <c r="A2235" s="447">
        <v>186</v>
      </c>
      <c r="B2235" s="572"/>
      <c r="C2235" s="572"/>
      <c r="D2235" s="612"/>
      <c r="E2235" s="612"/>
      <c r="F2235" s="586"/>
      <c r="G2235" s="709"/>
      <c r="H2235" s="546"/>
      <c r="I2235" s="563" t="s">
        <v>25</v>
      </c>
      <c r="J2235" s="563" t="s">
        <v>25</v>
      </c>
      <c r="K2235" s="564" t="s">
        <v>25</v>
      </c>
      <c r="L2235" s="564" t="s">
        <v>25</v>
      </c>
      <c r="M2235" s="572" t="s">
        <v>1489</v>
      </c>
      <c r="N2235" s="572"/>
      <c r="O2235" s="740">
        <v>1</v>
      </c>
      <c r="P2235" s="564">
        <v>2400000</v>
      </c>
      <c r="Q2235" s="564">
        <v>2400000</v>
      </c>
      <c r="R2235" s="566"/>
      <c r="S2235" s="609"/>
      <c r="T2235" s="741"/>
      <c r="U2235" s="586"/>
      <c r="V2235" s="564" t="s">
        <v>2899</v>
      </c>
      <c r="W2235" s="564" t="s">
        <v>25</v>
      </c>
      <c r="X2235" s="650"/>
      <c r="Y2235" s="586"/>
      <c r="Z2235" s="742"/>
      <c r="AA2235" s="586"/>
      <c r="AB2235" s="586"/>
      <c r="AC2235" s="586"/>
      <c r="AD2235" s="586"/>
      <c r="AE2235" s="714"/>
      <c r="AF2235" s="570" t="s">
        <v>2899</v>
      </c>
      <c r="AG2235" s="570" t="s">
        <v>25</v>
      </c>
      <c r="AH2235" s="571" t="s">
        <v>25</v>
      </c>
      <c r="AI2235" s="586"/>
      <c r="AJ2235" s="586"/>
    </row>
    <row r="2236" spans="1:38" s="394" customFormat="1" ht="60.75" outlineLevel="2" x14ac:dyDescent="0.3">
      <c r="A2236" s="447">
        <v>186</v>
      </c>
      <c r="B2236" s="572"/>
      <c r="C2236" s="572"/>
      <c r="D2236" s="612"/>
      <c r="E2236" s="612"/>
      <c r="F2236" s="586"/>
      <c r="G2236" s="709"/>
      <c r="H2236" s="546"/>
      <c r="I2236" s="563" t="s">
        <v>25</v>
      </c>
      <c r="J2236" s="563" t="s">
        <v>25</v>
      </c>
      <c r="K2236" s="564" t="s">
        <v>25</v>
      </c>
      <c r="L2236" s="564" t="s">
        <v>25</v>
      </c>
      <c r="M2236" s="565" t="s">
        <v>429</v>
      </c>
      <c r="N2236" s="565"/>
      <c r="O2236" s="740">
        <v>15</v>
      </c>
      <c r="P2236" s="564">
        <v>12000</v>
      </c>
      <c r="Q2236" s="564">
        <v>180000</v>
      </c>
      <c r="R2236" s="572"/>
      <c r="S2236" s="609"/>
      <c r="T2236" s="741"/>
      <c r="U2236" s="586"/>
      <c r="V2236" s="564" t="s">
        <v>2899</v>
      </c>
      <c r="W2236" s="564" t="s">
        <v>25</v>
      </c>
      <c r="X2236" s="650"/>
      <c r="Y2236" s="586"/>
      <c r="Z2236" s="742"/>
      <c r="AA2236" s="586"/>
      <c r="AB2236" s="586"/>
      <c r="AC2236" s="586"/>
      <c r="AD2236" s="586"/>
      <c r="AE2236" s="714"/>
      <c r="AF2236" s="570" t="s">
        <v>2899</v>
      </c>
      <c r="AG2236" s="570" t="s">
        <v>25</v>
      </c>
      <c r="AH2236" s="571" t="s">
        <v>25</v>
      </c>
      <c r="AI2236" s="586"/>
      <c r="AJ2236" s="586"/>
    </row>
    <row r="2237" spans="1:38" s="394" customFormat="1" ht="20.25" outlineLevel="2" x14ac:dyDescent="0.3">
      <c r="A2237" s="447">
        <v>186</v>
      </c>
      <c r="B2237" s="572"/>
      <c r="C2237" s="572"/>
      <c r="D2237" s="612"/>
      <c r="E2237" s="612"/>
      <c r="F2237" s="586"/>
      <c r="G2237" s="709"/>
      <c r="H2237" s="546"/>
      <c r="I2237" s="563" t="s">
        <v>25</v>
      </c>
      <c r="J2237" s="563" t="s">
        <v>25</v>
      </c>
      <c r="K2237" s="564" t="s">
        <v>25</v>
      </c>
      <c r="L2237" s="564" t="s">
        <v>25</v>
      </c>
      <c r="M2237" s="572"/>
      <c r="N2237" s="572"/>
      <c r="O2237" s="740"/>
      <c r="P2237" s="564" t="s">
        <v>25</v>
      </c>
      <c r="Q2237" s="564" t="s">
        <v>25</v>
      </c>
      <c r="R2237" s="572"/>
      <c r="S2237" s="609"/>
      <c r="T2237" s="741"/>
      <c r="U2237" s="586"/>
      <c r="V2237" s="564" t="s">
        <v>2899</v>
      </c>
      <c r="W2237" s="564" t="s">
        <v>25</v>
      </c>
      <c r="X2237" s="650"/>
      <c r="Y2237" s="586"/>
      <c r="Z2237" s="742"/>
      <c r="AA2237" s="586"/>
      <c r="AB2237" s="586"/>
      <c r="AC2237" s="586"/>
      <c r="AD2237" s="586"/>
      <c r="AE2237" s="714"/>
      <c r="AF2237" s="570" t="s">
        <v>2899</v>
      </c>
      <c r="AG2237" s="570" t="s">
        <v>25</v>
      </c>
      <c r="AH2237" s="571" t="s">
        <v>25</v>
      </c>
      <c r="AI2237" s="586"/>
      <c r="AJ2237" s="586"/>
    </row>
    <row r="2238" spans="1:38" s="394" customFormat="1" ht="20.25" outlineLevel="2" x14ac:dyDescent="0.3">
      <c r="A2238" s="447">
        <v>186</v>
      </c>
      <c r="B2238" s="572"/>
      <c r="C2238" s="572"/>
      <c r="D2238" s="612"/>
      <c r="E2238" s="612"/>
      <c r="F2238" s="586"/>
      <c r="G2238" s="709"/>
      <c r="H2238" s="546"/>
      <c r="I2238" s="563" t="s">
        <v>25</v>
      </c>
      <c r="J2238" s="563" t="s">
        <v>25</v>
      </c>
      <c r="K2238" s="564" t="s">
        <v>25</v>
      </c>
      <c r="L2238" s="564" t="s">
        <v>25</v>
      </c>
      <c r="M2238" s="572"/>
      <c r="N2238" s="572"/>
      <c r="O2238" s="740"/>
      <c r="P2238" s="564" t="s">
        <v>25</v>
      </c>
      <c r="Q2238" s="564" t="s">
        <v>25</v>
      </c>
      <c r="R2238" s="572"/>
      <c r="S2238" s="609"/>
      <c r="T2238" s="741"/>
      <c r="U2238" s="586"/>
      <c r="V2238" s="564" t="s">
        <v>2899</v>
      </c>
      <c r="W2238" s="564" t="s">
        <v>25</v>
      </c>
      <c r="X2238" s="650"/>
      <c r="Y2238" s="586"/>
      <c r="Z2238" s="742"/>
      <c r="AA2238" s="586"/>
      <c r="AB2238" s="586"/>
      <c r="AC2238" s="586"/>
      <c r="AD2238" s="586"/>
      <c r="AE2238" s="714"/>
      <c r="AF2238" s="570" t="s">
        <v>2899</v>
      </c>
      <c r="AG2238" s="570" t="s">
        <v>25</v>
      </c>
      <c r="AH2238" s="571" t="s">
        <v>25</v>
      </c>
      <c r="AI2238" s="586"/>
      <c r="AJ2238" s="586"/>
    </row>
    <row r="2239" spans="1:38" s="394" customFormat="1" ht="20.25" outlineLevel="2" x14ac:dyDescent="0.3">
      <c r="A2239" s="447">
        <v>186</v>
      </c>
      <c r="B2239" s="607"/>
      <c r="C2239" s="607"/>
      <c r="D2239" s="642"/>
      <c r="E2239" s="642"/>
      <c r="F2239" s="586"/>
      <c r="G2239" s="709"/>
      <c r="H2239" s="546"/>
      <c r="I2239" s="563" t="s">
        <v>25</v>
      </c>
      <c r="J2239" s="563" t="s">
        <v>25</v>
      </c>
      <c r="K2239" s="564" t="s">
        <v>25</v>
      </c>
      <c r="L2239" s="564" t="s">
        <v>25</v>
      </c>
      <c r="M2239" s="572"/>
      <c r="N2239" s="572"/>
      <c r="O2239" s="740"/>
      <c r="P2239" s="564" t="s">
        <v>25</v>
      </c>
      <c r="Q2239" s="564" t="s">
        <v>25</v>
      </c>
      <c r="R2239" s="572"/>
      <c r="S2239" s="609"/>
      <c r="T2239" s="741"/>
      <c r="U2239" s="586"/>
      <c r="V2239" s="564" t="s">
        <v>2899</v>
      </c>
      <c r="W2239" s="564" t="s">
        <v>25</v>
      </c>
      <c r="X2239" s="650"/>
      <c r="Y2239" s="586"/>
      <c r="Z2239" s="742"/>
      <c r="AA2239" s="586"/>
      <c r="AB2239" s="586"/>
      <c r="AC2239" s="586"/>
      <c r="AD2239" s="586"/>
      <c r="AE2239" s="714"/>
      <c r="AF2239" s="570" t="s">
        <v>2899</v>
      </c>
      <c r="AG2239" s="570" t="s">
        <v>25</v>
      </c>
      <c r="AH2239" s="571" t="s">
        <v>25</v>
      </c>
      <c r="AI2239" s="586"/>
      <c r="AJ2239" s="586"/>
    </row>
    <row r="2240" spans="1:38" s="396" customFormat="1" ht="40.5" outlineLevel="1" x14ac:dyDescent="0.25">
      <c r="A2240" s="467">
        <v>187</v>
      </c>
      <c r="B2240" s="607" t="s">
        <v>1490</v>
      </c>
      <c r="C2240" s="586" t="s">
        <v>2903</v>
      </c>
      <c r="D2240" s="612">
        <v>86</v>
      </c>
      <c r="E2240" s="612">
        <v>260</v>
      </c>
      <c r="F2240" s="578"/>
      <c r="G2240" s="707">
        <v>9.6</v>
      </c>
      <c r="H2240" s="579">
        <v>9.6</v>
      </c>
      <c r="I2240" s="581"/>
      <c r="J2240" s="581"/>
      <c r="K2240" s="571">
        <v>5322000</v>
      </c>
      <c r="L2240" s="571">
        <v>15967000</v>
      </c>
      <c r="M2240" s="607"/>
      <c r="N2240" s="607"/>
      <c r="O2240" s="738">
        <v>0</v>
      </c>
      <c r="P2240" s="571"/>
      <c r="Q2240" s="571">
        <v>0</v>
      </c>
      <c r="R2240" s="582"/>
      <c r="S2240" s="621"/>
      <c r="T2240" s="739">
        <v>0</v>
      </c>
      <c r="U2240" s="578"/>
      <c r="V2240" s="571"/>
      <c r="W2240" s="571">
        <v>0</v>
      </c>
      <c r="X2240" s="650"/>
      <c r="Y2240" s="586"/>
      <c r="Z2240" s="742"/>
      <c r="AA2240" s="586"/>
      <c r="AB2240" s="586"/>
      <c r="AC2240" s="586"/>
      <c r="AD2240" s="578"/>
      <c r="AE2240" s="712">
        <f>SUBTOTAL(9,AE2241:AE2249)</f>
        <v>0</v>
      </c>
      <c r="AF2240" s="585"/>
      <c r="AG2240" s="585">
        <v>0</v>
      </c>
      <c r="AH2240" s="571">
        <v>21289000</v>
      </c>
      <c r="AI2240" s="578"/>
      <c r="AJ2240" s="578"/>
    </row>
    <row r="2241" spans="1:37" s="396" customFormat="1" ht="121.5" outlineLevel="2" x14ac:dyDescent="0.3">
      <c r="A2241" s="447">
        <v>187</v>
      </c>
      <c r="B2241" s="572" t="s">
        <v>1492</v>
      </c>
      <c r="C2241" s="572"/>
      <c r="D2241" s="612"/>
      <c r="E2241" s="612"/>
      <c r="F2241" s="586" t="s">
        <v>2896</v>
      </c>
      <c r="G2241" s="709">
        <v>9.6</v>
      </c>
      <c r="H2241" s="546">
        <v>9.6</v>
      </c>
      <c r="I2241" s="563">
        <v>554400</v>
      </c>
      <c r="J2241" s="563">
        <v>1663200</v>
      </c>
      <c r="K2241" s="564">
        <v>5322000</v>
      </c>
      <c r="L2241" s="564">
        <v>15967000</v>
      </c>
      <c r="M2241" s="572"/>
      <c r="N2241" s="572"/>
      <c r="O2241" s="740"/>
      <c r="P2241" s="564" t="s">
        <v>25</v>
      </c>
      <c r="Q2241" s="564" t="s">
        <v>25</v>
      </c>
      <c r="R2241" s="566"/>
      <c r="S2241" s="609"/>
      <c r="T2241" s="741"/>
      <c r="U2241" s="586"/>
      <c r="V2241" s="564" t="s">
        <v>2899</v>
      </c>
      <c r="W2241" s="564" t="s">
        <v>25</v>
      </c>
      <c r="X2241" s="650"/>
      <c r="Y2241" s="586"/>
      <c r="Z2241" s="742"/>
      <c r="AA2241" s="586"/>
      <c r="AB2241" s="586"/>
      <c r="AC2241" s="586"/>
      <c r="AD2241" s="586"/>
      <c r="AE2241" s="714"/>
      <c r="AF2241" s="570" t="s">
        <v>2899</v>
      </c>
      <c r="AG2241" s="570"/>
      <c r="AH2241" s="571" t="s">
        <v>25</v>
      </c>
      <c r="AI2241" s="586" t="s">
        <v>1491</v>
      </c>
      <c r="AJ2241" s="586" t="s">
        <v>2771</v>
      </c>
    </row>
    <row r="2242" spans="1:37" s="394" customFormat="1" ht="101.25" outlineLevel="2" x14ac:dyDescent="0.3">
      <c r="A2242" s="447">
        <v>187</v>
      </c>
      <c r="B2242" s="572" t="s">
        <v>1639</v>
      </c>
      <c r="C2242" s="572"/>
      <c r="D2242" s="612"/>
      <c r="E2242" s="612"/>
      <c r="F2242" s="586"/>
      <c r="G2242" s="709"/>
      <c r="H2242" s="546"/>
      <c r="I2242" s="563" t="s">
        <v>25</v>
      </c>
      <c r="J2242" s="563" t="s">
        <v>25</v>
      </c>
      <c r="K2242" s="564" t="s">
        <v>25</v>
      </c>
      <c r="L2242" s="564" t="s">
        <v>25</v>
      </c>
      <c r="M2242" s="572"/>
      <c r="N2242" s="572"/>
      <c r="O2242" s="740"/>
      <c r="P2242" s="564" t="s">
        <v>25</v>
      </c>
      <c r="Q2242" s="564" t="s">
        <v>25</v>
      </c>
      <c r="R2242" s="566"/>
      <c r="S2242" s="609"/>
      <c r="T2242" s="741"/>
      <c r="U2242" s="586"/>
      <c r="V2242" s="564" t="s">
        <v>2899</v>
      </c>
      <c r="W2242" s="564" t="s">
        <v>25</v>
      </c>
      <c r="X2242" s="650"/>
      <c r="Y2242" s="586"/>
      <c r="Z2242" s="742"/>
      <c r="AA2242" s="586"/>
      <c r="AB2242" s="586"/>
      <c r="AC2242" s="586"/>
      <c r="AD2242" s="586"/>
      <c r="AE2242" s="714"/>
      <c r="AF2242" s="570" t="s">
        <v>2899</v>
      </c>
      <c r="AG2242" s="570" t="s">
        <v>25</v>
      </c>
      <c r="AH2242" s="571" t="s">
        <v>25</v>
      </c>
      <c r="AI2242" s="586" t="s">
        <v>1493</v>
      </c>
      <c r="AJ2242" s="605" t="s">
        <v>2448</v>
      </c>
    </row>
    <row r="2243" spans="1:37" s="394" customFormat="1" ht="60.75" outlineLevel="2" x14ac:dyDescent="0.3">
      <c r="A2243" s="447">
        <v>187</v>
      </c>
      <c r="B2243" s="572"/>
      <c r="C2243" s="572"/>
      <c r="D2243" s="612"/>
      <c r="E2243" s="612"/>
      <c r="F2243" s="586"/>
      <c r="G2243" s="709"/>
      <c r="H2243" s="546"/>
      <c r="I2243" s="563" t="s">
        <v>25</v>
      </c>
      <c r="J2243" s="563" t="s">
        <v>25</v>
      </c>
      <c r="K2243" s="564" t="s">
        <v>25</v>
      </c>
      <c r="L2243" s="564" t="s">
        <v>25</v>
      </c>
      <c r="M2243" s="572"/>
      <c r="N2243" s="572"/>
      <c r="O2243" s="740"/>
      <c r="P2243" s="564" t="s">
        <v>25</v>
      </c>
      <c r="Q2243" s="564" t="s">
        <v>25</v>
      </c>
      <c r="R2243" s="566"/>
      <c r="S2243" s="609"/>
      <c r="T2243" s="741"/>
      <c r="U2243" s="586"/>
      <c r="V2243" s="564" t="s">
        <v>2899</v>
      </c>
      <c r="W2243" s="564" t="s">
        <v>25</v>
      </c>
      <c r="X2243" s="650"/>
      <c r="Y2243" s="586"/>
      <c r="Z2243" s="742"/>
      <c r="AA2243" s="586"/>
      <c r="AB2243" s="586"/>
      <c r="AC2243" s="586"/>
      <c r="AD2243" s="586"/>
      <c r="AE2243" s="714"/>
      <c r="AF2243" s="570" t="s">
        <v>2899</v>
      </c>
      <c r="AG2243" s="570" t="s">
        <v>25</v>
      </c>
      <c r="AH2243" s="571" t="s">
        <v>25</v>
      </c>
      <c r="AI2243" s="586" t="s">
        <v>2074</v>
      </c>
      <c r="AJ2243" s="586"/>
    </row>
    <row r="2244" spans="1:37" s="394" customFormat="1" ht="20.25" outlineLevel="2" x14ac:dyDescent="0.3">
      <c r="A2244" s="447">
        <v>187</v>
      </c>
      <c r="B2244" s="572"/>
      <c r="C2244" s="572"/>
      <c r="D2244" s="612"/>
      <c r="E2244" s="612"/>
      <c r="F2244" s="586"/>
      <c r="G2244" s="709"/>
      <c r="H2244" s="546"/>
      <c r="I2244" s="563" t="s">
        <v>25</v>
      </c>
      <c r="J2244" s="563" t="s">
        <v>25</v>
      </c>
      <c r="K2244" s="564" t="s">
        <v>25</v>
      </c>
      <c r="L2244" s="564" t="s">
        <v>25</v>
      </c>
      <c r="M2244" s="572"/>
      <c r="N2244" s="572"/>
      <c r="O2244" s="740"/>
      <c r="P2244" s="564" t="s">
        <v>25</v>
      </c>
      <c r="Q2244" s="564" t="s">
        <v>25</v>
      </c>
      <c r="R2244" s="572"/>
      <c r="S2244" s="609"/>
      <c r="T2244" s="741"/>
      <c r="U2244" s="586"/>
      <c r="V2244" s="564" t="s">
        <v>2899</v>
      </c>
      <c r="W2244" s="564" t="s">
        <v>25</v>
      </c>
      <c r="X2244" s="650"/>
      <c r="Y2244" s="586"/>
      <c r="Z2244" s="742"/>
      <c r="AA2244" s="586"/>
      <c r="AB2244" s="586"/>
      <c r="AC2244" s="586"/>
      <c r="AD2244" s="586"/>
      <c r="AE2244" s="714"/>
      <c r="AF2244" s="570" t="s">
        <v>2899</v>
      </c>
      <c r="AG2244" s="570" t="s">
        <v>25</v>
      </c>
      <c r="AH2244" s="571" t="s">
        <v>25</v>
      </c>
      <c r="AI2244" s="731"/>
      <c r="AJ2244" s="586"/>
    </row>
    <row r="2245" spans="1:37" s="394" customFormat="1" ht="20.25" outlineLevel="2" x14ac:dyDescent="0.3">
      <c r="A2245" s="447">
        <v>187</v>
      </c>
      <c r="B2245" s="572"/>
      <c r="C2245" s="572"/>
      <c r="D2245" s="612"/>
      <c r="E2245" s="612"/>
      <c r="F2245" s="586"/>
      <c r="G2245" s="709"/>
      <c r="H2245" s="546"/>
      <c r="I2245" s="563" t="s">
        <v>25</v>
      </c>
      <c r="J2245" s="563" t="s">
        <v>25</v>
      </c>
      <c r="K2245" s="564" t="s">
        <v>25</v>
      </c>
      <c r="L2245" s="564" t="s">
        <v>25</v>
      </c>
      <c r="M2245" s="572"/>
      <c r="N2245" s="572"/>
      <c r="O2245" s="740"/>
      <c r="P2245" s="564" t="s">
        <v>25</v>
      </c>
      <c r="Q2245" s="564" t="s">
        <v>25</v>
      </c>
      <c r="R2245" s="572"/>
      <c r="S2245" s="609"/>
      <c r="T2245" s="741"/>
      <c r="U2245" s="586"/>
      <c r="V2245" s="564" t="s">
        <v>2899</v>
      </c>
      <c r="W2245" s="564" t="s">
        <v>25</v>
      </c>
      <c r="X2245" s="650"/>
      <c r="Y2245" s="586"/>
      <c r="Z2245" s="742"/>
      <c r="AA2245" s="586"/>
      <c r="AB2245" s="586"/>
      <c r="AC2245" s="586"/>
      <c r="AD2245" s="586"/>
      <c r="AE2245" s="714"/>
      <c r="AF2245" s="570" t="s">
        <v>2899</v>
      </c>
      <c r="AG2245" s="570" t="s">
        <v>25</v>
      </c>
      <c r="AH2245" s="571" t="s">
        <v>25</v>
      </c>
      <c r="AI2245" s="586"/>
      <c r="AJ2245" s="586"/>
    </row>
    <row r="2246" spans="1:37" s="394" customFormat="1" ht="20.25" outlineLevel="2" x14ac:dyDescent="0.3">
      <c r="A2246" s="447">
        <v>187</v>
      </c>
      <c r="B2246" s="572"/>
      <c r="C2246" s="572"/>
      <c r="D2246" s="612"/>
      <c r="E2246" s="612"/>
      <c r="F2246" s="586"/>
      <c r="G2246" s="709"/>
      <c r="H2246" s="546"/>
      <c r="I2246" s="563" t="s">
        <v>25</v>
      </c>
      <c r="J2246" s="563" t="s">
        <v>25</v>
      </c>
      <c r="K2246" s="564" t="s">
        <v>25</v>
      </c>
      <c r="L2246" s="564" t="s">
        <v>25</v>
      </c>
      <c r="M2246" s="572"/>
      <c r="N2246" s="572"/>
      <c r="O2246" s="740"/>
      <c r="P2246" s="564" t="s">
        <v>25</v>
      </c>
      <c r="Q2246" s="564" t="s">
        <v>25</v>
      </c>
      <c r="R2246" s="572"/>
      <c r="S2246" s="609"/>
      <c r="T2246" s="741"/>
      <c r="U2246" s="586"/>
      <c r="V2246" s="564" t="s">
        <v>2899</v>
      </c>
      <c r="W2246" s="564" t="s">
        <v>25</v>
      </c>
      <c r="X2246" s="650"/>
      <c r="Y2246" s="586"/>
      <c r="Z2246" s="742"/>
      <c r="AA2246" s="586"/>
      <c r="AB2246" s="586"/>
      <c r="AC2246" s="586"/>
      <c r="AD2246" s="586"/>
      <c r="AE2246" s="714"/>
      <c r="AF2246" s="570" t="s">
        <v>2899</v>
      </c>
      <c r="AG2246" s="570" t="s">
        <v>25</v>
      </c>
      <c r="AH2246" s="571" t="s">
        <v>25</v>
      </c>
      <c r="AI2246" s="586"/>
      <c r="AJ2246" s="586"/>
    </row>
    <row r="2247" spans="1:37" s="394" customFormat="1" ht="20.25" outlineLevel="2" x14ac:dyDescent="0.3">
      <c r="A2247" s="447">
        <v>187</v>
      </c>
      <c r="B2247" s="572"/>
      <c r="C2247" s="572"/>
      <c r="D2247" s="612"/>
      <c r="E2247" s="612"/>
      <c r="F2247" s="586"/>
      <c r="G2247" s="709"/>
      <c r="H2247" s="546"/>
      <c r="I2247" s="563" t="s">
        <v>25</v>
      </c>
      <c r="J2247" s="563" t="s">
        <v>25</v>
      </c>
      <c r="K2247" s="564" t="s">
        <v>25</v>
      </c>
      <c r="L2247" s="564" t="s">
        <v>25</v>
      </c>
      <c r="M2247" s="572"/>
      <c r="N2247" s="572"/>
      <c r="O2247" s="740"/>
      <c r="P2247" s="564" t="s">
        <v>25</v>
      </c>
      <c r="Q2247" s="564" t="s">
        <v>25</v>
      </c>
      <c r="R2247" s="572"/>
      <c r="S2247" s="609"/>
      <c r="T2247" s="741"/>
      <c r="U2247" s="586"/>
      <c r="V2247" s="564" t="s">
        <v>2899</v>
      </c>
      <c r="W2247" s="564" t="s">
        <v>25</v>
      </c>
      <c r="X2247" s="650"/>
      <c r="Y2247" s="586"/>
      <c r="Z2247" s="742"/>
      <c r="AA2247" s="586"/>
      <c r="AB2247" s="586"/>
      <c r="AC2247" s="586"/>
      <c r="AD2247" s="586"/>
      <c r="AE2247" s="714"/>
      <c r="AF2247" s="570" t="s">
        <v>2899</v>
      </c>
      <c r="AG2247" s="570" t="s">
        <v>25</v>
      </c>
      <c r="AH2247" s="571" t="s">
        <v>25</v>
      </c>
      <c r="AI2247" s="572"/>
      <c r="AJ2247" s="572"/>
    </row>
    <row r="2248" spans="1:37" s="394" customFormat="1" ht="20.25" outlineLevel="2" x14ac:dyDescent="0.3">
      <c r="A2248" s="447">
        <v>187</v>
      </c>
      <c r="B2248" s="572"/>
      <c r="C2248" s="572"/>
      <c r="D2248" s="612"/>
      <c r="E2248" s="612"/>
      <c r="F2248" s="586"/>
      <c r="G2248" s="709"/>
      <c r="H2248" s="546"/>
      <c r="I2248" s="563" t="s">
        <v>25</v>
      </c>
      <c r="J2248" s="563" t="s">
        <v>25</v>
      </c>
      <c r="K2248" s="564" t="s">
        <v>25</v>
      </c>
      <c r="L2248" s="564" t="s">
        <v>25</v>
      </c>
      <c r="M2248" s="572"/>
      <c r="N2248" s="572"/>
      <c r="O2248" s="740"/>
      <c r="P2248" s="564" t="s">
        <v>25</v>
      </c>
      <c r="Q2248" s="564" t="s">
        <v>25</v>
      </c>
      <c r="R2248" s="572"/>
      <c r="S2248" s="609"/>
      <c r="T2248" s="741"/>
      <c r="U2248" s="586"/>
      <c r="V2248" s="564" t="s">
        <v>2899</v>
      </c>
      <c r="W2248" s="564" t="s">
        <v>25</v>
      </c>
      <c r="X2248" s="650"/>
      <c r="Y2248" s="586"/>
      <c r="Z2248" s="742"/>
      <c r="AA2248" s="586"/>
      <c r="AB2248" s="586"/>
      <c r="AC2248" s="586"/>
      <c r="AD2248" s="586"/>
      <c r="AE2248" s="714"/>
      <c r="AF2248" s="570" t="s">
        <v>2899</v>
      </c>
      <c r="AG2248" s="570" t="s">
        <v>25</v>
      </c>
      <c r="AH2248" s="571" t="s">
        <v>25</v>
      </c>
      <c r="AI2248" s="558"/>
      <c r="AJ2248" s="558"/>
    </row>
    <row r="2249" spans="1:37" s="394" customFormat="1" ht="20.25" outlineLevel="2" x14ac:dyDescent="0.3">
      <c r="A2249" s="447">
        <v>187</v>
      </c>
      <c r="B2249" s="607"/>
      <c r="C2249" s="607"/>
      <c r="D2249" s="642"/>
      <c r="E2249" s="642"/>
      <c r="F2249" s="586"/>
      <c r="G2249" s="709"/>
      <c r="H2249" s="546"/>
      <c r="I2249" s="563" t="s">
        <v>25</v>
      </c>
      <c r="J2249" s="563" t="s">
        <v>25</v>
      </c>
      <c r="K2249" s="564" t="s">
        <v>25</v>
      </c>
      <c r="L2249" s="564" t="s">
        <v>25</v>
      </c>
      <c r="M2249" s="572"/>
      <c r="N2249" s="572"/>
      <c r="O2249" s="740"/>
      <c r="P2249" s="564" t="s">
        <v>25</v>
      </c>
      <c r="Q2249" s="564" t="s">
        <v>25</v>
      </c>
      <c r="R2249" s="572"/>
      <c r="S2249" s="609"/>
      <c r="T2249" s="741"/>
      <c r="U2249" s="586"/>
      <c r="V2249" s="564" t="s">
        <v>2899</v>
      </c>
      <c r="W2249" s="564" t="s">
        <v>25</v>
      </c>
      <c r="X2249" s="650"/>
      <c r="Y2249" s="586"/>
      <c r="Z2249" s="742"/>
      <c r="AA2249" s="586"/>
      <c r="AB2249" s="586"/>
      <c r="AC2249" s="586"/>
      <c r="AD2249" s="586"/>
      <c r="AE2249" s="714"/>
      <c r="AF2249" s="570" t="s">
        <v>2899</v>
      </c>
      <c r="AG2249" s="570" t="s">
        <v>25</v>
      </c>
      <c r="AH2249" s="571" t="s">
        <v>25</v>
      </c>
      <c r="AI2249" s="586"/>
      <c r="AJ2249" s="586"/>
    </row>
    <row r="2250" spans="1:37" s="396" customFormat="1" ht="81" outlineLevel="1" x14ac:dyDescent="0.25">
      <c r="A2250" s="467">
        <v>188</v>
      </c>
      <c r="B2250" s="607" t="s">
        <v>2245</v>
      </c>
      <c r="C2250" s="586" t="s">
        <v>2903</v>
      </c>
      <c r="D2250" s="612">
        <v>86</v>
      </c>
      <c r="E2250" s="612">
        <v>399</v>
      </c>
      <c r="F2250" s="578"/>
      <c r="G2250" s="707">
        <v>2.5</v>
      </c>
      <c r="H2250" s="579">
        <v>2.5</v>
      </c>
      <c r="I2250" s="581"/>
      <c r="J2250" s="581"/>
      <c r="K2250" s="571">
        <v>1386000</v>
      </c>
      <c r="L2250" s="571">
        <v>4158000</v>
      </c>
      <c r="M2250" s="607"/>
      <c r="N2250" s="607"/>
      <c r="O2250" s="738">
        <v>0</v>
      </c>
      <c r="P2250" s="571"/>
      <c r="Q2250" s="571">
        <v>0</v>
      </c>
      <c r="R2250" s="582"/>
      <c r="S2250" s="621"/>
      <c r="T2250" s="739">
        <v>0</v>
      </c>
      <c r="U2250" s="578"/>
      <c r="V2250" s="571"/>
      <c r="W2250" s="571">
        <v>0</v>
      </c>
      <c r="X2250" s="650"/>
      <c r="Y2250" s="586"/>
      <c r="Z2250" s="742"/>
      <c r="AA2250" s="586"/>
      <c r="AB2250" s="586"/>
      <c r="AC2250" s="586"/>
      <c r="AD2250" s="578"/>
      <c r="AE2250" s="712">
        <f>SUBTOTAL(9,AE2251:AE2259)</f>
        <v>0</v>
      </c>
      <c r="AF2250" s="585"/>
      <c r="AG2250" s="585">
        <v>0</v>
      </c>
      <c r="AH2250" s="571">
        <v>5544000</v>
      </c>
      <c r="AI2250" s="578"/>
      <c r="AJ2250" s="578"/>
      <c r="AK2250" s="469"/>
    </row>
    <row r="2251" spans="1:37" s="396" customFormat="1" ht="202.5" outlineLevel="2" x14ac:dyDescent="0.3">
      <c r="A2251" s="447">
        <v>188</v>
      </c>
      <c r="B2251" s="572"/>
      <c r="C2251" s="572"/>
      <c r="D2251" s="612"/>
      <c r="E2251" s="612"/>
      <c r="F2251" s="586" t="s">
        <v>2896</v>
      </c>
      <c r="G2251" s="709">
        <v>2.5</v>
      </c>
      <c r="H2251" s="546">
        <v>2.5</v>
      </c>
      <c r="I2251" s="563">
        <v>554400</v>
      </c>
      <c r="J2251" s="563">
        <v>1663200</v>
      </c>
      <c r="K2251" s="564">
        <v>1386000</v>
      </c>
      <c r="L2251" s="564">
        <v>4158000</v>
      </c>
      <c r="M2251" s="572"/>
      <c r="N2251" s="572"/>
      <c r="O2251" s="740"/>
      <c r="P2251" s="564" t="s">
        <v>25</v>
      </c>
      <c r="Q2251" s="564" t="s">
        <v>25</v>
      </c>
      <c r="R2251" s="566"/>
      <c r="S2251" s="609"/>
      <c r="T2251" s="741"/>
      <c r="U2251" s="586"/>
      <c r="V2251" s="564" t="s">
        <v>2899</v>
      </c>
      <c r="W2251" s="564" t="s">
        <v>25</v>
      </c>
      <c r="X2251" s="650"/>
      <c r="Y2251" s="586"/>
      <c r="Z2251" s="742"/>
      <c r="AA2251" s="586"/>
      <c r="AB2251" s="586"/>
      <c r="AC2251" s="586"/>
      <c r="AD2251" s="586"/>
      <c r="AE2251" s="714"/>
      <c r="AF2251" s="570" t="s">
        <v>2899</v>
      </c>
      <c r="AG2251" s="570" t="s">
        <v>25</v>
      </c>
      <c r="AH2251" s="571" t="s">
        <v>25</v>
      </c>
      <c r="AI2251" s="586" t="s">
        <v>2796</v>
      </c>
      <c r="AJ2251" s="586" t="s">
        <v>2771</v>
      </c>
      <c r="AK2251" s="437" t="s">
        <v>2246</v>
      </c>
    </row>
    <row r="2252" spans="1:37" s="394" customFormat="1" ht="81" outlineLevel="2" x14ac:dyDescent="0.3">
      <c r="A2252" s="447">
        <v>188</v>
      </c>
      <c r="B2252" s="572"/>
      <c r="C2252" s="572"/>
      <c r="D2252" s="612"/>
      <c r="E2252" s="612"/>
      <c r="F2252" s="586"/>
      <c r="G2252" s="709"/>
      <c r="H2252" s="546"/>
      <c r="I2252" s="563" t="s">
        <v>25</v>
      </c>
      <c r="J2252" s="563" t="s">
        <v>25</v>
      </c>
      <c r="K2252" s="564" t="s">
        <v>25</v>
      </c>
      <c r="L2252" s="564" t="s">
        <v>25</v>
      </c>
      <c r="M2252" s="572"/>
      <c r="N2252" s="572"/>
      <c r="O2252" s="740"/>
      <c r="P2252" s="564" t="s">
        <v>25</v>
      </c>
      <c r="Q2252" s="564" t="s">
        <v>25</v>
      </c>
      <c r="R2252" s="566"/>
      <c r="S2252" s="609"/>
      <c r="T2252" s="741"/>
      <c r="U2252" s="586"/>
      <c r="V2252" s="564" t="s">
        <v>2899</v>
      </c>
      <c r="W2252" s="564" t="s">
        <v>25</v>
      </c>
      <c r="X2252" s="650"/>
      <c r="Y2252" s="586"/>
      <c r="Z2252" s="742"/>
      <c r="AA2252" s="586"/>
      <c r="AB2252" s="586"/>
      <c r="AC2252" s="586"/>
      <c r="AD2252" s="586"/>
      <c r="AE2252" s="714"/>
      <c r="AF2252" s="570" t="s">
        <v>2899</v>
      </c>
      <c r="AG2252" s="570" t="s">
        <v>25</v>
      </c>
      <c r="AH2252" s="571" t="s">
        <v>25</v>
      </c>
      <c r="AI2252" s="586"/>
      <c r="AJ2252" s="605" t="s">
        <v>2448</v>
      </c>
      <c r="AK2252" s="438"/>
    </row>
    <row r="2253" spans="1:37" s="394" customFormat="1" ht="20.25" outlineLevel="2" x14ac:dyDescent="0.3">
      <c r="A2253" s="447">
        <v>188</v>
      </c>
      <c r="B2253" s="572"/>
      <c r="C2253" s="572"/>
      <c r="D2253" s="612"/>
      <c r="E2253" s="612"/>
      <c r="F2253" s="586"/>
      <c r="G2253" s="709"/>
      <c r="H2253" s="546"/>
      <c r="I2253" s="563" t="s">
        <v>25</v>
      </c>
      <c r="J2253" s="563" t="s">
        <v>25</v>
      </c>
      <c r="K2253" s="564" t="s">
        <v>25</v>
      </c>
      <c r="L2253" s="564" t="s">
        <v>25</v>
      </c>
      <c r="M2253" s="572"/>
      <c r="N2253" s="572"/>
      <c r="O2253" s="740"/>
      <c r="P2253" s="564" t="s">
        <v>25</v>
      </c>
      <c r="Q2253" s="564" t="s">
        <v>25</v>
      </c>
      <c r="R2253" s="566"/>
      <c r="S2253" s="609"/>
      <c r="T2253" s="741"/>
      <c r="U2253" s="586"/>
      <c r="V2253" s="564" t="s">
        <v>2899</v>
      </c>
      <c r="W2253" s="564" t="s">
        <v>25</v>
      </c>
      <c r="X2253" s="650"/>
      <c r="Y2253" s="586"/>
      <c r="Z2253" s="742"/>
      <c r="AA2253" s="586"/>
      <c r="AB2253" s="586"/>
      <c r="AC2253" s="586"/>
      <c r="AD2253" s="586"/>
      <c r="AE2253" s="714"/>
      <c r="AF2253" s="570" t="s">
        <v>2899</v>
      </c>
      <c r="AG2253" s="570" t="s">
        <v>25</v>
      </c>
      <c r="AH2253" s="571" t="s">
        <v>25</v>
      </c>
      <c r="AI2253" s="586"/>
      <c r="AJ2253" s="586"/>
      <c r="AK2253" s="439"/>
    </row>
    <row r="2254" spans="1:37" s="394" customFormat="1" ht="20.25" outlineLevel="2" x14ac:dyDescent="0.3">
      <c r="A2254" s="447">
        <v>188</v>
      </c>
      <c r="B2254" s="572"/>
      <c r="C2254" s="572"/>
      <c r="D2254" s="612"/>
      <c r="E2254" s="612"/>
      <c r="F2254" s="586"/>
      <c r="G2254" s="709"/>
      <c r="H2254" s="546"/>
      <c r="I2254" s="563" t="s">
        <v>25</v>
      </c>
      <c r="J2254" s="563" t="s">
        <v>25</v>
      </c>
      <c r="K2254" s="564" t="s">
        <v>25</v>
      </c>
      <c r="L2254" s="564" t="s">
        <v>25</v>
      </c>
      <c r="M2254" s="572"/>
      <c r="N2254" s="572"/>
      <c r="O2254" s="740"/>
      <c r="P2254" s="564" t="s">
        <v>25</v>
      </c>
      <c r="Q2254" s="564" t="s">
        <v>25</v>
      </c>
      <c r="R2254" s="572"/>
      <c r="S2254" s="609"/>
      <c r="T2254" s="741"/>
      <c r="U2254" s="586"/>
      <c r="V2254" s="564" t="s">
        <v>2899</v>
      </c>
      <c r="W2254" s="564" t="s">
        <v>25</v>
      </c>
      <c r="X2254" s="650"/>
      <c r="Y2254" s="586"/>
      <c r="Z2254" s="742"/>
      <c r="AA2254" s="586"/>
      <c r="AB2254" s="586"/>
      <c r="AC2254" s="586"/>
      <c r="AD2254" s="586"/>
      <c r="AE2254" s="714"/>
      <c r="AF2254" s="570" t="s">
        <v>2899</v>
      </c>
      <c r="AG2254" s="570" t="s">
        <v>25</v>
      </c>
      <c r="AH2254" s="571" t="s">
        <v>25</v>
      </c>
      <c r="AI2254" s="586"/>
      <c r="AJ2254" s="586"/>
      <c r="AK2254" s="438"/>
    </row>
    <row r="2255" spans="1:37" s="394" customFormat="1" ht="20.25" outlineLevel="2" x14ac:dyDescent="0.3">
      <c r="A2255" s="447">
        <v>188</v>
      </c>
      <c r="B2255" s="572"/>
      <c r="C2255" s="572"/>
      <c r="D2255" s="612"/>
      <c r="E2255" s="612"/>
      <c r="F2255" s="586"/>
      <c r="G2255" s="709"/>
      <c r="H2255" s="546"/>
      <c r="I2255" s="563" t="s">
        <v>25</v>
      </c>
      <c r="J2255" s="563" t="s">
        <v>25</v>
      </c>
      <c r="K2255" s="564" t="s">
        <v>25</v>
      </c>
      <c r="L2255" s="564" t="s">
        <v>25</v>
      </c>
      <c r="M2255" s="572"/>
      <c r="N2255" s="572"/>
      <c r="O2255" s="740"/>
      <c r="P2255" s="564" t="s">
        <v>25</v>
      </c>
      <c r="Q2255" s="564" t="s">
        <v>25</v>
      </c>
      <c r="R2255" s="572"/>
      <c r="S2255" s="609"/>
      <c r="T2255" s="741"/>
      <c r="U2255" s="586"/>
      <c r="V2255" s="564" t="s">
        <v>2899</v>
      </c>
      <c r="W2255" s="564" t="s">
        <v>25</v>
      </c>
      <c r="X2255" s="650"/>
      <c r="Y2255" s="586"/>
      <c r="Z2255" s="742"/>
      <c r="AA2255" s="586"/>
      <c r="AB2255" s="586"/>
      <c r="AC2255" s="586"/>
      <c r="AD2255" s="586"/>
      <c r="AE2255" s="714"/>
      <c r="AF2255" s="570" t="s">
        <v>2899</v>
      </c>
      <c r="AG2255" s="570" t="s">
        <v>25</v>
      </c>
      <c r="AH2255" s="571" t="s">
        <v>25</v>
      </c>
      <c r="AI2255" s="572"/>
      <c r="AJ2255" s="572"/>
      <c r="AK2255" s="438"/>
    </row>
    <row r="2256" spans="1:37" s="394" customFormat="1" ht="20.25" outlineLevel="2" x14ac:dyDescent="0.3">
      <c r="A2256" s="447">
        <v>188</v>
      </c>
      <c r="B2256" s="572"/>
      <c r="C2256" s="572"/>
      <c r="D2256" s="612"/>
      <c r="E2256" s="612"/>
      <c r="F2256" s="586"/>
      <c r="G2256" s="709"/>
      <c r="H2256" s="546"/>
      <c r="I2256" s="563" t="s">
        <v>25</v>
      </c>
      <c r="J2256" s="563" t="s">
        <v>25</v>
      </c>
      <c r="K2256" s="564" t="s">
        <v>25</v>
      </c>
      <c r="L2256" s="564" t="s">
        <v>25</v>
      </c>
      <c r="M2256" s="572"/>
      <c r="N2256" s="572"/>
      <c r="O2256" s="740"/>
      <c r="P2256" s="564" t="s">
        <v>25</v>
      </c>
      <c r="Q2256" s="564" t="s">
        <v>25</v>
      </c>
      <c r="R2256" s="572"/>
      <c r="S2256" s="609"/>
      <c r="T2256" s="741"/>
      <c r="U2256" s="586"/>
      <c r="V2256" s="564" t="s">
        <v>2899</v>
      </c>
      <c r="W2256" s="564" t="s">
        <v>25</v>
      </c>
      <c r="X2256" s="650"/>
      <c r="Y2256" s="586"/>
      <c r="Z2256" s="742"/>
      <c r="AA2256" s="586"/>
      <c r="AB2256" s="586"/>
      <c r="AC2256" s="586"/>
      <c r="AD2256" s="586"/>
      <c r="AE2256" s="714"/>
      <c r="AF2256" s="570" t="s">
        <v>2899</v>
      </c>
      <c r="AG2256" s="570" t="s">
        <v>25</v>
      </c>
      <c r="AH2256" s="571" t="s">
        <v>25</v>
      </c>
      <c r="AI2256" s="558"/>
      <c r="AJ2256" s="558"/>
    </row>
    <row r="2257" spans="1:36" s="394" customFormat="1" ht="20.25" outlineLevel="2" x14ac:dyDescent="0.3">
      <c r="A2257" s="447">
        <v>188</v>
      </c>
      <c r="B2257" s="572"/>
      <c r="C2257" s="572"/>
      <c r="D2257" s="612"/>
      <c r="E2257" s="612"/>
      <c r="F2257" s="586"/>
      <c r="G2257" s="709"/>
      <c r="H2257" s="546"/>
      <c r="I2257" s="563" t="s">
        <v>25</v>
      </c>
      <c r="J2257" s="563" t="s">
        <v>25</v>
      </c>
      <c r="K2257" s="564" t="s">
        <v>25</v>
      </c>
      <c r="L2257" s="564" t="s">
        <v>25</v>
      </c>
      <c r="M2257" s="572"/>
      <c r="N2257" s="572"/>
      <c r="O2257" s="740"/>
      <c r="P2257" s="564" t="s">
        <v>25</v>
      </c>
      <c r="Q2257" s="564" t="s">
        <v>25</v>
      </c>
      <c r="R2257" s="572"/>
      <c r="S2257" s="609"/>
      <c r="T2257" s="741"/>
      <c r="U2257" s="586"/>
      <c r="V2257" s="564" t="s">
        <v>2899</v>
      </c>
      <c r="W2257" s="564" t="s">
        <v>25</v>
      </c>
      <c r="X2257" s="650"/>
      <c r="Y2257" s="586"/>
      <c r="Z2257" s="742"/>
      <c r="AA2257" s="586"/>
      <c r="AB2257" s="586"/>
      <c r="AC2257" s="586"/>
      <c r="AD2257" s="586"/>
      <c r="AE2257" s="714"/>
      <c r="AF2257" s="570" t="s">
        <v>2899</v>
      </c>
      <c r="AG2257" s="570" t="s">
        <v>25</v>
      </c>
      <c r="AH2257" s="571" t="s">
        <v>25</v>
      </c>
      <c r="AI2257" s="586"/>
      <c r="AJ2257" s="586"/>
    </row>
    <row r="2258" spans="1:36" s="394" customFormat="1" ht="20.25" outlineLevel="2" x14ac:dyDescent="0.3">
      <c r="A2258" s="447">
        <v>188</v>
      </c>
      <c r="B2258" s="572"/>
      <c r="C2258" s="572"/>
      <c r="D2258" s="612"/>
      <c r="E2258" s="612"/>
      <c r="F2258" s="586"/>
      <c r="G2258" s="709"/>
      <c r="H2258" s="546"/>
      <c r="I2258" s="563" t="s">
        <v>25</v>
      </c>
      <c r="J2258" s="563" t="s">
        <v>25</v>
      </c>
      <c r="K2258" s="564" t="s">
        <v>25</v>
      </c>
      <c r="L2258" s="564" t="s">
        <v>25</v>
      </c>
      <c r="M2258" s="572"/>
      <c r="N2258" s="572"/>
      <c r="O2258" s="740"/>
      <c r="P2258" s="564" t="s">
        <v>25</v>
      </c>
      <c r="Q2258" s="564" t="s">
        <v>25</v>
      </c>
      <c r="R2258" s="572"/>
      <c r="S2258" s="609"/>
      <c r="T2258" s="741"/>
      <c r="U2258" s="586"/>
      <c r="V2258" s="564" t="s">
        <v>2899</v>
      </c>
      <c r="W2258" s="564" t="s">
        <v>25</v>
      </c>
      <c r="X2258" s="650"/>
      <c r="Y2258" s="586"/>
      <c r="Z2258" s="742"/>
      <c r="AA2258" s="586"/>
      <c r="AB2258" s="586"/>
      <c r="AC2258" s="586"/>
      <c r="AD2258" s="586"/>
      <c r="AE2258" s="714"/>
      <c r="AF2258" s="570" t="s">
        <v>2899</v>
      </c>
      <c r="AG2258" s="570" t="s">
        <v>25</v>
      </c>
      <c r="AH2258" s="571" t="s">
        <v>25</v>
      </c>
      <c r="AI2258" s="586"/>
      <c r="AJ2258" s="586"/>
    </row>
    <row r="2259" spans="1:36" s="394" customFormat="1" ht="20.25" outlineLevel="2" x14ac:dyDescent="0.3">
      <c r="A2259" s="447">
        <v>188</v>
      </c>
      <c r="B2259" s="607"/>
      <c r="C2259" s="607"/>
      <c r="D2259" s="642"/>
      <c r="E2259" s="642"/>
      <c r="F2259" s="586"/>
      <c r="G2259" s="709"/>
      <c r="H2259" s="546"/>
      <c r="I2259" s="563" t="s">
        <v>25</v>
      </c>
      <c r="J2259" s="563" t="s">
        <v>25</v>
      </c>
      <c r="K2259" s="564" t="s">
        <v>25</v>
      </c>
      <c r="L2259" s="564" t="s">
        <v>25</v>
      </c>
      <c r="M2259" s="572"/>
      <c r="N2259" s="572"/>
      <c r="O2259" s="740"/>
      <c r="P2259" s="564" t="s">
        <v>25</v>
      </c>
      <c r="Q2259" s="564" t="s">
        <v>25</v>
      </c>
      <c r="R2259" s="572"/>
      <c r="S2259" s="609"/>
      <c r="T2259" s="741"/>
      <c r="U2259" s="586"/>
      <c r="V2259" s="564" t="s">
        <v>2899</v>
      </c>
      <c r="W2259" s="564" t="s">
        <v>25</v>
      </c>
      <c r="X2259" s="650"/>
      <c r="Y2259" s="586"/>
      <c r="Z2259" s="742"/>
      <c r="AA2259" s="586"/>
      <c r="AB2259" s="586"/>
      <c r="AC2259" s="586"/>
      <c r="AD2259" s="586"/>
      <c r="AE2259" s="714"/>
      <c r="AF2259" s="570" t="s">
        <v>2899</v>
      </c>
      <c r="AG2259" s="570" t="s">
        <v>25</v>
      </c>
      <c r="AH2259" s="571" t="s">
        <v>25</v>
      </c>
      <c r="AI2259" s="586"/>
      <c r="AJ2259" s="586"/>
    </row>
    <row r="2260" spans="1:36" s="396" customFormat="1" ht="40.5" outlineLevel="1" x14ac:dyDescent="0.25">
      <c r="A2260" s="467">
        <v>189</v>
      </c>
      <c r="B2260" s="607" t="s">
        <v>1497</v>
      </c>
      <c r="C2260" s="586" t="s">
        <v>2903</v>
      </c>
      <c r="D2260" s="612">
        <v>86</v>
      </c>
      <c r="E2260" s="612">
        <v>123</v>
      </c>
      <c r="F2260" s="578"/>
      <c r="G2260" s="707">
        <v>119.2</v>
      </c>
      <c r="H2260" s="579">
        <v>119.2</v>
      </c>
      <c r="I2260" s="581"/>
      <c r="J2260" s="581"/>
      <c r="K2260" s="571">
        <v>55500000</v>
      </c>
      <c r="L2260" s="571">
        <v>166499000</v>
      </c>
      <c r="M2260" s="607"/>
      <c r="N2260" s="607"/>
      <c r="O2260" s="738">
        <v>0</v>
      </c>
      <c r="P2260" s="571"/>
      <c r="Q2260" s="571">
        <v>0</v>
      </c>
      <c r="R2260" s="582"/>
      <c r="S2260" s="621"/>
      <c r="T2260" s="739">
        <v>0</v>
      </c>
      <c r="U2260" s="578"/>
      <c r="V2260" s="571"/>
      <c r="W2260" s="571">
        <v>0</v>
      </c>
      <c r="X2260" s="650"/>
      <c r="Y2260" s="586"/>
      <c r="Z2260" s="742"/>
      <c r="AA2260" s="586"/>
      <c r="AB2260" s="586"/>
      <c r="AC2260" s="586"/>
      <c r="AD2260" s="578"/>
      <c r="AE2260" s="712">
        <f>SUBTOTAL(9,AE2261:AE2269)</f>
        <v>0</v>
      </c>
      <c r="AF2260" s="585"/>
      <c r="AG2260" s="585">
        <v>0</v>
      </c>
      <c r="AH2260" s="571">
        <v>221999000</v>
      </c>
      <c r="AI2260" s="578"/>
      <c r="AJ2260" s="578"/>
    </row>
    <row r="2261" spans="1:36" s="396" customFormat="1" ht="121.5" outlineLevel="2" x14ac:dyDescent="0.3">
      <c r="A2261" s="447">
        <v>189</v>
      </c>
      <c r="B2261" s="572" t="s">
        <v>1499</v>
      </c>
      <c r="C2261" s="572"/>
      <c r="D2261" s="612"/>
      <c r="E2261" s="612"/>
      <c r="F2261" s="586" t="s">
        <v>2871</v>
      </c>
      <c r="G2261" s="709">
        <v>119.2</v>
      </c>
      <c r="H2261" s="546">
        <v>119.2</v>
      </c>
      <c r="I2261" s="563">
        <v>465600</v>
      </c>
      <c r="J2261" s="563">
        <v>1396800</v>
      </c>
      <c r="K2261" s="564">
        <v>55500000</v>
      </c>
      <c r="L2261" s="564">
        <v>166499000</v>
      </c>
      <c r="M2261" s="572"/>
      <c r="N2261" s="572"/>
      <c r="O2261" s="740"/>
      <c r="P2261" s="564" t="s">
        <v>25</v>
      </c>
      <c r="Q2261" s="564" t="s">
        <v>25</v>
      </c>
      <c r="R2261" s="566"/>
      <c r="S2261" s="609"/>
      <c r="T2261" s="741"/>
      <c r="U2261" s="586"/>
      <c r="V2261" s="564" t="s">
        <v>2899</v>
      </c>
      <c r="W2261" s="564" t="s">
        <v>25</v>
      </c>
      <c r="X2261" s="650"/>
      <c r="Y2261" s="586"/>
      <c r="Z2261" s="742"/>
      <c r="AA2261" s="586"/>
      <c r="AB2261" s="586"/>
      <c r="AC2261" s="586"/>
      <c r="AD2261" s="586"/>
      <c r="AE2261" s="714"/>
      <c r="AF2261" s="570" t="s">
        <v>2899</v>
      </c>
      <c r="AG2261" s="570"/>
      <c r="AH2261" s="571" t="s">
        <v>25</v>
      </c>
      <c r="AI2261" s="586" t="s">
        <v>1498</v>
      </c>
      <c r="AJ2261" s="586" t="s">
        <v>2771</v>
      </c>
    </row>
    <row r="2262" spans="1:36" s="394" customFormat="1" ht="81" outlineLevel="2" x14ac:dyDescent="0.3">
      <c r="A2262" s="447">
        <v>189</v>
      </c>
      <c r="B2262" s="572" t="s">
        <v>1501</v>
      </c>
      <c r="C2262" s="572"/>
      <c r="D2262" s="612"/>
      <c r="E2262" s="612"/>
      <c r="F2262" s="586"/>
      <c r="G2262" s="709"/>
      <c r="H2262" s="546"/>
      <c r="I2262" s="563" t="s">
        <v>25</v>
      </c>
      <c r="J2262" s="563" t="s">
        <v>25</v>
      </c>
      <c r="K2262" s="564" t="s">
        <v>25</v>
      </c>
      <c r="L2262" s="564" t="s">
        <v>25</v>
      </c>
      <c r="M2262" s="572"/>
      <c r="N2262" s="572"/>
      <c r="O2262" s="740"/>
      <c r="P2262" s="564" t="s">
        <v>25</v>
      </c>
      <c r="Q2262" s="564" t="s">
        <v>25</v>
      </c>
      <c r="R2262" s="566"/>
      <c r="S2262" s="609"/>
      <c r="T2262" s="741"/>
      <c r="U2262" s="586"/>
      <c r="V2262" s="564" t="s">
        <v>2899</v>
      </c>
      <c r="W2262" s="564" t="s">
        <v>25</v>
      </c>
      <c r="X2262" s="650"/>
      <c r="Y2262" s="586"/>
      <c r="Z2262" s="742"/>
      <c r="AA2262" s="586"/>
      <c r="AB2262" s="586"/>
      <c r="AC2262" s="586"/>
      <c r="AD2262" s="586"/>
      <c r="AE2262" s="714"/>
      <c r="AF2262" s="570" t="s">
        <v>2899</v>
      </c>
      <c r="AG2262" s="570" t="s">
        <v>25</v>
      </c>
      <c r="AH2262" s="571" t="s">
        <v>25</v>
      </c>
      <c r="AI2262" s="586" t="s">
        <v>1500</v>
      </c>
      <c r="AJ2262" s="605" t="s">
        <v>2448</v>
      </c>
    </row>
    <row r="2263" spans="1:36" s="394" customFormat="1" ht="60.75" outlineLevel="2" x14ac:dyDescent="0.3">
      <c r="A2263" s="447">
        <v>189</v>
      </c>
      <c r="B2263" s="572"/>
      <c r="C2263" s="572"/>
      <c r="D2263" s="612"/>
      <c r="E2263" s="612"/>
      <c r="F2263" s="586"/>
      <c r="G2263" s="709"/>
      <c r="H2263" s="546"/>
      <c r="I2263" s="563" t="s">
        <v>25</v>
      </c>
      <c r="J2263" s="563" t="s">
        <v>25</v>
      </c>
      <c r="K2263" s="564" t="s">
        <v>25</v>
      </c>
      <c r="L2263" s="564" t="s">
        <v>25</v>
      </c>
      <c r="M2263" s="572"/>
      <c r="N2263" s="572"/>
      <c r="O2263" s="740"/>
      <c r="P2263" s="564" t="s">
        <v>25</v>
      </c>
      <c r="Q2263" s="564" t="s">
        <v>25</v>
      </c>
      <c r="R2263" s="566"/>
      <c r="S2263" s="609"/>
      <c r="T2263" s="741"/>
      <c r="U2263" s="586"/>
      <c r="V2263" s="564" t="s">
        <v>2899</v>
      </c>
      <c r="W2263" s="564" t="s">
        <v>25</v>
      </c>
      <c r="X2263" s="650"/>
      <c r="Y2263" s="586"/>
      <c r="Z2263" s="742"/>
      <c r="AA2263" s="586"/>
      <c r="AB2263" s="586"/>
      <c r="AC2263" s="586"/>
      <c r="AD2263" s="586"/>
      <c r="AE2263" s="714"/>
      <c r="AF2263" s="570" t="s">
        <v>2899</v>
      </c>
      <c r="AG2263" s="570" t="s">
        <v>25</v>
      </c>
      <c r="AH2263" s="571" t="s">
        <v>25</v>
      </c>
      <c r="AI2263" s="586" t="s">
        <v>2074</v>
      </c>
      <c r="AJ2263" s="586"/>
    </row>
    <row r="2264" spans="1:36" s="394" customFormat="1" ht="20.25" outlineLevel="2" x14ac:dyDescent="0.3">
      <c r="A2264" s="447">
        <v>189</v>
      </c>
      <c r="B2264" s="572"/>
      <c r="C2264" s="572"/>
      <c r="D2264" s="612"/>
      <c r="E2264" s="612"/>
      <c r="F2264" s="586"/>
      <c r="G2264" s="709"/>
      <c r="H2264" s="546"/>
      <c r="I2264" s="563" t="s">
        <v>25</v>
      </c>
      <c r="J2264" s="563" t="s">
        <v>25</v>
      </c>
      <c r="K2264" s="564" t="s">
        <v>25</v>
      </c>
      <c r="L2264" s="564" t="s">
        <v>25</v>
      </c>
      <c r="M2264" s="572"/>
      <c r="N2264" s="572"/>
      <c r="O2264" s="740"/>
      <c r="P2264" s="564" t="s">
        <v>25</v>
      </c>
      <c r="Q2264" s="564" t="s">
        <v>25</v>
      </c>
      <c r="R2264" s="572"/>
      <c r="S2264" s="609"/>
      <c r="T2264" s="741"/>
      <c r="U2264" s="586"/>
      <c r="V2264" s="564" t="s">
        <v>2899</v>
      </c>
      <c r="W2264" s="564" t="s">
        <v>25</v>
      </c>
      <c r="X2264" s="650"/>
      <c r="Y2264" s="586"/>
      <c r="Z2264" s="742"/>
      <c r="AA2264" s="586"/>
      <c r="AB2264" s="586"/>
      <c r="AC2264" s="586"/>
      <c r="AD2264" s="586"/>
      <c r="AE2264" s="714"/>
      <c r="AF2264" s="570" t="s">
        <v>2899</v>
      </c>
      <c r="AG2264" s="570" t="s">
        <v>25</v>
      </c>
      <c r="AH2264" s="571" t="s">
        <v>25</v>
      </c>
      <c r="AI2264" s="731"/>
      <c r="AJ2264" s="586"/>
    </row>
    <row r="2265" spans="1:36" s="394" customFormat="1" ht="20.25" outlineLevel="2" x14ac:dyDescent="0.3">
      <c r="A2265" s="447">
        <v>189</v>
      </c>
      <c r="B2265" s="586"/>
      <c r="C2265" s="586"/>
      <c r="D2265" s="612"/>
      <c r="E2265" s="612"/>
      <c r="F2265" s="586"/>
      <c r="G2265" s="709"/>
      <c r="H2265" s="546"/>
      <c r="I2265" s="563" t="s">
        <v>25</v>
      </c>
      <c r="J2265" s="563" t="s">
        <v>25</v>
      </c>
      <c r="K2265" s="564" t="s">
        <v>25</v>
      </c>
      <c r="L2265" s="564" t="s">
        <v>25</v>
      </c>
      <c r="M2265" s="572"/>
      <c r="N2265" s="572"/>
      <c r="O2265" s="740"/>
      <c r="P2265" s="564" t="s">
        <v>25</v>
      </c>
      <c r="Q2265" s="564" t="s">
        <v>25</v>
      </c>
      <c r="R2265" s="572"/>
      <c r="S2265" s="609"/>
      <c r="T2265" s="741"/>
      <c r="U2265" s="586"/>
      <c r="V2265" s="564" t="s">
        <v>2899</v>
      </c>
      <c r="W2265" s="564" t="s">
        <v>25</v>
      </c>
      <c r="X2265" s="650"/>
      <c r="Y2265" s="586"/>
      <c r="Z2265" s="742"/>
      <c r="AA2265" s="586"/>
      <c r="AB2265" s="586"/>
      <c r="AC2265" s="586"/>
      <c r="AD2265" s="586"/>
      <c r="AE2265" s="714"/>
      <c r="AF2265" s="570" t="s">
        <v>2899</v>
      </c>
      <c r="AG2265" s="570" t="s">
        <v>25</v>
      </c>
      <c r="AH2265" s="571" t="s">
        <v>25</v>
      </c>
      <c r="AI2265" s="586"/>
      <c r="AJ2265" s="586"/>
    </row>
    <row r="2266" spans="1:36" s="394" customFormat="1" ht="20.25" outlineLevel="2" x14ac:dyDescent="0.3">
      <c r="A2266" s="447">
        <v>189</v>
      </c>
      <c r="B2266" s="586"/>
      <c r="C2266" s="586"/>
      <c r="D2266" s="612"/>
      <c r="E2266" s="612"/>
      <c r="F2266" s="586"/>
      <c r="G2266" s="709"/>
      <c r="H2266" s="546"/>
      <c r="I2266" s="563" t="s">
        <v>25</v>
      </c>
      <c r="J2266" s="563" t="s">
        <v>25</v>
      </c>
      <c r="K2266" s="564" t="s">
        <v>25</v>
      </c>
      <c r="L2266" s="564" t="s">
        <v>25</v>
      </c>
      <c r="M2266" s="572"/>
      <c r="N2266" s="572"/>
      <c r="O2266" s="740"/>
      <c r="P2266" s="564" t="s">
        <v>25</v>
      </c>
      <c r="Q2266" s="564" t="s">
        <v>25</v>
      </c>
      <c r="R2266" s="572"/>
      <c r="S2266" s="609"/>
      <c r="T2266" s="741"/>
      <c r="U2266" s="586"/>
      <c r="V2266" s="564" t="s">
        <v>2899</v>
      </c>
      <c r="W2266" s="564" t="s">
        <v>25</v>
      </c>
      <c r="X2266" s="650"/>
      <c r="Y2266" s="586"/>
      <c r="Z2266" s="742"/>
      <c r="AA2266" s="586"/>
      <c r="AB2266" s="586"/>
      <c r="AC2266" s="586"/>
      <c r="AD2266" s="586"/>
      <c r="AE2266" s="714"/>
      <c r="AF2266" s="570" t="s">
        <v>2899</v>
      </c>
      <c r="AG2266" s="570" t="s">
        <v>25</v>
      </c>
      <c r="AH2266" s="571" t="s">
        <v>25</v>
      </c>
      <c r="AI2266" s="572"/>
      <c r="AJ2266" s="572"/>
    </row>
    <row r="2267" spans="1:36" s="394" customFormat="1" ht="20.25" outlineLevel="2" x14ac:dyDescent="0.3">
      <c r="A2267" s="447">
        <v>189</v>
      </c>
      <c r="B2267" s="572"/>
      <c r="C2267" s="572"/>
      <c r="D2267" s="612"/>
      <c r="E2267" s="612"/>
      <c r="F2267" s="586"/>
      <c r="G2267" s="709"/>
      <c r="H2267" s="546"/>
      <c r="I2267" s="563" t="s">
        <v>25</v>
      </c>
      <c r="J2267" s="563" t="s">
        <v>25</v>
      </c>
      <c r="K2267" s="564" t="s">
        <v>25</v>
      </c>
      <c r="L2267" s="564" t="s">
        <v>25</v>
      </c>
      <c r="M2267" s="572"/>
      <c r="N2267" s="572"/>
      <c r="O2267" s="740"/>
      <c r="P2267" s="564" t="s">
        <v>25</v>
      </c>
      <c r="Q2267" s="564" t="s">
        <v>25</v>
      </c>
      <c r="R2267" s="572"/>
      <c r="S2267" s="609"/>
      <c r="T2267" s="741"/>
      <c r="U2267" s="586"/>
      <c r="V2267" s="564" t="s">
        <v>2899</v>
      </c>
      <c r="W2267" s="564" t="s">
        <v>25</v>
      </c>
      <c r="X2267" s="650"/>
      <c r="Y2267" s="586"/>
      <c r="Z2267" s="742"/>
      <c r="AA2267" s="586"/>
      <c r="AB2267" s="586"/>
      <c r="AC2267" s="586"/>
      <c r="AD2267" s="586"/>
      <c r="AE2267" s="714"/>
      <c r="AF2267" s="570" t="s">
        <v>2899</v>
      </c>
      <c r="AG2267" s="570" t="s">
        <v>25</v>
      </c>
      <c r="AH2267" s="571" t="s">
        <v>25</v>
      </c>
      <c r="AI2267" s="558"/>
      <c r="AJ2267" s="558"/>
    </row>
    <row r="2268" spans="1:36" s="394" customFormat="1" ht="20.25" outlineLevel="2" x14ac:dyDescent="0.3">
      <c r="A2268" s="447">
        <v>189</v>
      </c>
      <c r="B2268" s="572"/>
      <c r="C2268" s="572"/>
      <c r="D2268" s="612"/>
      <c r="E2268" s="612"/>
      <c r="F2268" s="586"/>
      <c r="G2268" s="709"/>
      <c r="H2268" s="546"/>
      <c r="I2268" s="563" t="s">
        <v>25</v>
      </c>
      <c r="J2268" s="563" t="s">
        <v>25</v>
      </c>
      <c r="K2268" s="564" t="s">
        <v>25</v>
      </c>
      <c r="L2268" s="564" t="s">
        <v>25</v>
      </c>
      <c r="M2268" s="572"/>
      <c r="N2268" s="572"/>
      <c r="O2268" s="740"/>
      <c r="P2268" s="564" t="s">
        <v>25</v>
      </c>
      <c r="Q2268" s="564" t="s">
        <v>25</v>
      </c>
      <c r="R2268" s="572"/>
      <c r="S2268" s="609"/>
      <c r="T2268" s="741"/>
      <c r="U2268" s="586"/>
      <c r="V2268" s="564" t="s">
        <v>2899</v>
      </c>
      <c r="W2268" s="564" t="s">
        <v>25</v>
      </c>
      <c r="X2268" s="650"/>
      <c r="Y2268" s="586"/>
      <c r="Z2268" s="742"/>
      <c r="AA2268" s="586"/>
      <c r="AB2268" s="586"/>
      <c r="AC2268" s="586"/>
      <c r="AD2268" s="586"/>
      <c r="AE2268" s="714"/>
      <c r="AF2268" s="570" t="s">
        <v>2899</v>
      </c>
      <c r="AG2268" s="570" t="s">
        <v>25</v>
      </c>
      <c r="AH2268" s="571" t="s">
        <v>25</v>
      </c>
      <c r="AI2268" s="586"/>
      <c r="AJ2268" s="586"/>
    </row>
    <row r="2269" spans="1:36" s="394" customFormat="1" ht="20.25" outlineLevel="2" x14ac:dyDescent="0.3">
      <c r="A2269" s="447">
        <v>189</v>
      </c>
      <c r="B2269" s="607"/>
      <c r="C2269" s="607"/>
      <c r="D2269" s="642"/>
      <c r="E2269" s="642"/>
      <c r="F2269" s="586"/>
      <c r="G2269" s="709"/>
      <c r="H2269" s="546"/>
      <c r="I2269" s="563" t="s">
        <v>25</v>
      </c>
      <c r="J2269" s="563" t="s">
        <v>25</v>
      </c>
      <c r="K2269" s="564" t="s">
        <v>25</v>
      </c>
      <c r="L2269" s="564" t="s">
        <v>25</v>
      </c>
      <c r="M2269" s="572"/>
      <c r="N2269" s="572"/>
      <c r="O2269" s="740"/>
      <c r="P2269" s="564" t="s">
        <v>25</v>
      </c>
      <c r="Q2269" s="564" t="s">
        <v>25</v>
      </c>
      <c r="R2269" s="572"/>
      <c r="S2269" s="609"/>
      <c r="T2269" s="741"/>
      <c r="U2269" s="586"/>
      <c r="V2269" s="564" t="s">
        <v>2899</v>
      </c>
      <c r="W2269" s="564" t="s">
        <v>25</v>
      </c>
      <c r="X2269" s="650"/>
      <c r="Y2269" s="586"/>
      <c r="Z2269" s="742"/>
      <c r="AA2269" s="586"/>
      <c r="AB2269" s="586"/>
      <c r="AC2269" s="586"/>
      <c r="AD2269" s="586"/>
      <c r="AE2269" s="714"/>
      <c r="AF2269" s="570" t="s">
        <v>2899</v>
      </c>
      <c r="AG2269" s="570" t="s">
        <v>25</v>
      </c>
      <c r="AH2269" s="571" t="s">
        <v>25</v>
      </c>
      <c r="AI2269" s="586"/>
      <c r="AJ2269" s="586"/>
    </row>
    <row r="2270" spans="1:36" s="396" customFormat="1" ht="40.5" outlineLevel="1" x14ac:dyDescent="0.25">
      <c r="A2270" s="467">
        <v>190</v>
      </c>
      <c r="B2270" s="607" t="s">
        <v>1503</v>
      </c>
      <c r="C2270" s="586" t="s">
        <v>2903</v>
      </c>
      <c r="D2270" s="612">
        <v>86</v>
      </c>
      <c r="E2270" s="612">
        <v>378</v>
      </c>
      <c r="F2270" s="578"/>
      <c r="G2270" s="707">
        <v>147</v>
      </c>
      <c r="H2270" s="579">
        <v>147</v>
      </c>
      <c r="I2270" s="581"/>
      <c r="J2270" s="581"/>
      <c r="K2270" s="571">
        <v>55390000</v>
      </c>
      <c r="L2270" s="571">
        <v>166169000</v>
      </c>
      <c r="M2270" s="607"/>
      <c r="N2270" s="607"/>
      <c r="O2270" s="738">
        <v>2</v>
      </c>
      <c r="P2270" s="571"/>
      <c r="Q2270" s="571">
        <v>1537000</v>
      </c>
      <c r="R2270" s="582"/>
      <c r="S2270" s="621"/>
      <c r="T2270" s="739">
        <v>0</v>
      </c>
      <c r="U2270" s="578"/>
      <c r="V2270" s="571"/>
      <c r="W2270" s="571">
        <v>0</v>
      </c>
      <c r="X2270" s="650"/>
      <c r="Y2270" s="586"/>
      <c r="Z2270" s="742"/>
      <c r="AA2270" s="586"/>
      <c r="AB2270" s="586"/>
      <c r="AC2270" s="586"/>
      <c r="AD2270" s="578"/>
      <c r="AE2270" s="712">
        <f>SUBTOTAL(9,AE2271:AE2279)</f>
        <v>0</v>
      </c>
      <c r="AF2270" s="585"/>
      <c r="AG2270" s="585">
        <v>0</v>
      </c>
      <c r="AH2270" s="571">
        <v>223096000</v>
      </c>
      <c r="AI2270" s="578"/>
      <c r="AJ2270" s="578"/>
    </row>
    <row r="2271" spans="1:36" s="396" customFormat="1" ht="121.5" outlineLevel="2" x14ac:dyDescent="0.3">
      <c r="A2271" s="447">
        <v>190</v>
      </c>
      <c r="B2271" s="572" t="s">
        <v>1505</v>
      </c>
      <c r="C2271" s="572"/>
      <c r="D2271" s="612"/>
      <c r="E2271" s="612"/>
      <c r="F2271" s="586" t="s">
        <v>2433</v>
      </c>
      <c r="G2271" s="709">
        <v>147</v>
      </c>
      <c r="H2271" s="546">
        <v>147</v>
      </c>
      <c r="I2271" s="563">
        <v>376800</v>
      </c>
      <c r="J2271" s="563">
        <v>1130400</v>
      </c>
      <c r="K2271" s="564">
        <v>55390000</v>
      </c>
      <c r="L2271" s="564">
        <v>166169000</v>
      </c>
      <c r="M2271" s="572" t="s">
        <v>1429</v>
      </c>
      <c r="N2271" s="572"/>
      <c r="O2271" s="740">
        <v>1</v>
      </c>
      <c r="P2271" s="564">
        <v>1200000</v>
      </c>
      <c r="Q2271" s="564">
        <v>1200000</v>
      </c>
      <c r="R2271" s="566"/>
      <c r="S2271" s="609"/>
      <c r="T2271" s="741"/>
      <c r="U2271" s="586"/>
      <c r="V2271" s="564" t="s">
        <v>2899</v>
      </c>
      <c r="W2271" s="564" t="s">
        <v>25</v>
      </c>
      <c r="X2271" s="650"/>
      <c r="Y2271" s="586"/>
      <c r="Z2271" s="742"/>
      <c r="AA2271" s="586"/>
      <c r="AB2271" s="586"/>
      <c r="AC2271" s="586"/>
      <c r="AD2271" s="586"/>
      <c r="AE2271" s="714"/>
      <c r="AF2271" s="570" t="s">
        <v>2899</v>
      </c>
      <c r="AG2271" s="570"/>
      <c r="AH2271" s="571" t="s">
        <v>25</v>
      </c>
      <c r="AI2271" s="586" t="s">
        <v>1504</v>
      </c>
      <c r="AJ2271" s="586" t="s">
        <v>2771</v>
      </c>
    </row>
    <row r="2272" spans="1:36" s="394" customFormat="1" ht="81" outlineLevel="2" x14ac:dyDescent="0.3">
      <c r="A2272" s="447">
        <v>190</v>
      </c>
      <c r="B2272" s="572" t="s">
        <v>1640</v>
      </c>
      <c r="C2272" s="572"/>
      <c r="D2272" s="612"/>
      <c r="E2272" s="612"/>
      <c r="F2272" s="586"/>
      <c r="G2272" s="709"/>
      <c r="H2272" s="546"/>
      <c r="I2272" s="563" t="s">
        <v>25</v>
      </c>
      <c r="J2272" s="563" t="s">
        <v>25</v>
      </c>
      <c r="K2272" s="564" t="s">
        <v>25</v>
      </c>
      <c r="L2272" s="564" t="s">
        <v>25</v>
      </c>
      <c r="M2272" s="572" t="s">
        <v>408</v>
      </c>
      <c r="N2272" s="572"/>
      <c r="O2272" s="740">
        <v>1</v>
      </c>
      <c r="P2272" s="564">
        <v>337000</v>
      </c>
      <c r="Q2272" s="564">
        <v>337000</v>
      </c>
      <c r="R2272" s="566"/>
      <c r="S2272" s="609"/>
      <c r="T2272" s="741"/>
      <c r="U2272" s="586"/>
      <c r="V2272" s="564" t="s">
        <v>2899</v>
      </c>
      <c r="W2272" s="564" t="s">
        <v>25</v>
      </c>
      <c r="X2272" s="650"/>
      <c r="Y2272" s="586"/>
      <c r="Z2272" s="742"/>
      <c r="AA2272" s="586"/>
      <c r="AB2272" s="586"/>
      <c r="AC2272" s="586"/>
      <c r="AD2272" s="586"/>
      <c r="AE2272" s="714"/>
      <c r="AF2272" s="570" t="s">
        <v>2899</v>
      </c>
      <c r="AG2272" s="570" t="s">
        <v>25</v>
      </c>
      <c r="AH2272" s="571" t="s">
        <v>25</v>
      </c>
      <c r="AI2272" s="586" t="s">
        <v>1506</v>
      </c>
      <c r="AJ2272" s="605" t="s">
        <v>2448</v>
      </c>
    </row>
    <row r="2273" spans="1:36" s="394" customFormat="1" ht="60.75" outlineLevel="2" x14ac:dyDescent="0.3">
      <c r="A2273" s="447">
        <v>190</v>
      </c>
      <c r="B2273" s="572"/>
      <c r="C2273" s="572"/>
      <c r="D2273" s="612"/>
      <c r="E2273" s="612"/>
      <c r="F2273" s="586"/>
      <c r="G2273" s="709"/>
      <c r="H2273" s="546"/>
      <c r="I2273" s="563" t="s">
        <v>25</v>
      </c>
      <c r="J2273" s="563" t="s">
        <v>25</v>
      </c>
      <c r="K2273" s="564" t="s">
        <v>25</v>
      </c>
      <c r="L2273" s="564" t="s">
        <v>25</v>
      </c>
      <c r="M2273" s="572"/>
      <c r="N2273" s="572"/>
      <c r="O2273" s="740"/>
      <c r="P2273" s="564" t="s">
        <v>25</v>
      </c>
      <c r="Q2273" s="564" t="s">
        <v>25</v>
      </c>
      <c r="R2273" s="566"/>
      <c r="S2273" s="609"/>
      <c r="T2273" s="741"/>
      <c r="U2273" s="586"/>
      <c r="V2273" s="564" t="s">
        <v>2899</v>
      </c>
      <c r="W2273" s="564" t="s">
        <v>25</v>
      </c>
      <c r="X2273" s="650"/>
      <c r="Y2273" s="586"/>
      <c r="Z2273" s="742"/>
      <c r="AA2273" s="586"/>
      <c r="AB2273" s="586"/>
      <c r="AC2273" s="586"/>
      <c r="AD2273" s="586"/>
      <c r="AE2273" s="714"/>
      <c r="AF2273" s="570" t="s">
        <v>2899</v>
      </c>
      <c r="AG2273" s="570" t="s">
        <v>25</v>
      </c>
      <c r="AH2273" s="571" t="s">
        <v>25</v>
      </c>
      <c r="AI2273" s="586" t="s">
        <v>2074</v>
      </c>
      <c r="AJ2273" s="586"/>
    </row>
    <row r="2274" spans="1:36" s="394" customFormat="1" ht="20.25" outlineLevel="2" x14ac:dyDescent="0.3">
      <c r="A2274" s="447">
        <v>190</v>
      </c>
      <c r="B2274" s="572"/>
      <c r="C2274" s="572"/>
      <c r="D2274" s="612"/>
      <c r="E2274" s="612"/>
      <c r="F2274" s="586"/>
      <c r="G2274" s="709"/>
      <c r="H2274" s="546"/>
      <c r="I2274" s="563" t="s">
        <v>25</v>
      </c>
      <c r="J2274" s="563" t="s">
        <v>25</v>
      </c>
      <c r="K2274" s="564" t="s">
        <v>25</v>
      </c>
      <c r="L2274" s="564" t="s">
        <v>25</v>
      </c>
      <c r="M2274" s="572"/>
      <c r="N2274" s="572"/>
      <c r="O2274" s="740"/>
      <c r="P2274" s="564" t="s">
        <v>25</v>
      </c>
      <c r="Q2274" s="564" t="s">
        <v>25</v>
      </c>
      <c r="R2274" s="572"/>
      <c r="S2274" s="609"/>
      <c r="T2274" s="741"/>
      <c r="U2274" s="586"/>
      <c r="V2274" s="564" t="s">
        <v>2899</v>
      </c>
      <c r="W2274" s="564" t="s">
        <v>25</v>
      </c>
      <c r="X2274" s="650"/>
      <c r="Y2274" s="586"/>
      <c r="Z2274" s="742"/>
      <c r="AA2274" s="586"/>
      <c r="AB2274" s="586"/>
      <c r="AC2274" s="586"/>
      <c r="AD2274" s="586"/>
      <c r="AE2274" s="714"/>
      <c r="AF2274" s="570" t="s">
        <v>2899</v>
      </c>
      <c r="AG2274" s="570" t="s">
        <v>25</v>
      </c>
      <c r="AH2274" s="571" t="s">
        <v>25</v>
      </c>
      <c r="AI2274" s="731"/>
      <c r="AJ2274" s="586"/>
    </row>
    <row r="2275" spans="1:36" s="394" customFormat="1" ht="20.25" outlineLevel="2" x14ac:dyDescent="0.3">
      <c r="A2275" s="447">
        <v>190</v>
      </c>
      <c r="B2275" s="572"/>
      <c r="C2275" s="572"/>
      <c r="D2275" s="612"/>
      <c r="E2275" s="612"/>
      <c r="F2275" s="586"/>
      <c r="G2275" s="709"/>
      <c r="H2275" s="546"/>
      <c r="I2275" s="563" t="s">
        <v>25</v>
      </c>
      <c r="J2275" s="563" t="s">
        <v>25</v>
      </c>
      <c r="K2275" s="564" t="s">
        <v>25</v>
      </c>
      <c r="L2275" s="564" t="s">
        <v>25</v>
      </c>
      <c r="M2275" s="572"/>
      <c r="N2275" s="572"/>
      <c r="O2275" s="740"/>
      <c r="P2275" s="564" t="s">
        <v>25</v>
      </c>
      <c r="Q2275" s="564" t="s">
        <v>25</v>
      </c>
      <c r="R2275" s="572"/>
      <c r="S2275" s="609"/>
      <c r="T2275" s="741"/>
      <c r="U2275" s="586"/>
      <c r="V2275" s="564" t="s">
        <v>2899</v>
      </c>
      <c r="W2275" s="564" t="s">
        <v>25</v>
      </c>
      <c r="X2275" s="650"/>
      <c r="Y2275" s="586"/>
      <c r="Z2275" s="742"/>
      <c r="AA2275" s="586"/>
      <c r="AB2275" s="586"/>
      <c r="AC2275" s="586"/>
      <c r="AD2275" s="586"/>
      <c r="AE2275" s="714"/>
      <c r="AF2275" s="570" t="s">
        <v>2899</v>
      </c>
      <c r="AG2275" s="570" t="s">
        <v>25</v>
      </c>
      <c r="AH2275" s="571" t="s">
        <v>25</v>
      </c>
      <c r="AI2275" s="572"/>
      <c r="AJ2275" s="572"/>
    </row>
    <row r="2276" spans="1:36" s="394" customFormat="1" ht="20.25" outlineLevel="2" x14ac:dyDescent="0.3">
      <c r="A2276" s="447">
        <v>190</v>
      </c>
      <c r="B2276" s="572"/>
      <c r="C2276" s="572"/>
      <c r="D2276" s="612"/>
      <c r="E2276" s="612"/>
      <c r="F2276" s="586"/>
      <c r="G2276" s="709"/>
      <c r="H2276" s="546"/>
      <c r="I2276" s="563" t="s">
        <v>25</v>
      </c>
      <c r="J2276" s="563" t="s">
        <v>25</v>
      </c>
      <c r="K2276" s="564" t="s">
        <v>25</v>
      </c>
      <c r="L2276" s="564" t="s">
        <v>25</v>
      </c>
      <c r="M2276" s="572"/>
      <c r="N2276" s="572"/>
      <c r="O2276" s="740"/>
      <c r="P2276" s="564" t="s">
        <v>25</v>
      </c>
      <c r="Q2276" s="564" t="s">
        <v>25</v>
      </c>
      <c r="R2276" s="572"/>
      <c r="S2276" s="609"/>
      <c r="T2276" s="741"/>
      <c r="U2276" s="586"/>
      <c r="V2276" s="564" t="s">
        <v>2899</v>
      </c>
      <c r="W2276" s="564" t="s">
        <v>25</v>
      </c>
      <c r="X2276" s="650"/>
      <c r="Y2276" s="586"/>
      <c r="Z2276" s="742"/>
      <c r="AA2276" s="586"/>
      <c r="AB2276" s="586"/>
      <c r="AC2276" s="586"/>
      <c r="AD2276" s="586"/>
      <c r="AE2276" s="714"/>
      <c r="AF2276" s="570" t="s">
        <v>2899</v>
      </c>
      <c r="AG2276" s="570" t="s">
        <v>25</v>
      </c>
      <c r="AH2276" s="571" t="s">
        <v>25</v>
      </c>
      <c r="AI2276" s="558"/>
      <c r="AJ2276" s="558"/>
    </row>
    <row r="2277" spans="1:36" s="394" customFormat="1" ht="20.25" outlineLevel="2" x14ac:dyDescent="0.3">
      <c r="A2277" s="447">
        <v>190</v>
      </c>
      <c r="B2277" s="572"/>
      <c r="C2277" s="572"/>
      <c r="D2277" s="612"/>
      <c r="E2277" s="612"/>
      <c r="F2277" s="586"/>
      <c r="G2277" s="709"/>
      <c r="H2277" s="546"/>
      <c r="I2277" s="563" t="s">
        <v>25</v>
      </c>
      <c r="J2277" s="563" t="s">
        <v>25</v>
      </c>
      <c r="K2277" s="564" t="s">
        <v>25</v>
      </c>
      <c r="L2277" s="564" t="s">
        <v>25</v>
      </c>
      <c r="M2277" s="572"/>
      <c r="N2277" s="572"/>
      <c r="O2277" s="740"/>
      <c r="P2277" s="564" t="s">
        <v>25</v>
      </c>
      <c r="Q2277" s="564" t="s">
        <v>25</v>
      </c>
      <c r="R2277" s="572"/>
      <c r="S2277" s="609"/>
      <c r="T2277" s="741"/>
      <c r="U2277" s="586"/>
      <c r="V2277" s="564" t="s">
        <v>2899</v>
      </c>
      <c r="W2277" s="564" t="s">
        <v>25</v>
      </c>
      <c r="X2277" s="650"/>
      <c r="Y2277" s="586"/>
      <c r="Z2277" s="742"/>
      <c r="AA2277" s="586"/>
      <c r="AB2277" s="586"/>
      <c r="AC2277" s="586"/>
      <c r="AD2277" s="586"/>
      <c r="AE2277" s="714"/>
      <c r="AF2277" s="570" t="s">
        <v>2899</v>
      </c>
      <c r="AG2277" s="570" t="s">
        <v>25</v>
      </c>
      <c r="AH2277" s="571" t="s">
        <v>25</v>
      </c>
      <c r="AI2277" s="586"/>
      <c r="AJ2277" s="586"/>
    </row>
    <row r="2278" spans="1:36" s="394" customFormat="1" ht="20.25" outlineLevel="2" x14ac:dyDescent="0.3">
      <c r="A2278" s="447">
        <v>190</v>
      </c>
      <c r="B2278" s="572"/>
      <c r="C2278" s="572"/>
      <c r="D2278" s="612"/>
      <c r="E2278" s="612"/>
      <c r="F2278" s="586"/>
      <c r="G2278" s="709"/>
      <c r="H2278" s="546"/>
      <c r="I2278" s="563" t="s">
        <v>25</v>
      </c>
      <c r="J2278" s="563" t="s">
        <v>25</v>
      </c>
      <c r="K2278" s="564" t="s">
        <v>25</v>
      </c>
      <c r="L2278" s="564" t="s">
        <v>25</v>
      </c>
      <c r="M2278" s="572"/>
      <c r="N2278" s="572"/>
      <c r="O2278" s="740"/>
      <c r="P2278" s="564" t="s">
        <v>25</v>
      </c>
      <c r="Q2278" s="564" t="s">
        <v>25</v>
      </c>
      <c r="R2278" s="572"/>
      <c r="S2278" s="609"/>
      <c r="T2278" s="741"/>
      <c r="U2278" s="586"/>
      <c r="V2278" s="564" t="s">
        <v>2899</v>
      </c>
      <c r="W2278" s="564" t="s">
        <v>25</v>
      </c>
      <c r="X2278" s="650"/>
      <c r="Y2278" s="586"/>
      <c r="Z2278" s="742"/>
      <c r="AA2278" s="586"/>
      <c r="AB2278" s="586"/>
      <c r="AC2278" s="586"/>
      <c r="AD2278" s="586"/>
      <c r="AE2278" s="714"/>
      <c r="AF2278" s="570" t="s">
        <v>2899</v>
      </c>
      <c r="AG2278" s="570" t="s">
        <v>25</v>
      </c>
      <c r="AH2278" s="571" t="s">
        <v>25</v>
      </c>
      <c r="AI2278" s="586"/>
      <c r="AJ2278" s="586"/>
    </row>
    <row r="2279" spans="1:36" s="394" customFormat="1" ht="20.25" outlineLevel="2" x14ac:dyDescent="0.3">
      <c r="A2279" s="447">
        <v>190</v>
      </c>
      <c r="B2279" s="607"/>
      <c r="C2279" s="607"/>
      <c r="D2279" s="642"/>
      <c r="E2279" s="642"/>
      <c r="F2279" s="586"/>
      <c r="G2279" s="709"/>
      <c r="H2279" s="546"/>
      <c r="I2279" s="563" t="s">
        <v>25</v>
      </c>
      <c r="J2279" s="563" t="s">
        <v>25</v>
      </c>
      <c r="K2279" s="564" t="s">
        <v>25</v>
      </c>
      <c r="L2279" s="564" t="s">
        <v>25</v>
      </c>
      <c r="M2279" s="572"/>
      <c r="N2279" s="572"/>
      <c r="O2279" s="740"/>
      <c r="P2279" s="564" t="s">
        <v>25</v>
      </c>
      <c r="Q2279" s="564" t="s">
        <v>25</v>
      </c>
      <c r="R2279" s="572"/>
      <c r="S2279" s="609"/>
      <c r="T2279" s="741"/>
      <c r="U2279" s="586"/>
      <c r="V2279" s="564" t="s">
        <v>2899</v>
      </c>
      <c r="W2279" s="564" t="s">
        <v>25</v>
      </c>
      <c r="X2279" s="650"/>
      <c r="Y2279" s="586"/>
      <c r="Z2279" s="742"/>
      <c r="AA2279" s="586"/>
      <c r="AB2279" s="586"/>
      <c r="AC2279" s="586"/>
      <c r="AD2279" s="586"/>
      <c r="AE2279" s="714"/>
      <c r="AF2279" s="570" t="s">
        <v>2899</v>
      </c>
      <c r="AG2279" s="570" t="s">
        <v>25</v>
      </c>
      <c r="AH2279" s="571" t="s">
        <v>25</v>
      </c>
      <c r="AI2279" s="586"/>
      <c r="AJ2279" s="586"/>
    </row>
    <row r="2280" spans="1:36" s="394" customFormat="1" ht="40.5" outlineLevel="1" x14ac:dyDescent="0.25">
      <c r="A2280" s="467">
        <v>191</v>
      </c>
      <c r="B2280" s="607" t="s">
        <v>1507</v>
      </c>
      <c r="C2280" s="586" t="s">
        <v>2903</v>
      </c>
      <c r="D2280" s="612">
        <v>86</v>
      </c>
      <c r="E2280" s="612">
        <v>288</v>
      </c>
      <c r="F2280" s="578"/>
      <c r="G2280" s="707">
        <v>190</v>
      </c>
      <c r="H2280" s="579">
        <v>154</v>
      </c>
      <c r="I2280" s="581"/>
      <c r="J2280" s="581"/>
      <c r="K2280" s="571">
        <v>110366000</v>
      </c>
      <c r="L2280" s="571">
        <v>215107000</v>
      </c>
      <c r="M2280" s="607"/>
      <c r="N2280" s="607"/>
      <c r="O2280" s="738">
        <v>1</v>
      </c>
      <c r="P2280" s="571"/>
      <c r="Q2280" s="571">
        <v>4240000</v>
      </c>
      <c r="R2280" s="582"/>
      <c r="S2280" s="621"/>
      <c r="T2280" s="739">
        <v>10</v>
      </c>
      <c r="U2280" s="578"/>
      <c r="V2280" s="571"/>
      <c r="W2280" s="571">
        <v>0</v>
      </c>
      <c r="X2280" s="650"/>
      <c r="Y2280" s="586"/>
      <c r="Z2280" s="742"/>
      <c r="AA2280" s="586"/>
      <c r="AB2280" s="586"/>
      <c r="AC2280" s="586"/>
      <c r="AD2280" s="578"/>
      <c r="AE2280" s="712">
        <f>SUBTOTAL(9,AE2281:AE2289)</f>
        <v>0</v>
      </c>
      <c r="AF2280" s="585"/>
      <c r="AG2280" s="585">
        <v>0</v>
      </c>
      <c r="AH2280" s="571">
        <v>329713000</v>
      </c>
      <c r="AI2280" s="578"/>
      <c r="AJ2280" s="578"/>
    </row>
    <row r="2281" spans="1:36" s="394" customFormat="1" ht="121.5" outlineLevel="2" x14ac:dyDescent="0.3">
      <c r="A2281" s="447">
        <v>191</v>
      </c>
      <c r="B2281" s="572" t="s">
        <v>1510</v>
      </c>
      <c r="C2281" s="572"/>
      <c r="D2281" s="612">
        <v>86</v>
      </c>
      <c r="E2281" s="612">
        <v>288</v>
      </c>
      <c r="F2281" s="586" t="s">
        <v>2868</v>
      </c>
      <c r="G2281" s="709">
        <v>154</v>
      </c>
      <c r="H2281" s="546">
        <v>154</v>
      </c>
      <c r="I2281" s="563">
        <v>465600</v>
      </c>
      <c r="J2281" s="563">
        <v>1396800</v>
      </c>
      <c r="K2281" s="564">
        <v>71702000</v>
      </c>
      <c r="L2281" s="564">
        <v>215107000</v>
      </c>
      <c r="M2281" s="572" t="s">
        <v>145</v>
      </c>
      <c r="N2281" s="572"/>
      <c r="O2281" s="740">
        <v>1</v>
      </c>
      <c r="P2281" s="564">
        <v>4240000</v>
      </c>
      <c r="Q2281" s="564">
        <v>4240000</v>
      </c>
      <c r="R2281" s="566" t="s">
        <v>2401</v>
      </c>
      <c r="S2281" s="609" t="s">
        <v>101</v>
      </c>
      <c r="T2281" s="741">
        <v>10</v>
      </c>
      <c r="U2281" s="586"/>
      <c r="V2281" s="564">
        <v>0</v>
      </c>
      <c r="W2281" s="564">
        <v>0</v>
      </c>
      <c r="X2281" s="650"/>
      <c r="Y2281" s="586"/>
      <c r="Z2281" s="742"/>
      <c r="AA2281" s="586"/>
      <c r="AB2281" s="586"/>
      <c r="AC2281" s="586"/>
      <c r="AD2281" s="586"/>
      <c r="AE2281" s="714"/>
      <c r="AF2281" s="570" t="s">
        <v>2899</v>
      </c>
      <c r="AG2281" s="570"/>
      <c r="AH2281" s="571" t="s">
        <v>25</v>
      </c>
      <c r="AI2281" s="586" t="s">
        <v>1509</v>
      </c>
      <c r="AJ2281" s="586" t="s">
        <v>2771</v>
      </c>
    </row>
    <row r="2282" spans="1:36" s="394" customFormat="1" ht="81" outlineLevel="2" x14ac:dyDescent="0.3">
      <c r="A2282" s="447">
        <v>191</v>
      </c>
      <c r="B2282" s="572" t="s">
        <v>1641</v>
      </c>
      <c r="C2282" s="572"/>
      <c r="D2282" s="612"/>
      <c r="E2282" s="612"/>
      <c r="F2282" s="586" t="s">
        <v>2460</v>
      </c>
      <c r="G2282" s="709">
        <v>36</v>
      </c>
      <c r="H2282" s="546" t="s">
        <v>2899</v>
      </c>
      <c r="I2282" s="563">
        <v>1074001.5999999999</v>
      </c>
      <c r="J2282" s="563">
        <v>0</v>
      </c>
      <c r="K2282" s="564">
        <v>38664000</v>
      </c>
      <c r="L2282" s="564">
        <v>0</v>
      </c>
      <c r="M2282" s="572"/>
      <c r="N2282" s="572"/>
      <c r="O2282" s="740"/>
      <c r="P2282" s="564" t="s">
        <v>25</v>
      </c>
      <c r="Q2282" s="564" t="s">
        <v>25</v>
      </c>
      <c r="R2282" s="566"/>
      <c r="S2282" s="609"/>
      <c r="T2282" s="741"/>
      <c r="U2282" s="586"/>
      <c r="V2282" s="564" t="s">
        <v>2899</v>
      </c>
      <c r="W2282" s="564" t="s">
        <v>25</v>
      </c>
      <c r="X2282" s="650"/>
      <c r="Y2282" s="586"/>
      <c r="Z2282" s="742"/>
      <c r="AA2282" s="586"/>
      <c r="AB2282" s="586"/>
      <c r="AC2282" s="586"/>
      <c r="AD2282" s="586"/>
      <c r="AE2282" s="714"/>
      <c r="AF2282" s="570" t="s">
        <v>2899</v>
      </c>
      <c r="AG2282" s="570" t="s">
        <v>25</v>
      </c>
      <c r="AH2282" s="571" t="s">
        <v>25</v>
      </c>
      <c r="AI2282" s="586" t="s">
        <v>1512</v>
      </c>
      <c r="AJ2282" s="605" t="s">
        <v>2448</v>
      </c>
    </row>
    <row r="2283" spans="1:36" s="394" customFormat="1" ht="121.5" outlineLevel="2" x14ac:dyDescent="0.3">
      <c r="A2283" s="447">
        <v>191</v>
      </c>
      <c r="B2283" s="572"/>
      <c r="C2283" s="572"/>
      <c r="D2283" s="612"/>
      <c r="E2283" s="612"/>
      <c r="F2283" s="586"/>
      <c r="G2283" s="709"/>
      <c r="H2283" s="546"/>
      <c r="I2283" s="563" t="s">
        <v>25</v>
      </c>
      <c r="J2283" s="563" t="s">
        <v>25</v>
      </c>
      <c r="K2283" s="564" t="s">
        <v>25</v>
      </c>
      <c r="L2283" s="564" t="s">
        <v>25</v>
      </c>
      <c r="M2283" s="572"/>
      <c r="N2283" s="572"/>
      <c r="O2283" s="740"/>
      <c r="P2283" s="564" t="s">
        <v>25</v>
      </c>
      <c r="Q2283" s="564" t="s">
        <v>25</v>
      </c>
      <c r="R2283" s="566"/>
      <c r="S2283" s="609"/>
      <c r="T2283" s="741"/>
      <c r="U2283" s="586"/>
      <c r="V2283" s="564" t="s">
        <v>2899</v>
      </c>
      <c r="W2283" s="564" t="s">
        <v>25</v>
      </c>
      <c r="X2283" s="650"/>
      <c r="Y2283" s="586"/>
      <c r="Z2283" s="742"/>
      <c r="AA2283" s="586"/>
      <c r="AB2283" s="586"/>
      <c r="AC2283" s="586"/>
      <c r="AD2283" s="586"/>
      <c r="AE2283" s="714"/>
      <c r="AF2283" s="570" t="s">
        <v>2899</v>
      </c>
      <c r="AG2283" s="570" t="s">
        <v>25</v>
      </c>
      <c r="AH2283" s="571" t="s">
        <v>25</v>
      </c>
      <c r="AI2283" s="586" t="s">
        <v>2074</v>
      </c>
      <c r="AJ2283" s="558" t="s">
        <v>2450</v>
      </c>
    </row>
    <row r="2284" spans="1:36" s="394" customFormat="1" ht="101.25" outlineLevel="2" x14ac:dyDescent="0.3">
      <c r="A2284" s="447">
        <v>191</v>
      </c>
      <c r="B2284" s="572"/>
      <c r="C2284" s="572"/>
      <c r="D2284" s="612"/>
      <c r="E2284" s="612"/>
      <c r="F2284" s="586"/>
      <c r="G2284" s="709"/>
      <c r="H2284" s="546"/>
      <c r="I2284" s="563" t="s">
        <v>25</v>
      </c>
      <c r="J2284" s="563" t="s">
        <v>25</v>
      </c>
      <c r="K2284" s="564" t="s">
        <v>25</v>
      </c>
      <c r="L2284" s="564" t="s">
        <v>25</v>
      </c>
      <c r="M2284" s="572"/>
      <c r="N2284" s="572"/>
      <c r="O2284" s="740"/>
      <c r="P2284" s="564" t="s">
        <v>25</v>
      </c>
      <c r="Q2284" s="564" t="s">
        <v>25</v>
      </c>
      <c r="R2284" s="572"/>
      <c r="S2284" s="609"/>
      <c r="T2284" s="741"/>
      <c r="U2284" s="586"/>
      <c r="V2284" s="564" t="s">
        <v>2899</v>
      </c>
      <c r="W2284" s="564" t="s">
        <v>25</v>
      </c>
      <c r="X2284" s="650"/>
      <c r="Y2284" s="586"/>
      <c r="Z2284" s="742"/>
      <c r="AA2284" s="586"/>
      <c r="AB2284" s="586"/>
      <c r="AC2284" s="586"/>
      <c r="AD2284" s="586"/>
      <c r="AE2284" s="714"/>
      <c r="AF2284" s="570" t="s">
        <v>2899</v>
      </c>
      <c r="AG2284" s="570" t="s">
        <v>25</v>
      </c>
      <c r="AH2284" s="571" t="s">
        <v>25</v>
      </c>
      <c r="AI2284" s="731"/>
      <c r="AJ2284" s="558" t="s">
        <v>2449</v>
      </c>
    </row>
    <row r="2285" spans="1:36" s="394" customFormat="1" ht="20.25" outlineLevel="2" x14ac:dyDescent="0.3">
      <c r="A2285" s="447">
        <v>191</v>
      </c>
      <c r="B2285" s="572"/>
      <c r="C2285" s="572"/>
      <c r="D2285" s="612"/>
      <c r="E2285" s="612"/>
      <c r="F2285" s="586"/>
      <c r="G2285" s="709"/>
      <c r="H2285" s="546"/>
      <c r="I2285" s="563" t="s">
        <v>25</v>
      </c>
      <c r="J2285" s="563" t="s">
        <v>25</v>
      </c>
      <c r="K2285" s="564" t="s">
        <v>25</v>
      </c>
      <c r="L2285" s="564" t="s">
        <v>25</v>
      </c>
      <c r="M2285" s="572"/>
      <c r="N2285" s="572"/>
      <c r="O2285" s="740"/>
      <c r="P2285" s="564" t="s">
        <v>25</v>
      </c>
      <c r="Q2285" s="564" t="s">
        <v>25</v>
      </c>
      <c r="R2285" s="572"/>
      <c r="S2285" s="609"/>
      <c r="T2285" s="741"/>
      <c r="U2285" s="586"/>
      <c r="V2285" s="564" t="s">
        <v>2899</v>
      </c>
      <c r="W2285" s="564" t="s">
        <v>25</v>
      </c>
      <c r="X2285" s="650"/>
      <c r="Y2285" s="586"/>
      <c r="Z2285" s="742"/>
      <c r="AA2285" s="586"/>
      <c r="AB2285" s="586"/>
      <c r="AC2285" s="586"/>
      <c r="AD2285" s="586"/>
      <c r="AE2285" s="714"/>
      <c r="AF2285" s="570" t="s">
        <v>2899</v>
      </c>
      <c r="AG2285" s="570" t="s">
        <v>25</v>
      </c>
      <c r="AH2285" s="571" t="s">
        <v>25</v>
      </c>
      <c r="AI2285" s="586"/>
      <c r="AJ2285" s="586"/>
    </row>
    <row r="2286" spans="1:36" s="394" customFormat="1" ht="20.25" outlineLevel="2" x14ac:dyDescent="0.3">
      <c r="A2286" s="447">
        <v>191</v>
      </c>
      <c r="B2286" s="572"/>
      <c r="C2286" s="572"/>
      <c r="D2286" s="612"/>
      <c r="E2286" s="612"/>
      <c r="F2286" s="586"/>
      <c r="G2286" s="709"/>
      <c r="H2286" s="546"/>
      <c r="I2286" s="563" t="s">
        <v>25</v>
      </c>
      <c r="J2286" s="563" t="s">
        <v>25</v>
      </c>
      <c r="K2286" s="564" t="s">
        <v>25</v>
      </c>
      <c r="L2286" s="564" t="s">
        <v>25</v>
      </c>
      <c r="M2286" s="572"/>
      <c r="N2286" s="572"/>
      <c r="O2286" s="740"/>
      <c r="P2286" s="564" t="s">
        <v>25</v>
      </c>
      <c r="Q2286" s="564" t="s">
        <v>25</v>
      </c>
      <c r="R2286" s="572"/>
      <c r="S2286" s="609"/>
      <c r="T2286" s="741"/>
      <c r="U2286" s="586"/>
      <c r="V2286" s="564" t="s">
        <v>2899</v>
      </c>
      <c r="W2286" s="564" t="s">
        <v>25</v>
      </c>
      <c r="X2286" s="650"/>
      <c r="Y2286" s="586"/>
      <c r="Z2286" s="742"/>
      <c r="AA2286" s="586"/>
      <c r="AB2286" s="586"/>
      <c r="AC2286" s="586"/>
      <c r="AD2286" s="586"/>
      <c r="AE2286" s="714"/>
      <c r="AF2286" s="570" t="s">
        <v>2899</v>
      </c>
      <c r="AG2286" s="570" t="s">
        <v>25</v>
      </c>
      <c r="AH2286" s="571" t="s">
        <v>25</v>
      </c>
      <c r="AI2286" s="572"/>
      <c r="AJ2286" s="572"/>
    </row>
    <row r="2287" spans="1:36" s="394" customFormat="1" ht="20.25" outlineLevel="2" x14ac:dyDescent="0.3">
      <c r="A2287" s="447">
        <v>191</v>
      </c>
      <c r="B2287" s="572"/>
      <c r="C2287" s="572"/>
      <c r="D2287" s="612"/>
      <c r="E2287" s="612"/>
      <c r="F2287" s="586"/>
      <c r="G2287" s="709"/>
      <c r="H2287" s="546"/>
      <c r="I2287" s="563" t="s">
        <v>25</v>
      </c>
      <c r="J2287" s="563" t="s">
        <v>25</v>
      </c>
      <c r="K2287" s="564" t="s">
        <v>25</v>
      </c>
      <c r="L2287" s="564" t="s">
        <v>25</v>
      </c>
      <c r="M2287" s="572"/>
      <c r="N2287" s="572"/>
      <c r="O2287" s="740"/>
      <c r="P2287" s="564" t="s">
        <v>25</v>
      </c>
      <c r="Q2287" s="564" t="s">
        <v>25</v>
      </c>
      <c r="R2287" s="572"/>
      <c r="S2287" s="609"/>
      <c r="T2287" s="741"/>
      <c r="U2287" s="586"/>
      <c r="V2287" s="564" t="s">
        <v>2899</v>
      </c>
      <c r="W2287" s="564" t="s">
        <v>25</v>
      </c>
      <c r="X2287" s="650"/>
      <c r="Y2287" s="586"/>
      <c r="Z2287" s="742"/>
      <c r="AA2287" s="586"/>
      <c r="AB2287" s="586"/>
      <c r="AC2287" s="586"/>
      <c r="AD2287" s="586"/>
      <c r="AE2287" s="714"/>
      <c r="AF2287" s="570" t="s">
        <v>2899</v>
      </c>
      <c r="AG2287" s="570" t="s">
        <v>25</v>
      </c>
      <c r="AH2287" s="571" t="s">
        <v>25</v>
      </c>
      <c r="AI2287" s="558"/>
      <c r="AJ2287" s="558"/>
    </row>
    <row r="2288" spans="1:36" s="394" customFormat="1" ht="20.25" outlineLevel="2" x14ac:dyDescent="0.3">
      <c r="A2288" s="447">
        <v>191</v>
      </c>
      <c r="B2288" s="572"/>
      <c r="C2288" s="572"/>
      <c r="D2288" s="612"/>
      <c r="E2288" s="612"/>
      <c r="F2288" s="586"/>
      <c r="G2288" s="709"/>
      <c r="H2288" s="546"/>
      <c r="I2288" s="563" t="s">
        <v>25</v>
      </c>
      <c r="J2288" s="563" t="s">
        <v>25</v>
      </c>
      <c r="K2288" s="564" t="s">
        <v>25</v>
      </c>
      <c r="L2288" s="564" t="s">
        <v>25</v>
      </c>
      <c r="M2288" s="572"/>
      <c r="N2288" s="572"/>
      <c r="O2288" s="740"/>
      <c r="P2288" s="564" t="s">
        <v>25</v>
      </c>
      <c r="Q2288" s="564" t="s">
        <v>25</v>
      </c>
      <c r="R2288" s="572"/>
      <c r="S2288" s="609"/>
      <c r="T2288" s="741"/>
      <c r="U2288" s="586"/>
      <c r="V2288" s="564" t="s">
        <v>2899</v>
      </c>
      <c r="W2288" s="564" t="s">
        <v>25</v>
      </c>
      <c r="X2288" s="650"/>
      <c r="Y2288" s="586"/>
      <c r="Z2288" s="742"/>
      <c r="AA2288" s="586"/>
      <c r="AB2288" s="586"/>
      <c r="AC2288" s="586"/>
      <c r="AD2288" s="586"/>
      <c r="AE2288" s="714"/>
      <c r="AF2288" s="570" t="s">
        <v>2899</v>
      </c>
      <c r="AG2288" s="570" t="s">
        <v>25</v>
      </c>
      <c r="AH2288" s="571" t="s">
        <v>25</v>
      </c>
      <c r="AI2288" s="586"/>
      <c r="AJ2288" s="586"/>
    </row>
    <row r="2289" spans="1:36" s="394" customFormat="1" ht="20.25" outlineLevel="2" x14ac:dyDescent="0.3">
      <c r="A2289" s="447">
        <v>191</v>
      </c>
      <c r="B2289" s="607"/>
      <c r="C2289" s="607"/>
      <c r="D2289" s="642"/>
      <c r="E2289" s="642"/>
      <c r="F2289" s="586"/>
      <c r="G2289" s="709"/>
      <c r="H2289" s="546"/>
      <c r="I2289" s="563" t="s">
        <v>25</v>
      </c>
      <c r="J2289" s="563" t="s">
        <v>25</v>
      </c>
      <c r="K2289" s="564" t="s">
        <v>25</v>
      </c>
      <c r="L2289" s="564" t="s">
        <v>25</v>
      </c>
      <c r="M2289" s="572"/>
      <c r="N2289" s="572"/>
      <c r="O2289" s="740"/>
      <c r="P2289" s="564" t="s">
        <v>25</v>
      </c>
      <c r="Q2289" s="564" t="s">
        <v>25</v>
      </c>
      <c r="R2289" s="572"/>
      <c r="S2289" s="609"/>
      <c r="T2289" s="741"/>
      <c r="U2289" s="586"/>
      <c r="V2289" s="564" t="s">
        <v>2899</v>
      </c>
      <c r="W2289" s="564" t="s">
        <v>25</v>
      </c>
      <c r="X2289" s="650"/>
      <c r="Y2289" s="586"/>
      <c r="Z2289" s="742"/>
      <c r="AA2289" s="586"/>
      <c r="AB2289" s="586"/>
      <c r="AC2289" s="586"/>
      <c r="AD2289" s="586"/>
      <c r="AE2289" s="714"/>
      <c r="AF2289" s="570" t="s">
        <v>2899</v>
      </c>
      <c r="AG2289" s="570" t="s">
        <v>25</v>
      </c>
      <c r="AH2289" s="571" t="s">
        <v>25</v>
      </c>
      <c r="AI2289" s="586"/>
      <c r="AJ2289" s="586"/>
    </row>
    <row r="2290" spans="1:36" s="396" customFormat="1" ht="40.5" outlineLevel="1" x14ac:dyDescent="0.25">
      <c r="A2290" s="467">
        <v>192</v>
      </c>
      <c r="B2290" s="607" t="s">
        <v>1513</v>
      </c>
      <c r="C2290" s="586" t="s">
        <v>2903</v>
      </c>
      <c r="D2290" s="612">
        <v>86</v>
      </c>
      <c r="E2290" s="612">
        <v>272</v>
      </c>
      <c r="F2290" s="578"/>
      <c r="G2290" s="707">
        <v>266.3</v>
      </c>
      <c r="H2290" s="579">
        <v>0</v>
      </c>
      <c r="I2290" s="581"/>
      <c r="J2290" s="581"/>
      <c r="K2290" s="571">
        <v>147637000</v>
      </c>
      <c r="L2290" s="571">
        <v>0</v>
      </c>
      <c r="M2290" s="607"/>
      <c r="N2290" s="607"/>
      <c r="O2290" s="738">
        <v>0</v>
      </c>
      <c r="P2290" s="571"/>
      <c r="Q2290" s="571">
        <v>0</v>
      </c>
      <c r="R2290" s="582"/>
      <c r="S2290" s="621"/>
      <c r="T2290" s="739">
        <v>522.17000000000007</v>
      </c>
      <c r="U2290" s="578"/>
      <c r="V2290" s="571"/>
      <c r="W2290" s="571">
        <v>923337000</v>
      </c>
      <c r="X2290" s="650"/>
      <c r="Y2290" s="586"/>
      <c r="Z2290" s="742"/>
      <c r="AA2290" s="586"/>
      <c r="AB2290" s="586"/>
      <c r="AC2290" s="586"/>
      <c r="AD2290" s="578"/>
      <c r="AE2290" s="712">
        <f>SUBTOTAL(9,AE2291:AE2301)</f>
        <v>1</v>
      </c>
      <c r="AF2290" s="585"/>
      <c r="AG2290" s="585">
        <v>5000000</v>
      </c>
      <c r="AH2290" s="571">
        <v>1075974000</v>
      </c>
      <c r="AI2290" s="578"/>
      <c r="AJ2290" s="578"/>
    </row>
    <row r="2291" spans="1:36" s="396" customFormat="1" ht="141.75" outlineLevel="2" x14ac:dyDescent="0.3">
      <c r="A2291" s="447">
        <v>192</v>
      </c>
      <c r="B2291" s="572" t="s">
        <v>1515</v>
      </c>
      <c r="C2291" s="572"/>
      <c r="D2291" s="612"/>
      <c r="E2291" s="612"/>
      <c r="F2291" s="586" t="s">
        <v>2895</v>
      </c>
      <c r="G2291" s="709">
        <v>266.3</v>
      </c>
      <c r="H2291" s="546" t="s">
        <v>2899</v>
      </c>
      <c r="I2291" s="563">
        <v>554400</v>
      </c>
      <c r="J2291" s="563">
        <v>0</v>
      </c>
      <c r="K2291" s="564">
        <v>147637000</v>
      </c>
      <c r="L2291" s="564">
        <v>0</v>
      </c>
      <c r="M2291" s="572"/>
      <c r="N2291" s="572"/>
      <c r="O2291" s="740"/>
      <c r="P2291" s="564" t="s">
        <v>25</v>
      </c>
      <c r="Q2291" s="564" t="s">
        <v>25</v>
      </c>
      <c r="R2291" s="566" t="s">
        <v>2011</v>
      </c>
      <c r="S2291" s="609" t="s">
        <v>1133</v>
      </c>
      <c r="T2291" s="741">
        <v>113.19</v>
      </c>
      <c r="U2291" s="586"/>
      <c r="V2291" s="564">
        <v>722547</v>
      </c>
      <c r="W2291" s="564">
        <v>81785000</v>
      </c>
      <c r="X2291" s="650"/>
      <c r="Y2291" s="586"/>
      <c r="Z2291" s="742"/>
      <c r="AA2291" s="586"/>
      <c r="AB2291" s="586"/>
      <c r="AC2291" s="586"/>
      <c r="AD2291" s="586" t="s">
        <v>2137</v>
      </c>
      <c r="AE2291" s="714">
        <v>1</v>
      </c>
      <c r="AF2291" s="570">
        <v>5000000</v>
      </c>
      <c r="AG2291" s="570">
        <v>5000000</v>
      </c>
      <c r="AH2291" s="571" t="s">
        <v>25</v>
      </c>
      <c r="AI2291" s="586" t="s">
        <v>1514</v>
      </c>
      <c r="AJ2291" s="586" t="s">
        <v>2771</v>
      </c>
    </row>
    <row r="2292" spans="1:36" s="394" customFormat="1" ht="121.5" outlineLevel="2" x14ac:dyDescent="0.3">
      <c r="A2292" s="447">
        <v>192</v>
      </c>
      <c r="B2292" s="572" t="s">
        <v>1642</v>
      </c>
      <c r="C2292" s="572"/>
      <c r="D2292" s="612"/>
      <c r="E2292" s="612"/>
      <c r="F2292" s="586"/>
      <c r="G2292" s="709"/>
      <c r="H2292" s="546"/>
      <c r="I2292" s="563" t="s">
        <v>25</v>
      </c>
      <c r="J2292" s="563" t="s">
        <v>25</v>
      </c>
      <c r="K2292" s="564" t="s">
        <v>25</v>
      </c>
      <c r="L2292" s="564" t="s">
        <v>25</v>
      </c>
      <c r="M2292" s="572"/>
      <c r="N2292" s="572"/>
      <c r="O2292" s="740"/>
      <c r="P2292" s="564" t="s">
        <v>25</v>
      </c>
      <c r="Q2292" s="564" t="s">
        <v>25</v>
      </c>
      <c r="R2292" s="566" t="s">
        <v>1763</v>
      </c>
      <c r="S2292" s="609" t="s">
        <v>1133</v>
      </c>
      <c r="T2292" s="741">
        <v>157.5</v>
      </c>
      <c r="U2292" s="586"/>
      <c r="V2292" s="564">
        <v>3550600</v>
      </c>
      <c r="W2292" s="564">
        <v>559220000</v>
      </c>
      <c r="X2292" s="661" t="s">
        <v>1138</v>
      </c>
      <c r="Y2292" s="683" t="s">
        <v>1139</v>
      </c>
      <c r="Z2292" s="683" t="s">
        <v>56</v>
      </c>
      <c r="AA2292" s="694" t="s">
        <v>269</v>
      </c>
      <c r="AB2292" s="683" t="s">
        <v>1138</v>
      </c>
      <c r="AC2292" s="586"/>
      <c r="AD2292" s="586"/>
      <c r="AE2292" s="714"/>
      <c r="AF2292" s="570" t="s">
        <v>2899</v>
      </c>
      <c r="AG2292" s="570"/>
      <c r="AH2292" s="571" t="s">
        <v>25</v>
      </c>
      <c r="AI2292" s="586" t="s">
        <v>1516</v>
      </c>
      <c r="AJ2292" s="558" t="s">
        <v>2450</v>
      </c>
    </row>
    <row r="2293" spans="1:36" s="394" customFormat="1" ht="101.25" outlineLevel="2" x14ac:dyDescent="0.3">
      <c r="A2293" s="447">
        <v>192</v>
      </c>
      <c r="B2293" s="607" t="s">
        <v>1518</v>
      </c>
      <c r="C2293" s="607"/>
      <c r="D2293" s="612"/>
      <c r="E2293" s="612"/>
      <c r="F2293" s="586"/>
      <c r="G2293" s="709"/>
      <c r="H2293" s="546"/>
      <c r="I2293" s="563" t="s">
        <v>25</v>
      </c>
      <c r="J2293" s="563" t="s">
        <v>25</v>
      </c>
      <c r="K2293" s="564" t="s">
        <v>25</v>
      </c>
      <c r="L2293" s="564" t="s">
        <v>25</v>
      </c>
      <c r="M2293" s="572"/>
      <c r="N2293" s="572"/>
      <c r="O2293" s="740"/>
      <c r="P2293" s="564" t="s">
        <v>25</v>
      </c>
      <c r="Q2293" s="564" t="s">
        <v>25</v>
      </c>
      <c r="R2293" s="566" t="s">
        <v>2012</v>
      </c>
      <c r="S2293" s="609" t="s">
        <v>1133</v>
      </c>
      <c r="T2293" s="741">
        <v>28.73</v>
      </c>
      <c r="U2293" s="586"/>
      <c r="V2293" s="564">
        <v>9028527</v>
      </c>
      <c r="W2293" s="564">
        <v>259390000</v>
      </c>
      <c r="X2293" s="650"/>
      <c r="Y2293" s="586"/>
      <c r="Z2293" s="742"/>
      <c r="AA2293" s="586"/>
      <c r="AB2293" s="586"/>
      <c r="AC2293" s="586"/>
      <c r="AD2293" s="586"/>
      <c r="AE2293" s="714"/>
      <c r="AF2293" s="570" t="s">
        <v>2899</v>
      </c>
      <c r="AG2293" s="570" t="s">
        <v>25</v>
      </c>
      <c r="AH2293" s="571" t="s">
        <v>25</v>
      </c>
      <c r="AI2293" s="586" t="s">
        <v>1517</v>
      </c>
      <c r="AJ2293" s="586" t="s">
        <v>2447</v>
      </c>
    </row>
    <row r="2294" spans="1:36" s="394" customFormat="1" ht="101.25" outlineLevel="2" x14ac:dyDescent="0.3">
      <c r="A2294" s="447">
        <v>192</v>
      </c>
      <c r="B2294" s="572" t="s">
        <v>1519</v>
      </c>
      <c r="C2294" s="572"/>
      <c r="D2294" s="612"/>
      <c r="E2294" s="612"/>
      <c r="F2294" s="586"/>
      <c r="G2294" s="709"/>
      <c r="H2294" s="546"/>
      <c r="I2294" s="563" t="s">
        <v>25</v>
      </c>
      <c r="J2294" s="563" t="s">
        <v>25</v>
      </c>
      <c r="K2294" s="564" t="s">
        <v>25</v>
      </c>
      <c r="L2294" s="564" t="s">
        <v>25</v>
      </c>
      <c r="M2294" s="572"/>
      <c r="N2294" s="572"/>
      <c r="O2294" s="740"/>
      <c r="P2294" s="564" t="s">
        <v>25</v>
      </c>
      <c r="Q2294" s="564" t="s">
        <v>25</v>
      </c>
      <c r="R2294" s="572" t="s">
        <v>2013</v>
      </c>
      <c r="S2294" s="609" t="s">
        <v>1133</v>
      </c>
      <c r="T2294" s="741">
        <v>114.4</v>
      </c>
      <c r="U2294" s="586"/>
      <c r="V2294" s="564">
        <v>0</v>
      </c>
      <c r="W2294" s="564">
        <v>0</v>
      </c>
      <c r="X2294" s="650"/>
      <c r="Y2294" s="586"/>
      <c r="Z2294" s="742"/>
      <c r="AA2294" s="586"/>
      <c r="AB2294" s="586"/>
      <c r="AC2294" s="586"/>
      <c r="AD2294" s="586"/>
      <c r="AE2294" s="714"/>
      <c r="AF2294" s="570" t="s">
        <v>2899</v>
      </c>
      <c r="AG2294" s="570" t="s">
        <v>25</v>
      </c>
      <c r="AH2294" s="571" t="s">
        <v>25</v>
      </c>
      <c r="AI2294" s="586" t="s">
        <v>1303</v>
      </c>
      <c r="AJ2294" s="586" t="s">
        <v>2800</v>
      </c>
    </row>
    <row r="2295" spans="1:36" s="394" customFormat="1" ht="81" outlineLevel="2" x14ac:dyDescent="0.3">
      <c r="A2295" s="447">
        <v>192</v>
      </c>
      <c r="B2295" s="572" t="s">
        <v>1643</v>
      </c>
      <c r="C2295" s="572"/>
      <c r="D2295" s="612"/>
      <c r="E2295" s="612"/>
      <c r="F2295" s="586"/>
      <c r="G2295" s="709"/>
      <c r="H2295" s="546"/>
      <c r="I2295" s="563" t="s">
        <v>25</v>
      </c>
      <c r="J2295" s="563" t="s">
        <v>25</v>
      </c>
      <c r="K2295" s="564" t="s">
        <v>25</v>
      </c>
      <c r="L2295" s="564" t="s">
        <v>25</v>
      </c>
      <c r="M2295" s="572"/>
      <c r="N2295" s="572"/>
      <c r="O2295" s="740"/>
      <c r="P2295" s="564" t="s">
        <v>25</v>
      </c>
      <c r="Q2295" s="564" t="s">
        <v>25</v>
      </c>
      <c r="R2295" s="572" t="s">
        <v>2014</v>
      </c>
      <c r="S2295" s="609" t="s">
        <v>1133</v>
      </c>
      <c r="T2295" s="741">
        <v>22.05</v>
      </c>
      <c r="U2295" s="586"/>
      <c r="V2295" s="564">
        <v>0</v>
      </c>
      <c r="W2295" s="564">
        <v>0</v>
      </c>
      <c r="X2295" s="650"/>
      <c r="Y2295" s="586"/>
      <c r="Z2295" s="742"/>
      <c r="AA2295" s="586"/>
      <c r="AB2295" s="586"/>
      <c r="AC2295" s="586"/>
      <c r="AD2295" s="586"/>
      <c r="AE2295" s="714"/>
      <c r="AF2295" s="570" t="s">
        <v>2899</v>
      </c>
      <c r="AG2295" s="570" t="s">
        <v>25</v>
      </c>
      <c r="AH2295" s="571" t="s">
        <v>25</v>
      </c>
      <c r="AI2295" s="586"/>
      <c r="AJ2295" s="586"/>
    </row>
    <row r="2296" spans="1:36" s="394" customFormat="1" ht="81" outlineLevel="2" x14ac:dyDescent="0.3">
      <c r="A2296" s="447">
        <v>192</v>
      </c>
      <c r="B2296" s="572"/>
      <c r="C2296" s="572"/>
      <c r="D2296" s="612"/>
      <c r="E2296" s="612"/>
      <c r="F2296" s="586"/>
      <c r="G2296" s="709"/>
      <c r="H2296" s="546"/>
      <c r="I2296" s="563" t="s">
        <v>25</v>
      </c>
      <c r="J2296" s="563" t="s">
        <v>25</v>
      </c>
      <c r="K2296" s="564" t="s">
        <v>25</v>
      </c>
      <c r="L2296" s="564" t="s">
        <v>25</v>
      </c>
      <c r="M2296" s="572"/>
      <c r="N2296" s="572"/>
      <c r="O2296" s="740"/>
      <c r="P2296" s="564" t="s">
        <v>25</v>
      </c>
      <c r="Q2296" s="564" t="s">
        <v>25</v>
      </c>
      <c r="R2296" s="572" t="s">
        <v>1912</v>
      </c>
      <c r="S2296" s="609" t="s">
        <v>1133</v>
      </c>
      <c r="T2296" s="741">
        <v>86.3</v>
      </c>
      <c r="U2296" s="586"/>
      <c r="V2296" s="564">
        <v>265836</v>
      </c>
      <c r="W2296" s="564">
        <v>22942000</v>
      </c>
      <c r="X2296" s="650"/>
      <c r="Y2296" s="586"/>
      <c r="Z2296" s="742"/>
      <c r="AA2296" s="586"/>
      <c r="AB2296" s="586"/>
      <c r="AC2296" s="586"/>
      <c r="AD2296" s="586"/>
      <c r="AE2296" s="714"/>
      <c r="AF2296" s="570" t="s">
        <v>2899</v>
      </c>
      <c r="AG2296" s="570" t="s">
        <v>25</v>
      </c>
      <c r="AH2296" s="571" t="s">
        <v>25</v>
      </c>
      <c r="AI2296" s="572"/>
      <c r="AJ2296" s="572"/>
    </row>
    <row r="2297" spans="1:36" s="394" customFormat="1" ht="20.25" outlineLevel="2" x14ac:dyDescent="0.3">
      <c r="A2297" s="447">
        <v>192</v>
      </c>
      <c r="B2297" s="572"/>
      <c r="C2297" s="572"/>
      <c r="D2297" s="612"/>
      <c r="E2297" s="612"/>
      <c r="F2297" s="586"/>
      <c r="G2297" s="709"/>
      <c r="H2297" s="546"/>
      <c r="I2297" s="563" t="s">
        <v>25</v>
      </c>
      <c r="J2297" s="563" t="s">
        <v>25</v>
      </c>
      <c r="K2297" s="564" t="s">
        <v>25</v>
      </c>
      <c r="L2297" s="564" t="s">
        <v>25</v>
      </c>
      <c r="M2297" s="572"/>
      <c r="N2297" s="572"/>
      <c r="O2297" s="740"/>
      <c r="P2297" s="564" t="s">
        <v>25</v>
      </c>
      <c r="Q2297" s="564" t="s">
        <v>25</v>
      </c>
      <c r="R2297" s="572"/>
      <c r="S2297" s="609"/>
      <c r="T2297" s="741"/>
      <c r="U2297" s="586"/>
      <c r="V2297" s="564" t="s">
        <v>2899</v>
      </c>
      <c r="W2297" s="564" t="s">
        <v>25</v>
      </c>
      <c r="X2297" s="650"/>
      <c r="Y2297" s="586"/>
      <c r="Z2297" s="742"/>
      <c r="AA2297" s="586"/>
      <c r="AB2297" s="586"/>
      <c r="AC2297" s="586"/>
      <c r="AD2297" s="586"/>
      <c r="AE2297" s="714"/>
      <c r="AF2297" s="570" t="s">
        <v>2899</v>
      </c>
      <c r="AG2297" s="570" t="s">
        <v>25</v>
      </c>
      <c r="AH2297" s="571" t="s">
        <v>25</v>
      </c>
      <c r="AI2297" s="743"/>
      <c r="AJ2297" s="743"/>
    </row>
    <row r="2298" spans="1:36" s="394" customFormat="1" ht="20.25" outlineLevel="2" x14ac:dyDescent="0.3">
      <c r="A2298" s="447">
        <v>192</v>
      </c>
      <c r="B2298" s="572"/>
      <c r="C2298" s="572"/>
      <c r="D2298" s="612"/>
      <c r="E2298" s="612"/>
      <c r="F2298" s="586"/>
      <c r="G2298" s="709"/>
      <c r="H2298" s="546"/>
      <c r="I2298" s="563" t="s">
        <v>25</v>
      </c>
      <c r="J2298" s="563" t="s">
        <v>25</v>
      </c>
      <c r="K2298" s="564" t="s">
        <v>25</v>
      </c>
      <c r="L2298" s="564" t="s">
        <v>25</v>
      </c>
      <c r="M2298" s="572"/>
      <c r="N2298" s="572"/>
      <c r="O2298" s="740"/>
      <c r="P2298" s="564" t="s">
        <v>25</v>
      </c>
      <c r="Q2298" s="564" t="s">
        <v>25</v>
      </c>
      <c r="R2298" s="572"/>
      <c r="S2298" s="609"/>
      <c r="T2298" s="741"/>
      <c r="U2298" s="586"/>
      <c r="V2298" s="564" t="s">
        <v>2899</v>
      </c>
      <c r="W2298" s="564" t="s">
        <v>25</v>
      </c>
      <c r="X2298" s="650"/>
      <c r="Y2298" s="586"/>
      <c r="Z2298" s="742"/>
      <c r="AA2298" s="586"/>
      <c r="AB2298" s="586"/>
      <c r="AC2298" s="586"/>
      <c r="AD2298" s="586"/>
      <c r="AE2298" s="714"/>
      <c r="AF2298" s="570" t="s">
        <v>2899</v>
      </c>
      <c r="AG2298" s="570" t="s">
        <v>25</v>
      </c>
      <c r="AH2298" s="571" t="s">
        <v>25</v>
      </c>
      <c r="AI2298" s="558"/>
      <c r="AJ2298" s="558"/>
    </row>
    <row r="2299" spans="1:36" s="394" customFormat="1" ht="20.25" outlineLevel="2" x14ac:dyDescent="0.3">
      <c r="A2299" s="447">
        <v>192</v>
      </c>
      <c r="B2299" s="572"/>
      <c r="C2299" s="572"/>
      <c r="D2299" s="612"/>
      <c r="E2299" s="612"/>
      <c r="F2299" s="586"/>
      <c r="G2299" s="709"/>
      <c r="H2299" s="546"/>
      <c r="I2299" s="563" t="s">
        <v>25</v>
      </c>
      <c r="J2299" s="563" t="s">
        <v>25</v>
      </c>
      <c r="K2299" s="564" t="s">
        <v>25</v>
      </c>
      <c r="L2299" s="564" t="s">
        <v>25</v>
      </c>
      <c r="M2299" s="572"/>
      <c r="N2299" s="572"/>
      <c r="O2299" s="740"/>
      <c r="P2299" s="564" t="s">
        <v>25</v>
      </c>
      <c r="Q2299" s="564" t="s">
        <v>25</v>
      </c>
      <c r="R2299" s="572"/>
      <c r="S2299" s="609"/>
      <c r="T2299" s="741"/>
      <c r="U2299" s="586"/>
      <c r="V2299" s="564" t="s">
        <v>2899</v>
      </c>
      <c r="W2299" s="564" t="s">
        <v>25</v>
      </c>
      <c r="X2299" s="650"/>
      <c r="Y2299" s="586"/>
      <c r="Z2299" s="742"/>
      <c r="AA2299" s="586"/>
      <c r="AB2299" s="586"/>
      <c r="AC2299" s="586"/>
      <c r="AD2299" s="586"/>
      <c r="AE2299" s="714"/>
      <c r="AF2299" s="570" t="s">
        <v>2899</v>
      </c>
      <c r="AG2299" s="570" t="s">
        <v>25</v>
      </c>
      <c r="AH2299" s="571" t="s">
        <v>25</v>
      </c>
      <c r="AI2299" s="586"/>
      <c r="AJ2299" s="586"/>
    </row>
    <row r="2300" spans="1:36" s="394" customFormat="1" ht="20.25" outlineLevel="2" x14ac:dyDescent="0.3">
      <c r="A2300" s="447">
        <v>192</v>
      </c>
      <c r="B2300" s="572"/>
      <c r="C2300" s="572"/>
      <c r="D2300" s="612"/>
      <c r="E2300" s="612"/>
      <c r="F2300" s="586"/>
      <c r="G2300" s="709"/>
      <c r="H2300" s="546"/>
      <c r="I2300" s="563" t="s">
        <v>25</v>
      </c>
      <c r="J2300" s="563" t="s">
        <v>25</v>
      </c>
      <c r="K2300" s="564" t="s">
        <v>25</v>
      </c>
      <c r="L2300" s="564" t="s">
        <v>25</v>
      </c>
      <c r="M2300" s="572"/>
      <c r="N2300" s="572"/>
      <c r="O2300" s="740"/>
      <c r="P2300" s="564" t="s">
        <v>25</v>
      </c>
      <c r="Q2300" s="564" t="s">
        <v>25</v>
      </c>
      <c r="R2300" s="572"/>
      <c r="S2300" s="609"/>
      <c r="T2300" s="741"/>
      <c r="U2300" s="586"/>
      <c r="V2300" s="564" t="s">
        <v>2899</v>
      </c>
      <c r="W2300" s="564" t="s">
        <v>25</v>
      </c>
      <c r="X2300" s="650"/>
      <c r="Y2300" s="586"/>
      <c r="Z2300" s="742"/>
      <c r="AA2300" s="586"/>
      <c r="AB2300" s="586"/>
      <c r="AC2300" s="586"/>
      <c r="AD2300" s="586"/>
      <c r="AE2300" s="714"/>
      <c r="AF2300" s="570" t="s">
        <v>2899</v>
      </c>
      <c r="AG2300" s="570" t="s">
        <v>25</v>
      </c>
      <c r="AH2300" s="571" t="s">
        <v>25</v>
      </c>
      <c r="AI2300" s="586"/>
      <c r="AJ2300" s="586"/>
    </row>
    <row r="2301" spans="1:36" s="394" customFormat="1" ht="20.25" outlineLevel="2" x14ac:dyDescent="0.3">
      <c r="A2301" s="447">
        <v>192</v>
      </c>
      <c r="B2301" s="607"/>
      <c r="C2301" s="607"/>
      <c r="D2301" s="642"/>
      <c r="E2301" s="642"/>
      <c r="F2301" s="586"/>
      <c r="G2301" s="709"/>
      <c r="H2301" s="546"/>
      <c r="I2301" s="563" t="s">
        <v>25</v>
      </c>
      <c r="J2301" s="563" t="s">
        <v>25</v>
      </c>
      <c r="K2301" s="564" t="s">
        <v>25</v>
      </c>
      <c r="L2301" s="564" t="s">
        <v>25</v>
      </c>
      <c r="M2301" s="572"/>
      <c r="N2301" s="572"/>
      <c r="O2301" s="740"/>
      <c r="P2301" s="564" t="s">
        <v>25</v>
      </c>
      <c r="Q2301" s="564" t="s">
        <v>25</v>
      </c>
      <c r="R2301" s="572"/>
      <c r="S2301" s="609"/>
      <c r="T2301" s="741"/>
      <c r="U2301" s="586"/>
      <c r="V2301" s="564" t="s">
        <v>2899</v>
      </c>
      <c r="W2301" s="564" t="s">
        <v>25</v>
      </c>
      <c r="X2301" s="650"/>
      <c r="Y2301" s="586"/>
      <c r="Z2301" s="742"/>
      <c r="AA2301" s="586"/>
      <c r="AB2301" s="586"/>
      <c r="AC2301" s="586"/>
      <c r="AD2301" s="586"/>
      <c r="AE2301" s="714"/>
      <c r="AF2301" s="570" t="s">
        <v>2899</v>
      </c>
      <c r="AG2301" s="570" t="s">
        <v>25</v>
      </c>
      <c r="AH2301" s="571" t="s">
        <v>25</v>
      </c>
      <c r="AI2301" s="586"/>
      <c r="AJ2301" s="586"/>
    </row>
    <row r="2302" spans="1:36" s="396" customFormat="1" ht="60.75" outlineLevel="1" x14ac:dyDescent="0.25">
      <c r="A2302" s="467">
        <v>193</v>
      </c>
      <c r="B2302" s="607" t="s">
        <v>1520</v>
      </c>
      <c r="C2302" s="586" t="s">
        <v>2903</v>
      </c>
      <c r="D2302" s="612">
        <v>86</v>
      </c>
      <c r="E2302" s="612">
        <v>284</v>
      </c>
      <c r="F2302" s="578"/>
      <c r="G2302" s="707">
        <v>563.29999999999995</v>
      </c>
      <c r="H2302" s="579">
        <v>563.29999999999995</v>
      </c>
      <c r="I2302" s="581"/>
      <c r="J2302" s="581"/>
      <c r="K2302" s="571">
        <v>262272000</v>
      </c>
      <c r="L2302" s="571">
        <v>786817000</v>
      </c>
      <c r="M2302" s="607"/>
      <c r="N2302" s="607"/>
      <c r="O2302" s="738">
        <v>527</v>
      </c>
      <c r="P2302" s="571"/>
      <c r="Q2302" s="571">
        <v>6324000</v>
      </c>
      <c r="R2302" s="582"/>
      <c r="S2302" s="621"/>
      <c r="T2302" s="739">
        <v>0</v>
      </c>
      <c r="U2302" s="578"/>
      <c r="V2302" s="571"/>
      <c r="W2302" s="571">
        <v>0</v>
      </c>
      <c r="X2302" s="650"/>
      <c r="Y2302" s="586"/>
      <c r="Z2302" s="742"/>
      <c r="AA2302" s="586"/>
      <c r="AB2302" s="586"/>
      <c r="AC2302" s="586"/>
      <c r="AD2302" s="578"/>
      <c r="AE2302" s="712">
        <f>SUBTOTAL(9,AE2303:AE2311)</f>
        <v>0</v>
      </c>
      <c r="AF2302" s="585"/>
      <c r="AG2302" s="585">
        <v>0</v>
      </c>
      <c r="AH2302" s="571">
        <v>1055413000</v>
      </c>
      <c r="AI2302" s="578"/>
      <c r="AJ2302" s="578"/>
    </row>
    <row r="2303" spans="1:36" s="396" customFormat="1" ht="121.5" outlineLevel="2" x14ac:dyDescent="0.3">
      <c r="A2303" s="447">
        <v>193</v>
      </c>
      <c r="B2303" s="572" t="s">
        <v>1522</v>
      </c>
      <c r="C2303" s="572"/>
      <c r="D2303" s="612"/>
      <c r="E2303" s="612"/>
      <c r="F2303" s="586" t="s">
        <v>2435</v>
      </c>
      <c r="G2303" s="709">
        <v>563.29999999999995</v>
      </c>
      <c r="H2303" s="546">
        <v>563.29999999999995</v>
      </c>
      <c r="I2303" s="563">
        <v>465600</v>
      </c>
      <c r="J2303" s="563">
        <v>1396800</v>
      </c>
      <c r="K2303" s="564">
        <v>262272000</v>
      </c>
      <c r="L2303" s="564">
        <v>786817000</v>
      </c>
      <c r="M2303" s="572" t="s">
        <v>347</v>
      </c>
      <c r="N2303" s="572"/>
      <c r="O2303" s="740">
        <v>527</v>
      </c>
      <c r="P2303" s="564">
        <v>12000</v>
      </c>
      <c r="Q2303" s="564">
        <v>6324000</v>
      </c>
      <c r="R2303" s="566"/>
      <c r="S2303" s="609"/>
      <c r="T2303" s="741"/>
      <c r="U2303" s="586"/>
      <c r="V2303" s="564" t="s">
        <v>2899</v>
      </c>
      <c r="W2303" s="564" t="s">
        <v>25</v>
      </c>
      <c r="X2303" s="650"/>
      <c r="Y2303" s="586"/>
      <c r="Z2303" s="742"/>
      <c r="AA2303" s="586"/>
      <c r="AB2303" s="586"/>
      <c r="AC2303" s="586"/>
      <c r="AD2303" s="586"/>
      <c r="AE2303" s="714"/>
      <c r="AF2303" s="570" t="s">
        <v>2899</v>
      </c>
      <c r="AG2303" s="570"/>
      <c r="AH2303" s="571" t="s">
        <v>25</v>
      </c>
      <c r="AI2303" s="586" t="s">
        <v>1521</v>
      </c>
      <c r="AJ2303" s="586" t="s">
        <v>2771</v>
      </c>
    </row>
    <row r="2304" spans="1:36" s="394" customFormat="1" ht="81" outlineLevel="2" x14ac:dyDescent="0.3">
      <c r="A2304" s="447">
        <v>193</v>
      </c>
      <c r="B2304" s="572" t="s">
        <v>1645</v>
      </c>
      <c r="C2304" s="572"/>
      <c r="D2304" s="612"/>
      <c r="E2304" s="612"/>
      <c r="F2304" s="586"/>
      <c r="G2304" s="709"/>
      <c r="H2304" s="546"/>
      <c r="I2304" s="563" t="s">
        <v>25</v>
      </c>
      <c r="J2304" s="563" t="s">
        <v>25</v>
      </c>
      <c r="K2304" s="564" t="s">
        <v>25</v>
      </c>
      <c r="L2304" s="564" t="s">
        <v>25</v>
      </c>
      <c r="M2304" s="572"/>
      <c r="N2304" s="572"/>
      <c r="O2304" s="740"/>
      <c r="P2304" s="564" t="s">
        <v>25</v>
      </c>
      <c r="Q2304" s="564" t="s">
        <v>25</v>
      </c>
      <c r="R2304" s="566"/>
      <c r="S2304" s="609"/>
      <c r="T2304" s="741"/>
      <c r="U2304" s="586"/>
      <c r="V2304" s="564" t="s">
        <v>2899</v>
      </c>
      <c r="W2304" s="564" t="s">
        <v>25</v>
      </c>
      <c r="X2304" s="650"/>
      <c r="Y2304" s="586"/>
      <c r="Z2304" s="742"/>
      <c r="AA2304" s="586"/>
      <c r="AB2304" s="586"/>
      <c r="AC2304" s="586"/>
      <c r="AD2304" s="586"/>
      <c r="AE2304" s="714"/>
      <c r="AF2304" s="570" t="s">
        <v>2899</v>
      </c>
      <c r="AG2304" s="570" t="s">
        <v>25</v>
      </c>
      <c r="AH2304" s="571" t="s">
        <v>25</v>
      </c>
      <c r="AI2304" s="586" t="s">
        <v>1523</v>
      </c>
      <c r="AJ2304" s="605" t="s">
        <v>2448</v>
      </c>
    </row>
    <row r="2305" spans="1:36" s="394" customFormat="1" ht="101.25" outlineLevel="2" x14ac:dyDescent="0.3">
      <c r="A2305" s="447">
        <v>193</v>
      </c>
      <c r="B2305" s="572"/>
      <c r="C2305" s="572"/>
      <c r="D2305" s="612"/>
      <c r="E2305" s="612"/>
      <c r="F2305" s="586"/>
      <c r="G2305" s="709"/>
      <c r="H2305" s="546"/>
      <c r="I2305" s="563" t="s">
        <v>25</v>
      </c>
      <c r="J2305" s="563" t="s">
        <v>25</v>
      </c>
      <c r="K2305" s="564" t="s">
        <v>25</v>
      </c>
      <c r="L2305" s="564" t="s">
        <v>25</v>
      </c>
      <c r="M2305" s="572"/>
      <c r="N2305" s="572"/>
      <c r="O2305" s="740"/>
      <c r="P2305" s="564" t="s">
        <v>25</v>
      </c>
      <c r="Q2305" s="564" t="s">
        <v>25</v>
      </c>
      <c r="R2305" s="566"/>
      <c r="S2305" s="609"/>
      <c r="T2305" s="741"/>
      <c r="U2305" s="586"/>
      <c r="V2305" s="564" t="s">
        <v>2899</v>
      </c>
      <c r="W2305" s="564" t="s">
        <v>25</v>
      </c>
      <c r="X2305" s="650"/>
      <c r="Y2305" s="586"/>
      <c r="Z2305" s="742"/>
      <c r="AA2305" s="586"/>
      <c r="AB2305" s="586"/>
      <c r="AC2305" s="586"/>
      <c r="AD2305" s="586"/>
      <c r="AE2305" s="714"/>
      <c r="AF2305" s="570" t="s">
        <v>2899</v>
      </c>
      <c r="AG2305" s="570" t="s">
        <v>25</v>
      </c>
      <c r="AH2305" s="571" t="s">
        <v>25</v>
      </c>
      <c r="AI2305" s="586" t="s">
        <v>404</v>
      </c>
      <c r="AJ2305" s="558" t="s">
        <v>2449</v>
      </c>
    </row>
    <row r="2306" spans="1:36" s="394" customFormat="1" ht="60.75" outlineLevel="2" x14ac:dyDescent="0.3">
      <c r="A2306" s="447">
        <v>193</v>
      </c>
      <c r="B2306" s="572"/>
      <c r="C2306" s="572"/>
      <c r="D2306" s="612"/>
      <c r="E2306" s="612"/>
      <c r="F2306" s="586"/>
      <c r="G2306" s="709"/>
      <c r="H2306" s="546"/>
      <c r="I2306" s="563" t="s">
        <v>25</v>
      </c>
      <c r="J2306" s="563" t="s">
        <v>25</v>
      </c>
      <c r="K2306" s="564" t="s">
        <v>25</v>
      </c>
      <c r="L2306" s="564" t="s">
        <v>25</v>
      </c>
      <c r="M2306" s="572"/>
      <c r="N2306" s="572"/>
      <c r="O2306" s="740"/>
      <c r="P2306" s="564" t="s">
        <v>25</v>
      </c>
      <c r="Q2306" s="564" t="s">
        <v>25</v>
      </c>
      <c r="R2306" s="572"/>
      <c r="S2306" s="609"/>
      <c r="T2306" s="741"/>
      <c r="U2306" s="586"/>
      <c r="V2306" s="564" t="s">
        <v>2899</v>
      </c>
      <c r="W2306" s="564" t="s">
        <v>25</v>
      </c>
      <c r="X2306" s="650"/>
      <c r="Y2306" s="586"/>
      <c r="Z2306" s="742"/>
      <c r="AA2306" s="586"/>
      <c r="AB2306" s="586"/>
      <c r="AC2306" s="586"/>
      <c r="AD2306" s="586"/>
      <c r="AE2306" s="714"/>
      <c r="AF2306" s="570" t="s">
        <v>2899</v>
      </c>
      <c r="AG2306" s="570" t="s">
        <v>25</v>
      </c>
      <c r="AH2306" s="571" t="s">
        <v>25</v>
      </c>
      <c r="AI2306" s="586" t="s">
        <v>2074</v>
      </c>
      <c r="AJ2306" s="586"/>
    </row>
    <row r="2307" spans="1:36" s="394" customFormat="1" ht="20.25" outlineLevel="2" x14ac:dyDescent="0.3">
      <c r="A2307" s="447">
        <v>193</v>
      </c>
      <c r="B2307" s="572"/>
      <c r="C2307" s="572"/>
      <c r="D2307" s="612"/>
      <c r="E2307" s="612"/>
      <c r="F2307" s="586"/>
      <c r="G2307" s="709"/>
      <c r="H2307" s="546"/>
      <c r="I2307" s="563" t="s">
        <v>25</v>
      </c>
      <c r="J2307" s="563" t="s">
        <v>25</v>
      </c>
      <c r="K2307" s="564" t="s">
        <v>25</v>
      </c>
      <c r="L2307" s="564" t="s">
        <v>25</v>
      </c>
      <c r="M2307" s="572"/>
      <c r="N2307" s="572"/>
      <c r="O2307" s="740"/>
      <c r="P2307" s="564" t="s">
        <v>25</v>
      </c>
      <c r="Q2307" s="564" t="s">
        <v>25</v>
      </c>
      <c r="R2307" s="572"/>
      <c r="S2307" s="609"/>
      <c r="T2307" s="741"/>
      <c r="U2307" s="586"/>
      <c r="V2307" s="564" t="s">
        <v>2899</v>
      </c>
      <c r="W2307" s="564" t="s">
        <v>25</v>
      </c>
      <c r="X2307" s="650"/>
      <c r="Y2307" s="586"/>
      <c r="Z2307" s="742"/>
      <c r="AA2307" s="586"/>
      <c r="AB2307" s="586"/>
      <c r="AC2307" s="586"/>
      <c r="AD2307" s="586"/>
      <c r="AE2307" s="714"/>
      <c r="AF2307" s="570" t="s">
        <v>2899</v>
      </c>
      <c r="AG2307" s="570" t="s">
        <v>25</v>
      </c>
      <c r="AH2307" s="571" t="s">
        <v>25</v>
      </c>
      <c r="AI2307" s="586"/>
      <c r="AJ2307" s="586"/>
    </row>
    <row r="2308" spans="1:36" s="394" customFormat="1" ht="20.25" outlineLevel="2" x14ac:dyDescent="0.3">
      <c r="A2308" s="447">
        <v>193</v>
      </c>
      <c r="B2308" s="572"/>
      <c r="C2308" s="572"/>
      <c r="D2308" s="612"/>
      <c r="E2308" s="612"/>
      <c r="F2308" s="586"/>
      <c r="G2308" s="709"/>
      <c r="H2308" s="546"/>
      <c r="I2308" s="563" t="s">
        <v>25</v>
      </c>
      <c r="J2308" s="563" t="s">
        <v>25</v>
      </c>
      <c r="K2308" s="564" t="s">
        <v>25</v>
      </c>
      <c r="L2308" s="564" t="s">
        <v>25</v>
      </c>
      <c r="M2308" s="572"/>
      <c r="N2308" s="572"/>
      <c r="O2308" s="740"/>
      <c r="P2308" s="564" t="s">
        <v>25</v>
      </c>
      <c r="Q2308" s="564" t="s">
        <v>25</v>
      </c>
      <c r="R2308" s="572"/>
      <c r="S2308" s="609"/>
      <c r="T2308" s="741"/>
      <c r="U2308" s="586"/>
      <c r="V2308" s="564" t="s">
        <v>2899</v>
      </c>
      <c r="W2308" s="564" t="s">
        <v>25</v>
      </c>
      <c r="X2308" s="650"/>
      <c r="Y2308" s="586"/>
      <c r="Z2308" s="742"/>
      <c r="AA2308" s="586"/>
      <c r="AB2308" s="586"/>
      <c r="AC2308" s="586"/>
      <c r="AD2308" s="586"/>
      <c r="AE2308" s="714"/>
      <c r="AF2308" s="570" t="s">
        <v>2899</v>
      </c>
      <c r="AG2308" s="570" t="s">
        <v>25</v>
      </c>
      <c r="AH2308" s="571" t="s">
        <v>25</v>
      </c>
      <c r="AI2308" s="572"/>
      <c r="AJ2308" s="572"/>
    </row>
    <row r="2309" spans="1:36" s="394" customFormat="1" ht="20.25" outlineLevel="2" x14ac:dyDescent="0.3">
      <c r="A2309" s="447">
        <v>193</v>
      </c>
      <c r="B2309" s="572"/>
      <c r="C2309" s="572"/>
      <c r="D2309" s="612"/>
      <c r="E2309" s="612"/>
      <c r="F2309" s="586"/>
      <c r="G2309" s="709"/>
      <c r="H2309" s="546"/>
      <c r="I2309" s="563" t="s">
        <v>25</v>
      </c>
      <c r="J2309" s="563" t="s">
        <v>25</v>
      </c>
      <c r="K2309" s="564" t="s">
        <v>25</v>
      </c>
      <c r="L2309" s="564" t="s">
        <v>25</v>
      </c>
      <c r="M2309" s="572"/>
      <c r="N2309" s="572"/>
      <c r="O2309" s="740"/>
      <c r="P2309" s="564" t="s">
        <v>25</v>
      </c>
      <c r="Q2309" s="564" t="s">
        <v>25</v>
      </c>
      <c r="R2309" s="572"/>
      <c r="S2309" s="609"/>
      <c r="T2309" s="741"/>
      <c r="U2309" s="586"/>
      <c r="V2309" s="564" t="s">
        <v>2899</v>
      </c>
      <c r="W2309" s="564" t="s">
        <v>25</v>
      </c>
      <c r="X2309" s="650"/>
      <c r="Y2309" s="586"/>
      <c r="Z2309" s="742"/>
      <c r="AA2309" s="586"/>
      <c r="AB2309" s="586"/>
      <c r="AC2309" s="586"/>
      <c r="AD2309" s="586"/>
      <c r="AE2309" s="714"/>
      <c r="AF2309" s="570" t="s">
        <v>2899</v>
      </c>
      <c r="AG2309" s="570" t="s">
        <v>25</v>
      </c>
      <c r="AH2309" s="571" t="s">
        <v>25</v>
      </c>
      <c r="AI2309" s="558"/>
      <c r="AJ2309" s="558"/>
    </row>
    <row r="2310" spans="1:36" s="394" customFormat="1" ht="20.25" outlineLevel="2" x14ac:dyDescent="0.3">
      <c r="A2310" s="447">
        <v>193</v>
      </c>
      <c r="B2310" s="572"/>
      <c r="C2310" s="572"/>
      <c r="D2310" s="612"/>
      <c r="E2310" s="612"/>
      <c r="F2310" s="586"/>
      <c r="G2310" s="709"/>
      <c r="H2310" s="546"/>
      <c r="I2310" s="563" t="s">
        <v>25</v>
      </c>
      <c r="J2310" s="563" t="s">
        <v>25</v>
      </c>
      <c r="K2310" s="564" t="s">
        <v>25</v>
      </c>
      <c r="L2310" s="564" t="s">
        <v>25</v>
      </c>
      <c r="M2310" s="572"/>
      <c r="N2310" s="572"/>
      <c r="O2310" s="740"/>
      <c r="P2310" s="564" t="s">
        <v>25</v>
      </c>
      <c r="Q2310" s="564" t="s">
        <v>25</v>
      </c>
      <c r="R2310" s="572"/>
      <c r="S2310" s="609"/>
      <c r="T2310" s="741"/>
      <c r="U2310" s="586"/>
      <c r="V2310" s="564" t="s">
        <v>2899</v>
      </c>
      <c r="W2310" s="564" t="s">
        <v>25</v>
      </c>
      <c r="X2310" s="650"/>
      <c r="Y2310" s="586"/>
      <c r="Z2310" s="742"/>
      <c r="AA2310" s="586"/>
      <c r="AB2310" s="586"/>
      <c r="AC2310" s="586"/>
      <c r="AD2310" s="586"/>
      <c r="AE2310" s="714"/>
      <c r="AF2310" s="570" t="s">
        <v>2899</v>
      </c>
      <c r="AG2310" s="570" t="s">
        <v>25</v>
      </c>
      <c r="AH2310" s="571" t="s">
        <v>25</v>
      </c>
      <c r="AI2310" s="586"/>
      <c r="AJ2310" s="586"/>
    </row>
    <row r="2311" spans="1:36" s="394" customFormat="1" ht="20.25" outlineLevel="2" x14ac:dyDescent="0.3">
      <c r="A2311" s="447">
        <v>193</v>
      </c>
      <c r="B2311" s="607"/>
      <c r="C2311" s="607"/>
      <c r="D2311" s="642"/>
      <c r="E2311" s="642"/>
      <c r="F2311" s="586"/>
      <c r="G2311" s="709"/>
      <c r="H2311" s="546"/>
      <c r="I2311" s="563" t="s">
        <v>25</v>
      </c>
      <c r="J2311" s="563" t="s">
        <v>25</v>
      </c>
      <c r="K2311" s="564" t="s">
        <v>25</v>
      </c>
      <c r="L2311" s="564" t="s">
        <v>25</v>
      </c>
      <c r="M2311" s="572"/>
      <c r="N2311" s="572"/>
      <c r="O2311" s="740"/>
      <c r="P2311" s="564" t="s">
        <v>25</v>
      </c>
      <c r="Q2311" s="564" t="s">
        <v>25</v>
      </c>
      <c r="R2311" s="572"/>
      <c r="S2311" s="609"/>
      <c r="T2311" s="741"/>
      <c r="U2311" s="586"/>
      <c r="V2311" s="564" t="s">
        <v>2899</v>
      </c>
      <c r="W2311" s="564" t="s">
        <v>25</v>
      </c>
      <c r="X2311" s="650"/>
      <c r="Y2311" s="586"/>
      <c r="Z2311" s="742"/>
      <c r="AA2311" s="586"/>
      <c r="AB2311" s="586"/>
      <c r="AC2311" s="586"/>
      <c r="AD2311" s="586"/>
      <c r="AE2311" s="714"/>
      <c r="AF2311" s="570" t="s">
        <v>2899</v>
      </c>
      <c r="AG2311" s="570" t="s">
        <v>25</v>
      </c>
      <c r="AH2311" s="571" t="s">
        <v>25</v>
      </c>
      <c r="AI2311" s="586"/>
      <c r="AJ2311" s="586"/>
    </row>
    <row r="2312" spans="1:36" s="396" customFormat="1" ht="40.5" outlineLevel="1" x14ac:dyDescent="0.25">
      <c r="A2312" s="467">
        <v>194</v>
      </c>
      <c r="B2312" s="607" t="s">
        <v>50</v>
      </c>
      <c r="C2312" s="586" t="s">
        <v>2903</v>
      </c>
      <c r="D2312" s="612">
        <v>86</v>
      </c>
      <c r="E2312" s="612">
        <v>310</v>
      </c>
      <c r="F2312" s="578"/>
      <c r="G2312" s="707">
        <v>1000</v>
      </c>
      <c r="H2312" s="579">
        <v>1000</v>
      </c>
      <c r="I2312" s="581"/>
      <c r="J2312" s="581"/>
      <c r="K2312" s="571">
        <v>465600000</v>
      </c>
      <c r="L2312" s="571">
        <v>1396800000</v>
      </c>
      <c r="M2312" s="607"/>
      <c r="N2312" s="607"/>
      <c r="O2312" s="738">
        <v>0</v>
      </c>
      <c r="P2312" s="571"/>
      <c r="Q2312" s="571">
        <v>0</v>
      </c>
      <c r="R2312" s="582"/>
      <c r="S2312" s="621"/>
      <c r="T2312" s="739">
        <v>0</v>
      </c>
      <c r="U2312" s="578"/>
      <c r="V2312" s="571"/>
      <c r="W2312" s="571">
        <v>0</v>
      </c>
      <c r="X2312" s="650"/>
      <c r="Y2312" s="586"/>
      <c r="Z2312" s="742"/>
      <c r="AA2312" s="586"/>
      <c r="AB2312" s="586"/>
      <c r="AC2312" s="586"/>
      <c r="AD2312" s="578"/>
      <c r="AE2312" s="712">
        <f>SUBTOTAL(9,AE2313:AE2321)</f>
        <v>0</v>
      </c>
      <c r="AF2312" s="585"/>
      <c r="AG2312" s="585">
        <v>0</v>
      </c>
      <c r="AH2312" s="571">
        <v>1862400000</v>
      </c>
      <c r="AI2312" s="578"/>
      <c r="AJ2312" s="578"/>
    </row>
    <row r="2313" spans="1:36" s="396" customFormat="1" ht="121.5" outlineLevel="2" x14ac:dyDescent="0.3">
      <c r="A2313" s="447">
        <v>194</v>
      </c>
      <c r="B2313" s="572" t="s">
        <v>112</v>
      </c>
      <c r="C2313" s="572"/>
      <c r="D2313" s="612"/>
      <c r="E2313" s="612"/>
      <c r="F2313" s="586" t="s">
        <v>2435</v>
      </c>
      <c r="G2313" s="709">
        <v>1000</v>
      </c>
      <c r="H2313" s="546">
        <v>1000</v>
      </c>
      <c r="I2313" s="563">
        <v>465600</v>
      </c>
      <c r="J2313" s="563">
        <v>1396800</v>
      </c>
      <c r="K2313" s="564">
        <v>465600000</v>
      </c>
      <c r="L2313" s="564">
        <v>1396800000</v>
      </c>
      <c r="M2313" s="572"/>
      <c r="N2313" s="572"/>
      <c r="O2313" s="740"/>
      <c r="P2313" s="564" t="s">
        <v>25</v>
      </c>
      <c r="Q2313" s="564" t="s">
        <v>25</v>
      </c>
      <c r="R2313" s="566"/>
      <c r="S2313" s="609"/>
      <c r="T2313" s="741"/>
      <c r="U2313" s="586"/>
      <c r="V2313" s="564" t="s">
        <v>2899</v>
      </c>
      <c r="W2313" s="564" t="s">
        <v>25</v>
      </c>
      <c r="X2313" s="650"/>
      <c r="Y2313" s="586"/>
      <c r="Z2313" s="742"/>
      <c r="AA2313" s="586"/>
      <c r="AB2313" s="586"/>
      <c r="AC2313" s="586"/>
      <c r="AD2313" s="586"/>
      <c r="AE2313" s="714"/>
      <c r="AF2313" s="570" t="s">
        <v>2899</v>
      </c>
      <c r="AG2313" s="570" t="s">
        <v>25</v>
      </c>
      <c r="AH2313" s="571" t="s">
        <v>25</v>
      </c>
      <c r="AI2313" s="586" t="s">
        <v>1524</v>
      </c>
      <c r="AJ2313" s="586" t="s">
        <v>2771</v>
      </c>
    </row>
    <row r="2314" spans="1:36" s="394" customFormat="1" ht="81" outlineLevel="2" x14ac:dyDescent="0.3">
      <c r="A2314" s="447">
        <v>194</v>
      </c>
      <c r="B2314" s="572" t="s">
        <v>1644</v>
      </c>
      <c r="C2314" s="572"/>
      <c r="D2314" s="612"/>
      <c r="E2314" s="612"/>
      <c r="F2314" s="586"/>
      <c r="G2314" s="709"/>
      <c r="H2314" s="546"/>
      <c r="I2314" s="563" t="s">
        <v>25</v>
      </c>
      <c r="J2314" s="563" t="s">
        <v>25</v>
      </c>
      <c r="K2314" s="564" t="s">
        <v>25</v>
      </c>
      <c r="L2314" s="564" t="s">
        <v>25</v>
      </c>
      <c r="M2314" s="572"/>
      <c r="N2314" s="572"/>
      <c r="O2314" s="740"/>
      <c r="P2314" s="564" t="s">
        <v>25</v>
      </c>
      <c r="Q2314" s="564" t="s">
        <v>25</v>
      </c>
      <c r="R2314" s="566"/>
      <c r="S2314" s="609"/>
      <c r="T2314" s="741"/>
      <c r="U2314" s="586"/>
      <c r="V2314" s="564" t="s">
        <v>2899</v>
      </c>
      <c r="W2314" s="564" t="s">
        <v>25</v>
      </c>
      <c r="X2314" s="650"/>
      <c r="Y2314" s="586"/>
      <c r="Z2314" s="742"/>
      <c r="AA2314" s="586"/>
      <c r="AB2314" s="586"/>
      <c r="AC2314" s="586"/>
      <c r="AD2314" s="586"/>
      <c r="AE2314" s="714"/>
      <c r="AF2314" s="570" t="s">
        <v>2899</v>
      </c>
      <c r="AG2314" s="570" t="s">
        <v>25</v>
      </c>
      <c r="AH2314" s="571" t="s">
        <v>25</v>
      </c>
      <c r="AI2314" s="586" t="s">
        <v>1525</v>
      </c>
      <c r="AJ2314" s="605" t="s">
        <v>2448</v>
      </c>
    </row>
    <row r="2315" spans="1:36" s="394" customFormat="1" ht="60.75" outlineLevel="2" x14ac:dyDescent="0.3">
      <c r="A2315" s="447">
        <v>194</v>
      </c>
      <c r="B2315" s="751"/>
      <c r="C2315" s="751"/>
      <c r="D2315" s="612"/>
      <c r="E2315" s="612"/>
      <c r="F2315" s="586"/>
      <c r="G2315" s="709"/>
      <c r="H2315" s="546"/>
      <c r="I2315" s="563" t="s">
        <v>25</v>
      </c>
      <c r="J2315" s="563" t="s">
        <v>25</v>
      </c>
      <c r="K2315" s="564" t="s">
        <v>25</v>
      </c>
      <c r="L2315" s="564" t="s">
        <v>25</v>
      </c>
      <c r="M2315" s="572"/>
      <c r="N2315" s="572"/>
      <c r="O2315" s="740"/>
      <c r="P2315" s="564" t="s">
        <v>25</v>
      </c>
      <c r="Q2315" s="564" t="s">
        <v>25</v>
      </c>
      <c r="R2315" s="566"/>
      <c r="S2315" s="609"/>
      <c r="T2315" s="741"/>
      <c r="U2315" s="586"/>
      <c r="V2315" s="564" t="s">
        <v>2899</v>
      </c>
      <c r="W2315" s="564" t="s">
        <v>25</v>
      </c>
      <c r="X2315" s="650"/>
      <c r="Y2315" s="586"/>
      <c r="Z2315" s="742"/>
      <c r="AA2315" s="586"/>
      <c r="AB2315" s="586"/>
      <c r="AC2315" s="586"/>
      <c r="AD2315" s="586"/>
      <c r="AE2315" s="714"/>
      <c r="AF2315" s="570" t="s">
        <v>2899</v>
      </c>
      <c r="AG2315" s="570" t="s">
        <v>25</v>
      </c>
      <c r="AH2315" s="571" t="s">
        <v>25</v>
      </c>
      <c r="AI2315" s="586" t="s">
        <v>2074</v>
      </c>
      <c r="AJ2315" s="586"/>
    </row>
    <row r="2316" spans="1:36" s="394" customFormat="1" ht="20.25" outlineLevel="2" x14ac:dyDescent="0.3">
      <c r="A2316" s="447">
        <v>194</v>
      </c>
      <c r="B2316" s="572"/>
      <c r="C2316" s="572"/>
      <c r="D2316" s="612"/>
      <c r="E2316" s="612"/>
      <c r="F2316" s="586"/>
      <c r="G2316" s="709"/>
      <c r="H2316" s="546"/>
      <c r="I2316" s="563" t="s">
        <v>25</v>
      </c>
      <c r="J2316" s="563" t="s">
        <v>25</v>
      </c>
      <c r="K2316" s="564" t="s">
        <v>25</v>
      </c>
      <c r="L2316" s="564" t="s">
        <v>25</v>
      </c>
      <c r="M2316" s="572"/>
      <c r="N2316" s="572"/>
      <c r="O2316" s="740"/>
      <c r="P2316" s="564" t="s">
        <v>25</v>
      </c>
      <c r="Q2316" s="564" t="s">
        <v>25</v>
      </c>
      <c r="R2316" s="572"/>
      <c r="S2316" s="609"/>
      <c r="T2316" s="741"/>
      <c r="U2316" s="586"/>
      <c r="V2316" s="564" t="s">
        <v>2899</v>
      </c>
      <c r="W2316" s="564" t="s">
        <v>25</v>
      </c>
      <c r="X2316" s="650"/>
      <c r="Y2316" s="586"/>
      <c r="Z2316" s="742"/>
      <c r="AA2316" s="586"/>
      <c r="AB2316" s="586"/>
      <c r="AC2316" s="586"/>
      <c r="AD2316" s="586"/>
      <c r="AE2316" s="714"/>
      <c r="AF2316" s="570" t="s">
        <v>2899</v>
      </c>
      <c r="AG2316" s="570" t="s">
        <v>25</v>
      </c>
      <c r="AH2316" s="571" t="s">
        <v>25</v>
      </c>
      <c r="AI2316" s="731"/>
      <c r="AJ2316" s="586"/>
    </row>
    <row r="2317" spans="1:36" s="394" customFormat="1" ht="20.25" outlineLevel="2" x14ac:dyDescent="0.3">
      <c r="A2317" s="447">
        <v>194</v>
      </c>
      <c r="B2317" s="572"/>
      <c r="C2317" s="572"/>
      <c r="D2317" s="612"/>
      <c r="E2317" s="612"/>
      <c r="F2317" s="586"/>
      <c r="G2317" s="709"/>
      <c r="H2317" s="546"/>
      <c r="I2317" s="563" t="s">
        <v>25</v>
      </c>
      <c r="J2317" s="563" t="s">
        <v>25</v>
      </c>
      <c r="K2317" s="564" t="s">
        <v>25</v>
      </c>
      <c r="L2317" s="564" t="s">
        <v>25</v>
      </c>
      <c r="M2317" s="572"/>
      <c r="N2317" s="572"/>
      <c r="O2317" s="740"/>
      <c r="P2317" s="564" t="s">
        <v>25</v>
      </c>
      <c r="Q2317" s="564" t="s">
        <v>25</v>
      </c>
      <c r="R2317" s="572"/>
      <c r="S2317" s="609"/>
      <c r="T2317" s="741"/>
      <c r="U2317" s="586"/>
      <c r="V2317" s="564" t="s">
        <v>2899</v>
      </c>
      <c r="W2317" s="564" t="s">
        <v>25</v>
      </c>
      <c r="X2317" s="650"/>
      <c r="Y2317" s="586"/>
      <c r="Z2317" s="742"/>
      <c r="AA2317" s="586"/>
      <c r="AB2317" s="586"/>
      <c r="AC2317" s="586"/>
      <c r="AD2317" s="586"/>
      <c r="AE2317" s="714"/>
      <c r="AF2317" s="570" t="s">
        <v>2899</v>
      </c>
      <c r="AG2317" s="570" t="s">
        <v>25</v>
      </c>
      <c r="AH2317" s="571" t="s">
        <v>25</v>
      </c>
      <c r="AI2317" s="558"/>
      <c r="AJ2317" s="558"/>
    </row>
    <row r="2318" spans="1:36" s="394" customFormat="1" ht="20.25" outlineLevel="2" x14ac:dyDescent="0.3">
      <c r="A2318" s="447">
        <v>194</v>
      </c>
      <c r="B2318" s="572"/>
      <c r="C2318" s="572"/>
      <c r="D2318" s="612"/>
      <c r="E2318" s="612"/>
      <c r="F2318" s="586"/>
      <c r="G2318" s="709"/>
      <c r="H2318" s="546"/>
      <c r="I2318" s="563" t="s">
        <v>25</v>
      </c>
      <c r="J2318" s="563" t="s">
        <v>25</v>
      </c>
      <c r="K2318" s="564" t="s">
        <v>25</v>
      </c>
      <c r="L2318" s="564" t="s">
        <v>25</v>
      </c>
      <c r="M2318" s="572"/>
      <c r="N2318" s="572"/>
      <c r="O2318" s="740"/>
      <c r="P2318" s="564" t="s">
        <v>25</v>
      </c>
      <c r="Q2318" s="564" t="s">
        <v>25</v>
      </c>
      <c r="R2318" s="572"/>
      <c r="S2318" s="609"/>
      <c r="T2318" s="741"/>
      <c r="U2318" s="586"/>
      <c r="V2318" s="564" t="s">
        <v>2899</v>
      </c>
      <c r="W2318" s="564" t="s">
        <v>25</v>
      </c>
      <c r="X2318" s="650"/>
      <c r="Y2318" s="586"/>
      <c r="Z2318" s="742"/>
      <c r="AA2318" s="586"/>
      <c r="AB2318" s="586"/>
      <c r="AC2318" s="586"/>
      <c r="AD2318" s="586"/>
      <c r="AE2318" s="714"/>
      <c r="AF2318" s="570" t="s">
        <v>2899</v>
      </c>
      <c r="AG2318" s="570" t="s">
        <v>25</v>
      </c>
      <c r="AH2318" s="571" t="s">
        <v>25</v>
      </c>
      <c r="AI2318" s="586"/>
      <c r="AJ2318" s="586"/>
    </row>
    <row r="2319" spans="1:36" s="394" customFormat="1" ht="20.25" outlineLevel="2" x14ac:dyDescent="0.3">
      <c r="A2319" s="447">
        <v>194</v>
      </c>
      <c r="B2319" s="572"/>
      <c r="C2319" s="572"/>
      <c r="D2319" s="612"/>
      <c r="E2319" s="612"/>
      <c r="F2319" s="586"/>
      <c r="G2319" s="709"/>
      <c r="H2319" s="546"/>
      <c r="I2319" s="563" t="s">
        <v>25</v>
      </c>
      <c r="J2319" s="563" t="s">
        <v>25</v>
      </c>
      <c r="K2319" s="564" t="s">
        <v>25</v>
      </c>
      <c r="L2319" s="564" t="s">
        <v>25</v>
      </c>
      <c r="M2319" s="572"/>
      <c r="N2319" s="572"/>
      <c r="O2319" s="740"/>
      <c r="P2319" s="564" t="s">
        <v>25</v>
      </c>
      <c r="Q2319" s="564" t="s">
        <v>25</v>
      </c>
      <c r="R2319" s="572"/>
      <c r="S2319" s="609"/>
      <c r="T2319" s="741"/>
      <c r="U2319" s="586"/>
      <c r="V2319" s="564" t="s">
        <v>2899</v>
      </c>
      <c r="W2319" s="564" t="s">
        <v>25</v>
      </c>
      <c r="X2319" s="650"/>
      <c r="Y2319" s="586"/>
      <c r="Z2319" s="742"/>
      <c r="AA2319" s="586"/>
      <c r="AB2319" s="586"/>
      <c r="AC2319" s="586"/>
      <c r="AD2319" s="586"/>
      <c r="AE2319" s="714"/>
      <c r="AF2319" s="570" t="s">
        <v>2899</v>
      </c>
      <c r="AG2319" s="570" t="s">
        <v>25</v>
      </c>
      <c r="AH2319" s="571" t="s">
        <v>25</v>
      </c>
      <c r="AI2319" s="586"/>
      <c r="AJ2319" s="586"/>
    </row>
    <row r="2320" spans="1:36" s="394" customFormat="1" ht="20.25" outlineLevel="2" x14ac:dyDescent="0.3">
      <c r="A2320" s="447">
        <v>194</v>
      </c>
      <c r="B2320" s="572"/>
      <c r="C2320" s="572"/>
      <c r="D2320" s="612"/>
      <c r="E2320" s="612"/>
      <c r="F2320" s="586"/>
      <c r="G2320" s="709"/>
      <c r="H2320" s="546"/>
      <c r="I2320" s="563" t="s">
        <v>25</v>
      </c>
      <c r="J2320" s="563" t="s">
        <v>25</v>
      </c>
      <c r="K2320" s="564" t="s">
        <v>25</v>
      </c>
      <c r="L2320" s="564" t="s">
        <v>25</v>
      </c>
      <c r="M2320" s="572"/>
      <c r="N2320" s="572"/>
      <c r="O2320" s="740"/>
      <c r="P2320" s="564" t="s">
        <v>25</v>
      </c>
      <c r="Q2320" s="564" t="s">
        <v>25</v>
      </c>
      <c r="R2320" s="572"/>
      <c r="S2320" s="609"/>
      <c r="T2320" s="741"/>
      <c r="U2320" s="586"/>
      <c r="V2320" s="564" t="s">
        <v>2899</v>
      </c>
      <c r="W2320" s="564" t="s">
        <v>25</v>
      </c>
      <c r="X2320" s="650"/>
      <c r="Y2320" s="586"/>
      <c r="Z2320" s="742"/>
      <c r="AA2320" s="586"/>
      <c r="AB2320" s="586"/>
      <c r="AC2320" s="586"/>
      <c r="AD2320" s="586"/>
      <c r="AE2320" s="714"/>
      <c r="AF2320" s="570" t="s">
        <v>2899</v>
      </c>
      <c r="AG2320" s="570" t="s">
        <v>25</v>
      </c>
      <c r="AH2320" s="571" t="s">
        <v>25</v>
      </c>
      <c r="AI2320" s="586"/>
      <c r="AJ2320" s="586"/>
    </row>
    <row r="2321" spans="1:36" s="394" customFormat="1" ht="20.25" outlineLevel="2" x14ac:dyDescent="0.3">
      <c r="A2321" s="447">
        <v>194</v>
      </c>
      <c r="B2321" s="607"/>
      <c r="C2321" s="607"/>
      <c r="D2321" s="642"/>
      <c r="E2321" s="642"/>
      <c r="F2321" s="586"/>
      <c r="G2321" s="709"/>
      <c r="H2321" s="546"/>
      <c r="I2321" s="563" t="s">
        <v>25</v>
      </c>
      <c r="J2321" s="563" t="s">
        <v>25</v>
      </c>
      <c r="K2321" s="564" t="s">
        <v>25</v>
      </c>
      <c r="L2321" s="564" t="s">
        <v>25</v>
      </c>
      <c r="M2321" s="572"/>
      <c r="N2321" s="572"/>
      <c r="O2321" s="740"/>
      <c r="P2321" s="564" t="s">
        <v>25</v>
      </c>
      <c r="Q2321" s="564" t="s">
        <v>25</v>
      </c>
      <c r="R2321" s="572"/>
      <c r="S2321" s="609"/>
      <c r="T2321" s="741"/>
      <c r="U2321" s="586"/>
      <c r="V2321" s="564" t="s">
        <v>2899</v>
      </c>
      <c r="W2321" s="564" t="s">
        <v>25</v>
      </c>
      <c r="X2321" s="650"/>
      <c r="Y2321" s="586"/>
      <c r="Z2321" s="742"/>
      <c r="AA2321" s="586"/>
      <c r="AB2321" s="586"/>
      <c r="AC2321" s="586"/>
      <c r="AD2321" s="586"/>
      <c r="AE2321" s="714"/>
      <c r="AF2321" s="570" t="s">
        <v>2899</v>
      </c>
      <c r="AG2321" s="570" t="s">
        <v>25</v>
      </c>
      <c r="AH2321" s="571" t="s">
        <v>25</v>
      </c>
      <c r="AI2321" s="586"/>
      <c r="AJ2321" s="586"/>
    </row>
    <row r="2322" spans="1:36" s="396" customFormat="1" ht="40.5" outlineLevel="1" x14ac:dyDescent="0.25">
      <c r="A2322" s="467">
        <v>195</v>
      </c>
      <c r="B2322" s="607" t="s">
        <v>1526</v>
      </c>
      <c r="C2322" s="586" t="s">
        <v>2903</v>
      </c>
      <c r="D2322" s="612">
        <v>30</v>
      </c>
      <c r="E2322" s="612">
        <v>86</v>
      </c>
      <c r="F2322" s="578"/>
      <c r="G2322" s="707">
        <v>1155.8</v>
      </c>
      <c r="H2322" s="579">
        <v>1155.8</v>
      </c>
      <c r="I2322" s="581"/>
      <c r="J2322" s="581"/>
      <c r="K2322" s="571">
        <v>538140000</v>
      </c>
      <c r="L2322" s="571">
        <v>1614421000</v>
      </c>
      <c r="M2322" s="607"/>
      <c r="N2322" s="607"/>
      <c r="O2322" s="738">
        <v>0</v>
      </c>
      <c r="P2322" s="571"/>
      <c r="Q2322" s="571">
        <v>0</v>
      </c>
      <c r="R2322" s="582"/>
      <c r="S2322" s="621"/>
      <c r="T2322" s="739">
        <v>0</v>
      </c>
      <c r="U2322" s="578"/>
      <c r="V2322" s="571"/>
      <c r="W2322" s="571">
        <v>0</v>
      </c>
      <c r="X2322" s="650"/>
      <c r="Y2322" s="586"/>
      <c r="Z2322" s="742"/>
      <c r="AA2322" s="586"/>
      <c r="AB2322" s="586"/>
      <c r="AC2322" s="586"/>
      <c r="AD2322" s="578"/>
      <c r="AE2322" s="712">
        <f>SUBTOTAL(9,AE2323:AE2330)</f>
        <v>0</v>
      </c>
      <c r="AF2322" s="585"/>
      <c r="AG2322" s="585">
        <v>0</v>
      </c>
      <c r="AH2322" s="571">
        <v>2152561000</v>
      </c>
      <c r="AI2322" s="578"/>
      <c r="AJ2322" s="578"/>
    </row>
    <row r="2323" spans="1:36" s="396" customFormat="1" ht="121.5" outlineLevel="2" x14ac:dyDescent="0.3">
      <c r="A2323" s="447">
        <v>195</v>
      </c>
      <c r="B2323" s="572" t="s">
        <v>1528</v>
      </c>
      <c r="C2323" s="572"/>
      <c r="D2323" s="612"/>
      <c r="E2323" s="612"/>
      <c r="F2323" s="586" t="s">
        <v>2435</v>
      </c>
      <c r="G2323" s="709">
        <v>1155.8</v>
      </c>
      <c r="H2323" s="546">
        <v>1155.8</v>
      </c>
      <c r="I2323" s="563">
        <v>465600</v>
      </c>
      <c r="J2323" s="563">
        <v>1396800</v>
      </c>
      <c r="K2323" s="564">
        <v>538140000</v>
      </c>
      <c r="L2323" s="564">
        <v>1614421000</v>
      </c>
      <c r="M2323" s="572"/>
      <c r="N2323" s="572"/>
      <c r="O2323" s="740"/>
      <c r="P2323" s="564" t="s">
        <v>25</v>
      </c>
      <c r="Q2323" s="564" t="s">
        <v>25</v>
      </c>
      <c r="R2323" s="566"/>
      <c r="S2323" s="609"/>
      <c r="T2323" s="741"/>
      <c r="U2323" s="586"/>
      <c r="V2323" s="564" t="s">
        <v>2899</v>
      </c>
      <c r="W2323" s="564" t="s">
        <v>25</v>
      </c>
      <c r="X2323" s="650"/>
      <c r="Y2323" s="586"/>
      <c r="Z2323" s="742"/>
      <c r="AA2323" s="586"/>
      <c r="AB2323" s="586"/>
      <c r="AC2323" s="586"/>
      <c r="AD2323" s="586"/>
      <c r="AE2323" s="714"/>
      <c r="AF2323" s="570" t="s">
        <v>2899</v>
      </c>
      <c r="AG2323" s="570"/>
      <c r="AH2323" s="571" t="s">
        <v>25</v>
      </c>
      <c r="AI2323" s="586" t="s">
        <v>1527</v>
      </c>
      <c r="AJ2323" s="586" t="s">
        <v>2771</v>
      </c>
    </row>
    <row r="2324" spans="1:36" s="394" customFormat="1" ht="101.25" outlineLevel="2" x14ac:dyDescent="0.3">
      <c r="A2324" s="447">
        <v>195</v>
      </c>
      <c r="B2324" s="572" t="s">
        <v>1646</v>
      </c>
      <c r="C2324" s="572"/>
      <c r="D2324" s="612"/>
      <c r="E2324" s="612"/>
      <c r="F2324" s="586"/>
      <c r="G2324" s="709"/>
      <c r="H2324" s="546"/>
      <c r="I2324" s="563" t="s">
        <v>25</v>
      </c>
      <c r="J2324" s="563" t="s">
        <v>25</v>
      </c>
      <c r="K2324" s="564" t="s">
        <v>25</v>
      </c>
      <c r="L2324" s="564" t="s">
        <v>25</v>
      </c>
      <c r="M2324" s="572"/>
      <c r="N2324" s="572"/>
      <c r="O2324" s="740"/>
      <c r="P2324" s="564" t="s">
        <v>25</v>
      </c>
      <c r="Q2324" s="564" t="s">
        <v>25</v>
      </c>
      <c r="R2324" s="566"/>
      <c r="S2324" s="609"/>
      <c r="T2324" s="741"/>
      <c r="U2324" s="586"/>
      <c r="V2324" s="564" t="s">
        <v>2899</v>
      </c>
      <c r="W2324" s="564" t="s">
        <v>25</v>
      </c>
      <c r="X2324" s="650"/>
      <c r="Y2324" s="586"/>
      <c r="Z2324" s="742"/>
      <c r="AA2324" s="586"/>
      <c r="AB2324" s="586"/>
      <c r="AC2324" s="586"/>
      <c r="AD2324" s="586"/>
      <c r="AE2324" s="714"/>
      <c r="AF2324" s="570" t="s">
        <v>2899</v>
      </c>
      <c r="AG2324" s="570" t="s">
        <v>25</v>
      </c>
      <c r="AH2324" s="571" t="s">
        <v>25</v>
      </c>
      <c r="AI2324" s="586" t="s">
        <v>1529</v>
      </c>
      <c r="AJ2324" s="605" t="s">
        <v>2448</v>
      </c>
    </row>
    <row r="2325" spans="1:36" s="394" customFormat="1" ht="60.75" outlineLevel="2" x14ac:dyDescent="0.3">
      <c r="A2325" s="447">
        <v>195</v>
      </c>
      <c r="B2325" s="572"/>
      <c r="C2325" s="572"/>
      <c r="D2325" s="612"/>
      <c r="E2325" s="612"/>
      <c r="F2325" s="586"/>
      <c r="G2325" s="709"/>
      <c r="H2325" s="546"/>
      <c r="I2325" s="563" t="s">
        <v>25</v>
      </c>
      <c r="J2325" s="563" t="s">
        <v>25</v>
      </c>
      <c r="K2325" s="564" t="s">
        <v>25</v>
      </c>
      <c r="L2325" s="564" t="s">
        <v>25</v>
      </c>
      <c r="M2325" s="572"/>
      <c r="N2325" s="572"/>
      <c r="O2325" s="740"/>
      <c r="P2325" s="564" t="s">
        <v>25</v>
      </c>
      <c r="Q2325" s="564" t="s">
        <v>25</v>
      </c>
      <c r="R2325" s="566"/>
      <c r="S2325" s="609"/>
      <c r="T2325" s="741"/>
      <c r="U2325" s="586"/>
      <c r="V2325" s="564" t="s">
        <v>2899</v>
      </c>
      <c r="W2325" s="564" t="s">
        <v>25</v>
      </c>
      <c r="X2325" s="650"/>
      <c r="Y2325" s="586"/>
      <c r="Z2325" s="742"/>
      <c r="AA2325" s="586"/>
      <c r="AB2325" s="586"/>
      <c r="AC2325" s="586"/>
      <c r="AD2325" s="586"/>
      <c r="AE2325" s="714"/>
      <c r="AF2325" s="570" t="s">
        <v>2899</v>
      </c>
      <c r="AG2325" s="570" t="s">
        <v>25</v>
      </c>
      <c r="AH2325" s="571" t="s">
        <v>25</v>
      </c>
      <c r="AI2325" s="586" t="s">
        <v>2074</v>
      </c>
      <c r="AJ2325" s="586"/>
    </row>
    <row r="2326" spans="1:36" s="394" customFormat="1" ht="20.25" outlineLevel="2" x14ac:dyDescent="0.3">
      <c r="A2326" s="447">
        <v>195</v>
      </c>
      <c r="B2326" s="572"/>
      <c r="C2326" s="572"/>
      <c r="D2326" s="612"/>
      <c r="E2326" s="612"/>
      <c r="F2326" s="586"/>
      <c r="G2326" s="709"/>
      <c r="H2326" s="546"/>
      <c r="I2326" s="563" t="s">
        <v>25</v>
      </c>
      <c r="J2326" s="563" t="s">
        <v>25</v>
      </c>
      <c r="K2326" s="564" t="s">
        <v>25</v>
      </c>
      <c r="L2326" s="564" t="s">
        <v>25</v>
      </c>
      <c r="M2326" s="572"/>
      <c r="N2326" s="572"/>
      <c r="O2326" s="740"/>
      <c r="P2326" s="564" t="s">
        <v>25</v>
      </c>
      <c r="Q2326" s="564" t="s">
        <v>25</v>
      </c>
      <c r="R2326" s="566"/>
      <c r="S2326" s="609"/>
      <c r="T2326" s="741"/>
      <c r="U2326" s="586"/>
      <c r="V2326" s="564" t="s">
        <v>2899</v>
      </c>
      <c r="W2326" s="564" t="s">
        <v>25</v>
      </c>
      <c r="X2326" s="650"/>
      <c r="Y2326" s="586"/>
      <c r="Z2326" s="742"/>
      <c r="AA2326" s="586"/>
      <c r="AB2326" s="586"/>
      <c r="AC2326" s="586"/>
      <c r="AD2326" s="586"/>
      <c r="AE2326" s="714"/>
      <c r="AF2326" s="570" t="s">
        <v>2899</v>
      </c>
      <c r="AG2326" s="570" t="s">
        <v>25</v>
      </c>
      <c r="AH2326" s="571" t="s">
        <v>25</v>
      </c>
      <c r="AI2326" s="731"/>
      <c r="AJ2326" s="586"/>
    </row>
    <row r="2327" spans="1:36" s="394" customFormat="1" ht="20.25" outlineLevel="2" x14ac:dyDescent="0.3">
      <c r="A2327" s="447">
        <v>195</v>
      </c>
      <c r="B2327" s="572"/>
      <c r="C2327" s="572"/>
      <c r="D2327" s="612"/>
      <c r="E2327" s="612"/>
      <c r="F2327" s="586"/>
      <c r="G2327" s="709"/>
      <c r="H2327" s="546"/>
      <c r="I2327" s="563" t="s">
        <v>25</v>
      </c>
      <c r="J2327" s="563" t="s">
        <v>25</v>
      </c>
      <c r="K2327" s="564" t="s">
        <v>25</v>
      </c>
      <c r="L2327" s="564" t="s">
        <v>25</v>
      </c>
      <c r="M2327" s="572"/>
      <c r="N2327" s="572"/>
      <c r="O2327" s="740"/>
      <c r="P2327" s="564" t="s">
        <v>25</v>
      </c>
      <c r="Q2327" s="564" t="s">
        <v>25</v>
      </c>
      <c r="R2327" s="566"/>
      <c r="S2327" s="609"/>
      <c r="T2327" s="741"/>
      <c r="U2327" s="586"/>
      <c r="V2327" s="564" t="s">
        <v>2899</v>
      </c>
      <c r="W2327" s="564" t="s">
        <v>25</v>
      </c>
      <c r="X2327" s="650"/>
      <c r="Y2327" s="586"/>
      <c r="Z2327" s="742"/>
      <c r="AA2327" s="586"/>
      <c r="AB2327" s="586"/>
      <c r="AC2327" s="586"/>
      <c r="AD2327" s="586"/>
      <c r="AE2327" s="714"/>
      <c r="AF2327" s="570" t="s">
        <v>2899</v>
      </c>
      <c r="AG2327" s="570" t="s">
        <v>25</v>
      </c>
      <c r="AH2327" s="571" t="s">
        <v>25</v>
      </c>
      <c r="AI2327" s="572"/>
      <c r="AJ2327" s="572"/>
    </row>
    <row r="2328" spans="1:36" s="394" customFormat="1" ht="20.25" outlineLevel="2" x14ac:dyDescent="0.3">
      <c r="A2328" s="447">
        <v>195</v>
      </c>
      <c r="B2328" s="572"/>
      <c r="C2328" s="572"/>
      <c r="D2328" s="612"/>
      <c r="E2328" s="612"/>
      <c r="F2328" s="586"/>
      <c r="G2328" s="709"/>
      <c r="H2328" s="546"/>
      <c r="I2328" s="563" t="s">
        <v>25</v>
      </c>
      <c r="J2328" s="563" t="s">
        <v>25</v>
      </c>
      <c r="K2328" s="564" t="s">
        <v>25</v>
      </c>
      <c r="L2328" s="564" t="s">
        <v>25</v>
      </c>
      <c r="M2328" s="572"/>
      <c r="N2328" s="572"/>
      <c r="O2328" s="740"/>
      <c r="P2328" s="564" t="s">
        <v>25</v>
      </c>
      <c r="Q2328" s="564" t="s">
        <v>25</v>
      </c>
      <c r="R2328" s="572"/>
      <c r="S2328" s="609"/>
      <c r="T2328" s="741"/>
      <c r="U2328" s="586"/>
      <c r="V2328" s="564" t="s">
        <v>2899</v>
      </c>
      <c r="W2328" s="564" t="s">
        <v>25</v>
      </c>
      <c r="X2328" s="650"/>
      <c r="Y2328" s="586"/>
      <c r="Z2328" s="742"/>
      <c r="AA2328" s="586"/>
      <c r="AB2328" s="586"/>
      <c r="AC2328" s="586"/>
      <c r="AD2328" s="586"/>
      <c r="AE2328" s="714"/>
      <c r="AF2328" s="570" t="s">
        <v>2899</v>
      </c>
      <c r="AG2328" s="570" t="s">
        <v>25</v>
      </c>
      <c r="AH2328" s="571" t="s">
        <v>25</v>
      </c>
      <c r="AI2328" s="558"/>
      <c r="AJ2328" s="558"/>
    </row>
    <row r="2329" spans="1:36" s="394" customFormat="1" ht="20.25" outlineLevel="2" x14ac:dyDescent="0.3">
      <c r="A2329" s="447">
        <v>195</v>
      </c>
      <c r="B2329" s="572"/>
      <c r="C2329" s="572"/>
      <c r="D2329" s="612"/>
      <c r="E2329" s="612"/>
      <c r="F2329" s="586"/>
      <c r="G2329" s="709"/>
      <c r="H2329" s="546"/>
      <c r="I2329" s="563" t="s">
        <v>25</v>
      </c>
      <c r="J2329" s="563" t="s">
        <v>25</v>
      </c>
      <c r="K2329" s="564" t="s">
        <v>25</v>
      </c>
      <c r="L2329" s="564" t="s">
        <v>25</v>
      </c>
      <c r="M2329" s="572"/>
      <c r="N2329" s="572"/>
      <c r="O2329" s="740"/>
      <c r="P2329" s="564" t="s">
        <v>25</v>
      </c>
      <c r="Q2329" s="564" t="s">
        <v>25</v>
      </c>
      <c r="R2329" s="572"/>
      <c r="S2329" s="609"/>
      <c r="T2329" s="741"/>
      <c r="U2329" s="586"/>
      <c r="V2329" s="564" t="s">
        <v>2899</v>
      </c>
      <c r="W2329" s="564" t="s">
        <v>25</v>
      </c>
      <c r="X2329" s="650"/>
      <c r="Y2329" s="586"/>
      <c r="Z2329" s="742"/>
      <c r="AA2329" s="586"/>
      <c r="AB2329" s="586"/>
      <c r="AC2329" s="586"/>
      <c r="AD2329" s="586"/>
      <c r="AE2329" s="714"/>
      <c r="AF2329" s="570" t="s">
        <v>2899</v>
      </c>
      <c r="AG2329" s="570" t="s">
        <v>25</v>
      </c>
      <c r="AH2329" s="571" t="s">
        <v>25</v>
      </c>
      <c r="AI2329" s="586"/>
      <c r="AJ2329" s="586"/>
    </row>
    <row r="2330" spans="1:36" s="394" customFormat="1" ht="20.25" outlineLevel="2" x14ac:dyDescent="0.3">
      <c r="A2330" s="447">
        <v>195</v>
      </c>
      <c r="B2330" s="607"/>
      <c r="C2330" s="607"/>
      <c r="D2330" s="642"/>
      <c r="E2330" s="642"/>
      <c r="F2330" s="586"/>
      <c r="G2330" s="709"/>
      <c r="H2330" s="546"/>
      <c r="I2330" s="563" t="s">
        <v>25</v>
      </c>
      <c r="J2330" s="563" t="s">
        <v>25</v>
      </c>
      <c r="K2330" s="564" t="s">
        <v>25</v>
      </c>
      <c r="L2330" s="564" t="s">
        <v>25</v>
      </c>
      <c r="M2330" s="572"/>
      <c r="N2330" s="572"/>
      <c r="O2330" s="740"/>
      <c r="P2330" s="564" t="s">
        <v>25</v>
      </c>
      <c r="Q2330" s="564" t="s">
        <v>25</v>
      </c>
      <c r="R2330" s="572"/>
      <c r="S2330" s="609"/>
      <c r="T2330" s="741"/>
      <c r="U2330" s="586"/>
      <c r="V2330" s="564" t="s">
        <v>2899</v>
      </c>
      <c r="W2330" s="564" t="s">
        <v>25</v>
      </c>
      <c r="X2330" s="650"/>
      <c r="Y2330" s="586"/>
      <c r="Z2330" s="742"/>
      <c r="AA2330" s="586"/>
      <c r="AB2330" s="586"/>
      <c r="AC2330" s="586"/>
      <c r="AD2330" s="586"/>
      <c r="AE2330" s="714"/>
      <c r="AF2330" s="570" t="s">
        <v>2899</v>
      </c>
      <c r="AG2330" s="570" t="s">
        <v>25</v>
      </c>
      <c r="AH2330" s="571" t="s">
        <v>25</v>
      </c>
      <c r="AI2330" s="586"/>
      <c r="AJ2330" s="586"/>
    </row>
    <row r="2331" spans="1:36" s="396" customFormat="1" ht="40.5" outlineLevel="1" x14ac:dyDescent="0.25">
      <c r="A2331" s="467">
        <v>196</v>
      </c>
      <c r="B2331" s="607" t="s">
        <v>1526</v>
      </c>
      <c r="C2331" s="586" t="s">
        <v>2903</v>
      </c>
      <c r="D2331" s="612">
        <v>86</v>
      </c>
      <c r="E2331" s="612">
        <v>311</v>
      </c>
      <c r="F2331" s="578"/>
      <c r="G2331" s="707">
        <v>1000</v>
      </c>
      <c r="H2331" s="579">
        <v>1000</v>
      </c>
      <c r="I2331" s="581"/>
      <c r="J2331" s="581"/>
      <c r="K2331" s="571">
        <v>465600000</v>
      </c>
      <c r="L2331" s="571">
        <v>1396800000</v>
      </c>
      <c r="M2331" s="607"/>
      <c r="N2331" s="607"/>
      <c r="O2331" s="738">
        <v>0</v>
      </c>
      <c r="P2331" s="571"/>
      <c r="Q2331" s="571">
        <v>0</v>
      </c>
      <c r="R2331" s="582"/>
      <c r="S2331" s="621"/>
      <c r="T2331" s="739">
        <v>0</v>
      </c>
      <c r="U2331" s="578"/>
      <c r="V2331" s="571"/>
      <c r="W2331" s="571">
        <v>0</v>
      </c>
      <c r="X2331" s="650"/>
      <c r="Y2331" s="586"/>
      <c r="Z2331" s="742"/>
      <c r="AA2331" s="586"/>
      <c r="AB2331" s="586"/>
      <c r="AC2331" s="586"/>
      <c r="AD2331" s="578"/>
      <c r="AE2331" s="712">
        <f>SUBTOTAL(9,AE2332:AE2338)</f>
        <v>0</v>
      </c>
      <c r="AF2331" s="585"/>
      <c r="AG2331" s="585">
        <v>0</v>
      </c>
      <c r="AH2331" s="571">
        <v>1862400000</v>
      </c>
      <c r="AI2331" s="578"/>
      <c r="AJ2331" s="578"/>
    </row>
    <row r="2332" spans="1:36" s="396" customFormat="1" ht="121.5" outlineLevel="2" x14ac:dyDescent="0.3">
      <c r="A2332" s="447">
        <v>196</v>
      </c>
      <c r="B2332" s="572" t="s">
        <v>1528</v>
      </c>
      <c r="C2332" s="572"/>
      <c r="D2332" s="612"/>
      <c r="E2332" s="612"/>
      <c r="F2332" s="586" t="s">
        <v>2435</v>
      </c>
      <c r="G2332" s="709">
        <v>1000</v>
      </c>
      <c r="H2332" s="546">
        <v>1000</v>
      </c>
      <c r="I2332" s="563">
        <v>465600</v>
      </c>
      <c r="J2332" s="563">
        <v>1396800</v>
      </c>
      <c r="K2332" s="564">
        <v>465600000</v>
      </c>
      <c r="L2332" s="564">
        <v>1396800000</v>
      </c>
      <c r="M2332" s="572"/>
      <c r="N2332" s="572"/>
      <c r="O2332" s="740"/>
      <c r="P2332" s="564" t="s">
        <v>25</v>
      </c>
      <c r="Q2332" s="564" t="s">
        <v>25</v>
      </c>
      <c r="R2332" s="566"/>
      <c r="S2332" s="609"/>
      <c r="T2332" s="741"/>
      <c r="U2332" s="586"/>
      <c r="V2332" s="564" t="s">
        <v>2899</v>
      </c>
      <c r="W2332" s="564" t="s">
        <v>25</v>
      </c>
      <c r="X2332" s="650"/>
      <c r="Y2332" s="586"/>
      <c r="Z2332" s="742"/>
      <c r="AA2332" s="586"/>
      <c r="AB2332" s="586"/>
      <c r="AC2332" s="586"/>
      <c r="AD2332" s="586"/>
      <c r="AE2332" s="714"/>
      <c r="AF2332" s="570" t="s">
        <v>2899</v>
      </c>
      <c r="AG2332" s="570" t="s">
        <v>25</v>
      </c>
      <c r="AH2332" s="571" t="s">
        <v>25</v>
      </c>
      <c r="AI2332" s="586" t="s">
        <v>1530</v>
      </c>
      <c r="AJ2332" s="586" t="s">
        <v>2771</v>
      </c>
    </row>
    <row r="2333" spans="1:36" s="394" customFormat="1" ht="101.25" outlineLevel="2" x14ac:dyDescent="0.3">
      <c r="A2333" s="447">
        <v>196</v>
      </c>
      <c r="B2333" s="572" t="s">
        <v>1646</v>
      </c>
      <c r="C2333" s="572"/>
      <c r="D2333" s="612"/>
      <c r="E2333" s="612"/>
      <c r="F2333" s="586"/>
      <c r="G2333" s="709"/>
      <c r="H2333" s="546"/>
      <c r="I2333" s="563" t="s">
        <v>25</v>
      </c>
      <c r="J2333" s="563" t="s">
        <v>25</v>
      </c>
      <c r="K2333" s="564" t="s">
        <v>25</v>
      </c>
      <c r="L2333" s="564" t="s">
        <v>25</v>
      </c>
      <c r="M2333" s="572"/>
      <c r="N2333" s="572"/>
      <c r="O2333" s="740"/>
      <c r="P2333" s="564" t="s">
        <v>25</v>
      </c>
      <c r="Q2333" s="564" t="s">
        <v>25</v>
      </c>
      <c r="R2333" s="566"/>
      <c r="S2333" s="609"/>
      <c r="T2333" s="741"/>
      <c r="U2333" s="586"/>
      <c r="V2333" s="564" t="s">
        <v>2899</v>
      </c>
      <c r="W2333" s="564" t="s">
        <v>25</v>
      </c>
      <c r="X2333" s="650"/>
      <c r="Y2333" s="586"/>
      <c r="Z2333" s="742"/>
      <c r="AA2333" s="586"/>
      <c r="AB2333" s="586"/>
      <c r="AC2333" s="586"/>
      <c r="AD2333" s="586"/>
      <c r="AE2333" s="714"/>
      <c r="AF2333" s="570" t="s">
        <v>2899</v>
      </c>
      <c r="AG2333" s="570" t="s">
        <v>25</v>
      </c>
      <c r="AH2333" s="571" t="s">
        <v>25</v>
      </c>
      <c r="AI2333" s="586" t="s">
        <v>1531</v>
      </c>
      <c r="AJ2333" s="605" t="s">
        <v>2448</v>
      </c>
    </row>
    <row r="2334" spans="1:36" s="394" customFormat="1" ht="60.75" outlineLevel="2" x14ac:dyDescent="0.3">
      <c r="A2334" s="447">
        <v>196</v>
      </c>
      <c r="B2334" s="572"/>
      <c r="C2334" s="572"/>
      <c r="D2334" s="612"/>
      <c r="E2334" s="612"/>
      <c r="F2334" s="586"/>
      <c r="G2334" s="709"/>
      <c r="H2334" s="546"/>
      <c r="I2334" s="563" t="s">
        <v>25</v>
      </c>
      <c r="J2334" s="563" t="s">
        <v>25</v>
      </c>
      <c r="K2334" s="564" t="s">
        <v>25</v>
      </c>
      <c r="L2334" s="564" t="s">
        <v>25</v>
      </c>
      <c r="M2334" s="572"/>
      <c r="N2334" s="572"/>
      <c r="O2334" s="740"/>
      <c r="P2334" s="564" t="s">
        <v>25</v>
      </c>
      <c r="Q2334" s="564" t="s">
        <v>25</v>
      </c>
      <c r="R2334" s="566"/>
      <c r="S2334" s="609"/>
      <c r="T2334" s="741"/>
      <c r="U2334" s="586"/>
      <c r="V2334" s="564" t="s">
        <v>2899</v>
      </c>
      <c r="W2334" s="564" t="s">
        <v>25</v>
      </c>
      <c r="X2334" s="650"/>
      <c r="Y2334" s="586"/>
      <c r="Z2334" s="742"/>
      <c r="AA2334" s="586"/>
      <c r="AB2334" s="586"/>
      <c r="AC2334" s="586"/>
      <c r="AD2334" s="586"/>
      <c r="AE2334" s="714"/>
      <c r="AF2334" s="570" t="s">
        <v>2899</v>
      </c>
      <c r="AG2334" s="570" t="s">
        <v>25</v>
      </c>
      <c r="AH2334" s="571" t="s">
        <v>25</v>
      </c>
      <c r="AI2334" s="586" t="s">
        <v>2074</v>
      </c>
      <c r="AJ2334" s="586"/>
    </row>
    <row r="2335" spans="1:36" s="394" customFormat="1" ht="20.25" outlineLevel="2" x14ac:dyDescent="0.3">
      <c r="A2335" s="447">
        <v>196</v>
      </c>
      <c r="B2335" s="572"/>
      <c r="C2335" s="572"/>
      <c r="D2335" s="612"/>
      <c r="E2335" s="612"/>
      <c r="F2335" s="586"/>
      <c r="G2335" s="709"/>
      <c r="H2335" s="546"/>
      <c r="I2335" s="563" t="s">
        <v>25</v>
      </c>
      <c r="J2335" s="563" t="s">
        <v>25</v>
      </c>
      <c r="K2335" s="564" t="s">
        <v>25</v>
      </c>
      <c r="L2335" s="564" t="s">
        <v>25</v>
      </c>
      <c r="M2335" s="572"/>
      <c r="N2335" s="572"/>
      <c r="O2335" s="740"/>
      <c r="P2335" s="564" t="s">
        <v>25</v>
      </c>
      <c r="Q2335" s="564" t="s">
        <v>25</v>
      </c>
      <c r="R2335" s="566"/>
      <c r="S2335" s="609"/>
      <c r="T2335" s="741"/>
      <c r="U2335" s="586"/>
      <c r="V2335" s="564" t="s">
        <v>2899</v>
      </c>
      <c r="W2335" s="564" t="s">
        <v>25</v>
      </c>
      <c r="X2335" s="650"/>
      <c r="Y2335" s="586"/>
      <c r="Z2335" s="742"/>
      <c r="AA2335" s="586"/>
      <c r="AB2335" s="586"/>
      <c r="AC2335" s="586"/>
      <c r="AD2335" s="586"/>
      <c r="AE2335" s="714"/>
      <c r="AF2335" s="570" t="s">
        <v>2899</v>
      </c>
      <c r="AG2335" s="570" t="s">
        <v>25</v>
      </c>
      <c r="AH2335" s="571" t="s">
        <v>25</v>
      </c>
      <c r="AI2335" s="731"/>
      <c r="AJ2335" s="586"/>
    </row>
    <row r="2336" spans="1:36" s="394" customFormat="1" ht="20.25" outlineLevel="2" x14ac:dyDescent="0.3">
      <c r="A2336" s="447">
        <v>196</v>
      </c>
      <c r="B2336" s="572"/>
      <c r="C2336" s="572"/>
      <c r="D2336" s="612"/>
      <c r="E2336" s="612"/>
      <c r="F2336" s="586"/>
      <c r="G2336" s="709"/>
      <c r="H2336" s="546"/>
      <c r="I2336" s="563" t="s">
        <v>25</v>
      </c>
      <c r="J2336" s="563" t="s">
        <v>25</v>
      </c>
      <c r="K2336" s="564" t="s">
        <v>25</v>
      </c>
      <c r="L2336" s="564" t="s">
        <v>25</v>
      </c>
      <c r="M2336" s="572"/>
      <c r="N2336" s="572"/>
      <c r="O2336" s="740"/>
      <c r="P2336" s="564" t="s">
        <v>25</v>
      </c>
      <c r="Q2336" s="564" t="s">
        <v>25</v>
      </c>
      <c r="R2336" s="566"/>
      <c r="S2336" s="609"/>
      <c r="T2336" s="741"/>
      <c r="U2336" s="586"/>
      <c r="V2336" s="564" t="s">
        <v>2899</v>
      </c>
      <c r="W2336" s="564" t="s">
        <v>25</v>
      </c>
      <c r="X2336" s="650"/>
      <c r="Y2336" s="586"/>
      <c r="Z2336" s="742"/>
      <c r="AA2336" s="586"/>
      <c r="AB2336" s="586"/>
      <c r="AC2336" s="586"/>
      <c r="AD2336" s="586"/>
      <c r="AE2336" s="714"/>
      <c r="AF2336" s="570" t="s">
        <v>2899</v>
      </c>
      <c r="AG2336" s="570" t="s">
        <v>25</v>
      </c>
      <c r="AH2336" s="571" t="s">
        <v>25</v>
      </c>
      <c r="AI2336" s="586"/>
      <c r="AJ2336" s="586"/>
    </row>
    <row r="2337" spans="1:36" s="394" customFormat="1" ht="20.25" outlineLevel="2" x14ac:dyDescent="0.3">
      <c r="A2337" s="447">
        <v>196</v>
      </c>
      <c r="B2337" s="572"/>
      <c r="C2337" s="572"/>
      <c r="D2337" s="612"/>
      <c r="E2337" s="612"/>
      <c r="F2337" s="586"/>
      <c r="G2337" s="709"/>
      <c r="H2337" s="546"/>
      <c r="I2337" s="563" t="s">
        <v>25</v>
      </c>
      <c r="J2337" s="563" t="s">
        <v>25</v>
      </c>
      <c r="K2337" s="564" t="s">
        <v>25</v>
      </c>
      <c r="L2337" s="564" t="s">
        <v>25</v>
      </c>
      <c r="M2337" s="572"/>
      <c r="N2337" s="572"/>
      <c r="O2337" s="740"/>
      <c r="P2337" s="564" t="s">
        <v>25</v>
      </c>
      <c r="Q2337" s="564" t="s">
        <v>25</v>
      </c>
      <c r="R2337" s="566"/>
      <c r="S2337" s="609"/>
      <c r="T2337" s="741"/>
      <c r="U2337" s="586"/>
      <c r="V2337" s="564" t="s">
        <v>2899</v>
      </c>
      <c r="W2337" s="564" t="s">
        <v>25</v>
      </c>
      <c r="X2337" s="650"/>
      <c r="Y2337" s="586"/>
      <c r="Z2337" s="742"/>
      <c r="AA2337" s="586"/>
      <c r="AB2337" s="586"/>
      <c r="AC2337" s="586"/>
      <c r="AD2337" s="586"/>
      <c r="AE2337" s="714"/>
      <c r="AF2337" s="570" t="s">
        <v>2899</v>
      </c>
      <c r="AG2337" s="570" t="s">
        <v>25</v>
      </c>
      <c r="AH2337" s="571" t="s">
        <v>25</v>
      </c>
      <c r="AI2337" s="586"/>
      <c r="AJ2337" s="586"/>
    </row>
    <row r="2338" spans="1:36" s="394" customFormat="1" ht="20.25" outlineLevel="2" x14ac:dyDescent="0.3">
      <c r="A2338" s="447">
        <v>196</v>
      </c>
      <c r="B2338" s="607"/>
      <c r="C2338" s="607"/>
      <c r="D2338" s="642"/>
      <c r="E2338" s="642"/>
      <c r="F2338" s="586"/>
      <c r="G2338" s="709"/>
      <c r="H2338" s="546"/>
      <c r="I2338" s="563" t="s">
        <v>25</v>
      </c>
      <c r="J2338" s="563" t="s">
        <v>25</v>
      </c>
      <c r="K2338" s="564" t="s">
        <v>25</v>
      </c>
      <c r="L2338" s="564" t="s">
        <v>25</v>
      </c>
      <c r="M2338" s="572"/>
      <c r="N2338" s="572"/>
      <c r="O2338" s="740"/>
      <c r="P2338" s="564" t="s">
        <v>25</v>
      </c>
      <c r="Q2338" s="564" t="s">
        <v>25</v>
      </c>
      <c r="R2338" s="566"/>
      <c r="S2338" s="609"/>
      <c r="T2338" s="741"/>
      <c r="U2338" s="586"/>
      <c r="V2338" s="564" t="s">
        <v>2899</v>
      </c>
      <c r="W2338" s="564" t="s">
        <v>25</v>
      </c>
      <c r="X2338" s="650"/>
      <c r="Y2338" s="586"/>
      <c r="Z2338" s="742"/>
      <c r="AA2338" s="586"/>
      <c r="AB2338" s="586"/>
      <c r="AC2338" s="586"/>
      <c r="AD2338" s="586"/>
      <c r="AE2338" s="714"/>
      <c r="AF2338" s="570" t="s">
        <v>2899</v>
      </c>
      <c r="AG2338" s="570" t="s">
        <v>25</v>
      </c>
      <c r="AH2338" s="571" t="s">
        <v>25</v>
      </c>
      <c r="AI2338" s="586"/>
      <c r="AJ2338" s="586"/>
    </row>
    <row r="2339" spans="1:36" s="394" customFormat="1" ht="40.5" outlineLevel="1" x14ac:dyDescent="0.25">
      <c r="A2339" s="467">
        <v>197</v>
      </c>
      <c r="B2339" s="607" t="s">
        <v>1448</v>
      </c>
      <c r="C2339" s="586" t="s">
        <v>2903</v>
      </c>
      <c r="D2339" s="612">
        <v>86</v>
      </c>
      <c r="E2339" s="612">
        <v>25</v>
      </c>
      <c r="F2339" s="578"/>
      <c r="G2339" s="707">
        <v>11.9</v>
      </c>
      <c r="H2339" s="579">
        <v>11.9</v>
      </c>
      <c r="I2339" s="581"/>
      <c r="J2339" s="581"/>
      <c r="K2339" s="571">
        <v>6597000</v>
      </c>
      <c r="L2339" s="571">
        <v>19792000</v>
      </c>
      <c r="M2339" s="607"/>
      <c r="N2339" s="607"/>
      <c r="O2339" s="738">
        <v>0</v>
      </c>
      <c r="P2339" s="571"/>
      <c r="Q2339" s="571">
        <v>0</v>
      </c>
      <c r="R2339" s="582"/>
      <c r="S2339" s="621"/>
      <c r="T2339" s="739">
        <v>0</v>
      </c>
      <c r="U2339" s="578"/>
      <c r="V2339" s="571"/>
      <c r="W2339" s="571">
        <v>0</v>
      </c>
      <c r="X2339" s="650"/>
      <c r="Y2339" s="586"/>
      <c r="Z2339" s="742"/>
      <c r="AA2339" s="586"/>
      <c r="AB2339" s="586"/>
      <c r="AC2339" s="586"/>
      <c r="AD2339" s="578"/>
      <c r="AE2339" s="712">
        <f>SUBTOTAL(9,AE2340:AE2344)</f>
        <v>0</v>
      </c>
      <c r="AF2339" s="585"/>
      <c r="AG2339" s="585">
        <v>0</v>
      </c>
      <c r="AH2339" s="571">
        <v>26389000</v>
      </c>
      <c r="AI2339" s="578"/>
      <c r="AJ2339" s="578"/>
    </row>
    <row r="2340" spans="1:36" s="394" customFormat="1" ht="243" outlineLevel="2" x14ac:dyDescent="0.3">
      <c r="A2340" s="447">
        <v>197</v>
      </c>
      <c r="B2340" s="572" t="s">
        <v>1450</v>
      </c>
      <c r="C2340" s="572"/>
      <c r="D2340" s="612"/>
      <c r="E2340" s="612"/>
      <c r="F2340" s="586" t="s">
        <v>2498</v>
      </c>
      <c r="G2340" s="709">
        <v>11.9</v>
      </c>
      <c r="H2340" s="546">
        <v>11.9</v>
      </c>
      <c r="I2340" s="563">
        <v>554400</v>
      </c>
      <c r="J2340" s="563">
        <v>1663200</v>
      </c>
      <c r="K2340" s="564">
        <v>6597000</v>
      </c>
      <c r="L2340" s="564">
        <v>19792000</v>
      </c>
      <c r="M2340" s="572"/>
      <c r="N2340" s="572"/>
      <c r="O2340" s="740"/>
      <c r="P2340" s="564"/>
      <c r="Q2340" s="564"/>
      <c r="R2340" s="566"/>
      <c r="S2340" s="609"/>
      <c r="T2340" s="741"/>
      <c r="U2340" s="586"/>
      <c r="V2340" s="564"/>
      <c r="W2340" s="564"/>
      <c r="X2340" s="650"/>
      <c r="Y2340" s="586"/>
      <c r="Z2340" s="742"/>
      <c r="AA2340" s="586"/>
      <c r="AB2340" s="586"/>
      <c r="AC2340" s="586"/>
      <c r="AD2340" s="586"/>
      <c r="AE2340" s="714"/>
      <c r="AF2340" s="570"/>
      <c r="AG2340" s="570"/>
      <c r="AH2340" s="571" t="s">
        <v>25</v>
      </c>
      <c r="AI2340" s="586" t="s">
        <v>2465</v>
      </c>
      <c r="AJ2340" s="586"/>
    </row>
    <row r="2341" spans="1:36" s="394" customFormat="1" ht="101.25" outlineLevel="2" x14ac:dyDescent="0.3">
      <c r="A2341" s="447">
        <v>197</v>
      </c>
      <c r="B2341" s="572" t="s">
        <v>1634</v>
      </c>
      <c r="C2341" s="572"/>
      <c r="D2341" s="612"/>
      <c r="E2341" s="612"/>
      <c r="F2341" s="586"/>
      <c r="G2341" s="709"/>
      <c r="H2341" s="546"/>
      <c r="I2341" s="563" t="s">
        <v>25</v>
      </c>
      <c r="J2341" s="563" t="s">
        <v>25</v>
      </c>
      <c r="K2341" s="564" t="s">
        <v>25</v>
      </c>
      <c r="L2341" s="564" t="s">
        <v>25</v>
      </c>
      <c r="M2341" s="572"/>
      <c r="N2341" s="572"/>
      <c r="O2341" s="740"/>
      <c r="P2341" s="564"/>
      <c r="Q2341" s="564"/>
      <c r="R2341" s="566"/>
      <c r="S2341" s="609"/>
      <c r="T2341" s="741"/>
      <c r="U2341" s="586"/>
      <c r="V2341" s="564"/>
      <c r="W2341" s="564"/>
      <c r="X2341" s="650"/>
      <c r="Y2341" s="586"/>
      <c r="Z2341" s="742"/>
      <c r="AA2341" s="586"/>
      <c r="AB2341" s="586"/>
      <c r="AC2341" s="586"/>
      <c r="AD2341" s="586"/>
      <c r="AE2341" s="714"/>
      <c r="AF2341" s="570"/>
      <c r="AG2341" s="570"/>
      <c r="AH2341" s="571" t="s">
        <v>25</v>
      </c>
      <c r="AI2341" s="586" t="s">
        <v>2074</v>
      </c>
      <c r="AJ2341" s="586"/>
    </row>
    <row r="2342" spans="1:36" s="394" customFormat="1" ht="20.25" outlineLevel="2" x14ac:dyDescent="0.3">
      <c r="A2342" s="447">
        <v>197</v>
      </c>
      <c r="B2342" s="572"/>
      <c r="C2342" s="572"/>
      <c r="D2342" s="612"/>
      <c r="E2342" s="612"/>
      <c r="F2342" s="586"/>
      <c r="G2342" s="709"/>
      <c r="H2342" s="546"/>
      <c r="I2342" s="563" t="s">
        <v>25</v>
      </c>
      <c r="J2342" s="563" t="s">
        <v>25</v>
      </c>
      <c r="K2342" s="564" t="s">
        <v>25</v>
      </c>
      <c r="L2342" s="564" t="s">
        <v>25</v>
      </c>
      <c r="M2342" s="572"/>
      <c r="N2342" s="572"/>
      <c r="O2342" s="740"/>
      <c r="P2342" s="564"/>
      <c r="Q2342" s="564"/>
      <c r="R2342" s="566"/>
      <c r="S2342" s="609"/>
      <c r="T2342" s="741"/>
      <c r="U2342" s="586"/>
      <c r="V2342" s="564"/>
      <c r="W2342" s="564"/>
      <c r="X2342" s="650"/>
      <c r="Y2342" s="586"/>
      <c r="Z2342" s="742"/>
      <c r="AA2342" s="586"/>
      <c r="AB2342" s="586"/>
      <c r="AC2342" s="586"/>
      <c r="AD2342" s="586"/>
      <c r="AE2342" s="714"/>
      <c r="AF2342" s="570"/>
      <c r="AG2342" s="570"/>
      <c r="AH2342" s="571" t="s">
        <v>25</v>
      </c>
      <c r="AI2342" s="586"/>
      <c r="AJ2342" s="586"/>
    </row>
    <row r="2343" spans="1:36" s="394" customFormat="1" ht="20.25" outlineLevel="2" x14ac:dyDescent="0.3">
      <c r="A2343" s="447">
        <v>197</v>
      </c>
      <c r="B2343" s="572"/>
      <c r="C2343" s="572"/>
      <c r="D2343" s="612"/>
      <c r="E2343" s="612"/>
      <c r="F2343" s="586"/>
      <c r="G2343" s="709"/>
      <c r="H2343" s="546"/>
      <c r="I2343" s="563" t="s">
        <v>25</v>
      </c>
      <c r="J2343" s="563" t="s">
        <v>25</v>
      </c>
      <c r="K2343" s="564" t="s">
        <v>25</v>
      </c>
      <c r="L2343" s="564" t="s">
        <v>25</v>
      </c>
      <c r="M2343" s="572"/>
      <c r="N2343" s="572"/>
      <c r="O2343" s="740"/>
      <c r="P2343" s="564"/>
      <c r="Q2343" s="564"/>
      <c r="R2343" s="566"/>
      <c r="S2343" s="609"/>
      <c r="T2343" s="741"/>
      <c r="U2343" s="586"/>
      <c r="V2343" s="564"/>
      <c r="W2343" s="564"/>
      <c r="X2343" s="650"/>
      <c r="Y2343" s="586"/>
      <c r="Z2343" s="742"/>
      <c r="AA2343" s="586"/>
      <c r="AB2343" s="586"/>
      <c r="AC2343" s="586"/>
      <c r="AD2343" s="586"/>
      <c r="AE2343" s="714"/>
      <c r="AF2343" s="570"/>
      <c r="AG2343" s="570"/>
      <c r="AH2343" s="571" t="s">
        <v>25</v>
      </c>
      <c r="AI2343" s="586"/>
      <c r="AJ2343" s="586"/>
    </row>
    <row r="2344" spans="1:36" s="394" customFormat="1" ht="20.25" outlineLevel="2" x14ac:dyDescent="0.3">
      <c r="A2344" s="447">
        <v>197</v>
      </c>
      <c r="B2344" s="607"/>
      <c r="C2344" s="607"/>
      <c r="D2344" s="642"/>
      <c r="E2344" s="642"/>
      <c r="F2344" s="586"/>
      <c r="G2344" s="709"/>
      <c r="H2344" s="546"/>
      <c r="I2344" s="563" t="s">
        <v>25</v>
      </c>
      <c r="J2344" s="563" t="s">
        <v>25</v>
      </c>
      <c r="K2344" s="564" t="s">
        <v>25</v>
      </c>
      <c r="L2344" s="564" t="s">
        <v>25</v>
      </c>
      <c r="M2344" s="572"/>
      <c r="N2344" s="572"/>
      <c r="O2344" s="740"/>
      <c r="P2344" s="564"/>
      <c r="Q2344" s="564"/>
      <c r="R2344" s="566"/>
      <c r="S2344" s="609"/>
      <c r="T2344" s="741"/>
      <c r="U2344" s="586"/>
      <c r="V2344" s="564"/>
      <c r="W2344" s="564"/>
      <c r="X2344" s="650"/>
      <c r="Y2344" s="586"/>
      <c r="Z2344" s="742"/>
      <c r="AA2344" s="586"/>
      <c r="AB2344" s="586"/>
      <c r="AC2344" s="586"/>
      <c r="AD2344" s="586"/>
      <c r="AE2344" s="714"/>
      <c r="AF2344" s="570"/>
      <c r="AG2344" s="570"/>
      <c r="AH2344" s="571" t="s">
        <v>25</v>
      </c>
      <c r="AI2344" s="586"/>
      <c r="AJ2344" s="586"/>
    </row>
    <row r="2345" spans="1:36" s="396" customFormat="1" ht="40.5" outlineLevel="1" x14ac:dyDescent="0.25">
      <c r="A2345" s="467">
        <v>198</v>
      </c>
      <c r="B2345" s="607" t="s">
        <v>1532</v>
      </c>
      <c r="C2345" s="586" t="s">
        <v>2903</v>
      </c>
      <c r="D2345" s="612">
        <v>86</v>
      </c>
      <c r="E2345" s="612">
        <v>1513</v>
      </c>
      <c r="F2345" s="578"/>
      <c r="G2345" s="707">
        <v>92.800000000000011</v>
      </c>
      <c r="H2345" s="579">
        <v>26.4</v>
      </c>
      <c r="I2345" s="581"/>
      <c r="J2345" s="581"/>
      <c r="K2345" s="571">
        <v>50543000</v>
      </c>
      <c r="L2345" s="571">
        <v>43908000</v>
      </c>
      <c r="M2345" s="607"/>
      <c r="N2345" s="607"/>
      <c r="O2345" s="738">
        <v>0</v>
      </c>
      <c r="P2345" s="571"/>
      <c r="Q2345" s="571">
        <v>0</v>
      </c>
      <c r="R2345" s="582"/>
      <c r="S2345" s="621"/>
      <c r="T2345" s="739">
        <v>0</v>
      </c>
      <c r="U2345" s="578"/>
      <c r="V2345" s="571"/>
      <c r="W2345" s="571">
        <v>0</v>
      </c>
      <c r="X2345" s="650"/>
      <c r="Y2345" s="586"/>
      <c r="Z2345" s="742"/>
      <c r="AA2345" s="586"/>
      <c r="AB2345" s="586"/>
      <c r="AC2345" s="586"/>
      <c r="AD2345" s="578"/>
      <c r="AE2345" s="712">
        <f>SUBTOTAL(9,AE2346:AE2354)</f>
        <v>0</v>
      </c>
      <c r="AF2345" s="585"/>
      <c r="AG2345" s="585">
        <v>0</v>
      </c>
      <c r="AH2345" s="571">
        <v>94451000</v>
      </c>
      <c r="AI2345" s="578"/>
      <c r="AJ2345" s="578"/>
    </row>
    <row r="2346" spans="1:36" s="396" customFormat="1" ht="121.5" outlineLevel="2" x14ac:dyDescent="0.3">
      <c r="A2346" s="447">
        <v>198</v>
      </c>
      <c r="B2346" s="572" t="s">
        <v>1534</v>
      </c>
      <c r="C2346" s="572"/>
      <c r="D2346" s="612">
        <v>86</v>
      </c>
      <c r="E2346" s="612">
        <v>1513</v>
      </c>
      <c r="F2346" s="586" t="s">
        <v>2422</v>
      </c>
      <c r="G2346" s="709">
        <v>26.4</v>
      </c>
      <c r="H2346" s="546" t="s">
        <v>2899</v>
      </c>
      <c r="I2346" s="563">
        <v>554400</v>
      </c>
      <c r="J2346" s="563">
        <v>0</v>
      </c>
      <c r="K2346" s="564">
        <v>14636000</v>
      </c>
      <c r="L2346" s="564">
        <v>0</v>
      </c>
      <c r="M2346" s="572"/>
      <c r="N2346" s="572"/>
      <c r="O2346" s="740"/>
      <c r="P2346" s="564" t="s">
        <v>25</v>
      </c>
      <c r="Q2346" s="564" t="s">
        <v>25</v>
      </c>
      <c r="R2346" s="566"/>
      <c r="S2346" s="609"/>
      <c r="T2346" s="741"/>
      <c r="U2346" s="586"/>
      <c r="V2346" s="564" t="s">
        <v>2899</v>
      </c>
      <c r="W2346" s="564" t="s">
        <v>25</v>
      </c>
      <c r="X2346" s="650"/>
      <c r="Y2346" s="586"/>
      <c r="Z2346" s="742"/>
      <c r="AA2346" s="586"/>
      <c r="AB2346" s="586"/>
      <c r="AC2346" s="586"/>
      <c r="AD2346" s="586"/>
      <c r="AE2346" s="714"/>
      <c r="AF2346" s="570" t="s">
        <v>2899</v>
      </c>
      <c r="AG2346" s="570"/>
      <c r="AH2346" s="571" t="s">
        <v>25</v>
      </c>
      <c r="AI2346" s="586" t="s">
        <v>1533</v>
      </c>
      <c r="AJ2346" s="586" t="s">
        <v>2771</v>
      </c>
    </row>
    <row r="2347" spans="1:36" s="396" customFormat="1" ht="81" outlineLevel="2" x14ac:dyDescent="0.3">
      <c r="A2347" s="447">
        <v>198</v>
      </c>
      <c r="B2347" s="572" t="s">
        <v>1647</v>
      </c>
      <c r="C2347" s="572"/>
      <c r="D2347" s="612"/>
      <c r="E2347" s="612"/>
      <c r="F2347" s="586" t="s">
        <v>2455</v>
      </c>
      <c r="G2347" s="709">
        <v>40</v>
      </c>
      <c r="H2347" s="546" t="s">
        <v>2899</v>
      </c>
      <c r="I2347" s="563">
        <v>531787.19999999995</v>
      </c>
      <c r="J2347" s="563">
        <v>0</v>
      </c>
      <c r="K2347" s="564">
        <v>21271000</v>
      </c>
      <c r="L2347" s="564">
        <v>0</v>
      </c>
      <c r="M2347" s="572"/>
      <c r="N2347" s="572"/>
      <c r="O2347" s="740"/>
      <c r="P2347" s="564" t="s">
        <v>25</v>
      </c>
      <c r="Q2347" s="564" t="s">
        <v>25</v>
      </c>
      <c r="R2347" s="566"/>
      <c r="S2347" s="609"/>
      <c r="T2347" s="741"/>
      <c r="U2347" s="586"/>
      <c r="V2347" s="564" t="s">
        <v>2899</v>
      </c>
      <c r="W2347" s="564" t="s">
        <v>25</v>
      </c>
      <c r="X2347" s="650"/>
      <c r="Y2347" s="586"/>
      <c r="Z2347" s="742"/>
      <c r="AA2347" s="586"/>
      <c r="AB2347" s="586"/>
      <c r="AC2347" s="586"/>
      <c r="AD2347" s="586"/>
      <c r="AE2347" s="714"/>
      <c r="AF2347" s="570" t="s">
        <v>2899</v>
      </c>
      <c r="AG2347" s="570" t="s">
        <v>25</v>
      </c>
      <c r="AH2347" s="571" t="s">
        <v>25</v>
      </c>
      <c r="AI2347" s="586" t="s">
        <v>1535</v>
      </c>
      <c r="AJ2347" s="605" t="s">
        <v>2448</v>
      </c>
    </row>
    <row r="2348" spans="1:36" s="394" customFormat="1" ht="81" outlineLevel="2" x14ac:dyDescent="0.3">
      <c r="A2348" s="447">
        <v>198</v>
      </c>
      <c r="B2348" s="607" t="s">
        <v>1536</v>
      </c>
      <c r="C2348" s="607"/>
      <c r="D2348" s="612"/>
      <c r="E2348" s="612"/>
      <c r="F2348" s="586" t="s">
        <v>2426</v>
      </c>
      <c r="G2348" s="709">
        <v>26.4</v>
      </c>
      <c r="H2348" s="546">
        <v>26.4</v>
      </c>
      <c r="I2348" s="563">
        <v>554400</v>
      </c>
      <c r="J2348" s="563">
        <v>1663200</v>
      </c>
      <c r="K2348" s="564">
        <v>14636000</v>
      </c>
      <c r="L2348" s="564">
        <v>43908000</v>
      </c>
      <c r="M2348" s="572"/>
      <c r="N2348" s="572"/>
      <c r="O2348" s="740"/>
      <c r="P2348" s="564" t="s">
        <v>25</v>
      </c>
      <c r="Q2348" s="564" t="s">
        <v>25</v>
      </c>
      <c r="R2348" s="566"/>
      <c r="S2348" s="609"/>
      <c r="T2348" s="741"/>
      <c r="U2348" s="586"/>
      <c r="V2348" s="564" t="s">
        <v>2899</v>
      </c>
      <c r="W2348" s="564" t="s">
        <v>25</v>
      </c>
      <c r="X2348" s="650"/>
      <c r="Y2348" s="586"/>
      <c r="Z2348" s="742"/>
      <c r="AA2348" s="586"/>
      <c r="AB2348" s="586"/>
      <c r="AC2348" s="586"/>
      <c r="AD2348" s="586"/>
      <c r="AE2348" s="714"/>
      <c r="AF2348" s="570" t="s">
        <v>2899</v>
      </c>
      <c r="AG2348" s="570" t="s">
        <v>25</v>
      </c>
      <c r="AH2348" s="571" t="s">
        <v>25</v>
      </c>
      <c r="AI2348" s="586" t="s">
        <v>2247</v>
      </c>
      <c r="AJ2348" s="586"/>
    </row>
    <row r="2349" spans="1:36" s="394" customFormat="1" ht="40.5" outlineLevel="2" x14ac:dyDescent="0.3">
      <c r="A2349" s="447">
        <v>198</v>
      </c>
      <c r="B2349" s="572" t="s">
        <v>1538</v>
      </c>
      <c r="C2349" s="572"/>
      <c r="D2349" s="612"/>
      <c r="E2349" s="612"/>
      <c r="F2349" s="731"/>
      <c r="G2349" s="745"/>
      <c r="H2349" s="546"/>
      <c r="I2349" s="563" t="s">
        <v>25</v>
      </c>
      <c r="J2349" s="563" t="s">
        <v>25</v>
      </c>
      <c r="K2349" s="564" t="s">
        <v>25</v>
      </c>
      <c r="L2349" s="564" t="s">
        <v>25</v>
      </c>
      <c r="M2349" s="572"/>
      <c r="N2349" s="572"/>
      <c r="O2349" s="740"/>
      <c r="P2349" s="564" t="s">
        <v>25</v>
      </c>
      <c r="Q2349" s="564" t="s">
        <v>25</v>
      </c>
      <c r="R2349" s="566"/>
      <c r="S2349" s="609"/>
      <c r="T2349" s="741"/>
      <c r="U2349" s="586"/>
      <c r="V2349" s="564" t="s">
        <v>2899</v>
      </c>
      <c r="W2349" s="564" t="s">
        <v>25</v>
      </c>
      <c r="X2349" s="650"/>
      <c r="Y2349" s="586"/>
      <c r="Z2349" s="742"/>
      <c r="AA2349" s="586"/>
      <c r="AB2349" s="586"/>
      <c r="AC2349" s="586"/>
      <c r="AD2349" s="586"/>
      <c r="AE2349" s="714"/>
      <c r="AF2349" s="570" t="s">
        <v>2899</v>
      </c>
      <c r="AG2349" s="570" t="s">
        <v>25</v>
      </c>
      <c r="AH2349" s="571" t="s">
        <v>25</v>
      </c>
      <c r="AI2349" s="731"/>
      <c r="AJ2349" s="586"/>
    </row>
    <row r="2350" spans="1:36" s="394" customFormat="1" ht="81" outlineLevel="2" x14ac:dyDescent="0.3">
      <c r="A2350" s="447">
        <v>198</v>
      </c>
      <c r="B2350" s="572" t="s">
        <v>1648</v>
      </c>
      <c r="C2350" s="572"/>
      <c r="D2350" s="612"/>
      <c r="E2350" s="612"/>
      <c r="F2350" s="586"/>
      <c r="G2350" s="709"/>
      <c r="H2350" s="546"/>
      <c r="I2350" s="563" t="s">
        <v>25</v>
      </c>
      <c r="J2350" s="563" t="s">
        <v>25</v>
      </c>
      <c r="K2350" s="564" t="s">
        <v>25</v>
      </c>
      <c r="L2350" s="564" t="s">
        <v>25</v>
      </c>
      <c r="M2350" s="572"/>
      <c r="N2350" s="572"/>
      <c r="O2350" s="740"/>
      <c r="P2350" s="564" t="s">
        <v>25</v>
      </c>
      <c r="Q2350" s="564" t="s">
        <v>25</v>
      </c>
      <c r="R2350" s="566"/>
      <c r="S2350" s="609"/>
      <c r="T2350" s="741"/>
      <c r="U2350" s="586"/>
      <c r="V2350" s="564" t="s">
        <v>2899</v>
      </c>
      <c r="W2350" s="564" t="s">
        <v>25</v>
      </c>
      <c r="X2350" s="650"/>
      <c r="Y2350" s="586"/>
      <c r="Z2350" s="742"/>
      <c r="AA2350" s="586"/>
      <c r="AB2350" s="586"/>
      <c r="AC2350" s="586"/>
      <c r="AD2350" s="586"/>
      <c r="AE2350" s="714"/>
      <c r="AF2350" s="570" t="s">
        <v>2899</v>
      </c>
      <c r="AG2350" s="570" t="s">
        <v>25</v>
      </c>
      <c r="AH2350" s="571" t="s">
        <v>25</v>
      </c>
      <c r="AI2350" s="731"/>
      <c r="AJ2350" s="586"/>
    </row>
    <row r="2351" spans="1:36" s="394" customFormat="1" ht="20.25" outlineLevel="2" x14ac:dyDescent="0.3">
      <c r="A2351" s="447">
        <v>198</v>
      </c>
      <c r="B2351" s="572"/>
      <c r="C2351" s="572"/>
      <c r="D2351" s="612"/>
      <c r="E2351" s="612"/>
      <c r="F2351" s="586"/>
      <c r="G2351" s="709"/>
      <c r="H2351" s="546"/>
      <c r="I2351" s="563" t="s">
        <v>25</v>
      </c>
      <c r="J2351" s="563" t="s">
        <v>25</v>
      </c>
      <c r="K2351" s="564" t="s">
        <v>25</v>
      </c>
      <c r="L2351" s="564" t="s">
        <v>25</v>
      </c>
      <c r="M2351" s="572"/>
      <c r="N2351" s="572"/>
      <c r="O2351" s="740"/>
      <c r="P2351" s="564" t="s">
        <v>25</v>
      </c>
      <c r="Q2351" s="564" t="s">
        <v>25</v>
      </c>
      <c r="R2351" s="566"/>
      <c r="S2351" s="609"/>
      <c r="T2351" s="741"/>
      <c r="U2351" s="586"/>
      <c r="V2351" s="564" t="s">
        <v>2899</v>
      </c>
      <c r="W2351" s="564" t="s">
        <v>25</v>
      </c>
      <c r="X2351" s="650"/>
      <c r="Y2351" s="586"/>
      <c r="Z2351" s="742"/>
      <c r="AA2351" s="586"/>
      <c r="AB2351" s="586"/>
      <c r="AC2351" s="586"/>
      <c r="AD2351" s="586"/>
      <c r="AE2351" s="714"/>
      <c r="AF2351" s="570" t="s">
        <v>2899</v>
      </c>
      <c r="AG2351" s="570" t="s">
        <v>25</v>
      </c>
      <c r="AH2351" s="571" t="s">
        <v>25</v>
      </c>
      <c r="AI2351" s="586"/>
      <c r="AJ2351" s="586"/>
    </row>
    <row r="2352" spans="1:36" s="394" customFormat="1" ht="20.25" outlineLevel="2" x14ac:dyDescent="0.3">
      <c r="A2352" s="447">
        <v>198</v>
      </c>
      <c r="B2352" s="572"/>
      <c r="C2352" s="572"/>
      <c r="D2352" s="612"/>
      <c r="E2352" s="612"/>
      <c r="F2352" s="586"/>
      <c r="G2352" s="709"/>
      <c r="H2352" s="546"/>
      <c r="I2352" s="563" t="s">
        <v>25</v>
      </c>
      <c r="J2352" s="563" t="s">
        <v>25</v>
      </c>
      <c r="K2352" s="564" t="s">
        <v>25</v>
      </c>
      <c r="L2352" s="564" t="s">
        <v>25</v>
      </c>
      <c r="M2352" s="572"/>
      <c r="N2352" s="572"/>
      <c r="O2352" s="740"/>
      <c r="P2352" s="564" t="s">
        <v>25</v>
      </c>
      <c r="Q2352" s="564" t="s">
        <v>25</v>
      </c>
      <c r="R2352" s="566"/>
      <c r="S2352" s="609"/>
      <c r="T2352" s="741"/>
      <c r="U2352" s="586"/>
      <c r="V2352" s="564" t="s">
        <v>2899</v>
      </c>
      <c r="W2352" s="564" t="s">
        <v>25</v>
      </c>
      <c r="X2352" s="650"/>
      <c r="Y2352" s="586"/>
      <c r="Z2352" s="742"/>
      <c r="AA2352" s="586"/>
      <c r="AB2352" s="586"/>
      <c r="AC2352" s="586"/>
      <c r="AD2352" s="586"/>
      <c r="AE2352" s="714"/>
      <c r="AF2352" s="570" t="s">
        <v>2899</v>
      </c>
      <c r="AG2352" s="570" t="s">
        <v>25</v>
      </c>
      <c r="AH2352" s="571" t="s">
        <v>25</v>
      </c>
      <c r="AI2352" s="586"/>
      <c r="AJ2352" s="586"/>
    </row>
    <row r="2353" spans="1:36" s="394" customFormat="1" ht="20.25" outlineLevel="2" x14ac:dyDescent="0.3">
      <c r="A2353" s="447">
        <v>198</v>
      </c>
      <c r="B2353" s="572"/>
      <c r="C2353" s="572"/>
      <c r="D2353" s="612"/>
      <c r="E2353" s="612"/>
      <c r="F2353" s="586"/>
      <c r="G2353" s="709"/>
      <c r="H2353" s="546"/>
      <c r="I2353" s="563" t="s">
        <v>25</v>
      </c>
      <c r="J2353" s="563" t="s">
        <v>25</v>
      </c>
      <c r="K2353" s="564" t="s">
        <v>25</v>
      </c>
      <c r="L2353" s="564" t="s">
        <v>25</v>
      </c>
      <c r="M2353" s="572"/>
      <c r="N2353" s="572"/>
      <c r="O2353" s="740"/>
      <c r="P2353" s="564" t="s">
        <v>25</v>
      </c>
      <c r="Q2353" s="564" t="s">
        <v>25</v>
      </c>
      <c r="R2353" s="566"/>
      <c r="S2353" s="609"/>
      <c r="T2353" s="741"/>
      <c r="U2353" s="586"/>
      <c r="V2353" s="564" t="s">
        <v>2899</v>
      </c>
      <c r="W2353" s="564" t="s">
        <v>25</v>
      </c>
      <c r="X2353" s="650"/>
      <c r="Y2353" s="586"/>
      <c r="Z2353" s="742"/>
      <c r="AA2353" s="586"/>
      <c r="AB2353" s="586"/>
      <c r="AC2353" s="586"/>
      <c r="AD2353" s="586"/>
      <c r="AE2353" s="714"/>
      <c r="AF2353" s="570" t="s">
        <v>2899</v>
      </c>
      <c r="AG2353" s="570" t="s">
        <v>25</v>
      </c>
      <c r="AH2353" s="571" t="s">
        <v>25</v>
      </c>
      <c r="AI2353" s="572"/>
      <c r="AJ2353" s="572"/>
    </row>
    <row r="2354" spans="1:36" s="394" customFormat="1" ht="20.25" outlineLevel="2" x14ac:dyDescent="0.3">
      <c r="A2354" s="447">
        <v>198</v>
      </c>
      <c r="B2354" s="607"/>
      <c r="C2354" s="607"/>
      <c r="D2354" s="642"/>
      <c r="E2354" s="642"/>
      <c r="F2354" s="586"/>
      <c r="G2354" s="709"/>
      <c r="H2354" s="546"/>
      <c r="I2354" s="563" t="s">
        <v>25</v>
      </c>
      <c r="J2354" s="563" t="s">
        <v>25</v>
      </c>
      <c r="K2354" s="564" t="s">
        <v>25</v>
      </c>
      <c r="L2354" s="564" t="s">
        <v>25</v>
      </c>
      <c r="M2354" s="572"/>
      <c r="N2354" s="572"/>
      <c r="O2354" s="740"/>
      <c r="P2354" s="564" t="s">
        <v>25</v>
      </c>
      <c r="Q2354" s="564" t="s">
        <v>25</v>
      </c>
      <c r="R2354" s="566"/>
      <c r="S2354" s="609"/>
      <c r="T2354" s="741"/>
      <c r="U2354" s="586"/>
      <c r="V2354" s="564" t="s">
        <v>2899</v>
      </c>
      <c r="W2354" s="564" t="s">
        <v>25</v>
      </c>
      <c r="X2354" s="650"/>
      <c r="Y2354" s="586"/>
      <c r="Z2354" s="742"/>
      <c r="AA2354" s="586"/>
      <c r="AB2354" s="586"/>
      <c r="AC2354" s="586"/>
      <c r="AD2354" s="586"/>
      <c r="AE2354" s="714"/>
      <c r="AF2354" s="570" t="s">
        <v>2899</v>
      </c>
      <c r="AG2354" s="570" t="s">
        <v>25</v>
      </c>
      <c r="AH2354" s="571" t="s">
        <v>25</v>
      </c>
      <c r="AI2354" s="558"/>
      <c r="AJ2354" s="558"/>
    </row>
    <row r="2355" spans="1:36" s="394" customFormat="1" ht="40.5" outlineLevel="1" x14ac:dyDescent="0.25">
      <c r="A2355" s="467">
        <v>199</v>
      </c>
      <c r="B2355" s="607" t="s">
        <v>1448</v>
      </c>
      <c r="C2355" s="586" t="s">
        <v>2903</v>
      </c>
      <c r="D2355" s="612">
        <v>86</v>
      </c>
      <c r="E2355" s="612">
        <v>25</v>
      </c>
      <c r="F2355" s="578"/>
      <c r="G2355" s="707">
        <v>12</v>
      </c>
      <c r="H2355" s="579">
        <v>12</v>
      </c>
      <c r="I2355" s="581"/>
      <c r="J2355" s="581"/>
      <c r="K2355" s="571">
        <v>6653000</v>
      </c>
      <c r="L2355" s="571">
        <v>19958000</v>
      </c>
      <c r="M2355" s="607"/>
      <c r="N2355" s="607"/>
      <c r="O2355" s="738">
        <v>0</v>
      </c>
      <c r="P2355" s="571"/>
      <c r="Q2355" s="571">
        <v>0</v>
      </c>
      <c r="R2355" s="582"/>
      <c r="S2355" s="621"/>
      <c r="T2355" s="739">
        <v>0</v>
      </c>
      <c r="U2355" s="578"/>
      <c r="V2355" s="571"/>
      <c r="W2355" s="571">
        <v>0</v>
      </c>
      <c r="X2355" s="650"/>
      <c r="Y2355" s="586"/>
      <c r="Z2355" s="742"/>
      <c r="AA2355" s="586"/>
      <c r="AB2355" s="586"/>
      <c r="AC2355" s="586"/>
      <c r="AD2355" s="578"/>
      <c r="AE2355" s="712">
        <f>SUBTOTAL(9,AE2356:AE2361)</f>
        <v>0</v>
      </c>
      <c r="AF2355" s="585"/>
      <c r="AG2355" s="585">
        <v>0</v>
      </c>
      <c r="AH2355" s="571">
        <v>26611000</v>
      </c>
      <c r="AI2355" s="578"/>
      <c r="AJ2355" s="574"/>
    </row>
    <row r="2356" spans="1:36" s="394" customFormat="1" ht="243" outlineLevel="2" x14ac:dyDescent="0.3">
      <c r="A2356" s="447">
        <v>199</v>
      </c>
      <c r="B2356" s="572" t="s">
        <v>1450</v>
      </c>
      <c r="C2356" s="572"/>
      <c r="D2356" s="612"/>
      <c r="E2356" s="612"/>
      <c r="F2356" s="586" t="s">
        <v>2420</v>
      </c>
      <c r="G2356" s="709">
        <v>12</v>
      </c>
      <c r="H2356" s="546">
        <v>12</v>
      </c>
      <c r="I2356" s="563">
        <v>554400</v>
      </c>
      <c r="J2356" s="563">
        <v>1663200</v>
      </c>
      <c r="K2356" s="564">
        <v>6653000</v>
      </c>
      <c r="L2356" s="564">
        <v>19958000</v>
      </c>
      <c r="M2356" s="572"/>
      <c r="N2356" s="572"/>
      <c r="O2356" s="740"/>
      <c r="P2356" s="564"/>
      <c r="Q2356" s="564"/>
      <c r="R2356" s="566"/>
      <c r="S2356" s="609"/>
      <c r="T2356" s="741"/>
      <c r="U2356" s="586"/>
      <c r="V2356" s="564"/>
      <c r="W2356" s="564"/>
      <c r="X2356" s="650"/>
      <c r="Y2356" s="586"/>
      <c r="Z2356" s="742"/>
      <c r="AA2356" s="586"/>
      <c r="AB2356" s="586"/>
      <c r="AC2356" s="586"/>
      <c r="AD2356" s="586"/>
      <c r="AE2356" s="714"/>
      <c r="AF2356" s="570"/>
      <c r="AG2356" s="570"/>
      <c r="AH2356" s="571" t="s">
        <v>25</v>
      </c>
      <c r="AI2356" s="586" t="s">
        <v>2467</v>
      </c>
      <c r="AJ2356" s="558"/>
    </row>
    <row r="2357" spans="1:36" s="394" customFormat="1" ht="101.25" outlineLevel="2" x14ac:dyDescent="0.3">
      <c r="A2357" s="447">
        <v>199</v>
      </c>
      <c r="B2357" s="572" t="s">
        <v>1634</v>
      </c>
      <c r="C2357" s="572"/>
      <c r="D2357" s="612"/>
      <c r="E2357" s="612"/>
      <c r="F2357" s="586"/>
      <c r="G2357" s="709"/>
      <c r="H2357" s="546"/>
      <c r="I2357" s="563" t="s">
        <v>25</v>
      </c>
      <c r="J2357" s="563" t="s">
        <v>25</v>
      </c>
      <c r="K2357" s="564" t="s">
        <v>25</v>
      </c>
      <c r="L2357" s="564" t="s">
        <v>25</v>
      </c>
      <c r="M2357" s="572"/>
      <c r="N2357" s="572"/>
      <c r="O2357" s="740"/>
      <c r="P2357" s="564"/>
      <c r="Q2357" s="564"/>
      <c r="R2357" s="566"/>
      <c r="S2357" s="609"/>
      <c r="T2357" s="741"/>
      <c r="U2357" s="586"/>
      <c r="V2357" s="564"/>
      <c r="W2357" s="564"/>
      <c r="X2357" s="650"/>
      <c r="Y2357" s="586"/>
      <c r="Z2357" s="742"/>
      <c r="AA2357" s="586"/>
      <c r="AB2357" s="586"/>
      <c r="AC2357" s="586"/>
      <c r="AD2357" s="586"/>
      <c r="AE2357" s="714"/>
      <c r="AF2357" s="570"/>
      <c r="AG2357" s="570"/>
      <c r="AH2357" s="571" t="s">
        <v>25</v>
      </c>
      <c r="AI2357" s="558" t="s">
        <v>2074</v>
      </c>
      <c r="AJ2357" s="558"/>
    </row>
    <row r="2358" spans="1:36" s="394" customFormat="1" ht="20.25" outlineLevel="2" x14ac:dyDescent="0.3">
      <c r="A2358" s="447">
        <v>199</v>
      </c>
      <c r="B2358" s="572"/>
      <c r="C2358" s="572"/>
      <c r="D2358" s="612"/>
      <c r="E2358" s="612"/>
      <c r="F2358" s="586"/>
      <c r="G2358" s="709"/>
      <c r="H2358" s="546"/>
      <c r="I2358" s="563" t="s">
        <v>25</v>
      </c>
      <c r="J2358" s="563" t="s">
        <v>25</v>
      </c>
      <c r="K2358" s="564" t="s">
        <v>25</v>
      </c>
      <c r="L2358" s="564" t="s">
        <v>25</v>
      </c>
      <c r="M2358" s="572"/>
      <c r="N2358" s="572"/>
      <c r="O2358" s="740"/>
      <c r="P2358" s="564"/>
      <c r="Q2358" s="564"/>
      <c r="R2358" s="566"/>
      <c r="S2358" s="609"/>
      <c r="T2358" s="741"/>
      <c r="U2358" s="586"/>
      <c r="V2358" s="564"/>
      <c r="W2358" s="564"/>
      <c r="X2358" s="650"/>
      <c r="Y2358" s="586"/>
      <c r="Z2358" s="742"/>
      <c r="AA2358" s="586"/>
      <c r="AB2358" s="586"/>
      <c r="AC2358" s="586"/>
      <c r="AD2358" s="586"/>
      <c r="AE2358" s="714"/>
      <c r="AF2358" s="570"/>
      <c r="AG2358" s="570"/>
      <c r="AH2358" s="571" t="s">
        <v>25</v>
      </c>
      <c r="AI2358" s="558"/>
      <c r="AJ2358" s="558"/>
    </row>
    <row r="2359" spans="1:36" s="394" customFormat="1" ht="20.25" outlineLevel="2" x14ac:dyDescent="0.3">
      <c r="A2359" s="447">
        <v>199</v>
      </c>
      <c r="B2359" s="572"/>
      <c r="C2359" s="572"/>
      <c r="D2359" s="612"/>
      <c r="E2359" s="612"/>
      <c r="F2359" s="586"/>
      <c r="G2359" s="709"/>
      <c r="H2359" s="546"/>
      <c r="I2359" s="563" t="s">
        <v>25</v>
      </c>
      <c r="J2359" s="563" t="s">
        <v>25</v>
      </c>
      <c r="K2359" s="564" t="s">
        <v>25</v>
      </c>
      <c r="L2359" s="564" t="s">
        <v>25</v>
      </c>
      <c r="M2359" s="572"/>
      <c r="N2359" s="572"/>
      <c r="O2359" s="740"/>
      <c r="P2359" s="564"/>
      <c r="Q2359" s="564"/>
      <c r="R2359" s="566"/>
      <c r="S2359" s="609"/>
      <c r="T2359" s="741"/>
      <c r="U2359" s="586"/>
      <c r="V2359" s="564"/>
      <c r="W2359" s="564"/>
      <c r="X2359" s="650"/>
      <c r="Y2359" s="586"/>
      <c r="Z2359" s="742"/>
      <c r="AA2359" s="586"/>
      <c r="AB2359" s="586"/>
      <c r="AC2359" s="586"/>
      <c r="AD2359" s="586"/>
      <c r="AE2359" s="714"/>
      <c r="AF2359" s="570"/>
      <c r="AG2359" s="570"/>
      <c r="AH2359" s="571" t="s">
        <v>25</v>
      </c>
      <c r="AI2359" s="558"/>
      <c r="AJ2359" s="558"/>
    </row>
    <row r="2360" spans="1:36" s="394" customFormat="1" ht="20.25" outlineLevel="2" x14ac:dyDescent="0.3">
      <c r="A2360" s="447">
        <v>199</v>
      </c>
      <c r="B2360" s="572"/>
      <c r="C2360" s="572"/>
      <c r="D2360" s="612"/>
      <c r="E2360" s="612"/>
      <c r="F2360" s="586"/>
      <c r="G2360" s="709"/>
      <c r="H2360" s="546"/>
      <c r="I2360" s="563" t="s">
        <v>25</v>
      </c>
      <c r="J2360" s="563" t="s">
        <v>25</v>
      </c>
      <c r="K2360" s="564" t="s">
        <v>25</v>
      </c>
      <c r="L2360" s="564" t="s">
        <v>25</v>
      </c>
      <c r="M2360" s="572"/>
      <c r="N2360" s="572"/>
      <c r="O2360" s="740"/>
      <c r="P2360" s="564"/>
      <c r="Q2360" s="564"/>
      <c r="R2360" s="566"/>
      <c r="S2360" s="609"/>
      <c r="T2360" s="741"/>
      <c r="U2360" s="586"/>
      <c r="V2360" s="564"/>
      <c r="W2360" s="564"/>
      <c r="X2360" s="650"/>
      <c r="Y2360" s="586"/>
      <c r="Z2360" s="742"/>
      <c r="AA2360" s="586"/>
      <c r="AB2360" s="586"/>
      <c r="AC2360" s="586"/>
      <c r="AD2360" s="586"/>
      <c r="AE2360" s="714"/>
      <c r="AF2360" s="570"/>
      <c r="AG2360" s="570"/>
      <c r="AH2360" s="571" t="s">
        <v>25</v>
      </c>
      <c r="AI2360" s="558"/>
      <c r="AJ2360" s="558"/>
    </row>
    <row r="2361" spans="1:36" s="394" customFormat="1" ht="20.25" outlineLevel="2" x14ac:dyDescent="0.3">
      <c r="A2361" s="447">
        <v>199</v>
      </c>
      <c r="B2361" s="607"/>
      <c r="C2361" s="607"/>
      <c r="D2361" s="642"/>
      <c r="E2361" s="642"/>
      <c r="F2361" s="586"/>
      <c r="G2361" s="709"/>
      <c r="H2361" s="546"/>
      <c r="I2361" s="563" t="s">
        <v>25</v>
      </c>
      <c r="J2361" s="563" t="s">
        <v>25</v>
      </c>
      <c r="K2361" s="564" t="s">
        <v>25</v>
      </c>
      <c r="L2361" s="564" t="s">
        <v>25</v>
      </c>
      <c r="M2361" s="572"/>
      <c r="N2361" s="572"/>
      <c r="O2361" s="740"/>
      <c r="P2361" s="564"/>
      <c r="Q2361" s="564"/>
      <c r="R2361" s="566"/>
      <c r="S2361" s="609"/>
      <c r="T2361" s="741"/>
      <c r="U2361" s="586"/>
      <c r="V2361" s="564"/>
      <c r="W2361" s="564"/>
      <c r="X2361" s="650"/>
      <c r="Y2361" s="586"/>
      <c r="Z2361" s="742"/>
      <c r="AA2361" s="586"/>
      <c r="AB2361" s="586"/>
      <c r="AC2361" s="586"/>
      <c r="AD2361" s="586"/>
      <c r="AE2361" s="714"/>
      <c r="AF2361" s="570"/>
      <c r="AG2361" s="570"/>
      <c r="AH2361" s="571" t="s">
        <v>25</v>
      </c>
      <c r="AI2361" s="558"/>
      <c r="AJ2361" s="558"/>
    </row>
    <row r="2362" spans="1:36" s="394" customFormat="1" ht="40.5" outlineLevel="1" x14ac:dyDescent="0.25">
      <c r="A2362" s="467">
        <v>200</v>
      </c>
      <c r="B2362" s="607" t="s">
        <v>1539</v>
      </c>
      <c r="C2362" s="586" t="s">
        <v>2903</v>
      </c>
      <c r="D2362" s="612">
        <v>86</v>
      </c>
      <c r="E2362" s="612">
        <v>345</v>
      </c>
      <c r="F2362" s="578"/>
      <c r="G2362" s="707">
        <v>93.8</v>
      </c>
      <c r="H2362" s="579">
        <v>57.8</v>
      </c>
      <c r="I2362" s="581"/>
      <c r="J2362" s="581"/>
      <c r="K2362" s="571">
        <v>51188000</v>
      </c>
      <c r="L2362" s="571">
        <v>96133000</v>
      </c>
      <c r="M2362" s="607"/>
      <c r="N2362" s="607"/>
      <c r="O2362" s="738">
        <v>0</v>
      </c>
      <c r="P2362" s="571"/>
      <c r="Q2362" s="571">
        <v>0</v>
      </c>
      <c r="R2362" s="582"/>
      <c r="S2362" s="621"/>
      <c r="T2362" s="739">
        <v>0</v>
      </c>
      <c r="U2362" s="578"/>
      <c r="V2362" s="571"/>
      <c r="W2362" s="571">
        <v>0</v>
      </c>
      <c r="X2362" s="650"/>
      <c r="Y2362" s="586"/>
      <c r="Z2362" s="742"/>
      <c r="AA2362" s="586"/>
      <c r="AB2362" s="586"/>
      <c r="AC2362" s="586"/>
      <c r="AD2362" s="578"/>
      <c r="AE2362" s="712">
        <f>SUBTOTAL(9,AE2363:AE2368)</f>
        <v>0</v>
      </c>
      <c r="AF2362" s="585"/>
      <c r="AG2362" s="585">
        <v>0</v>
      </c>
      <c r="AH2362" s="571">
        <v>147321000</v>
      </c>
      <c r="AI2362" s="578"/>
      <c r="AJ2362" s="578"/>
    </row>
    <row r="2363" spans="1:36" s="394" customFormat="1" ht="121.5" outlineLevel="2" x14ac:dyDescent="0.3">
      <c r="A2363" s="447">
        <v>200</v>
      </c>
      <c r="B2363" s="572" t="s">
        <v>1541</v>
      </c>
      <c r="C2363" s="572"/>
      <c r="D2363" s="612">
        <v>86</v>
      </c>
      <c r="E2363" s="612">
        <v>345</v>
      </c>
      <c r="F2363" s="586" t="s">
        <v>2420</v>
      </c>
      <c r="G2363" s="709">
        <v>57.8</v>
      </c>
      <c r="H2363" s="546">
        <v>57.8</v>
      </c>
      <c r="I2363" s="563">
        <v>554400</v>
      </c>
      <c r="J2363" s="563">
        <v>1663200</v>
      </c>
      <c r="K2363" s="564">
        <v>32044000</v>
      </c>
      <c r="L2363" s="564">
        <v>96133000</v>
      </c>
      <c r="M2363" s="572"/>
      <c r="N2363" s="572"/>
      <c r="O2363" s="740"/>
      <c r="P2363" s="564" t="s">
        <v>25</v>
      </c>
      <c r="Q2363" s="564" t="s">
        <v>25</v>
      </c>
      <c r="R2363" s="566"/>
      <c r="S2363" s="609"/>
      <c r="T2363" s="741"/>
      <c r="U2363" s="586"/>
      <c r="V2363" s="564" t="s">
        <v>2899</v>
      </c>
      <c r="W2363" s="564" t="s">
        <v>25</v>
      </c>
      <c r="X2363" s="650"/>
      <c r="Y2363" s="586"/>
      <c r="Z2363" s="742"/>
      <c r="AA2363" s="586"/>
      <c r="AB2363" s="586"/>
      <c r="AC2363" s="586"/>
      <c r="AD2363" s="586"/>
      <c r="AE2363" s="714"/>
      <c r="AF2363" s="570"/>
      <c r="AG2363" s="570"/>
      <c r="AH2363" s="571" t="s">
        <v>25</v>
      </c>
      <c r="AI2363" s="586" t="s">
        <v>1540</v>
      </c>
      <c r="AJ2363" s="586" t="s">
        <v>2771</v>
      </c>
    </row>
    <row r="2364" spans="1:36" s="394" customFormat="1" ht="101.25" outlineLevel="2" x14ac:dyDescent="0.3">
      <c r="A2364" s="447">
        <v>200</v>
      </c>
      <c r="B2364" s="572" t="s">
        <v>1649</v>
      </c>
      <c r="C2364" s="572"/>
      <c r="D2364" s="744"/>
      <c r="E2364" s="744"/>
      <c r="F2364" s="586" t="s">
        <v>2455</v>
      </c>
      <c r="G2364" s="709">
        <v>36</v>
      </c>
      <c r="H2364" s="546" t="s">
        <v>2899</v>
      </c>
      <c r="I2364" s="563">
        <v>531787.19999999995</v>
      </c>
      <c r="J2364" s="563">
        <v>0</v>
      </c>
      <c r="K2364" s="564">
        <v>19144000</v>
      </c>
      <c r="L2364" s="564">
        <v>0</v>
      </c>
      <c r="M2364" s="572"/>
      <c r="N2364" s="572"/>
      <c r="O2364" s="740"/>
      <c r="P2364" s="564" t="s">
        <v>25</v>
      </c>
      <c r="Q2364" s="564" t="s">
        <v>25</v>
      </c>
      <c r="R2364" s="566"/>
      <c r="S2364" s="609"/>
      <c r="T2364" s="741"/>
      <c r="U2364" s="586"/>
      <c r="V2364" s="564" t="s">
        <v>2899</v>
      </c>
      <c r="W2364" s="564" t="s">
        <v>25</v>
      </c>
      <c r="X2364" s="650"/>
      <c r="Y2364" s="586"/>
      <c r="Z2364" s="742"/>
      <c r="AA2364" s="586"/>
      <c r="AB2364" s="586"/>
      <c r="AC2364" s="586"/>
      <c r="AD2364" s="586"/>
      <c r="AE2364" s="714"/>
      <c r="AF2364" s="570" t="s">
        <v>2899</v>
      </c>
      <c r="AG2364" s="570" t="s">
        <v>25</v>
      </c>
      <c r="AH2364" s="571" t="s">
        <v>25</v>
      </c>
      <c r="AI2364" s="586" t="s">
        <v>1542</v>
      </c>
      <c r="AJ2364" s="605" t="s">
        <v>2448</v>
      </c>
    </row>
    <row r="2365" spans="1:36" s="394" customFormat="1" ht="60.75" outlineLevel="2" x14ac:dyDescent="0.3">
      <c r="A2365" s="447">
        <v>200</v>
      </c>
      <c r="B2365" s="572"/>
      <c r="C2365" s="572"/>
      <c r="D2365" s="612"/>
      <c r="E2365" s="612"/>
      <c r="F2365" s="731"/>
      <c r="G2365" s="745"/>
      <c r="H2365" s="546"/>
      <c r="I2365" s="563" t="s">
        <v>25</v>
      </c>
      <c r="J2365" s="563" t="s">
        <v>25</v>
      </c>
      <c r="K2365" s="564" t="s">
        <v>25</v>
      </c>
      <c r="L2365" s="564" t="s">
        <v>25</v>
      </c>
      <c r="M2365" s="572"/>
      <c r="N2365" s="572"/>
      <c r="O2365" s="740"/>
      <c r="P2365" s="564" t="s">
        <v>25</v>
      </c>
      <c r="Q2365" s="564" t="s">
        <v>25</v>
      </c>
      <c r="R2365" s="566"/>
      <c r="S2365" s="609"/>
      <c r="T2365" s="741"/>
      <c r="U2365" s="586"/>
      <c r="V2365" s="564" t="s">
        <v>2899</v>
      </c>
      <c r="W2365" s="564" t="s">
        <v>25</v>
      </c>
      <c r="X2365" s="650"/>
      <c r="Y2365" s="586"/>
      <c r="Z2365" s="742"/>
      <c r="AA2365" s="586"/>
      <c r="AB2365" s="586"/>
      <c r="AC2365" s="586"/>
      <c r="AD2365" s="586"/>
      <c r="AE2365" s="714"/>
      <c r="AF2365" s="570" t="s">
        <v>2899</v>
      </c>
      <c r="AG2365" s="570" t="s">
        <v>25</v>
      </c>
      <c r="AH2365" s="571" t="s">
        <v>25</v>
      </c>
      <c r="AI2365" s="586" t="s">
        <v>2074</v>
      </c>
      <c r="AJ2365" s="586"/>
    </row>
    <row r="2366" spans="1:36" s="394" customFormat="1" ht="20.25" outlineLevel="2" x14ac:dyDescent="0.3">
      <c r="A2366" s="447">
        <v>200</v>
      </c>
      <c r="B2366" s="572"/>
      <c r="C2366" s="572"/>
      <c r="D2366" s="612"/>
      <c r="E2366" s="612"/>
      <c r="F2366" s="586"/>
      <c r="G2366" s="709"/>
      <c r="H2366" s="546"/>
      <c r="I2366" s="563" t="s">
        <v>25</v>
      </c>
      <c r="J2366" s="563" t="s">
        <v>25</v>
      </c>
      <c r="K2366" s="564" t="s">
        <v>25</v>
      </c>
      <c r="L2366" s="564" t="s">
        <v>25</v>
      </c>
      <c r="M2366" s="572"/>
      <c r="N2366" s="572"/>
      <c r="O2366" s="740"/>
      <c r="P2366" s="564" t="s">
        <v>25</v>
      </c>
      <c r="Q2366" s="564" t="s">
        <v>25</v>
      </c>
      <c r="R2366" s="566"/>
      <c r="S2366" s="609"/>
      <c r="T2366" s="741"/>
      <c r="U2366" s="586"/>
      <c r="V2366" s="564" t="s">
        <v>2899</v>
      </c>
      <c r="W2366" s="564" t="s">
        <v>25</v>
      </c>
      <c r="X2366" s="650"/>
      <c r="Y2366" s="586"/>
      <c r="Z2366" s="742"/>
      <c r="AA2366" s="586"/>
      <c r="AB2366" s="586"/>
      <c r="AC2366" s="586"/>
      <c r="AD2366" s="586"/>
      <c r="AE2366" s="714"/>
      <c r="AF2366" s="570" t="s">
        <v>2899</v>
      </c>
      <c r="AG2366" s="570" t="s">
        <v>25</v>
      </c>
      <c r="AH2366" s="571" t="s">
        <v>25</v>
      </c>
      <c r="AI2366" s="731"/>
      <c r="AJ2366" s="586"/>
    </row>
    <row r="2367" spans="1:36" s="394" customFormat="1" ht="20.25" outlineLevel="2" x14ac:dyDescent="0.3">
      <c r="A2367" s="447">
        <v>200</v>
      </c>
      <c r="B2367" s="572"/>
      <c r="C2367" s="572"/>
      <c r="D2367" s="612"/>
      <c r="E2367" s="612"/>
      <c r="F2367" s="586"/>
      <c r="G2367" s="709"/>
      <c r="H2367" s="546"/>
      <c r="I2367" s="563" t="s">
        <v>25</v>
      </c>
      <c r="J2367" s="563" t="s">
        <v>25</v>
      </c>
      <c r="K2367" s="564" t="s">
        <v>25</v>
      </c>
      <c r="L2367" s="564" t="s">
        <v>25</v>
      </c>
      <c r="M2367" s="572"/>
      <c r="N2367" s="572"/>
      <c r="O2367" s="740"/>
      <c r="P2367" s="564" t="s">
        <v>25</v>
      </c>
      <c r="Q2367" s="564" t="s">
        <v>25</v>
      </c>
      <c r="R2367" s="566"/>
      <c r="S2367" s="609"/>
      <c r="T2367" s="741"/>
      <c r="U2367" s="586"/>
      <c r="V2367" s="564" t="s">
        <v>2899</v>
      </c>
      <c r="W2367" s="564" t="s">
        <v>25</v>
      </c>
      <c r="X2367" s="650"/>
      <c r="Y2367" s="586"/>
      <c r="Z2367" s="742"/>
      <c r="AA2367" s="586"/>
      <c r="AB2367" s="586"/>
      <c r="AC2367" s="586"/>
      <c r="AD2367" s="586"/>
      <c r="AE2367" s="714"/>
      <c r="AF2367" s="570" t="s">
        <v>2899</v>
      </c>
      <c r="AG2367" s="570" t="s">
        <v>25</v>
      </c>
      <c r="AH2367" s="571" t="s">
        <v>25</v>
      </c>
      <c r="AI2367" s="731"/>
      <c r="AJ2367" s="586"/>
    </row>
    <row r="2368" spans="1:36" s="394" customFormat="1" ht="20.25" outlineLevel="2" x14ac:dyDescent="0.3">
      <c r="A2368" s="447">
        <v>200</v>
      </c>
      <c r="B2368" s="607"/>
      <c r="C2368" s="607"/>
      <c r="D2368" s="642"/>
      <c r="E2368" s="642"/>
      <c r="F2368" s="586"/>
      <c r="G2368" s="709"/>
      <c r="H2368" s="546"/>
      <c r="I2368" s="563" t="s">
        <v>25</v>
      </c>
      <c r="J2368" s="563" t="s">
        <v>25</v>
      </c>
      <c r="K2368" s="564" t="s">
        <v>25</v>
      </c>
      <c r="L2368" s="564" t="s">
        <v>25</v>
      </c>
      <c r="M2368" s="572"/>
      <c r="N2368" s="572"/>
      <c r="O2368" s="740"/>
      <c r="P2368" s="564" t="s">
        <v>25</v>
      </c>
      <c r="Q2368" s="564" t="s">
        <v>25</v>
      </c>
      <c r="R2368" s="566"/>
      <c r="S2368" s="609"/>
      <c r="T2368" s="741"/>
      <c r="U2368" s="586"/>
      <c r="V2368" s="564" t="s">
        <v>2899</v>
      </c>
      <c r="W2368" s="564" t="s">
        <v>25</v>
      </c>
      <c r="X2368" s="650"/>
      <c r="Y2368" s="586"/>
      <c r="Z2368" s="742"/>
      <c r="AA2368" s="586"/>
      <c r="AB2368" s="586"/>
      <c r="AC2368" s="586"/>
      <c r="AD2368" s="586"/>
      <c r="AE2368" s="714"/>
      <c r="AF2368" s="570" t="s">
        <v>2899</v>
      </c>
      <c r="AG2368" s="570" t="s">
        <v>25</v>
      </c>
      <c r="AH2368" s="571" t="s">
        <v>25</v>
      </c>
      <c r="AI2368" s="586"/>
      <c r="AJ2368" s="586"/>
    </row>
    <row r="2369" spans="1:38" s="396" customFormat="1" ht="40.5" outlineLevel="1" x14ac:dyDescent="0.25">
      <c r="A2369" s="467">
        <v>201</v>
      </c>
      <c r="B2369" s="607" t="s">
        <v>1544</v>
      </c>
      <c r="C2369" s="586" t="s">
        <v>2903</v>
      </c>
      <c r="D2369" s="612">
        <v>86</v>
      </c>
      <c r="E2369" s="612">
        <v>414</v>
      </c>
      <c r="F2369" s="578"/>
      <c r="G2369" s="707">
        <v>20.6</v>
      </c>
      <c r="H2369" s="579">
        <v>0</v>
      </c>
      <c r="I2369" s="581"/>
      <c r="J2369" s="581"/>
      <c r="K2369" s="571">
        <v>11421000</v>
      </c>
      <c r="L2369" s="571">
        <v>0</v>
      </c>
      <c r="M2369" s="607"/>
      <c r="N2369" s="607"/>
      <c r="O2369" s="738">
        <v>0</v>
      </c>
      <c r="P2369" s="571"/>
      <c r="Q2369" s="571">
        <v>0</v>
      </c>
      <c r="R2369" s="582"/>
      <c r="S2369" s="621"/>
      <c r="T2369" s="739">
        <v>30.8</v>
      </c>
      <c r="U2369" s="578"/>
      <c r="V2369" s="571"/>
      <c r="W2369" s="571">
        <v>8774000</v>
      </c>
      <c r="X2369" s="650"/>
      <c r="Y2369" s="586"/>
      <c r="Z2369" s="742"/>
      <c r="AA2369" s="586"/>
      <c r="AB2369" s="586"/>
      <c r="AC2369" s="586"/>
      <c r="AD2369" s="578"/>
      <c r="AE2369" s="712">
        <f>SUBTOTAL(9,AE2370:AE2374)</f>
        <v>0</v>
      </c>
      <c r="AF2369" s="585"/>
      <c r="AG2369" s="585">
        <v>0</v>
      </c>
      <c r="AH2369" s="571">
        <v>20195000</v>
      </c>
      <c r="AI2369" s="578"/>
      <c r="AJ2369" s="578"/>
      <c r="AL2369" s="468"/>
    </row>
    <row r="2370" spans="1:38" s="396" customFormat="1" ht="121.5" outlineLevel="2" x14ac:dyDescent="0.3">
      <c r="A2370" s="447">
        <v>201</v>
      </c>
      <c r="B2370" s="572" t="s">
        <v>1546</v>
      </c>
      <c r="C2370" s="572"/>
      <c r="D2370" s="612"/>
      <c r="E2370" s="612"/>
      <c r="F2370" s="586" t="s">
        <v>2895</v>
      </c>
      <c r="G2370" s="709">
        <v>20.6</v>
      </c>
      <c r="H2370" s="546" t="s">
        <v>2899</v>
      </c>
      <c r="I2370" s="563">
        <v>554400</v>
      </c>
      <c r="J2370" s="563">
        <v>0</v>
      </c>
      <c r="K2370" s="564">
        <v>11421000</v>
      </c>
      <c r="L2370" s="564">
        <v>0</v>
      </c>
      <c r="M2370" s="572"/>
      <c r="N2370" s="572"/>
      <c r="O2370" s="740"/>
      <c r="P2370" s="564" t="s">
        <v>25</v>
      </c>
      <c r="Q2370" s="564" t="s">
        <v>25</v>
      </c>
      <c r="R2370" s="566" t="s">
        <v>2148</v>
      </c>
      <c r="S2370" s="609" t="s">
        <v>1133</v>
      </c>
      <c r="T2370" s="741">
        <v>21</v>
      </c>
      <c r="U2370" s="586"/>
      <c r="V2370" s="564">
        <v>211811</v>
      </c>
      <c r="W2370" s="564">
        <v>4448000</v>
      </c>
      <c r="X2370" s="650"/>
      <c r="Y2370" s="586"/>
      <c r="Z2370" s="742"/>
      <c r="AA2370" s="586"/>
      <c r="AB2370" s="586"/>
      <c r="AC2370" s="586"/>
      <c r="AD2370" s="586"/>
      <c r="AE2370" s="714"/>
      <c r="AF2370" s="570" t="s">
        <v>2899</v>
      </c>
      <c r="AG2370" s="570"/>
      <c r="AH2370" s="571" t="s">
        <v>25</v>
      </c>
      <c r="AI2370" s="586" t="s">
        <v>1545</v>
      </c>
      <c r="AJ2370" s="586" t="s">
        <v>2771</v>
      </c>
      <c r="AL2370" s="380" t="s">
        <v>2160</v>
      </c>
    </row>
    <row r="2371" spans="1:38" s="394" customFormat="1" ht="121.5" outlineLevel="2" x14ac:dyDescent="0.3">
      <c r="A2371" s="447">
        <v>201</v>
      </c>
      <c r="B2371" s="572" t="s">
        <v>1650</v>
      </c>
      <c r="C2371" s="572"/>
      <c r="D2371" s="612"/>
      <c r="E2371" s="612"/>
      <c r="F2371" s="586"/>
      <c r="G2371" s="709"/>
      <c r="H2371" s="546"/>
      <c r="I2371" s="563" t="s">
        <v>25</v>
      </c>
      <c r="J2371" s="563" t="s">
        <v>25</v>
      </c>
      <c r="K2371" s="564" t="s">
        <v>25</v>
      </c>
      <c r="L2371" s="564" t="s">
        <v>25</v>
      </c>
      <c r="M2371" s="572"/>
      <c r="N2371" s="572"/>
      <c r="O2371" s="740"/>
      <c r="P2371" s="564" t="s">
        <v>25</v>
      </c>
      <c r="Q2371" s="564" t="s">
        <v>25</v>
      </c>
      <c r="R2371" s="566" t="s">
        <v>2402</v>
      </c>
      <c r="S2371" s="609" t="s">
        <v>1133</v>
      </c>
      <c r="T2371" s="741">
        <v>9.8000000000000007</v>
      </c>
      <c r="U2371" s="586"/>
      <c r="V2371" s="564">
        <v>441467</v>
      </c>
      <c r="W2371" s="564">
        <v>4326000</v>
      </c>
      <c r="X2371" s="650"/>
      <c r="Y2371" s="586"/>
      <c r="Z2371" s="742"/>
      <c r="AA2371" s="586"/>
      <c r="AB2371" s="586"/>
      <c r="AC2371" s="586"/>
      <c r="AD2371" s="586"/>
      <c r="AE2371" s="714"/>
      <c r="AF2371" s="570" t="s">
        <v>2899</v>
      </c>
      <c r="AG2371" s="570" t="s">
        <v>25</v>
      </c>
      <c r="AH2371" s="571" t="s">
        <v>25</v>
      </c>
      <c r="AI2371" s="586" t="s">
        <v>1548</v>
      </c>
      <c r="AJ2371" s="558" t="s">
        <v>2450</v>
      </c>
    </row>
    <row r="2372" spans="1:38" s="394" customFormat="1" ht="101.25" outlineLevel="2" x14ac:dyDescent="0.3">
      <c r="A2372" s="447">
        <v>201</v>
      </c>
      <c r="B2372" s="572"/>
      <c r="C2372" s="572"/>
      <c r="D2372" s="612"/>
      <c r="E2372" s="612"/>
      <c r="F2372" s="586"/>
      <c r="G2372" s="709"/>
      <c r="H2372" s="546"/>
      <c r="I2372" s="563" t="s">
        <v>25</v>
      </c>
      <c r="J2372" s="563" t="s">
        <v>25</v>
      </c>
      <c r="K2372" s="564" t="s">
        <v>25</v>
      </c>
      <c r="L2372" s="564" t="s">
        <v>25</v>
      </c>
      <c r="M2372" s="572"/>
      <c r="N2372" s="572"/>
      <c r="O2372" s="740"/>
      <c r="P2372" s="564" t="s">
        <v>25</v>
      </c>
      <c r="Q2372" s="564" t="s">
        <v>25</v>
      </c>
      <c r="R2372" s="566"/>
      <c r="S2372" s="609"/>
      <c r="T2372" s="741"/>
      <c r="U2372" s="586"/>
      <c r="V2372" s="564" t="s">
        <v>2899</v>
      </c>
      <c r="W2372" s="564" t="s">
        <v>25</v>
      </c>
      <c r="X2372" s="650"/>
      <c r="Y2372" s="586"/>
      <c r="Z2372" s="742"/>
      <c r="AA2372" s="586"/>
      <c r="AB2372" s="586"/>
      <c r="AC2372" s="586"/>
      <c r="AD2372" s="586"/>
      <c r="AE2372" s="714"/>
      <c r="AF2372" s="570" t="s">
        <v>2899</v>
      </c>
      <c r="AG2372" s="570" t="s">
        <v>25</v>
      </c>
      <c r="AH2372" s="571" t="s">
        <v>25</v>
      </c>
      <c r="AI2372" s="586"/>
      <c r="AJ2372" s="586" t="s">
        <v>2800</v>
      </c>
    </row>
    <row r="2373" spans="1:38" s="394" customFormat="1" ht="20.25" outlineLevel="2" x14ac:dyDescent="0.3">
      <c r="A2373" s="447">
        <v>201</v>
      </c>
      <c r="B2373" s="572"/>
      <c r="C2373" s="572"/>
      <c r="D2373" s="612"/>
      <c r="E2373" s="612"/>
      <c r="F2373" s="586"/>
      <c r="G2373" s="709"/>
      <c r="H2373" s="546"/>
      <c r="I2373" s="563" t="s">
        <v>25</v>
      </c>
      <c r="J2373" s="563" t="s">
        <v>25</v>
      </c>
      <c r="K2373" s="564" t="s">
        <v>25</v>
      </c>
      <c r="L2373" s="564" t="s">
        <v>25</v>
      </c>
      <c r="M2373" s="572"/>
      <c r="N2373" s="572"/>
      <c r="O2373" s="740"/>
      <c r="P2373" s="564" t="s">
        <v>25</v>
      </c>
      <c r="Q2373" s="564" t="s">
        <v>25</v>
      </c>
      <c r="R2373" s="566"/>
      <c r="S2373" s="609"/>
      <c r="T2373" s="741"/>
      <c r="U2373" s="586"/>
      <c r="V2373" s="564" t="s">
        <v>2899</v>
      </c>
      <c r="W2373" s="564" t="s">
        <v>25</v>
      </c>
      <c r="X2373" s="650"/>
      <c r="Y2373" s="586"/>
      <c r="Z2373" s="742"/>
      <c r="AA2373" s="586"/>
      <c r="AB2373" s="586"/>
      <c r="AC2373" s="586"/>
      <c r="AD2373" s="586"/>
      <c r="AE2373" s="714"/>
      <c r="AF2373" s="570" t="s">
        <v>2899</v>
      </c>
      <c r="AG2373" s="570" t="s">
        <v>25</v>
      </c>
      <c r="AH2373" s="571" t="s">
        <v>25</v>
      </c>
      <c r="AI2373" s="731"/>
      <c r="AJ2373" s="586"/>
    </row>
    <row r="2374" spans="1:38" s="394" customFormat="1" ht="20.25" outlineLevel="2" x14ac:dyDescent="0.3">
      <c r="A2374" s="447">
        <v>201</v>
      </c>
      <c r="B2374" s="607"/>
      <c r="C2374" s="607"/>
      <c r="D2374" s="642"/>
      <c r="E2374" s="642"/>
      <c r="F2374" s="586"/>
      <c r="G2374" s="709"/>
      <c r="H2374" s="546"/>
      <c r="I2374" s="563" t="s">
        <v>25</v>
      </c>
      <c r="J2374" s="563" t="s">
        <v>25</v>
      </c>
      <c r="K2374" s="564" t="s">
        <v>25</v>
      </c>
      <c r="L2374" s="564" t="s">
        <v>25</v>
      </c>
      <c r="M2374" s="572"/>
      <c r="N2374" s="572"/>
      <c r="O2374" s="740"/>
      <c r="P2374" s="564" t="s">
        <v>25</v>
      </c>
      <c r="Q2374" s="564" t="s">
        <v>25</v>
      </c>
      <c r="R2374" s="566"/>
      <c r="S2374" s="609"/>
      <c r="T2374" s="741"/>
      <c r="U2374" s="586"/>
      <c r="V2374" s="564" t="s">
        <v>2899</v>
      </c>
      <c r="W2374" s="564" t="s">
        <v>25</v>
      </c>
      <c r="X2374" s="650"/>
      <c r="Y2374" s="586"/>
      <c r="Z2374" s="742"/>
      <c r="AA2374" s="586"/>
      <c r="AB2374" s="586"/>
      <c r="AC2374" s="586"/>
      <c r="AD2374" s="586"/>
      <c r="AE2374" s="714"/>
      <c r="AF2374" s="570" t="s">
        <v>2899</v>
      </c>
      <c r="AG2374" s="570" t="s">
        <v>25</v>
      </c>
      <c r="AH2374" s="571" t="s">
        <v>25</v>
      </c>
      <c r="AI2374" s="586"/>
      <c r="AJ2374" s="586"/>
    </row>
    <row r="2375" spans="1:38" s="394" customFormat="1" ht="40.5" outlineLevel="1" x14ac:dyDescent="0.25">
      <c r="A2375" s="467">
        <v>202</v>
      </c>
      <c r="B2375" s="607" t="s">
        <v>1549</v>
      </c>
      <c r="C2375" s="586" t="s">
        <v>2903</v>
      </c>
      <c r="D2375" s="612">
        <v>86</v>
      </c>
      <c r="E2375" s="612">
        <v>225</v>
      </c>
      <c r="F2375" s="578"/>
      <c r="G2375" s="707">
        <v>95</v>
      </c>
      <c r="H2375" s="579">
        <v>95</v>
      </c>
      <c r="I2375" s="581"/>
      <c r="J2375" s="581"/>
      <c r="K2375" s="571">
        <v>44232000</v>
      </c>
      <c r="L2375" s="571">
        <v>132696000</v>
      </c>
      <c r="M2375" s="607"/>
      <c r="N2375" s="607"/>
      <c r="O2375" s="738">
        <v>0</v>
      </c>
      <c r="P2375" s="571"/>
      <c r="Q2375" s="571">
        <v>0</v>
      </c>
      <c r="R2375" s="582"/>
      <c r="S2375" s="621"/>
      <c r="T2375" s="739">
        <v>0</v>
      </c>
      <c r="U2375" s="578"/>
      <c r="V2375" s="571"/>
      <c r="W2375" s="571">
        <v>0</v>
      </c>
      <c r="X2375" s="650"/>
      <c r="Y2375" s="586"/>
      <c r="Z2375" s="742"/>
      <c r="AA2375" s="586"/>
      <c r="AB2375" s="586"/>
      <c r="AC2375" s="586"/>
      <c r="AD2375" s="578"/>
      <c r="AE2375" s="712">
        <f>SUBTOTAL(9,AE2376:AE2380)</f>
        <v>0</v>
      </c>
      <c r="AF2375" s="585"/>
      <c r="AG2375" s="585">
        <v>0</v>
      </c>
      <c r="AH2375" s="571">
        <v>176928000</v>
      </c>
      <c r="AI2375" s="578"/>
      <c r="AJ2375" s="578"/>
    </row>
    <row r="2376" spans="1:38" s="394" customFormat="1" ht="121.5" outlineLevel="2" x14ac:dyDescent="0.3">
      <c r="A2376" s="447">
        <v>202</v>
      </c>
      <c r="B2376" s="572" t="s">
        <v>1551</v>
      </c>
      <c r="C2376" s="572"/>
      <c r="D2376" s="612"/>
      <c r="E2376" s="612"/>
      <c r="F2376" s="586" t="s">
        <v>2868</v>
      </c>
      <c r="G2376" s="709">
        <v>95</v>
      </c>
      <c r="H2376" s="546">
        <v>95</v>
      </c>
      <c r="I2376" s="563">
        <v>465600</v>
      </c>
      <c r="J2376" s="563">
        <v>1396800</v>
      </c>
      <c r="K2376" s="564">
        <v>44232000</v>
      </c>
      <c r="L2376" s="564">
        <v>132696000</v>
      </c>
      <c r="M2376" s="572"/>
      <c r="N2376" s="572"/>
      <c r="O2376" s="740"/>
      <c r="P2376" s="564" t="s">
        <v>25</v>
      </c>
      <c r="Q2376" s="564" t="s">
        <v>25</v>
      </c>
      <c r="R2376" s="566"/>
      <c r="S2376" s="609"/>
      <c r="T2376" s="741"/>
      <c r="U2376" s="586"/>
      <c r="V2376" s="564" t="s">
        <v>2899</v>
      </c>
      <c r="W2376" s="564" t="s">
        <v>25</v>
      </c>
      <c r="X2376" s="650"/>
      <c r="Y2376" s="586"/>
      <c r="Z2376" s="742"/>
      <c r="AA2376" s="586"/>
      <c r="AB2376" s="586"/>
      <c r="AC2376" s="586"/>
      <c r="AD2376" s="586"/>
      <c r="AE2376" s="714"/>
      <c r="AF2376" s="570" t="s">
        <v>2899</v>
      </c>
      <c r="AG2376" s="570"/>
      <c r="AH2376" s="571" t="s">
        <v>25</v>
      </c>
      <c r="AI2376" s="586" t="s">
        <v>1550</v>
      </c>
      <c r="AJ2376" s="586" t="s">
        <v>2771</v>
      </c>
    </row>
    <row r="2377" spans="1:38" s="394" customFormat="1" ht="81" outlineLevel="2" x14ac:dyDescent="0.3">
      <c r="A2377" s="447">
        <v>202</v>
      </c>
      <c r="B2377" s="572" t="s">
        <v>1651</v>
      </c>
      <c r="C2377" s="572"/>
      <c r="D2377" s="612"/>
      <c r="E2377" s="612"/>
      <c r="F2377" s="586"/>
      <c r="G2377" s="709"/>
      <c r="H2377" s="546"/>
      <c r="I2377" s="563" t="s">
        <v>25</v>
      </c>
      <c r="J2377" s="563" t="s">
        <v>25</v>
      </c>
      <c r="K2377" s="564" t="s">
        <v>25</v>
      </c>
      <c r="L2377" s="564" t="s">
        <v>25</v>
      </c>
      <c r="M2377" s="572"/>
      <c r="N2377" s="572"/>
      <c r="O2377" s="740"/>
      <c r="P2377" s="564" t="s">
        <v>25</v>
      </c>
      <c r="Q2377" s="564" t="s">
        <v>25</v>
      </c>
      <c r="R2377" s="566"/>
      <c r="S2377" s="609"/>
      <c r="T2377" s="741"/>
      <c r="U2377" s="586"/>
      <c r="V2377" s="564" t="s">
        <v>2899</v>
      </c>
      <c r="W2377" s="564" t="s">
        <v>25</v>
      </c>
      <c r="X2377" s="650"/>
      <c r="Y2377" s="586"/>
      <c r="Z2377" s="742"/>
      <c r="AA2377" s="586"/>
      <c r="AB2377" s="586"/>
      <c r="AC2377" s="586"/>
      <c r="AD2377" s="586"/>
      <c r="AE2377" s="714"/>
      <c r="AF2377" s="570" t="s">
        <v>2899</v>
      </c>
      <c r="AG2377" s="570" t="s">
        <v>25</v>
      </c>
      <c r="AH2377" s="571" t="s">
        <v>25</v>
      </c>
      <c r="AI2377" s="586" t="s">
        <v>1552</v>
      </c>
      <c r="AJ2377" s="605" t="s">
        <v>2448</v>
      </c>
    </row>
    <row r="2378" spans="1:38" s="394" customFormat="1" ht="60.75" outlineLevel="2" x14ac:dyDescent="0.3">
      <c r="A2378" s="447">
        <v>202</v>
      </c>
      <c r="B2378" s="572"/>
      <c r="C2378" s="572"/>
      <c r="D2378" s="612"/>
      <c r="E2378" s="612"/>
      <c r="F2378" s="586"/>
      <c r="G2378" s="709"/>
      <c r="H2378" s="546"/>
      <c r="I2378" s="563" t="s">
        <v>25</v>
      </c>
      <c r="J2378" s="563" t="s">
        <v>25</v>
      </c>
      <c r="K2378" s="564" t="s">
        <v>25</v>
      </c>
      <c r="L2378" s="564" t="s">
        <v>25</v>
      </c>
      <c r="M2378" s="572"/>
      <c r="N2378" s="572"/>
      <c r="O2378" s="740"/>
      <c r="P2378" s="564" t="s">
        <v>25</v>
      </c>
      <c r="Q2378" s="564" t="s">
        <v>25</v>
      </c>
      <c r="R2378" s="566"/>
      <c r="S2378" s="609"/>
      <c r="T2378" s="741"/>
      <c r="U2378" s="586"/>
      <c r="V2378" s="564" t="s">
        <v>2899</v>
      </c>
      <c r="W2378" s="564" t="s">
        <v>25</v>
      </c>
      <c r="X2378" s="650"/>
      <c r="Y2378" s="586"/>
      <c r="Z2378" s="742"/>
      <c r="AA2378" s="586"/>
      <c r="AB2378" s="586"/>
      <c r="AC2378" s="586"/>
      <c r="AD2378" s="586"/>
      <c r="AE2378" s="714"/>
      <c r="AF2378" s="570" t="s">
        <v>2899</v>
      </c>
      <c r="AG2378" s="570" t="s">
        <v>25</v>
      </c>
      <c r="AH2378" s="571" t="s">
        <v>25</v>
      </c>
      <c r="AI2378" s="586" t="s">
        <v>2074</v>
      </c>
      <c r="AJ2378" s="586"/>
    </row>
    <row r="2379" spans="1:38" s="394" customFormat="1" ht="20.25" outlineLevel="2" x14ac:dyDescent="0.3">
      <c r="A2379" s="447">
        <v>202</v>
      </c>
      <c r="B2379" s="607"/>
      <c r="C2379" s="607"/>
      <c r="D2379" s="612"/>
      <c r="E2379" s="612"/>
      <c r="F2379" s="586"/>
      <c r="G2379" s="709"/>
      <c r="H2379" s="546"/>
      <c r="I2379" s="563" t="s">
        <v>25</v>
      </c>
      <c r="J2379" s="563" t="s">
        <v>25</v>
      </c>
      <c r="K2379" s="564" t="s">
        <v>25</v>
      </c>
      <c r="L2379" s="564" t="s">
        <v>25</v>
      </c>
      <c r="M2379" s="572"/>
      <c r="N2379" s="572"/>
      <c r="O2379" s="740"/>
      <c r="P2379" s="564" t="s">
        <v>25</v>
      </c>
      <c r="Q2379" s="564" t="s">
        <v>25</v>
      </c>
      <c r="R2379" s="566"/>
      <c r="S2379" s="609"/>
      <c r="T2379" s="741"/>
      <c r="U2379" s="586"/>
      <c r="V2379" s="564" t="s">
        <v>2899</v>
      </c>
      <c r="W2379" s="564" t="s">
        <v>25</v>
      </c>
      <c r="X2379" s="650"/>
      <c r="Y2379" s="586"/>
      <c r="Z2379" s="742"/>
      <c r="AA2379" s="586"/>
      <c r="AB2379" s="586"/>
      <c r="AC2379" s="586"/>
      <c r="AD2379" s="586"/>
      <c r="AE2379" s="714"/>
      <c r="AF2379" s="570" t="s">
        <v>2899</v>
      </c>
      <c r="AG2379" s="570" t="s">
        <v>25</v>
      </c>
      <c r="AH2379" s="571" t="s">
        <v>25</v>
      </c>
      <c r="AI2379" s="731"/>
      <c r="AJ2379" s="586"/>
    </row>
    <row r="2380" spans="1:38" s="394" customFormat="1" ht="20.25" outlineLevel="2" x14ac:dyDescent="0.3">
      <c r="A2380" s="447">
        <v>202</v>
      </c>
      <c r="B2380" s="607"/>
      <c r="C2380" s="607"/>
      <c r="D2380" s="642"/>
      <c r="E2380" s="642"/>
      <c r="F2380" s="586"/>
      <c r="G2380" s="709"/>
      <c r="H2380" s="546"/>
      <c r="I2380" s="563" t="s">
        <v>25</v>
      </c>
      <c r="J2380" s="563" t="s">
        <v>25</v>
      </c>
      <c r="K2380" s="564" t="s">
        <v>25</v>
      </c>
      <c r="L2380" s="564" t="s">
        <v>25</v>
      </c>
      <c r="M2380" s="572"/>
      <c r="N2380" s="572"/>
      <c r="O2380" s="740"/>
      <c r="P2380" s="564" t="s">
        <v>25</v>
      </c>
      <c r="Q2380" s="564" t="s">
        <v>25</v>
      </c>
      <c r="R2380" s="566"/>
      <c r="S2380" s="609"/>
      <c r="T2380" s="741"/>
      <c r="U2380" s="586"/>
      <c r="V2380" s="564" t="s">
        <v>2899</v>
      </c>
      <c r="W2380" s="564" t="s">
        <v>25</v>
      </c>
      <c r="X2380" s="650"/>
      <c r="Y2380" s="586"/>
      <c r="Z2380" s="742"/>
      <c r="AA2380" s="586"/>
      <c r="AB2380" s="586"/>
      <c r="AC2380" s="586"/>
      <c r="AD2380" s="586"/>
      <c r="AE2380" s="714"/>
      <c r="AF2380" s="570" t="s">
        <v>2899</v>
      </c>
      <c r="AG2380" s="570" t="s">
        <v>25</v>
      </c>
      <c r="AH2380" s="571" t="s">
        <v>25</v>
      </c>
      <c r="AI2380" s="586"/>
      <c r="AJ2380" s="586"/>
    </row>
    <row r="2381" spans="1:38" s="394" customFormat="1" ht="60.75" outlineLevel="1" x14ac:dyDescent="0.25">
      <c r="A2381" s="467">
        <v>203</v>
      </c>
      <c r="B2381" s="607" t="s">
        <v>2053</v>
      </c>
      <c r="C2381" s="586" t="s">
        <v>2903</v>
      </c>
      <c r="D2381" s="612">
        <v>86</v>
      </c>
      <c r="E2381" s="612">
        <v>221</v>
      </c>
      <c r="F2381" s="578"/>
      <c r="G2381" s="707">
        <v>95</v>
      </c>
      <c r="H2381" s="579">
        <v>0</v>
      </c>
      <c r="I2381" s="581"/>
      <c r="J2381" s="581"/>
      <c r="K2381" s="571">
        <v>44232000</v>
      </c>
      <c r="L2381" s="571">
        <v>0</v>
      </c>
      <c r="M2381" s="607"/>
      <c r="N2381" s="607"/>
      <c r="O2381" s="738">
        <v>0</v>
      </c>
      <c r="P2381" s="571"/>
      <c r="Q2381" s="571">
        <v>0</v>
      </c>
      <c r="R2381" s="582"/>
      <c r="S2381" s="621"/>
      <c r="T2381" s="739">
        <v>0</v>
      </c>
      <c r="U2381" s="578"/>
      <c r="V2381" s="571"/>
      <c r="W2381" s="571">
        <v>0</v>
      </c>
      <c r="X2381" s="650"/>
      <c r="Y2381" s="586"/>
      <c r="Z2381" s="742"/>
      <c r="AA2381" s="586"/>
      <c r="AB2381" s="586"/>
      <c r="AC2381" s="586"/>
      <c r="AD2381" s="578"/>
      <c r="AE2381" s="712">
        <f>SUBTOTAL(9,AE2382:AE2386)</f>
        <v>0</v>
      </c>
      <c r="AF2381" s="585"/>
      <c r="AG2381" s="585">
        <v>0</v>
      </c>
      <c r="AH2381" s="571">
        <v>44232000</v>
      </c>
      <c r="AI2381" s="578"/>
      <c r="AJ2381" s="578"/>
    </row>
    <row r="2382" spans="1:38" s="394" customFormat="1" ht="121.5" outlineLevel="2" x14ac:dyDescent="0.3">
      <c r="A2382" s="447">
        <v>203</v>
      </c>
      <c r="B2382" s="572"/>
      <c r="C2382" s="572"/>
      <c r="D2382" s="612"/>
      <c r="E2382" s="612"/>
      <c r="F2382" s="586" t="s">
        <v>2856</v>
      </c>
      <c r="G2382" s="709">
        <v>95</v>
      </c>
      <c r="H2382" s="546" t="s">
        <v>2899</v>
      </c>
      <c r="I2382" s="563">
        <v>465600</v>
      </c>
      <c r="J2382" s="563">
        <v>0</v>
      </c>
      <c r="K2382" s="564">
        <v>44232000</v>
      </c>
      <c r="L2382" s="564">
        <v>0</v>
      </c>
      <c r="M2382" s="572"/>
      <c r="N2382" s="572"/>
      <c r="O2382" s="740"/>
      <c r="P2382" s="564" t="s">
        <v>25</v>
      </c>
      <c r="Q2382" s="564" t="s">
        <v>25</v>
      </c>
      <c r="R2382" s="566"/>
      <c r="S2382" s="609"/>
      <c r="T2382" s="741"/>
      <c r="U2382" s="586"/>
      <c r="V2382" s="564" t="s">
        <v>2899</v>
      </c>
      <c r="W2382" s="564" t="s">
        <v>25</v>
      </c>
      <c r="X2382" s="650"/>
      <c r="Y2382" s="586"/>
      <c r="Z2382" s="742"/>
      <c r="AA2382" s="586"/>
      <c r="AB2382" s="586"/>
      <c r="AC2382" s="586"/>
      <c r="AD2382" s="586"/>
      <c r="AE2382" s="714"/>
      <c r="AF2382" s="570" t="s">
        <v>2899</v>
      </c>
      <c r="AG2382" s="570" t="s">
        <v>25</v>
      </c>
      <c r="AH2382" s="571" t="s">
        <v>25</v>
      </c>
      <c r="AI2382" s="586"/>
      <c r="AJ2382" s="586" t="s">
        <v>2771</v>
      </c>
    </row>
    <row r="2383" spans="1:38" s="394" customFormat="1" ht="20.25" outlineLevel="2" x14ac:dyDescent="0.3">
      <c r="A2383" s="447">
        <v>203</v>
      </c>
      <c r="B2383" s="572"/>
      <c r="C2383" s="572"/>
      <c r="D2383" s="612"/>
      <c r="E2383" s="612"/>
      <c r="F2383" s="586"/>
      <c r="G2383" s="709"/>
      <c r="H2383" s="546"/>
      <c r="I2383" s="563" t="s">
        <v>25</v>
      </c>
      <c r="J2383" s="563" t="s">
        <v>25</v>
      </c>
      <c r="K2383" s="564" t="s">
        <v>25</v>
      </c>
      <c r="L2383" s="564" t="s">
        <v>25</v>
      </c>
      <c r="M2383" s="572"/>
      <c r="N2383" s="572"/>
      <c r="O2383" s="740"/>
      <c r="P2383" s="564" t="s">
        <v>25</v>
      </c>
      <c r="Q2383" s="564" t="s">
        <v>25</v>
      </c>
      <c r="R2383" s="566"/>
      <c r="S2383" s="609"/>
      <c r="T2383" s="741"/>
      <c r="U2383" s="586"/>
      <c r="V2383" s="564" t="s">
        <v>2899</v>
      </c>
      <c r="W2383" s="564" t="s">
        <v>25</v>
      </c>
      <c r="X2383" s="650"/>
      <c r="Y2383" s="586"/>
      <c r="Z2383" s="742"/>
      <c r="AA2383" s="586"/>
      <c r="AB2383" s="586"/>
      <c r="AC2383" s="586"/>
      <c r="AD2383" s="586"/>
      <c r="AE2383" s="714"/>
      <c r="AF2383" s="570" t="s">
        <v>2899</v>
      </c>
      <c r="AG2383" s="570" t="s">
        <v>25</v>
      </c>
      <c r="AH2383" s="571" t="s">
        <v>25</v>
      </c>
      <c r="AI2383" s="586"/>
      <c r="AJ2383" s="586"/>
    </row>
    <row r="2384" spans="1:38" s="394" customFormat="1" ht="20.25" outlineLevel="2" x14ac:dyDescent="0.3">
      <c r="A2384" s="447">
        <v>203</v>
      </c>
      <c r="B2384" s="572"/>
      <c r="C2384" s="572"/>
      <c r="D2384" s="612"/>
      <c r="E2384" s="612"/>
      <c r="F2384" s="586"/>
      <c r="G2384" s="709"/>
      <c r="H2384" s="546"/>
      <c r="I2384" s="563" t="s">
        <v>25</v>
      </c>
      <c r="J2384" s="563" t="s">
        <v>25</v>
      </c>
      <c r="K2384" s="564" t="s">
        <v>25</v>
      </c>
      <c r="L2384" s="564" t="s">
        <v>25</v>
      </c>
      <c r="M2384" s="572"/>
      <c r="N2384" s="572"/>
      <c r="O2384" s="740"/>
      <c r="P2384" s="564" t="s">
        <v>25</v>
      </c>
      <c r="Q2384" s="564" t="s">
        <v>25</v>
      </c>
      <c r="R2384" s="566"/>
      <c r="S2384" s="609"/>
      <c r="T2384" s="741"/>
      <c r="U2384" s="586"/>
      <c r="V2384" s="564" t="s">
        <v>2899</v>
      </c>
      <c r="W2384" s="564" t="s">
        <v>25</v>
      </c>
      <c r="X2384" s="650"/>
      <c r="Y2384" s="586"/>
      <c r="Z2384" s="742"/>
      <c r="AA2384" s="586"/>
      <c r="AB2384" s="586"/>
      <c r="AC2384" s="586"/>
      <c r="AD2384" s="586"/>
      <c r="AE2384" s="714"/>
      <c r="AF2384" s="570" t="s">
        <v>2899</v>
      </c>
      <c r="AG2384" s="570" t="s">
        <v>25</v>
      </c>
      <c r="AH2384" s="571" t="s">
        <v>25</v>
      </c>
      <c r="AI2384" s="586"/>
      <c r="AJ2384" s="586"/>
    </row>
    <row r="2385" spans="1:36" s="394" customFormat="1" ht="20.25" outlineLevel="2" x14ac:dyDescent="0.3">
      <c r="A2385" s="447">
        <v>203</v>
      </c>
      <c r="B2385" s="572"/>
      <c r="C2385" s="572"/>
      <c r="D2385" s="612"/>
      <c r="E2385" s="612"/>
      <c r="F2385" s="586"/>
      <c r="G2385" s="709"/>
      <c r="H2385" s="546"/>
      <c r="I2385" s="563" t="s">
        <v>25</v>
      </c>
      <c r="J2385" s="563" t="s">
        <v>25</v>
      </c>
      <c r="K2385" s="564" t="s">
        <v>25</v>
      </c>
      <c r="L2385" s="564" t="s">
        <v>25</v>
      </c>
      <c r="M2385" s="572"/>
      <c r="N2385" s="572"/>
      <c r="O2385" s="740"/>
      <c r="P2385" s="564" t="s">
        <v>25</v>
      </c>
      <c r="Q2385" s="564" t="s">
        <v>25</v>
      </c>
      <c r="R2385" s="566"/>
      <c r="S2385" s="609"/>
      <c r="T2385" s="741"/>
      <c r="U2385" s="586"/>
      <c r="V2385" s="564" t="s">
        <v>2899</v>
      </c>
      <c r="W2385" s="564" t="s">
        <v>25</v>
      </c>
      <c r="X2385" s="650"/>
      <c r="Y2385" s="586"/>
      <c r="Z2385" s="742"/>
      <c r="AA2385" s="586"/>
      <c r="AB2385" s="586"/>
      <c r="AC2385" s="586"/>
      <c r="AD2385" s="586"/>
      <c r="AE2385" s="714"/>
      <c r="AF2385" s="570" t="s">
        <v>2899</v>
      </c>
      <c r="AG2385" s="570" t="s">
        <v>25</v>
      </c>
      <c r="AH2385" s="571" t="s">
        <v>25</v>
      </c>
      <c r="AI2385" s="586"/>
      <c r="AJ2385" s="586"/>
    </row>
    <row r="2386" spans="1:36" s="394" customFormat="1" ht="20.25" outlineLevel="2" x14ac:dyDescent="0.3">
      <c r="A2386" s="447">
        <v>203</v>
      </c>
      <c r="B2386" s="607"/>
      <c r="C2386" s="607"/>
      <c r="D2386" s="642"/>
      <c r="E2386" s="642"/>
      <c r="F2386" s="586"/>
      <c r="G2386" s="709"/>
      <c r="H2386" s="546"/>
      <c r="I2386" s="563" t="s">
        <v>25</v>
      </c>
      <c r="J2386" s="563" t="s">
        <v>25</v>
      </c>
      <c r="K2386" s="564" t="s">
        <v>25</v>
      </c>
      <c r="L2386" s="564" t="s">
        <v>25</v>
      </c>
      <c r="M2386" s="572"/>
      <c r="N2386" s="572"/>
      <c r="O2386" s="740"/>
      <c r="P2386" s="564" t="s">
        <v>25</v>
      </c>
      <c r="Q2386" s="564" t="s">
        <v>25</v>
      </c>
      <c r="R2386" s="566"/>
      <c r="S2386" s="609"/>
      <c r="T2386" s="741"/>
      <c r="U2386" s="586"/>
      <c r="V2386" s="564" t="s">
        <v>2899</v>
      </c>
      <c r="W2386" s="564" t="s">
        <v>25</v>
      </c>
      <c r="X2386" s="650"/>
      <c r="Y2386" s="586"/>
      <c r="Z2386" s="742"/>
      <c r="AA2386" s="586"/>
      <c r="AB2386" s="586"/>
      <c r="AC2386" s="586"/>
      <c r="AD2386" s="586"/>
      <c r="AE2386" s="714"/>
      <c r="AF2386" s="570" t="s">
        <v>2899</v>
      </c>
      <c r="AG2386" s="570" t="s">
        <v>25</v>
      </c>
      <c r="AH2386" s="571" t="s">
        <v>25</v>
      </c>
      <c r="AI2386" s="586"/>
      <c r="AJ2386" s="586"/>
    </row>
    <row r="2387" spans="1:36" s="394" customFormat="1" ht="40.5" outlineLevel="1" x14ac:dyDescent="0.25">
      <c r="A2387" s="467">
        <v>204</v>
      </c>
      <c r="B2387" s="607" t="s">
        <v>2054</v>
      </c>
      <c r="C2387" s="586" t="s">
        <v>2903</v>
      </c>
      <c r="D2387" s="612">
        <v>86</v>
      </c>
      <c r="E2387" s="612">
        <v>223</v>
      </c>
      <c r="F2387" s="578"/>
      <c r="G2387" s="707">
        <v>95</v>
      </c>
      <c r="H2387" s="579">
        <v>0</v>
      </c>
      <c r="I2387" s="581"/>
      <c r="J2387" s="581"/>
      <c r="K2387" s="571">
        <v>44232000</v>
      </c>
      <c r="L2387" s="571">
        <v>0</v>
      </c>
      <c r="M2387" s="607"/>
      <c r="N2387" s="607"/>
      <c r="O2387" s="738">
        <v>0</v>
      </c>
      <c r="P2387" s="571"/>
      <c r="Q2387" s="571">
        <v>0</v>
      </c>
      <c r="R2387" s="582"/>
      <c r="S2387" s="621"/>
      <c r="T2387" s="739">
        <v>0</v>
      </c>
      <c r="U2387" s="578"/>
      <c r="V2387" s="571"/>
      <c r="W2387" s="571">
        <v>0</v>
      </c>
      <c r="X2387" s="650"/>
      <c r="Y2387" s="586"/>
      <c r="Z2387" s="742"/>
      <c r="AA2387" s="586"/>
      <c r="AB2387" s="586"/>
      <c r="AC2387" s="586"/>
      <c r="AD2387" s="578"/>
      <c r="AE2387" s="712">
        <f>SUBTOTAL(9,AE2388:AE2392)</f>
        <v>0</v>
      </c>
      <c r="AF2387" s="585"/>
      <c r="AG2387" s="585">
        <v>0</v>
      </c>
      <c r="AH2387" s="571">
        <v>44232000</v>
      </c>
      <c r="AI2387" s="578"/>
      <c r="AJ2387" s="578"/>
    </row>
    <row r="2388" spans="1:36" s="394" customFormat="1" ht="121.5" outlineLevel="2" x14ac:dyDescent="0.3">
      <c r="A2388" s="447">
        <v>204</v>
      </c>
      <c r="B2388" s="572"/>
      <c r="C2388" s="572"/>
      <c r="D2388" s="612"/>
      <c r="E2388" s="612"/>
      <c r="F2388" s="586" t="s">
        <v>2856</v>
      </c>
      <c r="G2388" s="709">
        <v>95</v>
      </c>
      <c r="H2388" s="546" t="s">
        <v>2899</v>
      </c>
      <c r="I2388" s="563">
        <v>465600</v>
      </c>
      <c r="J2388" s="563">
        <v>0</v>
      </c>
      <c r="K2388" s="564">
        <v>44232000</v>
      </c>
      <c r="L2388" s="564">
        <v>0</v>
      </c>
      <c r="M2388" s="572"/>
      <c r="N2388" s="572"/>
      <c r="O2388" s="740"/>
      <c r="P2388" s="564" t="s">
        <v>25</v>
      </c>
      <c r="Q2388" s="564" t="s">
        <v>25</v>
      </c>
      <c r="R2388" s="566"/>
      <c r="S2388" s="609"/>
      <c r="T2388" s="741"/>
      <c r="U2388" s="586"/>
      <c r="V2388" s="564" t="s">
        <v>2899</v>
      </c>
      <c r="W2388" s="564" t="s">
        <v>25</v>
      </c>
      <c r="X2388" s="650"/>
      <c r="Y2388" s="586"/>
      <c r="Z2388" s="742"/>
      <c r="AA2388" s="586"/>
      <c r="AB2388" s="586"/>
      <c r="AC2388" s="586"/>
      <c r="AD2388" s="586"/>
      <c r="AE2388" s="714"/>
      <c r="AF2388" s="570" t="s">
        <v>2899</v>
      </c>
      <c r="AG2388" s="570" t="s">
        <v>25</v>
      </c>
      <c r="AH2388" s="571" t="s">
        <v>25</v>
      </c>
      <c r="AI2388" s="586"/>
      <c r="AJ2388" s="586" t="s">
        <v>2771</v>
      </c>
    </row>
    <row r="2389" spans="1:36" s="394" customFormat="1" ht="20.25" outlineLevel="2" x14ac:dyDescent="0.3">
      <c r="A2389" s="447">
        <v>204</v>
      </c>
      <c r="B2389" s="572"/>
      <c r="C2389" s="572"/>
      <c r="D2389" s="612"/>
      <c r="E2389" s="612"/>
      <c r="F2389" s="586"/>
      <c r="G2389" s="709"/>
      <c r="H2389" s="546"/>
      <c r="I2389" s="563" t="s">
        <v>25</v>
      </c>
      <c r="J2389" s="563" t="s">
        <v>25</v>
      </c>
      <c r="K2389" s="564" t="s">
        <v>25</v>
      </c>
      <c r="L2389" s="564" t="s">
        <v>25</v>
      </c>
      <c r="M2389" s="572"/>
      <c r="N2389" s="572"/>
      <c r="O2389" s="740"/>
      <c r="P2389" s="564" t="s">
        <v>25</v>
      </c>
      <c r="Q2389" s="564" t="s">
        <v>25</v>
      </c>
      <c r="R2389" s="566"/>
      <c r="S2389" s="609"/>
      <c r="T2389" s="741"/>
      <c r="U2389" s="586"/>
      <c r="V2389" s="564" t="s">
        <v>2899</v>
      </c>
      <c r="W2389" s="564" t="s">
        <v>25</v>
      </c>
      <c r="X2389" s="650"/>
      <c r="Y2389" s="586"/>
      <c r="Z2389" s="742"/>
      <c r="AA2389" s="586"/>
      <c r="AB2389" s="586"/>
      <c r="AC2389" s="586"/>
      <c r="AD2389" s="586"/>
      <c r="AE2389" s="714"/>
      <c r="AF2389" s="570" t="s">
        <v>2899</v>
      </c>
      <c r="AG2389" s="570" t="s">
        <v>25</v>
      </c>
      <c r="AH2389" s="571" t="s">
        <v>25</v>
      </c>
      <c r="AI2389" s="586"/>
      <c r="AJ2389" s="586"/>
    </row>
    <row r="2390" spans="1:36" s="394" customFormat="1" ht="20.25" outlineLevel="2" x14ac:dyDescent="0.3">
      <c r="A2390" s="447">
        <v>204</v>
      </c>
      <c r="B2390" s="572"/>
      <c r="C2390" s="572"/>
      <c r="D2390" s="612"/>
      <c r="E2390" s="612"/>
      <c r="F2390" s="586"/>
      <c r="G2390" s="709"/>
      <c r="H2390" s="546"/>
      <c r="I2390" s="563" t="s">
        <v>25</v>
      </c>
      <c r="J2390" s="563" t="s">
        <v>25</v>
      </c>
      <c r="K2390" s="564" t="s">
        <v>25</v>
      </c>
      <c r="L2390" s="564" t="s">
        <v>25</v>
      </c>
      <c r="M2390" s="572"/>
      <c r="N2390" s="572"/>
      <c r="O2390" s="740"/>
      <c r="P2390" s="564" t="s">
        <v>25</v>
      </c>
      <c r="Q2390" s="564" t="s">
        <v>25</v>
      </c>
      <c r="R2390" s="566"/>
      <c r="S2390" s="609"/>
      <c r="T2390" s="741"/>
      <c r="U2390" s="586"/>
      <c r="V2390" s="564" t="s">
        <v>2899</v>
      </c>
      <c r="W2390" s="564" t="s">
        <v>25</v>
      </c>
      <c r="X2390" s="650"/>
      <c r="Y2390" s="586"/>
      <c r="Z2390" s="742"/>
      <c r="AA2390" s="586"/>
      <c r="AB2390" s="586"/>
      <c r="AC2390" s="586"/>
      <c r="AD2390" s="586"/>
      <c r="AE2390" s="714"/>
      <c r="AF2390" s="570" t="s">
        <v>2899</v>
      </c>
      <c r="AG2390" s="570" t="s">
        <v>25</v>
      </c>
      <c r="AH2390" s="571" t="s">
        <v>25</v>
      </c>
      <c r="AI2390" s="586"/>
      <c r="AJ2390" s="586"/>
    </row>
    <row r="2391" spans="1:36" s="394" customFormat="1" ht="20.25" outlineLevel="2" x14ac:dyDescent="0.3">
      <c r="A2391" s="447">
        <v>204</v>
      </c>
      <c r="B2391" s="572"/>
      <c r="C2391" s="572"/>
      <c r="D2391" s="612"/>
      <c r="E2391" s="612"/>
      <c r="F2391" s="586"/>
      <c r="G2391" s="709"/>
      <c r="H2391" s="546"/>
      <c r="I2391" s="563" t="s">
        <v>25</v>
      </c>
      <c r="J2391" s="563" t="s">
        <v>25</v>
      </c>
      <c r="K2391" s="564" t="s">
        <v>25</v>
      </c>
      <c r="L2391" s="564" t="s">
        <v>25</v>
      </c>
      <c r="M2391" s="572"/>
      <c r="N2391" s="572"/>
      <c r="O2391" s="740"/>
      <c r="P2391" s="564" t="s">
        <v>25</v>
      </c>
      <c r="Q2391" s="564" t="s">
        <v>25</v>
      </c>
      <c r="R2391" s="566"/>
      <c r="S2391" s="609"/>
      <c r="T2391" s="741"/>
      <c r="U2391" s="586"/>
      <c r="V2391" s="564" t="s">
        <v>2899</v>
      </c>
      <c r="W2391" s="564" t="s">
        <v>25</v>
      </c>
      <c r="X2391" s="650"/>
      <c r="Y2391" s="586"/>
      <c r="Z2391" s="742"/>
      <c r="AA2391" s="586"/>
      <c r="AB2391" s="586"/>
      <c r="AC2391" s="586"/>
      <c r="AD2391" s="586"/>
      <c r="AE2391" s="714"/>
      <c r="AF2391" s="570" t="s">
        <v>2899</v>
      </c>
      <c r="AG2391" s="570" t="s">
        <v>25</v>
      </c>
      <c r="AH2391" s="571" t="s">
        <v>25</v>
      </c>
      <c r="AI2391" s="586"/>
      <c r="AJ2391" s="586"/>
    </row>
    <row r="2392" spans="1:36" s="394" customFormat="1" ht="20.25" outlineLevel="2" x14ac:dyDescent="0.3">
      <c r="A2392" s="447">
        <v>204</v>
      </c>
      <c r="B2392" s="607"/>
      <c r="C2392" s="607"/>
      <c r="D2392" s="642"/>
      <c r="E2392" s="642"/>
      <c r="F2392" s="586"/>
      <c r="G2392" s="709"/>
      <c r="H2392" s="546"/>
      <c r="I2392" s="563" t="s">
        <v>25</v>
      </c>
      <c r="J2392" s="563" t="s">
        <v>25</v>
      </c>
      <c r="K2392" s="564" t="s">
        <v>25</v>
      </c>
      <c r="L2392" s="564" t="s">
        <v>25</v>
      </c>
      <c r="M2392" s="572"/>
      <c r="N2392" s="572"/>
      <c r="O2392" s="740"/>
      <c r="P2392" s="564" t="s">
        <v>25</v>
      </c>
      <c r="Q2392" s="564" t="s">
        <v>25</v>
      </c>
      <c r="R2392" s="566"/>
      <c r="S2392" s="609"/>
      <c r="T2392" s="741"/>
      <c r="U2392" s="586"/>
      <c r="V2392" s="564" t="s">
        <v>2899</v>
      </c>
      <c r="W2392" s="564" t="s">
        <v>25</v>
      </c>
      <c r="X2392" s="650"/>
      <c r="Y2392" s="586"/>
      <c r="Z2392" s="742"/>
      <c r="AA2392" s="586"/>
      <c r="AB2392" s="586"/>
      <c r="AC2392" s="586"/>
      <c r="AD2392" s="586"/>
      <c r="AE2392" s="714"/>
      <c r="AF2392" s="570" t="s">
        <v>2899</v>
      </c>
      <c r="AG2392" s="570" t="s">
        <v>25</v>
      </c>
      <c r="AH2392" s="571" t="s">
        <v>25</v>
      </c>
      <c r="AI2392" s="586"/>
      <c r="AJ2392" s="586"/>
    </row>
    <row r="2393" spans="1:36" s="394" customFormat="1" ht="60.75" outlineLevel="1" x14ac:dyDescent="0.25">
      <c r="A2393" s="467">
        <v>205</v>
      </c>
      <c r="B2393" s="607" t="s">
        <v>2055</v>
      </c>
      <c r="C2393" s="586" t="s">
        <v>2903</v>
      </c>
      <c r="D2393" s="612">
        <v>86</v>
      </c>
      <c r="E2393" s="612">
        <v>224</v>
      </c>
      <c r="F2393" s="578"/>
      <c r="G2393" s="707">
        <v>95</v>
      </c>
      <c r="H2393" s="579">
        <v>0</v>
      </c>
      <c r="I2393" s="581"/>
      <c r="J2393" s="581"/>
      <c r="K2393" s="571">
        <v>44232000</v>
      </c>
      <c r="L2393" s="571">
        <v>0</v>
      </c>
      <c r="M2393" s="607"/>
      <c r="N2393" s="607"/>
      <c r="O2393" s="738">
        <v>0</v>
      </c>
      <c r="P2393" s="571"/>
      <c r="Q2393" s="571">
        <v>0</v>
      </c>
      <c r="R2393" s="582"/>
      <c r="S2393" s="621"/>
      <c r="T2393" s="739">
        <v>0</v>
      </c>
      <c r="U2393" s="578"/>
      <c r="V2393" s="571"/>
      <c r="W2393" s="571">
        <v>0</v>
      </c>
      <c r="X2393" s="650"/>
      <c r="Y2393" s="586"/>
      <c r="Z2393" s="742"/>
      <c r="AA2393" s="586"/>
      <c r="AB2393" s="586"/>
      <c r="AC2393" s="586"/>
      <c r="AD2393" s="578"/>
      <c r="AE2393" s="712">
        <f>SUBTOTAL(9,AE2394:AE2398)</f>
        <v>0</v>
      </c>
      <c r="AF2393" s="585"/>
      <c r="AG2393" s="585">
        <v>0</v>
      </c>
      <c r="AH2393" s="571">
        <v>44232000</v>
      </c>
      <c r="AI2393" s="578"/>
      <c r="AJ2393" s="578"/>
    </row>
    <row r="2394" spans="1:36" s="394" customFormat="1" ht="121.5" outlineLevel="2" x14ac:dyDescent="0.3">
      <c r="A2394" s="447">
        <v>205</v>
      </c>
      <c r="B2394" s="572"/>
      <c r="C2394" s="572"/>
      <c r="D2394" s="612"/>
      <c r="E2394" s="612"/>
      <c r="F2394" s="586" t="s">
        <v>2856</v>
      </c>
      <c r="G2394" s="709">
        <v>95</v>
      </c>
      <c r="H2394" s="546" t="s">
        <v>2899</v>
      </c>
      <c r="I2394" s="563">
        <v>465600</v>
      </c>
      <c r="J2394" s="563">
        <v>0</v>
      </c>
      <c r="K2394" s="564">
        <v>44232000</v>
      </c>
      <c r="L2394" s="564">
        <v>0</v>
      </c>
      <c r="M2394" s="572"/>
      <c r="N2394" s="572"/>
      <c r="O2394" s="740"/>
      <c r="P2394" s="564" t="s">
        <v>25</v>
      </c>
      <c r="Q2394" s="564" t="s">
        <v>25</v>
      </c>
      <c r="R2394" s="566"/>
      <c r="S2394" s="609"/>
      <c r="T2394" s="741"/>
      <c r="U2394" s="586"/>
      <c r="V2394" s="564" t="s">
        <v>2899</v>
      </c>
      <c r="W2394" s="564" t="s">
        <v>25</v>
      </c>
      <c r="X2394" s="650"/>
      <c r="Y2394" s="586"/>
      <c r="Z2394" s="742"/>
      <c r="AA2394" s="586"/>
      <c r="AB2394" s="586"/>
      <c r="AC2394" s="586"/>
      <c r="AD2394" s="586"/>
      <c r="AE2394" s="714"/>
      <c r="AF2394" s="570" t="s">
        <v>2899</v>
      </c>
      <c r="AG2394" s="570" t="s">
        <v>25</v>
      </c>
      <c r="AH2394" s="571" t="s">
        <v>25</v>
      </c>
      <c r="AI2394" s="586"/>
      <c r="AJ2394" s="586" t="s">
        <v>2771</v>
      </c>
    </row>
    <row r="2395" spans="1:36" s="394" customFormat="1" ht="20.25" outlineLevel="2" x14ac:dyDescent="0.3">
      <c r="A2395" s="447">
        <v>205</v>
      </c>
      <c r="B2395" s="572"/>
      <c r="C2395" s="572"/>
      <c r="D2395" s="612"/>
      <c r="E2395" s="612"/>
      <c r="F2395" s="586"/>
      <c r="G2395" s="709"/>
      <c r="H2395" s="546"/>
      <c r="I2395" s="563" t="s">
        <v>25</v>
      </c>
      <c r="J2395" s="563" t="s">
        <v>25</v>
      </c>
      <c r="K2395" s="564" t="s">
        <v>25</v>
      </c>
      <c r="L2395" s="564" t="s">
        <v>25</v>
      </c>
      <c r="M2395" s="572"/>
      <c r="N2395" s="572"/>
      <c r="O2395" s="740"/>
      <c r="P2395" s="564" t="s">
        <v>25</v>
      </c>
      <c r="Q2395" s="564" t="s">
        <v>25</v>
      </c>
      <c r="R2395" s="566"/>
      <c r="S2395" s="609"/>
      <c r="T2395" s="741"/>
      <c r="U2395" s="586"/>
      <c r="V2395" s="564" t="s">
        <v>2899</v>
      </c>
      <c r="W2395" s="564" t="s">
        <v>25</v>
      </c>
      <c r="X2395" s="650"/>
      <c r="Y2395" s="586"/>
      <c r="Z2395" s="742"/>
      <c r="AA2395" s="586"/>
      <c r="AB2395" s="586"/>
      <c r="AC2395" s="586"/>
      <c r="AD2395" s="586"/>
      <c r="AE2395" s="714"/>
      <c r="AF2395" s="570" t="s">
        <v>2899</v>
      </c>
      <c r="AG2395" s="570" t="s">
        <v>25</v>
      </c>
      <c r="AH2395" s="571" t="s">
        <v>25</v>
      </c>
      <c r="AI2395" s="586"/>
      <c r="AJ2395" s="586"/>
    </row>
    <row r="2396" spans="1:36" s="394" customFormat="1" ht="20.25" outlineLevel="2" x14ac:dyDescent="0.3">
      <c r="A2396" s="447">
        <v>205</v>
      </c>
      <c r="B2396" s="572"/>
      <c r="C2396" s="572"/>
      <c r="D2396" s="612"/>
      <c r="E2396" s="612"/>
      <c r="F2396" s="586"/>
      <c r="G2396" s="709"/>
      <c r="H2396" s="546"/>
      <c r="I2396" s="563" t="s">
        <v>25</v>
      </c>
      <c r="J2396" s="563" t="s">
        <v>25</v>
      </c>
      <c r="K2396" s="564" t="s">
        <v>25</v>
      </c>
      <c r="L2396" s="564" t="s">
        <v>25</v>
      </c>
      <c r="M2396" s="572"/>
      <c r="N2396" s="572"/>
      <c r="O2396" s="740"/>
      <c r="P2396" s="564" t="s">
        <v>25</v>
      </c>
      <c r="Q2396" s="564" t="s">
        <v>25</v>
      </c>
      <c r="R2396" s="566"/>
      <c r="S2396" s="609"/>
      <c r="T2396" s="741"/>
      <c r="U2396" s="586"/>
      <c r="V2396" s="564" t="s">
        <v>2899</v>
      </c>
      <c r="W2396" s="564" t="s">
        <v>25</v>
      </c>
      <c r="X2396" s="650"/>
      <c r="Y2396" s="586"/>
      <c r="Z2396" s="742"/>
      <c r="AA2396" s="586"/>
      <c r="AB2396" s="586"/>
      <c r="AC2396" s="586"/>
      <c r="AD2396" s="586"/>
      <c r="AE2396" s="714"/>
      <c r="AF2396" s="570" t="s">
        <v>2899</v>
      </c>
      <c r="AG2396" s="570" t="s">
        <v>25</v>
      </c>
      <c r="AH2396" s="571" t="s">
        <v>25</v>
      </c>
      <c r="AI2396" s="586"/>
      <c r="AJ2396" s="586"/>
    </row>
    <row r="2397" spans="1:36" s="394" customFormat="1" ht="20.25" outlineLevel="2" x14ac:dyDescent="0.3">
      <c r="A2397" s="447">
        <v>205</v>
      </c>
      <c r="B2397" s="572"/>
      <c r="C2397" s="572"/>
      <c r="D2397" s="612"/>
      <c r="E2397" s="612"/>
      <c r="F2397" s="586"/>
      <c r="G2397" s="709"/>
      <c r="H2397" s="546"/>
      <c r="I2397" s="563" t="s">
        <v>25</v>
      </c>
      <c r="J2397" s="563" t="s">
        <v>25</v>
      </c>
      <c r="K2397" s="564" t="s">
        <v>25</v>
      </c>
      <c r="L2397" s="564" t="s">
        <v>25</v>
      </c>
      <c r="M2397" s="572"/>
      <c r="N2397" s="572"/>
      <c r="O2397" s="740"/>
      <c r="P2397" s="564" t="s">
        <v>25</v>
      </c>
      <c r="Q2397" s="564" t="s">
        <v>25</v>
      </c>
      <c r="R2397" s="566"/>
      <c r="S2397" s="609"/>
      <c r="T2397" s="741"/>
      <c r="U2397" s="586"/>
      <c r="V2397" s="564" t="s">
        <v>2899</v>
      </c>
      <c r="W2397" s="564" t="s">
        <v>25</v>
      </c>
      <c r="X2397" s="650"/>
      <c r="Y2397" s="586"/>
      <c r="Z2397" s="742"/>
      <c r="AA2397" s="586"/>
      <c r="AB2397" s="586"/>
      <c r="AC2397" s="586"/>
      <c r="AD2397" s="586"/>
      <c r="AE2397" s="714"/>
      <c r="AF2397" s="570" t="s">
        <v>2899</v>
      </c>
      <c r="AG2397" s="570" t="s">
        <v>25</v>
      </c>
      <c r="AH2397" s="571" t="s">
        <v>25</v>
      </c>
      <c r="AI2397" s="586"/>
      <c r="AJ2397" s="586"/>
    </row>
    <row r="2398" spans="1:36" s="394" customFormat="1" ht="20.25" outlineLevel="2" x14ac:dyDescent="0.3">
      <c r="A2398" s="447">
        <v>205</v>
      </c>
      <c r="B2398" s="607"/>
      <c r="C2398" s="607"/>
      <c r="D2398" s="642"/>
      <c r="E2398" s="642"/>
      <c r="F2398" s="586"/>
      <c r="G2398" s="709"/>
      <c r="H2398" s="546"/>
      <c r="I2398" s="563" t="s">
        <v>25</v>
      </c>
      <c r="J2398" s="563" t="s">
        <v>25</v>
      </c>
      <c r="K2398" s="564" t="s">
        <v>25</v>
      </c>
      <c r="L2398" s="564" t="s">
        <v>25</v>
      </c>
      <c r="M2398" s="572"/>
      <c r="N2398" s="572"/>
      <c r="O2398" s="740"/>
      <c r="P2398" s="564" t="s">
        <v>25</v>
      </c>
      <c r="Q2398" s="564" t="s">
        <v>25</v>
      </c>
      <c r="R2398" s="566"/>
      <c r="S2398" s="609"/>
      <c r="T2398" s="741"/>
      <c r="U2398" s="586"/>
      <c r="V2398" s="564" t="s">
        <v>2899</v>
      </c>
      <c r="W2398" s="564" t="s">
        <v>25</v>
      </c>
      <c r="X2398" s="650"/>
      <c r="Y2398" s="586"/>
      <c r="Z2398" s="742"/>
      <c r="AA2398" s="586"/>
      <c r="AB2398" s="586"/>
      <c r="AC2398" s="586"/>
      <c r="AD2398" s="586"/>
      <c r="AE2398" s="714"/>
      <c r="AF2398" s="570" t="s">
        <v>2899</v>
      </c>
      <c r="AG2398" s="570" t="s">
        <v>25</v>
      </c>
      <c r="AH2398" s="571" t="s">
        <v>25</v>
      </c>
      <c r="AI2398" s="586"/>
      <c r="AJ2398" s="586"/>
    </row>
    <row r="2399" spans="1:36" s="396" customFormat="1" ht="40.5" outlineLevel="1" x14ac:dyDescent="0.25">
      <c r="A2399" s="467">
        <v>206</v>
      </c>
      <c r="B2399" s="607" t="s">
        <v>2015</v>
      </c>
      <c r="C2399" s="586" t="s">
        <v>2903</v>
      </c>
      <c r="D2399" s="612">
        <v>86</v>
      </c>
      <c r="E2399" s="612">
        <v>116</v>
      </c>
      <c r="F2399" s="578"/>
      <c r="G2399" s="707">
        <v>490</v>
      </c>
      <c r="H2399" s="579">
        <v>0</v>
      </c>
      <c r="I2399" s="581"/>
      <c r="J2399" s="581"/>
      <c r="K2399" s="571">
        <v>228144000</v>
      </c>
      <c r="L2399" s="571">
        <v>0</v>
      </c>
      <c r="M2399" s="607"/>
      <c r="N2399" s="607"/>
      <c r="O2399" s="738">
        <v>0</v>
      </c>
      <c r="P2399" s="571"/>
      <c r="Q2399" s="571">
        <v>0</v>
      </c>
      <c r="R2399" s="582"/>
      <c r="S2399" s="621"/>
      <c r="T2399" s="739">
        <v>1606.9999999999998</v>
      </c>
      <c r="U2399" s="578"/>
      <c r="V2399" s="571"/>
      <c r="W2399" s="571">
        <v>2181683000</v>
      </c>
      <c r="X2399" s="650"/>
      <c r="Y2399" s="586"/>
      <c r="Z2399" s="742"/>
      <c r="AA2399" s="586"/>
      <c r="AB2399" s="586"/>
      <c r="AC2399" s="586"/>
      <c r="AD2399" s="578"/>
      <c r="AE2399" s="712">
        <f>SUBTOTAL(9,AE2400:AE2413)</f>
        <v>1</v>
      </c>
      <c r="AF2399" s="585"/>
      <c r="AG2399" s="585">
        <v>5000000</v>
      </c>
      <c r="AH2399" s="571">
        <v>2414827000</v>
      </c>
      <c r="AI2399" s="578"/>
      <c r="AJ2399" s="578"/>
    </row>
    <row r="2400" spans="1:36" s="396" customFormat="1" ht="121.5" outlineLevel="2" x14ac:dyDescent="0.3">
      <c r="A2400" s="447">
        <v>206</v>
      </c>
      <c r="B2400" s="572" t="s">
        <v>1557</v>
      </c>
      <c r="C2400" s="572"/>
      <c r="D2400" s="612"/>
      <c r="E2400" s="612"/>
      <c r="F2400" s="586" t="s">
        <v>2874</v>
      </c>
      <c r="G2400" s="709">
        <v>490</v>
      </c>
      <c r="H2400" s="546" t="s">
        <v>2899</v>
      </c>
      <c r="I2400" s="563">
        <v>465600</v>
      </c>
      <c r="J2400" s="563">
        <v>0</v>
      </c>
      <c r="K2400" s="564">
        <v>228144000</v>
      </c>
      <c r="L2400" s="564">
        <v>0</v>
      </c>
      <c r="M2400" s="572"/>
      <c r="N2400" s="572"/>
      <c r="O2400" s="740"/>
      <c r="P2400" s="564" t="s">
        <v>25</v>
      </c>
      <c r="Q2400" s="564" t="s">
        <v>25</v>
      </c>
      <c r="R2400" s="566" t="s">
        <v>2020</v>
      </c>
      <c r="S2400" s="609" t="s">
        <v>1133</v>
      </c>
      <c r="T2400" s="741">
        <v>81.599999999999994</v>
      </c>
      <c r="U2400" s="586"/>
      <c r="V2400" s="564">
        <v>684506</v>
      </c>
      <c r="W2400" s="564">
        <v>55856000</v>
      </c>
      <c r="X2400" s="650"/>
      <c r="Y2400" s="586"/>
      <c r="Z2400" s="742"/>
      <c r="AA2400" s="586"/>
      <c r="AB2400" s="586"/>
      <c r="AC2400" s="586"/>
      <c r="AD2400" s="586" t="s">
        <v>2137</v>
      </c>
      <c r="AE2400" s="714">
        <v>1</v>
      </c>
      <c r="AF2400" s="570">
        <v>5000000</v>
      </c>
      <c r="AG2400" s="570">
        <v>5000000</v>
      </c>
      <c r="AH2400" s="571" t="s">
        <v>25</v>
      </c>
      <c r="AI2400" s="586" t="s">
        <v>2016</v>
      </c>
      <c r="AJ2400" s="586" t="s">
        <v>2771</v>
      </c>
    </row>
    <row r="2401" spans="1:36" s="394" customFormat="1" ht="121.5" outlineLevel="2" x14ac:dyDescent="0.3">
      <c r="A2401" s="447">
        <v>206</v>
      </c>
      <c r="B2401" s="572" t="s">
        <v>1652</v>
      </c>
      <c r="C2401" s="572"/>
      <c r="D2401" s="612"/>
      <c r="E2401" s="612"/>
      <c r="F2401" s="586"/>
      <c r="G2401" s="709"/>
      <c r="H2401" s="546"/>
      <c r="I2401" s="563" t="s">
        <v>25</v>
      </c>
      <c r="J2401" s="563" t="s">
        <v>25</v>
      </c>
      <c r="K2401" s="564" t="s">
        <v>25</v>
      </c>
      <c r="L2401" s="564" t="s">
        <v>25</v>
      </c>
      <c r="M2401" s="572"/>
      <c r="N2401" s="572"/>
      <c r="O2401" s="740"/>
      <c r="P2401" s="564" t="s">
        <v>25</v>
      </c>
      <c r="Q2401" s="564" t="s">
        <v>25</v>
      </c>
      <c r="R2401" s="566" t="s">
        <v>2021</v>
      </c>
      <c r="S2401" s="609" t="s">
        <v>1133</v>
      </c>
      <c r="T2401" s="741">
        <v>40.799999999999997</v>
      </c>
      <c r="U2401" s="586"/>
      <c r="V2401" s="564">
        <v>107866</v>
      </c>
      <c r="W2401" s="564">
        <v>4401000</v>
      </c>
      <c r="X2401" s="650"/>
      <c r="Y2401" s="586"/>
      <c r="Z2401" s="742"/>
      <c r="AA2401" s="586"/>
      <c r="AB2401" s="586"/>
      <c r="AC2401" s="586"/>
      <c r="AD2401" s="586"/>
      <c r="AE2401" s="714"/>
      <c r="AF2401" s="570" t="s">
        <v>2899</v>
      </c>
      <c r="AG2401" s="570"/>
      <c r="AH2401" s="571" t="s">
        <v>25</v>
      </c>
      <c r="AI2401" s="586" t="s">
        <v>2017</v>
      </c>
      <c r="AJ2401" s="558" t="s">
        <v>2450</v>
      </c>
    </row>
    <row r="2402" spans="1:36" s="394" customFormat="1" ht="101.25" outlineLevel="2" x14ac:dyDescent="0.3">
      <c r="A2402" s="447">
        <v>206</v>
      </c>
      <c r="B2402" s="572"/>
      <c r="C2402" s="572"/>
      <c r="D2402" s="612"/>
      <c r="E2402" s="612"/>
      <c r="F2402" s="586"/>
      <c r="G2402" s="709"/>
      <c r="H2402" s="546"/>
      <c r="I2402" s="563" t="s">
        <v>25</v>
      </c>
      <c r="J2402" s="563" t="s">
        <v>25</v>
      </c>
      <c r="K2402" s="564" t="s">
        <v>25</v>
      </c>
      <c r="L2402" s="564" t="s">
        <v>25</v>
      </c>
      <c r="M2402" s="572"/>
      <c r="N2402" s="572"/>
      <c r="O2402" s="740"/>
      <c r="P2402" s="564" t="s">
        <v>25</v>
      </c>
      <c r="Q2402" s="564" t="s">
        <v>25</v>
      </c>
      <c r="R2402" s="566" t="s">
        <v>2022</v>
      </c>
      <c r="S2402" s="609" t="s">
        <v>1133</v>
      </c>
      <c r="T2402" s="741">
        <v>43.2</v>
      </c>
      <c r="U2402" s="586"/>
      <c r="V2402" s="564">
        <v>8308812</v>
      </c>
      <c r="W2402" s="564">
        <v>358941000</v>
      </c>
      <c r="X2402" s="650"/>
      <c r="Y2402" s="586"/>
      <c r="Z2402" s="742"/>
      <c r="AA2402" s="586"/>
      <c r="AB2402" s="586"/>
      <c r="AC2402" s="586"/>
      <c r="AD2402" s="586"/>
      <c r="AE2402" s="714"/>
      <c r="AF2402" s="570" t="s">
        <v>2899</v>
      </c>
      <c r="AG2402" s="570" t="s">
        <v>25</v>
      </c>
      <c r="AH2402" s="571" t="s">
        <v>25</v>
      </c>
      <c r="AI2402" s="586" t="s">
        <v>2019</v>
      </c>
      <c r="AJ2402" s="586" t="s">
        <v>2447</v>
      </c>
    </row>
    <row r="2403" spans="1:36" s="394" customFormat="1" ht="101.25" outlineLevel="2" x14ac:dyDescent="0.3">
      <c r="A2403" s="447">
        <v>206</v>
      </c>
      <c r="B2403" s="572"/>
      <c r="C2403" s="572"/>
      <c r="D2403" s="612"/>
      <c r="E2403" s="612"/>
      <c r="F2403" s="586"/>
      <c r="G2403" s="709"/>
      <c r="H2403" s="546"/>
      <c r="I2403" s="563" t="s">
        <v>25</v>
      </c>
      <c r="J2403" s="563" t="s">
        <v>25</v>
      </c>
      <c r="K2403" s="564" t="s">
        <v>25</v>
      </c>
      <c r="L2403" s="564" t="s">
        <v>25</v>
      </c>
      <c r="M2403" s="572"/>
      <c r="N2403" s="572"/>
      <c r="O2403" s="740"/>
      <c r="P2403" s="564" t="s">
        <v>25</v>
      </c>
      <c r="Q2403" s="564" t="s">
        <v>25</v>
      </c>
      <c r="R2403" s="566" t="s">
        <v>2023</v>
      </c>
      <c r="S2403" s="609" t="s">
        <v>1133</v>
      </c>
      <c r="T2403" s="741">
        <v>158.4</v>
      </c>
      <c r="U2403" s="586"/>
      <c r="V2403" s="564">
        <v>0</v>
      </c>
      <c r="W2403" s="564">
        <v>0</v>
      </c>
      <c r="X2403" s="650"/>
      <c r="Y2403" s="586"/>
      <c r="Z2403" s="742"/>
      <c r="AA2403" s="586"/>
      <c r="AB2403" s="586"/>
      <c r="AC2403" s="586"/>
      <c r="AD2403" s="586"/>
      <c r="AE2403" s="714"/>
      <c r="AF2403" s="570" t="s">
        <v>2899</v>
      </c>
      <c r="AG2403" s="570" t="s">
        <v>25</v>
      </c>
      <c r="AH2403" s="571" t="s">
        <v>25</v>
      </c>
      <c r="AI2403" s="731"/>
      <c r="AJ2403" s="586" t="s">
        <v>2800</v>
      </c>
    </row>
    <row r="2404" spans="1:36" s="394" customFormat="1" ht="40.5" outlineLevel="2" x14ac:dyDescent="0.3">
      <c r="A2404" s="447">
        <v>206</v>
      </c>
      <c r="B2404" s="572"/>
      <c r="C2404" s="572"/>
      <c r="D2404" s="612"/>
      <c r="E2404" s="612"/>
      <c r="F2404" s="586"/>
      <c r="G2404" s="709"/>
      <c r="H2404" s="546"/>
      <c r="I2404" s="563" t="s">
        <v>25</v>
      </c>
      <c r="J2404" s="563" t="s">
        <v>25</v>
      </c>
      <c r="K2404" s="564" t="s">
        <v>25</v>
      </c>
      <c r="L2404" s="564" t="s">
        <v>25</v>
      </c>
      <c r="M2404" s="572"/>
      <c r="N2404" s="572"/>
      <c r="O2404" s="740"/>
      <c r="P2404" s="564" t="s">
        <v>25</v>
      </c>
      <c r="Q2404" s="564" t="s">
        <v>25</v>
      </c>
      <c r="R2404" s="566" t="s">
        <v>1754</v>
      </c>
      <c r="S2404" s="609" t="s">
        <v>1133</v>
      </c>
      <c r="T2404" s="741">
        <v>330.8</v>
      </c>
      <c r="U2404" s="586"/>
      <c r="V2404" s="564">
        <v>4717925</v>
      </c>
      <c r="W2404" s="564">
        <v>1560690000</v>
      </c>
      <c r="X2404" s="683" t="s">
        <v>1138</v>
      </c>
      <c r="Y2404" s="586" t="s">
        <v>1558</v>
      </c>
      <c r="Z2404" s="742" t="s">
        <v>56</v>
      </c>
      <c r="AA2404" s="586" t="s">
        <v>57</v>
      </c>
      <c r="AB2404" s="586" t="s">
        <v>1138</v>
      </c>
      <c r="AC2404" s="586" t="s">
        <v>1047</v>
      </c>
      <c r="AD2404" s="586"/>
      <c r="AE2404" s="714"/>
      <c r="AF2404" s="570" t="s">
        <v>2899</v>
      </c>
      <c r="AG2404" s="570" t="s">
        <v>25</v>
      </c>
      <c r="AH2404" s="571" t="s">
        <v>25</v>
      </c>
      <c r="AI2404" s="586"/>
      <c r="AJ2404" s="586"/>
    </row>
    <row r="2405" spans="1:36" s="394" customFormat="1" ht="60.75" outlineLevel="2" x14ac:dyDescent="0.3">
      <c r="A2405" s="447">
        <v>206</v>
      </c>
      <c r="B2405" s="572"/>
      <c r="C2405" s="572"/>
      <c r="D2405" s="612"/>
      <c r="E2405" s="612"/>
      <c r="F2405" s="586"/>
      <c r="G2405" s="709"/>
      <c r="H2405" s="546"/>
      <c r="I2405" s="563" t="s">
        <v>25</v>
      </c>
      <c r="J2405" s="563" t="s">
        <v>25</v>
      </c>
      <c r="K2405" s="564" t="s">
        <v>25</v>
      </c>
      <c r="L2405" s="564" t="s">
        <v>25</v>
      </c>
      <c r="M2405" s="572"/>
      <c r="N2405" s="572"/>
      <c r="O2405" s="740"/>
      <c r="P2405" s="564" t="s">
        <v>25</v>
      </c>
      <c r="Q2405" s="564" t="s">
        <v>25</v>
      </c>
      <c r="R2405" s="566" t="s">
        <v>2024</v>
      </c>
      <c r="S2405" s="609" t="s">
        <v>1133</v>
      </c>
      <c r="T2405" s="741">
        <v>14.4</v>
      </c>
      <c r="U2405" s="586"/>
      <c r="V2405" s="564">
        <v>0</v>
      </c>
      <c r="W2405" s="564">
        <v>0</v>
      </c>
      <c r="X2405" s="650"/>
      <c r="Y2405" s="586"/>
      <c r="Z2405" s="742"/>
      <c r="AA2405" s="586"/>
      <c r="AB2405" s="586"/>
      <c r="AC2405" s="586"/>
      <c r="AD2405" s="586"/>
      <c r="AE2405" s="714"/>
      <c r="AF2405" s="570" t="s">
        <v>2899</v>
      </c>
      <c r="AG2405" s="570" t="s">
        <v>25</v>
      </c>
      <c r="AH2405" s="571" t="s">
        <v>25</v>
      </c>
      <c r="AI2405" s="586"/>
      <c r="AJ2405" s="586"/>
    </row>
    <row r="2406" spans="1:36" s="394" customFormat="1" ht="60.75" outlineLevel="2" x14ac:dyDescent="0.3">
      <c r="A2406" s="447">
        <v>206</v>
      </c>
      <c r="B2406" s="572"/>
      <c r="C2406" s="572"/>
      <c r="D2406" s="612"/>
      <c r="E2406" s="612"/>
      <c r="F2406" s="586"/>
      <c r="G2406" s="709"/>
      <c r="H2406" s="546"/>
      <c r="I2406" s="563" t="s">
        <v>25</v>
      </c>
      <c r="J2406" s="563" t="s">
        <v>25</v>
      </c>
      <c r="K2406" s="564" t="s">
        <v>25</v>
      </c>
      <c r="L2406" s="564" t="s">
        <v>25</v>
      </c>
      <c r="M2406" s="572"/>
      <c r="N2406" s="572"/>
      <c r="O2406" s="740"/>
      <c r="P2406" s="564" t="s">
        <v>25</v>
      </c>
      <c r="Q2406" s="564" t="s">
        <v>25</v>
      </c>
      <c r="R2406" s="566" t="s">
        <v>2025</v>
      </c>
      <c r="S2406" s="609" t="s">
        <v>1133</v>
      </c>
      <c r="T2406" s="741">
        <v>484</v>
      </c>
      <c r="U2406" s="586"/>
      <c r="V2406" s="564">
        <v>254982</v>
      </c>
      <c r="W2406" s="564">
        <v>123411000</v>
      </c>
      <c r="X2406" s="650"/>
      <c r="Y2406" s="586"/>
      <c r="Z2406" s="742"/>
      <c r="AA2406" s="586"/>
      <c r="AB2406" s="586"/>
      <c r="AC2406" s="586"/>
      <c r="AD2406" s="586"/>
      <c r="AE2406" s="714"/>
      <c r="AF2406" s="570" t="s">
        <v>2899</v>
      </c>
      <c r="AG2406" s="570" t="s">
        <v>25</v>
      </c>
      <c r="AH2406" s="571" t="s">
        <v>25</v>
      </c>
      <c r="AI2406" s="586"/>
      <c r="AJ2406" s="586"/>
    </row>
    <row r="2407" spans="1:36" s="394" customFormat="1" ht="60.75" outlineLevel="2" x14ac:dyDescent="0.3">
      <c r="A2407" s="447">
        <v>206</v>
      </c>
      <c r="B2407" s="572"/>
      <c r="C2407" s="572"/>
      <c r="D2407" s="612"/>
      <c r="E2407" s="612"/>
      <c r="F2407" s="586"/>
      <c r="G2407" s="709"/>
      <c r="H2407" s="546"/>
      <c r="I2407" s="563" t="s">
        <v>25</v>
      </c>
      <c r="J2407" s="563" t="s">
        <v>25</v>
      </c>
      <c r="K2407" s="564" t="s">
        <v>25</v>
      </c>
      <c r="L2407" s="564" t="s">
        <v>25</v>
      </c>
      <c r="M2407" s="572"/>
      <c r="N2407" s="572"/>
      <c r="O2407" s="740"/>
      <c r="P2407" s="564" t="s">
        <v>25</v>
      </c>
      <c r="Q2407" s="564" t="s">
        <v>25</v>
      </c>
      <c r="R2407" s="566" t="s">
        <v>2026</v>
      </c>
      <c r="S2407" s="609" t="s">
        <v>1133</v>
      </c>
      <c r="T2407" s="741">
        <v>52</v>
      </c>
      <c r="U2407" s="586"/>
      <c r="V2407" s="564">
        <v>254982</v>
      </c>
      <c r="W2407" s="564">
        <v>13259000</v>
      </c>
      <c r="X2407" s="650"/>
      <c r="Y2407" s="586"/>
      <c r="Z2407" s="742"/>
      <c r="AA2407" s="586"/>
      <c r="AB2407" s="586"/>
      <c r="AC2407" s="586"/>
      <c r="AD2407" s="586"/>
      <c r="AE2407" s="714"/>
      <c r="AF2407" s="570" t="s">
        <v>2899</v>
      </c>
      <c r="AG2407" s="570" t="s">
        <v>25</v>
      </c>
      <c r="AH2407" s="571" t="s">
        <v>25</v>
      </c>
      <c r="AI2407" s="586"/>
      <c r="AJ2407" s="586"/>
    </row>
    <row r="2408" spans="1:36" s="394" customFormat="1" ht="60.75" outlineLevel="2" x14ac:dyDescent="0.3">
      <c r="A2408" s="447">
        <v>206</v>
      </c>
      <c r="B2408" s="572"/>
      <c r="C2408" s="572"/>
      <c r="D2408" s="612"/>
      <c r="E2408" s="612"/>
      <c r="F2408" s="586"/>
      <c r="G2408" s="709"/>
      <c r="H2408" s="546"/>
      <c r="I2408" s="563" t="s">
        <v>25</v>
      </c>
      <c r="J2408" s="563" t="s">
        <v>25</v>
      </c>
      <c r="K2408" s="564" t="s">
        <v>25</v>
      </c>
      <c r="L2408" s="564" t="s">
        <v>25</v>
      </c>
      <c r="M2408" s="572"/>
      <c r="N2408" s="572"/>
      <c r="O2408" s="740"/>
      <c r="P2408" s="564" t="s">
        <v>25</v>
      </c>
      <c r="Q2408" s="564" t="s">
        <v>25</v>
      </c>
      <c r="R2408" s="566" t="s">
        <v>2058</v>
      </c>
      <c r="S2408" s="609" t="s">
        <v>101</v>
      </c>
      <c r="T2408" s="741">
        <v>68</v>
      </c>
      <c r="U2408" s="586"/>
      <c r="V2408" s="564">
        <v>191646</v>
      </c>
      <c r="W2408" s="564">
        <v>13032000</v>
      </c>
      <c r="X2408" s="650"/>
      <c r="Y2408" s="586"/>
      <c r="Z2408" s="742"/>
      <c r="AA2408" s="586"/>
      <c r="AB2408" s="586"/>
      <c r="AC2408" s="586"/>
      <c r="AD2408" s="586"/>
      <c r="AE2408" s="714"/>
      <c r="AF2408" s="570" t="s">
        <v>2899</v>
      </c>
      <c r="AG2408" s="570" t="s">
        <v>25</v>
      </c>
      <c r="AH2408" s="571" t="s">
        <v>25</v>
      </c>
      <c r="AI2408" s="586"/>
      <c r="AJ2408" s="586"/>
    </row>
    <row r="2409" spans="1:36" s="394" customFormat="1" ht="60.75" outlineLevel="2" x14ac:dyDescent="0.3">
      <c r="A2409" s="447">
        <v>206</v>
      </c>
      <c r="B2409" s="572"/>
      <c r="C2409" s="572"/>
      <c r="D2409" s="612"/>
      <c r="E2409" s="612"/>
      <c r="F2409" s="586"/>
      <c r="G2409" s="709"/>
      <c r="H2409" s="546"/>
      <c r="I2409" s="563" t="s">
        <v>25</v>
      </c>
      <c r="J2409" s="563" t="s">
        <v>25</v>
      </c>
      <c r="K2409" s="564" t="s">
        <v>25</v>
      </c>
      <c r="L2409" s="564" t="s">
        <v>25</v>
      </c>
      <c r="M2409" s="572"/>
      <c r="N2409" s="572"/>
      <c r="O2409" s="740"/>
      <c r="P2409" s="564" t="s">
        <v>25</v>
      </c>
      <c r="Q2409" s="564" t="s">
        <v>25</v>
      </c>
      <c r="R2409" s="566" t="s">
        <v>2028</v>
      </c>
      <c r="S2409" s="609" t="s">
        <v>1559</v>
      </c>
      <c r="T2409" s="741">
        <v>3</v>
      </c>
      <c r="U2409" s="586"/>
      <c r="V2409" s="564">
        <v>0</v>
      </c>
      <c r="W2409" s="564">
        <v>0</v>
      </c>
      <c r="X2409" s="650"/>
      <c r="Y2409" s="586"/>
      <c r="Z2409" s="742"/>
      <c r="AA2409" s="586"/>
      <c r="AB2409" s="586"/>
      <c r="AC2409" s="586"/>
      <c r="AD2409" s="586"/>
      <c r="AE2409" s="714"/>
      <c r="AF2409" s="570" t="s">
        <v>2899</v>
      </c>
      <c r="AG2409" s="570" t="s">
        <v>25</v>
      </c>
      <c r="AH2409" s="571" t="s">
        <v>25</v>
      </c>
      <c r="AI2409" s="586"/>
      <c r="AJ2409" s="586"/>
    </row>
    <row r="2410" spans="1:36" s="394" customFormat="1" ht="40.5" outlineLevel="2" x14ac:dyDescent="0.3">
      <c r="A2410" s="447">
        <v>206</v>
      </c>
      <c r="B2410" s="572"/>
      <c r="C2410" s="572"/>
      <c r="D2410" s="612"/>
      <c r="E2410" s="612"/>
      <c r="F2410" s="586"/>
      <c r="G2410" s="709"/>
      <c r="H2410" s="546"/>
      <c r="I2410" s="563" t="s">
        <v>25</v>
      </c>
      <c r="J2410" s="563" t="s">
        <v>25</v>
      </c>
      <c r="K2410" s="564" t="s">
        <v>25</v>
      </c>
      <c r="L2410" s="564" t="s">
        <v>25</v>
      </c>
      <c r="M2410" s="572"/>
      <c r="N2410" s="572"/>
      <c r="O2410" s="740"/>
      <c r="P2410" s="564" t="s">
        <v>25</v>
      </c>
      <c r="Q2410" s="564" t="s">
        <v>25</v>
      </c>
      <c r="R2410" s="566" t="s">
        <v>1757</v>
      </c>
      <c r="S2410" s="609" t="s">
        <v>1133</v>
      </c>
      <c r="T2410" s="741">
        <v>330.8</v>
      </c>
      <c r="U2410" s="586"/>
      <c r="V2410" s="564">
        <v>157477</v>
      </c>
      <c r="W2410" s="564">
        <v>52093000</v>
      </c>
      <c r="X2410" s="650"/>
      <c r="Y2410" s="586"/>
      <c r="Z2410" s="742"/>
      <c r="AA2410" s="586"/>
      <c r="AB2410" s="586"/>
      <c r="AC2410" s="586"/>
      <c r="AD2410" s="586"/>
      <c r="AE2410" s="714"/>
      <c r="AF2410" s="570" t="s">
        <v>2899</v>
      </c>
      <c r="AG2410" s="570" t="s">
        <v>25</v>
      </c>
      <c r="AH2410" s="571" t="s">
        <v>25</v>
      </c>
      <c r="AI2410" s="586"/>
      <c r="AJ2410" s="586"/>
    </row>
    <row r="2411" spans="1:36" s="394" customFormat="1" ht="20.25" outlineLevel="2" x14ac:dyDescent="0.3">
      <c r="A2411" s="447">
        <v>206</v>
      </c>
      <c r="B2411" s="572"/>
      <c r="C2411" s="572"/>
      <c r="D2411" s="612"/>
      <c r="E2411" s="612"/>
      <c r="F2411" s="586"/>
      <c r="G2411" s="709"/>
      <c r="H2411" s="546"/>
      <c r="I2411" s="563" t="s">
        <v>25</v>
      </c>
      <c r="J2411" s="563" t="s">
        <v>25</v>
      </c>
      <c r="K2411" s="564" t="s">
        <v>25</v>
      </c>
      <c r="L2411" s="564" t="s">
        <v>25</v>
      </c>
      <c r="M2411" s="572"/>
      <c r="N2411" s="572"/>
      <c r="O2411" s="740"/>
      <c r="P2411" s="564" t="s">
        <v>25</v>
      </c>
      <c r="Q2411" s="564" t="s">
        <v>25</v>
      </c>
      <c r="R2411" s="566"/>
      <c r="S2411" s="609"/>
      <c r="T2411" s="741"/>
      <c r="U2411" s="586"/>
      <c r="V2411" s="564" t="s">
        <v>2899</v>
      </c>
      <c r="W2411" s="564" t="s">
        <v>25</v>
      </c>
      <c r="X2411" s="650"/>
      <c r="Y2411" s="586"/>
      <c r="Z2411" s="742"/>
      <c r="AA2411" s="586"/>
      <c r="AB2411" s="586"/>
      <c r="AC2411" s="586"/>
      <c r="AD2411" s="586"/>
      <c r="AE2411" s="714"/>
      <c r="AF2411" s="570" t="s">
        <v>2899</v>
      </c>
      <c r="AG2411" s="570" t="s">
        <v>25</v>
      </c>
      <c r="AH2411" s="571" t="s">
        <v>25</v>
      </c>
      <c r="AI2411" s="586"/>
      <c r="AJ2411" s="586"/>
    </row>
    <row r="2412" spans="1:36" s="394" customFormat="1" ht="20.25" outlineLevel="2" x14ac:dyDescent="0.3">
      <c r="A2412" s="447">
        <v>206</v>
      </c>
      <c r="B2412" s="572"/>
      <c r="C2412" s="572"/>
      <c r="D2412" s="612"/>
      <c r="E2412" s="612"/>
      <c r="F2412" s="586"/>
      <c r="G2412" s="709"/>
      <c r="H2412" s="546"/>
      <c r="I2412" s="563" t="s">
        <v>25</v>
      </c>
      <c r="J2412" s="563" t="s">
        <v>25</v>
      </c>
      <c r="K2412" s="564" t="s">
        <v>25</v>
      </c>
      <c r="L2412" s="564" t="s">
        <v>25</v>
      </c>
      <c r="M2412" s="572"/>
      <c r="N2412" s="572"/>
      <c r="O2412" s="740"/>
      <c r="P2412" s="564" t="s">
        <v>25</v>
      </c>
      <c r="Q2412" s="564" t="s">
        <v>25</v>
      </c>
      <c r="R2412" s="566"/>
      <c r="S2412" s="609"/>
      <c r="T2412" s="741"/>
      <c r="U2412" s="586"/>
      <c r="V2412" s="564" t="s">
        <v>2899</v>
      </c>
      <c r="W2412" s="564" t="s">
        <v>25</v>
      </c>
      <c r="X2412" s="650"/>
      <c r="Y2412" s="586"/>
      <c r="Z2412" s="742"/>
      <c r="AA2412" s="586"/>
      <c r="AB2412" s="586"/>
      <c r="AC2412" s="586"/>
      <c r="AD2412" s="586"/>
      <c r="AE2412" s="714"/>
      <c r="AF2412" s="570" t="s">
        <v>2899</v>
      </c>
      <c r="AG2412" s="570" t="s">
        <v>25</v>
      </c>
      <c r="AH2412" s="571" t="s">
        <v>25</v>
      </c>
      <c r="AI2412" s="586"/>
      <c r="AJ2412" s="586"/>
    </row>
    <row r="2413" spans="1:36" s="394" customFormat="1" ht="20.25" outlineLevel="2" x14ac:dyDescent="0.3">
      <c r="A2413" s="447">
        <v>206</v>
      </c>
      <c r="B2413" s="607"/>
      <c r="C2413" s="607"/>
      <c r="D2413" s="642"/>
      <c r="E2413" s="642"/>
      <c r="F2413" s="586"/>
      <c r="G2413" s="709"/>
      <c r="H2413" s="546"/>
      <c r="I2413" s="563" t="s">
        <v>25</v>
      </c>
      <c r="J2413" s="563" t="s">
        <v>25</v>
      </c>
      <c r="K2413" s="564" t="s">
        <v>25</v>
      </c>
      <c r="L2413" s="564" t="s">
        <v>25</v>
      </c>
      <c r="M2413" s="572"/>
      <c r="N2413" s="572"/>
      <c r="O2413" s="740"/>
      <c r="P2413" s="564" t="s">
        <v>25</v>
      </c>
      <c r="Q2413" s="564" t="s">
        <v>25</v>
      </c>
      <c r="R2413" s="566"/>
      <c r="S2413" s="609"/>
      <c r="T2413" s="741"/>
      <c r="U2413" s="586"/>
      <c r="V2413" s="564" t="s">
        <v>2899</v>
      </c>
      <c r="W2413" s="564" t="s">
        <v>25</v>
      </c>
      <c r="X2413" s="650"/>
      <c r="Y2413" s="586"/>
      <c r="Z2413" s="742"/>
      <c r="AA2413" s="586"/>
      <c r="AB2413" s="586"/>
      <c r="AC2413" s="586"/>
      <c r="AD2413" s="586"/>
      <c r="AE2413" s="714"/>
      <c r="AF2413" s="570" t="s">
        <v>2899</v>
      </c>
      <c r="AG2413" s="570" t="s">
        <v>25</v>
      </c>
      <c r="AH2413" s="571" t="s">
        <v>25</v>
      </c>
      <c r="AI2413" s="586"/>
      <c r="AJ2413" s="586"/>
    </row>
    <row r="2414" spans="1:36" s="394" customFormat="1" ht="40.5" outlineLevel="1" x14ac:dyDescent="0.25">
      <c r="A2414" s="467">
        <v>207</v>
      </c>
      <c r="B2414" s="607" t="s">
        <v>1448</v>
      </c>
      <c r="C2414" s="586" t="s">
        <v>2903</v>
      </c>
      <c r="D2414" s="612">
        <v>86</v>
      </c>
      <c r="E2414" s="612">
        <v>25</v>
      </c>
      <c r="F2414" s="578"/>
      <c r="G2414" s="707">
        <v>12</v>
      </c>
      <c r="H2414" s="579">
        <v>12</v>
      </c>
      <c r="I2414" s="581"/>
      <c r="J2414" s="581"/>
      <c r="K2414" s="571">
        <v>6653000</v>
      </c>
      <c r="L2414" s="571">
        <v>19958000</v>
      </c>
      <c r="M2414" s="607"/>
      <c r="N2414" s="607"/>
      <c r="O2414" s="738">
        <v>0</v>
      </c>
      <c r="P2414" s="571"/>
      <c r="Q2414" s="571">
        <v>0</v>
      </c>
      <c r="R2414" s="582"/>
      <c r="S2414" s="621"/>
      <c r="T2414" s="739">
        <v>0</v>
      </c>
      <c r="U2414" s="578"/>
      <c r="V2414" s="571"/>
      <c r="W2414" s="571">
        <v>0</v>
      </c>
      <c r="X2414" s="650"/>
      <c r="Y2414" s="586"/>
      <c r="Z2414" s="742"/>
      <c r="AA2414" s="586"/>
      <c r="AB2414" s="586"/>
      <c r="AC2414" s="586"/>
      <c r="AD2414" s="578"/>
      <c r="AE2414" s="712">
        <f>SUBTOTAL(9,AE2415:AE2420)</f>
        <v>0</v>
      </c>
      <c r="AF2414" s="585"/>
      <c r="AG2414" s="585">
        <v>0</v>
      </c>
      <c r="AH2414" s="571">
        <v>26611000</v>
      </c>
      <c r="AI2414" s="578"/>
      <c r="AJ2414" s="578"/>
    </row>
    <row r="2415" spans="1:36" s="394" customFormat="1" ht="202.5" outlineLevel="2" x14ac:dyDescent="0.3">
      <c r="A2415" s="447">
        <v>207</v>
      </c>
      <c r="B2415" s="572" t="s">
        <v>1450</v>
      </c>
      <c r="C2415" s="572"/>
      <c r="D2415" s="612"/>
      <c r="E2415" s="612"/>
      <c r="F2415" s="586" t="s">
        <v>2420</v>
      </c>
      <c r="G2415" s="709">
        <v>12</v>
      </c>
      <c r="H2415" s="546">
        <v>12</v>
      </c>
      <c r="I2415" s="563">
        <v>554400</v>
      </c>
      <c r="J2415" s="563">
        <v>1663200</v>
      </c>
      <c r="K2415" s="564">
        <v>6653000</v>
      </c>
      <c r="L2415" s="564">
        <v>19958000</v>
      </c>
      <c r="M2415" s="572"/>
      <c r="N2415" s="572"/>
      <c r="O2415" s="740"/>
      <c r="P2415" s="564"/>
      <c r="Q2415" s="564"/>
      <c r="R2415" s="566"/>
      <c r="S2415" s="609"/>
      <c r="T2415" s="741"/>
      <c r="U2415" s="586"/>
      <c r="V2415" s="564"/>
      <c r="W2415" s="564"/>
      <c r="X2415" s="650"/>
      <c r="Y2415" s="586"/>
      <c r="Z2415" s="742"/>
      <c r="AA2415" s="586"/>
      <c r="AB2415" s="586"/>
      <c r="AC2415" s="586"/>
      <c r="AD2415" s="586"/>
      <c r="AE2415" s="714"/>
      <c r="AF2415" s="570"/>
      <c r="AG2415" s="570"/>
      <c r="AH2415" s="571" t="s">
        <v>25</v>
      </c>
      <c r="AI2415" s="586" t="s">
        <v>2468</v>
      </c>
      <c r="AJ2415" s="586"/>
    </row>
    <row r="2416" spans="1:36" s="394" customFormat="1" ht="101.25" outlineLevel="2" x14ac:dyDescent="0.3">
      <c r="A2416" s="447">
        <v>207</v>
      </c>
      <c r="B2416" s="572" t="s">
        <v>1634</v>
      </c>
      <c r="C2416" s="572"/>
      <c r="D2416" s="612"/>
      <c r="E2416" s="612"/>
      <c r="F2416" s="586"/>
      <c r="G2416" s="709"/>
      <c r="H2416" s="546"/>
      <c r="I2416" s="563" t="s">
        <v>25</v>
      </c>
      <c r="J2416" s="563" t="s">
        <v>25</v>
      </c>
      <c r="K2416" s="564" t="s">
        <v>25</v>
      </c>
      <c r="L2416" s="564" t="s">
        <v>25</v>
      </c>
      <c r="M2416" s="572"/>
      <c r="N2416" s="572"/>
      <c r="O2416" s="740"/>
      <c r="P2416" s="564"/>
      <c r="Q2416" s="564"/>
      <c r="R2416" s="566"/>
      <c r="S2416" s="609"/>
      <c r="T2416" s="741"/>
      <c r="U2416" s="586"/>
      <c r="V2416" s="564"/>
      <c r="W2416" s="564"/>
      <c r="X2416" s="650"/>
      <c r="Y2416" s="586"/>
      <c r="Z2416" s="742"/>
      <c r="AA2416" s="586"/>
      <c r="AB2416" s="586"/>
      <c r="AC2416" s="586"/>
      <c r="AD2416" s="586"/>
      <c r="AE2416" s="714"/>
      <c r="AF2416" s="570"/>
      <c r="AG2416" s="570"/>
      <c r="AH2416" s="571" t="s">
        <v>25</v>
      </c>
      <c r="AI2416" s="586" t="s">
        <v>2074</v>
      </c>
      <c r="AJ2416" s="586"/>
    </row>
    <row r="2417" spans="1:36" s="394" customFormat="1" ht="20.25" outlineLevel="2" x14ac:dyDescent="0.3">
      <c r="A2417" s="447">
        <v>207</v>
      </c>
      <c r="B2417" s="572"/>
      <c r="C2417" s="572"/>
      <c r="D2417" s="612"/>
      <c r="E2417" s="612"/>
      <c r="F2417" s="586"/>
      <c r="G2417" s="709"/>
      <c r="H2417" s="546"/>
      <c r="I2417" s="563" t="s">
        <v>25</v>
      </c>
      <c r="J2417" s="563" t="s">
        <v>25</v>
      </c>
      <c r="K2417" s="564" t="s">
        <v>25</v>
      </c>
      <c r="L2417" s="564" t="s">
        <v>25</v>
      </c>
      <c r="M2417" s="572"/>
      <c r="N2417" s="572"/>
      <c r="O2417" s="740"/>
      <c r="P2417" s="564"/>
      <c r="Q2417" s="564"/>
      <c r="R2417" s="566"/>
      <c r="S2417" s="609"/>
      <c r="T2417" s="741"/>
      <c r="U2417" s="586"/>
      <c r="V2417" s="564"/>
      <c r="W2417" s="564"/>
      <c r="X2417" s="650"/>
      <c r="Y2417" s="586"/>
      <c r="Z2417" s="742"/>
      <c r="AA2417" s="586"/>
      <c r="AB2417" s="586"/>
      <c r="AC2417" s="586"/>
      <c r="AD2417" s="586"/>
      <c r="AE2417" s="714"/>
      <c r="AF2417" s="570"/>
      <c r="AG2417" s="570"/>
      <c r="AH2417" s="571" t="s">
        <v>25</v>
      </c>
      <c r="AI2417" s="586"/>
      <c r="AJ2417" s="586"/>
    </row>
    <row r="2418" spans="1:36" s="394" customFormat="1" ht="20.25" outlineLevel="2" x14ac:dyDescent="0.3">
      <c r="A2418" s="447">
        <v>207</v>
      </c>
      <c r="B2418" s="572"/>
      <c r="C2418" s="572"/>
      <c r="D2418" s="612"/>
      <c r="E2418" s="612"/>
      <c r="F2418" s="586"/>
      <c r="G2418" s="709"/>
      <c r="H2418" s="546"/>
      <c r="I2418" s="563" t="s">
        <v>25</v>
      </c>
      <c r="J2418" s="563" t="s">
        <v>25</v>
      </c>
      <c r="K2418" s="564" t="s">
        <v>25</v>
      </c>
      <c r="L2418" s="564" t="s">
        <v>25</v>
      </c>
      <c r="M2418" s="572"/>
      <c r="N2418" s="572"/>
      <c r="O2418" s="740"/>
      <c r="P2418" s="564"/>
      <c r="Q2418" s="564"/>
      <c r="R2418" s="566"/>
      <c r="S2418" s="609"/>
      <c r="T2418" s="741"/>
      <c r="U2418" s="586"/>
      <c r="V2418" s="564"/>
      <c r="W2418" s="564"/>
      <c r="X2418" s="650"/>
      <c r="Y2418" s="586"/>
      <c r="Z2418" s="742"/>
      <c r="AA2418" s="586"/>
      <c r="AB2418" s="586"/>
      <c r="AC2418" s="586"/>
      <c r="AD2418" s="586"/>
      <c r="AE2418" s="714"/>
      <c r="AF2418" s="570"/>
      <c r="AG2418" s="570"/>
      <c r="AH2418" s="571" t="s">
        <v>25</v>
      </c>
      <c r="AI2418" s="586"/>
      <c r="AJ2418" s="586"/>
    </row>
    <row r="2419" spans="1:36" s="394" customFormat="1" ht="20.25" outlineLevel="2" x14ac:dyDescent="0.3">
      <c r="A2419" s="447">
        <v>207</v>
      </c>
      <c r="B2419" s="572"/>
      <c r="C2419" s="572"/>
      <c r="D2419" s="612"/>
      <c r="E2419" s="612"/>
      <c r="F2419" s="586"/>
      <c r="G2419" s="709"/>
      <c r="H2419" s="546"/>
      <c r="I2419" s="563" t="s">
        <v>25</v>
      </c>
      <c r="J2419" s="563" t="s">
        <v>25</v>
      </c>
      <c r="K2419" s="564" t="s">
        <v>25</v>
      </c>
      <c r="L2419" s="564" t="s">
        <v>25</v>
      </c>
      <c r="M2419" s="572"/>
      <c r="N2419" s="572"/>
      <c r="O2419" s="740"/>
      <c r="P2419" s="564"/>
      <c r="Q2419" s="564"/>
      <c r="R2419" s="566"/>
      <c r="S2419" s="609"/>
      <c r="T2419" s="741"/>
      <c r="U2419" s="586"/>
      <c r="V2419" s="564"/>
      <c r="W2419" s="564"/>
      <c r="X2419" s="650"/>
      <c r="Y2419" s="586"/>
      <c r="Z2419" s="742"/>
      <c r="AA2419" s="586"/>
      <c r="AB2419" s="586"/>
      <c r="AC2419" s="586"/>
      <c r="AD2419" s="586"/>
      <c r="AE2419" s="714"/>
      <c r="AF2419" s="570"/>
      <c r="AG2419" s="570"/>
      <c r="AH2419" s="571" t="s">
        <v>25</v>
      </c>
      <c r="AI2419" s="586"/>
      <c r="AJ2419" s="586"/>
    </row>
    <row r="2420" spans="1:36" s="394" customFormat="1" ht="20.25" outlineLevel="2" x14ac:dyDescent="0.3">
      <c r="A2420" s="447">
        <v>207</v>
      </c>
      <c r="B2420" s="607"/>
      <c r="C2420" s="607"/>
      <c r="D2420" s="642"/>
      <c r="E2420" s="642"/>
      <c r="F2420" s="586"/>
      <c r="G2420" s="709"/>
      <c r="H2420" s="546"/>
      <c r="I2420" s="563" t="s">
        <v>25</v>
      </c>
      <c r="J2420" s="563" t="s">
        <v>25</v>
      </c>
      <c r="K2420" s="564" t="s">
        <v>25</v>
      </c>
      <c r="L2420" s="564" t="s">
        <v>25</v>
      </c>
      <c r="M2420" s="572"/>
      <c r="N2420" s="572"/>
      <c r="O2420" s="740"/>
      <c r="P2420" s="564"/>
      <c r="Q2420" s="564"/>
      <c r="R2420" s="566"/>
      <c r="S2420" s="609"/>
      <c r="T2420" s="741"/>
      <c r="U2420" s="586"/>
      <c r="V2420" s="564"/>
      <c r="W2420" s="564"/>
      <c r="X2420" s="650"/>
      <c r="Y2420" s="586"/>
      <c r="Z2420" s="742"/>
      <c r="AA2420" s="586"/>
      <c r="AB2420" s="586"/>
      <c r="AC2420" s="586"/>
      <c r="AD2420" s="586"/>
      <c r="AE2420" s="714"/>
      <c r="AF2420" s="570"/>
      <c r="AG2420" s="570"/>
      <c r="AH2420" s="571" t="s">
        <v>25</v>
      </c>
      <c r="AI2420" s="586"/>
      <c r="AJ2420" s="586"/>
    </row>
    <row r="2421" spans="1:36" s="394" customFormat="1" ht="40.5" outlineLevel="1" x14ac:dyDescent="0.25">
      <c r="A2421" s="467">
        <v>208</v>
      </c>
      <c r="B2421" s="607" t="s">
        <v>2056</v>
      </c>
      <c r="C2421" s="586" t="s">
        <v>2903</v>
      </c>
      <c r="D2421" s="612">
        <v>86</v>
      </c>
      <c r="E2421" s="612">
        <v>717</v>
      </c>
      <c r="F2421" s="578"/>
      <c r="G2421" s="707">
        <v>94.3</v>
      </c>
      <c r="H2421" s="579">
        <v>0</v>
      </c>
      <c r="I2421" s="581"/>
      <c r="J2421" s="581"/>
      <c r="K2421" s="571">
        <v>51466000</v>
      </c>
      <c r="L2421" s="571">
        <v>0</v>
      </c>
      <c r="M2421" s="607"/>
      <c r="N2421" s="607"/>
      <c r="O2421" s="738">
        <v>0</v>
      </c>
      <c r="P2421" s="571"/>
      <c r="Q2421" s="571">
        <v>0</v>
      </c>
      <c r="R2421" s="582"/>
      <c r="S2421" s="621"/>
      <c r="T2421" s="739">
        <v>0</v>
      </c>
      <c r="U2421" s="578"/>
      <c r="V2421" s="571"/>
      <c r="W2421" s="571">
        <v>0</v>
      </c>
      <c r="X2421" s="650"/>
      <c r="Y2421" s="586"/>
      <c r="Z2421" s="742"/>
      <c r="AA2421" s="586"/>
      <c r="AB2421" s="586"/>
      <c r="AC2421" s="586"/>
      <c r="AD2421" s="578"/>
      <c r="AE2421" s="712">
        <f>SUBTOTAL(9,AE2422:AE2426)</f>
        <v>0</v>
      </c>
      <c r="AF2421" s="585"/>
      <c r="AG2421" s="585">
        <v>0</v>
      </c>
      <c r="AH2421" s="571">
        <v>51466000</v>
      </c>
      <c r="AI2421" s="578"/>
      <c r="AJ2421" s="578"/>
    </row>
    <row r="2422" spans="1:36" s="394" customFormat="1" ht="40.5" outlineLevel="2" x14ac:dyDescent="0.3">
      <c r="A2422" s="447">
        <v>208</v>
      </c>
      <c r="B2422" s="572"/>
      <c r="C2422" s="572"/>
      <c r="D2422" s="612"/>
      <c r="E2422" s="612"/>
      <c r="F2422" s="586" t="s">
        <v>2461</v>
      </c>
      <c r="G2422" s="709">
        <v>58.3</v>
      </c>
      <c r="H2422" s="546" t="s">
        <v>2899</v>
      </c>
      <c r="I2422" s="563">
        <v>554400</v>
      </c>
      <c r="J2422" s="563">
        <v>0</v>
      </c>
      <c r="K2422" s="564">
        <v>32322000</v>
      </c>
      <c r="L2422" s="564">
        <v>0</v>
      </c>
      <c r="M2422" s="572"/>
      <c r="N2422" s="572"/>
      <c r="O2422" s="740"/>
      <c r="P2422" s="564" t="s">
        <v>25</v>
      </c>
      <c r="Q2422" s="564" t="s">
        <v>25</v>
      </c>
      <c r="R2422" s="566"/>
      <c r="S2422" s="609"/>
      <c r="T2422" s="741"/>
      <c r="U2422" s="586"/>
      <c r="V2422" s="564" t="s">
        <v>2899</v>
      </c>
      <c r="W2422" s="564" t="s">
        <v>25</v>
      </c>
      <c r="X2422" s="650"/>
      <c r="Y2422" s="586"/>
      <c r="Z2422" s="742"/>
      <c r="AA2422" s="586"/>
      <c r="AB2422" s="586"/>
      <c r="AC2422" s="586"/>
      <c r="AD2422" s="586"/>
      <c r="AE2422" s="714"/>
      <c r="AF2422" s="570" t="s">
        <v>2899</v>
      </c>
      <c r="AG2422" s="570" t="s">
        <v>25</v>
      </c>
      <c r="AH2422" s="571" t="s">
        <v>25</v>
      </c>
      <c r="AI2422" s="586"/>
      <c r="AJ2422" s="586"/>
    </row>
    <row r="2423" spans="1:36" s="394" customFormat="1" ht="40.5" outlineLevel="2" x14ac:dyDescent="0.3">
      <c r="A2423" s="447">
        <v>208</v>
      </c>
      <c r="B2423" s="572"/>
      <c r="C2423" s="572"/>
      <c r="D2423" s="612"/>
      <c r="E2423" s="612"/>
      <c r="F2423" s="586" t="s">
        <v>2455</v>
      </c>
      <c r="G2423" s="709">
        <v>36</v>
      </c>
      <c r="H2423" s="546" t="s">
        <v>2899</v>
      </c>
      <c r="I2423" s="563">
        <v>531787.19999999995</v>
      </c>
      <c r="J2423" s="563">
        <v>0</v>
      </c>
      <c r="K2423" s="564">
        <v>19144000</v>
      </c>
      <c r="L2423" s="564">
        <v>0</v>
      </c>
      <c r="M2423" s="572"/>
      <c r="N2423" s="572"/>
      <c r="O2423" s="740"/>
      <c r="P2423" s="564" t="s">
        <v>25</v>
      </c>
      <c r="Q2423" s="564" t="s">
        <v>25</v>
      </c>
      <c r="R2423" s="566"/>
      <c r="S2423" s="609"/>
      <c r="T2423" s="741"/>
      <c r="U2423" s="586"/>
      <c r="V2423" s="564" t="s">
        <v>2899</v>
      </c>
      <c r="W2423" s="564" t="s">
        <v>25</v>
      </c>
      <c r="X2423" s="650"/>
      <c r="Y2423" s="586"/>
      <c r="Z2423" s="742"/>
      <c r="AA2423" s="586"/>
      <c r="AB2423" s="586"/>
      <c r="AC2423" s="586"/>
      <c r="AD2423" s="586"/>
      <c r="AE2423" s="714"/>
      <c r="AF2423" s="570" t="s">
        <v>2899</v>
      </c>
      <c r="AG2423" s="570" t="s">
        <v>25</v>
      </c>
      <c r="AH2423" s="571" t="s">
        <v>25</v>
      </c>
      <c r="AI2423" s="586"/>
      <c r="AJ2423" s="586"/>
    </row>
    <row r="2424" spans="1:36" s="394" customFormat="1" ht="20.25" outlineLevel="2" x14ac:dyDescent="0.25">
      <c r="A2424" s="447">
        <v>208</v>
      </c>
      <c r="B2424" s="572"/>
      <c r="C2424" s="572"/>
      <c r="D2424" s="612"/>
      <c r="E2424" s="612"/>
      <c r="F2424" s="586"/>
      <c r="G2424" s="709"/>
      <c r="H2424" s="709"/>
      <c r="I2424" s="563" t="s">
        <v>25</v>
      </c>
      <c r="J2424" s="563" t="s">
        <v>25</v>
      </c>
      <c r="K2424" s="564" t="s">
        <v>25</v>
      </c>
      <c r="L2424" s="564" t="s">
        <v>25</v>
      </c>
      <c r="M2424" s="572"/>
      <c r="N2424" s="572"/>
      <c r="O2424" s="740"/>
      <c r="P2424" s="564" t="s">
        <v>25</v>
      </c>
      <c r="Q2424" s="564" t="s">
        <v>25</v>
      </c>
      <c r="R2424" s="566"/>
      <c r="S2424" s="609"/>
      <c r="T2424" s="741"/>
      <c r="U2424" s="586"/>
      <c r="V2424" s="564" t="s">
        <v>2899</v>
      </c>
      <c r="W2424" s="564" t="s">
        <v>25</v>
      </c>
      <c r="X2424" s="650"/>
      <c r="Y2424" s="586"/>
      <c r="Z2424" s="742"/>
      <c r="AA2424" s="586"/>
      <c r="AB2424" s="586"/>
      <c r="AC2424" s="586"/>
      <c r="AD2424" s="586"/>
      <c r="AE2424" s="714"/>
      <c r="AF2424" s="570" t="s">
        <v>2899</v>
      </c>
      <c r="AG2424" s="570" t="s">
        <v>25</v>
      </c>
      <c r="AH2424" s="571" t="s">
        <v>25</v>
      </c>
      <c r="AI2424" s="586"/>
      <c r="AJ2424" s="586"/>
    </row>
    <row r="2425" spans="1:36" s="394" customFormat="1" ht="20.25" outlineLevel="2" x14ac:dyDescent="0.25">
      <c r="A2425" s="447">
        <v>208</v>
      </c>
      <c r="B2425" s="572"/>
      <c r="C2425" s="572"/>
      <c r="D2425" s="612"/>
      <c r="E2425" s="612"/>
      <c r="F2425" s="586"/>
      <c r="G2425" s="709"/>
      <c r="H2425" s="709"/>
      <c r="I2425" s="563" t="s">
        <v>25</v>
      </c>
      <c r="J2425" s="563" t="s">
        <v>25</v>
      </c>
      <c r="K2425" s="564" t="s">
        <v>25</v>
      </c>
      <c r="L2425" s="564" t="s">
        <v>25</v>
      </c>
      <c r="M2425" s="572"/>
      <c r="N2425" s="572"/>
      <c r="O2425" s="740"/>
      <c r="P2425" s="564" t="s">
        <v>25</v>
      </c>
      <c r="Q2425" s="564" t="s">
        <v>25</v>
      </c>
      <c r="R2425" s="566"/>
      <c r="S2425" s="609"/>
      <c r="T2425" s="741"/>
      <c r="U2425" s="586"/>
      <c r="V2425" s="564" t="s">
        <v>2899</v>
      </c>
      <c r="W2425" s="564" t="s">
        <v>25</v>
      </c>
      <c r="X2425" s="650"/>
      <c r="Y2425" s="586"/>
      <c r="Z2425" s="742"/>
      <c r="AA2425" s="586"/>
      <c r="AB2425" s="586"/>
      <c r="AC2425" s="586"/>
      <c r="AD2425" s="586"/>
      <c r="AE2425" s="714"/>
      <c r="AF2425" s="570" t="s">
        <v>2899</v>
      </c>
      <c r="AG2425" s="570" t="s">
        <v>25</v>
      </c>
      <c r="AH2425" s="571" t="s">
        <v>25</v>
      </c>
      <c r="AI2425" s="586"/>
      <c r="AJ2425" s="586"/>
    </row>
    <row r="2426" spans="1:36" s="394" customFormat="1" ht="20.25" outlineLevel="2" x14ac:dyDescent="0.25">
      <c r="A2426" s="447">
        <v>208</v>
      </c>
      <c r="B2426" s="572"/>
      <c r="C2426" s="572"/>
      <c r="D2426" s="642"/>
      <c r="E2426" s="642"/>
      <c r="F2426" s="586"/>
      <c r="G2426" s="709"/>
      <c r="H2426" s="709"/>
      <c r="I2426" s="563" t="s">
        <v>25</v>
      </c>
      <c r="J2426" s="563" t="s">
        <v>25</v>
      </c>
      <c r="K2426" s="564" t="s">
        <v>25</v>
      </c>
      <c r="L2426" s="564" t="s">
        <v>25</v>
      </c>
      <c r="M2426" s="572"/>
      <c r="N2426" s="572"/>
      <c r="O2426" s="740"/>
      <c r="P2426" s="564" t="s">
        <v>25</v>
      </c>
      <c r="Q2426" s="564" t="s">
        <v>25</v>
      </c>
      <c r="R2426" s="566"/>
      <c r="S2426" s="609"/>
      <c r="T2426" s="741"/>
      <c r="U2426" s="586"/>
      <c r="V2426" s="564" t="s">
        <v>2899</v>
      </c>
      <c r="W2426" s="564" t="s">
        <v>25</v>
      </c>
      <c r="X2426" s="650"/>
      <c r="Y2426" s="586"/>
      <c r="Z2426" s="742"/>
      <c r="AA2426" s="586"/>
      <c r="AB2426" s="586"/>
      <c r="AC2426" s="586"/>
      <c r="AD2426" s="586"/>
      <c r="AE2426" s="714"/>
      <c r="AF2426" s="570" t="s">
        <v>2899</v>
      </c>
      <c r="AG2426" s="570" t="s">
        <v>25</v>
      </c>
      <c r="AH2426" s="571" t="s">
        <v>25</v>
      </c>
      <c r="AI2426" s="586"/>
      <c r="AJ2426" s="586"/>
    </row>
    <row r="2427" spans="1:36" x14ac:dyDescent="0.25">
      <c r="I2427" s="452"/>
      <c r="J2427" s="452"/>
    </row>
    <row r="2428" spans="1:36" x14ac:dyDescent="0.25">
      <c r="I2428" s="452"/>
      <c r="J2428" s="452"/>
    </row>
    <row r="2429" spans="1:36" x14ac:dyDescent="0.25">
      <c r="I2429" s="452"/>
      <c r="J2429" s="452"/>
    </row>
    <row r="2430" spans="1:36" x14ac:dyDescent="0.25">
      <c r="I2430" s="452"/>
      <c r="J2430" s="452"/>
    </row>
    <row r="2431" spans="1:36" x14ac:dyDescent="0.25">
      <c r="I2431" s="452"/>
      <c r="J2431" s="452"/>
    </row>
    <row r="2432" spans="1:36" x14ac:dyDescent="0.25">
      <c r="I2432" s="452"/>
      <c r="J2432" s="452"/>
    </row>
    <row r="2433" spans="1:69" x14ac:dyDescent="0.25">
      <c r="I2433" s="452"/>
      <c r="J2433" s="452"/>
    </row>
    <row r="2434" spans="1:69" x14ac:dyDescent="0.25">
      <c r="I2434" s="452"/>
      <c r="J2434" s="452"/>
    </row>
    <row r="2435" spans="1:69" x14ac:dyDescent="0.25">
      <c r="I2435" s="452"/>
      <c r="J2435" s="452"/>
    </row>
    <row r="2436" spans="1:69" x14ac:dyDescent="0.25">
      <c r="I2436" s="452"/>
      <c r="J2436" s="452"/>
    </row>
    <row r="2437" spans="1:69" x14ac:dyDescent="0.25">
      <c r="I2437" s="452"/>
      <c r="J2437" s="452"/>
    </row>
    <row r="2438" spans="1:69" x14ac:dyDescent="0.25">
      <c r="I2438" s="452"/>
      <c r="J2438" s="452"/>
    </row>
    <row r="2439" spans="1:69" x14ac:dyDescent="0.25">
      <c r="I2439" s="452"/>
      <c r="J2439" s="452"/>
    </row>
    <row r="2440" spans="1:69" x14ac:dyDescent="0.25">
      <c r="I2440" s="454"/>
      <c r="J2440" s="454"/>
    </row>
    <row r="2441" spans="1:69" s="451" customFormat="1" x14ac:dyDescent="0.25">
      <c r="A2441" s="449"/>
      <c r="B2441" s="411"/>
      <c r="C2441" s="411"/>
      <c r="D2441" s="460"/>
      <c r="E2441" s="460"/>
      <c r="F2441" s="411"/>
      <c r="G2441" s="497"/>
      <c r="H2441" s="497"/>
      <c r="I2441" s="454"/>
      <c r="J2441" s="454"/>
      <c r="M2441" s="401"/>
      <c r="N2441" s="401"/>
      <c r="R2441" s="401"/>
      <c r="S2441" s="401"/>
      <c r="T2441" s="412"/>
      <c r="U2441" s="401"/>
      <c r="W2441" s="456"/>
      <c r="X2441" s="413"/>
      <c r="Y2441" s="413"/>
      <c r="Z2441" s="413"/>
      <c r="AA2441" s="413"/>
      <c r="AB2441" s="413"/>
      <c r="AC2441" s="413"/>
      <c r="AD2441" s="413"/>
      <c r="AE2441" s="457"/>
      <c r="AF2441" s="457"/>
      <c r="AG2441" s="457"/>
      <c r="AI2441" s="401"/>
      <c r="AJ2441" s="373"/>
      <c r="AK2441" s="401"/>
      <c r="AL2441" s="401"/>
      <c r="AM2441" s="401"/>
      <c r="AN2441" s="401"/>
      <c r="AO2441" s="401"/>
      <c r="AP2441" s="401"/>
      <c r="AQ2441" s="401"/>
      <c r="AR2441" s="401"/>
      <c r="AS2441" s="401"/>
      <c r="AT2441" s="401"/>
      <c r="AU2441" s="401"/>
      <c r="AV2441" s="401"/>
      <c r="AW2441" s="401"/>
      <c r="AX2441" s="401"/>
      <c r="AY2441" s="401"/>
      <c r="AZ2441" s="401"/>
      <c r="BA2441" s="401"/>
      <c r="BB2441" s="401"/>
      <c r="BC2441" s="401"/>
      <c r="BD2441" s="401"/>
      <c r="BE2441" s="401"/>
      <c r="BF2441" s="401"/>
      <c r="BG2441" s="401"/>
      <c r="BH2441" s="401"/>
      <c r="BI2441" s="401"/>
      <c r="BJ2441" s="401"/>
      <c r="BK2441" s="401"/>
      <c r="BL2441" s="401"/>
      <c r="BM2441" s="401"/>
      <c r="BN2441" s="401"/>
      <c r="BO2441" s="401"/>
      <c r="BP2441" s="401"/>
      <c r="BQ2441" s="401"/>
    </row>
    <row r="2442" spans="1:69" s="451" customFormat="1" x14ac:dyDescent="0.25">
      <c r="A2442" s="449"/>
      <c r="B2442" s="411"/>
      <c r="C2442" s="411"/>
      <c r="D2442" s="460"/>
      <c r="E2442" s="460"/>
      <c r="F2442" s="411"/>
      <c r="G2442" s="497"/>
      <c r="H2442" s="497"/>
      <c r="I2442" s="454"/>
      <c r="J2442" s="454"/>
      <c r="M2442" s="401"/>
      <c r="N2442" s="401"/>
      <c r="R2442" s="401"/>
      <c r="S2442" s="401"/>
      <c r="T2442" s="412"/>
      <c r="U2442" s="401"/>
      <c r="W2442" s="456"/>
      <c r="X2442" s="413"/>
      <c r="Y2442" s="413"/>
      <c r="Z2442" s="413"/>
      <c r="AA2442" s="413"/>
      <c r="AB2442" s="413"/>
      <c r="AC2442" s="413"/>
      <c r="AD2442" s="413"/>
      <c r="AE2442" s="457"/>
      <c r="AF2442" s="457"/>
      <c r="AG2442" s="457"/>
      <c r="AI2442" s="401"/>
      <c r="AJ2442" s="373"/>
      <c r="AK2442" s="401"/>
      <c r="AL2442" s="401"/>
      <c r="AM2442" s="401"/>
      <c r="AN2442" s="401"/>
      <c r="AO2442" s="401"/>
      <c r="AP2442" s="401"/>
      <c r="AQ2442" s="401"/>
      <c r="AR2442" s="401"/>
      <c r="AS2442" s="401"/>
      <c r="AT2442" s="401"/>
      <c r="AU2442" s="401"/>
      <c r="AV2442" s="401"/>
      <c r="AW2442" s="401"/>
      <c r="AX2442" s="401"/>
      <c r="AY2442" s="401"/>
      <c r="AZ2442" s="401"/>
      <c r="BA2442" s="401"/>
      <c r="BB2442" s="401"/>
      <c r="BC2442" s="401"/>
      <c r="BD2442" s="401"/>
      <c r="BE2442" s="401"/>
      <c r="BF2442" s="401"/>
      <c r="BG2442" s="401"/>
      <c r="BH2442" s="401"/>
      <c r="BI2442" s="401"/>
      <c r="BJ2442" s="401"/>
      <c r="BK2442" s="401"/>
      <c r="BL2442" s="401"/>
      <c r="BM2442" s="401"/>
      <c r="BN2442" s="401"/>
      <c r="BO2442" s="401"/>
      <c r="BP2442" s="401"/>
      <c r="BQ2442" s="401"/>
    </row>
    <row r="2443" spans="1:69" s="451" customFormat="1" x14ac:dyDescent="0.25">
      <c r="A2443" s="449"/>
      <c r="B2443" s="411"/>
      <c r="C2443" s="411"/>
      <c r="D2443" s="460"/>
      <c r="E2443" s="460"/>
      <c r="F2443" s="411"/>
      <c r="G2443" s="497"/>
      <c r="H2443" s="497"/>
      <c r="I2443" s="454"/>
      <c r="J2443" s="454"/>
      <c r="M2443" s="401"/>
      <c r="N2443" s="401"/>
      <c r="R2443" s="401"/>
      <c r="S2443" s="401"/>
      <c r="T2443" s="412"/>
      <c r="U2443" s="401"/>
      <c r="W2443" s="456"/>
      <c r="X2443" s="413"/>
      <c r="Y2443" s="413"/>
      <c r="Z2443" s="413"/>
      <c r="AA2443" s="413"/>
      <c r="AB2443" s="413"/>
      <c r="AC2443" s="413"/>
      <c r="AD2443" s="413"/>
      <c r="AE2443" s="457"/>
      <c r="AF2443" s="457"/>
      <c r="AG2443" s="457"/>
      <c r="AI2443" s="401"/>
      <c r="AJ2443" s="373"/>
      <c r="AK2443" s="401"/>
      <c r="AL2443" s="401"/>
      <c r="AM2443" s="401"/>
      <c r="AN2443" s="401"/>
      <c r="AO2443" s="401"/>
      <c r="AP2443" s="401"/>
      <c r="AQ2443" s="401"/>
      <c r="AR2443" s="401"/>
      <c r="AS2443" s="401"/>
      <c r="AT2443" s="401"/>
      <c r="AU2443" s="401"/>
      <c r="AV2443" s="401"/>
      <c r="AW2443" s="401"/>
      <c r="AX2443" s="401"/>
      <c r="AY2443" s="401"/>
      <c r="AZ2443" s="401"/>
      <c r="BA2443" s="401"/>
      <c r="BB2443" s="401"/>
      <c r="BC2443" s="401"/>
      <c r="BD2443" s="401"/>
      <c r="BE2443" s="401"/>
      <c r="BF2443" s="401"/>
      <c r="BG2443" s="401"/>
      <c r="BH2443" s="401"/>
      <c r="BI2443" s="401"/>
      <c r="BJ2443" s="401"/>
      <c r="BK2443" s="401"/>
      <c r="BL2443" s="401"/>
      <c r="BM2443" s="401"/>
      <c r="BN2443" s="401"/>
      <c r="BO2443" s="401"/>
      <c r="BP2443" s="401"/>
      <c r="BQ2443" s="401"/>
    </row>
    <row r="2444" spans="1:69" s="451" customFormat="1" x14ac:dyDescent="0.25">
      <c r="A2444" s="449"/>
      <c r="B2444" s="411"/>
      <c r="C2444" s="411"/>
      <c r="D2444" s="460"/>
      <c r="E2444" s="460"/>
      <c r="F2444" s="411"/>
      <c r="G2444" s="497"/>
      <c r="H2444" s="497"/>
      <c r="I2444" s="454"/>
      <c r="J2444" s="454"/>
      <c r="M2444" s="401"/>
      <c r="N2444" s="401"/>
      <c r="R2444" s="401"/>
      <c r="S2444" s="401"/>
      <c r="T2444" s="412"/>
      <c r="U2444" s="401"/>
      <c r="W2444" s="456"/>
      <c r="X2444" s="413"/>
      <c r="Y2444" s="413"/>
      <c r="Z2444" s="413"/>
      <c r="AA2444" s="413"/>
      <c r="AB2444" s="413"/>
      <c r="AC2444" s="413"/>
      <c r="AD2444" s="413"/>
      <c r="AE2444" s="457"/>
      <c r="AF2444" s="457"/>
      <c r="AG2444" s="457"/>
      <c r="AI2444" s="401"/>
      <c r="AJ2444" s="373"/>
      <c r="AK2444" s="401"/>
      <c r="AL2444" s="401"/>
      <c r="AM2444" s="401"/>
      <c r="AN2444" s="401"/>
      <c r="AO2444" s="401"/>
      <c r="AP2444" s="401"/>
      <c r="AQ2444" s="401"/>
      <c r="AR2444" s="401"/>
      <c r="AS2444" s="401"/>
      <c r="AT2444" s="401"/>
      <c r="AU2444" s="401"/>
      <c r="AV2444" s="401"/>
      <c r="AW2444" s="401"/>
      <c r="AX2444" s="401"/>
      <c r="AY2444" s="401"/>
      <c r="AZ2444" s="401"/>
      <c r="BA2444" s="401"/>
      <c r="BB2444" s="401"/>
      <c r="BC2444" s="401"/>
      <c r="BD2444" s="401"/>
      <c r="BE2444" s="401"/>
      <c r="BF2444" s="401"/>
      <c r="BG2444" s="401"/>
      <c r="BH2444" s="401"/>
      <c r="BI2444" s="401"/>
      <c r="BJ2444" s="401"/>
      <c r="BK2444" s="401"/>
      <c r="BL2444" s="401"/>
      <c r="BM2444" s="401"/>
      <c r="BN2444" s="401"/>
      <c r="BO2444" s="401"/>
      <c r="BP2444" s="401"/>
      <c r="BQ2444" s="401"/>
    </row>
    <row r="2445" spans="1:69" s="451" customFormat="1" x14ac:dyDescent="0.25">
      <c r="A2445" s="449"/>
      <c r="B2445" s="411"/>
      <c r="C2445" s="411"/>
      <c r="D2445" s="460"/>
      <c r="E2445" s="460"/>
      <c r="F2445" s="411"/>
      <c r="G2445" s="497"/>
      <c r="H2445" s="497"/>
      <c r="I2445" s="454"/>
      <c r="J2445" s="454"/>
      <c r="M2445" s="401"/>
      <c r="N2445" s="401"/>
      <c r="R2445" s="401"/>
      <c r="S2445" s="401"/>
      <c r="T2445" s="412"/>
      <c r="U2445" s="401"/>
      <c r="W2445" s="456"/>
      <c r="X2445" s="413"/>
      <c r="Y2445" s="413"/>
      <c r="Z2445" s="413"/>
      <c r="AA2445" s="413"/>
      <c r="AB2445" s="413"/>
      <c r="AC2445" s="413"/>
      <c r="AD2445" s="413"/>
      <c r="AE2445" s="457"/>
      <c r="AF2445" s="457"/>
      <c r="AG2445" s="457"/>
      <c r="AI2445" s="401"/>
      <c r="AJ2445" s="373"/>
      <c r="AK2445" s="401"/>
      <c r="AL2445" s="401"/>
      <c r="AM2445" s="401"/>
      <c r="AN2445" s="401"/>
      <c r="AO2445" s="401"/>
      <c r="AP2445" s="401"/>
      <c r="AQ2445" s="401"/>
      <c r="AR2445" s="401"/>
      <c r="AS2445" s="401"/>
      <c r="AT2445" s="401"/>
      <c r="AU2445" s="401"/>
      <c r="AV2445" s="401"/>
      <c r="AW2445" s="401"/>
      <c r="AX2445" s="401"/>
      <c r="AY2445" s="401"/>
      <c r="AZ2445" s="401"/>
      <c r="BA2445" s="401"/>
      <c r="BB2445" s="401"/>
      <c r="BC2445" s="401"/>
      <c r="BD2445" s="401"/>
      <c r="BE2445" s="401"/>
      <c r="BF2445" s="401"/>
      <c r="BG2445" s="401"/>
      <c r="BH2445" s="401"/>
      <c r="BI2445" s="401"/>
      <c r="BJ2445" s="401"/>
      <c r="BK2445" s="401"/>
      <c r="BL2445" s="401"/>
      <c r="BM2445" s="401"/>
      <c r="BN2445" s="401"/>
      <c r="BO2445" s="401"/>
      <c r="BP2445" s="401"/>
      <c r="BQ2445" s="401"/>
    </row>
    <row r="2447" spans="1:69" s="451" customFormat="1" x14ac:dyDescent="0.25">
      <c r="A2447" s="449"/>
      <c r="B2447" s="411"/>
      <c r="C2447" s="411"/>
      <c r="D2447" s="460"/>
      <c r="E2447" s="460"/>
      <c r="F2447" s="411"/>
      <c r="G2447" s="497"/>
      <c r="H2447" s="497"/>
      <c r="I2447" s="455"/>
      <c r="J2447" s="455"/>
      <c r="M2447" s="401"/>
      <c r="N2447" s="401"/>
      <c r="R2447" s="401"/>
      <c r="S2447" s="401"/>
      <c r="T2447" s="412"/>
      <c r="U2447" s="401"/>
      <c r="W2447" s="456"/>
      <c r="X2447" s="413"/>
      <c r="Y2447" s="413"/>
      <c r="Z2447" s="413"/>
      <c r="AA2447" s="413"/>
      <c r="AB2447" s="413"/>
      <c r="AC2447" s="413"/>
      <c r="AD2447" s="413"/>
      <c r="AE2447" s="457"/>
      <c r="AF2447" s="457"/>
      <c r="AG2447" s="457"/>
      <c r="AI2447" s="401"/>
      <c r="AJ2447" s="373"/>
      <c r="AK2447" s="401"/>
      <c r="AL2447" s="401"/>
      <c r="AM2447" s="401"/>
      <c r="AN2447" s="401"/>
      <c r="AO2447" s="401"/>
      <c r="AP2447" s="401"/>
      <c r="AQ2447" s="401"/>
      <c r="AR2447" s="401"/>
      <c r="AS2447" s="401"/>
      <c r="AT2447" s="401"/>
      <c r="AU2447" s="401"/>
      <c r="AV2447" s="401"/>
      <c r="AW2447" s="401"/>
      <c r="AX2447" s="401"/>
      <c r="AY2447" s="401"/>
      <c r="AZ2447" s="401"/>
      <c r="BA2447" s="401"/>
      <c r="BB2447" s="401"/>
      <c r="BC2447" s="401"/>
      <c r="BD2447" s="401"/>
      <c r="BE2447" s="401"/>
      <c r="BF2447" s="401"/>
      <c r="BG2447" s="401"/>
      <c r="BH2447" s="401"/>
      <c r="BI2447" s="401"/>
      <c r="BJ2447" s="401"/>
      <c r="BK2447" s="401"/>
      <c r="BL2447" s="401"/>
      <c r="BM2447" s="401"/>
      <c r="BN2447" s="401"/>
      <c r="BO2447" s="401"/>
      <c r="BP2447" s="401"/>
      <c r="BQ2447" s="401"/>
    </row>
    <row r="2448" spans="1:69" s="451" customFormat="1" x14ac:dyDescent="0.25">
      <c r="A2448" s="449"/>
      <c r="B2448" s="411"/>
      <c r="C2448" s="411"/>
      <c r="D2448" s="460"/>
      <c r="E2448" s="460"/>
      <c r="F2448" s="411"/>
      <c r="G2448" s="497"/>
      <c r="H2448" s="497"/>
      <c r="I2448" s="455"/>
      <c r="J2448" s="455"/>
      <c r="M2448" s="401"/>
      <c r="N2448" s="401"/>
      <c r="R2448" s="401"/>
      <c r="S2448" s="401"/>
      <c r="T2448" s="412"/>
      <c r="U2448" s="401"/>
      <c r="W2448" s="456"/>
      <c r="X2448" s="413"/>
      <c r="Y2448" s="413"/>
      <c r="Z2448" s="413"/>
      <c r="AA2448" s="413"/>
      <c r="AB2448" s="413"/>
      <c r="AC2448" s="413"/>
      <c r="AD2448" s="413"/>
      <c r="AE2448" s="457"/>
      <c r="AF2448" s="457"/>
      <c r="AG2448" s="457"/>
      <c r="AI2448" s="401"/>
      <c r="AJ2448" s="373"/>
      <c r="AK2448" s="401"/>
      <c r="AL2448" s="401"/>
      <c r="AM2448" s="401"/>
      <c r="AN2448" s="401"/>
      <c r="AO2448" s="401"/>
      <c r="AP2448" s="401"/>
      <c r="AQ2448" s="401"/>
      <c r="AR2448" s="401"/>
      <c r="AS2448" s="401"/>
      <c r="AT2448" s="401"/>
      <c r="AU2448" s="401"/>
      <c r="AV2448" s="401"/>
      <c r="AW2448" s="401"/>
      <c r="AX2448" s="401"/>
      <c r="AY2448" s="401"/>
      <c r="AZ2448" s="401"/>
      <c r="BA2448" s="401"/>
      <c r="BB2448" s="401"/>
      <c r="BC2448" s="401"/>
      <c r="BD2448" s="401"/>
      <c r="BE2448" s="401"/>
      <c r="BF2448" s="401"/>
      <c r="BG2448" s="401"/>
      <c r="BH2448" s="401"/>
      <c r="BI2448" s="401"/>
      <c r="BJ2448" s="401"/>
      <c r="BK2448" s="401"/>
      <c r="BL2448" s="401"/>
      <c r="BM2448" s="401"/>
      <c r="BN2448" s="401"/>
      <c r="BO2448" s="401"/>
      <c r="BP2448" s="401"/>
      <c r="BQ2448" s="401"/>
    </row>
    <row r="2449" spans="1:69" s="451" customFormat="1" x14ac:dyDescent="0.25">
      <c r="A2449" s="449"/>
      <c r="B2449" s="411"/>
      <c r="C2449" s="411"/>
      <c r="D2449" s="460"/>
      <c r="E2449" s="460"/>
      <c r="F2449" s="411"/>
      <c r="G2449" s="497"/>
      <c r="H2449" s="497"/>
      <c r="I2449" s="455"/>
      <c r="J2449" s="455"/>
      <c r="M2449" s="401"/>
      <c r="N2449" s="401"/>
      <c r="R2449" s="401"/>
      <c r="S2449" s="401"/>
      <c r="T2449" s="412"/>
      <c r="U2449" s="401"/>
      <c r="W2449" s="456"/>
      <c r="X2449" s="413"/>
      <c r="Y2449" s="413"/>
      <c r="Z2449" s="413"/>
      <c r="AA2449" s="413"/>
      <c r="AB2449" s="413"/>
      <c r="AC2449" s="413"/>
      <c r="AD2449" s="413"/>
      <c r="AE2449" s="457"/>
      <c r="AF2449" s="457"/>
      <c r="AG2449" s="457"/>
      <c r="AI2449" s="401"/>
      <c r="AJ2449" s="373"/>
      <c r="AK2449" s="401"/>
      <c r="AL2449" s="401"/>
      <c r="AM2449" s="401"/>
      <c r="AN2449" s="401"/>
      <c r="AO2449" s="401"/>
      <c r="AP2449" s="401"/>
      <c r="AQ2449" s="401"/>
      <c r="AR2449" s="401"/>
      <c r="AS2449" s="401"/>
      <c r="AT2449" s="401"/>
      <c r="AU2449" s="401"/>
      <c r="AV2449" s="401"/>
      <c r="AW2449" s="401"/>
      <c r="AX2449" s="401"/>
      <c r="AY2449" s="401"/>
      <c r="AZ2449" s="401"/>
      <c r="BA2449" s="401"/>
      <c r="BB2449" s="401"/>
      <c r="BC2449" s="401"/>
      <c r="BD2449" s="401"/>
      <c r="BE2449" s="401"/>
      <c r="BF2449" s="401"/>
      <c r="BG2449" s="401"/>
      <c r="BH2449" s="401"/>
      <c r="BI2449" s="401"/>
      <c r="BJ2449" s="401"/>
      <c r="BK2449" s="401"/>
      <c r="BL2449" s="401"/>
      <c r="BM2449" s="401"/>
      <c r="BN2449" s="401"/>
      <c r="BO2449" s="401"/>
      <c r="BP2449" s="401"/>
      <c r="BQ2449" s="401"/>
    </row>
    <row r="2450" spans="1:69" s="451" customFormat="1" x14ac:dyDescent="0.25">
      <c r="A2450" s="449"/>
      <c r="B2450" s="411"/>
      <c r="C2450" s="411"/>
      <c r="D2450" s="460"/>
      <c r="E2450" s="460"/>
      <c r="F2450" s="411"/>
      <c r="G2450" s="497"/>
      <c r="H2450" s="497"/>
      <c r="I2450" s="455"/>
      <c r="J2450" s="455"/>
      <c r="M2450" s="401"/>
      <c r="N2450" s="401"/>
      <c r="R2450" s="401"/>
      <c r="S2450" s="401"/>
      <c r="T2450" s="412"/>
      <c r="U2450" s="401"/>
      <c r="W2450" s="456"/>
      <c r="X2450" s="413"/>
      <c r="Y2450" s="413"/>
      <c r="Z2450" s="413"/>
      <c r="AA2450" s="413"/>
      <c r="AB2450" s="413"/>
      <c r="AC2450" s="413"/>
      <c r="AD2450" s="413"/>
      <c r="AE2450" s="457"/>
      <c r="AF2450" s="457"/>
      <c r="AG2450" s="457"/>
      <c r="AI2450" s="401"/>
      <c r="AJ2450" s="373"/>
      <c r="AK2450" s="401"/>
      <c r="AL2450" s="401"/>
      <c r="AM2450" s="401"/>
      <c r="AN2450" s="401"/>
      <c r="AO2450" s="401"/>
      <c r="AP2450" s="401"/>
      <c r="AQ2450" s="401"/>
      <c r="AR2450" s="401"/>
      <c r="AS2450" s="401"/>
      <c r="AT2450" s="401"/>
      <c r="AU2450" s="401"/>
      <c r="AV2450" s="401"/>
      <c r="AW2450" s="401"/>
      <c r="AX2450" s="401"/>
      <c r="AY2450" s="401"/>
      <c r="AZ2450" s="401"/>
      <c r="BA2450" s="401"/>
      <c r="BB2450" s="401"/>
      <c r="BC2450" s="401"/>
      <c r="BD2450" s="401"/>
      <c r="BE2450" s="401"/>
      <c r="BF2450" s="401"/>
      <c r="BG2450" s="401"/>
      <c r="BH2450" s="401"/>
      <c r="BI2450" s="401"/>
      <c r="BJ2450" s="401"/>
      <c r="BK2450" s="401"/>
      <c r="BL2450" s="401"/>
      <c r="BM2450" s="401"/>
      <c r="BN2450" s="401"/>
      <c r="BO2450" s="401"/>
      <c r="BP2450" s="401"/>
      <c r="BQ2450" s="401"/>
    </row>
    <row r="2451" spans="1:69" s="451" customFormat="1" x14ac:dyDescent="0.25">
      <c r="A2451" s="449"/>
      <c r="B2451" s="411"/>
      <c r="C2451" s="411"/>
      <c r="D2451" s="460"/>
      <c r="E2451" s="460"/>
      <c r="F2451" s="411"/>
      <c r="G2451" s="497"/>
      <c r="H2451" s="497"/>
      <c r="I2451" s="455"/>
      <c r="J2451" s="455"/>
      <c r="M2451" s="401"/>
      <c r="N2451" s="401"/>
      <c r="R2451" s="401"/>
      <c r="S2451" s="401"/>
      <c r="T2451" s="412"/>
      <c r="U2451" s="401"/>
      <c r="W2451" s="456"/>
      <c r="X2451" s="413"/>
      <c r="Y2451" s="413"/>
      <c r="Z2451" s="413"/>
      <c r="AA2451" s="413"/>
      <c r="AB2451" s="413"/>
      <c r="AC2451" s="413"/>
      <c r="AD2451" s="413"/>
      <c r="AE2451" s="457"/>
      <c r="AF2451" s="457"/>
      <c r="AG2451" s="457"/>
      <c r="AI2451" s="401"/>
      <c r="AJ2451" s="373"/>
      <c r="AK2451" s="401"/>
      <c r="AL2451" s="401"/>
      <c r="AM2451" s="401"/>
      <c r="AN2451" s="401"/>
      <c r="AO2451" s="401"/>
      <c r="AP2451" s="401"/>
      <c r="AQ2451" s="401"/>
      <c r="AR2451" s="401"/>
      <c r="AS2451" s="401"/>
      <c r="AT2451" s="401"/>
      <c r="AU2451" s="401"/>
      <c r="AV2451" s="401"/>
      <c r="AW2451" s="401"/>
      <c r="AX2451" s="401"/>
      <c r="AY2451" s="401"/>
      <c r="AZ2451" s="401"/>
      <c r="BA2451" s="401"/>
      <c r="BB2451" s="401"/>
      <c r="BC2451" s="401"/>
      <c r="BD2451" s="401"/>
      <c r="BE2451" s="401"/>
      <c r="BF2451" s="401"/>
      <c r="BG2451" s="401"/>
      <c r="BH2451" s="401"/>
      <c r="BI2451" s="401"/>
      <c r="BJ2451" s="401"/>
      <c r="BK2451" s="401"/>
      <c r="BL2451" s="401"/>
      <c r="BM2451" s="401"/>
      <c r="BN2451" s="401"/>
      <c r="BO2451" s="401"/>
      <c r="BP2451" s="401"/>
      <c r="BQ2451" s="401"/>
    </row>
    <row r="2452" spans="1:69" s="451" customFormat="1" x14ac:dyDescent="0.25">
      <c r="A2452" s="449"/>
      <c r="B2452" s="411"/>
      <c r="C2452" s="411"/>
      <c r="D2452" s="460"/>
      <c r="E2452" s="460"/>
      <c r="F2452" s="411"/>
      <c r="G2452" s="497"/>
      <c r="H2452" s="497"/>
      <c r="I2452" s="455"/>
      <c r="J2452" s="455"/>
      <c r="M2452" s="401"/>
      <c r="N2452" s="401"/>
      <c r="R2452" s="401"/>
      <c r="S2452" s="401"/>
      <c r="T2452" s="412"/>
      <c r="U2452" s="401"/>
      <c r="W2452" s="456"/>
      <c r="X2452" s="413"/>
      <c r="Y2452" s="413"/>
      <c r="Z2452" s="413"/>
      <c r="AA2452" s="413"/>
      <c r="AB2452" s="413"/>
      <c r="AC2452" s="413"/>
      <c r="AD2452" s="413"/>
      <c r="AE2452" s="457"/>
      <c r="AF2452" s="457"/>
      <c r="AG2452" s="457"/>
      <c r="AI2452" s="401"/>
      <c r="AJ2452" s="373"/>
      <c r="AK2452" s="401"/>
      <c r="AL2452" s="401"/>
      <c r="AM2452" s="401"/>
      <c r="AN2452" s="401"/>
      <c r="AO2452" s="401"/>
      <c r="AP2452" s="401"/>
      <c r="AQ2452" s="401"/>
      <c r="AR2452" s="401"/>
      <c r="AS2452" s="401"/>
      <c r="AT2452" s="401"/>
      <c r="AU2452" s="401"/>
      <c r="AV2452" s="401"/>
      <c r="AW2452" s="401"/>
      <c r="AX2452" s="401"/>
      <c r="AY2452" s="401"/>
      <c r="AZ2452" s="401"/>
      <c r="BA2452" s="401"/>
      <c r="BB2452" s="401"/>
      <c r="BC2452" s="401"/>
      <c r="BD2452" s="401"/>
      <c r="BE2452" s="401"/>
      <c r="BF2452" s="401"/>
      <c r="BG2452" s="401"/>
      <c r="BH2452" s="401"/>
      <c r="BI2452" s="401"/>
      <c r="BJ2452" s="401"/>
      <c r="BK2452" s="401"/>
      <c r="BL2452" s="401"/>
      <c r="BM2452" s="401"/>
      <c r="BN2452" s="401"/>
      <c r="BO2452" s="401"/>
      <c r="BP2452" s="401"/>
      <c r="BQ2452" s="401"/>
    </row>
    <row r="2453" spans="1:69" s="451" customFormat="1" x14ac:dyDescent="0.25">
      <c r="A2453" s="449"/>
      <c r="B2453" s="411"/>
      <c r="C2453" s="411"/>
      <c r="D2453" s="460"/>
      <c r="E2453" s="460"/>
      <c r="F2453" s="411"/>
      <c r="G2453" s="497"/>
      <c r="H2453" s="497"/>
      <c r="I2453" s="455"/>
      <c r="J2453" s="455"/>
      <c r="M2453" s="401"/>
      <c r="N2453" s="401"/>
      <c r="R2453" s="401"/>
      <c r="S2453" s="401"/>
      <c r="T2453" s="412"/>
      <c r="U2453" s="401"/>
      <c r="W2453" s="456"/>
      <c r="X2453" s="413"/>
      <c r="Y2453" s="413"/>
      <c r="Z2453" s="413"/>
      <c r="AA2453" s="413"/>
      <c r="AB2453" s="413"/>
      <c r="AC2453" s="413"/>
      <c r="AD2453" s="413"/>
      <c r="AE2453" s="457"/>
      <c r="AF2453" s="457"/>
      <c r="AG2453" s="457"/>
      <c r="AI2453" s="401"/>
      <c r="AJ2453" s="373"/>
      <c r="AK2453" s="401"/>
      <c r="AL2453" s="401"/>
      <c r="AM2453" s="401"/>
      <c r="AN2453" s="401"/>
      <c r="AO2453" s="401"/>
      <c r="AP2453" s="401"/>
      <c r="AQ2453" s="401"/>
      <c r="AR2453" s="401"/>
      <c r="AS2453" s="401"/>
      <c r="AT2453" s="401"/>
      <c r="AU2453" s="401"/>
      <c r="AV2453" s="401"/>
      <c r="AW2453" s="401"/>
      <c r="AX2453" s="401"/>
      <c r="AY2453" s="401"/>
      <c r="AZ2453" s="401"/>
      <c r="BA2453" s="401"/>
      <c r="BB2453" s="401"/>
      <c r="BC2453" s="401"/>
      <c r="BD2453" s="401"/>
      <c r="BE2453" s="401"/>
      <c r="BF2453" s="401"/>
      <c r="BG2453" s="401"/>
      <c r="BH2453" s="401"/>
      <c r="BI2453" s="401"/>
      <c r="BJ2453" s="401"/>
      <c r="BK2453" s="401"/>
      <c r="BL2453" s="401"/>
      <c r="BM2453" s="401"/>
      <c r="BN2453" s="401"/>
      <c r="BO2453" s="401"/>
      <c r="BP2453" s="401"/>
      <c r="BQ2453" s="401"/>
    </row>
    <row r="2454" spans="1:69" s="451" customFormat="1" x14ac:dyDescent="0.25">
      <c r="A2454" s="449"/>
      <c r="B2454" s="411"/>
      <c r="C2454" s="411"/>
      <c r="D2454" s="460"/>
      <c r="E2454" s="460"/>
      <c r="F2454" s="411"/>
      <c r="G2454" s="497"/>
      <c r="H2454" s="497"/>
      <c r="I2454" s="455"/>
      <c r="J2454" s="455"/>
      <c r="M2454" s="401"/>
      <c r="N2454" s="401"/>
      <c r="R2454" s="401"/>
      <c r="S2454" s="401"/>
      <c r="T2454" s="412"/>
      <c r="U2454" s="401"/>
      <c r="W2454" s="456"/>
      <c r="X2454" s="413"/>
      <c r="Y2454" s="413"/>
      <c r="Z2454" s="413"/>
      <c r="AA2454" s="413"/>
      <c r="AB2454" s="413"/>
      <c r="AC2454" s="413"/>
      <c r="AD2454" s="413"/>
      <c r="AE2454" s="457"/>
      <c r="AF2454" s="457"/>
      <c r="AG2454" s="457"/>
      <c r="AI2454" s="401"/>
      <c r="AJ2454" s="373"/>
      <c r="AK2454" s="401"/>
      <c r="AL2454" s="401"/>
      <c r="AM2454" s="401"/>
      <c r="AN2454" s="401"/>
      <c r="AO2454" s="401"/>
      <c r="AP2454" s="401"/>
      <c r="AQ2454" s="401"/>
      <c r="AR2454" s="401"/>
      <c r="AS2454" s="401"/>
      <c r="AT2454" s="401"/>
      <c r="AU2454" s="401"/>
      <c r="AV2454" s="401"/>
      <c r="AW2454" s="401"/>
      <c r="AX2454" s="401"/>
      <c r="AY2454" s="401"/>
      <c r="AZ2454" s="401"/>
      <c r="BA2454" s="401"/>
      <c r="BB2454" s="401"/>
      <c r="BC2454" s="401"/>
      <c r="BD2454" s="401"/>
      <c r="BE2454" s="401"/>
      <c r="BF2454" s="401"/>
      <c r="BG2454" s="401"/>
      <c r="BH2454" s="401"/>
      <c r="BI2454" s="401"/>
      <c r="BJ2454" s="401"/>
      <c r="BK2454" s="401"/>
      <c r="BL2454" s="401"/>
      <c r="BM2454" s="401"/>
      <c r="BN2454" s="401"/>
      <c r="BO2454" s="401"/>
      <c r="BP2454" s="401"/>
      <c r="BQ2454" s="401"/>
    </row>
    <row r="2455" spans="1:69" s="451" customFormat="1" x14ac:dyDescent="0.25">
      <c r="A2455" s="449"/>
      <c r="B2455" s="411"/>
      <c r="C2455" s="411"/>
      <c r="D2455" s="460"/>
      <c r="E2455" s="460"/>
      <c r="F2455" s="411"/>
      <c r="G2455" s="497"/>
      <c r="H2455" s="497"/>
      <c r="I2455" s="453"/>
      <c r="J2455" s="453"/>
      <c r="M2455" s="401"/>
      <c r="N2455" s="401"/>
      <c r="R2455" s="401"/>
      <c r="S2455" s="401"/>
      <c r="T2455" s="412"/>
      <c r="U2455" s="401"/>
      <c r="W2455" s="456"/>
      <c r="X2455" s="413"/>
      <c r="Y2455" s="413"/>
      <c r="Z2455" s="413"/>
      <c r="AA2455" s="413"/>
      <c r="AB2455" s="413"/>
      <c r="AC2455" s="413"/>
      <c r="AD2455" s="413"/>
      <c r="AE2455" s="457"/>
      <c r="AF2455" s="457"/>
      <c r="AG2455" s="457"/>
      <c r="AI2455" s="401"/>
      <c r="AJ2455" s="373"/>
      <c r="AK2455" s="401"/>
      <c r="AL2455" s="401"/>
      <c r="AM2455" s="401"/>
      <c r="AN2455" s="401"/>
      <c r="AO2455" s="401"/>
      <c r="AP2455" s="401"/>
      <c r="AQ2455" s="401"/>
      <c r="AR2455" s="401"/>
      <c r="AS2455" s="401"/>
      <c r="AT2455" s="401"/>
      <c r="AU2455" s="401"/>
      <c r="AV2455" s="401"/>
      <c r="AW2455" s="401"/>
      <c r="AX2455" s="401"/>
      <c r="AY2455" s="401"/>
      <c r="AZ2455" s="401"/>
      <c r="BA2455" s="401"/>
      <c r="BB2455" s="401"/>
      <c r="BC2455" s="401"/>
      <c r="BD2455" s="401"/>
      <c r="BE2455" s="401"/>
      <c r="BF2455" s="401"/>
      <c r="BG2455" s="401"/>
      <c r="BH2455" s="401"/>
      <c r="BI2455" s="401"/>
      <c r="BJ2455" s="401"/>
      <c r="BK2455" s="401"/>
      <c r="BL2455" s="401"/>
      <c r="BM2455" s="401"/>
      <c r="BN2455" s="401"/>
      <c r="BO2455" s="401"/>
      <c r="BP2455" s="401"/>
      <c r="BQ2455" s="401"/>
    </row>
    <row r="2456" spans="1:69" s="451" customFormat="1" x14ac:dyDescent="0.25">
      <c r="A2456" s="449"/>
      <c r="B2456" s="411"/>
      <c r="C2456" s="411"/>
      <c r="D2456" s="460"/>
      <c r="E2456" s="460"/>
      <c r="F2456" s="411"/>
      <c r="G2456" s="497"/>
      <c r="H2456" s="497"/>
      <c r="I2456" s="453"/>
      <c r="J2456" s="453"/>
      <c r="M2456" s="401"/>
      <c r="N2456" s="401"/>
      <c r="R2456" s="401"/>
      <c r="S2456" s="401"/>
      <c r="T2456" s="412"/>
      <c r="U2456" s="401"/>
      <c r="W2456" s="456"/>
      <c r="X2456" s="413"/>
      <c r="Y2456" s="413"/>
      <c r="Z2456" s="413"/>
      <c r="AA2456" s="413"/>
      <c r="AB2456" s="413"/>
      <c r="AC2456" s="413"/>
      <c r="AD2456" s="413"/>
      <c r="AE2456" s="457"/>
      <c r="AF2456" s="457"/>
      <c r="AG2456" s="457"/>
      <c r="AI2456" s="401"/>
      <c r="AJ2456" s="373"/>
      <c r="AK2456" s="401"/>
      <c r="AL2456" s="401"/>
      <c r="AM2456" s="401"/>
      <c r="AN2456" s="401"/>
      <c r="AO2456" s="401"/>
      <c r="AP2456" s="401"/>
      <c r="AQ2456" s="401"/>
      <c r="AR2456" s="401"/>
      <c r="AS2456" s="401"/>
      <c r="AT2456" s="401"/>
      <c r="AU2456" s="401"/>
      <c r="AV2456" s="401"/>
      <c r="AW2456" s="401"/>
      <c r="AX2456" s="401"/>
      <c r="AY2456" s="401"/>
      <c r="AZ2456" s="401"/>
      <c r="BA2456" s="401"/>
      <c r="BB2456" s="401"/>
      <c r="BC2456" s="401"/>
      <c r="BD2456" s="401"/>
      <c r="BE2456" s="401"/>
      <c r="BF2456" s="401"/>
      <c r="BG2456" s="401"/>
      <c r="BH2456" s="401"/>
      <c r="BI2456" s="401"/>
      <c r="BJ2456" s="401"/>
      <c r="BK2456" s="401"/>
      <c r="BL2456" s="401"/>
      <c r="BM2456" s="401"/>
      <c r="BN2456" s="401"/>
      <c r="BO2456" s="401"/>
      <c r="BP2456" s="401"/>
      <c r="BQ2456" s="401"/>
    </row>
    <row r="2457" spans="1:69" s="451" customFormat="1" x14ac:dyDescent="0.25">
      <c r="A2457" s="449"/>
      <c r="B2457" s="411"/>
      <c r="C2457" s="411"/>
      <c r="D2457" s="460"/>
      <c r="E2457" s="460"/>
      <c r="F2457" s="411"/>
      <c r="G2457" s="497"/>
      <c r="H2457" s="497"/>
      <c r="I2457" s="453"/>
      <c r="J2457" s="453"/>
      <c r="M2457" s="401"/>
      <c r="N2457" s="401"/>
      <c r="R2457" s="401"/>
      <c r="S2457" s="401"/>
      <c r="T2457" s="412"/>
      <c r="U2457" s="401"/>
      <c r="W2457" s="456"/>
      <c r="X2457" s="413"/>
      <c r="Y2457" s="413"/>
      <c r="Z2457" s="413"/>
      <c r="AA2457" s="413"/>
      <c r="AB2457" s="413"/>
      <c r="AC2457" s="413"/>
      <c r="AD2457" s="413"/>
      <c r="AE2457" s="457"/>
      <c r="AF2457" s="457"/>
      <c r="AG2457" s="457"/>
      <c r="AI2457" s="401"/>
      <c r="AJ2457" s="373"/>
      <c r="AK2457" s="401"/>
      <c r="AL2457" s="401"/>
      <c r="AM2457" s="401"/>
      <c r="AN2457" s="401"/>
      <c r="AO2457" s="401"/>
      <c r="AP2457" s="401"/>
      <c r="AQ2457" s="401"/>
      <c r="AR2457" s="401"/>
      <c r="AS2457" s="401"/>
      <c r="AT2457" s="401"/>
      <c r="AU2457" s="401"/>
      <c r="AV2457" s="401"/>
      <c r="AW2457" s="401"/>
      <c r="AX2457" s="401"/>
      <c r="AY2457" s="401"/>
      <c r="AZ2457" s="401"/>
      <c r="BA2457" s="401"/>
      <c r="BB2457" s="401"/>
      <c r="BC2457" s="401"/>
      <c r="BD2457" s="401"/>
      <c r="BE2457" s="401"/>
      <c r="BF2457" s="401"/>
      <c r="BG2457" s="401"/>
      <c r="BH2457" s="401"/>
      <c r="BI2457" s="401"/>
      <c r="BJ2457" s="401"/>
      <c r="BK2457" s="401"/>
      <c r="BL2457" s="401"/>
      <c r="BM2457" s="401"/>
      <c r="BN2457" s="401"/>
      <c r="BO2457" s="401"/>
      <c r="BP2457" s="401"/>
      <c r="BQ2457" s="401"/>
    </row>
    <row r="2458" spans="1:69" s="451" customFormat="1" x14ac:dyDescent="0.25">
      <c r="A2458" s="449"/>
      <c r="B2458" s="411"/>
      <c r="C2458" s="411"/>
      <c r="D2458" s="460"/>
      <c r="E2458" s="460"/>
      <c r="F2458" s="411"/>
      <c r="G2458" s="497"/>
      <c r="H2458" s="497"/>
      <c r="I2458" s="453"/>
      <c r="J2458" s="453"/>
      <c r="M2458" s="401"/>
      <c r="N2458" s="401"/>
      <c r="R2458" s="401"/>
      <c r="S2458" s="401"/>
      <c r="T2458" s="412"/>
      <c r="U2458" s="401"/>
      <c r="W2458" s="456"/>
      <c r="X2458" s="413"/>
      <c r="Y2458" s="413"/>
      <c r="Z2458" s="413"/>
      <c r="AA2458" s="413"/>
      <c r="AB2458" s="413"/>
      <c r="AC2458" s="413"/>
      <c r="AD2458" s="413"/>
      <c r="AE2458" s="457"/>
      <c r="AF2458" s="457"/>
      <c r="AG2458" s="457"/>
      <c r="AI2458" s="401"/>
      <c r="AJ2458" s="373"/>
      <c r="AK2458" s="401"/>
      <c r="AL2458" s="401"/>
      <c r="AM2458" s="401"/>
      <c r="AN2458" s="401"/>
      <c r="AO2458" s="401"/>
      <c r="AP2458" s="401"/>
      <c r="AQ2458" s="401"/>
      <c r="AR2458" s="401"/>
      <c r="AS2458" s="401"/>
      <c r="AT2458" s="401"/>
      <c r="AU2458" s="401"/>
      <c r="AV2458" s="401"/>
      <c r="AW2458" s="401"/>
      <c r="AX2458" s="401"/>
      <c r="AY2458" s="401"/>
      <c r="AZ2458" s="401"/>
      <c r="BA2458" s="401"/>
      <c r="BB2458" s="401"/>
      <c r="BC2458" s="401"/>
      <c r="BD2458" s="401"/>
      <c r="BE2458" s="401"/>
      <c r="BF2458" s="401"/>
      <c r="BG2458" s="401"/>
      <c r="BH2458" s="401"/>
      <c r="BI2458" s="401"/>
      <c r="BJ2458" s="401"/>
      <c r="BK2458" s="401"/>
      <c r="BL2458" s="401"/>
      <c r="BM2458" s="401"/>
      <c r="BN2458" s="401"/>
      <c r="BO2458" s="401"/>
      <c r="BP2458" s="401"/>
      <c r="BQ2458" s="401"/>
    </row>
  </sheetData>
  <mergeCells count="2">
    <mergeCell ref="A2:AI2"/>
    <mergeCell ref="A3:AI3"/>
  </mergeCells>
  <printOptions horizontalCentered="1"/>
  <pageMargins left="0.2" right="0.2" top="0.75" bottom="0.75" header="0.3" footer="0.3"/>
  <pageSetup paperSize="8" scale="45" orientation="landscape" r:id="rId1"/>
  <headerFooter>
    <oddFooter>&amp;R&amp;P</oddFooter>
  </headerFooter>
  <legacy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2"/>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Q2482"/>
  <sheetViews>
    <sheetView zoomScale="55" zoomScaleNormal="55" workbookViewId="0">
      <pane xSplit="3" ySplit="7" topLeftCell="AE8" activePane="bottomRight" state="frozen"/>
      <selection activeCell="B1" sqref="B1"/>
      <selection pane="topRight" activeCell="D1" sqref="D1"/>
      <selection pane="bottomLeft" activeCell="B8" sqref="B8"/>
      <selection pane="bottomRight" activeCell="B5" sqref="B5:AK15"/>
    </sheetView>
  </sheetViews>
  <sheetFormatPr defaultColWidth="9" defaultRowHeight="15.75" outlineLevelRow="2" x14ac:dyDescent="0.2"/>
  <cols>
    <col min="1" max="1" width="4.625" style="449" hidden="1" customWidth="1"/>
    <col min="2" max="2" width="11.25" style="445" customWidth="1"/>
    <col min="3" max="3" width="19.875" style="411" customWidth="1"/>
    <col min="4" max="4" width="5.625" style="460" customWidth="1"/>
    <col min="5" max="5" width="5.75" style="460" customWidth="1"/>
    <col min="6" max="6" width="8.125" style="460" customWidth="1"/>
    <col min="7" max="7" width="31.5" style="411" customWidth="1"/>
    <col min="8" max="8" width="14.5" style="497" customWidth="1"/>
    <col min="9" max="9" width="17" style="497" hidden="1" customWidth="1"/>
    <col min="10" max="10" width="14.375" style="401" customWidth="1"/>
    <col min="11" max="11" width="16.5" style="451" customWidth="1"/>
    <col min="12" max="12" width="15" style="451" customWidth="1"/>
    <col min="13" max="13" width="20.875" style="451" customWidth="1"/>
    <col min="14" max="14" width="21" style="451" customWidth="1"/>
    <col min="15" max="15" width="11.375" style="401" customWidth="1"/>
    <col min="16" max="16" width="12.125" style="451" customWidth="1"/>
    <col min="17" max="17" width="15.625" style="451" customWidth="1"/>
    <col min="18" max="18" width="19.125" style="451" customWidth="1"/>
    <col min="19" max="19" width="19.625" style="401" customWidth="1"/>
    <col min="20" max="20" width="3.875" style="401" customWidth="1"/>
    <col min="21" max="21" width="14.25" style="412" customWidth="1"/>
    <col min="22" max="22" width="12.25" style="401" hidden="1" customWidth="1"/>
    <col min="23" max="23" width="15" style="451" customWidth="1"/>
    <col min="24" max="24" width="22.25" style="456" customWidth="1"/>
    <col min="25" max="25" width="5.75" style="413" hidden="1" customWidth="1"/>
    <col min="26" max="26" width="10.375" style="413" hidden="1" customWidth="1"/>
    <col min="27" max="27" width="10.125" style="413" hidden="1" customWidth="1"/>
    <col min="28" max="28" width="9.875" style="413" hidden="1" customWidth="1"/>
    <col min="29" max="29" width="9.25" style="413" hidden="1" customWidth="1"/>
    <col min="30" max="30" width="9.625" style="413" hidden="1" customWidth="1"/>
    <col min="31" max="31" width="14.375" style="413" customWidth="1"/>
    <col min="32" max="32" width="7.75" style="457" bestFit="1" customWidth="1"/>
    <col min="33" max="33" width="13.5" style="457" bestFit="1" customWidth="1"/>
    <col min="34" max="34" width="19.125" style="457" customWidth="1"/>
    <col min="35" max="35" width="22" style="451" customWidth="1"/>
    <col min="36" max="36" width="39.25" style="401" customWidth="1"/>
    <col min="37" max="37" width="38.25" style="780" customWidth="1"/>
    <col min="38" max="38" width="18.625" style="401" customWidth="1"/>
    <col min="39" max="39" width="30.625" style="401" customWidth="1"/>
    <col min="40" max="16384" width="9" style="401"/>
  </cols>
  <sheetData>
    <row r="1" spans="1:69" ht="22.5" customHeight="1" x14ac:dyDescent="0.2">
      <c r="B1" s="820">
        <f ca="1">H7+C1</f>
        <v>82997.000000000015</v>
      </c>
      <c r="C1" s="821">
        <f>0.4+5.9-0.5</f>
        <v>5.8000000000000007</v>
      </c>
      <c r="AM1" s="401" t="s">
        <v>2250</v>
      </c>
    </row>
    <row r="2" spans="1:69" s="827" customFormat="1" ht="38.25" x14ac:dyDescent="0.55000000000000004">
      <c r="A2" s="1099" t="s">
        <v>2850</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826"/>
      <c r="AL2" s="826"/>
      <c r="AM2" s="826"/>
      <c r="AN2" s="826"/>
      <c r="AO2" s="826"/>
      <c r="AP2" s="826"/>
      <c r="AQ2" s="826"/>
      <c r="AR2" s="826"/>
      <c r="AS2" s="826"/>
      <c r="AT2" s="826"/>
      <c r="AU2" s="826"/>
      <c r="AV2" s="826"/>
      <c r="AW2" s="826"/>
      <c r="AX2" s="826"/>
      <c r="AY2" s="826"/>
      <c r="AZ2" s="826"/>
      <c r="BA2" s="826"/>
      <c r="BB2" s="826"/>
      <c r="BC2" s="826"/>
      <c r="BD2" s="826"/>
      <c r="BE2" s="826"/>
      <c r="BF2" s="826"/>
      <c r="BG2" s="826"/>
      <c r="BH2" s="826"/>
      <c r="BI2" s="826"/>
      <c r="BJ2" s="826"/>
      <c r="BK2" s="826"/>
      <c r="BL2" s="826"/>
      <c r="BM2" s="826"/>
      <c r="BN2" s="826"/>
      <c r="BO2" s="826"/>
      <c r="BP2" s="826"/>
      <c r="BQ2" s="826"/>
    </row>
    <row r="3" spans="1:69" s="827" customFormat="1" ht="38.25" x14ac:dyDescent="0.55000000000000004">
      <c r="A3" s="1099" t="s">
        <v>2851</v>
      </c>
      <c r="B3" s="1099"/>
      <c r="C3" s="1099"/>
      <c r="D3" s="1099"/>
      <c r="E3" s="1099"/>
      <c r="F3" s="1099"/>
      <c r="G3" s="1099"/>
      <c r="H3" s="1099"/>
      <c r="I3" s="1099"/>
      <c r="J3" s="1099"/>
      <c r="K3" s="1099"/>
      <c r="L3" s="1099"/>
      <c r="M3" s="1099"/>
      <c r="N3" s="1099"/>
      <c r="O3" s="1099"/>
      <c r="P3" s="1099"/>
      <c r="Q3" s="1099"/>
      <c r="R3" s="1099"/>
      <c r="S3" s="1099"/>
      <c r="T3" s="1099"/>
      <c r="U3" s="1099"/>
      <c r="V3" s="1099"/>
      <c r="W3" s="1099"/>
      <c r="X3" s="1099"/>
      <c r="Y3" s="1099"/>
      <c r="Z3" s="1099"/>
      <c r="AA3" s="1099"/>
      <c r="AB3" s="1099"/>
      <c r="AC3" s="1099"/>
      <c r="AD3" s="1099"/>
      <c r="AE3" s="1099"/>
      <c r="AF3" s="1099"/>
      <c r="AG3" s="1099"/>
      <c r="AH3" s="1099"/>
      <c r="AI3" s="1099"/>
      <c r="AJ3" s="1099"/>
      <c r="AK3" s="826"/>
      <c r="AL3" s="826"/>
      <c r="AM3" s="826"/>
      <c r="AN3" s="826"/>
      <c r="AO3" s="826"/>
      <c r="AP3" s="826"/>
      <c r="AQ3" s="826"/>
      <c r="AR3" s="826"/>
      <c r="AS3" s="826"/>
      <c r="AT3" s="826"/>
      <c r="AU3" s="826"/>
      <c r="AV3" s="826"/>
      <c r="AW3" s="826"/>
      <c r="AX3" s="826"/>
      <c r="AY3" s="826"/>
      <c r="AZ3" s="826"/>
      <c r="BA3" s="826"/>
      <c r="BB3" s="826"/>
      <c r="BC3" s="826"/>
      <c r="BD3" s="826"/>
      <c r="BE3" s="826"/>
      <c r="BF3" s="826"/>
      <c r="BG3" s="826"/>
      <c r="BH3" s="826"/>
      <c r="BI3" s="826"/>
      <c r="BJ3" s="826"/>
      <c r="BK3" s="826"/>
      <c r="BL3" s="826"/>
      <c r="BM3" s="826"/>
      <c r="BN3" s="826"/>
      <c r="BO3" s="826"/>
      <c r="BP3" s="826"/>
      <c r="BQ3" s="826"/>
    </row>
    <row r="4" spans="1:69" x14ac:dyDescent="0.2">
      <c r="B4" s="822">
        <f ca="1">C4-B1</f>
        <v>0</v>
      </c>
      <c r="C4" s="823">
        <v>82997</v>
      </c>
      <c r="G4" s="483"/>
    </row>
    <row r="5" spans="1:69" s="375" customFormat="1" ht="20.25" x14ac:dyDescent="0.25">
      <c r="A5" s="446"/>
      <c r="B5" s="503" t="s">
        <v>619</v>
      </c>
      <c r="C5" s="504" t="s">
        <v>0</v>
      </c>
      <c r="D5" s="505" t="s">
        <v>617</v>
      </c>
      <c r="E5" s="505" t="s">
        <v>619</v>
      </c>
      <c r="F5" s="505" t="s">
        <v>617</v>
      </c>
      <c r="G5" s="506" t="s">
        <v>1</v>
      </c>
      <c r="H5" s="507"/>
      <c r="I5" s="507"/>
      <c r="J5" s="506"/>
      <c r="K5" s="508"/>
      <c r="L5" s="508"/>
      <c r="M5" s="508"/>
      <c r="N5" s="508"/>
      <c r="O5" s="504" t="s">
        <v>2</v>
      </c>
      <c r="P5" s="509"/>
      <c r="Q5" s="508"/>
      <c r="R5" s="508"/>
      <c r="S5" s="504" t="s">
        <v>3</v>
      </c>
      <c r="T5" s="504"/>
      <c r="U5" s="510"/>
      <c r="V5" s="504"/>
      <c r="W5" s="508"/>
      <c r="X5" s="508"/>
      <c r="Y5" s="511" t="s">
        <v>395</v>
      </c>
      <c r="Z5" s="511"/>
      <c r="AA5" s="511"/>
      <c r="AB5" s="511"/>
      <c r="AC5" s="511"/>
      <c r="AD5" s="511"/>
      <c r="AE5" s="512" t="s">
        <v>2134</v>
      </c>
      <c r="AF5" s="509"/>
      <c r="AG5" s="509"/>
      <c r="AH5" s="509"/>
      <c r="AI5" s="513" t="s">
        <v>4</v>
      </c>
      <c r="AJ5" s="504" t="s">
        <v>2853</v>
      </c>
      <c r="AK5" s="779"/>
    </row>
    <row r="6" spans="1:69" s="375" customFormat="1" ht="60.75" x14ac:dyDescent="0.25">
      <c r="A6" s="446" t="s">
        <v>5</v>
      </c>
      <c r="B6" s="514" t="s">
        <v>2852</v>
      </c>
      <c r="C6" s="515"/>
      <c r="D6" s="516" t="s">
        <v>618</v>
      </c>
      <c r="E6" s="516" t="s">
        <v>620</v>
      </c>
      <c r="F6" s="516" t="s">
        <v>621</v>
      </c>
      <c r="G6" s="517" t="s">
        <v>6</v>
      </c>
      <c r="H6" s="518" t="s">
        <v>2803</v>
      </c>
      <c r="I6" s="518" t="s">
        <v>2900</v>
      </c>
      <c r="J6" s="519" t="s">
        <v>8</v>
      </c>
      <c r="K6" s="520" t="s">
        <v>9</v>
      </c>
      <c r="L6" s="520" t="s">
        <v>10</v>
      </c>
      <c r="M6" s="520" t="s">
        <v>11</v>
      </c>
      <c r="N6" s="520" t="s">
        <v>12</v>
      </c>
      <c r="O6" s="521" t="s">
        <v>13</v>
      </c>
      <c r="P6" s="520" t="s">
        <v>14</v>
      </c>
      <c r="Q6" s="520" t="s">
        <v>15</v>
      </c>
      <c r="R6" s="520" t="s">
        <v>16</v>
      </c>
      <c r="S6" s="521" t="s">
        <v>17</v>
      </c>
      <c r="T6" s="521" t="s">
        <v>18</v>
      </c>
      <c r="U6" s="522" t="s">
        <v>7</v>
      </c>
      <c r="V6" s="519" t="s">
        <v>8</v>
      </c>
      <c r="W6" s="520" t="s">
        <v>15</v>
      </c>
      <c r="X6" s="523" t="s">
        <v>16</v>
      </c>
      <c r="Y6" s="524" t="s">
        <v>19</v>
      </c>
      <c r="Z6" s="524" t="s">
        <v>20</v>
      </c>
      <c r="AA6" s="524" t="s">
        <v>21</v>
      </c>
      <c r="AB6" s="524" t="s">
        <v>22</v>
      </c>
      <c r="AC6" s="524" t="s">
        <v>23</v>
      </c>
      <c r="AD6" s="524" t="s">
        <v>24</v>
      </c>
      <c r="AE6" s="525" t="s">
        <v>2135</v>
      </c>
      <c r="AF6" s="523" t="s">
        <v>2136</v>
      </c>
      <c r="AG6" s="523" t="s">
        <v>15</v>
      </c>
      <c r="AH6" s="523" t="s">
        <v>16</v>
      </c>
      <c r="AI6" s="520" t="s">
        <v>16</v>
      </c>
      <c r="AJ6" s="517" t="s">
        <v>2855</v>
      </c>
      <c r="AK6" s="517" t="s">
        <v>2854</v>
      </c>
    </row>
    <row r="7" spans="1:69" s="825" customFormat="1" ht="32.25" customHeight="1" x14ac:dyDescent="0.2">
      <c r="A7" s="446" t="s">
        <v>2710</v>
      </c>
      <c r="B7" s="526"/>
      <c r="C7" s="527" t="s">
        <v>4</v>
      </c>
      <c r="D7" s="528"/>
      <c r="E7" s="529"/>
      <c r="F7" s="529"/>
      <c r="G7" s="530"/>
      <c r="H7" s="824">
        <f ca="1">SUBTOTAL(9,H9:H2439)</f>
        <v>82991.200000000012</v>
      </c>
      <c r="I7" s="824">
        <f>SUBTOTAL(9,I9:I2439)</f>
        <v>43626.2</v>
      </c>
      <c r="J7" s="532"/>
      <c r="K7" s="533"/>
      <c r="L7" s="533"/>
      <c r="M7" s="534">
        <f>SUBTOTAL(9,M9:M2439)</f>
        <v>70703020000</v>
      </c>
      <c r="N7" s="534">
        <f>SUBTOTAL(9,N9:N2439)</f>
        <v>62265448000</v>
      </c>
      <c r="O7" s="535"/>
      <c r="P7" s="533">
        <f>SUBTOTAL(9,P9:P2439)</f>
        <v>16033.5</v>
      </c>
      <c r="Q7" s="534"/>
      <c r="R7" s="534">
        <f>SUBTOTAL(9,R9:R2439)</f>
        <v>2065249500</v>
      </c>
      <c r="S7" s="536"/>
      <c r="T7" s="532"/>
      <c r="U7" s="537">
        <f>SUBTOTAL(9,U9:U2439)</f>
        <v>23019.545500000011</v>
      </c>
      <c r="V7" s="532"/>
      <c r="W7" s="534"/>
      <c r="X7" s="534">
        <f>SUBTOTAL(9,X9:X2439)</f>
        <v>25201681000</v>
      </c>
      <c r="Y7" s="532"/>
      <c r="Z7" s="538"/>
      <c r="AA7" s="538"/>
      <c r="AB7" s="538"/>
      <c r="AC7" s="538"/>
      <c r="AD7" s="538"/>
      <c r="AE7" s="539"/>
      <c r="AF7" s="533">
        <f>SUBTOTAL(9,AF9:AF2439)</f>
        <v>31</v>
      </c>
      <c r="AG7" s="540"/>
      <c r="AH7" s="540">
        <f>SUBTOTAL(9,AH9:AH2439)</f>
        <v>309000000</v>
      </c>
      <c r="AI7" s="534">
        <f>SUBTOTAL(9,AI8:AI2439)</f>
        <v>160544398500</v>
      </c>
      <c r="AJ7" s="541"/>
      <c r="AK7" s="541"/>
    </row>
    <row r="8" spans="1:69" s="376" customFormat="1" ht="51" customHeight="1" outlineLevel="1" x14ac:dyDescent="0.3">
      <c r="A8" s="446" t="s">
        <v>2709</v>
      </c>
      <c r="B8" s="542">
        <v>1</v>
      </c>
      <c r="C8" s="543" t="s">
        <v>413</v>
      </c>
      <c r="D8" s="544"/>
      <c r="E8" s="505"/>
      <c r="F8" s="505"/>
      <c r="G8" s="545"/>
      <c r="H8" s="546">
        <f>SUBTOTAL(9,H9:H14)</f>
        <v>0</v>
      </c>
      <c r="I8" s="546">
        <f>SUBTOTAL(9,I9:I14)</f>
        <v>0</v>
      </c>
      <c r="J8" s="547"/>
      <c r="K8" s="548"/>
      <c r="L8" s="548"/>
      <c r="M8" s="549">
        <f>SUBTOTAL(9,M9:M14)</f>
        <v>0</v>
      </c>
      <c r="N8" s="549">
        <f>SUBTOTAL(9,N9:N14)</f>
        <v>0</v>
      </c>
      <c r="O8" s="550"/>
      <c r="P8" s="548">
        <f>SUBTOTAL(9,P9:P14)</f>
        <v>0</v>
      </c>
      <c r="Q8" s="549"/>
      <c r="R8" s="549">
        <f>SUBTOTAL(9,R9:R14)</f>
        <v>0</v>
      </c>
      <c r="S8" s="551"/>
      <c r="T8" s="547"/>
      <c r="U8" s="552">
        <f>SUBTOTAL(9,U9:U14)</f>
        <v>50.55</v>
      </c>
      <c r="V8" s="547"/>
      <c r="W8" s="549"/>
      <c r="X8" s="549">
        <f>SUBTOTAL(9,X9:X14)</f>
        <v>61518000</v>
      </c>
      <c r="Y8" s="553"/>
      <c r="Z8" s="554"/>
      <c r="AA8" s="554"/>
      <c r="AB8" s="554"/>
      <c r="AC8" s="554"/>
      <c r="AD8" s="554"/>
      <c r="AE8" s="555"/>
      <c r="AF8" s="548">
        <f>SUBTOTAL(9,AF9:AF14)</f>
        <v>1</v>
      </c>
      <c r="AG8" s="556"/>
      <c r="AH8" s="556">
        <f>SUBTOTAL(9,AH9:AH14)</f>
        <v>5000000</v>
      </c>
      <c r="AI8" s="549">
        <f>IF(B8&lt;&gt;0,M8+N8+R8+X8+AH8," ")</f>
        <v>66518000</v>
      </c>
      <c r="AJ8" s="545"/>
      <c r="AK8" s="545"/>
    </row>
    <row r="9" spans="1:69" s="376" customFormat="1" ht="117.75" customHeight="1" outlineLevel="2" x14ac:dyDescent="0.3">
      <c r="A9" s="447">
        <f>IF(B8&lt;&gt;0,B8,A6)</f>
        <v>1</v>
      </c>
      <c r="B9" s="557"/>
      <c r="C9" s="558" t="s">
        <v>51</v>
      </c>
      <c r="D9" s="559">
        <v>4</v>
      </c>
      <c r="E9" s="560"/>
      <c r="F9" s="560"/>
      <c r="G9" s="558"/>
      <c r="H9" s="561"/>
      <c r="I9" s="546"/>
      <c r="J9" s="562"/>
      <c r="K9" s="563" t="str">
        <f>IF(G9&lt;&gt;0,VLOOKUP(G9,'gia dat'!$A$1:$F$144,5,0)," ")</f>
        <v xml:space="preserve"> </v>
      </c>
      <c r="L9" s="563" t="str">
        <f>IF(G9&lt;&gt;0,VLOOKUP(G9,'gia dat'!$A$1:$F$144,6,0)," ")</f>
        <v xml:space="preserve"> </v>
      </c>
      <c r="M9" s="564" t="str">
        <f>IF(H9&lt;&gt;0,ROUND(H9*K9,-3)," ")</f>
        <v xml:space="preserve"> </v>
      </c>
      <c r="N9" s="564" t="str">
        <f>IF(H9&lt;&gt;0,ROUND(H9*L9,-3)," ")</f>
        <v xml:space="preserve"> </v>
      </c>
      <c r="O9" s="565"/>
      <c r="P9" s="563"/>
      <c r="Q9" s="564" t="str">
        <f>IF(O9&lt;&gt;0,VLOOKUP(O9,'Cây trong'!$A$2:$C$246,3,0)," ")</f>
        <v xml:space="preserve"> </v>
      </c>
      <c r="R9" s="564" t="str">
        <f>IF(O9&lt;&gt;0,ROUND(P9*Q9,-2)," ")</f>
        <v xml:space="preserve"> </v>
      </c>
      <c r="S9" s="566" t="s">
        <v>1763</v>
      </c>
      <c r="T9" s="562" t="s">
        <v>53</v>
      </c>
      <c r="U9" s="567">
        <v>15.3</v>
      </c>
      <c r="V9" s="562"/>
      <c r="W9" s="564">
        <f>IF(S9&lt;&gt;0,VLOOKUP(S9,VKT!$A$2:$G$415,7,0),"")</f>
        <v>3550600</v>
      </c>
      <c r="X9" s="564">
        <f>IF(S9&lt;&gt;0,ROUND(U9*W9,-3)," ")</f>
        <v>54324000</v>
      </c>
      <c r="Y9" s="562" t="s">
        <v>54</v>
      </c>
      <c r="Z9" s="568" t="s">
        <v>55</v>
      </c>
      <c r="AA9" s="568" t="s">
        <v>56</v>
      </c>
      <c r="AB9" s="568" t="s">
        <v>57</v>
      </c>
      <c r="AC9" s="568" t="s">
        <v>54</v>
      </c>
      <c r="AD9" s="568" t="s">
        <v>414</v>
      </c>
      <c r="AE9" s="569" t="s">
        <v>2137</v>
      </c>
      <c r="AF9" s="563">
        <v>1</v>
      </c>
      <c r="AG9" s="570">
        <f>IF(AE9&lt;&gt;0,VLOOKUP(AE9,ODDS!$A$2:$C$13,3,0),"")</f>
        <v>5000000</v>
      </c>
      <c r="AH9" s="570">
        <f>IF(AE9&lt;&gt;0,ROUND(AF9*AG9,-2)," ")</f>
        <v>5000000</v>
      </c>
      <c r="AI9" s="571" t="str">
        <f t="shared" ref="AI9:AI72" si="0">IF(B9&lt;&gt;0,M9+N9+R9+X9+AH9," ")</f>
        <v xml:space="preserve"> </v>
      </c>
      <c r="AJ9" s="558" t="s">
        <v>2452</v>
      </c>
      <c r="AK9" s="558" t="s">
        <v>2450</v>
      </c>
    </row>
    <row r="10" spans="1:69" s="376" customFormat="1" ht="112.5" customHeight="1" outlineLevel="2" x14ac:dyDescent="0.3">
      <c r="A10" s="447">
        <f>IF(B9&lt;&gt;0,B9,A9)</f>
        <v>1</v>
      </c>
      <c r="B10" s="557"/>
      <c r="C10" s="572" t="s">
        <v>625</v>
      </c>
      <c r="D10" s="560"/>
      <c r="E10" s="560"/>
      <c r="F10" s="560"/>
      <c r="G10" s="558"/>
      <c r="H10" s="573"/>
      <c r="I10" s="546"/>
      <c r="J10" s="562"/>
      <c r="K10" s="563" t="str">
        <f>IF(G10&lt;&gt;0,VLOOKUP(G10,'gia dat'!$A$1:$F$144,5,0)," ")</f>
        <v xml:space="preserve"> </v>
      </c>
      <c r="L10" s="563" t="str">
        <f>IF(G10&lt;&gt;0,VLOOKUP(G10,'gia dat'!$A$1:$F$144,6,0)," ")</f>
        <v xml:space="preserve"> </v>
      </c>
      <c r="M10" s="564" t="str">
        <f t="shared" ref="M10:M79" si="1">IF(H10&lt;&gt;0,ROUND(H10*K10,-3)," ")</f>
        <v xml:space="preserve"> </v>
      </c>
      <c r="N10" s="564" t="str">
        <f t="shared" ref="N10:N79" si="2">IF(H10&lt;&gt;0,ROUND(H10*L10,-3)," ")</f>
        <v xml:space="preserve"> </v>
      </c>
      <c r="O10" s="558"/>
      <c r="P10" s="563"/>
      <c r="Q10" s="564" t="str">
        <f>IF(O10&lt;&gt;0,VLOOKUP(O10,'Cây trong'!$A$2:$C$246,3,0)," ")</f>
        <v xml:space="preserve"> </v>
      </c>
      <c r="R10" s="564" t="str">
        <f t="shared" ref="R10:R123" si="3">IF(O10&lt;&gt;0,ROUND(P10*Q10,-2)," ")</f>
        <v xml:space="preserve"> </v>
      </c>
      <c r="S10" s="566" t="s">
        <v>1767</v>
      </c>
      <c r="T10" s="562" t="s">
        <v>53</v>
      </c>
      <c r="U10" s="567">
        <v>5.85</v>
      </c>
      <c r="V10" s="562"/>
      <c r="W10" s="564">
        <f>IF(S10&lt;&gt;0,VLOOKUP(S10,VKT!$A$2:$G$415,7,0),"")</f>
        <v>0</v>
      </c>
      <c r="X10" s="564">
        <f t="shared" ref="X10:X79" si="4">IF(S10&lt;&gt;0,ROUND(U10*W10,-3)," ")</f>
        <v>0</v>
      </c>
      <c r="Y10" s="562"/>
      <c r="Z10" s="568"/>
      <c r="AA10" s="568"/>
      <c r="AB10" s="568"/>
      <c r="AC10" s="568"/>
      <c r="AD10" s="568"/>
      <c r="AE10" s="568"/>
      <c r="AF10" s="563"/>
      <c r="AG10" s="570" t="str">
        <f>IF(AE10&lt;&gt;0,VLOOKUP(AE10,ODDS!$A$2:$C$13,3,0),"")</f>
        <v/>
      </c>
      <c r="AH10" s="570" t="str">
        <f t="shared" ref="AH10:AH123" si="5">IF(AE10&lt;&gt;0,ROUND(AF10*AG10,-2)," ")</f>
        <v xml:space="preserve"> </v>
      </c>
      <c r="AI10" s="571" t="str">
        <f t="shared" si="0"/>
        <v xml:space="preserve"> </v>
      </c>
      <c r="AJ10" s="574" t="s">
        <v>415</v>
      </c>
      <c r="AK10" s="558" t="s">
        <v>2447</v>
      </c>
    </row>
    <row r="11" spans="1:69" s="376" customFormat="1" ht="121.5" customHeight="1" outlineLevel="2" x14ac:dyDescent="0.3">
      <c r="A11" s="447">
        <f>IF(B10&lt;&gt;0,B10,A10)</f>
        <v>1</v>
      </c>
      <c r="B11" s="557"/>
      <c r="C11" s="558" t="s">
        <v>295</v>
      </c>
      <c r="D11" s="560"/>
      <c r="E11" s="560"/>
      <c r="F11" s="560"/>
      <c r="G11" s="558"/>
      <c r="H11" s="573"/>
      <c r="I11" s="546"/>
      <c r="J11" s="562"/>
      <c r="K11" s="563" t="str">
        <f>IF(G11&lt;&gt;0,VLOOKUP(G11,'gia dat'!$A$1:$F$144,5,0)," ")</f>
        <v xml:space="preserve"> </v>
      </c>
      <c r="L11" s="563" t="str">
        <f>IF(G11&lt;&gt;0,VLOOKUP(G11,'gia dat'!$A$1:$F$144,6,0)," ")</f>
        <v xml:space="preserve"> </v>
      </c>
      <c r="M11" s="564" t="str">
        <f t="shared" si="1"/>
        <v xml:space="preserve"> </v>
      </c>
      <c r="N11" s="564" t="str">
        <f t="shared" si="2"/>
        <v xml:space="preserve"> </v>
      </c>
      <c r="O11" s="558"/>
      <c r="P11" s="563"/>
      <c r="Q11" s="564" t="str">
        <f>IF(O11&lt;&gt;0,VLOOKUP(O11,'Cây trong'!$A$2:$C$246,3,0)," ")</f>
        <v xml:space="preserve"> </v>
      </c>
      <c r="R11" s="564" t="str">
        <f t="shared" si="3"/>
        <v xml:space="preserve"> </v>
      </c>
      <c r="S11" s="566" t="s">
        <v>1768</v>
      </c>
      <c r="T11" s="562" t="s">
        <v>53</v>
      </c>
      <c r="U11" s="567">
        <v>14.1</v>
      </c>
      <c r="V11" s="562"/>
      <c r="W11" s="564">
        <f>IF(S11&lt;&gt;0,VLOOKUP(S11,VKT!$A$2:$G$415,7,0),"")</f>
        <v>238288</v>
      </c>
      <c r="X11" s="564">
        <f t="shared" si="4"/>
        <v>3360000</v>
      </c>
      <c r="Y11" s="562"/>
      <c r="Z11" s="568"/>
      <c r="AA11" s="568"/>
      <c r="AB11" s="568"/>
      <c r="AC11" s="568"/>
      <c r="AD11" s="568"/>
      <c r="AE11" s="568"/>
      <c r="AF11" s="563"/>
      <c r="AG11" s="570" t="str">
        <f>IF(AE11&lt;&gt;0,VLOOKUP(AE11,ODDS!$A$2:$C$13,3,0),"")</f>
        <v/>
      </c>
      <c r="AH11" s="570" t="str">
        <f t="shared" si="5"/>
        <v xml:space="preserve"> </v>
      </c>
      <c r="AI11" s="571" t="str">
        <f t="shared" si="0"/>
        <v xml:space="preserve"> </v>
      </c>
      <c r="AJ11" s="575"/>
      <c r="AK11" s="558" t="s">
        <v>2800</v>
      </c>
    </row>
    <row r="12" spans="1:69" s="376" customFormat="1" ht="60" customHeight="1" outlineLevel="2" x14ac:dyDescent="0.3">
      <c r="A12" s="447">
        <f>IF(B11&lt;&gt;0,B11,A11)</f>
        <v>1</v>
      </c>
      <c r="B12" s="557"/>
      <c r="C12" s="558"/>
      <c r="D12" s="560"/>
      <c r="E12" s="560"/>
      <c r="F12" s="560"/>
      <c r="G12" s="558"/>
      <c r="H12" s="573"/>
      <c r="I12" s="546"/>
      <c r="J12" s="562"/>
      <c r="K12" s="563" t="str">
        <f>IF(G12&lt;&gt;0,VLOOKUP(G12,'gia dat'!$A$1:$F$144,5,0)," ")</f>
        <v xml:space="preserve"> </v>
      </c>
      <c r="L12" s="563" t="str">
        <f>IF(G12&lt;&gt;0,VLOOKUP(G12,'gia dat'!$A$1:$F$144,6,0)," ")</f>
        <v xml:space="preserve"> </v>
      </c>
      <c r="M12" s="564" t="str">
        <f t="shared" si="1"/>
        <v xml:space="preserve"> </v>
      </c>
      <c r="N12" s="564" t="str">
        <f t="shared" si="2"/>
        <v xml:space="preserve"> </v>
      </c>
      <c r="O12" s="558"/>
      <c r="P12" s="563"/>
      <c r="Q12" s="564" t="str">
        <f>IF(O12&lt;&gt;0,VLOOKUP(O12,'Cây trong'!$A$2:$C$246,3,0)," ")</f>
        <v xml:space="preserve"> </v>
      </c>
      <c r="R12" s="564" t="str">
        <f t="shared" si="3"/>
        <v xml:space="preserve"> </v>
      </c>
      <c r="S12" s="566" t="s">
        <v>1826</v>
      </c>
      <c r="T12" s="562" t="s">
        <v>53</v>
      </c>
      <c r="U12" s="567">
        <v>15.3</v>
      </c>
      <c r="V12" s="562"/>
      <c r="W12" s="564">
        <f>IF(S12&lt;&gt;0,VLOOKUP(S12,VKT!$A$2:$G$415,7,0),"")</f>
        <v>250583</v>
      </c>
      <c r="X12" s="564">
        <f t="shared" si="4"/>
        <v>3834000</v>
      </c>
      <c r="Y12" s="562"/>
      <c r="Z12" s="568"/>
      <c r="AA12" s="568"/>
      <c r="AB12" s="568"/>
      <c r="AC12" s="568"/>
      <c r="AD12" s="568"/>
      <c r="AE12" s="568"/>
      <c r="AF12" s="563"/>
      <c r="AG12" s="570" t="str">
        <f>IF(AE12&lt;&gt;0,VLOOKUP(AE12,ODDS!$A$2:$C$13,3,0),"")</f>
        <v/>
      </c>
      <c r="AH12" s="570" t="str">
        <f t="shared" si="5"/>
        <v xml:space="preserve"> </v>
      </c>
      <c r="AI12" s="571" t="str">
        <f t="shared" si="0"/>
        <v xml:space="preserve"> </v>
      </c>
      <c r="AJ12" s="575"/>
      <c r="AK12" s="574"/>
      <c r="AL12" s="373"/>
    </row>
    <row r="13" spans="1:69" s="376" customFormat="1" ht="20.25" outlineLevel="2" x14ac:dyDescent="0.3">
      <c r="A13" s="447">
        <f>IF(B12&lt;&gt;0,B12,A12)</f>
        <v>1</v>
      </c>
      <c r="B13" s="557"/>
      <c r="C13" s="558"/>
      <c r="D13" s="560"/>
      <c r="E13" s="560"/>
      <c r="F13" s="560"/>
      <c r="G13" s="558"/>
      <c r="H13" s="573"/>
      <c r="I13" s="546"/>
      <c r="J13" s="562"/>
      <c r="K13" s="563" t="str">
        <f>IF(G13&lt;&gt;0,VLOOKUP(G13,'gia dat'!$A$1:$F$144,5,0)," ")</f>
        <v xml:space="preserve"> </v>
      </c>
      <c r="L13" s="563" t="str">
        <f>IF(G13&lt;&gt;0,VLOOKUP(G13,'gia dat'!$A$1:$F$144,6,0)," ")</f>
        <v xml:space="preserve"> </v>
      </c>
      <c r="M13" s="564" t="str">
        <f t="shared" si="1"/>
        <v xml:space="preserve"> </v>
      </c>
      <c r="N13" s="564" t="str">
        <f t="shared" si="2"/>
        <v xml:space="preserve"> </v>
      </c>
      <c r="O13" s="558"/>
      <c r="P13" s="563"/>
      <c r="Q13" s="564"/>
      <c r="R13" s="564"/>
      <c r="S13" s="566"/>
      <c r="T13" s="562"/>
      <c r="U13" s="567"/>
      <c r="V13" s="562"/>
      <c r="W13" s="564" t="str">
        <f>IF(S13&lt;&gt;0,VLOOKUP(S13,VKT!$A$2:$G$415,7,0),"")</f>
        <v/>
      </c>
      <c r="X13" s="564" t="str">
        <f t="shared" si="4"/>
        <v xml:space="preserve"> </v>
      </c>
      <c r="Y13" s="562"/>
      <c r="Z13" s="568"/>
      <c r="AA13" s="568"/>
      <c r="AB13" s="568"/>
      <c r="AC13" s="568"/>
      <c r="AD13" s="568"/>
      <c r="AE13" s="568"/>
      <c r="AF13" s="563"/>
      <c r="AG13" s="570" t="str">
        <f>IF(AE13&lt;&gt;0,VLOOKUP(AE13,ODDS!$A$2:$C$13,3,0),"")</f>
        <v/>
      </c>
      <c r="AH13" s="570"/>
      <c r="AI13" s="571" t="str">
        <f t="shared" si="0"/>
        <v xml:space="preserve"> </v>
      </c>
      <c r="AJ13" s="574"/>
      <c r="AK13" s="574"/>
      <c r="AL13" s="373"/>
    </row>
    <row r="14" spans="1:69" s="376" customFormat="1" ht="20.25" outlineLevel="2" x14ac:dyDescent="0.3">
      <c r="A14" s="447">
        <f>IF(B13&lt;&gt;0,B13,A13)</f>
        <v>1</v>
      </c>
      <c r="B14" s="557"/>
      <c r="C14" s="574"/>
      <c r="D14" s="560"/>
      <c r="E14" s="560"/>
      <c r="F14" s="560"/>
      <c r="G14" s="558"/>
      <c r="H14" s="573"/>
      <c r="I14" s="546"/>
      <c r="J14" s="562"/>
      <c r="K14" s="563" t="str">
        <f>IF(G14&lt;&gt;0,VLOOKUP(G14,'gia dat'!$A$1:$F$144,5,0)," ")</f>
        <v xml:space="preserve"> </v>
      </c>
      <c r="L14" s="563" t="str">
        <f>IF(G14&lt;&gt;0,VLOOKUP(G14,'gia dat'!$A$1:$F$144,6,0)," ")</f>
        <v xml:space="preserve"> </v>
      </c>
      <c r="M14" s="564" t="str">
        <f t="shared" si="1"/>
        <v xml:space="preserve"> </v>
      </c>
      <c r="N14" s="564" t="str">
        <f t="shared" si="2"/>
        <v xml:space="preserve"> </v>
      </c>
      <c r="O14" s="558"/>
      <c r="P14" s="563"/>
      <c r="Q14" s="564"/>
      <c r="R14" s="564"/>
      <c r="S14" s="566"/>
      <c r="T14" s="562"/>
      <c r="U14" s="567"/>
      <c r="V14" s="562"/>
      <c r="W14" s="564" t="str">
        <f>IF(S14&lt;&gt;0,VLOOKUP(S14,VKT!$A$2:$G$415,7,0),"")</f>
        <v/>
      </c>
      <c r="X14" s="564" t="str">
        <f t="shared" si="4"/>
        <v xml:space="preserve"> </v>
      </c>
      <c r="Y14" s="562"/>
      <c r="Z14" s="568"/>
      <c r="AA14" s="568"/>
      <c r="AB14" s="568"/>
      <c r="AC14" s="568"/>
      <c r="AD14" s="568"/>
      <c r="AE14" s="568"/>
      <c r="AF14" s="563"/>
      <c r="AG14" s="570" t="str">
        <f>IF(AE14&lt;&gt;0,VLOOKUP(AE14,ODDS!$A$2:$C$13,3,0),"")</f>
        <v/>
      </c>
      <c r="AH14" s="570"/>
      <c r="AI14" s="571" t="str">
        <f t="shared" si="0"/>
        <v xml:space="preserve"> </v>
      </c>
      <c r="AJ14" s="574"/>
      <c r="AK14" s="574"/>
      <c r="AL14" s="373"/>
    </row>
    <row r="15" spans="1:69" s="376" customFormat="1" ht="57" customHeight="1" outlineLevel="1" x14ac:dyDescent="0.25">
      <c r="A15" s="467" t="s">
        <v>2708</v>
      </c>
      <c r="B15" s="576">
        <v>2</v>
      </c>
      <c r="C15" s="574" t="s">
        <v>59</v>
      </c>
      <c r="D15" s="577"/>
      <c r="E15" s="577"/>
      <c r="F15" s="577"/>
      <c r="G15" s="578"/>
      <c r="H15" s="579">
        <f>SUBTOTAL(9,H16:H21)</f>
        <v>25.9</v>
      </c>
      <c r="I15" s="579">
        <f>SUBTOTAL(9,I16:I21)</f>
        <v>0</v>
      </c>
      <c r="J15" s="580"/>
      <c r="K15" s="581"/>
      <c r="L15" s="581"/>
      <c r="M15" s="571">
        <f>SUBTOTAL(9,M16:M21)</f>
        <v>14359000</v>
      </c>
      <c r="N15" s="571">
        <f>SUBTOTAL(9,N16:N21)</f>
        <v>0</v>
      </c>
      <c r="O15" s="574"/>
      <c r="P15" s="581">
        <f>SUBTOTAL(9,P16:P21)</f>
        <v>0</v>
      </c>
      <c r="Q15" s="571"/>
      <c r="R15" s="571">
        <f>SUBTOTAL(9,R16:R21)</f>
        <v>0</v>
      </c>
      <c r="S15" s="582"/>
      <c r="T15" s="580"/>
      <c r="U15" s="583">
        <f>SUBTOTAL(9,U16:U21)</f>
        <v>0</v>
      </c>
      <c r="V15" s="580"/>
      <c r="W15" s="571"/>
      <c r="X15" s="571">
        <f>SUBTOTAL(9,X16:X21)</f>
        <v>0</v>
      </c>
      <c r="Y15" s="562"/>
      <c r="Z15" s="568"/>
      <c r="AA15" s="568"/>
      <c r="AB15" s="568"/>
      <c r="AC15" s="568"/>
      <c r="AD15" s="568"/>
      <c r="AE15" s="584"/>
      <c r="AF15" s="581">
        <f>SUBTOTAL(9,AF16:AF21)</f>
        <v>0</v>
      </c>
      <c r="AG15" s="585"/>
      <c r="AH15" s="585">
        <f>SUBTOTAL(9,AH16:AH21)</f>
        <v>0</v>
      </c>
      <c r="AI15" s="571">
        <f t="shared" si="0"/>
        <v>14359000</v>
      </c>
      <c r="AJ15" s="574"/>
      <c r="AK15" s="574"/>
      <c r="AL15" s="373"/>
    </row>
    <row r="16" spans="1:69" s="376" customFormat="1" ht="249" customHeight="1" outlineLevel="2" x14ac:dyDescent="0.3">
      <c r="A16" s="447">
        <f>IF(B15&lt;&gt;0,B15,A14)</f>
        <v>2</v>
      </c>
      <c r="B16" s="557"/>
      <c r="C16" s="558" t="s">
        <v>60</v>
      </c>
      <c r="D16" s="560"/>
      <c r="E16" s="560"/>
      <c r="F16" s="560"/>
      <c r="G16" s="586" t="s">
        <v>2061</v>
      </c>
      <c r="H16" s="573">
        <v>25.9</v>
      </c>
      <c r="I16" s="546" t="str">
        <f t="shared" ref="I16" si="6">IF(N16&gt;0,H16,"")</f>
        <v/>
      </c>
      <c r="J16" s="562"/>
      <c r="K16" s="563">
        <f>IF(G16&lt;&gt;0,VLOOKUP(G16,'gia dat'!$A$1:$F$144,5,0)," ")</f>
        <v>554400</v>
      </c>
      <c r="L16" s="563">
        <f>IF(G16&lt;&gt;0,VLOOKUP(G16,'gia dat'!$A$1:$F$144,6,0)," ")</f>
        <v>0</v>
      </c>
      <c r="M16" s="564">
        <f>IF(H16&lt;&gt;0,ROUND(H16*K16,-3)," ")</f>
        <v>14359000</v>
      </c>
      <c r="N16" s="564">
        <f>IF(H16&lt;&gt;0,ROUND(H16*L16,-3)," ")</f>
        <v>0</v>
      </c>
      <c r="O16" s="558"/>
      <c r="P16" s="563"/>
      <c r="Q16" s="564"/>
      <c r="R16" s="564"/>
      <c r="S16" s="566"/>
      <c r="T16" s="562"/>
      <c r="U16" s="567"/>
      <c r="V16" s="562"/>
      <c r="W16" s="564" t="str">
        <f>IF(S16&lt;&gt;0,VLOOKUP(S16,VKT!$A$2:$G$415,7,0),"")</f>
        <v/>
      </c>
      <c r="X16" s="564" t="str">
        <f t="shared" si="4"/>
        <v xml:space="preserve"> </v>
      </c>
      <c r="Y16" s="562"/>
      <c r="Z16" s="568"/>
      <c r="AA16" s="568"/>
      <c r="AB16" s="568"/>
      <c r="AC16" s="568"/>
      <c r="AD16" s="568"/>
      <c r="AE16" s="568"/>
      <c r="AF16" s="563"/>
      <c r="AG16" s="570" t="str">
        <f>IF(AE16&lt;&gt;0,VLOOKUP(AE16,ODDS!$A$2:$C$13,3,0),"")</f>
        <v/>
      </c>
      <c r="AH16" s="570"/>
      <c r="AI16" s="571" t="str">
        <f t="shared" si="0"/>
        <v xml:space="preserve"> </v>
      </c>
      <c r="AJ16" s="558" t="s">
        <v>2184</v>
      </c>
      <c r="AK16" s="558" t="s">
        <v>2771</v>
      </c>
      <c r="AL16" s="373"/>
    </row>
    <row r="17" spans="1:38" s="376" customFormat="1" ht="135" customHeight="1" outlineLevel="2" x14ac:dyDescent="0.3">
      <c r="A17" s="447">
        <f>IF(B16&lt;&gt;0,B16,A16)</f>
        <v>2</v>
      </c>
      <c r="B17" s="557"/>
      <c r="C17" s="572" t="s">
        <v>627</v>
      </c>
      <c r="D17" s="560"/>
      <c r="E17" s="560"/>
      <c r="F17" s="560"/>
      <c r="G17" s="586"/>
      <c r="H17" s="573"/>
      <c r="I17" s="546"/>
      <c r="J17" s="562"/>
      <c r="K17" s="563" t="str">
        <f>IF(G17&lt;&gt;0,VLOOKUP(G17,'gia dat'!$A$1:$F$144,5,0)," ")</f>
        <v xml:space="preserve"> </v>
      </c>
      <c r="L17" s="563" t="str">
        <f>IF(G17&lt;&gt;0,VLOOKUP(G17,'gia dat'!$A$1:$F$144,6,0)," ")</f>
        <v xml:space="preserve"> </v>
      </c>
      <c r="M17" s="564" t="str">
        <f>IF(H17&lt;&gt;0,ROUND(H17*K17,-3)," ")</f>
        <v xml:space="preserve"> </v>
      </c>
      <c r="N17" s="564" t="str">
        <f>IF(H17&lt;&gt;0,ROUND(H17*L17,-3)," ")</f>
        <v xml:space="preserve"> </v>
      </c>
      <c r="O17" s="558"/>
      <c r="P17" s="563"/>
      <c r="Q17" s="564"/>
      <c r="R17" s="564"/>
      <c r="S17" s="566"/>
      <c r="T17" s="562"/>
      <c r="U17" s="567"/>
      <c r="V17" s="562"/>
      <c r="W17" s="564" t="str">
        <f>IF(S17&lt;&gt;0,VLOOKUP(S17,VKT!$A$2:$G$415,7,0),"")</f>
        <v/>
      </c>
      <c r="X17" s="564" t="str">
        <f t="shared" si="4"/>
        <v xml:space="preserve"> </v>
      </c>
      <c r="Y17" s="562"/>
      <c r="Z17" s="568"/>
      <c r="AA17" s="568"/>
      <c r="AB17" s="568"/>
      <c r="AC17" s="568"/>
      <c r="AD17" s="568"/>
      <c r="AE17" s="568"/>
      <c r="AF17" s="563"/>
      <c r="AG17" s="570" t="str">
        <f>IF(AE17&lt;&gt;0,VLOOKUP(AE17,ODDS!$A$2:$C$13,3,0),"")</f>
        <v/>
      </c>
      <c r="AH17" s="570"/>
      <c r="AI17" s="571" t="str">
        <f t="shared" si="0"/>
        <v xml:space="preserve"> </v>
      </c>
      <c r="AJ17" s="574"/>
      <c r="AK17" s="574"/>
      <c r="AL17" s="373"/>
    </row>
    <row r="18" spans="1:38" s="376" customFormat="1" ht="40.5" outlineLevel="2" x14ac:dyDescent="0.3">
      <c r="A18" s="447">
        <f>IF(B17&lt;&gt;0,B17,A17)</f>
        <v>2</v>
      </c>
      <c r="B18" s="557"/>
      <c r="C18" s="558" t="s">
        <v>306</v>
      </c>
      <c r="D18" s="560"/>
      <c r="E18" s="560"/>
      <c r="F18" s="560"/>
      <c r="G18" s="558"/>
      <c r="H18" s="573"/>
      <c r="I18" s="546"/>
      <c r="J18" s="562"/>
      <c r="K18" s="563" t="str">
        <f>IF(G18&lt;&gt;0,VLOOKUP(G18,'gia dat'!$A$1:$F$144,5,0)," ")</f>
        <v xml:space="preserve"> </v>
      </c>
      <c r="L18" s="563" t="str">
        <f>IF(G18&lt;&gt;0,VLOOKUP(G18,'gia dat'!$A$1:$F$144,6,0)," ")</f>
        <v xml:space="preserve"> </v>
      </c>
      <c r="M18" s="564" t="str">
        <f t="shared" si="1"/>
        <v xml:space="preserve"> </v>
      </c>
      <c r="N18" s="564" t="str">
        <f t="shared" si="2"/>
        <v xml:space="preserve"> </v>
      </c>
      <c r="O18" s="558"/>
      <c r="P18" s="563"/>
      <c r="Q18" s="564"/>
      <c r="R18" s="564"/>
      <c r="S18" s="566"/>
      <c r="T18" s="562"/>
      <c r="U18" s="567"/>
      <c r="V18" s="562"/>
      <c r="W18" s="564" t="str">
        <f>IF(S18&lt;&gt;0,VLOOKUP(S18,VKT!$A$2:$G$415,7,0),"")</f>
        <v/>
      </c>
      <c r="X18" s="564" t="str">
        <f t="shared" si="4"/>
        <v xml:space="preserve"> </v>
      </c>
      <c r="Y18" s="562"/>
      <c r="Z18" s="568"/>
      <c r="AA18" s="568"/>
      <c r="AB18" s="568"/>
      <c r="AC18" s="568"/>
      <c r="AD18" s="568"/>
      <c r="AE18" s="568"/>
      <c r="AF18" s="563"/>
      <c r="AG18" s="570" t="str">
        <f>IF(AE18&lt;&gt;0,VLOOKUP(AE18,ODDS!$A$2:$C$13,3,0),"")</f>
        <v/>
      </c>
      <c r="AH18" s="570"/>
      <c r="AI18" s="571" t="str">
        <f t="shared" si="0"/>
        <v xml:space="preserve"> </v>
      </c>
      <c r="AJ18" s="574"/>
      <c r="AK18" s="574"/>
      <c r="AL18" s="373"/>
    </row>
    <row r="19" spans="1:38" s="376" customFormat="1" ht="20.25" outlineLevel="2" x14ac:dyDescent="0.3">
      <c r="A19" s="447">
        <f>IF(B18&lt;&gt;0,B18,A18)</f>
        <v>2</v>
      </c>
      <c r="B19" s="557"/>
      <c r="C19" s="558"/>
      <c r="D19" s="560"/>
      <c r="E19" s="560"/>
      <c r="F19" s="560"/>
      <c r="G19" s="558"/>
      <c r="H19" s="573"/>
      <c r="I19" s="546"/>
      <c r="J19" s="562"/>
      <c r="K19" s="563" t="str">
        <f>IF(G19&lt;&gt;0,VLOOKUP(G19,'gia dat'!$A$1:$F$144,5,0)," ")</f>
        <v xml:space="preserve"> </v>
      </c>
      <c r="L19" s="563" t="str">
        <f>IF(G19&lt;&gt;0,VLOOKUP(G19,'gia dat'!$A$1:$F$144,6,0)," ")</f>
        <v xml:space="preserve"> </v>
      </c>
      <c r="M19" s="564" t="str">
        <f t="shared" si="1"/>
        <v xml:space="preserve"> </v>
      </c>
      <c r="N19" s="564" t="str">
        <f t="shared" si="2"/>
        <v xml:space="preserve"> </v>
      </c>
      <c r="O19" s="558"/>
      <c r="P19" s="563"/>
      <c r="Q19" s="564"/>
      <c r="R19" s="564"/>
      <c r="S19" s="566"/>
      <c r="T19" s="562"/>
      <c r="U19" s="567"/>
      <c r="V19" s="562"/>
      <c r="W19" s="564" t="str">
        <f>IF(S19&lt;&gt;0,VLOOKUP(S19,VKT!$A$2:$G$415,7,0),"")</f>
        <v/>
      </c>
      <c r="X19" s="564" t="str">
        <f t="shared" si="4"/>
        <v xml:space="preserve"> </v>
      </c>
      <c r="Y19" s="562"/>
      <c r="Z19" s="568"/>
      <c r="AA19" s="568"/>
      <c r="AB19" s="568"/>
      <c r="AC19" s="568"/>
      <c r="AD19" s="568"/>
      <c r="AE19" s="568"/>
      <c r="AF19" s="563"/>
      <c r="AG19" s="570" t="str">
        <f>IF(AE19&lt;&gt;0,VLOOKUP(AE19,ODDS!$A$2:$C$13,3,0),"")</f>
        <v/>
      </c>
      <c r="AH19" s="570"/>
      <c r="AI19" s="571" t="str">
        <f t="shared" si="0"/>
        <v xml:space="preserve"> </v>
      </c>
      <c r="AJ19" s="574"/>
      <c r="AK19" s="574"/>
      <c r="AL19" s="373"/>
    </row>
    <row r="20" spans="1:38" s="376" customFormat="1" ht="20.25" outlineLevel="2" x14ac:dyDescent="0.3">
      <c r="A20" s="447">
        <f>IF(B19&lt;&gt;0,B19,A19)</f>
        <v>2</v>
      </c>
      <c r="B20" s="557"/>
      <c r="C20" s="558"/>
      <c r="D20" s="587"/>
      <c r="E20" s="587"/>
      <c r="F20" s="560"/>
      <c r="G20" s="558"/>
      <c r="H20" s="588"/>
      <c r="I20" s="546"/>
      <c r="J20" s="589"/>
      <c r="K20" s="563" t="str">
        <f>IF(G20&lt;&gt;0,VLOOKUP(G20,'gia dat'!$A$1:$F$144,5,0)," ")</f>
        <v xml:space="preserve"> </v>
      </c>
      <c r="L20" s="563" t="str">
        <f>IF(G20&lt;&gt;0,VLOOKUP(G20,'gia dat'!$A$1:$F$144,6,0)," ")</f>
        <v xml:space="preserve"> </v>
      </c>
      <c r="M20" s="564" t="str">
        <f t="shared" si="1"/>
        <v xml:space="preserve"> </v>
      </c>
      <c r="N20" s="564" t="str">
        <f t="shared" si="2"/>
        <v xml:space="preserve"> </v>
      </c>
      <c r="O20" s="558"/>
      <c r="P20" s="590"/>
      <c r="Q20" s="564" t="str">
        <f>IF(O20&lt;&gt;0,VLOOKUP(O20,'Cây trong'!$A$2:$C$246,3,0)," ")</f>
        <v xml:space="preserve"> </v>
      </c>
      <c r="R20" s="564" t="str">
        <f t="shared" si="3"/>
        <v xml:space="preserve"> </v>
      </c>
      <c r="S20" s="566"/>
      <c r="T20" s="589"/>
      <c r="U20" s="591"/>
      <c r="V20" s="589"/>
      <c r="W20" s="564" t="str">
        <f>IF(S20&lt;&gt;0,VLOOKUP(S20,VKT!$A$2:$G$415,7,0),"")</f>
        <v/>
      </c>
      <c r="X20" s="564" t="str">
        <f t="shared" si="4"/>
        <v xml:space="preserve"> </v>
      </c>
      <c r="Y20" s="589"/>
      <c r="Z20" s="592"/>
      <c r="AA20" s="592"/>
      <c r="AB20" s="568"/>
      <c r="AC20" s="592"/>
      <c r="AD20" s="592"/>
      <c r="AE20" s="592"/>
      <c r="AF20" s="590"/>
      <c r="AG20" s="570" t="str">
        <f>IF(AE20&lt;&gt;0,VLOOKUP(AE20,ODDS!$A$2:$C$13,3,0),"")</f>
        <v/>
      </c>
      <c r="AH20" s="570" t="str">
        <f t="shared" si="5"/>
        <v xml:space="preserve"> </v>
      </c>
      <c r="AI20" s="571" t="str">
        <f t="shared" si="0"/>
        <v xml:space="preserve"> </v>
      </c>
      <c r="AJ20" s="593"/>
      <c r="AK20" s="593"/>
    </row>
    <row r="21" spans="1:38" s="376" customFormat="1" ht="20.25" outlineLevel="2" x14ac:dyDescent="0.3">
      <c r="A21" s="447">
        <f>IF(B20&lt;&gt;0,B20,A20)</f>
        <v>2</v>
      </c>
      <c r="B21" s="557"/>
      <c r="C21" s="574"/>
      <c r="D21" s="587"/>
      <c r="E21" s="587"/>
      <c r="F21" s="560"/>
      <c r="G21" s="558"/>
      <c r="H21" s="588"/>
      <c r="I21" s="546"/>
      <c r="J21" s="589"/>
      <c r="K21" s="563" t="str">
        <f>IF(G21&lt;&gt;0,VLOOKUP(G21,'gia dat'!$A$1:$F$144,5,0)," ")</f>
        <v xml:space="preserve"> </v>
      </c>
      <c r="L21" s="563" t="str">
        <f>IF(G21&lt;&gt;0,VLOOKUP(G21,'gia dat'!$A$1:$F$144,6,0)," ")</f>
        <v xml:space="preserve"> </v>
      </c>
      <c r="M21" s="564" t="str">
        <f t="shared" si="1"/>
        <v xml:space="preserve"> </v>
      </c>
      <c r="N21" s="564" t="str">
        <f t="shared" si="2"/>
        <v xml:space="preserve"> </v>
      </c>
      <c r="O21" s="558"/>
      <c r="P21" s="590"/>
      <c r="Q21" s="564" t="str">
        <f>IF(O21&lt;&gt;0,VLOOKUP(O21,'Cây trong'!$A$2:$C$246,3,0)," ")</f>
        <v xml:space="preserve"> </v>
      </c>
      <c r="R21" s="564" t="str">
        <f t="shared" si="3"/>
        <v xml:space="preserve"> </v>
      </c>
      <c r="S21" s="566"/>
      <c r="T21" s="589"/>
      <c r="U21" s="591"/>
      <c r="V21" s="589"/>
      <c r="W21" s="564" t="str">
        <f>IF(S21&lt;&gt;0,VLOOKUP(S21,VKT!$A$2:$G$415,7,0),"")</f>
        <v/>
      </c>
      <c r="X21" s="564" t="str">
        <f t="shared" si="4"/>
        <v xml:space="preserve"> </v>
      </c>
      <c r="Y21" s="589"/>
      <c r="Z21" s="592"/>
      <c r="AA21" s="592"/>
      <c r="AB21" s="568"/>
      <c r="AC21" s="592"/>
      <c r="AD21" s="592"/>
      <c r="AE21" s="592"/>
      <c r="AF21" s="590"/>
      <c r="AG21" s="570" t="str">
        <f>IF(AE21&lt;&gt;0,VLOOKUP(AE21,ODDS!$A$2:$C$13,3,0),"")</f>
        <v/>
      </c>
      <c r="AH21" s="570" t="str">
        <f t="shared" si="5"/>
        <v xml:space="preserve"> </v>
      </c>
      <c r="AI21" s="571" t="str">
        <f t="shared" si="0"/>
        <v xml:space="preserve"> </v>
      </c>
      <c r="AJ21" s="593"/>
      <c r="AK21" s="593"/>
    </row>
    <row r="22" spans="1:38" s="376" customFormat="1" ht="94.5" customHeight="1" outlineLevel="1" x14ac:dyDescent="0.25">
      <c r="A22" s="467" t="s">
        <v>2707</v>
      </c>
      <c r="B22" s="576">
        <v>3</v>
      </c>
      <c r="C22" s="574" t="s">
        <v>59</v>
      </c>
      <c r="D22" s="594"/>
      <c r="E22" s="595"/>
      <c r="F22" s="577"/>
      <c r="G22" s="578"/>
      <c r="H22" s="596">
        <f>SUBTOTAL(9,H23:H48)</f>
        <v>587.1</v>
      </c>
      <c r="I22" s="579">
        <f>SUBTOTAL(9,I23:I28)</f>
        <v>405.4</v>
      </c>
      <c r="J22" s="597"/>
      <c r="K22" s="581"/>
      <c r="L22" s="581"/>
      <c r="M22" s="571">
        <f>SUBTOTAL(9,M23:M48)</f>
        <v>2987514000</v>
      </c>
      <c r="N22" s="571">
        <f>SUBTOTAL(9,N23:N48)</f>
        <v>674261000</v>
      </c>
      <c r="O22" s="598"/>
      <c r="P22" s="599">
        <f>SUBTOTAL(9,P23:P48)</f>
        <v>605</v>
      </c>
      <c r="Q22" s="571"/>
      <c r="R22" s="571">
        <f>SUBTOTAL(9,R23:R48)</f>
        <v>76300000</v>
      </c>
      <c r="S22" s="582"/>
      <c r="T22" s="597"/>
      <c r="U22" s="600">
        <f>SUBTOTAL(9,U23:U48)</f>
        <v>670.2</v>
      </c>
      <c r="V22" s="597"/>
      <c r="W22" s="571"/>
      <c r="X22" s="571">
        <f>SUBTOTAL(9,X23:X48)</f>
        <v>1667759000</v>
      </c>
      <c r="Y22" s="562"/>
      <c r="Z22" s="592"/>
      <c r="AA22" s="592"/>
      <c r="AB22" s="568"/>
      <c r="AC22" s="592"/>
      <c r="AD22" s="601"/>
      <c r="AE22" s="602"/>
      <c r="AF22" s="599">
        <f>SUBTOTAL(9,AF23:AF48)</f>
        <v>0</v>
      </c>
      <c r="AG22" s="585"/>
      <c r="AH22" s="585">
        <f>SUBTOTAL(9,AH23:AH48)</f>
        <v>0</v>
      </c>
      <c r="AI22" s="571">
        <f t="shared" si="0"/>
        <v>5405834000</v>
      </c>
      <c r="AJ22" s="578"/>
      <c r="AK22" s="578"/>
    </row>
    <row r="23" spans="1:38" s="376" customFormat="1" ht="145.5" customHeight="1" outlineLevel="2" x14ac:dyDescent="0.3">
      <c r="A23" s="447">
        <f>IF(B22&lt;&gt;0,B22,A21)</f>
        <v>3</v>
      </c>
      <c r="B23" s="557"/>
      <c r="C23" s="558" t="s">
        <v>60</v>
      </c>
      <c r="D23" s="603">
        <v>12</v>
      </c>
      <c r="E23" s="587">
        <v>85</v>
      </c>
      <c r="F23" s="560">
        <v>37</v>
      </c>
      <c r="G23" s="586" t="s">
        <v>2030</v>
      </c>
      <c r="H23" s="604">
        <v>124.2</v>
      </c>
      <c r="I23" s="546" t="str">
        <f t="shared" ref="I23:I26" si="7">IF(N23&gt;0,H23,"")</f>
        <v/>
      </c>
      <c r="J23" s="589"/>
      <c r="K23" s="563">
        <f>IF(G23&lt;&gt;0,VLOOKUP(G23,'gia dat'!$A$1:$F$144,5,0)," ")</f>
        <v>16800000</v>
      </c>
      <c r="L23" s="563">
        <f>IF(G23&lt;&gt;0,VLOOKUP(G23,'gia dat'!$A$1:$F$144,6,0)," ")</f>
        <v>0</v>
      </c>
      <c r="M23" s="564">
        <f t="shared" si="1"/>
        <v>2086560000</v>
      </c>
      <c r="N23" s="564">
        <f t="shared" si="2"/>
        <v>0</v>
      </c>
      <c r="O23" s="565" t="s">
        <v>61</v>
      </c>
      <c r="P23" s="590">
        <v>5</v>
      </c>
      <c r="Q23" s="564">
        <f>IF(O23&lt;&gt;0,VLOOKUP(O23,'Cây trong'!$A$2:$C$246,3,0)," ")</f>
        <v>1708000</v>
      </c>
      <c r="R23" s="564">
        <f t="shared" si="3"/>
        <v>8540000</v>
      </c>
      <c r="S23" s="566" t="s">
        <v>2251</v>
      </c>
      <c r="T23" s="589" t="s">
        <v>53</v>
      </c>
      <c r="U23" s="591">
        <v>104.4</v>
      </c>
      <c r="V23" s="589"/>
      <c r="W23" s="564">
        <f>IF(S23&lt;&gt;0,VLOOKUP(S23,VKT!$A$2:$G$415,7,0),"")</f>
        <v>5789151</v>
      </c>
      <c r="X23" s="564">
        <f t="shared" si="4"/>
        <v>604387000</v>
      </c>
      <c r="Y23" s="562" t="s">
        <v>63</v>
      </c>
      <c r="Z23" s="592" t="s">
        <v>63</v>
      </c>
      <c r="AA23" s="592" t="s">
        <v>56</v>
      </c>
      <c r="AB23" s="568" t="s">
        <v>57</v>
      </c>
      <c r="AC23" s="592" t="s">
        <v>63</v>
      </c>
      <c r="AD23" s="601"/>
      <c r="AE23" s="569"/>
      <c r="AF23" s="590"/>
      <c r="AG23" s="570" t="str">
        <f>IF(AE23&lt;&gt;0,VLOOKUP(AE23,ODDS!$A$2:$C$13,3,0),"")</f>
        <v/>
      </c>
      <c r="AH23" s="570"/>
      <c r="AI23" s="571" t="str">
        <f t="shared" si="0"/>
        <v xml:space="preserve"> </v>
      </c>
      <c r="AJ23" s="586" t="s">
        <v>626</v>
      </c>
      <c r="AK23" s="586" t="s">
        <v>2771</v>
      </c>
    </row>
    <row r="24" spans="1:38" s="376" customFormat="1" ht="123.75" customHeight="1" outlineLevel="2" x14ac:dyDescent="0.3">
      <c r="A24" s="447">
        <f t="shared" ref="A24:A48" si="8">IF(B23&lt;&gt;0,B23,A23)</f>
        <v>3</v>
      </c>
      <c r="B24" s="557"/>
      <c r="C24" s="572" t="s">
        <v>627</v>
      </c>
      <c r="D24" s="587"/>
      <c r="E24" s="587">
        <v>85</v>
      </c>
      <c r="F24" s="560">
        <v>37</v>
      </c>
      <c r="G24" s="586" t="s">
        <v>2032</v>
      </c>
      <c r="H24" s="604">
        <f>181.7-H23</f>
        <v>57.499999999999986</v>
      </c>
      <c r="I24" s="546" t="str">
        <f t="shared" si="7"/>
        <v/>
      </c>
      <c r="J24" s="589"/>
      <c r="K24" s="563">
        <f>IF(G24&lt;&gt;0,VLOOKUP(G24,'gia dat'!$A$1:$F$144,5,0)," ")</f>
        <v>11760000</v>
      </c>
      <c r="L24" s="563">
        <f>IF(G24&lt;&gt;0,VLOOKUP(G24,'gia dat'!$A$1:$F$144,6,0)," ")</f>
        <v>0</v>
      </c>
      <c r="M24" s="564">
        <f t="shared" si="1"/>
        <v>676200000</v>
      </c>
      <c r="N24" s="564">
        <f t="shared" si="2"/>
        <v>0</v>
      </c>
      <c r="O24" s="558" t="s">
        <v>64</v>
      </c>
      <c r="P24" s="590">
        <v>2</v>
      </c>
      <c r="Q24" s="564">
        <f>IF(O24&lt;&gt;0,VLOOKUP(O24,'Cây trong'!$A$2:$C$246,3,0)," ")</f>
        <v>1122000</v>
      </c>
      <c r="R24" s="564">
        <f t="shared" si="3"/>
        <v>2244000</v>
      </c>
      <c r="S24" s="566" t="s">
        <v>1844</v>
      </c>
      <c r="T24" s="589" t="s">
        <v>53</v>
      </c>
      <c r="U24" s="591">
        <v>47.940000000000005</v>
      </c>
      <c r="V24" s="589"/>
      <c r="W24" s="564">
        <f>IF(S24&lt;&gt;0,VLOOKUP(S24,VKT!$A$2:$G$415,7,0),"")</f>
        <v>770070</v>
      </c>
      <c r="X24" s="564">
        <f t="shared" si="4"/>
        <v>36917000</v>
      </c>
      <c r="Y24" s="589"/>
      <c r="Z24" s="592" t="s">
        <v>55</v>
      </c>
      <c r="AA24" s="592" t="s">
        <v>56</v>
      </c>
      <c r="AB24" s="568"/>
      <c r="AC24" s="592" t="s">
        <v>66</v>
      </c>
      <c r="AD24" s="592"/>
      <c r="AE24" s="569"/>
      <c r="AF24" s="590"/>
      <c r="AG24" s="570" t="str">
        <f>IF(AE24&lt;&gt;0,VLOOKUP(AE24,ODDS!$A$2:$C$13,3,0),"")</f>
        <v/>
      </c>
      <c r="AH24" s="570" t="str">
        <f t="shared" si="5"/>
        <v xml:space="preserve"> </v>
      </c>
      <c r="AI24" s="571" t="str">
        <f t="shared" si="0"/>
        <v xml:space="preserve"> </v>
      </c>
      <c r="AJ24" s="558" t="s">
        <v>418</v>
      </c>
      <c r="AK24" s="558" t="s">
        <v>2448</v>
      </c>
    </row>
    <row r="25" spans="1:38" s="376" customFormat="1" ht="121.5" outlineLevel="2" x14ac:dyDescent="0.3">
      <c r="A25" s="447">
        <f t="shared" si="8"/>
        <v>3</v>
      </c>
      <c r="B25" s="557"/>
      <c r="C25" s="558" t="s">
        <v>306</v>
      </c>
      <c r="D25" s="587"/>
      <c r="E25" s="587">
        <v>85</v>
      </c>
      <c r="F25" s="560">
        <v>37</v>
      </c>
      <c r="G25" s="558" t="s">
        <v>2182</v>
      </c>
      <c r="H25" s="588">
        <v>354.5</v>
      </c>
      <c r="I25" s="546">
        <f t="shared" si="7"/>
        <v>354.5</v>
      </c>
      <c r="J25" s="589"/>
      <c r="K25" s="563">
        <f>IF(G25&lt;&gt;0,VLOOKUP(G25,'gia dat'!$A$1:$F$144,5,0)," ")</f>
        <v>554400</v>
      </c>
      <c r="L25" s="563">
        <f>IF(G25&lt;&gt;0,VLOOKUP(G25,'gia dat'!$A$1:$F$144,6,0)," ")</f>
        <v>1663200</v>
      </c>
      <c r="M25" s="564">
        <f t="shared" si="1"/>
        <v>196535000</v>
      </c>
      <c r="N25" s="564">
        <f t="shared" si="2"/>
        <v>589604000</v>
      </c>
      <c r="O25" s="558" t="s">
        <v>67</v>
      </c>
      <c r="P25" s="590">
        <v>5</v>
      </c>
      <c r="Q25" s="564">
        <f>IF(O25&lt;&gt;0,VLOOKUP(O25,'Cây trong'!$A$2:$C$246,3,0)," ")</f>
        <v>494000</v>
      </c>
      <c r="R25" s="564">
        <f t="shared" si="3"/>
        <v>2470000</v>
      </c>
      <c r="S25" s="566" t="s">
        <v>1846</v>
      </c>
      <c r="T25" s="589" t="s">
        <v>53</v>
      </c>
      <c r="U25" s="591">
        <v>17.7</v>
      </c>
      <c r="V25" s="589">
        <v>12.7</v>
      </c>
      <c r="W25" s="564">
        <f>IF(S25&lt;&gt;0,VLOOKUP(S25,VKT!$A$2:$G$415,7,0),"")</f>
        <v>238288</v>
      </c>
      <c r="X25" s="564">
        <f t="shared" si="4"/>
        <v>4218000</v>
      </c>
      <c r="Y25" s="589"/>
      <c r="Z25" s="592"/>
      <c r="AA25" s="592"/>
      <c r="AB25" s="568"/>
      <c r="AC25" s="592"/>
      <c r="AD25" s="592"/>
      <c r="AE25" s="606"/>
      <c r="AF25" s="590"/>
      <c r="AG25" s="570" t="str">
        <f>IF(AE25&lt;&gt;0,VLOOKUP(AE25,ODDS!$A$2:$C$13,3,0),"")</f>
        <v/>
      </c>
      <c r="AH25" s="570" t="str">
        <f t="shared" si="5"/>
        <v xml:space="preserve"> </v>
      </c>
      <c r="AI25" s="571" t="str">
        <f t="shared" si="0"/>
        <v xml:space="preserve"> </v>
      </c>
      <c r="AJ25" s="558" t="s">
        <v>720</v>
      </c>
      <c r="AK25" s="558" t="s">
        <v>2450</v>
      </c>
      <c r="AL25" s="417" t="s">
        <v>2181</v>
      </c>
    </row>
    <row r="26" spans="1:38" s="376" customFormat="1" ht="150" customHeight="1" outlineLevel="2" x14ac:dyDescent="0.3">
      <c r="A26" s="447">
        <f t="shared" si="8"/>
        <v>3</v>
      </c>
      <c r="B26" s="557"/>
      <c r="C26" s="558"/>
      <c r="D26" s="587"/>
      <c r="E26" s="587"/>
      <c r="F26" s="560"/>
      <c r="G26" s="558" t="s">
        <v>2067</v>
      </c>
      <c r="H26" s="588">
        <v>50.9</v>
      </c>
      <c r="I26" s="546">
        <f t="shared" si="7"/>
        <v>50.9</v>
      </c>
      <c r="J26" s="589"/>
      <c r="K26" s="563">
        <f>IF(G26&lt;&gt;0,VLOOKUP(G26,'gia dat'!$A$1:$F$144,5,0)," ")</f>
        <v>554400</v>
      </c>
      <c r="L26" s="563">
        <f>IF(G26&lt;&gt;0,VLOOKUP(G26,'gia dat'!$A$1:$F$144,6,0)," ")</f>
        <v>1663200</v>
      </c>
      <c r="M26" s="564">
        <f t="shared" si="1"/>
        <v>28219000</v>
      </c>
      <c r="N26" s="564">
        <f t="shared" si="2"/>
        <v>84657000</v>
      </c>
      <c r="O26" s="565" t="s">
        <v>69</v>
      </c>
      <c r="P26" s="590">
        <v>6</v>
      </c>
      <c r="Q26" s="564">
        <f>IF(O26&lt;&gt;0,VLOOKUP(O26,'Cây trong'!$A$2:$C$246,3,0)," ")</f>
        <v>211000</v>
      </c>
      <c r="R26" s="564">
        <f t="shared" si="3"/>
        <v>1266000</v>
      </c>
      <c r="S26" s="566" t="s">
        <v>1768</v>
      </c>
      <c r="T26" s="589" t="s">
        <v>53</v>
      </c>
      <c r="U26" s="591">
        <v>17.899999999999999</v>
      </c>
      <c r="V26" s="589">
        <v>9.1</v>
      </c>
      <c r="W26" s="564">
        <f>IF(S26&lt;&gt;0,VLOOKUP(S26,VKT!$A$2:$G$415,7,0),"")</f>
        <v>238288</v>
      </c>
      <c r="X26" s="564">
        <f t="shared" si="4"/>
        <v>4265000</v>
      </c>
      <c r="Y26" s="589"/>
      <c r="Z26" s="592"/>
      <c r="AA26" s="592"/>
      <c r="AB26" s="568"/>
      <c r="AC26" s="592"/>
      <c r="AD26" s="592"/>
      <c r="AE26" s="592"/>
      <c r="AF26" s="590"/>
      <c r="AG26" s="570" t="str">
        <f>IF(AE26&lt;&gt;0,VLOOKUP(AE26,ODDS!$A$2:$C$13,3,0),"")</f>
        <v/>
      </c>
      <c r="AH26" s="570" t="str">
        <f t="shared" si="5"/>
        <v xml:space="preserve"> </v>
      </c>
      <c r="AI26" s="571" t="str">
        <f t="shared" si="0"/>
        <v xml:space="preserve"> </v>
      </c>
      <c r="AJ26" s="558" t="s">
        <v>721</v>
      </c>
      <c r="AK26" s="558" t="s">
        <v>2449</v>
      </c>
    </row>
    <row r="27" spans="1:38" s="376" customFormat="1" ht="121.5" outlineLevel="2" x14ac:dyDescent="0.3">
      <c r="A27" s="447">
        <f t="shared" si="8"/>
        <v>3</v>
      </c>
      <c r="B27" s="557"/>
      <c r="C27" s="607"/>
      <c r="D27" s="587"/>
      <c r="E27" s="587"/>
      <c r="F27" s="560"/>
      <c r="G27" s="558"/>
      <c r="H27" s="588"/>
      <c r="I27" s="546"/>
      <c r="J27" s="589"/>
      <c r="K27" s="563" t="str">
        <f>IF(G27&lt;&gt;0,VLOOKUP(G27,'gia dat'!$A$1:$F$144,5,0)," ")</f>
        <v xml:space="preserve"> </v>
      </c>
      <c r="L27" s="563" t="str">
        <f>IF(G27&lt;&gt;0,VLOOKUP(G27,'gia dat'!$A$1:$F$144,6,0)," ")</f>
        <v xml:space="preserve"> </v>
      </c>
      <c r="M27" s="564" t="str">
        <f t="shared" si="1"/>
        <v xml:space="preserve"> </v>
      </c>
      <c r="N27" s="564" t="str">
        <f t="shared" si="2"/>
        <v xml:space="preserve"> </v>
      </c>
      <c r="O27" s="558" t="s">
        <v>70</v>
      </c>
      <c r="P27" s="590">
        <v>4</v>
      </c>
      <c r="Q27" s="564">
        <f>IF(O27&lt;&gt;0,VLOOKUP(O27,'Cây trong'!$A$2:$C$246,3,0)," ")</f>
        <v>1632000</v>
      </c>
      <c r="R27" s="564">
        <f t="shared" si="3"/>
        <v>6528000</v>
      </c>
      <c r="S27" s="566" t="s">
        <v>1799</v>
      </c>
      <c r="T27" s="589" t="s">
        <v>53</v>
      </c>
      <c r="U27" s="591">
        <v>53.51</v>
      </c>
      <c r="V27" s="589"/>
      <c r="W27" s="564">
        <f>IF(S27&lt;&gt;0,VLOOKUP(S27,VKT!$A$2:$G$415,7,0),"")</f>
        <v>275180</v>
      </c>
      <c r="X27" s="564">
        <f t="shared" si="4"/>
        <v>14725000</v>
      </c>
      <c r="Y27" s="589"/>
      <c r="Z27" s="592"/>
      <c r="AA27" s="592"/>
      <c r="AB27" s="568"/>
      <c r="AC27" s="592"/>
      <c r="AD27" s="592"/>
      <c r="AE27" s="592"/>
      <c r="AF27" s="590"/>
      <c r="AG27" s="570" t="str">
        <f>IF(AE27&lt;&gt;0,VLOOKUP(AE27,ODDS!$A$2:$C$13,3,0),"")</f>
        <v/>
      </c>
      <c r="AH27" s="570" t="str">
        <f t="shared" si="5"/>
        <v xml:space="preserve"> </v>
      </c>
      <c r="AI27" s="571" t="str">
        <f t="shared" si="0"/>
        <v xml:space="preserve"> </v>
      </c>
      <c r="AJ27" s="558" t="s">
        <v>419</v>
      </c>
      <c r="AK27" s="558" t="s">
        <v>2451</v>
      </c>
    </row>
    <row r="28" spans="1:38" s="376" customFormat="1" ht="101.25" outlineLevel="2" x14ac:dyDescent="0.3">
      <c r="A28" s="447">
        <f t="shared" si="8"/>
        <v>3</v>
      </c>
      <c r="B28" s="557"/>
      <c r="C28" s="558"/>
      <c r="D28" s="603"/>
      <c r="E28" s="587"/>
      <c r="F28" s="560"/>
      <c r="G28" s="586"/>
      <c r="H28" s="588"/>
      <c r="I28" s="546"/>
      <c r="J28" s="589"/>
      <c r="K28" s="563" t="str">
        <f>IF(G28&lt;&gt;0,VLOOKUP(G28,'gia dat'!$A$1:$F$144,5,0)," ")</f>
        <v xml:space="preserve"> </v>
      </c>
      <c r="L28" s="563" t="str">
        <f>IF(G28&lt;&gt;0,VLOOKUP(G28,'gia dat'!$A$1:$F$144,6,0)," ")</f>
        <v xml:space="preserve"> </v>
      </c>
      <c r="M28" s="564" t="str">
        <f t="shared" si="1"/>
        <v xml:space="preserve"> </v>
      </c>
      <c r="N28" s="564" t="str">
        <f t="shared" si="2"/>
        <v xml:space="preserve"> </v>
      </c>
      <c r="O28" s="565" t="s">
        <v>72</v>
      </c>
      <c r="P28" s="590">
        <v>152</v>
      </c>
      <c r="Q28" s="564">
        <f>IF(O28&lt;&gt;0,VLOOKUP(O28,'Cây trong'!$A$2:$C$246,3,0)," ")</f>
        <v>132000</v>
      </c>
      <c r="R28" s="564">
        <f t="shared" si="3"/>
        <v>20064000</v>
      </c>
      <c r="S28" s="566" t="s">
        <v>1766</v>
      </c>
      <c r="T28" s="589" t="s">
        <v>53</v>
      </c>
      <c r="U28" s="591">
        <v>73.680000000000007</v>
      </c>
      <c r="V28" s="589"/>
      <c r="W28" s="564">
        <f>IF(S28&lt;&gt;0,VLOOKUP(S28,VKT!$A$2:$G$415,7,0),"")</f>
        <v>265836</v>
      </c>
      <c r="X28" s="564">
        <f t="shared" si="4"/>
        <v>19587000</v>
      </c>
      <c r="Y28" s="562"/>
      <c r="Z28" s="592"/>
      <c r="AA28" s="592"/>
      <c r="AB28" s="568"/>
      <c r="AC28" s="592"/>
      <c r="AD28" s="601"/>
      <c r="AE28" s="601"/>
      <c r="AF28" s="599"/>
      <c r="AG28" s="570" t="str">
        <f>IF(AE28&lt;&gt;0,VLOOKUP(AE28,ODDS!$A$2:$C$13,3,0),"")</f>
        <v/>
      </c>
      <c r="AH28" s="570" t="str">
        <f t="shared" si="5"/>
        <v xml:space="preserve"> </v>
      </c>
      <c r="AI28" s="571" t="str">
        <f t="shared" si="0"/>
        <v xml:space="preserve"> </v>
      </c>
      <c r="AJ28" s="593" t="s">
        <v>370</v>
      </c>
      <c r="AK28" s="558" t="s">
        <v>2800</v>
      </c>
    </row>
    <row r="29" spans="1:38" s="376" customFormat="1" ht="138.75" customHeight="1" outlineLevel="2" x14ac:dyDescent="0.3">
      <c r="A29" s="447">
        <f t="shared" si="8"/>
        <v>3</v>
      </c>
      <c r="B29" s="557"/>
      <c r="C29" s="572"/>
      <c r="D29" s="587"/>
      <c r="E29" s="587"/>
      <c r="F29" s="560"/>
      <c r="G29" s="586"/>
      <c r="H29" s="588"/>
      <c r="I29" s="546"/>
      <c r="J29" s="589"/>
      <c r="K29" s="563" t="str">
        <f>IF(G29&lt;&gt;0,VLOOKUP(G29,'gia dat'!$A$1:$F$144,5,0)," ")</f>
        <v xml:space="preserve"> </v>
      </c>
      <c r="L29" s="563" t="str">
        <f>IF(G29&lt;&gt;0,VLOOKUP(G29,'gia dat'!$A$1:$F$144,6,0)," ")</f>
        <v xml:space="preserve"> </v>
      </c>
      <c r="M29" s="564" t="str">
        <f t="shared" si="1"/>
        <v xml:space="preserve"> </v>
      </c>
      <c r="N29" s="564" t="str">
        <f t="shared" si="2"/>
        <v xml:space="preserve"> </v>
      </c>
      <c r="O29" s="558" t="s">
        <v>73</v>
      </c>
      <c r="P29" s="590">
        <v>101</v>
      </c>
      <c r="Q29" s="564">
        <f>IF(O29&lt;&gt;0,VLOOKUP(O29,'Cây trong'!$A$2:$C$246,3,0)," ")</f>
        <v>76000</v>
      </c>
      <c r="R29" s="564">
        <f t="shared" si="3"/>
        <v>7676000</v>
      </c>
      <c r="S29" s="566" t="s">
        <v>1886</v>
      </c>
      <c r="T29" s="589" t="s">
        <v>53</v>
      </c>
      <c r="U29" s="591">
        <v>8.3000000000000007</v>
      </c>
      <c r="V29" s="589"/>
      <c r="W29" s="564">
        <f>IF(S29&lt;&gt;0,VLOOKUP(S29,VKT!$A$2:$G$415,7,0),"")</f>
        <v>9347414</v>
      </c>
      <c r="X29" s="564">
        <f t="shared" si="4"/>
        <v>77584000</v>
      </c>
      <c r="Y29" s="589" t="s">
        <v>63</v>
      </c>
      <c r="Z29" s="592" t="s">
        <v>63</v>
      </c>
      <c r="AA29" s="592" t="s">
        <v>56</v>
      </c>
      <c r="AB29" s="568" t="s">
        <v>57</v>
      </c>
      <c r="AC29" s="592" t="s">
        <v>63</v>
      </c>
      <c r="AD29" s="592"/>
      <c r="AE29" s="592"/>
      <c r="AF29" s="590"/>
      <c r="AG29" s="570" t="str">
        <f>IF(AE29&lt;&gt;0,VLOOKUP(AE29,ODDS!$A$2:$C$13,3,0),"")</f>
        <v/>
      </c>
      <c r="AH29" s="570" t="str">
        <f t="shared" si="5"/>
        <v xml:space="preserve"> </v>
      </c>
      <c r="AI29" s="571" t="str">
        <f t="shared" si="0"/>
        <v xml:space="preserve"> </v>
      </c>
      <c r="AJ29" s="558" t="s">
        <v>1730</v>
      </c>
      <c r="AK29" s="593"/>
    </row>
    <row r="30" spans="1:38" s="376" customFormat="1" ht="81.75" customHeight="1" outlineLevel="2" x14ac:dyDescent="0.3">
      <c r="A30" s="447">
        <f t="shared" si="8"/>
        <v>3</v>
      </c>
      <c r="B30" s="557"/>
      <c r="C30" s="574"/>
      <c r="D30" s="587"/>
      <c r="E30" s="587"/>
      <c r="F30" s="560"/>
      <c r="G30" s="558"/>
      <c r="H30" s="588"/>
      <c r="I30" s="546"/>
      <c r="J30" s="589"/>
      <c r="K30" s="563" t="str">
        <f>IF(G30&lt;&gt;0,VLOOKUP(G30,'gia dat'!$A$1:$F$144,5,0)," ")</f>
        <v xml:space="preserve"> </v>
      </c>
      <c r="L30" s="563" t="str">
        <f>IF(G30&lt;&gt;0,VLOOKUP(G30,'gia dat'!$A$1:$F$144,6,0)," ")</f>
        <v xml:space="preserve"> </v>
      </c>
      <c r="M30" s="564" t="str">
        <f t="shared" si="1"/>
        <v xml:space="preserve"> </v>
      </c>
      <c r="N30" s="564" t="str">
        <f t="shared" si="2"/>
        <v xml:space="preserve"> </v>
      </c>
      <c r="O30" s="565" t="s">
        <v>75</v>
      </c>
      <c r="P30" s="590">
        <v>145</v>
      </c>
      <c r="Q30" s="564">
        <f>IF(O30&lt;&gt;0,VLOOKUP(O30,'Cây trong'!$A$2:$C$246,3,0)," ")</f>
        <v>34000</v>
      </c>
      <c r="R30" s="564">
        <f t="shared" si="3"/>
        <v>4930000</v>
      </c>
      <c r="S30" s="566" t="s">
        <v>1767</v>
      </c>
      <c r="T30" s="589" t="s">
        <v>53</v>
      </c>
      <c r="U30" s="591">
        <v>8.0500000000000007</v>
      </c>
      <c r="V30" s="589"/>
      <c r="W30" s="564">
        <f>IF(S30&lt;&gt;0,VLOOKUP(S30,VKT!$A$2:$G$415,7,0),"")</f>
        <v>0</v>
      </c>
      <c r="X30" s="564">
        <f t="shared" si="4"/>
        <v>0</v>
      </c>
      <c r="Y30" s="589"/>
      <c r="Z30" s="592"/>
      <c r="AA30" s="592"/>
      <c r="AB30" s="568"/>
      <c r="AC30" s="592"/>
      <c r="AD30" s="592"/>
      <c r="AE30" s="592"/>
      <c r="AF30" s="590"/>
      <c r="AG30" s="570" t="str">
        <f>IF(AE30&lt;&gt;0,VLOOKUP(AE30,ODDS!$A$2:$C$13,3,0),"")</f>
        <v/>
      </c>
      <c r="AH30" s="570" t="str">
        <f t="shared" si="5"/>
        <v xml:space="preserve"> </v>
      </c>
      <c r="AI30" s="571" t="str">
        <f t="shared" si="0"/>
        <v xml:space="preserve"> </v>
      </c>
      <c r="AJ30" s="558" t="s">
        <v>2074</v>
      </c>
      <c r="AK30" s="558"/>
    </row>
    <row r="31" spans="1:38" s="376" customFormat="1" ht="67.5" customHeight="1" outlineLevel="2" x14ac:dyDescent="0.3">
      <c r="A31" s="447">
        <f t="shared" si="8"/>
        <v>3</v>
      </c>
      <c r="B31" s="557"/>
      <c r="C31" s="574"/>
      <c r="D31" s="595"/>
      <c r="E31" s="595"/>
      <c r="F31" s="577"/>
      <c r="G31" s="574"/>
      <c r="H31" s="588"/>
      <c r="I31" s="546"/>
      <c r="J31" s="589"/>
      <c r="K31" s="563" t="str">
        <f>IF(G31&lt;&gt;0,VLOOKUP(G31,'gia dat'!$A$1:$F$144,5,0)," ")</f>
        <v xml:space="preserve"> </v>
      </c>
      <c r="L31" s="563" t="str">
        <f>IF(G31&lt;&gt;0,VLOOKUP(G31,'gia dat'!$A$1:$F$144,6,0)," ")</f>
        <v xml:space="preserve"> </v>
      </c>
      <c r="M31" s="564" t="str">
        <f t="shared" si="1"/>
        <v xml:space="preserve"> </v>
      </c>
      <c r="N31" s="564" t="str">
        <f t="shared" si="2"/>
        <v xml:space="preserve"> </v>
      </c>
      <c r="O31" s="558" t="s">
        <v>76</v>
      </c>
      <c r="P31" s="590">
        <v>1</v>
      </c>
      <c r="Q31" s="564">
        <f>IF(O31&lt;&gt;0,VLOOKUP(O31,'Cây trong'!$A$2:$C$246,3,0)," ")</f>
        <v>45000</v>
      </c>
      <c r="R31" s="564">
        <f t="shared" si="3"/>
        <v>45000</v>
      </c>
      <c r="S31" s="566" t="s">
        <v>1799</v>
      </c>
      <c r="T31" s="589" t="s">
        <v>53</v>
      </c>
      <c r="U31" s="591">
        <v>8.0500000000000007</v>
      </c>
      <c r="V31" s="597"/>
      <c r="W31" s="564">
        <f>IF(S31&lt;&gt;0,VLOOKUP(S31,VKT!$A$2:$G$415,7,0),"")</f>
        <v>275180</v>
      </c>
      <c r="X31" s="564">
        <f t="shared" si="4"/>
        <v>2215000</v>
      </c>
      <c r="Y31" s="589"/>
      <c r="Z31" s="592"/>
      <c r="AA31" s="592"/>
      <c r="AB31" s="568"/>
      <c r="AC31" s="592"/>
      <c r="AD31" s="592"/>
      <c r="AE31" s="592"/>
      <c r="AF31" s="590"/>
      <c r="AG31" s="570" t="str">
        <f>IF(AE31&lt;&gt;0,VLOOKUP(AE31,ODDS!$A$2:$C$13,3,0),"")</f>
        <v/>
      </c>
      <c r="AH31" s="570" t="str">
        <f t="shared" si="5"/>
        <v xml:space="preserve"> </v>
      </c>
      <c r="AI31" s="571" t="str">
        <f t="shared" si="0"/>
        <v xml:space="preserve"> </v>
      </c>
      <c r="AJ31" s="575"/>
      <c r="AK31" s="558"/>
    </row>
    <row r="32" spans="1:38" s="376" customFormat="1" ht="83.25" customHeight="1" outlineLevel="2" x14ac:dyDescent="0.3">
      <c r="A32" s="447">
        <f t="shared" si="8"/>
        <v>3</v>
      </c>
      <c r="B32" s="557"/>
      <c r="C32" s="574"/>
      <c r="D32" s="595"/>
      <c r="E32" s="595"/>
      <c r="F32" s="577"/>
      <c r="G32" s="574"/>
      <c r="H32" s="588"/>
      <c r="I32" s="546"/>
      <c r="J32" s="589"/>
      <c r="K32" s="563" t="str">
        <f>IF(G32&lt;&gt;0,VLOOKUP(G32,'gia dat'!$A$1:$F$144,5,0)," ")</f>
        <v xml:space="preserve"> </v>
      </c>
      <c r="L32" s="563" t="str">
        <f>IF(G32&lt;&gt;0,VLOOKUP(G32,'gia dat'!$A$1:$F$144,6,0)," ")</f>
        <v xml:space="preserve"> </v>
      </c>
      <c r="M32" s="564" t="str">
        <f t="shared" si="1"/>
        <v xml:space="preserve"> </v>
      </c>
      <c r="N32" s="564" t="str">
        <f t="shared" si="2"/>
        <v xml:space="preserve"> </v>
      </c>
      <c r="O32" s="558" t="s">
        <v>77</v>
      </c>
      <c r="P32" s="590">
        <v>2</v>
      </c>
      <c r="Q32" s="564">
        <f>IF(O32&lt;&gt;0,VLOOKUP(O32,'Cây trong'!$A$2:$C$246,3,0)," ")</f>
        <v>3064000</v>
      </c>
      <c r="R32" s="564">
        <f t="shared" si="3"/>
        <v>6128000</v>
      </c>
      <c r="S32" s="566" t="s">
        <v>2252</v>
      </c>
      <c r="T32" s="589" t="s">
        <v>78</v>
      </c>
      <c r="U32" s="591">
        <v>20.13</v>
      </c>
      <c r="V32" s="597"/>
      <c r="W32" s="564">
        <f>IF(S32&lt;&gt;0,VLOOKUP(S32,VKT!$A$2:$G$415,7,0),"")</f>
        <v>3878211</v>
      </c>
      <c r="X32" s="564">
        <f t="shared" si="4"/>
        <v>78068000</v>
      </c>
      <c r="Y32" s="589"/>
      <c r="Z32" s="592"/>
      <c r="AA32" s="592"/>
      <c r="AB32" s="568"/>
      <c r="AC32" s="592"/>
      <c r="AD32" s="592"/>
      <c r="AE32" s="592"/>
      <c r="AF32" s="590"/>
      <c r="AG32" s="570" t="str">
        <f>IF(AE32&lt;&gt;0,VLOOKUP(AE32,ODDS!$A$2:$C$13,3,0),"")</f>
        <v/>
      </c>
      <c r="AH32" s="570" t="str">
        <f t="shared" si="5"/>
        <v xml:space="preserve"> </v>
      </c>
      <c r="AI32" s="571" t="str">
        <f t="shared" si="0"/>
        <v xml:space="preserve"> </v>
      </c>
      <c r="AJ32" s="608"/>
      <c r="AK32" s="608"/>
    </row>
    <row r="33" spans="1:37" s="376" customFormat="1" ht="137.25" customHeight="1" outlineLevel="2" x14ac:dyDescent="0.3">
      <c r="A33" s="447">
        <f t="shared" si="8"/>
        <v>3</v>
      </c>
      <c r="B33" s="557"/>
      <c r="C33" s="607"/>
      <c r="D33" s="594"/>
      <c r="E33" s="595"/>
      <c r="F33" s="577"/>
      <c r="G33" s="574"/>
      <c r="H33" s="588"/>
      <c r="I33" s="546"/>
      <c r="J33" s="597"/>
      <c r="K33" s="563" t="str">
        <f>IF(G33&lt;&gt;0,VLOOKUP(G33,'gia dat'!$A$1:$F$144,5,0)," ")</f>
        <v xml:space="preserve"> </v>
      </c>
      <c r="L33" s="563" t="str">
        <f>IF(G33&lt;&gt;0,VLOOKUP(G33,'gia dat'!$A$1:$F$144,6,0)," ")</f>
        <v xml:space="preserve"> </v>
      </c>
      <c r="M33" s="564" t="str">
        <f t="shared" si="1"/>
        <v xml:space="preserve"> </v>
      </c>
      <c r="N33" s="564" t="str">
        <f t="shared" si="2"/>
        <v xml:space="preserve"> </v>
      </c>
      <c r="O33" s="565" t="s">
        <v>79</v>
      </c>
      <c r="P33" s="590">
        <v>1</v>
      </c>
      <c r="Q33" s="564">
        <f>IF(O33&lt;&gt;0,VLOOKUP(O33,'Cây trong'!$A$2:$C$246,3,0)," ")</f>
        <v>1035000</v>
      </c>
      <c r="R33" s="564">
        <f t="shared" si="3"/>
        <v>1035000</v>
      </c>
      <c r="S33" s="566" t="s">
        <v>2253</v>
      </c>
      <c r="T33" s="589" t="s">
        <v>53</v>
      </c>
      <c r="U33" s="591">
        <v>23.45</v>
      </c>
      <c r="V33" s="597"/>
      <c r="W33" s="564">
        <f>IF(S33&lt;&gt;0,VLOOKUP(S33,VKT!$A$2:$G$415,7,0),"")</f>
        <v>890132</v>
      </c>
      <c r="X33" s="564">
        <f t="shared" si="4"/>
        <v>20874000</v>
      </c>
      <c r="Y33" s="580"/>
      <c r="Z33" s="601"/>
      <c r="AA33" s="601"/>
      <c r="AB33" s="584"/>
      <c r="AC33" s="601"/>
      <c r="AD33" s="592"/>
      <c r="AE33" s="592"/>
      <c r="AF33" s="590"/>
      <c r="AG33" s="570" t="str">
        <f>IF(AE33&lt;&gt;0,VLOOKUP(AE33,ODDS!$A$2:$C$13,3,0),"")</f>
        <v/>
      </c>
      <c r="AH33" s="570" t="str">
        <f t="shared" si="5"/>
        <v xml:space="preserve"> </v>
      </c>
      <c r="AI33" s="571" t="str">
        <f t="shared" si="0"/>
        <v xml:space="preserve"> </v>
      </c>
      <c r="AJ33" s="608"/>
      <c r="AK33" s="608"/>
    </row>
    <row r="34" spans="1:37" s="376" customFormat="1" ht="51" customHeight="1" outlineLevel="2" x14ac:dyDescent="0.3">
      <c r="A34" s="447">
        <f t="shared" si="8"/>
        <v>3</v>
      </c>
      <c r="B34" s="557"/>
      <c r="C34" s="558"/>
      <c r="D34" s="603"/>
      <c r="E34" s="587"/>
      <c r="F34" s="560"/>
      <c r="G34" s="558"/>
      <c r="H34" s="588"/>
      <c r="I34" s="546"/>
      <c r="J34" s="589"/>
      <c r="K34" s="563" t="str">
        <f>IF(G34&lt;&gt;0,VLOOKUP(G34,'gia dat'!$A$1:$F$144,5,0)," ")</f>
        <v xml:space="preserve"> </v>
      </c>
      <c r="L34" s="563" t="str">
        <f>IF(G34&lt;&gt;0,VLOOKUP(G34,'gia dat'!$A$1:$F$144,6,0)," ")</f>
        <v xml:space="preserve"> </v>
      </c>
      <c r="M34" s="564" t="str">
        <f t="shared" si="1"/>
        <v xml:space="preserve"> </v>
      </c>
      <c r="N34" s="564" t="str">
        <f t="shared" si="2"/>
        <v xml:space="preserve"> </v>
      </c>
      <c r="O34" s="565" t="s">
        <v>80</v>
      </c>
      <c r="P34" s="590">
        <v>2</v>
      </c>
      <c r="Q34" s="564">
        <f>IF(O34&lt;&gt;0,VLOOKUP(O34,'Cây trong'!$A$2:$C$246,3,0)," ")</f>
        <v>400000</v>
      </c>
      <c r="R34" s="564">
        <f t="shared" si="3"/>
        <v>800000</v>
      </c>
      <c r="S34" s="566" t="s">
        <v>1899</v>
      </c>
      <c r="T34" s="589" t="s">
        <v>53</v>
      </c>
      <c r="U34" s="591">
        <v>4.5999999999999996</v>
      </c>
      <c r="V34" s="589"/>
      <c r="W34" s="564">
        <f>IF(S34&lt;&gt;0,VLOOKUP(S34,VKT!$A$2:$G$415,7,0),"")</f>
        <v>0</v>
      </c>
      <c r="X34" s="564">
        <f t="shared" si="4"/>
        <v>0</v>
      </c>
      <c r="Y34" s="562"/>
      <c r="Z34" s="592" t="s">
        <v>55</v>
      </c>
      <c r="AA34" s="592" t="s">
        <v>82</v>
      </c>
      <c r="AB34" s="568" t="s">
        <v>83</v>
      </c>
      <c r="AC34" s="592" t="s">
        <v>66</v>
      </c>
      <c r="AD34" s="601"/>
      <c r="AE34" s="601"/>
      <c r="AF34" s="599"/>
      <c r="AG34" s="570" t="str">
        <f>IF(AE34&lt;&gt;0,VLOOKUP(AE34,ODDS!$A$2:$C$13,3,0),"")</f>
        <v/>
      </c>
      <c r="AH34" s="570" t="str">
        <f t="shared" si="5"/>
        <v xml:space="preserve"> </v>
      </c>
      <c r="AI34" s="571" t="str">
        <f t="shared" si="0"/>
        <v xml:space="preserve"> </v>
      </c>
      <c r="AJ34" s="608"/>
      <c r="AK34" s="608"/>
    </row>
    <row r="35" spans="1:37" s="376" customFormat="1" ht="51" customHeight="1" outlineLevel="2" x14ac:dyDescent="0.3">
      <c r="A35" s="447">
        <f t="shared" si="8"/>
        <v>3</v>
      </c>
      <c r="B35" s="557"/>
      <c r="C35" s="572"/>
      <c r="D35" s="587"/>
      <c r="E35" s="587"/>
      <c r="F35" s="560"/>
      <c r="G35" s="586"/>
      <c r="H35" s="588"/>
      <c r="I35" s="546"/>
      <c r="J35" s="589"/>
      <c r="K35" s="563" t="str">
        <f>IF(G35&lt;&gt;0,VLOOKUP(G35,'gia dat'!$A$1:$F$144,5,0)," ")</f>
        <v xml:space="preserve"> </v>
      </c>
      <c r="L35" s="563" t="str">
        <f>IF(G35&lt;&gt;0,VLOOKUP(G35,'gia dat'!$A$1:$F$144,6,0)," ")</f>
        <v xml:space="preserve"> </v>
      </c>
      <c r="M35" s="564" t="str">
        <f t="shared" si="1"/>
        <v xml:space="preserve"> </v>
      </c>
      <c r="N35" s="564" t="str">
        <f t="shared" si="2"/>
        <v xml:space="preserve"> </v>
      </c>
      <c r="O35" s="558" t="s">
        <v>84</v>
      </c>
      <c r="P35" s="590">
        <v>1</v>
      </c>
      <c r="Q35" s="564">
        <f>IF(O35&lt;&gt;0,VLOOKUP(O35,'Cây trong'!$A$2:$C$246,3,0)," ")</f>
        <v>300000</v>
      </c>
      <c r="R35" s="564">
        <f t="shared" si="3"/>
        <v>300000</v>
      </c>
      <c r="S35" s="566" t="s">
        <v>2254</v>
      </c>
      <c r="T35" s="589" t="s">
        <v>53</v>
      </c>
      <c r="U35" s="591">
        <v>1.2</v>
      </c>
      <c r="V35" s="589"/>
      <c r="W35" s="564">
        <f>IF(S35&lt;&gt;0,VLOOKUP(S35,VKT!$A$2:$G$415,7,0),"")</f>
        <v>3764632</v>
      </c>
      <c r="X35" s="564">
        <f t="shared" si="4"/>
        <v>4518000</v>
      </c>
      <c r="Y35" s="589"/>
      <c r="Z35" s="592" t="s">
        <v>85</v>
      </c>
      <c r="AA35" s="592" t="s">
        <v>56</v>
      </c>
      <c r="AB35" s="568" t="s">
        <v>57</v>
      </c>
      <c r="AC35" s="592" t="s">
        <v>54</v>
      </c>
      <c r="AD35" s="592"/>
      <c r="AE35" s="592"/>
      <c r="AF35" s="590"/>
      <c r="AG35" s="570" t="str">
        <f>IF(AE35&lt;&gt;0,VLOOKUP(AE35,ODDS!$A$2:$C$13,3,0),"")</f>
        <v/>
      </c>
      <c r="AH35" s="570" t="str">
        <f t="shared" si="5"/>
        <v xml:space="preserve"> </v>
      </c>
      <c r="AI35" s="571" t="str">
        <f t="shared" si="0"/>
        <v xml:space="preserve"> </v>
      </c>
      <c r="AJ35" s="593"/>
      <c r="AK35" s="593"/>
    </row>
    <row r="36" spans="1:37" s="376" customFormat="1" ht="60" customHeight="1" outlineLevel="2" x14ac:dyDescent="0.3">
      <c r="A36" s="447">
        <f t="shared" si="8"/>
        <v>3</v>
      </c>
      <c r="B36" s="557"/>
      <c r="C36" s="574"/>
      <c r="D36" s="587"/>
      <c r="E36" s="587"/>
      <c r="F36" s="560"/>
      <c r="G36" s="558"/>
      <c r="H36" s="588"/>
      <c r="I36" s="546"/>
      <c r="J36" s="589"/>
      <c r="K36" s="563" t="str">
        <f>IF(G36&lt;&gt;0,VLOOKUP(G36,'gia dat'!$A$1:$F$144,5,0)," ")</f>
        <v xml:space="preserve"> </v>
      </c>
      <c r="L36" s="563" t="str">
        <f>IF(G36&lt;&gt;0,VLOOKUP(G36,'gia dat'!$A$1:$F$144,6,0)," ")</f>
        <v xml:space="preserve"> </v>
      </c>
      <c r="M36" s="564" t="str">
        <f t="shared" si="1"/>
        <v xml:space="preserve"> </v>
      </c>
      <c r="N36" s="564" t="str">
        <f t="shared" si="2"/>
        <v xml:space="preserve"> </v>
      </c>
      <c r="O36" s="558" t="s">
        <v>725</v>
      </c>
      <c r="P36" s="590">
        <v>1</v>
      </c>
      <c r="Q36" s="564">
        <f>IF(O36&lt;&gt;0,VLOOKUP(O36,'Cây trong'!$A$2:$C$246,3,0)," ")</f>
        <v>360000</v>
      </c>
      <c r="R36" s="564">
        <f t="shared" si="3"/>
        <v>360000</v>
      </c>
      <c r="S36" s="566" t="s">
        <v>1899</v>
      </c>
      <c r="T36" s="589" t="s">
        <v>53</v>
      </c>
      <c r="U36" s="591">
        <v>4.5599999999999996</v>
      </c>
      <c r="V36" s="589"/>
      <c r="W36" s="564">
        <f>IF(S36&lt;&gt;0,VLOOKUP(S36,VKT!$A$2:$G$415,7,0),"")</f>
        <v>0</v>
      </c>
      <c r="X36" s="564">
        <f t="shared" si="4"/>
        <v>0</v>
      </c>
      <c r="Y36" s="589"/>
      <c r="Z36" s="592" t="s">
        <v>86</v>
      </c>
      <c r="AA36" s="592" t="s">
        <v>87</v>
      </c>
      <c r="AB36" s="568" t="s">
        <v>83</v>
      </c>
      <c r="AC36" s="592" t="s">
        <v>88</v>
      </c>
      <c r="AD36" s="592"/>
      <c r="AE36" s="592"/>
      <c r="AF36" s="590"/>
      <c r="AG36" s="570" t="str">
        <f>IF(AE36&lt;&gt;0,VLOOKUP(AE36,ODDS!$A$2:$C$13,3,0),"")</f>
        <v/>
      </c>
      <c r="AH36" s="570" t="str">
        <f t="shared" si="5"/>
        <v xml:space="preserve"> </v>
      </c>
      <c r="AI36" s="571" t="str">
        <f t="shared" si="0"/>
        <v xml:space="preserve"> </v>
      </c>
      <c r="AJ36" s="586"/>
      <c r="AK36" s="586"/>
    </row>
    <row r="37" spans="1:37" s="376" customFormat="1" ht="138.75" customHeight="1" outlineLevel="2" x14ac:dyDescent="0.3">
      <c r="A37" s="447">
        <f t="shared" si="8"/>
        <v>3</v>
      </c>
      <c r="B37" s="557"/>
      <c r="C37" s="574"/>
      <c r="D37" s="587"/>
      <c r="E37" s="587"/>
      <c r="F37" s="560"/>
      <c r="G37" s="558"/>
      <c r="H37" s="588"/>
      <c r="I37" s="546"/>
      <c r="J37" s="589"/>
      <c r="K37" s="563" t="str">
        <f>IF(G37&lt;&gt;0,VLOOKUP(G37,'gia dat'!$A$1:$F$144,5,0)," ")</f>
        <v xml:space="preserve"> </v>
      </c>
      <c r="L37" s="563" t="str">
        <f>IF(G37&lt;&gt;0,VLOOKUP(G37,'gia dat'!$A$1:$F$144,6,0)," ")</f>
        <v xml:space="preserve"> </v>
      </c>
      <c r="M37" s="564" t="str">
        <f t="shared" si="1"/>
        <v xml:space="preserve"> </v>
      </c>
      <c r="N37" s="564" t="str">
        <f t="shared" si="2"/>
        <v xml:space="preserve"> </v>
      </c>
      <c r="O37" s="558" t="s">
        <v>726</v>
      </c>
      <c r="P37" s="590">
        <v>1</v>
      </c>
      <c r="Q37" s="564">
        <f>IF(O37&lt;&gt;0,VLOOKUP(O37,'Cây trong'!$A$2:$C$246,3,0)," ")</f>
        <v>60000</v>
      </c>
      <c r="R37" s="564">
        <f t="shared" si="3"/>
        <v>60000</v>
      </c>
      <c r="S37" s="566" t="s">
        <v>2255</v>
      </c>
      <c r="T37" s="589" t="s">
        <v>53</v>
      </c>
      <c r="U37" s="591">
        <v>74.16</v>
      </c>
      <c r="V37" s="589"/>
      <c r="W37" s="564">
        <f>IF(S37&lt;&gt;0,VLOOKUP(S37,VKT!$A$2:$G$415,7,0),"")</f>
        <v>830536</v>
      </c>
      <c r="X37" s="564">
        <f t="shared" si="4"/>
        <v>61593000</v>
      </c>
      <c r="Y37" s="589"/>
      <c r="Z37" s="592"/>
      <c r="AA37" s="592"/>
      <c r="AB37" s="568"/>
      <c r="AC37" s="592"/>
      <c r="AD37" s="592"/>
      <c r="AE37" s="592"/>
      <c r="AF37" s="590"/>
      <c r="AG37" s="570" t="str">
        <f>IF(AE37&lt;&gt;0,VLOOKUP(AE37,ODDS!$A$2:$C$13,3,0),"")</f>
        <v/>
      </c>
      <c r="AH37" s="570" t="str">
        <f t="shared" si="5"/>
        <v xml:space="preserve"> </v>
      </c>
      <c r="AI37" s="571" t="str">
        <f t="shared" si="0"/>
        <v xml:space="preserve"> </v>
      </c>
      <c r="AJ37" s="593"/>
      <c r="AK37" s="593"/>
    </row>
    <row r="38" spans="1:37" s="376" customFormat="1" ht="108" customHeight="1" outlineLevel="2" x14ac:dyDescent="0.3">
      <c r="A38" s="447">
        <f t="shared" si="8"/>
        <v>3</v>
      </c>
      <c r="B38" s="557"/>
      <c r="C38" s="574"/>
      <c r="D38" s="587"/>
      <c r="E38" s="587"/>
      <c r="F38" s="560"/>
      <c r="G38" s="558"/>
      <c r="H38" s="588"/>
      <c r="I38" s="546"/>
      <c r="J38" s="589"/>
      <c r="K38" s="563" t="str">
        <f>IF(G38&lt;&gt;0,VLOOKUP(G38,'gia dat'!$A$1:$F$144,5,0)," ")</f>
        <v xml:space="preserve"> </v>
      </c>
      <c r="L38" s="563" t="str">
        <f>IF(G38&lt;&gt;0,VLOOKUP(G38,'gia dat'!$A$1:$F$144,6,0)," ")</f>
        <v xml:space="preserve"> </v>
      </c>
      <c r="M38" s="564" t="str">
        <f t="shared" si="1"/>
        <v xml:space="preserve"> </v>
      </c>
      <c r="N38" s="564" t="str">
        <f t="shared" si="2"/>
        <v xml:space="preserve"> </v>
      </c>
      <c r="O38" s="558" t="s">
        <v>727</v>
      </c>
      <c r="P38" s="590">
        <v>1</v>
      </c>
      <c r="Q38" s="564">
        <f>IF(O38&lt;&gt;0,VLOOKUP(O38,'Cây trong'!$A$2:$C$246,3,0)," ")</f>
        <v>32000</v>
      </c>
      <c r="R38" s="564">
        <f t="shared" si="3"/>
        <v>32000</v>
      </c>
      <c r="S38" s="566" t="s">
        <v>2256</v>
      </c>
      <c r="T38" s="589" t="s">
        <v>53</v>
      </c>
      <c r="U38" s="591">
        <v>15.08</v>
      </c>
      <c r="V38" s="589"/>
      <c r="W38" s="564">
        <f>IF(S38&lt;&gt;0,VLOOKUP(S38,VKT!$A$2:$G$415,7,0),"")</f>
        <v>4631321</v>
      </c>
      <c r="X38" s="564">
        <f t="shared" si="4"/>
        <v>69840000</v>
      </c>
      <c r="Y38" s="589"/>
      <c r="Z38" s="592" t="s">
        <v>63</v>
      </c>
      <c r="AA38" s="592" t="s">
        <v>56</v>
      </c>
      <c r="AB38" s="568"/>
      <c r="AC38" s="592" t="s">
        <v>63</v>
      </c>
      <c r="AD38" s="592"/>
      <c r="AE38" s="592"/>
      <c r="AF38" s="590"/>
      <c r="AG38" s="570" t="str">
        <f>IF(AE38&lt;&gt;0,VLOOKUP(AE38,ODDS!$A$2:$C$13,3,0),"")</f>
        <v/>
      </c>
      <c r="AH38" s="570" t="str">
        <f t="shared" si="5"/>
        <v xml:space="preserve"> </v>
      </c>
      <c r="AI38" s="571" t="str">
        <f t="shared" si="0"/>
        <v xml:space="preserve"> </v>
      </c>
      <c r="AJ38" s="593"/>
      <c r="AK38" s="593"/>
    </row>
    <row r="39" spans="1:37" s="376" customFormat="1" ht="94.5" customHeight="1" outlineLevel="2" x14ac:dyDescent="0.3">
      <c r="A39" s="447">
        <f t="shared" si="8"/>
        <v>3</v>
      </c>
      <c r="B39" s="557"/>
      <c r="C39" s="607"/>
      <c r="D39" s="594"/>
      <c r="E39" s="595"/>
      <c r="F39" s="577"/>
      <c r="G39" s="574"/>
      <c r="H39" s="588"/>
      <c r="I39" s="546"/>
      <c r="J39" s="608"/>
      <c r="K39" s="563" t="str">
        <f>IF(G39&lt;&gt;0,VLOOKUP(G39,'gia dat'!$A$1:$F$144,5,0)," ")</f>
        <v xml:space="preserve"> </v>
      </c>
      <c r="L39" s="563" t="str">
        <f>IF(G39&lt;&gt;0,VLOOKUP(G39,'gia dat'!$A$1:$F$144,6,0)," ")</f>
        <v xml:space="preserve"> </v>
      </c>
      <c r="M39" s="564" t="str">
        <f t="shared" si="1"/>
        <v xml:space="preserve"> </v>
      </c>
      <c r="N39" s="564" t="str">
        <f t="shared" si="2"/>
        <v xml:space="preserve"> </v>
      </c>
      <c r="O39" s="586" t="s">
        <v>728</v>
      </c>
      <c r="P39" s="590">
        <v>1</v>
      </c>
      <c r="Q39" s="564">
        <f>IF(O39&lt;&gt;0,VLOOKUP(O39,'Cây trong'!$A$2:$C$246,3,0)," ")</f>
        <v>60000</v>
      </c>
      <c r="R39" s="564">
        <f t="shared" si="3"/>
        <v>60000</v>
      </c>
      <c r="S39" s="586" t="s">
        <v>2404</v>
      </c>
      <c r="T39" s="609" t="s">
        <v>53</v>
      </c>
      <c r="U39" s="591">
        <v>14.75</v>
      </c>
      <c r="V39" s="610"/>
      <c r="W39" s="564">
        <f>IF(S39&lt;&gt;0,VLOOKUP(S39,VKT!$A$2:$G$415,7,0),"")</f>
        <v>4631321</v>
      </c>
      <c r="X39" s="564">
        <f t="shared" si="4"/>
        <v>68312000</v>
      </c>
      <c r="Y39" s="580"/>
      <c r="Z39" s="592" t="s">
        <v>63</v>
      </c>
      <c r="AA39" s="592" t="s">
        <v>56</v>
      </c>
      <c r="AB39" s="568"/>
      <c r="AC39" s="592" t="s">
        <v>63</v>
      </c>
      <c r="AD39" s="592"/>
      <c r="AE39" s="592"/>
      <c r="AF39" s="590"/>
      <c r="AG39" s="570" t="str">
        <f>IF(AE39&lt;&gt;0,VLOOKUP(AE39,ODDS!$A$2:$C$13,3,0),"")</f>
        <v/>
      </c>
      <c r="AH39" s="570" t="str">
        <f t="shared" si="5"/>
        <v xml:space="preserve"> </v>
      </c>
      <c r="AI39" s="571" t="str">
        <f t="shared" si="0"/>
        <v xml:space="preserve"> </v>
      </c>
      <c r="AJ39" s="593"/>
      <c r="AK39" s="593"/>
    </row>
    <row r="40" spans="1:37" s="376" customFormat="1" ht="85.5" customHeight="1" outlineLevel="2" x14ac:dyDescent="0.3">
      <c r="A40" s="447">
        <f t="shared" si="8"/>
        <v>3</v>
      </c>
      <c r="B40" s="557"/>
      <c r="C40" s="572"/>
      <c r="D40" s="603"/>
      <c r="E40" s="587"/>
      <c r="F40" s="560"/>
      <c r="G40" s="558"/>
      <c r="H40" s="588"/>
      <c r="I40" s="546"/>
      <c r="J40" s="608"/>
      <c r="K40" s="563" t="str">
        <f>IF(G40&lt;&gt;0,VLOOKUP(G40,'gia dat'!$A$1:$F$144,5,0)," ")</f>
        <v xml:space="preserve"> </v>
      </c>
      <c r="L40" s="563" t="str">
        <f>IF(G40&lt;&gt;0,VLOOKUP(G40,'gia dat'!$A$1:$F$144,6,0)," ")</f>
        <v xml:space="preserve"> </v>
      </c>
      <c r="M40" s="564" t="str">
        <f t="shared" si="1"/>
        <v xml:space="preserve"> </v>
      </c>
      <c r="N40" s="564" t="str">
        <f t="shared" si="2"/>
        <v xml:space="preserve"> </v>
      </c>
      <c r="O40" s="586" t="s">
        <v>89</v>
      </c>
      <c r="P40" s="590">
        <v>1</v>
      </c>
      <c r="Q40" s="564">
        <f>IF(O40&lt;&gt;0,VLOOKUP(O40,'Cây trong'!$A$2:$C$246,3,0)," ")</f>
        <v>283000</v>
      </c>
      <c r="R40" s="564">
        <f t="shared" si="3"/>
        <v>283000</v>
      </c>
      <c r="S40" s="586" t="s">
        <v>2257</v>
      </c>
      <c r="T40" s="609" t="s">
        <v>53</v>
      </c>
      <c r="U40" s="591">
        <v>88</v>
      </c>
      <c r="V40" s="611"/>
      <c r="W40" s="564">
        <f>IF(S40&lt;&gt;0,VLOOKUP(S40,VKT!$A$2:$G$415,7,0),"")</f>
        <v>5469063</v>
      </c>
      <c r="X40" s="564">
        <f t="shared" si="4"/>
        <v>481278000</v>
      </c>
      <c r="Y40" s="562"/>
      <c r="Z40" s="568" t="s">
        <v>90</v>
      </c>
      <c r="AA40" s="592" t="s">
        <v>56</v>
      </c>
      <c r="AB40" s="568" t="s">
        <v>57</v>
      </c>
      <c r="AC40" s="592" t="s">
        <v>63</v>
      </c>
      <c r="AD40" s="601"/>
      <c r="AE40" s="601"/>
      <c r="AF40" s="599"/>
      <c r="AG40" s="570" t="str">
        <f>IF(AE40&lt;&gt;0,VLOOKUP(AE40,ODDS!$A$2:$C$13,3,0),"")</f>
        <v/>
      </c>
      <c r="AH40" s="570" t="str">
        <f t="shared" si="5"/>
        <v xml:space="preserve"> </v>
      </c>
      <c r="AI40" s="571" t="str">
        <f t="shared" si="0"/>
        <v xml:space="preserve"> </v>
      </c>
      <c r="AJ40" s="608"/>
      <c r="AK40" s="608"/>
    </row>
    <row r="41" spans="1:37" s="376" customFormat="1" ht="102" customHeight="1" outlineLevel="2" x14ac:dyDescent="0.3">
      <c r="A41" s="447">
        <f t="shared" si="8"/>
        <v>3</v>
      </c>
      <c r="B41" s="557"/>
      <c r="C41" s="586"/>
      <c r="D41" s="612"/>
      <c r="E41" s="613"/>
      <c r="F41" s="612"/>
      <c r="G41" s="586"/>
      <c r="H41" s="588"/>
      <c r="I41" s="546"/>
      <c r="J41" s="593"/>
      <c r="K41" s="563" t="str">
        <f>IF(G41&lt;&gt;0,VLOOKUP(G41,'gia dat'!$A$1:$F$144,5,0)," ")</f>
        <v xml:space="preserve"> </v>
      </c>
      <c r="L41" s="563" t="str">
        <f>IF(G41&lt;&gt;0,VLOOKUP(G41,'gia dat'!$A$1:$F$144,6,0)," ")</f>
        <v xml:space="preserve"> </v>
      </c>
      <c r="M41" s="564" t="str">
        <f t="shared" si="1"/>
        <v xml:space="preserve"> </v>
      </c>
      <c r="N41" s="564" t="str">
        <f t="shared" si="2"/>
        <v xml:space="preserve"> </v>
      </c>
      <c r="O41" s="586" t="s">
        <v>91</v>
      </c>
      <c r="P41" s="590">
        <v>1</v>
      </c>
      <c r="Q41" s="564">
        <f>IF(O41&lt;&gt;0,VLOOKUP(O41,'Cây trong'!$A$2:$C$246,3,0)," ")</f>
        <v>93000</v>
      </c>
      <c r="R41" s="564">
        <f t="shared" si="3"/>
        <v>93000</v>
      </c>
      <c r="S41" s="586" t="s">
        <v>2258</v>
      </c>
      <c r="T41" s="609" t="s">
        <v>53</v>
      </c>
      <c r="U41" s="591">
        <v>2.66</v>
      </c>
      <c r="V41" s="611"/>
      <c r="W41" s="564">
        <f>IF(S41&lt;&gt;0,VLOOKUP(S41,VKT!$A$2:$G$415,7,0),"")</f>
        <v>9347414</v>
      </c>
      <c r="X41" s="564">
        <f t="shared" si="4"/>
        <v>24864000</v>
      </c>
      <c r="Y41" s="589"/>
      <c r="Z41" s="592" t="s">
        <v>63</v>
      </c>
      <c r="AA41" s="592" t="s">
        <v>56</v>
      </c>
      <c r="AB41" s="568" t="s">
        <v>57</v>
      </c>
      <c r="AC41" s="592" t="s">
        <v>63</v>
      </c>
      <c r="AD41" s="592" t="s">
        <v>58</v>
      </c>
      <c r="AE41" s="592"/>
      <c r="AF41" s="590"/>
      <c r="AG41" s="570" t="str">
        <f>IF(AE41&lt;&gt;0,VLOOKUP(AE41,ODDS!$A$2:$C$13,3,0),"")</f>
        <v/>
      </c>
      <c r="AH41" s="570" t="str">
        <f t="shared" si="5"/>
        <v xml:space="preserve"> </v>
      </c>
      <c r="AI41" s="571" t="str">
        <f t="shared" si="0"/>
        <v xml:space="preserve"> </v>
      </c>
      <c r="AJ41" s="593"/>
      <c r="AK41" s="593"/>
    </row>
    <row r="42" spans="1:37" s="376" customFormat="1" ht="90.75" customHeight="1" outlineLevel="2" x14ac:dyDescent="0.3">
      <c r="A42" s="447">
        <f t="shared" si="8"/>
        <v>3</v>
      </c>
      <c r="B42" s="557"/>
      <c r="C42" s="586"/>
      <c r="D42" s="612"/>
      <c r="E42" s="613"/>
      <c r="F42" s="560"/>
      <c r="G42" s="558"/>
      <c r="H42" s="588"/>
      <c r="I42" s="546"/>
      <c r="J42" s="593"/>
      <c r="K42" s="563" t="str">
        <f>IF(G42&lt;&gt;0,VLOOKUP(G42,'gia dat'!$A$1:$F$144,5,0)," ")</f>
        <v xml:space="preserve"> </v>
      </c>
      <c r="L42" s="563" t="str">
        <f>IF(G42&lt;&gt;0,VLOOKUP(G42,'gia dat'!$A$1:$F$144,6,0)," ")</f>
        <v xml:space="preserve"> </v>
      </c>
      <c r="M42" s="564" t="str">
        <f t="shared" si="1"/>
        <v xml:space="preserve"> </v>
      </c>
      <c r="N42" s="564" t="str">
        <f t="shared" si="2"/>
        <v xml:space="preserve"> </v>
      </c>
      <c r="O42" s="586" t="s">
        <v>72</v>
      </c>
      <c r="P42" s="590">
        <v>63</v>
      </c>
      <c r="Q42" s="564">
        <f>IF(O42&lt;&gt;0,VLOOKUP(O42,'Cây trong'!$A$2:$C$246,3,0)," ")</f>
        <v>132000</v>
      </c>
      <c r="R42" s="564">
        <f t="shared" si="3"/>
        <v>8316000</v>
      </c>
      <c r="S42" s="586" t="s">
        <v>2259</v>
      </c>
      <c r="T42" s="609" t="s">
        <v>53</v>
      </c>
      <c r="U42" s="591">
        <v>4</v>
      </c>
      <c r="V42" s="611"/>
      <c r="W42" s="564">
        <f>IF(S42&lt;&gt;0,VLOOKUP(S42,VKT!$A$2:$G$415,7,0),"")</f>
        <v>3141561</v>
      </c>
      <c r="X42" s="564">
        <f t="shared" si="4"/>
        <v>12566000</v>
      </c>
      <c r="Y42" s="589"/>
      <c r="Z42" s="592" t="s">
        <v>63</v>
      </c>
      <c r="AA42" s="592" t="s">
        <v>56</v>
      </c>
      <c r="AB42" s="568" t="s">
        <v>57</v>
      </c>
      <c r="AC42" s="592" t="s">
        <v>63</v>
      </c>
      <c r="AD42" s="592"/>
      <c r="AE42" s="592"/>
      <c r="AF42" s="590"/>
      <c r="AG42" s="570" t="str">
        <f>IF(AE42&lt;&gt;0,VLOOKUP(AE42,ODDS!$A$2:$C$13,3,0),"")</f>
        <v/>
      </c>
      <c r="AH42" s="570" t="str">
        <f t="shared" si="5"/>
        <v xml:space="preserve"> </v>
      </c>
      <c r="AI42" s="571" t="str">
        <f t="shared" si="0"/>
        <v xml:space="preserve"> </v>
      </c>
      <c r="AJ42" s="593"/>
      <c r="AK42" s="593"/>
    </row>
    <row r="43" spans="1:37" s="376" customFormat="1" ht="61.5" customHeight="1" outlineLevel="2" x14ac:dyDescent="0.3">
      <c r="A43" s="447">
        <f t="shared" si="8"/>
        <v>3</v>
      </c>
      <c r="B43" s="557"/>
      <c r="C43" s="574"/>
      <c r="D43" s="587"/>
      <c r="E43" s="587"/>
      <c r="F43" s="560"/>
      <c r="G43" s="558"/>
      <c r="H43" s="588"/>
      <c r="I43" s="546"/>
      <c r="J43" s="593"/>
      <c r="K43" s="563" t="str">
        <f>IF(G43&lt;&gt;0,VLOOKUP(G43,'gia dat'!$A$1:$F$144,5,0)," ")</f>
        <v xml:space="preserve"> </v>
      </c>
      <c r="L43" s="563" t="str">
        <f>IF(G43&lt;&gt;0,VLOOKUP(G43,'gia dat'!$A$1:$F$144,6,0)," ")</f>
        <v xml:space="preserve"> </v>
      </c>
      <c r="M43" s="564" t="str">
        <f t="shared" si="1"/>
        <v xml:space="preserve"> </v>
      </c>
      <c r="N43" s="564" t="str">
        <f t="shared" si="2"/>
        <v xml:space="preserve"> </v>
      </c>
      <c r="O43" s="586" t="s">
        <v>73</v>
      </c>
      <c r="P43" s="590">
        <v>44</v>
      </c>
      <c r="Q43" s="564">
        <f>IF(O43&lt;&gt;0,VLOOKUP(O43,'Cây trong'!$A$2:$C$246,3,0)," ")</f>
        <v>76000</v>
      </c>
      <c r="R43" s="564">
        <f t="shared" si="3"/>
        <v>3344000</v>
      </c>
      <c r="S43" s="586" t="s">
        <v>1799</v>
      </c>
      <c r="T43" s="609" t="s">
        <v>53</v>
      </c>
      <c r="U43" s="591">
        <v>47.940000000000005</v>
      </c>
      <c r="V43" s="611"/>
      <c r="W43" s="564">
        <f>IF(S43&lt;&gt;0,VLOOKUP(S43,VKT!$A$2:$G$415,7,0),"")</f>
        <v>275180</v>
      </c>
      <c r="X43" s="564">
        <f t="shared" si="4"/>
        <v>13192000</v>
      </c>
      <c r="Y43" s="589"/>
      <c r="Z43" s="592"/>
      <c r="AA43" s="592"/>
      <c r="AB43" s="568"/>
      <c r="AC43" s="592"/>
      <c r="AD43" s="592"/>
      <c r="AE43" s="592"/>
      <c r="AF43" s="590"/>
      <c r="AG43" s="570" t="str">
        <f>IF(AE43&lt;&gt;0,VLOOKUP(AE43,ODDS!$A$2:$C$13,3,0),"")</f>
        <v/>
      </c>
      <c r="AH43" s="570" t="str">
        <f t="shared" si="5"/>
        <v xml:space="preserve"> </v>
      </c>
      <c r="AI43" s="571" t="str">
        <f t="shared" si="0"/>
        <v xml:space="preserve"> </v>
      </c>
      <c r="AJ43" s="593"/>
      <c r="AK43" s="593"/>
    </row>
    <row r="44" spans="1:37" s="376" customFormat="1" ht="75.75" customHeight="1" outlineLevel="2" x14ac:dyDescent="0.3">
      <c r="A44" s="447">
        <f t="shared" si="8"/>
        <v>3</v>
      </c>
      <c r="B44" s="557"/>
      <c r="C44" s="574"/>
      <c r="D44" s="587"/>
      <c r="E44" s="587"/>
      <c r="F44" s="560"/>
      <c r="G44" s="558"/>
      <c r="H44" s="588"/>
      <c r="I44" s="546"/>
      <c r="J44" s="593"/>
      <c r="K44" s="563" t="str">
        <f>IF(G44&lt;&gt;0,VLOOKUP(G44,'gia dat'!$A$1:$F$144,5,0)," ")</f>
        <v xml:space="preserve"> </v>
      </c>
      <c r="L44" s="563" t="str">
        <f>IF(G44&lt;&gt;0,VLOOKUP(G44,'gia dat'!$A$1:$F$144,6,0)," ")</f>
        <v xml:space="preserve"> </v>
      </c>
      <c r="M44" s="564" t="str">
        <f t="shared" si="1"/>
        <v xml:space="preserve"> </v>
      </c>
      <c r="N44" s="564" t="str">
        <f t="shared" si="2"/>
        <v xml:space="preserve"> </v>
      </c>
      <c r="O44" s="586" t="s">
        <v>75</v>
      </c>
      <c r="P44" s="590">
        <v>43</v>
      </c>
      <c r="Q44" s="564">
        <f>IF(O44&lt;&gt;0,VLOOKUP(O44,'Cây trong'!$A$2:$C$246,3,0)," ")</f>
        <v>34000</v>
      </c>
      <c r="R44" s="564">
        <f t="shared" si="3"/>
        <v>1462000</v>
      </c>
      <c r="S44" s="586" t="s">
        <v>2260</v>
      </c>
      <c r="T44" s="609" t="s">
        <v>53</v>
      </c>
      <c r="U44" s="591">
        <v>15.84</v>
      </c>
      <c r="V44" s="611"/>
      <c r="W44" s="564">
        <f>IF(S44&lt;&gt;0,VLOOKUP(S44,VKT!$A$2:$G$415,7,0),"")</f>
        <v>4092245</v>
      </c>
      <c r="X44" s="564">
        <f t="shared" si="4"/>
        <v>64821000</v>
      </c>
      <c r="Y44" s="589"/>
      <c r="Z44" s="592"/>
      <c r="AA44" s="609"/>
      <c r="AB44" s="609"/>
      <c r="AC44" s="614"/>
      <c r="AD44" s="592"/>
      <c r="AE44" s="592"/>
      <c r="AF44" s="590"/>
      <c r="AG44" s="570" t="str">
        <f>IF(AE44&lt;&gt;0,VLOOKUP(AE44,ODDS!$A$2:$C$13,3,0),"")</f>
        <v/>
      </c>
      <c r="AH44" s="570" t="str">
        <f t="shared" si="5"/>
        <v xml:space="preserve"> </v>
      </c>
      <c r="AI44" s="571" t="str">
        <f t="shared" si="0"/>
        <v xml:space="preserve"> </v>
      </c>
      <c r="AJ44" s="593"/>
      <c r="AK44" s="593"/>
    </row>
    <row r="45" spans="1:37" s="376" customFormat="1" ht="60.75" outlineLevel="2" x14ac:dyDescent="0.3">
      <c r="A45" s="447">
        <f t="shared" si="8"/>
        <v>3</v>
      </c>
      <c r="B45" s="557"/>
      <c r="C45" s="574"/>
      <c r="D45" s="587"/>
      <c r="E45" s="587"/>
      <c r="F45" s="560"/>
      <c r="G45" s="558"/>
      <c r="H45" s="588"/>
      <c r="I45" s="546"/>
      <c r="J45" s="593"/>
      <c r="K45" s="563" t="str">
        <f>IF(G45&lt;&gt;0,VLOOKUP(G45,'gia dat'!$A$1:$F$144,5,0)," ")</f>
        <v xml:space="preserve"> </v>
      </c>
      <c r="L45" s="563" t="str">
        <f>IF(G45&lt;&gt;0,VLOOKUP(G45,'gia dat'!$A$1:$F$144,6,0)," ")</f>
        <v xml:space="preserve"> </v>
      </c>
      <c r="M45" s="564" t="str">
        <f t="shared" si="1"/>
        <v xml:space="preserve"> </v>
      </c>
      <c r="N45" s="564" t="str">
        <f t="shared" si="2"/>
        <v xml:space="preserve"> </v>
      </c>
      <c r="O45" s="586" t="s">
        <v>429</v>
      </c>
      <c r="P45" s="590">
        <v>22</v>
      </c>
      <c r="Q45" s="564">
        <f>IF(O45&lt;&gt;0,VLOOKUP(O45,'Cây trong'!$A$2:$C$246,3,0)," ")</f>
        <v>12000</v>
      </c>
      <c r="R45" s="564">
        <f t="shared" si="3"/>
        <v>264000</v>
      </c>
      <c r="S45" s="586" t="s">
        <v>1799</v>
      </c>
      <c r="T45" s="609" t="s">
        <v>53</v>
      </c>
      <c r="U45" s="591">
        <v>14.3</v>
      </c>
      <c r="V45" s="611"/>
      <c r="W45" s="564">
        <f>IF(S45&lt;&gt;0,VLOOKUP(S45,VKT!$A$2:$G$415,7,0),"")</f>
        <v>275180</v>
      </c>
      <c r="X45" s="564">
        <f t="shared" si="4"/>
        <v>3935000</v>
      </c>
      <c r="Y45" s="589"/>
      <c r="Z45" s="592"/>
      <c r="AA45" s="609"/>
      <c r="AB45" s="609"/>
      <c r="AC45" s="614"/>
      <c r="AD45" s="592"/>
      <c r="AE45" s="592"/>
      <c r="AF45" s="590"/>
      <c r="AG45" s="570" t="str">
        <f>IF(AE45&lt;&gt;0,VLOOKUP(AE45,ODDS!$A$2:$C$13,3,0),"")</f>
        <v/>
      </c>
      <c r="AH45" s="570" t="str">
        <f t="shared" si="5"/>
        <v xml:space="preserve"> </v>
      </c>
      <c r="AI45" s="571" t="str">
        <f t="shared" si="0"/>
        <v xml:space="preserve"> </v>
      </c>
      <c r="AJ45" s="593"/>
      <c r="AK45" s="593"/>
    </row>
    <row r="46" spans="1:37" s="376" customFormat="1" ht="20.25" outlineLevel="2" x14ac:dyDescent="0.3">
      <c r="A46" s="447">
        <f t="shared" si="8"/>
        <v>3</v>
      </c>
      <c r="B46" s="557"/>
      <c r="C46" s="574"/>
      <c r="D46" s="587"/>
      <c r="E46" s="587"/>
      <c r="F46" s="615"/>
      <c r="G46" s="558"/>
      <c r="H46" s="604"/>
      <c r="I46" s="546"/>
      <c r="J46" s="593"/>
      <c r="K46" s="563" t="str">
        <f>IF(G46&lt;&gt;0,VLOOKUP(G46,'gia dat'!$A$1:$F$144,5,0)," ")</f>
        <v xml:space="preserve"> </v>
      </c>
      <c r="L46" s="563" t="str">
        <f>IF(G46&lt;&gt;0,VLOOKUP(G46,'gia dat'!$A$1:$F$144,6,0)," ")</f>
        <v xml:space="preserve"> </v>
      </c>
      <c r="M46" s="564" t="str">
        <f t="shared" si="1"/>
        <v xml:space="preserve"> </v>
      </c>
      <c r="N46" s="564" t="str">
        <f t="shared" si="2"/>
        <v xml:space="preserve"> </v>
      </c>
      <c r="O46" s="593"/>
      <c r="P46" s="616"/>
      <c r="Q46" s="564" t="str">
        <f>IF(O46&lt;&gt;0,VLOOKUP(O46,'Cây trong'!$A$2:$C$246,3,0)," ")</f>
        <v xml:space="preserve"> </v>
      </c>
      <c r="R46" s="564" t="str">
        <f t="shared" si="3"/>
        <v xml:space="preserve"> </v>
      </c>
      <c r="S46" s="593"/>
      <c r="T46" s="593"/>
      <c r="U46" s="617"/>
      <c r="V46" s="589"/>
      <c r="W46" s="564" t="str">
        <f>IF(S46&lt;&gt;0,VLOOKUP(S46,VKT!$A$2:$G$415,7,0),"")</f>
        <v/>
      </c>
      <c r="X46" s="564" t="str">
        <f t="shared" si="4"/>
        <v xml:space="preserve"> </v>
      </c>
      <c r="Y46" s="589"/>
      <c r="Z46" s="589"/>
      <c r="AA46" s="589"/>
      <c r="AB46" s="562"/>
      <c r="AC46" s="589"/>
      <c r="AD46" s="592"/>
      <c r="AE46" s="592"/>
      <c r="AF46" s="590"/>
      <c r="AG46" s="570" t="str">
        <f>IF(AE46&lt;&gt;0,VLOOKUP(AE46,ODDS!$A$2:$C$13,3,0),"")</f>
        <v/>
      </c>
      <c r="AH46" s="570" t="str">
        <f t="shared" si="5"/>
        <v xml:space="preserve"> </v>
      </c>
      <c r="AI46" s="571" t="str">
        <f t="shared" si="0"/>
        <v xml:space="preserve"> </v>
      </c>
      <c r="AJ46" s="593"/>
      <c r="AK46" s="593"/>
    </row>
    <row r="47" spans="1:37" s="376" customFormat="1" ht="20.25" outlineLevel="2" x14ac:dyDescent="0.3">
      <c r="A47" s="447">
        <f t="shared" si="8"/>
        <v>3</v>
      </c>
      <c r="B47" s="557"/>
      <c r="C47" s="574"/>
      <c r="D47" s="587"/>
      <c r="E47" s="587"/>
      <c r="F47" s="615"/>
      <c r="G47" s="558"/>
      <c r="H47" s="604"/>
      <c r="I47" s="546"/>
      <c r="J47" s="593"/>
      <c r="K47" s="563" t="str">
        <f>IF(G47&lt;&gt;0,VLOOKUP(G47,'gia dat'!$A$1:$F$144,5,0)," ")</f>
        <v xml:space="preserve"> </v>
      </c>
      <c r="L47" s="563" t="str">
        <f>IF(G47&lt;&gt;0,VLOOKUP(G47,'gia dat'!$A$1:$F$144,6,0)," ")</f>
        <v xml:space="preserve"> </v>
      </c>
      <c r="M47" s="564" t="str">
        <f t="shared" si="1"/>
        <v xml:space="preserve"> </v>
      </c>
      <c r="N47" s="564" t="str">
        <f t="shared" si="2"/>
        <v xml:space="preserve"> </v>
      </c>
      <c r="O47" s="593"/>
      <c r="P47" s="616"/>
      <c r="Q47" s="564"/>
      <c r="R47" s="564"/>
      <c r="S47" s="593"/>
      <c r="T47" s="593"/>
      <c r="U47" s="617"/>
      <c r="V47" s="589"/>
      <c r="W47" s="564" t="str">
        <f>IF(S47&lt;&gt;0,VLOOKUP(S47,VKT!$A$2:$G$415,7,0),"")</f>
        <v/>
      </c>
      <c r="X47" s="564" t="str">
        <f t="shared" si="4"/>
        <v xml:space="preserve"> </v>
      </c>
      <c r="Y47" s="589"/>
      <c r="Z47" s="589"/>
      <c r="AA47" s="589"/>
      <c r="AB47" s="562"/>
      <c r="AC47" s="589"/>
      <c r="AD47" s="592"/>
      <c r="AE47" s="592"/>
      <c r="AF47" s="590"/>
      <c r="AG47" s="570" t="str">
        <f>IF(AE47&lt;&gt;0,VLOOKUP(AE47,ODDS!$A$2:$C$13,3,0),"")</f>
        <v/>
      </c>
      <c r="AH47" s="570"/>
      <c r="AI47" s="571" t="str">
        <f t="shared" si="0"/>
        <v xml:space="preserve"> </v>
      </c>
      <c r="AJ47" s="593"/>
      <c r="AK47" s="593"/>
    </row>
    <row r="48" spans="1:37" s="376" customFormat="1" ht="20.25" outlineLevel="2" x14ac:dyDescent="0.3">
      <c r="A48" s="447">
        <f t="shared" si="8"/>
        <v>3</v>
      </c>
      <c r="B48" s="557"/>
      <c r="C48" s="574"/>
      <c r="D48" s="587"/>
      <c r="E48" s="587"/>
      <c r="F48" s="615"/>
      <c r="G48" s="558"/>
      <c r="H48" s="604"/>
      <c r="I48" s="546"/>
      <c r="J48" s="593"/>
      <c r="K48" s="563" t="str">
        <f>IF(G48&lt;&gt;0,VLOOKUP(G48,'gia dat'!$A$1:$F$144,5,0)," ")</f>
        <v xml:space="preserve"> </v>
      </c>
      <c r="L48" s="563" t="str">
        <f>IF(G48&lt;&gt;0,VLOOKUP(G48,'gia dat'!$A$1:$F$144,6,0)," ")</f>
        <v xml:space="preserve"> </v>
      </c>
      <c r="M48" s="564" t="str">
        <f t="shared" si="1"/>
        <v xml:space="preserve"> </v>
      </c>
      <c r="N48" s="564" t="str">
        <f t="shared" si="2"/>
        <v xml:space="preserve"> </v>
      </c>
      <c r="O48" s="593"/>
      <c r="P48" s="616"/>
      <c r="Q48" s="564"/>
      <c r="R48" s="564"/>
      <c r="S48" s="593"/>
      <c r="T48" s="593"/>
      <c r="U48" s="617"/>
      <c r="V48" s="589"/>
      <c r="W48" s="564" t="str">
        <f>IF(S48&lt;&gt;0,VLOOKUP(S48,VKT!$A$2:$G$415,7,0),"")</f>
        <v/>
      </c>
      <c r="X48" s="564" t="str">
        <f t="shared" si="4"/>
        <v xml:space="preserve"> </v>
      </c>
      <c r="Y48" s="589"/>
      <c r="Z48" s="589"/>
      <c r="AA48" s="589"/>
      <c r="AB48" s="562"/>
      <c r="AC48" s="589"/>
      <c r="AD48" s="592"/>
      <c r="AE48" s="592"/>
      <c r="AF48" s="590"/>
      <c r="AG48" s="570" t="str">
        <f>IF(AE48&lt;&gt;0,VLOOKUP(AE48,ODDS!$A$2:$C$13,3,0),"")</f>
        <v/>
      </c>
      <c r="AH48" s="570"/>
      <c r="AI48" s="571" t="str">
        <f t="shared" si="0"/>
        <v xml:space="preserve"> </v>
      </c>
      <c r="AJ48" s="593"/>
      <c r="AK48" s="593"/>
    </row>
    <row r="49" spans="1:37" s="376" customFormat="1" ht="40.5" outlineLevel="1" x14ac:dyDescent="0.25">
      <c r="A49" s="467" t="s">
        <v>2706</v>
      </c>
      <c r="B49" s="576">
        <v>4</v>
      </c>
      <c r="C49" s="574" t="s">
        <v>59</v>
      </c>
      <c r="D49" s="595"/>
      <c r="E49" s="595"/>
      <c r="F49" s="577"/>
      <c r="G49" s="578"/>
      <c r="H49" s="618">
        <f>SUBTOTAL(9,H50:H57)</f>
        <v>35.700000000000003</v>
      </c>
      <c r="I49" s="579">
        <f>SUBTOTAL(9,I50:I55)</f>
        <v>0</v>
      </c>
      <c r="J49" s="608"/>
      <c r="K49" s="581"/>
      <c r="L49" s="581"/>
      <c r="M49" s="571">
        <f>SUBTOTAL(9,M50:M57)</f>
        <v>48927000</v>
      </c>
      <c r="N49" s="571">
        <f>SUBTOTAL(9,N50:N57)</f>
        <v>0</v>
      </c>
      <c r="O49" s="608"/>
      <c r="P49" s="619">
        <f>SUBTOTAL(9,P50:P57)</f>
        <v>0</v>
      </c>
      <c r="Q49" s="571"/>
      <c r="R49" s="571">
        <f>SUBTOTAL(9,R50:R57)</f>
        <v>0</v>
      </c>
      <c r="S49" s="608"/>
      <c r="T49" s="608"/>
      <c r="U49" s="620">
        <f>SUBTOTAL(9,U50:U57)</f>
        <v>0</v>
      </c>
      <c r="V49" s="597"/>
      <c r="W49" s="571"/>
      <c r="X49" s="571">
        <f>SUBTOTAL(9,X50:X57)</f>
        <v>0</v>
      </c>
      <c r="Y49" s="589"/>
      <c r="Z49" s="589"/>
      <c r="AA49" s="589"/>
      <c r="AB49" s="562"/>
      <c r="AC49" s="589"/>
      <c r="AD49" s="592"/>
      <c r="AE49" s="601"/>
      <c r="AF49" s="599">
        <f>SUBTOTAL(9,AF50:AF57)</f>
        <v>0</v>
      </c>
      <c r="AG49" s="585"/>
      <c r="AH49" s="585">
        <f>SUBTOTAL(9,AH50:AH57)</f>
        <v>0</v>
      </c>
      <c r="AI49" s="571">
        <f t="shared" si="0"/>
        <v>48927000</v>
      </c>
      <c r="AJ49" s="574"/>
      <c r="AK49" s="578"/>
    </row>
    <row r="50" spans="1:37" s="376" customFormat="1" ht="268.5" customHeight="1" outlineLevel="2" x14ac:dyDescent="0.3">
      <c r="A50" s="447">
        <f>IF(B49&lt;&gt;0,B49,A48)</f>
        <v>4</v>
      </c>
      <c r="B50" s="557"/>
      <c r="C50" s="558" t="s">
        <v>60</v>
      </c>
      <c r="D50" s="587"/>
      <c r="E50" s="587">
        <v>85</v>
      </c>
      <c r="F50" s="560">
        <v>37</v>
      </c>
      <c r="G50" s="586" t="s">
        <v>2032</v>
      </c>
      <c r="H50" s="588">
        <v>2.6</v>
      </c>
      <c r="I50" s="546" t="str">
        <f t="shared" ref="I50:I51" si="9">IF(N50&gt;0,H50,"")</f>
        <v/>
      </c>
      <c r="J50" s="608"/>
      <c r="K50" s="563">
        <f>IF(G50&lt;&gt;0,VLOOKUP(G50,'gia dat'!$A$1:$F$144,5,0)," ")</f>
        <v>11760000</v>
      </c>
      <c r="L50" s="563">
        <f>IF(G50&lt;&gt;0,VLOOKUP(G50,'gia dat'!$A$1:$F$144,6,0)," ")</f>
        <v>0</v>
      </c>
      <c r="M50" s="564">
        <f t="shared" si="1"/>
        <v>30576000</v>
      </c>
      <c r="N50" s="564">
        <f t="shared" si="2"/>
        <v>0</v>
      </c>
      <c r="O50" s="593"/>
      <c r="P50" s="616"/>
      <c r="Q50" s="564"/>
      <c r="R50" s="564"/>
      <c r="S50" s="593"/>
      <c r="T50" s="593"/>
      <c r="U50" s="617"/>
      <c r="V50" s="589"/>
      <c r="W50" s="564" t="str">
        <f>IF(S50&lt;&gt;0,VLOOKUP(S50,VKT!$A$2:$G$415,7,0),"")</f>
        <v/>
      </c>
      <c r="X50" s="564" t="str">
        <f t="shared" si="4"/>
        <v xml:space="preserve"> </v>
      </c>
      <c r="Y50" s="589"/>
      <c r="Z50" s="589"/>
      <c r="AA50" s="589"/>
      <c r="AB50" s="562"/>
      <c r="AC50" s="589"/>
      <c r="AD50" s="592"/>
      <c r="AE50" s="592"/>
      <c r="AF50" s="590"/>
      <c r="AG50" s="570" t="str">
        <f>IF(AE50&lt;&gt;0,VLOOKUP(AE50,ODDS!$A$2:$C$13,3,0),"")</f>
        <v/>
      </c>
      <c r="AH50" s="570"/>
      <c r="AI50" s="571" t="str">
        <f t="shared" si="0"/>
        <v xml:space="preserve"> </v>
      </c>
      <c r="AJ50" s="558" t="s">
        <v>2185</v>
      </c>
      <c r="AK50" s="586" t="s">
        <v>2771</v>
      </c>
    </row>
    <row r="51" spans="1:37" s="376" customFormat="1" ht="101.25" outlineLevel="2" x14ac:dyDescent="0.3">
      <c r="A51" s="447">
        <f t="shared" ref="A51:A57" si="10">IF(B50&lt;&gt;0,B50,A50)</f>
        <v>4</v>
      </c>
      <c r="B51" s="557"/>
      <c r="C51" s="572" t="s">
        <v>627</v>
      </c>
      <c r="D51" s="587"/>
      <c r="E51" s="587">
        <v>85</v>
      </c>
      <c r="F51" s="560">
        <v>37</v>
      </c>
      <c r="G51" s="586" t="s">
        <v>2183</v>
      </c>
      <c r="H51" s="588">
        <v>33.1</v>
      </c>
      <c r="I51" s="546" t="str">
        <f t="shared" si="9"/>
        <v/>
      </c>
      <c r="J51" s="593"/>
      <c r="K51" s="563">
        <f>IF(G51&lt;&gt;0,VLOOKUP(G51,'gia dat'!$A$1:$F$144,5,0)," ")</f>
        <v>554400</v>
      </c>
      <c r="L51" s="563">
        <f>IF(G51&lt;&gt;0,VLOOKUP(G51,'gia dat'!$A$1:$F$144,6,0)," ")</f>
        <v>0</v>
      </c>
      <c r="M51" s="564">
        <f t="shared" si="1"/>
        <v>18351000</v>
      </c>
      <c r="N51" s="564">
        <f t="shared" si="2"/>
        <v>0</v>
      </c>
      <c r="O51" s="593"/>
      <c r="P51" s="616"/>
      <c r="Q51" s="564"/>
      <c r="R51" s="564"/>
      <c r="S51" s="593"/>
      <c r="T51" s="593"/>
      <c r="U51" s="617"/>
      <c r="V51" s="589"/>
      <c r="W51" s="564" t="str">
        <f>IF(S51&lt;&gt;0,VLOOKUP(S51,VKT!$A$2:$G$415,7,0),"")</f>
        <v/>
      </c>
      <c r="X51" s="564" t="str">
        <f t="shared" si="4"/>
        <v xml:space="preserve"> </v>
      </c>
      <c r="Y51" s="589"/>
      <c r="Z51" s="589"/>
      <c r="AA51" s="589"/>
      <c r="AB51" s="562"/>
      <c r="AC51" s="589"/>
      <c r="AD51" s="592"/>
      <c r="AE51" s="592"/>
      <c r="AF51" s="590"/>
      <c r="AG51" s="570" t="str">
        <f>IF(AE51&lt;&gt;0,VLOOKUP(AE51,ODDS!$A$2:$C$13,3,0),"")</f>
        <v/>
      </c>
      <c r="AH51" s="570"/>
      <c r="AI51" s="571" t="str">
        <f t="shared" si="0"/>
        <v xml:space="preserve"> </v>
      </c>
      <c r="AJ51" s="593"/>
      <c r="AK51" s="558"/>
    </row>
    <row r="52" spans="1:37" s="376" customFormat="1" ht="48" customHeight="1" outlineLevel="2" x14ac:dyDescent="0.3">
      <c r="A52" s="447">
        <f t="shared" si="10"/>
        <v>4</v>
      </c>
      <c r="B52" s="557"/>
      <c r="C52" s="558" t="s">
        <v>306</v>
      </c>
      <c r="D52" s="587"/>
      <c r="E52" s="587"/>
      <c r="F52" s="615"/>
      <c r="G52" s="558"/>
      <c r="H52" s="604"/>
      <c r="I52" s="546"/>
      <c r="J52" s="593"/>
      <c r="K52" s="563" t="str">
        <f>IF(G52&lt;&gt;0,VLOOKUP(G52,'gia dat'!$A$1:$F$144,5,0)," ")</f>
        <v xml:space="preserve"> </v>
      </c>
      <c r="L52" s="563" t="str">
        <f>IF(G52&lt;&gt;0,VLOOKUP(G52,'gia dat'!$A$1:$F$144,6,0)," ")</f>
        <v xml:space="preserve"> </v>
      </c>
      <c r="M52" s="564" t="str">
        <f t="shared" si="1"/>
        <v xml:space="preserve"> </v>
      </c>
      <c r="N52" s="564" t="str">
        <f t="shared" si="2"/>
        <v xml:space="preserve"> </v>
      </c>
      <c r="O52" s="593"/>
      <c r="P52" s="616"/>
      <c r="Q52" s="564"/>
      <c r="R52" s="564"/>
      <c r="S52" s="593"/>
      <c r="T52" s="593"/>
      <c r="U52" s="617"/>
      <c r="V52" s="589"/>
      <c r="W52" s="564" t="str">
        <f>IF(S52&lt;&gt;0,VLOOKUP(S52,VKT!$A$2:$G$415,7,0),"")</f>
        <v/>
      </c>
      <c r="X52" s="564" t="str">
        <f t="shared" si="4"/>
        <v xml:space="preserve"> </v>
      </c>
      <c r="Y52" s="589"/>
      <c r="Z52" s="589"/>
      <c r="AA52" s="589"/>
      <c r="AB52" s="562"/>
      <c r="AC52" s="589"/>
      <c r="AD52" s="592"/>
      <c r="AE52" s="592"/>
      <c r="AF52" s="590"/>
      <c r="AG52" s="570" t="str">
        <f>IF(AE52&lt;&gt;0,VLOOKUP(AE52,ODDS!$A$2:$C$13,3,0),"")</f>
        <v/>
      </c>
      <c r="AH52" s="570"/>
      <c r="AI52" s="571" t="str">
        <f t="shared" si="0"/>
        <v xml:space="preserve"> </v>
      </c>
      <c r="AJ52" s="593"/>
      <c r="AK52" s="558"/>
    </row>
    <row r="53" spans="1:37" s="376" customFormat="1" ht="20.25" outlineLevel="2" x14ac:dyDescent="0.3">
      <c r="A53" s="447">
        <f t="shared" si="10"/>
        <v>4</v>
      </c>
      <c r="B53" s="557"/>
      <c r="C53" s="574"/>
      <c r="D53" s="587"/>
      <c r="E53" s="587"/>
      <c r="F53" s="615"/>
      <c r="G53" s="558"/>
      <c r="H53" s="604"/>
      <c r="I53" s="546"/>
      <c r="J53" s="593"/>
      <c r="K53" s="563" t="str">
        <f>IF(G53&lt;&gt;0,VLOOKUP(G53,'gia dat'!$A$1:$F$144,5,0)," ")</f>
        <v xml:space="preserve"> </v>
      </c>
      <c r="L53" s="563" t="str">
        <f>IF(G53&lt;&gt;0,VLOOKUP(G53,'gia dat'!$A$1:$F$144,6,0)," ")</f>
        <v xml:space="preserve"> </v>
      </c>
      <c r="M53" s="564" t="str">
        <f t="shared" si="1"/>
        <v xml:space="preserve"> </v>
      </c>
      <c r="N53" s="564" t="str">
        <f t="shared" si="2"/>
        <v xml:space="preserve"> </v>
      </c>
      <c r="O53" s="593"/>
      <c r="P53" s="616"/>
      <c r="Q53" s="564"/>
      <c r="R53" s="564"/>
      <c r="S53" s="593"/>
      <c r="T53" s="593"/>
      <c r="U53" s="617"/>
      <c r="V53" s="589"/>
      <c r="W53" s="564" t="str">
        <f>IF(S53&lt;&gt;0,VLOOKUP(S53,VKT!$A$2:$G$415,7,0),"")</f>
        <v/>
      </c>
      <c r="X53" s="564" t="str">
        <f t="shared" si="4"/>
        <v xml:space="preserve"> </v>
      </c>
      <c r="Y53" s="589"/>
      <c r="Z53" s="589"/>
      <c r="AA53" s="589"/>
      <c r="AB53" s="562"/>
      <c r="AC53" s="589"/>
      <c r="AD53" s="592"/>
      <c r="AE53" s="592"/>
      <c r="AF53" s="590"/>
      <c r="AG53" s="570" t="str">
        <f>IF(AE53&lt;&gt;0,VLOOKUP(AE53,ODDS!$A$2:$C$13,3,0),"")</f>
        <v/>
      </c>
      <c r="AH53" s="570"/>
      <c r="AI53" s="571" t="str">
        <f t="shared" si="0"/>
        <v xml:space="preserve"> </v>
      </c>
      <c r="AJ53" s="593"/>
      <c r="AK53" s="558"/>
    </row>
    <row r="54" spans="1:37" s="376" customFormat="1" ht="20.25" outlineLevel="2" x14ac:dyDescent="0.3">
      <c r="A54" s="447">
        <f t="shared" si="10"/>
        <v>4</v>
      </c>
      <c r="B54" s="557"/>
      <c r="C54" s="574"/>
      <c r="D54" s="587"/>
      <c r="E54" s="587"/>
      <c r="F54" s="560"/>
      <c r="G54" s="558"/>
      <c r="H54" s="588"/>
      <c r="I54" s="546"/>
      <c r="J54" s="593"/>
      <c r="K54" s="563" t="str">
        <f>IF(G54&lt;&gt;0,VLOOKUP(G54,'gia dat'!$A$1:$F$144,5,0)," ")</f>
        <v xml:space="preserve"> </v>
      </c>
      <c r="L54" s="563" t="str">
        <f>IF(G54&lt;&gt;0,VLOOKUP(G54,'gia dat'!$A$1:$F$144,6,0)," ")</f>
        <v xml:space="preserve"> </v>
      </c>
      <c r="M54" s="564" t="str">
        <f t="shared" si="1"/>
        <v xml:space="preserve"> </v>
      </c>
      <c r="N54" s="564" t="str">
        <f t="shared" si="2"/>
        <v xml:space="preserve"> </v>
      </c>
      <c r="O54" s="586"/>
      <c r="P54" s="590"/>
      <c r="Q54" s="564" t="str">
        <f>IF(O54&lt;&gt;0,VLOOKUP(O54,'Cây trong'!$A$2:$C$246,3,0)," ")</f>
        <v xml:space="preserve"> </v>
      </c>
      <c r="R54" s="564" t="str">
        <f t="shared" si="3"/>
        <v xml:space="preserve"> </v>
      </c>
      <c r="S54" s="586"/>
      <c r="T54" s="609"/>
      <c r="U54" s="591"/>
      <c r="V54" s="611"/>
      <c r="W54" s="564" t="str">
        <f>IF(S54&lt;&gt;0,VLOOKUP(S54,VKT!$A$2:$G$415,7,0),"")</f>
        <v/>
      </c>
      <c r="X54" s="564" t="str">
        <f t="shared" si="4"/>
        <v xml:space="preserve"> </v>
      </c>
      <c r="Y54" s="589"/>
      <c r="Z54" s="592"/>
      <c r="AA54" s="609"/>
      <c r="AB54" s="609"/>
      <c r="AC54" s="614"/>
      <c r="AD54" s="592"/>
      <c r="AE54" s="592"/>
      <c r="AF54" s="590"/>
      <c r="AG54" s="570" t="str">
        <f>IF(AE54&lt;&gt;0,VLOOKUP(AE54,ODDS!$A$2:$C$13,3,0),"")</f>
        <v/>
      </c>
      <c r="AH54" s="570" t="str">
        <f t="shared" si="5"/>
        <v xml:space="preserve"> </v>
      </c>
      <c r="AI54" s="571" t="str">
        <f t="shared" si="0"/>
        <v xml:space="preserve"> </v>
      </c>
      <c r="AJ54" s="593"/>
      <c r="AK54" s="593"/>
    </row>
    <row r="55" spans="1:37" s="376" customFormat="1" ht="20.25" outlineLevel="2" x14ac:dyDescent="0.3">
      <c r="A55" s="447">
        <f t="shared" si="10"/>
        <v>4</v>
      </c>
      <c r="B55" s="557"/>
      <c r="C55" s="574"/>
      <c r="D55" s="587"/>
      <c r="E55" s="587"/>
      <c r="F55" s="560"/>
      <c r="G55" s="558"/>
      <c r="H55" s="588"/>
      <c r="I55" s="546"/>
      <c r="J55" s="593"/>
      <c r="K55" s="563" t="str">
        <f>IF(G55&lt;&gt;0,VLOOKUP(G55,'gia dat'!$A$1:$F$144,5,0)," ")</f>
        <v xml:space="preserve"> </v>
      </c>
      <c r="L55" s="563" t="str">
        <f>IF(G55&lt;&gt;0,VLOOKUP(G55,'gia dat'!$A$1:$F$144,6,0)," ")</f>
        <v xml:space="preserve"> </v>
      </c>
      <c r="M55" s="564" t="str">
        <f t="shared" si="1"/>
        <v xml:space="preserve"> </v>
      </c>
      <c r="N55" s="564" t="str">
        <f t="shared" si="2"/>
        <v xml:space="preserve"> </v>
      </c>
      <c r="O55" s="586"/>
      <c r="P55" s="590"/>
      <c r="Q55" s="564" t="str">
        <f>IF(O55&lt;&gt;0,VLOOKUP(O55,'Cây trong'!$A$2:$C$246,3,0)," ")</f>
        <v xml:space="preserve"> </v>
      </c>
      <c r="R55" s="564" t="str">
        <f t="shared" si="3"/>
        <v xml:space="preserve"> </v>
      </c>
      <c r="S55" s="586"/>
      <c r="T55" s="609"/>
      <c r="U55" s="591"/>
      <c r="V55" s="611"/>
      <c r="W55" s="564" t="str">
        <f>IF(S55&lt;&gt;0,VLOOKUP(S55,VKT!$A$2:$G$415,7,0),"")</f>
        <v/>
      </c>
      <c r="X55" s="564" t="str">
        <f t="shared" si="4"/>
        <v xml:space="preserve"> </v>
      </c>
      <c r="Y55" s="589"/>
      <c r="Z55" s="592"/>
      <c r="AA55" s="592"/>
      <c r="AB55" s="568"/>
      <c r="AC55" s="592"/>
      <c r="AD55" s="592"/>
      <c r="AE55" s="592"/>
      <c r="AF55" s="590"/>
      <c r="AG55" s="570" t="str">
        <f>IF(AE55&lt;&gt;0,VLOOKUP(AE55,ODDS!$A$2:$C$13,3,0),"")</f>
        <v/>
      </c>
      <c r="AH55" s="570" t="str">
        <f t="shared" si="5"/>
        <v xml:space="preserve"> </v>
      </c>
      <c r="AI55" s="571" t="str">
        <f t="shared" si="0"/>
        <v xml:space="preserve"> </v>
      </c>
      <c r="AJ55" s="593"/>
      <c r="AK55" s="593"/>
    </row>
    <row r="56" spans="1:37" s="376" customFormat="1" ht="20.25" outlineLevel="2" x14ac:dyDescent="0.3">
      <c r="A56" s="447">
        <f t="shared" si="10"/>
        <v>4</v>
      </c>
      <c r="B56" s="557"/>
      <c r="C56" s="574"/>
      <c r="D56" s="587"/>
      <c r="E56" s="587"/>
      <c r="F56" s="560"/>
      <c r="G56" s="558"/>
      <c r="H56" s="588"/>
      <c r="I56" s="546"/>
      <c r="J56" s="593"/>
      <c r="K56" s="563" t="str">
        <f>IF(G56&lt;&gt;0,VLOOKUP(G56,'gia dat'!$A$1:$F$144,5,0)," ")</f>
        <v xml:space="preserve"> </v>
      </c>
      <c r="L56" s="563" t="str">
        <f>IF(G56&lt;&gt;0,VLOOKUP(G56,'gia dat'!$A$1:$F$144,6,0)," ")</f>
        <v xml:space="preserve"> </v>
      </c>
      <c r="M56" s="564" t="str">
        <f t="shared" si="1"/>
        <v xml:space="preserve"> </v>
      </c>
      <c r="N56" s="564" t="str">
        <f t="shared" si="2"/>
        <v xml:space="preserve"> </v>
      </c>
      <c r="O56" s="586"/>
      <c r="P56" s="590"/>
      <c r="Q56" s="564"/>
      <c r="R56" s="564"/>
      <c r="S56" s="586"/>
      <c r="T56" s="609"/>
      <c r="U56" s="591"/>
      <c r="V56" s="611"/>
      <c r="W56" s="564" t="str">
        <f>IF(S56&lt;&gt;0,VLOOKUP(S56,VKT!$A$2:$G$415,7,0),"")</f>
        <v/>
      </c>
      <c r="X56" s="564" t="str">
        <f t="shared" si="4"/>
        <v xml:space="preserve"> </v>
      </c>
      <c r="Y56" s="589"/>
      <c r="Z56" s="592"/>
      <c r="AA56" s="592"/>
      <c r="AB56" s="568"/>
      <c r="AC56" s="592"/>
      <c r="AD56" s="592"/>
      <c r="AE56" s="592"/>
      <c r="AF56" s="590"/>
      <c r="AG56" s="570" t="str">
        <f>IF(AE56&lt;&gt;0,VLOOKUP(AE56,ODDS!$A$2:$C$13,3,0),"")</f>
        <v/>
      </c>
      <c r="AH56" s="570"/>
      <c r="AI56" s="571" t="str">
        <f t="shared" si="0"/>
        <v xml:space="preserve"> </v>
      </c>
      <c r="AJ56" s="593"/>
      <c r="AK56" s="593"/>
    </row>
    <row r="57" spans="1:37" s="376" customFormat="1" ht="20.25" outlineLevel="2" x14ac:dyDescent="0.3">
      <c r="A57" s="447">
        <f t="shared" si="10"/>
        <v>4</v>
      </c>
      <c r="B57" s="557"/>
      <c r="C57" s="574"/>
      <c r="D57" s="587"/>
      <c r="E57" s="587"/>
      <c r="F57" s="560"/>
      <c r="G57" s="558"/>
      <c r="H57" s="588"/>
      <c r="I57" s="546"/>
      <c r="J57" s="593"/>
      <c r="K57" s="563" t="str">
        <f>IF(G57&lt;&gt;0,VLOOKUP(G57,'gia dat'!$A$1:$F$144,5,0)," ")</f>
        <v xml:space="preserve"> </v>
      </c>
      <c r="L57" s="563" t="str">
        <f>IF(G57&lt;&gt;0,VLOOKUP(G57,'gia dat'!$A$1:$F$144,6,0)," ")</f>
        <v xml:space="preserve"> </v>
      </c>
      <c r="M57" s="564" t="str">
        <f t="shared" si="1"/>
        <v xml:space="preserve"> </v>
      </c>
      <c r="N57" s="564" t="str">
        <f t="shared" si="2"/>
        <v xml:space="preserve"> </v>
      </c>
      <c r="O57" s="586"/>
      <c r="P57" s="590"/>
      <c r="Q57" s="564"/>
      <c r="R57" s="564"/>
      <c r="S57" s="586"/>
      <c r="T57" s="609"/>
      <c r="U57" s="591"/>
      <c r="V57" s="611"/>
      <c r="W57" s="564" t="str">
        <f>IF(S57&lt;&gt;0,VLOOKUP(S57,VKT!$A$2:$G$415,7,0),"")</f>
        <v/>
      </c>
      <c r="X57" s="564" t="str">
        <f t="shared" si="4"/>
        <v xml:space="preserve"> </v>
      </c>
      <c r="Y57" s="589"/>
      <c r="Z57" s="592"/>
      <c r="AA57" s="592"/>
      <c r="AB57" s="568"/>
      <c r="AC57" s="592"/>
      <c r="AD57" s="592"/>
      <c r="AE57" s="592"/>
      <c r="AF57" s="590"/>
      <c r="AG57" s="570" t="str">
        <f>IF(AE57&lt;&gt;0,VLOOKUP(AE57,ODDS!$A$2:$C$13,3,0),"")</f>
        <v/>
      </c>
      <c r="AH57" s="570"/>
      <c r="AI57" s="571" t="str">
        <f t="shared" si="0"/>
        <v xml:space="preserve"> </v>
      </c>
      <c r="AJ57" s="593"/>
      <c r="AK57" s="593"/>
    </row>
    <row r="58" spans="1:37" s="376" customFormat="1" ht="40.5" outlineLevel="1" x14ac:dyDescent="0.25">
      <c r="A58" s="467" t="s">
        <v>2705</v>
      </c>
      <c r="B58" s="576">
        <v>5</v>
      </c>
      <c r="C58" s="574" t="s">
        <v>59</v>
      </c>
      <c r="D58" s="595"/>
      <c r="E58" s="595"/>
      <c r="F58" s="577"/>
      <c r="G58" s="578"/>
      <c r="H58" s="618">
        <f>SUBTOTAL(9,H59:H66)</f>
        <v>35.6</v>
      </c>
      <c r="I58" s="579">
        <f>SUBTOTAL(9,I59:I64)</f>
        <v>0</v>
      </c>
      <c r="J58" s="597"/>
      <c r="K58" s="581"/>
      <c r="L58" s="581"/>
      <c r="M58" s="571">
        <f>SUBTOTAL(9,M59:M66)</f>
        <v>19737000</v>
      </c>
      <c r="N58" s="571">
        <f>SUBTOTAL(9,N59:N66)</f>
        <v>0</v>
      </c>
      <c r="O58" s="578"/>
      <c r="P58" s="599">
        <f>SUBTOTAL(9,P59:P66)</f>
        <v>0</v>
      </c>
      <c r="Q58" s="571"/>
      <c r="R58" s="571">
        <f>SUBTOTAL(9,R59:R66)</f>
        <v>0</v>
      </c>
      <c r="S58" s="578"/>
      <c r="T58" s="621"/>
      <c r="U58" s="600">
        <f>SUBTOTAL(9,U59:U66)</f>
        <v>0</v>
      </c>
      <c r="V58" s="622"/>
      <c r="W58" s="571"/>
      <c r="X58" s="571">
        <f>SUBTOTAL(9,X59:X66)</f>
        <v>0</v>
      </c>
      <c r="Y58" s="589"/>
      <c r="Z58" s="592"/>
      <c r="AA58" s="592"/>
      <c r="AB58" s="568"/>
      <c r="AC58" s="592"/>
      <c r="AD58" s="592"/>
      <c r="AE58" s="601"/>
      <c r="AF58" s="599">
        <f>SUBTOTAL(9,AF59:AF66)</f>
        <v>0</v>
      </c>
      <c r="AG58" s="585"/>
      <c r="AH58" s="585">
        <f>SUBTOTAL(9,AH59:AH66)</f>
        <v>0</v>
      </c>
      <c r="AI58" s="571">
        <f t="shared" si="0"/>
        <v>19737000</v>
      </c>
      <c r="AJ58" s="574"/>
      <c r="AK58" s="578"/>
    </row>
    <row r="59" spans="1:37" s="376" customFormat="1" ht="246" customHeight="1" outlineLevel="2" x14ac:dyDescent="0.3">
      <c r="A59" s="447">
        <f>IF(B58&lt;&gt;0,B58,A57)</f>
        <v>5</v>
      </c>
      <c r="B59" s="557"/>
      <c r="C59" s="558" t="s">
        <v>60</v>
      </c>
      <c r="D59" s="587"/>
      <c r="E59" s="587">
        <v>85</v>
      </c>
      <c r="F59" s="560">
        <v>37</v>
      </c>
      <c r="G59" s="586" t="s">
        <v>2183</v>
      </c>
      <c r="H59" s="588">
        <v>35.6</v>
      </c>
      <c r="I59" s="546" t="str">
        <f t="shared" ref="I59" si="11">IF(N59&gt;0,H59,"")</f>
        <v/>
      </c>
      <c r="J59" s="589"/>
      <c r="K59" s="563">
        <f>IF(G59&lt;&gt;0,VLOOKUP(G59,'gia dat'!$A$1:$F$144,5,0)," ")</f>
        <v>554400</v>
      </c>
      <c r="L59" s="563">
        <f>IF(G59&lt;&gt;0,VLOOKUP(G59,'gia dat'!$A$1:$F$144,6,0)," ")</f>
        <v>0</v>
      </c>
      <c r="M59" s="564">
        <f t="shared" si="1"/>
        <v>19737000</v>
      </c>
      <c r="N59" s="564">
        <f t="shared" si="2"/>
        <v>0</v>
      </c>
      <c r="O59" s="586"/>
      <c r="P59" s="590"/>
      <c r="Q59" s="564"/>
      <c r="R59" s="564"/>
      <c r="S59" s="586"/>
      <c r="T59" s="609"/>
      <c r="U59" s="591"/>
      <c r="V59" s="611"/>
      <c r="W59" s="564" t="str">
        <f>IF(S59&lt;&gt;0,VLOOKUP(S59,VKT!$A$2:$G$415,7,0),"")</f>
        <v/>
      </c>
      <c r="X59" s="564" t="str">
        <f t="shared" si="4"/>
        <v xml:space="preserve"> </v>
      </c>
      <c r="Y59" s="589"/>
      <c r="Z59" s="592"/>
      <c r="AA59" s="592"/>
      <c r="AB59" s="568"/>
      <c r="AC59" s="592"/>
      <c r="AD59" s="592"/>
      <c r="AE59" s="592"/>
      <c r="AF59" s="590"/>
      <c r="AG59" s="570" t="str">
        <f>IF(AE59&lt;&gt;0,VLOOKUP(AE59,ODDS!$A$2:$C$13,3,0),"")</f>
        <v/>
      </c>
      <c r="AH59" s="570"/>
      <c r="AI59" s="571" t="str">
        <f t="shared" si="0"/>
        <v xml:space="preserve"> </v>
      </c>
      <c r="AJ59" s="558" t="s">
        <v>2186</v>
      </c>
      <c r="AK59" s="586" t="s">
        <v>2771</v>
      </c>
    </row>
    <row r="60" spans="1:37" s="376" customFormat="1" ht="120" customHeight="1" outlineLevel="2" x14ac:dyDescent="0.3">
      <c r="A60" s="447">
        <f t="shared" ref="A60:A66" si="12">IF(B59&lt;&gt;0,B59,A59)</f>
        <v>5</v>
      </c>
      <c r="B60" s="557"/>
      <c r="C60" s="572" t="s">
        <v>627</v>
      </c>
      <c r="D60" s="587"/>
      <c r="E60" s="587"/>
      <c r="F60" s="560"/>
      <c r="G60" s="558"/>
      <c r="H60" s="588"/>
      <c r="I60" s="546"/>
      <c r="J60" s="593"/>
      <c r="K60" s="563" t="str">
        <f>IF(G60&lt;&gt;0,VLOOKUP(G60,'gia dat'!$A$1:$F$144,5,0)," ")</f>
        <v xml:space="preserve"> </v>
      </c>
      <c r="L60" s="563" t="str">
        <f>IF(G60&lt;&gt;0,VLOOKUP(G60,'gia dat'!$A$1:$F$144,6,0)," ")</f>
        <v xml:space="preserve"> </v>
      </c>
      <c r="M60" s="564" t="str">
        <f t="shared" si="1"/>
        <v xml:space="preserve"> </v>
      </c>
      <c r="N60" s="564" t="str">
        <f t="shared" si="2"/>
        <v xml:space="preserve"> </v>
      </c>
      <c r="O60" s="586"/>
      <c r="P60" s="590"/>
      <c r="Q60" s="564"/>
      <c r="R60" s="564"/>
      <c r="S60" s="586"/>
      <c r="T60" s="609"/>
      <c r="U60" s="591"/>
      <c r="V60" s="611"/>
      <c r="W60" s="564" t="str">
        <f>IF(S60&lt;&gt;0,VLOOKUP(S60,VKT!$A$2:$G$415,7,0),"")</f>
        <v/>
      </c>
      <c r="X60" s="564" t="str">
        <f t="shared" si="4"/>
        <v xml:space="preserve"> </v>
      </c>
      <c r="Y60" s="589"/>
      <c r="Z60" s="592"/>
      <c r="AA60" s="592"/>
      <c r="AB60" s="568"/>
      <c r="AC60" s="592"/>
      <c r="AD60" s="592"/>
      <c r="AE60" s="592"/>
      <c r="AF60" s="590"/>
      <c r="AG60" s="570" t="str">
        <f>IF(AE60&lt;&gt;0,VLOOKUP(AE60,ODDS!$A$2:$C$13,3,0),"")</f>
        <v/>
      </c>
      <c r="AH60" s="570"/>
      <c r="AI60" s="571" t="str">
        <f t="shared" si="0"/>
        <v xml:space="preserve"> </v>
      </c>
      <c r="AJ60" s="593"/>
      <c r="AK60" s="558"/>
    </row>
    <row r="61" spans="1:37" s="376" customFormat="1" ht="70.5" customHeight="1" outlineLevel="2" x14ac:dyDescent="0.3">
      <c r="A61" s="447">
        <f t="shared" si="12"/>
        <v>5</v>
      </c>
      <c r="B61" s="557"/>
      <c r="C61" s="558" t="s">
        <v>306</v>
      </c>
      <c r="D61" s="587"/>
      <c r="E61" s="587"/>
      <c r="F61" s="560"/>
      <c r="G61" s="558"/>
      <c r="H61" s="588"/>
      <c r="I61" s="546"/>
      <c r="J61" s="593"/>
      <c r="K61" s="563" t="str">
        <f>IF(G61&lt;&gt;0,VLOOKUP(G61,'gia dat'!$A$1:$F$144,5,0)," ")</f>
        <v xml:space="preserve"> </v>
      </c>
      <c r="L61" s="563" t="str">
        <f>IF(G61&lt;&gt;0,VLOOKUP(G61,'gia dat'!$A$1:$F$144,6,0)," ")</f>
        <v xml:space="preserve"> </v>
      </c>
      <c r="M61" s="564" t="str">
        <f t="shared" si="1"/>
        <v xml:space="preserve"> </v>
      </c>
      <c r="N61" s="564" t="str">
        <f t="shared" si="2"/>
        <v xml:space="preserve"> </v>
      </c>
      <c r="O61" s="586"/>
      <c r="P61" s="590"/>
      <c r="Q61" s="564"/>
      <c r="R61" s="564"/>
      <c r="S61" s="586"/>
      <c r="T61" s="609"/>
      <c r="U61" s="591"/>
      <c r="V61" s="611"/>
      <c r="W61" s="564" t="str">
        <f>IF(S61&lt;&gt;0,VLOOKUP(S61,VKT!$A$2:$G$415,7,0),"")</f>
        <v/>
      </c>
      <c r="X61" s="564" t="str">
        <f t="shared" si="4"/>
        <v xml:space="preserve"> </v>
      </c>
      <c r="Y61" s="589"/>
      <c r="Z61" s="592"/>
      <c r="AA61" s="592"/>
      <c r="AB61" s="568"/>
      <c r="AC61" s="592"/>
      <c r="AD61" s="592"/>
      <c r="AE61" s="592"/>
      <c r="AF61" s="590"/>
      <c r="AG61" s="570" t="str">
        <f>IF(AE61&lt;&gt;0,VLOOKUP(AE61,ODDS!$A$2:$C$13,3,0),"")</f>
        <v/>
      </c>
      <c r="AH61" s="570"/>
      <c r="AI61" s="571" t="str">
        <f t="shared" si="0"/>
        <v xml:space="preserve"> </v>
      </c>
      <c r="AJ61" s="593"/>
      <c r="AK61" s="558"/>
    </row>
    <row r="62" spans="1:37" s="376" customFormat="1" ht="20.25" outlineLevel="2" x14ac:dyDescent="0.3">
      <c r="A62" s="447">
        <f t="shared" si="12"/>
        <v>5</v>
      </c>
      <c r="B62" s="557"/>
      <c r="C62" s="574"/>
      <c r="D62" s="587"/>
      <c r="E62" s="587"/>
      <c r="F62" s="560"/>
      <c r="G62" s="558"/>
      <c r="H62" s="588"/>
      <c r="I62" s="546"/>
      <c r="J62" s="593"/>
      <c r="K62" s="563" t="str">
        <f>IF(G62&lt;&gt;0,VLOOKUP(G62,'gia dat'!$A$1:$F$144,5,0)," ")</f>
        <v xml:space="preserve"> </v>
      </c>
      <c r="L62" s="563" t="str">
        <f>IF(G62&lt;&gt;0,VLOOKUP(G62,'gia dat'!$A$1:$F$144,6,0)," ")</f>
        <v xml:space="preserve"> </v>
      </c>
      <c r="M62" s="564" t="str">
        <f t="shared" si="1"/>
        <v xml:space="preserve"> </v>
      </c>
      <c r="N62" s="564" t="str">
        <f t="shared" si="2"/>
        <v xml:space="preserve"> </v>
      </c>
      <c r="O62" s="586"/>
      <c r="P62" s="590"/>
      <c r="Q62" s="564"/>
      <c r="R62" s="564"/>
      <c r="S62" s="586"/>
      <c r="T62" s="609"/>
      <c r="U62" s="591"/>
      <c r="V62" s="611"/>
      <c r="W62" s="564" t="str">
        <f>IF(S62&lt;&gt;0,VLOOKUP(S62,VKT!$A$2:$G$415,7,0),"")</f>
        <v/>
      </c>
      <c r="X62" s="564" t="str">
        <f t="shared" si="4"/>
        <v xml:space="preserve"> </v>
      </c>
      <c r="Y62" s="589"/>
      <c r="Z62" s="592"/>
      <c r="AA62" s="592"/>
      <c r="AB62" s="568"/>
      <c r="AC62" s="592"/>
      <c r="AD62" s="592"/>
      <c r="AE62" s="592"/>
      <c r="AF62" s="590"/>
      <c r="AG62" s="570" t="str">
        <f>IF(AE62&lt;&gt;0,VLOOKUP(AE62,ODDS!$A$2:$C$13,3,0),"")</f>
        <v/>
      </c>
      <c r="AH62" s="570"/>
      <c r="AI62" s="571" t="str">
        <f t="shared" si="0"/>
        <v xml:space="preserve"> </v>
      </c>
      <c r="AJ62" s="593"/>
      <c r="AK62" s="558"/>
    </row>
    <row r="63" spans="1:37" s="376" customFormat="1" ht="20.25" outlineLevel="2" x14ac:dyDescent="0.3">
      <c r="A63" s="447">
        <f t="shared" si="12"/>
        <v>5</v>
      </c>
      <c r="B63" s="557"/>
      <c r="C63" s="574"/>
      <c r="D63" s="587"/>
      <c r="E63" s="587"/>
      <c r="F63" s="560"/>
      <c r="G63" s="558"/>
      <c r="H63" s="588"/>
      <c r="I63" s="546"/>
      <c r="J63" s="593"/>
      <c r="K63" s="563" t="str">
        <f>IF(G63&lt;&gt;0,VLOOKUP(G63,'gia dat'!$A$1:$F$144,5,0)," ")</f>
        <v xml:space="preserve"> </v>
      </c>
      <c r="L63" s="563" t="str">
        <f>IF(G63&lt;&gt;0,VLOOKUP(G63,'gia dat'!$A$1:$F$144,6,0)," ")</f>
        <v xml:space="preserve"> </v>
      </c>
      <c r="M63" s="564" t="str">
        <f t="shared" si="1"/>
        <v xml:space="preserve"> </v>
      </c>
      <c r="N63" s="564" t="str">
        <f t="shared" si="2"/>
        <v xml:space="preserve"> </v>
      </c>
      <c r="O63" s="586"/>
      <c r="P63" s="590"/>
      <c r="Q63" s="564"/>
      <c r="R63" s="564"/>
      <c r="S63" s="586"/>
      <c r="T63" s="609"/>
      <c r="U63" s="591"/>
      <c r="V63" s="611"/>
      <c r="W63" s="564" t="str">
        <f>IF(S63&lt;&gt;0,VLOOKUP(S63,VKT!$A$2:$G$415,7,0),"")</f>
        <v/>
      </c>
      <c r="X63" s="564" t="str">
        <f t="shared" si="4"/>
        <v xml:space="preserve"> </v>
      </c>
      <c r="Y63" s="589"/>
      <c r="Z63" s="592"/>
      <c r="AA63" s="592"/>
      <c r="AB63" s="568"/>
      <c r="AC63" s="592"/>
      <c r="AD63" s="592"/>
      <c r="AE63" s="592"/>
      <c r="AF63" s="590"/>
      <c r="AG63" s="570" t="str">
        <f>IF(AE63&lt;&gt;0,VLOOKUP(AE63,ODDS!$A$2:$C$13,3,0),"")</f>
        <v/>
      </c>
      <c r="AH63" s="570"/>
      <c r="AI63" s="571" t="str">
        <f t="shared" si="0"/>
        <v xml:space="preserve"> </v>
      </c>
      <c r="AJ63" s="593"/>
      <c r="AK63" s="593"/>
    </row>
    <row r="64" spans="1:37" s="376" customFormat="1" ht="20.25" outlineLevel="2" x14ac:dyDescent="0.3">
      <c r="A64" s="447">
        <f t="shared" si="12"/>
        <v>5</v>
      </c>
      <c r="B64" s="557"/>
      <c r="C64" s="574"/>
      <c r="D64" s="587"/>
      <c r="E64" s="587"/>
      <c r="F64" s="560"/>
      <c r="G64" s="558"/>
      <c r="H64" s="588"/>
      <c r="I64" s="546"/>
      <c r="J64" s="593"/>
      <c r="K64" s="563" t="str">
        <f>IF(G64&lt;&gt;0,VLOOKUP(G64,'gia dat'!$A$1:$F$144,5,0)," ")</f>
        <v xml:space="preserve"> </v>
      </c>
      <c r="L64" s="563" t="str">
        <f>IF(G64&lt;&gt;0,VLOOKUP(G64,'gia dat'!$A$1:$F$144,6,0)," ")</f>
        <v xml:space="preserve"> </v>
      </c>
      <c r="M64" s="564" t="str">
        <f t="shared" si="1"/>
        <v xml:space="preserve"> </v>
      </c>
      <c r="N64" s="564" t="str">
        <f t="shared" si="2"/>
        <v xml:space="preserve"> </v>
      </c>
      <c r="O64" s="586"/>
      <c r="P64" s="590"/>
      <c r="Q64" s="564"/>
      <c r="R64" s="564"/>
      <c r="S64" s="586"/>
      <c r="T64" s="609"/>
      <c r="U64" s="591"/>
      <c r="V64" s="611"/>
      <c r="W64" s="564" t="str">
        <f>IF(S64&lt;&gt;0,VLOOKUP(S64,VKT!$A$2:$G$415,7,0),"")</f>
        <v/>
      </c>
      <c r="X64" s="564" t="str">
        <f t="shared" si="4"/>
        <v xml:space="preserve"> </v>
      </c>
      <c r="Y64" s="589"/>
      <c r="Z64" s="592"/>
      <c r="AA64" s="592"/>
      <c r="AB64" s="568"/>
      <c r="AC64" s="592"/>
      <c r="AD64" s="592"/>
      <c r="AE64" s="592"/>
      <c r="AF64" s="590"/>
      <c r="AG64" s="570" t="str">
        <f>IF(AE64&lt;&gt;0,VLOOKUP(AE64,ODDS!$A$2:$C$13,3,0),"")</f>
        <v/>
      </c>
      <c r="AH64" s="570"/>
      <c r="AI64" s="571" t="str">
        <f t="shared" si="0"/>
        <v xml:space="preserve"> </v>
      </c>
      <c r="AJ64" s="593"/>
      <c r="AK64" s="593"/>
    </row>
    <row r="65" spans="1:37" s="376" customFormat="1" ht="20.25" outlineLevel="2" x14ac:dyDescent="0.3">
      <c r="A65" s="447">
        <f t="shared" si="12"/>
        <v>5</v>
      </c>
      <c r="B65" s="557"/>
      <c r="C65" s="574"/>
      <c r="D65" s="587"/>
      <c r="E65" s="587"/>
      <c r="F65" s="560"/>
      <c r="G65" s="558"/>
      <c r="H65" s="588"/>
      <c r="I65" s="546"/>
      <c r="J65" s="593"/>
      <c r="K65" s="563" t="str">
        <f>IF(G65&lt;&gt;0,VLOOKUP(G65,'gia dat'!$A$1:$F$144,5,0)," ")</f>
        <v xml:space="preserve"> </v>
      </c>
      <c r="L65" s="563" t="str">
        <f>IF(G65&lt;&gt;0,VLOOKUP(G65,'gia dat'!$A$1:$F$144,6,0)," ")</f>
        <v xml:space="preserve"> </v>
      </c>
      <c r="M65" s="564" t="str">
        <f t="shared" si="1"/>
        <v xml:space="preserve"> </v>
      </c>
      <c r="N65" s="564" t="str">
        <f t="shared" si="2"/>
        <v xml:space="preserve"> </v>
      </c>
      <c r="O65" s="586"/>
      <c r="P65" s="590"/>
      <c r="Q65" s="564"/>
      <c r="R65" s="564"/>
      <c r="S65" s="586"/>
      <c r="T65" s="609"/>
      <c r="U65" s="591"/>
      <c r="V65" s="611"/>
      <c r="W65" s="564" t="str">
        <f>IF(S65&lt;&gt;0,VLOOKUP(S65,VKT!$A$2:$G$415,7,0),"")</f>
        <v/>
      </c>
      <c r="X65" s="564" t="str">
        <f t="shared" si="4"/>
        <v xml:space="preserve"> </v>
      </c>
      <c r="Y65" s="589"/>
      <c r="Z65" s="592"/>
      <c r="AA65" s="592"/>
      <c r="AB65" s="568"/>
      <c r="AC65" s="592"/>
      <c r="AD65" s="592"/>
      <c r="AE65" s="592"/>
      <c r="AF65" s="590"/>
      <c r="AG65" s="570" t="str">
        <f>IF(AE65&lt;&gt;0,VLOOKUP(AE65,ODDS!$A$2:$C$13,3,0),"")</f>
        <v/>
      </c>
      <c r="AH65" s="570"/>
      <c r="AI65" s="571" t="str">
        <f t="shared" si="0"/>
        <v xml:space="preserve"> </v>
      </c>
      <c r="AJ65" s="593"/>
      <c r="AK65" s="593"/>
    </row>
    <row r="66" spans="1:37" s="376" customFormat="1" ht="20.25" outlineLevel="2" x14ac:dyDescent="0.3">
      <c r="A66" s="447">
        <f t="shared" si="12"/>
        <v>5</v>
      </c>
      <c r="B66" s="557"/>
      <c r="C66" s="607"/>
      <c r="D66" s="587"/>
      <c r="E66" s="587"/>
      <c r="F66" s="560"/>
      <c r="G66" s="558"/>
      <c r="H66" s="588"/>
      <c r="I66" s="546"/>
      <c r="J66" s="593"/>
      <c r="K66" s="563" t="str">
        <f>IF(G66&lt;&gt;0,VLOOKUP(G66,'gia dat'!$A$1:$F$144,5,0)," ")</f>
        <v xml:space="preserve"> </v>
      </c>
      <c r="L66" s="563" t="str">
        <f>IF(G66&lt;&gt;0,VLOOKUP(G66,'gia dat'!$A$1:$F$144,6,0)," ")</f>
        <v xml:space="preserve"> </v>
      </c>
      <c r="M66" s="564" t="str">
        <f t="shared" si="1"/>
        <v xml:space="preserve"> </v>
      </c>
      <c r="N66" s="564" t="str">
        <f t="shared" si="2"/>
        <v xml:space="preserve"> </v>
      </c>
      <c r="O66" s="586"/>
      <c r="P66" s="590"/>
      <c r="Q66" s="564"/>
      <c r="R66" s="564"/>
      <c r="S66" s="586"/>
      <c r="T66" s="609"/>
      <c r="U66" s="591"/>
      <c r="V66" s="611"/>
      <c r="W66" s="564" t="str">
        <f>IF(S66&lt;&gt;0,VLOOKUP(S66,VKT!$A$2:$G$415,7,0),"")</f>
        <v/>
      </c>
      <c r="X66" s="564" t="str">
        <f t="shared" si="4"/>
        <v xml:space="preserve"> </v>
      </c>
      <c r="Y66" s="589"/>
      <c r="Z66" s="592"/>
      <c r="AA66" s="592"/>
      <c r="AB66" s="568"/>
      <c r="AC66" s="592"/>
      <c r="AD66" s="592"/>
      <c r="AE66" s="592"/>
      <c r="AF66" s="590"/>
      <c r="AG66" s="570" t="str">
        <f>IF(AE66&lt;&gt;0,VLOOKUP(AE66,ODDS!$A$2:$C$13,3,0),"")</f>
        <v/>
      </c>
      <c r="AH66" s="570"/>
      <c r="AI66" s="571" t="str">
        <f t="shared" si="0"/>
        <v xml:space="preserve"> </v>
      </c>
      <c r="AJ66" s="593"/>
      <c r="AK66" s="593"/>
    </row>
    <row r="67" spans="1:37" s="376" customFormat="1" ht="20.25" outlineLevel="1" x14ac:dyDescent="0.3">
      <c r="A67" s="467" t="s">
        <v>2704</v>
      </c>
      <c r="B67" s="576">
        <v>6</v>
      </c>
      <c r="C67" s="607" t="s">
        <v>2164</v>
      </c>
      <c r="D67" s="594"/>
      <c r="E67" s="623"/>
      <c r="F67" s="623"/>
      <c r="G67" s="624"/>
      <c r="H67" s="625">
        <f>SUBTOTAL(9,H68:H76)</f>
        <v>0</v>
      </c>
      <c r="I67" s="579">
        <f>SUBTOTAL(9,I68:I73)</f>
        <v>0</v>
      </c>
      <c r="J67" s="624"/>
      <c r="K67" s="581"/>
      <c r="L67" s="581"/>
      <c r="M67" s="571">
        <f>SUBTOTAL(9,M68:M76)</f>
        <v>0</v>
      </c>
      <c r="N67" s="571">
        <f>SUBTOTAL(9,N68:N76)</f>
        <v>0</v>
      </c>
      <c r="O67" s="578"/>
      <c r="P67" s="599">
        <f>SUBTOTAL(9,P68:P76)</f>
        <v>0</v>
      </c>
      <c r="Q67" s="571"/>
      <c r="R67" s="571">
        <f>SUBTOTAL(9,R68:R76)</f>
        <v>0</v>
      </c>
      <c r="S67" s="578"/>
      <c r="T67" s="621"/>
      <c r="U67" s="600">
        <f>SUBTOTAL(9,U68:U76)</f>
        <v>56.05</v>
      </c>
      <c r="V67" s="622"/>
      <c r="W67" s="571"/>
      <c r="X67" s="571">
        <f>SUBTOTAL(9,X68:X76)</f>
        <v>180951000</v>
      </c>
      <c r="Y67" s="562"/>
      <c r="Z67" s="592"/>
      <c r="AA67" s="592"/>
      <c r="AB67" s="568"/>
      <c r="AC67" s="592"/>
      <c r="AD67" s="568"/>
      <c r="AE67" s="584"/>
      <c r="AF67" s="581">
        <f>SUBTOTAL(9,AF68:AF76)</f>
        <v>0</v>
      </c>
      <c r="AG67" s="585"/>
      <c r="AH67" s="585">
        <f>SUBTOTAL(9,AH68:AH76)</f>
        <v>0</v>
      </c>
      <c r="AI67" s="571">
        <f t="shared" si="0"/>
        <v>180951000</v>
      </c>
      <c r="AJ67" s="626"/>
      <c r="AK67" s="574"/>
    </row>
    <row r="68" spans="1:37" s="376" customFormat="1" ht="137.25" customHeight="1" outlineLevel="2" x14ac:dyDescent="0.3">
      <c r="A68" s="447">
        <f>IF(B67&lt;&gt;0,B67,A66)</f>
        <v>6</v>
      </c>
      <c r="B68" s="557"/>
      <c r="C68" s="572" t="s">
        <v>95</v>
      </c>
      <c r="D68" s="603">
        <v>2</v>
      </c>
      <c r="E68" s="627"/>
      <c r="F68" s="627"/>
      <c r="G68" s="575"/>
      <c r="H68" s="561"/>
      <c r="I68" s="546"/>
      <c r="J68" s="575"/>
      <c r="K68" s="563" t="str">
        <f>IF(G68&lt;&gt;0,VLOOKUP(G68,'gia dat'!$A$1:$F$144,5,0)," ")</f>
        <v xml:space="preserve"> </v>
      </c>
      <c r="L68" s="563" t="str">
        <f>IF(G68&lt;&gt;0,VLOOKUP(G68,'gia dat'!$A$1:$F$144,6,0)," ")</f>
        <v xml:space="preserve"> </v>
      </c>
      <c r="M68" s="564" t="str">
        <f t="shared" si="1"/>
        <v xml:space="preserve"> </v>
      </c>
      <c r="N68" s="564" t="str">
        <f t="shared" si="2"/>
        <v xml:space="preserve"> </v>
      </c>
      <c r="O68" s="578"/>
      <c r="P68" s="590"/>
      <c r="Q68" s="564" t="str">
        <f>IF(O68&lt;&gt;0,VLOOKUP(O68,'Cây trong'!$A$2:$C$246,3,0)," ")</f>
        <v xml:space="preserve"> </v>
      </c>
      <c r="R68" s="564" t="str">
        <f t="shared" si="3"/>
        <v xml:space="preserve"> </v>
      </c>
      <c r="S68" s="586" t="s">
        <v>1827</v>
      </c>
      <c r="T68" s="609" t="s">
        <v>53</v>
      </c>
      <c r="U68" s="591">
        <v>31.5</v>
      </c>
      <c r="V68" s="611"/>
      <c r="W68" s="564">
        <f>IF(S68&lt;&gt;0,VLOOKUP(S68,VKT!$A$2:$G$415,7,0),"")</f>
        <v>5469063</v>
      </c>
      <c r="X68" s="564">
        <f t="shared" si="4"/>
        <v>172275000</v>
      </c>
      <c r="Y68" s="562" t="s">
        <v>63</v>
      </c>
      <c r="Z68" s="592" t="s">
        <v>55</v>
      </c>
      <c r="AA68" s="592" t="s">
        <v>56</v>
      </c>
      <c r="AB68" s="568" t="s">
        <v>57</v>
      </c>
      <c r="AC68" s="592" t="s">
        <v>63</v>
      </c>
      <c r="AD68" s="568" t="s">
        <v>430</v>
      </c>
      <c r="AE68" s="568"/>
      <c r="AF68" s="563"/>
      <c r="AG68" s="570" t="str">
        <f>IF(AE68&lt;&gt;0,VLOOKUP(AE68,ODDS!$A$2:$C$13,3,0),"")</f>
        <v/>
      </c>
      <c r="AH68" s="570" t="str">
        <f t="shared" si="5"/>
        <v xml:space="preserve"> </v>
      </c>
      <c r="AI68" s="571" t="str">
        <f t="shared" si="0"/>
        <v xml:space="preserve"> </v>
      </c>
      <c r="AJ68" s="628" t="s">
        <v>432</v>
      </c>
      <c r="AK68" s="558" t="s">
        <v>2450</v>
      </c>
    </row>
    <row r="69" spans="1:37" s="376" customFormat="1" ht="146.25" customHeight="1" outlineLevel="2" x14ac:dyDescent="0.3">
      <c r="A69" s="447">
        <f t="shared" ref="A69:A76" si="13">IF(B68&lt;&gt;0,B68,A68)</f>
        <v>6</v>
      </c>
      <c r="B69" s="557"/>
      <c r="C69" s="572" t="s">
        <v>629</v>
      </c>
      <c r="D69" s="603"/>
      <c r="E69" s="627"/>
      <c r="F69" s="627"/>
      <c r="G69" s="575"/>
      <c r="H69" s="561"/>
      <c r="I69" s="546"/>
      <c r="J69" s="575"/>
      <c r="K69" s="563" t="str">
        <f>IF(G69&lt;&gt;0,VLOOKUP(G69,'gia dat'!$A$1:$F$144,5,0)," ")</f>
        <v xml:space="preserve"> </v>
      </c>
      <c r="L69" s="563" t="str">
        <f>IF(G69&lt;&gt;0,VLOOKUP(G69,'gia dat'!$A$1:$F$144,6,0)," ")</f>
        <v xml:space="preserve"> </v>
      </c>
      <c r="M69" s="564" t="str">
        <f t="shared" si="1"/>
        <v xml:space="preserve"> </v>
      </c>
      <c r="N69" s="564" t="str">
        <f t="shared" si="2"/>
        <v xml:space="preserve"> </v>
      </c>
      <c r="O69" s="586"/>
      <c r="P69" s="590"/>
      <c r="Q69" s="564" t="str">
        <f>IF(O69&lt;&gt;0,VLOOKUP(O69,'Cây trong'!$A$2:$C$246,3,0)," ")</f>
        <v xml:space="preserve"> </v>
      </c>
      <c r="R69" s="564" t="str">
        <f t="shared" si="3"/>
        <v xml:space="preserve"> </v>
      </c>
      <c r="S69" s="586" t="s">
        <v>1768</v>
      </c>
      <c r="T69" s="609" t="s">
        <v>53</v>
      </c>
      <c r="U69" s="591">
        <v>5.4</v>
      </c>
      <c r="V69" s="611"/>
      <c r="W69" s="564">
        <f>IF(S69&lt;&gt;0,VLOOKUP(S69,VKT!$A$2:$G$415,7,0),"")</f>
        <v>238288</v>
      </c>
      <c r="X69" s="564">
        <f t="shared" si="4"/>
        <v>1287000</v>
      </c>
      <c r="Y69" s="562"/>
      <c r="Z69" s="592"/>
      <c r="AA69" s="592"/>
      <c r="AB69" s="568"/>
      <c r="AC69" s="592"/>
      <c r="AD69" s="592"/>
      <c r="AE69" s="592"/>
      <c r="AF69" s="590"/>
      <c r="AG69" s="570" t="str">
        <f>IF(AE69&lt;&gt;0,VLOOKUP(AE69,ODDS!$A$2:$C$13,3,0),"")</f>
        <v/>
      </c>
      <c r="AH69" s="570" t="str">
        <f t="shared" si="5"/>
        <v xml:space="preserve"> </v>
      </c>
      <c r="AI69" s="571" t="str">
        <f t="shared" si="0"/>
        <v xml:space="preserve"> </v>
      </c>
      <c r="AJ69" s="575"/>
      <c r="AK69" s="558" t="s">
        <v>2800</v>
      </c>
    </row>
    <row r="70" spans="1:37" s="376" customFormat="1" ht="58.5" customHeight="1" outlineLevel="2" x14ac:dyDescent="0.3">
      <c r="A70" s="447">
        <f t="shared" si="13"/>
        <v>6</v>
      </c>
      <c r="B70" s="557"/>
      <c r="C70" s="572"/>
      <c r="D70" s="603"/>
      <c r="E70" s="612"/>
      <c r="F70" s="612"/>
      <c r="G70" s="575"/>
      <c r="H70" s="561"/>
      <c r="I70" s="546"/>
      <c r="J70" s="593"/>
      <c r="K70" s="563" t="str">
        <f>IF(G70&lt;&gt;0,VLOOKUP(G70,'gia dat'!$A$1:$F$144,5,0)," ")</f>
        <v xml:space="preserve"> </v>
      </c>
      <c r="L70" s="563" t="str">
        <f>IF(G70&lt;&gt;0,VLOOKUP(G70,'gia dat'!$A$1:$F$144,6,0)," ")</f>
        <v xml:space="preserve"> </v>
      </c>
      <c r="M70" s="564" t="str">
        <f t="shared" si="1"/>
        <v xml:space="preserve"> </v>
      </c>
      <c r="N70" s="564" t="str">
        <f t="shared" si="2"/>
        <v xml:space="preserve"> </v>
      </c>
      <c r="O70" s="586"/>
      <c r="P70" s="590"/>
      <c r="Q70" s="564" t="str">
        <f>IF(O70&lt;&gt;0,VLOOKUP(O70,'Cây trong'!$A$2:$C$246,3,0)," ")</f>
        <v xml:space="preserve"> </v>
      </c>
      <c r="R70" s="564" t="str">
        <f t="shared" si="3"/>
        <v xml:space="preserve"> </v>
      </c>
      <c r="S70" s="586" t="s">
        <v>1799</v>
      </c>
      <c r="T70" s="609" t="s">
        <v>53</v>
      </c>
      <c r="U70" s="591">
        <v>9.84</v>
      </c>
      <c r="V70" s="611"/>
      <c r="W70" s="564">
        <f>IF(S70&lt;&gt;0,VLOOKUP(S70,VKT!$A$2:$G$415,7,0),"")</f>
        <v>275180</v>
      </c>
      <c r="X70" s="564">
        <f t="shared" si="4"/>
        <v>2708000</v>
      </c>
      <c r="Y70" s="562"/>
      <c r="Z70" s="592"/>
      <c r="AA70" s="592"/>
      <c r="AB70" s="568"/>
      <c r="AC70" s="592"/>
      <c r="AD70" s="592"/>
      <c r="AE70" s="592"/>
      <c r="AF70" s="590"/>
      <c r="AG70" s="570" t="str">
        <f>IF(AE70&lt;&gt;0,VLOOKUP(AE70,ODDS!$A$2:$C$13,3,0),"")</f>
        <v/>
      </c>
      <c r="AH70" s="570" t="str">
        <f t="shared" si="5"/>
        <v xml:space="preserve"> </v>
      </c>
      <c r="AI70" s="571" t="str">
        <f t="shared" si="0"/>
        <v xml:space="preserve"> </v>
      </c>
      <c r="AJ70" s="575"/>
      <c r="AK70" s="628"/>
    </row>
    <row r="71" spans="1:37" s="376" customFormat="1" ht="91.5" customHeight="1" outlineLevel="2" x14ac:dyDescent="0.3">
      <c r="A71" s="447">
        <f t="shared" si="13"/>
        <v>6</v>
      </c>
      <c r="B71" s="557"/>
      <c r="C71" s="572"/>
      <c r="D71" s="587"/>
      <c r="E71" s="587"/>
      <c r="F71" s="560"/>
      <c r="G71" s="558"/>
      <c r="H71" s="588"/>
      <c r="I71" s="546"/>
      <c r="J71" s="593"/>
      <c r="K71" s="563" t="str">
        <f>IF(G71&lt;&gt;0,VLOOKUP(G71,'gia dat'!$A$1:$F$144,5,0)," ")</f>
        <v xml:space="preserve"> </v>
      </c>
      <c r="L71" s="563" t="str">
        <f>IF(G71&lt;&gt;0,VLOOKUP(G71,'gia dat'!$A$1:$F$144,6,0)," ")</f>
        <v xml:space="preserve"> </v>
      </c>
      <c r="M71" s="564" t="str">
        <f t="shared" si="1"/>
        <v xml:space="preserve"> </v>
      </c>
      <c r="N71" s="564" t="str">
        <f t="shared" si="2"/>
        <v xml:space="preserve"> </v>
      </c>
      <c r="O71" s="586"/>
      <c r="P71" s="590"/>
      <c r="Q71" s="564" t="str">
        <f>IF(O71&lt;&gt;0,VLOOKUP(O71,'Cây trong'!$A$2:$C$246,3,0)," ")</f>
        <v xml:space="preserve"> </v>
      </c>
      <c r="R71" s="564" t="str">
        <f t="shared" si="3"/>
        <v xml:space="preserve"> </v>
      </c>
      <c r="S71" s="586" t="s">
        <v>1828</v>
      </c>
      <c r="T71" s="609" t="s">
        <v>53</v>
      </c>
      <c r="U71" s="591">
        <v>9.2799999999999994</v>
      </c>
      <c r="V71" s="611"/>
      <c r="W71" s="564">
        <f>IF(S71&lt;&gt;0,VLOOKUP(S71,VKT!$A$2:$G$415,7,0),"")</f>
        <v>496651</v>
      </c>
      <c r="X71" s="564">
        <f t="shared" si="4"/>
        <v>4609000</v>
      </c>
      <c r="Y71" s="589"/>
      <c r="Z71" s="592"/>
      <c r="AA71" s="592"/>
      <c r="AB71" s="568"/>
      <c r="AC71" s="592"/>
      <c r="AD71" s="592"/>
      <c r="AE71" s="592"/>
      <c r="AF71" s="590"/>
      <c r="AG71" s="570" t="str">
        <f>IF(AE71&lt;&gt;0,VLOOKUP(AE71,ODDS!$A$2:$C$13,3,0),"")</f>
        <v/>
      </c>
      <c r="AH71" s="570" t="str">
        <f t="shared" si="5"/>
        <v xml:space="preserve"> </v>
      </c>
      <c r="AI71" s="571" t="str">
        <f t="shared" si="0"/>
        <v xml:space="preserve"> </v>
      </c>
      <c r="AJ71" s="558"/>
      <c r="AK71" s="593"/>
    </row>
    <row r="72" spans="1:37" s="376" customFormat="1" ht="84" customHeight="1" outlineLevel="2" x14ac:dyDescent="0.3">
      <c r="A72" s="447">
        <f t="shared" si="13"/>
        <v>6</v>
      </c>
      <c r="B72" s="557"/>
      <c r="C72" s="572"/>
      <c r="D72" s="587"/>
      <c r="E72" s="587"/>
      <c r="F72" s="560"/>
      <c r="G72" s="558"/>
      <c r="H72" s="588"/>
      <c r="I72" s="546"/>
      <c r="J72" s="593"/>
      <c r="K72" s="563" t="str">
        <f>IF(G72&lt;&gt;0,VLOOKUP(G72,'gia dat'!$A$1:$F$144,5,0)," ")</f>
        <v xml:space="preserve"> </v>
      </c>
      <c r="L72" s="563" t="str">
        <f>IF(G72&lt;&gt;0,VLOOKUP(G72,'gia dat'!$A$1:$F$144,6,0)," ")</f>
        <v xml:space="preserve"> </v>
      </c>
      <c r="M72" s="564" t="str">
        <f t="shared" si="1"/>
        <v xml:space="preserve"> </v>
      </c>
      <c r="N72" s="564" t="str">
        <f t="shared" si="2"/>
        <v xml:space="preserve"> </v>
      </c>
      <c r="O72" s="586"/>
      <c r="P72" s="590"/>
      <c r="Q72" s="564" t="str">
        <f>IF(O72&lt;&gt;0,VLOOKUP(O72,'Cây trong'!$A$2:$C$246,3,0)," ")</f>
        <v xml:space="preserve"> </v>
      </c>
      <c r="R72" s="564" t="str">
        <f t="shared" si="3"/>
        <v xml:space="preserve"> </v>
      </c>
      <c r="S72" s="586" t="s">
        <v>1829</v>
      </c>
      <c r="T72" s="609" t="s">
        <v>78</v>
      </c>
      <c r="U72" s="591">
        <v>0.01</v>
      </c>
      <c r="V72" s="611"/>
      <c r="W72" s="564">
        <f>IF(S72&lt;&gt;0,VLOOKUP(S72,VKT!$A$2:$G$415,7,0),"")</f>
        <v>0</v>
      </c>
      <c r="X72" s="564">
        <f t="shared" si="4"/>
        <v>0</v>
      </c>
      <c r="Y72" s="589"/>
      <c r="Z72" s="592"/>
      <c r="AA72" s="592"/>
      <c r="AB72" s="568"/>
      <c r="AC72" s="592"/>
      <c r="AD72" s="592"/>
      <c r="AE72" s="592"/>
      <c r="AF72" s="590"/>
      <c r="AG72" s="570" t="str">
        <f>IF(AE72&lt;&gt;0,VLOOKUP(AE72,ODDS!$A$2:$C$13,3,0),"")</f>
        <v/>
      </c>
      <c r="AH72" s="570" t="str">
        <f t="shared" si="5"/>
        <v xml:space="preserve"> </v>
      </c>
      <c r="AI72" s="571" t="str">
        <f t="shared" si="0"/>
        <v xml:space="preserve"> </v>
      </c>
      <c r="AJ72" s="593"/>
      <c r="AK72" s="593"/>
    </row>
    <row r="73" spans="1:37" s="376" customFormat="1" ht="67.5" customHeight="1" outlineLevel="2" x14ac:dyDescent="0.3">
      <c r="A73" s="447">
        <f t="shared" si="13"/>
        <v>6</v>
      </c>
      <c r="B73" s="557"/>
      <c r="C73" s="572"/>
      <c r="D73" s="587"/>
      <c r="E73" s="587"/>
      <c r="F73" s="560"/>
      <c r="G73" s="558"/>
      <c r="H73" s="588"/>
      <c r="I73" s="546"/>
      <c r="J73" s="589"/>
      <c r="K73" s="563" t="str">
        <f>IF(G73&lt;&gt;0,VLOOKUP(G73,'gia dat'!$A$1:$F$144,5,0)," ")</f>
        <v xml:space="preserve"> </v>
      </c>
      <c r="L73" s="563" t="str">
        <f>IF(G73&lt;&gt;0,VLOOKUP(G73,'gia dat'!$A$1:$F$144,6,0)," ")</f>
        <v xml:space="preserve"> </v>
      </c>
      <c r="M73" s="564" t="str">
        <f t="shared" si="1"/>
        <v xml:space="preserve"> </v>
      </c>
      <c r="N73" s="564" t="str">
        <f t="shared" si="2"/>
        <v xml:space="preserve"> </v>
      </c>
      <c r="O73" s="558"/>
      <c r="P73" s="590"/>
      <c r="Q73" s="564" t="str">
        <f>IF(O73&lt;&gt;0,VLOOKUP(O73,'Cây trong'!$A$2:$C$246,3,0)," ")</f>
        <v xml:space="preserve"> </v>
      </c>
      <c r="R73" s="564" t="str">
        <f t="shared" si="3"/>
        <v xml:space="preserve"> </v>
      </c>
      <c r="S73" s="566" t="s">
        <v>1770</v>
      </c>
      <c r="T73" s="589" t="s">
        <v>78</v>
      </c>
      <c r="U73" s="591">
        <v>0.02</v>
      </c>
      <c r="V73" s="589"/>
      <c r="W73" s="564">
        <f>IF(S73&lt;&gt;0,VLOOKUP(S73,VKT!$A$2:$G$415,7,0),"")</f>
        <v>3591896</v>
      </c>
      <c r="X73" s="564">
        <f t="shared" si="4"/>
        <v>72000</v>
      </c>
      <c r="Y73" s="589"/>
      <c r="Z73" s="592"/>
      <c r="AA73" s="592"/>
      <c r="AB73" s="568"/>
      <c r="AC73" s="592"/>
      <c r="AD73" s="592"/>
      <c r="AE73" s="592"/>
      <c r="AF73" s="590"/>
      <c r="AG73" s="570" t="str">
        <f>IF(AE73&lt;&gt;0,VLOOKUP(AE73,ODDS!$A$2:$C$13,3,0),"")</f>
        <v/>
      </c>
      <c r="AH73" s="570" t="str">
        <f t="shared" si="5"/>
        <v xml:space="preserve"> </v>
      </c>
      <c r="AI73" s="571" t="str">
        <f t="shared" ref="AI73:AI136" si="14">IF(B73&lt;&gt;0,M73+N73+R73+X73+AH73," ")</f>
        <v xml:space="preserve"> </v>
      </c>
      <c r="AJ73" s="593"/>
      <c r="AK73" s="593"/>
    </row>
    <row r="74" spans="1:37" s="376" customFormat="1" ht="20.25" outlineLevel="2" x14ac:dyDescent="0.3">
      <c r="A74" s="447">
        <f t="shared" si="13"/>
        <v>6</v>
      </c>
      <c r="B74" s="557"/>
      <c r="C74" s="574"/>
      <c r="D74" s="587"/>
      <c r="E74" s="587"/>
      <c r="F74" s="560"/>
      <c r="G74" s="558"/>
      <c r="H74" s="588"/>
      <c r="I74" s="546"/>
      <c r="J74" s="589"/>
      <c r="K74" s="563" t="str">
        <f>IF(G74&lt;&gt;0,VLOOKUP(G74,'gia dat'!$A$1:$F$144,5,0)," ")</f>
        <v xml:space="preserve"> </v>
      </c>
      <c r="L74" s="563" t="str">
        <f>IF(G74&lt;&gt;0,VLOOKUP(G74,'gia dat'!$A$1:$F$144,6,0)," ")</f>
        <v xml:space="preserve"> </v>
      </c>
      <c r="M74" s="564" t="str">
        <f t="shared" si="1"/>
        <v xml:space="preserve"> </v>
      </c>
      <c r="N74" s="564" t="str">
        <f t="shared" si="2"/>
        <v xml:space="preserve"> </v>
      </c>
      <c r="O74" s="558"/>
      <c r="P74" s="590"/>
      <c r="Q74" s="564" t="str">
        <f>IF(O74&lt;&gt;0,VLOOKUP(O74,'Cây trong'!$A$2:$C$246,3,0)," ")</f>
        <v xml:space="preserve"> </v>
      </c>
      <c r="R74" s="564" t="str">
        <f t="shared" si="3"/>
        <v xml:space="preserve"> </v>
      </c>
      <c r="S74" s="566"/>
      <c r="T74" s="589"/>
      <c r="U74" s="591"/>
      <c r="V74" s="589"/>
      <c r="W74" s="564" t="str">
        <f>IF(S74&lt;&gt;0,VLOOKUP(S74,VKT!$A$2:$G$415,7,0),"")</f>
        <v/>
      </c>
      <c r="X74" s="564" t="str">
        <f t="shared" si="4"/>
        <v xml:space="preserve"> </v>
      </c>
      <c r="Y74" s="589"/>
      <c r="Z74" s="592"/>
      <c r="AA74" s="592"/>
      <c r="AB74" s="568"/>
      <c r="AC74" s="592"/>
      <c r="AD74" s="592"/>
      <c r="AE74" s="592"/>
      <c r="AF74" s="590"/>
      <c r="AG74" s="570" t="str">
        <f>IF(AE74&lt;&gt;0,VLOOKUP(AE74,ODDS!$A$2:$C$13,3,0),"")</f>
        <v/>
      </c>
      <c r="AH74" s="570" t="str">
        <f t="shared" si="5"/>
        <v xml:space="preserve"> </v>
      </c>
      <c r="AI74" s="571" t="str">
        <f t="shared" si="14"/>
        <v xml:space="preserve"> </v>
      </c>
      <c r="AJ74" s="593"/>
      <c r="AK74" s="593"/>
    </row>
    <row r="75" spans="1:37" s="376" customFormat="1" ht="20.25" outlineLevel="2" x14ac:dyDescent="0.3">
      <c r="A75" s="447">
        <f t="shared" si="13"/>
        <v>6</v>
      </c>
      <c r="B75" s="557"/>
      <c r="C75" s="574"/>
      <c r="D75" s="587"/>
      <c r="E75" s="587"/>
      <c r="F75" s="615"/>
      <c r="G75" s="558"/>
      <c r="H75" s="604"/>
      <c r="I75" s="546"/>
      <c r="J75" s="593"/>
      <c r="K75" s="563" t="str">
        <f>IF(G75&lt;&gt;0,VLOOKUP(G75,'gia dat'!$A$1:$F$144,5,0)," ")</f>
        <v xml:space="preserve"> </v>
      </c>
      <c r="L75" s="563" t="str">
        <f>IF(G75&lt;&gt;0,VLOOKUP(G75,'gia dat'!$A$1:$F$144,6,0)," ")</f>
        <v xml:space="preserve"> </v>
      </c>
      <c r="M75" s="564" t="str">
        <f t="shared" si="1"/>
        <v xml:space="preserve"> </v>
      </c>
      <c r="N75" s="564" t="str">
        <f t="shared" si="2"/>
        <v xml:space="preserve"> </v>
      </c>
      <c r="O75" s="593"/>
      <c r="P75" s="616"/>
      <c r="Q75" s="564" t="str">
        <f>IF(O75&lt;&gt;0,VLOOKUP(O75,'Cây trong'!$A$2:$C$246,3,0)," ")</f>
        <v xml:space="preserve"> </v>
      </c>
      <c r="R75" s="564" t="str">
        <f t="shared" si="3"/>
        <v xml:space="preserve"> </v>
      </c>
      <c r="S75" s="593"/>
      <c r="T75" s="593"/>
      <c r="U75" s="617"/>
      <c r="V75" s="589"/>
      <c r="W75" s="564" t="str">
        <f>IF(S75&lt;&gt;0,VLOOKUP(S75,VKT!$A$2:$G$415,7,0),"")</f>
        <v/>
      </c>
      <c r="X75" s="564" t="str">
        <f t="shared" si="4"/>
        <v xml:space="preserve"> </v>
      </c>
      <c r="Y75" s="589"/>
      <c r="Z75" s="589"/>
      <c r="AA75" s="589"/>
      <c r="AB75" s="562"/>
      <c r="AC75" s="589"/>
      <c r="AD75" s="589"/>
      <c r="AE75" s="589"/>
      <c r="AF75" s="629"/>
      <c r="AG75" s="570" t="str">
        <f>IF(AE75&lt;&gt;0,VLOOKUP(AE75,ODDS!$A$2:$C$13,3,0),"")</f>
        <v/>
      </c>
      <c r="AH75" s="570" t="str">
        <f t="shared" si="5"/>
        <v xml:space="preserve"> </v>
      </c>
      <c r="AI75" s="571" t="str">
        <f t="shared" si="14"/>
        <v xml:space="preserve"> </v>
      </c>
      <c r="AJ75" s="593"/>
      <c r="AK75" s="593"/>
    </row>
    <row r="76" spans="1:37" s="376" customFormat="1" ht="20.25" outlineLevel="2" x14ac:dyDescent="0.3">
      <c r="A76" s="447">
        <f t="shared" si="13"/>
        <v>6</v>
      </c>
      <c r="B76" s="557"/>
      <c r="C76" s="607"/>
      <c r="D76" s="587"/>
      <c r="E76" s="587"/>
      <c r="F76" s="560"/>
      <c r="G76" s="558"/>
      <c r="H76" s="588"/>
      <c r="I76" s="546"/>
      <c r="J76" s="593"/>
      <c r="K76" s="563" t="str">
        <f>IF(G76&lt;&gt;0,VLOOKUP(G76,'gia dat'!$A$1:$F$144,5,0)," ")</f>
        <v xml:space="preserve"> </v>
      </c>
      <c r="L76" s="563" t="str">
        <f>IF(G76&lt;&gt;0,VLOOKUP(G76,'gia dat'!$A$1:$F$144,6,0)," ")</f>
        <v xml:space="preserve"> </v>
      </c>
      <c r="M76" s="564" t="str">
        <f t="shared" si="1"/>
        <v xml:space="preserve"> </v>
      </c>
      <c r="N76" s="564" t="str">
        <f t="shared" si="2"/>
        <v xml:space="preserve"> </v>
      </c>
      <c r="O76" s="586"/>
      <c r="P76" s="630"/>
      <c r="Q76" s="564" t="str">
        <f>IF(O76&lt;&gt;0,VLOOKUP(O76,'Cây trong'!$A$2:$C$246,3,0)," ")</f>
        <v xml:space="preserve"> </v>
      </c>
      <c r="R76" s="564" t="str">
        <f t="shared" si="3"/>
        <v xml:space="preserve"> </v>
      </c>
      <c r="S76" s="586"/>
      <c r="T76" s="609"/>
      <c r="U76" s="591"/>
      <c r="V76" s="611"/>
      <c r="W76" s="564" t="str">
        <f>IF(S76&lt;&gt;0,VLOOKUP(S76,VKT!$A$2:$G$415,7,0),"")</f>
        <v/>
      </c>
      <c r="X76" s="564" t="str">
        <f t="shared" si="4"/>
        <v xml:space="preserve"> </v>
      </c>
      <c r="Y76" s="589"/>
      <c r="Z76" s="592"/>
      <c r="AA76" s="592"/>
      <c r="AB76" s="568"/>
      <c r="AC76" s="592"/>
      <c r="AD76" s="592"/>
      <c r="AE76" s="592"/>
      <c r="AF76" s="590"/>
      <c r="AG76" s="570" t="str">
        <f>IF(AE76&lt;&gt;0,VLOOKUP(AE76,ODDS!$A$2:$C$13,3,0),"")</f>
        <v/>
      </c>
      <c r="AH76" s="570" t="str">
        <f t="shared" si="5"/>
        <v xml:space="preserve"> </v>
      </c>
      <c r="AI76" s="571" t="str">
        <f t="shared" si="14"/>
        <v xml:space="preserve"> </v>
      </c>
      <c r="AJ76" s="593"/>
      <c r="AK76" s="593"/>
    </row>
    <row r="77" spans="1:37" s="376" customFormat="1" ht="40.5" outlineLevel="1" x14ac:dyDescent="0.3">
      <c r="A77" s="467" t="s">
        <v>2703</v>
      </c>
      <c r="B77" s="576">
        <v>7</v>
      </c>
      <c r="C77" s="607" t="s">
        <v>2165</v>
      </c>
      <c r="D77" s="595"/>
      <c r="E77" s="623"/>
      <c r="F77" s="623"/>
      <c r="G77" s="624"/>
      <c r="H77" s="625">
        <f>SUBTOTAL(9,H78:H84)</f>
        <v>0</v>
      </c>
      <c r="I77" s="579">
        <f>SUBTOTAL(9,I78:I83)</f>
        <v>0</v>
      </c>
      <c r="J77" s="624"/>
      <c r="K77" s="581"/>
      <c r="L77" s="581"/>
      <c r="M77" s="571">
        <f>SUBTOTAL(9,M78:M84)</f>
        <v>0</v>
      </c>
      <c r="N77" s="571">
        <f>SUBTOTAL(9,N78:N84)</f>
        <v>0</v>
      </c>
      <c r="O77" s="574"/>
      <c r="P77" s="599">
        <f>SUBTOTAL(9,P78:P84)</f>
        <v>0</v>
      </c>
      <c r="Q77" s="571"/>
      <c r="R77" s="571">
        <f>SUBTOTAL(9,R78:R84)</f>
        <v>0</v>
      </c>
      <c r="S77" s="582"/>
      <c r="T77" s="597"/>
      <c r="U77" s="600">
        <f>SUBTOTAL(9,U78:U84)</f>
        <v>59.469999999999992</v>
      </c>
      <c r="V77" s="597"/>
      <c r="W77" s="571"/>
      <c r="X77" s="571">
        <f>SUBTOTAL(9,X78:X84)</f>
        <v>173830000</v>
      </c>
      <c r="Y77" s="589"/>
      <c r="Z77" s="592"/>
      <c r="AA77" s="592"/>
      <c r="AB77" s="568"/>
      <c r="AC77" s="592"/>
      <c r="AD77" s="568"/>
      <c r="AE77" s="584"/>
      <c r="AF77" s="581">
        <f>SUBTOTAL(9,AF78:AF84)</f>
        <v>0</v>
      </c>
      <c r="AG77" s="585"/>
      <c r="AH77" s="585">
        <f>SUBTOTAL(9,AH78:AH84)</f>
        <v>0</v>
      </c>
      <c r="AI77" s="571">
        <f t="shared" si="14"/>
        <v>173830000</v>
      </c>
      <c r="AJ77" s="608"/>
      <c r="AK77" s="574"/>
    </row>
    <row r="78" spans="1:37" s="376" customFormat="1" ht="147.75" customHeight="1" outlineLevel="2" x14ac:dyDescent="0.3">
      <c r="A78" s="447">
        <f>IF(B77&lt;&gt;0,B77,A76)</f>
        <v>7</v>
      </c>
      <c r="B78" s="557"/>
      <c r="C78" s="572" t="s">
        <v>98</v>
      </c>
      <c r="D78" s="587">
        <v>2</v>
      </c>
      <c r="E78" s="627"/>
      <c r="F78" s="627"/>
      <c r="G78" s="575"/>
      <c r="H78" s="561"/>
      <c r="I78" s="546"/>
      <c r="J78" s="575"/>
      <c r="K78" s="563" t="str">
        <f>IF(G78&lt;&gt;0,VLOOKUP(G78,'gia dat'!$A$1:$F$144,5,0)," ")</f>
        <v xml:space="preserve"> </v>
      </c>
      <c r="L78" s="563" t="str">
        <f>IF(G78&lt;&gt;0,VLOOKUP(G78,'gia dat'!$A$1:$F$144,6,0)," ")</f>
        <v xml:space="preserve"> </v>
      </c>
      <c r="M78" s="564" t="str">
        <f t="shared" si="1"/>
        <v xml:space="preserve"> </v>
      </c>
      <c r="N78" s="564" t="str">
        <f t="shared" si="2"/>
        <v xml:space="preserve"> </v>
      </c>
      <c r="O78" s="558"/>
      <c r="P78" s="590"/>
      <c r="Q78" s="564" t="str">
        <f>IF(O78&lt;&gt;0,VLOOKUP(O78,'Cây trong'!$A$2:$C$246,3,0)," ")</f>
        <v xml:space="preserve"> </v>
      </c>
      <c r="R78" s="564" t="str">
        <f t="shared" si="3"/>
        <v xml:space="preserve"> </v>
      </c>
      <c r="S78" s="566" t="s">
        <v>1820</v>
      </c>
      <c r="T78" s="589" t="s">
        <v>53</v>
      </c>
      <c r="U78" s="591">
        <v>31.95</v>
      </c>
      <c r="V78" s="589"/>
      <c r="W78" s="564">
        <f>IF(S78&lt;&gt;0,VLOOKUP(S78,VKT!$A$2:$G$415,7,0),"")</f>
        <v>5307665</v>
      </c>
      <c r="X78" s="564">
        <f t="shared" si="4"/>
        <v>169580000</v>
      </c>
      <c r="Y78" s="589" t="s">
        <v>63</v>
      </c>
      <c r="Z78" s="592" t="s">
        <v>55</v>
      </c>
      <c r="AA78" s="592" t="s">
        <v>56</v>
      </c>
      <c r="AB78" s="568" t="s">
        <v>57</v>
      </c>
      <c r="AC78" s="592" t="s">
        <v>63</v>
      </c>
      <c r="AD78" s="568" t="s">
        <v>430</v>
      </c>
      <c r="AE78" s="568"/>
      <c r="AF78" s="563"/>
      <c r="AG78" s="570" t="str">
        <f>IF(AE78&lt;&gt;0,VLOOKUP(AE78,ODDS!$A$2:$C$13,3,0),"")</f>
        <v/>
      </c>
      <c r="AH78" s="570" t="str">
        <f t="shared" si="5"/>
        <v xml:space="preserve"> </v>
      </c>
      <c r="AI78" s="571" t="str">
        <f t="shared" si="14"/>
        <v xml:space="preserve"> </v>
      </c>
      <c r="AJ78" s="593" t="s">
        <v>372</v>
      </c>
      <c r="AK78" s="558" t="s">
        <v>2450</v>
      </c>
    </row>
    <row r="79" spans="1:37" s="376" customFormat="1" ht="131.25" customHeight="1" outlineLevel="2" x14ac:dyDescent="0.3">
      <c r="A79" s="447">
        <f t="shared" ref="A79:A84" si="15">IF(B78&lt;&gt;0,B78,A78)</f>
        <v>7</v>
      </c>
      <c r="B79" s="557"/>
      <c r="C79" s="572" t="s">
        <v>631</v>
      </c>
      <c r="D79" s="587"/>
      <c r="E79" s="587"/>
      <c r="F79" s="560"/>
      <c r="G79" s="575"/>
      <c r="H79" s="561"/>
      <c r="I79" s="546"/>
      <c r="J79" s="589"/>
      <c r="K79" s="563" t="str">
        <f>IF(G79&lt;&gt;0,VLOOKUP(G79,'gia dat'!$A$1:$F$144,5,0)," ")</f>
        <v xml:space="preserve"> </v>
      </c>
      <c r="L79" s="563" t="str">
        <f>IF(G79&lt;&gt;0,VLOOKUP(G79,'gia dat'!$A$1:$F$144,6,0)," ")</f>
        <v xml:space="preserve"> </v>
      </c>
      <c r="M79" s="564" t="str">
        <f t="shared" si="1"/>
        <v xml:space="preserve"> </v>
      </c>
      <c r="N79" s="564" t="str">
        <f t="shared" si="2"/>
        <v xml:space="preserve"> </v>
      </c>
      <c r="O79" s="558"/>
      <c r="P79" s="590"/>
      <c r="Q79" s="564" t="str">
        <f>IF(O79&lt;&gt;0,VLOOKUP(O79,'Cây trong'!$A$2:$C$246,3,0)," ")</f>
        <v xml:space="preserve"> </v>
      </c>
      <c r="R79" s="564" t="str">
        <f t="shared" si="3"/>
        <v xml:space="preserve"> </v>
      </c>
      <c r="S79" s="566" t="s">
        <v>1768</v>
      </c>
      <c r="T79" s="589" t="s">
        <v>53</v>
      </c>
      <c r="U79" s="591">
        <v>7.2</v>
      </c>
      <c r="V79" s="589"/>
      <c r="W79" s="564">
        <f>IF(S79&lt;&gt;0,VLOOKUP(S79,VKT!$A$2:$G$415,7,0),"")</f>
        <v>238288</v>
      </c>
      <c r="X79" s="564">
        <f t="shared" si="4"/>
        <v>1716000</v>
      </c>
      <c r="Y79" s="589"/>
      <c r="Z79" s="592"/>
      <c r="AA79" s="592"/>
      <c r="AB79" s="568"/>
      <c r="AC79" s="592"/>
      <c r="AD79" s="592"/>
      <c r="AE79" s="592"/>
      <c r="AF79" s="590"/>
      <c r="AG79" s="570" t="str">
        <f>IF(AE79&lt;&gt;0,VLOOKUP(AE79,ODDS!$A$2:$C$13,3,0),"")</f>
        <v/>
      </c>
      <c r="AH79" s="570" t="str">
        <f t="shared" si="5"/>
        <v xml:space="preserve"> </v>
      </c>
      <c r="AI79" s="571" t="str">
        <f t="shared" si="14"/>
        <v xml:space="preserve"> </v>
      </c>
      <c r="AJ79" s="575"/>
      <c r="AK79" s="558" t="s">
        <v>2800</v>
      </c>
    </row>
    <row r="80" spans="1:37" s="376" customFormat="1" ht="81.75" customHeight="1" outlineLevel="2" x14ac:dyDescent="0.3">
      <c r="A80" s="447">
        <f t="shared" si="15"/>
        <v>7</v>
      </c>
      <c r="B80" s="557"/>
      <c r="C80" s="558"/>
      <c r="D80" s="587"/>
      <c r="E80" s="587"/>
      <c r="F80" s="560"/>
      <c r="G80" s="558"/>
      <c r="H80" s="588"/>
      <c r="I80" s="546"/>
      <c r="J80" s="589"/>
      <c r="K80" s="563" t="str">
        <f>IF(G80&lt;&gt;0,VLOOKUP(G80,'gia dat'!$A$1:$F$144,5,0)," ")</f>
        <v xml:space="preserve"> </v>
      </c>
      <c r="L80" s="563" t="str">
        <f>IF(G80&lt;&gt;0,VLOOKUP(G80,'gia dat'!$A$1:$F$144,6,0)," ")</f>
        <v xml:space="preserve"> </v>
      </c>
      <c r="M80" s="564" t="str">
        <f t="shared" ref="M80:M153" si="16">IF(H80&lt;&gt;0,ROUND(H80*K80,-3)," ")</f>
        <v xml:space="preserve"> </v>
      </c>
      <c r="N80" s="564" t="str">
        <f t="shared" ref="N80:N153" si="17">IF(H80&lt;&gt;0,ROUND(H80*L80,-3)," ")</f>
        <v xml:space="preserve"> </v>
      </c>
      <c r="O80" s="558"/>
      <c r="P80" s="590"/>
      <c r="Q80" s="564" t="str">
        <f>IF(O80&lt;&gt;0,VLOOKUP(O80,'Cây trong'!$A$2:$C$246,3,0)," ")</f>
        <v xml:space="preserve"> </v>
      </c>
      <c r="R80" s="564" t="str">
        <f t="shared" si="3"/>
        <v xml:space="preserve"> </v>
      </c>
      <c r="S80" s="566" t="s">
        <v>1768</v>
      </c>
      <c r="T80" s="589" t="s">
        <v>53</v>
      </c>
      <c r="U80" s="591">
        <v>10.44</v>
      </c>
      <c r="V80" s="589"/>
      <c r="W80" s="564">
        <f>IF(S80&lt;&gt;0,VLOOKUP(S80,VKT!$A$2:$G$415,7,0),"")</f>
        <v>238288</v>
      </c>
      <c r="X80" s="564">
        <f t="shared" ref="X80:X148" si="18">IF(S80&lt;&gt;0,ROUND(U80*W80,-3)," ")</f>
        <v>2488000</v>
      </c>
      <c r="Y80" s="589"/>
      <c r="Z80" s="592" t="s">
        <v>63</v>
      </c>
      <c r="AA80" s="592" t="s">
        <v>56</v>
      </c>
      <c r="AB80" s="568" t="s">
        <v>57</v>
      </c>
      <c r="AC80" s="592" t="s">
        <v>63</v>
      </c>
      <c r="AD80" s="592"/>
      <c r="AE80" s="592"/>
      <c r="AF80" s="590"/>
      <c r="AG80" s="570" t="str">
        <f>IF(AE80&lt;&gt;0,VLOOKUP(AE80,ODDS!$A$2:$C$13,3,0),"")</f>
        <v/>
      </c>
      <c r="AH80" s="570" t="str">
        <f t="shared" si="5"/>
        <v xml:space="preserve"> </v>
      </c>
      <c r="AI80" s="571" t="str">
        <f t="shared" si="14"/>
        <v xml:space="preserve"> </v>
      </c>
      <c r="AJ80" s="593"/>
      <c r="AK80" s="593"/>
    </row>
    <row r="81" spans="1:38" s="376" customFormat="1" ht="55.5" customHeight="1" outlineLevel="2" x14ac:dyDescent="0.3">
      <c r="A81" s="447">
        <f t="shared" si="15"/>
        <v>7</v>
      </c>
      <c r="B81" s="557"/>
      <c r="C81" s="558"/>
      <c r="D81" s="587"/>
      <c r="E81" s="587"/>
      <c r="F81" s="560"/>
      <c r="G81" s="558"/>
      <c r="H81" s="588"/>
      <c r="I81" s="546"/>
      <c r="J81" s="589"/>
      <c r="K81" s="563" t="str">
        <f>IF(G81&lt;&gt;0,VLOOKUP(G81,'gia dat'!$A$1:$F$144,5,0)," ")</f>
        <v xml:space="preserve"> </v>
      </c>
      <c r="L81" s="563" t="str">
        <f>IF(G81&lt;&gt;0,VLOOKUP(G81,'gia dat'!$A$1:$F$144,6,0)," ")</f>
        <v xml:space="preserve"> </v>
      </c>
      <c r="M81" s="564" t="str">
        <f t="shared" si="16"/>
        <v xml:space="preserve"> </v>
      </c>
      <c r="N81" s="564" t="str">
        <f t="shared" si="17"/>
        <v xml:space="preserve"> </v>
      </c>
      <c r="O81" s="558"/>
      <c r="P81" s="590"/>
      <c r="Q81" s="564" t="str">
        <f>IF(O81&lt;&gt;0,VLOOKUP(O81,'Cây trong'!$A$2:$C$246,3,0)," ")</f>
        <v xml:space="preserve"> </v>
      </c>
      <c r="R81" s="564" t="str">
        <f t="shared" si="3"/>
        <v xml:space="preserve"> </v>
      </c>
      <c r="S81" s="566" t="s">
        <v>1767</v>
      </c>
      <c r="T81" s="589" t="s">
        <v>53</v>
      </c>
      <c r="U81" s="591">
        <v>8.1</v>
      </c>
      <c r="V81" s="589" t="s">
        <v>25</v>
      </c>
      <c r="W81" s="564">
        <f>IF(S81&lt;&gt;0,VLOOKUP(S81,VKT!$A$2:$G$415,7,0),"")</f>
        <v>0</v>
      </c>
      <c r="X81" s="564">
        <f t="shared" si="18"/>
        <v>0</v>
      </c>
      <c r="Y81" s="589"/>
      <c r="Z81" s="592"/>
      <c r="AA81" s="592"/>
      <c r="AB81" s="568"/>
      <c r="AC81" s="592"/>
      <c r="AD81" s="592"/>
      <c r="AE81" s="592"/>
      <c r="AF81" s="590"/>
      <c r="AG81" s="570" t="str">
        <f>IF(AE81&lt;&gt;0,VLOOKUP(AE81,ODDS!$A$2:$C$13,3,0),"")</f>
        <v/>
      </c>
      <c r="AH81" s="570" t="str">
        <f t="shared" si="5"/>
        <v xml:space="preserve"> </v>
      </c>
      <c r="AI81" s="571" t="str">
        <f t="shared" si="14"/>
        <v xml:space="preserve"> </v>
      </c>
      <c r="AJ81" s="558"/>
      <c r="AK81" s="593"/>
    </row>
    <row r="82" spans="1:38" s="376" customFormat="1" ht="57.75" customHeight="1" outlineLevel="2" x14ac:dyDescent="0.3">
      <c r="A82" s="447">
        <f t="shared" si="15"/>
        <v>7</v>
      </c>
      <c r="B82" s="557"/>
      <c r="C82" s="558"/>
      <c r="D82" s="587"/>
      <c r="E82" s="587"/>
      <c r="F82" s="615"/>
      <c r="G82" s="558"/>
      <c r="H82" s="604"/>
      <c r="I82" s="546"/>
      <c r="J82" s="593"/>
      <c r="K82" s="563" t="str">
        <f>IF(G82&lt;&gt;0,VLOOKUP(G82,'gia dat'!$A$1:$F$144,5,0)," ")</f>
        <v xml:space="preserve"> </v>
      </c>
      <c r="L82" s="563" t="str">
        <f>IF(G82&lt;&gt;0,VLOOKUP(G82,'gia dat'!$A$1:$F$144,6,0)," ")</f>
        <v xml:space="preserve"> </v>
      </c>
      <c r="M82" s="564" t="str">
        <f t="shared" si="16"/>
        <v xml:space="preserve"> </v>
      </c>
      <c r="N82" s="564" t="str">
        <f t="shared" si="17"/>
        <v xml:space="preserve"> </v>
      </c>
      <c r="O82" s="593"/>
      <c r="P82" s="616"/>
      <c r="Q82" s="564" t="str">
        <f>IF(O82&lt;&gt;0,VLOOKUP(O82,'Cây trong'!$A$2:$C$246,3,0)," ")</f>
        <v xml:space="preserve"> </v>
      </c>
      <c r="R82" s="564" t="str">
        <f t="shared" si="3"/>
        <v xml:space="preserve"> </v>
      </c>
      <c r="S82" s="558" t="s">
        <v>1830</v>
      </c>
      <c r="T82" s="589" t="s">
        <v>78</v>
      </c>
      <c r="U82" s="591">
        <v>1.62</v>
      </c>
      <c r="V82" s="589"/>
      <c r="W82" s="564">
        <f>IF(S82&lt;&gt;0,VLOOKUP(S82,VKT!$A$2:$G$415,7,0),"")</f>
        <v>0</v>
      </c>
      <c r="X82" s="564">
        <f t="shared" si="18"/>
        <v>0</v>
      </c>
      <c r="Y82" s="589"/>
      <c r="Z82" s="589"/>
      <c r="AA82" s="589"/>
      <c r="AB82" s="562"/>
      <c r="AC82" s="589"/>
      <c r="AD82" s="589"/>
      <c r="AE82" s="589"/>
      <c r="AF82" s="629"/>
      <c r="AG82" s="570" t="str">
        <f>IF(AE82&lt;&gt;0,VLOOKUP(AE82,ODDS!$A$2:$C$13,3,0),"")</f>
        <v/>
      </c>
      <c r="AH82" s="570" t="str">
        <f t="shared" si="5"/>
        <v xml:space="preserve"> </v>
      </c>
      <c r="AI82" s="571" t="str">
        <f t="shared" si="14"/>
        <v xml:space="preserve"> </v>
      </c>
      <c r="AJ82" s="593"/>
      <c r="AK82" s="593"/>
    </row>
    <row r="83" spans="1:38" s="376" customFormat="1" ht="60" customHeight="1" outlineLevel="2" x14ac:dyDescent="0.3">
      <c r="A83" s="447">
        <f t="shared" si="15"/>
        <v>7</v>
      </c>
      <c r="B83" s="557"/>
      <c r="C83" s="558"/>
      <c r="D83" s="587"/>
      <c r="E83" s="587"/>
      <c r="F83" s="560"/>
      <c r="G83" s="558"/>
      <c r="H83" s="588"/>
      <c r="I83" s="546"/>
      <c r="J83" s="589"/>
      <c r="K83" s="563" t="str">
        <f>IF(G83&lt;&gt;0,VLOOKUP(G83,'gia dat'!$A$1:$F$144,5,0)," ")</f>
        <v xml:space="preserve"> </v>
      </c>
      <c r="L83" s="563" t="str">
        <f>IF(G83&lt;&gt;0,VLOOKUP(G83,'gia dat'!$A$1:$F$144,6,0)," ")</f>
        <v xml:space="preserve"> </v>
      </c>
      <c r="M83" s="564" t="str">
        <f t="shared" si="16"/>
        <v xml:space="preserve"> </v>
      </c>
      <c r="N83" s="564" t="str">
        <f t="shared" si="17"/>
        <v xml:space="preserve"> </v>
      </c>
      <c r="O83" s="558"/>
      <c r="P83" s="590"/>
      <c r="Q83" s="564" t="str">
        <f>IF(O83&lt;&gt;0,VLOOKUP(O83,'Cây trong'!$A$2:$C$246,3,0)," ")</f>
        <v xml:space="preserve"> </v>
      </c>
      <c r="R83" s="564" t="str">
        <f t="shared" si="3"/>
        <v xml:space="preserve"> </v>
      </c>
      <c r="S83" s="566" t="s">
        <v>1831</v>
      </c>
      <c r="T83" s="589" t="s">
        <v>53</v>
      </c>
      <c r="U83" s="591">
        <v>0.16</v>
      </c>
      <c r="V83" s="589"/>
      <c r="W83" s="564">
        <f>IF(S83&lt;&gt;0,VLOOKUP(S83,VKT!$A$2:$G$415,7,0),"")</f>
        <v>286855</v>
      </c>
      <c r="X83" s="564">
        <f t="shared" si="18"/>
        <v>46000</v>
      </c>
      <c r="Y83" s="589"/>
      <c r="Z83" s="592"/>
      <c r="AA83" s="592"/>
      <c r="AB83" s="568"/>
      <c r="AC83" s="592"/>
      <c r="AD83" s="592"/>
      <c r="AE83" s="592"/>
      <c r="AF83" s="590"/>
      <c r="AG83" s="570" t="str">
        <f>IF(AE83&lt;&gt;0,VLOOKUP(AE83,ODDS!$A$2:$C$13,3,0),"")</f>
        <v/>
      </c>
      <c r="AH83" s="570" t="str">
        <f t="shared" si="5"/>
        <v xml:space="preserve"> </v>
      </c>
      <c r="AI83" s="571" t="str">
        <f t="shared" si="14"/>
        <v xml:space="preserve"> </v>
      </c>
      <c r="AJ83" s="593"/>
      <c r="AK83" s="593"/>
    </row>
    <row r="84" spans="1:38" s="376" customFormat="1" ht="20.25" outlineLevel="2" x14ac:dyDescent="0.3">
      <c r="A84" s="447">
        <f t="shared" si="15"/>
        <v>7</v>
      </c>
      <c r="B84" s="557"/>
      <c r="C84" s="574"/>
      <c r="D84" s="587"/>
      <c r="E84" s="587"/>
      <c r="F84" s="560"/>
      <c r="G84" s="558"/>
      <c r="H84" s="588"/>
      <c r="I84" s="546"/>
      <c r="J84" s="589"/>
      <c r="K84" s="563" t="str">
        <f>IF(G84&lt;&gt;0,VLOOKUP(G84,'gia dat'!$A$1:$F$144,5,0)," ")</f>
        <v xml:space="preserve"> </v>
      </c>
      <c r="L84" s="563" t="str">
        <f>IF(G84&lt;&gt;0,VLOOKUP(G84,'gia dat'!$A$1:$F$144,6,0)," ")</f>
        <v xml:space="preserve"> </v>
      </c>
      <c r="M84" s="564" t="str">
        <f t="shared" si="16"/>
        <v xml:space="preserve"> </v>
      </c>
      <c r="N84" s="564" t="str">
        <f t="shared" si="17"/>
        <v xml:space="preserve"> </v>
      </c>
      <c r="O84" s="558"/>
      <c r="P84" s="590"/>
      <c r="Q84" s="564" t="str">
        <f>IF(O84&lt;&gt;0,VLOOKUP(O84,'Cây trong'!$A$2:$C$246,3,0)," ")</f>
        <v xml:space="preserve"> </v>
      </c>
      <c r="R84" s="564" t="str">
        <f t="shared" si="3"/>
        <v xml:space="preserve"> </v>
      </c>
      <c r="S84" s="566"/>
      <c r="T84" s="589"/>
      <c r="U84" s="591"/>
      <c r="V84" s="589"/>
      <c r="W84" s="564" t="str">
        <f>IF(S84&lt;&gt;0,VLOOKUP(S84,VKT!$A$2:$G$415,7,0),"")</f>
        <v/>
      </c>
      <c r="X84" s="564" t="str">
        <f t="shared" si="18"/>
        <v xml:space="preserve"> </v>
      </c>
      <c r="Y84" s="589"/>
      <c r="Z84" s="592"/>
      <c r="AA84" s="592"/>
      <c r="AB84" s="568"/>
      <c r="AC84" s="592"/>
      <c r="AD84" s="592"/>
      <c r="AE84" s="592"/>
      <c r="AF84" s="590"/>
      <c r="AG84" s="570" t="str">
        <f>IF(AE84&lt;&gt;0,VLOOKUP(AE84,ODDS!$A$2:$C$13,3,0),"")</f>
        <v/>
      </c>
      <c r="AH84" s="570" t="str">
        <f t="shared" si="5"/>
        <v xml:space="preserve"> </v>
      </c>
      <c r="AI84" s="571" t="str">
        <f t="shared" si="14"/>
        <v xml:space="preserve"> </v>
      </c>
      <c r="AJ84" s="593"/>
      <c r="AK84" s="593"/>
    </row>
    <row r="85" spans="1:38" s="376" customFormat="1" ht="124.5" customHeight="1" outlineLevel="1" x14ac:dyDescent="0.3">
      <c r="A85" s="467" t="s">
        <v>2702</v>
      </c>
      <c r="B85" s="576">
        <v>8</v>
      </c>
      <c r="C85" s="574" t="s">
        <v>2166</v>
      </c>
      <c r="D85" s="595"/>
      <c r="E85" s="595"/>
      <c r="F85" s="577"/>
      <c r="G85" s="574"/>
      <c r="H85" s="618">
        <f>SUBTOTAL(9,H86:H91)</f>
        <v>24.6</v>
      </c>
      <c r="I85" s="579">
        <f>SUBTOTAL(9,I86:I91)</f>
        <v>0</v>
      </c>
      <c r="J85" s="597"/>
      <c r="K85" s="581"/>
      <c r="L85" s="581"/>
      <c r="M85" s="571">
        <f>SUBTOTAL(9,M86:M91)</f>
        <v>13638000</v>
      </c>
      <c r="N85" s="571">
        <f>SUBTOTAL(9,N86:N91)</f>
        <v>0</v>
      </c>
      <c r="O85" s="624"/>
      <c r="P85" s="631">
        <f>SUBTOTAL(9,P86:P91)</f>
        <v>0</v>
      </c>
      <c r="Q85" s="631"/>
      <c r="R85" s="631">
        <f>SUBTOTAL(9,R86:R91)</f>
        <v>0</v>
      </c>
      <c r="S85" s="578"/>
      <c r="T85" s="621"/>
      <c r="U85" s="600">
        <f>SUBTOTAL(9,U86:U91)</f>
        <v>0</v>
      </c>
      <c r="V85" s="622"/>
      <c r="W85" s="571"/>
      <c r="X85" s="571">
        <f>SUBTOTAL(9,X86:X91)</f>
        <v>0</v>
      </c>
      <c r="Y85" s="589"/>
      <c r="Z85" s="592"/>
      <c r="AA85" s="592"/>
      <c r="AB85" s="568"/>
      <c r="AC85" s="592"/>
      <c r="AD85" s="592"/>
      <c r="AE85" s="601"/>
      <c r="AF85" s="599">
        <f>SUBTOTAL(9,AF86:AF91)</f>
        <v>0</v>
      </c>
      <c r="AG85" s="585"/>
      <c r="AH85" s="585">
        <f>SUBTOTAL(9,AH86:AH91)</f>
        <v>0</v>
      </c>
      <c r="AI85" s="571">
        <f t="shared" si="14"/>
        <v>13638000</v>
      </c>
      <c r="AJ85" s="574"/>
      <c r="AK85" s="578"/>
    </row>
    <row r="86" spans="1:38" s="376" customFormat="1" ht="273.75" customHeight="1" outlineLevel="2" x14ac:dyDescent="0.3">
      <c r="A86" s="447">
        <f>IF(B85&lt;&gt;0,B85,A84)</f>
        <v>8</v>
      </c>
      <c r="B86" s="557"/>
      <c r="C86" s="558" t="s">
        <v>2793</v>
      </c>
      <c r="D86" s="587"/>
      <c r="E86" s="587">
        <v>86</v>
      </c>
      <c r="F86" s="560">
        <v>1582</v>
      </c>
      <c r="G86" s="558" t="s">
        <v>2891</v>
      </c>
      <c r="H86" s="588">
        <v>24.6</v>
      </c>
      <c r="I86" s="546" t="str">
        <f t="shared" ref="I86" si="19">IF(N86&gt;0,H86,"")</f>
        <v/>
      </c>
      <c r="J86" s="589"/>
      <c r="K86" s="563">
        <f>IF(G86&lt;&gt;0,VLOOKUP(G86,'gia dat'!$A$1:$F$144,5,0)," ")</f>
        <v>554400</v>
      </c>
      <c r="L86" s="563">
        <f>IF(G86&lt;&gt;0,VLOOKUP(G86,'gia dat'!$A$1:$F$144,6,0)," ")</f>
        <v>0</v>
      </c>
      <c r="M86" s="564">
        <f t="shared" si="16"/>
        <v>13638000</v>
      </c>
      <c r="N86" s="564">
        <f t="shared" si="17"/>
        <v>0</v>
      </c>
      <c r="O86" s="575"/>
      <c r="P86" s="632"/>
      <c r="Q86" s="632"/>
      <c r="R86" s="632"/>
      <c r="S86" s="586"/>
      <c r="T86" s="609"/>
      <c r="U86" s="591"/>
      <c r="V86" s="611"/>
      <c r="W86" s="564" t="str">
        <f>IF(S86&lt;&gt;0,VLOOKUP(S86,VKT!$A$2:$G$415,7,0),"")</f>
        <v/>
      </c>
      <c r="X86" s="564" t="str">
        <f t="shared" si="18"/>
        <v xml:space="preserve"> </v>
      </c>
      <c r="Y86" s="589"/>
      <c r="Z86" s="592"/>
      <c r="AA86" s="592"/>
      <c r="AB86" s="568"/>
      <c r="AC86" s="592"/>
      <c r="AD86" s="592"/>
      <c r="AE86" s="592"/>
      <c r="AF86" s="590"/>
      <c r="AG86" s="570" t="str">
        <f>IF(AE86&lt;&gt;0,VLOOKUP(AE86,ODDS!$A$2:$C$13,3,0),"")</f>
        <v/>
      </c>
      <c r="AH86" s="570" t="str">
        <f t="shared" si="5"/>
        <v xml:space="preserve"> </v>
      </c>
      <c r="AI86" s="571" t="str">
        <f t="shared" si="14"/>
        <v xml:space="preserve"> </v>
      </c>
      <c r="AJ86" s="558" t="s">
        <v>2187</v>
      </c>
      <c r="AK86" s="586" t="s">
        <v>2771</v>
      </c>
      <c r="AL86" s="376" t="s">
        <v>2188</v>
      </c>
    </row>
    <row r="87" spans="1:38" s="376" customFormat="1" ht="109.5" customHeight="1" outlineLevel="2" x14ac:dyDescent="0.3">
      <c r="A87" s="447">
        <f>IF(B86&lt;&gt;0,B86,A86)</f>
        <v>8</v>
      </c>
      <c r="B87" s="557"/>
      <c r="C87" s="558" t="s">
        <v>2792</v>
      </c>
      <c r="D87" s="587"/>
      <c r="E87" s="587"/>
      <c r="F87" s="560"/>
      <c r="G87" s="558"/>
      <c r="H87" s="588"/>
      <c r="I87" s="546"/>
      <c r="J87" s="593"/>
      <c r="K87" s="563" t="str">
        <f>IF(G87&lt;&gt;0,VLOOKUP(G87,'gia dat'!$A$1:$F$144,5,0)," ")</f>
        <v xml:space="preserve"> </v>
      </c>
      <c r="L87" s="563" t="str">
        <f>IF(G87&lt;&gt;0,VLOOKUP(G87,'gia dat'!$A$1:$F$144,6,0)," ")</f>
        <v xml:space="preserve"> </v>
      </c>
      <c r="M87" s="564" t="str">
        <f t="shared" si="16"/>
        <v xml:space="preserve"> </v>
      </c>
      <c r="N87" s="564" t="str">
        <f t="shared" si="17"/>
        <v xml:space="preserve"> </v>
      </c>
      <c r="O87" s="586"/>
      <c r="P87" s="630"/>
      <c r="Q87" s="564"/>
      <c r="R87" s="564"/>
      <c r="S87" s="586"/>
      <c r="T87" s="609"/>
      <c r="U87" s="591"/>
      <c r="V87" s="611"/>
      <c r="W87" s="564" t="str">
        <f>IF(S87&lt;&gt;0,VLOOKUP(S87,VKT!$A$2:$G$415,7,0),"")</f>
        <v/>
      </c>
      <c r="X87" s="564" t="str">
        <f t="shared" si="18"/>
        <v xml:space="preserve"> </v>
      </c>
      <c r="Y87" s="589"/>
      <c r="Z87" s="592"/>
      <c r="AA87" s="592"/>
      <c r="AB87" s="568"/>
      <c r="AC87" s="592"/>
      <c r="AD87" s="592"/>
      <c r="AE87" s="592"/>
      <c r="AF87" s="590"/>
      <c r="AG87" s="570" t="str">
        <f>IF(AE87&lt;&gt;0,VLOOKUP(AE87,ODDS!$A$2:$C$13,3,0),"")</f>
        <v/>
      </c>
      <c r="AH87" s="570"/>
      <c r="AI87" s="571" t="str">
        <f t="shared" si="14"/>
        <v xml:space="preserve"> </v>
      </c>
      <c r="AJ87" s="558" t="s">
        <v>2453</v>
      </c>
      <c r="AK87" s="593"/>
    </row>
    <row r="88" spans="1:38" s="376" customFormat="1" ht="20.25" outlineLevel="2" x14ac:dyDescent="0.3">
      <c r="A88" s="447">
        <f>IF(B87&lt;&gt;0,B87,A87)</f>
        <v>8</v>
      </c>
      <c r="B88" s="557"/>
      <c r="C88" s="574"/>
      <c r="D88" s="587"/>
      <c r="E88" s="587"/>
      <c r="F88" s="560"/>
      <c r="G88" s="558"/>
      <c r="H88" s="588"/>
      <c r="I88" s="546"/>
      <c r="J88" s="593"/>
      <c r="K88" s="563" t="str">
        <f>IF(G88&lt;&gt;0,VLOOKUP(G88,'gia dat'!$A$1:$F$144,5,0)," ")</f>
        <v xml:space="preserve"> </v>
      </c>
      <c r="L88" s="563" t="str">
        <f>IF(G88&lt;&gt;0,VLOOKUP(G88,'gia dat'!$A$1:$F$144,6,0)," ")</f>
        <v xml:space="preserve"> </v>
      </c>
      <c r="M88" s="564" t="str">
        <f t="shared" si="16"/>
        <v xml:space="preserve"> </v>
      </c>
      <c r="N88" s="564" t="str">
        <f t="shared" si="17"/>
        <v xml:space="preserve"> </v>
      </c>
      <c r="O88" s="586"/>
      <c r="P88" s="630"/>
      <c r="Q88" s="564"/>
      <c r="R88" s="564"/>
      <c r="S88" s="586"/>
      <c r="T88" s="609"/>
      <c r="U88" s="591"/>
      <c r="V88" s="611"/>
      <c r="W88" s="564" t="str">
        <f>IF(S88&lt;&gt;0,VLOOKUP(S88,VKT!$A$2:$G$415,7,0),"")</f>
        <v/>
      </c>
      <c r="X88" s="564" t="str">
        <f t="shared" si="18"/>
        <v xml:space="preserve"> </v>
      </c>
      <c r="Y88" s="589"/>
      <c r="Z88" s="592"/>
      <c r="AA88" s="592"/>
      <c r="AB88" s="568"/>
      <c r="AC88" s="592"/>
      <c r="AD88" s="592"/>
      <c r="AE88" s="592"/>
      <c r="AF88" s="590"/>
      <c r="AG88" s="570" t="str">
        <f>IF(AE88&lt;&gt;0,VLOOKUP(AE88,ODDS!$A$2:$C$13,3,0),"")</f>
        <v/>
      </c>
      <c r="AH88" s="570"/>
      <c r="AI88" s="571" t="str">
        <f t="shared" si="14"/>
        <v xml:space="preserve"> </v>
      </c>
      <c r="AJ88" s="593"/>
      <c r="AK88" s="593"/>
    </row>
    <row r="89" spans="1:38" s="376" customFormat="1" ht="20.25" outlineLevel="2" x14ac:dyDescent="0.3">
      <c r="A89" s="447">
        <f>IF(B88&lt;&gt;0,B88,A88)</f>
        <v>8</v>
      </c>
      <c r="B89" s="557"/>
      <c r="C89" s="574"/>
      <c r="D89" s="587"/>
      <c r="E89" s="587"/>
      <c r="F89" s="560"/>
      <c r="G89" s="558"/>
      <c r="H89" s="588"/>
      <c r="I89" s="546"/>
      <c r="J89" s="593"/>
      <c r="K89" s="563" t="str">
        <f>IF(G89&lt;&gt;0,VLOOKUP(G89,'gia dat'!$A$1:$F$144,5,0)," ")</f>
        <v xml:space="preserve"> </v>
      </c>
      <c r="L89" s="563" t="str">
        <f>IF(G89&lt;&gt;0,VLOOKUP(G89,'gia dat'!$A$1:$F$144,6,0)," ")</f>
        <v xml:space="preserve"> </v>
      </c>
      <c r="M89" s="564" t="str">
        <f t="shared" si="16"/>
        <v xml:space="preserve"> </v>
      </c>
      <c r="N89" s="564" t="str">
        <f t="shared" si="17"/>
        <v xml:space="preserve"> </v>
      </c>
      <c r="O89" s="586"/>
      <c r="P89" s="630"/>
      <c r="Q89" s="564"/>
      <c r="R89" s="564"/>
      <c r="S89" s="586"/>
      <c r="T89" s="609"/>
      <c r="U89" s="591"/>
      <c r="V89" s="611"/>
      <c r="W89" s="564" t="str">
        <f>IF(S89&lt;&gt;0,VLOOKUP(S89,VKT!$A$2:$G$415,7,0),"")</f>
        <v/>
      </c>
      <c r="X89" s="564" t="str">
        <f t="shared" si="18"/>
        <v xml:space="preserve"> </v>
      </c>
      <c r="Y89" s="589"/>
      <c r="Z89" s="592"/>
      <c r="AA89" s="592"/>
      <c r="AB89" s="568"/>
      <c r="AC89" s="592"/>
      <c r="AD89" s="592"/>
      <c r="AE89" s="592"/>
      <c r="AF89" s="590"/>
      <c r="AG89" s="570" t="str">
        <f>IF(AE89&lt;&gt;0,VLOOKUP(AE89,ODDS!$A$2:$C$13,3,0),"")</f>
        <v/>
      </c>
      <c r="AH89" s="570"/>
      <c r="AI89" s="571" t="str">
        <f t="shared" si="14"/>
        <v xml:space="preserve"> </v>
      </c>
      <c r="AJ89" s="593"/>
      <c r="AK89" s="593"/>
    </row>
    <row r="90" spans="1:38" s="376" customFormat="1" ht="20.25" outlineLevel="2" x14ac:dyDescent="0.3">
      <c r="A90" s="447">
        <f>IF(B89&lt;&gt;0,B89,A89)</f>
        <v>8</v>
      </c>
      <c r="B90" s="557"/>
      <c r="C90" s="574"/>
      <c r="D90" s="587"/>
      <c r="E90" s="587"/>
      <c r="F90" s="560"/>
      <c r="G90" s="558"/>
      <c r="H90" s="588"/>
      <c r="I90" s="546"/>
      <c r="J90" s="593"/>
      <c r="K90" s="563" t="str">
        <f>IF(G90&lt;&gt;0,VLOOKUP(G90,'gia dat'!$A$1:$F$144,5,0)," ")</f>
        <v xml:space="preserve"> </v>
      </c>
      <c r="L90" s="563" t="str">
        <f>IF(G90&lt;&gt;0,VLOOKUP(G90,'gia dat'!$A$1:$F$144,6,0)," ")</f>
        <v xml:space="preserve"> </v>
      </c>
      <c r="M90" s="564" t="str">
        <f t="shared" si="16"/>
        <v xml:space="preserve"> </v>
      </c>
      <c r="N90" s="564" t="str">
        <f t="shared" si="17"/>
        <v xml:space="preserve"> </v>
      </c>
      <c r="O90" s="586"/>
      <c r="P90" s="630"/>
      <c r="Q90" s="564"/>
      <c r="R90" s="564"/>
      <c r="S90" s="586"/>
      <c r="T90" s="609"/>
      <c r="U90" s="591"/>
      <c r="V90" s="611"/>
      <c r="W90" s="564" t="str">
        <f>IF(S90&lt;&gt;0,VLOOKUP(S90,VKT!$A$2:$G$415,7,0),"")</f>
        <v/>
      </c>
      <c r="X90" s="564" t="str">
        <f t="shared" si="18"/>
        <v xml:space="preserve"> </v>
      </c>
      <c r="Y90" s="589"/>
      <c r="Z90" s="592"/>
      <c r="AA90" s="592"/>
      <c r="AB90" s="568"/>
      <c r="AC90" s="592"/>
      <c r="AD90" s="592"/>
      <c r="AE90" s="592"/>
      <c r="AF90" s="590"/>
      <c r="AG90" s="570" t="str">
        <f>IF(AE90&lt;&gt;0,VLOOKUP(AE90,ODDS!$A$2:$C$13,3,0),"")</f>
        <v/>
      </c>
      <c r="AH90" s="570"/>
      <c r="AI90" s="571" t="str">
        <f t="shared" si="14"/>
        <v xml:space="preserve"> </v>
      </c>
      <c r="AJ90" s="593"/>
      <c r="AK90" s="593"/>
    </row>
    <row r="91" spans="1:38" s="376" customFormat="1" ht="20.25" outlineLevel="2" x14ac:dyDescent="0.3">
      <c r="A91" s="447">
        <f>IF(B90&lt;&gt;0,B90,A90)</f>
        <v>8</v>
      </c>
      <c r="B91" s="557"/>
      <c r="C91" s="574"/>
      <c r="D91" s="587"/>
      <c r="E91" s="587"/>
      <c r="F91" s="560"/>
      <c r="G91" s="558"/>
      <c r="H91" s="588"/>
      <c r="I91" s="546"/>
      <c r="J91" s="593"/>
      <c r="K91" s="563" t="str">
        <f>IF(G91&lt;&gt;0,VLOOKUP(G91,'gia dat'!$A$1:$F$144,5,0)," ")</f>
        <v xml:space="preserve"> </v>
      </c>
      <c r="L91" s="563" t="str">
        <f>IF(G91&lt;&gt;0,VLOOKUP(G91,'gia dat'!$A$1:$F$144,6,0)," ")</f>
        <v xml:space="preserve"> </v>
      </c>
      <c r="M91" s="564" t="str">
        <f t="shared" si="16"/>
        <v xml:space="preserve"> </v>
      </c>
      <c r="N91" s="564" t="str">
        <f t="shared" si="17"/>
        <v xml:space="preserve"> </v>
      </c>
      <c r="O91" s="586"/>
      <c r="P91" s="630"/>
      <c r="Q91" s="564"/>
      <c r="R91" s="564"/>
      <c r="S91" s="586"/>
      <c r="T91" s="609"/>
      <c r="U91" s="591"/>
      <c r="V91" s="611"/>
      <c r="W91" s="564" t="str">
        <f>IF(S91&lt;&gt;0,VLOOKUP(S91,VKT!$A$2:$G$415,7,0),"")</f>
        <v/>
      </c>
      <c r="X91" s="564" t="str">
        <f t="shared" si="18"/>
        <v xml:space="preserve"> </v>
      </c>
      <c r="Y91" s="589"/>
      <c r="Z91" s="592"/>
      <c r="AA91" s="592"/>
      <c r="AB91" s="568"/>
      <c r="AC91" s="592"/>
      <c r="AD91" s="592"/>
      <c r="AE91" s="592"/>
      <c r="AF91" s="590"/>
      <c r="AG91" s="570" t="str">
        <f>IF(AE91&lt;&gt;0,VLOOKUP(AE91,ODDS!$A$2:$C$13,3,0),"")</f>
        <v/>
      </c>
      <c r="AH91" s="570"/>
      <c r="AI91" s="571" t="str">
        <f t="shared" si="14"/>
        <v xml:space="preserve"> </v>
      </c>
      <c r="AJ91" s="593"/>
      <c r="AK91" s="593"/>
    </row>
    <row r="92" spans="1:38" s="376" customFormat="1" ht="111" customHeight="1" outlineLevel="1" x14ac:dyDescent="0.25">
      <c r="A92" s="467" t="s">
        <v>2701</v>
      </c>
      <c r="B92" s="576">
        <v>9</v>
      </c>
      <c r="C92" s="574" t="s">
        <v>2166</v>
      </c>
      <c r="D92" s="595"/>
      <c r="E92" s="595"/>
      <c r="F92" s="577"/>
      <c r="G92" s="574"/>
      <c r="H92" s="618">
        <f>SUBTOTAL(9,H93:H97)</f>
        <v>23.9</v>
      </c>
      <c r="I92" s="579">
        <f>SUBTOTAL(9,I93:I98)</f>
        <v>0</v>
      </c>
      <c r="J92" s="608"/>
      <c r="K92" s="581"/>
      <c r="L92" s="581"/>
      <c r="M92" s="571">
        <f>SUBTOTAL(9,M93:M97)</f>
        <v>13250000</v>
      </c>
      <c r="N92" s="571">
        <f>SUBTOTAL(9,N93:N97)</f>
        <v>0</v>
      </c>
      <c r="O92" s="578"/>
      <c r="P92" s="633">
        <f>SUBTOTAL(9,P93:P97)</f>
        <v>0</v>
      </c>
      <c r="Q92" s="571"/>
      <c r="R92" s="571">
        <f>SUBTOTAL(9,R93:R97)</f>
        <v>0</v>
      </c>
      <c r="S92" s="578"/>
      <c r="T92" s="621"/>
      <c r="U92" s="600">
        <f>SUBTOTAL(9,U93:U97)</f>
        <v>0</v>
      </c>
      <c r="V92" s="622"/>
      <c r="W92" s="571"/>
      <c r="X92" s="571">
        <f>SUBTOTAL(9,X93:X97)</f>
        <v>0</v>
      </c>
      <c r="Y92" s="589"/>
      <c r="Z92" s="592"/>
      <c r="AA92" s="592"/>
      <c r="AB92" s="568"/>
      <c r="AC92" s="592"/>
      <c r="AD92" s="592"/>
      <c r="AE92" s="601"/>
      <c r="AF92" s="599">
        <f>SUBTOTAL(9,AF93:AF97)</f>
        <v>0</v>
      </c>
      <c r="AG92" s="585"/>
      <c r="AH92" s="585">
        <f>SUBTOTAL(9,AH93:AH97)</f>
        <v>0</v>
      </c>
      <c r="AI92" s="571">
        <f t="shared" si="14"/>
        <v>13250000</v>
      </c>
      <c r="AJ92" s="574"/>
      <c r="AK92" s="578"/>
    </row>
    <row r="93" spans="1:38" s="376" customFormat="1" ht="255.75" customHeight="1" outlineLevel="2" x14ac:dyDescent="0.3">
      <c r="A93" s="447">
        <f>IF(B92&lt;&gt;0,B92,A91)</f>
        <v>9</v>
      </c>
      <c r="B93" s="557"/>
      <c r="C93" s="558" t="s">
        <v>2793</v>
      </c>
      <c r="D93" s="587"/>
      <c r="E93" s="587">
        <v>86</v>
      </c>
      <c r="F93" s="560">
        <v>1582</v>
      </c>
      <c r="G93" s="558" t="s">
        <v>2891</v>
      </c>
      <c r="H93" s="588">
        <v>23.9</v>
      </c>
      <c r="I93" s="546" t="str">
        <f t="shared" ref="I93" si="20">IF(N93&gt;0,H93,"")</f>
        <v/>
      </c>
      <c r="J93" s="593"/>
      <c r="K93" s="563">
        <f>IF(G93&lt;&gt;0,VLOOKUP(G93,'gia dat'!$A$1:$F$144,5,0)," ")</f>
        <v>554400</v>
      </c>
      <c r="L93" s="563">
        <f>IF(G93&lt;&gt;0,VLOOKUP(G93,'gia dat'!$A$1:$F$144,6,0)," ")</f>
        <v>0</v>
      </c>
      <c r="M93" s="564">
        <f t="shared" si="16"/>
        <v>13250000</v>
      </c>
      <c r="N93" s="564">
        <f t="shared" si="17"/>
        <v>0</v>
      </c>
      <c r="O93" s="586"/>
      <c r="P93" s="630"/>
      <c r="Q93" s="564"/>
      <c r="R93" s="564"/>
      <c r="S93" s="586"/>
      <c r="T93" s="609"/>
      <c r="U93" s="591"/>
      <c r="V93" s="611"/>
      <c r="W93" s="564" t="str">
        <f>IF(S93&lt;&gt;0,VLOOKUP(S93,VKT!$A$2:$G$415,7,0),"")</f>
        <v/>
      </c>
      <c r="X93" s="564" t="str">
        <f t="shared" si="18"/>
        <v xml:space="preserve"> </v>
      </c>
      <c r="Y93" s="589"/>
      <c r="Z93" s="592"/>
      <c r="AA93" s="592"/>
      <c r="AB93" s="568"/>
      <c r="AC93" s="592"/>
      <c r="AD93" s="592"/>
      <c r="AE93" s="592"/>
      <c r="AF93" s="590"/>
      <c r="AG93" s="570" t="str">
        <f>IF(AE93&lt;&gt;0,VLOOKUP(AE93,ODDS!$A$2:$C$13,3,0),"")</f>
        <v/>
      </c>
      <c r="AH93" s="570"/>
      <c r="AI93" s="571" t="str">
        <f t="shared" si="14"/>
        <v xml:space="preserve"> </v>
      </c>
      <c r="AJ93" s="558" t="s">
        <v>2189</v>
      </c>
      <c r="AK93" s="586" t="s">
        <v>2771</v>
      </c>
      <c r="AL93" s="376" t="s">
        <v>2188</v>
      </c>
    </row>
    <row r="94" spans="1:38" s="376" customFormat="1" ht="97.5" customHeight="1" outlineLevel="2" x14ac:dyDescent="0.3">
      <c r="A94" s="447">
        <f>IF(B93&lt;&gt;0,B93,A93)</f>
        <v>9</v>
      </c>
      <c r="B94" s="557"/>
      <c r="C94" s="558" t="s">
        <v>2792</v>
      </c>
      <c r="D94" s="587"/>
      <c r="E94" s="587"/>
      <c r="F94" s="560"/>
      <c r="G94" s="558"/>
      <c r="H94" s="588"/>
      <c r="I94" s="546"/>
      <c r="J94" s="593"/>
      <c r="K94" s="563" t="str">
        <f>IF(G94&lt;&gt;0,VLOOKUP(G94,'gia dat'!$A$1:$F$144,5,0)," ")</f>
        <v xml:space="preserve"> </v>
      </c>
      <c r="L94" s="563" t="str">
        <f>IF(G94&lt;&gt;0,VLOOKUP(G94,'gia dat'!$A$1:$F$144,6,0)," ")</f>
        <v xml:space="preserve"> </v>
      </c>
      <c r="M94" s="564" t="str">
        <f t="shared" si="16"/>
        <v xml:space="preserve"> </v>
      </c>
      <c r="N94" s="564" t="str">
        <f t="shared" si="17"/>
        <v xml:space="preserve"> </v>
      </c>
      <c r="O94" s="586"/>
      <c r="P94" s="630"/>
      <c r="Q94" s="564"/>
      <c r="R94" s="564"/>
      <c r="S94" s="586"/>
      <c r="T94" s="609"/>
      <c r="U94" s="591"/>
      <c r="V94" s="611"/>
      <c r="W94" s="564" t="str">
        <f>IF(S94&lt;&gt;0,VLOOKUP(S94,VKT!$A$2:$G$415,7,0),"")</f>
        <v/>
      </c>
      <c r="X94" s="564" t="str">
        <f t="shared" si="18"/>
        <v xml:space="preserve"> </v>
      </c>
      <c r="Y94" s="589"/>
      <c r="Z94" s="592"/>
      <c r="AA94" s="592"/>
      <c r="AB94" s="568"/>
      <c r="AC94" s="592"/>
      <c r="AD94" s="592"/>
      <c r="AE94" s="592"/>
      <c r="AF94" s="590"/>
      <c r="AG94" s="570" t="str">
        <f>IF(AE94&lt;&gt;0,VLOOKUP(AE94,ODDS!$A$2:$C$13,3,0),"")</f>
        <v/>
      </c>
      <c r="AH94" s="570"/>
      <c r="AI94" s="571" t="str">
        <f t="shared" si="14"/>
        <v xml:space="preserve"> </v>
      </c>
      <c r="AJ94" s="558" t="s">
        <v>2453</v>
      </c>
      <c r="AK94" s="593"/>
    </row>
    <row r="95" spans="1:38" s="376" customFormat="1" ht="20.25" outlineLevel="2" x14ac:dyDescent="0.3">
      <c r="A95" s="447">
        <f>IF(B94&lt;&gt;0,B94,A94)</f>
        <v>9</v>
      </c>
      <c r="B95" s="557"/>
      <c r="C95" s="574"/>
      <c r="D95" s="587"/>
      <c r="E95" s="587"/>
      <c r="F95" s="560"/>
      <c r="G95" s="558"/>
      <c r="H95" s="588"/>
      <c r="I95" s="546"/>
      <c r="J95" s="593"/>
      <c r="K95" s="563" t="str">
        <f>IF(G95&lt;&gt;0,VLOOKUP(G95,'gia dat'!$A$1:$F$144,5,0)," ")</f>
        <v xml:space="preserve"> </v>
      </c>
      <c r="L95" s="563" t="str">
        <f>IF(G95&lt;&gt;0,VLOOKUP(G95,'gia dat'!$A$1:$F$144,6,0)," ")</f>
        <v xml:space="preserve"> </v>
      </c>
      <c r="M95" s="564" t="str">
        <f t="shared" si="16"/>
        <v xml:space="preserve"> </v>
      </c>
      <c r="N95" s="564" t="str">
        <f t="shared" si="17"/>
        <v xml:space="preserve"> </v>
      </c>
      <c r="O95" s="586"/>
      <c r="P95" s="630"/>
      <c r="Q95" s="564"/>
      <c r="R95" s="564"/>
      <c r="S95" s="586"/>
      <c r="T95" s="609"/>
      <c r="U95" s="591"/>
      <c r="V95" s="611"/>
      <c r="W95" s="564" t="str">
        <f>IF(S95&lt;&gt;0,VLOOKUP(S95,VKT!$A$2:$G$415,7,0),"")</f>
        <v/>
      </c>
      <c r="X95" s="564" t="str">
        <f t="shared" si="18"/>
        <v xml:space="preserve"> </v>
      </c>
      <c r="Y95" s="589"/>
      <c r="Z95" s="592"/>
      <c r="AA95" s="592"/>
      <c r="AB95" s="568"/>
      <c r="AC95" s="592"/>
      <c r="AD95" s="592"/>
      <c r="AE95" s="592"/>
      <c r="AF95" s="590"/>
      <c r="AG95" s="570" t="str">
        <f>IF(AE95&lt;&gt;0,VLOOKUP(AE95,ODDS!$A$2:$C$13,3,0),"")</f>
        <v/>
      </c>
      <c r="AH95" s="570"/>
      <c r="AI95" s="571" t="str">
        <f t="shared" si="14"/>
        <v xml:space="preserve"> </v>
      </c>
      <c r="AJ95" s="593"/>
      <c r="AK95" s="593"/>
    </row>
    <row r="96" spans="1:38" s="376" customFormat="1" ht="20.25" outlineLevel="2" x14ac:dyDescent="0.3">
      <c r="A96" s="447">
        <f>IF(B95&lt;&gt;0,B95,A95)</f>
        <v>9</v>
      </c>
      <c r="B96" s="557"/>
      <c r="C96" s="574"/>
      <c r="D96" s="587"/>
      <c r="E96" s="587"/>
      <c r="F96" s="560"/>
      <c r="G96" s="558"/>
      <c r="H96" s="588"/>
      <c r="I96" s="546"/>
      <c r="J96" s="593"/>
      <c r="K96" s="563" t="str">
        <f>IF(G96&lt;&gt;0,VLOOKUP(G96,'gia dat'!$A$1:$F$144,5,0)," ")</f>
        <v xml:space="preserve"> </v>
      </c>
      <c r="L96" s="563" t="str">
        <f>IF(G96&lt;&gt;0,VLOOKUP(G96,'gia dat'!$A$1:$F$144,6,0)," ")</f>
        <v xml:space="preserve"> </v>
      </c>
      <c r="M96" s="564" t="str">
        <f t="shared" si="16"/>
        <v xml:space="preserve"> </v>
      </c>
      <c r="N96" s="564" t="str">
        <f t="shared" si="17"/>
        <v xml:space="preserve"> </v>
      </c>
      <c r="O96" s="586"/>
      <c r="P96" s="630"/>
      <c r="Q96" s="564"/>
      <c r="R96" s="564"/>
      <c r="S96" s="586"/>
      <c r="T96" s="609"/>
      <c r="U96" s="591"/>
      <c r="V96" s="611"/>
      <c r="W96" s="564" t="str">
        <f>IF(S96&lt;&gt;0,VLOOKUP(S96,VKT!$A$2:$G$415,7,0),"")</f>
        <v/>
      </c>
      <c r="X96" s="564" t="str">
        <f t="shared" si="18"/>
        <v xml:space="preserve"> </v>
      </c>
      <c r="Y96" s="589"/>
      <c r="Z96" s="592"/>
      <c r="AA96" s="592"/>
      <c r="AB96" s="568"/>
      <c r="AC96" s="592"/>
      <c r="AD96" s="592"/>
      <c r="AE96" s="592"/>
      <c r="AF96" s="590"/>
      <c r="AG96" s="570" t="str">
        <f>IF(AE96&lt;&gt;0,VLOOKUP(AE96,ODDS!$A$2:$C$13,3,0),"")</f>
        <v/>
      </c>
      <c r="AH96" s="570"/>
      <c r="AI96" s="571" t="str">
        <f t="shared" si="14"/>
        <v xml:space="preserve"> </v>
      </c>
      <c r="AJ96" s="593"/>
      <c r="AK96" s="593"/>
    </row>
    <row r="97" spans="1:39" s="376" customFormat="1" ht="20.25" outlineLevel="2" x14ac:dyDescent="0.3">
      <c r="A97" s="447">
        <f>IF(B96&lt;&gt;0,B96,A96)</f>
        <v>9</v>
      </c>
      <c r="B97" s="557"/>
      <c r="C97" s="574"/>
      <c r="D97" s="587"/>
      <c r="E97" s="587"/>
      <c r="F97" s="560"/>
      <c r="G97" s="558"/>
      <c r="H97" s="588"/>
      <c r="I97" s="546"/>
      <c r="J97" s="593"/>
      <c r="K97" s="563" t="str">
        <f>IF(G97&lt;&gt;0,VLOOKUP(G97,'gia dat'!$A$1:$F$144,5,0)," ")</f>
        <v xml:space="preserve"> </v>
      </c>
      <c r="L97" s="563" t="str">
        <f>IF(G97&lt;&gt;0,VLOOKUP(G97,'gia dat'!$A$1:$F$144,6,0)," ")</f>
        <v xml:space="preserve"> </v>
      </c>
      <c r="M97" s="564" t="str">
        <f t="shared" si="16"/>
        <v xml:space="preserve"> </v>
      </c>
      <c r="N97" s="564" t="str">
        <f t="shared" si="17"/>
        <v xml:space="preserve"> </v>
      </c>
      <c r="O97" s="586"/>
      <c r="P97" s="630"/>
      <c r="Q97" s="564"/>
      <c r="R97" s="564"/>
      <c r="S97" s="586"/>
      <c r="T97" s="609"/>
      <c r="U97" s="591"/>
      <c r="V97" s="611"/>
      <c r="W97" s="564" t="str">
        <f>IF(S97&lt;&gt;0,VLOOKUP(S97,VKT!$A$2:$G$415,7,0),"")</f>
        <v/>
      </c>
      <c r="X97" s="564" t="str">
        <f t="shared" si="18"/>
        <v xml:space="preserve"> </v>
      </c>
      <c r="Y97" s="589"/>
      <c r="Z97" s="592"/>
      <c r="AA97" s="592"/>
      <c r="AB97" s="568"/>
      <c r="AC97" s="592"/>
      <c r="AD97" s="592"/>
      <c r="AE97" s="592"/>
      <c r="AF97" s="590"/>
      <c r="AG97" s="570" t="str">
        <f>IF(AE97&lt;&gt;0,VLOOKUP(AE97,ODDS!$A$2:$C$13,3,0),"")</f>
        <v/>
      </c>
      <c r="AH97" s="570"/>
      <c r="AI97" s="571" t="str">
        <f t="shared" si="14"/>
        <v xml:space="preserve"> </v>
      </c>
      <c r="AJ97" s="593"/>
      <c r="AK97" s="593"/>
    </row>
    <row r="98" spans="1:39" s="376" customFormat="1" ht="81" outlineLevel="1" x14ac:dyDescent="0.25">
      <c r="A98" s="467" t="s">
        <v>2700</v>
      </c>
      <c r="B98" s="576">
        <v>10</v>
      </c>
      <c r="C98" s="574" t="s">
        <v>2166</v>
      </c>
      <c r="D98" s="595"/>
      <c r="E98" s="595"/>
      <c r="F98" s="577"/>
      <c r="G98" s="574"/>
      <c r="H98" s="618">
        <f>SUBTOTAL(9,H99:H102)</f>
        <v>16.600000000000001</v>
      </c>
      <c r="I98" s="579">
        <f>SUBTOTAL(9,I99:I104)</f>
        <v>0</v>
      </c>
      <c r="J98" s="608"/>
      <c r="K98" s="581"/>
      <c r="L98" s="581"/>
      <c r="M98" s="571">
        <f>SUBTOTAL(9,M99:M102)</f>
        <v>9203000</v>
      </c>
      <c r="N98" s="571">
        <f>SUBTOTAL(9,N99:N102)</f>
        <v>0</v>
      </c>
      <c r="O98" s="578"/>
      <c r="P98" s="633">
        <f>SUBTOTAL(9,P99:P102)</f>
        <v>0</v>
      </c>
      <c r="Q98" s="571"/>
      <c r="R98" s="571">
        <f>SUBTOTAL(9,R99:R102)</f>
        <v>0</v>
      </c>
      <c r="S98" s="578"/>
      <c r="T98" s="621"/>
      <c r="U98" s="600">
        <f>SUBTOTAL(9,U99:U102)</f>
        <v>0</v>
      </c>
      <c r="V98" s="622"/>
      <c r="W98" s="571"/>
      <c r="X98" s="571">
        <f>SUBTOTAL(9,X99:X102)</f>
        <v>0</v>
      </c>
      <c r="Y98" s="589"/>
      <c r="Z98" s="592"/>
      <c r="AA98" s="592"/>
      <c r="AB98" s="568"/>
      <c r="AC98" s="592"/>
      <c r="AD98" s="592"/>
      <c r="AE98" s="601"/>
      <c r="AF98" s="599">
        <f>SUBTOTAL(9,AF99:AF102)</f>
        <v>0</v>
      </c>
      <c r="AG98" s="585"/>
      <c r="AH98" s="585">
        <f>SUBTOTAL(9,AH99:AH102)</f>
        <v>0</v>
      </c>
      <c r="AI98" s="571">
        <f t="shared" si="14"/>
        <v>9203000</v>
      </c>
      <c r="AJ98" s="574"/>
      <c r="AK98" s="578"/>
    </row>
    <row r="99" spans="1:39" s="376" customFormat="1" ht="272.25" customHeight="1" outlineLevel="2" x14ac:dyDescent="0.3">
      <c r="A99" s="447">
        <f>IF(B98&lt;&gt;0,B98,A97)</f>
        <v>10</v>
      </c>
      <c r="B99" s="557"/>
      <c r="C99" s="558" t="s">
        <v>2793</v>
      </c>
      <c r="D99" s="587"/>
      <c r="E99" s="587">
        <v>86</v>
      </c>
      <c r="F99" s="560">
        <v>1582</v>
      </c>
      <c r="G99" s="558" t="s">
        <v>2891</v>
      </c>
      <c r="H99" s="588">
        <v>16.600000000000001</v>
      </c>
      <c r="I99" s="546" t="str">
        <f t="shared" ref="I99" si="21">IF(N99&gt;0,H99,"")</f>
        <v/>
      </c>
      <c r="J99" s="593"/>
      <c r="K99" s="563">
        <f>IF(G99&lt;&gt;0,VLOOKUP(G99,'gia dat'!$A$1:$F$144,5,0)," ")</f>
        <v>554400</v>
      </c>
      <c r="L99" s="563">
        <f>IF(G99&lt;&gt;0,VLOOKUP(G99,'gia dat'!$A$1:$F$144,6,0)," ")</f>
        <v>0</v>
      </c>
      <c r="M99" s="564">
        <f t="shared" si="16"/>
        <v>9203000</v>
      </c>
      <c r="N99" s="564">
        <f t="shared" si="17"/>
        <v>0</v>
      </c>
      <c r="O99" s="586"/>
      <c r="P99" s="630"/>
      <c r="Q99" s="564"/>
      <c r="R99" s="564"/>
      <c r="S99" s="586"/>
      <c r="T99" s="609"/>
      <c r="U99" s="591"/>
      <c r="V99" s="611"/>
      <c r="W99" s="564" t="str">
        <f>IF(S99&lt;&gt;0,VLOOKUP(S99,VKT!$A$2:$G$415,7,0),"")</f>
        <v/>
      </c>
      <c r="X99" s="564" t="str">
        <f t="shared" si="18"/>
        <v xml:space="preserve"> </v>
      </c>
      <c r="Y99" s="589"/>
      <c r="Z99" s="592"/>
      <c r="AA99" s="592"/>
      <c r="AB99" s="568"/>
      <c r="AC99" s="592"/>
      <c r="AD99" s="592"/>
      <c r="AE99" s="592"/>
      <c r="AF99" s="590"/>
      <c r="AG99" s="570" t="str">
        <f>IF(AE99&lt;&gt;0,VLOOKUP(AE99,ODDS!$A$2:$C$13,3,0),"")</f>
        <v/>
      </c>
      <c r="AH99" s="570"/>
      <c r="AI99" s="571" t="str">
        <f t="shared" si="14"/>
        <v xml:space="preserve"> </v>
      </c>
      <c r="AJ99" s="558" t="s">
        <v>2190</v>
      </c>
      <c r="AK99" s="586" t="s">
        <v>2771</v>
      </c>
      <c r="AL99" s="376" t="s">
        <v>2188</v>
      </c>
    </row>
    <row r="100" spans="1:39" s="376" customFormat="1" ht="106.5" customHeight="1" outlineLevel="2" x14ac:dyDescent="0.3">
      <c r="A100" s="447">
        <f>IF(B99&lt;&gt;0,B99,A99)</f>
        <v>10</v>
      </c>
      <c r="B100" s="557"/>
      <c r="C100" s="558" t="s">
        <v>2792</v>
      </c>
      <c r="D100" s="587"/>
      <c r="E100" s="587"/>
      <c r="F100" s="560"/>
      <c r="G100" s="558"/>
      <c r="H100" s="588"/>
      <c r="I100" s="546"/>
      <c r="J100" s="593"/>
      <c r="K100" s="563" t="str">
        <f>IF(G100&lt;&gt;0,VLOOKUP(G100,'gia dat'!$A$1:$F$144,5,0)," ")</f>
        <v xml:space="preserve"> </v>
      </c>
      <c r="L100" s="563" t="str">
        <f>IF(G100&lt;&gt;0,VLOOKUP(G100,'gia dat'!$A$1:$F$144,6,0)," ")</f>
        <v xml:space="preserve"> </v>
      </c>
      <c r="M100" s="564" t="str">
        <f t="shared" si="16"/>
        <v xml:space="preserve"> </v>
      </c>
      <c r="N100" s="564" t="str">
        <f t="shared" si="17"/>
        <v xml:space="preserve"> </v>
      </c>
      <c r="O100" s="586"/>
      <c r="P100" s="630"/>
      <c r="Q100" s="564"/>
      <c r="R100" s="564"/>
      <c r="S100" s="586"/>
      <c r="T100" s="609"/>
      <c r="U100" s="591"/>
      <c r="V100" s="611"/>
      <c r="W100" s="564" t="str">
        <f>IF(S100&lt;&gt;0,VLOOKUP(S100,VKT!$A$2:$G$415,7,0),"")</f>
        <v/>
      </c>
      <c r="X100" s="564" t="str">
        <f t="shared" si="18"/>
        <v xml:space="preserve"> </v>
      </c>
      <c r="Y100" s="589"/>
      <c r="Z100" s="592"/>
      <c r="AA100" s="592"/>
      <c r="AB100" s="568"/>
      <c r="AC100" s="592"/>
      <c r="AD100" s="592"/>
      <c r="AE100" s="592"/>
      <c r="AF100" s="590"/>
      <c r="AG100" s="570" t="str">
        <f>IF(AE100&lt;&gt;0,VLOOKUP(AE100,ODDS!$A$2:$C$13,3,0),"")</f>
        <v/>
      </c>
      <c r="AH100" s="570"/>
      <c r="AI100" s="571" t="str">
        <f t="shared" si="14"/>
        <v xml:space="preserve"> </v>
      </c>
      <c r="AJ100" s="558" t="s">
        <v>2453</v>
      </c>
      <c r="AK100" s="593"/>
    </row>
    <row r="101" spans="1:39" s="376" customFormat="1" ht="20.25" outlineLevel="2" x14ac:dyDescent="0.3">
      <c r="A101" s="447">
        <f>IF(B100&lt;&gt;0,B100,A100)</f>
        <v>10</v>
      </c>
      <c r="B101" s="557"/>
      <c r="C101" s="574"/>
      <c r="D101" s="587"/>
      <c r="E101" s="587"/>
      <c r="F101" s="560"/>
      <c r="G101" s="558"/>
      <c r="H101" s="588"/>
      <c r="I101" s="546"/>
      <c r="J101" s="593"/>
      <c r="K101" s="563" t="str">
        <f>IF(G101&lt;&gt;0,VLOOKUP(G101,'gia dat'!$A$1:$F$144,5,0)," ")</f>
        <v xml:space="preserve"> </v>
      </c>
      <c r="L101" s="563" t="str">
        <f>IF(G101&lt;&gt;0,VLOOKUP(G101,'gia dat'!$A$1:$F$144,6,0)," ")</f>
        <v xml:space="preserve"> </v>
      </c>
      <c r="M101" s="564" t="str">
        <f t="shared" si="16"/>
        <v xml:space="preserve"> </v>
      </c>
      <c r="N101" s="564" t="str">
        <f t="shared" si="17"/>
        <v xml:space="preserve"> </v>
      </c>
      <c r="O101" s="586"/>
      <c r="P101" s="630"/>
      <c r="Q101" s="564"/>
      <c r="R101" s="564"/>
      <c r="S101" s="586"/>
      <c r="T101" s="609"/>
      <c r="U101" s="591"/>
      <c r="V101" s="611"/>
      <c r="W101" s="564" t="str">
        <f>IF(S101&lt;&gt;0,VLOOKUP(S101,VKT!$A$2:$G$415,7,0),"")</f>
        <v/>
      </c>
      <c r="X101" s="564" t="str">
        <f t="shared" si="18"/>
        <v xml:space="preserve"> </v>
      </c>
      <c r="Y101" s="589"/>
      <c r="Z101" s="592"/>
      <c r="AA101" s="592"/>
      <c r="AB101" s="568"/>
      <c r="AC101" s="592"/>
      <c r="AD101" s="592"/>
      <c r="AE101" s="592"/>
      <c r="AF101" s="590"/>
      <c r="AG101" s="570" t="str">
        <f>IF(AE101&lt;&gt;0,VLOOKUP(AE101,ODDS!$A$2:$C$13,3,0),"")</f>
        <v/>
      </c>
      <c r="AH101" s="570"/>
      <c r="AI101" s="571" t="str">
        <f t="shared" si="14"/>
        <v xml:space="preserve"> </v>
      </c>
      <c r="AJ101" s="593"/>
      <c r="AK101" s="593"/>
    </row>
    <row r="102" spans="1:39" s="376" customFormat="1" ht="20.25" outlineLevel="2" x14ac:dyDescent="0.3">
      <c r="A102" s="447">
        <f>IF(B101&lt;&gt;0,B101,A101)</f>
        <v>10</v>
      </c>
      <c r="B102" s="557"/>
      <c r="C102" s="574"/>
      <c r="D102" s="587"/>
      <c r="E102" s="587"/>
      <c r="F102" s="560"/>
      <c r="G102" s="558"/>
      <c r="H102" s="588"/>
      <c r="I102" s="546"/>
      <c r="J102" s="593"/>
      <c r="K102" s="563" t="str">
        <f>IF(G102&lt;&gt;0,VLOOKUP(G102,'gia dat'!$A$1:$F$144,5,0)," ")</f>
        <v xml:space="preserve"> </v>
      </c>
      <c r="L102" s="563" t="str">
        <f>IF(G102&lt;&gt;0,VLOOKUP(G102,'gia dat'!$A$1:$F$144,6,0)," ")</f>
        <v xml:space="preserve"> </v>
      </c>
      <c r="M102" s="564" t="str">
        <f t="shared" si="16"/>
        <v xml:space="preserve"> </v>
      </c>
      <c r="N102" s="564" t="str">
        <f t="shared" si="17"/>
        <v xml:space="preserve"> </v>
      </c>
      <c r="O102" s="586"/>
      <c r="P102" s="630"/>
      <c r="Q102" s="564"/>
      <c r="R102" s="564"/>
      <c r="S102" s="586"/>
      <c r="T102" s="609"/>
      <c r="U102" s="591"/>
      <c r="V102" s="611"/>
      <c r="W102" s="564" t="str">
        <f>IF(S102&lt;&gt;0,VLOOKUP(S102,VKT!$A$2:$G$415,7,0),"")</f>
        <v/>
      </c>
      <c r="X102" s="564" t="str">
        <f t="shared" si="18"/>
        <v xml:space="preserve"> </v>
      </c>
      <c r="Y102" s="589"/>
      <c r="Z102" s="592"/>
      <c r="AA102" s="592"/>
      <c r="AB102" s="568"/>
      <c r="AC102" s="592"/>
      <c r="AD102" s="592"/>
      <c r="AE102" s="592"/>
      <c r="AF102" s="590"/>
      <c r="AG102" s="570" t="str">
        <f>IF(AE102&lt;&gt;0,VLOOKUP(AE102,ODDS!$A$2:$C$13,3,0),"")</f>
        <v/>
      </c>
      <c r="AH102" s="570"/>
      <c r="AI102" s="571" t="str">
        <f t="shared" si="14"/>
        <v xml:space="preserve"> </v>
      </c>
      <c r="AJ102" s="593"/>
      <c r="AK102" s="593"/>
    </row>
    <row r="103" spans="1:39" s="376" customFormat="1" ht="117" customHeight="1" outlineLevel="1" x14ac:dyDescent="0.25">
      <c r="A103" s="467" t="s">
        <v>2699</v>
      </c>
      <c r="B103" s="576">
        <v>11</v>
      </c>
      <c r="C103" s="574" t="s">
        <v>2166</v>
      </c>
      <c r="D103" s="595"/>
      <c r="E103" s="595"/>
      <c r="F103" s="577"/>
      <c r="G103" s="574"/>
      <c r="H103" s="618">
        <f>SUBTOTAL(9,H104:H107)</f>
        <v>23.5</v>
      </c>
      <c r="I103" s="579">
        <f>SUBTOTAL(9,I104:I109)</f>
        <v>0</v>
      </c>
      <c r="J103" s="608"/>
      <c r="K103" s="581"/>
      <c r="L103" s="581"/>
      <c r="M103" s="571">
        <f>SUBTOTAL(9,M104:M107)</f>
        <v>13029000</v>
      </c>
      <c r="N103" s="571">
        <f>SUBTOTAL(9,N104:N107)</f>
        <v>0</v>
      </c>
      <c r="O103" s="578"/>
      <c r="P103" s="633">
        <f>SUBTOTAL(9,P104:P107)</f>
        <v>0</v>
      </c>
      <c r="Q103" s="571"/>
      <c r="R103" s="571">
        <f>SUBTOTAL(9,R104:R107)</f>
        <v>0</v>
      </c>
      <c r="S103" s="578"/>
      <c r="T103" s="621"/>
      <c r="U103" s="600">
        <f>SUBTOTAL(9,U104:U107)</f>
        <v>0</v>
      </c>
      <c r="V103" s="622"/>
      <c r="W103" s="571"/>
      <c r="X103" s="571">
        <f>SUBTOTAL(9,X104:X107)</f>
        <v>0</v>
      </c>
      <c r="Y103" s="589"/>
      <c r="Z103" s="592"/>
      <c r="AA103" s="592"/>
      <c r="AB103" s="568"/>
      <c r="AC103" s="592"/>
      <c r="AD103" s="592"/>
      <c r="AE103" s="601"/>
      <c r="AF103" s="599">
        <f>SUBTOTAL(9,AF104:AF107)</f>
        <v>0</v>
      </c>
      <c r="AG103" s="585"/>
      <c r="AH103" s="585">
        <f>SUBTOTAL(9,AH104:AH107)</f>
        <v>0</v>
      </c>
      <c r="AI103" s="571">
        <f t="shared" si="14"/>
        <v>13029000</v>
      </c>
      <c r="AJ103" s="574"/>
      <c r="AK103" s="578"/>
    </row>
    <row r="104" spans="1:39" s="376" customFormat="1" ht="266.25" customHeight="1" outlineLevel="2" x14ac:dyDescent="0.3">
      <c r="A104" s="447">
        <f>IF(B103&lt;&gt;0,B103,A102)</f>
        <v>11</v>
      </c>
      <c r="B104" s="557"/>
      <c r="C104" s="558" t="s">
        <v>2793</v>
      </c>
      <c r="D104" s="587"/>
      <c r="E104" s="587">
        <v>86</v>
      </c>
      <c r="F104" s="560">
        <v>1582</v>
      </c>
      <c r="G104" s="558" t="s">
        <v>2891</v>
      </c>
      <c r="H104" s="588">
        <f>23.5-H105</f>
        <v>6.1000000000000014</v>
      </c>
      <c r="I104" s="546" t="str">
        <f t="shared" ref="I104:I105" si="22">IF(N104&gt;0,H104,"")</f>
        <v/>
      </c>
      <c r="J104" s="593"/>
      <c r="K104" s="563">
        <f>IF(G104&lt;&gt;0,VLOOKUP(G104,'gia dat'!$A$1:$F$144,5,0)," ")</f>
        <v>554400</v>
      </c>
      <c r="L104" s="563">
        <f>IF(G104&lt;&gt;0,VLOOKUP(G104,'gia dat'!$A$1:$F$144,6,0)," ")</f>
        <v>0</v>
      </c>
      <c r="M104" s="564">
        <f t="shared" si="16"/>
        <v>3382000</v>
      </c>
      <c r="N104" s="564">
        <f t="shared" si="17"/>
        <v>0</v>
      </c>
      <c r="O104" s="586"/>
      <c r="P104" s="630"/>
      <c r="Q104" s="564"/>
      <c r="R104" s="564"/>
      <c r="S104" s="586"/>
      <c r="T104" s="609"/>
      <c r="U104" s="591"/>
      <c r="V104" s="611"/>
      <c r="W104" s="564" t="str">
        <f>IF(S104&lt;&gt;0,VLOOKUP(S104,VKT!$A$2:$G$415,7,0),"")</f>
        <v/>
      </c>
      <c r="X104" s="564" t="str">
        <f t="shared" si="18"/>
        <v xml:space="preserve"> </v>
      </c>
      <c r="Y104" s="589"/>
      <c r="Z104" s="592"/>
      <c r="AA104" s="592"/>
      <c r="AB104" s="568"/>
      <c r="AC104" s="592"/>
      <c r="AD104" s="592"/>
      <c r="AE104" s="592"/>
      <c r="AF104" s="590"/>
      <c r="AG104" s="570" t="str">
        <f>IF(AE104&lt;&gt;0,VLOOKUP(AE104,ODDS!$A$2:$C$13,3,0),"")</f>
        <v/>
      </c>
      <c r="AH104" s="570"/>
      <c r="AI104" s="571" t="str">
        <f t="shared" si="14"/>
        <v xml:space="preserve"> </v>
      </c>
      <c r="AJ104" s="558" t="s">
        <v>2191</v>
      </c>
      <c r="AK104" s="586" t="s">
        <v>2771</v>
      </c>
      <c r="AL104" s="376" t="s">
        <v>2188</v>
      </c>
    </row>
    <row r="105" spans="1:39" s="376" customFormat="1" ht="81" outlineLevel="2" x14ac:dyDescent="0.3">
      <c r="A105" s="447">
        <f>IF(B104&lt;&gt;0,B104,A104)</f>
        <v>11</v>
      </c>
      <c r="B105" s="557"/>
      <c r="C105" s="558" t="s">
        <v>2792</v>
      </c>
      <c r="D105" s="587"/>
      <c r="E105" s="612"/>
      <c r="F105" s="612"/>
      <c r="G105" s="558" t="s">
        <v>2894</v>
      </c>
      <c r="H105" s="588">
        <v>17.399999999999999</v>
      </c>
      <c r="I105" s="546" t="str">
        <f t="shared" si="22"/>
        <v/>
      </c>
      <c r="J105" s="593"/>
      <c r="K105" s="563">
        <f>IF(G105&lt;&gt;0,VLOOKUP(G105,'gia dat'!$A$1:$F$144,5,0)," ")</f>
        <v>554400</v>
      </c>
      <c r="L105" s="563">
        <f>IF(G105&lt;&gt;0,VLOOKUP(G105,'gia dat'!$A$1:$F$144,6,0)," ")</f>
        <v>0</v>
      </c>
      <c r="M105" s="564">
        <f t="shared" si="16"/>
        <v>9647000</v>
      </c>
      <c r="N105" s="564">
        <f t="shared" si="17"/>
        <v>0</v>
      </c>
      <c r="O105" s="586"/>
      <c r="P105" s="630"/>
      <c r="Q105" s="564"/>
      <c r="R105" s="564"/>
      <c r="S105" s="586"/>
      <c r="T105" s="609"/>
      <c r="U105" s="591"/>
      <c r="V105" s="611"/>
      <c r="W105" s="564" t="str">
        <f>IF(S105&lt;&gt;0,VLOOKUP(S105,VKT!$A$2:$G$415,7,0),"")</f>
        <v/>
      </c>
      <c r="X105" s="564" t="str">
        <f t="shared" si="18"/>
        <v xml:space="preserve"> </v>
      </c>
      <c r="Y105" s="589"/>
      <c r="Z105" s="592"/>
      <c r="AA105" s="592"/>
      <c r="AB105" s="568"/>
      <c r="AC105" s="592"/>
      <c r="AD105" s="592"/>
      <c r="AE105" s="592"/>
      <c r="AF105" s="590"/>
      <c r="AG105" s="570" t="str">
        <f>IF(AE105&lt;&gt;0,VLOOKUP(AE105,ODDS!$A$2:$C$13,3,0),"")</f>
        <v/>
      </c>
      <c r="AH105" s="570"/>
      <c r="AI105" s="571" t="str">
        <f t="shared" si="14"/>
        <v xml:space="preserve"> </v>
      </c>
      <c r="AJ105" s="558" t="s">
        <v>2453</v>
      </c>
      <c r="AK105" s="593"/>
    </row>
    <row r="106" spans="1:39" s="376" customFormat="1" ht="20.25" outlineLevel="2" x14ac:dyDescent="0.3">
      <c r="A106" s="447">
        <f>IF(B105&lt;&gt;0,B105,A105)</f>
        <v>11</v>
      </c>
      <c r="B106" s="557"/>
      <c r="C106" s="574"/>
      <c r="D106" s="587"/>
      <c r="E106" s="587"/>
      <c r="F106" s="560"/>
      <c r="G106" s="558"/>
      <c r="H106" s="588"/>
      <c r="I106" s="546"/>
      <c r="J106" s="593"/>
      <c r="K106" s="563" t="str">
        <f>IF(G106&lt;&gt;0,VLOOKUP(G106,'gia dat'!$A$1:$F$144,5,0)," ")</f>
        <v xml:space="preserve"> </v>
      </c>
      <c r="L106" s="563" t="str">
        <f>IF(G106&lt;&gt;0,VLOOKUP(G106,'gia dat'!$A$1:$F$144,6,0)," ")</f>
        <v xml:space="preserve"> </v>
      </c>
      <c r="M106" s="564" t="str">
        <f t="shared" si="16"/>
        <v xml:space="preserve"> </v>
      </c>
      <c r="N106" s="564" t="str">
        <f t="shared" si="17"/>
        <v xml:space="preserve"> </v>
      </c>
      <c r="O106" s="586"/>
      <c r="P106" s="630"/>
      <c r="Q106" s="564"/>
      <c r="R106" s="564"/>
      <c r="S106" s="586"/>
      <c r="T106" s="609"/>
      <c r="U106" s="591"/>
      <c r="V106" s="611"/>
      <c r="W106" s="564" t="str">
        <f>IF(S106&lt;&gt;0,VLOOKUP(S106,VKT!$A$2:$G$415,7,0),"")</f>
        <v/>
      </c>
      <c r="X106" s="564" t="str">
        <f t="shared" si="18"/>
        <v xml:space="preserve"> </v>
      </c>
      <c r="Y106" s="589"/>
      <c r="Z106" s="592"/>
      <c r="AA106" s="592"/>
      <c r="AB106" s="568"/>
      <c r="AC106" s="592"/>
      <c r="AD106" s="592"/>
      <c r="AE106" s="592"/>
      <c r="AF106" s="590"/>
      <c r="AG106" s="570" t="str">
        <f>IF(AE106&lt;&gt;0,VLOOKUP(AE106,ODDS!$A$2:$C$13,3,0),"")</f>
        <v/>
      </c>
      <c r="AH106" s="570"/>
      <c r="AI106" s="571" t="str">
        <f t="shared" si="14"/>
        <v xml:space="preserve"> </v>
      </c>
      <c r="AJ106" s="593"/>
      <c r="AK106" s="593"/>
    </row>
    <row r="107" spans="1:39" s="376" customFormat="1" ht="20.25" outlineLevel="2" x14ac:dyDescent="0.3">
      <c r="A107" s="447">
        <f>IF(B106&lt;&gt;0,B106,A106)</f>
        <v>11</v>
      </c>
      <c r="B107" s="557"/>
      <c r="C107" s="607"/>
      <c r="D107" s="587"/>
      <c r="E107" s="587"/>
      <c r="F107" s="560"/>
      <c r="G107" s="558"/>
      <c r="H107" s="588"/>
      <c r="I107" s="546"/>
      <c r="J107" s="593"/>
      <c r="K107" s="563" t="str">
        <f>IF(G107&lt;&gt;0,VLOOKUP(G107,'gia dat'!$A$1:$F$144,5,0)," ")</f>
        <v xml:space="preserve"> </v>
      </c>
      <c r="L107" s="563" t="str">
        <f>IF(G107&lt;&gt;0,VLOOKUP(G107,'gia dat'!$A$1:$F$144,6,0)," ")</f>
        <v xml:space="preserve"> </v>
      </c>
      <c r="M107" s="564" t="str">
        <f t="shared" si="16"/>
        <v xml:space="preserve"> </v>
      </c>
      <c r="N107" s="564" t="str">
        <f t="shared" si="17"/>
        <v xml:space="preserve"> </v>
      </c>
      <c r="O107" s="586"/>
      <c r="P107" s="630"/>
      <c r="Q107" s="564"/>
      <c r="R107" s="564"/>
      <c r="S107" s="586"/>
      <c r="T107" s="609"/>
      <c r="U107" s="591"/>
      <c r="V107" s="611"/>
      <c r="W107" s="564" t="str">
        <f>IF(S107&lt;&gt;0,VLOOKUP(S107,VKT!$A$2:$G$415,7,0),"")</f>
        <v/>
      </c>
      <c r="X107" s="564" t="str">
        <f t="shared" si="18"/>
        <v xml:space="preserve"> </v>
      </c>
      <c r="Y107" s="589"/>
      <c r="Z107" s="592"/>
      <c r="AA107" s="592"/>
      <c r="AB107" s="568"/>
      <c r="AC107" s="592"/>
      <c r="AD107" s="592"/>
      <c r="AE107" s="592"/>
      <c r="AF107" s="590"/>
      <c r="AG107" s="570" t="str">
        <f>IF(AE107&lt;&gt;0,VLOOKUP(AE107,ODDS!$A$2:$C$13,3,0),"")</f>
        <v/>
      </c>
      <c r="AH107" s="570"/>
      <c r="AI107" s="571" t="str">
        <f t="shared" si="14"/>
        <v xml:space="preserve"> </v>
      </c>
      <c r="AJ107" s="593"/>
      <c r="AK107" s="593"/>
    </row>
    <row r="108" spans="1:39" s="376" customFormat="1" ht="60" customHeight="1" outlineLevel="1" x14ac:dyDescent="0.3">
      <c r="A108" s="467" t="s">
        <v>2698</v>
      </c>
      <c r="B108" s="576">
        <v>12</v>
      </c>
      <c r="C108" s="607" t="s">
        <v>2167</v>
      </c>
      <c r="D108" s="595"/>
      <c r="E108" s="623"/>
      <c r="F108" s="623"/>
      <c r="G108" s="624"/>
      <c r="H108" s="625">
        <f>SUBTOTAL(9,H109:H118)</f>
        <v>0</v>
      </c>
      <c r="I108" s="579">
        <f>SUBTOTAL(9,I109:I114)</f>
        <v>0</v>
      </c>
      <c r="J108" s="624"/>
      <c r="K108" s="581"/>
      <c r="L108" s="581"/>
      <c r="M108" s="571">
        <f>SUBTOTAL(9,M109:M118)</f>
        <v>0</v>
      </c>
      <c r="N108" s="571">
        <f>SUBTOTAL(9,N109:N118)</f>
        <v>0</v>
      </c>
      <c r="O108" s="574"/>
      <c r="P108" s="599">
        <f>SUBTOTAL(9,P109:P118)</f>
        <v>8</v>
      </c>
      <c r="Q108" s="571"/>
      <c r="R108" s="571">
        <f>SUBTOTAL(9,R109:R118)</f>
        <v>7330000</v>
      </c>
      <c r="S108" s="582"/>
      <c r="T108" s="597"/>
      <c r="U108" s="600">
        <f>SUBTOTAL(9,U109:U118)</f>
        <v>76.439999999999984</v>
      </c>
      <c r="V108" s="597"/>
      <c r="W108" s="571"/>
      <c r="X108" s="571">
        <f>SUBTOTAL(9,X109:X118)</f>
        <v>38028000</v>
      </c>
      <c r="Y108" s="589"/>
      <c r="Z108" s="592"/>
      <c r="AA108" s="592"/>
      <c r="AB108" s="568"/>
      <c r="AC108" s="592"/>
      <c r="AD108" s="592"/>
      <c r="AE108" s="601"/>
      <c r="AF108" s="599">
        <f>SUBTOTAL(9,AF109:AF118)</f>
        <v>0</v>
      </c>
      <c r="AG108" s="585"/>
      <c r="AH108" s="585">
        <f>SUBTOTAL(9,AH109:AH118)</f>
        <v>0</v>
      </c>
      <c r="AI108" s="571">
        <f t="shared" si="14"/>
        <v>45358000</v>
      </c>
      <c r="AJ108" s="624"/>
      <c r="AK108" s="574"/>
      <c r="AM108" s="473"/>
    </row>
    <row r="109" spans="1:39" s="376" customFormat="1" ht="135.75" customHeight="1" outlineLevel="2" x14ac:dyDescent="0.3">
      <c r="A109" s="447">
        <f>IF(B108&lt;&gt;0,B108,A107)</f>
        <v>12</v>
      </c>
      <c r="B109" s="557"/>
      <c r="C109" s="558" t="s">
        <v>100</v>
      </c>
      <c r="D109" s="587">
        <v>7</v>
      </c>
      <c r="E109" s="627"/>
      <c r="F109" s="627"/>
      <c r="G109" s="575"/>
      <c r="H109" s="561"/>
      <c r="I109" s="546"/>
      <c r="J109" s="575"/>
      <c r="K109" s="563" t="str">
        <f>IF(G109&lt;&gt;0,VLOOKUP(G109,'gia dat'!$A$1:$F$144,5,0)," ")</f>
        <v xml:space="preserve"> </v>
      </c>
      <c r="L109" s="563" t="str">
        <f>IF(G109&lt;&gt;0,VLOOKUP(G109,'gia dat'!$A$1:$F$144,6,0)," ")</f>
        <v xml:space="preserve"> </v>
      </c>
      <c r="M109" s="564" t="str">
        <f t="shared" si="16"/>
        <v xml:space="preserve"> </v>
      </c>
      <c r="N109" s="564" t="str">
        <f t="shared" si="17"/>
        <v xml:space="preserve"> </v>
      </c>
      <c r="O109" s="558" t="s">
        <v>61</v>
      </c>
      <c r="P109" s="590">
        <v>4</v>
      </c>
      <c r="Q109" s="564">
        <f>IF(O109&lt;&gt;0,VLOOKUP(O109,'Cây trong'!$A$2:$C$246,3,0)," ")</f>
        <v>1708000</v>
      </c>
      <c r="R109" s="564">
        <f>IF(O109&lt;&gt;0,ROUND(P109*Q109,-2)," ")</f>
        <v>6832000</v>
      </c>
      <c r="S109" s="566" t="s">
        <v>2261</v>
      </c>
      <c r="T109" s="589" t="s">
        <v>53</v>
      </c>
      <c r="U109" s="591">
        <v>29.2</v>
      </c>
      <c r="V109" s="589"/>
      <c r="W109" s="564">
        <f>IF(S109&lt;&gt;0,VLOOKUP(S109,VKT!$A$2:$G$415,7,0),"")</f>
        <v>211811</v>
      </c>
      <c r="X109" s="564">
        <f t="shared" si="18"/>
        <v>6185000</v>
      </c>
      <c r="Y109" s="589"/>
      <c r="Z109" s="592"/>
      <c r="AA109" s="592"/>
      <c r="AB109" s="568"/>
      <c r="AC109" s="592"/>
      <c r="AD109" s="592"/>
      <c r="AE109" s="592"/>
      <c r="AF109" s="590"/>
      <c r="AG109" s="570" t="str">
        <f>IF(AE109&lt;&gt;0,VLOOKUP(AE109,ODDS!$A$2:$C$13,3,0),"")</f>
        <v/>
      </c>
      <c r="AH109" s="570" t="str">
        <f t="shared" si="5"/>
        <v xml:space="preserve"> </v>
      </c>
      <c r="AI109" s="571" t="str">
        <f t="shared" si="14"/>
        <v xml:space="preserve"> </v>
      </c>
      <c r="AJ109" s="575"/>
      <c r="AK109" s="558" t="s">
        <v>2450</v>
      </c>
      <c r="AM109" s="378" t="s">
        <v>2156</v>
      </c>
    </row>
    <row r="110" spans="1:39" s="376" customFormat="1" ht="134.25" customHeight="1" outlineLevel="2" x14ac:dyDescent="0.3">
      <c r="A110" s="447">
        <f t="shared" ref="A110:A118" si="23">IF(B109&lt;&gt;0,B109,A109)</f>
        <v>12</v>
      </c>
      <c r="B110" s="557"/>
      <c r="C110" s="572" t="s">
        <v>629</v>
      </c>
      <c r="D110" s="587"/>
      <c r="E110" s="587"/>
      <c r="F110" s="560"/>
      <c r="G110" s="558"/>
      <c r="H110" s="588"/>
      <c r="I110" s="546"/>
      <c r="J110" s="589"/>
      <c r="K110" s="563" t="str">
        <f>IF(G110&lt;&gt;0,VLOOKUP(G110,'gia dat'!$A$1:$F$144,5,0)," ")</f>
        <v xml:space="preserve"> </v>
      </c>
      <c r="L110" s="563" t="str">
        <f>IF(G110&lt;&gt;0,VLOOKUP(G110,'gia dat'!$A$1:$F$144,6,0)," ")</f>
        <v xml:space="preserve"> </v>
      </c>
      <c r="M110" s="564" t="str">
        <f t="shared" si="16"/>
        <v xml:space="preserve"> </v>
      </c>
      <c r="N110" s="564" t="str">
        <f t="shared" si="17"/>
        <v xml:space="preserve"> </v>
      </c>
      <c r="O110" s="558" t="s">
        <v>726</v>
      </c>
      <c r="P110" s="590">
        <v>1</v>
      </c>
      <c r="Q110" s="564">
        <f>IF(O110&lt;&gt;0,VLOOKUP(O110,'Cây trong'!$A$2:$C$246,3,0)," ")</f>
        <v>60000</v>
      </c>
      <c r="R110" s="564">
        <f t="shared" si="3"/>
        <v>60000</v>
      </c>
      <c r="S110" s="566" t="s">
        <v>2262</v>
      </c>
      <c r="T110" s="589" t="s">
        <v>53</v>
      </c>
      <c r="U110" s="591">
        <v>1.3</v>
      </c>
      <c r="V110" s="589"/>
      <c r="W110" s="564">
        <f>IF(S110&lt;&gt;0,VLOOKUP(S110,VKT!$A$2:$G$415,7,0),"")</f>
        <v>3346339</v>
      </c>
      <c r="X110" s="564">
        <f t="shared" si="18"/>
        <v>4350000</v>
      </c>
      <c r="Y110" s="589"/>
      <c r="Z110" s="568" t="s">
        <v>433</v>
      </c>
      <c r="AA110" s="592" t="s">
        <v>56</v>
      </c>
      <c r="AB110" s="568" t="s">
        <v>57</v>
      </c>
      <c r="AC110" s="592" t="s">
        <v>54</v>
      </c>
      <c r="AD110" s="592"/>
      <c r="AE110" s="592"/>
      <c r="AF110" s="590"/>
      <c r="AG110" s="570" t="str">
        <f>IF(AE110&lt;&gt;0,VLOOKUP(AE110,ODDS!$A$2:$C$13,3,0),"")</f>
        <v/>
      </c>
      <c r="AH110" s="570" t="str">
        <f t="shared" si="5"/>
        <v xml:space="preserve"> </v>
      </c>
      <c r="AI110" s="571" t="str">
        <f t="shared" si="14"/>
        <v xml:space="preserve"> </v>
      </c>
      <c r="AJ110" s="575"/>
      <c r="AK110" s="558" t="s">
        <v>2449</v>
      </c>
    </row>
    <row r="111" spans="1:39" s="376" customFormat="1" ht="137.25" customHeight="1" outlineLevel="2" x14ac:dyDescent="0.3">
      <c r="A111" s="447">
        <f t="shared" si="23"/>
        <v>12</v>
      </c>
      <c r="B111" s="557"/>
      <c r="C111" s="558" t="s">
        <v>307</v>
      </c>
      <c r="D111" s="587"/>
      <c r="E111" s="587"/>
      <c r="F111" s="560"/>
      <c r="G111" s="558"/>
      <c r="H111" s="588"/>
      <c r="I111" s="546"/>
      <c r="J111" s="589"/>
      <c r="K111" s="563" t="str">
        <f>IF(G111&lt;&gt;0,VLOOKUP(G111,'gia dat'!$A$1:$F$144,5,0)," ")</f>
        <v xml:space="preserve"> </v>
      </c>
      <c r="L111" s="563" t="str">
        <f>IF(G111&lt;&gt;0,VLOOKUP(G111,'gia dat'!$A$1:$F$144,6,0)," ")</f>
        <v xml:space="preserve"> </v>
      </c>
      <c r="M111" s="564" t="str">
        <f t="shared" si="16"/>
        <v xml:space="preserve"> </v>
      </c>
      <c r="N111" s="564" t="str">
        <f t="shared" si="17"/>
        <v xml:space="preserve"> </v>
      </c>
      <c r="O111" s="558" t="s">
        <v>352</v>
      </c>
      <c r="P111" s="590">
        <v>1</v>
      </c>
      <c r="Q111" s="564">
        <f>IF(O111&lt;&gt;0,VLOOKUP(O111,'Cây trong'!$A$2:$C$246,3,0)," ")</f>
        <v>60000</v>
      </c>
      <c r="R111" s="564">
        <f t="shared" si="3"/>
        <v>60000</v>
      </c>
      <c r="S111" s="566" t="s">
        <v>2263</v>
      </c>
      <c r="T111" s="589" t="s">
        <v>53</v>
      </c>
      <c r="U111" s="591">
        <v>22.88</v>
      </c>
      <c r="V111" s="589"/>
      <c r="W111" s="564">
        <f>IF(S111&lt;&gt;0,VLOOKUP(S111,VKT!$A$2:$G$415,7,0),"")</f>
        <v>791229</v>
      </c>
      <c r="X111" s="564">
        <f t="shared" si="18"/>
        <v>18103000</v>
      </c>
      <c r="Y111" s="589"/>
      <c r="Z111" s="592"/>
      <c r="AA111" s="592"/>
      <c r="AB111" s="568"/>
      <c r="AC111" s="592"/>
      <c r="AD111" s="592"/>
      <c r="AE111" s="592"/>
      <c r="AF111" s="590"/>
      <c r="AG111" s="570" t="str">
        <f>IF(AE111&lt;&gt;0,VLOOKUP(AE111,ODDS!$A$2:$C$13,3,0),"")</f>
        <v/>
      </c>
      <c r="AH111" s="570" t="str">
        <f t="shared" si="5"/>
        <v xml:space="preserve"> </v>
      </c>
      <c r="AI111" s="571" t="str">
        <f t="shared" si="14"/>
        <v xml:space="preserve"> </v>
      </c>
      <c r="AJ111" s="593"/>
      <c r="AK111" s="558" t="s">
        <v>2800</v>
      </c>
    </row>
    <row r="112" spans="1:39" s="376" customFormat="1" ht="75.75" customHeight="1" outlineLevel="2" x14ac:dyDescent="0.3">
      <c r="A112" s="447">
        <f t="shared" si="23"/>
        <v>12</v>
      </c>
      <c r="B112" s="557"/>
      <c r="C112" s="558"/>
      <c r="D112" s="587"/>
      <c r="E112" s="587"/>
      <c r="F112" s="560"/>
      <c r="G112" s="558"/>
      <c r="H112" s="588"/>
      <c r="I112" s="546"/>
      <c r="J112" s="589"/>
      <c r="K112" s="563" t="str">
        <f>IF(G112&lt;&gt;0,VLOOKUP(G112,'gia dat'!$A$1:$F$144,5,0)," ")</f>
        <v xml:space="preserve"> </v>
      </c>
      <c r="L112" s="563" t="str">
        <f>IF(G112&lt;&gt;0,VLOOKUP(G112,'gia dat'!$A$1:$F$144,6,0)," ")</f>
        <v xml:space="preserve"> </v>
      </c>
      <c r="M112" s="564" t="str">
        <f t="shared" si="16"/>
        <v xml:space="preserve"> </v>
      </c>
      <c r="N112" s="564" t="str">
        <f t="shared" si="17"/>
        <v xml:space="preserve"> </v>
      </c>
      <c r="O112" s="558" t="s">
        <v>729</v>
      </c>
      <c r="P112" s="590">
        <v>1</v>
      </c>
      <c r="Q112" s="564">
        <f>IF(O112&lt;&gt;0,VLOOKUP(O112,'Cây trong'!$A$2:$C$246,3,0)," ")</f>
        <v>150000</v>
      </c>
      <c r="R112" s="564">
        <f t="shared" si="3"/>
        <v>150000</v>
      </c>
      <c r="S112" s="566" t="s">
        <v>2264</v>
      </c>
      <c r="T112" s="589" t="s">
        <v>101</v>
      </c>
      <c r="U112" s="591">
        <v>12</v>
      </c>
      <c r="V112" s="589"/>
      <c r="W112" s="564">
        <f>IF(S112&lt;&gt;0,VLOOKUP(S112,VKT!$A$2:$G$415,7,0),"")</f>
        <v>538142</v>
      </c>
      <c r="X112" s="564">
        <f t="shared" si="18"/>
        <v>6458000</v>
      </c>
      <c r="Y112" s="589"/>
      <c r="Z112" s="592"/>
      <c r="AA112" s="592"/>
      <c r="AB112" s="568"/>
      <c r="AC112" s="592"/>
      <c r="AD112" s="592"/>
      <c r="AE112" s="592"/>
      <c r="AF112" s="590"/>
      <c r="AG112" s="570" t="str">
        <f>IF(AE112&lt;&gt;0,VLOOKUP(AE112,ODDS!$A$2:$C$13,3,0),"")</f>
        <v/>
      </c>
      <c r="AH112" s="570" t="str">
        <f t="shared" si="5"/>
        <v xml:space="preserve"> </v>
      </c>
      <c r="AI112" s="571" t="str">
        <f t="shared" si="14"/>
        <v xml:space="preserve"> </v>
      </c>
      <c r="AJ112" s="575"/>
      <c r="AK112" s="593"/>
    </row>
    <row r="113" spans="1:39" s="376" customFormat="1" ht="64.5" customHeight="1" outlineLevel="2" x14ac:dyDescent="0.3">
      <c r="A113" s="447">
        <f t="shared" si="23"/>
        <v>12</v>
      </c>
      <c r="B113" s="557"/>
      <c r="C113" s="607"/>
      <c r="D113" s="594"/>
      <c r="E113" s="595"/>
      <c r="F113" s="577"/>
      <c r="G113" s="574"/>
      <c r="H113" s="588"/>
      <c r="I113" s="546"/>
      <c r="J113" s="608"/>
      <c r="K113" s="563" t="str">
        <f>IF(G113&lt;&gt;0,VLOOKUP(G113,'gia dat'!$A$1:$F$144,5,0)," ")</f>
        <v xml:space="preserve"> </v>
      </c>
      <c r="L113" s="563" t="str">
        <f>IF(G113&lt;&gt;0,VLOOKUP(G113,'gia dat'!$A$1:$F$144,6,0)," ")</f>
        <v xml:space="preserve"> </v>
      </c>
      <c r="M113" s="564" t="str">
        <f t="shared" si="16"/>
        <v xml:space="preserve"> </v>
      </c>
      <c r="N113" s="564" t="str">
        <f t="shared" si="17"/>
        <v xml:space="preserve"> </v>
      </c>
      <c r="O113" s="586" t="s">
        <v>400</v>
      </c>
      <c r="P113" s="590">
        <v>1</v>
      </c>
      <c r="Q113" s="564">
        <f>IF(O113&lt;&gt;0,VLOOKUP(O113,'Cây trong'!$A$2:$C$246,3,0)," ")</f>
        <v>228000</v>
      </c>
      <c r="R113" s="564">
        <f t="shared" si="3"/>
        <v>228000</v>
      </c>
      <c r="S113" s="586" t="s">
        <v>2265</v>
      </c>
      <c r="T113" s="589" t="s">
        <v>101</v>
      </c>
      <c r="U113" s="591">
        <v>6</v>
      </c>
      <c r="V113" s="597"/>
      <c r="W113" s="564">
        <f>IF(S113&lt;&gt;0,VLOOKUP(S113,VKT!$A$2:$G$415,7,0),"")</f>
        <v>75574</v>
      </c>
      <c r="X113" s="564">
        <f t="shared" si="18"/>
        <v>453000</v>
      </c>
      <c r="Y113" s="580"/>
      <c r="Z113" s="601"/>
      <c r="AA113" s="601"/>
      <c r="AB113" s="584"/>
      <c r="AC113" s="601"/>
      <c r="AD113" s="601"/>
      <c r="AE113" s="601"/>
      <c r="AF113" s="599"/>
      <c r="AG113" s="570" t="str">
        <f>IF(AE113&lt;&gt;0,VLOOKUP(AE113,ODDS!$A$2:$C$13,3,0),"")</f>
        <v/>
      </c>
      <c r="AH113" s="570" t="str">
        <f t="shared" si="5"/>
        <v xml:space="preserve"> </v>
      </c>
      <c r="AI113" s="571" t="str">
        <f t="shared" si="14"/>
        <v xml:space="preserve"> </v>
      </c>
      <c r="AJ113" s="575"/>
      <c r="AK113" s="608"/>
    </row>
    <row r="114" spans="1:39" s="376" customFormat="1" ht="96" customHeight="1" outlineLevel="2" x14ac:dyDescent="0.3">
      <c r="A114" s="447">
        <f t="shared" si="23"/>
        <v>12</v>
      </c>
      <c r="B114" s="557"/>
      <c r="C114" s="607"/>
      <c r="D114" s="594"/>
      <c r="E114" s="595"/>
      <c r="F114" s="577"/>
      <c r="G114" s="574"/>
      <c r="H114" s="588"/>
      <c r="I114" s="546"/>
      <c r="J114" s="608"/>
      <c r="K114" s="563" t="str">
        <f>IF(G114&lt;&gt;0,VLOOKUP(G114,'gia dat'!$A$1:$F$144,5,0)," ")</f>
        <v xml:space="preserve"> </v>
      </c>
      <c r="L114" s="563" t="str">
        <f>IF(G114&lt;&gt;0,VLOOKUP(G114,'gia dat'!$A$1:$F$144,6,0)," ")</f>
        <v xml:space="preserve"> </v>
      </c>
      <c r="M114" s="564" t="str">
        <f t="shared" si="16"/>
        <v xml:space="preserve"> </v>
      </c>
      <c r="N114" s="564" t="str">
        <f t="shared" si="17"/>
        <v xml:space="preserve"> </v>
      </c>
      <c r="O114" s="586"/>
      <c r="P114" s="590"/>
      <c r="Q114" s="564" t="str">
        <f>IF(O114&lt;&gt;0,VLOOKUP(O114,'Cây trong'!$A$2:$C$246,3,0)," ")</f>
        <v xml:space="preserve"> </v>
      </c>
      <c r="R114" s="564" t="str">
        <f t="shared" si="3"/>
        <v xml:space="preserve"> </v>
      </c>
      <c r="S114" s="586" t="s">
        <v>2266</v>
      </c>
      <c r="T114" s="589" t="s">
        <v>53</v>
      </c>
      <c r="U114" s="591">
        <v>4.8</v>
      </c>
      <c r="V114" s="597"/>
      <c r="W114" s="564">
        <f>IF(S114&lt;&gt;0,VLOOKUP(S114,VKT!$A$2:$G$415,7,0),"")</f>
        <v>441467</v>
      </c>
      <c r="X114" s="564">
        <f t="shared" si="18"/>
        <v>2119000</v>
      </c>
      <c r="Y114" s="580"/>
      <c r="Z114" s="601"/>
      <c r="AA114" s="601"/>
      <c r="AB114" s="584"/>
      <c r="AC114" s="601"/>
      <c r="AD114" s="601"/>
      <c r="AE114" s="601"/>
      <c r="AF114" s="599"/>
      <c r="AG114" s="570" t="str">
        <f>IF(AE114&lt;&gt;0,VLOOKUP(AE114,ODDS!$A$2:$C$13,3,0),"")</f>
        <v/>
      </c>
      <c r="AH114" s="570" t="str">
        <f t="shared" si="5"/>
        <v xml:space="preserve"> </v>
      </c>
      <c r="AI114" s="571" t="str">
        <f t="shared" si="14"/>
        <v xml:space="preserve"> </v>
      </c>
      <c r="AJ114" s="608"/>
      <c r="AK114" s="608"/>
    </row>
    <row r="115" spans="1:39" s="376" customFormat="1" ht="57" customHeight="1" outlineLevel="2" x14ac:dyDescent="0.3">
      <c r="A115" s="447">
        <f t="shared" si="23"/>
        <v>12</v>
      </c>
      <c r="B115" s="557"/>
      <c r="C115" s="607"/>
      <c r="D115" s="587"/>
      <c r="E115" s="587"/>
      <c r="F115" s="615"/>
      <c r="G115" s="558"/>
      <c r="H115" s="604"/>
      <c r="I115" s="546"/>
      <c r="J115" s="593"/>
      <c r="K115" s="563" t="str">
        <f>IF(G115&lt;&gt;0,VLOOKUP(G115,'gia dat'!$A$1:$F$144,5,0)," ")</f>
        <v xml:space="preserve"> </v>
      </c>
      <c r="L115" s="563" t="str">
        <f>IF(G115&lt;&gt;0,VLOOKUP(G115,'gia dat'!$A$1:$F$144,6,0)," ")</f>
        <v xml:space="preserve"> </v>
      </c>
      <c r="M115" s="564" t="str">
        <f t="shared" si="16"/>
        <v xml:space="preserve"> </v>
      </c>
      <c r="N115" s="564" t="str">
        <f t="shared" si="17"/>
        <v xml:space="preserve"> </v>
      </c>
      <c r="O115" s="593"/>
      <c r="P115" s="616"/>
      <c r="Q115" s="564" t="str">
        <f>IF(O115&lt;&gt;0,VLOOKUP(O115,'Cây trong'!$A$2:$C$246,3,0)," ")</f>
        <v xml:space="preserve"> </v>
      </c>
      <c r="R115" s="564" t="str">
        <f t="shared" si="3"/>
        <v xml:space="preserve"> </v>
      </c>
      <c r="S115" s="558" t="s">
        <v>2267</v>
      </c>
      <c r="T115" s="589" t="s">
        <v>78</v>
      </c>
      <c r="U115" s="591">
        <v>0.1</v>
      </c>
      <c r="V115" s="589"/>
      <c r="W115" s="564">
        <f>IF(S115&lt;&gt;0,VLOOKUP(S115,VKT!$A$2:$G$415,7,0),"")</f>
        <v>3192796</v>
      </c>
      <c r="X115" s="564">
        <f t="shared" si="18"/>
        <v>319000</v>
      </c>
      <c r="Y115" s="589"/>
      <c r="Z115" s="589"/>
      <c r="AA115" s="589"/>
      <c r="AB115" s="562"/>
      <c r="AC115" s="589"/>
      <c r="AD115" s="589"/>
      <c r="AE115" s="589"/>
      <c r="AF115" s="629"/>
      <c r="AG115" s="570" t="str">
        <f>IF(AE115&lt;&gt;0,VLOOKUP(AE115,ODDS!$A$2:$C$13,3,0),"")</f>
        <v/>
      </c>
      <c r="AH115" s="570" t="str">
        <f t="shared" si="5"/>
        <v xml:space="preserve"> </v>
      </c>
      <c r="AI115" s="571" t="str">
        <f t="shared" si="14"/>
        <v xml:space="preserve"> </v>
      </c>
      <c r="AJ115" s="593"/>
      <c r="AK115" s="593"/>
    </row>
    <row r="116" spans="1:39" s="376" customFormat="1" ht="66" customHeight="1" outlineLevel="2" x14ac:dyDescent="0.3">
      <c r="A116" s="447">
        <f t="shared" si="23"/>
        <v>12</v>
      </c>
      <c r="B116" s="557"/>
      <c r="C116" s="607"/>
      <c r="D116" s="587"/>
      <c r="E116" s="587"/>
      <c r="F116" s="615"/>
      <c r="G116" s="558"/>
      <c r="H116" s="604"/>
      <c r="I116" s="546"/>
      <c r="J116" s="593"/>
      <c r="K116" s="563" t="str">
        <f>IF(G116&lt;&gt;0,VLOOKUP(G116,'gia dat'!$A$1:$F$144,5,0)," ")</f>
        <v xml:space="preserve"> </v>
      </c>
      <c r="L116" s="563" t="str">
        <f>IF(G116&lt;&gt;0,VLOOKUP(G116,'gia dat'!$A$1:$F$144,6,0)," ")</f>
        <v xml:space="preserve"> </v>
      </c>
      <c r="M116" s="564" t="str">
        <f t="shared" si="16"/>
        <v xml:space="preserve"> </v>
      </c>
      <c r="N116" s="564" t="str">
        <f t="shared" si="17"/>
        <v xml:space="preserve"> </v>
      </c>
      <c r="O116" s="593"/>
      <c r="P116" s="616"/>
      <c r="Q116" s="564" t="str">
        <f>IF(O116&lt;&gt;0,VLOOKUP(O116,'Cây trong'!$A$2:$C$246,3,0)," ")</f>
        <v xml:space="preserve"> </v>
      </c>
      <c r="R116" s="564" t="str">
        <f t="shared" si="3"/>
        <v xml:space="preserve"> </v>
      </c>
      <c r="S116" s="558" t="s">
        <v>2268</v>
      </c>
      <c r="T116" s="589" t="s">
        <v>53</v>
      </c>
      <c r="U116" s="591">
        <v>0.16</v>
      </c>
      <c r="V116" s="589"/>
      <c r="W116" s="564">
        <f>IF(S116&lt;&gt;0,VLOOKUP(S116,VKT!$A$2:$G$415,7,0),"")</f>
        <v>254982</v>
      </c>
      <c r="X116" s="564">
        <f t="shared" si="18"/>
        <v>41000</v>
      </c>
      <c r="Y116" s="589"/>
      <c r="Z116" s="589"/>
      <c r="AA116" s="589"/>
      <c r="AB116" s="562"/>
      <c r="AC116" s="589"/>
      <c r="AD116" s="589"/>
      <c r="AE116" s="589"/>
      <c r="AF116" s="629"/>
      <c r="AG116" s="570" t="str">
        <f>IF(AE116&lt;&gt;0,VLOOKUP(AE116,ODDS!$A$2:$C$13,3,0),"")</f>
        <v/>
      </c>
      <c r="AH116" s="570" t="str">
        <f t="shared" si="5"/>
        <v xml:space="preserve"> </v>
      </c>
      <c r="AI116" s="571" t="str">
        <f t="shared" si="14"/>
        <v xml:space="preserve"> </v>
      </c>
      <c r="AJ116" s="593"/>
      <c r="AK116" s="593"/>
    </row>
    <row r="117" spans="1:39" s="376" customFormat="1" ht="20.25" outlineLevel="2" x14ac:dyDescent="0.3">
      <c r="A117" s="447">
        <f t="shared" si="23"/>
        <v>12</v>
      </c>
      <c r="B117" s="557"/>
      <c r="C117" s="572"/>
      <c r="D117" s="587"/>
      <c r="E117" s="587"/>
      <c r="F117" s="615"/>
      <c r="G117" s="558"/>
      <c r="H117" s="604"/>
      <c r="I117" s="546"/>
      <c r="J117" s="593"/>
      <c r="K117" s="563" t="str">
        <f>IF(G117&lt;&gt;0,VLOOKUP(G117,'gia dat'!$A$1:$F$144,5,0)," ")</f>
        <v xml:space="preserve"> </v>
      </c>
      <c r="L117" s="563" t="str">
        <f>IF(G117&lt;&gt;0,VLOOKUP(G117,'gia dat'!$A$1:$F$144,6,0)," ")</f>
        <v xml:space="preserve"> </v>
      </c>
      <c r="M117" s="564" t="str">
        <f t="shared" si="16"/>
        <v xml:space="preserve"> </v>
      </c>
      <c r="N117" s="564" t="str">
        <f t="shared" si="17"/>
        <v xml:space="preserve"> </v>
      </c>
      <c r="O117" s="593"/>
      <c r="P117" s="616"/>
      <c r="Q117" s="564" t="str">
        <f>IF(O117&lt;&gt;0,VLOOKUP(O117,'Cây trong'!$A$2:$C$246,3,0)," ")</f>
        <v xml:space="preserve"> </v>
      </c>
      <c r="R117" s="564" t="str">
        <f t="shared" si="3"/>
        <v xml:space="preserve"> </v>
      </c>
      <c r="S117" s="593"/>
      <c r="T117" s="589"/>
      <c r="U117" s="591"/>
      <c r="V117" s="589"/>
      <c r="W117" s="564" t="str">
        <f>IF(S117&lt;&gt;0,VLOOKUP(S117,VKT!$A$2:$G$415,7,0),"")</f>
        <v/>
      </c>
      <c r="X117" s="564" t="str">
        <f t="shared" si="18"/>
        <v xml:space="preserve"> </v>
      </c>
      <c r="Y117" s="589"/>
      <c r="Z117" s="589"/>
      <c r="AA117" s="589"/>
      <c r="AB117" s="562"/>
      <c r="AC117" s="589"/>
      <c r="AD117" s="589"/>
      <c r="AE117" s="589"/>
      <c r="AF117" s="629"/>
      <c r="AG117" s="570" t="str">
        <f>IF(AE117&lt;&gt;0,VLOOKUP(AE117,ODDS!$A$2:$C$13,3,0),"")</f>
        <v/>
      </c>
      <c r="AH117" s="570" t="str">
        <f t="shared" si="5"/>
        <v xml:space="preserve"> </v>
      </c>
      <c r="AI117" s="571" t="str">
        <f t="shared" si="14"/>
        <v xml:space="preserve"> </v>
      </c>
      <c r="AJ117" s="593"/>
      <c r="AK117" s="593"/>
    </row>
    <row r="118" spans="1:39" s="376" customFormat="1" ht="20.25" outlineLevel="2" x14ac:dyDescent="0.3">
      <c r="A118" s="447">
        <f t="shared" si="23"/>
        <v>12</v>
      </c>
      <c r="B118" s="557"/>
      <c r="C118" s="607"/>
      <c r="D118" s="587"/>
      <c r="E118" s="587"/>
      <c r="F118" s="560"/>
      <c r="G118" s="558"/>
      <c r="H118" s="588"/>
      <c r="I118" s="546"/>
      <c r="J118" s="593"/>
      <c r="K118" s="563" t="str">
        <f>IF(G118&lt;&gt;0,VLOOKUP(G118,'gia dat'!$A$1:$F$144,5,0)," ")</f>
        <v xml:space="preserve"> </v>
      </c>
      <c r="L118" s="563" t="str">
        <f>IF(G118&lt;&gt;0,VLOOKUP(G118,'gia dat'!$A$1:$F$144,6,0)," ")</f>
        <v xml:space="preserve"> </v>
      </c>
      <c r="M118" s="564" t="str">
        <f t="shared" si="16"/>
        <v xml:space="preserve"> </v>
      </c>
      <c r="N118" s="564" t="str">
        <f t="shared" si="17"/>
        <v xml:space="preserve"> </v>
      </c>
      <c r="O118" s="586"/>
      <c r="P118" s="630"/>
      <c r="Q118" s="564" t="str">
        <f>IF(O118&lt;&gt;0,VLOOKUP(O118,'Cây trong'!$A$2:$C$246,3,0)," ")</f>
        <v xml:space="preserve"> </v>
      </c>
      <c r="R118" s="564" t="str">
        <f t="shared" si="3"/>
        <v xml:space="preserve"> </v>
      </c>
      <c r="S118" s="586"/>
      <c r="T118" s="609"/>
      <c r="U118" s="591"/>
      <c r="V118" s="611"/>
      <c r="W118" s="564" t="str">
        <f>IF(S118&lt;&gt;0,VLOOKUP(S118,VKT!$A$2:$G$415,7,0),"")</f>
        <v/>
      </c>
      <c r="X118" s="564" t="str">
        <f t="shared" si="18"/>
        <v xml:space="preserve"> </v>
      </c>
      <c r="Y118" s="589"/>
      <c r="Z118" s="592"/>
      <c r="AA118" s="592"/>
      <c r="AB118" s="568"/>
      <c r="AC118" s="592"/>
      <c r="AD118" s="592"/>
      <c r="AE118" s="592"/>
      <c r="AF118" s="590"/>
      <c r="AG118" s="570" t="str">
        <f>IF(AE118&lt;&gt;0,VLOOKUP(AE118,ODDS!$A$2:$C$13,3,0),"")</f>
        <v/>
      </c>
      <c r="AH118" s="570" t="str">
        <f t="shared" si="5"/>
        <v xml:space="preserve"> </v>
      </c>
      <c r="AI118" s="571" t="str">
        <f t="shared" si="14"/>
        <v xml:space="preserve"> </v>
      </c>
      <c r="AJ118" s="593"/>
      <c r="AK118" s="593"/>
    </row>
    <row r="119" spans="1:39" s="376" customFormat="1" ht="60" customHeight="1" outlineLevel="1" x14ac:dyDescent="0.3">
      <c r="A119" s="467" t="s">
        <v>2697</v>
      </c>
      <c r="B119" s="576">
        <v>13</v>
      </c>
      <c r="C119" s="607" t="s">
        <v>2168</v>
      </c>
      <c r="D119" s="595"/>
      <c r="E119" s="623"/>
      <c r="F119" s="623"/>
      <c r="G119" s="624"/>
      <c r="H119" s="625">
        <f>SUBTOTAL(9,H120:H125)</f>
        <v>0</v>
      </c>
      <c r="I119" s="579">
        <f>SUBTOTAL(9,I120:I125)</f>
        <v>0</v>
      </c>
      <c r="J119" s="597"/>
      <c r="K119" s="581"/>
      <c r="L119" s="581"/>
      <c r="M119" s="571">
        <f>SUBTOTAL(9,M120:M125)</f>
        <v>0</v>
      </c>
      <c r="N119" s="571">
        <f>SUBTOTAL(9,N120:N125)</f>
        <v>0</v>
      </c>
      <c r="O119" s="598"/>
      <c r="P119" s="599">
        <f>SUBTOTAL(9,P120:P125)</f>
        <v>0</v>
      </c>
      <c r="Q119" s="571"/>
      <c r="R119" s="571">
        <f>SUBTOTAL(9,R120:R125)</f>
        <v>0</v>
      </c>
      <c r="S119" s="582"/>
      <c r="T119" s="597"/>
      <c r="U119" s="600">
        <f>SUBTOTAL(9,U120:U125)</f>
        <v>9.4</v>
      </c>
      <c r="V119" s="597"/>
      <c r="W119" s="571"/>
      <c r="X119" s="571">
        <f>SUBTOTAL(9,X120:X125)</f>
        <v>1991000</v>
      </c>
      <c r="Y119" s="589"/>
      <c r="Z119" s="592"/>
      <c r="AA119" s="592"/>
      <c r="AB119" s="568"/>
      <c r="AC119" s="592"/>
      <c r="AD119" s="592"/>
      <c r="AE119" s="601"/>
      <c r="AF119" s="599">
        <f>SUBTOTAL(9,AF120:AF125)</f>
        <v>0</v>
      </c>
      <c r="AG119" s="585"/>
      <c r="AH119" s="585">
        <f>SUBTOTAL(9,AH120:AH125)</f>
        <v>0</v>
      </c>
      <c r="AI119" s="571">
        <f t="shared" si="14"/>
        <v>1991000</v>
      </c>
      <c r="AJ119" s="624"/>
      <c r="AK119" s="574"/>
      <c r="AM119" s="473"/>
    </row>
    <row r="120" spans="1:39" s="376" customFormat="1" ht="143.25" customHeight="1" outlineLevel="2" x14ac:dyDescent="0.3">
      <c r="A120" s="447">
        <f>IF(B119&lt;&gt;0,B119,A118)</f>
        <v>13</v>
      </c>
      <c r="B120" s="557"/>
      <c r="C120" s="558" t="s">
        <v>103</v>
      </c>
      <c r="D120" s="587">
        <v>2</v>
      </c>
      <c r="E120" s="627"/>
      <c r="F120" s="627"/>
      <c r="G120" s="575"/>
      <c r="H120" s="561"/>
      <c r="I120" s="546"/>
      <c r="J120" s="589"/>
      <c r="K120" s="563" t="str">
        <f>IF(G120&lt;&gt;0,VLOOKUP(G120,'gia dat'!$A$1:$F$144,5,0)," ")</f>
        <v xml:space="preserve"> </v>
      </c>
      <c r="L120" s="563" t="str">
        <f>IF(G120&lt;&gt;0,VLOOKUP(G120,'gia dat'!$A$1:$F$144,6,0)," ")</f>
        <v xml:space="preserve"> </v>
      </c>
      <c r="M120" s="564" t="str">
        <f t="shared" si="16"/>
        <v xml:space="preserve"> </v>
      </c>
      <c r="N120" s="564" t="str">
        <f t="shared" si="17"/>
        <v xml:space="preserve"> </v>
      </c>
      <c r="O120" s="565"/>
      <c r="P120" s="590"/>
      <c r="Q120" s="564" t="str">
        <f>IF(O120&lt;&gt;0,VLOOKUP(O120,'Cây trong'!$A$2:$C$246,3,0)," ")</f>
        <v xml:space="preserve"> </v>
      </c>
      <c r="R120" s="564" t="str">
        <f t="shared" si="3"/>
        <v xml:space="preserve"> </v>
      </c>
      <c r="S120" s="566" t="s">
        <v>1749</v>
      </c>
      <c r="T120" s="589" t="s">
        <v>53</v>
      </c>
      <c r="U120" s="591">
        <v>9.4</v>
      </c>
      <c r="V120" s="589"/>
      <c r="W120" s="564">
        <f>IF(S120&lt;&gt;0,VLOOKUP(S120,VKT!$A$2:$G$415,7,0),"")</f>
        <v>211811</v>
      </c>
      <c r="X120" s="564">
        <f t="shared" si="18"/>
        <v>1991000</v>
      </c>
      <c r="Y120" s="589"/>
      <c r="Z120" s="592"/>
      <c r="AA120" s="592"/>
      <c r="AB120" s="568"/>
      <c r="AC120" s="592"/>
      <c r="AD120" s="592"/>
      <c r="AE120" s="592"/>
      <c r="AF120" s="590"/>
      <c r="AG120" s="570" t="str">
        <f>IF(AE120&lt;&gt;0,VLOOKUP(AE120,ODDS!$A$2:$C$13,3,0),"")</f>
        <v/>
      </c>
      <c r="AH120" s="570" t="str">
        <f t="shared" si="5"/>
        <v xml:space="preserve"> </v>
      </c>
      <c r="AI120" s="571" t="str">
        <f t="shared" si="14"/>
        <v xml:space="preserve"> </v>
      </c>
      <c r="AJ120" s="575"/>
      <c r="AK120" s="558" t="s">
        <v>2450</v>
      </c>
      <c r="AM120" s="378" t="s">
        <v>2157</v>
      </c>
    </row>
    <row r="121" spans="1:39" s="376" customFormat="1" ht="116.25" customHeight="1" outlineLevel="2" x14ac:dyDescent="0.3">
      <c r="A121" s="447">
        <f>IF(B120&lt;&gt;0,B120,A120)</f>
        <v>13</v>
      </c>
      <c r="B121" s="557"/>
      <c r="C121" s="572" t="s">
        <v>634</v>
      </c>
      <c r="D121" s="594"/>
      <c r="E121" s="595"/>
      <c r="F121" s="577"/>
      <c r="G121" s="574"/>
      <c r="H121" s="588"/>
      <c r="I121" s="546"/>
      <c r="J121" s="608"/>
      <c r="K121" s="563" t="str">
        <f>IF(G121&lt;&gt;0,VLOOKUP(G121,'gia dat'!$A$1:$F$144,5,0)," ")</f>
        <v xml:space="preserve"> </v>
      </c>
      <c r="L121" s="563" t="str">
        <f>IF(G121&lt;&gt;0,VLOOKUP(G121,'gia dat'!$A$1:$F$144,6,0)," ")</f>
        <v xml:space="preserve"> </v>
      </c>
      <c r="M121" s="564" t="str">
        <f t="shared" si="16"/>
        <v xml:space="preserve"> </v>
      </c>
      <c r="N121" s="564" t="str">
        <f t="shared" si="17"/>
        <v xml:space="preserve"> </v>
      </c>
      <c r="O121" s="578"/>
      <c r="P121" s="590"/>
      <c r="Q121" s="564" t="str">
        <f>IF(O121&lt;&gt;0,VLOOKUP(O121,'Cây trong'!$A$2:$C$246,3,0)," ")</f>
        <v xml:space="preserve"> </v>
      </c>
      <c r="R121" s="564" t="str">
        <f t="shared" si="3"/>
        <v xml:space="preserve"> </v>
      </c>
      <c r="S121" s="578"/>
      <c r="T121" s="621"/>
      <c r="U121" s="591"/>
      <c r="V121" s="597"/>
      <c r="W121" s="564" t="str">
        <f>IF(S121&lt;&gt;0,VLOOKUP(S121,VKT!$A$2:$G$415,7,0),"")</f>
        <v/>
      </c>
      <c r="X121" s="564" t="str">
        <f t="shared" si="18"/>
        <v xml:space="preserve"> </v>
      </c>
      <c r="Y121" s="597"/>
      <c r="Z121" s="601"/>
      <c r="AA121" s="601"/>
      <c r="AB121" s="584"/>
      <c r="AC121" s="601"/>
      <c r="AD121" s="601"/>
      <c r="AE121" s="601"/>
      <c r="AF121" s="599"/>
      <c r="AG121" s="570" t="str">
        <f>IF(AE121&lt;&gt;0,VLOOKUP(AE121,ODDS!$A$2:$C$13,3,0),"")</f>
        <v/>
      </c>
      <c r="AH121" s="570" t="str">
        <f t="shared" si="5"/>
        <v xml:space="preserve"> </v>
      </c>
      <c r="AI121" s="571" t="str">
        <f t="shared" si="14"/>
        <v xml:space="preserve"> </v>
      </c>
      <c r="AJ121" s="575"/>
      <c r="AK121" s="558"/>
    </row>
    <row r="122" spans="1:39" s="376" customFormat="1" ht="20.25" outlineLevel="2" x14ac:dyDescent="0.3">
      <c r="A122" s="447">
        <f>IF(B121&lt;&gt;0,B121,A121)</f>
        <v>13</v>
      </c>
      <c r="B122" s="557"/>
      <c r="C122" s="572"/>
      <c r="D122" s="587"/>
      <c r="E122" s="587"/>
      <c r="F122" s="615"/>
      <c r="G122" s="558"/>
      <c r="H122" s="604"/>
      <c r="I122" s="546"/>
      <c r="J122" s="593"/>
      <c r="K122" s="563" t="str">
        <f>IF(G122&lt;&gt;0,VLOOKUP(G122,'gia dat'!$A$1:$F$144,5,0)," ")</f>
        <v xml:space="preserve"> </v>
      </c>
      <c r="L122" s="563" t="str">
        <f>IF(G122&lt;&gt;0,VLOOKUP(G122,'gia dat'!$A$1:$F$144,6,0)," ")</f>
        <v xml:space="preserve"> </v>
      </c>
      <c r="M122" s="564" t="str">
        <f t="shared" si="16"/>
        <v xml:space="preserve"> </v>
      </c>
      <c r="N122" s="564" t="str">
        <f t="shared" si="17"/>
        <v xml:space="preserve"> </v>
      </c>
      <c r="O122" s="593"/>
      <c r="P122" s="616"/>
      <c r="Q122" s="564" t="str">
        <f>IF(O122&lt;&gt;0,VLOOKUP(O122,'Cây trong'!$A$2:$C$246,3,0)," ")</f>
        <v xml:space="preserve"> </v>
      </c>
      <c r="R122" s="564" t="str">
        <f t="shared" si="3"/>
        <v xml:space="preserve"> </v>
      </c>
      <c r="S122" s="593"/>
      <c r="T122" s="593"/>
      <c r="U122" s="617"/>
      <c r="V122" s="589"/>
      <c r="W122" s="564" t="str">
        <f>IF(S122&lt;&gt;0,VLOOKUP(S122,VKT!$A$2:$G$415,7,0),"")</f>
        <v/>
      </c>
      <c r="X122" s="564" t="str">
        <f t="shared" si="18"/>
        <v xml:space="preserve"> </v>
      </c>
      <c r="Y122" s="589"/>
      <c r="Z122" s="589"/>
      <c r="AA122" s="589"/>
      <c r="AB122" s="562"/>
      <c r="AC122" s="589"/>
      <c r="AD122" s="589"/>
      <c r="AE122" s="589"/>
      <c r="AF122" s="629"/>
      <c r="AG122" s="570" t="str">
        <f>IF(AE122&lt;&gt;0,VLOOKUP(AE122,ODDS!$A$2:$C$13,3,0),"")</f>
        <v/>
      </c>
      <c r="AH122" s="570" t="str">
        <f t="shared" si="5"/>
        <v xml:space="preserve"> </v>
      </c>
      <c r="AI122" s="571" t="str">
        <f t="shared" si="14"/>
        <v xml:space="preserve"> </v>
      </c>
      <c r="AJ122" s="593"/>
      <c r="AK122" s="593"/>
    </row>
    <row r="123" spans="1:39" s="376" customFormat="1" ht="20.25" outlineLevel="2" x14ac:dyDescent="0.3">
      <c r="A123" s="447">
        <f>IF(B122&lt;&gt;0,B122,A122)</f>
        <v>13</v>
      </c>
      <c r="B123" s="557"/>
      <c r="C123" s="572"/>
      <c r="D123" s="603"/>
      <c r="E123" s="587"/>
      <c r="F123" s="560"/>
      <c r="G123" s="558"/>
      <c r="H123" s="588"/>
      <c r="I123" s="546"/>
      <c r="J123" s="593"/>
      <c r="K123" s="563" t="str">
        <f>IF(G123&lt;&gt;0,VLOOKUP(G123,'gia dat'!$A$1:$F$144,5,0)," ")</f>
        <v xml:space="preserve"> </v>
      </c>
      <c r="L123" s="563" t="str">
        <f>IF(G123&lt;&gt;0,VLOOKUP(G123,'gia dat'!$A$1:$F$144,6,0)," ")</f>
        <v xml:space="preserve"> </v>
      </c>
      <c r="M123" s="564" t="str">
        <f t="shared" si="16"/>
        <v xml:space="preserve"> </v>
      </c>
      <c r="N123" s="564" t="str">
        <f t="shared" si="17"/>
        <v xml:space="preserve"> </v>
      </c>
      <c r="O123" s="586"/>
      <c r="P123" s="590"/>
      <c r="Q123" s="564" t="str">
        <f>IF(O123&lt;&gt;0,VLOOKUP(O123,'Cây trong'!$A$2:$C$246,3,0)," ")</f>
        <v xml:space="preserve"> </v>
      </c>
      <c r="R123" s="564" t="str">
        <f t="shared" si="3"/>
        <v xml:space="preserve"> </v>
      </c>
      <c r="S123" s="586"/>
      <c r="T123" s="609"/>
      <c r="U123" s="591"/>
      <c r="V123" s="589"/>
      <c r="W123" s="564" t="str">
        <f>IF(S123&lt;&gt;0,VLOOKUP(S123,VKT!$A$2:$G$415,7,0),"")</f>
        <v/>
      </c>
      <c r="X123" s="564" t="str">
        <f t="shared" si="18"/>
        <v xml:space="preserve"> </v>
      </c>
      <c r="Y123" s="589"/>
      <c r="Z123" s="592"/>
      <c r="AA123" s="592"/>
      <c r="AB123" s="568"/>
      <c r="AC123" s="592"/>
      <c r="AD123" s="592"/>
      <c r="AE123" s="592"/>
      <c r="AF123" s="590"/>
      <c r="AG123" s="570" t="str">
        <f>IF(AE123&lt;&gt;0,VLOOKUP(AE123,ODDS!$A$2:$C$13,3,0),"")</f>
        <v/>
      </c>
      <c r="AH123" s="570" t="str">
        <f t="shared" si="5"/>
        <v xml:space="preserve"> </v>
      </c>
      <c r="AI123" s="571" t="str">
        <f t="shared" si="14"/>
        <v xml:space="preserve"> </v>
      </c>
      <c r="AJ123" s="575"/>
      <c r="AK123" s="593"/>
    </row>
    <row r="124" spans="1:39" s="376" customFormat="1" ht="20.25" outlineLevel="2" x14ac:dyDescent="0.3">
      <c r="A124" s="447">
        <f>IF(B123&lt;&gt;0,B123,A123)</f>
        <v>13</v>
      </c>
      <c r="B124" s="557"/>
      <c r="C124" s="558"/>
      <c r="D124" s="587"/>
      <c r="E124" s="612"/>
      <c r="F124" s="612"/>
      <c r="G124" s="586"/>
      <c r="H124" s="588"/>
      <c r="I124" s="546"/>
      <c r="J124" s="593"/>
      <c r="K124" s="563" t="str">
        <f>IF(G124&lt;&gt;0,VLOOKUP(G124,'gia dat'!$A$1:$F$144,5,0)," ")</f>
        <v xml:space="preserve"> </v>
      </c>
      <c r="L124" s="563" t="str">
        <f>IF(G124&lt;&gt;0,VLOOKUP(G124,'gia dat'!$A$1:$F$144,6,0)," ")</f>
        <v xml:space="preserve"> </v>
      </c>
      <c r="M124" s="564" t="str">
        <f t="shared" si="16"/>
        <v xml:space="preserve"> </v>
      </c>
      <c r="N124" s="564" t="str">
        <f t="shared" si="17"/>
        <v xml:space="preserve"> </v>
      </c>
      <c r="O124" s="586"/>
      <c r="P124" s="590"/>
      <c r="Q124" s="564" t="str">
        <f>IF(O124&lt;&gt;0,VLOOKUP(O124,'Cây trong'!$A$2:$C$246,3,0)," ")</f>
        <v xml:space="preserve"> </v>
      </c>
      <c r="R124" s="564" t="str">
        <f t="shared" ref="R124:R196" si="24">IF(O124&lt;&gt;0,ROUND(P124*Q124,-2)," ")</f>
        <v xml:space="preserve"> </v>
      </c>
      <c r="S124" s="586"/>
      <c r="T124" s="609"/>
      <c r="U124" s="591"/>
      <c r="V124" s="589"/>
      <c r="W124" s="564" t="str">
        <f>IF(S124&lt;&gt;0,VLOOKUP(S124,VKT!$A$2:$G$415,7,0),"")</f>
        <v/>
      </c>
      <c r="X124" s="564" t="str">
        <f t="shared" si="18"/>
        <v xml:space="preserve"> </v>
      </c>
      <c r="Y124" s="589"/>
      <c r="Z124" s="592"/>
      <c r="AA124" s="592"/>
      <c r="AB124" s="568"/>
      <c r="AC124" s="592"/>
      <c r="AD124" s="592"/>
      <c r="AE124" s="592"/>
      <c r="AF124" s="590"/>
      <c r="AG124" s="570" t="str">
        <f>IF(AE124&lt;&gt;0,VLOOKUP(AE124,ODDS!$A$2:$C$13,3,0),"")</f>
        <v/>
      </c>
      <c r="AH124" s="570" t="str">
        <f t="shared" ref="AH124:AH196" si="25">IF(AE124&lt;&gt;0,ROUND(AF124*AG124,-2)," ")</f>
        <v xml:space="preserve"> </v>
      </c>
      <c r="AI124" s="571" t="str">
        <f t="shared" si="14"/>
        <v xml:space="preserve"> </v>
      </c>
      <c r="AJ124" s="575"/>
      <c r="AK124" s="593"/>
    </row>
    <row r="125" spans="1:39" s="376" customFormat="1" ht="20.25" outlineLevel="2" x14ac:dyDescent="0.3">
      <c r="A125" s="447">
        <f>IF(B124&lt;&gt;0,B124,A124)</f>
        <v>13</v>
      </c>
      <c r="B125" s="557"/>
      <c r="C125" s="607"/>
      <c r="D125" s="587"/>
      <c r="E125" s="587"/>
      <c r="F125" s="560"/>
      <c r="G125" s="558"/>
      <c r="H125" s="588"/>
      <c r="I125" s="546"/>
      <c r="J125" s="589"/>
      <c r="K125" s="563" t="str">
        <f>IF(G125&lt;&gt;0,VLOOKUP(G125,'gia dat'!$A$1:$F$144,5,0)," ")</f>
        <v xml:space="preserve"> </v>
      </c>
      <c r="L125" s="563" t="str">
        <f>IF(G125&lt;&gt;0,VLOOKUP(G125,'gia dat'!$A$1:$F$144,6,0)," ")</f>
        <v xml:space="preserve"> </v>
      </c>
      <c r="M125" s="564" t="str">
        <f t="shared" si="16"/>
        <v xml:space="preserve"> </v>
      </c>
      <c r="N125" s="564" t="str">
        <f t="shared" si="17"/>
        <v xml:space="preserve"> </v>
      </c>
      <c r="O125" s="558"/>
      <c r="P125" s="590"/>
      <c r="Q125" s="564" t="str">
        <f>IF(O125&lt;&gt;0,VLOOKUP(O125,'Cây trong'!$A$2:$C$246,3,0)," ")</f>
        <v xml:space="preserve"> </v>
      </c>
      <c r="R125" s="564" t="str">
        <f t="shared" si="24"/>
        <v xml:space="preserve"> </v>
      </c>
      <c r="S125" s="566"/>
      <c r="T125" s="589"/>
      <c r="U125" s="591"/>
      <c r="V125" s="589"/>
      <c r="W125" s="564" t="str">
        <f>IF(S125&lt;&gt;0,VLOOKUP(S125,VKT!$A$2:$G$415,7,0),"")</f>
        <v/>
      </c>
      <c r="X125" s="564" t="str">
        <f t="shared" si="18"/>
        <v xml:space="preserve"> </v>
      </c>
      <c r="Y125" s="589"/>
      <c r="Z125" s="592"/>
      <c r="AA125" s="592"/>
      <c r="AB125" s="568"/>
      <c r="AC125" s="592"/>
      <c r="AD125" s="592"/>
      <c r="AE125" s="592"/>
      <c r="AF125" s="590"/>
      <c r="AG125" s="570" t="str">
        <f>IF(AE125&lt;&gt;0,VLOOKUP(AE125,ODDS!$A$2:$C$13,3,0),"")</f>
        <v/>
      </c>
      <c r="AH125" s="570" t="str">
        <f t="shared" si="25"/>
        <v xml:space="preserve"> </v>
      </c>
      <c r="AI125" s="571" t="str">
        <f t="shared" si="14"/>
        <v xml:space="preserve"> </v>
      </c>
      <c r="AJ125" s="593"/>
      <c r="AK125" s="593"/>
    </row>
    <row r="126" spans="1:39" s="376" customFormat="1" ht="76.5" customHeight="1" outlineLevel="1" x14ac:dyDescent="0.3">
      <c r="A126" s="467" t="s">
        <v>2696</v>
      </c>
      <c r="B126" s="576">
        <v>14</v>
      </c>
      <c r="C126" s="607" t="s">
        <v>2169</v>
      </c>
      <c r="D126" s="595"/>
      <c r="E126" s="623"/>
      <c r="F126" s="623"/>
      <c r="G126" s="624"/>
      <c r="H126" s="625">
        <f>SUBTOTAL(9,H127:H132)</f>
        <v>0</v>
      </c>
      <c r="I126" s="579">
        <f>SUBTOTAL(9,I127:I132)</f>
        <v>0</v>
      </c>
      <c r="J126" s="597"/>
      <c r="K126" s="581"/>
      <c r="L126" s="581"/>
      <c r="M126" s="571">
        <f>SUBTOTAL(9,M127:M132)</f>
        <v>0</v>
      </c>
      <c r="N126" s="571">
        <f>SUBTOTAL(9,N127:N132)</f>
        <v>0</v>
      </c>
      <c r="O126" s="598"/>
      <c r="P126" s="599">
        <f>SUBTOTAL(9,P127:P132)</f>
        <v>0</v>
      </c>
      <c r="Q126" s="571"/>
      <c r="R126" s="571">
        <f>SUBTOTAL(9,R127:R132)</f>
        <v>0</v>
      </c>
      <c r="S126" s="582"/>
      <c r="T126" s="597"/>
      <c r="U126" s="600">
        <f>SUBTOTAL(9,U127:U132)</f>
        <v>22.9</v>
      </c>
      <c r="V126" s="597"/>
      <c r="W126" s="571"/>
      <c r="X126" s="571">
        <f>SUBTOTAL(9,X127:X132)</f>
        <v>4850000</v>
      </c>
      <c r="Y126" s="589"/>
      <c r="Z126" s="592"/>
      <c r="AA126" s="592"/>
      <c r="AB126" s="568"/>
      <c r="AC126" s="592"/>
      <c r="AD126" s="592"/>
      <c r="AE126" s="601"/>
      <c r="AF126" s="599">
        <f>SUBTOTAL(9,AF127:AF132)</f>
        <v>0</v>
      </c>
      <c r="AG126" s="585"/>
      <c r="AH126" s="585">
        <f>SUBTOTAL(9,AH127:AH132)</f>
        <v>0</v>
      </c>
      <c r="AI126" s="571">
        <f t="shared" si="14"/>
        <v>4850000</v>
      </c>
      <c r="AJ126" s="624"/>
      <c r="AK126" s="574"/>
      <c r="AM126" s="473"/>
    </row>
    <row r="127" spans="1:39" s="376" customFormat="1" ht="147.75" customHeight="1" outlineLevel="2" x14ac:dyDescent="0.3">
      <c r="A127" s="447">
        <f>IF(B126&lt;&gt;0,B126,A125)</f>
        <v>14</v>
      </c>
      <c r="B127" s="557"/>
      <c r="C127" s="558" t="s">
        <v>105</v>
      </c>
      <c r="D127" s="587">
        <v>1</v>
      </c>
      <c r="E127" s="627"/>
      <c r="F127" s="627"/>
      <c r="G127" s="575"/>
      <c r="H127" s="561"/>
      <c r="I127" s="546"/>
      <c r="J127" s="589"/>
      <c r="K127" s="563" t="str">
        <f>IF(G127&lt;&gt;0,VLOOKUP(G127,'gia dat'!$A$1:$F$144,5,0)," ")</f>
        <v xml:space="preserve"> </v>
      </c>
      <c r="L127" s="563" t="str">
        <f>IF(G127&lt;&gt;0,VLOOKUP(G127,'gia dat'!$A$1:$F$144,6,0)," ")</f>
        <v xml:space="preserve"> </v>
      </c>
      <c r="M127" s="564" t="str">
        <f t="shared" si="16"/>
        <v xml:space="preserve"> </v>
      </c>
      <c r="N127" s="564" t="str">
        <f t="shared" si="17"/>
        <v xml:space="preserve"> </v>
      </c>
      <c r="O127" s="565"/>
      <c r="P127" s="590"/>
      <c r="Q127" s="564" t="str">
        <f>IF(O127&lt;&gt;0,VLOOKUP(O127,'Cây trong'!$A$2:$C$246,3,0)," ")</f>
        <v xml:space="preserve"> </v>
      </c>
      <c r="R127" s="564" t="str">
        <f t="shared" si="24"/>
        <v xml:space="preserve"> </v>
      </c>
      <c r="S127" s="566" t="s">
        <v>1749</v>
      </c>
      <c r="T127" s="589" t="s">
        <v>53</v>
      </c>
      <c r="U127" s="591">
        <v>22.9</v>
      </c>
      <c r="V127" s="589"/>
      <c r="W127" s="564">
        <f>IF(S127&lt;&gt;0,VLOOKUP(S127,VKT!$A$2:$G$415,7,0),"")</f>
        <v>211811</v>
      </c>
      <c r="X127" s="564">
        <f t="shared" si="18"/>
        <v>4850000</v>
      </c>
      <c r="Y127" s="589"/>
      <c r="Z127" s="592"/>
      <c r="AA127" s="592"/>
      <c r="AB127" s="568"/>
      <c r="AC127" s="592"/>
      <c r="AD127" s="592"/>
      <c r="AE127" s="592"/>
      <c r="AF127" s="590"/>
      <c r="AG127" s="570" t="str">
        <f>IF(AE127&lt;&gt;0,VLOOKUP(AE127,ODDS!$A$2:$C$13,3,0),"")</f>
        <v/>
      </c>
      <c r="AH127" s="570" t="str">
        <f t="shared" si="25"/>
        <v xml:space="preserve"> </v>
      </c>
      <c r="AI127" s="571" t="str">
        <f t="shared" si="14"/>
        <v xml:space="preserve"> </v>
      </c>
      <c r="AJ127" s="575"/>
      <c r="AK127" s="558" t="s">
        <v>2450</v>
      </c>
      <c r="AM127" s="378" t="s">
        <v>2157</v>
      </c>
    </row>
    <row r="128" spans="1:39" s="376" customFormat="1" ht="125.25" customHeight="1" outlineLevel="2" x14ac:dyDescent="0.3">
      <c r="A128" s="447">
        <f>IF(B127&lt;&gt;0,B127,A127)</f>
        <v>14</v>
      </c>
      <c r="B128" s="557"/>
      <c r="C128" s="572" t="s">
        <v>636</v>
      </c>
      <c r="D128" s="587"/>
      <c r="E128" s="587"/>
      <c r="F128" s="560"/>
      <c r="G128" s="558"/>
      <c r="H128" s="588"/>
      <c r="I128" s="546"/>
      <c r="J128" s="589"/>
      <c r="K128" s="563" t="str">
        <f>IF(G128&lt;&gt;0,VLOOKUP(G128,'gia dat'!$A$1:$F$144,5,0)," ")</f>
        <v xml:space="preserve"> </v>
      </c>
      <c r="L128" s="563" t="str">
        <f>IF(G128&lt;&gt;0,VLOOKUP(G128,'gia dat'!$A$1:$F$144,6,0)," ")</f>
        <v xml:space="preserve"> </v>
      </c>
      <c r="M128" s="564" t="str">
        <f t="shared" si="16"/>
        <v xml:space="preserve"> </v>
      </c>
      <c r="N128" s="564" t="str">
        <f t="shared" si="17"/>
        <v xml:space="preserve"> </v>
      </c>
      <c r="O128" s="565"/>
      <c r="P128" s="590"/>
      <c r="Q128" s="564" t="str">
        <f>IF(O128&lt;&gt;0,VLOOKUP(O128,'Cây trong'!$A$2:$C$246,3,0)," ")</f>
        <v xml:space="preserve"> </v>
      </c>
      <c r="R128" s="564" t="str">
        <f t="shared" si="24"/>
        <v xml:space="preserve"> </v>
      </c>
      <c r="S128" s="566"/>
      <c r="T128" s="589"/>
      <c r="U128" s="591"/>
      <c r="V128" s="589"/>
      <c r="W128" s="564" t="str">
        <f>IF(S128&lt;&gt;0,VLOOKUP(S128,VKT!$A$2:$G$415,7,0),"")</f>
        <v/>
      </c>
      <c r="X128" s="564" t="str">
        <f t="shared" si="18"/>
        <v xml:space="preserve"> </v>
      </c>
      <c r="Y128" s="589"/>
      <c r="Z128" s="592"/>
      <c r="AA128" s="592"/>
      <c r="AB128" s="568"/>
      <c r="AC128" s="592"/>
      <c r="AD128" s="592"/>
      <c r="AE128" s="592"/>
      <c r="AF128" s="590"/>
      <c r="AG128" s="570" t="str">
        <f>IF(AE128&lt;&gt;0,VLOOKUP(AE128,ODDS!$A$2:$C$13,3,0),"")</f>
        <v/>
      </c>
      <c r="AH128" s="570" t="str">
        <f t="shared" si="25"/>
        <v xml:space="preserve"> </v>
      </c>
      <c r="AI128" s="571" t="str">
        <f t="shared" si="14"/>
        <v xml:space="preserve"> </v>
      </c>
      <c r="AJ128" s="558"/>
      <c r="AK128" s="558"/>
    </row>
    <row r="129" spans="1:39" s="376" customFormat="1" ht="20.25" outlineLevel="2" x14ac:dyDescent="0.3">
      <c r="A129" s="447">
        <f>IF(B128&lt;&gt;0,B128,A128)</f>
        <v>14</v>
      </c>
      <c r="B129" s="557"/>
      <c r="C129" s="558"/>
      <c r="D129" s="587"/>
      <c r="E129" s="587"/>
      <c r="F129" s="615"/>
      <c r="G129" s="558"/>
      <c r="H129" s="604"/>
      <c r="I129" s="546"/>
      <c r="J129" s="593"/>
      <c r="K129" s="563" t="str">
        <f>IF(G129&lt;&gt;0,VLOOKUP(G129,'gia dat'!$A$1:$F$144,5,0)," ")</f>
        <v xml:space="preserve"> </v>
      </c>
      <c r="L129" s="563" t="str">
        <f>IF(G129&lt;&gt;0,VLOOKUP(G129,'gia dat'!$A$1:$F$144,6,0)," ")</f>
        <v xml:space="preserve"> </v>
      </c>
      <c r="M129" s="564" t="str">
        <f t="shared" si="16"/>
        <v xml:space="preserve"> </v>
      </c>
      <c r="N129" s="564" t="str">
        <f t="shared" si="17"/>
        <v xml:space="preserve"> </v>
      </c>
      <c r="O129" s="593"/>
      <c r="P129" s="616"/>
      <c r="Q129" s="564" t="str">
        <f>IF(O129&lt;&gt;0,VLOOKUP(O129,'Cây trong'!$A$2:$C$246,3,0)," ")</f>
        <v xml:space="preserve"> </v>
      </c>
      <c r="R129" s="564" t="str">
        <f t="shared" si="24"/>
        <v xml:space="preserve"> </v>
      </c>
      <c r="S129" s="593"/>
      <c r="T129" s="593"/>
      <c r="U129" s="617"/>
      <c r="V129" s="589"/>
      <c r="W129" s="564" t="str">
        <f>IF(S129&lt;&gt;0,VLOOKUP(S129,VKT!$A$2:$G$415,7,0),"")</f>
        <v/>
      </c>
      <c r="X129" s="564" t="str">
        <f t="shared" si="18"/>
        <v xml:space="preserve"> </v>
      </c>
      <c r="Y129" s="589"/>
      <c r="Z129" s="589"/>
      <c r="AA129" s="589"/>
      <c r="AB129" s="562"/>
      <c r="AC129" s="589"/>
      <c r="AD129" s="589"/>
      <c r="AE129" s="589"/>
      <c r="AF129" s="629"/>
      <c r="AG129" s="570" t="str">
        <f>IF(AE129&lt;&gt;0,VLOOKUP(AE129,ODDS!$A$2:$C$13,3,0),"")</f>
        <v/>
      </c>
      <c r="AH129" s="570" t="str">
        <f t="shared" si="25"/>
        <v xml:space="preserve"> </v>
      </c>
      <c r="AI129" s="571" t="str">
        <f t="shared" si="14"/>
        <v xml:space="preserve"> </v>
      </c>
      <c r="AJ129" s="593"/>
      <c r="AK129" s="593"/>
    </row>
    <row r="130" spans="1:39" s="376" customFormat="1" ht="20.25" outlineLevel="2" x14ac:dyDescent="0.3">
      <c r="A130" s="447">
        <f>IF(B129&lt;&gt;0,B129,A129)</f>
        <v>14</v>
      </c>
      <c r="B130" s="557"/>
      <c r="C130" s="558"/>
      <c r="D130" s="587"/>
      <c r="E130" s="587"/>
      <c r="F130" s="560"/>
      <c r="G130" s="558"/>
      <c r="H130" s="588"/>
      <c r="I130" s="546"/>
      <c r="J130" s="589"/>
      <c r="K130" s="563" t="str">
        <f>IF(G130&lt;&gt;0,VLOOKUP(G130,'gia dat'!$A$1:$F$144,5,0)," ")</f>
        <v xml:space="preserve"> </v>
      </c>
      <c r="L130" s="563" t="str">
        <f>IF(G130&lt;&gt;0,VLOOKUP(G130,'gia dat'!$A$1:$F$144,6,0)," ")</f>
        <v xml:space="preserve"> </v>
      </c>
      <c r="M130" s="564" t="str">
        <f t="shared" si="16"/>
        <v xml:space="preserve"> </v>
      </c>
      <c r="N130" s="564" t="str">
        <f t="shared" si="17"/>
        <v xml:space="preserve"> </v>
      </c>
      <c r="O130" s="565"/>
      <c r="P130" s="590"/>
      <c r="Q130" s="564" t="str">
        <f>IF(O130&lt;&gt;0,VLOOKUP(O130,'Cây trong'!$A$2:$C$246,3,0)," ")</f>
        <v xml:space="preserve"> </v>
      </c>
      <c r="R130" s="564" t="str">
        <f t="shared" si="24"/>
        <v xml:space="preserve"> </v>
      </c>
      <c r="S130" s="566"/>
      <c r="T130" s="589"/>
      <c r="U130" s="591"/>
      <c r="V130" s="589"/>
      <c r="W130" s="564" t="str">
        <f>IF(S130&lt;&gt;0,VLOOKUP(S130,VKT!$A$2:$G$415,7,0),"")</f>
        <v/>
      </c>
      <c r="X130" s="564" t="str">
        <f t="shared" si="18"/>
        <v xml:space="preserve"> </v>
      </c>
      <c r="Y130" s="589"/>
      <c r="Z130" s="592"/>
      <c r="AA130" s="592"/>
      <c r="AB130" s="568"/>
      <c r="AC130" s="592"/>
      <c r="AD130" s="592"/>
      <c r="AE130" s="592"/>
      <c r="AF130" s="590"/>
      <c r="AG130" s="570" t="str">
        <f>IF(AE130&lt;&gt;0,VLOOKUP(AE130,ODDS!$A$2:$C$13,3,0),"")</f>
        <v/>
      </c>
      <c r="AH130" s="570" t="str">
        <f t="shared" si="25"/>
        <v xml:space="preserve"> </v>
      </c>
      <c r="AI130" s="571" t="str">
        <f t="shared" si="14"/>
        <v xml:space="preserve"> </v>
      </c>
      <c r="AJ130" s="558"/>
      <c r="AK130" s="593"/>
    </row>
    <row r="131" spans="1:39" s="376" customFormat="1" ht="20.25" outlineLevel="2" x14ac:dyDescent="0.3">
      <c r="A131" s="447">
        <f>IF(B130&lt;&gt;0,B130,A130)</f>
        <v>14</v>
      </c>
      <c r="B131" s="557"/>
      <c r="C131" s="558"/>
      <c r="D131" s="587"/>
      <c r="E131" s="587"/>
      <c r="F131" s="560"/>
      <c r="G131" s="558"/>
      <c r="H131" s="588"/>
      <c r="I131" s="546"/>
      <c r="J131" s="589"/>
      <c r="K131" s="563" t="str">
        <f>IF(G131&lt;&gt;0,VLOOKUP(G131,'gia dat'!$A$1:$F$144,5,0)," ")</f>
        <v xml:space="preserve"> </v>
      </c>
      <c r="L131" s="563" t="str">
        <f>IF(G131&lt;&gt;0,VLOOKUP(G131,'gia dat'!$A$1:$F$144,6,0)," ")</f>
        <v xml:space="preserve"> </v>
      </c>
      <c r="M131" s="564" t="str">
        <f t="shared" si="16"/>
        <v xml:space="preserve"> </v>
      </c>
      <c r="N131" s="564" t="str">
        <f t="shared" si="17"/>
        <v xml:space="preserve"> </v>
      </c>
      <c r="O131" s="558"/>
      <c r="P131" s="590"/>
      <c r="Q131" s="564" t="str">
        <f>IF(O131&lt;&gt;0,VLOOKUP(O131,'Cây trong'!$A$2:$C$246,3,0)," ")</f>
        <v xml:space="preserve"> </v>
      </c>
      <c r="R131" s="564" t="str">
        <f t="shared" si="24"/>
        <v xml:space="preserve"> </v>
      </c>
      <c r="S131" s="566"/>
      <c r="T131" s="589"/>
      <c r="U131" s="591"/>
      <c r="V131" s="589"/>
      <c r="W131" s="564" t="str">
        <f>IF(S131&lt;&gt;0,VLOOKUP(S131,VKT!$A$2:$G$415,7,0),"")</f>
        <v/>
      </c>
      <c r="X131" s="564" t="str">
        <f t="shared" si="18"/>
        <v xml:space="preserve"> </v>
      </c>
      <c r="Y131" s="589"/>
      <c r="Z131" s="592"/>
      <c r="AA131" s="592"/>
      <c r="AB131" s="568"/>
      <c r="AC131" s="592"/>
      <c r="AD131" s="592"/>
      <c r="AE131" s="592"/>
      <c r="AF131" s="590"/>
      <c r="AG131" s="570" t="str">
        <f>IF(AE131&lt;&gt;0,VLOOKUP(AE131,ODDS!$A$2:$C$13,3,0),"")</f>
        <v/>
      </c>
      <c r="AH131" s="570" t="str">
        <f t="shared" si="25"/>
        <v xml:space="preserve"> </v>
      </c>
      <c r="AI131" s="571" t="str">
        <f t="shared" si="14"/>
        <v xml:space="preserve"> </v>
      </c>
      <c r="AJ131" s="575"/>
      <c r="AK131" s="593"/>
    </row>
    <row r="132" spans="1:39" s="376" customFormat="1" ht="20.25" outlineLevel="2" x14ac:dyDescent="0.3">
      <c r="A132" s="447">
        <f>IF(B131&lt;&gt;0,B131,A131)</f>
        <v>14</v>
      </c>
      <c r="B132" s="557"/>
      <c r="C132" s="607"/>
      <c r="D132" s="587"/>
      <c r="E132" s="587"/>
      <c r="F132" s="560"/>
      <c r="G132" s="558"/>
      <c r="H132" s="588"/>
      <c r="I132" s="546"/>
      <c r="J132" s="589"/>
      <c r="K132" s="563" t="str">
        <f>IF(G132&lt;&gt;0,VLOOKUP(G132,'gia dat'!$A$1:$F$144,5,0)," ")</f>
        <v xml:space="preserve"> </v>
      </c>
      <c r="L132" s="563" t="str">
        <f>IF(G132&lt;&gt;0,VLOOKUP(G132,'gia dat'!$A$1:$F$144,6,0)," ")</f>
        <v xml:space="preserve"> </v>
      </c>
      <c r="M132" s="564" t="str">
        <f t="shared" si="16"/>
        <v xml:space="preserve"> </v>
      </c>
      <c r="N132" s="564" t="str">
        <f t="shared" si="17"/>
        <v xml:space="preserve"> </v>
      </c>
      <c r="O132" s="558"/>
      <c r="P132" s="590"/>
      <c r="Q132" s="564" t="str">
        <f>IF(O132&lt;&gt;0,VLOOKUP(O132,'Cây trong'!$A$2:$C$246,3,0)," ")</f>
        <v xml:space="preserve"> </v>
      </c>
      <c r="R132" s="564" t="str">
        <f t="shared" si="24"/>
        <v xml:space="preserve"> </v>
      </c>
      <c r="S132" s="566"/>
      <c r="T132" s="589"/>
      <c r="U132" s="591"/>
      <c r="V132" s="589"/>
      <c r="W132" s="564" t="str">
        <f>IF(S132&lt;&gt;0,VLOOKUP(S132,VKT!$A$2:$G$415,7,0),"")</f>
        <v/>
      </c>
      <c r="X132" s="564" t="str">
        <f t="shared" si="18"/>
        <v xml:space="preserve"> </v>
      </c>
      <c r="Y132" s="589"/>
      <c r="Z132" s="592"/>
      <c r="AA132" s="592"/>
      <c r="AB132" s="568"/>
      <c r="AC132" s="592"/>
      <c r="AD132" s="592"/>
      <c r="AE132" s="592"/>
      <c r="AF132" s="590"/>
      <c r="AG132" s="570" t="str">
        <f>IF(AE132&lt;&gt;0,VLOOKUP(AE132,ODDS!$A$2:$C$13,3,0),"")</f>
        <v/>
      </c>
      <c r="AH132" s="570" t="str">
        <f t="shared" si="25"/>
        <v xml:space="preserve"> </v>
      </c>
      <c r="AI132" s="571" t="str">
        <f t="shared" si="14"/>
        <v xml:space="preserve"> </v>
      </c>
      <c r="AJ132" s="593"/>
      <c r="AK132" s="593"/>
    </row>
    <row r="133" spans="1:39" s="376" customFormat="1" ht="69" customHeight="1" outlineLevel="1" x14ac:dyDescent="0.3">
      <c r="A133" s="467" t="s">
        <v>2695</v>
      </c>
      <c r="B133" s="576">
        <v>15</v>
      </c>
      <c r="C133" s="607" t="s">
        <v>2170</v>
      </c>
      <c r="D133" s="594"/>
      <c r="E133" s="623"/>
      <c r="F133" s="623"/>
      <c r="G133" s="624"/>
      <c r="H133" s="625">
        <f>SUBTOTAL(9,H134:H140)</f>
        <v>0</v>
      </c>
      <c r="I133" s="579">
        <f>SUBTOTAL(9,I134:I139)</f>
        <v>0</v>
      </c>
      <c r="J133" s="608"/>
      <c r="K133" s="581"/>
      <c r="L133" s="581"/>
      <c r="M133" s="571">
        <f>SUBTOTAL(9,M134:M140)</f>
        <v>0</v>
      </c>
      <c r="N133" s="571">
        <f>SUBTOTAL(9,N134:N140)</f>
        <v>0</v>
      </c>
      <c r="O133" s="578"/>
      <c r="P133" s="599">
        <f>SUBTOTAL(9,P134:P140)</f>
        <v>0</v>
      </c>
      <c r="Q133" s="571"/>
      <c r="R133" s="571">
        <f>SUBTOTAL(9,R134:R140)</f>
        <v>0</v>
      </c>
      <c r="S133" s="578"/>
      <c r="T133" s="621"/>
      <c r="U133" s="600">
        <f>SUBTOTAL(9,U134:U140)</f>
        <v>28.19</v>
      </c>
      <c r="V133" s="597"/>
      <c r="W133" s="571"/>
      <c r="X133" s="571">
        <f>SUBTOTAL(9,X134:X140)</f>
        <v>57526000</v>
      </c>
      <c r="Y133" s="562"/>
      <c r="Z133" s="592"/>
      <c r="AA133" s="592"/>
      <c r="AB133" s="568"/>
      <c r="AC133" s="592"/>
      <c r="AD133" s="592"/>
      <c r="AE133" s="601"/>
      <c r="AF133" s="599">
        <f>SUBTOTAL(9,AF134:AF140)</f>
        <v>0</v>
      </c>
      <c r="AG133" s="585"/>
      <c r="AH133" s="585">
        <f>SUBTOTAL(9,AH134:AH140)</f>
        <v>0</v>
      </c>
      <c r="AI133" s="571">
        <f t="shared" si="14"/>
        <v>57526000</v>
      </c>
      <c r="AJ133" s="608"/>
      <c r="AK133" s="574"/>
    </row>
    <row r="134" spans="1:39" s="376" customFormat="1" ht="146.25" customHeight="1" outlineLevel="2" x14ac:dyDescent="0.3">
      <c r="A134" s="447">
        <f>IF(B133&lt;&gt;0,B133,A132)</f>
        <v>15</v>
      </c>
      <c r="B134" s="557"/>
      <c r="C134" s="572" t="s">
        <v>106</v>
      </c>
      <c r="D134" s="603">
        <v>3</v>
      </c>
      <c r="E134" s="627"/>
      <c r="F134" s="627"/>
      <c r="G134" s="575"/>
      <c r="H134" s="561"/>
      <c r="I134" s="546"/>
      <c r="J134" s="593"/>
      <c r="K134" s="563" t="str">
        <f>IF(G134&lt;&gt;0,VLOOKUP(G134,'gia dat'!$A$1:$F$144,5,0)," ")</f>
        <v xml:space="preserve"> </v>
      </c>
      <c r="L134" s="563" t="str">
        <f>IF(G134&lt;&gt;0,VLOOKUP(G134,'gia dat'!$A$1:$F$144,6,0)," ")</f>
        <v xml:space="preserve"> </v>
      </c>
      <c r="M134" s="564" t="str">
        <f t="shared" si="16"/>
        <v xml:space="preserve"> </v>
      </c>
      <c r="N134" s="564" t="str">
        <f t="shared" si="17"/>
        <v xml:space="preserve"> </v>
      </c>
      <c r="O134" s="586"/>
      <c r="P134" s="590"/>
      <c r="Q134" s="564" t="str">
        <f>IF(O134&lt;&gt;0,VLOOKUP(O134,'Cây trong'!$A$2:$C$246,3,0)," ")</f>
        <v xml:space="preserve"> </v>
      </c>
      <c r="R134" s="564" t="str">
        <f t="shared" si="24"/>
        <v xml:space="preserve"> </v>
      </c>
      <c r="S134" s="586" t="s">
        <v>1838</v>
      </c>
      <c r="T134" s="609" t="s">
        <v>53</v>
      </c>
      <c r="U134" s="591">
        <v>17.39</v>
      </c>
      <c r="V134" s="589"/>
      <c r="W134" s="564">
        <f>IF(S134&lt;&gt;0,VLOOKUP(S134,VKT!$A$2:$G$415,7,0),"")</f>
        <v>3156089</v>
      </c>
      <c r="X134" s="564">
        <f t="shared" si="18"/>
        <v>54884000</v>
      </c>
      <c r="Y134" s="562" t="s">
        <v>54</v>
      </c>
      <c r="Z134" s="592" t="s">
        <v>55</v>
      </c>
      <c r="AA134" s="592" t="s">
        <v>56</v>
      </c>
      <c r="AB134" s="568" t="s">
        <v>137</v>
      </c>
      <c r="AC134" s="592" t="s">
        <v>54</v>
      </c>
      <c r="AD134" s="592"/>
      <c r="AE134" s="592"/>
      <c r="AF134" s="590"/>
      <c r="AG134" s="570" t="str">
        <f>IF(AE134&lt;&gt;0,VLOOKUP(AE134,ODDS!$A$2:$C$13,3,0),"")</f>
        <v/>
      </c>
      <c r="AH134" s="570" t="str">
        <f t="shared" si="25"/>
        <v xml:space="preserve"> </v>
      </c>
      <c r="AI134" s="571" t="str">
        <f t="shared" si="14"/>
        <v xml:space="preserve"> </v>
      </c>
      <c r="AJ134" s="593" t="s">
        <v>207</v>
      </c>
      <c r="AK134" s="558" t="s">
        <v>2450</v>
      </c>
    </row>
    <row r="135" spans="1:39" s="376" customFormat="1" ht="126.75" customHeight="1" outlineLevel="2" x14ac:dyDescent="0.3">
      <c r="A135" s="447">
        <f t="shared" ref="A135:A140" si="26">IF(B134&lt;&gt;0,B134,A134)</f>
        <v>15</v>
      </c>
      <c r="B135" s="557"/>
      <c r="C135" s="572" t="s">
        <v>638</v>
      </c>
      <c r="D135" s="587"/>
      <c r="E135" s="627"/>
      <c r="F135" s="627"/>
      <c r="G135" s="575"/>
      <c r="H135" s="561"/>
      <c r="I135" s="546"/>
      <c r="J135" s="593"/>
      <c r="K135" s="563" t="str">
        <f>IF(G135&lt;&gt;0,VLOOKUP(G135,'gia dat'!$A$1:$F$144,5,0)," ")</f>
        <v xml:space="preserve"> </v>
      </c>
      <c r="L135" s="563" t="str">
        <f>IF(G135&lt;&gt;0,VLOOKUP(G135,'gia dat'!$A$1:$F$144,6,0)," ")</f>
        <v xml:space="preserve"> </v>
      </c>
      <c r="M135" s="564" t="str">
        <f t="shared" si="16"/>
        <v xml:space="preserve"> </v>
      </c>
      <c r="N135" s="564" t="str">
        <f t="shared" si="17"/>
        <v xml:space="preserve"> </v>
      </c>
      <c r="O135" s="586"/>
      <c r="P135" s="590"/>
      <c r="Q135" s="564" t="str">
        <f>IF(O135&lt;&gt;0,VLOOKUP(O135,'Cây trong'!$A$2:$C$246,3,0)," ")</f>
        <v xml:space="preserve"> </v>
      </c>
      <c r="R135" s="564" t="str">
        <f t="shared" si="24"/>
        <v xml:space="preserve"> </v>
      </c>
      <c r="S135" s="586" t="s">
        <v>1839</v>
      </c>
      <c r="T135" s="609" t="s">
        <v>53</v>
      </c>
      <c r="U135" s="591">
        <v>10.8</v>
      </c>
      <c r="V135" s="589"/>
      <c r="W135" s="564">
        <f>IF(S135&lt;&gt;0,VLOOKUP(S135,VKT!$A$2:$G$415,7,0),"")</f>
        <v>244604</v>
      </c>
      <c r="X135" s="564">
        <f t="shared" si="18"/>
        <v>2642000</v>
      </c>
      <c r="Y135" s="589"/>
      <c r="Z135" s="592"/>
      <c r="AA135" s="592"/>
      <c r="AB135" s="568"/>
      <c r="AC135" s="592"/>
      <c r="AD135" s="592"/>
      <c r="AE135" s="592"/>
      <c r="AF135" s="590"/>
      <c r="AG135" s="570" t="str">
        <f>IF(AE135&lt;&gt;0,VLOOKUP(AE135,ODDS!$A$2:$C$13,3,0),"")</f>
        <v/>
      </c>
      <c r="AH135" s="570" t="str">
        <f t="shared" si="25"/>
        <v xml:space="preserve"> </v>
      </c>
      <c r="AI135" s="571" t="str">
        <f t="shared" si="14"/>
        <v xml:space="preserve"> </v>
      </c>
      <c r="AJ135" s="558"/>
      <c r="AK135" s="558"/>
    </row>
    <row r="136" spans="1:39" s="376" customFormat="1" ht="20.25" outlineLevel="2" x14ac:dyDescent="0.3">
      <c r="A136" s="447">
        <f t="shared" si="26"/>
        <v>15</v>
      </c>
      <c r="B136" s="557"/>
      <c r="C136" s="574"/>
      <c r="D136" s="587"/>
      <c r="E136" s="587"/>
      <c r="F136" s="560"/>
      <c r="G136" s="558"/>
      <c r="H136" s="588"/>
      <c r="I136" s="546"/>
      <c r="J136" s="593"/>
      <c r="K136" s="563" t="str">
        <f>IF(G136&lt;&gt;0,VLOOKUP(G136,'gia dat'!$A$1:$F$144,5,0)," ")</f>
        <v xml:space="preserve"> </v>
      </c>
      <c r="L136" s="563" t="str">
        <f>IF(G136&lt;&gt;0,VLOOKUP(G136,'gia dat'!$A$1:$F$144,6,0)," ")</f>
        <v xml:space="preserve"> </v>
      </c>
      <c r="M136" s="564" t="str">
        <f t="shared" si="16"/>
        <v xml:space="preserve"> </v>
      </c>
      <c r="N136" s="564" t="str">
        <f t="shared" si="17"/>
        <v xml:space="preserve"> </v>
      </c>
      <c r="O136" s="586"/>
      <c r="P136" s="590"/>
      <c r="Q136" s="564" t="str">
        <f>IF(O136&lt;&gt;0,VLOOKUP(O136,'Cây trong'!$A$2:$C$246,3,0)," ")</f>
        <v xml:space="preserve"> </v>
      </c>
      <c r="R136" s="564" t="str">
        <f t="shared" si="24"/>
        <v xml:space="preserve"> </v>
      </c>
      <c r="S136" s="586"/>
      <c r="T136" s="609"/>
      <c r="U136" s="591"/>
      <c r="V136" s="589"/>
      <c r="W136" s="564" t="str">
        <f>IF(S136&lt;&gt;0,VLOOKUP(S136,VKT!$A$2:$G$415,7,0),"")</f>
        <v/>
      </c>
      <c r="X136" s="564" t="str">
        <f t="shared" si="18"/>
        <v xml:space="preserve"> </v>
      </c>
      <c r="Y136" s="589"/>
      <c r="Z136" s="592"/>
      <c r="AA136" s="592"/>
      <c r="AB136" s="568"/>
      <c r="AC136" s="592"/>
      <c r="AD136" s="592"/>
      <c r="AE136" s="592"/>
      <c r="AF136" s="590"/>
      <c r="AG136" s="570" t="str">
        <f>IF(AE136&lt;&gt;0,VLOOKUP(AE136,ODDS!$A$2:$C$13,3,0),"")</f>
        <v/>
      </c>
      <c r="AH136" s="570" t="str">
        <f t="shared" si="25"/>
        <v xml:space="preserve"> </v>
      </c>
      <c r="AI136" s="571" t="str">
        <f t="shared" si="14"/>
        <v xml:space="preserve"> </v>
      </c>
      <c r="AJ136" s="593"/>
      <c r="AK136" s="593"/>
    </row>
    <row r="137" spans="1:39" s="376" customFormat="1" ht="20.25" outlineLevel="2" x14ac:dyDescent="0.3">
      <c r="A137" s="447">
        <f t="shared" si="26"/>
        <v>15</v>
      </c>
      <c r="B137" s="557"/>
      <c r="C137" s="558"/>
      <c r="D137" s="587"/>
      <c r="E137" s="587"/>
      <c r="F137" s="615"/>
      <c r="G137" s="558"/>
      <c r="H137" s="604"/>
      <c r="I137" s="546"/>
      <c r="J137" s="593"/>
      <c r="K137" s="563" t="str">
        <f>IF(G137&lt;&gt;0,VLOOKUP(G137,'gia dat'!$A$1:$F$144,5,0)," ")</f>
        <v xml:space="preserve"> </v>
      </c>
      <c r="L137" s="563" t="str">
        <f>IF(G137&lt;&gt;0,VLOOKUP(G137,'gia dat'!$A$1:$F$144,6,0)," ")</f>
        <v xml:space="preserve"> </v>
      </c>
      <c r="M137" s="564" t="str">
        <f t="shared" si="16"/>
        <v xml:space="preserve"> </v>
      </c>
      <c r="N137" s="564" t="str">
        <f t="shared" si="17"/>
        <v xml:space="preserve"> </v>
      </c>
      <c r="O137" s="593"/>
      <c r="P137" s="616"/>
      <c r="Q137" s="564" t="str">
        <f>IF(O137&lt;&gt;0,VLOOKUP(O137,'Cây trong'!$A$2:$C$246,3,0)," ")</f>
        <v xml:space="preserve"> </v>
      </c>
      <c r="R137" s="564" t="str">
        <f t="shared" si="24"/>
        <v xml:space="preserve"> </v>
      </c>
      <c r="S137" s="593"/>
      <c r="T137" s="593"/>
      <c r="U137" s="617"/>
      <c r="V137" s="589"/>
      <c r="W137" s="564" t="str">
        <f>IF(S137&lt;&gt;0,VLOOKUP(S137,VKT!$A$2:$G$415,7,0),"")</f>
        <v/>
      </c>
      <c r="X137" s="564" t="str">
        <f t="shared" si="18"/>
        <v xml:space="preserve"> </v>
      </c>
      <c r="Y137" s="589"/>
      <c r="Z137" s="589"/>
      <c r="AA137" s="589"/>
      <c r="AB137" s="562"/>
      <c r="AC137" s="589"/>
      <c r="AD137" s="589"/>
      <c r="AE137" s="589"/>
      <c r="AF137" s="629"/>
      <c r="AG137" s="570" t="str">
        <f>IF(AE137&lt;&gt;0,VLOOKUP(AE137,ODDS!$A$2:$C$13,3,0),"")</f>
        <v/>
      </c>
      <c r="AH137" s="570" t="str">
        <f t="shared" si="25"/>
        <v xml:space="preserve"> </v>
      </c>
      <c r="AI137" s="571" t="str">
        <f t="shared" ref="AI137:AI200" si="27">IF(B137&lt;&gt;0,M137+N137+R137+X137+AH137," ")</f>
        <v xml:space="preserve"> </v>
      </c>
      <c r="AJ137" s="575"/>
      <c r="AK137" s="593"/>
    </row>
    <row r="138" spans="1:39" s="376" customFormat="1" ht="20.25" outlineLevel="2" x14ac:dyDescent="0.3">
      <c r="A138" s="447">
        <f t="shared" si="26"/>
        <v>15</v>
      </c>
      <c r="B138" s="557"/>
      <c r="C138" s="558"/>
      <c r="D138" s="587"/>
      <c r="E138" s="587"/>
      <c r="F138" s="560"/>
      <c r="G138" s="558"/>
      <c r="H138" s="588"/>
      <c r="I138" s="546"/>
      <c r="J138" s="589"/>
      <c r="K138" s="563" t="str">
        <f>IF(G138&lt;&gt;0,VLOOKUP(G138,'gia dat'!$A$1:$F$144,5,0)," ")</f>
        <v xml:space="preserve"> </v>
      </c>
      <c r="L138" s="563" t="str">
        <f>IF(G138&lt;&gt;0,VLOOKUP(G138,'gia dat'!$A$1:$F$144,6,0)," ")</f>
        <v xml:space="preserve"> </v>
      </c>
      <c r="M138" s="564" t="str">
        <f t="shared" si="16"/>
        <v xml:space="preserve"> </v>
      </c>
      <c r="N138" s="564" t="str">
        <f t="shared" si="17"/>
        <v xml:space="preserve"> </v>
      </c>
      <c r="O138" s="558"/>
      <c r="P138" s="590"/>
      <c r="Q138" s="564" t="str">
        <f>IF(O138&lt;&gt;0,VLOOKUP(O138,'Cây trong'!$A$2:$C$246,3,0)," ")</f>
        <v xml:space="preserve"> </v>
      </c>
      <c r="R138" s="564" t="str">
        <f t="shared" si="24"/>
        <v xml:space="preserve"> </v>
      </c>
      <c r="S138" s="566"/>
      <c r="T138" s="589"/>
      <c r="U138" s="591"/>
      <c r="V138" s="589"/>
      <c r="W138" s="564" t="str">
        <f>IF(S138&lt;&gt;0,VLOOKUP(S138,VKT!$A$2:$G$415,7,0),"")</f>
        <v/>
      </c>
      <c r="X138" s="564" t="str">
        <f t="shared" si="18"/>
        <v xml:space="preserve"> </v>
      </c>
      <c r="Y138" s="589"/>
      <c r="Z138" s="592"/>
      <c r="AA138" s="592"/>
      <c r="AB138" s="568"/>
      <c r="AC138" s="592"/>
      <c r="AD138" s="592"/>
      <c r="AE138" s="592"/>
      <c r="AF138" s="590"/>
      <c r="AG138" s="570" t="str">
        <f>IF(AE138&lt;&gt;0,VLOOKUP(AE138,ODDS!$A$2:$C$13,3,0),"")</f>
        <v/>
      </c>
      <c r="AH138" s="570" t="str">
        <f t="shared" si="25"/>
        <v xml:space="preserve"> </v>
      </c>
      <c r="AI138" s="571" t="str">
        <f t="shared" si="27"/>
        <v xml:space="preserve"> </v>
      </c>
      <c r="AJ138" s="575"/>
      <c r="AK138" s="593"/>
    </row>
    <row r="139" spans="1:39" s="376" customFormat="1" ht="20.25" outlineLevel="2" x14ac:dyDescent="0.3">
      <c r="A139" s="447">
        <f t="shared" si="26"/>
        <v>15</v>
      </c>
      <c r="B139" s="557"/>
      <c r="C139" s="572"/>
      <c r="D139" s="587"/>
      <c r="E139" s="587"/>
      <c r="F139" s="560"/>
      <c r="G139" s="558"/>
      <c r="H139" s="588"/>
      <c r="I139" s="546"/>
      <c r="J139" s="589"/>
      <c r="K139" s="563" t="str">
        <f>IF(G139&lt;&gt;0,VLOOKUP(G139,'gia dat'!$A$1:$F$144,5,0)," ")</f>
        <v xml:space="preserve"> </v>
      </c>
      <c r="L139" s="563" t="str">
        <f>IF(G139&lt;&gt;0,VLOOKUP(G139,'gia dat'!$A$1:$F$144,6,0)," ")</f>
        <v xml:space="preserve"> </v>
      </c>
      <c r="M139" s="564" t="str">
        <f t="shared" si="16"/>
        <v xml:space="preserve"> </v>
      </c>
      <c r="N139" s="564" t="str">
        <f t="shared" si="17"/>
        <v xml:space="preserve"> </v>
      </c>
      <c r="O139" s="558"/>
      <c r="P139" s="590"/>
      <c r="Q139" s="564" t="str">
        <f>IF(O139&lt;&gt;0,VLOOKUP(O139,'Cây trong'!$A$2:$C$246,3,0)," ")</f>
        <v xml:space="preserve"> </v>
      </c>
      <c r="R139" s="564" t="str">
        <f t="shared" si="24"/>
        <v xml:space="preserve"> </v>
      </c>
      <c r="S139" s="566"/>
      <c r="T139" s="589"/>
      <c r="U139" s="591"/>
      <c r="V139" s="589"/>
      <c r="W139" s="564" t="str">
        <f>IF(S139&lt;&gt;0,VLOOKUP(S139,VKT!$A$2:$G$415,7,0),"")</f>
        <v/>
      </c>
      <c r="X139" s="564" t="str">
        <f t="shared" si="18"/>
        <v xml:space="preserve"> </v>
      </c>
      <c r="Y139" s="589"/>
      <c r="Z139" s="592"/>
      <c r="AA139" s="592"/>
      <c r="AB139" s="568"/>
      <c r="AC139" s="592"/>
      <c r="AD139" s="592"/>
      <c r="AE139" s="592"/>
      <c r="AF139" s="590"/>
      <c r="AG139" s="570" t="str">
        <f>IF(AE139&lt;&gt;0,VLOOKUP(AE139,ODDS!$A$2:$C$13,3,0),"")</f>
        <v/>
      </c>
      <c r="AH139" s="570" t="str">
        <f t="shared" si="25"/>
        <v xml:space="preserve"> </v>
      </c>
      <c r="AI139" s="571" t="str">
        <f t="shared" si="27"/>
        <v xml:space="preserve"> </v>
      </c>
      <c r="AJ139" s="593"/>
      <c r="AK139" s="593"/>
    </row>
    <row r="140" spans="1:39" s="376" customFormat="1" ht="20.25" outlineLevel="2" x14ac:dyDescent="0.3">
      <c r="A140" s="447">
        <f t="shared" si="26"/>
        <v>15</v>
      </c>
      <c r="B140" s="557"/>
      <c r="C140" s="574"/>
      <c r="D140" s="587"/>
      <c r="E140" s="587"/>
      <c r="F140" s="560"/>
      <c r="G140" s="558"/>
      <c r="H140" s="588"/>
      <c r="I140" s="546"/>
      <c r="J140" s="589"/>
      <c r="K140" s="563" t="str">
        <f>IF(G140&lt;&gt;0,VLOOKUP(G140,'gia dat'!$A$1:$F$144,5,0)," ")</f>
        <v xml:space="preserve"> </v>
      </c>
      <c r="L140" s="563" t="str">
        <f>IF(G140&lt;&gt;0,VLOOKUP(G140,'gia dat'!$A$1:$F$144,6,0)," ")</f>
        <v xml:space="preserve"> </v>
      </c>
      <c r="M140" s="564" t="str">
        <f t="shared" si="16"/>
        <v xml:space="preserve"> </v>
      </c>
      <c r="N140" s="564" t="str">
        <f t="shared" si="17"/>
        <v xml:space="preserve"> </v>
      </c>
      <c r="O140" s="558"/>
      <c r="P140" s="590"/>
      <c r="Q140" s="564" t="str">
        <f>IF(O140&lt;&gt;0,VLOOKUP(O140,'Cây trong'!$A$2:$C$246,3,0)," ")</f>
        <v xml:space="preserve"> </v>
      </c>
      <c r="R140" s="564" t="str">
        <f t="shared" si="24"/>
        <v xml:space="preserve"> </v>
      </c>
      <c r="S140" s="566"/>
      <c r="T140" s="589"/>
      <c r="U140" s="591"/>
      <c r="V140" s="589"/>
      <c r="W140" s="564" t="str">
        <f>IF(S140&lt;&gt;0,VLOOKUP(S140,VKT!$A$2:$G$415,7,0),"")</f>
        <v/>
      </c>
      <c r="X140" s="564" t="str">
        <f t="shared" si="18"/>
        <v xml:space="preserve"> </v>
      </c>
      <c r="Y140" s="589"/>
      <c r="Z140" s="592"/>
      <c r="AA140" s="592"/>
      <c r="AB140" s="568"/>
      <c r="AC140" s="592"/>
      <c r="AD140" s="592"/>
      <c r="AE140" s="592"/>
      <c r="AF140" s="590"/>
      <c r="AG140" s="570" t="str">
        <f>IF(AE140&lt;&gt;0,VLOOKUP(AE140,ODDS!$A$2:$C$13,3,0),"")</f>
        <v/>
      </c>
      <c r="AH140" s="570" t="str">
        <f t="shared" si="25"/>
        <v xml:space="preserve"> </v>
      </c>
      <c r="AI140" s="571" t="str">
        <f t="shared" si="27"/>
        <v xml:space="preserve"> </v>
      </c>
      <c r="AJ140" s="558"/>
      <c r="AK140" s="558"/>
    </row>
    <row r="141" spans="1:39" s="376" customFormat="1" ht="54" customHeight="1" outlineLevel="1" x14ac:dyDescent="0.25">
      <c r="A141" s="467" t="s">
        <v>2694</v>
      </c>
      <c r="B141" s="576">
        <v>16</v>
      </c>
      <c r="C141" s="574" t="s">
        <v>107</v>
      </c>
      <c r="D141" s="595"/>
      <c r="E141" s="595"/>
      <c r="F141" s="577"/>
      <c r="G141" s="574"/>
      <c r="H141" s="618">
        <f>SUBTOTAL(9,H142:H148)</f>
        <v>98.6</v>
      </c>
      <c r="I141" s="579">
        <f>SUBTOTAL(9,I142:I147)</f>
        <v>49.3</v>
      </c>
      <c r="J141" s="597"/>
      <c r="K141" s="581"/>
      <c r="L141" s="581"/>
      <c r="M141" s="571">
        <f>SUBTOTAL(9,M142:M148)</f>
        <v>54664000</v>
      </c>
      <c r="N141" s="571">
        <f>SUBTOTAL(9,N142:N148)</f>
        <v>81996000</v>
      </c>
      <c r="O141" s="574"/>
      <c r="P141" s="599">
        <f>SUBTOTAL(9,P142:P148)</f>
        <v>0</v>
      </c>
      <c r="Q141" s="571"/>
      <c r="R141" s="571">
        <f>SUBTOTAL(9,R142:R148)</f>
        <v>0</v>
      </c>
      <c r="S141" s="582"/>
      <c r="T141" s="597"/>
      <c r="U141" s="600">
        <f>SUBTOTAL(9,U142:U148)</f>
        <v>7.6</v>
      </c>
      <c r="V141" s="597"/>
      <c r="W141" s="571"/>
      <c r="X141" s="571">
        <f>SUBTOTAL(9,X142:X148)</f>
        <v>1859000</v>
      </c>
      <c r="Y141" s="589"/>
      <c r="Z141" s="592"/>
      <c r="AA141" s="592"/>
      <c r="AB141" s="568"/>
      <c r="AC141" s="592"/>
      <c r="AD141" s="592"/>
      <c r="AE141" s="634"/>
      <c r="AF141" s="599">
        <f>SUBTOTAL(9,AF142:AF148)</f>
        <v>0</v>
      </c>
      <c r="AG141" s="585"/>
      <c r="AH141" s="585">
        <f>SUBTOTAL(9,AH142:AH148)</f>
        <v>0</v>
      </c>
      <c r="AI141" s="571">
        <f t="shared" si="27"/>
        <v>138519000</v>
      </c>
      <c r="AJ141" s="574"/>
      <c r="AK141" s="578"/>
      <c r="AM141" s="473"/>
    </row>
    <row r="142" spans="1:39" s="376" customFormat="1" ht="166.5" customHeight="1" outlineLevel="2" x14ac:dyDescent="0.3">
      <c r="A142" s="447">
        <f>IF(B141&lt;&gt;0,B141,A140)</f>
        <v>16</v>
      </c>
      <c r="B142" s="557"/>
      <c r="C142" s="558" t="s">
        <v>108</v>
      </c>
      <c r="D142" s="587">
        <v>4</v>
      </c>
      <c r="E142" s="587">
        <v>86</v>
      </c>
      <c r="F142" s="560">
        <v>1581</v>
      </c>
      <c r="G142" s="558" t="s">
        <v>2891</v>
      </c>
      <c r="H142" s="588">
        <f>98.6-H143</f>
        <v>49.3</v>
      </c>
      <c r="I142" s="546" t="str">
        <f t="shared" ref="I142:I143" si="28">IF(N142&gt;0,H142,"")</f>
        <v/>
      </c>
      <c r="J142" s="589"/>
      <c r="K142" s="563">
        <f>IF(G142&lt;&gt;0,VLOOKUP(G142,'gia dat'!$A$1:$F$144,5,0)," ")</f>
        <v>554400</v>
      </c>
      <c r="L142" s="563">
        <f>IF(G142&lt;&gt;0,VLOOKUP(G142,'gia dat'!$A$1:$F$144,6,0)," ")</f>
        <v>0</v>
      </c>
      <c r="M142" s="564">
        <f t="shared" si="16"/>
        <v>27332000</v>
      </c>
      <c r="N142" s="564">
        <f t="shared" si="17"/>
        <v>0</v>
      </c>
      <c r="O142" s="558"/>
      <c r="P142" s="590"/>
      <c r="Q142" s="564" t="str">
        <f>IF(O142&lt;&gt;0,VLOOKUP(O142,'Cây trong'!$A$2:$C$246,3,0)," ")</f>
        <v xml:space="preserve"> </v>
      </c>
      <c r="R142" s="564" t="str">
        <f t="shared" si="24"/>
        <v xml:space="preserve"> </v>
      </c>
      <c r="S142" s="566" t="s">
        <v>1839</v>
      </c>
      <c r="T142" s="589" t="s">
        <v>53</v>
      </c>
      <c r="U142" s="591">
        <v>7.6</v>
      </c>
      <c r="V142" s="589"/>
      <c r="W142" s="564">
        <f>IF(S142&lt;&gt;0,VLOOKUP(S142,VKT!$A$2:$G$415,7,0),"")</f>
        <v>244604</v>
      </c>
      <c r="X142" s="564">
        <f t="shared" si="18"/>
        <v>1859000</v>
      </c>
      <c r="Y142" s="589"/>
      <c r="Z142" s="592"/>
      <c r="AA142" s="592"/>
      <c r="AB142" s="568"/>
      <c r="AC142" s="592"/>
      <c r="AD142" s="592"/>
      <c r="AE142" s="606"/>
      <c r="AF142" s="590"/>
      <c r="AG142" s="570" t="str">
        <f>IF(AE142&lt;&gt;0,VLOOKUP(AE142,ODDS!$A$2:$C$13,3,0),"")</f>
        <v/>
      </c>
      <c r="AH142" s="570"/>
      <c r="AI142" s="571" t="str">
        <f t="shared" si="27"/>
        <v xml:space="preserve"> </v>
      </c>
      <c r="AJ142" s="558" t="s">
        <v>639</v>
      </c>
      <c r="AK142" s="586" t="s">
        <v>2771</v>
      </c>
      <c r="AM142" s="378" t="s">
        <v>2157</v>
      </c>
    </row>
    <row r="143" spans="1:39" s="376" customFormat="1" ht="81" outlineLevel="2" x14ac:dyDescent="0.3">
      <c r="A143" s="447">
        <f t="shared" ref="A143:A148" si="29">IF(B142&lt;&gt;0,B142,A142)</f>
        <v>16</v>
      </c>
      <c r="B143" s="557"/>
      <c r="C143" s="574" t="s">
        <v>109</v>
      </c>
      <c r="D143" s="587"/>
      <c r="E143" s="587"/>
      <c r="F143" s="560"/>
      <c r="G143" s="558" t="s">
        <v>2893</v>
      </c>
      <c r="H143" s="588">
        <v>49.3</v>
      </c>
      <c r="I143" s="546">
        <f t="shared" si="28"/>
        <v>49.3</v>
      </c>
      <c r="J143" s="589"/>
      <c r="K143" s="563">
        <f>IF(G143&lt;&gt;0,VLOOKUP(G143,'gia dat'!$A$1:$F$144,5,0)," ")</f>
        <v>554400</v>
      </c>
      <c r="L143" s="563">
        <f>IF(G143&lt;&gt;0,VLOOKUP(G143,'gia dat'!$A$1:$F$144,6,0)," ")</f>
        <v>1663200</v>
      </c>
      <c r="M143" s="564">
        <f t="shared" si="16"/>
        <v>27332000</v>
      </c>
      <c r="N143" s="564">
        <f t="shared" si="17"/>
        <v>81996000</v>
      </c>
      <c r="O143" s="558"/>
      <c r="P143" s="590"/>
      <c r="Q143" s="564" t="str">
        <f>IF(O143&lt;&gt;0,VLOOKUP(O143,'Cây trong'!$A$2:$C$246,3,0)," ")</f>
        <v xml:space="preserve"> </v>
      </c>
      <c r="R143" s="564" t="str">
        <f t="shared" si="24"/>
        <v xml:space="preserve"> </v>
      </c>
      <c r="S143" s="566"/>
      <c r="T143" s="589"/>
      <c r="U143" s="591"/>
      <c r="V143" s="589"/>
      <c r="W143" s="564" t="str">
        <f>IF(S143&lt;&gt;0,VLOOKUP(S143,VKT!$A$2:$G$415,7,0),"")</f>
        <v/>
      </c>
      <c r="X143" s="564" t="str">
        <f t="shared" si="18"/>
        <v xml:space="preserve"> </v>
      </c>
      <c r="Y143" s="589"/>
      <c r="Z143" s="592"/>
      <c r="AA143" s="592"/>
      <c r="AB143" s="568"/>
      <c r="AC143" s="592"/>
      <c r="AD143" s="592"/>
      <c r="AE143" s="592"/>
      <c r="AF143" s="590"/>
      <c r="AG143" s="570" t="str">
        <f>IF(AE143&lt;&gt;0,VLOOKUP(AE143,ODDS!$A$2:$C$13,3,0),"")</f>
        <v/>
      </c>
      <c r="AH143" s="570" t="str">
        <f t="shared" si="25"/>
        <v xml:space="preserve"> </v>
      </c>
      <c r="AI143" s="571" t="str">
        <f t="shared" si="27"/>
        <v xml:space="preserve"> </v>
      </c>
      <c r="AJ143" s="558" t="s">
        <v>436</v>
      </c>
      <c r="AK143" s="558" t="s">
        <v>2448</v>
      </c>
    </row>
    <row r="144" spans="1:39" s="376" customFormat="1" ht="121.5" outlineLevel="2" x14ac:dyDescent="0.3">
      <c r="A144" s="447">
        <f t="shared" si="29"/>
        <v>16</v>
      </c>
      <c r="B144" s="557"/>
      <c r="C144" s="572" t="s">
        <v>110</v>
      </c>
      <c r="D144" s="594"/>
      <c r="E144" s="587"/>
      <c r="F144" s="560"/>
      <c r="G144" s="558"/>
      <c r="H144" s="588"/>
      <c r="I144" s="546"/>
      <c r="J144" s="608"/>
      <c r="K144" s="563" t="str">
        <f>IF(G144&lt;&gt;0,VLOOKUP(G144,'gia dat'!$A$1:$F$144,5,0)," ")</f>
        <v xml:space="preserve"> </v>
      </c>
      <c r="L144" s="563" t="str">
        <f>IF(G144&lt;&gt;0,VLOOKUP(G144,'gia dat'!$A$1:$F$144,6,0)," ")</f>
        <v xml:space="preserve"> </v>
      </c>
      <c r="M144" s="564" t="str">
        <f t="shared" si="16"/>
        <v xml:space="preserve"> </v>
      </c>
      <c r="N144" s="564" t="str">
        <f t="shared" si="17"/>
        <v xml:space="preserve"> </v>
      </c>
      <c r="O144" s="578"/>
      <c r="P144" s="590"/>
      <c r="Q144" s="564" t="str">
        <f>IF(O144&lt;&gt;0,VLOOKUP(O144,'Cây trong'!$A$2:$C$246,3,0)," ")</f>
        <v xml:space="preserve"> </v>
      </c>
      <c r="R144" s="564" t="str">
        <f t="shared" si="24"/>
        <v xml:space="preserve"> </v>
      </c>
      <c r="S144" s="578"/>
      <c r="T144" s="621"/>
      <c r="U144" s="591"/>
      <c r="V144" s="597"/>
      <c r="W144" s="564" t="str">
        <f>IF(S144&lt;&gt;0,VLOOKUP(S144,VKT!$A$2:$G$415,7,0),"")</f>
        <v/>
      </c>
      <c r="X144" s="564" t="str">
        <f t="shared" si="18"/>
        <v xml:space="preserve"> </v>
      </c>
      <c r="Y144" s="580"/>
      <c r="Z144" s="601"/>
      <c r="AA144" s="601"/>
      <c r="AB144" s="584"/>
      <c r="AC144" s="601"/>
      <c r="AD144" s="601"/>
      <c r="AE144" s="601"/>
      <c r="AF144" s="599"/>
      <c r="AG144" s="570" t="str">
        <f>IF(AE144&lt;&gt;0,VLOOKUP(AE144,ODDS!$A$2:$C$13,3,0),"")</f>
        <v/>
      </c>
      <c r="AH144" s="570" t="str">
        <f t="shared" si="25"/>
        <v xml:space="preserve"> </v>
      </c>
      <c r="AI144" s="571" t="str">
        <f t="shared" si="27"/>
        <v xml:space="preserve"> </v>
      </c>
      <c r="AJ144" s="608" t="s">
        <v>111</v>
      </c>
      <c r="AK144" s="558" t="s">
        <v>2450</v>
      </c>
    </row>
    <row r="145" spans="1:37" s="376" customFormat="1" ht="101.25" outlineLevel="2" x14ac:dyDescent="0.3">
      <c r="A145" s="447">
        <f t="shared" si="29"/>
        <v>16</v>
      </c>
      <c r="B145" s="557"/>
      <c r="C145" s="628" t="s">
        <v>640</v>
      </c>
      <c r="D145" s="603"/>
      <c r="E145" s="587"/>
      <c r="F145" s="560"/>
      <c r="G145" s="558"/>
      <c r="H145" s="588"/>
      <c r="I145" s="546"/>
      <c r="J145" s="593"/>
      <c r="K145" s="563" t="str">
        <f>IF(G145&lt;&gt;0,VLOOKUP(G145,'gia dat'!$A$1:$F$144,5,0)," ")</f>
        <v xml:space="preserve"> </v>
      </c>
      <c r="L145" s="563" t="str">
        <f>IF(G145&lt;&gt;0,VLOOKUP(G145,'gia dat'!$A$1:$F$144,6,0)," ")</f>
        <v xml:space="preserve"> </v>
      </c>
      <c r="M145" s="564" t="str">
        <f t="shared" si="16"/>
        <v xml:space="preserve"> </v>
      </c>
      <c r="N145" s="564" t="str">
        <f t="shared" si="17"/>
        <v xml:space="preserve"> </v>
      </c>
      <c r="O145" s="586"/>
      <c r="P145" s="590"/>
      <c r="Q145" s="564" t="str">
        <f>IF(O145&lt;&gt;0,VLOOKUP(O145,'Cây trong'!$A$2:$C$246,3,0)," ")</f>
        <v xml:space="preserve"> </v>
      </c>
      <c r="R145" s="564" t="str">
        <f t="shared" si="24"/>
        <v xml:space="preserve"> </v>
      </c>
      <c r="S145" s="586"/>
      <c r="T145" s="609"/>
      <c r="U145" s="591"/>
      <c r="V145" s="589"/>
      <c r="W145" s="564" t="str">
        <f>IF(S145&lt;&gt;0,VLOOKUP(S145,VKT!$A$2:$G$415,7,0),"")</f>
        <v/>
      </c>
      <c r="X145" s="564" t="str">
        <f t="shared" si="18"/>
        <v xml:space="preserve"> </v>
      </c>
      <c r="Y145" s="562"/>
      <c r="Z145" s="592"/>
      <c r="AA145" s="592"/>
      <c r="AB145" s="568"/>
      <c r="AC145" s="592"/>
      <c r="AD145" s="592"/>
      <c r="AE145" s="592"/>
      <c r="AF145" s="590"/>
      <c r="AG145" s="570" t="str">
        <f>IF(AE145&lt;&gt;0,VLOOKUP(AE145,ODDS!$A$2:$C$13,3,0),"")</f>
        <v/>
      </c>
      <c r="AH145" s="570" t="str">
        <f t="shared" si="25"/>
        <v xml:space="preserve"> </v>
      </c>
      <c r="AI145" s="571" t="str">
        <f t="shared" si="27"/>
        <v xml:space="preserve"> </v>
      </c>
      <c r="AJ145" s="558" t="s">
        <v>2192</v>
      </c>
      <c r="AK145" s="558" t="s">
        <v>2800</v>
      </c>
    </row>
    <row r="146" spans="1:37" s="376" customFormat="1" ht="20.25" outlineLevel="2" x14ac:dyDescent="0.3">
      <c r="A146" s="447">
        <f t="shared" si="29"/>
        <v>16</v>
      </c>
      <c r="B146" s="557"/>
      <c r="C146" s="628"/>
      <c r="D146" s="587"/>
      <c r="E146" s="587"/>
      <c r="F146" s="615"/>
      <c r="G146" s="558"/>
      <c r="H146" s="604"/>
      <c r="I146" s="546"/>
      <c r="J146" s="593"/>
      <c r="K146" s="563" t="str">
        <f>IF(G146&lt;&gt;0,VLOOKUP(G146,'gia dat'!$A$1:$F$144,5,0)," ")</f>
        <v xml:space="preserve"> </v>
      </c>
      <c r="L146" s="563" t="str">
        <f>IF(G146&lt;&gt;0,VLOOKUP(G146,'gia dat'!$A$1:$F$144,6,0)," ")</f>
        <v xml:space="preserve"> </v>
      </c>
      <c r="M146" s="564" t="str">
        <f t="shared" si="16"/>
        <v xml:space="preserve"> </v>
      </c>
      <c r="N146" s="564" t="str">
        <f t="shared" si="17"/>
        <v xml:space="preserve"> </v>
      </c>
      <c r="O146" s="593"/>
      <c r="P146" s="616"/>
      <c r="Q146" s="564" t="str">
        <f>IF(O146&lt;&gt;0,VLOOKUP(O146,'Cây trong'!$A$2:$C$246,3,0)," ")</f>
        <v xml:space="preserve"> </v>
      </c>
      <c r="R146" s="564" t="str">
        <f t="shared" si="24"/>
        <v xml:space="preserve"> </v>
      </c>
      <c r="S146" s="593"/>
      <c r="T146" s="593"/>
      <c r="U146" s="617"/>
      <c r="V146" s="589"/>
      <c r="W146" s="564" t="str">
        <f>IF(S146&lt;&gt;0,VLOOKUP(S146,VKT!$A$2:$G$415,7,0),"")</f>
        <v/>
      </c>
      <c r="X146" s="564" t="str">
        <f t="shared" si="18"/>
        <v xml:space="preserve"> </v>
      </c>
      <c r="Y146" s="589"/>
      <c r="Z146" s="589"/>
      <c r="AA146" s="589"/>
      <c r="AB146" s="562"/>
      <c r="AC146" s="589"/>
      <c r="AD146" s="589"/>
      <c r="AE146" s="589"/>
      <c r="AF146" s="629"/>
      <c r="AG146" s="570" t="str">
        <f>IF(AE146&lt;&gt;0,VLOOKUP(AE146,ODDS!$A$2:$C$13,3,0),"")</f>
        <v/>
      </c>
      <c r="AH146" s="570" t="str">
        <f t="shared" si="25"/>
        <v xml:space="preserve"> </v>
      </c>
      <c r="AI146" s="571" t="str">
        <f t="shared" si="27"/>
        <v xml:space="preserve"> </v>
      </c>
      <c r="AJ146" s="575"/>
      <c r="AK146" s="593"/>
    </row>
    <row r="147" spans="1:37" s="376" customFormat="1" ht="20.25" outlineLevel="2" x14ac:dyDescent="0.3">
      <c r="A147" s="447">
        <f t="shared" si="29"/>
        <v>16</v>
      </c>
      <c r="B147" s="557"/>
      <c r="C147" s="607"/>
      <c r="D147" s="587"/>
      <c r="E147" s="587"/>
      <c r="F147" s="615"/>
      <c r="G147" s="558"/>
      <c r="H147" s="604"/>
      <c r="I147" s="546"/>
      <c r="J147" s="593"/>
      <c r="K147" s="563" t="str">
        <f>IF(G147&lt;&gt;0,VLOOKUP(G147,'gia dat'!$A$1:$F$144,5,0)," ")</f>
        <v xml:space="preserve"> </v>
      </c>
      <c r="L147" s="563" t="str">
        <f>IF(G147&lt;&gt;0,VLOOKUP(G147,'gia dat'!$A$1:$F$144,6,0)," ")</f>
        <v xml:space="preserve"> </v>
      </c>
      <c r="M147" s="564" t="str">
        <f t="shared" si="16"/>
        <v xml:space="preserve"> </v>
      </c>
      <c r="N147" s="564" t="str">
        <f t="shared" si="17"/>
        <v xml:space="preserve"> </v>
      </c>
      <c r="O147" s="593"/>
      <c r="P147" s="616"/>
      <c r="Q147" s="564" t="str">
        <f>IF(O147&lt;&gt;0,VLOOKUP(O147,'Cây trong'!$A$2:$C$246,3,0)," ")</f>
        <v xml:space="preserve"> </v>
      </c>
      <c r="R147" s="564" t="str">
        <f t="shared" si="24"/>
        <v xml:space="preserve"> </v>
      </c>
      <c r="S147" s="593"/>
      <c r="T147" s="593"/>
      <c r="U147" s="617"/>
      <c r="V147" s="589"/>
      <c r="W147" s="564" t="str">
        <f>IF(S147&lt;&gt;0,VLOOKUP(S147,VKT!$A$2:$G$415,7,0),"")</f>
        <v/>
      </c>
      <c r="X147" s="564" t="str">
        <f t="shared" si="18"/>
        <v xml:space="preserve"> </v>
      </c>
      <c r="Y147" s="589"/>
      <c r="Z147" s="589"/>
      <c r="AA147" s="589"/>
      <c r="AB147" s="562"/>
      <c r="AC147" s="589"/>
      <c r="AD147" s="589"/>
      <c r="AE147" s="589"/>
      <c r="AF147" s="629"/>
      <c r="AG147" s="570" t="str">
        <f>IF(AE147&lt;&gt;0,VLOOKUP(AE147,ODDS!$A$2:$C$13,3,0),"")</f>
        <v/>
      </c>
      <c r="AH147" s="570" t="str">
        <f t="shared" si="25"/>
        <v xml:space="preserve"> </v>
      </c>
      <c r="AI147" s="571" t="str">
        <f t="shared" si="27"/>
        <v xml:space="preserve"> </v>
      </c>
      <c r="AJ147" s="575"/>
      <c r="AK147" s="593"/>
    </row>
    <row r="148" spans="1:37" s="376" customFormat="1" ht="20.25" outlineLevel="2" x14ac:dyDescent="0.3">
      <c r="A148" s="447">
        <f t="shared" si="29"/>
        <v>16</v>
      </c>
      <c r="B148" s="557"/>
      <c r="C148" s="574"/>
      <c r="D148" s="594"/>
      <c r="E148" s="595"/>
      <c r="F148" s="577"/>
      <c r="G148" s="574"/>
      <c r="H148" s="588"/>
      <c r="I148" s="546"/>
      <c r="J148" s="608"/>
      <c r="K148" s="563" t="str">
        <f>IF(G148&lt;&gt;0,VLOOKUP(G148,'gia dat'!$A$1:$F$144,5,0)," ")</f>
        <v xml:space="preserve"> </v>
      </c>
      <c r="L148" s="563" t="str">
        <f>IF(G148&lt;&gt;0,VLOOKUP(G148,'gia dat'!$A$1:$F$144,6,0)," ")</f>
        <v xml:space="preserve"> </v>
      </c>
      <c r="M148" s="564" t="str">
        <f t="shared" si="16"/>
        <v xml:space="preserve"> </v>
      </c>
      <c r="N148" s="564" t="str">
        <f t="shared" si="17"/>
        <v xml:space="preserve"> </v>
      </c>
      <c r="O148" s="578"/>
      <c r="P148" s="633"/>
      <c r="Q148" s="564" t="str">
        <f>IF(O148&lt;&gt;0,VLOOKUP(O148,'Cây trong'!$A$2:$C$246,3,0)," ")</f>
        <v xml:space="preserve"> </v>
      </c>
      <c r="R148" s="564" t="str">
        <f t="shared" si="24"/>
        <v xml:space="preserve"> </v>
      </c>
      <c r="S148" s="578"/>
      <c r="T148" s="621"/>
      <c r="U148" s="591"/>
      <c r="V148" s="597"/>
      <c r="W148" s="564" t="str">
        <f>IF(S148&lt;&gt;0,VLOOKUP(S148,VKT!$A$2:$G$415,7,0),"")</f>
        <v/>
      </c>
      <c r="X148" s="564" t="str">
        <f t="shared" si="18"/>
        <v xml:space="preserve"> </v>
      </c>
      <c r="Y148" s="580"/>
      <c r="Z148" s="601"/>
      <c r="AA148" s="601"/>
      <c r="AB148" s="584"/>
      <c r="AC148" s="601"/>
      <c r="AD148" s="601"/>
      <c r="AE148" s="601"/>
      <c r="AF148" s="599"/>
      <c r="AG148" s="570" t="str">
        <f>IF(AE148&lt;&gt;0,VLOOKUP(AE148,ODDS!$A$2:$C$13,3,0),"")</f>
        <v/>
      </c>
      <c r="AH148" s="570" t="str">
        <f t="shared" si="25"/>
        <v xml:space="preserve"> </v>
      </c>
      <c r="AI148" s="571" t="str">
        <f t="shared" si="27"/>
        <v xml:space="preserve"> </v>
      </c>
      <c r="AJ148" s="608"/>
      <c r="AK148" s="608"/>
    </row>
    <row r="149" spans="1:37" s="376" customFormat="1" ht="20.25" outlineLevel="1" x14ac:dyDescent="0.25">
      <c r="A149" s="467" t="s">
        <v>2693</v>
      </c>
      <c r="B149" s="576">
        <v>17</v>
      </c>
      <c r="C149" s="574" t="s">
        <v>50</v>
      </c>
      <c r="D149" s="595"/>
      <c r="E149" s="595"/>
      <c r="F149" s="577"/>
      <c r="G149" s="574"/>
      <c r="H149" s="618">
        <f>SUBTOTAL(9,H150:H156)</f>
        <v>123.5</v>
      </c>
      <c r="I149" s="579">
        <f>SUBTOTAL(9,I150:I155)</f>
        <v>44.1</v>
      </c>
      <c r="J149" s="608"/>
      <c r="K149" s="581"/>
      <c r="L149" s="581"/>
      <c r="M149" s="571">
        <f>SUBTOTAL(9,M150:M156)</f>
        <v>344723000</v>
      </c>
      <c r="N149" s="571">
        <f>SUBTOTAL(9,N150:N156)</f>
        <v>73347000</v>
      </c>
      <c r="O149" s="578"/>
      <c r="P149" s="599">
        <f>SUBTOTAL(9,P150:P156)</f>
        <v>0</v>
      </c>
      <c r="Q149" s="571"/>
      <c r="R149" s="571">
        <f>SUBTOTAL(9,R150:R156)</f>
        <v>0</v>
      </c>
      <c r="S149" s="582"/>
      <c r="T149" s="597"/>
      <c r="U149" s="600">
        <f>SUBTOTAL(9,U150:U156)</f>
        <v>80</v>
      </c>
      <c r="V149" s="597"/>
      <c r="W149" s="571"/>
      <c r="X149" s="571">
        <f>SUBTOTAL(9,X150:X156)</f>
        <v>50045000</v>
      </c>
      <c r="Y149" s="589"/>
      <c r="Z149" s="592"/>
      <c r="AA149" s="592"/>
      <c r="AB149" s="568"/>
      <c r="AC149" s="592"/>
      <c r="AD149" s="592"/>
      <c r="AE149" s="634"/>
      <c r="AF149" s="599">
        <f>SUBTOTAL(9,AF150:AF156)</f>
        <v>0</v>
      </c>
      <c r="AG149" s="585"/>
      <c r="AH149" s="585">
        <f>SUBTOTAL(9,AH150:AH156)</f>
        <v>0</v>
      </c>
      <c r="AI149" s="571">
        <f t="shared" si="27"/>
        <v>468115000</v>
      </c>
      <c r="AJ149" s="574"/>
      <c r="AK149" s="578"/>
    </row>
    <row r="150" spans="1:37" s="376" customFormat="1" ht="121.5" outlineLevel="2" x14ac:dyDescent="0.3">
      <c r="A150" s="447">
        <f>IF(B149&lt;&gt;0,B149,A148)</f>
        <v>17</v>
      </c>
      <c r="B150" s="557"/>
      <c r="C150" s="558" t="s">
        <v>112</v>
      </c>
      <c r="D150" s="587">
        <v>2</v>
      </c>
      <c r="E150" s="587">
        <v>86</v>
      </c>
      <c r="F150" s="560">
        <v>198</v>
      </c>
      <c r="G150" s="558" t="s">
        <v>2034</v>
      </c>
      <c r="H150" s="588">
        <v>79.400000000000006</v>
      </c>
      <c r="I150" s="546" t="str">
        <f t="shared" ref="I150:I151" si="30">IF(N150&gt;0,H150,"")</f>
        <v/>
      </c>
      <c r="J150" s="593"/>
      <c r="K150" s="563">
        <f>IF(G150&lt;&gt;0,VLOOKUP(G150,'gia dat'!$A$1:$F$144,5,0)," ")</f>
        <v>4033679.9999999995</v>
      </c>
      <c r="L150" s="563">
        <f>IF(G150&lt;&gt;0,VLOOKUP(G150,'gia dat'!$A$1:$F$144,6,0)," ")</f>
        <v>0</v>
      </c>
      <c r="M150" s="564">
        <f t="shared" si="16"/>
        <v>320274000</v>
      </c>
      <c r="N150" s="564">
        <f t="shared" si="17"/>
        <v>0</v>
      </c>
      <c r="O150" s="586"/>
      <c r="P150" s="590"/>
      <c r="Q150" s="564" t="str">
        <f>IF(O150&lt;&gt;0,VLOOKUP(O150,'Cây trong'!$A$2:$C$246,3,0)," ")</f>
        <v xml:space="preserve"> </v>
      </c>
      <c r="R150" s="564" t="str">
        <f t="shared" si="24"/>
        <v xml:space="preserve"> </v>
      </c>
      <c r="S150" s="566" t="s">
        <v>2269</v>
      </c>
      <c r="T150" s="589" t="s">
        <v>53</v>
      </c>
      <c r="U150" s="591">
        <v>80</v>
      </c>
      <c r="V150" s="589"/>
      <c r="W150" s="564">
        <f>IF(S150&lt;&gt;0,VLOOKUP(S150,VKT!$A$2:$G$415,7,0),"")</f>
        <v>625568</v>
      </c>
      <c r="X150" s="564">
        <f t="shared" ref="X150:X221" si="31">IF(S150&lt;&gt;0,ROUND(U150*W150,-3)," ")</f>
        <v>50045000</v>
      </c>
      <c r="Y150" s="589"/>
      <c r="Z150" s="592"/>
      <c r="AA150" s="592"/>
      <c r="AB150" s="568"/>
      <c r="AC150" s="592"/>
      <c r="AD150" s="592"/>
      <c r="AE150" s="606"/>
      <c r="AF150" s="590"/>
      <c r="AG150" s="570" t="str">
        <f>IF(AE150&lt;&gt;0,VLOOKUP(AE150,ODDS!$A$2:$C$13,3,0),"")</f>
        <v/>
      </c>
      <c r="AH150" s="570" t="str">
        <f t="shared" si="25"/>
        <v xml:space="preserve"> </v>
      </c>
      <c r="AI150" s="571" t="str">
        <f t="shared" si="27"/>
        <v xml:space="preserve"> </v>
      </c>
      <c r="AJ150" s="558" t="s">
        <v>641</v>
      </c>
      <c r="AK150" s="586" t="s">
        <v>2771</v>
      </c>
    </row>
    <row r="151" spans="1:37" s="376" customFormat="1" ht="101.25" outlineLevel="2" x14ac:dyDescent="0.3">
      <c r="A151" s="447">
        <f t="shared" ref="A151:A156" si="32">IF(B150&lt;&gt;0,B150,A150)</f>
        <v>17</v>
      </c>
      <c r="B151" s="557"/>
      <c r="C151" s="628" t="s">
        <v>642</v>
      </c>
      <c r="D151" s="587"/>
      <c r="E151" s="587">
        <v>86</v>
      </c>
      <c r="F151" s="560">
        <v>198</v>
      </c>
      <c r="G151" s="558" t="s">
        <v>2892</v>
      </c>
      <c r="H151" s="588">
        <v>44.1</v>
      </c>
      <c r="I151" s="546">
        <f t="shared" si="30"/>
        <v>44.1</v>
      </c>
      <c r="J151" s="589"/>
      <c r="K151" s="563">
        <f>IF(G151&lt;&gt;0,VLOOKUP(G151,'gia dat'!$A$1:$F$144,5,0)," ")</f>
        <v>554400</v>
      </c>
      <c r="L151" s="563">
        <f>IF(G151&lt;&gt;0,VLOOKUP(G151,'gia dat'!$A$1:$F$144,6,0)," ")</f>
        <v>1663200</v>
      </c>
      <c r="M151" s="564">
        <f t="shared" si="16"/>
        <v>24449000</v>
      </c>
      <c r="N151" s="564">
        <f t="shared" si="17"/>
        <v>73347000</v>
      </c>
      <c r="O151" s="565"/>
      <c r="P151" s="590"/>
      <c r="Q151" s="564" t="str">
        <f>IF(O151&lt;&gt;0,VLOOKUP(O151,'Cây trong'!$A$2:$C$246,3,0)," ")</f>
        <v xml:space="preserve"> </v>
      </c>
      <c r="R151" s="564" t="str">
        <f t="shared" si="24"/>
        <v xml:space="preserve"> </v>
      </c>
      <c r="S151" s="566"/>
      <c r="T151" s="589"/>
      <c r="U151" s="591"/>
      <c r="V151" s="589"/>
      <c r="W151" s="564" t="str">
        <f>IF(S151&lt;&gt;0,VLOOKUP(S151,VKT!$A$2:$G$415,7,0),"")</f>
        <v/>
      </c>
      <c r="X151" s="564" t="str">
        <f t="shared" si="31"/>
        <v xml:space="preserve"> </v>
      </c>
      <c r="Y151" s="589"/>
      <c r="Z151" s="592"/>
      <c r="AA151" s="592"/>
      <c r="AB151" s="568"/>
      <c r="AC151" s="592"/>
      <c r="AD151" s="592"/>
      <c r="AE151" s="592"/>
      <c r="AF151" s="590"/>
      <c r="AG151" s="570" t="str">
        <f>IF(AE151&lt;&gt;0,VLOOKUP(AE151,ODDS!$A$2:$C$13,3,0),"")</f>
        <v/>
      </c>
      <c r="AH151" s="570" t="str">
        <f t="shared" si="25"/>
        <v xml:space="preserve"> </v>
      </c>
      <c r="AI151" s="571" t="str">
        <f t="shared" si="27"/>
        <v xml:space="preserve"> </v>
      </c>
      <c r="AJ151" s="558" t="s">
        <v>440</v>
      </c>
      <c r="AK151" s="558" t="s">
        <v>2448</v>
      </c>
    </row>
    <row r="152" spans="1:37" s="376" customFormat="1" ht="121.5" outlineLevel="2" x14ac:dyDescent="0.3">
      <c r="A152" s="447">
        <f t="shared" si="32"/>
        <v>17</v>
      </c>
      <c r="B152" s="557"/>
      <c r="C152" s="635"/>
      <c r="D152" s="587"/>
      <c r="E152" s="587"/>
      <c r="F152" s="560"/>
      <c r="G152" s="558"/>
      <c r="H152" s="588"/>
      <c r="I152" s="546"/>
      <c r="J152" s="589"/>
      <c r="K152" s="563" t="str">
        <f>IF(G152&lt;&gt;0,VLOOKUP(G152,'gia dat'!$A$1:$F$144,5,0)," ")</f>
        <v xml:space="preserve"> </v>
      </c>
      <c r="L152" s="563" t="str">
        <f>IF(G152&lt;&gt;0,VLOOKUP(G152,'gia dat'!$A$1:$F$144,6,0)," ")</f>
        <v xml:space="preserve"> </v>
      </c>
      <c r="M152" s="564" t="str">
        <f t="shared" si="16"/>
        <v xml:space="preserve"> </v>
      </c>
      <c r="N152" s="564" t="str">
        <f t="shared" si="17"/>
        <v xml:space="preserve"> </v>
      </c>
      <c r="O152" s="565"/>
      <c r="P152" s="590"/>
      <c r="Q152" s="564" t="str">
        <f>IF(O152&lt;&gt;0,VLOOKUP(O152,'Cây trong'!$A$2:$C$246,3,0)," ")</f>
        <v xml:space="preserve"> </v>
      </c>
      <c r="R152" s="564" t="str">
        <f t="shared" si="24"/>
        <v xml:space="preserve"> </v>
      </c>
      <c r="S152" s="566"/>
      <c r="T152" s="589"/>
      <c r="U152" s="591"/>
      <c r="V152" s="589"/>
      <c r="W152" s="564" t="str">
        <f>IF(S152&lt;&gt;0,VLOOKUP(S152,VKT!$A$2:$G$415,7,0),"")</f>
        <v/>
      </c>
      <c r="X152" s="564" t="str">
        <f t="shared" si="31"/>
        <v xml:space="preserve"> </v>
      </c>
      <c r="Y152" s="589"/>
      <c r="Z152" s="592"/>
      <c r="AA152" s="592"/>
      <c r="AB152" s="568"/>
      <c r="AC152" s="592"/>
      <c r="AD152" s="592"/>
      <c r="AE152" s="592"/>
      <c r="AF152" s="590"/>
      <c r="AG152" s="570" t="str">
        <f>IF(AE152&lt;&gt;0,VLOOKUP(AE152,ODDS!$A$2:$C$13,3,0),"")</f>
        <v/>
      </c>
      <c r="AH152" s="570" t="str">
        <f t="shared" si="25"/>
        <v xml:space="preserve"> </v>
      </c>
      <c r="AI152" s="571" t="str">
        <f t="shared" si="27"/>
        <v xml:space="preserve"> </v>
      </c>
      <c r="AJ152" s="593" t="s">
        <v>2140</v>
      </c>
      <c r="AK152" s="558" t="s">
        <v>2450</v>
      </c>
    </row>
    <row r="153" spans="1:37" s="376" customFormat="1" ht="101.25" outlineLevel="2" x14ac:dyDescent="0.3">
      <c r="A153" s="447">
        <f t="shared" si="32"/>
        <v>17</v>
      </c>
      <c r="B153" s="557"/>
      <c r="C153" s="558"/>
      <c r="D153" s="587"/>
      <c r="E153" s="587"/>
      <c r="F153" s="560"/>
      <c r="G153" s="558"/>
      <c r="H153" s="588"/>
      <c r="I153" s="546"/>
      <c r="J153" s="589"/>
      <c r="K153" s="563" t="str">
        <f>IF(G153&lt;&gt;0,VLOOKUP(G153,'gia dat'!$A$1:$F$144,5,0)," ")</f>
        <v xml:space="preserve"> </v>
      </c>
      <c r="L153" s="563" t="str">
        <f>IF(G153&lt;&gt;0,VLOOKUP(G153,'gia dat'!$A$1:$F$144,6,0)," ")</f>
        <v xml:space="preserve"> </v>
      </c>
      <c r="M153" s="564" t="str">
        <f t="shared" si="16"/>
        <v xml:space="preserve"> </v>
      </c>
      <c r="N153" s="564" t="str">
        <f t="shared" si="17"/>
        <v xml:space="preserve"> </v>
      </c>
      <c r="O153" s="558"/>
      <c r="P153" s="590"/>
      <c r="Q153" s="564" t="str">
        <f>IF(O153&lt;&gt;0,VLOOKUP(O153,'Cây trong'!$A$2:$C$246,3,0)," ")</f>
        <v xml:space="preserve"> </v>
      </c>
      <c r="R153" s="564" t="str">
        <f t="shared" si="24"/>
        <v xml:space="preserve"> </v>
      </c>
      <c r="S153" s="566"/>
      <c r="T153" s="589"/>
      <c r="U153" s="591"/>
      <c r="V153" s="589"/>
      <c r="W153" s="564" t="str">
        <f>IF(S153&lt;&gt;0,VLOOKUP(S153,VKT!$A$2:$G$415,7,0),"")</f>
        <v/>
      </c>
      <c r="X153" s="564" t="str">
        <f t="shared" si="31"/>
        <v xml:space="preserve"> </v>
      </c>
      <c r="Y153" s="589"/>
      <c r="Z153" s="592"/>
      <c r="AA153" s="592"/>
      <c r="AB153" s="568"/>
      <c r="AC153" s="592"/>
      <c r="AD153" s="592"/>
      <c r="AE153" s="592"/>
      <c r="AF153" s="590"/>
      <c r="AG153" s="570" t="str">
        <f>IF(AE153&lt;&gt;0,VLOOKUP(AE153,ODDS!$A$2:$C$13,3,0),"")</f>
        <v/>
      </c>
      <c r="AH153" s="570" t="str">
        <f t="shared" si="25"/>
        <v xml:space="preserve"> </v>
      </c>
      <c r="AI153" s="571" t="str">
        <f t="shared" si="27"/>
        <v xml:space="preserve"> </v>
      </c>
      <c r="AJ153" s="558" t="s">
        <v>2074</v>
      </c>
      <c r="AK153" s="558" t="s">
        <v>2800</v>
      </c>
    </row>
    <row r="154" spans="1:37" s="376" customFormat="1" ht="20.25" outlineLevel="2" x14ac:dyDescent="0.3">
      <c r="A154" s="447">
        <f t="shared" si="32"/>
        <v>17</v>
      </c>
      <c r="B154" s="557"/>
      <c r="C154" s="558"/>
      <c r="D154" s="587"/>
      <c r="E154" s="587"/>
      <c r="F154" s="615"/>
      <c r="G154" s="558"/>
      <c r="H154" s="604"/>
      <c r="I154" s="546"/>
      <c r="J154" s="593"/>
      <c r="K154" s="563" t="str">
        <f>IF(G154&lt;&gt;0,VLOOKUP(G154,'gia dat'!$A$1:$F$144,5,0)," ")</f>
        <v xml:space="preserve"> </v>
      </c>
      <c r="L154" s="563" t="str">
        <f>IF(G154&lt;&gt;0,VLOOKUP(G154,'gia dat'!$A$1:$F$144,6,0)," ")</f>
        <v xml:space="preserve"> </v>
      </c>
      <c r="M154" s="564" t="str">
        <f t="shared" ref="M154:M225" si="33">IF(H154&lt;&gt;0,ROUND(H154*K154,-3)," ")</f>
        <v xml:space="preserve"> </v>
      </c>
      <c r="N154" s="564" t="str">
        <f t="shared" ref="N154:N225" si="34">IF(H154&lt;&gt;0,ROUND(H154*L154,-3)," ")</f>
        <v xml:space="preserve"> </v>
      </c>
      <c r="O154" s="593"/>
      <c r="P154" s="616"/>
      <c r="Q154" s="564" t="str">
        <f>IF(O154&lt;&gt;0,VLOOKUP(O154,'Cây trong'!$A$2:$C$246,3,0)," ")</f>
        <v xml:space="preserve"> </v>
      </c>
      <c r="R154" s="564" t="str">
        <f t="shared" si="24"/>
        <v xml:space="preserve"> </v>
      </c>
      <c r="S154" s="593"/>
      <c r="T154" s="593"/>
      <c r="U154" s="617"/>
      <c r="V154" s="589"/>
      <c r="W154" s="564" t="str">
        <f>IF(S154&lt;&gt;0,VLOOKUP(S154,VKT!$A$2:$G$415,7,0),"")</f>
        <v/>
      </c>
      <c r="X154" s="564" t="str">
        <f t="shared" si="31"/>
        <v xml:space="preserve"> </v>
      </c>
      <c r="Y154" s="589"/>
      <c r="Z154" s="589"/>
      <c r="AA154" s="589"/>
      <c r="AB154" s="562"/>
      <c r="AC154" s="589"/>
      <c r="AD154" s="589"/>
      <c r="AE154" s="589"/>
      <c r="AF154" s="629"/>
      <c r="AG154" s="570" t="str">
        <f>IF(AE154&lt;&gt;0,VLOOKUP(AE154,ODDS!$A$2:$C$13,3,0),"")</f>
        <v/>
      </c>
      <c r="AH154" s="570" t="str">
        <f t="shared" si="25"/>
        <v xml:space="preserve"> </v>
      </c>
      <c r="AI154" s="571" t="str">
        <f t="shared" si="27"/>
        <v xml:space="preserve"> </v>
      </c>
      <c r="AJ154" s="575"/>
      <c r="AK154" s="593"/>
    </row>
    <row r="155" spans="1:37" s="376" customFormat="1" ht="20.25" outlineLevel="2" x14ac:dyDescent="0.3">
      <c r="A155" s="447">
        <f t="shared" si="32"/>
        <v>17</v>
      </c>
      <c r="B155" s="557"/>
      <c r="C155" s="558"/>
      <c r="D155" s="587"/>
      <c r="E155" s="587"/>
      <c r="F155" s="615"/>
      <c r="G155" s="558"/>
      <c r="H155" s="604"/>
      <c r="I155" s="546"/>
      <c r="J155" s="593"/>
      <c r="K155" s="563" t="str">
        <f>IF(G155&lt;&gt;0,VLOOKUP(G155,'gia dat'!$A$1:$F$144,5,0)," ")</f>
        <v xml:space="preserve"> </v>
      </c>
      <c r="L155" s="563" t="str">
        <f>IF(G155&lt;&gt;0,VLOOKUP(G155,'gia dat'!$A$1:$F$144,6,0)," ")</f>
        <v xml:space="preserve"> </v>
      </c>
      <c r="M155" s="564" t="str">
        <f t="shared" si="33"/>
        <v xml:space="preserve"> </v>
      </c>
      <c r="N155" s="564" t="str">
        <f t="shared" si="34"/>
        <v xml:space="preserve"> </v>
      </c>
      <c r="O155" s="593"/>
      <c r="P155" s="616"/>
      <c r="Q155" s="564" t="str">
        <f>IF(O155&lt;&gt;0,VLOOKUP(O155,'Cây trong'!$A$2:$C$246,3,0)," ")</f>
        <v xml:space="preserve"> </v>
      </c>
      <c r="R155" s="564" t="str">
        <f t="shared" si="24"/>
        <v xml:space="preserve"> </v>
      </c>
      <c r="S155" s="593"/>
      <c r="T155" s="593"/>
      <c r="U155" s="617"/>
      <c r="V155" s="589"/>
      <c r="W155" s="564" t="str">
        <f>IF(S155&lt;&gt;0,VLOOKUP(S155,VKT!$A$2:$G$415,7,0),"")</f>
        <v/>
      </c>
      <c r="X155" s="564" t="str">
        <f t="shared" si="31"/>
        <v xml:space="preserve"> </v>
      </c>
      <c r="Y155" s="589"/>
      <c r="Z155" s="589"/>
      <c r="AA155" s="589"/>
      <c r="AB155" s="562"/>
      <c r="AC155" s="589"/>
      <c r="AD155" s="589"/>
      <c r="AE155" s="589"/>
      <c r="AF155" s="629"/>
      <c r="AG155" s="570" t="str">
        <f>IF(AE155&lt;&gt;0,VLOOKUP(AE155,ODDS!$A$2:$C$13,3,0),"")</f>
        <v/>
      </c>
      <c r="AH155" s="570" t="str">
        <f t="shared" si="25"/>
        <v xml:space="preserve"> </v>
      </c>
      <c r="AI155" s="571" t="str">
        <f t="shared" si="27"/>
        <v xml:space="preserve"> </v>
      </c>
      <c r="AJ155" s="593"/>
      <c r="AK155" s="593"/>
    </row>
    <row r="156" spans="1:37" s="376" customFormat="1" ht="20.25" outlineLevel="2" x14ac:dyDescent="0.3">
      <c r="A156" s="447">
        <f t="shared" si="32"/>
        <v>17</v>
      </c>
      <c r="B156" s="557"/>
      <c r="C156" s="607"/>
      <c r="D156" s="587"/>
      <c r="E156" s="587"/>
      <c r="F156" s="615"/>
      <c r="G156" s="558"/>
      <c r="H156" s="604"/>
      <c r="I156" s="546"/>
      <c r="J156" s="593"/>
      <c r="K156" s="563" t="str">
        <f>IF(G156&lt;&gt;0,VLOOKUP(G156,'gia dat'!$A$1:$F$144,5,0)," ")</f>
        <v xml:space="preserve"> </v>
      </c>
      <c r="L156" s="563" t="str">
        <f>IF(G156&lt;&gt;0,VLOOKUP(G156,'gia dat'!$A$1:$F$144,6,0)," ")</f>
        <v xml:space="preserve"> </v>
      </c>
      <c r="M156" s="564" t="str">
        <f t="shared" si="33"/>
        <v xml:space="preserve"> </v>
      </c>
      <c r="N156" s="564" t="str">
        <f t="shared" si="34"/>
        <v xml:space="preserve"> </v>
      </c>
      <c r="O156" s="593"/>
      <c r="P156" s="616"/>
      <c r="Q156" s="564" t="str">
        <f>IF(O156&lt;&gt;0,VLOOKUP(O156,'Cây trong'!$A$2:$C$246,3,0)," ")</f>
        <v xml:space="preserve"> </v>
      </c>
      <c r="R156" s="564" t="str">
        <f t="shared" si="24"/>
        <v xml:space="preserve"> </v>
      </c>
      <c r="S156" s="593"/>
      <c r="T156" s="593"/>
      <c r="U156" s="617"/>
      <c r="V156" s="589"/>
      <c r="W156" s="564" t="str">
        <f>IF(S156&lt;&gt;0,VLOOKUP(S156,VKT!$A$2:$G$415,7,0),"")</f>
        <v/>
      </c>
      <c r="X156" s="564" t="str">
        <f t="shared" si="31"/>
        <v xml:space="preserve"> </v>
      </c>
      <c r="Y156" s="589"/>
      <c r="Z156" s="589"/>
      <c r="AA156" s="589"/>
      <c r="AB156" s="562"/>
      <c r="AC156" s="589"/>
      <c r="AD156" s="589"/>
      <c r="AE156" s="589"/>
      <c r="AF156" s="629"/>
      <c r="AG156" s="570" t="str">
        <f>IF(AE156&lt;&gt;0,VLOOKUP(AE156,ODDS!$A$2:$C$13,3,0),"")</f>
        <v/>
      </c>
      <c r="AH156" s="570" t="str">
        <f t="shared" si="25"/>
        <v xml:space="preserve"> </v>
      </c>
      <c r="AI156" s="571" t="str">
        <f t="shared" si="27"/>
        <v xml:space="preserve"> </v>
      </c>
      <c r="AJ156" s="593"/>
      <c r="AK156" s="593"/>
    </row>
    <row r="157" spans="1:37" s="376" customFormat="1" ht="40.5" outlineLevel="1" x14ac:dyDescent="0.25">
      <c r="A157" s="467" t="s">
        <v>2692</v>
      </c>
      <c r="B157" s="576">
        <v>18</v>
      </c>
      <c r="C157" s="607" t="s">
        <v>26</v>
      </c>
      <c r="D157" s="595"/>
      <c r="E157" s="595"/>
      <c r="F157" s="577"/>
      <c r="G157" s="574"/>
      <c r="H157" s="618">
        <f>SUBTOTAL(9,H158:H164)</f>
        <v>29.8</v>
      </c>
      <c r="I157" s="579">
        <f>SUBTOTAL(9,I158:I163)</f>
        <v>8.8000000000000007</v>
      </c>
      <c r="J157" s="608"/>
      <c r="K157" s="581"/>
      <c r="L157" s="581"/>
      <c r="M157" s="571">
        <f>SUBTOTAL(9,M158:M164)</f>
        <v>89586000</v>
      </c>
      <c r="N157" s="571">
        <f>SUBTOTAL(9,N158:N164)</f>
        <v>14636000</v>
      </c>
      <c r="O157" s="578"/>
      <c r="P157" s="599">
        <f>SUBTOTAL(9,P158:P164)</f>
        <v>0</v>
      </c>
      <c r="Q157" s="571"/>
      <c r="R157" s="571">
        <f>SUBTOTAL(9,R158:R164)</f>
        <v>0</v>
      </c>
      <c r="S157" s="578"/>
      <c r="T157" s="621"/>
      <c r="U157" s="600">
        <f>SUBTOTAL(9,U158:U164)</f>
        <v>0</v>
      </c>
      <c r="V157" s="597"/>
      <c r="W157" s="571"/>
      <c r="X157" s="571">
        <f>SUBTOTAL(9,X158:X164)</f>
        <v>0</v>
      </c>
      <c r="Y157" s="589"/>
      <c r="Z157" s="592"/>
      <c r="AA157" s="592"/>
      <c r="AB157" s="568"/>
      <c r="AC157" s="592"/>
      <c r="AD157" s="592"/>
      <c r="AE157" s="634"/>
      <c r="AF157" s="599">
        <f>SUBTOTAL(9,AF158:AF164)</f>
        <v>0</v>
      </c>
      <c r="AG157" s="585"/>
      <c r="AH157" s="585">
        <f>SUBTOTAL(9,AH158:AH164)</f>
        <v>0</v>
      </c>
      <c r="AI157" s="571">
        <f t="shared" si="27"/>
        <v>104222000</v>
      </c>
      <c r="AJ157" s="574"/>
      <c r="AK157" s="578"/>
    </row>
    <row r="158" spans="1:37" s="376" customFormat="1" ht="121.5" outlineLevel="2" x14ac:dyDescent="0.3">
      <c r="A158" s="447">
        <f>IF(B157&lt;&gt;0,B157,A156)</f>
        <v>18</v>
      </c>
      <c r="B158" s="557"/>
      <c r="C158" s="558" t="s">
        <v>113</v>
      </c>
      <c r="D158" s="587">
        <v>7</v>
      </c>
      <c r="E158" s="587">
        <v>86</v>
      </c>
      <c r="F158" s="560">
        <v>318</v>
      </c>
      <c r="G158" s="558" t="s">
        <v>2035</v>
      </c>
      <c r="H158" s="588">
        <v>21</v>
      </c>
      <c r="I158" s="546" t="str">
        <f t="shared" ref="I158:I159" si="35">IF(N158&gt;0,H158,"")</f>
        <v/>
      </c>
      <c r="J158" s="593"/>
      <c r="K158" s="563">
        <f>IF(G158&lt;&gt;0,VLOOKUP(G158,'gia dat'!$A$1:$F$144,5,0)," ")</f>
        <v>4033679.9999999995</v>
      </c>
      <c r="L158" s="563">
        <f>IF(G158&lt;&gt;0,VLOOKUP(G158,'gia dat'!$A$1:$F$144,6,0)," ")</f>
        <v>0</v>
      </c>
      <c r="M158" s="564">
        <f t="shared" si="33"/>
        <v>84707000</v>
      </c>
      <c r="N158" s="564">
        <f t="shared" si="34"/>
        <v>0</v>
      </c>
      <c r="O158" s="586"/>
      <c r="P158" s="590"/>
      <c r="Q158" s="564" t="str">
        <f>IF(O158&lt;&gt;0,VLOOKUP(O158,'Cây trong'!$A$2:$C$246,3,0)," ")</f>
        <v xml:space="preserve"> </v>
      </c>
      <c r="R158" s="564" t="str">
        <f t="shared" si="24"/>
        <v xml:space="preserve"> </v>
      </c>
      <c r="S158" s="586"/>
      <c r="T158" s="609"/>
      <c r="U158" s="591"/>
      <c r="V158" s="589"/>
      <c r="W158" s="564" t="str">
        <f>IF(S158&lt;&gt;0,VLOOKUP(S158,VKT!$A$2:$G$415,7,0),"")</f>
        <v/>
      </c>
      <c r="X158" s="564" t="str">
        <f t="shared" si="31"/>
        <v xml:space="preserve"> </v>
      </c>
      <c r="Y158" s="589"/>
      <c r="Z158" s="592"/>
      <c r="AA158" s="592"/>
      <c r="AB158" s="568"/>
      <c r="AC158" s="592"/>
      <c r="AD158" s="592"/>
      <c r="AE158" s="606"/>
      <c r="AF158" s="590"/>
      <c r="AG158" s="570" t="str">
        <f>IF(AE158&lt;&gt;0,VLOOKUP(AE158,ODDS!$A$2:$C$13,3,0),"")</f>
        <v/>
      </c>
      <c r="AH158" s="570"/>
      <c r="AI158" s="571" t="str">
        <f t="shared" si="27"/>
        <v xml:space="preserve"> </v>
      </c>
      <c r="AJ158" s="558" t="s">
        <v>2193</v>
      </c>
      <c r="AK158" s="586" t="s">
        <v>2771</v>
      </c>
    </row>
    <row r="159" spans="1:37" s="376" customFormat="1" ht="101.25" outlineLevel="2" x14ac:dyDescent="0.3">
      <c r="A159" s="447">
        <f t="shared" ref="A159:A164" si="36">IF(B158&lt;&gt;0,B158,A158)</f>
        <v>18</v>
      </c>
      <c r="B159" s="557"/>
      <c r="C159" s="558" t="s">
        <v>643</v>
      </c>
      <c r="D159" s="587"/>
      <c r="E159" s="587"/>
      <c r="F159" s="560"/>
      <c r="G159" s="558" t="s">
        <v>2898</v>
      </c>
      <c r="H159" s="588">
        <f>8.8-H160</f>
        <v>8.8000000000000007</v>
      </c>
      <c r="I159" s="546">
        <f t="shared" si="35"/>
        <v>8.8000000000000007</v>
      </c>
      <c r="J159" s="589"/>
      <c r="K159" s="563">
        <f>IF(G159&lt;&gt;0,VLOOKUP(G159,'gia dat'!$A$1:$F$144,5,0)," ")</f>
        <v>554400</v>
      </c>
      <c r="L159" s="563">
        <f>IF(G159&lt;&gt;0,VLOOKUP(G159,'gia dat'!$A$1:$F$144,6,0)," ")</f>
        <v>1663200</v>
      </c>
      <c r="M159" s="564">
        <f t="shared" si="33"/>
        <v>4879000</v>
      </c>
      <c r="N159" s="564">
        <f t="shared" si="34"/>
        <v>14636000</v>
      </c>
      <c r="O159" s="558"/>
      <c r="P159" s="590"/>
      <c r="Q159" s="564" t="str">
        <f>IF(O159&lt;&gt;0,VLOOKUP(O159,'Cây trong'!$A$2:$C$246,3,0)," ")</f>
        <v xml:space="preserve"> </v>
      </c>
      <c r="R159" s="564" t="str">
        <f t="shared" si="24"/>
        <v xml:space="preserve"> </v>
      </c>
      <c r="S159" s="566"/>
      <c r="T159" s="589"/>
      <c r="U159" s="591"/>
      <c r="V159" s="589"/>
      <c r="W159" s="564" t="str">
        <f>IF(S159&lt;&gt;0,VLOOKUP(S159,VKT!$A$2:$G$415,7,0),"")</f>
        <v/>
      </c>
      <c r="X159" s="564" t="str">
        <f t="shared" si="31"/>
        <v xml:space="preserve"> </v>
      </c>
      <c r="Y159" s="589"/>
      <c r="Z159" s="592"/>
      <c r="AA159" s="592"/>
      <c r="AB159" s="568"/>
      <c r="AC159" s="592"/>
      <c r="AD159" s="592"/>
      <c r="AE159" s="592"/>
      <c r="AF159" s="590"/>
      <c r="AG159" s="570" t="str">
        <f>IF(AE159&lt;&gt;0,VLOOKUP(AE159,ODDS!$A$2:$C$13,3,0),"")</f>
        <v/>
      </c>
      <c r="AH159" s="570" t="str">
        <f t="shared" si="25"/>
        <v xml:space="preserve"> </v>
      </c>
      <c r="AI159" s="571" t="str">
        <f t="shared" si="27"/>
        <v xml:space="preserve"> </v>
      </c>
      <c r="AJ159" s="558" t="s">
        <v>2194</v>
      </c>
      <c r="AK159" s="558" t="s">
        <v>2448</v>
      </c>
    </row>
    <row r="160" spans="1:37" s="376" customFormat="1" ht="40.5" outlineLevel="2" x14ac:dyDescent="0.3">
      <c r="A160" s="447">
        <f t="shared" si="36"/>
        <v>18</v>
      </c>
      <c r="B160" s="557"/>
      <c r="C160" s="558" t="s">
        <v>443</v>
      </c>
      <c r="D160" s="587"/>
      <c r="E160" s="587"/>
      <c r="F160" s="560"/>
      <c r="G160" s="558"/>
      <c r="H160" s="588"/>
      <c r="I160" s="546"/>
      <c r="J160" s="589"/>
      <c r="K160" s="563" t="str">
        <f>IF(G160&lt;&gt;0,VLOOKUP(G160,'gia dat'!$A$1:$F$144,5,0)," ")</f>
        <v xml:space="preserve"> </v>
      </c>
      <c r="L160" s="563" t="str">
        <f>IF(G160&lt;&gt;0,VLOOKUP(G160,'gia dat'!$A$1:$F$144,6,0)," ")</f>
        <v xml:space="preserve"> </v>
      </c>
      <c r="M160" s="564" t="str">
        <f t="shared" si="33"/>
        <v xml:space="preserve"> </v>
      </c>
      <c r="N160" s="564" t="str">
        <f t="shared" si="34"/>
        <v xml:space="preserve"> </v>
      </c>
      <c r="O160" s="558"/>
      <c r="P160" s="590"/>
      <c r="Q160" s="564" t="str">
        <f>IF(O160&lt;&gt;0,VLOOKUP(O160,'Cây trong'!$A$2:$C$246,3,0)," ")</f>
        <v xml:space="preserve"> </v>
      </c>
      <c r="R160" s="564" t="str">
        <f t="shared" si="24"/>
        <v xml:space="preserve"> </v>
      </c>
      <c r="S160" s="566"/>
      <c r="T160" s="589"/>
      <c r="U160" s="591"/>
      <c r="V160" s="589"/>
      <c r="W160" s="564" t="str">
        <f>IF(S160&lt;&gt;0,VLOOKUP(S160,VKT!$A$2:$G$415,7,0),"")</f>
        <v/>
      </c>
      <c r="X160" s="564" t="str">
        <f t="shared" si="31"/>
        <v xml:space="preserve"> </v>
      </c>
      <c r="Y160" s="589"/>
      <c r="Z160" s="592"/>
      <c r="AA160" s="592"/>
      <c r="AB160" s="568"/>
      <c r="AC160" s="592"/>
      <c r="AD160" s="592"/>
      <c r="AE160" s="592"/>
      <c r="AF160" s="590"/>
      <c r="AG160" s="570" t="str">
        <f>IF(AE160&lt;&gt;0,VLOOKUP(AE160,ODDS!$A$2:$C$13,3,0),"")</f>
        <v/>
      </c>
      <c r="AH160" s="570" t="str">
        <f t="shared" si="25"/>
        <v xml:space="preserve"> </v>
      </c>
      <c r="AI160" s="571" t="str">
        <f t="shared" si="27"/>
        <v xml:space="preserve"> </v>
      </c>
      <c r="AJ160" s="593" t="s">
        <v>442</v>
      </c>
      <c r="AK160" s="593"/>
    </row>
    <row r="161" spans="1:37" s="376" customFormat="1" ht="60.75" outlineLevel="2" x14ac:dyDescent="0.3">
      <c r="A161" s="447">
        <f t="shared" si="36"/>
        <v>18</v>
      </c>
      <c r="B161" s="557"/>
      <c r="C161" s="558"/>
      <c r="D161" s="587"/>
      <c r="E161" s="587"/>
      <c r="F161" s="615"/>
      <c r="G161" s="558"/>
      <c r="H161" s="604"/>
      <c r="I161" s="546"/>
      <c r="J161" s="593"/>
      <c r="K161" s="563" t="str">
        <f>IF(G161&lt;&gt;0,VLOOKUP(G161,'gia dat'!$A$1:$F$144,5,0)," ")</f>
        <v xml:space="preserve"> </v>
      </c>
      <c r="L161" s="563" t="str">
        <f>IF(G161&lt;&gt;0,VLOOKUP(G161,'gia dat'!$A$1:$F$144,6,0)," ")</f>
        <v xml:space="preserve"> </v>
      </c>
      <c r="M161" s="564" t="str">
        <f t="shared" si="33"/>
        <v xml:space="preserve"> </v>
      </c>
      <c r="N161" s="564" t="str">
        <f t="shared" si="34"/>
        <v xml:space="preserve"> </v>
      </c>
      <c r="O161" s="593"/>
      <c r="P161" s="616"/>
      <c r="Q161" s="564" t="str">
        <f>IF(O161&lt;&gt;0,VLOOKUP(O161,'Cây trong'!$A$2:$C$246,3,0)," ")</f>
        <v xml:space="preserve"> </v>
      </c>
      <c r="R161" s="564" t="str">
        <f t="shared" si="24"/>
        <v xml:space="preserve"> </v>
      </c>
      <c r="S161" s="593"/>
      <c r="T161" s="593"/>
      <c r="U161" s="617"/>
      <c r="V161" s="589"/>
      <c r="W161" s="564" t="str">
        <f>IF(S161&lt;&gt;0,VLOOKUP(S161,VKT!$A$2:$G$415,7,0),"")</f>
        <v/>
      </c>
      <c r="X161" s="564" t="str">
        <f t="shared" si="31"/>
        <v xml:space="preserve"> </v>
      </c>
      <c r="Y161" s="589"/>
      <c r="Z161" s="589"/>
      <c r="AA161" s="589"/>
      <c r="AB161" s="562"/>
      <c r="AC161" s="589"/>
      <c r="AD161" s="589"/>
      <c r="AE161" s="589"/>
      <c r="AF161" s="629"/>
      <c r="AG161" s="570" t="str">
        <f>IF(AE161&lt;&gt;0,VLOOKUP(AE161,ODDS!$A$2:$C$13,3,0),"")</f>
        <v/>
      </c>
      <c r="AH161" s="570" t="str">
        <f t="shared" si="25"/>
        <v xml:space="preserve"> </v>
      </c>
      <c r="AI161" s="571" t="str">
        <f t="shared" si="27"/>
        <v xml:space="preserve"> </v>
      </c>
      <c r="AJ161" s="558" t="s">
        <v>2074</v>
      </c>
      <c r="AK161" s="593"/>
    </row>
    <row r="162" spans="1:37" s="376" customFormat="1" ht="20.25" outlineLevel="2" x14ac:dyDescent="0.3">
      <c r="A162" s="447">
        <f t="shared" si="36"/>
        <v>18</v>
      </c>
      <c r="B162" s="557"/>
      <c r="C162" s="558"/>
      <c r="D162" s="587"/>
      <c r="E162" s="587"/>
      <c r="F162" s="615"/>
      <c r="G162" s="558"/>
      <c r="H162" s="604"/>
      <c r="I162" s="546"/>
      <c r="J162" s="593"/>
      <c r="K162" s="563" t="str">
        <f>IF(G162&lt;&gt;0,VLOOKUP(G162,'gia dat'!$A$1:$F$144,5,0)," ")</f>
        <v xml:space="preserve"> </v>
      </c>
      <c r="L162" s="563" t="str">
        <f>IF(G162&lt;&gt;0,VLOOKUP(G162,'gia dat'!$A$1:$F$144,6,0)," ")</f>
        <v xml:space="preserve"> </v>
      </c>
      <c r="M162" s="564" t="str">
        <f t="shared" si="33"/>
        <v xml:space="preserve"> </v>
      </c>
      <c r="N162" s="564" t="str">
        <f t="shared" si="34"/>
        <v xml:space="preserve"> </v>
      </c>
      <c r="O162" s="593"/>
      <c r="P162" s="616"/>
      <c r="Q162" s="564" t="str">
        <f>IF(O162&lt;&gt;0,VLOOKUP(O162,'Cây trong'!$A$2:$C$246,3,0)," ")</f>
        <v xml:space="preserve"> </v>
      </c>
      <c r="R162" s="564" t="str">
        <f t="shared" si="24"/>
        <v xml:space="preserve"> </v>
      </c>
      <c r="S162" s="593"/>
      <c r="T162" s="593"/>
      <c r="U162" s="617"/>
      <c r="V162" s="589"/>
      <c r="W162" s="564" t="str">
        <f>IF(S162&lt;&gt;0,VLOOKUP(S162,VKT!$A$2:$G$415,7,0),"")</f>
        <v/>
      </c>
      <c r="X162" s="564" t="str">
        <f t="shared" si="31"/>
        <v xml:space="preserve"> </v>
      </c>
      <c r="Y162" s="589"/>
      <c r="Z162" s="589"/>
      <c r="AA162" s="589"/>
      <c r="AB162" s="562"/>
      <c r="AC162" s="589"/>
      <c r="AD162" s="589"/>
      <c r="AE162" s="589"/>
      <c r="AF162" s="629"/>
      <c r="AG162" s="570" t="str">
        <f>IF(AE162&lt;&gt;0,VLOOKUP(AE162,ODDS!$A$2:$C$13,3,0),"")</f>
        <v/>
      </c>
      <c r="AH162" s="570" t="str">
        <f t="shared" si="25"/>
        <v xml:space="preserve"> </v>
      </c>
      <c r="AI162" s="571" t="str">
        <f t="shared" si="27"/>
        <v xml:space="preserve"> </v>
      </c>
      <c r="AJ162" s="593"/>
      <c r="AK162" s="593"/>
    </row>
    <row r="163" spans="1:37" s="376" customFormat="1" ht="20.25" outlineLevel="2" x14ac:dyDescent="0.3">
      <c r="A163" s="447">
        <f t="shared" si="36"/>
        <v>18</v>
      </c>
      <c r="B163" s="557"/>
      <c r="C163" s="607"/>
      <c r="D163" s="587"/>
      <c r="E163" s="587"/>
      <c r="F163" s="615"/>
      <c r="G163" s="558"/>
      <c r="H163" s="604"/>
      <c r="I163" s="546"/>
      <c r="J163" s="593"/>
      <c r="K163" s="563" t="str">
        <f>IF(G163&lt;&gt;0,VLOOKUP(G163,'gia dat'!$A$1:$F$144,5,0)," ")</f>
        <v xml:space="preserve"> </v>
      </c>
      <c r="L163" s="563" t="str">
        <f>IF(G163&lt;&gt;0,VLOOKUP(G163,'gia dat'!$A$1:$F$144,6,0)," ")</f>
        <v xml:space="preserve"> </v>
      </c>
      <c r="M163" s="564" t="str">
        <f t="shared" si="33"/>
        <v xml:space="preserve"> </v>
      </c>
      <c r="N163" s="564" t="str">
        <f t="shared" si="34"/>
        <v xml:space="preserve"> </v>
      </c>
      <c r="O163" s="593"/>
      <c r="P163" s="616"/>
      <c r="Q163" s="564" t="str">
        <f>IF(O163&lt;&gt;0,VLOOKUP(O163,'Cây trong'!$A$2:$C$246,3,0)," ")</f>
        <v xml:space="preserve"> </v>
      </c>
      <c r="R163" s="564" t="str">
        <f t="shared" si="24"/>
        <v xml:space="preserve"> </v>
      </c>
      <c r="S163" s="593"/>
      <c r="T163" s="593"/>
      <c r="U163" s="617"/>
      <c r="V163" s="589"/>
      <c r="W163" s="564" t="str">
        <f>IF(S163&lt;&gt;0,VLOOKUP(S163,VKT!$A$2:$G$415,7,0),"")</f>
        <v/>
      </c>
      <c r="X163" s="564" t="str">
        <f t="shared" si="31"/>
        <v xml:space="preserve"> </v>
      </c>
      <c r="Y163" s="589"/>
      <c r="Z163" s="589"/>
      <c r="AA163" s="589"/>
      <c r="AB163" s="562"/>
      <c r="AC163" s="589"/>
      <c r="AD163" s="589"/>
      <c r="AE163" s="589"/>
      <c r="AF163" s="629"/>
      <c r="AG163" s="570" t="str">
        <f>IF(AE163&lt;&gt;0,VLOOKUP(AE163,ODDS!$A$2:$C$13,3,0),"")</f>
        <v/>
      </c>
      <c r="AH163" s="570" t="str">
        <f t="shared" si="25"/>
        <v xml:space="preserve"> </v>
      </c>
      <c r="AI163" s="571" t="str">
        <f t="shared" si="27"/>
        <v xml:space="preserve"> </v>
      </c>
      <c r="AJ163" s="593"/>
      <c r="AK163" s="593"/>
    </row>
    <row r="164" spans="1:37" s="376" customFormat="1" ht="20.25" outlineLevel="2" x14ac:dyDescent="0.3">
      <c r="A164" s="447">
        <f t="shared" si="36"/>
        <v>18</v>
      </c>
      <c r="B164" s="557"/>
      <c r="C164" s="574"/>
      <c r="D164" s="587"/>
      <c r="E164" s="587"/>
      <c r="F164" s="560"/>
      <c r="G164" s="558"/>
      <c r="H164" s="588"/>
      <c r="I164" s="546"/>
      <c r="J164" s="593"/>
      <c r="K164" s="563" t="str">
        <f>IF(G164&lt;&gt;0,VLOOKUP(G164,'gia dat'!$A$1:$F$144,5,0)," ")</f>
        <v xml:space="preserve"> </v>
      </c>
      <c r="L164" s="563" t="str">
        <f>IF(G164&lt;&gt;0,VLOOKUP(G164,'gia dat'!$A$1:$F$144,6,0)," ")</f>
        <v xml:space="preserve"> </v>
      </c>
      <c r="M164" s="564" t="str">
        <f t="shared" si="33"/>
        <v xml:space="preserve"> </v>
      </c>
      <c r="N164" s="564" t="str">
        <f t="shared" si="34"/>
        <v xml:space="preserve"> </v>
      </c>
      <c r="O164" s="586"/>
      <c r="P164" s="630"/>
      <c r="Q164" s="564" t="str">
        <f>IF(O164&lt;&gt;0,VLOOKUP(O164,'Cây trong'!$A$2:$C$246,3,0)," ")</f>
        <v xml:space="preserve"> </v>
      </c>
      <c r="R164" s="564" t="str">
        <f t="shared" si="24"/>
        <v xml:space="preserve"> </v>
      </c>
      <c r="S164" s="586"/>
      <c r="T164" s="609"/>
      <c r="U164" s="591"/>
      <c r="V164" s="589"/>
      <c r="W164" s="564" t="str">
        <f>IF(S164&lt;&gt;0,VLOOKUP(S164,VKT!$A$2:$G$415,7,0),"")</f>
        <v/>
      </c>
      <c r="X164" s="564" t="str">
        <f t="shared" si="31"/>
        <v xml:space="preserve"> </v>
      </c>
      <c r="Y164" s="589"/>
      <c r="Z164" s="592"/>
      <c r="AA164" s="592"/>
      <c r="AB164" s="568"/>
      <c r="AC164" s="592"/>
      <c r="AD164" s="592"/>
      <c r="AE164" s="592"/>
      <c r="AF164" s="590"/>
      <c r="AG164" s="570" t="str">
        <f>IF(AE164&lt;&gt;0,VLOOKUP(AE164,ODDS!$A$2:$C$13,3,0),"")</f>
        <v/>
      </c>
      <c r="AH164" s="570" t="str">
        <f t="shared" si="25"/>
        <v xml:space="preserve"> </v>
      </c>
      <c r="AI164" s="571" t="str">
        <f t="shared" si="27"/>
        <v xml:space="preserve"> </v>
      </c>
      <c r="AJ164" s="593"/>
      <c r="AK164" s="593"/>
    </row>
    <row r="165" spans="1:37" s="376" customFormat="1" ht="40.5" outlineLevel="1" x14ac:dyDescent="0.25">
      <c r="A165" s="467" t="s">
        <v>2691</v>
      </c>
      <c r="B165" s="576">
        <v>19</v>
      </c>
      <c r="C165" s="574" t="s">
        <v>27</v>
      </c>
      <c r="D165" s="595"/>
      <c r="E165" s="595"/>
      <c r="F165" s="577"/>
      <c r="G165" s="574"/>
      <c r="H165" s="618">
        <f>SUBTOTAL(9,H166:H171)</f>
        <v>31.1</v>
      </c>
      <c r="I165" s="579">
        <f>SUBTOTAL(9,I166:I171)</f>
        <v>0</v>
      </c>
      <c r="J165" s="597"/>
      <c r="K165" s="581"/>
      <c r="L165" s="581"/>
      <c r="M165" s="571">
        <f>SUBTOTAL(9,M166:M171)</f>
        <v>17242000</v>
      </c>
      <c r="N165" s="571">
        <f>SUBTOTAL(9,N166:N171)</f>
        <v>0</v>
      </c>
      <c r="O165" s="574"/>
      <c r="P165" s="599">
        <f>SUBTOTAL(9,P166:P171)</f>
        <v>0</v>
      </c>
      <c r="Q165" s="571"/>
      <c r="R165" s="571">
        <f>SUBTOTAL(9,R166:R171)</f>
        <v>0</v>
      </c>
      <c r="S165" s="582"/>
      <c r="T165" s="597"/>
      <c r="U165" s="600">
        <f>SUBTOTAL(9,U166:U171)</f>
        <v>0</v>
      </c>
      <c r="V165" s="597"/>
      <c r="W165" s="571"/>
      <c r="X165" s="571">
        <f>SUBTOTAL(9,X166:X171)</f>
        <v>0</v>
      </c>
      <c r="Y165" s="589"/>
      <c r="Z165" s="592"/>
      <c r="AA165" s="592"/>
      <c r="AB165" s="568"/>
      <c r="AC165" s="592"/>
      <c r="AD165" s="592"/>
      <c r="AE165" s="634"/>
      <c r="AF165" s="599">
        <f>SUBTOTAL(9,AF166:AF171)</f>
        <v>0</v>
      </c>
      <c r="AG165" s="585"/>
      <c r="AH165" s="585">
        <f>SUBTOTAL(9,AH166:AH171)</f>
        <v>0</v>
      </c>
      <c r="AI165" s="571">
        <f t="shared" si="27"/>
        <v>17242000</v>
      </c>
      <c r="AJ165" s="574"/>
      <c r="AK165" s="578"/>
    </row>
    <row r="166" spans="1:37" s="376" customFormat="1" ht="121.5" outlineLevel="2" x14ac:dyDescent="0.3">
      <c r="A166" s="447">
        <f>IF(B165&lt;&gt;0,B165,A164)</f>
        <v>19</v>
      </c>
      <c r="B166" s="557"/>
      <c r="C166" s="558" t="s">
        <v>114</v>
      </c>
      <c r="D166" s="587">
        <v>2</v>
      </c>
      <c r="E166" s="587">
        <v>86</v>
      </c>
      <c r="F166" s="560">
        <v>706</v>
      </c>
      <c r="G166" s="558" t="s">
        <v>2891</v>
      </c>
      <c r="H166" s="588">
        <v>31.1</v>
      </c>
      <c r="I166" s="546" t="str">
        <f t="shared" ref="I166" si="37">IF(N166&gt;0,H166,"")</f>
        <v/>
      </c>
      <c r="J166" s="589"/>
      <c r="K166" s="563">
        <f>IF(G166&lt;&gt;0,VLOOKUP(G166,'gia dat'!$A$1:$F$144,5,0)," ")</f>
        <v>554400</v>
      </c>
      <c r="L166" s="563">
        <f>IF(G166&lt;&gt;0,VLOOKUP(G166,'gia dat'!$A$1:$F$144,6,0)," ")</f>
        <v>0</v>
      </c>
      <c r="M166" s="564">
        <f t="shared" si="33"/>
        <v>17242000</v>
      </c>
      <c r="N166" s="564">
        <f t="shared" si="34"/>
        <v>0</v>
      </c>
      <c r="O166" s="558"/>
      <c r="P166" s="590"/>
      <c r="Q166" s="564" t="str">
        <f>IF(O166&lt;&gt;0,VLOOKUP(O166,'Cây trong'!$A$2:$C$246,3,0)," ")</f>
        <v xml:space="preserve"> </v>
      </c>
      <c r="R166" s="564" t="str">
        <f t="shared" si="24"/>
        <v xml:space="preserve"> </v>
      </c>
      <c r="S166" s="566"/>
      <c r="T166" s="589"/>
      <c r="U166" s="591"/>
      <c r="V166" s="589"/>
      <c r="W166" s="564" t="str">
        <f>IF(S166&lt;&gt;0,VLOOKUP(S166,VKT!$A$2:$G$415,7,0),"")</f>
        <v/>
      </c>
      <c r="X166" s="564" t="str">
        <f t="shared" si="31"/>
        <v xml:space="preserve"> </v>
      </c>
      <c r="Y166" s="589"/>
      <c r="Z166" s="592"/>
      <c r="AA166" s="592"/>
      <c r="AB166" s="568"/>
      <c r="AC166" s="592"/>
      <c r="AD166" s="592"/>
      <c r="AE166" s="606"/>
      <c r="AF166" s="590"/>
      <c r="AG166" s="570" t="str">
        <f>IF(AE166&lt;&gt;0,VLOOKUP(AE166,ODDS!$A$2:$C$13,3,0),"")</f>
        <v/>
      </c>
      <c r="AH166" s="570"/>
      <c r="AI166" s="571" t="str">
        <f t="shared" si="27"/>
        <v xml:space="preserve"> </v>
      </c>
      <c r="AJ166" s="558" t="s">
        <v>1688</v>
      </c>
      <c r="AK166" s="586" t="s">
        <v>2771</v>
      </c>
    </row>
    <row r="167" spans="1:37" s="376" customFormat="1" ht="101.25" outlineLevel="2" x14ac:dyDescent="0.3">
      <c r="A167" s="447">
        <f>IF(B166&lt;&gt;0,B166,A166)</f>
        <v>19</v>
      </c>
      <c r="B167" s="557"/>
      <c r="C167" s="558" t="s">
        <v>644</v>
      </c>
      <c r="D167" s="587"/>
      <c r="E167" s="587"/>
      <c r="F167" s="560"/>
      <c r="G167" s="558"/>
      <c r="H167" s="588"/>
      <c r="I167" s="546"/>
      <c r="J167" s="589"/>
      <c r="K167" s="563" t="str">
        <f>IF(G167&lt;&gt;0,VLOOKUP(G167,'gia dat'!$A$1:$F$144,5,0)," ")</f>
        <v xml:space="preserve"> </v>
      </c>
      <c r="L167" s="563" t="str">
        <f>IF(G167&lt;&gt;0,VLOOKUP(G167,'gia dat'!$A$1:$F$144,6,0)," ")</f>
        <v xml:space="preserve"> </v>
      </c>
      <c r="M167" s="564" t="str">
        <f t="shared" si="33"/>
        <v xml:space="preserve"> </v>
      </c>
      <c r="N167" s="564" t="str">
        <f t="shared" si="34"/>
        <v xml:space="preserve"> </v>
      </c>
      <c r="O167" s="558"/>
      <c r="P167" s="590"/>
      <c r="Q167" s="564" t="str">
        <f>IF(O167&lt;&gt;0,VLOOKUP(O167,'Cây trong'!$A$2:$C$246,3,0)," ")</f>
        <v xml:space="preserve"> </v>
      </c>
      <c r="R167" s="564" t="str">
        <f t="shared" si="24"/>
        <v xml:space="preserve"> </v>
      </c>
      <c r="S167" s="566"/>
      <c r="T167" s="589"/>
      <c r="U167" s="591"/>
      <c r="V167" s="589"/>
      <c r="W167" s="564" t="str">
        <f>IF(S167&lt;&gt;0,VLOOKUP(S167,VKT!$A$2:$G$415,7,0),"")</f>
        <v/>
      </c>
      <c r="X167" s="564" t="str">
        <f t="shared" si="31"/>
        <v xml:space="preserve"> </v>
      </c>
      <c r="Y167" s="589"/>
      <c r="Z167" s="592"/>
      <c r="AA167" s="592"/>
      <c r="AB167" s="568"/>
      <c r="AC167" s="592"/>
      <c r="AD167" s="592"/>
      <c r="AE167" s="592"/>
      <c r="AF167" s="590"/>
      <c r="AG167" s="570" t="str">
        <f>IF(AE167&lt;&gt;0,VLOOKUP(AE167,ODDS!$A$2:$C$13,3,0),"")</f>
        <v/>
      </c>
      <c r="AH167" s="570" t="str">
        <f t="shared" si="25"/>
        <v xml:space="preserve"> </v>
      </c>
      <c r="AI167" s="571" t="str">
        <f t="shared" si="27"/>
        <v xml:space="preserve"> </v>
      </c>
      <c r="AJ167" s="558" t="s">
        <v>444</v>
      </c>
      <c r="AK167" s="558"/>
    </row>
    <row r="168" spans="1:37" s="376" customFormat="1" ht="81" outlineLevel="2" x14ac:dyDescent="0.3">
      <c r="A168" s="447">
        <f>IF(B167&lt;&gt;0,B167,A167)</f>
        <v>19</v>
      </c>
      <c r="B168" s="557"/>
      <c r="C168" s="572" t="s">
        <v>322</v>
      </c>
      <c r="D168" s="594"/>
      <c r="E168" s="595"/>
      <c r="F168" s="577"/>
      <c r="G168" s="574"/>
      <c r="H168" s="588"/>
      <c r="I168" s="546"/>
      <c r="J168" s="608"/>
      <c r="K168" s="563" t="str">
        <f>IF(G168&lt;&gt;0,VLOOKUP(G168,'gia dat'!$A$1:$F$144,5,0)," ")</f>
        <v xml:space="preserve"> </v>
      </c>
      <c r="L168" s="563" t="str">
        <f>IF(G168&lt;&gt;0,VLOOKUP(G168,'gia dat'!$A$1:$F$144,6,0)," ")</f>
        <v xml:space="preserve"> </v>
      </c>
      <c r="M168" s="564" t="str">
        <f t="shared" si="33"/>
        <v xml:space="preserve"> </v>
      </c>
      <c r="N168" s="564" t="str">
        <f t="shared" si="34"/>
        <v xml:space="preserve"> </v>
      </c>
      <c r="O168" s="578"/>
      <c r="P168" s="590"/>
      <c r="Q168" s="564" t="str">
        <f>IF(O168&lt;&gt;0,VLOOKUP(O168,'Cây trong'!$A$2:$C$246,3,0)," ")</f>
        <v xml:space="preserve"> </v>
      </c>
      <c r="R168" s="564" t="str">
        <f t="shared" si="24"/>
        <v xml:space="preserve"> </v>
      </c>
      <c r="S168" s="578"/>
      <c r="T168" s="621"/>
      <c r="U168" s="591"/>
      <c r="V168" s="610"/>
      <c r="W168" s="564" t="str">
        <f>IF(S168&lt;&gt;0,VLOOKUP(S168,VKT!$A$2:$G$415,7,0),"")</f>
        <v/>
      </c>
      <c r="X168" s="564" t="str">
        <f t="shared" si="31"/>
        <v xml:space="preserve"> </v>
      </c>
      <c r="Y168" s="580"/>
      <c r="Z168" s="601"/>
      <c r="AA168" s="601"/>
      <c r="AB168" s="584"/>
      <c r="AC168" s="601"/>
      <c r="AD168" s="601"/>
      <c r="AE168" s="601"/>
      <c r="AF168" s="599"/>
      <c r="AG168" s="570" t="str">
        <f>IF(AE168&lt;&gt;0,VLOOKUP(AE168,ODDS!$A$2:$C$13,3,0),"")</f>
        <v/>
      </c>
      <c r="AH168" s="570" t="str">
        <f t="shared" si="25"/>
        <v xml:space="preserve"> </v>
      </c>
      <c r="AI168" s="571" t="str">
        <f t="shared" si="27"/>
        <v xml:space="preserve"> </v>
      </c>
      <c r="AJ168" s="558" t="s">
        <v>2195</v>
      </c>
      <c r="AK168" s="593"/>
    </row>
    <row r="169" spans="1:37" s="376" customFormat="1" ht="20.25" outlineLevel="2" x14ac:dyDescent="0.3">
      <c r="A169" s="447">
        <f>IF(B168&lt;&gt;0,B168,A168)</f>
        <v>19</v>
      </c>
      <c r="B169" s="557"/>
      <c r="C169" s="572"/>
      <c r="D169" s="587"/>
      <c r="E169" s="587"/>
      <c r="F169" s="615"/>
      <c r="G169" s="558"/>
      <c r="H169" s="604"/>
      <c r="I169" s="546"/>
      <c r="J169" s="593"/>
      <c r="K169" s="563" t="str">
        <f>IF(G169&lt;&gt;0,VLOOKUP(G169,'gia dat'!$A$1:$F$144,5,0)," ")</f>
        <v xml:space="preserve"> </v>
      </c>
      <c r="L169" s="563" t="str">
        <f>IF(G169&lt;&gt;0,VLOOKUP(G169,'gia dat'!$A$1:$F$144,6,0)," ")</f>
        <v xml:space="preserve"> </v>
      </c>
      <c r="M169" s="564" t="str">
        <f t="shared" si="33"/>
        <v xml:space="preserve"> </v>
      </c>
      <c r="N169" s="564" t="str">
        <f t="shared" si="34"/>
        <v xml:space="preserve"> </v>
      </c>
      <c r="O169" s="593"/>
      <c r="P169" s="616"/>
      <c r="Q169" s="564" t="str">
        <f>IF(O169&lt;&gt;0,VLOOKUP(O169,'Cây trong'!$A$2:$C$246,3,0)," ")</f>
        <v xml:space="preserve"> </v>
      </c>
      <c r="R169" s="564" t="str">
        <f t="shared" si="24"/>
        <v xml:space="preserve"> </v>
      </c>
      <c r="S169" s="593"/>
      <c r="T169" s="593"/>
      <c r="U169" s="617"/>
      <c r="V169" s="589"/>
      <c r="W169" s="564" t="str">
        <f>IF(S169&lt;&gt;0,VLOOKUP(S169,VKT!$A$2:$G$415,7,0),"")</f>
        <v/>
      </c>
      <c r="X169" s="564" t="str">
        <f t="shared" si="31"/>
        <v xml:space="preserve"> </v>
      </c>
      <c r="Y169" s="589"/>
      <c r="Z169" s="589"/>
      <c r="AA169" s="589"/>
      <c r="AB169" s="562"/>
      <c r="AC169" s="589"/>
      <c r="AD169" s="589"/>
      <c r="AE169" s="589"/>
      <c r="AF169" s="629"/>
      <c r="AG169" s="570" t="str">
        <f>IF(AE169&lt;&gt;0,VLOOKUP(AE169,ODDS!$A$2:$C$13,3,0),"")</f>
        <v/>
      </c>
      <c r="AH169" s="570" t="str">
        <f t="shared" si="25"/>
        <v xml:space="preserve"> </v>
      </c>
      <c r="AI169" s="571" t="str">
        <f t="shared" si="27"/>
        <v xml:space="preserve"> </v>
      </c>
      <c r="AJ169" s="575"/>
      <c r="AK169" s="593"/>
    </row>
    <row r="170" spans="1:37" s="376" customFormat="1" ht="20.25" outlineLevel="2" x14ac:dyDescent="0.3">
      <c r="A170" s="447">
        <f>IF(B169&lt;&gt;0,B169,A169)</f>
        <v>19</v>
      </c>
      <c r="B170" s="557"/>
      <c r="C170" s="607"/>
      <c r="D170" s="587"/>
      <c r="E170" s="587"/>
      <c r="F170" s="615"/>
      <c r="G170" s="558"/>
      <c r="H170" s="604"/>
      <c r="I170" s="546"/>
      <c r="J170" s="593"/>
      <c r="K170" s="563" t="str">
        <f>IF(G170&lt;&gt;0,VLOOKUP(G170,'gia dat'!$A$1:$F$144,5,0)," ")</f>
        <v xml:space="preserve"> </v>
      </c>
      <c r="L170" s="563" t="str">
        <f>IF(G170&lt;&gt;0,VLOOKUP(G170,'gia dat'!$A$1:$F$144,6,0)," ")</f>
        <v xml:space="preserve"> </v>
      </c>
      <c r="M170" s="564" t="str">
        <f t="shared" si="33"/>
        <v xml:space="preserve"> </v>
      </c>
      <c r="N170" s="564" t="str">
        <f t="shared" si="34"/>
        <v xml:space="preserve"> </v>
      </c>
      <c r="O170" s="593"/>
      <c r="P170" s="616"/>
      <c r="Q170" s="564" t="str">
        <f>IF(O170&lt;&gt;0,VLOOKUP(O170,'Cây trong'!$A$2:$C$246,3,0)," ")</f>
        <v xml:space="preserve"> </v>
      </c>
      <c r="R170" s="564" t="str">
        <f t="shared" si="24"/>
        <v xml:space="preserve"> </v>
      </c>
      <c r="S170" s="593"/>
      <c r="T170" s="593"/>
      <c r="U170" s="617"/>
      <c r="V170" s="589"/>
      <c r="W170" s="564" t="str">
        <f>IF(S170&lt;&gt;0,VLOOKUP(S170,VKT!$A$2:$G$415,7,0),"")</f>
        <v/>
      </c>
      <c r="X170" s="564" t="str">
        <f t="shared" si="31"/>
        <v xml:space="preserve"> </v>
      </c>
      <c r="Y170" s="589"/>
      <c r="Z170" s="589"/>
      <c r="AA170" s="589"/>
      <c r="AB170" s="562"/>
      <c r="AC170" s="589"/>
      <c r="AD170" s="589"/>
      <c r="AE170" s="589"/>
      <c r="AF170" s="629"/>
      <c r="AG170" s="570" t="str">
        <f>IF(AE170&lt;&gt;0,VLOOKUP(AE170,ODDS!$A$2:$C$13,3,0),"")</f>
        <v/>
      </c>
      <c r="AH170" s="570" t="str">
        <f t="shared" si="25"/>
        <v xml:space="preserve"> </v>
      </c>
      <c r="AI170" s="571" t="str">
        <f t="shared" si="27"/>
        <v xml:space="preserve"> </v>
      </c>
      <c r="AJ170" s="593"/>
      <c r="AK170" s="593"/>
    </row>
    <row r="171" spans="1:37" s="376" customFormat="1" ht="20.25" outlineLevel="2" x14ac:dyDescent="0.3">
      <c r="A171" s="447">
        <f>IF(B170&lt;&gt;0,B170,A170)</f>
        <v>19</v>
      </c>
      <c r="B171" s="557"/>
      <c r="C171" s="607"/>
      <c r="D171" s="594"/>
      <c r="E171" s="595"/>
      <c r="F171" s="577"/>
      <c r="G171" s="574"/>
      <c r="H171" s="588"/>
      <c r="I171" s="546"/>
      <c r="J171" s="608"/>
      <c r="K171" s="563" t="str">
        <f>IF(G171&lt;&gt;0,VLOOKUP(G171,'gia dat'!$A$1:$F$144,5,0)," ")</f>
        <v xml:space="preserve"> </v>
      </c>
      <c r="L171" s="563" t="str">
        <f>IF(G171&lt;&gt;0,VLOOKUP(G171,'gia dat'!$A$1:$F$144,6,0)," ")</f>
        <v xml:space="preserve"> </v>
      </c>
      <c r="M171" s="564" t="str">
        <f t="shared" si="33"/>
        <v xml:space="preserve"> </v>
      </c>
      <c r="N171" s="564" t="str">
        <f t="shared" si="34"/>
        <v xml:space="preserve"> </v>
      </c>
      <c r="O171" s="578"/>
      <c r="P171" s="633"/>
      <c r="Q171" s="564" t="str">
        <f>IF(O171&lt;&gt;0,VLOOKUP(O171,'Cây trong'!$A$2:$C$246,3,0)," ")</f>
        <v xml:space="preserve"> </v>
      </c>
      <c r="R171" s="564" t="str">
        <f t="shared" si="24"/>
        <v xml:space="preserve"> </v>
      </c>
      <c r="S171" s="578"/>
      <c r="T171" s="621"/>
      <c r="U171" s="591"/>
      <c r="V171" s="597"/>
      <c r="W171" s="564" t="str">
        <f>IF(S171&lt;&gt;0,VLOOKUP(S171,VKT!$A$2:$G$415,7,0),"")</f>
        <v/>
      </c>
      <c r="X171" s="564" t="str">
        <f t="shared" si="31"/>
        <v xml:space="preserve"> </v>
      </c>
      <c r="Y171" s="580"/>
      <c r="Z171" s="601"/>
      <c r="AA171" s="601"/>
      <c r="AB171" s="584"/>
      <c r="AC171" s="601"/>
      <c r="AD171" s="601"/>
      <c r="AE171" s="601"/>
      <c r="AF171" s="599"/>
      <c r="AG171" s="570" t="str">
        <f>IF(AE171&lt;&gt;0,VLOOKUP(AE171,ODDS!$A$2:$C$13,3,0),"")</f>
        <v/>
      </c>
      <c r="AH171" s="570" t="str">
        <f t="shared" si="25"/>
        <v xml:space="preserve"> </v>
      </c>
      <c r="AI171" s="571" t="str">
        <f t="shared" si="27"/>
        <v xml:space="preserve"> </v>
      </c>
      <c r="AJ171" s="608"/>
      <c r="AK171" s="608"/>
    </row>
    <row r="172" spans="1:37" s="376" customFormat="1" ht="20.25" outlineLevel="1" x14ac:dyDescent="0.25">
      <c r="A172" s="467" t="s">
        <v>2690</v>
      </c>
      <c r="B172" s="576">
        <v>20</v>
      </c>
      <c r="C172" s="607" t="s">
        <v>28</v>
      </c>
      <c r="D172" s="595"/>
      <c r="E172" s="595"/>
      <c r="F172" s="577"/>
      <c r="G172" s="574"/>
      <c r="H172" s="618">
        <f>SUBTOTAL(9,H173:H180)</f>
        <v>31.2</v>
      </c>
      <c r="I172" s="579">
        <f>SUBTOTAL(9,I173:I178)</f>
        <v>0</v>
      </c>
      <c r="J172" s="608"/>
      <c r="K172" s="581"/>
      <c r="L172" s="581"/>
      <c r="M172" s="571">
        <f>SUBTOTAL(9,M173:M180)</f>
        <v>17297000</v>
      </c>
      <c r="N172" s="571">
        <f>SUBTOTAL(9,N173:N180)</f>
        <v>0</v>
      </c>
      <c r="O172" s="578"/>
      <c r="P172" s="599">
        <f>SUBTOTAL(9,P173:P180)</f>
        <v>0</v>
      </c>
      <c r="Q172" s="571"/>
      <c r="R172" s="571">
        <f>SUBTOTAL(9,R173:R180)</f>
        <v>0</v>
      </c>
      <c r="S172" s="582"/>
      <c r="T172" s="597"/>
      <c r="U172" s="600">
        <f>SUBTOTAL(9,U173:U180)</f>
        <v>0</v>
      </c>
      <c r="V172" s="622"/>
      <c r="W172" s="571"/>
      <c r="X172" s="571">
        <f>SUBTOTAL(9,X173:X180)</f>
        <v>0</v>
      </c>
      <c r="Y172" s="589"/>
      <c r="Z172" s="592"/>
      <c r="AA172" s="592"/>
      <c r="AB172" s="568"/>
      <c r="AC172" s="592"/>
      <c r="AD172" s="592"/>
      <c r="AE172" s="634"/>
      <c r="AF172" s="599">
        <f>SUBTOTAL(9,AF173:AF180)</f>
        <v>0</v>
      </c>
      <c r="AG172" s="585"/>
      <c r="AH172" s="585">
        <f>SUBTOTAL(9,AH173:AH180)</f>
        <v>0</v>
      </c>
      <c r="AI172" s="571">
        <f t="shared" si="27"/>
        <v>17297000</v>
      </c>
      <c r="AJ172" s="578"/>
      <c r="AK172" s="578"/>
    </row>
    <row r="173" spans="1:37" s="376" customFormat="1" ht="121.5" outlineLevel="2" x14ac:dyDescent="0.3">
      <c r="A173" s="447">
        <f>IF(B172&lt;&gt;0,B172,A171)</f>
        <v>20</v>
      </c>
      <c r="B173" s="557"/>
      <c r="C173" s="558" t="s">
        <v>115</v>
      </c>
      <c r="D173" s="587">
        <v>2</v>
      </c>
      <c r="E173" s="587">
        <v>86</v>
      </c>
      <c r="F173" s="560">
        <v>705</v>
      </c>
      <c r="G173" s="558" t="s">
        <v>2891</v>
      </c>
      <c r="H173" s="588">
        <v>31.2</v>
      </c>
      <c r="I173" s="546" t="str">
        <f t="shared" ref="I173" si="38">IF(N173&gt;0,H173,"")</f>
        <v/>
      </c>
      <c r="J173" s="593"/>
      <c r="K173" s="563">
        <f>IF(G173&lt;&gt;0,VLOOKUP(G173,'gia dat'!$A$1:$F$144,5,0)," ")</f>
        <v>554400</v>
      </c>
      <c r="L173" s="563">
        <f>IF(G173&lt;&gt;0,VLOOKUP(G173,'gia dat'!$A$1:$F$144,6,0)," ")</f>
        <v>0</v>
      </c>
      <c r="M173" s="564">
        <f t="shared" si="33"/>
        <v>17297000</v>
      </c>
      <c r="N173" s="564">
        <f t="shared" si="34"/>
        <v>0</v>
      </c>
      <c r="O173" s="586"/>
      <c r="P173" s="590"/>
      <c r="Q173" s="564" t="str">
        <f>IF(O173&lt;&gt;0,VLOOKUP(O173,'Cây trong'!$A$2:$C$246,3,0)," ")</f>
        <v xml:space="preserve"> </v>
      </c>
      <c r="R173" s="564" t="str">
        <f t="shared" si="24"/>
        <v xml:space="preserve"> </v>
      </c>
      <c r="S173" s="566"/>
      <c r="T173" s="589"/>
      <c r="U173" s="591"/>
      <c r="V173" s="611"/>
      <c r="W173" s="564" t="str">
        <f>IF(S173&lt;&gt;0,VLOOKUP(S173,VKT!$A$2:$G$415,7,0),"")</f>
        <v/>
      </c>
      <c r="X173" s="564" t="str">
        <f t="shared" si="31"/>
        <v xml:space="preserve"> </v>
      </c>
      <c r="Y173" s="589"/>
      <c r="Z173" s="592"/>
      <c r="AA173" s="592"/>
      <c r="AB173" s="568"/>
      <c r="AC173" s="592"/>
      <c r="AD173" s="592"/>
      <c r="AE173" s="606"/>
      <c r="AF173" s="590"/>
      <c r="AG173" s="570" t="str">
        <f>IF(AE173&lt;&gt;0,VLOOKUP(AE173,ODDS!$A$2:$C$13,3,0),"")</f>
        <v/>
      </c>
      <c r="AH173" s="570"/>
      <c r="AI173" s="571" t="str">
        <f t="shared" si="27"/>
        <v xml:space="preserve"> </v>
      </c>
      <c r="AJ173" s="586" t="s">
        <v>1689</v>
      </c>
      <c r="AK173" s="586" t="s">
        <v>2771</v>
      </c>
    </row>
    <row r="174" spans="1:37" s="376" customFormat="1" ht="60.75" outlineLevel="2" x14ac:dyDescent="0.3">
      <c r="A174" s="447">
        <f t="shared" ref="A174:A180" si="39">IF(B173&lt;&gt;0,B173,A173)</f>
        <v>20</v>
      </c>
      <c r="B174" s="557"/>
      <c r="C174" s="574" t="s">
        <v>116</v>
      </c>
      <c r="D174" s="587"/>
      <c r="E174" s="587"/>
      <c r="F174" s="560"/>
      <c r="G174" s="558"/>
      <c r="H174" s="588"/>
      <c r="I174" s="546"/>
      <c r="J174" s="593"/>
      <c r="K174" s="563" t="str">
        <f>IF(G174&lt;&gt;0,VLOOKUP(G174,'gia dat'!$A$1:$F$144,5,0)," ")</f>
        <v xml:space="preserve"> </v>
      </c>
      <c r="L174" s="563" t="str">
        <f>IF(G174&lt;&gt;0,VLOOKUP(G174,'gia dat'!$A$1:$F$144,6,0)," ")</f>
        <v xml:space="preserve"> </v>
      </c>
      <c r="M174" s="564" t="str">
        <f t="shared" si="33"/>
        <v xml:space="preserve"> </v>
      </c>
      <c r="N174" s="564" t="str">
        <f t="shared" si="34"/>
        <v xml:space="preserve"> </v>
      </c>
      <c r="O174" s="586"/>
      <c r="P174" s="590"/>
      <c r="Q174" s="564" t="str">
        <f>IF(O174&lt;&gt;0,VLOOKUP(O174,'Cây trong'!$A$2:$C$246,3,0)," ")</f>
        <v xml:space="preserve"> </v>
      </c>
      <c r="R174" s="564" t="str">
        <f t="shared" si="24"/>
        <v xml:space="preserve"> </v>
      </c>
      <c r="S174" s="586"/>
      <c r="T174" s="609"/>
      <c r="U174" s="591"/>
      <c r="V174" s="611"/>
      <c r="W174" s="564" t="str">
        <f>IF(S174&lt;&gt;0,VLOOKUP(S174,VKT!$A$2:$G$415,7,0),"")</f>
        <v/>
      </c>
      <c r="X174" s="564" t="str">
        <f t="shared" si="31"/>
        <v xml:space="preserve"> </v>
      </c>
      <c r="Y174" s="589"/>
      <c r="Z174" s="592"/>
      <c r="AA174" s="592"/>
      <c r="AB174" s="568"/>
      <c r="AC174" s="592"/>
      <c r="AD174" s="592"/>
      <c r="AE174" s="592"/>
      <c r="AF174" s="590"/>
      <c r="AG174" s="570" t="str">
        <f>IF(AE174&lt;&gt;0,VLOOKUP(AE174,ODDS!$A$2:$C$13,3,0),"")</f>
        <v/>
      </c>
      <c r="AH174" s="570" t="str">
        <f t="shared" si="25"/>
        <v xml:space="preserve"> </v>
      </c>
      <c r="AI174" s="571" t="str">
        <f t="shared" si="27"/>
        <v xml:space="preserve"> </v>
      </c>
      <c r="AJ174" s="558" t="s">
        <v>446</v>
      </c>
      <c r="AK174" s="558"/>
    </row>
    <row r="175" spans="1:37" s="376" customFormat="1" ht="40.5" outlineLevel="2" x14ac:dyDescent="0.3">
      <c r="A175" s="447">
        <f t="shared" si="39"/>
        <v>20</v>
      </c>
      <c r="B175" s="557"/>
      <c r="C175" s="558" t="s">
        <v>117</v>
      </c>
      <c r="D175" s="587"/>
      <c r="E175" s="587"/>
      <c r="F175" s="560"/>
      <c r="G175" s="558"/>
      <c r="H175" s="588"/>
      <c r="I175" s="546"/>
      <c r="J175" s="593"/>
      <c r="K175" s="563" t="str">
        <f>IF(G175&lt;&gt;0,VLOOKUP(G175,'gia dat'!$A$1:$F$144,5,0)," ")</f>
        <v xml:space="preserve"> </v>
      </c>
      <c r="L175" s="563" t="str">
        <f>IF(G175&lt;&gt;0,VLOOKUP(G175,'gia dat'!$A$1:$F$144,6,0)," ")</f>
        <v xml:space="preserve"> </v>
      </c>
      <c r="M175" s="564" t="str">
        <f t="shared" si="33"/>
        <v xml:space="preserve"> </v>
      </c>
      <c r="N175" s="564" t="str">
        <f t="shared" si="34"/>
        <v xml:space="preserve"> </v>
      </c>
      <c r="O175" s="586"/>
      <c r="P175" s="590"/>
      <c r="Q175" s="564" t="str">
        <f>IF(O175&lt;&gt;0,VLOOKUP(O175,'Cây trong'!$A$2:$C$246,3,0)," ")</f>
        <v xml:space="preserve"> </v>
      </c>
      <c r="R175" s="564" t="str">
        <f t="shared" si="24"/>
        <v xml:space="preserve"> </v>
      </c>
      <c r="S175" s="586"/>
      <c r="T175" s="609"/>
      <c r="U175" s="591"/>
      <c r="V175" s="611"/>
      <c r="W175" s="564" t="str">
        <f>IF(S175&lt;&gt;0,VLOOKUP(S175,VKT!$A$2:$G$415,7,0),"")</f>
        <v/>
      </c>
      <c r="X175" s="564" t="str">
        <f t="shared" si="31"/>
        <v xml:space="preserve"> </v>
      </c>
      <c r="Y175" s="589"/>
      <c r="Z175" s="592"/>
      <c r="AA175" s="592"/>
      <c r="AB175" s="568"/>
      <c r="AC175" s="592"/>
      <c r="AD175" s="592"/>
      <c r="AE175" s="592"/>
      <c r="AF175" s="590"/>
      <c r="AG175" s="570" t="str">
        <f>IF(AE175&lt;&gt;0,VLOOKUP(AE175,ODDS!$A$2:$C$13,3,0),"")</f>
        <v/>
      </c>
      <c r="AH175" s="570" t="str">
        <f t="shared" si="25"/>
        <v xml:space="preserve"> </v>
      </c>
      <c r="AI175" s="571" t="str">
        <f t="shared" si="27"/>
        <v xml:space="preserve"> </v>
      </c>
      <c r="AJ175" s="608" t="s">
        <v>111</v>
      </c>
      <c r="AK175" s="593"/>
    </row>
    <row r="176" spans="1:37" s="376" customFormat="1" ht="60.75" outlineLevel="2" x14ac:dyDescent="0.3">
      <c r="A176" s="447">
        <f t="shared" si="39"/>
        <v>20</v>
      </c>
      <c r="B176" s="557"/>
      <c r="C176" s="558" t="s">
        <v>645</v>
      </c>
      <c r="D176" s="587"/>
      <c r="E176" s="587"/>
      <c r="F176" s="560"/>
      <c r="G176" s="558"/>
      <c r="H176" s="588"/>
      <c r="I176" s="546"/>
      <c r="J176" s="593"/>
      <c r="K176" s="563" t="str">
        <f>IF(G176&lt;&gt;0,VLOOKUP(G176,'gia dat'!$A$1:$F$144,5,0)," ")</f>
        <v xml:space="preserve"> </v>
      </c>
      <c r="L176" s="563" t="str">
        <f>IF(G176&lt;&gt;0,VLOOKUP(G176,'gia dat'!$A$1:$F$144,6,0)," ")</f>
        <v xml:space="preserve"> </v>
      </c>
      <c r="M176" s="564" t="str">
        <f t="shared" si="33"/>
        <v xml:space="preserve"> </v>
      </c>
      <c r="N176" s="564" t="str">
        <f t="shared" si="34"/>
        <v xml:space="preserve"> </v>
      </c>
      <c r="O176" s="586"/>
      <c r="P176" s="590"/>
      <c r="Q176" s="564" t="str">
        <f>IF(O176&lt;&gt;0,VLOOKUP(O176,'Cây trong'!$A$2:$C$246,3,0)," ")</f>
        <v xml:space="preserve"> </v>
      </c>
      <c r="R176" s="564" t="str">
        <f t="shared" si="24"/>
        <v xml:space="preserve"> </v>
      </c>
      <c r="S176" s="586"/>
      <c r="T176" s="609"/>
      <c r="U176" s="591"/>
      <c r="V176" s="611"/>
      <c r="W176" s="564" t="str">
        <f>IF(S176&lt;&gt;0,VLOOKUP(S176,VKT!$A$2:$G$415,7,0),"")</f>
        <v/>
      </c>
      <c r="X176" s="564" t="str">
        <f t="shared" si="31"/>
        <v xml:space="preserve"> </v>
      </c>
      <c r="Y176" s="589"/>
      <c r="Z176" s="592"/>
      <c r="AA176" s="592"/>
      <c r="AB176" s="568"/>
      <c r="AC176" s="592"/>
      <c r="AD176" s="592"/>
      <c r="AE176" s="592"/>
      <c r="AF176" s="590"/>
      <c r="AG176" s="570" t="str">
        <f>IF(AE176&lt;&gt;0,VLOOKUP(AE176,ODDS!$A$2:$C$13,3,0),"")</f>
        <v/>
      </c>
      <c r="AH176" s="570" t="str">
        <f t="shared" si="25"/>
        <v xml:space="preserve"> </v>
      </c>
      <c r="AI176" s="571" t="str">
        <f t="shared" si="27"/>
        <v xml:space="preserve"> </v>
      </c>
      <c r="AJ176" s="575"/>
      <c r="AK176" s="608"/>
    </row>
    <row r="177" spans="1:37" s="376" customFormat="1" ht="20.25" outlineLevel="2" x14ac:dyDescent="0.3">
      <c r="A177" s="447">
        <f t="shared" si="39"/>
        <v>20</v>
      </c>
      <c r="B177" s="557"/>
      <c r="C177" s="558"/>
      <c r="D177" s="587"/>
      <c r="E177" s="587"/>
      <c r="F177" s="615"/>
      <c r="G177" s="558"/>
      <c r="H177" s="604"/>
      <c r="I177" s="546"/>
      <c r="J177" s="593"/>
      <c r="K177" s="563" t="str">
        <f>IF(G177&lt;&gt;0,VLOOKUP(G177,'gia dat'!$A$1:$F$144,5,0)," ")</f>
        <v xml:space="preserve"> </v>
      </c>
      <c r="L177" s="563" t="str">
        <f>IF(G177&lt;&gt;0,VLOOKUP(G177,'gia dat'!$A$1:$F$144,6,0)," ")</f>
        <v xml:space="preserve"> </v>
      </c>
      <c r="M177" s="564" t="str">
        <f t="shared" si="33"/>
        <v xml:space="preserve"> </v>
      </c>
      <c r="N177" s="564" t="str">
        <f t="shared" si="34"/>
        <v xml:space="preserve"> </v>
      </c>
      <c r="O177" s="593"/>
      <c r="P177" s="616"/>
      <c r="Q177" s="564" t="str">
        <f>IF(O177&lt;&gt;0,VLOOKUP(O177,'Cây trong'!$A$2:$C$246,3,0)," ")</f>
        <v xml:space="preserve"> </v>
      </c>
      <c r="R177" s="564" t="str">
        <f t="shared" si="24"/>
        <v xml:space="preserve"> </v>
      </c>
      <c r="S177" s="593"/>
      <c r="T177" s="593"/>
      <c r="U177" s="617"/>
      <c r="V177" s="589"/>
      <c r="W177" s="564" t="str">
        <f>IF(S177&lt;&gt;0,VLOOKUP(S177,VKT!$A$2:$G$415,7,0),"")</f>
        <v/>
      </c>
      <c r="X177" s="564" t="str">
        <f t="shared" si="31"/>
        <v xml:space="preserve"> </v>
      </c>
      <c r="Y177" s="589"/>
      <c r="Z177" s="589"/>
      <c r="AA177" s="589"/>
      <c r="AB177" s="562"/>
      <c r="AC177" s="589"/>
      <c r="AD177" s="589"/>
      <c r="AE177" s="589"/>
      <c r="AF177" s="629"/>
      <c r="AG177" s="570" t="str">
        <f>IF(AE177&lt;&gt;0,VLOOKUP(AE177,ODDS!$A$2:$C$13,3,0),"")</f>
        <v/>
      </c>
      <c r="AH177" s="570" t="str">
        <f t="shared" si="25"/>
        <v xml:space="preserve"> </v>
      </c>
      <c r="AI177" s="571" t="str">
        <f t="shared" si="27"/>
        <v xml:space="preserve"> </v>
      </c>
      <c r="AJ177" s="593"/>
      <c r="AK177" s="593"/>
    </row>
    <row r="178" spans="1:37" s="376" customFormat="1" ht="20.25" outlineLevel="2" x14ac:dyDescent="0.3">
      <c r="A178" s="447">
        <f t="shared" si="39"/>
        <v>20</v>
      </c>
      <c r="B178" s="557"/>
      <c r="C178" s="558"/>
      <c r="D178" s="587"/>
      <c r="E178" s="587"/>
      <c r="F178" s="615"/>
      <c r="G178" s="558"/>
      <c r="H178" s="604"/>
      <c r="I178" s="546"/>
      <c r="J178" s="593"/>
      <c r="K178" s="563" t="str">
        <f>IF(G178&lt;&gt;0,VLOOKUP(G178,'gia dat'!$A$1:$F$144,5,0)," ")</f>
        <v xml:space="preserve"> </v>
      </c>
      <c r="L178" s="563" t="str">
        <f>IF(G178&lt;&gt;0,VLOOKUP(G178,'gia dat'!$A$1:$F$144,6,0)," ")</f>
        <v xml:space="preserve"> </v>
      </c>
      <c r="M178" s="564" t="str">
        <f t="shared" si="33"/>
        <v xml:space="preserve"> </v>
      </c>
      <c r="N178" s="564" t="str">
        <f t="shared" si="34"/>
        <v xml:space="preserve"> </v>
      </c>
      <c r="O178" s="593"/>
      <c r="P178" s="616"/>
      <c r="Q178" s="564" t="str">
        <f>IF(O178&lt;&gt;0,VLOOKUP(O178,'Cây trong'!$A$2:$C$246,3,0)," ")</f>
        <v xml:space="preserve"> </v>
      </c>
      <c r="R178" s="564" t="str">
        <f t="shared" si="24"/>
        <v xml:space="preserve"> </v>
      </c>
      <c r="S178" s="593"/>
      <c r="T178" s="593"/>
      <c r="U178" s="617"/>
      <c r="V178" s="589"/>
      <c r="W178" s="564" t="str">
        <f>IF(S178&lt;&gt;0,VLOOKUP(S178,VKT!$A$2:$G$415,7,0),"")</f>
        <v/>
      </c>
      <c r="X178" s="564" t="str">
        <f t="shared" si="31"/>
        <v xml:space="preserve"> </v>
      </c>
      <c r="Y178" s="589"/>
      <c r="Z178" s="589"/>
      <c r="AA178" s="589"/>
      <c r="AB178" s="562"/>
      <c r="AC178" s="589"/>
      <c r="AD178" s="589"/>
      <c r="AE178" s="589"/>
      <c r="AF178" s="629"/>
      <c r="AG178" s="570" t="str">
        <f>IF(AE178&lt;&gt;0,VLOOKUP(AE178,ODDS!$A$2:$C$13,3,0),"")</f>
        <v/>
      </c>
      <c r="AH178" s="570" t="str">
        <f t="shared" si="25"/>
        <v xml:space="preserve"> </v>
      </c>
      <c r="AI178" s="571" t="str">
        <f t="shared" si="27"/>
        <v xml:space="preserve"> </v>
      </c>
      <c r="AJ178" s="593"/>
      <c r="AK178" s="593"/>
    </row>
    <row r="179" spans="1:37" s="376" customFormat="1" ht="20.25" outlineLevel="2" x14ac:dyDescent="0.3">
      <c r="A179" s="447">
        <f t="shared" si="39"/>
        <v>20</v>
      </c>
      <c r="B179" s="557"/>
      <c r="C179" s="572"/>
      <c r="D179" s="587"/>
      <c r="E179" s="587"/>
      <c r="F179" s="615"/>
      <c r="G179" s="558"/>
      <c r="H179" s="604"/>
      <c r="I179" s="546"/>
      <c r="J179" s="593"/>
      <c r="K179" s="563" t="str">
        <f>IF(G179&lt;&gt;0,VLOOKUP(G179,'gia dat'!$A$1:$F$144,5,0)," ")</f>
        <v xml:space="preserve"> </v>
      </c>
      <c r="L179" s="563" t="str">
        <f>IF(G179&lt;&gt;0,VLOOKUP(G179,'gia dat'!$A$1:$F$144,6,0)," ")</f>
        <v xml:space="preserve"> </v>
      </c>
      <c r="M179" s="564" t="str">
        <f t="shared" si="33"/>
        <v xml:space="preserve"> </v>
      </c>
      <c r="N179" s="564" t="str">
        <f t="shared" si="34"/>
        <v xml:space="preserve"> </v>
      </c>
      <c r="O179" s="593"/>
      <c r="P179" s="616"/>
      <c r="Q179" s="564" t="str">
        <f>IF(O179&lt;&gt;0,VLOOKUP(O179,'Cây trong'!$A$2:$C$246,3,0)," ")</f>
        <v xml:space="preserve"> </v>
      </c>
      <c r="R179" s="564" t="str">
        <f t="shared" si="24"/>
        <v xml:space="preserve"> </v>
      </c>
      <c r="S179" s="593"/>
      <c r="T179" s="593"/>
      <c r="U179" s="617"/>
      <c r="V179" s="589"/>
      <c r="W179" s="564" t="str">
        <f>IF(S179&lt;&gt;0,VLOOKUP(S179,VKT!$A$2:$G$415,7,0),"")</f>
        <v/>
      </c>
      <c r="X179" s="564" t="str">
        <f t="shared" si="31"/>
        <v xml:space="preserve"> </v>
      </c>
      <c r="Y179" s="589"/>
      <c r="Z179" s="589"/>
      <c r="AA179" s="589"/>
      <c r="AB179" s="562"/>
      <c r="AC179" s="589"/>
      <c r="AD179" s="589"/>
      <c r="AE179" s="589"/>
      <c r="AF179" s="629"/>
      <c r="AG179" s="570" t="str">
        <f>IF(AE179&lt;&gt;0,VLOOKUP(AE179,ODDS!$A$2:$C$13,3,0),"")</f>
        <v/>
      </c>
      <c r="AH179" s="570" t="str">
        <f t="shared" si="25"/>
        <v xml:space="preserve"> </v>
      </c>
      <c r="AI179" s="571" t="str">
        <f t="shared" si="27"/>
        <v xml:space="preserve"> </v>
      </c>
      <c r="AJ179" s="593"/>
      <c r="AK179" s="593"/>
    </row>
    <row r="180" spans="1:37" s="376" customFormat="1" ht="20.25" outlineLevel="2" x14ac:dyDescent="0.3">
      <c r="A180" s="447">
        <f t="shared" si="39"/>
        <v>20</v>
      </c>
      <c r="B180" s="557"/>
      <c r="C180" s="607"/>
      <c r="D180" s="594"/>
      <c r="E180" s="595"/>
      <c r="F180" s="577"/>
      <c r="G180" s="574"/>
      <c r="H180" s="588"/>
      <c r="I180" s="546"/>
      <c r="J180" s="608"/>
      <c r="K180" s="563" t="str">
        <f>IF(G180&lt;&gt;0,VLOOKUP(G180,'gia dat'!$A$1:$F$144,5,0)," ")</f>
        <v xml:space="preserve"> </v>
      </c>
      <c r="L180" s="563" t="str">
        <f>IF(G180&lt;&gt;0,VLOOKUP(G180,'gia dat'!$A$1:$F$144,6,0)," ")</f>
        <v xml:space="preserve"> </v>
      </c>
      <c r="M180" s="564" t="str">
        <f t="shared" si="33"/>
        <v xml:space="preserve"> </v>
      </c>
      <c r="N180" s="564" t="str">
        <f t="shared" si="34"/>
        <v xml:space="preserve"> </v>
      </c>
      <c r="O180" s="578"/>
      <c r="P180" s="633"/>
      <c r="Q180" s="564" t="str">
        <f>IF(O180&lt;&gt;0,VLOOKUP(O180,'Cây trong'!$A$2:$C$246,3,0)," ")</f>
        <v xml:space="preserve"> </v>
      </c>
      <c r="R180" s="564" t="str">
        <f t="shared" si="24"/>
        <v xml:space="preserve"> </v>
      </c>
      <c r="S180" s="578"/>
      <c r="T180" s="621"/>
      <c r="U180" s="591"/>
      <c r="V180" s="597"/>
      <c r="W180" s="564" t="str">
        <f>IF(S180&lt;&gt;0,VLOOKUP(S180,VKT!$A$2:$G$415,7,0),"")</f>
        <v/>
      </c>
      <c r="X180" s="564" t="str">
        <f t="shared" si="31"/>
        <v xml:space="preserve"> </v>
      </c>
      <c r="Y180" s="597"/>
      <c r="Z180" s="601"/>
      <c r="AA180" s="601"/>
      <c r="AB180" s="584"/>
      <c r="AC180" s="601"/>
      <c r="AD180" s="601"/>
      <c r="AE180" s="601"/>
      <c r="AF180" s="599"/>
      <c r="AG180" s="570" t="str">
        <f>IF(AE180&lt;&gt;0,VLOOKUP(AE180,ODDS!$A$2:$C$13,3,0),"")</f>
        <v/>
      </c>
      <c r="AH180" s="570" t="str">
        <f t="shared" si="25"/>
        <v xml:space="preserve"> </v>
      </c>
      <c r="AI180" s="571" t="str">
        <f t="shared" si="27"/>
        <v xml:space="preserve"> </v>
      </c>
      <c r="AJ180" s="558"/>
      <c r="AK180" s="558"/>
    </row>
    <row r="181" spans="1:37" s="376" customFormat="1" ht="20.25" outlineLevel="1" x14ac:dyDescent="0.25">
      <c r="A181" s="467" t="s">
        <v>2689</v>
      </c>
      <c r="B181" s="576">
        <v>21</v>
      </c>
      <c r="C181" s="607" t="s">
        <v>28</v>
      </c>
      <c r="D181" s="594"/>
      <c r="E181" s="595"/>
      <c r="F181" s="577"/>
      <c r="G181" s="574"/>
      <c r="H181" s="618">
        <f>SUBTOTAL(9,H182:H189)</f>
        <v>31.1</v>
      </c>
      <c r="I181" s="579">
        <f>SUBTOTAL(9,I182:I187)</f>
        <v>0</v>
      </c>
      <c r="J181" s="608"/>
      <c r="K181" s="581"/>
      <c r="L181" s="581"/>
      <c r="M181" s="571">
        <f>SUBTOTAL(9,M182:M189)</f>
        <v>17242000</v>
      </c>
      <c r="N181" s="571">
        <f>SUBTOTAL(9,N182:N189)</f>
        <v>0</v>
      </c>
      <c r="O181" s="578"/>
      <c r="P181" s="599">
        <f>SUBTOTAL(9,P182:P189)</f>
        <v>0</v>
      </c>
      <c r="Q181" s="571"/>
      <c r="R181" s="571">
        <f>SUBTOTAL(9,R182:R189)</f>
        <v>0</v>
      </c>
      <c r="S181" s="582"/>
      <c r="T181" s="597"/>
      <c r="U181" s="600">
        <f>SUBTOTAL(9,U182:U189)</f>
        <v>0</v>
      </c>
      <c r="V181" s="622"/>
      <c r="W181" s="571"/>
      <c r="X181" s="571">
        <f>SUBTOTAL(9,X182:X189)</f>
        <v>0</v>
      </c>
      <c r="Y181" s="562"/>
      <c r="Z181" s="592"/>
      <c r="AA181" s="592"/>
      <c r="AB181" s="568"/>
      <c r="AC181" s="592"/>
      <c r="AD181" s="592"/>
      <c r="AE181" s="601"/>
      <c r="AF181" s="599">
        <f>SUBTOTAL(9,AF182:AF189)</f>
        <v>0</v>
      </c>
      <c r="AG181" s="585"/>
      <c r="AH181" s="585">
        <f>SUBTOTAL(9,AH182:AH189)</f>
        <v>0</v>
      </c>
      <c r="AI181" s="571">
        <f t="shared" si="27"/>
        <v>17242000</v>
      </c>
      <c r="AJ181" s="574"/>
      <c r="AK181" s="578"/>
    </row>
    <row r="182" spans="1:37" s="376" customFormat="1" ht="121.5" outlineLevel="2" x14ac:dyDescent="0.3">
      <c r="A182" s="447">
        <f>IF(B181&lt;&gt;0,B181,A180)</f>
        <v>21</v>
      </c>
      <c r="B182" s="557"/>
      <c r="C182" s="558" t="s">
        <v>115</v>
      </c>
      <c r="D182" s="594"/>
      <c r="E182" s="587">
        <v>86</v>
      </c>
      <c r="F182" s="560">
        <v>704</v>
      </c>
      <c r="G182" s="558" t="s">
        <v>2891</v>
      </c>
      <c r="H182" s="588">
        <v>31.1</v>
      </c>
      <c r="I182" s="546" t="str">
        <f t="shared" ref="I182" si="40">IF(N182&gt;0,H182,"")</f>
        <v/>
      </c>
      <c r="J182" s="593"/>
      <c r="K182" s="563">
        <f>IF(G182&lt;&gt;0,VLOOKUP(G182,'gia dat'!$A$1:$F$144,5,0)," ")</f>
        <v>554400</v>
      </c>
      <c r="L182" s="563">
        <f>IF(G182&lt;&gt;0,VLOOKUP(G182,'gia dat'!$A$1:$F$144,6,0)," ")</f>
        <v>0</v>
      </c>
      <c r="M182" s="564">
        <f t="shared" si="33"/>
        <v>17242000</v>
      </c>
      <c r="N182" s="564">
        <f t="shared" si="34"/>
        <v>0</v>
      </c>
      <c r="O182" s="586"/>
      <c r="P182" s="590"/>
      <c r="Q182" s="564" t="str">
        <f>IF(O182&lt;&gt;0,VLOOKUP(O182,'Cây trong'!$A$2:$C$246,3,0)," ")</f>
        <v xml:space="preserve"> </v>
      </c>
      <c r="R182" s="564" t="str">
        <f t="shared" si="24"/>
        <v xml:space="preserve"> </v>
      </c>
      <c r="S182" s="566"/>
      <c r="T182" s="589"/>
      <c r="U182" s="591"/>
      <c r="V182" s="611"/>
      <c r="W182" s="564" t="str">
        <f>IF(S182&lt;&gt;0,VLOOKUP(S182,VKT!$A$2:$G$415,7,0),"")</f>
        <v/>
      </c>
      <c r="X182" s="564" t="str">
        <f t="shared" si="31"/>
        <v xml:space="preserve"> </v>
      </c>
      <c r="Y182" s="562"/>
      <c r="Z182" s="592"/>
      <c r="AA182" s="592"/>
      <c r="AB182" s="568"/>
      <c r="AC182" s="592"/>
      <c r="AD182" s="592"/>
      <c r="AE182" s="592"/>
      <c r="AF182" s="590"/>
      <c r="AG182" s="570" t="str">
        <f>IF(AE182&lt;&gt;0,VLOOKUP(AE182,ODDS!$A$2:$C$13,3,0),"")</f>
        <v/>
      </c>
      <c r="AH182" s="570" t="str">
        <f t="shared" si="25"/>
        <v xml:space="preserve"> </v>
      </c>
      <c r="AI182" s="571" t="str">
        <f t="shared" si="27"/>
        <v xml:space="preserve"> </v>
      </c>
      <c r="AJ182" s="558" t="s">
        <v>1690</v>
      </c>
      <c r="AK182" s="586" t="s">
        <v>2771</v>
      </c>
    </row>
    <row r="183" spans="1:37" s="376" customFormat="1" ht="60.75" outlineLevel="2" x14ac:dyDescent="0.3">
      <c r="A183" s="447">
        <f t="shared" ref="A183:A189" si="41">IF(B182&lt;&gt;0,B182,A182)</f>
        <v>21</v>
      </c>
      <c r="B183" s="557"/>
      <c r="C183" s="558" t="s">
        <v>645</v>
      </c>
      <c r="D183" s="603"/>
      <c r="E183" s="612"/>
      <c r="F183" s="612"/>
      <c r="G183" s="586"/>
      <c r="H183" s="588"/>
      <c r="I183" s="546"/>
      <c r="J183" s="593"/>
      <c r="K183" s="563" t="str">
        <f>IF(G183&lt;&gt;0,VLOOKUP(G183,'gia dat'!$A$1:$F$144,5,0)," ")</f>
        <v xml:space="preserve"> </v>
      </c>
      <c r="L183" s="563" t="str">
        <f>IF(G183&lt;&gt;0,VLOOKUP(G183,'gia dat'!$A$1:$F$144,6,0)," ")</f>
        <v xml:space="preserve"> </v>
      </c>
      <c r="M183" s="564" t="str">
        <f t="shared" si="33"/>
        <v xml:space="preserve"> </v>
      </c>
      <c r="N183" s="564" t="str">
        <f t="shared" si="34"/>
        <v xml:space="preserve"> </v>
      </c>
      <c r="O183" s="586"/>
      <c r="P183" s="590"/>
      <c r="Q183" s="564" t="str">
        <f>IF(O183&lt;&gt;0,VLOOKUP(O183,'Cây trong'!$A$2:$C$246,3,0)," ")</f>
        <v xml:space="preserve"> </v>
      </c>
      <c r="R183" s="564" t="str">
        <f t="shared" si="24"/>
        <v xml:space="preserve"> </v>
      </c>
      <c r="S183" s="586"/>
      <c r="T183" s="609"/>
      <c r="U183" s="591"/>
      <c r="V183" s="611"/>
      <c r="W183" s="564" t="str">
        <f>IF(S183&lt;&gt;0,VLOOKUP(S183,VKT!$A$2:$G$415,7,0),"")</f>
        <v/>
      </c>
      <c r="X183" s="564" t="str">
        <f t="shared" si="31"/>
        <v xml:space="preserve"> </v>
      </c>
      <c r="Y183" s="589"/>
      <c r="Z183" s="592"/>
      <c r="AA183" s="592"/>
      <c r="AB183" s="568"/>
      <c r="AC183" s="592"/>
      <c r="AD183" s="592"/>
      <c r="AE183" s="592"/>
      <c r="AF183" s="590"/>
      <c r="AG183" s="570" t="str">
        <f>IF(AE183&lt;&gt;0,VLOOKUP(AE183,ODDS!$A$2:$C$13,3,0),"")</f>
        <v/>
      </c>
      <c r="AH183" s="570" t="str">
        <f t="shared" si="25"/>
        <v xml:space="preserve"> </v>
      </c>
      <c r="AI183" s="571" t="str">
        <f t="shared" si="27"/>
        <v xml:space="preserve"> </v>
      </c>
      <c r="AJ183" s="558" t="s">
        <v>447</v>
      </c>
      <c r="AK183" s="558"/>
    </row>
    <row r="184" spans="1:37" s="376" customFormat="1" ht="40.5" outlineLevel="2" x14ac:dyDescent="0.3">
      <c r="A184" s="447">
        <f t="shared" si="41"/>
        <v>21</v>
      </c>
      <c r="B184" s="557"/>
      <c r="C184" s="558" t="s">
        <v>323</v>
      </c>
      <c r="D184" s="587"/>
      <c r="E184" s="587"/>
      <c r="F184" s="560"/>
      <c r="G184" s="558"/>
      <c r="H184" s="588"/>
      <c r="I184" s="546"/>
      <c r="J184" s="589"/>
      <c r="K184" s="563" t="str">
        <f>IF(G184&lt;&gt;0,VLOOKUP(G184,'gia dat'!$A$1:$F$144,5,0)," ")</f>
        <v xml:space="preserve"> </v>
      </c>
      <c r="L184" s="563" t="str">
        <f>IF(G184&lt;&gt;0,VLOOKUP(G184,'gia dat'!$A$1:$F$144,6,0)," ")</f>
        <v xml:space="preserve"> </v>
      </c>
      <c r="M184" s="564" t="str">
        <f t="shared" si="33"/>
        <v xml:space="preserve"> </v>
      </c>
      <c r="N184" s="564" t="str">
        <f t="shared" si="34"/>
        <v xml:space="preserve"> </v>
      </c>
      <c r="O184" s="565"/>
      <c r="P184" s="590"/>
      <c r="Q184" s="564" t="str">
        <f>IF(O184&lt;&gt;0,VLOOKUP(O184,'Cây trong'!$A$2:$C$246,3,0)," ")</f>
        <v xml:space="preserve"> </v>
      </c>
      <c r="R184" s="564" t="str">
        <f t="shared" si="24"/>
        <v xml:space="preserve"> </v>
      </c>
      <c r="S184" s="566"/>
      <c r="T184" s="589"/>
      <c r="U184" s="591"/>
      <c r="V184" s="589"/>
      <c r="W184" s="564" t="str">
        <f>IF(S184&lt;&gt;0,VLOOKUP(S184,VKT!$A$2:$G$415,7,0),"")</f>
        <v/>
      </c>
      <c r="X184" s="564" t="str">
        <f t="shared" si="31"/>
        <v xml:space="preserve"> </v>
      </c>
      <c r="Y184" s="589"/>
      <c r="Z184" s="592"/>
      <c r="AA184" s="592"/>
      <c r="AB184" s="568"/>
      <c r="AC184" s="592"/>
      <c r="AD184" s="592"/>
      <c r="AE184" s="592"/>
      <c r="AF184" s="590"/>
      <c r="AG184" s="570" t="str">
        <f>IF(AE184&lt;&gt;0,VLOOKUP(AE184,ODDS!$A$2:$C$13,3,0),"")</f>
        <v/>
      </c>
      <c r="AH184" s="570" t="str">
        <f t="shared" si="25"/>
        <v xml:space="preserve"> </v>
      </c>
      <c r="AI184" s="571" t="str">
        <f t="shared" si="27"/>
        <v xml:space="preserve"> </v>
      </c>
      <c r="AJ184" s="558" t="s">
        <v>1674</v>
      </c>
      <c r="AK184" s="558"/>
    </row>
    <row r="185" spans="1:37" s="376" customFormat="1" ht="20.25" outlineLevel="2" x14ac:dyDescent="0.3">
      <c r="A185" s="447">
        <f t="shared" si="41"/>
        <v>21</v>
      </c>
      <c r="B185" s="557"/>
      <c r="C185" s="572"/>
      <c r="D185" s="587"/>
      <c r="E185" s="587"/>
      <c r="F185" s="615"/>
      <c r="G185" s="558"/>
      <c r="H185" s="604"/>
      <c r="I185" s="546"/>
      <c r="J185" s="593"/>
      <c r="K185" s="563" t="str">
        <f>IF(G185&lt;&gt;0,VLOOKUP(G185,'gia dat'!$A$1:$F$144,5,0)," ")</f>
        <v xml:space="preserve"> </v>
      </c>
      <c r="L185" s="563" t="str">
        <f>IF(G185&lt;&gt;0,VLOOKUP(G185,'gia dat'!$A$1:$F$144,6,0)," ")</f>
        <v xml:space="preserve"> </v>
      </c>
      <c r="M185" s="564" t="str">
        <f t="shared" si="33"/>
        <v xml:space="preserve"> </v>
      </c>
      <c r="N185" s="564" t="str">
        <f t="shared" si="34"/>
        <v xml:space="preserve"> </v>
      </c>
      <c r="O185" s="593"/>
      <c r="P185" s="616"/>
      <c r="Q185" s="564" t="str">
        <f>IF(O185&lt;&gt;0,VLOOKUP(O185,'Cây trong'!$A$2:$C$246,3,0)," ")</f>
        <v xml:space="preserve"> </v>
      </c>
      <c r="R185" s="564" t="str">
        <f t="shared" si="24"/>
        <v xml:space="preserve"> </v>
      </c>
      <c r="S185" s="593"/>
      <c r="T185" s="593"/>
      <c r="U185" s="617"/>
      <c r="V185" s="589"/>
      <c r="W185" s="564" t="str">
        <f>IF(S185&lt;&gt;0,VLOOKUP(S185,VKT!$A$2:$G$415,7,0),"")</f>
        <v/>
      </c>
      <c r="X185" s="564" t="str">
        <f t="shared" si="31"/>
        <v xml:space="preserve"> </v>
      </c>
      <c r="Y185" s="589"/>
      <c r="Z185" s="589"/>
      <c r="AA185" s="589"/>
      <c r="AB185" s="562"/>
      <c r="AC185" s="589"/>
      <c r="AD185" s="589"/>
      <c r="AE185" s="589"/>
      <c r="AF185" s="629"/>
      <c r="AG185" s="570" t="str">
        <f>IF(AE185&lt;&gt;0,VLOOKUP(AE185,ODDS!$A$2:$C$13,3,0),"")</f>
        <v/>
      </c>
      <c r="AH185" s="570" t="str">
        <f t="shared" si="25"/>
        <v xml:space="preserve"> </v>
      </c>
      <c r="AI185" s="571" t="str">
        <f t="shared" si="27"/>
        <v xml:space="preserve"> </v>
      </c>
      <c r="AJ185" s="593"/>
      <c r="AK185" s="593"/>
    </row>
    <row r="186" spans="1:37" s="376" customFormat="1" ht="20.25" outlineLevel="2" x14ac:dyDescent="0.3">
      <c r="A186" s="447">
        <f t="shared" si="41"/>
        <v>21</v>
      </c>
      <c r="B186" s="557"/>
      <c r="C186" s="572"/>
      <c r="D186" s="587"/>
      <c r="E186" s="587"/>
      <c r="F186" s="560"/>
      <c r="G186" s="558"/>
      <c r="H186" s="588"/>
      <c r="I186" s="546"/>
      <c r="J186" s="589"/>
      <c r="K186" s="563" t="str">
        <f>IF(G186&lt;&gt;0,VLOOKUP(G186,'gia dat'!$A$1:$F$144,5,0)," ")</f>
        <v xml:space="preserve"> </v>
      </c>
      <c r="L186" s="563" t="str">
        <f>IF(G186&lt;&gt;0,VLOOKUP(G186,'gia dat'!$A$1:$F$144,6,0)," ")</f>
        <v xml:space="preserve"> </v>
      </c>
      <c r="M186" s="564" t="str">
        <f t="shared" si="33"/>
        <v xml:space="preserve"> </v>
      </c>
      <c r="N186" s="564" t="str">
        <f t="shared" si="34"/>
        <v xml:space="preserve"> </v>
      </c>
      <c r="O186" s="565"/>
      <c r="P186" s="590"/>
      <c r="Q186" s="564" t="str">
        <f>IF(O186&lt;&gt;0,VLOOKUP(O186,'Cây trong'!$A$2:$C$246,3,0)," ")</f>
        <v xml:space="preserve"> </v>
      </c>
      <c r="R186" s="564" t="str">
        <f t="shared" si="24"/>
        <v xml:space="preserve"> </v>
      </c>
      <c r="S186" s="566"/>
      <c r="T186" s="589"/>
      <c r="U186" s="591"/>
      <c r="V186" s="589"/>
      <c r="W186" s="564" t="str">
        <f>IF(S186&lt;&gt;0,VLOOKUP(S186,VKT!$A$2:$G$415,7,0),"")</f>
        <v/>
      </c>
      <c r="X186" s="564" t="str">
        <f t="shared" si="31"/>
        <v xml:space="preserve"> </v>
      </c>
      <c r="Y186" s="589"/>
      <c r="Z186" s="592"/>
      <c r="AA186" s="592"/>
      <c r="AB186" s="568"/>
      <c r="AC186" s="592"/>
      <c r="AD186" s="592"/>
      <c r="AE186" s="592"/>
      <c r="AF186" s="590"/>
      <c r="AG186" s="570" t="str">
        <f>IF(AE186&lt;&gt;0,VLOOKUP(AE186,ODDS!$A$2:$C$13,3,0),"")</f>
        <v/>
      </c>
      <c r="AH186" s="570" t="str">
        <f t="shared" si="25"/>
        <v xml:space="preserve"> </v>
      </c>
      <c r="AI186" s="571" t="str">
        <f t="shared" si="27"/>
        <v xml:space="preserve"> </v>
      </c>
      <c r="AJ186" s="593"/>
      <c r="AK186" s="593"/>
    </row>
    <row r="187" spans="1:37" s="376" customFormat="1" ht="20.25" outlineLevel="2" x14ac:dyDescent="0.3">
      <c r="A187" s="447">
        <f t="shared" si="41"/>
        <v>21</v>
      </c>
      <c r="B187" s="557"/>
      <c r="C187" s="572"/>
      <c r="D187" s="587"/>
      <c r="E187" s="587"/>
      <c r="F187" s="560"/>
      <c r="G187" s="558"/>
      <c r="H187" s="588"/>
      <c r="I187" s="546"/>
      <c r="J187" s="589"/>
      <c r="K187" s="563" t="str">
        <f>IF(G187&lt;&gt;0,VLOOKUP(G187,'gia dat'!$A$1:$F$144,5,0)," ")</f>
        <v xml:space="preserve"> </v>
      </c>
      <c r="L187" s="563" t="str">
        <f>IF(G187&lt;&gt;0,VLOOKUP(G187,'gia dat'!$A$1:$F$144,6,0)," ")</f>
        <v xml:space="preserve"> </v>
      </c>
      <c r="M187" s="564" t="str">
        <f t="shared" si="33"/>
        <v xml:space="preserve"> </v>
      </c>
      <c r="N187" s="564" t="str">
        <f t="shared" si="34"/>
        <v xml:space="preserve"> </v>
      </c>
      <c r="O187" s="565"/>
      <c r="P187" s="590"/>
      <c r="Q187" s="564" t="str">
        <f>IF(O187&lt;&gt;0,VLOOKUP(O187,'Cây trong'!$A$2:$C$246,3,0)," ")</f>
        <v xml:space="preserve"> </v>
      </c>
      <c r="R187" s="564" t="str">
        <f t="shared" si="24"/>
        <v xml:space="preserve"> </v>
      </c>
      <c r="S187" s="566"/>
      <c r="T187" s="589"/>
      <c r="U187" s="591"/>
      <c r="V187" s="589"/>
      <c r="W187" s="564" t="str">
        <f>IF(S187&lt;&gt;0,VLOOKUP(S187,VKT!$A$2:$G$415,7,0),"")</f>
        <v/>
      </c>
      <c r="X187" s="564" t="str">
        <f t="shared" si="31"/>
        <v xml:space="preserve"> </v>
      </c>
      <c r="Y187" s="589"/>
      <c r="Z187" s="592"/>
      <c r="AA187" s="592"/>
      <c r="AB187" s="568"/>
      <c r="AC187" s="592"/>
      <c r="AD187" s="592"/>
      <c r="AE187" s="592"/>
      <c r="AF187" s="590"/>
      <c r="AG187" s="570" t="str">
        <f>IF(AE187&lt;&gt;0,VLOOKUP(AE187,ODDS!$A$2:$C$13,3,0),"")</f>
        <v/>
      </c>
      <c r="AH187" s="570" t="str">
        <f t="shared" si="25"/>
        <v xml:space="preserve"> </v>
      </c>
      <c r="AI187" s="571" t="str">
        <f t="shared" si="27"/>
        <v xml:space="preserve"> </v>
      </c>
      <c r="AJ187" s="593"/>
      <c r="AK187" s="593"/>
    </row>
    <row r="188" spans="1:37" s="376" customFormat="1" ht="20.25" outlineLevel="2" x14ac:dyDescent="0.3">
      <c r="A188" s="447">
        <f t="shared" si="41"/>
        <v>21</v>
      </c>
      <c r="B188" s="557"/>
      <c r="C188" s="558"/>
      <c r="D188" s="587"/>
      <c r="E188" s="587"/>
      <c r="F188" s="560"/>
      <c r="G188" s="558"/>
      <c r="H188" s="588"/>
      <c r="I188" s="546"/>
      <c r="J188" s="589"/>
      <c r="K188" s="563" t="str">
        <f>IF(G188&lt;&gt;0,VLOOKUP(G188,'gia dat'!$A$1:$F$144,5,0)," ")</f>
        <v xml:space="preserve"> </v>
      </c>
      <c r="L188" s="563" t="str">
        <f>IF(G188&lt;&gt;0,VLOOKUP(G188,'gia dat'!$A$1:$F$144,6,0)," ")</f>
        <v xml:space="preserve"> </v>
      </c>
      <c r="M188" s="564" t="str">
        <f t="shared" si="33"/>
        <v xml:space="preserve"> </v>
      </c>
      <c r="N188" s="564" t="str">
        <f t="shared" si="34"/>
        <v xml:space="preserve"> </v>
      </c>
      <c r="O188" s="565"/>
      <c r="P188" s="590"/>
      <c r="Q188" s="564" t="str">
        <f>IF(O188&lt;&gt;0,VLOOKUP(O188,'Cây trong'!$A$2:$C$246,3,0)," ")</f>
        <v xml:space="preserve"> </v>
      </c>
      <c r="R188" s="564" t="str">
        <f t="shared" si="24"/>
        <v xml:space="preserve"> </v>
      </c>
      <c r="S188" s="566"/>
      <c r="T188" s="589"/>
      <c r="U188" s="591"/>
      <c r="V188" s="589"/>
      <c r="W188" s="564" t="str">
        <f>IF(S188&lt;&gt;0,VLOOKUP(S188,VKT!$A$2:$G$415,7,0),"")</f>
        <v/>
      </c>
      <c r="X188" s="564" t="str">
        <f t="shared" si="31"/>
        <v xml:space="preserve"> </v>
      </c>
      <c r="Y188" s="589"/>
      <c r="Z188" s="592"/>
      <c r="AA188" s="592"/>
      <c r="AB188" s="568"/>
      <c r="AC188" s="592"/>
      <c r="AD188" s="592"/>
      <c r="AE188" s="592"/>
      <c r="AF188" s="590"/>
      <c r="AG188" s="570" t="str">
        <f>IF(AE188&lt;&gt;0,VLOOKUP(AE188,ODDS!$A$2:$C$13,3,0),"")</f>
        <v/>
      </c>
      <c r="AH188" s="570" t="str">
        <f t="shared" si="25"/>
        <v xml:space="preserve"> </v>
      </c>
      <c r="AI188" s="571" t="str">
        <f t="shared" si="27"/>
        <v xml:space="preserve"> </v>
      </c>
      <c r="AJ188" s="593"/>
      <c r="AK188" s="593"/>
    </row>
    <row r="189" spans="1:37" s="376" customFormat="1" ht="20.25" outlineLevel="2" x14ac:dyDescent="0.3">
      <c r="A189" s="447">
        <f t="shared" si="41"/>
        <v>21</v>
      </c>
      <c r="B189" s="557"/>
      <c r="C189" s="574"/>
      <c r="D189" s="587"/>
      <c r="E189" s="587"/>
      <c r="F189" s="560"/>
      <c r="G189" s="558"/>
      <c r="H189" s="588"/>
      <c r="I189" s="546"/>
      <c r="J189" s="589"/>
      <c r="K189" s="563" t="str">
        <f>IF(G189&lt;&gt;0,VLOOKUP(G189,'gia dat'!$A$1:$F$144,5,0)," ")</f>
        <v xml:space="preserve"> </v>
      </c>
      <c r="L189" s="563" t="str">
        <f>IF(G189&lt;&gt;0,VLOOKUP(G189,'gia dat'!$A$1:$F$144,6,0)," ")</f>
        <v xml:space="preserve"> </v>
      </c>
      <c r="M189" s="564" t="str">
        <f t="shared" si="33"/>
        <v xml:space="preserve"> </v>
      </c>
      <c r="N189" s="564" t="str">
        <f t="shared" si="34"/>
        <v xml:space="preserve"> </v>
      </c>
      <c r="O189" s="565"/>
      <c r="P189" s="590"/>
      <c r="Q189" s="564" t="str">
        <f>IF(O189&lt;&gt;0,VLOOKUP(O189,'Cây trong'!$A$2:$C$246,3,0)," ")</f>
        <v xml:space="preserve"> </v>
      </c>
      <c r="R189" s="564" t="str">
        <f t="shared" si="24"/>
        <v xml:space="preserve"> </v>
      </c>
      <c r="S189" s="566"/>
      <c r="T189" s="589"/>
      <c r="U189" s="591"/>
      <c r="V189" s="589"/>
      <c r="W189" s="564" t="str">
        <f>IF(S189&lt;&gt;0,VLOOKUP(S189,VKT!$A$2:$G$415,7,0),"")</f>
        <v/>
      </c>
      <c r="X189" s="564" t="str">
        <f t="shared" si="31"/>
        <v xml:space="preserve"> </v>
      </c>
      <c r="Y189" s="589"/>
      <c r="Z189" s="592"/>
      <c r="AA189" s="592"/>
      <c r="AB189" s="568"/>
      <c r="AC189" s="592"/>
      <c r="AD189" s="592"/>
      <c r="AE189" s="592"/>
      <c r="AF189" s="590"/>
      <c r="AG189" s="570" t="str">
        <f>IF(AE189&lt;&gt;0,VLOOKUP(AE189,ODDS!$A$2:$C$13,3,0),"")</f>
        <v/>
      </c>
      <c r="AH189" s="570" t="str">
        <f t="shared" si="25"/>
        <v xml:space="preserve"> </v>
      </c>
      <c r="AI189" s="571" t="str">
        <f t="shared" si="27"/>
        <v xml:space="preserve"> </v>
      </c>
      <c r="AJ189" s="558"/>
      <c r="AK189" s="558"/>
    </row>
    <row r="190" spans="1:37" s="376" customFormat="1" ht="40.5" outlineLevel="1" x14ac:dyDescent="0.25">
      <c r="A190" s="467" t="s">
        <v>2688</v>
      </c>
      <c r="B190" s="576">
        <v>22</v>
      </c>
      <c r="C190" s="574" t="s">
        <v>118</v>
      </c>
      <c r="D190" s="595"/>
      <c r="E190" s="595"/>
      <c r="F190" s="577"/>
      <c r="G190" s="574"/>
      <c r="H190" s="618">
        <f>SUBTOTAL(9,H191:H199)</f>
        <v>30.7</v>
      </c>
      <c r="I190" s="579">
        <f>SUBTOTAL(9,I191:I196)</f>
        <v>0</v>
      </c>
      <c r="J190" s="608"/>
      <c r="K190" s="581"/>
      <c r="L190" s="581"/>
      <c r="M190" s="571">
        <f>SUBTOTAL(9,M191:M199)</f>
        <v>17020000</v>
      </c>
      <c r="N190" s="571">
        <f>SUBTOTAL(9,N191:N199)</f>
        <v>0</v>
      </c>
      <c r="O190" s="578"/>
      <c r="P190" s="599">
        <f>SUBTOTAL(9,P191:P199)</f>
        <v>0</v>
      </c>
      <c r="Q190" s="571"/>
      <c r="R190" s="571">
        <f>SUBTOTAL(9,R191:R199)</f>
        <v>0</v>
      </c>
      <c r="S190" s="582"/>
      <c r="T190" s="597"/>
      <c r="U190" s="600">
        <f>SUBTOTAL(9,U191:U199)</f>
        <v>0</v>
      </c>
      <c r="V190" s="622"/>
      <c r="W190" s="571"/>
      <c r="X190" s="571">
        <f>SUBTOTAL(9,X191:X199)</f>
        <v>0</v>
      </c>
      <c r="Y190" s="589"/>
      <c r="Z190" s="592"/>
      <c r="AA190" s="592"/>
      <c r="AB190" s="568"/>
      <c r="AC190" s="592"/>
      <c r="AD190" s="592"/>
      <c r="AE190" s="601"/>
      <c r="AF190" s="599">
        <f>SUBTOTAL(9,AF191:AF199)</f>
        <v>0</v>
      </c>
      <c r="AG190" s="585"/>
      <c r="AH190" s="585">
        <f>SUBTOTAL(9,AH191:AH199)</f>
        <v>0</v>
      </c>
      <c r="AI190" s="571">
        <f t="shared" si="27"/>
        <v>17020000</v>
      </c>
      <c r="AJ190" s="574"/>
      <c r="AK190" s="578"/>
    </row>
    <row r="191" spans="1:37" s="376" customFormat="1" ht="121.5" outlineLevel="2" x14ac:dyDescent="0.3">
      <c r="A191" s="447">
        <f>IF(B190&lt;&gt;0,B190,A189)</f>
        <v>22</v>
      </c>
      <c r="B191" s="557"/>
      <c r="C191" s="558" t="s">
        <v>119</v>
      </c>
      <c r="D191" s="587">
        <v>4</v>
      </c>
      <c r="E191" s="587">
        <v>86</v>
      </c>
      <c r="F191" s="560">
        <v>703</v>
      </c>
      <c r="G191" s="558" t="s">
        <v>2891</v>
      </c>
      <c r="H191" s="588">
        <f>30.7-H192</f>
        <v>30.7</v>
      </c>
      <c r="I191" s="546" t="str">
        <f t="shared" ref="I191" si="42">IF(N191&gt;0,H191,"")</f>
        <v/>
      </c>
      <c r="J191" s="593"/>
      <c r="K191" s="563">
        <f>IF(G191&lt;&gt;0,VLOOKUP(G191,'gia dat'!$A$1:$F$144,5,0)," ")</f>
        <v>554400</v>
      </c>
      <c r="L191" s="563">
        <f>IF(G191&lt;&gt;0,VLOOKUP(G191,'gia dat'!$A$1:$F$144,6,0)," ")</f>
        <v>0</v>
      </c>
      <c r="M191" s="564">
        <f t="shared" si="33"/>
        <v>17020000</v>
      </c>
      <c r="N191" s="564">
        <f t="shared" si="34"/>
        <v>0</v>
      </c>
      <c r="O191" s="586"/>
      <c r="P191" s="590"/>
      <c r="Q191" s="564" t="str">
        <f>IF(O191&lt;&gt;0,VLOOKUP(O191,'Cây trong'!$A$2:$C$246,3,0)," ")</f>
        <v xml:space="preserve"> </v>
      </c>
      <c r="R191" s="564" t="str">
        <f t="shared" si="24"/>
        <v xml:space="preserve"> </v>
      </c>
      <c r="S191" s="566"/>
      <c r="T191" s="589"/>
      <c r="U191" s="591"/>
      <c r="V191" s="611"/>
      <c r="W191" s="564" t="str">
        <f>IF(S191&lt;&gt;0,VLOOKUP(S191,VKT!$A$2:$G$415,7,0),"")</f>
        <v/>
      </c>
      <c r="X191" s="564" t="str">
        <f t="shared" si="31"/>
        <v xml:space="preserve"> </v>
      </c>
      <c r="Y191" s="589"/>
      <c r="Z191" s="592"/>
      <c r="AA191" s="592"/>
      <c r="AB191" s="568"/>
      <c r="AC191" s="592"/>
      <c r="AD191" s="592"/>
      <c r="AE191" s="592"/>
      <c r="AF191" s="590"/>
      <c r="AG191" s="570" t="str">
        <f>IF(AE191&lt;&gt;0,VLOOKUP(AE191,ODDS!$A$2:$C$13,3,0),"")</f>
        <v/>
      </c>
      <c r="AH191" s="570"/>
      <c r="AI191" s="571" t="str">
        <f t="shared" si="27"/>
        <v xml:space="preserve"> </v>
      </c>
      <c r="AJ191" s="558" t="s">
        <v>1691</v>
      </c>
      <c r="AK191" s="586" t="s">
        <v>2771</v>
      </c>
    </row>
    <row r="192" spans="1:37" s="376" customFormat="1" ht="60.75" outlineLevel="2" x14ac:dyDescent="0.3">
      <c r="A192" s="447">
        <f t="shared" ref="A192:A199" si="43">IF(B191&lt;&gt;0,B191,A191)</f>
        <v>22</v>
      </c>
      <c r="B192" s="557"/>
      <c r="C192" s="574" t="s">
        <v>120</v>
      </c>
      <c r="D192" s="587"/>
      <c r="E192" s="587"/>
      <c r="F192" s="560"/>
      <c r="G192" s="558"/>
      <c r="H192" s="588"/>
      <c r="I192" s="546"/>
      <c r="J192" s="593"/>
      <c r="K192" s="563" t="str">
        <f>IF(G192&lt;&gt;0,VLOOKUP(G192,'gia dat'!$A$1:$F$144,5,0)," ")</f>
        <v xml:space="preserve"> </v>
      </c>
      <c r="L192" s="563" t="str">
        <f>IF(G192&lt;&gt;0,VLOOKUP(G192,'gia dat'!$A$1:$F$144,6,0)," ")</f>
        <v xml:space="preserve"> </v>
      </c>
      <c r="M192" s="564" t="str">
        <f t="shared" si="33"/>
        <v xml:space="preserve"> </v>
      </c>
      <c r="N192" s="564" t="str">
        <f t="shared" si="34"/>
        <v xml:space="preserve"> </v>
      </c>
      <c r="O192" s="586"/>
      <c r="P192" s="590"/>
      <c r="Q192" s="564" t="str">
        <f>IF(O192&lt;&gt;0,VLOOKUP(O192,'Cây trong'!$A$2:$C$246,3,0)," ")</f>
        <v xml:space="preserve"> </v>
      </c>
      <c r="R192" s="564" t="str">
        <f t="shared" si="24"/>
        <v xml:space="preserve"> </v>
      </c>
      <c r="S192" s="586"/>
      <c r="T192" s="609"/>
      <c r="U192" s="591"/>
      <c r="V192" s="611"/>
      <c r="W192" s="564" t="str">
        <f>IF(S192&lt;&gt;0,VLOOKUP(S192,VKT!$A$2:$G$415,7,0),"")</f>
        <v/>
      </c>
      <c r="X192" s="564" t="str">
        <f t="shared" si="31"/>
        <v xml:space="preserve"> </v>
      </c>
      <c r="Y192" s="589"/>
      <c r="Z192" s="592"/>
      <c r="AA192" s="592"/>
      <c r="AB192" s="568"/>
      <c r="AC192" s="592"/>
      <c r="AD192" s="592"/>
      <c r="AE192" s="592"/>
      <c r="AF192" s="590"/>
      <c r="AG192" s="570" t="str">
        <f>IF(AE192&lt;&gt;0,VLOOKUP(AE192,ODDS!$A$2:$C$13,3,0),"")</f>
        <v/>
      </c>
      <c r="AH192" s="570" t="str">
        <f t="shared" si="25"/>
        <v xml:space="preserve"> </v>
      </c>
      <c r="AI192" s="571" t="str">
        <f t="shared" si="27"/>
        <v xml:space="preserve"> </v>
      </c>
      <c r="AJ192" s="558" t="s">
        <v>448</v>
      </c>
      <c r="AK192" s="558"/>
    </row>
    <row r="193" spans="1:37" s="376" customFormat="1" ht="40.5" outlineLevel="2" x14ac:dyDescent="0.3">
      <c r="A193" s="447">
        <f t="shared" si="43"/>
        <v>22</v>
      </c>
      <c r="B193" s="557"/>
      <c r="C193" s="558" t="s">
        <v>121</v>
      </c>
      <c r="D193" s="587"/>
      <c r="E193" s="587"/>
      <c r="F193" s="560"/>
      <c r="G193" s="558"/>
      <c r="H193" s="588"/>
      <c r="I193" s="546"/>
      <c r="J193" s="593"/>
      <c r="K193" s="563" t="str">
        <f>IF(G193&lt;&gt;0,VLOOKUP(G193,'gia dat'!$A$1:$F$144,5,0)," ")</f>
        <v xml:space="preserve"> </v>
      </c>
      <c r="L193" s="563" t="str">
        <f>IF(G193&lt;&gt;0,VLOOKUP(G193,'gia dat'!$A$1:$F$144,6,0)," ")</f>
        <v xml:space="preserve"> </v>
      </c>
      <c r="M193" s="564" t="str">
        <f t="shared" si="33"/>
        <v xml:space="preserve"> </v>
      </c>
      <c r="N193" s="564" t="str">
        <f t="shared" si="34"/>
        <v xml:space="preserve"> </v>
      </c>
      <c r="O193" s="586"/>
      <c r="P193" s="590"/>
      <c r="Q193" s="564" t="str">
        <f>IF(O193&lt;&gt;0,VLOOKUP(O193,'Cây trong'!$A$2:$C$246,3,0)," ")</f>
        <v xml:space="preserve"> </v>
      </c>
      <c r="R193" s="564" t="str">
        <f t="shared" si="24"/>
        <v xml:space="preserve"> </v>
      </c>
      <c r="S193" s="586"/>
      <c r="T193" s="609"/>
      <c r="U193" s="591"/>
      <c r="V193" s="611"/>
      <c r="W193" s="564" t="str">
        <f>IF(S193&lt;&gt;0,VLOOKUP(S193,VKT!$A$2:$G$415,7,0),"")</f>
        <v/>
      </c>
      <c r="X193" s="564" t="str">
        <f t="shared" si="31"/>
        <v xml:space="preserve"> </v>
      </c>
      <c r="Y193" s="589"/>
      <c r="Z193" s="592"/>
      <c r="AA193" s="592"/>
      <c r="AB193" s="568"/>
      <c r="AC193" s="592"/>
      <c r="AD193" s="592"/>
      <c r="AE193" s="592"/>
      <c r="AF193" s="590"/>
      <c r="AG193" s="570" t="str">
        <f>IF(AE193&lt;&gt;0,VLOOKUP(AE193,ODDS!$A$2:$C$13,3,0),"")</f>
        <v/>
      </c>
      <c r="AH193" s="570" t="str">
        <f t="shared" si="25"/>
        <v xml:space="preserve"> </v>
      </c>
      <c r="AI193" s="571" t="str">
        <f t="shared" si="27"/>
        <v xml:space="preserve"> </v>
      </c>
      <c r="AJ193" s="558" t="s">
        <v>449</v>
      </c>
      <c r="AK193" s="558"/>
    </row>
    <row r="194" spans="1:37" s="376" customFormat="1" ht="101.25" outlineLevel="2" x14ac:dyDescent="0.3">
      <c r="A194" s="447">
        <f t="shared" si="43"/>
        <v>22</v>
      </c>
      <c r="B194" s="557"/>
      <c r="C194" s="558" t="s">
        <v>646</v>
      </c>
      <c r="D194" s="587"/>
      <c r="E194" s="587"/>
      <c r="F194" s="560"/>
      <c r="G194" s="558"/>
      <c r="H194" s="588"/>
      <c r="I194" s="546"/>
      <c r="J194" s="593"/>
      <c r="K194" s="563" t="str">
        <f>IF(G194&lt;&gt;0,VLOOKUP(G194,'gia dat'!$A$1:$F$144,5,0)," ")</f>
        <v xml:space="preserve"> </v>
      </c>
      <c r="L194" s="563" t="str">
        <f>IF(G194&lt;&gt;0,VLOOKUP(G194,'gia dat'!$A$1:$F$144,6,0)," ")</f>
        <v xml:space="preserve"> </v>
      </c>
      <c r="M194" s="564" t="str">
        <f t="shared" si="33"/>
        <v xml:space="preserve"> </v>
      </c>
      <c r="N194" s="564" t="str">
        <f t="shared" si="34"/>
        <v xml:space="preserve"> </v>
      </c>
      <c r="O194" s="586"/>
      <c r="P194" s="590"/>
      <c r="Q194" s="564" t="str">
        <f>IF(O194&lt;&gt;0,VLOOKUP(O194,'Cây trong'!$A$2:$C$246,3,0)," ")</f>
        <v xml:space="preserve"> </v>
      </c>
      <c r="R194" s="564" t="str">
        <f t="shared" si="24"/>
        <v xml:space="preserve"> </v>
      </c>
      <c r="S194" s="586"/>
      <c r="T194" s="609"/>
      <c r="U194" s="591"/>
      <c r="V194" s="611"/>
      <c r="W194" s="564" t="str">
        <f>IF(S194&lt;&gt;0,VLOOKUP(S194,VKT!$A$2:$G$415,7,0),"")</f>
        <v/>
      </c>
      <c r="X194" s="564" t="str">
        <f t="shared" si="31"/>
        <v xml:space="preserve"> </v>
      </c>
      <c r="Y194" s="589"/>
      <c r="Z194" s="592"/>
      <c r="AA194" s="592"/>
      <c r="AB194" s="568"/>
      <c r="AC194" s="592"/>
      <c r="AD194" s="592"/>
      <c r="AE194" s="592"/>
      <c r="AF194" s="590"/>
      <c r="AG194" s="570" t="str">
        <f>IF(AE194&lt;&gt;0,VLOOKUP(AE194,ODDS!$A$2:$C$13,3,0),"")</f>
        <v/>
      </c>
      <c r="AH194" s="570" t="str">
        <f t="shared" si="25"/>
        <v xml:space="preserve"> </v>
      </c>
      <c r="AI194" s="571" t="str">
        <f t="shared" si="27"/>
        <v xml:space="preserve"> </v>
      </c>
      <c r="AJ194" s="608" t="s">
        <v>111</v>
      </c>
      <c r="AK194" s="608"/>
    </row>
    <row r="195" spans="1:37" s="376" customFormat="1" ht="101.25" outlineLevel="2" x14ac:dyDescent="0.3">
      <c r="A195" s="447">
        <f t="shared" si="43"/>
        <v>22</v>
      </c>
      <c r="B195" s="557"/>
      <c r="C195" s="558"/>
      <c r="D195" s="594"/>
      <c r="E195" s="595"/>
      <c r="F195" s="577"/>
      <c r="G195" s="574"/>
      <c r="H195" s="588"/>
      <c r="I195" s="546"/>
      <c r="J195" s="608"/>
      <c r="K195" s="563" t="str">
        <f>IF(G195&lt;&gt;0,VLOOKUP(G195,'gia dat'!$A$1:$F$144,5,0)," ")</f>
        <v xml:space="preserve"> </v>
      </c>
      <c r="L195" s="563" t="str">
        <f>IF(G195&lt;&gt;0,VLOOKUP(G195,'gia dat'!$A$1:$F$144,6,0)," ")</f>
        <v xml:space="preserve"> </v>
      </c>
      <c r="M195" s="564" t="str">
        <f t="shared" si="33"/>
        <v xml:space="preserve"> </v>
      </c>
      <c r="N195" s="564" t="str">
        <f t="shared" si="34"/>
        <v xml:space="preserve"> </v>
      </c>
      <c r="O195" s="578"/>
      <c r="P195" s="590"/>
      <c r="Q195" s="564" t="str">
        <f>IF(O195&lt;&gt;0,VLOOKUP(O195,'Cây trong'!$A$2:$C$246,3,0)," ")</f>
        <v xml:space="preserve"> </v>
      </c>
      <c r="R195" s="564" t="str">
        <f t="shared" si="24"/>
        <v xml:space="preserve"> </v>
      </c>
      <c r="S195" s="578"/>
      <c r="T195" s="621"/>
      <c r="U195" s="591"/>
      <c r="V195" s="611"/>
      <c r="W195" s="564" t="str">
        <f>IF(S195&lt;&gt;0,VLOOKUP(S195,VKT!$A$2:$G$415,7,0),"")</f>
        <v/>
      </c>
      <c r="X195" s="564" t="str">
        <f t="shared" si="31"/>
        <v xml:space="preserve"> </v>
      </c>
      <c r="Y195" s="580"/>
      <c r="Z195" s="601"/>
      <c r="AA195" s="601"/>
      <c r="AB195" s="584"/>
      <c r="AC195" s="601"/>
      <c r="AD195" s="601"/>
      <c r="AE195" s="601"/>
      <c r="AF195" s="599"/>
      <c r="AG195" s="570" t="str">
        <f>IF(AE195&lt;&gt;0,VLOOKUP(AE195,ODDS!$A$2:$C$13,3,0),"")</f>
        <v/>
      </c>
      <c r="AH195" s="570" t="str">
        <f t="shared" si="25"/>
        <v xml:space="preserve"> </v>
      </c>
      <c r="AI195" s="571" t="str">
        <f t="shared" si="27"/>
        <v xml:space="preserve"> </v>
      </c>
      <c r="AJ195" s="558" t="s">
        <v>2196</v>
      </c>
      <c r="AK195" s="608"/>
    </row>
    <row r="196" spans="1:37" s="376" customFormat="1" ht="20.25" outlineLevel="2" x14ac:dyDescent="0.3">
      <c r="A196" s="447">
        <f t="shared" si="43"/>
        <v>22</v>
      </c>
      <c r="B196" s="557"/>
      <c r="C196" s="558"/>
      <c r="D196" s="587"/>
      <c r="E196" s="587"/>
      <c r="F196" s="615"/>
      <c r="G196" s="558"/>
      <c r="H196" s="604"/>
      <c r="I196" s="546"/>
      <c r="J196" s="593"/>
      <c r="K196" s="563" t="str">
        <f>IF(G196&lt;&gt;0,VLOOKUP(G196,'gia dat'!$A$1:$F$144,5,0)," ")</f>
        <v xml:space="preserve"> </v>
      </c>
      <c r="L196" s="563" t="str">
        <f>IF(G196&lt;&gt;0,VLOOKUP(G196,'gia dat'!$A$1:$F$144,6,0)," ")</f>
        <v xml:space="preserve"> </v>
      </c>
      <c r="M196" s="564" t="str">
        <f t="shared" si="33"/>
        <v xml:space="preserve"> </v>
      </c>
      <c r="N196" s="564" t="str">
        <f t="shared" si="34"/>
        <v xml:space="preserve"> </v>
      </c>
      <c r="O196" s="593"/>
      <c r="P196" s="616"/>
      <c r="Q196" s="564" t="str">
        <f>IF(O196&lt;&gt;0,VLOOKUP(O196,'Cây trong'!$A$2:$C$246,3,0)," ")</f>
        <v xml:space="preserve"> </v>
      </c>
      <c r="R196" s="564" t="str">
        <f t="shared" si="24"/>
        <v xml:space="preserve"> </v>
      </c>
      <c r="S196" s="593"/>
      <c r="T196" s="593"/>
      <c r="U196" s="617"/>
      <c r="V196" s="589"/>
      <c r="W196" s="564" t="str">
        <f>IF(S196&lt;&gt;0,VLOOKUP(S196,VKT!$A$2:$G$415,7,0),"")</f>
        <v/>
      </c>
      <c r="X196" s="564" t="str">
        <f t="shared" si="31"/>
        <v xml:space="preserve"> </v>
      </c>
      <c r="Y196" s="589"/>
      <c r="Z196" s="589"/>
      <c r="AA196" s="589"/>
      <c r="AB196" s="562"/>
      <c r="AC196" s="589"/>
      <c r="AD196" s="589"/>
      <c r="AE196" s="589"/>
      <c r="AF196" s="629"/>
      <c r="AG196" s="570" t="str">
        <f>IF(AE196&lt;&gt;0,VLOOKUP(AE196,ODDS!$A$2:$C$13,3,0),"")</f>
        <v/>
      </c>
      <c r="AH196" s="570" t="str">
        <f t="shared" si="25"/>
        <v xml:space="preserve"> </v>
      </c>
      <c r="AI196" s="571" t="str">
        <f t="shared" si="27"/>
        <v xml:space="preserve"> </v>
      </c>
      <c r="AJ196" s="593"/>
      <c r="AK196" s="593"/>
    </row>
    <row r="197" spans="1:37" s="376" customFormat="1" ht="20.25" outlineLevel="2" x14ac:dyDescent="0.3">
      <c r="A197" s="447">
        <f t="shared" si="43"/>
        <v>22</v>
      </c>
      <c r="B197" s="557"/>
      <c r="C197" s="558"/>
      <c r="D197" s="587"/>
      <c r="E197" s="587"/>
      <c r="F197" s="615"/>
      <c r="G197" s="558"/>
      <c r="H197" s="604"/>
      <c r="I197" s="546"/>
      <c r="J197" s="593"/>
      <c r="K197" s="563" t="str">
        <f>IF(G197&lt;&gt;0,VLOOKUP(G197,'gia dat'!$A$1:$F$144,5,0)," ")</f>
        <v xml:space="preserve"> </v>
      </c>
      <c r="L197" s="563" t="str">
        <f>IF(G197&lt;&gt;0,VLOOKUP(G197,'gia dat'!$A$1:$F$144,6,0)," ")</f>
        <v xml:space="preserve"> </v>
      </c>
      <c r="M197" s="564" t="str">
        <f t="shared" si="33"/>
        <v xml:space="preserve"> </v>
      </c>
      <c r="N197" s="564" t="str">
        <f t="shared" si="34"/>
        <v xml:space="preserve"> </v>
      </c>
      <c r="O197" s="593"/>
      <c r="P197" s="616"/>
      <c r="Q197" s="564" t="str">
        <f>IF(O197&lt;&gt;0,VLOOKUP(O197,'Cây trong'!$A$2:$C$246,3,0)," ")</f>
        <v xml:space="preserve"> </v>
      </c>
      <c r="R197" s="564" t="str">
        <f t="shared" ref="R197:R266" si="44">IF(O197&lt;&gt;0,ROUND(P197*Q197,-2)," ")</f>
        <v xml:space="preserve"> </v>
      </c>
      <c r="S197" s="593"/>
      <c r="T197" s="593"/>
      <c r="U197" s="617"/>
      <c r="V197" s="589"/>
      <c r="W197" s="564" t="str">
        <f>IF(S197&lt;&gt;0,VLOOKUP(S197,VKT!$A$2:$G$415,7,0),"")</f>
        <v/>
      </c>
      <c r="X197" s="564" t="str">
        <f t="shared" si="31"/>
        <v xml:space="preserve"> </v>
      </c>
      <c r="Y197" s="589"/>
      <c r="Z197" s="589"/>
      <c r="AA197" s="589"/>
      <c r="AB197" s="562"/>
      <c r="AC197" s="589"/>
      <c r="AD197" s="589"/>
      <c r="AE197" s="589"/>
      <c r="AF197" s="629"/>
      <c r="AG197" s="570" t="str">
        <f>IF(AE197&lt;&gt;0,VLOOKUP(AE197,ODDS!$A$2:$C$13,3,0),"")</f>
        <v/>
      </c>
      <c r="AH197" s="570" t="str">
        <f t="shared" ref="AH197:AH266" si="45">IF(AE197&lt;&gt;0,ROUND(AF197*AG197,-2)," ")</f>
        <v xml:space="preserve"> </v>
      </c>
      <c r="AI197" s="571" t="str">
        <f t="shared" si="27"/>
        <v xml:space="preserve"> </v>
      </c>
      <c r="AJ197" s="593"/>
      <c r="AK197" s="593"/>
    </row>
    <row r="198" spans="1:37" s="376" customFormat="1" ht="20.25" outlineLevel="2" x14ac:dyDescent="0.3">
      <c r="A198" s="447">
        <f t="shared" si="43"/>
        <v>22</v>
      </c>
      <c r="B198" s="557"/>
      <c r="C198" s="558"/>
      <c r="D198" s="587"/>
      <c r="E198" s="587"/>
      <c r="F198" s="615"/>
      <c r="G198" s="558"/>
      <c r="H198" s="604"/>
      <c r="I198" s="546"/>
      <c r="J198" s="593"/>
      <c r="K198" s="563" t="str">
        <f>IF(G198&lt;&gt;0,VLOOKUP(G198,'gia dat'!$A$1:$F$144,5,0)," ")</f>
        <v xml:space="preserve"> </v>
      </c>
      <c r="L198" s="563" t="str">
        <f>IF(G198&lt;&gt;0,VLOOKUP(G198,'gia dat'!$A$1:$F$144,6,0)," ")</f>
        <v xml:space="preserve"> </v>
      </c>
      <c r="M198" s="564" t="str">
        <f t="shared" si="33"/>
        <v xml:space="preserve"> </v>
      </c>
      <c r="N198" s="564" t="str">
        <f t="shared" si="34"/>
        <v xml:space="preserve"> </v>
      </c>
      <c r="O198" s="593"/>
      <c r="P198" s="616"/>
      <c r="Q198" s="564" t="str">
        <f>IF(O198&lt;&gt;0,VLOOKUP(O198,'Cây trong'!$A$2:$C$246,3,0)," ")</f>
        <v xml:space="preserve"> </v>
      </c>
      <c r="R198" s="564" t="str">
        <f t="shared" si="44"/>
        <v xml:space="preserve"> </v>
      </c>
      <c r="S198" s="593"/>
      <c r="T198" s="593"/>
      <c r="U198" s="617"/>
      <c r="V198" s="589"/>
      <c r="W198" s="564" t="str">
        <f>IF(S198&lt;&gt;0,VLOOKUP(S198,VKT!$A$2:$G$415,7,0),"")</f>
        <v/>
      </c>
      <c r="X198" s="564" t="str">
        <f t="shared" si="31"/>
        <v xml:space="preserve"> </v>
      </c>
      <c r="Y198" s="589"/>
      <c r="Z198" s="589"/>
      <c r="AA198" s="589"/>
      <c r="AB198" s="562"/>
      <c r="AC198" s="589"/>
      <c r="AD198" s="589"/>
      <c r="AE198" s="589"/>
      <c r="AF198" s="629"/>
      <c r="AG198" s="570" t="str">
        <f>IF(AE198&lt;&gt;0,VLOOKUP(AE198,ODDS!$A$2:$C$13,3,0),"")</f>
        <v/>
      </c>
      <c r="AH198" s="570" t="str">
        <f t="shared" si="45"/>
        <v xml:space="preserve"> </v>
      </c>
      <c r="AI198" s="571" t="str">
        <f t="shared" si="27"/>
        <v xml:space="preserve"> </v>
      </c>
      <c r="AJ198" s="593"/>
      <c r="AK198" s="593"/>
    </row>
    <row r="199" spans="1:37" s="376" customFormat="1" ht="20.25" outlineLevel="2" x14ac:dyDescent="0.3">
      <c r="A199" s="447">
        <f t="shared" si="43"/>
        <v>22</v>
      </c>
      <c r="B199" s="557"/>
      <c r="C199" s="574"/>
      <c r="D199" s="587"/>
      <c r="E199" s="587"/>
      <c r="F199" s="560"/>
      <c r="G199" s="558"/>
      <c r="H199" s="588"/>
      <c r="I199" s="546"/>
      <c r="J199" s="589"/>
      <c r="K199" s="563" t="str">
        <f>IF(G199&lt;&gt;0,VLOOKUP(G199,'gia dat'!$A$1:$F$144,5,0)," ")</f>
        <v xml:space="preserve"> </v>
      </c>
      <c r="L199" s="563" t="str">
        <f>IF(G199&lt;&gt;0,VLOOKUP(G199,'gia dat'!$A$1:$F$144,6,0)," ")</f>
        <v xml:space="preserve"> </v>
      </c>
      <c r="M199" s="564" t="str">
        <f t="shared" si="33"/>
        <v xml:space="preserve"> </v>
      </c>
      <c r="N199" s="564" t="str">
        <f t="shared" si="34"/>
        <v xml:space="preserve"> </v>
      </c>
      <c r="O199" s="558"/>
      <c r="P199" s="590"/>
      <c r="Q199" s="564" t="str">
        <f>IF(O199&lt;&gt;0,VLOOKUP(O199,'Cây trong'!$A$2:$C$246,3,0)," ")</f>
        <v xml:space="preserve"> </v>
      </c>
      <c r="R199" s="564" t="str">
        <f t="shared" si="44"/>
        <v xml:space="preserve"> </v>
      </c>
      <c r="S199" s="566"/>
      <c r="T199" s="589"/>
      <c r="U199" s="591"/>
      <c r="V199" s="589"/>
      <c r="W199" s="564" t="str">
        <f>IF(S199&lt;&gt;0,VLOOKUP(S199,VKT!$A$2:$G$415,7,0),"")</f>
        <v/>
      </c>
      <c r="X199" s="564" t="str">
        <f t="shared" si="31"/>
        <v xml:space="preserve"> </v>
      </c>
      <c r="Y199" s="589"/>
      <c r="Z199" s="592"/>
      <c r="AA199" s="592"/>
      <c r="AB199" s="568"/>
      <c r="AC199" s="592"/>
      <c r="AD199" s="592"/>
      <c r="AE199" s="592"/>
      <c r="AF199" s="590"/>
      <c r="AG199" s="570" t="str">
        <f>IF(AE199&lt;&gt;0,VLOOKUP(AE199,ODDS!$A$2:$C$13,3,0),"")</f>
        <v/>
      </c>
      <c r="AH199" s="570" t="str">
        <f t="shared" si="45"/>
        <v xml:space="preserve"> </v>
      </c>
      <c r="AI199" s="571" t="str">
        <f t="shared" si="27"/>
        <v xml:space="preserve"> </v>
      </c>
      <c r="AJ199" s="593"/>
      <c r="AK199" s="593"/>
    </row>
    <row r="200" spans="1:37" s="376" customFormat="1" ht="40.5" outlineLevel="1" x14ac:dyDescent="0.25">
      <c r="A200" s="467" t="s">
        <v>2687</v>
      </c>
      <c r="B200" s="576">
        <v>23</v>
      </c>
      <c r="C200" s="574" t="s">
        <v>29</v>
      </c>
      <c r="D200" s="595"/>
      <c r="E200" s="595"/>
      <c r="F200" s="577"/>
      <c r="G200" s="574"/>
      <c r="H200" s="618">
        <f>SUBTOTAL(9,H201:H207)</f>
        <v>30.4</v>
      </c>
      <c r="I200" s="579">
        <f>SUBTOTAL(9,I201:I206)</f>
        <v>30.4</v>
      </c>
      <c r="J200" s="597"/>
      <c r="K200" s="581"/>
      <c r="L200" s="581"/>
      <c r="M200" s="571">
        <f>SUBTOTAL(9,M201:M207)</f>
        <v>16854000</v>
      </c>
      <c r="N200" s="571">
        <f>SUBTOTAL(9,N201:N207)</f>
        <v>50561000</v>
      </c>
      <c r="O200" s="574"/>
      <c r="P200" s="599">
        <f>SUBTOTAL(9,P201:P207)</f>
        <v>0</v>
      </c>
      <c r="Q200" s="571"/>
      <c r="R200" s="571">
        <f>SUBTOTAL(9,R201:R207)</f>
        <v>0</v>
      </c>
      <c r="S200" s="582"/>
      <c r="T200" s="597"/>
      <c r="U200" s="600">
        <f>SUBTOTAL(9,U201:U207)</f>
        <v>0</v>
      </c>
      <c r="V200" s="597"/>
      <c r="W200" s="571"/>
      <c r="X200" s="571">
        <f>SUBTOTAL(9,X201:X207)</f>
        <v>0</v>
      </c>
      <c r="Y200" s="589"/>
      <c r="Z200" s="592"/>
      <c r="AA200" s="592"/>
      <c r="AB200" s="568"/>
      <c r="AC200" s="592"/>
      <c r="AD200" s="592"/>
      <c r="AE200" s="634"/>
      <c r="AF200" s="599">
        <f>SUBTOTAL(9,AF201:AF207)</f>
        <v>0</v>
      </c>
      <c r="AG200" s="585"/>
      <c r="AH200" s="585">
        <f>SUBTOTAL(9,AH201:AH207)</f>
        <v>0</v>
      </c>
      <c r="AI200" s="571">
        <f t="shared" si="27"/>
        <v>67415000</v>
      </c>
      <c r="AJ200" s="574"/>
      <c r="AK200" s="578"/>
    </row>
    <row r="201" spans="1:37" s="376" customFormat="1" ht="121.5" outlineLevel="2" x14ac:dyDescent="0.3">
      <c r="A201" s="447">
        <f>IF(B200&lt;&gt;0,B200,A199)</f>
        <v>23</v>
      </c>
      <c r="B201" s="557"/>
      <c r="C201" s="558" t="s">
        <v>122</v>
      </c>
      <c r="D201" s="587">
        <v>8</v>
      </c>
      <c r="E201" s="587">
        <v>86</v>
      </c>
      <c r="F201" s="560">
        <v>702</v>
      </c>
      <c r="G201" s="558" t="s">
        <v>2892</v>
      </c>
      <c r="H201" s="588">
        <f>30.4-H202</f>
        <v>30.4</v>
      </c>
      <c r="I201" s="546">
        <f t="shared" ref="I201" si="46">IF(N201&gt;0,H201,"")</f>
        <v>30.4</v>
      </c>
      <c r="J201" s="589"/>
      <c r="K201" s="563">
        <f>IF(G201&lt;&gt;0,VLOOKUP(G201,'gia dat'!$A$1:$F$144,5,0)," ")</f>
        <v>554400</v>
      </c>
      <c r="L201" s="563">
        <f>IF(G201&lt;&gt;0,VLOOKUP(G201,'gia dat'!$A$1:$F$144,6,0)," ")</f>
        <v>1663200</v>
      </c>
      <c r="M201" s="564">
        <f t="shared" si="33"/>
        <v>16854000</v>
      </c>
      <c r="N201" s="564">
        <f t="shared" si="34"/>
        <v>50561000</v>
      </c>
      <c r="O201" s="558"/>
      <c r="P201" s="590"/>
      <c r="Q201" s="564" t="str">
        <f>IF(O201&lt;&gt;0,VLOOKUP(O201,'Cây trong'!$A$2:$C$246,3,0)," ")</f>
        <v xml:space="preserve"> </v>
      </c>
      <c r="R201" s="564" t="str">
        <f t="shared" si="44"/>
        <v xml:space="preserve"> </v>
      </c>
      <c r="S201" s="566"/>
      <c r="T201" s="589"/>
      <c r="U201" s="591"/>
      <c r="V201" s="589"/>
      <c r="W201" s="564" t="str">
        <f>IF(S201&lt;&gt;0,VLOOKUP(S201,VKT!$A$2:$G$415,7,0),"")</f>
        <v/>
      </c>
      <c r="X201" s="564" t="str">
        <f t="shared" si="31"/>
        <v xml:space="preserve"> </v>
      </c>
      <c r="Y201" s="589"/>
      <c r="Z201" s="592"/>
      <c r="AA201" s="592"/>
      <c r="AB201" s="568"/>
      <c r="AC201" s="592"/>
      <c r="AD201" s="592"/>
      <c r="AE201" s="606"/>
      <c r="AF201" s="590"/>
      <c r="AG201" s="570" t="str">
        <f>IF(AE201&lt;&gt;0,VLOOKUP(AE201,ODDS!$A$2:$C$13,3,0),"")</f>
        <v/>
      </c>
      <c r="AH201" s="570"/>
      <c r="AI201" s="571" t="str">
        <f t="shared" ref="AI201:AI264" si="47">IF(B201&lt;&gt;0,M201+N201+R201+X201+AH201," ")</f>
        <v xml:space="preserve"> </v>
      </c>
      <c r="AJ201" s="558" t="s">
        <v>1692</v>
      </c>
      <c r="AK201" s="586" t="s">
        <v>2771</v>
      </c>
    </row>
    <row r="202" spans="1:37" s="376" customFormat="1" ht="81" outlineLevel="2" x14ac:dyDescent="0.3">
      <c r="A202" s="447">
        <f t="shared" ref="A202:A207" si="48">IF(B201&lt;&gt;0,B201,A201)</f>
        <v>23</v>
      </c>
      <c r="B202" s="557"/>
      <c r="C202" s="558" t="s">
        <v>647</v>
      </c>
      <c r="D202" s="594"/>
      <c r="E202" s="595"/>
      <c r="F202" s="577"/>
      <c r="G202" s="558"/>
      <c r="H202" s="588"/>
      <c r="I202" s="546"/>
      <c r="J202" s="608"/>
      <c r="K202" s="563" t="str">
        <f>IF(G202&lt;&gt;0,VLOOKUP(G202,'gia dat'!$A$1:$F$144,5,0)," ")</f>
        <v xml:space="preserve"> </v>
      </c>
      <c r="L202" s="563" t="str">
        <f>IF(G202&lt;&gt;0,VLOOKUP(G202,'gia dat'!$A$1:$F$144,6,0)," ")</f>
        <v xml:space="preserve"> </v>
      </c>
      <c r="M202" s="564" t="str">
        <f t="shared" si="33"/>
        <v xml:space="preserve"> </v>
      </c>
      <c r="N202" s="564" t="str">
        <f t="shared" si="34"/>
        <v xml:space="preserve"> </v>
      </c>
      <c r="O202" s="578"/>
      <c r="P202" s="590"/>
      <c r="Q202" s="564" t="str">
        <f>IF(O202&lt;&gt;0,VLOOKUP(O202,'Cây trong'!$A$2:$C$246,3,0)," ")</f>
        <v xml:space="preserve"> </v>
      </c>
      <c r="R202" s="564" t="str">
        <f t="shared" si="44"/>
        <v xml:space="preserve"> </v>
      </c>
      <c r="S202" s="578"/>
      <c r="T202" s="621"/>
      <c r="U202" s="591"/>
      <c r="V202" s="597"/>
      <c r="W202" s="564" t="str">
        <f>IF(S202&lt;&gt;0,VLOOKUP(S202,VKT!$A$2:$G$415,7,0),"")</f>
        <v/>
      </c>
      <c r="X202" s="564" t="str">
        <f t="shared" si="31"/>
        <v xml:space="preserve"> </v>
      </c>
      <c r="Y202" s="580"/>
      <c r="Z202" s="601"/>
      <c r="AA202" s="601"/>
      <c r="AB202" s="584"/>
      <c r="AC202" s="601"/>
      <c r="AD202" s="601"/>
      <c r="AE202" s="601"/>
      <c r="AF202" s="599"/>
      <c r="AG202" s="570" t="str">
        <f>IF(AE202&lt;&gt;0,VLOOKUP(AE202,ODDS!$A$2:$C$13,3,0),"")</f>
        <v/>
      </c>
      <c r="AH202" s="570" t="str">
        <f t="shared" si="45"/>
        <v xml:space="preserve"> </v>
      </c>
      <c r="AI202" s="571" t="str">
        <f t="shared" si="47"/>
        <v xml:space="preserve"> </v>
      </c>
      <c r="AJ202" s="558" t="s">
        <v>450</v>
      </c>
      <c r="AK202" s="558" t="s">
        <v>2448</v>
      </c>
    </row>
    <row r="203" spans="1:37" s="376" customFormat="1" ht="40.5" outlineLevel="2" x14ac:dyDescent="0.3">
      <c r="A203" s="447">
        <f t="shared" si="48"/>
        <v>23</v>
      </c>
      <c r="B203" s="557"/>
      <c r="C203" s="572" t="s">
        <v>308</v>
      </c>
      <c r="D203" s="603"/>
      <c r="E203" s="587"/>
      <c r="F203" s="560"/>
      <c r="G203" s="558"/>
      <c r="H203" s="588"/>
      <c r="I203" s="546"/>
      <c r="J203" s="593"/>
      <c r="K203" s="563" t="str">
        <f>IF(G203&lt;&gt;0,VLOOKUP(G203,'gia dat'!$A$1:$F$144,5,0)," ")</f>
        <v xml:space="preserve"> </v>
      </c>
      <c r="L203" s="563" t="str">
        <f>IF(G203&lt;&gt;0,VLOOKUP(G203,'gia dat'!$A$1:$F$144,6,0)," ")</f>
        <v xml:space="preserve"> </v>
      </c>
      <c r="M203" s="564" t="str">
        <f t="shared" si="33"/>
        <v xml:space="preserve"> </v>
      </c>
      <c r="N203" s="564" t="str">
        <f t="shared" si="34"/>
        <v xml:space="preserve"> </v>
      </c>
      <c r="O203" s="586"/>
      <c r="P203" s="590"/>
      <c r="Q203" s="564" t="str">
        <f>IF(O203&lt;&gt;0,VLOOKUP(O203,'Cây trong'!$A$2:$C$246,3,0)," ")</f>
        <v xml:space="preserve"> </v>
      </c>
      <c r="R203" s="564" t="str">
        <f t="shared" si="44"/>
        <v xml:space="preserve"> </v>
      </c>
      <c r="S203" s="586"/>
      <c r="T203" s="609"/>
      <c r="U203" s="591"/>
      <c r="V203" s="589"/>
      <c r="W203" s="564" t="str">
        <f>IF(S203&lt;&gt;0,VLOOKUP(S203,VKT!$A$2:$G$415,7,0),"")</f>
        <v/>
      </c>
      <c r="X203" s="564" t="str">
        <f t="shared" si="31"/>
        <v xml:space="preserve"> </v>
      </c>
      <c r="Y203" s="562"/>
      <c r="Z203" s="592"/>
      <c r="AA203" s="592"/>
      <c r="AB203" s="568"/>
      <c r="AC203" s="592"/>
      <c r="AD203" s="592"/>
      <c r="AE203" s="592"/>
      <c r="AF203" s="590"/>
      <c r="AG203" s="570" t="str">
        <f>IF(AE203&lt;&gt;0,VLOOKUP(AE203,ODDS!$A$2:$C$13,3,0),"")</f>
        <v/>
      </c>
      <c r="AH203" s="570" t="str">
        <f t="shared" si="45"/>
        <v xml:space="preserve"> </v>
      </c>
      <c r="AI203" s="571" t="str">
        <f t="shared" si="47"/>
        <v xml:space="preserve"> </v>
      </c>
      <c r="AJ203" s="593" t="s">
        <v>451</v>
      </c>
      <c r="AK203" s="593"/>
    </row>
    <row r="204" spans="1:37" s="376" customFormat="1" ht="60.75" outlineLevel="2" x14ac:dyDescent="0.3">
      <c r="A204" s="447">
        <f t="shared" si="48"/>
        <v>23</v>
      </c>
      <c r="B204" s="557"/>
      <c r="C204" s="572"/>
      <c r="D204" s="587"/>
      <c r="E204" s="587"/>
      <c r="F204" s="615"/>
      <c r="G204" s="558"/>
      <c r="H204" s="604"/>
      <c r="I204" s="546"/>
      <c r="J204" s="593"/>
      <c r="K204" s="563" t="str">
        <f>IF(G204&lt;&gt;0,VLOOKUP(G204,'gia dat'!$A$1:$F$144,5,0)," ")</f>
        <v xml:space="preserve"> </v>
      </c>
      <c r="L204" s="563" t="str">
        <f>IF(G204&lt;&gt;0,VLOOKUP(G204,'gia dat'!$A$1:$F$144,6,0)," ")</f>
        <v xml:space="preserve"> </v>
      </c>
      <c r="M204" s="564" t="str">
        <f t="shared" si="33"/>
        <v xml:space="preserve"> </v>
      </c>
      <c r="N204" s="564" t="str">
        <f t="shared" si="34"/>
        <v xml:space="preserve"> </v>
      </c>
      <c r="O204" s="593"/>
      <c r="P204" s="616"/>
      <c r="Q204" s="564" t="str">
        <f>IF(O204&lt;&gt;0,VLOOKUP(O204,'Cây trong'!$A$2:$C$246,3,0)," ")</f>
        <v xml:space="preserve"> </v>
      </c>
      <c r="R204" s="564" t="str">
        <f t="shared" si="44"/>
        <v xml:space="preserve"> </v>
      </c>
      <c r="S204" s="593"/>
      <c r="T204" s="593"/>
      <c r="U204" s="617"/>
      <c r="V204" s="589"/>
      <c r="W204" s="564" t="str">
        <f>IF(S204&lt;&gt;0,VLOOKUP(S204,VKT!$A$2:$G$415,7,0),"")</f>
        <v/>
      </c>
      <c r="X204" s="564" t="str">
        <f t="shared" si="31"/>
        <v xml:space="preserve"> </v>
      </c>
      <c r="Y204" s="589"/>
      <c r="Z204" s="589"/>
      <c r="AA204" s="589"/>
      <c r="AB204" s="562"/>
      <c r="AC204" s="589"/>
      <c r="AD204" s="589"/>
      <c r="AE204" s="589"/>
      <c r="AF204" s="629"/>
      <c r="AG204" s="570" t="str">
        <f>IF(AE204&lt;&gt;0,VLOOKUP(AE204,ODDS!$A$2:$C$13,3,0),"")</f>
        <v/>
      </c>
      <c r="AH204" s="570" t="str">
        <f t="shared" si="45"/>
        <v xml:space="preserve"> </v>
      </c>
      <c r="AI204" s="571" t="str">
        <f t="shared" si="47"/>
        <v xml:space="preserve"> </v>
      </c>
      <c r="AJ204" s="558" t="s">
        <v>2074</v>
      </c>
      <c r="AK204" s="593"/>
    </row>
    <row r="205" spans="1:37" s="376" customFormat="1" ht="20.25" outlineLevel="2" x14ac:dyDescent="0.3">
      <c r="A205" s="447">
        <f t="shared" si="48"/>
        <v>23</v>
      </c>
      <c r="B205" s="557"/>
      <c r="C205" s="572"/>
      <c r="D205" s="587"/>
      <c r="E205" s="587"/>
      <c r="F205" s="615"/>
      <c r="G205" s="558"/>
      <c r="H205" s="604"/>
      <c r="I205" s="546"/>
      <c r="J205" s="593"/>
      <c r="K205" s="563" t="str">
        <f>IF(G205&lt;&gt;0,VLOOKUP(G205,'gia dat'!$A$1:$F$144,5,0)," ")</f>
        <v xml:space="preserve"> </v>
      </c>
      <c r="L205" s="563" t="str">
        <f>IF(G205&lt;&gt;0,VLOOKUP(G205,'gia dat'!$A$1:$F$144,6,0)," ")</f>
        <v xml:space="preserve"> </v>
      </c>
      <c r="M205" s="564" t="str">
        <f t="shared" si="33"/>
        <v xml:space="preserve"> </v>
      </c>
      <c r="N205" s="564" t="str">
        <f t="shared" si="34"/>
        <v xml:space="preserve"> </v>
      </c>
      <c r="O205" s="593"/>
      <c r="P205" s="616"/>
      <c r="Q205" s="564" t="str">
        <f>IF(O205&lt;&gt;0,VLOOKUP(O205,'Cây trong'!$A$2:$C$246,3,0)," ")</f>
        <v xml:space="preserve"> </v>
      </c>
      <c r="R205" s="564" t="str">
        <f t="shared" si="44"/>
        <v xml:space="preserve"> </v>
      </c>
      <c r="S205" s="593"/>
      <c r="T205" s="593"/>
      <c r="U205" s="617"/>
      <c r="V205" s="589"/>
      <c r="W205" s="564" t="str">
        <f>IF(S205&lt;&gt;0,VLOOKUP(S205,VKT!$A$2:$G$415,7,0),"")</f>
        <v/>
      </c>
      <c r="X205" s="564" t="str">
        <f t="shared" si="31"/>
        <v xml:space="preserve"> </v>
      </c>
      <c r="Y205" s="589"/>
      <c r="Z205" s="589"/>
      <c r="AA205" s="589"/>
      <c r="AB205" s="562"/>
      <c r="AC205" s="589"/>
      <c r="AD205" s="589"/>
      <c r="AE205" s="589"/>
      <c r="AF205" s="629"/>
      <c r="AG205" s="570" t="str">
        <f>IF(AE205&lt;&gt;0,VLOOKUP(AE205,ODDS!$A$2:$C$13,3,0),"")</f>
        <v/>
      </c>
      <c r="AH205" s="570" t="str">
        <f t="shared" si="45"/>
        <v xml:space="preserve"> </v>
      </c>
      <c r="AI205" s="571" t="str">
        <f t="shared" si="47"/>
        <v xml:space="preserve"> </v>
      </c>
      <c r="AJ205" s="593"/>
      <c r="AK205" s="593"/>
    </row>
    <row r="206" spans="1:37" s="376" customFormat="1" ht="20.25" outlineLevel="2" x14ac:dyDescent="0.3">
      <c r="A206" s="447">
        <f t="shared" si="48"/>
        <v>23</v>
      </c>
      <c r="B206" s="557"/>
      <c r="C206" s="572"/>
      <c r="D206" s="587"/>
      <c r="E206" s="587"/>
      <c r="F206" s="615"/>
      <c r="G206" s="558"/>
      <c r="H206" s="604"/>
      <c r="I206" s="546"/>
      <c r="J206" s="593"/>
      <c r="K206" s="563" t="str">
        <f>IF(G206&lt;&gt;0,VLOOKUP(G206,'gia dat'!$A$1:$F$144,5,0)," ")</f>
        <v xml:space="preserve"> </v>
      </c>
      <c r="L206" s="563" t="str">
        <f>IF(G206&lt;&gt;0,VLOOKUP(G206,'gia dat'!$A$1:$F$144,6,0)," ")</f>
        <v xml:space="preserve"> </v>
      </c>
      <c r="M206" s="564" t="str">
        <f t="shared" si="33"/>
        <v xml:space="preserve"> </v>
      </c>
      <c r="N206" s="564" t="str">
        <f t="shared" si="34"/>
        <v xml:space="preserve"> </v>
      </c>
      <c r="O206" s="593"/>
      <c r="P206" s="616"/>
      <c r="Q206" s="564" t="str">
        <f>IF(O206&lt;&gt;0,VLOOKUP(O206,'Cây trong'!$A$2:$C$246,3,0)," ")</f>
        <v xml:space="preserve"> </v>
      </c>
      <c r="R206" s="564" t="str">
        <f t="shared" si="44"/>
        <v xml:space="preserve"> </v>
      </c>
      <c r="S206" s="593"/>
      <c r="T206" s="593"/>
      <c r="U206" s="617"/>
      <c r="V206" s="589"/>
      <c r="W206" s="564" t="str">
        <f>IF(S206&lt;&gt;0,VLOOKUP(S206,VKT!$A$2:$G$415,7,0),"")</f>
        <v/>
      </c>
      <c r="X206" s="564" t="str">
        <f t="shared" si="31"/>
        <v xml:space="preserve"> </v>
      </c>
      <c r="Y206" s="589"/>
      <c r="Z206" s="589"/>
      <c r="AA206" s="589"/>
      <c r="AB206" s="562"/>
      <c r="AC206" s="589"/>
      <c r="AD206" s="589"/>
      <c r="AE206" s="589"/>
      <c r="AF206" s="629"/>
      <c r="AG206" s="570" t="str">
        <f>IF(AE206&lt;&gt;0,VLOOKUP(AE206,ODDS!$A$2:$C$13,3,0),"")</f>
        <v/>
      </c>
      <c r="AH206" s="570" t="str">
        <f t="shared" si="45"/>
        <v xml:space="preserve"> </v>
      </c>
      <c r="AI206" s="571" t="str">
        <f t="shared" si="47"/>
        <v xml:space="preserve"> </v>
      </c>
      <c r="AJ206" s="593"/>
      <c r="AK206" s="593"/>
    </row>
    <row r="207" spans="1:37" s="376" customFormat="1" ht="20.25" outlineLevel="2" x14ac:dyDescent="0.3">
      <c r="A207" s="447">
        <f t="shared" si="48"/>
        <v>23</v>
      </c>
      <c r="B207" s="557"/>
      <c r="C207" s="574"/>
      <c r="D207" s="603"/>
      <c r="E207" s="587"/>
      <c r="F207" s="560"/>
      <c r="G207" s="558"/>
      <c r="H207" s="588"/>
      <c r="I207" s="546"/>
      <c r="J207" s="593"/>
      <c r="K207" s="563" t="str">
        <f>IF(G207&lt;&gt;0,VLOOKUP(G207,'gia dat'!$A$1:$F$144,5,0)," ")</f>
        <v xml:space="preserve"> </v>
      </c>
      <c r="L207" s="563" t="str">
        <f>IF(G207&lt;&gt;0,VLOOKUP(G207,'gia dat'!$A$1:$F$144,6,0)," ")</f>
        <v xml:space="preserve"> </v>
      </c>
      <c r="M207" s="564" t="str">
        <f t="shared" si="33"/>
        <v xml:space="preserve"> </v>
      </c>
      <c r="N207" s="564" t="str">
        <f t="shared" si="34"/>
        <v xml:space="preserve"> </v>
      </c>
      <c r="O207" s="586"/>
      <c r="P207" s="630"/>
      <c r="Q207" s="564" t="str">
        <f>IF(O207&lt;&gt;0,VLOOKUP(O207,'Cây trong'!$A$2:$C$246,3,0)," ")</f>
        <v xml:space="preserve"> </v>
      </c>
      <c r="R207" s="564" t="str">
        <f t="shared" si="44"/>
        <v xml:space="preserve"> </v>
      </c>
      <c r="S207" s="586"/>
      <c r="T207" s="609"/>
      <c r="U207" s="591"/>
      <c r="V207" s="589"/>
      <c r="W207" s="564" t="str">
        <f>IF(S207&lt;&gt;0,VLOOKUP(S207,VKT!$A$2:$G$415,7,0),"")</f>
        <v/>
      </c>
      <c r="X207" s="564" t="str">
        <f t="shared" si="31"/>
        <v xml:space="preserve"> </v>
      </c>
      <c r="Y207" s="562"/>
      <c r="Z207" s="592"/>
      <c r="AA207" s="592"/>
      <c r="AB207" s="568"/>
      <c r="AC207" s="592"/>
      <c r="AD207" s="592"/>
      <c r="AE207" s="592"/>
      <c r="AF207" s="590"/>
      <c r="AG207" s="570" t="str">
        <f>IF(AE207&lt;&gt;0,VLOOKUP(AE207,ODDS!$A$2:$C$13,3,0),"")</f>
        <v/>
      </c>
      <c r="AH207" s="570" t="str">
        <f t="shared" si="45"/>
        <v xml:space="preserve"> </v>
      </c>
      <c r="AI207" s="571" t="str">
        <f t="shared" si="47"/>
        <v xml:space="preserve"> </v>
      </c>
      <c r="AJ207" s="593"/>
      <c r="AK207" s="593"/>
    </row>
    <row r="208" spans="1:37" s="376" customFormat="1" ht="40.5" outlineLevel="1" x14ac:dyDescent="0.25">
      <c r="A208" s="467" t="s">
        <v>2686</v>
      </c>
      <c r="B208" s="576">
        <v>24</v>
      </c>
      <c r="C208" s="574" t="s">
        <v>123</v>
      </c>
      <c r="D208" s="595"/>
      <c r="E208" s="595"/>
      <c r="F208" s="577"/>
      <c r="G208" s="574"/>
      <c r="H208" s="618">
        <f>SUBTOTAL(9,H209:H219)</f>
        <v>89.8</v>
      </c>
      <c r="I208" s="579">
        <f>SUBTOTAL(9,I209:I214)</f>
        <v>76</v>
      </c>
      <c r="J208" s="597"/>
      <c r="K208" s="581"/>
      <c r="L208" s="581"/>
      <c r="M208" s="571">
        <f>SUBTOTAL(9,M209:M219)</f>
        <v>97799000</v>
      </c>
      <c r="N208" s="571">
        <f>SUBTOTAL(9,N209:N219)</f>
        <v>126403000</v>
      </c>
      <c r="O208" s="598"/>
      <c r="P208" s="599">
        <f>SUBTOTAL(9,P209:P219)</f>
        <v>27</v>
      </c>
      <c r="Q208" s="571"/>
      <c r="R208" s="571">
        <f>SUBTOTAL(9,R209:R219)</f>
        <v>2067000</v>
      </c>
      <c r="S208" s="582"/>
      <c r="T208" s="597"/>
      <c r="U208" s="600">
        <f>SUBTOTAL(9,U209:U219)</f>
        <v>185.83999999999997</v>
      </c>
      <c r="V208" s="597"/>
      <c r="W208" s="571"/>
      <c r="X208" s="571">
        <f>SUBTOTAL(9,X209:X219)</f>
        <v>278148000</v>
      </c>
      <c r="Y208" s="589"/>
      <c r="Z208" s="592"/>
      <c r="AA208" s="592"/>
      <c r="AB208" s="568"/>
      <c r="AC208" s="592"/>
      <c r="AD208" s="568"/>
      <c r="AE208" s="584"/>
      <c r="AF208" s="581">
        <f>SUBTOTAL(9,AF209:AF219)</f>
        <v>0</v>
      </c>
      <c r="AG208" s="585"/>
      <c r="AH208" s="585">
        <f>SUBTOTAL(9,AH209:AH219)</f>
        <v>0</v>
      </c>
      <c r="AI208" s="571">
        <f t="shared" si="47"/>
        <v>504417000</v>
      </c>
      <c r="AJ208" s="574"/>
      <c r="AK208" s="578"/>
    </row>
    <row r="209" spans="1:37" s="376" customFormat="1" ht="121.5" outlineLevel="2" x14ac:dyDescent="0.3">
      <c r="A209" s="447">
        <f>IF(B208&lt;&gt;0,B208,A207)</f>
        <v>24</v>
      </c>
      <c r="B209" s="557"/>
      <c r="C209" s="558" t="s">
        <v>124</v>
      </c>
      <c r="D209" s="587">
        <v>4</v>
      </c>
      <c r="E209" s="587">
        <v>86</v>
      </c>
      <c r="F209" s="560">
        <v>1589</v>
      </c>
      <c r="G209" s="558" t="s">
        <v>2033</v>
      </c>
      <c r="H209" s="588">
        <v>13.8</v>
      </c>
      <c r="I209" s="546" t="str">
        <f t="shared" ref="I209:I211" si="49">IF(N209&gt;0,H209,"")</f>
        <v/>
      </c>
      <c r="J209" s="589"/>
      <c r="K209" s="563">
        <f>IF(G209&lt;&gt;0,VLOOKUP(G209,'gia dat'!$A$1:$F$144,5,0)," ")</f>
        <v>4033679.9999999995</v>
      </c>
      <c r="L209" s="563">
        <f>IF(G209&lt;&gt;0,VLOOKUP(G209,'gia dat'!$A$1:$F$144,6,0)," ")</f>
        <v>0</v>
      </c>
      <c r="M209" s="564">
        <f t="shared" si="33"/>
        <v>55665000</v>
      </c>
      <c r="N209" s="564">
        <f t="shared" si="34"/>
        <v>0</v>
      </c>
      <c r="O209" s="565" t="s">
        <v>730</v>
      </c>
      <c r="P209" s="590">
        <v>2</v>
      </c>
      <c r="Q209" s="564">
        <f>IF(O209&lt;&gt;0,VLOOKUP(O209,'Cây trong'!$A$2:$C$246,3,0)," ")</f>
        <v>390000</v>
      </c>
      <c r="R209" s="564">
        <f t="shared" si="44"/>
        <v>780000</v>
      </c>
      <c r="S209" s="566" t="s">
        <v>1820</v>
      </c>
      <c r="T209" s="589" t="s">
        <v>53</v>
      </c>
      <c r="U209" s="591">
        <v>33.32</v>
      </c>
      <c r="V209" s="589"/>
      <c r="W209" s="564">
        <f>IF(S209&lt;&gt;0,VLOOKUP(S209,VKT!$A$2:$G$415,7,0),"")</f>
        <v>5307665</v>
      </c>
      <c r="X209" s="564">
        <f t="shared" si="31"/>
        <v>176851000</v>
      </c>
      <c r="Y209" s="589" t="s">
        <v>63</v>
      </c>
      <c r="Z209" s="592" t="s">
        <v>55</v>
      </c>
      <c r="AA209" s="592" t="s">
        <v>56</v>
      </c>
      <c r="AB209" s="568" t="s">
        <v>57</v>
      </c>
      <c r="AC209" s="592" t="s">
        <v>63</v>
      </c>
      <c r="AD209" s="568" t="s">
        <v>430</v>
      </c>
      <c r="AE209" s="568"/>
      <c r="AF209" s="563"/>
      <c r="AG209" s="570" t="str">
        <f>IF(AE209&lt;&gt;0,VLOOKUP(AE209,ODDS!$A$2:$C$13,3,0),"")</f>
        <v/>
      </c>
      <c r="AH209" s="570"/>
      <c r="AI209" s="571" t="str">
        <f t="shared" si="47"/>
        <v xml:space="preserve"> </v>
      </c>
      <c r="AJ209" s="558" t="s">
        <v>648</v>
      </c>
      <c r="AK209" s="586" t="s">
        <v>2771</v>
      </c>
    </row>
    <row r="210" spans="1:37" s="376" customFormat="1" ht="141.75" outlineLevel="2" x14ac:dyDescent="0.3">
      <c r="A210" s="447">
        <f t="shared" ref="A210:A219" si="50">IF(B209&lt;&gt;0,B209,A209)</f>
        <v>24</v>
      </c>
      <c r="B210" s="557"/>
      <c r="C210" s="574" t="s">
        <v>125</v>
      </c>
      <c r="D210" s="587"/>
      <c r="E210" s="587">
        <v>86</v>
      </c>
      <c r="F210" s="560">
        <v>178</v>
      </c>
      <c r="G210" s="558" t="s">
        <v>2892</v>
      </c>
      <c r="H210" s="588">
        <v>39.799999999999997</v>
      </c>
      <c r="I210" s="546">
        <f t="shared" si="49"/>
        <v>39.799999999999997</v>
      </c>
      <c r="J210" s="589"/>
      <c r="K210" s="563">
        <f>IF(G210&lt;&gt;0,VLOOKUP(G210,'gia dat'!$A$1:$F$144,5,0)," ")</f>
        <v>554400</v>
      </c>
      <c r="L210" s="563">
        <f>IF(G210&lt;&gt;0,VLOOKUP(G210,'gia dat'!$A$1:$F$144,6,0)," ")</f>
        <v>1663200</v>
      </c>
      <c r="M210" s="564">
        <f t="shared" si="33"/>
        <v>22065000</v>
      </c>
      <c r="N210" s="564">
        <f t="shared" si="34"/>
        <v>66195000</v>
      </c>
      <c r="O210" s="565" t="s">
        <v>731</v>
      </c>
      <c r="P210" s="590">
        <v>1</v>
      </c>
      <c r="Q210" s="564">
        <f>IF(O210&lt;&gt;0,VLOOKUP(O210,'Cây trong'!$A$2:$C$246,3,0)," ")</f>
        <v>165000</v>
      </c>
      <c r="R210" s="564">
        <f t="shared" si="44"/>
        <v>165000</v>
      </c>
      <c r="S210" s="566" t="s">
        <v>2270</v>
      </c>
      <c r="T210" s="589" t="s">
        <v>53</v>
      </c>
      <c r="U210" s="591">
        <v>10.7</v>
      </c>
      <c r="V210" s="589"/>
      <c r="W210" s="564">
        <f>IF(S210&lt;&gt;0,VLOOKUP(S210,VKT!$A$2:$G$415,7,0),"")</f>
        <v>0</v>
      </c>
      <c r="X210" s="564">
        <f t="shared" si="31"/>
        <v>0</v>
      </c>
      <c r="Y210" s="589"/>
      <c r="Z210" s="592"/>
      <c r="AA210" s="592"/>
      <c r="AB210" s="568"/>
      <c r="AC210" s="592"/>
      <c r="AD210" s="592"/>
      <c r="AE210" s="592"/>
      <c r="AF210" s="590"/>
      <c r="AG210" s="570" t="str">
        <f>IF(AE210&lt;&gt;0,VLOOKUP(AE210,ODDS!$A$2:$C$13,3,0),"")</f>
        <v/>
      </c>
      <c r="AH210" s="570" t="str">
        <f t="shared" si="45"/>
        <v xml:space="preserve"> </v>
      </c>
      <c r="AI210" s="571" t="str">
        <f t="shared" si="47"/>
        <v xml:space="preserve"> </v>
      </c>
      <c r="AJ210" s="558" t="s">
        <v>452</v>
      </c>
      <c r="AK210" s="558" t="s">
        <v>2448</v>
      </c>
    </row>
    <row r="211" spans="1:37" s="376" customFormat="1" ht="121.5" outlineLevel="2" x14ac:dyDescent="0.3">
      <c r="A211" s="447">
        <f t="shared" si="50"/>
        <v>24</v>
      </c>
      <c r="B211" s="557"/>
      <c r="C211" s="558" t="s">
        <v>126</v>
      </c>
      <c r="D211" s="587"/>
      <c r="E211" s="587"/>
      <c r="F211" s="560"/>
      <c r="G211" s="558" t="s">
        <v>2898</v>
      </c>
      <c r="H211" s="588">
        <v>36.200000000000003</v>
      </c>
      <c r="I211" s="546">
        <f t="shared" si="49"/>
        <v>36.200000000000003</v>
      </c>
      <c r="J211" s="589"/>
      <c r="K211" s="563">
        <f>IF(G211&lt;&gt;0,VLOOKUP(G211,'gia dat'!$A$1:$F$144,5,0)," ")</f>
        <v>554400</v>
      </c>
      <c r="L211" s="563">
        <f>IF(G211&lt;&gt;0,VLOOKUP(G211,'gia dat'!$A$1:$F$144,6,0)," ")</f>
        <v>1663200</v>
      </c>
      <c r="M211" s="564">
        <f t="shared" si="33"/>
        <v>20069000</v>
      </c>
      <c r="N211" s="564">
        <f t="shared" si="34"/>
        <v>60208000</v>
      </c>
      <c r="O211" s="558" t="s">
        <v>729</v>
      </c>
      <c r="P211" s="590">
        <v>1</v>
      </c>
      <c r="Q211" s="564">
        <f>IF(O211&lt;&gt;0,VLOOKUP(O211,'Cây trong'!$A$2:$C$246,3,0)," ")</f>
        <v>150000</v>
      </c>
      <c r="R211" s="564">
        <f t="shared" si="44"/>
        <v>150000</v>
      </c>
      <c r="S211" s="566" t="s">
        <v>1799</v>
      </c>
      <c r="T211" s="589" t="s">
        <v>53</v>
      </c>
      <c r="U211" s="591">
        <v>7</v>
      </c>
      <c r="V211" s="589"/>
      <c r="W211" s="564">
        <f>IF(S211&lt;&gt;0,VLOOKUP(S211,VKT!$A$2:$G$415,7,0),"")</f>
        <v>275180</v>
      </c>
      <c r="X211" s="564">
        <f t="shared" si="31"/>
        <v>1926000</v>
      </c>
      <c r="Y211" s="589"/>
      <c r="Z211" s="592"/>
      <c r="AA211" s="592"/>
      <c r="AB211" s="568"/>
      <c r="AC211" s="592"/>
      <c r="AD211" s="592"/>
      <c r="AE211" s="592"/>
      <c r="AF211" s="590"/>
      <c r="AG211" s="570" t="str">
        <f>IF(AE211&lt;&gt;0,VLOOKUP(AE211,ODDS!$A$2:$C$13,3,0),"")</f>
        <v/>
      </c>
      <c r="AH211" s="570" t="str">
        <f t="shared" si="45"/>
        <v xml:space="preserve"> </v>
      </c>
      <c r="AI211" s="571" t="str">
        <f t="shared" si="47"/>
        <v xml:space="preserve"> </v>
      </c>
      <c r="AJ211" s="608" t="s">
        <v>111</v>
      </c>
      <c r="AK211" s="558" t="s">
        <v>2450</v>
      </c>
    </row>
    <row r="212" spans="1:37" s="376" customFormat="1" ht="121.5" outlineLevel="2" x14ac:dyDescent="0.3">
      <c r="A212" s="447">
        <f t="shared" si="50"/>
        <v>24</v>
      </c>
      <c r="B212" s="557"/>
      <c r="C212" s="558" t="s">
        <v>649</v>
      </c>
      <c r="D212" s="587"/>
      <c r="E212" s="587"/>
      <c r="F212" s="560"/>
      <c r="G212" s="558"/>
      <c r="H212" s="588"/>
      <c r="I212" s="546"/>
      <c r="J212" s="589"/>
      <c r="K212" s="563" t="str">
        <f>IF(G212&lt;&gt;0,VLOOKUP(G212,'gia dat'!$A$1:$F$144,5,0)," ")</f>
        <v xml:space="preserve"> </v>
      </c>
      <c r="L212" s="563" t="str">
        <f>IF(G212&lt;&gt;0,VLOOKUP(G212,'gia dat'!$A$1:$F$144,6,0)," ")</f>
        <v xml:space="preserve"> </v>
      </c>
      <c r="M212" s="564" t="str">
        <f t="shared" si="33"/>
        <v xml:space="preserve"> </v>
      </c>
      <c r="N212" s="564" t="str">
        <f t="shared" si="34"/>
        <v xml:space="preserve"> </v>
      </c>
      <c r="O212" s="558" t="s">
        <v>732</v>
      </c>
      <c r="P212" s="590">
        <v>1</v>
      </c>
      <c r="Q212" s="564">
        <f>IF(O212&lt;&gt;0,VLOOKUP(O212,'Cây trong'!$A$2:$C$246,3,0)," ")</f>
        <v>72000</v>
      </c>
      <c r="R212" s="564">
        <f t="shared" si="44"/>
        <v>72000</v>
      </c>
      <c r="S212" s="566" t="s">
        <v>2271</v>
      </c>
      <c r="T212" s="589" t="s">
        <v>53</v>
      </c>
      <c r="U212" s="591">
        <v>37.53</v>
      </c>
      <c r="V212" s="589"/>
      <c r="W212" s="564">
        <f>IF(S212&lt;&gt;0,VLOOKUP(S212,VKT!$A$2:$G$415,7,0),"")</f>
        <v>805811</v>
      </c>
      <c r="X212" s="564">
        <f t="shared" si="31"/>
        <v>30242000</v>
      </c>
      <c r="Y212" s="589"/>
      <c r="Z212" s="592"/>
      <c r="AA212" s="592"/>
      <c r="AB212" s="568"/>
      <c r="AC212" s="592"/>
      <c r="AD212" s="592"/>
      <c r="AE212" s="592"/>
      <c r="AF212" s="590"/>
      <c r="AG212" s="570" t="str">
        <f>IF(AE212&lt;&gt;0,VLOOKUP(AE212,ODDS!$A$2:$C$13,3,0),"")</f>
        <v/>
      </c>
      <c r="AH212" s="570" t="str">
        <f t="shared" si="45"/>
        <v xml:space="preserve"> </v>
      </c>
      <c r="AI212" s="571" t="str">
        <f t="shared" si="47"/>
        <v xml:space="preserve"> </v>
      </c>
      <c r="AJ212" s="558" t="s">
        <v>2042</v>
      </c>
      <c r="AK212" s="558" t="s">
        <v>2449</v>
      </c>
    </row>
    <row r="213" spans="1:37" s="376" customFormat="1" ht="101.25" outlineLevel="2" x14ac:dyDescent="0.3">
      <c r="A213" s="447">
        <f t="shared" si="50"/>
        <v>24</v>
      </c>
      <c r="B213" s="557"/>
      <c r="C213" s="558"/>
      <c r="D213" s="587"/>
      <c r="E213" s="587"/>
      <c r="F213" s="560"/>
      <c r="G213" s="558"/>
      <c r="H213" s="588"/>
      <c r="I213" s="546"/>
      <c r="J213" s="589"/>
      <c r="K213" s="563" t="str">
        <f>IF(G213&lt;&gt;0,VLOOKUP(G213,'gia dat'!$A$1:$F$144,5,0)," ")</f>
        <v xml:space="preserve"> </v>
      </c>
      <c r="L213" s="563" t="str">
        <f>IF(G213&lt;&gt;0,VLOOKUP(G213,'gia dat'!$A$1:$F$144,6,0)," ")</f>
        <v xml:space="preserve"> </v>
      </c>
      <c r="M213" s="564" t="str">
        <f t="shared" si="33"/>
        <v xml:space="preserve"> </v>
      </c>
      <c r="N213" s="564" t="str">
        <f t="shared" si="34"/>
        <v xml:space="preserve"> </v>
      </c>
      <c r="O213" s="558" t="s">
        <v>733</v>
      </c>
      <c r="P213" s="590">
        <v>1</v>
      </c>
      <c r="Q213" s="564">
        <f>IF(O213&lt;&gt;0,VLOOKUP(O213,'Cây trong'!$A$2:$C$246,3,0)," ")</f>
        <v>150000</v>
      </c>
      <c r="R213" s="564">
        <f t="shared" si="44"/>
        <v>150000</v>
      </c>
      <c r="S213" s="566" t="s">
        <v>2272</v>
      </c>
      <c r="T213" s="589" t="s">
        <v>53</v>
      </c>
      <c r="U213" s="591">
        <v>49.55</v>
      </c>
      <c r="V213" s="589"/>
      <c r="W213" s="564">
        <f>IF(S213&lt;&gt;0,VLOOKUP(S213,VKT!$A$2:$G$415,7,0),"")</f>
        <v>1067915</v>
      </c>
      <c r="X213" s="564">
        <f t="shared" si="31"/>
        <v>52915000</v>
      </c>
      <c r="Y213" s="589"/>
      <c r="Z213" s="592"/>
      <c r="AA213" s="592"/>
      <c r="AB213" s="568"/>
      <c r="AC213" s="592"/>
      <c r="AD213" s="592"/>
      <c r="AE213" s="592"/>
      <c r="AF213" s="590"/>
      <c r="AG213" s="570" t="str">
        <f>IF(AE213&lt;&gt;0,VLOOKUP(AE213,ODDS!$A$2:$C$13,3,0),"")</f>
        <v/>
      </c>
      <c r="AH213" s="570" t="str">
        <f t="shared" si="45"/>
        <v xml:space="preserve"> </v>
      </c>
      <c r="AI213" s="571" t="str">
        <f t="shared" si="47"/>
        <v xml:space="preserve"> </v>
      </c>
      <c r="AJ213" s="558" t="s">
        <v>457</v>
      </c>
      <c r="AK213" s="558" t="s">
        <v>2800</v>
      </c>
    </row>
    <row r="214" spans="1:37" s="376" customFormat="1" ht="60.75" outlineLevel="2" x14ac:dyDescent="0.3">
      <c r="A214" s="447">
        <f t="shared" si="50"/>
        <v>24</v>
      </c>
      <c r="B214" s="557"/>
      <c r="C214" s="607"/>
      <c r="D214" s="594"/>
      <c r="E214" s="595"/>
      <c r="F214" s="577"/>
      <c r="G214" s="574"/>
      <c r="H214" s="588"/>
      <c r="I214" s="546"/>
      <c r="J214" s="608"/>
      <c r="K214" s="563" t="str">
        <f>IF(G214&lt;&gt;0,VLOOKUP(G214,'gia dat'!$A$1:$F$144,5,0)," ")</f>
        <v xml:space="preserve"> </v>
      </c>
      <c r="L214" s="563" t="str">
        <f>IF(G214&lt;&gt;0,VLOOKUP(G214,'gia dat'!$A$1:$F$144,6,0)," ")</f>
        <v xml:space="preserve"> </v>
      </c>
      <c r="M214" s="564" t="str">
        <f t="shared" si="33"/>
        <v xml:space="preserve"> </v>
      </c>
      <c r="N214" s="564" t="str">
        <f t="shared" si="34"/>
        <v xml:space="preserve"> </v>
      </c>
      <c r="O214" s="586" t="s">
        <v>734</v>
      </c>
      <c r="P214" s="590">
        <v>1</v>
      </c>
      <c r="Q214" s="564">
        <f>IF(O214&lt;&gt;0,VLOOKUP(O214,'Cây trong'!$A$2:$C$246,3,0)," ")</f>
        <v>150000</v>
      </c>
      <c r="R214" s="564">
        <f t="shared" si="44"/>
        <v>150000</v>
      </c>
      <c r="S214" s="586" t="s">
        <v>2273</v>
      </c>
      <c r="T214" s="609" t="s">
        <v>53</v>
      </c>
      <c r="U214" s="591">
        <v>46.3</v>
      </c>
      <c r="V214" s="597"/>
      <c r="W214" s="564">
        <f>IF(S214&lt;&gt;0,VLOOKUP(S214,VKT!$A$2:$G$415,7,0),"")</f>
        <v>334749</v>
      </c>
      <c r="X214" s="564">
        <f t="shared" si="31"/>
        <v>15499000</v>
      </c>
      <c r="Y214" s="580"/>
      <c r="Z214" s="601"/>
      <c r="AA214" s="601"/>
      <c r="AB214" s="584"/>
      <c r="AC214" s="601"/>
      <c r="AD214" s="601"/>
      <c r="AE214" s="601"/>
      <c r="AF214" s="599"/>
      <c r="AG214" s="570" t="str">
        <f>IF(AE214&lt;&gt;0,VLOOKUP(AE214,ODDS!$A$2:$C$13,3,0),"")</f>
        <v/>
      </c>
      <c r="AH214" s="570" t="str">
        <f t="shared" si="45"/>
        <v xml:space="preserve"> </v>
      </c>
      <c r="AI214" s="571" t="str">
        <f t="shared" si="47"/>
        <v xml:space="preserve"> </v>
      </c>
      <c r="AJ214" s="558" t="s">
        <v>2074</v>
      </c>
      <c r="AK214" s="593"/>
    </row>
    <row r="215" spans="1:37" s="376" customFormat="1" ht="101.25" outlineLevel="2" x14ac:dyDescent="0.3">
      <c r="A215" s="447">
        <f t="shared" si="50"/>
        <v>24</v>
      </c>
      <c r="B215" s="557"/>
      <c r="C215" s="572"/>
      <c r="D215" s="603"/>
      <c r="E215" s="587"/>
      <c r="F215" s="560"/>
      <c r="G215" s="558"/>
      <c r="H215" s="588"/>
      <c r="I215" s="546"/>
      <c r="J215" s="593"/>
      <c r="K215" s="563" t="str">
        <f>IF(G215&lt;&gt;0,VLOOKUP(G215,'gia dat'!$A$1:$F$144,5,0)," ")</f>
        <v xml:space="preserve"> </v>
      </c>
      <c r="L215" s="563" t="str">
        <f>IF(G215&lt;&gt;0,VLOOKUP(G215,'gia dat'!$A$1:$F$144,6,0)," ")</f>
        <v xml:space="preserve"> </v>
      </c>
      <c r="M215" s="564" t="str">
        <f t="shared" si="33"/>
        <v xml:space="preserve"> </v>
      </c>
      <c r="N215" s="564" t="str">
        <f t="shared" si="34"/>
        <v xml:space="preserve"> </v>
      </c>
      <c r="O215" s="586" t="s">
        <v>409</v>
      </c>
      <c r="P215" s="590">
        <v>8</v>
      </c>
      <c r="Q215" s="564">
        <f>IF(O215&lt;&gt;0,VLOOKUP(O215,'Cây trong'!$A$2:$C$246,3,0)," ")</f>
        <v>72000</v>
      </c>
      <c r="R215" s="564">
        <f t="shared" si="44"/>
        <v>576000</v>
      </c>
      <c r="S215" s="586" t="s">
        <v>2274</v>
      </c>
      <c r="T215" s="609" t="s">
        <v>53</v>
      </c>
      <c r="U215" s="591">
        <v>1.44</v>
      </c>
      <c r="V215" s="589"/>
      <c r="W215" s="564">
        <f>IF(S215&lt;&gt;0,VLOOKUP(S215,VKT!$A$2:$G$415,7,0),"")</f>
        <v>496651</v>
      </c>
      <c r="X215" s="564">
        <f t="shared" si="31"/>
        <v>715000</v>
      </c>
      <c r="Y215" s="562"/>
      <c r="Z215" s="592"/>
      <c r="AA215" s="592"/>
      <c r="AB215" s="568"/>
      <c r="AC215" s="592"/>
      <c r="AD215" s="592"/>
      <c r="AE215" s="592"/>
      <c r="AF215" s="590"/>
      <c r="AG215" s="570" t="str">
        <f>IF(AE215&lt;&gt;0,VLOOKUP(AE215,ODDS!$A$2:$C$13,3,0),"")</f>
        <v/>
      </c>
      <c r="AH215" s="570" t="str">
        <f t="shared" si="45"/>
        <v xml:space="preserve"> </v>
      </c>
      <c r="AI215" s="571" t="str">
        <f t="shared" si="47"/>
        <v xml:space="preserve"> </v>
      </c>
      <c r="AJ215" s="575"/>
      <c r="AK215" s="593"/>
    </row>
    <row r="216" spans="1:37" s="376" customFormat="1" ht="101.25" outlineLevel="2" x14ac:dyDescent="0.3">
      <c r="A216" s="447">
        <f t="shared" si="50"/>
        <v>24</v>
      </c>
      <c r="B216" s="557"/>
      <c r="C216" s="572"/>
      <c r="D216" s="587"/>
      <c r="E216" s="612"/>
      <c r="F216" s="612"/>
      <c r="G216" s="586"/>
      <c r="H216" s="588"/>
      <c r="I216" s="546"/>
      <c r="J216" s="593"/>
      <c r="K216" s="563" t="str">
        <f>IF(G216&lt;&gt;0,VLOOKUP(G216,'gia dat'!$A$1:$F$144,5,0)," ")</f>
        <v xml:space="preserve"> </v>
      </c>
      <c r="L216" s="563" t="str">
        <f>IF(G216&lt;&gt;0,VLOOKUP(G216,'gia dat'!$A$1:$F$144,6,0)," ")</f>
        <v xml:space="preserve"> </v>
      </c>
      <c r="M216" s="564" t="str">
        <f t="shared" si="33"/>
        <v xml:space="preserve"> </v>
      </c>
      <c r="N216" s="564" t="str">
        <f t="shared" si="34"/>
        <v xml:space="preserve"> </v>
      </c>
      <c r="O216" s="586" t="s">
        <v>719</v>
      </c>
      <c r="P216" s="590">
        <v>12</v>
      </c>
      <c r="Q216" s="564">
        <f>IF(O216&lt;&gt;0,VLOOKUP(O216,'Cây trong'!$A$2:$C$246,3,0)," ")</f>
        <v>2000</v>
      </c>
      <c r="R216" s="564">
        <f t="shared" si="44"/>
        <v>24000</v>
      </c>
      <c r="S216" s="586"/>
      <c r="T216" s="609"/>
      <c r="U216" s="591"/>
      <c r="V216" s="589"/>
      <c r="W216" s="564" t="str">
        <f>IF(S216&lt;&gt;0,VLOOKUP(S216,VKT!$A$2:$G$415,7,0),"")</f>
        <v/>
      </c>
      <c r="X216" s="564" t="str">
        <f t="shared" si="31"/>
        <v xml:space="preserve"> </v>
      </c>
      <c r="Y216" s="589"/>
      <c r="Z216" s="592"/>
      <c r="AA216" s="592"/>
      <c r="AB216" s="568"/>
      <c r="AC216" s="592"/>
      <c r="AD216" s="592"/>
      <c r="AE216" s="592"/>
      <c r="AF216" s="590"/>
      <c r="AG216" s="570" t="str">
        <f>IF(AE216&lt;&gt;0,VLOOKUP(AE216,ODDS!$A$2:$C$13,3,0),"")</f>
        <v/>
      </c>
      <c r="AH216" s="570" t="str">
        <f t="shared" si="45"/>
        <v xml:space="preserve"> </v>
      </c>
      <c r="AI216" s="571" t="str">
        <f t="shared" si="47"/>
        <v xml:space="preserve"> </v>
      </c>
      <c r="AJ216" s="593"/>
      <c r="AK216" s="593"/>
    </row>
    <row r="217" spans="1:37" s="376" customFormat="1" ht="20.25" outlineLevel="2" x14ac:dyDescent="0.3">
      <c r="A217" s="447">
        <f t="shared" si="50"/>
        <v>24</v>
      </c>
      <c r="B217" s="557"/>
      <c r="C217" s="572"/>
      <c r="D217" s="587"/>
      <c r="E217" s="587"/>
      <c r="F217" s="615"/>
      <c r="G217" s="558"/>
      <c r="H217" s="604"/>
      <c r="I217" s="546"/>
      <c r="J217" s="593"/>
      <c r="K217" s="563" t="str">
        <f>IF(G217&lt;&gt;0,VLOOKUP(G217,'gia dat'!$A$1:$F$144,5,0)," ")</f>
        <v xml:space="preserve"> </v>
      </c>
      <c r="L217" s="563" t="str">
        <f>IF(G217&lt;&gt;0,VLOOKUP(G217,'gia dat'!$A$1:$F$144,6,0)," ")</f>
        <v xml:space="preserve"> </v>
      </c>
      <c r="M217" s="564" t="str">
        <f t="shared" si="33"/>
        <v xml:space="preserve"> </v>
      </c>
      <c r="N217" s="564" t="str">
        <f t="shared" si="34"/>
        <v xml:space="preserve"> </v>
      </c>
      <c r="O217" s="593"/>
      <c r="P217" s="616"/>
      <c r="Q217" s="564" t="str">
        <f>IF(O217&lt;&gt;0,VLOOKUP(O217,'Cây trong'!$A$2:$C$246,3,0)," ")</f>
        <v xml:space="preserve"> </v>
      </c>
      <c r="R217" s="564" t="str">
        <f t="shared" si="44"/>
        <v xml:space="preserve"> </v>
      </c>
      <c r="S217" s="593"/>
      <c r="T217" s="593"/>
      <c r="U217" s="617"/>
      <c r="V217" s="589"/>
      <c r="W217" s="564" t="str">
        <f>IF(S217&lt;&gt;0,VLOOKUP(S217,VKT!$A$2:$G$415,7,0),"")</f>
        <v/>
      </c>
      <c r="X217" s="564" t="str">
        <f t="shared" si="31"/>
        <v xml:space="preserve"> </v>
      </c>
      <c r="Y217" s="589"/>
      <c r="Z217" s="589"/>
      <c r="AA217" s="589"/>
      <c r="AB217" s="562"/>
      <c r="AC217" s="589"/>
      <c r="AD217" s="589"/>
      <c r="AE217" s="589"/>
      <c r="AF217" s="629"/>
      <c r="AG217" s="570" t="str">
        <f>IF(AE217&lt;&gt;0,VLOOKUP(AE217,ODDS!$A$2:$C$13,3,0),"")</f>
        <v/>
      </c>
      <c r="AH217" s="570" t="str">
        <f t="shared" si="45"/>
        <v xml:space="preserve"> </v>
      </c>
      <c r="AI217" s="571" t="str">
        <f t="shared" si="47"/>
        <v xml:space="preserve"> </v>
      </c>
      <c r="AJ217" s="593"/>
      <c r="AK217" s="593"/>
    </row>
    <row r="218" spans="1:37" s="376" customFormat="1" ht="20.25" outlineLevel="2" x14ac:dyDescent="0.3">
      <c r="A218" s="447">
        <f t="shared" si="50"/>
        <v>24</v>
      </c>
      <c r="B218" s="557"/>
      <c r="C218" s="558"/>
      <c r="D218" s="587"/>
      <c r="E218" s="612"/>
      <c r="F218" s="612"/>
      <c r="G218" s="586"/>
      <c r="H218" s="588"/>
      <c r="I218" s="546"/>
      <c r="J218" s="593"/>
      <c r="K218" s="563" t="str">
        <f>IF(G218&lt;&gt;0,VLOOKUP(G218,'gia dat'!$A$1:$F$144,5,0)," ")</f>
        <v xml:space="preserve"> </v>
      </c>
      <c r="L218" s="563" t="str">
        <f>IF(G218&lt;&gt;0,VLOOKUP(G218,'gia dat'!$A$1:$F$144,6,0)," ")</f>
        <v xml:space="preserve"> </v>
      </c>
      <c r="M218" s="564" t="str">
        <f t="shared" si="33"/>
        <v xml:space="preserve"> </v>
      </c>
      <c r="N218" s="564" t="str">
        <f t="shared" si="34"/>
        <v xml:space="preserve"> </v>
      </c>
      <c r="O218" s="586"/>
      <c r="P218" s="590"/>
      <c r="Q218" s="564" t="str">
        <f>IF(O218&lt;&gt;0,VLOOKUP(O218,'Cây trong'!$A$2:$C$246,3,0)," ")</f>
        <v xml:space="preserve"> </v>
      </c>
      <c r="R218" s="564" t="str">
        <f t="shared" si="44"/>
        <v xml:space="preserve"> </v>
      </c>
      <c r="S218" s="586"/>
      <c r="T218" s="609"/>
      <c r="U218" s="591"/>
      <c r="V218" s="589"/>
      <c r="W218" s="564" t="str">
        <f>IF(S218&lt;&gt;0,VLOOKUP(S218,VKT!$A$2:$G$415,7,0),"")</f>
        <v/>
      </c>
      <c r="X218" s="564" t="str">
        <f t="shared" si="31"/>
        <v xml:space="preserve"> </v>
      </c>
      <c r="Y218" s="589"/>
      <c r="Z218" s="592"/>
      <c r="AA218" s="592"/>
      <c r="AB218" s="568"/>
      <c r="AC218" s="592"/>
      <c r="AD218" s="592"/>
      <c r="AE218" s="592"/>
      <c r="AF218" s="590"/>
      <c r="AG218" s="570" t="str">
        <f>IF(AE218&lt;&gt;0,VLOOKUP(AE218,ODDS!$A$2:$C$13,3,0),"")</f>
        <v/>
      </c>
      <c r="AH218" s="570" t="str">
        <f t="shared" si="45"/>
        <v xml:space="preserve"> </v>
      </c>
      <c r="AI218" s="571" t="str">
        <f t="shared" si="47"/>
        <v xml:space="preserve"> </v>
      </c>
      <c r="AJ218" s="593"/>
      <c r="AK218" s="593"/>
    </row>
    <row r="219" spans="1:37" s="376" customFormat="1" ht="20.25" outlineLevel="2" x14ac:dyDescent="0.3">
      <c r="A219" s="447">
        <f t="shared" si="50"/>
        <v>24</v>
      </c>
      <c r="B219" s="557"/>
      <c r="C219" s="574"/>
      <c r="D219" s="587"/>
      <c r="E219" s="587"/>
      <c r="F219" s="560"/>
      <c r="G219" s="558"/>
      <c r="H219" s="588"/>
      <c r="I219" s="546"/>
      <c r="J219" s="589"/>
      <c r="K219" s="563" t="str">
        <f>IF(G219&lt;&gt;0,VLOOKUP(G219,'gia dat'!$A$1:$F$144,5,0)," ")</f>
        <v xml:space="preserve"> </v>
      </c>
      <c r="L219" s="563" t="str">
        <f>IF(G219&lt;&gt;0,VLOOKUP(G219,'gia dat'!$A$1:$F$144,6,0)," ")</f>
        <v xml:space="preserve"> </v>
      </c>
      <c r="M219" s="564" t="str">
        <f t="shared" si="33"/>
        <v xml:space="preserve"> </v>
      </c>
      <c r="N219" s="564" t="str">
        <f t="shared" si="34"/>
        <v xml:space="preserve"> </v>
      </c>
      <c r="O219" s="565"/>
      <c r="P219" s="590"/>
      <c r="Q219" s="564" t="str">
        <f>IF(O219&lt;&gt;0,VLOOKUP(O219,'Cây trong'!$A$2:$C$246,3,0)," ")</f>
        <v xml:space="preserve"> </v>
      </c>
      <c r="R219" s="564" t="str">
        <f t="shared" si="44"/>
        <v xml:space="preserve"> </v>
      </c>
      <c r="S219" s="566"/>
      <c r="T219" s="589"/>
      <c r="U219" s="591"/>
      <c r="V219" s="589"/>
      <c r="W219" s="564" t="str">
        <f>IF(S219&lt;&gt;0,VLOOKUP(S219,VKT!$A$2:$G$415,7,0),"")</f>
        <v/>
      </c>
      <c r="X219" s="564" t="str">
        <f t="shared" si="31"/>
        <v xml:space="preserve"> </v>
      </c>
      <c r="Y219" s="589"/>
      <c r="Z219" s="592"/>
      <c r="AA219" s="592"/>
      <c r="AB219" s="568"/>
      <c r="AC219" s="592"/>
      <c r="AD219" s="592"/>
      <c r="AE219" s="592"/>
      <c r="AF219" s="590"/>
      <c r="AG219" s="570" t="str">
        <f>IF(AE219&lt;&gt;0,VLOOKUP(AE219,ODDS!$A$2:$C$13,3,0),"")</f>
        <v/>
      </c>
      <c r="AH219" s="570" t="str">
        <f t="shared" si="45"/>
        <v xml:space="preserve"> </v>
      </c>
      <c r="AI219" s="571" t="str">
        <f t="shared" si="47"/>
        <v xml:space="preserve"> </v>
      </c>
      <c r="AJ219" s="558"/>
      <c r="AK219" s="558"/>
    </row>
    <row r="220" spans="1:37" s="376" customFormat="1" ht="40.5" outlineLevel="1" x14ac:dyDescent="0.25">
      <c r="A220" s="467" t="s">
        <v>2685</v>
      </c>
      <c r="B220" s="576">
        <v>25</v>
      </c>
      <c r="C220" s="574" t="s">
        <v>123</v>
      </c>
      <c r="D220" s="595"/>
      <c r="E220" s="595"/>
      <c r="F220" s="577"/>
      <c r="G220" s="574"/>
      <c r="H220" s="618">
        <f>SUBTOTAL(9,H221:H227)</f>
        <v>25.9</v>
      </c>
      <c r="I220" s="579">
        <f>SUBTOTAL(9,I221:I226)</f>
        <v>0</v>
      </c>
      <c r="J220" s="608"/>
      <c r="K220" s="581"/>
      <c r="L220" s="581"/>
      <c r="M220" s="571">
        <f>SUBTOTAL(9,M221:M227)</f>
        <v>104472000</v>
      </c>
      <c r="N220" s="571">
        <f>SUBTOTAL(9,N221:N227)</f>
        <v>0</v>
      </c>
      <c r="O220" s="578"/>
      <c r="P220" s="599">
        <f>SUBTOTAL(9,P221:P227)</f>
        <v>0</v>
      </c>
      <c r="Q220" s="571"/>
      <c r="R220" s="571">
        <f>SUBTOTAL(9,R221:R227)</f>
        <v>0</v>
      </c>
      <c r="S220" s="578"/>
      <c r="T220" s="621"/>
      <c r="U220" s="600">
        <f>SUBTOTAL(9,U221:U227)</f>
        <v>0</v>
      </c>
      <c r="V220" s="622"/>
      <c r="W220" s="571"/>
      <c r="X220" s="571">
        <f>SUBTOTAL(9,X221:X227)</f>
        <v>0</v>
      </c>
      <c r="Y220" s="562"/>
      <c r="Z220" s="592"/>
      <c r="AA220" s="592"/>
      <c r="AB220" s="568"/>
      <c r="AC220" s="592"/>
      <c r="AD220" s="592"/>
      <c r="AE220" s="601"/>
      <c r="AF220" s="599">
        <f>SUBTOTAL(9,AF221:AF227)</f>
        <v>0</v>
      </c>
      <c r="AG220" s="585"/>
      <c r="AH220" s="585">
        <f>SUBTOTAL(9,AH221:AH227)</f>
        <v>0</v>
      </c>
      <c r="AI220" s="571">
        <f t="shared" si="47"/>
        <v>104472000</v>
      </c>
      <c r="AJ220" s="578"/>
      <c r="AK220" s="578"/>
    </row>
    <row r="221" spans="1:37" s="376" customFormat="1" ht="81" outlineLevel="2" x14ac:dyDescent="0.3">
      <c r="A221" s="447">
        <f>IF(B220&lt;&gt;0,B220,A219)</f>
        <v>25</v>
      </c>
      <c r="B221" s="557"/>
      <c r="C221" s="558" t="s">
        <v>124</v>
      </c>
      <c r="D221" s="595"/>
      <c r="E221" s="587">
        <v>86</v>
      </c>
      <c r="F221" s="560" t="s">
        <v>459</v>
      </c>
      <c r="G221" s="558" t="s">
        <v>2033</v>
      </c>
      <c r="H221" s="588">
        <v>25.9</v>
      </c>
      <c r="I221" s="546" t="str">
        <f t="shared" ref="I221" si="51">IF(N221&gt;0,H221,"")</f>
        <v/>
      </c>
      <c r="J221" s="593"/>
      <c r="K221" s="563">
        <f>IF(G221&lt;&gt;0,VLOOKUP(G221,'gia dat'!$A$1:$F$144,5,0)," ")</f>
        <v>4033679.9999999995</v>
      </c>
      <c r="L221" s="563">
        <f>IF(G221&lt;&gt;0,VLOOKUP(G221,'gia dat'!$A$1:$F$144,6,0)," ")</f>
        <v>0</v>
      </c>
      <c r="M221" s="564">
        <f t="shared" si="33"/>
        <v>104472000</v>
      </c>
      <c r="N221" s="564">
        <f t="shared" si="34"/>
        <v>0</v>
      </c>
      <c r="O221" s="586"/>
      <c r="P221" s="590"/>
      <c r="Q221" s="564" t="str">
        <f>IF(O221&lt;&gt;0,VLOOKUP(O221,'Cây trong'!$A$2:$C$246,3,0)," ")</f>
        <v xml:space="preserve"> </v>
      </c>
      <c r="R221" s="564" t="str">
        <f t="shared" si="44"/>
        <v xml:space="preserve"> </v>
      </c>
      <c r="S221" s="586"/>
      <c r="T221" s="609"/>
      <c r="U221" s="591"/>
      <c r="V221" s="611"/>
      <c r="W221" s="564" t="str">
        <f>IF(S221&lt;&gt;0,VLOOKUP(S221,VKT!$A$2:$G$415,7,0),"")</f>
        <v/>
      </c>
      <c r="X221" s="564" t="str">
        <f t="shared" si="31"/>
        <v xml:space="preserve"> </v>
      </c>
      <c r="Y221" s="562"/>
      <c r="Z221" s="592"/>
      <c r="AA221" s="592"/>
      <c r="AB221" s="568"/>
      <c r="AC221" s="592"/>
      <c r="AD221" s="592"/>
      <c r="AE221" s="592"/>
      <c r="AF221" s="590"/>
      <c r="AG221" s="570" t="str">
        <f>IF(AE221&lt;&gt;0,VLOOKUP(AE221,ODDS!$A$2:$C$13,3,0),"")</f>
        <v/>
      </c>
      <c r="AH221" s="570" t="str">
        <f t="shared" si="45"/>
        <v xml:space="preserve"> </v>
      </c>
      <c r="AI221" s="571" t="str">
        <f t="shared" si="47"/>
        <v xml:space="preserve"> </v>
      </c>
      <c r="AJ221" s="586" t="s">
        <v>650</v>
      </c>
      <c r="AK221" s="586"/>
    </row>
    <row r="222" spans="1:37" s="376" customFormat="1" ht="81" outlineLevel="2" x14ac:dyDescent="0.3">
      <c r="A222" s="447">
        <f t="shared" ref="A222:A227" si="52">IF(B221&lt;&gt;0,B221,A221)</f>
        <v>25</v>
      </c>
      <c r="B222" s="557"/>
      <c r="C222" s="558" t="s">
        <v>649</v>
      </c>
      <c r="D222" s="603"/>
      <c r="E222" s="612"/>
      <c r="F222" s="612"/>
      <c r="G222" s="586"/>
      <c r="H222" s="588"/>
      <c r="I222" s="546"/>
      <c r="J222" s="593"/>
      <c r="K222" s="563" t="str">
        <f>IF(G222&lt;&gt;0,VLOOKUP(G222,'gia dat'!$A$1:$F$144,5,0)," ")</f>
        <v xml:space="preserve"> </v>
      </c>
      <c r="L222" s="563" t="str">
        <f>IF(G222&lt;&gt;0,VLOOKUP(G222,'gia dat'!$A$1:$F$144,6,0)," ")</f>
        <v xml:space="preserve"> </v>
      </c>
      <c r="M222" s="564" t="str">
        <f t="shared" si="33"/>
        <v xml:space="preserve"> </v>
      </c>
      <c r="N222" s="564" t="str">
        <f t="shared" si="34"/>
        <v xml:space="preserve"> </v>
      </c>
      <c r="O222" s="586"/>
      <c r="P222" s="590"/>
      <c r="Q222" s="564" t="str">
        <f>IF(O222&lt;&gt;0,VLOOKUP(O222,'Cây trong'!$A$2:$C$246,3,0)," ")</f>
        <v xml:space="preserve"> </v>
      </c>
      <c r="R222" s="564" t="str">
        <f t="shared" si="44"/>
        <v xml:space="preserve"> </v>
      </c>
      <c r="S222" s="586"/>
      <c r="T222" s="609"/>
      <c r="U222" s="591"/>
      <c r="V222" s="611"/>
      <c r="W222" s="564" t="str">
        <f>IF(S222&lt;&gt;0,VLOOKUP(S222,VKT!$A$2:$G$415,7,0),"")</f>
        <v/>
      </c>
      <c r="X222" s="564" t="str">
        <f t="shared" ref="X222:X290" si="53">IF(S222&lt;&gt;0,ROUND(U222*W222,-3)," ")</f>
        <v xml:space="preserve"> </v>
      </c>
      <c r="Y222" s="589"/>
      <c r="Z222" s="592"/>
      <c r="AA222" s="592"/>
      <c r="AB222" s="568"/>
      <c r="AC222" s="592"/>
      <c r="AD222" s="592"/>
      <c r="AE222" s="592"/>
      <c r="AF222" s="590"/>
      <c r="AG222" s="570" t="str">
        <f>IF(AE222&lt;&gt;0,VLOOKUP(AE222,ODDS!$A$2:$C$13,3,0),"")</f>
        <v/>
      </c>
      <c r="AH222" s="570" t="str">
        <f t="shared" si="45"/>
        <v xml:space="preserve"> </v>
      </c>
      <c r="AI222" s="571" t="str">
        <f t="shared" si="47"/>
        <v xml:space="preserve"> </v>
      </c>
      <c r="AJ222" s="586" t="s">
        <v>460</v>
      </c>
      <c r="AK222" s="586"/>
    </row>
    <row r="223" spans="1:37" s="376" customFormat="1" ht="40.5" outlineLevel="2" x14ac:dyDescent="0.3">
      <c r="A223" s="447">
        <f t="shared" si="52"/>
        <v>25</v>
      </c>
      <c r="B223" s="557"/>
      <c r="C223" s="558" t="s">
        <v>324</v>
      </c>
      <c r="D223" s="587"/>
      <c r="E223" s="587"/>
      <c r="F223" s="560"/>
      <c r="G223" s="558"/>
      <c r="H223" s="588"/>
      <c r="I223" s="546"/>
      <c r="J223" s="593"/>
      <c r="K223" s="563" t="str">
        <f>IF(G223&lt;&gt;0,VLOOKUP(G223,'gia dat'!$A$1:$F$144,5,0)," ")</f>
        <v xml:space="preserve"> </v>
      </c>
      <c r="L223" s="563" t="str">
        <f>IF(G223&lt;&gt;0,VLOOKUP(G223,'gia dat'!$A$1:$F$144,6,0)," ")</f>
        <v xml:space="preserve"> </v>
      </c>
      <c r="M223" s="564" t="str">
        <f t="shared" si="33"/>
        <v xml:space="preserve"> </v>
      </c>
      <c r="N223" s="564" t="str">
        <f t="shared" si="34"/>
        <v xml:space="preserve"> </v>
      </c>
      <c r="O223" s="586"/>
      <c r="P223" s="590"/>
      <c r="Q223" s="564" t="str">
        <f>IF(O223&lt;&gt;0,VLOOKUP(O223,'Cây trong'!$A$2:$C$246,3,0)," ")</f>
        <v xml:space="preserve"> </v>
      </c>
      <c r="R223" s="564" t="str">
        <f t="shared" si="44"/>
        <v xml:space="preserve"> </v>
      </c>
      <c r="S223" s="586"/>
      <c r="T223" s="609"/>
      <c r="U223" s="591"/>
      <c r="V223" s="611"/>
      <c r="W223" s="564" t="str">
        <f>IF(S223&lt;&gt;0,VLOOKUP(S223,VKT!$A$2:$G$415,7,0),"")</f>
        <v/>
      </c>
      <c r="X223" s="564" t="str">
        <f t="shared" si="53"/>
        <v xml:space="preserve"> </v>
      </c>
      <c r="Y223" s="589"/>
      <c r="Z223" s="592"/>
      <c r="AA223" s="592"/>
      <c r="AB223" s="568"/>
      <c r="AC223" s="592"/>
      <c r="AD223" s="592"/>
      <c r="AE223" s="592"/>
      <c r="AF223" s="590"/>
      <c r="AG223" s="570" t="str">
        <f>IF(AE223&lt;&gt;0,VLOOKUP(AE223,ODDS!$A$2:$C$13,3,0),"")</f>
        <v/>
      </c>
      <c r="AH223" s="570" t="str">
        <f t="shared" si="45"/>
        <v xml:space="preserve"> </v>
      </c>
      <c r="AI223" s="571" t="str">
        <f t="shared" si="47"/>
        <v xml:space="preserve"> </v>
      </c>
      <c r="AJ223" s="558"/>
      <c r="AK223" s="593"/>
    </row>
    <row r="224" spans="1:37" s="376" customFormat="1" ht="20.25" outlineLevel="2" x14ac:dyDescent="0.3">
      <c r="A224" s="447">
        <f t="shared" si="52"/>
        <v>25</v>
      </c>
      <c r="B224" s="557"/>
      <c r="C224" s="558"/>
      <c r="D224" s="587"/>
      <c r="E224" s="587"/>
      <c r="F224" s="615"/>
      <c r="G224" s="558"/>
      <c r="H224" s="604"/>
      <c r="I224" s="546"/>
      <c r="J224" s="593"/>
      <c r="K224" s="563" t="str">
        <f>IF(G224&lt;&gt;0,VLOOKUP(G224,'gia dat'!$A$1:$F$144,5,0)," ")</f>
        <v xml:space="preserve"> </v>
      </c>
      <c r="L224" s="563" t="str">
        <f>IF(G224&lt;&gt;0,VLOOKUP(G224,'gia dat'!$A$1:$F$144,6,0)," ")</f>
        <v xml:space="preserve"> </v>
      </c>
      <c r="M224" s="564" t="str">
        <f t="shared" si="33"/>
        <v xml:space="preserve"> </v>
      </c>
      <c r="N224" s="564" t="str">
        <f t="shared" si="34"/>
        <v xml:space="preserve"> </v>
      </c>
      <c r="O224" s="593"/>
      <c r="P224" s="616"/>
      <c r="Q224" s="564" t="str">
        <f>IF(O224&lt;&gt;0,VLOOKUP(O224,'Cây trong'!$A$2:$C$246,3,0)," ")</f>
        <v xml:space="preserve"> </v>
      </c>
      <c r="R224" s="564" t="str">
        <f t="shared" si="44"/>
        <v xml:space="preserve"> </v>
      </c>
      <c r="S224" s="593"/>
      <c r="T224" s="593"/>
      <c r="U224" s="617"/>
      <c r="V224" s="589"/>
      <c r="W224" s="564" t="str">
        <f>IF(S224&lt;&gt;0,VLOOKUP(S224,VKT!$A$2:$G$415,7,0),"")</f>
        <v/>
      </c>
      <c r="X224" s="564" t="str">
        <f t="shared" si="53"/>
        <v xml:space="preserve"> </v>
      </c>
      <c r="Y224" s="589"/>
      <c r="Z224" s="589"/>
      <c r="AA224" s="589"/>
      <c r="AB224" s="562"/>
      <c r="AC224" s="589"/>
      <c r="AD224" s="589"/>
      <c r="AE224" s="589"/>
      <c r="AF224" s="629"/>
      <c r="AG224" s="570" t="str">
        <f>IF(AE224&lt;&gt;0,VLOOKUP(AE224,ODDS!$A$2:$C$13,3,0),"")</f>
        <v/>
      </c>
      <c r="AH224" s="570" t="str">
        <f t="shared" si="45"/>
        <v xml:space="preserve"> </v>
      </c>
      <c r="AI224" s="571" t="str">
        <f t="shared" si="47"/>
        <v xml:space="preserve"> </v>
      </c>
      <c r="AJ224" s="593"/>
      <c r="AK224" s="593"/>
    </row>
    <row r="225" spans="1:37" s="376" customFormat="1" ht="20.25" outlineLevel="2" x14ac:dyDescent="0.3">
      <c r="A225" s="447">
        <f t="shared" si="52"/>
        <v>25</v>
      </c>
      <c r="B225" s="557"/>
      <c r="C225" s="558"/>
      <c r="D225" s="587"/>
      <c r="E225" s="587"/>
      <c r="F225" s="560"/>
      <c r="G225" s="558"/>
      <c r="H225" s="588"/>
      <c r="I225" s="546"/>
      <c r="J225" s="593"/>
      <c r="K225" s="563" t="str">
        <f>IF(G225&lt;&gt;0,VLOOKUP(G225,'gia dat'!$A$1:$F$144,5,0)," ")</f>
        <v xml:space="preserve"> </v>
      </c>
      <c r="L225" s="563" t="str">
        <f>IF(G225&lt;&gt;0,VLOOKUP(G225,'gia dat'!$A$1:$F$144,6,0)," ")</f>
        <v xml:space="preserve"> </v>
      </c>
      <c r="M225" s="564" t="str">
        <f t="shared" si="33"/>
        <v xml:space="preserve"> </v>
      </c>
      <c r="N225" s="564" t="str">
        <f t="shared" si="34"/>
        <v xml:space="preserve"> </v>
      </c>
      <c r="O225" s="586"/>
      <c r="P225" s="630"/>
      <c r="Q225" s="564" t="str">
        <f>IF(O225&lt;&gt;0,VLOOKUP(O225,'Cây trong'!$A$2:$C$246,3,0)," ")</f>
        <v xml:space="preserve"> </v>
      </c>
      <c r="R225" s="564" t="str">
        <f t="shared" si="44"/>
        <v xml:space="preserve"> </v>
      </c>
      <c r="S225" s="586"/>
      <c r="T225" s="609"/>
      <c r="U225" s="591"/>
      <c r="V225" s="589"/>
      <c r="W225" s="564" t="str">
        <f>IF(S225&lt;&gt;0,VLOOKUP(S225,VKT!$A$2:$G$415,7,0),"")</f>
        <v/>
      </c>
      <c r="X225" s="564" t="str">
        <f t="shared" si="53"/>
        <v xml:space="preserve"> </v>
      </c>
      <c r="Y225" s="589"/>
      <c r="Z225" s="592"/>
      <c r="AA225" s="592"/>
      <c r="AB225" s="568"/>
      <c r="AC225" s="592"/>
      <c r="AD225" s="592"/>
      <c r="AE225" s="592"/>
      <c r="AF225" s="590"/>
      <c r="AG225" s="570" t="str">
        <f>IF(AE225&lt;&gt;0,VLOOKUP(AE225,ODDS!$A$2:$C$13,3,0),"")</f>
        <v/>
      </c>
      <c r="AH225" s="570" t="str">
        <f t="shared" si="45"/>
        <v xml:space="preserve"> </v>
      </c>
      <c r="AI225" s="571" t="str">
        <f t="shared" si="47"/>
        <v xml:space="preserve"> </v>
      </c>
      <c r="AJ225" s="558"/>
      <c r="AK225" s="558"/>
    </row>
    <row r="226" spans="1:37" s="376" customFormat="1" ht="20.25" outlineLevel="2" x14ac:dyDescent="0.3">
      <c r="A226" s="447">
        <f t="shared" si="52"/>
        <v>25</v>
      </c>
      <c r="B226" s="557"/>
      <c r="C226" s="558"/>
      <c r="D226" s="587"/>
      <c r="E226" s="587"/>
      <c r="F226" s="560"/>
      <c r="G226" s="558"/>
      <c r="H226" s="588"/>
      <c r="I226" s="546"/>
      <c r="J226" s="593"/>
      <c r="K226" s="563" t="str">
        <f>IF(G226&lt;&gt;0,VLOOKUP(G226,'gia dat'!$A$1:$F$144,5,0)," ")</f>
        <v xml:space="preserve"> </v>
      </c>
      <c r="L226" s="563" t="str">
        <f>IF(G226&lt;&gt;0,VLOOKUP(G226,'gia dat'!$A$1:$F$144,6,0)," ")</f>
        <v xml:space="preserve"> </v>
      </c>
      <c r="M226" s="564" t="str">
        <f t="shared" ref="M226:M294" si="54">IF(H226&lt;&gt;0,ROUND(H226*K226,-3)," ")</f>
        <v xml:space="preserve"> </v>
      </c>
      <c r="N226" s="564" t="str">
        <f t="shared" ref="N226:N294" si="55">IF(H226&lt;&gt;0,ROUND(H226*L226,-3)," ")</f>
        <v xml:space="preserve"> </v>
      </c>
      <c r="O226" s="586"/>
      <c r="P226" s="630"/>
      <c r="Q226" s="564" t="str">
        <f>IF(O226&lt;&gt;0,VLOOKUP(O226,'Cây trong'!$A$2:$C$246,3,0)," ")</f>
        <v xml:space="preserve"> </v>
      </c>
      <c r="R226" s="564" t="str">
        <f t="shared" si="44"/>
        <v xml:space="preserve"> </v>
      </c>
      <c r="S226" s="586"/>
      <c r="T226" s="609"/>
      <c r="U226" s="591"/>
      <c r="V226" s="589"/>
      <c r="W226" s="564" t="str">
        <f>IF(S226&lt;&gt;0,VLOOKUP(S226,VKT!$A$2:$G$415,7,0),"")</f>
        <v/>
      </c>
      <c r="X226" s="564" t="str">
        <f t="shared" si="53"/>
        <v xml:space="preserve"> </v>
      </c>
      <c r="Y226" s="589"/>
      <c r="Z226" s="592"/>
      <c r="AA226" s="592"/>
      <c r="AB226" s="568"/>
      <c r="AC226" s="592"/>
      <c r="AD226" s="592"/>
      <c r="AE226" s="592"/>
      <c r="AF226" s="590"/>
      <c r="AG226" s="570" t="str">
        <f>IF(AE226&lt;&gt;0,VLOOKUP(AE226,ODDS!$A$2:$C$13,3,0),"")</f>
        <v/>
      </c>
      <c r="AH226" s="570" t="str">
        <f t="shared" si="45"/>
        <v xml:space="preserve"> </v>
      </c>
      <c r="AI226" s="571" t="str">
        <f t="shared" si="47"/>
        <v xml:space="preserve"> </v>
      </c>
      <c r="AJ226" s="558"/>
      <c r="AK226" s="558"/>
    </row>
    <row r="227" spans="1:37" s="376" customFormat="1" ht="20.25" outlineLevel="2" x14ac:dyDescent="0.3">
      <c r="A227" s="447">
        <f t="shared" si="52"/>
        <v>25</v>
      </c>
      <c r="B227" s="557"/>
      <c r="C227" s="607"/>
      <c r="D227" s="587"/>
      <c r="E227" s="587"/>
      <c r="F227" s="560"/>
      <c r="G227" s="558"/>
      <c r="H227" s="588"/>
      <c r="I227" s="546"/>
      <c r="J227" s="589"/>
      <c r="K227" s="563" t="str">
        <f>IF(G227&lt;&gt;0,VLOOKUP(G227,'gia dat'!$A$1:$F$144,5,0)," ")</f>
        <v xml:space="preserve"> </v>
      </c>
      <c r="L227" s="563" t="str">
        <f>IF(G227&lt;&gt;0,VLOOKUP(G227,'gia dat'!$A$1:$F$144,6,0)," ")</f>
        <v xml:space="preserve"> </v>
      </c>
      <c r="M227" s="564" t="str">
        <f t="shared" si="54"/>
        <v xml:space="preserve"> </v>
      </c>
      <c r="N227" s="564" t="str">
        <f t="shared" si="55"/>
        <v xml:space="preserve"> </v>
      </c>
      <c r="O227" s="558"/>
      <c r="P227" s="590"/>
      <c r="Q227" s="564" t="str">
        <f>IF(O227&lt;&gt;0,VLOOKUP(O227,'Cây trong'!$A$2:$C$246,3,0)," ")</f>
        <v xml:space="preserve"> </v>
      </c>
      <c r="R227" s="564" t="str">
        <f t="shared" si="44"/>
        <v xml:space="preserve"> </v>
      </c>
      <c r="S227" s="566"/>
      <c r="T227" s="589"/>
      <c r="U227" s="591"/>
      <c r="V227" s="589"/>
      <c r="W227" s="564" t="str">
        <f>IF(S227&lt;&gt;0,VLOOKUP(S227,VKT!$A$2:$G$415,7,0),"")</f>
        <v/>
      </c>
      <c r="X227" s="564" t="str">
        <f t="shared" si="53"/>
        <v xml:space="preserve"> </v>
      </c>
      <c r="Y227" s="589"/>
      <c r="Z227" s="592"/>
      <c r="AA227" s="592"/>
      <c r="AB227" s="568"/>
      <c r="AC227" s="592"/>
      <c r="AD227" s="592"/>
      <c r="AE227" s="592"/>
      <c r="AF227" s="590"/>
      <c r="AG227" s="570" t="str">
        <f>IF(AE227&lt;&gt;0,VLOOKUP(AE227,ODDS!$A$2:$C$13,3,0),"")</f>
        <v/>
      </c>
      <c r="AH227" s="570" t="str">
        <f t="shared" si="45"/>
        <v xml:space="preserve"> </v>
      </c>
      <c r="AI227" s="571" t="str">
        <f t="shared" si="47"/>
        <v xml:space="preserve"> </v>
      </c>
      <c r="AJ227" s="558"/>
      <c r="AK227" s="558"/>
    </row>
    <row r="228" spans="1:37" s="376" customFormat="1" ht="40.5" outlineLevel="1" x14ac:dyDescent="0.25">
      <c r="A228" s="467" t="s">
        <v>2684</v>
      </c>
      <c r="B228" s="576">
        <v>26</v>
      </c>
      <c r="C228" s="607" t="s">
        <v>30</v>
      </c>
      <c r="D228" s="595"/>
      <c r="E228" s="595"/>
      <c r="F228" s="577"/>
      <c r="G228" s="574"/>
      <c r="H228" s="618">
        <f>SUBTOTAL(9,H229:H235)</f>
        <v>153.1</v>
      </c>
      <c r="I228" s="579">
        <f>SUBTOTAL(9,I229:I234)</f>
        <v>153.1</v>
      </c>
      <c r="J228" s="608"/>
      <c r="K228" s="581"/>
      <c r="L228" s="581"/>
      <c r="M228" s="571">
        <f>SUBTOTAL(9,M229:M235)</f>
        <v>84879000</v>
      </c>
      <c r="N228" s="571">
        <f>SUBTOTAL(9,N229:N235)</f>
        <v>254636000</v>
      </c>
      <c r="O228" s="578"/>
      <c r="P228" s="599">
        <f>SUBTOTAL(9,P229:P235)</f>
        <v>21</v>
      </c>
      <c r="Q228" s="571"/>
      <c r="R228" s="571">
        <f>SUBTOTAL(9,R229:R235)</f>
        <v>1460000</v>
      </c>
      <c r="S228" s="578"/>
      <c r="T228" s="621"/>
      <c r="U228" s="600">
        <f>SUBTOTAL(9,U229:U235)</f>
        <v>0</v>
      </c>
      <c r="V228" s="597"/>
      <c r="W228" s="571"/>
      <c r="X228" s="571">
        <f>SUBTOTAL(9,X229:X235)</f>
        <v>0</v>
      </c>
      <c r="Y228" s="589"/>
      <c r="Z228" s="592"/>
      <c r="AA228" s="592"/>
      <c r="AB228" s="568"/>
      <c r="AC228" s="592"/>
      <c r="AD228" s="592"/>
      <c r="AE228" s="601"/>
      <c r="AF228" s="599">
        <f>SUBTOTAL(9,AF229:AF235)</f>
        <v>0</v>
      </c>
      <c r="AG228" s="585"/>
      <c r="AH228" s="585">
        <f>SUBTOTAL(9,AH229:AH235)</f>
        <v>0</v>
      </c>
      <c r="AI228" s="571">
        <f t="shared" si="47"/>
        <v>340975000</v>
      </c>
      <c r="AJ228" s="574"/>
      <c r="AK228" s="578"/>
    </row>
    <row r="229" spans="1:37" s="376" customFormat="1" ht="121.5" outlineLevel="2" x14ac:dyDescent="0.3">
      <c r="A229" s="447">
        <f>IF(B228&lt;&gt;0,B228,A227)</f>
        <v>26</v>
      </c>
      <c r="B229" s="557"/>
      <c r="C229" s="558" t="s">
        <v>127</v>
      </c>
      <c r="D229" s="587">
        <v>7</v>
      </c>
      <c r="E229" s="587">
        <v>86</v>
      </c>
      <c r="F229" s="560">
        <v>17</v>
      </c>
      <c r="G229" s="558" t="s">
        <v>2892</v>
      </c>
      <c r="H229" s="588">
        <v>153.1</v>
      </c>
      <c r="I229" s="546">
        <f t="shared" ref="I229" si="56">IF(N229&gt;0,H229,"")</f>
        <v>153.1</v>
      </c>
      <c r="J229" s="593"/>
      <c r="K229" s="563">
        <f>IF(G229&lt;&gt;0,VLOOKUP(G229,'gia dat'!$A$1:$F$144,5,0)," ")</f>
        <v>554400</v>
      </c>
      <c r="L229" s="563">
        <f>IF(G229&lt;&gt;0,VLOOKUP(G229,'gia dat'!$A$1:$F$144,6,0)," ")</f>
        <v>1663200</v>
      </c>
      <c r="M229" s="564">
        <f t="shared" si="54"/>
        <v>84879000</v>
      </c>
      <c r="N229" s="564">
        <f t="shared" si="55"/>
        <v>254636000</v>
      </c>
      <c r="O229" s="586" t="s">
        <v>401</v>
      </c>
      <c r="P229" s="590">
        <v>17</v>
      </c>
      <c r="Q229" s="564">
        <f>IF(O229&lt;&gt;0,VLOOKUP(O229,'Cây trong'!$A$2:$C$246,3,0)," ")</f>
        <v>80000</v>
      </c>
      <c r="R229" s="564">
        <f t="shared" si="44"/>
        <v>1360000</v>
      </c>
      <c r="S229" s="586"/>
      <c r="T229" s="609"/>
      <c r="U229" s="591"/>
      <c r="V229" s="589"/>
      <c r="W229" s="564" t="str">
        <f>IF(S229&lt;&gt;0,VLOOKUP(S229,VKT!$A$2:$G$415,7,0),"")</f>
        <v/>
      </c>
      <c r="X229" s="564" t="str">
        <f t="shared" si="53"/>
        <v xml:space="preserve"> </v>
      </c>
      <c r="Y229" s="589"/>
      <c r="Z229" s="592"/>
      <c r="AA229" s="592"/>
      <c r="AB229" s="568"/>
      <c r="AC229" s="592"/>
      <c r="AD229" s="592"/>
      <c r="AE229" s="592"/>
      <c r="AF229" s="590"/>
      <c r="AG229" s="570" t="str">
        <f>IF(AE229&lt;&gt;0,VLOOKUP(AE229,ODDS!$A$2:$C$13,3,0),"")</f>
        <v/>
      </c>
      <c r="AH229" s="570" t="str">
        <f t="shared" si="45"/>
        <v xml:space="preserve"> </v>
      </c>
      <c r="AI229" s="571" t="str">
        <f t="shared" si="47"/>
        <v xml:space="preserve"> </v>
      </c>
      <c r="AJ229" s="558" t="s">
        <v>1693</v>
      </c>
      <c r="AK229" s="586" t="s">
        <v>2771</v>
      </c>
    </row>
    <row r="230" spans="1:37" s="376" customFormat="1" ht="81" outlineLevel="2" x14ac:dyDescent="0.3">
      <c r="A230" s="447">
        <f t="shared" ref="A230:A235" si="57">IF(B229&lt;&gt;0,B229,A229)</f>
        <v>26</v>
      </c>
      <c r="B230" s="557"/>
      <c r="C230" s="558" t="s">
        <v>651</v>
      </c>
      <c r="D230" s="587"/>
      <c r="E230" s="587"/>
      <c r="F230" s="560"/>
      <c r="G230" s="558"/>
      <c r="H230" s="588"/>
      <c r="I230" s="546"/>
      <c r="J230" s="593"/>
      <c r="K230" s="563" t="str">
        <f>IF(G230&lt;&gt;0,VLOOKUP(G230,'gia dat'!$A$1:$F$144,5,0)," ")</f>
        <v xml:space="preserve"> </v>
      </c>
      <c r="L230" s="563" t="str">
        <f>IF(G230&lt;&gt;0,VLOOKUP(G230,'gia dat'!$A$1:$F$144,6,0)," ")</f>
        <v xml:space="preserve"> </v>
      </c>
      <c r="M230" s="564" t="str">
        <f t="shared" si="54"/>
        <v xml:space="preserve"> </v>
      </c>
      <c r="N230" s="564" t="str">
        <f t="shared" si="55"/>
        <v xml:space="preserve"> </v>
      </c>
      <c r="O230" s="586" t="s">
        <v>462</v>
      </c>
      <c r="P230" s="590">
        <v>4</v>
      </c>
      <c r="Q230" s="564">
        <f>IF(O230&lt;&gt;0,VLOOKUP(O230,'Cây trong'!$A$2:$C$246,3,0)," ")</f>
        <v>25000</v>
      </c>
      <c r="R230" s="564">
        <f t="shared" si="44"/>
        <v>100000</v>
      </c>
      <c r="S230" s="586"/>
      <c r="T230" s="609"/>
      <c r="U230" s="591"/>
      <c r="V230" s="589"/>
      <c r="W230" s="564" t="str">
        <f>IF(S230&lt;&gt;0,VLOOKUP(S230,VKT!$A$2:$G$415,7,0),"")</f>
        <v/>
      </c>
      <c r="X230" s="564" t="str">
        <f t="shared" si="53"/>
        <v xml:space="preserve"> </v>
      </c>
      <c r="Y230" s="589"/>
      <c r="Z230" s="592"/>
      <c r="AA230" s="592"/>
      <c r="AB230" s="568"/>
      <c r="AC230" s="592"/>
      <c r="AD230" s="592"/>
      <c r="AE230" s="592"/>
      <c r="AF230" s="590"/>
      <c r="AG230" s="570" t="str">
        <f>IF(AE230&lt;&gt;0,VLOOKUP(AE230,ODDS!$A$2:$C$13,3,0),"")</f>
        <v/>
      </c>
      <c r="AH230" s="570" t="str">
        <f t="shared" si="45"/>
        <v xml:space="preserve"> </v>
      </c>
      <c r="AI230" s="571" t="str">
        <f t="shared" si="47"/>
        <v xml:space="preserve"> </v>
      </c>
      <c r="AJ230" s="558" t="s">
        <v>463</v>
      </c>
      <c r="AK230" s="558" t="s">
        <v>2448</v>
      </c>
    </row>
    <row r="231" spans="1:37" s="376" customFormat="1" ht="101.25" outlineLevel="2" x14ac:dyDescent="0.3">
      <c r="A231" s="447">
        <f t="shared" si="57"/>
        <v>26</v>
      </c>
      <c r="B231" s="557"/>
      <c r="C231" s="558" t="s">
        <v>303</v>
      </c>
      <c r="D231" s="587"/>
      <c r="E231" s="587"/>
      <c r="F231" s="560"/>
      <c r="G231" s="558"/>
      <c r="H231" s="588"/>
      <c r="I231" s="546"/>
      <c r="J231" s="593"/>
      <c r="K231" s="563" t="str">
        <f>IF(G231&lt;&gt;0,VLOOKUP(G231,'gia dat'!$A$1:$F$144,5,0)," ")</f>
        <v xml:space="preserve"> </v>
      </c>
      <c r="L231" s="563" t="str">
        <f>IF(G231&lt;&gt;0,VLOOKUP(G231,'gia dat'!$A$1:$F$144,6,0)," ")</f>
        <v xml:space="preserve"> </v>
      </c>
      <c r="M231" s="564" t="str">
        <f t="shared" si="54"/>
        <v xml:space="preserve"> </v>
      </c>
      <c r="N231" s="564" t="str">
        <f t="shared" si="55"/>
        <v xml:space="preserve"> </v>
      </c>
      <c r="O231" s="586"/>
      <c r="P231" s="590"/>
      <c r="Q231" s="564" t="str">
        <f>IF(O231&lt;&gt;0,VLOOKUP(O231,'Cây trong'!$A$2:$C$246,3,0)," ")</f>
        <v xml:space="preserve"> </v>
      </c>
      <c r="R231" s="564" t="str">
        <f t="shared" si="44"/>
        <v xml:space="preserve"> </v>
      </c>
      <c r="S231" s="586"/>
      <c r="T231" s="609"/>
      <c r="U231" s="591"/>
      <c r="V231" s="589"/>
      <c r="W231" s="564" t="str">
        <f>IF(S231&lt;&gt;0,VLOOKUP(S231,VKT!$A$2:$G$415,7,0),"")</f>
        <v/>
      </c>
      <c r="X231" s="564" t="str">
        <f t="shared" si="53"/>
        <v xml:space="preserve"> </v>
      </c>
      <c r="Y231" s="589"/>
      <c r="Z231" s="592"/>
      <c r="AA231" s="592"/>
      <c r="AB231" s="568"/>
      <c r="AC231" s="592"/>
      <c r="AD231" s="592"/>
      <c r="AE231" s="592"/>
      <c r="AF231" s="590"/>
      <c r="AG231" s="570" t="str">
        <f>IF(AE231&lt;&gt;0,VLOOKUP(AE231,ODDS!$A$2:$C$13,3,0),"")</f>
        <v/>
      </c>
      <c r="AH231" s="570" t="str">
        <f t="shared" si="45"/>
        <v xml:space="preserve"> </v>
      </c>
      <c r="AI231" s="571" t="str">
        <f t="shared" si="47"/>
        <v xml:space="preserve"> </v>
      </c>
      <c r="AJ231" s="574" t="s">
        <v>1679</v>
      </c>
      <c r="AK231" s="558" t="s">
        <v>2449</v>
      </c>
    </row>
    <row r="232" spans="1:37" s="376" customFormat="1" ht="60.75" outlineLevel="2" x14ac:dyDescent="0.3">
      <c r="A232" s="447">
        <f t="shared" si="57"/>
        <v>26</v>
      </c>
      <c r="B232" s="557"/>
      <c r="C232" s="558"/>
      <c r="D232" s="587"/>
      <c r="E232" s="587"/>
      <c r="F232" s="560"/>
      <c r="G232" s="558"/>
      <c r="H232" s="588"/>
      <c r="I232" s="546"/>
      <c r="J232" s="589"/>
      <c r="K232" s="563" t="str">
        <f>IF(G232&lt;&gt;0,VLOOKUP(G232,'gia dat'!$A$1:$F$144,5,0)," ")</f>
        <v xml:space="preserve"> </v>
      </c>
      <c r="L232" s="563" t="str">
        <f>IF(G232&lt;&gt;0,VLOOKUP(G232,'gia dat'!$A$1:$F$144,6,0)," ")</f>
        <v xml:space="preserve"> </v>
      </c>
      <c r="M232" s="564" t="str">
        <f t="shared" si="54"/>
        <v xml:space="preserve"> </v>
      </c>
      <c r="N232" s="564" t="str">
        <f t="shared" si="55"/>
        <v xml:space="preserve"> </v>
      </c>
      <c r="O232" s="558"/>
      <c r="P232" s="590"/>
      <c r="Q232" s="564" t="str">
        <f>IF(O232&lt;&gt;0,VLOOKUP(O232,'Cây trong'!$A$2:$C$246,3,0)," ")</f>
        <v xml:space="preserve"> </v>
      </c>
      <c r="R232" s="564" t="str">
        <f t="shared" si="44"/>
        <v xml:space="preserve"> </v>
      </c>
      <c r="S232" s="566"/>
      <c r="T232" s="589"/>
      <c r="U232" s="591"/>
      <c r="V232" s="589"/>
      <c r="W232" s="564" t="str">
        <f>IF(S232&lt;&gt;0,VLOOKUP(S232,VKT!$A$2:$G$415,7,0),"")</f>
        <v/>
      </c>
      <c r="X232" s="564" t="str">
        <f t="shared" si="53"/>
        <v xml:space="preserve"> </v>
      </c>
      <c r="Y232" s="589"/>
      <c r="Z232" s="592"/>
      <c r="AA232" s="592"/>
      <c r="AB232" s="568"/>
      <c r="AC232" s="592"/>
      <c r="AD232" s="592"/>
      <c r="AE232" s="592"/>
      <c r="AF232" s="590"/>
      <c r="AG232" s="570" t="str">
        <f>IF(AE232&lt;&gt;0,VLOOKUP(AE232,ODDS!$A$2:$C$13,3,0),"")</f>
        <v/>
      </c>
      <c r="AH232" s="570" t="str">
        <f t="shared" si="45"/>
        <v xml:space="preserve"> </v>
      </c>
      <c r="AI232" s="571" t="str">
        <f t="shared" si="47"/>
        <v xml:space="preserve"> </v>
      </c>
      <c r="AJ232" s="558" t="s">
        <v>2074</v>
      </c>
      <c r="AK232" s="593"/>
    </row>
    <row r="233" spans="1:37" s="376" customFormat="1" ht="20.25" outlineLevel="2" x14ac:dyDescent="0.3">
      <c r="A233" s="447">
        <f t="shared" si="57"/>
        <v>26</v>
      </c>
      <c r="B233" s="557"/>
      <c r="C233" s="558"/>
      <c r="D233" s="587"/>
      <c r="E233" s="587"/>
      <c r="F233" s="615"/>
      <c r="G233" s="558"/>
      <c r="H233" s="604"/>
      <c r="I233" s="546"/>
      <c r="J233" s="593"/>
      <c r="K233" s="563" t="str">
        <f>IF(G233&lt;&gt;0,VLOOKUP(G233,'gia dat'!$A$1:$F$144,5,0)," ")</f>
        <v xml:space="preserve"> </v>
      </c>
      <c r="L233" s="563" t="str">
        <f>IF(G233&lt;&gt;0,VLOOKUP(G233,'gia dat'!$A$1:$F$144,6,0)," ")</f>
        <v xml:space="preserve"> </v>
      </c>
      <c r="M233" s="564" t="str">
        <f t="shared" si="54"/>
        <v xml:space="preserve"> </v>
      </c>
      <c r="N233" s="564" t="str">
        <f t="shared" si="55"/>
        <v xml:space="preserve"> </v>
      </c>
      <c r="O233" s="593"/>
      <c r="P233" s="616"/>
      <c r="Q233" s="564" t="str">
        <f>IF(O233&lt;&gt;0,VLOOKUP(O233,'Cây trong'!$A$2:$C$246,3,0)," ")</f>
        <v xml:space="preserve"> </v>
      </c>
      <c r="R233" s="564" t="str">
        <f t="shared" si="44"/>
        <v xml:space="preserve"> </v>
      </c>
      <c r="S233" s="593"/>
      <c r="T233" s="593"/>
      <c r="U233" s="617"/>
      <c r="V233" s="589"/>
      <c r="W233" s="564" t="str">
        <f>IF(S233&lt;&gt;0,VLOOKUP(S233,VKT!$A$2:$G$415,7,0),"")</f>
        <v/>
      </c>
      <c r="X233" s="564" t="str">
        <f t="shared" si="53"/>
        <v xml:space="preserve"> </v>
      </c>
      <c r="Y233" s="589"/>
      <c r="Z233" s="589"/>
      <c r="AA233" s="589"/>
      <c r="AB233" s="562"/>
      <c r="AC233" s="589"/>
      <c r="AD233" s="589"/>
      <c r="AE233" s="589"/>
      <c r="AF233" s="629"/>
      <c r="AG233" s="570" t="str">
        <f>IF(AE233&lt;&gt;0,VLOOKUP(AE233,ODDS!$A$2:$C$13,3,0),"")</f>
        <v/>
      </c>
      <c r="AH233" s="570" t="str">
        <f t="shared" si="45"/>
        <v xml:space="preserve"> </v>
      </c>
      <c r="AI233" s="571" t="str">
        <f t="shared" si="47"/>
        <v xml:space="preserve"> </v>
      </c>
      <c r="AJ233" s="593"/>
      <c r="AK233" s="593"/>
    </row>
    <row r="234" spans="1:37" s="376" customFormat="1" ht="20.25" outlineLevel="2" x14ac:dyDescent="0.3">
      <c r="A234" s="447">
        <f t="shared" si="57"/>
        <v>26</v>
      </c>
      <c r="B234" s="557"/>
      <c r="C234" s="558"/>
      <c r="D234" s="587"/>
      <c r="E234" s="587"/>
      <c r="F234" s="615"/>
      <c r="G234" s="558"/>
      <c r="H234" s="604"/>
      <c r="I234" s="546"/>
      <c r="J234" s="593"/>
      <c r="K234" s="563" t="str">
        <f>IF(G234&lt;&gt;0,VLOOKUP(G234,'gia dat'!$A$1:$F$144,5,0)," ")</f>
        <v xml:space="preserve"> </v>
      </c>
      <c r="L234" s="563" t="str">
        <f>IF(G234&lt;&gt;0,VLOOKUP(G234,'gia dat'!$A$1:$F$144,6,0)," ")</f>
        <v xml:space="preserve"> </v>
      </c>
      <c r="M234" s="564" t="str">
        <f t="shared" si="54"/>
        <v xml:space="preserve"> </v>
      </c>
      <c r="N234" s="564" t="str">
        <f t="shared" si="55"/>
        <v xml:space="preserve"> </v>
      </c>
      <c r="O234" s="593"/>
      <c r="P234" s="616"/>
      <c r="Q234" s="564" t="str">
        <f>IF(O234&lt;&gt;0,VLOOKUP(O234,'Cây trong'!$A$2:$C$246,3,0)," ")</f>
        <v xml:space="preserve"> </v>
      </c>
      <c r="R234" s="564" t="str">
        <f t="shared" si="44"/>
        <v xml:space="preserve"> </v>
      </c>
      <c r="S234" s="593"/>
      <c r="T234" s="593"/>
      <c r="U234" s="617"/>
      <c r="V234" s="589"/>
      <c r="W234" s="564" t="str">
        <f>IF(S234&lt;&gt;0,VLOOKUP(S234,VKT!$A$2:$G$415,7,0),"")</f>
        <v/>
      </c>
      <c r="X234" s="564" t="str">
        <f t="shared" si="53"/>
        <v xml:space="preserve"> </v>
      </c>
      <c r="Y234" s="589"/>
      <c r="Z234" s="589"/>
      <c r="AA234" s="589"/>
      <c r="AB234" s="562"/>
      <c r="AC234" s="589"/>
      <c r="AD234" s="589"/>
      <c r="AE234" s="589"/>
      <c r="AF234" s="629"/>
      <c r="AG234" s="570" t="str">
        <f>IF(AE234&lt;&gt;0,VLOOKUP(AE234,ODDS!$A$2:$C$13,3,0),"")</f>
        <v/>
      </c>
      <c r="AH234" s="570" t="str">
        <f t="shared" si="45"/>
        <v xml:space="preserve"> </v>
      </c>
      <c r="AI234" s="571" t="str">
        <f t="shared" si="47"/>
        <v xml:space="preserve"> </v>
      </c>
      <c r="AJ234" s="593"/>
      <c r="AK234" s="593"/>
    </row>
    <row r="235" spans="1:37" s="376" customFormat="1" ht="20.25" outlineLevel="2" x14ac:dyDescent="0.3">
      <c r="A235" s="447">
        <f t="shared" si="57"/>
        <v>26</v>
      </c>
      <c r="B235" s="557"/>
      <c r="C235" s="636"/>
      <c r="D235" s="587"/>
      <c r="E235" s="587"/>
      <c r="F235" s="560"/>
      <c r="G235" s="558"/>
      <c r="H235" s="588"/>
      <c r="I235" s="546"/>
      <c r="J235" s="589"/>
      <c r="K235" s="563" t="str">
        <f>IF(G235&lt;&gt;0,VLOOKUP(G235,'gia dat'!$A$1:$F$144,5,0)," ")</f>
        <v xml:space="preserve"> </v>
      </c>
      <c r="L235" s="563" t="str">
        <f>IF(G235&lt;&gt;0,VLOOKUP(G235,'gia dat'!$A$1:$F$144,6,0)," ")</f>
        <v xml:space="preserve"> </v>
      </c>
      <c r="M235" s="564" t="str">
        <f t="shared" si="54"/>
        <v xml:space="preserve"> </v>
      </c>
      <c r="N235" s="564" t="str">
        <f t="shared" si="55"/>
        <v xml:space="preserve"> </v>
      </c>
      <c r="O235" s="558"/>
      <c r="P235" s="590"/>
      <c r="Q235" s="564" t="str">
        <f>IF(O235&lt;&gt;0,VLOOKUP(O235,'Cây trong'!$A$2:$C$246,3,0)," ")</f>
        <v xml:space="preserve"> </v>
      </c>
      <c r="R235" s="564" t="str">
        <f t="shared" si="44"/>
        <v xml:space="preserve"> </v>
      </c>
      <c r="S235" s="566"/>
      <c r="T235" s="589"/>
      <c r="U235" s="591"/>
      <c r="V235" s="589"/>
      <c r="W235" s="564" t="str">
        <f>IF(S235&lt;&gt;0,VLOOKUP(S235,VKT!$A$2:$G$415,7,0),"")</f>
        <v/>
      </c>
      <c r="X235" s="564" t="str">
        <f t="shared" si="53"/>
        <v xml:space="preserve"> </v>
      </c>
      <c r="Y235" s="589"/>
      <c r="Z235" s="592"/>
      <c r="AA235" s="592"/>
      <c r="AB235" s="568"/>
      <c r="AC235" s="592"/>
      <c r="AD235" s="592"/>
      <c r="AE235" s="592"/>
      <c r="AF235" s="590"/>
      <c r="AG235" s="570" t="str">
        <f>IF(AE235&lt;&gt;0,VLOOKUP(AE235,ODDS!$A$2:$C$13,3,0),"")</f>
        <v/>
      </c>
      <c r="AH235" s="570" t="str">
        <f t="shared" si="45"/>
        <v xml:space="preserve"> </v>
      </c>
      <c r="AI235" s="571" t="str">
        <f t="shared" si="47"/>
        <v xml:space="preserve"> </v>
      </c>
      <c r="AJ235" s="558"/>
      <c r="AK235" s="558"/>
    </row>
    <row r="236" spans="1:37" s="376" customFormat="1" ht="40.5" outlineLevel="1" x14ac:dyDescent="0.25">
      <c r="A236" s="467" t="s">
        <v>2683</v>
      </c>
      <c r="B236" s="576">
        <v>27</v>
      </c>
      <c r="C236" s="636" t="s">
        <v>31</v>
      </c>
      <c r="D236" s="595"/>
      <c r="E236" s="595"/>
      <c r="F236" s="577"/>
      <c r="G236" s="574"/>
      <c r="H236" s="618">
        <f>SUBTOTAL(9,H237:H261)</f>
        <v>156</v>
      </c>
      <c r="I236" s="579">
        <f>SUBTOTAL(9,I237:I242)</f>
        <v>27</v>
      </c>
      <c r="J236" s="597"/>
      <c r="K236" s="581"/>
      <c r="L236" s="581"/>
      <c r="M236" s="571">
        <f>SUBTOTAL(9,M237:M261)</f>
        <v>86487000</v>
      </c>
      <c r="N236" s="571">
        <f>SUBTOTAL(9,N237:N261)</f>
        <v>44906000</v>
      </c>
      <c r="O236" s="574"/>
      <c r="P236" s="599">
        <f>SUBTOTAL(9,P237:P261)</f>
        <v>13</v>
      </c>
      <c r="Q236" s="571"/>
      <c r="R236" s="571">
        <f>SUBTOTAL(9,R237:R261)</f>
        <v>4145000</v>
      </c>
      <c r="S236" s="582"/>
      <c r="T236" s="597"/>
      <c r="U236" s="600">
        <f>SUBTOTAL(9,U237:U261)</f>
        <v>358.03999999999996</v>
      </c>
      <c r="V236" s="597"/>
      <c r="W236" s="571"/>
      <c r="X236" s="571">
        <f>SUBTOTAL(9,X237:X261)</f>
        <v>359582000</v>
      </c>
      <c r="Y236" s="589"/>
      <c r="Z236" s="592"/>
      <c r="AA236" s="592"/>
      <c r="AB236" s="568"/>
      <c r="AC236" s="592"/>
      <c r="AD236" s="568"/>
      <c r="AE236" s="602"/>
      <c r="AF236" s="581">
        <f>SUBTOTAL(9,AF237:AF261)</f>
        <v>1</v>
      </c>
      <c r="AG236" s="585"/>
      <c r="AH236" s="585">
        <f>SUBTOTAL(9,AH237:AH261)</f>
        <v>13000000</v>
      </c>
      <c r="AI236" s="571">
        <f t="shared" si="47"/>
        <v>508120000</v>
      </c>
      <c r="AJ236" s="574"/>
      <c r="AK236" s="578"/>
    </row>
    <row r="237" spans="1:37" s="376" customFormat="1" ht="121.5" outlineLevel="2" x14ac:dyDescent="0.3">
      <c r="A237" s="447">
        <f>IF(B236&lt;&gt;0,B236,A235)</f>
        <v>27</v>
      </c>
      <c r="B237" s="557"/>
      <c r="C237" s="637" t="s">
        <v>130</v>
      </c>
      <c r="D237" s="587">
        <v>2</v>
      </c>
      <c r="E237" s="587">
        <v>86</v>
      </c>
      <c r="F237" s="560">
        <v>34</v>
      </c>
      <c r="G237" s="558" t="s">
        <v>2062</v>
      </c>
      <c r="H237" s="588">
        <f>76.1-H239</f>
        <v>49.099999999999994</v>
      </c>
      <c r="I237" s="546" t="str">
        <f t="shared" ref="I237:I239" si="58">IF(N237&gt;0,H237,"")</f>
        <v/>
      </c>
      <c r="J237" s="589"/>
      <c r="K237" s="563">
        <f>IF(G237&lt;&gt;0,VLOOKUP(G237,'gia dat'!$A$1:$F$144,5,0)," ")</f>
        <v>554400</v>
      </c>
      <c r="L237" s="563">
        <f>IF(G237&lt;&gt;0,VLOOKUP(G237,'gia dat'!$A$1:$F$144,6,0)," ")</f>
        <v>0</v>
      </c>
      <c r="M237" s="564">
        <f t="shared" si="54"/>
        <v>27221000</v>
      </c>
      <c r="N237" s="564">
        <f t="shared" si="55"/>
        <v>0</v>
      </c>
      <c r="O237" s="558" t="s">
        <v>176</v>
      </c>
      <c r="P237" s="590">
        <v>1</v>
      </c>
      <c r="Q237" s="564">
        <f>IF(O237&lt;&gt;0,VLOOKUP(O237,'Cây trong'!$A$2:$C$246,3,0)," ")</f>
        <v>390000</v>
      </c>
      <c r="R237" s="564">
        <f t="shared" si="44"/>
        <v>390000</v>
      </c>
      <c r="S237" s="566" t="s">
        <v>1840</v>
      </c>
      <c r="T237" s="589" t="s">
        <v>53</v>
      </c>
      <c r="U237" s="591">
        <v>37.4</v>
      </c>
      <c r="V237" s="589"/>
      <c r="W237" s="564">
        <f>IF(S237&lt;&gt;0,VLOOKUP(S237,VKT!$A$2:$G$415,7,0),"")</f>
        <v>1676884</v>
      </c>
      <c r="X237" s="564">
        <f t="shared" si="53"/>
        <v>62715000</v>
      </c>
      <c r="Y237" s="589"/>
      <c r="Z237" s="592" t="s">
        <v>55</v>
      </c>
      <c r="AA237" s="592" t="s">
        <v>56</v>
      </c>
      <c r="AB237" s="568" t="s">
        <v>137</v>
      </c>
      <c r="AC237" s="592" t="s">
        <v>66</v>
      </c>
      <c r="AD237" s="568" t="s">
        <v>138</v>
      </c>
      <c r="AE237" s="569"/>
      <c r="AF237" s="563"/>
      <c r="AG237" s="570"/>
      <c r="AH237" s="570"/>
      <c r="AI237" s="571" t="str">
        <f t="shared" si="47"/>
        <v xml:space="preserve"> </v>
      </c>
      <c r="AJ237" s="558" t="s">
        <v>652</v>
      </c>
      <c r="AK237" s="586" t="s">
        <v>2771</v>
      </c>
    </row>
    <row r="238" spans="1:37" s="376" customFormat="1" ht="101.25" outlineLevel="2" x14ac:dyDescent="0.3">
      <c r="A238" s="447">
        <f t="shared" ref="A238:A261" si="59">IF(B237&lt;&gt;0,B237,A237)</f>
        <v>27</v>
      </c>
      <c r="B238" s="557"/>
      <c r="C238" s="628" t="s">
        <v>653</v>
      </c>
      <c r="D238" s="587"/>
      <c r="E238" s="587">
        <v>86</v>
      </c>
      <c r="F238" s="560" t="s">
        <v>2069</v>
      </c>
      <c r="G238" s="558" t="s">
        <v>2063</v>
      </c>
      <c r="H238" s="588">
        <v>79.900000000000006</v>
      </c>
      <c r="I238" s="546" t="str">
        <f t="shared" si="58"/>
        <v/>
      </c>
      <c r="J238" s="589"/>
      <c r="K238" s="563">
        <f>IF(G238&lt;&gt;0,VLOOKUP(G238,'gia dat'!$A$1:$F$144,5,0)," ")</f>
        <v>554400</v>
      </c>
      <c r="L238" s="563">
        <f>IF(G238&lt;&gt;0,VLOOKUP(G238,'gia dat'!$A$1:$F$144,6,0)," ")</f>
        <v>0</v>
      </c>
      <c r="M238" s="564">
        <f t="shared" si="54"/>
        <v>44297000</v>
      </c>
      <c r="N238" s="564">
        <f t="shared" si="55"/>
        <v>0</v>
      </c>
      <c r="O238" s="558" t="s">
        <v>131</v>
      </c>
      <c r="P238" s="590">
        <v>1</v>
      </c>
      <c r="Q238" s="564">
        <f>IF(O238&lt;&gt;0,VLOOKUP(O238,'Cây trong'!$A$2:$C$246,3,0)," ")</f>
        <v>228000</v>
      </c>
      <c r="R238" s="564">
        <f t="shared" si="44"/>
        <v>228000</v>
      </c>
      <c r="S238" s="566" t="s">
        <v>1841</v>
      </c>
      <c r="T238" s="589" t="s">
        <v>53</v>
      </c>
      <c r="U238" s="591">
        <v>4.5</v>
      </c>
      <c r="V238" s="589"/>
      <c r="W238" s="564">
        <f>IF(S238&lt;&gt;0,VLOOKUP(S238,VKT!$A$2:$G$415,7,0),"")</f>
        <v>2354806</v>
      </c>
      <c r="X238" s="564">
        <f t="shared" si="53"/>
        <v>10597000</v>
      </c>
      <c r="Y238" s="589"/>
      <c r="Z238" s="592" t="s">
        <v>55</v>
      </c>
      <c r="AA238" s="592" t="s">
        <v>56</v>
      </c>
      <c r="AB238" s="568" t="s">
        <v>57</v>
      </c>
      <c r="AC238" s="592" t="s">
        <v>139</v>
      </c>
      <c r="AD238" s="592"/>
      <c r="AE238" s="569" t="s">
        <v>2789</v>
      </c>
      <c r="AF238" s="590">
        <v>1</v>
      </c>
      <c r="AG238" s="570">
        <f>IF(AE238&lt;&gt;0,VLOOKUP(AE238,ODDS!$A$2:$C$13,3,0),"")</f>
        <v>13000000</v>
      </c>
      <c r="AH238" s="570">
        <f t="shared" si="45"/>
        <v>13000000</v>
      </c>
      <c r="AI238" s="571" t="str">
        <f t="shared" si="47"/>
        <v xml:space="preserve"> </v>
      </c>
      <c r="AJ238" s="558" t="s">
        <v>465</v>
      </c>
      <c r="AK238" s="558" t="s">
        <v>2448</v>
      </c>
    </row>
    <row r="239" spans="1:37" s="376" customFormat="1" ht="121.5" outlineLevel="2" x14ac:dyDescent="0.3">
      <c r="A239" s="447">
        <f t="shared" si="59"/>
        <v>27</v>
      </c>
      <c r="B239" s="557"/>
      <c r="C239" s="637" t="s">
        <v>298</v>
      </c>
      <c r="D239" s="587"/>
      <c r="E239" s="587">
        <v>86</v>
      </c>
      <c r="F239" s="560">
        <v>34</v>
      </c>
      <c r="G239" s="558" t="s">
        <v>2068</v>
      </c>
      <c r="H239" s="588">
        <v>27</v>
      </c>
      <c r="I239" s="546">
        <f t="shared" si="58"/>
        <v>27</v>
      </c>
      <c r="J239" s="589"/>
      <c r="K239" s="563">
        <f>IF(G239&lt;&gt;0,VLOOKUP(G239,'gia dat'!$A$1:$F$144,5,0)," ")</f>
        <v>554400</v>
      </c>
      <c r="L239" s="563">
        <f>IF(G239&lt;&gt;0,VLOOKUP(G239,'gia dat'!$A$1:$F$144,6,0)," ")</f>
        <v>1663200</v>
      </c>
      <c r="M239" s="564">
        <f t="shared" si="54"/>
        <v>14969000</v>
      </c>
      <c r="N239" s="564">
        <f t="shared" si="55"/>
        <v>44906000</v>
      </c>
      <c r="O239" s="558" t="s">
        <v>132</v>
      </c>
      <c r="P239" s="590">
        <v>1</v>
      </c>
      <c r="Q239" s="564">
        <f>IF(O239&lt;&gt;0,VLOOKUP(O239,'Cây trong'!$A$2:$C$246,3,0)," ")</f>
        <v>473000</v>
      </c>
      <c r="R239" s="564">
        <f t="shared" si="44"/>
        <v>473000</v>
      </c>
      <c r="S239" s="566" t="s">
        <v>1767</v>
      </c>
      <c r="T239" s="589" t="s">
        <v>53</v>
      </c>
      <c r="U239" s="591">
        <v>15.6</v>
      </c>
      <c r="V239" s="589"/>
      <c r="W239" s="564">
        <f>IF(S239&lt;&gt;0,VLOOKUP(S239,VKT!$A$2:$G$415,7,0),"")</f>
        <v>0</v>
      </c>
      <c r="X239" s="564">
        <f t="shared" si="53"/>
        <v>0</v>
      </c>
      <c r="Y239" s="589"/>
      <c r="Z239" s="592"/>
      <c r="AA239" s="592"/>
      <c r="AB239" s="568"/>
      <c r="AC239" s="592"/>
      <c r="AD239" s="592"/>
      <c r="AE239" s="606"/>
      <c r="AF239" s="590"/>
      <c r="AG239" s="570" t="str">
        <f>IF(AE239&lt;&gt;0,VLOOKUP(AE239,ODDS!$A$2:$C$13,3,0),"")</f>
        <v/>
      </c>
      <c r="AH239" s="570" t="str">
        <f t="shared" si="45"/>
        <v xml:space="preserve"> </v>
      </c>
      <c r="AI239" s="571" t="str">
        <f t="shared" si="47"/>
        <v xml:space="preserve"> </v>
      </c>
      <c r="AJ239" s="558" t="s">
        <v>466</v>
      </c>
      <c r="AK239" s="558" t="s">
        <v>2450</v>
      </c>
    </row>
    <row r="240" spans="1:37" s="376" customFormat="1" ht="101.25" outlineLevel="2" x14ac:dyDescent="0.3">
      <c r="A240" s="447">
        <f t="shared" si="59"/>
        <v>27</v>
      </c>
      <c r="B240" s="557"/>
      <c r="C240" s="637"/>
      <c r="D240" s="587"/>
      <c r="E240" s="587"/>
      <c r="F240" s="560"/>
      <c r="G240" s="558"/>
      <c r="H240" s="588"/>
      <c r="I240" s="546"/>
      <c r="J240" s="589"/>
      <c r="K240" s="563" t="str">
        <f>IF(G240&lt;&gt;0,VLOOKUP(G240,'gia dat'!$A$1:$F$144,5,0)," ")</f>
        <v xml:space="preserve"> </v>
      </c>
      <c r="L240" s="563" t="str">
        <f>IF(G240&lt;&gt;0,VLOOKUP(G240,'gia dat'!$A$1:$F$144,6,0)," ")</f>
        <v xml:space="preserve"> </v>
      </c>
      <c r="M240" s="564" t="str">
        <f t="shared" si="54"/>
        <v xml:space="preserve"> </v>
      </c>
      <c r="N240" s="564" t="str">
        <f t="shared" si="55"/>
        <v xml:space="preserve"> </v>
      </c>
      <c r="O240" s="558" t="s">
        <v>61</v>
      </c>
      <c r="P240" s="590">
        <v>1</v>
      </c>
      <c r="Q240" s="564">
        <f>IF(O240&lt;&gt;0,VLOOKUP(O240,'Cây trong'!$A$2:$C$246,3,0)," ")</f>
        <v>1708000</v>
      </c>
      <c r="R240" s="564">
        <f t="shared" si="44"/>
        <v>1708000</v>
      </c>
      <c r="S240" s="638" t="s">
        <v>1842</v>
      </c>
      <c r="T240" s="639" t="s">
        <v>53</v>
      </c>
      <c r="U240" s="591">
        <v>22.6</v>
      </c>
      <c r="V240" s="589"/>
      <c r="W240" s="564">
        <f>IF(S240&lt;&gt;0,VLOOKUP(S240,VKT!$A$2:$G$415,7,0),"")</f>
        <v>0</v>
      </c>
      <c r="X240" s="564">
        <f t="shared" si="53"/>
        <v>0</v>
      </c>
      <c r="Y240" s="589"/>
      <c r="Z240" s="592"/>
      <c r="AA240" s="592"/>
      <c r="AB240" s="568"/>
      <c r="AC240" s="592"/>
      <c r="AD240" s="592"/>
      <c r="AE240" s="592"/>
      <c r="AF240" s="590"/>
      <c r="AG240" s="570" t="str">
        <f>IF(AE240&lt;&gt;0,VLOOKUP(AE240,ODDS!$A$2:$C$13,3,0),"")</f>
        <v/>
      </c>
      <c r="AH240" s="570" t="str">
        <f t="shared" si="45"/>
        <v xml:space="preserve"> </v>
      </c>
      <c r="AI240" s="571" t="str">
        <f t="shared" si="47"/>
        <v xml:space="preserve"> </v>
      </c>
      <c r="AJ240" s="593" t="s">
        <v>296</v>
      </c>
      <c r="AK240" s="558" t="s">
        <v>2449</v>
      </c>
    </row>
    <row r="241" spans="1:37" s="376" customFormat="1" ht="101.25" outlineLevel="2" x14ac:dyDescent="0.3">
      <c r="A241" s="447">
        <f t="shared" si="59"/>
        <v>27</v>
      </c>
      <c r="B241" s="557"/>
      <c r="C241" s="637"/>
      <c r="D241" s="587"/>
      <c r="E241" s="587"/>
      <c r="F241" s="560"/>
      <c r="G241" s="558"/>
      <c r="H241" s="588"/>
      <c r="I241" s="546"/>
      <c r="J241" s="589"/>
      <c r="K241" s="563" t="str">
        <f>IF(G241&lt;&gt;0,VLOOKUP(G241,'gia dat'!$A$1:$F$144,5,0)," ")</f>
        <v xml:space="preserve"> </v>
      </c>
      <c r="L241" s="563" t="str">
        <f>IF(G241&lt;&gt;0,VLOOKUP(G241,'gia dat'!$A$1:$F$144,6,0)," ")</f>
        <v xml:space="preserve"> </v>
      </c>
      <c r="M241" s="564" t="str">
        <f t="shared" si="54"/>
        <v xml:space="preserve"> </v>
      </c>
      <c r="N241" s="564" t="str">
        <f t="shared" si="55"/>
        <v xml:space="preserve"> </v>
      </c>
      <c r="O241" s="558" t="s">
        <v>133</v>
      </c>
      <c r="P241" s="590">
        <v>1</v>
      </c>
      <c r="Q241" s="564">
        <f>IF(O241&lt;&gt;0,VLOOKUP(O241,'Cây trong'!$A$2:$C$246,3,0)," ")</f>
        <v>758000</v>
      </c>
      <c r="R241" s="564">
        <f t="shared" si="44"/>
        <v>758000</v>
      </c>
      <c r="S241" s="566" t="s">
        <v>1763</v>
      </c>
      <c r="T241" s="589" t="s">
        <v>53</v>
      </c>
      <c r="U241" s="591">
        <v>50.4</v>
      </c>
      <c r="V241" s="589"/>
      <c r="W241" s="564">
        <f>IF(S241&lt;&gt;0,VLOOKUP(S241,VKT!$A$2:$G$415,7,0),"")</f>
        <v>3550600</v>
      </c>
      <c r="X241" s="564">
        <f t="shared" si="53"/>
        <v>178950000</v>
      </c>
      <c r="Y241" s="589" t="s">
        <v>63</v>
      </c>
      <c r="Z241" s="592" t="s">
        <v>55</v>
      </c>
      <c r="AA241" s="592" t="s">
        <v>56</v>
      </c>
      <c r="AB241" s="568" t="s">
        <v>57</v>
      </c>
      <c r="AC241" s="592" t="s">
        <v>54</v>
      </c>
      <c r="AD241" s="568" t="s">
        <v>430</v>
      </c>
      <c r="AE241" s="568"/>
      <c r="AF241" s="563"/>
      <c r="AG241" s="570" t="str">
        <f>IF(AE241&lt;&gt;0,VLOOKUP(AE241,ODDS!$A$2:$C$13,3,0),"")</f>
        <v/>
      </c>
      <c r="AH241" s="570" t="str">
        <f t="shared" si="45"/>
        <v xml:space="preserve"> </v>
      </c>
      <c r="AI241" s="571" t="str">
        <f t="shared" si="47"/>
        <v xml:space="preserve"> </v>
      </c>
      <c r="AJ241" s="558" t="s">
        <v>2041</v>
      </c>
      <c r="AK241" s="558" t="s">
        <v>2451</v>
      </c>
    </row>
    <row r="242" spans="1:37" s="376" customFormat="1" ht="101.25" outlineLevel="2" x14ac:dyDescent="0.3">
      <c r="A242" s="447">
        <f t="shared" si="59"/>
        <v>27</v>
      </c>
      <c r="B242" s="557"/>
      <c r="C242" s="558"/>
      <c r="D242" s="587"/>
      <c r="E242" s="587"/>
      <c r="F242" s="560"/>
      <c r="G242" s="558"/>
      <c r="H242" s="588"/>
      <c r="I242" s="546"/>
      <c r="J242" s="589"/>
      <c r="K242" s="563" t="str">
        <f>IF(G242&lt;&gt;0,VLOOKUP(G242,'gia dat'!$A$1:$F$144,5,0)," ")</f>
        <v xml:space="preserve"> </v>
      </c>
      <c r="L242" s="563" t="str">
        <f>IF(G242&lt;&gt;0,VLOOKUP(G242,'gia dat'!$A$1:$F$144,6,0)," ")</f>
        <v xml:space="preserve"> </v>
      </c>
      <c r="M242" s="564" t="str">
        <f t="shared" si="54"/>
        <v xml:space="preserve"> </v>
      </c>
      <c r="N242" s="564" t="str">
        <f t="shared" si="55"/>
        <v xml:space="preserve"> </v>
      </c>
      <c r="O242" s="558" t="s">
        <v>134</v>
      </c>
      <c r="P242" s="590">
        <v>1</v>
      </c>
      <c r="Q242" s="564">
        <f>IF(O242&lt;&gt;0,VLOOKUP(O242,'Cây trong'!$A$2:$C$246,3,0)," ")</f>
        <v>203000</v>
      </c>
      <c r="R242" s="564">
        <f t="shared" si="44"/>
        <v>203000</v>
      </c>
      <c r="S242" s="566" t="s">
        <v>1840</v>
      </c>
      <c r="T242" s="589" t="s">
        <v>53</v>
      </c>
      <c r="U242" s="591">
        <v>15.54</v>
      </c>
      <c r="V242" s="589"/>
      <c r="W242" s="564">
        <f>IF(S242&lt;&gt;0,VLOOKUP(S242,VKT!$A$2:$G$415,7,0),"")</f>
        <v>1676884</v>
      </c>
      <c r="X242" s="564">
        <f t="shared" si="53"/>
        <v>26059000</v>
      </c>
      <c r="Y242" s="589"/>
      <c r="Z242" s="592" t="s">
        <v>55</v>
      </c>
      <c r="AA242" s="592" t="s">
        <v>56</v>
      </c>
      <c r="AB242" s="568" t="s">
        <v>137</v>
      </c>
      <c r="AC242" s="592" t="s">
        <v>66</v>
      </c>
      <c r="AD242" s="568" t="s">
        <v>430</v>
      </c>
      <c r="AE242" s="568"/>
      <c r="AF242" s="563"/>
      <c r="AG242" s="570" t="str">
        <f>IF(AE242&lt;&gt;0,VLOOKUP(AE242,ODDS!$A$2:$C$13,3,0),"")</f>
        <v/>
      </c>
      <c r="AH242" s="570" t="str">
        <f t="shared" si="45"/>
        <v xml:space="preserve"> </v>
      </c>
      <c r="AI242" s="571" t="str">
        <f t="shared" si="47"/>
        <v xml:space="preserve"> </v>
      </c>
      <c r="AJ242" s="558" t="s">
        <v>2074</v>
      </c>
      <c r="AK242" s="558" t="s">
        <v>2800</v>
      </c>
    </row>
    <row r="243" spans="1:37" s="376" customFormat="1" ht="81" outlineLevel="2" x14ac:dyDescent="0.3">
      <c r="A243" s="447">
        <f t="shared" si="59"/>
        <v>27</v>
      </c>
      <c r="B243" s="557"/>
      <c r="C243" s="636"/>
      <c r="D243" s="587"/>
      <c r="E243" s="587"/>
      <c r="F243" s="560"/>
      <c r="G243" s="558"/>
      <c r="H243" s="588"/>
      <c r="I243" s="546"/>
      <c r="J243" s="589"/>
      <c r="K243" s="563" t="str">
        <f>IF(G243&lt;&gt;0,VLOOKUP(G243,'gia dat'!$A$1:$F$144,5,0)," ")</f>
        <v xml:space="preserve"> </v>
      </c>
      <c r="L243" s="563" t="str">
        <f>IF(G243&lt;&gt;0,VLOOKUP(G243,'gia dat'!$A$1:$F$144,6,0)," ")</f>
        <v xml:space="preserve"> </v>
      </c>
      <c r="M243" s="564" t="str">
        <f t="shared" si="54"/>
        <v xml:space="preserve"> </v>
      </c>
      <c r="N243" s="564" t="str">
        <f t="shared" si="55"/>
        <v xml:space="preserve"> </v>
      </c>
      <c r="O243" s="558" t="s">
        <v>76</v>
      </c>
      <c r="P243" s="590">
        <v>1</v>
      </c>
      <c r="Q243" s="564">
        <f>IF(O243&lt;&gt;0,VLOOKUP(O243,'Cây trong'!$A$2:$C$246,3,0)," ")</f>
        <v>45000</v>
      </c>
      <c r="R243" s="564">
        <f t="shared" si="44"/>
        <v>45000</v>
      </c>
      <c r="S243" s="566" t="s">
        <v>1843</v>
      </c>
      <c r="T243" s="589" t="s">
        <v>53</v>
      </c>
      <c r="U243" s="591">
        <v>3.2</v>
      </c>
      <c r="V243" s="589"/>
      <c r="W243" s="564">
        <f>IF(S243&lt;&gt;0,VLOOKUP(S243,VKT!$A$2:$G$415,7,0),"")</f>
        <v>9599897</v>
      </c>
      <c r="X243" s="564">
        <f t="shared" si="53"/>
        <v>30720000</v>
      </c>
      <c r="Y243" s="589"/>
      <c r="Z243" s="592" t="s">
        <v>55</v>
      </c>
      <c r="AA243" s="592" t="s">
        <v>56</v>
      </c>
      <c r="AB243" s="568" t="s">
        <v>57</v>
      </c>
      <c r="AC243" s="592" t="s">
        <v>54</v>
      </c>
      <c r="AD243" s="568"/>
      <c r="AE243" s="568"/>
      <c r="AF243" s="563"/>
      <c r="AG243" s="570" t="str">
        <f>IF(AE243&lt;&gt;0,VLOOKUP(AE243,ODDS!$A$2:$C$13,3,0),"")</f>
        <v/>
      </c>
      <c r="AH243" s="570" t="str">
        <f t="shared" si="45"/>
        <v xml:space="preserve"> </v>
      </c>
      <c r="AI243" s="571" t="str">
        <f t="shared" si="47"/>
        <v xml:space="preserve"> </v>
      </c>
      <c r="AJ243" s="575"/>
      <c r="AK243" s="593"/>
    </row>
    <row r="244" spans="1:37" s="376" customFormat="1" ht="60.75" outlineLevel="2" x14ac:dyDescent="0.3">
      <c r="A244" s="447">
        <f t="shared" si="59"/>
        <v>27</v>
      </c>
      <c r="B244" s="557"/>
      <c r="C244" s="637"/>
      <c r="D244" s="587"/>
      <c r="E244" s="587"/>
      <c r="F244" s="560"/>
      <c r="G244" s="558"/>
      <c r="H244" s="588"/>
      <c r="I244" s="546"/>
      <c r="J244" s="589"/>
      <c r="K244" s="563" t="str">
        <f>IF(G244&lt;&gt;0,VLOOKUP(G244,'gia dat'!$A$1:$F$144,5,0)," ")</f>
        <v xml:space="preserve"> </v>
      </c>
      <c r="L244" s="563" t="str">
        <f>IF(G244&lt;&gt;0,VLOOKUP(G244,'gia dat'!$A$1:$F$144,6,0)," ")</f>
        <v xml:space="preserve"> </v>
      </c>
      <c r="M244" s="564" t="str">
        <f t="shared" si="54"/>
        <v xml:space="preserve"> </v>
      </c>
      <c r="N244" s="564" t="str">
        <f t="shared" si="55"/>
        <v xml:space="preserve"> </v>
      </c>
      <c r="O244" s="638" t="s">
        <v>135</v>
      </c>
      <c r="P244" s="590">
        <v>1</v>
      </c>
      <c r="Q244" s="564">
        <f>IF(O244&lt;&gt;0,VLOOKUP(O244,'Cây trong'!$A$2:$C$246,3,0)," ")</f>
        <v>228000</v>
      </c>
      <c r="R244" s="564">
        <f t="shared" si="44"/>
        <v>228000</v>
      </c>
      <c r="S244" s="640" t="s">
        <v>1844</v>
      </c>
      <c r="T244" s="639" t="s">
        <v>53</v>
      </c>
      <c r="U244" s="591">
        <v>9.24</v>
      </c>
      <c r="V244" s="589"/>
      <c r="W244" s="564">
        <f>IF(S244&lt;&gt;0,VLOOKUP(S244,VKT!$A$2:$G$415,7,0),"")</f>
        <v>770070</v>
      </c>
      <c r="X244" s="564">
        <f t="shared" si="53"/>
        <v>7115000</v>
      </c>
      <c r="Y244" s="589"/>
      <c r="Z244" s="592" t="s">
        <v>55</v>
      </c>
      <c r="AA244" s="592" t="s">
        <v>140</v>
      </c>
      <c r="AB244" s="568"/>
      <c r="AC244" s="592" t="s">
        <v>66</v>
      </c>
      <c r="AD244" s="568" t="s">
        <v>138</v>
      </c>
      <c r="AE244" s="568"/>
      <c r="AF244" s="563"/>
      <c r="AG244" s="570" t="str">
        <f>IF(AE244&lt;&gt;0,VLOOKUP(AE244,ODDS!$A$2:$C$13,3,0),"")</f>
        <v/>
      </c>
      <c r="AH244" s="570" t="str">
        <f t="shared" si="45"/>
        <v xml:space="preserve"> </v>
      </c>
      <c r="AI244" s="571" t="str">
        <f t="shared" si="47"/>
        <v xml:space="preserve"> </v>
      </c>
      <c r="AJ244" s="593"/>
      <c r="AK244" s="593"/>
    </row>
    <row r="245" spans="1:37" s="376" customFormat="1" ht="40.5" outlineLevel="2" x14ac:dyDescent="0.3">
      <c r="A245" s="447">
        <f t="shared" si="59"/>
        <v>27</v>
      </c>
      <c r="B245" s="557"/>
      <c r="C245" s="637"/>
      <c r="D245" s="587"/>
      <c r="E245" s="587"/>
      <c r="F245" s="560"/>
      <c r="G245" s="558"/>
      <c r="H245" s="588"/>
      <c r="I245" s="546"/>
      <c r="J245" s="589"/>
      <c r="K245" s="563" t="str">
        <f>IF(G245&lt;&gt;0,VLOOKUP(G245,'gia dat'!$A$1:$F$144,5,0)," ")</f>
        <v xml:space="preserve"> </v>
      </c>
      <c r="L245" s="563" t="str">
        <f>IF(G245&lt;&gt;0,VLOOKUP(G245,'gia dat'!$A$1:$F$144,6,0)," ")</f>
        <v xml:space="preserve"> </v>
      </c>
      <c r="M245" s="564" t="str">
        <f t="shared" si="54"/>
        <v xml:space="preserve"> </v>
      </c>
      <c r="N245" s="564" t="str">
        <f t="shared" si="55"/>
        <v xml:space="preserve"> </v>
      </c>
      <c r="O245" s="558" t="s">
        <v>409</v>
      </c>
      <c r="P245" s="590">
        <v>1</v>
      </c>
      <c r="Q245" s="564">
        <f>IF(O245&lt;&gt;0,VLOOKUP(O245,'Cây trong'!$A$2:$C$246,3,0)," ")</f>
        <v>72000</v>
      </c>
      <c r="R245" s="564">
        <f t="shared" si="44"/>
        <v>72000</v>
      </c>
      <c r="S245" s="566" t="s">
        <v>1844</v>
      </c>
      <c r="T245" s="589" t="s">
        <v>53</v>
      </c>
      <c r="U245" s="591">
        <v>3.52</v>
      </c>
      <c r="V245" s="589"/>
      <c r="W245" s="564">
        <f>IF(S245&lt;&gt;0,VLOOKUP(S245,VKT!$A$2:$G$415,7,0),"")</f>
        <v>770070</v>
      </c>
      <c r="X245" s="564">
        <f t="shared" si="53"/>
        <v>2711000</v>
      </c>
      <c r="Y245" s="589"/>
      <c r="Z245" s="592" t="s">
        <v>55</v>
      </c>
      <c r="AA245" s="592" t="s">
        <v>141</v>
      </c>
      <c r="AB245" s="568"/>
      <c r="AC245" s="592" t="s">
        <v>66</v>
      </c>
      <c r="AD245" s="592"/>
      <c r="AE245" s="592"/>
      <c r="AF245" s="590"/>
      <c r="AG245" s="570" t="str">
        <f>IF(AE245&lt;&gt;0,VLOOKUP(AE245,ODDS!$A$2:$C$13,3,0),"")</f>
        <v/>
      </c>
      <c r="AH245" s="570" t="str">
        <f t="shared" si="45"/>
        <v xml:space="preserve"> </v>
      </c>
      <c r="AI245" s="571" t="str">
        <f t="shared" si="47"/>
        <v xml:space="preserve"> </v>
      </c>
      <c r="AJ245" s="593"/>
      <c r="AK245" s="593"/>
    </row>
    <row r="246" spans="1:37" s="376" customFormat="1" ht="60.75" outlineLevel="2" x14ac:dyDescent="0.3">
      <c r="A246" s="447">
        <f t="shared" si="59"/>
        <v>27</v>
      </c>
      <c r="B246" s="557"/>
      <c r="C246" s="558"/>
      <c r="D246" s="587"/>
      <c r="E246" s="587"/>
      <c r="F246" s="560"/>
      <c r="G246" s="558"/>
      <c r="H246" s="588"/>
      <c r="I246" s="546"/>
      <c r="J246" s="589"/>
      <c r="K246" s="563" t="str">
        <f>IF(G246&lt;&gt;0,VLOOKUP(G246,'gia dat'!$A$1:$F$144,5,0)," ")</f>
        <v xml:space="preserve"> </v>
      </c>
      <c r="L246" s="563" t="str">
        <f>IF(G246&lt;&gt;0,VLOOKUP(G246,'gia dat'!$A$1:$F$144,6,0)," ")</f>
        <v xml:space="preserve"> </v>
      </c>
      <c r="M246" s="564" t="str">
        <f t="shared" si="54"/>
        <v xml:space="preserve"> </v>
      </c>
      <c r="N246" s="564" t="str">
        <f t="shared" si="55"/>
        <v xml:space="preserve"> </v>
      </c>
      <c r="O246" s="558" t="s">
        <v>468</v>
      </c>
      <c r="P246" s="590">
        <v>4</v>
      </c>
      <c r="Q246" s="564">
        <f>IF(O246&lt;&gt;0,VLOOKUP(O246,'Cây trong'!$A$2:$C$246,3,0)," ")</f>
        <v>10000</v>
      </c>
      <c r="R246" s="564">
        <f t="shared" si="44"/>
        <v>40000</v>
      </c>
      <c r="S246" s="566" t="s">
        <v>1844</v>
      </c>
      <c r="T246" s="589" t="s">
        <v>53</v>
      </c>
      <c r="U246" s="591">
        <v>5.2</v>
      </c>
      <c r="V246" s="589"/>
      <c r="W246" s="564">
        <f>IF(S246&lt;&gt;0,VLOOKUP(S246,VKT!$A$2:$G$415,7,0),"")</f>
        <v>770070</v>
      </c>
      <c r="X246" s="564">
        <f t="shared" si="53"/>
        <v>4004000</v>
      </c>
      <c r="Y246" s="589"/>
      <c r="Z246" s="592" t="s">
        <v>55</v>
      </c>
      <c r="AA246" s="592" t="s">
        <v>141</v>
      </c>
      <c r="AB246" s="568"/>
      <c r="AC246" s="592" t="s">
        <v>66</v>
      </c>
      <c r="AD246" s="592"/>
      <c r="AE246" s="592"/>
      <c r="AF246" s="590"/>
      <c r="AG246" s="570" t="str">
        <f>IF(AE246&lt;&gt;0,VLOOKUP(AE246,ODDS!$A$2:$C$13,3,0),"")</f>
        <v/>
      </c>
      <c r="AH246" s="570" t="str">
        <f t="shared" si="45"/>
        <v xml:space="preserve"> </v>
      </c>
      <c r="AI246" s="571" t="str">
        <f t="shared" si="47"/>
        <v xml:space="preserve"> </v>
      </c>
      <c r="AJ246" s="593"/>
      <c r="AK246" s="593"/>
    </row>
    <row r="247" spans="1:37" s="376" customFormat="1" ht="40.5" outlineLevel="2" x14ac:dyDescent="0.3">
      <c r="A247" s="447">
        <f t="shared" si="59"/>
        <v>27</v>
      </c>
      <c r="B247" s="557"/>
      <c r="C247" s="558"/>
      <c r="D247" s="587"/>
      <c r="E247" s="612"/>
      <c r="F247" s="612"/>
      <c r="G247" s="586"/>
      <c r="H247" s="588"/>
      <c r="I247" s="546"/>
      <c r="J247" s="593"/>
      <c r="K247" s="563" t="str">
        <f>IF(G247&lt;&gt;0,VLOOKUP(G247,'gia dat'!$A$1:$F$144,5,0)," ")</f>
        <v xml:space="preserve"> </v>
      </c>
      <c r="L247" s="563" t="str">
        <f>IF(G247&lt;&gt;0,VLOOKUP(G247,'gia dat'!$A$1:$F$144,6,0)," ")</f>
        <v xml:space="preserve"> </v>
      </c>
      <c r="M247" s="564" t="str">
        <f t="shared" si="54"/>
        <v xml:space="preserve"> </v>
      </c>
      <c r="N247" s="564" t="str">
        <f t="shared" si="55"/>
        <v xml:space="preserve"> </v>
      </c>
      <c r="O247" s="586"/>
      <c r="P247" s="630"/>
      <c r="Q247" s="564" t="str">
        <f>IF(O247&lt;&gt;0,VLOOKUP(O247,'Cây trong'!$A$2:$C$246,3,0)," ")</f>
        <v xml:space="preserve"> </v>
      </c>
      <c r="R247" s="564" t="str">
        <f t="shared" si="44"/>
        <v xml:space="preserve"> </v>
      </c>
      <c r="S247" s="586" t="s">
        <v>1845</v>
      </c>
      <c r="T247" s="609" t="s">
        <v>53</v>
      </c>
      <c r="U247" s="591">
        <v>9.2799999999999994</v>
      </c>
      <c r="V247" s="611"/>
      <c r="W247" s="564">
        <f>IF(S247&lt;&gt;0,VLOOKUP(S247,VKT!$A$2:$G$415,7,0),"")</f>
        <v>1175490</v>
      </c>
      <c r="X247" s="564">
        <f t="shared" si="53"/>
        <v>10909000</v>
      </c>
      <c r="Y247" s="589"/>
      <c r="Z247" s="592" t="s">
        <v>55</v>
      </c>
      <c r="AA247" s="592" t="s">
        <v>141</v>
      </c>
      <c r="AB247" s="568" t="s">
        <v>142</v>
      </c>
      <c r="AC247" s="592" t="s">
        <v>143</v>
      </c>
      <c r="AD247" s="592"/>
      <c r="AE247" s="592"/>
      <c r="AF247" s="590"/>
      <c r="AG247" s="570" t="str">
        <f>IF(AE247&lt;&gt;0,VLOOKUP(AE247,ODDS!$A$2:$C$13,3,0),"")</f>
        <v/>
      </c>
      <c r="AH247" s="570" t="str">
        <f t="shared" si="45"/>
        <v xml:space="preserve"> </v>
      </c>
      <c r="AI247" s="571" t="str">
        <f t="shared" si="47"/>
        <v xml:space="preserve"> </v>
      </c>
      <c r="AJ247" s="593"/>
      <c r="AK247" s="593"/>
    </row>
    <row r="248" spans="1:37" s="376" customFormat="1" ht="60.75" outlineLevel="2" x14ac:dyDescent="0.3">
      <c r="A248" s="447">
        <f t="shared" si="59"/>
        <v>27</v>
      </c>
      <c r="B248" s="557"/>
      <c r="C248" s="574"/>
      <c r="D248" s="587"/>
      <c r="E248" s="587"/>
      <c r="F248" s="560"/>
      <c r="G248" s="558"/>
      <c r="H248" s="588"/>
      <c r="I248" s="546"/>
      <c r="J248" s="593"/>
      <c r="K248" s="563" t="str">
        <f>IF(G248&lt;&gt;0,VLOOKUP(G248,'gia dat'!$A$1:$F$144,5,0)," ")</f>
        <v xml:space="preserve"> </v>
      </c>
      <c r="L248" s="563" t="str">
        <f>IF(G248&lt;&gt;0,VLOOKUP(G248,'gia dat'!$A$1:$F$144,6,0)," ")</f>
        <v xml:space="preserve"> </v>
      </c>
      <c r="M248" s="564" t="str">
        <f t="shared" si="54"/>
        <v xml:space="preserve"> </v>
      </c>
      <c r="N248" s="564" t="str">
        <f t="shared" si="55"/>
        <v xml:space="preserve"> </v>
      </c>
      <c r="O248" s="586"/>
      <c r="P248" s="630"/>
      <c r="Q248" s="564" t="str">
        <f>IF(O248&lt;&gt;0,VLOOKUP(O248,'Cây trong'!$A$2:$C$246,3,0)," ")</f>
        <v xml:space="preserve"> </v>
      </c>
      <c r="R248" s="564" t="str">
        <f t="shared" si="44"/>
        <v xml:space="preserve"> </v>
      </c>
      <c r="S248" s="586" t="s">
        <v>1846</v>
      </c>
      <c r="T248" s="609" t="s">
        <v>53</v>
      </c>
      <c r="U248" s="591">
        <v>7.34</v>
      </c>
      <c r="V248" s="611"/>
      <c r="W248" s="564">
        <f>IF(S248&lt;&gt;0,VLOOKUP(S248,VKT!$A$2:$G$415,7,0),"")</f>
        <v>238288</v>
      </c>
      <c r="X248" s="564">
        <f t="shared" si="53"/>
        <v>1749000</v>
      </c>
      <c r="Y248" s="589"/>
      <c r="Z248" s="592"/>
      <c r="AA248" s="592"/>
      <c r="AB248" s="568"/>
      <c r="AC248" s="592"/>
      <c r="AD248" s="592"/>
      <c r="AE248" s="592"/>
      <c r="AF248" s="590"/>
      <c r="AG248" s="570" t="str">
        <f>IF(AE248&lt;&gt;0,VLOOKUP(AE248,ODDS!$A$2:$C$13,3,0),"")</f>
        <v/>
      </c>
      <c r="AH248" s="570" t="str">
        <f t="shared" si="45"/>
        <v xml:space="preserve"> </v>
      </c>
      <c r="AI248" s="571" t="str">
        <f t="shared" si="47"/>
        <v xml:space="preserve"> </v>
      </c>
      <c r="AJ248" s="593"/>
      <c r="AK248" s="593"/>
    </row>
    <row r="249" spans="1:37" s="376" customFormat="1" ht="60.75" outlineLevel="2" x14ac:dyDescent="0.3">
      <c r="A249" s="447">
        <f t="shared" si="59"/>
        <v>27</v>
      </c>
      <c r="B249" s="557"/>
      <c r="C249" s="558"/>
      <c r="D249" s="587"/>
      <c r="E249" s="587"/>
      <c r="F249" s="560"/>
      <c r="G249" s="558"/>
      <c r="H249" s="588"/>
      <c r="I249" s="546"/>
      <c r="J249" s="593"/>
      <c r="K249" s="563" t="str">
        <f>IF(G249&lt;&gt;0,VLOOKUP(G249,'gia dat'!$A$1:$F$144,5,0)," ")</f>
        <v xml:space="preserve"> </v>
      </c>
      <c r="L249" s="563" t="str">
        <f>IF(G249&lt;&gt;0,VLOOKUP(G249,'gia dat'!$A$1:$F$144,6,0)," ")</f>
        <v xml:space="preserve"> </v>
      </c>
      <c r="M249" s="564" t="str">
        <f t="shared" si="54"/>
        <v xml:space="preserve"> </v>
      </c>
      <c r="N249" s="564" t="str">
        <f t="shared" si="55"/>
        <v xml:space="preserve"> </v>
      </c>
      <c r="O249" s="586"/>
      <c r="P249" s="630"/>
      <c r="Q249" s="564" t="str">
        <f>IF(O249&lt;&gt;0,VLOOKUP(O249,'Cây trong'!$A$2:$C$246,3,0)," ")</f>
        <v xml:space="preserve"> </v>
      </c>
      <c r="R249" s="564" t="str">
        <f t="shared" si="44"/>
        <v xml:space="preserve"> </v>
      </c>
      <c r="S249" s="586" t="s">
        <v>1847</v>
      </c>
      <c r="T249" s="609" t="s">
        <v>53</v>
      </c>
      <c r="U249" s="591">
        <v>1.2</v>
      </c>
      <c r="V249" s="611"/>
      <c r="W249" s="564">
        <f>IF(S249&lt;&gt;0,VLOOKUP(S249,VKT!$A$2:$G$415,7,0),"")</f>
        <v>1854271</v>
      </c>
      <c r="X249" s="564">
        <f t="shared" si="53"/>
        <v>2225000</v>
      </c>
      <c r="Y249" s="589"/>
      <c r="Z249" s="592"/>
      <c r="AA249" s="592"/>
      <c r="AB249" s="568"/>
      <c r="AC249" s="592"/>
      <c r="AD249" s="592"/>
      <c r="AE249" s="592"/>
      <c r="AF249" s="590"/>
      <c r="AG249" s="570" t="str">
        <f>IF(AE249&lt;&gt;0,VLOOKUP(AE249,ODDS!$A$2:$C$13,3,0),"")</f>
        <v/>
      </c>
      <c r="AH249" s="570" t="str">
        <f t="shared" si="45"/>
        <v xml:space="preserve"> </v>
      </c>
      <c r="AI249" s="571" t="str">
        <f t="shared" si="47"/>
        <v xml:space="preserve"> </v>
      </c>
      <c r="AJ249" s="593"/>
      <c r="AK249" s="593"/>
    </row>
    <row r="250" spans="1:37" s="376" customFormat="1" ht="40.5" outlineLevel="2" x14ac:dyDescent="0.3">
      <c r="A250" s="447">
        <f t="shared" si="59"/>
        <v>27</v>
      </c>
      <c r="B250" s="557"/>
      <c r="C250" s="558"/>
      <c r="D250" s="587"/>
      <c r="E250" s="587"/>
      <c r="F250" s="560"/>
      <c r="G250" s="558"/>
      <c r="H250" s="588"/>
      <c r="I250" s="546"/>
      <c r="J250" s="593"/>
      <c r="K250" s="563" t="str">
        <f>IF(G250&lt;&gt;0,VLOOKUP(G250,'gia dat'!$A$1:$F$144,5,0)," ")</f>
        <v xml:space="preserve"> </v>
      </c>
      <c r="L250" s="563" t="str">
        <f>IF(G250&lt;&gt;0,VLOOKUP(G250,'gia dat'!$A$1:$F$144,6,0)," ")</f>
        <v xml:space="preserve"> </v>
      </c>
      <c r="M250" s="564" t="str">
        <f t="shared" si="54"/>
        <v xml:space="preserve"> </v>
      </c>
      <c r="N250" s="564" t="str">
        <f t="shared" si="55"/>
        <v xml:space="preserve"> </v>
      </c>
      <c r="O250" s="586"/>
      <c r="P250" s="630"/>
      <c r="Q250" s="564" t="str">
        <f>IF(O250&lt;&gt;0,VLOOKUP(O250,'Cây trong'!$A$2:$C$246,3,0)," ")</f>
        <v xml:space="preserve"> </v>
      </c>
      <c r="R250" s="564" t="str">
        <f t="shared" si="44"/>
        <v xml:space="preserve"> </v>
      </c>
      <c r="S250" s="586" t="s">
        <v>1848</v>
      </c>
      <c r="T250" s="609" t="s">
        <v>53</v>
      </c>
      <c r="U250" s="591">
        <v>2.2000000000000002</v>
      </c>
      <c r="V250" s="611"/>
      <c r="W250" s="564">
        <f>IF(S250&lt;&gt;0,VLOOKUP(S250,VKT!$A$2:$G$415,7,0),"")</f>
        <v>0</v>
      </c>
      <c r="X250" s="564">
        <f t="shared" si="53"/>
        <v>0</v>
      </c>
      <c r="Y250" s="589"/>
      <c r="Z250" s="592"/>
      <c r="AA250" s="592"/>
      <c r="AB250" s="568"/>
      <c r="AC250" s="592"/>
      <c r="AD250" s="592"/>
      <c r="AE250" s="592"/>
      <c r="AF250" s="590"/>
      <c r="AG250" s="570" t="str">
        <f>IF(AE250&lt;&gt;0,VLOOKUP(AE250,ODDS!$A$2:$C$13,3,0),"")</f>
        <v/>
      </c>
      <c r="AH250" s="570" t="str">
        <f t="shared" si="45"/>
        <v xml:space="preserve"> </v>
      </c>
      <c r="AI250" s="571" t="str">
        <f t="shared" si="47"/>
        <v xml:space="preserve"> </v>
      </c>
      <c r="AJ250" s="593"/>
      <c r="AK250" s="593"/>
    </row>
    <row r="251" spans="1:37" s="376" customFormat="1" ht="20.25" outlineLevel="2" x14ac:dyDescent="0.3">
      <c r="A251" s="447">
        <f t="shared" si="59"/>
        <v>27</v>
      </c>
      <c r="B251" s="557"/>
      <c r="C251" s="558"/>
      <c r="D251" s="587"/>
      <c r="E251" s="587"/>
      <c r="F251" s="560"/>
      <c r="G251" s="558"/>
      <c r="H251" s="588"/>
      <c r="I251" s="546"/>
      <c r="J251" s="593"/>
      <c r="K251" s="563" t="str">
        <f>IF(G251&lt;&gt;0,VLOOKUP(G251,'gia dat'!$A$1:$F$144,5,0)," ")</f>
        <v xml:space="preserve"> </v>
      </c>
      <c r="L251" s="563" t="str">
        <f>IF(G251&lt;&gt;0,VLOOKUP(G251,'gia dat'!$A$1:$F$144,6,0)," ")</f>
        <v xml:space="preserve"> </v>
      </c>
      <c r="M251" s="564" t="str">
        <f t="shared" si="54"/>
        <v xml:space="preserve"> </v>
      </c>
      <c r="N251" s="564" t="str">
        <f t="shared" si="55"/>
        <v xml:space="preserve"> </v>
      </c>
      <c r="O251" s="586"/>
      <c r="P251" s="630"/>
      <c r="Q251" s="564" t="str">
        <f>IF(O251&lt;&gt;0,VLOOKUP(O251,'Cây trong'!$A$2:$C$246,3,0)," ")</f>
        <v xml:space="preserve"> </v>
      </c>
      <c r="R251" s="564" t="str">
        <f t="shared" si="44"/>
        <v xml:space="preserve"> </v>
      </c>
      <c r="S251" s="593" t="s">
        <v>1848</v>
      </c>
      <c r="T251" s="609" t="s">
        <v>53</v>
      </c>
      <c r="U251" s="591">
        <v>1.6</v>
      </c>
      <c r="V251" s="611"/>
      <c r="W251" s="564">
        <f>IF(S251&lt;&gt;0,VLOOKUP(S251,VKT!$A$2:$G$415,7,0),"")</f>
        <v>0</v>
      </c>
      <c r="X251" s="564">
        <f t="shared" si="53"/>
        <v>0</v>
      </c>
      <c r="Y251" s="589"/>
      <c r="Z251" s="592"/>
      <c r="AA251" s="592"/>
      <c r="AB251" s="568"/>
      <c r="AC251" s="592"/>
      <c r="AD251" s="592"/>
      <c r="AE251" s="592"/>
      <c r="AF251" s="590"/>
      <c r="AG251" s="570" t="str">
        <f>IF(AE251&lt;&gt;0,VLOOKUP(AE251,ODDS!$A$2:$C$13,3,0),"")</f>
        <v/>
      </c>
      <c r="AH251" s="570" t="str">
        <f t="shared" si="45"/>
        <v xml:space="preserve"> </v>
      </c>
      <c r="AI251" s="571" t="str">
        <f t="shared" si="47"/>
        <v xml:space="preserve"> </v>
      </c>
      <c r="AJ251" s="593"/>
      <c r="AK251" s="593"/>
    </row>
    <row r="252" spans="1:37" s="376" customFormat="1" ht="40.5" outlineLevel="2" x14ac:dyDescent="0.3">
      <c r="A252" s="447">
        <f t="shared" si="59"/>
        <v>27</v>
      </c>
      <c r="B252" s="557"/>
      <c r="C252" s="558"/>
      <c r="D252" s="587"/>
      <c r="E252" s="587"/>
      <c r="F252" s="560"/>
      <c r="G252" s="558"/>
      <c r="H252" s="588"/>
      <c r="I252" s="546"/>
      <c r="J252" s="593"/>
      <c r="K252" s="563" t="str">
        <f>IF(G252&lt;&gt;0,VLOOKUP(G252,'gia dat'!$A$1:$F$144,5,0)," ")</f>
        <v xml:space="preserve"> </v>
      </c>
      <c r="L252" s="563" t="str">
        <f>IF(G252&lt;&gt;0,VLOOKUP(G252,'gia dat'!$A$1:$F$144,6,0)," ")</f>
        <v xml:space="preserve"> </v>
      </c>
      <c r="M252" s="564" t="str">
        <f t="shared" si="54"/>
        <v xml:space="preserve"> </v>
      </c>
      <c r="N252" s="564" t="str">
        <f t="shared" si="55"/>
        <v xml:space="preserve"> </v>
      </c>
      <c r="O252" s="586"/>
      <c r="P252" s="630"/>
      <c r="Q252" s="564" t="str">
        <f>IF(O252&lt;&gt;0,VLOOKUP(O252,'Cây trong'!$A$2:$C$246,3,0)," ")</f>
        <v xml:space="preserve"> </v>
      </c>
      <c r="R252" s="564" t="str">
        <f t="shared" si="44"/>
        <v xml:space="preserve"> </v>
      </c>
      <c r="S252" s="586" t="s">
        <v>1849</v>
      </c>
      <c r="T252" s="609" t="s">
        <v>53</v>
      </c>
      <c r="U252" s="591">
        <v>37.4</v>
      </c>
      <c r="V252" s="611"/>
      <c r="W252" s="564">
        <f>IF(S252&lt;&gt;0,VLOOKUP(S252,VKT!$A$2:$G$415,7,0),"")</f>
        <v>72865</v>
      </c>
      <c r="X252" s="564">
        <f t="shared" si="53"/>
        <v>2725000</v>
      </c>
      <c r="Y252" s="609"/>
      <c r="Z252" s="641"/>
      <c r="AA252" s="592"/>
      <c r="AB252" s="568"/>
      <c r="AC252" s="592"/>
      <c r="AD252" s="592"/>
      <c r="AE252" s="592"/>
      <c r="AF252" s="590"/>
      <c r="AG252" s="570" t="str">
        <f>IF(AE252&lt;&gt;0,VLOOKUP(AE252,ODDS!$A$2:$C$13,3,0),"")</f>
        <v/>
      </c>
      <c r="AH252" s="570" t="str">
        <f t="shared" si="45"/>
        <v xml:space="preserve"> </v>
      </c>
      <c r="AI252" s="571" t="str">
        <f t="shared" si="47"/>
        <v xml:space="preserve"> </v>
      </c>
      <c r="AJ252" s="593"/>
      <c r="AK252" s="593"/>
    </row>
    <row r="253" spans="1:37" s="376" customFormat="1" ht="40.5" outlineLevel="2" x14ac:dyDescent="0.3">
      <c r="A253" s="447">
        <f t="shared" si="59"/>
        <v>27</v>
      </c>
      <c r="B253" s="557"/>
      <c r="C253" s="558"/>
      <c r="D253" s="587"/>
      <c r="E253" s="587"/>
      <c r="F253" s="560"/>
      <c r="G253" s="558"/>
      <c r="H253" s="588"/>
      <c r="I253" s="546"/>
      <c r="J253" s="593"/>
      <c r="K253" s="563" t="str">
        <f>IF(G253&lt;&gt;0,VLOOKUP(G253,'gia dat'!$A$1:$F$144,5,0)," ")</f>
        <v xml:space="preserve"> </v>
      </c>
      <c r="L253" s="563" t="str">
        <f>IF(G253&lt;&gt;0,VLOOKUP(G253,'gia dat'!$A$1:$F$144,6,0)," ")</f>
        <v xml:space="preserve"> </v>
      </c>
      <c r="M253" s="564" t="str">
        <f t="shared" si="54"/>
        <v xml:space="preserve"> </v>
      </c>
      <c r="N253" s="564" t="str">
        <f t="shared" si="55"/>
        <v xml:space="preserve"> </v>
      </c>
      <c r="O253" s="586"/>
      <c r="P253" s="630"/>
      <c r="Q253" s="564" t="str">
        <f>IF(O253&lt;&gt;0,VLOOKUP(O253,'Cây trong'!$A$2:$C$246,3,0)," ")</f>
        <v xml:space="preserve"> </v>
      </c>
      <c r="R253" s="564" t="str">
        <f t="shared" si="44"/>
        <v xml:space="preserve"> </v>
      </c>
      <c r="S253" s="586" t="s">
        <v>1850</v>
      </c>
      <c r="T253" s="609" t="s">
        <v>53</v>
      </c>
      <c r="U253" s="591">
        <v>50.4</v>
      </c>
      <c r="V253" s="611"/>
      <c r="W253" s="564">
        <f>IF(S253&lt;&gt;0,VLOOKUP(S253,VKT!$A$2:$G$415,7,0),"")</f>
        <v>177161</v>
      </c>
      <c r="X253" s="564">
        <f t="shared" si="53"/>
        <v>8929000</v>
      </c>
      <c r="Y253" s="609"/>
      <c r="Z253" s="641"/>
      <c r="AA253" s="592"/>
      <c r="AB253" s="568"/>
      <c r="AC253" s="592"/>
      <c r="AD253" s="592"/>
      <c r="AE253" s="592"/>
      <c r="AF253" s="590"/>
      <c r="AG253" s="570" t="str">
        <f>IF(AE253&lt;&gt;0,VLOOKUP(AE253,ODDS!$A$2:$C$13,3,0),"")</f>
        <v/>
      </c>
      <c r="AH253" s="570" t="str">
        <f t="shared" si="45"/>
        <v xml:space="preserve"> </v>
      </c>
      <c r="AI253" s="571" t="str">
        <f t="shared" si="47"/>
        <v xml:space="preserve"> </v>
      </c>
      <c r="AJ253" s="593"/>
      <c r="AK253" s="593"/>
    </row>
    <row r="254" spans="1:37" s="376" customFormat="1" ht="40.5" outlineLevel="2" x14ac:dyDescent="0.3">
      <c r="A254" s="447">
        <f t="shared" si="59"/>
        <v>27</v>
      </c>
      <c r="B254" s="557"/>
      <c r="C254" s="558"/>
      <c r="D254" s="587"/>
      <c r="E254" s="587"/>
      <c r="F254" s="560"/>
      <c r="G254" s="558"/>
      <c r="H254" s="588"/>
      <c r="I254" s="546"/>
      <c r="J254" s="593"/>
      <c r="K254" s="563" t="str">
        <f>IF(G254&lt;&gt;0,VLOOKUP(G254,'gia dat'!$A$1:$F$144,5,0)," ")</f>
        <v xml:space="preserve"> </v>
      </c>
      <c r="L254" s="563" t="str">
        <f>IF(G254&lt;&gt;0,VLOOKUP(G254,'gia dat'!$A$1:$F$144,6,0)," ")</f>
        <v xml:space="preserve"> </v>
      </c>
      <c r="M254" s="564" t="str">
        <f t="shared" si="54"/>
        <v xml:space="preserve"> </v>
      </c>
      <c r="N254" s="564" t="str">
        <f t="shared" si="55"/>
        <v xml:space="preserve"> </v>
      </c>
      <c r="O254" s="586"/>
      <c r="P254" s="630"/>
      <c r="Q254" s="564" t="str">
        <f>IF(O254&lt;&gt;0,VLOOKUP(O254,'Cây trong'!$A$2:$C$246,3,0)," ")</f>
        <v xml:space="preserve"> </v>
      </c>
      <c r="R254" s="564" t="str">
        <f t="shared" si="44"/>
        <v xml:space="preserve"> </v>
      </c>
      <c r="S254" s="586" t="s">
        <v>1776</v>
      </c>
      <c r="T254" s="609" t="s">
        <v>53</v>
      </c>
      <c r="U254" s="591">
        <v>15.54</v>
      </c>
      <c r="V254" s="611"/>
      <c r="W254" s="564">
        <f>IF(S254&lt;&gt;0,VLOOKUP(S254,VKT!$A$2:$G$415,7,0),"")</f>
        <v>177161</v>
      </c>
      <c r="X254" s="564">
        <f t="shared" si="53"/>
        <v>2753000</v>
      </c>
      <c r="Y254" s="589"/>
      <c r="Z254" s="592"/>
      <c r="AA254" s="592"/>
      <c r="AB254" s="568"/>
      <c r="AC254" s="592"/>
      <c r="AD254" s="592"/>
      <c r="AE254" s="592"/>
      <c r="AF254" s="590"/>
      <c r="AG254" s="570" t="str">
        <f>IF(AE254&lt;&gt;0,VLOOKUP(AE254,ODDS!$A$2:$C$13,3,0),"")</f>
        <v/>
      </c>
      <c r="AH254" s="570" t="str">
        <f t="shared" si="45"/>
        <v xml:space="preserve"> </v>
      </c>
      <c r="AI254" s="571" t="str">
        <f t="shared" si="47"/>
        <v xml:space="preserve"> </v>
      </c>
      <c r="AJ254" s="593"/>
      <c r="AK254" s="593"/>
    </row>
    <row r="255" spans="1:37" s="376" customFormat="1" ht="40.5" outlineLevel="2" x14ac:dyDescent="0.3">
      <c r="A255" s="447">
        <f t="shared" si="59"/>
        <v>27</v>
      </c>
      <c r="B255" s="557"/>
      <c r="C255" s="558"/>
      <c r="D255" s="587"/>
      <c r="E255" s="587"/>
      <c r="F255" s="560"/>
      <c r="G255" s="558"/>
      <c r="H255" s="588"/>
      <c r="I255" s="546"/>
      <c r="J255" s="593"/>
      <c r="K255" s="563" t="str">
        <f>IF(G255&lt;&gt;0,VLOOKUP(G255,'gia dat'!$A$1:$F$144,5,0)," ")</f>
        <v xml:space="preserve"> </v>
      </c>
      <c r="L255" s="563" t="str">
        <f>IF(G255&lt;&gt;0,VLOOKUP(G255,'gia dat'!$A$1:$F$144,6,0)," ")</f>
        <v xml:space="preserve"> </v>
      </c>
      <c r="M255" s="564" t="str">
        <f t="shared" si="54"/>
        <v xml:space="preserve"> </v>
      </c>
      <c r="N255" s="564" t="str">
        <f t="shared" si="55"/>
        <v xml:space="preserve"> </v>
      </c>
      <c r="O255" s="586"/>
      <c r="P255" s="630"/>
      <c r="Q255" s="564" t="str">
        <f>IF(O255&lt;&gt;0,VLOOKUP(O255,'Cây trong'!$A$2:$C$246,3,0)," ")</f>
        <v xml:space="preserve"> </v>
      </c>
      <c r="R255" s="564" t="str">
        <f t="shared" si="44"/>
        <v xml:space="preserve"> </v>
      </c>
      <c r="S255" s="586" t="s">
        <v>1849</v>
      </c>
      <c r="T255" s="609" t="s">
        <v>53</v>
      </c>
      <c r="U255" s="591">
        <v>9.24</v>
      </c>
      <c r="V255" s="611"/>
      <c r="W255" s="564">
        <f>IF(S255&lt;&gt;0,VLOOKUP(S255,VKT!$A$2:$G$415,7,0),"")</f>
        <v>72865</v>
      </c>
      <c r="X255" s="564">
        <f t="shared" si="53"/>
        <v>673000</v>
      </c>
      <c r="Y255" s="589"/>
      <c r="Z255" s="592"/>
      <c r="AA255" s="592"/>
      <c r="AB255" s="568"/>
      <c r="AC255" s="592"/>
      <c r="AD255" s="592"/>
      <c r="AE255" s="592"/>
      <c r="AF255" s="590"/>
      <c r="AG255" s="570" t="str">
        <f>IF(AE255&lt;&gt;0,VLOOKUP(AE255,ODDS!$A$2:$C$13,3,0),"")</f>
        <v/>
      </c>
      <c r="AH255" s="570" t="str">
        <f t="shared" si="45"/>
        <v xml:space="preserve"> </v>
      </c>
      <c r="AI255" s="571" t="str">
        <f t="shared" si="47"/>
        <v xml:space="preserve"> </v>
      </c>
      <c r="AJ255" s="593"/>
      <c r="AK255" s="593"/>
    </row>
    <row r="256" spans="1:37" s="376" customFormat="1" ht="40.5" outlineLevel="2" x14ac:dyDescent="0.3">
      <c r="A256" s="447">
        <f t="shared" si="59"/>
        <v>27</v>
      </c>
      <c r="B256" s="557"/>
      <c r="C256" s="558"/>
      <c r="D256" s="587"/>
      <c r="E256" s="587"/>
      <c r="F256" s="560"/>
      <c r="G256" s="558"/>
      <c r="H256" s="588"/>
      <c r="I256" s="546"/>
      <c r="J256" s="593"/>
      <c r="K256" s="563" t="str">
        <f>IF(G256&lt;&gt;0,VLOOKUP(G256,'gia dat'!$A$1:$F$144,5,0)," ")</f>
        <v xml:space="preserve"> </v>
      </c>
      <c r="L256" s="563" t="str">
        <f>IF(G256&lt;&gt;0,VLOOKUP(G256,'gia dat'!$A$1:$F$144,6,0)," ")</f>
        <v xml:space="preserve"> </v>
      </c>
      <c r="M256" s="564" t="str">
        <f t="shared" si="54"/>
        <v xml:space="preserve"> </v>
      </c>
      <c r="N256" s="564" t="str">
        <f t="shared" si="55"/>
        <v xml:space="preserve"> </v>
      </c>
      <c r="O256" s="586"/>
      <c r="P256" s="630"/>
      <c r="Q256" s="564" t="str">
        <f>IF(O256&lt;&gt;0,VLOOKUP(O256,'Cây trong'!$A$2:$C$246,3,0)," ")</f>
        <v xml:space="preserve"> </v>
      </c>
      <c r="R256" s="564" t="str">
        <f t="shared" si="44"/>
        <v xml:space="preserve"> </v>
      </c>
      <c r="S256" s="586" t="s">
        <v>1767</v>
      </c>
      <c r="T256" s="609" t="s">
        <v>53</v>
      </c>
      <c r="U256" s="591">
        <v>28.32</v>
      </c>
      <c r="V256" s="611"/>
      <c r="W256" s="564">
        <f>IF(S256&lt;&gt;0,VLOOKUP(S256,VKT!$A$2:$G$415,7,0),"")</f>
        <v>0</v>
      </c>
      <c r="X256" s="564">
        <f t="shared" si="53"/>
        <v>0</v>
      </c>
      <c r="Y256" s="589"/>
      <c r="Z256" s="592"/>
      <c r="AA256" s="592"/>
      <c r="AB256" s="568"/>
      <c r="AC256" s="592"/>
      <c r="AD256" s="592"/>
      <c r="AE256" s="592"/>
      <c r="AF256" s="590"/>
      <c r="AG256" s="570" t="str">
        <f>IF(AE256&lt;&gt;0,VLOOKUP(AE256,ODDS!$A$2:$C$13,3,0),"")</f>
        <v/>
      </c>
      <c r="AH256" s="570" t="str">
        <f t="shared" si="45"/>
        <v xml:space="preserve"> </v>
      </c>
      <c r="AI256" s="571" t="str">
        <f t="shared" si="47"/>
        <v xml:space="preserve"> </v>
      </c>
      <c r="AJ256" s="593"/>
      <c r="AK256" s="593"/>
    </row>
    <row r="257" spans="1:39" s="376" customFormat="1" ht="60.75" outlineLevel="2" x14ac:dyDescent="0.3">
      <c r="A257" s="447">
        <f t="shared" si="59"/>
        <v>27</v>
      </c>
      <c r="B257" s="557"/>
      <c r="C257" s="558"/>
      <c r="D257" s="587"/>
      <c r="E257" s="587"/>
      <c r="F257" s="560"/>
      <c r="G257" s="558"/>
      <c r="H257" s="588"/>
      <c r="I257" s="546"/>
      <c r="J257" s="593"/>
      <c r="K257" s="563" t="str">
        <f>IF(G257&lt;&gt;0,VLOOKUP(G257,'gia dat'!$A$1:$F$144,5,0)," ")</f>
        <v xml:space="preserve"> </v>
      </c>
      <c r="L257" s="563" t="str">
        <f>IF(G257&lt;&gt;0,VLOOKUP(G257,'gia dat'!$A$1:$F$144,6,0)," ")</f>
        <v xml:space="preserve"> </v>
      </c>
      <c r="M257" s="564" t="str">
        <f t="shared" si="54"/>
        <v xml:space="preserve"> </v>
      </c>
      <c r="N257" s="564" t="str">
        <f t="shared" si="55"/>
        <v xml:space="preserve"> </v>
      </c>
      <c r="O257" s="586"/>
      <c r="P257" s="630"/>
      <c r="Q257" s="564" t="str">
        <f>IF(O257&lt;&gt;0,VLOOKUP(O257,'Cây trong'!$A$2:$C$246,3,0)," ")</f>
        <v xml:space="preserve"> </v>
      </c>
      <c r="R257" s="564" t="str">
        <f t="shared" si="44"/>
        <v xml:space="preserve"> </v>
      </c>
      <c r="S257" s="586" t="s">
        <v>1768</v>
      </c>
      <c r="T257" s="609" t="s">
        <v>53</v>
      </c>
      <c r="U257" s="591">
        <v>28.32</v>
      </c>
      <c r="V257" s="611"/>
      <c r="W257" s="564">
        <f>IF(S257&lt;&gt;0,VLOOKUP(S257,VKT!$A$2:$G$415,7,0),"")</f>
        <v>238288</v>
      </c>
      <c r="X257" s="564">
        <f t="shared" si="53"/>
        <v>6748000</v>
      </c>
      <c r="Y257" s="589"/>
      <c r="Z257" s="592"/>
      <c r="AA257" s="592"/>
      <c r="AB257" s="568"/>
      <c r="AC257" s="592"/>
      <c r="AD257" s="592"/>
      <c r="AE257" s="592"/>
      <c r="AF257" s="590"/>
      <c r="AG257" s="570" t="str">
        <f>IF(AE257&lt;&gt;0,VLOOKUP(AE257,ODDS!$A$2:$C$13,3,0),"")</f>
        <v/>
      </c>
      <c r="AH257" s="570" t="str">
        <f t="shared" si="45"/>
        <v xml:space="preserve"> </v>
      </c>
      <c r="AI257" s="571" t="str">
        <f t="shared" si="47"/>
        <v xml:space="preserve"> </v>
      </c>
      <c r="AJ257" s="593"/>
      <c r="AK257" s="593"/>
    </row>
    <row r="258" spans="1:39" s="376" customFormat="1" ht="20.25" outlineLevel="2" x14ac:dyDescent="0.3">
      <c r="A258" s="447">
        <f t="shared" si="59"/>
        <v>27</v>
      </c>
      <c r="B258" s="557"/>
      <c r="C258" s="558"/>
      <c r="D258" s="587"/>
      <c r="E258" s="587"/>
      <c r="F258" s="560"/>
      <c r="G258" s="558"/>
      <c r="H258" s="588"/>
      <c r="I258" s="546"/>
      <c r="J258" s="593"/>
      <c r="K258" s="563" t="str">
        <f>IF(G258&lt;&gt;0,VLOOKUP(G258,'gia dat'!$A$1:$F$144,5,0)," ")</f>
        <v xml:space="preserve"> </v>
      </c>
      <c r="L258" s="563" t="str">
        <f>IF(G258&lt;&gt;0,VLOOKUP(G258,'gia dat'!$A$1:$F$144,6,0)," ")</f>
        <v xml:space="preserve"> </v>
      </c>
      <c r="M258" s="564" t="str">
        <f t="shared" si="54"/>
        <v xml:space="preserve"> </v>
      </c>
      <c r="N258" s="564" t="str">
        <f t="shared" si="55"/>
        <v xml:space="preserve"> </v>
      </c>
      <c r="O258" s="586"/>
      <c r="P258" s="630"/>
      <c r="Q258" s="564" t="str">
        <f>IF(O258&lt;&gt;0,VLOOKUP(O258,'Cây trong'!$A$2:$C$246,3,0)," ")</f>
        <v xml:space="preserve"> </v>
      </c>
      <c r="R258" s="564" t="str">
        <f t="shared" si="44"/>
        <v xml:space="preserve"> </v>
      </c>
      <c r="S258" s="586"/>
      <c r="T258" s="609"/>
      <c r="U258" s="591"/>
      <c r="V258" s="611"/>
      <c r="W258" s="564" t="str">
        <f>IF(S258&lt;&gt;0,VLOOKUP(S258,VKT!$A$2:$G$415,7,0),"")</f>
        <v/>
      </c>
      <c r="X258" s="564" t="str">
        <f t="shared" si="53"/>
        <v xml:space="preserve"> </v>
      </c>
      <c r="Y258" s="589"/>
      <c r="Z258" s="592"/>
      <c r="AA258" s="592"/>
      <c r="AB258" s="568"/>
      <c r="AC258" s="592"/>
      <c r="AD258" s="592"/>
      <c r="AE258" s="592"/>
      <c r="AF258" s="590"/>
      <c r="AG258" s="570" t="str">
        <f>IF(AE258&lt;&gt;0,VLOOKUP(AE258,ODDS!$A$2:$C$13,3,0),"")</f>
        <v/>
      </c>
      <c r="AH258" s="570" t="str">
        <f t="shared" si="45"/>
        <v xml:space="preserve"> </v>
      </c>
      <c r="AI258" s="571" t="str">
        <f t="shared" si="47"/>
        <v xml:space="preserve"> </v>
      </c>
      <c r="AJ258" s="593"/>
      <c r="AK258" s="593"/>
    </row>
    <row r="259" spans="1:39" s="376" customFormat="1" ht="20.25" outlineLevel="2" x14ac:dyDescent="0.3">
      <c r="A259" s="447">
        <f t="shared" si="59"/>
        <v>27</v>
      </c>
      <c r="B259" s="557"/>
      <c r="C259" s="558"/>
      <c r="D259" s="587"/>
      <c r="E259" s="587"/>
      <c r="F259" s="615"/>
      <c r="G259" s="558"/>
      <c r="H259" s="604"/>
      <c r="I259" s="546"/>
      <c r="J259" s="593"/>
      <c r="K259" s="563" t="str">
        <f>IF(G259&lt;&gt;0,VLOOKUP(G259,'gia dat'!$A$1:$F$144,5,0)," ")</f>
        <v xml:space="preserve"> </v>
      </c>
      <c r="L259" s="563" t="str">
        <f>IF(G259&lt;&gt;0,VLOOKUP(G259,'gia dat'!$A$1:$F$144,6,0)," ")</f>
        <v xml:space="preserve"> </v>
      </c>
      <c r="M259" s="564" t="str">
        <f t="shared" si="54"/>
        <v xml:space="preserve"> </v>
      </c>
      <c r="N259" s="564" t="str">
        <f t="shared" si="55"/>
        <v xml:space="preserve"> </v>
      </c>
      <c r="O259" s="593"/>
      <c r="P259" s="616"/>
      <c r="Q259" s="564" t="str">
        <f>IF(O259&lt;&gt;0,VLOOKUP(O259,'Cây trong'!$A$2:$C$246,3,0)," ")</f>
        <v xml:space="preserve"> </v>
      </c>
      <c r="R259" s="564" t="str">
        <f t="shared" si="44"/>
        <v xml:space="preserve"> </v>
      </c>
      <c r="S259" s="593"/>
      <c r="T259" s="593"/>
      <c r="U259" s="617"/>
      <c r="V259" s="589"/>
      <c r="W259" s="564" t="str">
        <f>IF(S259&lt;&gt;0,VLOOKUP(S259,VKT!$A$2:$G$415,7,0),"")</f>
        <v/>
      </c>
      <c r="X259" s="564" t="str">
        <f t="shared" si="53"/>
        <v xml:space="preserve"> </v>
      </c>
      <c r="Y259" s="589"/>
      <c r="Z259" s="589"/>
      <c r="AA259" s="589"/>
      <c r="AB259" s="562"/>
      <c r="AC259" s="589"/>
      <c r="AD259" s="589"/>
      <c r="AE259" s="589"/>
      <c r="AF259" s="629"/>
      <c r="AG259" s="570" t="str">
        <f>IF(AE259&lt;&gt;0,VLOOKUP(AE259,ODDS!$A$2:$C$13,3,0),"")</f>
        <v/>
      </c>
      <c r="AH259" s="570" t="str">
        <f t="shared" si="45"/>
        <v xml:space="preserve"> </v>
      </c>
      <c r="AI259" s="571" t="str">
        <f t="shared" si="47"/>
        <v xml:space="preserve"> </v>
      </c>
      <c r="AJ259" s="593"/>
      <c r="AK259" s="593"/>
    </row>
    <row r="260" spans="1:39" s="376" customFormat="1" ht="20.25" outlineLevel="2" x14ac:dyDescent="0.3">
      <c r="A260" s="447">
        <f t="shared" si="59"/>
        <v>27</v>
      </c>
      <c r="B260" s="557"/>
      <c r="C260" s="558"/>
      <c r="D260" s="587"/>
      <c r="E260" s="587"/>
      <c r="F260" s="615"/>
      <c r="G260" s="558"/>
      <c r="H260" s="604"/>
      <c r="I260" s="546"/>
      <c r="J260" s="593"/>
      <c r="K260" s="563" t="str">
        <f>IF(G260&lt;&gt;0,VLOOKUP(G260,'gia dat'!$A$1:$F$144,5,0)," ")</f>
        <v xml:space="preserve"> </v>
      </c>
      <c r="L260" s="563" t="str">
        <f>IF(G260&lt;&gt;0,VLOOKUP(G260,'gia dat'!$A$1:$F$144,6,0)," ")</f>
        <v xml:space="preserve"> </v>
      </c>
      <c r="M260" s="564" t="str">
        <f t="shared" si="54"/>
        <v xml:space="preserve"> </v>
      </c>
      <c r="N260" s="564" t="str">
        <f t="shared" si="55"/>
        <v xml:space="preserve"> </v>
      </c>
      <c r="O260" s="593"/>
      <c r="P260" s="616"/>
      <c r="Q260" s="564" t="str">
        <f>IF(O260&lt;&gt;0,VLOOKUP(O260,'Cây trong'!$A$2:$C$246,3,0)," ")</f>
        <v xml:space="preserve"> </v>
      </c>
      <c r="R260" s="564" t="str">
        <f t="shared" si="44"/>
        <v xml:space="preserve"> </v>
      </c>
      <c r="S260" s="593"/>
      <c r="T260" s="593"/>
      <c r="U260" s="617"/>
      <c r="V260" s="589"/>
      <c r="W260" s="564" t="str">
        <f>IF(S260&lt;&gt;0,VLOOKUP(S260,VKT!$A$2:$G$415,7,0),"")</f>
        <v/>
      </c>
      <c r="X260" s="564" t="str">
        <f t="shared" si="53"/>
        <v xml:space="preserve"> </v>
      </c>
      <c r="Y260" s="589"/>
      <c r="Z260" s="589"/>
      <c r="AA260" s="589"/>
      <c r="AB260" s="562"/>
      <c r="AC260" s="589"/>
      <c r="AD260" s="589"/>
      <c r="AE260" s="589"/>
      <c r="AF260" s="629"/>
      <c r="AG260" s="570" t="str">
        <f>IF(AE260&lt;&gt;0,VLOOKUP(AE260,ODDS!$A$2:$C$13,3,0),"")</f>
        <v/>
      </c>
      <c r="AH260" s="570" t="str">
        <f t="shared" si="45"/>
        <v xml:space="preserve"> </v>
      </c>
      <c r="AI260" s="571" t="str">
        <f t="shared" si="47"/>
        <v xml:space="preserve"> </v>
      </c>
      <c r="AJ260" s="593"/>
      <c r="AK260" s="593"/>
    </row>
    <row r="261" spans="1:39" s="376" customFormat="1" ht="20.25" outlineLevel="2" x14ac:dyDescent="0.3">
      <c r="A261" s="447">
        <f t="shared" si="59"/>
        <v>27</v>
      </c>
      <c r="B261" s="557"/>
      <c r="C261" s="574"/>
      <c r="D261" s="587"/>
      <c r="E261" s="587"/>
      <c r="F261" s="560"/>
      <c r="G261" s="558"/>
      <c r="H261" s="588"/>
      <c r="I261" s="546"/>
      <c r="J261" s="593"/>
      <c r="K261" s="563" t="str">
        <f>IF(G261&lt;&gt;0,VLOOKUP(G261,'gia dat'!$A$1:$F$144,5,0)," ")</f>
        <v xml:space="preserve"> </v>
      </c>
      <c r="L261" s="563" t="str">
        <f>IF(G261&lt;&gt;0,VLOOKUP(G261,'gia dat'!$A$1:$F$144,6,0)," ")</f>
        <v xml:space="preserve"> </v>
      </c>
      <c r="M261" s="564" t="str">
        <f t="shared" si="54"/>
        <v xml:space="preserve"> </v>
      </c>
      <c r="N261" s="564" t="str">
        <f t="shared" si="55"/>
        <v xml:space="preserve"> </v>
      </c>
      <c r="O261" s="586"/>
      <c r="P261" s="630"/>
      <c r="Q261" s="564" t="str">
        <f>IF(O261&lt;&gt;0,VLOOKUP(O261,'Cây trong'!$A$2:$C$246,3,0)," ")</f>
        <v xml:space="preserve"> </v>
      </c>
      <c r="R261" s="564" t="str">
        <f t="shared" si="44"/>
        <v xml:space="preserve"> </v>
      </c>
      <c r="S261" s="593"/>
      <c r="T261" s="593"/>
      <c r="U261" s="591"/>
      <c r="V261" s="611"/>
      <c r="W261" s="564" t="str">
        <f>IF(S261&lt;&gt;0,VLOOKUP(S261,VKT!$A$2:$G$415,7,0),"")</f>
        <v/>
      </c>
      <c r="X261" s="564" t="str">
        <f t="shared" si="53"/>
        <v xml:space="preserve"> </v>
      </c>
      <c r="Y261" s="589"/>
      <c r="Z261" s="592"/>
      <c r="AA261" s="592"/>
      <c r="AB261" s="568"/>
      <c r="AC261" s="592"/>
      <c r="AD261" s="592"/>
      <c r="AE261" s="592"/>
      <c r="AF261" s="590"/>
      <c r="AG261" s="570" t="str">
        <f>IF(AE261&lt;&gt;0,VLOOKUP(AE261,ODDS!$A$2:$C$13,3,0),"")</f>
        <v/>
      </c>
      <c r="AH261" s="570" t="str">
        <f t="shared" si="45"/>
        <v xml:space="preserve"> </v>
      </c>
      <c r="AI261" s="571" t="str">
        <f t="shared" si="47"/>
        <v xml:space="preserve"> </v>
      </c>
      <c r="AJ261" s="593"/>
      <c r="AK261" s="593"/>
    </row>
    <row r="262" spans="1:39" s="376" customFormat="1" ht="20.25" outlineLevel="1" x14ac:dyDescent="0.25">
      <c r="A262" s="467" t="s">
        <v>2682</v>
      </c>
      <c r="B262" s="576">
        <v>28</v>
      </c>
      <c r="C262" s="574" t="s">
        <v>654</v>
      </c>
      <c r="D262" s="595"/>
      <c r="E262" s="595"/>
      <c r="F262" s="577"/>
      <c r="G262" s="574"/>
      <c r="H262" s="618">
        <f>SUBTOTAL(9,H263:H270)</f>
        <v>253.3</v>
      </c>
      <c r="I262" s="579">
        <f>SUBTOTAL(9,I263:I268)</f>
        <v>253.3</v>
      </c>
      <c r="J262" s="608"/>
      <c r="K262" s="581"/>
      <c r="L262" s="581"/>
      <c r="M262" s="571">
        <f>SUBTOTAL(9,M263:M270)</f>
        <v>140430000</v>
      </c>
      <c r="N262" s="571">
        <f>SUBTOTAL(9,N263:N270)</f>
        <v>421289000</v>
      </c>
      <c r="O262" s="578"/>
      <c r="P262" s="633">
        <f>SUBTOTAL(9,P263:P270)</f>
        <v>0</v>
      </c>
      <c r="Q262" s="571"/>
      <c r="R262" s="571">
        <f>SUBTOTAL(9,R263:R270)</f>
        <v>0</v>
      </c>
      <c r="S262" s="578"/>
      <c r="T262" s="621"/>
      <c r="U262" s="600">
        <f>SUBTOTAL(9,U263:U270)</f>
        <v>7.8</v>
      </c>
      <c r="V262" s="622"/>
      <c r="W262" s="571"/>
      <c r="X262" s="571">
        <f>SUBTOTAL(9,X263:X270)</f>
        <v>3443000</v>
      </c>
      <c r="Y262" s="589"/>
      <c r="Z262" s="592"/>
      <c r="AA262" s="592"/>
      <c r="AB262" s="568"/>
      <c r="AC262" s="592"/>
      <c r="AD262" s="592"/>
      <c r="AE262" s="634"/>
      <c r="AF262" s="599">
        <f>SUBTOTAL(9,AF263:AF270)</f>
        <v>0</v>
      </c>
      <c r="AG262" s="585"/>
      <c r="AH262" s="585">
        <f>SUBTOTAL(9,AH263:AH270)</f>
        <v>0</v>
      </c>
      <c r="AI262" s="571">
        <f t="shared" si="47"/>
        <v>565162000</v>
      </c>
      <c r="AJ262" s="574"/>
      <c r="AK262" s="578"/>
    </row>
    <row r="263" spans="1:39" s="376" customFormat="1" ht="121.5" outlineLevel="2" x14ac:dyDescent="0.3">
      <c r="A263" s="447">
        <f>IF(B262&lt;&gt;0,B262,A261)</f>
        <v>28</v>
      </c>
      <c r="B263" s="557"/>
      <c r="C263" s="558" t="s">
        <v>293</v>
      </c>
      <c r="D263" s="587">
        <v>5</v>
      </c>
      <c r="E263" s="587">
        <v>86</v>
      </c>
      <c r="F263" s="560">
        <v>271</v>
      </c>
      <c r="G263" s="558" t="s">
        <v>2068</v>
      </c>
      <c r="H263" s="588">
        <v>253.3</v>
      </c>
      <c r="I263" s="546">
        <f t="shared" ref="I263" si="60">IF(N263&gt;0,H263,"")</f>
        <v>253.3</v>
      </c>
      <c r="J263" s="593"/>
      <c r="K263" s="563">
        <f>IF(G263&lt;&gt;0,VLOOKUP(G263,'gia dat'!$A$1:$F$144,5,0)," ")</f>
        <v>554400</v>
      </c>
      <c r="L263" s="563">
        <f>IF(G263&lt;&gt;0,VLOOKUP(G263,'gia dat'!$A$1:$F$144,6,0)," ")</f>
        <v>1663200</v>
      </c>
      <c r="M263" s="564">
        <f t="shared" si="54"/>
        <v>140430000</v>
      </c>
      <c r="N263" s="564">
        <f t="shared" si="55"/>
        <v>421289000</v>
      </c>
      <c r="O263" s="586"/>
      <c r="P263" s="630"/>
      <c r="Q263" s="564" t="str">
        <f>IF(O263&lt;&gt;0,VLOOKUP(O263,'Cây trong'!$A$2:$C$246,3,0)," ")</f>
        <v xml:space="preserve"> </v>
      </c>
      <c r="R263" s="564" t="str">
        <f t="shared" si="44"/>
        <v xml:space="preserve"> </v>
      </c>
      <c r="S263" s="586" t="s">
        <v>1905</v>
      </c>
      <c r="T263" s="609" t="s">
        <v>53</v>
      </c>
      <c r="U263" s="591">
        <v>7.8</v>
      </c>
      <c r="V263" s="611"/>
      <c r="W263" s="564">
        <f>IF(S263&lt;&gt;0,VLOOKUP(S263,VKT!$A$2:$G$415,7,0),"")</f>
        <v>441467</v>
      </c>
      <c r="X263" s="564">
        <f t="shared" si="53"/>
        <v>3443000</v>
      </c>
      <c r="Y263" s="589"/>
      <c r="Z263" s="592"/>
      <c r="AA263" s="592"/>
      <c r="AB263" s="568"/>
      <c r="AC263" s="592"/>
      <c r="AD263" s="592"/>
      <c r="AE263" s="606"/>
      <c r="AF263" s="590"/>
      <c r="AG263" s="570" t="str">
        <f>IF(AE263&lt;&gt;0,VLOOKUP(AE263,ODDS!$A$2:$C$13,3,0),"")</f>
        <v/>
      </c>
      <c r="AH263" s="570"/>
      <c r="AI263" s="571" t="str">
        <f t="shared" si="47"/>
        <v xml:space="preserve"> </v>
      </c>
      <c r="AJ263" s="558" t="s">
        <v>469</v>
      </c>
      <c r="AK263" s="586" t="s">
        <v>2771</v>
      </c>
    </row>
    <row r="264" spans="1:39" s="376" customFormat="1" ht="81" outlineLevel="2" x14ac:dyDescent="0.3">
      <c r="A264" s="447">
        <f t="shared" ref="A264:A270" si="61">IF(B263&lt;&gt;0,B263,A263)</f>
        <v>28</v>
      </c>
      <c r="B264" s="557"/>
      <c r="C264" s="628" t="s">
        <v>655</v>
      </c>
      <c r="D264" s="587"/>
      <c r="E264" s="587"/>
      <c r="F264" s="560"/>
      <c r="G264" s="558"/>
      <c r="H264" s="588"/>
      <c r="I264" s="546"/>
      <c r="J264" s="593"/>
      <c r="K264" s="563" t="str">
        <f>IF(G264&lt;&gt;0,VLOOKUP(G264,'gia dat'!$A$1:$F$144,5,0)," ")</f>
        <v xml:space="preserve"> </v>
      </c>
      <c r="L264" s="563" t="str">
        <f>IF(G264&lt;&gt;0,VLOOKUP(G264,'gia dat'!$A$1:$F$144,6,0)," ")</f>
        <v xml:space="preserve"> </v>
      </c>
      <c r="M264" s="564" t="str">
        <f t="shared" si="54"/>
        <v xml:space="preserve"> </v>
      </c>
      <c r="N264" s="564" t="str">
        <f t="shared" si="55"/>
        <v xml:space="preserve"> </v>
      </c>
      <c r="O264" s="586"/>
      <c r="P264" s="630"/>
      <c r="Q264" s="564" t="str">
        <f>IF(O264&lt;&gt;0,VLOOKUP(O264,'Cây trong'!$A$2:$C$246,3,0)," ")</f>
        <v xml:space="preserve"> </v>
      </c>
      <c r="R264" s="564" t="str">
        <f t="shared" si="44"/>
        <v xml:space="preserve"> </v>
      </c>
      <c r="S264" s="586"/>
      <c r="T264" s="609"/>
      <c r="U264" s="591"/>
      <c r="V264" s="611"/>
      <c r="W264" s="564" t="str">
        <f>IF(S264&lt;&gt;0,VLOOKUP(S264,VKT!$A$2:$G$415,7,0),"")</f>
        <v/>
      </c>
      <c r="X264" s="564" t="str">
        <f t="shared" si="53"/>
        <v xml:space="preserve"> </v>
      </c>
      <c r="Y264" s="589"/>
      <c r="Z264" s="592"/>
      <c r="AA264" s="592"/>
      <c r="AB264" s="568"/>
      <c r="AC264" s="592"/>
      <c r="AD264" s="592"/>
      <c r="AE264" s="592"/>
      <c r="AF264" s="590"/>
      <c r="AG264" s="570" t="str">
        <f>IF(AE264&lt;&gt;0,VLOOKUP(AE264,ODDS!$A$2:$C$13,3,0),"")</f>
        <v/>
      </c>
      <c r="AH264" s="570" t="str">
        <f t="shared" si="45"/>
        <v xml:space="preserve"> </v>
      </c>
      <c r="AI264" s="571" t="str">
        <f t="shared" si="47"/>
        <v xml:space="preserve"> </v>
      </c>
      <c r="AJ264" s="558" t="s">
        <v>470</v>
      </c>
      <c r="AK264" s="558" t="s">
        <v>2448</v>
      </c>
    </row>
    <row r="265" spans="1:39" s="376" customFormat="1" ht="121.5" outlineLevel="2" x14ac:dyDescent="0.3">
      <c r="A265" s="447">
        <f t="shared" si="61"/>
        <v>28</v>
      </c>
      <c r="B265" s="557"/>
      <c r="C265" s="558" t="s">
        <v>294</v>
      </c>
      <c r="D265" s="587"/>
      <c r="E265" s="587"/>
      <c r="F265" s="560"/>
      <c r="G265" s="558"/>
      <c r="H265" s="588"/>
      <c r="I265" s="546"/>
      <c r="J265" s="593"/>
      <c r="K265" s="563" t="str">
        <f>IF(G265&lt;&gt;0,VLOOKUP(G265,'gia dat'!$A$1:$F$144,5,0)," ")</f>
        <v xml:space="preserve"> </v>
      </c>
      <c r="L265" s="563" t="str">
        <f>IF(G265&lt;&gt;0,VLOOKUP(G265,'gia dat'!$A$1:$F$144,6,0)," ")</f>
        <v xml:space="preserve"> </v>
      </c>
      <c r="M265" s="564" t="str">
        <f t="shared" si="54"/>
        <v xml:space="preserve"> </v>
      </c>
      <c r="N265" s="564" t="str">
        <f t="shared" si="55"/>
        <v xml:space="preserve"> </v>
      </c>
      <c r="O265" s="586"/>
      <c r="P265" s="630"/>
      <c r="Q265" s="564" t="str">
        <f>IF(O265&lt;&gt;0,VLOOKUP(O265,'Cây trong'!$A$2:$C$246,3,0)," ")</f>
        <v xml:space="preserve"> </v>
      </c>
      <c r="R265" s="564" t="str">
        <f t="shared" si="44"/>
        <v xml:space="preserve"> </v>
      </c>
      <c r="S265" s="586"/>
      <c r="T265" s="609"/>
      <c r="U265" s="591"/>
      <c r="V265" s="611"/>
      <c r="W265" s="564" t="str">
        <f>IF(S265&lt;&gt;0,VLOOKUP(S265,VKT!$A$2:$G$415,7,0),"")</f>
        <v/>
      </c>
      <c r="X265" s="564" t="str">
        <f t="shared" si="53"/>
        <v xml:space="preserve"> </v>
      </c>
      <c r="Y265" s="589"/>
      <c r="Z265" s="592"/>
      <c r="AA265" s="592"/>
      <c r="AB265" s="568"/>
      <c r="AC265" s="592"/>
      <c r="AD265" s="592"/>
      <c r="AE265" s="592"/>
      <c r="AF265" s="590"/>
      <c r="AG265" s="570" t="str">
        <f>IF(AE265&lt;&gt;0,VLOOKUP(AE265,ODDS!$A$2:$C$13,3,0),"")</f>
        <v/>
      </c>
      <c r="AH265" s="570" t="str">
        <f t="shared" si="45"/>
        <v xml:space="preserve"> </v>
      </c>
      <c r="AI265" s="571" t="str">
        <f t="shared" ref="AI265:AI328" si="62">IF(B265&lt;&gt;0,M265+N265+R265+X265+AH265," ")</f>
        <v xml:space="preserve"> </v>
      </c>
      <c r="AJ265" s="558" t="s">
        <v>2074</v>
      </c>
      <c r="AK265" s="558" t="s">
        <v>2450</v>
      </c>
    </row>
    <row r="266" spans="1:39" s="376" customFormat="1" ht="20.25" outlineLevel="2" x14ac:dyDescent="0.3">
      <c r="A266" s="447">
        <f t="shared" si="61"/>
        <v>28</v>
      </c>
      <c r="B266" s="557"/>
      <c r="C266" s="558"/>
      <c r="D266" s="587"/>
      <c r="E266" s="587"/>
      <c r="F266" s="615"/>
      <c r="G266" s="558"/>
      <c r="H266" s="604"/>
      <c r="I266" s="546"/>
      <c r="J266" s="593"/>
      <c r="K266" s="563" t="str">
        <f>IF(G266&lt;&gt;0,VLOOKUP(G266,'gia dat'!$A$1:$F$144,5,0)," ")</f>
        <v xml:space="preserve"> </v>
      </c>
      <c r="L266" s="563" t="str">
        <f>IF(G266&lt;&gt;0,VLOOKUP(G266,'gia dat'!$A$1:$F$144,6,0)," ")</f>
        <v xml:space="preserve"> </v>
      </c>
      <c r="M266" s="564" t="str">
        <f t="shared" si="54"/>
        <v xml:space="preserve"> </v>
      </c>
      <c r="N266" s="564" t="str">
        <f t="shared" si="55"/>
        <v xml:space="preserve"> </v>
      </c>
      <c r="O266" s="593"/>
      <c r="P266" s="616"/>
      <c r="Q266" s="564" t="str">
        <f>IF(O266&lt;&gt;0,VLOOKUP(O266,'Cây trong'!$A$2:$C$246,3,0)," ")</f>
        <v xml:space="preserve"> </v>
      </c>
      <c r="R266" s="564" t="str">
        <f t="shared" si="44"/>
        <v xml:space="preserve"> </v>
      </c>
      <c r="S266" s="593"/>
      <c r="T266" s="593"/>
      <c r="U266" s="617"/>
      <c r="V266" s="589"/>
      <c r="W266" s="564" t="str">
        <f>IF(S266&lt;&gt;0,VLOOKUP(S266,VKT!$A$2:$G$415,7,0),"")</f>
        <v/>
      </c>
      <c r="X266" s="564" t="str">
        <f t="shared" si="53"/>
        <v xml:space="preserve"> </v>
      </c>
      <c r="Y266" s="589"/>
      <c r="Z266" s="589"/>
      <c r="AA266" s="589"/>
      <c r="AB266" s="562"/>
      <c r="AC266" s="589"/>
      <c r="AD266" s="589"/>
      <c r="AE266" s="589"/>
      <c r="AF266" s="629"/>
      <c r="AG266" s="570" t="str">
        <f>IF(AE266&lt;&gt;0,VLOOKUP(AE266,ODDS!$A$2:$C$13,3,0),"")</f>
        <v/>
      </c>
      <c r="AH266" s="570" t="str">
        <f t="shared" si="45"/>
        <v xml:space="preserve"> </v>
      </c>
      <c r="AI266" s="571" t="str">
        <f t="shared" si="62"/>
        <v xml:space="preserve"> </v>
      </c>
      <c r="AJ266" s="575"/>
      <c r="AK266" s="558"/>
      <c r="AM266" s="378" t="s">
        <v>2157</v>
      </c>
    </row>
    <row r="267" spans="1:39" s="376" customFormat="1" ht="20.25" outlineLevel="2" x14ac:dyDescent="0.3">
      <c r="A267" s="447">
        <f t="shared" si="61"/>
        <v>28</v>
      </c>
      <c r="B267" s="557"/>
      <c r="C267" s="574"/>
      <c r="D267" s="587"/>
      <c r="E267" s="587"/>
      <c r="F267" s="560"/>
      <c r="G267" s="558"/>
      <c r="H267" s="588"/>
      <c r="I267" s="546"/>
      <c r="J267" s="593"/>
      <c r="K267" s="563" t="str">
        <f>IF(G267&lt;&gt;0,VLOOKUP(G267,'gia dat'!$A$1:$F$144,5,0)," ")</f>
        <v xml:space="preserve"> </v>
      </c>
      <c r="L267" s="563" t="str">
        <f>IF(G267&lt;&gt;0,VLOOKUP(G267,'gia dat'!$A$1:$F$144,6,0)," ")</f>
        <v xml:space="preserve"> </v>
      </c>
      <c r="M267" s="564" t="str">
        <f t="shared" si="54"/>
        <v xml:space="preserve"> </v>
      </c>
      <c r="N267" s="564" t="str">
        <f t="shared" si="55"/>
        <v xml:space="preserve"> </v>
      </c>
      <c r="O267" s="586"/>
      <c r="P267" s="630"/>
      <c r="Q267" s="564" t="str">
        <f>IF(O267&lt;&gt;0,VLOOKUP(O267,'Cây trong'!$A$2:$C$246,3,0)," ")</f>
        <v xml:space="preserve"> </v>
      </c>
      <c r="R267" s="564" t="str">
        <f t="shared" ref="R267:R334" si="63">IF(O267&lt;&gt;0,ROUND(P267*Q267,-2)," ")</f>
        <v xml:space="preserve"> </v>
      </c>
      <c r="S267" s="586"/>
      <c r="T267" s="609"/>
      <c r="U267" s="591"/>
      <c r="V267" s="611"/>
      <c r="W267" s="564" t="str">
        <f>IF(S267&lt;&gt;0,VLOOKUP(S267,VKT!$A$2:$G$415,7,0),"")</f>
        <v/>
      </c>
      <c r="X267" s="564" t="str">
        <f t="shared" si="53"/>
        <v xml:space="preserve"> </v>
      </c>
      <c r="Y267" s="589"/>
      <c r="Z267" s="592"/>
      <c r="AA267" s="592"/>
      <c r="AB267" s="568"/>
      <c r="AC267" s="592"/>
      <c r="AD267" s="592"/>
      <c r="AE267" s="592"/>
      <c r="AF267" s="590"/>
      <c r="AG267" s="570" t="str">
        <f>IF(AE267&lt;&gt;0,VLOOKUP(AE267,ODDS!$A$2:$C$13,3,0),"")</f>
        <v/>
      </c>
      <c r="AH267" s="570" t="str">
        <f t="shared" ref="AH267:AH334" si="64">IF(AE267&lt;&gt;0,ROUND(AF267*AG267,-2)," ")</f>
        <v xml:space="preserve"> </v>
      </c>
      <c r="AI267" s="571" t="str">
        <f t="shared" si="62"/>
        <v xml:space="preserve"> </v>
      </c>
      <c r="AJ267" s="575"/>
      <c r="AK267" s="558"/>
    </row>
    <row r="268" spans="1:39" s="376" customFormat="1" ht="20.25" outlineLevel="2" x14ac:dyDescent="0.3">
      <c r="A268" s="447">
        <f t="shared" si="61"/>
        <v>28</v>
      </c>
      <c r="B268" s="557"/>
      <c r="C268" s="558"/>
      <c r="D268" s="587"/>
      <c r="E268" s="587"/>
      <c r="F268" s="560"/>
      <c r="G268" s="558"/>
      <c r="H268" s="588"/>
      <c r="I268" s="546"/>
      <c r="J268" s="593"/>
      <c r="K268" s="563" t="str">
        <f>IF(G268&lt;&gt;0,VLOOKUP(G268,'gia dat'!$A$1:$F$144,5,0)," ")</f>
        <v xml:space="preserve"> </v>
      </c>
      <c r="L268" s="563" t="str">
        <f>IF(G268&lt;&gt;0,VLOOKUP(G268,'gia dat'!$A$1:$F$144,6,0)," ")</f>
        <v xml:space="preserve"> </v>
      </c>
      <c r="M268" s="564" t="str">
        <f t="shared" si="54"/>
        <v xml:space="preserve"> </v>
      </c>
      <c r="N268" s="564" t="str">
        <f t="shared" si="55"/>
        <v xml:space="preserve"> </v>
      </c>
      <c r="O268" s="586"/>
      <c r="P268" s="630"/>
      <c r="Q268" s="564" t="str">
        <f>IF(O268&lt;&gt;0,VLOOKUP(O268,'Cây trong'!$A$2:$C$246,3,0)," ")</f>
        <v xml:space="preserve"> </v>
      </c>
      <c r="R268" s="564" t="str">
        <f t="shared" si="63"/>
        <v xml:space="preserve"> </v>
      </c>
      <c r="S268" s="586"/>
      <c r="T268" s="609"/>
      <c r="U268" s="591"/>
      <c r="V268" s="611"/>
      <c r="W268" s="564" t="str">
        <f>IF(S268&lt;&gt;0,VLOOKUP(S268,VKT!$A$2:$G$415,7,0),"")</f>
        <v/>
      </c>
      <c r="X268" s="564" t="str">
        <f t="shared" si="53"/>
        <v xml:space="preserve"> </v>
      </c>
      <c r="Y268" s="589"/>
      <c r="Z268" s="592"/>
      <c r="AA268" s="592"/>
      <c r="AB268" s="568"/>
      <c r="AC268" s="592"/>
      <c r="AD268" s="592"/>
      <c r="AE268" s="592"/>
      <c r="AF268" s="590"/>
      <c r="AG268" s="570" t="str">
        <f>IF(AE268&lt;&gt;0,VLOOKUP(AE268,ODDS!$A$2:$C$13,3,0),"")</f>
        <v/>
      </c>
      <c r="AH268" s="570" t="str">
        <f t="shared" si="64"/>
        <v xml:space="preserve"> </v>
      </c>
      <c r="AI268" s="571" t="str">
        <f t="shared" si="62"/>
        <v xml:space="preserve"> </v>
      </c>
      <c r="AJ268" s="593"/>
      <c r="AK268" s="593"/>
    </row>
    <row r="269" spans="1:39" s="376" customFormat="1" ht="20.25" outlineLevel="2" x14ac:dyDescent="0.3">
      <c r="A269" s="447">
        <f t="shared" si="61"/>
        <v>28</v>
      </c>
      <c r="B269" s="557"/>
      <c r="C269" s="558"/>
      <c r="D269" s="587"/>
      <c r="E269" s="587"/>
      <c r="F269" s="560"/>
      <c r="G269" s="558"/>
      <c r="H269" s="588"/>
      <c r="I269" s="546"/>
      <c r="J269" s="593"/>
      <c r="K269" s="563" t="str">
        <f>IF(G269&lt;&gt;0,VLOOKUP(G269,'gia dat'!$A$1:$F$144,5,0)," ")</f>
        <v xml:space="preserve"> </v>
      </c>
      <c r="L269" s="563" t="str">
        <f>IF(G269&lt;&gt;0,VLOOKUP(G269,'gia dat'!$A$1:$F$144,6,0)," ")</f>
        <v xml:space="preserve"> </v>
      </c>
      <c r="M269" s="564" t="str">
        <f t="shared" si="54"/>
        <v xml:space="preserve"> </v>
      </c>
      <c r="N269" s="564" t="str">
        <f t="shared" si="55"/>
        <v xml:space="preserve"> </v>
      </c>
      <c r="O269" s="586"/>
      <c r="P269" s="630"/>
      <c r="Q269" s="564" t="str">
        <f>IF(O269&lt;&gt;0,VLOOKUP(O269,'Cây trong'!$A$2:$C$246,3,0)," ")</f>
        <v xml:space="preserve"> </v>
      </c>
      <c r="R269" s="564" t="str">
        <f t="shared" si="63"/>
        <v xml:space="preserve"> </v>
      </c>
      <c r="S269" s="586"/>
      <c r="T269" s="609"/>
      <c r="U269" s="591"/>
      <c r="V269" s="611"/>
      <c r="W269" s="564" t="str">
        <f>IF(S269&lt;&gt;0,VLOOKUP(S269,VKT!$A$2:$G$415,7,0),"")</f>
        <v/>
      </c>
      <c r="X269" s="564" t="str">
        <f t="shared" si="53"/>
        <v xml:space="preserve"> </v>
      </c>
      <c r="Y269" s="589"/>
      <c r="Z269" s="592"/>
      <c r="AA269" s="592"/>
      <c r="AB269" s="568"/>
      <c r="AC269" s="592"/>
      <c r="AD269" s="592"/>
      <c r="AE269" s="592"/>
      <c r="AF269" s="590"/>
      <c r="AG269" s="570" t="str">
        <f>IF(AE269&lt;&gt;0,VLOOKUP(AE269,ODDS!$A$2:$C$13,3,0),"")</f>
        <v/>
      </c>
      <c r="AH269" s="570" t="str">
        <f t="shared" si="64"/>
        <v xml:space="preserve"> </v>
      </c>
      <c r="AI269" s="571" t="str">
        <f t="shared" si="62"/>
        <v xml:space="preserve"> </v>
      </c>
      <c r="AJ269" s="593"/>
      <c r="AK269" s="593"/>
    </row>
    <row r="270" spans="1:39" s="376" customFormat="1" ht="20.25" outlineLevel="2" x14ac:dyDescent="0.3">
      <c r="A270" s="447">
        <f t="shared" si="61"/>
        <v>28</v>
      </c>
      <c r="B270" s="557"/>
      <c r="C270" s="607"/>
      <c r="D270" s="594"/>
      <c r="E270" s="595"/>
      <c r="F270" s="577"/>
      <c r="G270" s="574"/>
      <c r="H270" s="588"/>
      <c r="I270" s="546"/>
      <c r="J270" s="608"/>
      <c r="K270" s="563" t="str">
        <f>IF(G270&lt;&gt;0,VLOOKUP(G270,'gia dat'!$A$1:$F$144,5,0)," ")</f>
        <v xml:space="preserve"> </v>
      </c>
      <c r="L270" s="563" t="str">
        <f>IF(G270&lt;&gt;0,VLOOKUP(G270,'gia dat'!$A$1:$F$144,6,0)," ")</f>
        <v xml:space="preserve"> </v>
      </c>
      <c r="M270" s="564" t="str">
        <f t="shared" si="54"/>
        <v xml:space="preserve"> </v>
      </c>
      <c r="N270" s="564" t="str">
        <f t="shared" si="55"/>
        <v xml:space="preserve"> </v>
      </c>
      <c r="O270" s="578"/>
      <c r="P270" s="633"/>
      <c r="Q270" s="564" t="str">
        <f>IF(O270&lt;&gt;0,VLOOKUP(O270,'Cây trong'!$A$2:$C$246,3,0)," ")</f>
        <v xml:space="preserve"> </v>
      </c>
      <c r="R270" s="564" t="str">
        <f t="shared" si="63"/>
        <v xml:space="preserve"> </v>
      </c>
      <c r="S270" s="578"/>
      <c r="T270" s="621"/>
      <c r="U270" s="591"/>
      <c r="V270" s="611"/>
      <c r="W270" s="564" t="str">
        <f>IF(S270&lt;&gt;0,VLOOKUP(S270,VKT!$A$2:$G$415,7,0),"")</f>
        <v/>
      </c>
      <c r="X270" s="564" t="str">
        <f t="shared" si="53"/>
        <v xml:space="preserve"> </v>
      </c>
      <c r="Y270" s="580"/>
      <c r="Z270" s="601"/>
      <c r="AA270" s="601"/>
      <c r="AB270" s="584"/>
      <c r="AC270" s="601"/>
      <c r="AD270" s="601"/>
      <c r="AE270" s="601"/>
      <c r="AF270" s="599"/>
      <c r="AG270" s="570" t="str">
        <f>IF(AE270&lt;&gt;0,VLOOKUP(AE270,ODDS!$A$2:$C$13,3,0),"")</f>
        <v/>
      </c>
      <c r="AH270" s="570" t="str">
        <f t="shared" si="64"/>
        <v xml:space="preserve"> </v>
      </c>
      <c r="AI270" s="571" t="str">
        <f t="shared" si="62"/>
        <v xml:space="preserve"> </v>
      </c>
      <c r="AJ270" s="608"/>
      <c r="AK270" s="608"/>
    </row>
    <row r="271" spans="1:39" s="376" customFormat="1" ht="40.5" outlineLevel="1" x14ac:dyDescent="0.25">
      <c r="A271" s="467" t="s">
        <v>2681</v>
      </c>
      <c r="B271" s="576">
        <v>29</v>
      </c>
      <c r="C271" s="607" t="s">
        <v>284</v>
      </c>
      <c r="D271" s="595"/>
      <c r="E271" s="642"/>
      <c r="F271" s="642"/>
      <c r="G271" s="578"/>
      <c r="H271" s="618">
        <f>SUBTOTAL(9,H272:H277)</f>
        <v>251.6</v>
      </c>
      <c r="I271" s="579">
        <f>SUBTOTAL(9,I272:I277)</f>
        <v>251.6</v>
      </c>
      <c r="J271" s="608"/>
      <c r="K271" s="581"/>
      <c r="L271" s="581"/>
      <c r="M271" s="571">
        <f>SUBTOTAL(9,M272:M277)</f>
        <v>139487000</v>
      </c>
      <c r="N271" s="571">
        <f>SUBTOTAL(9,N272:N277)</f>
        <v>418461000</v>
      </c>
      <c r="O271" s="578"/>
      <c r="P271" s="633">
        <f>SUBTOTAL(9,P272:P277)</f>
        <v>25</v>
      </c>
      <c r="Q271" s="571"/>
      <c r="R271" s="571">
        <f>SUBTOTAL(9,R272:R277)</f>
        <v>2000000</v>
      </c>
      <c r="S271" s="578"/>
      <c r="T271" s="621"/>
      <c r="U271" s="600">
        <f>SUBTOTAL(9,U272:U277)</f>
        <v>7.8</v>
      </c>
      <c r="V271" s="622"/>
      <c r="W271" s="571"/>
      <c r="X271" s="571">
        <f>SUBTOTAL(9,X272:X277)</f>
        <v>3443000</v>
      </c>
      <c r="Y271" s="589"/>
      <c r="Z271" s="592"/>
      <c r="AA271" s="592"/>
      <c r="AB271" s="568"/>
      <c r="AC271" s="592"/>
      <c r="AD271" s="592"/>
      <c r="AE271" s="634"/>
      <c r="AF271" s="599">
        <f>SUBTOTAL(9,AF272:AF277)</f>
        <v>0</v>
      </c>
      <c r="AG271" s="585"/>
      <c r="AH271" s="585">
        <f>SUBTOTAL(9,AH272:AH277)</f>
        <v>0</v>
      </c>
      <c r="AI271" s="571">
        <f t="shared" si="62"/>
        <v>563391000</v>
      </c>
      <c r="AJ271" s="574"/>
      <c r="AK271" s="578"/>
      <c r="AM271" s="473"/>
    </row>
    <row r="272" spans="1:39" s="376" customFormat="1" ht="121.5" outlineLevel="2" x14ac:dyDescent="0.3">
      <c r="A272" s="447">
        <f>IF(B271&lt;&gt;0,B271,A270)</f>
        <v>29</v>
      </c>
      <c r="B272" s="557"/>
      <c r="C272" s="572" t="s">
        <v>285</v>
      </c>
      <c r="D272" s="587">
        <v>7</v>
      </c>
      <c r="E272" s="612">
        <v>86</v>
      </c>
      <c r="F272" s="612">
        <v>270</v>
      </c>
      <c r="G272" s="586" t="s">
        <v>2068</v>
      </c>
      <c r="H272" s="588">
        <v>251.6</v>
      </c>
      <c r="I272" s="546">
        <f t="shared" ref="I272" si="65">IF(N272&gt;0,H272,"")</f>
        <v>251.6</v>
      </c>
      <c r="J272" s="593"/>
      <c r="K272" s="563">
        <f>IF(G272&lt;&gt;0,VLOOKUP(G272,'gia dat'!$A$1:$F$144,5,0)," ")</f>
        <v>554400</v>
      </c>
      <c r="L272" s="563">
        <f>IF(G272&lt;&gt;0,VLOOKUP(G272,'gia dat'!$A$1:$F$144,6,0)," ")</f>
        <v>1663200</v>
      </c>
      <c r="M272" s="564">
        <f t="shared" si="54"/>
        <v>139487000</v>
      </c>
      <c r="N272" s="564">
        <f t="shared" si="55"/>
        <v>418461000</v>
      </c>
      <c r="O272" s="586" t="s">
        <v>344</v>
      </c>
      <c r="P272" s="630">
        <v>25</v>
      </c>
      <c r="Q272" s="564">
        <f>IF(O272&lt;&gt;0,VLOOKUP(O272,'Cây trong'!$A$2:$C$246,3,0)," ")</f>
        <v>80000</v>
      </c>
      <c r="R272" s="564">
        <f t="shared" si="63"/>
        <v>2000000</v>
      </c>
      <c r="S272" s="586" t="s">
        <v>1905</v>
      </c>
      <c r="T272" s="609" t="s">
        <v>53</v>
      </c>
      <c r="U272" s="591">
        <v>7.8</v>
      </c>
      <c r="V272" s="611"/>
      <c r="W272" s="564">
        <f>IF(S272&lt;&gt;0,VLOOKUP(S272,VKT!$A$2:$G$415,7,0),"")</f>
        <v>441467</v>
      </c>
      <c r="X272" s="564">
        <f t="shared" si="53"/>
        <v>3443000</v>
      </c>
      <c r="Y272" s="589"/>
      <c r="Z272" s="592"/>
      <c r="AA272" s="592"/>
      <c r="AB272" s="568"/>
      <c r="AC272" s="592"/>
      <c r="AD272" s="592"/>
      <c r="AE272" s="606"/>
      <c r="AF272" s="590"/>
      <c r="AG272" s="570" t="str">
        <f>IF(AE272&lt;&gt;0,VLOOKUP(AE272,ODDS!$A$2:$C$13,3,0),"")</f>
        <v/>
      </c>
      <c r="AH272" s="570"/>
      <c r="AI272" s="571" t="str">
        <f t="shared" si="62"/>
        <v xml:space="preserve"> </v>
      </c>
      <c r="AJ272" s="558" t="s">
        <v>471</v>
      </c>
      <c r="AK272" s="586" t="s">
        <v>2771</v>
      </c>
      <c r="AM272" s="378" t="s">
        <v>2156</v>
      </c>
    </row>
    <row r="273" spans="1:37" s="376" customFormat="1" ht="81" outlineLevel="2" x14ac:dyDescent="0.3">
      <c r="A273" s="447">
        <f>IF(B272&lt;&gt;0,B272,A272)</f>
        <v>29</v>
      </c>
      <c r="B273" s="557"/>
      <c r="C273" s="572" t="s">
        <v>656</v>
      </c>
      <c r="D273" s="587"/>
      <c r="E273" s="587"/>
      <c r="F273" s="560"/>
      <c r="G273" s="558"/>
      <c r="H273" s="588"/>
      <c r="I273" s="546"/>
      <c r="J273" s="593"/>
      <c r="K273" s="563" t="str">
        <f>IF(G273&lt;&gt;0,VLOOKUP(G273,'gia dat'!$A$1:$F$144,5,0)," ")</f>
        <v xml:space="preserve"> </v>
      </c>
      <c r="L273" s="563" t="str">
        <f>IF(G273&lt;&gt;0,VLOOKUP(G273,'gia dat'!$A$1:$F$144,6,0)," ")</f>
        <v xml:space="preserve"> </v>
      </c>
      <c r="M273" s="564" t="str">
        <f t="shared" si="54"/>
        <v xml:space="preserve"> </v>
      </c>
      <c r="N273" s="564" t="str">
        <f t="shared" si="55"/>
        <v xml:space="preserve"> </v>
      </c>
      <c r="O273" s="586"/>
      <c r="P273" s="630"/>
      <c r="Q273" s="564" t="str">
        <f>IF(O273&lt;&gt;0,VLOOKUP(O273,'Cây trong'!$A$2:$C$246,3,0)," ")</f>
        <v xml:space="preserve"> </v>
      </c>
      <c r="R273" s="564" t="str">
        <f t="shared" si="63"/>
        <v xml:space="preserve"> </v>
      </c>
      <c r="S273" s="586"/>
      <c r="T273" s="609"/>
      <c r="U273" s="591"/>
      <c r="V273" s="611"/>
      <c r="W273" s="564" t="str">
        <f>IF(S273&lt;&gt;0,VLOOKUP(S273,VKT!$A$2:$G$415,7,0),"")</f>
        <v/>
      </c>
      <c r="X273" s="564" t="str">
        <f t="shared" si="53"/>
        <v xml:space="preserve"> </v>
      </c>
      <c r="Y273" s="589"/>
      <c r="Z273" s="592"/>
      <c r="AA273" s="592"/>
      <c r="AB273" s="568"/>
      <c r="AC273" s="592"/>
      <c r="AD273" s="592"/>
      <c r="AE273" s="592"/>
      <c r="AF273" s="590"/>
      <c r="AG273" s="570" t="str">
        <f>IF(AE273&lt;&gt;0,VLOOKUP(AE273,ODDS!$A$2:$C$13,3,0),"")</f>
        <v/>
      </c>
      <c r="AH273" s="570" t="str">
        <f t="shared" si="64"/>
        <v xml:space="preserve"> </v>
      </c>
      <c r="AI273" s="571" t="str">
        <f t="shared" si="62"/>
        <v xml:space="preserve"> </v>
      </c>
      <c r="AJ273" s="558" t="s">
        <v>472</v>
      </c>
      <c r="AK273" s="558" t="s">
        <v>2448</v>
      </c>
    </row>
    <row r="274" spans="1:37" s="376" customFormat="1" ht="121.5" outlineLevel="2" x14ac:dyDescent="0.3">
      <c r="A274" s="447">
        <f>IF(B273&lt;&gt;0,B273,A273)</f>
        <v>29</v>
      </c>
      <c r="B274" s="557"/>
      <c r="C274" s="558" t="s">
        <v>286</v>
      </c>
      <c r="D274" s="587"/>
      <c r="E274" s="587"/>
      <c r="F274" s="560"/>
      <c r="G274" s="558"/>
      <c r="H274" s="588"/>
      <c r="I274" s="546"/>
      <c r="J274" s="593"/>
      <c r="K274" s="563" t="str">
        <f>IF(G274&lt;&gt;0,VLOOKUP(G274,'gia dat'!$A$1:$F$144,5,0)," ")</f>
        <v xml:space="preserve"> </v>
      </c>
      <c r="L274" s="563" t="str">
        <f>IF(G274&lt;&gt;0,VLOOKUP(G274,'gia dat'!$A$1:$F$144,6,0)," ")</f>
        <v xml:space="preserve"> </v>
      </c>
      <c r="M274" s="564" t="str">
        <f t="shared" si="54"/>
        <v xml:space="preserve"> </v>
      </c>
      <c r="N274" s="564" t="str">
        <f t="shared" si="55"/>
        <v xml:space="preserve"> </v>
      </c>
      <c r="O274" s="586"/>
      <c r="P274" s="630"/>
      <c r="Q274" s="564" t="str">
        <f>IF(O274&lt;&gt;0,VLOOKUP(O274,'Cây trong'!$A$2:$C$246,3,0)," ")</f>
        <v xml:space="preserve"> </v>
      </c>
      <c r="R274" s="564" t="str">
        <f t="shared" si="63"/>
        <v xml:space="preserve"> </v>
      </c>
      <c r="S274" s="586"/>
      <c r="T274" s="609"/>
      <c r="U274" s="591"/>
      <c r="V274" s="611"/>
      <c r="W274" s="564" t="str">
        <f>IF(S274&lt;&gt;0,VLOOKUP(S274,VKT!$A$2:$G$415,7,0),"")</f>
        <v/>
      </c>
      <c r="X274" s="564" t="str">
        <f t="shared" si="53"/>
        <v xml:space="preserve"> </v>
      </c>
      <c r="Y274" s="589"/>
      <c r="Z274" s="592"/>
      <c r="AA274" s="592"/>
      <c r="AB274" s="568"/>
      <c r="AC274" s="592"/>
      <c r="AD274" s="592"/>
      <c r="AE274" s="592"/>
      <c r="AF274" s="590"/>
      <c r="AG274" s="570" t="str">
        <f>IF(AE274&lt;&gt;0,VLOOKUP(AE274,ODDS!$A$2:$C$13,3,0),"")</f>
        <v/>
      </c>
      <c r="AH274" s="570" t="str">
        <f t="shared" si="64"/>
        <v xml:space="preserve"> </v>
      </c>
      <c r="AI274" s="571" t="str">
        <f t="shared" si="62"/>
        <v xml:space="preserve"> </v>
      </c>
      <c r="AJ274" s="558" t="s">
        <v>2074</v>
      </c>
      <c r="AK274" s="558" t="s">
        <v>2450</v>
      </c>
    </row>
    <row r="275" spans="1:37" s="376" customFormat="1" ht="101.25" outlineLevel="2" x14ac:dyDescent="0.3">
      <c r="A275" s="447">
        <f>IF(B274&lt;&gt;0,B274,A274)</f>
        <v>29</v>
      </c>
      <c r="B275" s="557"/>
      <c r="C275" s="574"/>
      <c r="D275" s="587"/>
      <c r="E275" s="587"/>
      <c r="F275" s="615"/>
      <c r="G275" s="558"/>
      <c r="H275" s="604"/>
      <c r="I275" s="546"/>
      <c r="J275" s="593"/>
      <c r="K275" s="563" t="str">
        <f>IF(G275&lt;&gt;0,VLOOKUP(G275,'gia dat'!$A$1:$F$144,5,0)," ")</f>
        <v xml:space="preserve"> </v>
      </c>
      <c r="L275" s="563" t="str">
        <f>IF(G275&lt;&gt;0,VLOOKUP(G275,'gia dat'!$A$1:$F$144,6,0)," ")</f>
        <v xml:space="preserve"> </v>
      </c>
      <c r="M275" s="564" t="str">
        <f t="shared" si="54"/>
        <v xml:space="preserve"> </v>
      </c>
      <c r="N275" s="564" t="str">
        <f t="shared" si="55"/>
        <v xml:space="preserve"> </v>
      </c>
      <c r="O275" s="593"/>
      <c r="P275" s="616"/>
      <c r="Q275" s="564" t="str">
        <f>IF(O275&lt;&gt;0,VLOOKUP(O275,'Cây trong'!$A$2:$C$246,3,0)," ")</f>
        <v xml:space="preserve"> </v>
      </c>
      <c r="R275" s="564" t="str">
        <f t="shared" si="63"/>
        <v xml:space="preserve"> </v>
      </c>
      <c r="S275" s="593"/>
      <c r="T275" s="593"/>
      <c r="U275" s="617"/>
      <c r="V275" s="589"/>
      <c r="W275" s="564" t="str">
        <f>IF(S275&lt;&gt;0,VLOOKUP(S275,VKT!$A$2:$G$415,7,0),"")</f>
        <v/>
      </c>
      <c r="X275" s="564" t="str">
        <f t="shared" si="53"/>
        <v xml:space="preserve"> </v>
      </c>
      <c r="Y275" s="589"/>
      <c r="Z275" s="589"/>
      <c r="AA275" s="589"/>
      <c r="AB275" s="562"/>
      <c r="AC275" s="589"/>
      <c r="AD275" s="589"/>
      <c r="AE275" s="589"/>
      <c r="AF275" s="629"/>
      <c r="AG275" s="570" t="str">
        <f>IF(AE275&lt;&gt;0,VLOOKUP(AE275,ODDS!$A$2:$C$13,3,0),"")</f>
        <v/>
      </c>
      <c r="AH275" s="570" t="str">
        <f t="shared" si="64"/>
        <v xml:space="preserve"> </v>
      </c>
      <c r="AI275" s="571" t="str">
        <f t="shared" si="62"/>
        <v xml:space="preserve"> </v>
      </c>
      <c r="AJ275" s="575"/>
      <c r="AK275" s="558" t="s">
        <v>2449</v>
      </c>
    </row>
    <row r="276" spans="1:37" s="376" customFormat="1" ht="20.25" outlineLevel="2" x14ac:dyDescent="0.3">
      <c r="A276" s="447">
        <f>IF(B275&lt;&gt;0,B275,A275)</f>
        <v>29</v>
      </c>
      <c r="B276" s="557"/>
      <c r="C276" s="558"/>
      <c r="D276" s="587"/>
      <c r="E276" s="587"/>
      <c r="F276" s="560"/>
      <c r="G276" s="558"/>
      <c r="H276" s="588"/>
      <c r="I276" s="546"/>
      <c r="J276" s="593"/>
      <c r="K276" s="563" t="str">
        <f>IF(G276&lt;&gt;0,VLOOKUP(G276,'gia dat'!$A$1:$F$144,5,0)," ")</f>
        <v xml:space="preserve"> </v>
      </c>
      <c r="L276" s="563" t="str">
        <f>IF(G276&lt;&gt;0,VLOOKUP(G276,'gia dat'!$A$1:$F$144,6,0)," ")</f>
        <v xml:space="preserve"> </v>
      </c>
      <c r="M276" s="564" t="str">
        <f t="shared" si="54"/>
        <v xml:space="preserve"> </v>
      </c>
      <c r="N276" s="564" t="str">
        <f t="shared" si="55"/>
        <v xml:space="preserve"> </v>
      </c>
      <c r="O276" s="586"/>
      <c r="P276" s="630"/>
      <c r="Q276" s="564" t="str">
        <f>IF(O276&lt;&gt;0,VLOOKUP(O276,'Cây trong'!$A$2:$C$246,3,0)," ")</f>
        <v xml:space="preserve"> </v>
      </c>
      <c r="R276" s="564" t="str">
        <f t="shared" si="63"/>
        <v xml:space="preserve"> </v>
      </c>
      <c r="S276" s="586"/>
      <c r="T276" s="609"/>
      <c r="U276" s="591"/>
      <c r="V276" s="611"/>
      <c r="W276" s="564" t="str">
        <f>IF(S276&lt;&gt;0,VLOOKUP(S276,VKT!$A$2:$G$415,7,0),"")</f>
        <v/>
      </c>
      <c r="X276" s="564" t="str">
        <f t="shared" si="53"/>
        <v xml:space="preserve"> </v>
      </c>
      <c r="Y276" s="589"/>
      <c r="Z276" s="592"/>
      <c r="AA276" s="592"/>
      <c r="AB276" s="568"/>
      <c r="AC276" s="592"/>
      <c r="AD276" s="592"/>
      <c r="AE276" s="592"/>
      <c r="AF276" s="590"/>
      <c r="AG276" s="570" t="str">
        <f>IF(AE276&lt;&gt;0,VLOOKUP(AE276,ODDS!$A$2:$C$13,3,0),"")</f>
        <v/>
      </c>
      <c r="AH276" s="570" t="str">
        <f t="shared" si="64"/>
        <v xml:space="preserve"> </v>
      </c>
      <c r="AI276" s="571" t="str">
        <f t="shared" si="62"/>
        <v xml:space="preserve"> </v>
      </c>
      <c r="AJ276" s="575"/>
      <c r="AK276" s="593"/>
    </row>
    <row r="277" spans="1:37" s="376" customFormat="1" ht="20.25" outlineLevel="2" x14ac:dyDescent="0.3">
      <c r="A277" s="447">
        <f>IF(B276&lt;&gt;0,B276,A276)</f>
        <v>29</v>
      </c>
      <c r="B277" s="557"/>
      <c r="C277" s="643"/>
      <c r="D277" s="587"/>
      <c r="E277" s="587"/>
      <c r="F277" s="560"/>
      <c r="G277" s="558"/>
      <c r="H277" s="588"/>
      <c r="I277" s="546"/>
      <c r="J277" s="589"/>
      <c r="K277" s="563" t="str">
        <f>IF(G277&lt;&gt;0,VLOOKUP(G277,'gia dat'!$A$1:$F$144,5,0)," ")</f>
        <v xml:space="preserve"> </v>
      </c>
      <c r="L277" s="563" t="str">
        <f>IF(G277&lt;&gt;0,VLOOKUP(G277,'gia dat'!$A$1:$F$144,6,0)," ")</f>
        <v xml:space="preserve"> </v>
      </c>
      <c r="M277" s="564" t="str">
        <f t="shared" si="54"/>
        <v xml:space="preserve"> </v>
      </c>
      <c r="N277" s="564" t="str">
        <f t="shared" si="55"/>
        <v xml:space="preserve"> </v>
      </c>
      <c r="O277" s="558"/>
      <c r="P277" s="590"/>
      <c r="Q277" s="564" t="str">
        <f>IF(O277&lt;&gt;0,VLOOKUP(O277,'Cây trong'!$A$2:$C$246,3,0)," ")</f>
        <v xml:space="preserve"> </v>
      </c>
      <c r="R277" s="564" t="str">
        <f t="shared" si="63"/>
        <v xml:space="preserve"> </v>
      </c>
      <c r="S277" s="566"/>
      <c r="T277" s="589"/>
      <c r="U277" s="591"/>
      <c r="V277" s="589"/>
      <c r="W277" s="564" t="str">
        <f>IF(S277&lt;&gt;0,VLOOKUP(S277,VKT!$A$2:$G$415,7,0),"")</f>
        <v/>
      </c>
      <c r="X277" s="564" t="str">
        <f t="shared" si="53"/>
        <v xml:space="preserve"> </v>
      </c>
      <c r="Y277" s="589"/>
      <c r="Z277" s="592"/>
      <c r="AA277" s="592"/>
      <c r="AB277" s="568"/>
      <c r="AC277" s="592"/>
      <c r="AD277" s="592"/>
      <c r="AE277" s="592"/>
      <c r="AF277" s="590"/>
      <c r="AG277" s="570" t="str">
        <f>IF(AE277&lt;&gt;0,VLOOKUP(AE277,ODDS!$A$2:$C$13,3,0),"")</f>
        <v/>
      </c>
      <c r="AH277" s="570" t="str">
        <f t="shared" si="64"/>
        <v xml:space="preserve"> </v>
      </c>
      <c r="AI277" s="571" t="str">
        <f t="shared" si="62"/>
        <v xml:space="preserve"> </v>
      </c>
      <c r="AJ277" s="558"/>
      <c r="AK277" s="558"/>
    </row>
    <row r="278" spans="1:37" s="376" customFormat="1" ht="20.25" outlineLevel="1" x14ac:dyDescent="0.25">
      <c r="A278" s="467" t="s">
        <v>2680</v>
      </c>
      <c r="B278" s="576">
        <v>30</v>
      </c>
      <c r="C278" s="643" t="s">
        <v>32</v>
      </c>
      <c r="D278" s="595"/>
      <c r="E278" s="595"/>
      <c r="F278" s="577"/>
      <c r="G278" s="574"/>
      <c r="H278" s="618">
        <f>SUBTOTAL(9,H279:H307)</f>
        <v>249.6</v>
      </c>
      <c r="I278" s="579">
        <f>SUBTOTAL(9,I279:I284)</f>
        <v>0</v>
      </c>
      <c r="J278" s="597"/>
      <c r="K278" s="581"/>
      <c r="L278" s="581"/>
      <c r="M278" s="571">
        <f>SUBTOTAL(9,M279:M307)</f>
        <v>1823829000</v>
      </c>
      <c r="N278" s="571">
        <f>SUBTOTAL(9,N279:N307)</f>
        <v>0</v>
      </c>
      <c r="O278" s="574"/>
      <c r="P278" s="599">
        <f>SUBTOTAL(9,P279:P307)</f>
        <v>51</v>
      </c>
      <c r="Q278" s="571"/>
      <c r="R278" s="571">
        <f>SUBTOTAL(9,R279:R307)</f>
        <v>7718000</v>
      </c>
      <c r="S278" s="644"/>
      <c r="T278" s="645"/>
      <c r="U278" s="600">
        <f>SUBTOTAL(9,U279:U307)</f>
        <v>618.99999999999989</v>
      </c>
      <c r="V278" s="597"/>
      <c r="W278" s="571"/>
      <c r="X278" s="571">
        <f>SUBTOTAL(9,X279:X307)</f>
        <v>932776000</v>
      </c>
      <c r="Y278" s="589"/>
      <c r="Z278" s="592"/>
      <c r="AA278" s="592"/>
      <c r="AB278" s="568"/>
      <c r="AC278" s="592"/>
      <c r="AD278" s="568"/>
      <c r="AE278" s="602"/>
      <c r="AF278" s="581">
        <f>SUBTOTAL(9,AF279:AF307)</f>
        <v>2</v>
      </c>
      <c r="AG278" s="585"/>
      <c r="AH278" s="585">
        <f>SUBTOTAL(9,AH279:AH307)</f>
        <v>17000000</v>
      </c>
      <c r="AI278" s="571">
        <f t="shared" si="62"/>
        <v>2781323000</v>
      </c>
      <c r="AJ278" s="574"/>
      <c r="AK278" s="578"/>
    </row>
    <row r="279" spans="1:37" s="376" customFormat="1" ht="121.5" outlineLevel="2" x14ac:dyDescent="0.3">
      <c r="A279" s="447">
        <f>IF(B278&lt;&gt;0,B278,A277)</f>
        <v>30</v>
      </c>
      <c r="B279" s="557"/>
      <c r="C279" s="558" t="s">
        <v>144</v>
      </c>
      <c r="D279" s="587">
        <v>4</v>
      </c>
      <c r="E279" s="587">
        <v>86</v>
      </c>
      <c r="F279" s="560">
        <v>269</v>
      </c>
      <c r="G279" s="558" t="s">
        <v>2499</v>
      </c>
      <c r="H279" s="588">
        <v>42.3</v>
      </c>
      <c r="I279" s="546" t="str">
        <f t="shared" ref="I279:I281" si="66">IF(N279&gt;0,H279,"")</f>
        <v/>
      </c>
      <c r="J279" s="589"/>
      <c r="K279" s="563">
        <f>IF(G279&lt;&gt;0,VLOOKUP(G279,'gia dat'!$A$1:$F$144,5,0)," ")</f>
        <v>4645200</v>
      </c>
      <c r="L279" s="563">
        <f>IF(G279&lt;&gt;0,VLOOKUP(G279,'gia dat'!$A$1:$F$144,6,0)," ")</f>
        <v>0</v>
      </c>
      <c r="M279" s="564">
        <f t="shared" si="54"/>
        <v>196492000</v>
      </c>
      <c r="N279" s="564">
        <f t="shared" si="55"/>
        <v>0</v>
      </c>
      <c r="O279" s="558" t="s">
        <v>145</v>
      </c>
      <c r="P279" s="590">
        <v>1</v>
      </c>
      <c r="Q279" s="564">
        <f>IF(O279&lt;&gt;0,VLOOKUP(O279,'Cây trong'!$A$2:$C$246,3,0)," ")</f>
        <v>4240000</v>
      </c>
      <c r="R279" s="564">
        <f t="shared" si="63"/>
        <v>4240000</v>
      </c>
      <c r="S279" s="646" t="s">
        <v>1840</v>
      </c>
      <c r="T279" s="647" t="s">
        <v>53</v>
      </c>
      <c r="U279" s="591">
        <v>57</v>
      </c>
      <c r="V279" s="589"/>
      <c r="W279" s="564">
        <f>IF(S279&lt;&gt;0,VLOOKUP(S279,VKT!$A$2:$G$415,7,0),"")</f>
        <v>1676884</v>
      </c>
      <c r="X279" s="564">
        <f t="shared" si="53"/>
        <v>95582000</v>
      </c>
      <c r="Y279" s="589"/>
      <c r="Z279" s="592" t="s">
        <v>55</v>
      </c>
      <c r="AA279" s="592" t="s">
        <v>56</v>
      </c>
      <c r="AB279" s="568" t="s">
        <v>473</v>
      </c>
      <c r="AC279" s="592" t="s">
        <v>66</v>
      </c>
      <c r="AD279" s="568" t="s">
        <v>206</v>
      </c>
      <c r="AE279" s="569" t="s">
        <v>811</v>
      </c>
      <c r="AF279" s="563">
        <v>1</v>
      </c>
      <c r="AG279" s="570">
        <f>IF(AE279&lt;&gt;0,VLOOKUP(AE279,ODDS!$A$2:$C$13,3,0),"")</f>
        <v>0</v>
      </c>
      <c r="AH279" s="570">
        <f t="shared" si="64"/>
        <v>0</v>
      </c>
      <c r="AI279" s="571" t="str">
        <f t="shared" si="62"/>
        <v xml:space="preserve"> </v>
      </c>
      <c r="AJ279" s="558" t="s">
        <v>146</v>
      </c>
      <c r="AK279" s="586" t="s">
        <v>2797</v>
      </c>
    </row>
    <row r="280" spans="1:37" s="376" customFormat="1" ht="121.5" outlineLevel="2" x14ac:dyDescent="0.3">
      <c r="A280" s="447">
        <f t="shared" ref="A280:A307" si="67">IF(B279&lt;&gt;0,B279,A279)</f>
        <v>30</v>
      </c>
      <c r="B280" s="557"/>
      <c r="C280" s="628" t="s">
        <v>657</v>
      </c>
      <c r="D280" s="587"/>
      <c r="E280" s="587"/>
      <c r="F280" s="560"/>
      <c r="G280" s="558" t="s">
        <v>2794</v>
      </c>
      <c r="H280" s="588">
        <v>118.8</v>
      </c>
      <c r="I280" s="546" t="str">
        <f t="shared" si="66"/>
        <v/>
      </c>
      <c r="J280" s="589"/>
      <c r="K280" s="563">
        <f>IF(G280&lt;&gt;0,VLOOKUP(G280,'gia dat'!$A$1:$F$144,5,0)," ")</f>
        <v>6636000</v>
      </c>
      <c r="L280" s="563">
        <f>IF(G280&lt;&gt;0,VLOOKUP(G280,'gia dat'!$A$1:$F$144,6,0)," ")</f>
        <v>0</v>
      </c>
      <c r="M280" s="564">
        <f t="shared" si="54"/>
        <v>788357000</v>
      </c>
      <c r="N280" s="564">
        <f t="shared" si="55"/>
        <v>0</v>
      </c>
      <c r="O280" s="558" t="s">
        <v>147</v>
      </c>
      <c r="P280" s="590">
        <v>1</v>
      </c>
      <c r="Q280" s="564">
        <f>IF(O280&lt;&gt;0,VLOOKUP(O280,'Cây trong'!$A$2:$C$246,3,0)," ")</f>
        <v>979000</v>
      </c>
      <c r="R280" s="564">
        <f t="shared" si="63"/>
        <v>979000</v>
      </c>
      <c r="S280" s="646" t="s">
        <v>1827</v>
      </c>
      <c r="T280" s="647" t="s">
        <v>53</v>
      </c>
      <c r="U280" s="591">
        <v>75.5</v>
      </c>
      <c r="V280" s="589"/>
      <c r="W280" s="564">
        <f>IF(S280&lt;&gt;0,VLOOKUP(S280,VKT!$A$2:$G$415,7,0),"")</f>
        <v>5469063</v>
      </c>
      <c r="X280" s="564">
        <f t="shared" si="53"/>
        <v>412914000</v>
      </c>
      <c r="Y280" s="589" t="s">
        <v>63</v>
      </c>
      <c r="Z280" s="592" t="s">
        <v>55</v>
      </c>
      <c r="AA280" s="592" t="s">
        <v>56</v>
      </c>
      <c r="AB280" s="568" t="s">
        <v>57</v>
      </c>
      <c r="AC280" s="592" t="s">
        <v>63</v>
      </c>
      <c r="AD280" s="568" t="s">
        <v>206</v>
      </c>
      <c r="AE280" s="569"/>
      <c r="AF280" s="563"/>
      <c r="AG280" s="570"/>
      <c r="AH280" s="570"/>
      <c r="AI280" s="571" t="str">
        <f t="shared" si="62"/>
        <v xml:space="preserve"> </v>
      </c>
      <c r="AJ280" s="558" t="s">
        <v>474</v>
      </c>
      <c r="AK280" s="558" t="s">
        <v>2450</v>
      </c>
    </row>
    <row r="281" spans="1:37" s="376" customFormat="1" ht="101.25" outlineLevel="2" x14ac:dyDescent="0.3">
      <c r="A281" s="447">
        <f t="shared" si="67"/>
        <v>30</v>
      </c>
      <c r="B281" s="557"/>
      <c r="C281" s="558" t="s">
        <v>297</v>
      </c>
      <c r="D281" s="587"/>
      <c r="E281" s="587"/>
      <c r="F281" s="560"/>
      <c r="G281" s="558" t="s">
        <v>2795</v>
      </c>
      <c r="H281" s="588">
        <v>88.5</v>
      </c>
      <c r="I281" s="546" t="str">
        <f t="shared" si="66"/>
        <v/>
      </c>
      <c r="J281" s="589"/>
      <c r="K281" s="563">
        <f>IF(G281&lt;&gt;0,VLOOKUP(G281,'gia dat'!$A$1:$F$144,5,0)," ")</f>
        <v>9480000</v>
      </c>
      <c r="L281" s="563">
        <f>IF(G281&lt;&gt;0,VLOOKUP(G281,'gia dat'!$A$1:$F$144,6,0)," ")</f>
        <v>0</v>
      </c>
      <c r="M281" s="564">
        <f t="shared" si="54"/>
        <v>838980000</v>
      </c>
      <c r="N281" s="564">
        <f t="shared" si="55"/>
        <v>0</v>
      </c>
      <c r="O281" s="558" t="s">
        <v>735</v>
      </c>
      <c r="P281" s="590">
        <v>1</v>
      </c>
      <c r="Q281" s="564">
        <f>IF(O281&lt;&gt;0,VLOOKUP(O281,'Cây trong'!$A$2:$C$246,3,0)," ")</f>
        <v>165000</v>
      </c>
      <c r="R281" s="564">
        <f t="shared" si="63"/>
        <v>165000</v>
      </c>
      <c r="S281" s="646" t="s">
        <v>1886</v>
      </c>
      <c r="T281" s="647" t="s">
        <v>53</v>
      </c>
      <c r="U281" s="591">
        <v>3.68</v>
      </c>
      <c r="V281" s="589"/>
      <c r="W281" s="564">
        <f>IF(S281&lt;&gt;0,VLOOKUP(S281,VKT!$A$2:$G$415,7,0),"")</f>
        <v>9347414</v>
      </c>
      <c r="X281" s="564">
        <f t="shared" si="53"/>
        <v>34398000</v>
      </c>
      <c r="Y281" s="589" t="s">
        <v>63</v>
      </c>
      <c r="Z281" s="592" t="s">
        <v>63</v>
      </c>
      <c r="AA281" s="592" t="s">
        <v>56</v>
      </c>
      <c r="AB281" s="568" t="s">
        <v>57</v>
      </c>
      <c r="AC281" s="592" t="s">
        <v>63</v>
      </c>
      <c r="AD281" s="592"/>
      <c r="AE281" s="569" t="s">
        <v>2791</v>
      </c>
      <c r="AF281" s="590">
        <v>1</v>
      </c>
      <c r="AG281" s="570">
        <f>IF(AE281&lt;&gt;0,VLOOKUP(AE281,ODDS!$A$2:$C$13,3,0),"")</f>
        <v>17000000</v>
      </c>
      <c r="AH281" s="570">
        <f t="shared" si="64"/>
        <v>17000000</v>
      </c>
      <c r="AI281" s="571" t="str">
        <f t="shared" si="62"/>
        <v xml:space="preserve"> </v>
      </c>
      <c r="AJ281" s="558" t="s">
        <v>296</v>
      </c>
      <c r="AK281" s="558" t="s">
        <v>2449</v>
      </c>
    </row>
    <row r="282" spans="1:37" s="376" customFormat="1" ht="81" outlineLevel="2" x14ac:dyDescent="0.3">
      <c r="A282" s="447">
        <f t="shared" si="67"/>
        <v>30</v>
      </c>
      <c r="B282" s="557"/>
      <c r="C282" s="558"/>
      <c r="D282" s="587"/>
      <c r="E282" s="587"/>
      <c r="F282" s="560"/>
      <c r="G282" s="558"/>
      <c r="H282" s="588"/>
      <c r="I282" s="546"/>
      <c r="J282" s="589"/>
      <c r="K282" s="563" t="str">
        <f>IF(G282&lt;&gt;0,VLOOKUP(G282,'gia dat'!$A$1:$F$144,5,0)," ")</f>
        <v xml:space="preserve"> </v>
      </c>
      <c r="L282" s="563" t="str">
        <f>IF(G282&lt;&gt;0,VLOOKUP(G282,'gia dat'!$A$1:$F$144,6,0)," ")</f>
        <v xml:space="preserve"> </v>
      </c>
      <c r="M282" s="564" t="str">
        <f t="shared" si="54"/>
        <v xml:space="preserve"> </v>
      </c>
      <c r="N282" s="564" t="str">
        <f t="shared" si="55"/>
        <v xml:space="preserve"> </v>
      </c>
      <c r="O282" s="558" t="s">
        <v>736</v>
      </c>
      <c r="P282" s="590">
        <v>13</v>
      </c>
      <c r="Q282" s="564">
        <f>IF(O282&lt;&gt;0,VLOOKUP(O282,'Cây trong'!$A$2:$C$246,3,0)," ")</f>
        <v>32000</v>
      </c>
      <c r="R282" s="564">
        <f t="shared" si="63"/>
        <v>416000</v>
      </c>
      <c r="S282" s="566" t="s">
        <v>1863</v>
      </c>
      <c r="T282" s="589" t="s">
        <v>53</v>
      </c>
      <c r="U282" s="591">
        <v>20.399999999999999</v>
      </c>
      <c r="V282" s="589"/>
      <c r="W282" s="564">
        <f>IF(S282&lt;&gt;0,VLOOKUP(S282,VKT!$A$2:$G$415,7,0),"")</f>
        <v>1107311</v>
      </c>
      <c r="X282" s="564">
        <f t="shared" si="53"/>
        <v>22589000</v>
      </c>
      <c r="Y282" s="589"/>
      <c r="Z282" s="592" t="s">
        <v>55</v>
      </c>
      <c r="AA282" s="592" t="s">
        <v>56</v>
      </c>
      <c r="AB282" s="568" t="s">
        <v>475</v>
      </c>
      <c r="AC282" s="592" t="s">
        <v>66</v>
      </c>
      <c r="AD282" s="592"/>
      <c r="AE282" s="606"/>
      <c r="AF282" s="590"/>
      <c r="AG282" s="570" t="str">
        <f>IF(AE282&lt;&gt;0,VLOOKUP(AE282,ODDS!$A$2:$C$13,3,0),"")</f>
        <v/>
      </c>
      <c r="AH282" s="570" t="str">
        <f t="shared" si="64"/>
        <v xml:space="preserve"> </v>
      </c>
      <c r="AI282" s="571" t="str">
        <f t="shared" si="62"/>
        <v xml:space="preserve"> </v>
      </c>
      <c r="AJ282" s="574" t="s">
        <v>476</v>
      </c>
      <c r="AK282" s="558" t="s">
        <v>2451</v>
      </c>
    </row>
    <row r="283" spans="1:37" s="376" customFormat="1" ht="101.25" outlineLevel="2" x14ac:dyDescent="0.3">
      <c r="A283" s="447">
        <f t="shared" si="67"/>
        <v>30</v>
      </c>
      <c r="B283" s="557"/>
      <c r="C283" s="643"/>
      <c r="D283" s="587"/>
      <c r="E283" s="587"/>
      <c r="F283" s="560"/>
      <c r="G283" s="558"/>
      <c r="H283" s="588"/>
      <c r="I283" s="546"/>
      <c r="J283" s="589"/>
      <c r="K283" s="563" t="str">
        <f>IF(G283&lt;&gt;0,VLOOKUP(G283,'gia dat'!$A$1:$F$144,5,0)," ")</f>
        <v xml:space="preserve"> </v>
      </c>
      <c r="L283" s="563" t="str">
        <f>IF(G283&lt;&gt;0,VLOOKUP(G283,'gia dat'!$A$1:$F$144,6,0)," ")</f>
        <v xml:space="preserve"> </v>
      </c>
      <c r="M283" s="564" t="str">
        <f t="shared" si="54"/>
        <v xml:space="preserve"> </v>
      </c>
      <c r="N283" s="564" t="str">
        <f t="shared" si="55"/>
        <v xml:space="preserve"> </v>
      </c>
      <c r="O283" s="558" t="s">
        <v>737</v>
      </c>
      <c r="P283" s="590">
        <v>1</v>
      </c>
      <c r="Q283" s="564">
        <f>IF(O283&lt;&gt;0,VLOOKUP(O283,'Cây trong'!$A$2:$C$246,3,0)," ")</f>
        <v>0</v>
      </c>
      <c r="R283" s="564">
        <f t="shared" si="63"/>
        <v>0</v>
      </c>
      <c r="S283" s="566" t="s">
        <v>1844</v>
      </c>
      <c r="T283" s="589" t="s">
        <v>53</v>
      </c>
      <c r="U283" s="591">
        <v>23.4</v>
      </c>
      <c r="V283" s="589"/>
      <c r="W283" s="564">
        <f>IF(S283&lt;&gt;0,VLOOKUP(S283,VKT!$A$2:$G$415,7,0),"")</f>
        <v>770070</v>
      </c>
      <c r="X283" s="564">
        <f t="shared" si="53"/>
        <v>18020000</v>
      </c>
      <c r="Y283" s="589"/>
      <c r="Z283" s="592" t="s">
        <v>55</v>
      </c>
      <c r="AA283" s="592" t="s">
        <v>56</v>
      </c>
      <c r="AB283" s="568"/>
      <c r="AC283" s="592" t="s">
        <v>66</v>
      </c>
      <c r="AD283" s="592"/>
      <c r="AE283" s="592"/>
      <c r="AF283" s="590"/>
      <c r="AG283" s="570" t="str">
        <f>IF(AE283&lt;&gt;0,VLOOKUP(AE283,ODDS!$A$2:$C$13,3,0),"")</f>
        <v/>
      </c>
      <c r="AH283" s="570" t="str">
        <f t="shared" si="64"/>
        <v xml:space="preserve"> </v>
      </c>
      <c r="AI283" s="571" t="str">
        <f t="shared" si="62"/>
        <v xml:space="preserve"> </v>
      </c>
      <c r="AJ283" s="574"/>
      <c r="AK283" s="558" t="s">
        <v>2800</v>
      </c>
    </row>
    <row r="284" spans="1:37" s="376" customFormat="1" ht="101.25" outlineLevel="2" x14ac:dyDescent="0.3">
      <c r="A284" s="447">
        <f t="shared" si="67"/>
        <v>30</v>
      </c>
      <c r="B284" s="557"/>
      <c r="C284" s="648"/>
      <c r="D284" s="587"/>
      <c r="E284" s="587"/>
      <c r="F284" s="560"/>
      <c r="G284" s="558"/>
      <c r="H284" s="588"/>
      <c r="I284" s="546"/>
      <c r="J284" s="589"/>
      <c r="K284" s="563" t="str">
        <f>IF(G284&lt;&gt;0,VLOOKUP(G284,'gia dat'!$A$1:$F$144,5,0)," ")</f>
        <v xml:space="preserve"> </v>
      </c>
      <c r="L284" s="563" t="str">
        <f>IF(G284&lt;&gt;0,VLOOKUP(G284,'gia dat'!$A$1:$F$144,6,0)," ")</f>
        <v xml:space="preserve"> </v>
      </c>
      <c r="M284" s="564" t="str">
        <f t="shared" si="54"/>
        <v xml:space="preserve"> </v>
      </c>
      <c r="N284" s="564" t="str">
        <f t="shared" si="55"/>
        <v xml:space="preserve"> </v>
      </c>
      <c r="O284" s="646" t="s">
        <v>148</v>
      </c>
      <c r="P284" s="590">
        <v>2</v>
      </c>
      <c r="Q284" s="564">
        <f>IF(O284&lt;&gt;0,VLOOKUP(O284,'Cây trong'!$A$2:$C$246,3,0)," ")</f>
        <v>70000</v>
      </c>
      <c r="R284" s="564">
        <f t="shared" si="63"/>
        <v>140000</v>
      </c>
      <c r="S284" s="646" t="s">
        <v>2275</v>
      </c>
      <c r="T284" s="647" t="s">
        <v>53</v>
      </c>
      <c r="U284" s="591">
        <v>178.35</v>
      </c>
      <c r="V284" s="649"/>
      <c r="W284" s="564">
        <f>IF(S284&lt;&gt;0,VLOOKUP(S284,VKT!$A$2:$G$415,7,0),"")</f>
        <v>1116028</v>
      </c>
      <c r="X284" s="564">
        <f t="shared" si="53"/>
        <v>199044000</v>
      </c>
      <c r="Y284" s="589"/>
      <c r="Z284" s="592"/>
      <c r="AA284" s="592"/>
      <c r="AB284" s="568"/>
      <c r="AC284" s="592"/>
      <c r="AD284" s="592"/>
      <c r="AE284" s="592"/>
      <c r="AF284" s="590"/>
      <c r="AG284" s="570" t="str">
        <f>IF(AE284&lt;&gt;0,VLOOKUP(AE284,ODDS!$A$2:$C$13,3,0),"")</f>
        <v/>
      </c>
      <c r="AH284" s="570" t="str">
        <f t="shared" si="64"/>
        <v xml:space="preserve"> </v>
      </c>
      <c r="AI284" s="571" t="str">
        <f t="shared" si="62"/>
        <v xml:space="preserve"> </v>
      </c>
      <c r="AJ284" s="558"/>
      <c r="AK284" s="558"/>
    </row>
    <row r="285" spans="1:37" s="376" customFormat="1" ht="81" outlineLevel="2" x14ac:dyDescent="0.3">
      <c r="A285" s="447">
        <f t="shared" si="67"/>
        <v>30</v>
      </c>
      <c r="B285" s="557"/>
      <c r="C285" s="648"/>
      <c r="D285" s="587"/>
      <c r="E285" s="587"/>
      <c r="F285" s="560"/>
      <c r="G285" s="558"/>
      <c r="H285" s="588"/>
      <c r="I285" s="546"/>
      <c r="J285" s="589"/>
      <c r="K285" s="563" t="str">
        <f>IF(G285&lt;&gt;0,VLOOKUP(G285,'gia dat'!$A$1:$F$144,5,0)," ")</f>
        <v xml:space="preserve"> </v>
      </c>
      <c r="L285" s="563" t="str">
        <f>IF(G285&lt;&gt;0,VLOOKUP(G285,'gia dat'!$A$1:$F$144,6,0)," ")</f>
        <v xml:space="preserve"> </v>
      </c>
      <c r="M285" s="564" t="str">
        <f t="shared" si="54"/>
        <v xml:space="preserve"> </v>
      </c>
      <c r="N285" s="564" t="str">
        <f t="shared" si="55"/>
        <v xml:space="preserve"> </v>
      </c>
      <c r="O285" s="646" t="s">
        <v>149</v>
      </c>
      <c r="P285" s="590">
        <v>1</v>
      </c>
      <c r="Q285" s="564">
        <f>IF(O285&lt;&gt;0,VLOOKUP(O285,'Cây trong'!$A$2:$C$246,3,0)," ")</f>
        <v>146000</v>
      </c>
      <c r="R285" s="564">
        <f t="shared" si="63"/>
        <v>146000</v>
      </c>
      <c r="S285" s="646" t="s">
        <v>2276</v>
      </c>
      <c r="T285" s="647" t="s">
        <v>53</v>
      </c>
      <c r="U285" s="591">
        <v>100.45</v>
      </c>
      <c r="V285" s="649"/>
      <c r="W285" s="564">
        <f>IF(S285&lt;&gt;0,VLOOKUP(S285,VKT!$A$2:$G$415,7,0),"")</f>
        <v>1116028</v>
      </c>
      <c r="X285" s="564">
        <f t="shared" si="53"/>
        <v>112105000</v>
      </c>
      <c r="Y285" s="589"/>
      <c r="Z285" s="592"/>
      <c r="AA285" s="592"/>
      <c r="AB285" s="568"/>
      <c r="AC285" s="592"/>
      <c r="AD285" s="592"/>
      <c r="AE285" s="592"/>
      <c r="AF285" s="590"/>
      <c r="AG285" s="570" t="str">
        <f>IF(AE285&lt;&gt;0,VLOOKUP(AE285,ODDS!$A$2:$C$13,3,0),"")</f>
        <v/>
      </c>
      <c r="AH285" s="570" t="str">
        <f t="shared" si="64"/>
        <v xml:space="preserve"> </v>
      </c>
      <c r="AI285" s="571" t="str">
        <f t="shared" si="62"/>
        <v xml:space="preserve"> </v>
      </c>
      <c r="AJ285" s="593"/>
      <c r="AK285" s="593"/>
    </row>
    <row r="286" spans="1:37" s="376" customFormat="1" ht="40.5" outlineLevel="2" x14ac:dyDescent="0.3">
      <c r="A286" s="447">
        <f t="shared" si="67"/>
        <v>30</v>
      </c>
      <c r="B286" s="557"/>
      <c r="C286" s="558"/>
      <c r="D286" s="587"/>
      <c r="E286" s="587"/>
      <c r="F286" s="560"/>
      <c r="G286" s="558"/>
      <c r="H286" s="588"/>
      <c r="I286" s="546"/>
      <c r="J286" s="589"/>
      <c r="K286" s="563" t="str">
        <f>IF(G286&lt;&gt;0,VLOOKUP(G286,'gia dat'!$A$1:$F$144,5,0)," ")</f>
        <v xml:space="preserve"> </v>
      </c>
      <c r="L286" s="563" t="str">
        <f>IF(G286&lt;&gt;0,VLOOKUP(G286,'gia dat'!$A$1:$F$144,6,0)," ")</f>
        <v xml:space="preserve"> </v>
      </c>
      <c r="M286" s="564" t="str">
        <f t="shared" si="54"/>
        <v xml:space="preserve"> </v>
      </c>
      <c r="N286" s="564" t="str">
        <f t="shared" si="55"/>
        <v xml:space="preserve"> </v>
      </c>
      <c r="O286" s="646" t="s">
        <v>76</v>
      </c>
      <c r="P286" s="590">
        <v>3</v>
      </c>
      <c r="Q286" s="564">
        <f>IF(O286&lt;&gt;0,VLOOKUP(O286,'Cây trong'!$A$2:$C$246,3,0)," ")</f>
        <v>45000</v>
      </c>
      <c r="R286" s="564">
        <f t="shared" si="63"/>
        <v>135000</v>
      </c>
      <c r="S286" s="646" t="s">
        <v>1799</v>
      </c>
      <c r="T286" s="647" t="s">
        <v>53</v>
      </c>
      <c r="U286" s="591">
        <v>10.199999999999999</v>
      </c>
      <c r="V286" s="649"/>
      <c r="W286" s="564">
        <f>IF(S286&lt;&gt;0,VLOOKUP(S286,VKT!$A$2:$G$415,7,0),"")</f>
        <v>275180</v>
      </c>
      <c r="X286" s="564">
        <f t="shared" si="53"/>
        <v>2807000</v>
      </c>
      <c r="Y286" s="589"/>
      <c r="Z286" s="592"/>
      <c r="AA286" s="592"/>
      <c r="AB286" s="568"/>
      <c r="AC286" s="592"/>
      <c r="AD286" s="592"/>
      <c r="AE286" s="592"/>
      <c r="AF286" s="590"/>
      <c r="AG286" s="570" t="str">
        <f>IF(AE286&lt;&gt;0,VLOOKUP(AE286,ODDS!$A$2:$C$13,3,0),"")</f>
        <v/>
      </c>
      <c r="AH286" s="570" t="str">
        <f t="shared" si="64"/>
        <v xml:space="preserve"> </v>
      </c>
      <c r="AI286" s="571" t="str">
        <f t="shared" si="62"/>
        <v xml:space="preserve"> </v>
      </c>
      <c r="AJ286" s="593"/>
      <c r="AK286" s="593"/>
    </row>
    <row r="287" spans="1:37" s="376" customFormat="1" ht="40.5" outlineLevel="2" x14ac:dyDescent="0.3">
      <c r="A287" s="447">
        <f t="shared" si="67"/>
        <v>30</v>
      </c>
      <c r="B287" s="557"/>
      <c r="C287" s="558"/>
      <c r="D287" s="587"/>
      <c r="E287" s="587"/>
      <c r="F287" s="560"/>
      <c r="G287" s="558"/>
      <c r="H287" s="588"/>
      <c r="I287" s="546"/>
      <c r="J287" s="589"/>
      <c r="K287" s="563" t="str">
        <f>IF(G287&lt;&gt;0,VLOOKUP(G287,'gia dat'!$A$1:$F$144,5,0)," ")</f>
        <v xml:space="preserve"> </v>
      </c>
      <c r="L287" s="563" t="str">
        <f>IF(G287&lt;&gt;0,VLOOKUP(G287,'gia dat'!$A$1:$F$144,6,0)," ")</f>
        <v xml:space="preserve"> </v>
      </c>
      <c r="M287" s="564" t="str">
        <f t="shared" si="54"/>
        <v xml:space="preserve"> </v>
      </c>
      <c r="N287" s="564" t="str">
        <f t="shared" si="55"/>
        <v xml:space="preserve"> </v>
      </c>
      <c r="O287" s="646" t="s">
        <v>738</v>
      </c>
      <c r="P287" s="590">
        <v>10</v>
      </c>
      <c r="Q287" s="564">
        <f>IF(O287&lt;&gt;0,VLOOKUP(O287,'Cây trong'!$A$2:$C$246,3,0)," ")</f>
        <v>0</v>
      </c>
      <c r="R287" s="564">
        <f t="shared" si="63"/>
        <v>0</v>
      </c>
      <c r="S287" s="646" t="s">
        <v>1799</v>
      </c>
      <c r="T287" s="647" t="s">
        <v>53</v>
      </c>
      <c r="U287" s="591">
        <v>20.399999999999999</v>
      </c>
      <c r="V287" s="649"/>
      <c r="W287" s="564">
        <f>IF(S287&lt;&gt;0,VLOOKUP(S287,VKT!$A$2:$G$415,7,0),"")</f>
        <v>275180</v>
      </c>
      <c r="X287" s="564">
        <f t="shared" si="53"/>
        <v>5614000</v>
      </c>
      <c r="Y287" s="589"/>
      <c r="Z287" s="592"/>
      <c r="AA287" s="592"/>
      <c r="AB287" s="568"/>
      <c r="AC287" s="592"/>
      <c r="AD287" s="592"/>
      <c r="AE287" s="592"/>
      <c r="AF287" s="590"/>
      <c r="AG287" s="570" t="str">
        <f>IF(AE287&lt;&gt;0,VLOOKUP(AE287,ODDS!$A$2:$C$13,3,0),"")</f>
        <v/>
      </c>
      <c r="AH287" s="570" t="str">
        <f t="shared" si="64"/>
        <v xml:space="preserve"> </v>
      </c>
      <c r="AI287" s="571" t="str">
        <f t="shared" si="62"/>
        <v xml:space="preserve"> </v>
      </c>
      <c r="AJ287" s="593"/>
      <c r="AK287" s="593"/>
    </row>
    <row r="288" spans="1:37" s="376" customFormat="1" ht="40.5" outlineLevel="2" x14ac:dyDescent="0.3">
      <c r="A288" s="447">
        <f t="shared" si="67"/>
        <v>30</v>
      </c>
      <c r="B288" s="557"/>
      <c r="C288" s="558"/>
      <c r="D288" s="587"/>
      <c r="E288" s="587"/>
      <c r="F288" s="560"/>
      <c r="G288" s="558"/>
      <c r="H288" s="588"/>
      <c r="I288" s="546"/>
      <c r="J288" s="589"/>
      <c r="K288" s="563" t="str">
        <f>IF(G288&lt;&gt;0,VLOOKUP(G288,'gia dat'!$A$1:$F$144,5,0)," ")</f>
        <v xml:space="preserve"> </v>
      </c>
      <c r="L288" s="563" t="str">
        <f>IF(G288&lt;&gt;0,VLOOKUP(G288,'gia dat'!$A$1:$F$144,6,0)," ")</f>
        <v xml:space="preserve"> </v>
      </c>
      <c r="M288" s="564" t="str">
        <f t="shared" si="54"/>
        <v xml:space="preserve"> </v>
      </c>
      <c r="N288" s="564" t="str">
        <f t="shared" si="55"/>
        <v xml:space="preserve"> </v>
      </c>
      <c r="O288" s="646" t="s">
        <v>401</v>
      </c>
      <c r="P288" s="590">
        <v>15</v>
      </c>
      <c r="Q288" s="564">
        <f>IF(O288&lt;&gt;0,VLOOKUP(O288,'Cây trong'!$A$2:$C$246,3,0)," ")</f>
        <v>80000</v>
      </c>
      <c r="R288" s="564">
        <f t="shared" si="63"/>
        <v>1200000</v>
      </c>
      <c r="S288" s="646" t="s">
        <v>1799</v>
      </c>
      <c r="T288" s="647" t="s">
        <v>53</v>
      </c>
      <c r="U288" s="591">
        <v>23.4</v>
      </c>
      <c r="V288" s="649"/>
      <c r="W288" s="564">
        <f>IF(S288&lt;&gt;0,VLOOKUP(S288,VKT!$A$2:$G$415,7,0),"")</f>
        <v>275180</v>
      </c>
      <c r="X288" s="564">
        <f t="shared" si="53"/>
        <v>6439000</v>
      </c>
      <c r="Y288" s="589"/>
      <c r="Z288" s="592"/>
      <c r="AA288" s="592"/>
      <c r="AB288" s="568"/>
      <c r="AC288" s="592"/>
      <c r="AD288" s="592"/>
      <c r="AE288" s="592"/>
      <c r="AF288" s="590"/>
      <c r="AG288" s="570" t="str">
        <f>IF(AE288&lt;&gt;0,VLOOKUP(AE288,ODDS!$A$2:$C$13,3,0),"")</f>
        <v/>
      </c>
      <c r="AH288" s="570" t="str">
        <f t="shared" si="64"/>
        <v xml:space="preserve"> </v>
      </c>
      <c r="AI288" s="571" t="str">
        <f t="shared" si="62"/>
        <v xml:space="preserve"> </v>
      </c>
      <c r="AJ288" s="593"/>
      <c r="AK288" s="593"/>
    </row>
    <row r="289" spans="1:37" s="376" customFormat="1" ht="60.75" outlineLevel="2" x14ac:dyDescent="0.3">
      <c r="A289" s="447">
        <f t="shared" si="67"/>
        <v>30</v>
      </c>
      <c r="B289" s="557"/>
      <c r="C289" s="558"/>
      <c r="D289" s="587"/>
      <c r="E289" s="587"/>
      <c r="F289" s="560"/>
      <c r="G289" s="558"/>
      <c r="H289" s="588"/>
      <c r="I289" s="546"/>
      <c r="J289" s="589"/>
      <c r="K289" s="563" t="str">
        <f>IF(G289&lt;&gt;0,VLOOKUP(G289,'gia dat'!$A$1:$F$144,5,0)," ")</f>
        <v xml:space="preserve"> </v>
      </c>
      <c r="L289" s="563" t="str">
        <f>IF(G289&lt;&gt;0,VLOOKUP(G289,'gia dat'!$A$1:$F$144,6,0)," ")</f>
        <v xml:space="preserve"> </v>
      </c>
      <c r="M289" s="564" t="str">
        <f t="shared" si="54"/>
        <v xml:space="preserve"> </v>
      </c>
      <c r="N289" s="564" t="str">
        <f t="shared" si="55"/>
        <v xml:space="preserve"> </v>
      </c>
      <c r="O289" s="646" t="s">
        <v>739</v>
      </c>
      <c r="P289" s="590">
        <v>1</v>
      </c>
      <c r="Q289" s="564">
        <f>IF(O289&lt;&gt;0,VLOOKUP(O289,'Cây trong'!$A$2:$C$246,3,0)," ")</f>
        <v>72000</v>
      </c>
      <c r="R289" s="564">
        <f t="shared" si="63"/>
        <v>72000</v>
      </c>
      <c r="S289" s="646" t="s">
        <v>1767</v>
      </c>
      <c r="T289" s="647" t="s">
        <v>53</v>
      </c>
      <c r="U289" s="591">
        <v>4.05</v>
      </c>
      <c r="V289" s="649"/>
      <c r="W289" s="564">
        <f>IF(S289&lt;&gt;0,VLOOKUP(S289,VKT!$A$2:$G$415,7,0),"")</f>
        <v>0</v>
      </c>
      <c r="X289" s="564">
        <f t="shared" si="53"/>
        <v>0</v>
      </c>
      <c r="Y289" s="589"/>
      <c r="Z289" s="592"/>
      <c r="AA289" s="592"/>
      <c r="AB289" s="568"/>
      <c r="AC289" s="592"/>
      <c r="AD289" s="592"/>
      <c r="AE289" s="592"/>
      <c r="AF289" s="590"/>
      <c r="AG289" s="570" t="str">
        <f>IF(AE289&lt;&gt;0,VLOOKUP(AE289,ODDS!$A$2:$C$13,3,0),"")</f>
        <v/>
      </c>
      <c r="AH289" s="570" t="str">
        <f t="shared" si="64"/>
        <v xml:space="preserve"> </v>
      </c>
      <c r="AI289" s="571" t="str">
        <f t="shared" si="62"/>
        <v xml:space="preserve"> </v>
      </c>
      <c r="AJ289" s="593"/>
      <c r="AK289" s="593"/>
    </row>
    <row r="290" spans="1:37" s="376" customFormat="1" ht="40.5" outlineLevel="2" x14ac:dyDescent="0.3">
      <c r="A290" s="447">
        <f t="shared" si="67"/>
        <v>30</v>
      </c>
      <c r="B290" s="557"/>
      <c r="C290" s="558"/>
      <c r="D290" s="587"/>
      <c r="E290" s="587"/>
      <c r="F290" s="560"/>
      <c r="G290" s="558"/>
      <c r="H290" s="588"/>
      <c r="I290" s="546"/>
      <c r="J290" s="589"/>
      <c r="K290" s="563" t="str">
        <f>IF(G290&lt;&gt;0,VLOOKUP(G290,'gia dat'!$A$1:$F$144,5,0)," ")</f>
        <v xml:space="preserve"> </v>
      </c>
      <c r="L290" s="563" t="str">
        <f>IF(G290&lt;&gt;0,VLOOKUP(G290,'gia dat'!$A$1:$F$144,6,0)," ")</f>
        <v xml:space="preserve"> </v>
      </c>
      <c r="M290" s="564" t="str">
        <f t="shared" si="54"/>
        <v xml:space="preserve"> </v>
      </c>
      <c r="N290" s="564" t="str">
        <f t="shared" si="55"/>
        <v xml:space="preserve"> </v>
      </c>
      <c r="O290" s="646" t="s">
        <v>731</v>
      </c>
      <c r="P290" s="590">
        <v>1</v>
      </c>
      <c r="Q290" s="564">
        <f>IF(O290&lt;&gt;0,VLOOKUP(O290,'Cây trong'!$A$2:$C$246,3,0)," ")</f>
        <v>165000</v>
      </c>
      <c r="R290" s="564">
        <f t="shared" si="63"/>
        <v>165000</v>
      </c>
      <c r="S290" s="586" t="s">
        <v>1801</v>
      </c>
      <c r="T290" s="609" t="s">
        <v>78</v>
      </c>
      <c r="U290" s="591">
        <v>0.12</v>
      </c>
      <c r="V290" s="649"/>
      <c r="W290" s="564">
        <f>IF(S290&lt;&gt;0,VLOOKUP(S290,VKT!$A$2:$G$415,7,0),"")</f>
        <v>0</v>
      </c>
      <c r="X290" s="564">
        <f t="shared" si="53"/>
        <v>0</v>
      </c>
      <c r="Y290" s="589"/>
      <c r="Z290" s="592"/>
      <c r="AA290" s="592"/>
      <c r="AB290" s="568"/>
      <c r="AC290" s="592"/>
      <c r="AD290" s="592"/>
      <c r="AE290" s="592"/>
      <c r="AF290" s="590"/>
      <c r="AG290" s="570" t="str">
        <f>IF(AE290&lt;&gt;0,VLOOKUP(AE290,ODDS!$A$2:$C$13,3,0),"")</f>
        <v/>
      </c>
      <c r="AH290" s="570" t="str">
        <f t="shared" si="64"/>
        <v xml:space="preserve"> </v>
      </c>
      <c r="AI290" s="571" t="str">
        <f t="shared" si="62"/>
        <v xml:space="preserve"> </v>
      </c>
      <c r="AJ290" s="593"/>
      <c r="AK290" s="593"/>
    </row>
    <row r="291" spans="1:37" s="376" customFormat="1" ht="40.5" outlineLevel="2" x14ac:dyDescent="0.3">
      <c r="A291" s="447">
        <f t="shared" si="67"/>
        <v>30</v>
      </c>
      <c r="B291" s="557"/>
      <c r="C291" s="558"/>
      <c r="D291" s="587"/>
      <c r="E291" s="587"/>
      <c r="F291" s="560"/>
      <c r="G291" s="558"/>
      <c r="H291" s="588"/>
      <c r="I291" s="546"/>
      <c r="J291" s="589"/>
      <c r="K291" s="563" t="str">
        <f>IF(G291&lt;&gt;0,VLOOKUP(G291,'gia dat'!$A$1:$F$144,5,0)," ")</f>
        <v xml:space="preserve"> </v>
      </c>
      <c r="L291" s="563" t="str">
        <f>IF(G291&lt;&gt;0,VLOOKUP(G291,'gia dat'!$A$1:$F$144,6,0)," ")</f>
        <v xml:space="preserve"> </v>
      </c>
      <c r="M291" s="564" t="str">
        <f t="shared" si="54"/>
        <v xml:space="preserve"> </v>
      </c>
      <c r="N291" s="564" t="str">
        <f t="shared" si="55"/>
        <v xml:space="preserve"> </v>
      </c>
      <c r="O291" s="646" t="s">
        <v>740</v>
      </c>
      <c r="P291" s="590">
        <v>1</v>
      </c>
      <c r="Q291" s="564">
        <f>IF(O291&lt;&gt;0,VLOOKUP(O291,'Cây trong'!$A$2:$C$246,3,0)," ")</f>
        <v>60000</v>
      </c>
      <c r="R291" s="564">
        <f t="shared" si="63"/>
        <v>60000</v>
      </c>
      <c r="S291" s="586" t="s">
        <v>2277</v>
      </c>
      <c r="T291" s="609" t="s">
        <v>78</v>
      </c>
      <c r="U291" s="591">
        <v>15.48</v>
      </c>
      <c r="V291" s="649"/>
      <c r="W291" s="564">
        <f>IF(S291&lt;&gt;0,VLOOKUP(S291,VKT!$A$2:$G$415,7,0),"")</f>
        <v>0</v>
      </c>
      <c r="X291" s="564">
        <f t="shared" ref="X291:X357" si="68">IF(S291&lt;&gt;0,ROUND(U291*W291,-3)," ")</f>
        <v>0</v>
      </c>
      <c r="Y291" s="589"/>
      <c r="Z291" s="592"/>
      <c r="AA291" s="592"/>
      <c r="AB291" s="568"/>
      <c r="AC291" s="592"/>
      <c r="AD291" s="592"/>
      <c r="AE291" s="592"/>
      <c r="AF291" s="590"/>
      <c r="AG291" s="570" t="str">
        <f>IF(AE291&lt;&gt;0,VLOOKUP(AE291,ODDS!$A$2:$C$13,3,0),"")</f>
        <v/>
      </c>
      <c r="AH291" s="570" t="str">
        <f t="shared" si="64"/>
        <v xml:space="preserve"> </v>
      </c>
      <c r="AI291" s="571" t="str">
        <f t="shared" si="62"/>
        <v xml:space="preserve"> </v>
      </c>
      <c r="AJ291" s="593"/>
      <c r="AK291" s="593"/>
    </row>
    <row r="292" spans="1:37" s="376" customFormat="1" ht="40.5" outlineLevel="2" x14ac:dyDescent="0.3">
      <c r="A292" s="447">
        <f t="shared" si="67"/>
        <v>30</v>
      </c>
      <c r="B292" s="557"/>
      <c r="C292" s="558"/>
      <c r="D292" s="587"/>
      <c r="E292" s="587"/>
      <c r="F292" s="560"/>
      <c r="G292" s="558"/>
      <c r="H292" s="588"/>
      <c r="I292" s="546"/>
      <c r="J292" s="589"/>
      <c r="K292" s="563" t="str">
        <f>IF(G292&lt;&gt;0,VLOOKUP(G292,'gia dat'!$A$1:$F$144,5,0)," ")</f>
        <v xml:space="preserve"> </v>
      </c>
      <c r="L292" s="563" t="str">
        <f>IF(G292&lt;&gt;0,VLOOKUP(G292,'gia dat'!$A$1:$F$144,6,0)," ")</f>
        <v xml:space="preserve"> </v>
      </c>
      <c r="M292" s="564" t="str">
        <f t="shared" si="54"/>
        <v xml:space="preserve"> </v>
      </c>
      <c r="N292" s="564" t="str">
        <f t="shared" si="55"/>
        <v xml:space="preserve"> </v>
      </c>
      <c r="O292" s="593"/>
      <c r="P292" s="616"/>
      <c r="Q292" s="564" t="str">
        <f>IF(O292&lt;&gt;0,VLOOKUP(O292,'Cây trong'!$A$2:$C$246,3,0)," ")</f>
        <v xml:space="preserve"> </v>
      </c>
      <c r="R292" s="564" t="str">
        <f t="shared" si="63"/>
        <v xml:space="preserve"> </v>
      </c>
      <c r="S292" s="586" t="s">
        <v>2149</v>
      </c>
      <c r="T292" s="609" t="s">
        <v>78</v>
      </c>
      <c r="U292" s="591">
        <v>1.02</v>
      </c>
      <c r="V292" s="649"/>
      <c r="W292" s="564">
        <f>IF(S292&lt;&gt;0,VLOOKUP(S292,VKT!$A$2:$G$415,7,0),"")</f>
        <v>0</v>
      </c>
      <c r="X292" s="564">
        <f t="shared" si="68"/>
        <v>0</v>
      </c>
      <c r="Y292" s="589"/>
      <c r="Z292" s="592"/>
      <c r="AA292" s="592"/>
      <c r="AB292" s="568"/>
      <c r="AC292" s="592"/>
      <c r="AD292" s="592"/>
      <c r="AE292" s="592"/>
      <c r="AF292" s="590"/>
      <c r="AG292" s="570" t="str">
        <f>IF(AE292&lt;&gt;0,VLOOKUP(AE292,ODDS!$A$2:$C$13,3,0),"")</f>
        <v/>
      </c>
      <c r="AH292" s="570" t="str">
        <f t="shared" si="64"/>
        <v xml:space="preserve"> </v>
      </c>
      <c r="AI292" s="571" t="str">
        <f t="shared" si="62"/>
        <v xml:space="preserve"> </v>
      </c>
      <c r="AJ292" s="593"/>
      <c r="AK292" s="593"/>
    </row>
    <row r="293" spans="1:37" s="376" customFormat="1" ht="81" outlineLevel="2" x14ac:dyDescent="0.3">
      <c r="A293" s="447">
        <f t="shared" si="67"/>
        <v>30</v>
      </c>
      <c r="B293" s="557"/>
      <c r="C293" s="558"/>
      <c r="D293" s="587"/>
      <c r="E293" s="587"/>
      <c r="F293" s="560"/>
      <c r="G293" s="558"/>
      <c r="H293" s="588"/>
      <c r="I293" s="546"/>
      <c r="J293" s="593"/>
      <c r="K293" s="563" t="str">
        <f>IF(G293&lt;&gt;0,VLOOKUP(G293,'gia dat'!$A$1:$F$144,5,0)," ")</f>
        <v xml:space="preserve"> </v>
      </c>
      <c r="L293" s="563" t="str">
        <f>IF(G293&lt;&gt;0,VLOOKUP(G293,'gia dat'!$A$1:$F$144,6,0)," ")</f>
        <v xml:space="preserve"> </v>
      </c>
      <c r="M293" s="564" t="str">
        <f t="shared" si="54"/>
        <v xml:space="preserve"> </v>
      </c>
      <c r="N293" s="564" t="str">
        <f t="shared" si="55"/>
        <v xml:space="preserve"> </v>
      </c>
      <c r="O293" s="586"/>
      <c r="P293" s="630"/>
      <c r="Q293" s="564" t="str">
        <f>IF(O293&lt;&gt;0,VLOOKUP(O293,'Cây trong'!$A$2:$C$246,3,0)," ")</f>
        <v xml:space="preserve"> </v>
      </c>
      <c r="R293" s="564" t="str">
        <f t="shared" si="63"/>
        <v xml:space="preserve"> </v>
      </c>
      <c r="S293" s="586" t="s">
        <v>2278</v>
      </c>
      <c r="T293" s="609" t="s">
        <v>78</v>
      </c>
      <c r="U293" s="591">
        <v>2.15</v>
      </c>
      <c r="V293" s="589"/>
      <c r="W293" s="564">
        <f>IF(S293&lt;&gt;0,VLOOKUP(S293,VKT!$A$2:$G$415,7,0),"")</f>
        <v>3135130</v>
      </c>
      <c r="X293" s="564">
        <f t="shared" si="68"/>
        <v>6741000</v>
      </c>
      <c r="Y293" s="589"/>
      <c r="Z293" s="592"/>
      <c r="AA293" s="592"/>
      <c r="AB293" s="568"/>
      <c r="AC293" s="592"/>
      <c r="AD293" s="592"/>
      <c r="AE293" s="592"/>
      <c r="AF293" s="590"/>
      <c r="AG293" s="570" t="str">
        <f>IF(AE293&lt;&gt;0,VLOOKUP(AE293,ODDS!$A$2:$C$13,3,0),"")</f>
        <v/>
      </c>
      <c r="AH293" s="570" t="str">
        <f t="shared" si="64"/>
        <v xml:space="preserve"> </v>
      </c>
      <c r="AI293" s="571" t="str">
        <f t="shared" si="62"/>
        <v xml:space="preserve"> </v>
      </c>
      <c r="AJ293" s="593"/>
      <c r="AK293" s="593"/>
    </row>
    <row r="294" spans="1:37" s="376" customFormat="1" ht="60.75" outlineLevel="2" x14ac:dyDescent="0.3">
      <c r="A294" s="447">
        <f t="shared" si="67"/>
        <v>30</v>
      </c>
      <c r="B294" s="557"/>
      <c r="C294" s="558"/>
      <c r="D294" s="587"/>
      <c r="E294" s="587"/>
      <c r="F294" s="560"/>
      <c r="G294" s="558"/>
      <c r="H294" s="588"/>
      <c r="I294" s="546"/>
      <c r="J294" s="593"/>
      <c r="K294" s="563" t="str">
        <f>IF(G294&lt;&gt;0,VLOOKUP(G294,'gia dat'!$A$1:$F$144,5,0)," ")</f>
        <v xml:space="preserve"> </v>
      </c>
      <c r="L294" s="563" t="str">
        <f>IF(G294&lt;&gt;0,VLOOKUP(G294,'gia dat'!$A$1:$F$144,6,0)," ")</f>
        <v xml:space="preserve"> </v>
      </c>
      <c r="M294" s="564" t="str">
        <f t="shared" si="54"/>
        <v xml:space="preserve"> </v>
      </c>
      <c r="N294" s="564" t="str">
        <f t="shared" si="55"/>
        <v xml:space="preserve"> </v>
      </c>
      <c r="O294" s="586"/>
      <c r="P294" s="630"/>
      <c r="Q294" s="564" t="str">
        <f>IF(O294&lt;&gt;0,VLOOKUP(O294,'Cây trong'!$A$2:$C$246,3,0)," ")</f>
        <v xml:space="preserve"> </v>
      </c>
      <c r="R294" s="564" t="str">
        <f t="shared" si="63"/>
        <v xml:space="preserve"> </v>
      </c>
      <c r="S294" s="586" t="s">
        <v>2279</v>
      </c>
      <c r="T294" s="609" t="s">
        <v>101</v>
      </c>
      <c r="U294" s="591">
        <v>4</v>
      </c>
      <c r="V294" s="589"/>
      <c r="W294" s="564">
        <f>IF(S294&lt;&gt;0,VLOOKUP(S294,VKT!$A$2:$G$415,7,0),"")</f>
        <v>85020</v>
      </c>
      <c r="X294" s="564">
        <f t="shared" si="68"/>
        <v>340000</v>
      </c>
      <c r="Y294" s="589"/>
      <c r="Z294" s="592"/>
      <c r="AA294" s="592"/>
      <c r="AB294" s="568"/>
      <c r="AC294" s="592"/>
      <c r="AD294" s="592"/>
      <c r="AE294" s="592"/>
      <c r="AF294" s="590"/>
      <c r="AG294" s="570" t="str">
        <f>IF(AE294&lt;&gt;0,VLOOKUP(AE294,ODDS!$A$2:$C$13,3,0),"")</f>
        <v/>
      </c>
      <c r="AH294" s="570" t="str">
        <f t="shared" si="64"/>
        <v xml:space="preserve"> </v>
      </c>
      <c r="AI294" s="571" t="str">
        <f t="shared" si="62"/>
        <v xml:space="preserve"> </v>
      </c>
      <c r="AJ294" s="593"/>
      <c r="AK294" s="593"/>
    </row>
    <row r="295" spans="1:37" s="376" customFormat="1" ht="60.75" outlineLevel="2" x14ac:dyDescent="0.3">
      <c r="A295" s="447">
        <f t="shared" si="67"/>
        <v>30</v>
      </c>
      <c r="B295" s="557"/>
      <c r="C295" s="574"/>
      <c r="D295" s="587"/>
      <c r="E295" s="587"/>
      <c r="F295" s="560"/>
      <c r="G295" s="558"/>
      <c r="H295" s="588"/>
      <c r="I295" s="546"/>
      <c r="J295" s="593"/>
      <c r="K295" s="563" t="str">
        <f>IF(G295&lt;&gt;0,VLOOKUP(G295,'gia dat'!$A$1:$F$144,5,0)," ")</f>
        <v xml:space="preserve"> </v>
      </c>
      <c r="L295" s="563" t="str">
        <f>IF(G295&lt;&gt;0,VLOOKUP(G295,'gia dat'!$A$1:$F$144,6,0)," ")</f>
        <v xml:space="preserve"> </v>
      </c>
      <c r="M295" s="564" t="str">
        <f t="shared" ref="M295:M361" si="69">IF(H295&lt;&gt;0,ROUND(H295*K295,-3)," ")</f>
        <v xml:space="preserve"> </v>
      </c>
      <c r="N295" s="564" t="str">
        <f t="shared" ref="N295:N361" si="70">IF(H295&lt;&gt;0,ROUND(H295*L295,-3)," ")</f>
        <v xml:space="preserve"> </v>
      </c>
      <c r="O295" s="586"/>
      <c r="P295" s="630"/>
      <c r="Q295" s="564" t="str">
        <f>IF(O295&lt;&gt;0,VLOOKUP(O295,'Cây trong'!$A$2:$C$246,3,0)," ")</f>
        <v xml:space="preserve"> </v>
      </c>
      <c r="R295" s="564" t="str">
        <f t="shared" si="63"/>
        <v xml:space="preserve"> </v>
      </c>
      <c r="S295" s="586" t="s">
        <v>2280</v>
      </c>
      <c r="T295" s="609" t="s">
        <v>101</v>
      </c>
      <c r="U295" s="591">
        <v>6</v>
      </c>
      <c r="V295" s="589"/>
      <c r="W295" s="564">
        <f>IF(S295&lt;&gt;0,VLOOKUP(S295,VKT!$A$2:$G$415,7,0),"")</f>
        <v>107278</v>
      </c>
      <c r="X295" s="564">
        <f t="shared" si="68"/>
        <v>644000</v>
      </c>
      <c r="Y295" s="589"/>
      <c r="Z295" s="592"/>
      <c r="AA295" s="592"/>
      <c r="AB295" s="568"/>
      <c r="AC295" s="592"/>
      <c r="AD295" s="592"/>
      <c r="AE295" s="592"/>
      <c r="AF295" s="590"/>
      <c r="AG295" s="570" t="str">
        <f>IF(AE295&lt;&gt;0,VLOOKUP(AE295,ODDS!$A$2:$C$13,3,0),"")</f>
        <v/>
      </c>
      <c r="AH295" s="570" t="str">
        <f t="shared" si="64"/>
        <v xml:space="preserve"> </v>
      </c>
      <c r="AI295" s="571" t="str">
        <f t="shared" si="62"/>
        <v xml:space="preserve"> </v>
      </c>
      <c r="AJ295" s="593"/>
      <c r="AK295" s="593"/>
    </row>
    <row r="296" spans="1:37" s="376" customFormat="1" ht="40.5" outlineLevel="2" x14ac:dyDescent="0.3">
      <c r="A296" s="447">
        <f t="shared" si="67"/>
        <v>30</v>
      </c>
      <c r="B296" s="557"/>
      <c r="C296" s="574"/>
      <c r="D296" s="587"/>
      <c r="E296" s="587"/>
      <c r="F296" s="560"/>
      <c r="G296" s="558"/>
      <c r="H296" s="588"/>
      <c r="I296" s="546"/>
      <c r="J296" s="593"/>
      <c r="K296" s="563" t="str">
        <f>IF(G296&lt;&gt;0,VLOOKUP(G296,'gia dat'!$A$1:$F$144,5,0)," ")</f>
        <v xml:space="preserve"> </v>
      </c>
      <c r="L296" s="563" t="str">
        <f>IF(G296&lt;&gt;0,VLOOKUP(G296,'gia dat'!$A$1:$F$144,6,0)," ")</f>
        <v xml:space="preserve"> </v>
      </c>
      <c r="M296" s="564" t="str">
        <f t="shared" si="69"/>
        <v xml:space="preserve"> </v>
      </c>
      <c r="N296" s="564" t="str">
        <f t="shared" si="70"/>
        <v xml:space="preserve"> </v>
      </c>
      <c r="O296" s="586"/>
      <c r="P296" s="630"/>
      <c r="Q296" s="564" t="str">
        <f>IF(O296&lt;&gt;0,VLOOKUP(O296,'Cây trong'!$A$2:$C$246,3,0)," ")</f>
        <v xml:space="preserve"> </v>
      </c>
      <c r="R296" s="564" t="str">
        <f t="shared" si="63"/>
        <v xml:space="preserve"> </v>
      </c>
      <c r="S296" s="586" t="s">
        <v>2281</v>
      </c>
      <c r="T296" s="609" t="s">
        <v>53</v>
      </c>
      <c r="U296" s="591">
        <v>15.4</v>
      </c>
      <c r="V296" s="589"/>
      <c r="W296" s="564">
        <f>IF(S296&lt;&gt;0,VLOOKUP(S296,VKT!$A$2:$G$415,7,0),"")</f>
        <v>0</v>
      </c>
      <c r="X296" s="564">
        <f t="shared" si="68"/>
        <v>0</v>
      </c>
      <c r="Y296" s="589"/>
      <c r="Z296" s="592"/>
      <c r="AA296" s="592"/>
      <c r="AB296" s="568"/>
      <c r="AC296" s="592"/>
      <c r="AD296" s="592"/>
      <c r="AE296" s="592"/>
      <c r="AF296" s="590"/>
      <c r="AG296" s="570" t="str">
        <f>IF(AE296&lt;&gt;0,VLOOKUP(AE296,ODDS!$A$2:$C$13,3,0),"")</f>
        <v/>
      </c>
      <c r="AH296" s="570" t="str">
        <f t="shared" si="64"/>
        <v xml:space="preserve"> </v>
      </c>
      <c r="AI296" s="571" t="str">
        <f t="shared" si="62"/>
        <v xml:space="preserve"> </v>
      </c>
      <c r="AJ296" s="593"/>
      <c r="AK296" s="593"/>
    </row>
    <row r="297" spans="1:37" s="376" customFormat="1" ht="60.75" outlineLevel="2" x14ac:dyDescent="0.3">
      <c r="A297" s="447">
        <f t="shared" si="67"/>
        <v>30</v>
      </c>
      <c r="B297" s="557"/>
      <c r="C297" s="574"/>
      <c r="D297" s="595"/>
      <c r="E297" s="594"/>
      <c r="F297" s="577"/>
      <c r="G297" s="574"/>
      <c r="H297" s="588"/>
      <c r="I297" s="546"/>
      <c r="J297" s="608"/>
      <c r="K297" s="563" t="str">
        <f>IF(G297&lt;&gt;0,VLOOKUP(G297,'gia dat'!$A$1:$F$144,5,0)," ")</f>
        <v xml:space="preserve"> </v>
      </c>
      <c r="L297" s="563" t="str">
        <f>IF(G297&lt;&gt;0,VLOOKUP(G297,'gia dat'!$A$1:$F$144,6,0)," ")</f>
        <v xml:space="preserve"> </v>
      </c>
      <c r="M297" s="564" t="str">
        <f t="shared" si="69"/>
        <v xml:space="preserve"> </v>
      </c>
      <c r="N297" s="564" t="str">
        <f t="shared" si="70"/>
        <v xml:space="preserve"> </v>
      </c>
      <c r="O297" s="578"/>
      <c r="P297" s="633"/>
      <c r="Q297" s="564" t="str">
        <f>IF(O297&lt;&gt;0,VLOOKUP(O297,'Cây trong'!$A$2:$C$246,3,0)," ")</f>
        <v xml:space="preserve"> </v>
      </c>
      <c r="R297" s="564" t="str">
        <f t="shared" si="63"/>
        <v xml:space="preserve"> </v>
      </c>
      <c r="S297" s="586" t="s">
        <v>1825</v>
      </c>
      <c r="T297" s="609" t="s">
        <v>93</v>
      </c>
      <c r="U297" s="591">
        <v>1</v>
      </c>
      <c r="V297" s="610"/>
      <c r="W297" s="564">
        <f>IF(S297&lt;&gt;0,VLOOKUP(S297,VKT!$A$2:$G$415,7,0),"")</f>
        <v>0</v>
      </c>
      <c r="X297" s="564">
        <f t="shared" si="68"/>
        <v>0</v>
      </c>
      <c r="Y297" s="601"/>
      <c r="Z297" s="580"/>
      <c r="AA297" s="601"/>
      <c r="AB297" s="584"/>
      <c r="AC297" s="601"/>
      <c r="AD297" s="601"/>
      <c r="AE297" s="601"/>
      <c r="AF297" s="599"/>
      <c r="AG297" s="570" t="str">
        <f>IF(AE297&lt;&gt;0,VLOOKUP(AE297,ODDS!$A$2:$C$13,3,0),"")</f>
        <v/>
      </c>
      <c r="AH297" s="570" t="str">
        <f t="shared" si="64"/>
        <v xml:space="preserve"> </v>
      </c>
      <c r="AI297" s="571" t="str">
        <f t="shared" si="62"/>
        <v xml:space="preserve"> </v>
      </c>
      <c r="AJ297" s="650"/>
      <c r="AK297" s="650"/>
    </row>
    <row r="298" spans="1:37" s="376" customFormat="1" ht="60.75" outlineLevel="2" x14ac:dyDescent="0.3">
      <c r="A298" s="447">
        <f t="shared" si="67"/>
        <v>30</v>
      </c>
      <c r="B298" s="557"/>
      <c r="C298" s="558"/>
      <c r="D298" s="603"/>
      <c r="E298" s="587"/>
      <c r="F298" s="560"/>
      <c r="G298" s="558"/>
      <c r="H298" s="588"/>
      <c r="I298" s="546"/>
      <c r="J298" s="593"/>
      <c r="K298" s="563" t="str">
        <f>IF(G298&lt;&gt;0,VLOOKUP(G298,'gia dat'!$A$1:$F$144,5,0)," ")</f>
        <v xml:space="preserve"> </v>
      </c>
      <c r="L298" s="563" t="str">
        <f>IF(G298&lt;&gt;0,VLOOKUP(G298,'gia dat'!$A$1:$F$144,6,0)," ")</f>
        <v xml:space="preserve"> </v>
      </c>
      <c r="M298" s="564" t="str">
        <f t="shared" si="69"/>
        <v xml:space="preserve"> </v>
      </c>
      <c r="N298" s="564" t="str">
        <f t="shared" si="70"/>
        <v xml:space="preserve"> </v>
      </c>
      <c r="O298" s="586"/>
      <c r="P298" s="630"/>
      <c r="Q298" s="564" t="str">
        <f>IF(O298&lt;&gt;0,VLOOKUP(O298,'Cây trong'!$A$2:$C$246,3,0)," ")</f>
        <v xml:space="preserve"> </v>
      </c>
      <c r="R298" s="564" t="str">
        <f t="shared" si="63"/>
        <v xml:space="preserve"> </v>
      </c>
      <c r="S298" s="586" t="s">
        <v>2282</v>
      </c>
      <c r="T298" s="609" t="s">
        <v>53</v>
      </c>
      <c r="U298" s="591">
        <v>57</v>
      </c>
      <c r="V298" s="611"/>
      <c r="W298" s="564">
        <f>IF(S298&lt;&gt;0,VLOOKUP(S298,VKT!$A$2:$G$415,7,0),"")</f>
        <v>272615</v>
      </c>
      <c r="X298" s="564">
        <f t="shared" si="68"/>
        <v>15539000</v>
      </c>
      <c r="Y298" s="562"/>
      <c r="Z298" s="592"/>
      <c r="AA298" s="592"/>
      <c r="AB298" s="568"/>
      <c r="AC298" s="592"/>
      <c r="AD298" s="592"/>
      <c r="AE298" s="592"/>
      <c r="AF298" s="590"/>
      <c r="AG298" s="570" t="str">
        <f>IF(AE298&lt;&gt;0,VLOOKUP(AE298,ODDS!$A$2:$C$13,3,0),"")</f>
        <v/>
      </c>
      <c r="AH298" s="570" t="str">
        <f t="shared" si="64"/>
        <v xml:space="preserve"> </v>
      </c>
      <c r="AI298" s="571" t="str">
        <f t="shared" si="62"/>
        <v xml:space="preserve"> </v>
      </c>
      <c r="AJ298" s="586"/>
      <c r="AK298" s="586"/>
    </row>
    <row r="299" spans="1:37" s="376" customFormat="1" ht="20.25" outlineLevel="2" x14ac:dyDescent="0.3">
      <c r="A299" s="447">
        <f t="shared" si="67"/>
        <v>30</v>
      </c>
      <c r="B299" s="557"/>
      <c r="C299" s="558"/>
      <c r="D299" s="603"/>
      <c r="E299" s="587"/>
      <c r="F299" s="560"/>
      <c r="G299" s="558"/>
      <c r="H299" s="588"/>
      <c r="I299" s="546"/>
      <c r="J299" s="593"/>
      <c r="K299" s="563" t="str">
        <f>IF(G299&lt;&gt;0,VLOOKUP(G299,'gia dat'!$A$1:$F$144,5,0)," ")</f>
        <v xml:space="preserve"> </v>
      </c>
      <c r="L299" s="563" t="str">
        <f>IF(G299&lt;&gt;0,VLOOKUP(G299,'gia dat'!$A$1:$F$144,6,0)," ")</f>
        <v xml:space="preserve"> </v>
      </c>
      <c r="M299" s="564" t="str">
        <f t="shared" si="69"/>
        <v xml:space="preserve"> </v>
      </c>
      <c r="N299" s="564" t="str">
        <f t="shared" si="70"/>
        <v xml:space="preserve"> </v>
      </c>
      <c r="O299" s="586"/>
      <c r="P299" s="630"/>
      <c r="Q299" s="564" t="str">
        <f>IF(O299&lt;&gt;0,VLOOKUP(O299,'Cây trong'!$A$2:$C$246,3,0)," ")</f>
        <v xml:space="preserve"> </v>
      </c>
      <c r="R299" s="564" t="str">
        <f t="shared" si="63"/>
        <v xml:space="preserve"> </v>
      </c>
      <c r="S299" s="593"/>
      <c r="T299" s="593"/>
      <c r="U299" s="617"/>
      <c r="V299" s="611"/>
      <c r="W299" s="564" t="str">
        <f>IF(S299&lt;&gt;0,VLOOKUP(S299,VKT!$A$2:$G$415,7,0),"")</f>
        <v/>
      </c>
      <c r="X299" s="564" t="str">
        <f t="shared" si="68"/>
        <v xml:space="preserve"> </v>
      </c>
      <c r="Y299" s="562"/>
      <c r="Z299" s="592"/>
      <c r="AA299" s="592"/>
      <c r="AB299" s="568"/>
      <c r="AC299" s="592"/>
      <c r="AD299" s="592"/>
      <c r="AE299" s="592"/>
      <c r="AF299" s="590"/>
      <c r="AG299" s="570" t="str">
        <f>IF(AE299&lt;&gt;0,VLOOKUP(AE299,ODDS!$A$2:$C$13,3,0),"")</f>
        <v/>
      </c>
      <c r="AH299" s="570" t="str">
        <f t="shared" si="64"/>
        <v xml:space="preserve"> </v>
      </c>
      <c r="AI299" s="571" t="str">
        <f t="shared" si="62"/>
        <v xml:space="preserve"> </v>
      </c>
      <c r="AJ299" s="586"/>
      <c r="AK299" s="586"/>
    </row>
    <row r="300" spans="1:37" s="376" customFormat="1" ht="20.25" outlineLevel="2" x14ac:dyDescent="0.3">
      <c r="A300" s="447">
        <f t="shared" si="67"/>
        <v>30</v>
      </c>
      <c r="B300" s="557"/>
      <c r="C300" s="558"/>
      <c r="D300" s="603"/>
      <c r="E300" s="587"/>
      <c r="F300" s="560"/>
      <c r="G300" s="558"/>
      <c r="H300" s="588"/>
      <c r="I300" s="546"/>
      <c r="J300" s="593"/>
      <c r="K300" s="563" t="str">
        <f>IF(G300&lt;&gt;0,VLOOKUP(G300,'gia dat'!$A$1:$F$144,5,0)," ")</f>
        <v xml:space="preserve"> </v>
      </c>
      <c r="L300" s="563" t="str">
        <f>IF(G300&lt;&gt;0,VLOOKUP(G300,'gia dat'!$A$1:$F$144,6,0)," ")</f>
        <v xml:space="preserve"> </v>
      </c>
      <c r="M300" s="564" t="str">
        <f t="shared" si="69"/>
        <v xml:space="preserve"> </v>
      </c>
      <c r="N300" s="564" t="str">
        <f t="shared" si="70"/>
        <v xml:space="preserve"> </v>
      </c>
      <c r="O300" s="586"/>
      <c r="P300" s="630"/>
      <c r="Q300" s="564" t="str">
        <f>IF(O300&lt;&gt;0,VLOOKUP(O300,'Cây trong'!$A$2:$C$246,3,0)," ")</f>
        <v xml:space="preserve"> </v>
      </c>
      <c r="R300" s="564" t="str">
        <f t="shared" si="63"/>
        <v xml:space="preserve"> </v>
      </c>
      <c r="S300" s="593"/>
      <c r="T300" s="593"/>
      <c r="U300" s="617"/>
      <c r="V300" s="611"/>
      <c r="W300" s="564" t="str">
        <f>IF(S300&lt;&gt;0,VLOOKUP(S300,VKT!$A$2:$G$415,7,0),"")</f>
        <v/>
      </c>
      <c r="X300" s="564" t="str">
        <f t="shared" si="68"/>
        <v xml:space="preserve"> </v>
      </c>
      <c r="Y300" s="562"/>
      <c r="Z300" s="592"/>
      <c r="AA300" s="592"/>
      <c r="AB300" s="568"/>
      <c r="AC300" s="592"/>
      <c r="AD300" s="592"/>
      <c r="AE300" s="592"/>
      <c r="AF300" s="590"/>
      <c r="AG300" s="570" t="str">
        <f>IF(AE300&lt;&gt;0,VLOOKUP(AE300,ODDS!$A$2:$C$13,3,0),"")</f>
        <v/>
      </c>
      <c r="AH300" s="570" t="str">
        <f t="shared" si="64"/>
        <v xml:space="preserve"> </v>
      </c>
      <c r="AI300" s="571" t="str">
        <f t="shared" si="62"/>
        <v xml:space="preserve"> </v>
      </c>
      <c r="AJ300" s="586"/>
      <c r="AK300" s="586"/>
    </row>
    <row r="301" spans="1:37" s="376" customFormat="1" ht="20.25" outlineLevel="2" x14ac:dyDescent="0.3">
      <c r="A301" s="447">
        <f t="shared" si="67"/>
        <v>30</v>
      </c>
      <c r="B301" s="557"/>
      <c r="C301" s="558"/>
      <c r="D301" s="603"/>
      <c r="E301" s="587"/>
      <c r="F301" s="560"/>
      <c r="G301" s="558"/>
      <c r="H301" s="588"/>
      <c r="I301" s="546"/>
      <c r="J301" s="593"/>
      <c r="K301" s="563" t="str">
        <f>IF(G301&lt;&gt;0,VLOOKUP(G301,'gia dat'!$A$1:$F$144,5,0)," ")</f>
        <v xml:space="preserve"> </v>
      </c>
      <c r="L301" s="563" t="str">
        <f>IF(G301&lt;&gt;0,VLOOKUP(G301,'gia dat'!$A$1:$F$144,6,0)," ")</f>
        <v xml:space="preserve"> </v>
      </c>
      <c r="M301" s="564" t="str">
        <f t="shared" si="69"/>
        <v xml:space="preserve"> </v>
      </c>
      <c r="N301" s="564" t="str">
        <f t="shared" si="70"/>
        <v xml:space="preserve"> </v>
      </c>
      <c r="O301" s="586"/>
      <c r="P301" s="630"/>
      <c r="Q301" s="564" t="str">
        <f>IF(O301&lt;&gt;0,VLOOKUP(O301,'Cây trong'!$A$2:$C$246,3,0)," ")</f>
        <v xml:space="preserve"> </v>
      </c>
      <c r="R301" s="564" t="str">
        <f t="shared" si="63"/>
        <v xml:space="preserve"> </v>
      </c>
      <c r="S301" s="593"/>
      <c r="T301" s="593"/>
      <c r="U301" s="617"/>
      <c r="V301" s="611"/>
      <c r="W301" s="564" t="str">
        <f>IF(S301&lt;&gt;0,VLOOKUP(S301,VKT!$A$2:$G$415,7,0),"")</f>
        <v/>
      </c>
      <c r="X301" s="564" t="str">
        <f t="shared" si="68"/>
        <v xml:space="preserve"> </v>
      </c>
      <c r="Y301" s="562"/>
      <c r="Z301" s="592"/>
      <c r="AA301" s="592"/>
      <c r="AB301" s="568"/>
      <c r="AC301" s="592"/>
      <c r="AD301" s="592"/>
      <c r="AE301" s="592"/>
      <c r="AF301" s="590"/>
      <c r="AG301" s="570" t="str">
        <f>IF(AE301&lt;&gt;0,VLOOKUP(AE301,ODDS!$A$2:$C$13,3,0),"")</f>
        <v/>
      </c>
      <c r="AH301" s="570" t="str">
        <f t="shared" si="64"/>
        <v xml:space="preserve"> </v>
      </c>
      <c r="AI301" s="571" t="str">
        <f t="shared" si="62"/>
        <v xml:space="preserve"> </v>
      </c>
      <c r="AJ301" s="586"/>
      <c r="AK301" s="586"/>
    </row>
    <row r="302" spans="1:37" s="376" customFormat="1" ht="20.25" outlineLevel="2" x14ac:dyDescent="0.3">
      <c r="A302" s="447">
        <f t="shared" si="67"/>
        <v>30</v>
      </c>
      <c r="B302" s="557"/>
      <c r="C302" s="558"/>
      <c r="D302" s="603"/>
      <c r="E302" s="587"/>
      <c r="F302" s="560"/>
      <c r="G302" s="558"/>
      <c r="H302" s="588"/>
      <c r="I302" s="546"/>
      <c r="J302" s="593"/>
      <c r="K302" s="563" t="str">
        <f>IF(G302&lt;&gt;0,VLOOKUP(G302,'gia dat'!$A$1:$F$144,5,0)," ")</f>
        <v xml:space="preserve"> </v>
      </c>
      <c r="L302" s="563" t="str">
        <f>IF(G302&lt;&gt;0,VLOOKUP(G302,'gia dat'!$A$1:$F$144,6,0)," ")</f>
        <v xml:space="preserve"> </v>
      </c>
      <c r="M302" s="564" t="str">
        <f t="shared" si="69"/>
        <v xml:space="preserve"> </v>
      </c>
      <c r="N302" s="564" t="str">
        <f t="shared" si="70"/>
        <v xml:space="preserve"> </v>
      </c>
      <c r="O302" s="586"/>
      <c r="P302" s="630"/>
      <c r="Q302" s="564" t="str">
        <f>IF(O302&lt;&gt;0,VLOOKUP(O302,'Cây trong'!$A$2:$C$246,3,0)," ")</f>
        <v xml:space="preserve"> </v>
      </c>
      <c r="R302" s="564" t="str">
        <f t="shared" si="63"/>
        <v xml:space="preserve"> </v>
      </c>
      <c r="S302" s="593"/>
      <c r="T302" s="593"/>
      <c r="U302" s="617"/>
      <c r="V302" s="611"/>
      <c r="W302" s="564" t="str">
        <f>IF(S302&lt;&gt;0,VLOOKUP(S302,VKT!$A$2:$G$415,7,0),"")</f>
        <v/>
      </c>
      <c r="X302" s="564" t="str">
        <f t="shared" si="68"/>
        <v xml:space="preserve"> </v>
      </c>
      <c r="Y302" s="562"/>
      <c r="Z302" s="592"/>
      <c r="AA302" s="592"/>
      <c r="AB302" s="568"/>
      <c r="AC302" s="592"/>
      <c r="AD302" s="592"/>
      <c r="AE302" s="592"/>
      <c r="AF302" s="590"/>
      <c r="AG302" s="570" t="str">
        <f>IF(AE302&lt;&gt;0,VLOOKUP(AE302,ODDS!$A$2:$C$13,3,0),"")</f>
        <v/>
      </c>
      <c r="AH302" s="570" t="str">
        <f t="shared" si="64"/>
        <v xml:space="preserve"> </v>
      </c>
      <c r="AI302" s="571" t="str">
        <f t="shared" si="62"/>
        <v xml:space="preserve"> </v>
      </c>
      <c r="AJ302" s="586"/>
      <c r="AK302" s="586"/>
    </row>
    <row r="303" spans="1:37" s="376" customFormat="1" ht="20.25" outlineLevel="2" x14ac:dyDescent="0.3">
      <c r="A303" s="447">
        <f t="shared" si="67"/>
        <v>30</v>
      </c>
      <c r="B303" s="557"/>
      <c r="C303" s="558"/>
      <c r="D303" s="603"/>
      <c r="E303" s="587"/>
      <c r="F303" s="560"/>
      <c r="G303" s="558"/>
      <c r="H303" s="588"/>
      <c r="I303" s="546"/>
      <c r="J303" s="593"/>
      <c r="K303" s="563" t="str">
        <f>IF(G303&lt;&gt;0,VLOOKUP(G303,'gia dat'!$A$1:$F$144,5,0)," ")</f>
        <v xml:space="preserve"> </v>
      </c>
      <c r="L303" s="563" t="str">
        <f>IF(G303&lt;&gt;0,VLOOKUP(G303,'gia dat'!$A$1:$F$144,6,0)," ")</f>
        <v xml:space="preserve"> </v>
      </c>
      <c r="M303" s="564" t="str">
        <f t="shared" si="69"/>
        <v xml:space="preserve"> </v>
      </c>
      <c r="N303" s="564" t="str">
        <f t="shared" si="70"/>
        <v xml:space="preserve"> </v>
      </c>
      <c r="O303" s="586"/>
      <c r="P303" s="630"/>
      <c r="Q303" s="564" t="str">
        <f>IF(O303&lt;&gt;0,VLOOKUP(O303,'Cây trong'!$A$2:$C$246,3,0)," ")</f>
        <v xml:space="preserve"> </v>
      </c>
      <c r="R303" s="564" t="str">
        <f t="shared" si="63"/>
        <v xml:space="preserve"> </v>
      </c>
      <c r="S303" s="593"/>
      <c r="T303" s="593"/>
      <c r="U303" s="617"/>
      <c r="V303" s="611"/>
      <c r="W303" s="564" t="str">
        <f>IF(S303&lt;&gt;0,VLOOKUP(S303,VKT!$A$2:$G$415,7,0),"")</f>
        <v/>
      </c>
      <c r="X303" s="564" t="str">
        <f t="shared" si="68"/>
        <v xml:space="preserve"> </v>
      </c>
      <c r="Y303" s="562"/>
      <c r="Z303" s="592"/>
      <c r="AA303" s="592"/>
      <c r="AB303" s="568"/>
      <c r="AC303" s="592"/>
      <c r="AD303" s="592"/>
      <c r="AE303" s="592"/>
      <c r="AF303" s="590"/>
      <c r="AG303" s="570" t="str">
        <f>IF(AE303&lt;&gt;0,VLOOKUP(AE303,ODDS!$A$2:$C$13,3,0),"")</f>
        <v/>
      </c>
      <c r="AH303" s="570" t="str">
        <f t="shared" si="64"/>
        <v xml:space="preserve"> </v>
      </c>
      <c r="AI303" s="571" t="str">
        <f t="shared" si="62"/>
        <v xml:space="preserve"> </v>
      </c>
      <c r="AJ303" s="586"/>
      <c r="AK303" s="586"/>
    </row>
    <row r="304" spans="1:37" s="376" customFormat="1" ht="20.25" outlineLevel="2" x14ac:dyDescent="0.3">
      <c r="A304" s="447">
        <f t="shared" si="67"/>
        <v>30</v>
      </c>
      <c r="B304" s="557"/>
      <c r="C304" s="558"/>
      <c r="D304" s="587"/>
      <c r="E304" s="587"/>
      <c r="F304" s="615"/>
      <c r="G304" s="558"/>
      <c r="H304" s="604"/>
      <c r="I304" s="546"/>
      <c r="J304" s="593"/>
      <c r="K304" s="563" t="str">
        <f>IF(G304&lt;&gt;0,VLOOKUP(G304,'gia dat'!$A$1:$F$144,5,0)," ")</f>
        <v xml:space="preserve"> </v>
      </c>
      <c r="L304" s="563" t="str">
        <f>IF(G304&lt;&gt;0,VLOOKUP(G304,'gia dat'!$A$1:$F$144,6,0)," ")</f>
        <v xml:space="preserve"> </v>
      </c>
      <c r="M304" s="564" t="str">
        <f t="shared" si="69"/>
        <v xml:space="preserve"> </v>
      </c>
      <c r="N304" s="564" t="str">
        <f t="shared" si="70"/>
        <v xml:space="preserve"> </v>
      </c>
      <c r="O304" s="593"/>
      <c r="P304" s="616"/>
      <c r="Q304" s="564" t="str">
        <f>IF(O304&lt;&gt;0,VLOOKUP(O304,'Cây trong'!$A$2:$C$246,3,0)," ")</f>
        <v xml:space="preserve"> </v>
      </c>
      <c r="R304" s="564" t="str">
        <f t="shared" si="63"/>
        <v xml:space="preserve"> </v>
      </c>
      <c r="S304" s="593"/>
      <c r="T304" s="593"/>
      <c r="U304" s="617"/>
      <c r="V304" s="589"/>
      <c r="W304" s="564" t="str">
        <f>IF(S304&lt;&gt;0,VLOOKUP(S304,VKT!$A$2:$G$415,7,0),"")</f>
        <v/>
      </c>
      <c r="X304" s="564" t="str">
        <f t="shared" si="68"/>
        <v xml:space="preserve"> </v>
      </c>
      <c r="Y304" s="589"/>
      <c r="Z304" s="589"/>
      <c r="AA304" s="589"/>
      <c r="AB304" s="562"/>
      <c r="AC304" s="589"/>
      <c r="AD304" s="589"/>
      <c r="AE304" s="589"/>
      <c r="AF304" s="629"/>
      <c r="AG304" s="570" t="str">
        <f>IF(AE304&lt;&gt;0,VLOOKUP(AE304,ODDS!$A$2:$C$13,3,0),"")</f>
        <v/>
      </c>
      <c r="AH304" s="570" t="str">
        <f t="shared" si="64"/>
        <v xml:space="preserve"> </v>
      </c>
      <c r="AI304" s="571" t="str">
        <f t="shared" si="62"/>
        <v xml:space="preserve"> </v>
      </c>
      <c r="AJ304" s="593"/>
      <c r="AK304" s="593"/>
    </row>
    <row r="305" spans="1:37" s="376" customFormat="1" ht="20.25" outlineLevel="2" x14ac:dyDescent="0.3">
      <c r="A305" s="447">
        <f t="shared" si="67"/>
        <v>30</v>
      </c>
      <c r="B305" s="557"/>
      <c r="C305" s="558"/>
      <c r="D305" s="603"/>
      <c r="E305" s="587"/>
      <c r="F305" s="560"/>
      <c r="G305" s="558"/>
      <c r="H305" s="588"/>
      <c r="I305" s="546"/>
      <c r="J305" s="593"/>
      <c r="K305" s="563" t="str">
        <f>IF(G305&lt;&gt;0,VLOOKUP(G305,'gia dat'!$A$1:$F$144,5,0)," ")</f>
        <v xml:space="preserve"> </v>
      </c>
      <c r="L305" s="563" t="str">
        <f>IF(G305&lt;&gt;0,VLOOKUP(G305,'gia dat'!$A$1:$F$144,6,0)," ")</f>
        <v xml:space="preserve"> </v>
      </c>
      <c r="M305" s="564" t="str">
        <f t="shared" si="69"/>
        <v xml:space="preserve"> </v>
      </c>
      <c r="N305" s="564" t="str">
        <f t="shared" si="70"/>
        <v xml:space="preserve"> </v>
      </c>
      <c r="O305" s="586"/>
      <c r="P305" s="630"/>
      <c r="Q305" s="564" t="str">
        <f>IF(O305&lt;&gt;0,VLOOKUP(O305,'Cây trong'!$A$2:$C$246,3,0)," ")</f>
        <v xml:space="preserve"> </v>
      </c>
      <c r="R305" s="564" t="str">
        <f t="shared" si="63"/>
        <v xml:space="preserve"> </v>
      </c>
      <c r="S305" s="586"/>
      <c r="T305" s="609"/>
      <c r="U305" s="591"/>
      <c r="V305" s="611"/>
      <c r="W305" s="564" t="str">
        <f>IF(S305&lt;&gt;0,VLOOKUP(S305,VKT!$A$2:$G$415,7,0),"")</f>
        <v/>
      </c>
      <c r="X305" s="564" t="str">
        <f t="shared" si="68"/>
        <v xml:space="preserve"> </v>
      </c>
      <c r="Y305" s="562"/>
      <c r="Z305" s="592"/>
      <c r="AA305" s="592"/>
      <c r="AB305" s="568"/>
      <c r="AC305" s="592"/>
      <c r="AD305" s="592"/>
      <c r="AE305" s="592"/>
      <c r="AF305" s="590"/>
      <c r="AG305" s="570" t="str">
        <f>IF(AE305&lt;&gt;0,VLOOKUP(AE305,ODDS!$A$2:$C$13,3,0),"")</f>
        <v/>
      </c>
      <c r="AH305" s="570" t="str">
        <f t="shared" si="64"/>
        <v xml:space="preserve"> </v>
      </c>
      <c r="AI305" s="571" t="str">
        <f t="shared" si="62"/>
        <v xml:space="preserve"> </v>
      </c>
      <c r="AJ305" s="586"/>
      <c r="AK305" s="586"/>
    </row>
    <row r="306" spans="1:37" s="376" customFormat="1" ht="20.25" outlineLevel="2" x14ac:dyDescent="0.3">
      <c r="A306" s="447">
        <f t="shared" si="67"/>
        <v>30</v>
      </c>
      <c r="B306" s="557"/>
      <c r="C306" s="558"/>
      <c r="D306" s="603"/>
      <c r="E306" s="587"/>
      <c r="F306" s="560"/>
      <c r="G306" s="558"/>
      <c r="H306" s="588"/>
      <c r="I306" s="546"/>
      <c r="J306" s="593"/>
      <c r="K306" s="563" t="str">
        <f>IF(G306&lt;&gt;0,VLOOKUP(G306,'gia dat'!$A$1:$F$144,5,0)," ")</f>
        <v xml:space="preserve"> </v>
      </c>
      <c r="L306" s="563" t="str">
        <f>IF(G306&lt;&gt;0,VLOOKUP(G306,'gia dat'!$A$1:$F$144,6,0)," ")</f>
        <v xml:space="preserve"> </v>
      </c>
      <c r="M306" s="564" t="str">
        <f t="shared" si="69"/>
        <v xml:space="preserve"> </v>
      </c>
      <c r="N306" s="564" t="str">
        <f t="shared" si="70"/>
        <v xml:space="preserve"> </v>
      </c>
      <c r="O306" s="586"/>
      <c r="P306" s="630"/>
      <c r="Q306" s="564" t="str">
        <f>IF(O306&lt;&gt;0,VLOOKUP(O306,'Cây trong'!$A$2:$C$246,3,0)," ")</f>
        <v xml:space="preserve"> </v>
      </c>
      <c r="R306" s="564" t="str">
        <f t="shared" si="63"/>
        <v xml:space="preserve"> </v>
      </c>
      <c r="S306" s="586"/>
      <c r="T306" s="609"/>
      <c r="U306" s="591"/>
      <c r="V306" s="611"/>
      <c r="W306" s="564" t="str">
        <f>IF(S306&lt;&gt;0,VLOOKUP(S306,VKT!$A$2:$G$415,7,0),"")</f>
        <v/>
      </c>
      <c r="X306" s="564" t="str">
        <f t="shared" si="68"/>
        <v xml:space="preserve"> </v>
      </c>
      <c r="Y306" s="562"/>
      <c r="Z306" s="592"/>
      <c r="AA306" s="592"/>
      <c r="AB306" s="568"/>
      <c r="AC306" s="592"/>
      <c r="AD306" s="592"/>
      <c r="AE306" s="592"/>
      <c r="AF306" s="590"/>
      <c r="AG306" s="570" t="str">
        <f>IF(AE306&lt;&gt;0,VLOOKUP(AE306,ODDS!$A$2:$C$13,3,0),"")</f>
        <v/>
      </c>
      <c r="AH306" s="570" t="str">
        <f t="shared" si="64"/>
        <v xml:space="preserve"> </v>
      </c>
      <c r="AI306" s="571" t="str">
        <f t="shared" si="62"/>
        <v xml:space="preserve"> </v>
      </c>
      <c r="AJ306" s="586"/>
      <c r="AK306" s="586"/>
    </row>
    <row r="307" spans="1:37" s="376" customFormat="1" ht="20.25" outlineLevel="2" x14ac:dyDescent="0.3">
      <c r="A307" s="447">
        <f t="shared" si="67"/>
        <v>30</v>
      </c>
      <c r="B307" s="557"/>
      <c r="C307" s="643"/>
      <c r="D307" s="603"/>
      <c r="E307" s="587"/>
      <c r="F307" s="560"/>
      <c r="G307" s="558"/>
      <c r="H307" s="588"/>
      <c r="I307" s="546"/>
      <c r="J307" s="593"/>
      <c r="K307" s="563" t="str">
        <f>IF(G307&lt;&gt;0,VLOOKUP(G307,'gia dat'!$A$1:$F$144,5,0)," ")</f>
        <v xml:space="preserve"> </v>
      </c>
      <c r="L307" s="563" t="str">
        <f>IF(G307&lt;&gt;0,VLOOKUP(G307,'gia dat'!$A$1:$F$144,6,0)," ")</f>
        <v xml:space="preserve"> </v>
      </c>
      <c r="M307" s="564" t="str">
        <f t="shared" si="69"/>
        <v xml:space="preserve"> </v>
      </c>
      <c r="N307" s="564" t="str">
        <f t="shared" si="70"/>
        <v xml:space="preserve"> </v>
      </c>
      <c r="O307" s="586"/>
      <c r="P307" s="630"/>
      <c r="Q307" s="564" t="str">
        <f>IF(O307&lt;&gt;0,VLOOKUP(O307,'Cây trong'!$A$2:$C$246,3,0)," ")</f>
        <v xml:space="preserve"> </v>
      </c>
      <c r="R307" s="564" t="str">
        <f t="shared" si="63"/>
        <v xml:space="preserve"> </v>
      </c>
      <c r="S307" s="586"/>
      <c r="T307" s="609"/>
      <c r="U307" s="591"/>
      <c r="V307" s="611"/>
      <c r="W307" s="564" t="str">
        <f>IF(S307&lt;&gt;0,VLOOKUP(S307,VKT!$A$2:$G$415,7,0),"")</f>
        <v/>
      </c>
      <c r="X307" s="564" t="str">
        <f t="shared" si="68"/>
        <v xml:space="preserve"> </v>
      </c>
      <c r="Y307" s="562"/>
      <c r="Z307" s="592"/>
      <c r="AA307" s="592"/>
      <c r="AB307" s="568"/>
      <c r="AC307" s="592"/>
      <c r="AD307" s="592"/>
      <c r="AE307" s="592"/>
      <c r="AF307" s="590"/>
      <c r="AG307" s="570" t="str">
        <f>IF(AE307&lt;&gt;0,VLOOKUP(AE307,ODDS!$A$2:$C$13,3,0),"")</f>
        <v/>
      </c>
      <c r="AH307" s="570" t="str">
        <f t="shared" si="64"/>
        <v xml:space="preserve"> </v>
      </c>
      <c r="AI307" s="571" t="str">
        <f t="shared" si="62"/>
        <v xml:space="preserve"> </v>
      </c>
      <c r="AJ307" s="586"/>
      <c r="AK307" s="586"/>
    </row>
    <row r="308" spans="1:37" s="376" customFormat="1" ht="40.5" outlineLevel="1" x14ac:dyDescent="0.25">
      <c r="A308" s="467" t="s">
        <v>2679</v>
      </c>
      <c r="B308" s="576">
        <v>31</v>
      </c>
      <c r="C308" s="643" t="s">
        <v>150</v>
      </c>
      <c r="D308" s="595"/>
      <c r="E308" s="595"/>
      <c r="F308" s="577"/>
      <c r="G308" s="574"/>
      <c r="H308" s="618">
        <f>SUBTOTAL(9,H309:H331)</f>
        <v>243</v>
      </c>
      <c r="I308" s="579">
        <f>SUBTOTAL(9,I309:I314)</f>
        <v>0</v>
      </c>
      <c r="J308" s="597"/>
      <c r="K308" s="581"/>
      <c r="L308" s="581"/>
      <c r="M308" s="571">
        <f>SUBTOTAL(9,M309:M331)</f>
        <v>1780716000</v>
      </c>
      <c r="N308" s="571">
        <f>SUBTOTAL(9,N309:N331)</f>
        <v>0</v>
      </c>
      <c r="O308" s="574"/>
      <c r="P308" s="599">
        <f>SUBTOTAL(9,P309:P331)</f>
        <v>7</v>
      </c>
      <c r="Q308" s="571"/>
      <c r="R308" s="571">
        <f>SUBTOTAL(9,R309:R331)</f>
        <v>10019000</v>
      </c>
      <c r="S308" s="582"/>
      <c r="T308" s="651"/>
      <c r="U308" s="600">
        <f>SUBTOTAL(9,U309:U331)</f>
        <v>280.82</v>
      </c>
      <c r="V308" s="597"/>
      <c r="W308" s="571"/>
      <c r="X308" s="571">
        <f>SUBTOTAL(9,X309:X331)</f>
        <v>966043000</v>
      </c>
      <c r="Y308" s="589"/>
      <c r="Z308" s="592"/>
      <c r="AA308" s="592"/>
      <c r="AB308" s="568"/>
      <c r="AC308" s="592"/>
      <c r="AD308" s="592"/>
      <c r="AE308" s="634"/>
      <c r="AF308" s="599">
        <f>SUBTOTAL(9,AF309:AF331)</f>
        <v>2</v>
      </c>
      <c r="AG308" s="585"/>
      <c r="AH308" s="585">
        <f>SUBTOTAL(9,AH309:AH331)</f>
        <v>17000000</v>
      </c>
      <c r="AI308" s="571">
        <f t="shared" si="62"/>
        <v>2773778000</v>
      </c>
      <c r="AJ308" s="574"/>
      <c r="AK308" s="578"/>
    </row>
    <row r="309" spans="1:37" s="376" customFormat="1" ht="136.5" customHeight="1" outlineLevel="2" x14ac:dyDescent="0.3">
      <c r="A309" s="447">
        <f>IF(B308&lt;&gt;0,B308,A307)</f>
        <v>31</v>
      </c>
      <c r="B309" s="557"/>
      <c r="C309" s="648" t="s">
        <v>151</v>
      </c>
      <c r="D309" s="587">
        <v>4</v>
      </c>
      <c r="E309" s="587">
        <v>86</v>
      </c>
      <c r="F309" s="560">
        <v>268</v>
      </c>
      <c r="G309" s="558" t="s">
        <v>2500</v>
      </c>
      <c r="H309" s="588">
        <v>36.1</v>
      </c>
      <c r="I309" s="546" t="str">
        <f t="shared" ref="I309:I312" si="71">IF(N309&gt;0,H309,"")</f>
        <v/>
      </c>
      <c r="J309" s="589"/>
      <c r="K309" s="563">
        <f>IF(G309&lt;&gt;0,VLOOKUP(G309,'gia dat'!$A$1:$F$144,5,0)," ")</f>
        <v>4645200</v>
      </c>
      <c r="L309" s="563">
        <f>IF(G309&lt;&gt;0,VLOOKUP(G309,'gia dat'!$A$1:$F$144,6,0)," ")</f>
        <v>0</v>
      </c>
      <c r="M309" s="564">
        <f t="shared" si="69"/>
        <v>167692000</v>
      </c>
      <c r="N309" s="564">
        <f t="shared" si="70"/>
        <v>0</v>
      </c>
      <c r="O309" s="558" t="s">
        <v>145</v>
      </c>
      <c r="P309" s="590">
        <v>2</v>
      </c>
      <c r="Q309" s="564">
        <f>IF(O309&lt;&gt;0,VLOOKUP(O309,'Cây trong'!$A$2:$C$246,3,0)," ")</f>
        <v>4240000</v>
      </c>
      <c r="R309" s="564">
        <f t="shared" si="63"/>
        <v>8480000</v>
      </c>
      <c r="S309" s="566" t="s">
        <v>2283</v>
      </c>
      <c r="T309" s="652" t="s">
        <v>53</v>
      </c>
      <c r="U309" s="591">
        <v>26</v>
      </c>
      <c r="V309" s="589"/>
      <c r="W309" s="564">
        <f>IF(S309&lt;&gt;0,VLOOKUP(S309,VKT!$A$2:$G$415,7,0),"")</f>
        <v>265836</v>
      </c>
      <c r="X309" s="564">
        <f t="shared" si="68"/>
        <v>6912000</v>
      </c>
      <c r="Y309" s="589"/>
      <c r="Z309" s="592"/>
      <c r="AA309" s="592"/>
      <c r="AB309" s="568"/>
      <c r="AC309" s="592"/>
      <c r="AD309" s="592"/>
      <c r="AE309" s="606" t="s">
        <v>811</v>
      </c>
      <c r="AF309" s="590">
        <v>1</v>
      </c>
      <c r="AG309" s="570">
        <f>IF(AE309&lt;&gt;0,VLOOKUP(AE309,ODDS!$A$2:$C$13,3,0),"")</f>
        <v>0</v>
      </c>
      <c r="AH309" s="570">
        <f t="shared" si="64"/>
        <v>0</v>
      </c>
      <c r="AI309" s="571" t="str">
        <f t="shared" si="62"/>
        <v xml:space="preserve"> </v>
      </c>
      <c r="AJ309" s="558" t="s">
        <v>658</v>
      </c>
      <c r="AK309" s="586" t="s">
        <v>2797</v>
      </c>
    </row>
    <row r="310" spans="1:37" s="376" customFormat="1" ht="112.5" customHeight="1" outlineLevel="2" x14ac:dyDescent="0.3">
      <c r="A310" s="447">
        <f t="shared" ref="A310:A331" si="72">IF(B309&lt;&gt;0,B309,A309)</f>
        <v>31</v>
      </c>
      <c r="B310" s="557"/>
      <c r="C310" s="574" t="s">
        <v>152</v>
      </c>
      <c r="D310" s="587"/>
      <c r="E310" s="587"/>
      <c r="F310" s="560"/>
      <c r="G310" s="653" t="s">
        <v>2794</v>
      </c>
      <c r="H310" s="588">
        <v>102.1</v>
      </c>
      <c r="I310" s="546" t="str">
        <f t="shared" si="71"/>
        <v/>
      </c>
      <c r="J310" s="589"/>
      <c r="K310" s="563">
        <f>IF(G310&lt;&gt;0,VLOOKUP(G310,'gia dat'!$A$1:$F$144,5,0)," ")</f>
        <v>6636000</v>
      </c>
      <c r="L310" s="563">
        <f>IF(G310&lt;&gt;0,VLOOKUP(G310,'gia dat'!$A$1:$F$144,6,0)," ")</f>
        <v>0</v>
      </c>
      <c r="M310" s="564">
        <f t="shared" si="69"/>
        <v>677536000</v>
      </c>
      <c r="N310" s="564">
        <f t="shared" si="70"/>
        <v>0</v>
      </c>
      <c r="O310" s="558" t="s">
        <v>741</v>
      </c>
      <c r="P310" s="590">
        <v>1</v>
      </c>
      <c r="Q310" s="564">
        <f>IF(O310&lt;&gt;0,VLOOKUP(O310,'Cây trong'!$A$2:$C$246,3,0)," ")</f>
        <v>150000</v>
      </c>
      <c r="R310" s="564">
        <f t="shared" si="63"/>
        <v>150000</v>
      </c>
      <c r="S310" s="566" t="s">
        <v>1820</v>
      </c>
      <c r="T310" s="652" t="s">
        <v>53</v>
      </c>
      <c r="U310" s="591">
        <v>37</v>
      </c>
      <c r="V310" s="589"/>
      <c r="W310" s="564">
        <f>IF(S310&lt;&gt;0,VLOOKUP(S310,VKT!$A$2:$G$415,7,0),"")</f>
        <v>5307665</v>
      </c>
      <c r="X310" s="564">
        <f t="shared" si="68"/>
        <v>196384000</v>
      </c>
      <c r="Y310" s="589" t="s">
        <v>63</v>
      </c>
      <c r="Z310" s="592" t="s">
        <v>55</v>
      </c>
      <c r="AA310" s="592" t="s">
        <v>56</v>
      </c>
      <c r="AB310" s="568" t="s">
        <v>57</v>
      </c>
      <c r="AC310" s="592" t="s">
        <v>63</v>
      </c>
      <c r="AD310" s="568" t="s">
        <v>206</v>
      </c>
      <c r="AE310" s="569"/>
      <c r="AF310" s="563"/>
      <c r="AG310" s="570"/>
      <c r="AH310" s="570"/>
      <c r="AI310" s="571" t="str">
        <f t="shared" si="62"/>
        <v xml:space="preserve"> </v>
      </c>
      <c r="AJ310" s="558" t="s">
        <v>481</v>
      </c>
      <c r="AK310" s="558" t="s">
        <v>2448</v>
      </c>
    </row>
    <row r="311" spans="1:37" s="376" customFormat="1" ht="121.5" outlineLevel="2" x14ac:dyDescent="0.3">
      <c r="A311" s="447">
        <f t="shared" si="72"/>
        <v>31</v>
      </c>
      <c r="B311" s="557"/>
      <c r="C311" s="648" t="s">
        <v>153</v>
      </c>
      <c r="D311" s="587"/>
      <c r="E311" s="587"/>
      <c r="F311" s="560"/>
      <c r="G311" s="558" t="s">
        <v>2036</v>
      </c>
      <c r="H311" s="588">
        <f>6.5</f>
        <v>6.5</v>
      </c>
      <c r="I311" s="546" t="str">
        <f t="shared" si="71"/>
        <v/>
      </c>
      <c r="J311" s="589"/>
      <c r="K311" s="563">
        <f>IF(G311&lt;&gt;0,VLOOKUP(G311,'gia dat'!$A$1:$F$144,5,0)," ")</f>
        <v>554400</v>
      </c>
      <c r="L311" s="563">
        <f>IF(G311&lt;&gt;0,VLOOKUP(G311,'gia dat'!$A$1:$F$144,6,0)," ")</f>
        <v>0</v>
      </c>
      <c r="M311" s="564">
        <f t="shared" si="69"/>
        <v>3604000</v>
      </c>
      <c r="N311" s="564">
        <f t="shared" si="70"/>
        <v>0</v>
      </c>
      <c r="O311" s="558" t="s">
        <v>740</v>
      </c>
      <c r="P311" s="590">
        <v>1</v>
      </c>
      <c r="Q311" s="564">
        <f>IF(O311&lt;&gt;0,VLOOKUP(O311,'Cây trong'!$A$2:$C$246,3,0)," ")</f>
        <v>60000</v>
      </c>
      <c r="R311" s="564">
        <f t="shared" si="63"/>
        <v>60000</v>
      </c>
      <c r="S311" s="566" t="s">
        <v>1868</v>
      </c>
      <c r="T311" s="652" t="s">
        <v>53</v>
      </c>
      <c r="U311" s="591">
        <v>6.15</v>
      </c>
      <c r="V311" s="589"/>
      <c r="W311" s="564">
        <f>IF(S311&lt;&gt;0,VLOOKUP(S311,VKT!$A$2:$G$415,7,0),"")</f>
        <v>4631321</v>
      </c>
      <c r="X311" s="564">
        <f t="shared" si="68"/>
        <v>28483000</v>
      </c>
      <c r="Y311" s="589" t="s">
        <v>63</v>
      </c>
      <c r="Z311" s="592" t="s">
        <v>63</v>
      </c>
      <c r="AA311" s="592" t="s">
        <v>56</v>
      </c>
      <c r="AB311" s="568" t="s">
        <v>170</v>
      </c>
      <c r="AC311" s="592" t="s">
        <v>63</v>
      </c>
      <c r="AD311" s="592"/>
      <c r="AE311" s="569" t="s">
        <v>2791</v>
      </c>
      <c r="AF311" s="590">
        <v>1</v>
      </c>
      <c r="AG311" s="570">
        <f>IF(AE311&lt;&gt;0,VLOOKUP(AE311,ODDS!$A$2:$C$13,3,0),"")</f>
        <v>17000000</v>
      </c>
      <c r="AH311" s="570">
        <f t="shared" si="64"/>
        <v>17000000</v>
      </c>
      <c r="AI311" s="571" t="str">
        <f t="shared" si="62"/>
        <v xml:space="preserve"> </v>
      </c>
      <c r="AJ311" s="593" t="s">
        <v>296</v>
      </c>
      <c r="AK311" s="558" t="s">
        <v>2450</v>
      </c>
    </row>
    <row r="312" spans="1:37" s="376" customFormat="1" ht="101.25" outlineLevel="2" x14ac:dyDescent="0.3">
      <c r="A312" s="447">
        <f t="shared" si="72"/>
        <v>31</v>
      </c>
      <c r="B312" s="557"/>
      <c r="C312" s="648" t="s">
        <v>659</v>
      </c>
      <c r="D312" s="587"/>
      <c r="E312" s="587"/>
      <c r="F312" s="560"/>
      <c r="G312" s="653" t="s">
        <v>2795</v>
      </c>
      <c r="H312" s="588">
        <v>98.3</v>
      </c>
      <c r="I312" s="546" t="str">
        <f t="shared" si="71"/>
        <v/>
      </c>
      <c r="J312" s="589"/>
      <c r="K312" s="563">
        <f>IF(G312&lt;&gt;0,VLOOKUP(G312,'gia dat'!$A$1:$F$144,5,0)," ")</f>
        <v>9480000</v>
      </c>
      <c r="L312" s="563">
        <f>IF(G312&lt;&gt;0,VLOOKUP(G312,'gia dat'!$A$1:$F$144,6,0)," ")</f>
        <v>0</v>
      </c>
      <c r="M312" s="564">
        <f t="shared" si="69"/>
        <v>931884000</v>
      </c>
      <c r="N312" s="564">
        <f t="shared" si="70"/>
        <v>0</v>
      </c>
      <c r="O312" s="646" t="s">
        <v>155</v>
      </c>
      <c r="P312" s="590">
        <v>1</v>
      </c>
      <c r="Q312" s="564">
        <f>IF(O312&lt;&gt;0,VLOOKUP(O312,'Cây trong'!$A$2:$C$246,3,0)," ")</f>
        <v>758000</v>
      </c>
      <c r="R312" s="564">
        <f t="shared" si="63"/>
        <v>758000</v>
      </c>
      <c r="S312" s="646" t="s">
        <v>1827</v>
      </c>
      <c r="T312" s="652" t="s">
        <v>53</v>
      </c>
      <c r="U312" s="591">
        <v>87.1</v>
      </c>
      <c r="V312" s="589"/>
      <c r="W312" s="564">
        <f>IF(S312&lt;&gt;0,VLOOKUP(S312,VKT!$A$2:$G$415,7,0),"")</f>
        <v>5469063</v>
      </c>
      <c r="X312" s="564">
        <f t="shared" si="68"/>
        <v>476355000</v>
      </c>
      <c r="Y312" s="589" t="s">
        <v>63</v>
      </c>
      <c r="Z312" s="592" t="s">
        <v>55</v>
      </c>
      <c r="AA312" s="592" t="s">
        <v>56</v>
      </c>
      <c r="AB312" s="568" t="s">
        <v>57</v>
      </c>
      <c r="AC312" s="592" t="s">
        <v>63</v>
      </c>
      <c r="AD312" s="568" t="s">
        <v>338</v>
      </c>
      <c r="AE312" s="606"/>
      <c r="AF312" s="590"/>
      <c r="AG312" s="570" t="str">
        <f>IF(AE312&lt;&gt;0,VLOOKUP(AE312,ODDS!$A$2:$C$13,3,0),"")</f>
        <v/>
      </c>
      <c r="AH312" s="570" t="str">
        <f t="shared" si="64"/>
        <v xml:space="preserve"> </v>
      </c>
      <c r="AI312" s="571" t="str">
        <f t="shared" si="62"/>
        <v xml:space="preserve"> </v>
      </c>
      <c r="AJ312" s="608" t="s">
        <v>111</v>
      </c>
      <c r="AK312" s="558" t="s">
        <v>2449</v>
      </c>
    </row>
    <row r="313" spans="1:37" s="376" customFormat="1" ht="81" outlineLevel="2" x14ac:dyDescent="0.3">
      <c r="A313" s="447">
        <f t="shared" si="72"/>
        <v>31</v>
      </c>
      <c r="B313" s="557"/>
      <c r="C313" s="648"/>
      <c r="D313" s="587"/>
      <c r="E313" s="587"/>
      <c r="F313" s="560"/>
      <c r="G313" s="558"/>
      <c r="H313" s="588"/>
      <c r="I313" s="546"/>
      <c r="J313" s="589"/>
      <c r="K313" s="563" t="str">
        <f>IF(G313&lt;&gt;0,VLOOKUP(G313,'gia dat'!$A$1:$F$144,5,0)," ")</f>
        <v xml:space="preserve"> </v>
      </c>
      <c r="L313" s="563" t="str">
        <f>IF(G313&lt;&gt;0,VLOOKUP(G313,'gia dat'!$A$1:$F$144,6,0)," ")</f>
        <v xml:space="preserve"> </v>
      </c>
      <c r="M313" s="564" t="str">
        <f t="shared" si="69"/>
        <v xml:space="preserve"> </v>
      </c>
      <c r="N313" s="564" t="str">
        <f t="shared" si="70"/>
        <v xml:space="preserve"> </v>
      </c>
      <c r="O313" s="646" t="s">
        <v>156</v>
      </c>
      <c r="P313" s="590">
        <v>1</v>
      </c>
      <c r="Q313" s="564">
        <f>IF(O313&lt;&gt;0,VLOOKUP(O313,'Cây trong'!$A$2:$C$246,3,0)," ")</f>
        <v>288000</v>
      </c>
      <c r="R313" s="564">
        <f t="shared" si="63"/>
        <v>288000</v>
      </c>
      <c r="S313" s="646" t="s">
        <v>1820</v>
      </c>
      <c r="T313" s="652" t="s">
        <v>53</v>
      </c>
      <c r="U313" s="591">
        <v>8.41</v>
      </c>
      <c r="V313" s="589"/>
      <c r="W313" s="564">
        <f>IF(S313&lt;&gt;0,VLOOKUP(S313,VKT!$A$2:$G$415,7,0),"")</f>
        <v>5307665</v>
      </c>
      <c r="X313" s="564">
        <f t="shared" si="68"/>
        <v>44637000</v>
      </c>
      <c r="Y313" s="589" t="s">
        <v>63</v>
      </c>
      <c r="Z313" s="592" t="s">
        <v>55</v>
      </c>
      <c r="AA313" s="592" t="s">
        <v>56</v>
      </c>
      <c r="AB313" s="568" t="s">
        <v>57</v>
      </c>
      <c r="AC313" s="592" t="s">
        <v>63</v>
      </c>
      <c r="AD313" s="568" t="s">
        <v>206</v>
      </c>
      <c r="AE313" s="568"/>
      <c r="AF313" s="563"/>
      <c r="AG313" s="570" t="str">
        <f>IF(AE313&lt;&gt;0,VLOOKUP(AE313,ODDS!$A$2:$C$13,3,0),"")</f>
        <v/>
      </c>
      <c r="AH313" s="570" t="str">
        <f t="shared" si="64"/>
        <v xml:space="preserve"> </v>
      </c>
      <c r="AI313" s="571" t="str">
        <f t="shared" si="62"/>
        <v xml:space="preserve"> </v>
      </c>
      <c r="AJ313" s="574" t="s">
        <v>483</v>
      </c>
      <c r="AK313" s="558" t="s">
        <v>2451</v>
      </c>
    </row>
    <row r="314" spans="1:37" s="376" customFormat="1" ht="101.25" outlineLevel="2" x14ac:dyDescent="0.3">
      <c r="A314" s="447">
        <f t="shared" si="72"/>
        <v>31</v>
      </c>
      <c r="B314" s="557"/>
      <c r="C314" s="558"/>
      <c r="D314" s="587"/>
      <c r="E314" s="587"/>
      <c r="F314" s="560"/>
      <c r="G314" s="558"/>
      <c r="H314" s="588"/>
      <c r="I314" s="546"/>
      <c r="J314" s="589"/>
      <c r="K314" s="563" t="str">
        <f>IF(G314&lt;&gt;0,VLOOKUP(G314,'gia dat'!$A$1:$F$144,5,0)," ")</f>
        <v xml:space="preserve"> </v>
      </c>
      <c r="L314" s="563" t="str">
        <f>IF(G314&lt;&gt;0,VLOOKUP(G314,'gia dat'!$A$1:$F$144,6,0)," ")</f>
        <v xml:space="preserve"> </v>
      </c>
      <c r="M314" s="564" t="str">
        <f t="shared" si="69"/>
        <v xml:space="preserve"> </v>
      </c>
      <c r="N314" s="564" t="str">
        <f t="shared" si="70"/>
        <v xml:space="preserve"> </v>
      </c>
      <c r="O314" s="646" t="s">
        <v>89</v>
      </c>
      <c r="P314" s="590">
        <v>1</v>
      </c>
      <c r="Q314" s="564">
        <f>IF(O314&lt;&gt;0,VLOOKUP(O314,'Cây trong'!$A$2:$C$246,3,0)," ")</f>
        <v>283000</v>
      </c>
      <c r="R314" s="564">
        <f t="shared" si="63"/>
        <v>283000</v>
      </c>
      <c r="S314" s="646" t="s">
        <v>1763</v>
      </c>
      <c r="T314" s="652" t="s">
        <v>53</v>
      </c>
      <c r="U314" s="591">
        <v>10.199999999999999</v>
      </c>
      <c r="V314" s="589"/>
      <c r="W314" s="564">
        <f>IF(S314&lt;&gt;0,VLOOKUP(S314,VKT!$A$2:$G$415,7,0),"")</f>
        <v>3550600</v>
      </c>
      <c r="X314" s="564">
        <f t="shared" si="68"/>
        <v>36216000</v>
      </c>
      <c r="Y314" s="589" t="s">
        <v>63</v>
      </c>
      <c r="Z314" s="592" t="s">
        <v>55</v>
      </c>
      <c r="AA314" s="592" t="s">
        <v>56</v>
      </c>
      <c r="AB314" s="568" t="s">
        <v>57</v>
      </c>
      <c r="AC314" s="592" t="s">
        <v>63</v>
      </c>
      <c r="AD314" s="568" t="s">
        <v>206</v>
      </c>
      <c r="AE314" s="568"/>
      <c r="AF314" s="563"/>
      <c r="AG314" s="570" t="str">
        <f>IF(AE314&lt;&gt;0,VLOOKUP(AE314,ODDS!$A$2:$C$13,3,0),"")</f>
        <v/>
      </c>
      <c r="AH314" s="570" t="str">
        <f t="shared" si="64"/>
        <v xml:space="preserve"> </v>
      </c>
      <c r="AI314" s="571" t="str">
        <f t="shared" si="62"/>
        <v xml:space="preserve"> </v>
      </c>
      <c r="AJ314" s="558" t="s">
        <v>484</v>
      </c>
      <c r="AK314" s="558" t="s">
        <v>2800</v>
      </c>
    </row>
    <row r="315" spans="1:37" s="376" customFormat="1" ht="101.25" outlineLevel="2" x14ac:dyDescent="0.3">
      <c r="A315" s="447">
        <f t="shared" si="72"/>
        <v>31</v>
      </c>
      <c r="B315" s="557"/>
      <c r="C315" s="558"/>
      <c r="D315" s="587"/>
      <c r="E315" s="587"/>
      <c r="F315" s="560"/>
      <c r="G315" s="558"/>
      <c r="H315" s="588"/>
      <c r="I315" s="546"/>
      <c r="J315" s="589"/>
      <c r="K315" s="563" t="str">
        <f>IF(G315&lt;&gt;0,VLOOKUP(G315,'gia dat'!$A$1:$F$144,5,0)," ")</f>
        <v xml:space="preserve"> </v>
      </c>
      <c r="L315" s="563" t="str">
        <f>IF(G315&lt;&gt;0,VLOOKUP(G315,'gia dat'!$A$1:$F$144,6,0)," ")</f>
        <v xml:space="preserve"> </v>
      </c>
      <c r="M315" s="564" t="str">
        <f t="shared" si="69"/>
        <v xml:space="preserve"> </v>
      </c>
      <c r="N315" s="564" t="str">
        <f t="shared" si="70"/>
        <v xml:space="preserve"> </v>
      </c>
      <c r="O315" s="646"/>
      <c r="P315" s="590"/>
      <c r="Q315" s="564" t="str">
        <f>IF(O315&lt;&gt;0,VLOOKUP(O315,'Cây trong'!$A$2:$C$246,3,0)," ")</f>
        <v xml:space="preserve"> </v>
      </c>
      <c r="R315" s="564" t="str">
        <f t="shared" si="63"/>
        <v xml:space="preserve"> </v>
      </c>
      <c r="S315" s="646" t="s">
        <v>2284</v>
      </c>
      <c r="T315" s="652" t="s">
        <v>53</v>
      </c>
      <c r="U315" s="591">
        <v>6.09</v>
      </c>
      <c r="V315" s="589"/>
      <c r="W315" s="564">
        <f>IF(S315&lt;&gt;0,VLOOKUP(S315,VKT!$A$2:$G$415,7,0),"")</f>
        <v>9347414</v>
      </c>
      <c r="X315" s="564">
        <f t="shared" si="68"/>
        <v>56926000</v>
      </c>
      <c r="Y315" s="589" t="s">
        <v>63</v>
      </c>
      <c r="Z315" s="592" t="s">
        <v>63</v>
      </c>
      <c r="AA315" s="592" t="s">
        <v>56</v>
      </c>
      <c r="AB315" s="568" t="s">
        <v>57</v>
      </c>
      <c r="AC315" s="592" t="s">
        <v>63</v>
      </c>
      <c r="AD315" s="568"/>
      <c r="AE315" s="568"/>
      <c r="AF315" s="563"/>
      <c r="AG315" s="570" t="str">
        <f>IF(AE315&lt;&gt;0,VLOOKUP(AE315,ODDS!$A$2:$C$13,3,0),"")</f>
        <v/>
      </c>
      <c r="AH315" s="570" t="str">
        <f t="shared" si="64"/>
        <v xml:space="preserve"> </v>
      </c>
      <c r="AI315" s="571" t="str">
        <f t="shared" si="62"/>
        <v xml:space="preserve"> </v>
      </c>
      <c r="AJ315" s="558" t="s">
        <v>2489</v>
      </c>
      <c r="AK315" s="558"/>
    </row>
    <row r="316" spans="1:37" s="376" customFormat="1" ht="101.25" outlineLevel="2" x14ac:dyDescent="0.3">
      <c r="A316" s="447">
        <f t="shared" si="72"/>
        <v>31</v>
      </c>
      <c r="B316" s="557"/>
      <c r="C316" s="558"/>
      <c r="D316" s="587"/>
      <c r="E316" s="587"/>
      <c r="F316" s="560"/>
      <c r="G316" s="558"/>
      <c r="H316" s="588"/>
      <c r="I316" s="546"/>
      <c r="J316" s="593"/>
      <c r="K316" s="563" t="str">
        <f>IF(G316&lt;&gt;0,VLOOKUP(G316,'gia dat'!$A$1:$F$144,5,0)," ")</f>
        <v xml:space="preserve"> </v>
      </c>
      <c r="L316" s="563" t="str">
        <f>IF(G316&lt;&gt;0,VLOOKUP(G316,'gia dat'!$A$1:$F$144,6,0)," ")</f>
        <v xml:space="preserve"> </v>
      </c>
      <c r="M316" s="564" t="str">
        <f t="shared" si="69"/>
        <v xml:space="preserve"> </v>
      </c>
      <c r="N316" s="564" t="str">
        <f t="shared" si="70"/>
        <v xml:space="preserve"> </v>
      </c>
      <c r="O316" s="586"/>
      <c r="P316" s="630"/>
      <c r="Q316" s="564" t="str">
        <f>IF(O316&lt;&gt;0,VLOOKUP(O316,'Cây trong'!$A$2:$C$246,3,0)," ")</f>
        <v xml:space="preserve"> </v>
      </c>
      <c r="R316" s="564" t="str">
        <f t="shared" si="63"/>
        <v xml:space="preserve"> </v>
      </c>
      <c r="S316" s="586" t="s">
        <v>1886</v>
      </c>
      <c r="T316" s="652" t="s">
        <v>53</v>
      </c>
      <c r="U316" s="591">
        <v>4.8</v>
      </c>
      <c r="V316" s="589"/>
      <c r="W316" s="564">
        <f>IF(S316&lt;&gt;0,VLOOKUP(S316,VKT!$A$2:$G$415,7,0),"")</f>
        <v>9347414</v>
      </c>
      <c r="X316" s="564">
        <f t="shared" si="68"/>
        <v>44868000</v>
      </c>
      <c r="Y316" s="589"/>
      <c r="Z316" s="592"/>
      <c r="AA316" s="592" t="s">
        <v>56</v>
      </c>
      <c r="AB316" s="568" t="s">
        <v>57</v>
      </c>
      <c r="AC316" s="592" t="s">
        <v>63</v>
      </c>
      <c r="AD316" s="568" t="s">
        <v>338</v>
      </c>
      <c r="AE316" s="568"/>
      <c r="AF316" s="563"/>
      <c r="AG316" s="570" t="str">
        <f>IF(AE316&lt;&gt;0,VLOOKUP(AE316,ODDS!$A$2:$C$13,3,0),"")</f>
        <v/>
      </c>
      <c r="AH316" s="570" t="str">
        <f t="shared" si="64"/>
        <v xml:space="preserve"> </v>
      </c>
      <c r="AI316" s="571" t="str">
        <f t="shared" si="62"/>
        <v xml:space="preserve"> </v>
      </c>
      <c r="AJ316" s="558"/>
      <c r="AK316" s="558"/>
    </row>
    <row r="317" spans="1:37" s="376" customFormat="1" ht="40.5" outlineLevel="2" x14ac:dyDescent="0.3">
      <c r="A317" s="447">
        <f t="shared" si="72"/>
        <v>31</v>
      </c>
      <c r="B317" s="557"/>
      <c r="C317" s="558"/>
      <c r="D317" s="587"/>
      <c r="E317" s="587"/>
      <c r="F317" s="560"/>
      <c r="G317" s="558"/>
      <c r="H317" s="588"/>
      <c r="I317" s="546"/>
      <c r="J317" s="593"/>
      <c r="K317" s="563" t="str">
        <f>IF(G317&lt;&gt;0,VLOOKUP(G317,'gia dat'!$A$1:$F$144,5,0)," ")</f>
        <v xml:space="preserve"> </v>
      </c>
      <c r="L317" s="563" t="str">
        <f>IF(G317&lt;&gt;0,VLOOKUP(G317,'gia dat'!$A$1:$F$144,6,0)," ")</f>
        <v xml:space="preserve"> </v>
      </c>
      <c r="M317" s="564" t="str">
        <f t="shared" si="69"/>
        <v xml:space="preserve"> </v>
      </c>
      <c r="N317" s="564" t="str">
        <f t="shared" si="70"/>
        <v xml:space="preserve"> </v>
      </c>
      <c r="O317" s="586"/>
      <c r="P317" s="630"/>
      <c r="Q317" s="564" t="str">
        <f>IF(O317&lt;&gt;0,VLOOKUP(O317,'Cây trong'!$A$2:$C$246,3,0)," ")</f>
        <v xml:space="preserve"> </v>
      </c>
      <c r="R317" s="564" t="str">
        <f t="shared" si="63"/>
        <v xml:space="preserve"> </v>
      </c>
      <c r="S317" s="586" t="s">
        <v>1863</v>
      </c>
      <c r="T317" s="652" t="s">
        <v>53</v>
      </c>
      <c r="U317" s="591">
        <v>16.2</v>
      </c>
      <c r="V317" s="589"/>
      <c r="W317" s="564">
        <f>IF(S317&lt;&gt;0,VLOOKUP(S317,VKT!$A$2:$G$415,7,0),"")</f>
        <v>1107311</v>
      </c>
      <c r="X317" s="564">
        <f t="shared" si="68"/>
        <v>17938000</v>
      </c>
      <c r="Y317" s="589"/>
      <c r="Z317" s="592" t="s">
        <v>55</v>
      </c>
      <c r="AA317" s="592" t="s">
        <v>56</v>
      </c>
      <c r="AB317" s="568" t="s">
        <v>339</v>
      </c>
      <c r="AC317" s="592" t="s">
        <v>66</v>
      </c>
      <c r="AD317" s="592"/>
      <c r="AE317" s="592"/>
      <c r="AF317" s="590"/>
      <c r="AG317" s="570" t="str">
        <f>IF(AE317&lt;&gt;0,VLOOKUP(AE317,ODDS!$A$2:$C$13,3,0),"")</f>
        <v/>
      </c>
      <c r="AH317" s="570" t="str">
        <f t="shared" si="64"/>
        <v xml:space="preserve"> </v>
      </c>
      <c r="AI317" s="571" t="str">
        <f t="shared" si="62"/>
        <v xml:space="preserve"> </v>
      </c>
      <c r="AJ317" s="593"/>
      <c r="AK317" s="593"/>
    </row>
    <row r="318" spans="1:37" s="376" customFormat="1" ht="101.25" outlineLevel="2" x14ac:dyDescent="0.3">
      <c r="A318" s="447">
        <f t="shared" si="72"/>
        <v>31</v>
      </c>
      <c r="B318" s="557"/>
      <c r="C318" s="558"/>
      <c r="D318" s="587"/>
      <c r="E318" s="587"/>
      <c r="F318" s="560"/>
      <c r="G318" s="558"/>
      <c r="H318" s="588"/>
      <c r="I318" s="546"/>
      <c r="J318" s="593"/>
      <c r="K318" s="563" t="str">
        <f>IF(G318&lt;&gt;0,VLOOKUP(G318,'gia dat'!$A$1:$F$144,5,0)," ")</f>
        <v xml:space="preserve"> </v>
      </c>
      <c r="L318" s="563" t="str">
        <f>IF(G318&lt;&gt;0,VLOOKUP(G318,'gia dat'!$A$1:$F$144,6,0)," ")</f>
        <v xml:space="preserve"> </v>
      </c>
      <c r="M318" s="564" t="str">
        <f t="shared" si="69"/>
        <v xml:space="preserve"> </v>
      </c>
      <c r="N318" s="564" t="str">
        <f t="shared" si="70"/>
        <v xml:space="preserve"> </v>
      </c>
      <c r="O318" s="586"/>
      <c r="P318" s="630"/>
      <c r="Q318" s="564" t="str">
        <f>IF(O318&lt;&gt;0,VLOOKUP(O318,'Cây trong'!$A$2:$C$246,3,0)," ")</f>
        <v xml:space="preserve"> </v>
      </c>
      <c r="R318" s="564" t="str">
        <f t="shared" si="63"/>
        <v xml:space="preserve"> </v>
      </c>
      <c r="S318" s="586" t="s">
        <v>2275</v>
      </c>
      <c r="T318" s="652" t="s">
        <v>53</v>
      </c>
      <c r="U318" s="591">
        <v>35.19</v>
      </c>
      <c r="V318" s="589"/>
      <c r="W318" s="564">
        <f>IF(S318&lt;&gt;0,VLOOKUP(S318,VKT!$A$2:$G$415,7,0),"")</f>
        <v>1116028</v>
      </c>
      <c r="X318" s="564">
        <f t="shared" si="68"/>
        <v>39273000</v>
      </c>
      <c r="Y318" s="589"/>
      <c r="Z318" s="592"/>
      <c r="AA318" s="592"/>
      <c r="AB318" s="568"/>
      <c r="AC318" s="592"/>
      <c r="AD318" s="592"/>
      <c r="AE318" s="592"/>
      <c r="AF318" s="590"/>
      <c r="AG318" s="570" t="str">
        <f>IF(AE318&lt;&gt;0,VLOOKUP(AE318,ODDS!$A$2:$C$13,3,0),"")</f>
        <v/>
      </c>
      <c r="AH318" s="570" t="str">
        <f t="shared" si="64"/>
        <v xml:space="preserve"> </v>
      </c>
      <c r="AI318" s="571" t="str">
        <f t="shared" si="62"/>
        <v xml:space="preserve"> </v>
      </c>
      <c r="AJ318" s="593"/>
      <c r="AK318" s="593"/>
    </row>
    <row r="319" spans="1:37" s="376" customFormat="1" ht="40.5" outlineLevel="2" x14ac:dyDescent="0.3">
      <c r="A319" s="447">
        <f t="shared" si="72"/>
        <v>31</v>
      </c>
      <c r="B319" s="557"/>
      <c r="C319" s="574"/>
      <c r="D319" s="587"/>
      <c r="E319" s="587"/>
      <c r="F319" s="560"/>
      <c r="G319" s="558"/>
      <c r="H319" s="588"/>
      <c r="I319" s="546"/>
      <c r="J319" s="593"/>
      <c r="K319" s="563" t="str">
        <f>IF(G319&lt;&gt;0,VLOOKUP(G319,'gia dat'!$A$1:$F$144,5,0)," ")</f>
        <v xml:space="preserve"> </v>
      </c>
      <c r="L319" s="563" t="str">
        <f>IF(G319&lt;&gt;0,VLOOKUP(G319,'gia dat'!$A$1:$F$144,6,0)," ")</f>
        <v xml:space="preserve"> </v>
      </c>
      <c r="M319" s="564" t="str">
        <f t="shared" si="69"/>
        <v xml:space="preserve"> </v>
      </c>
      <c r="N319" s="564" t="str">
        <f t="shared" si="70"/>
        <v xml:space="preserve"> </v>
      </c>
      <c r="O319" s="586"/>
      <c r="P319" s="630"/>
      <c r="Q319" s="564" t="str">
        <f>IF(O319&lt;&gt;0,VLOOKUP(O319,'Cây trong'!$A$2:$C$246,3,0)," ")</f>
        <v xml:space="preserve"> </v>
      </c>
      <c r="R319" s="564" t="str">
        <f t="shared" si="63"/>
        <v xml:space="preserve"> </v>
      </c>
      <c r="S319" s="586" t="s">
        <v>2149</v>
      </c>
      <c r="T319" s="652" t="s">
        <v>78</v>
      </c>
      <c r="U319" s="591">
        <v>0.03</v>
      </c>
      <c r="V319" s="589"/>
      <c r="W319" s="564">
        <f>IF(S319&lt;&gt;0,VLOOKUP(S319,VKT!$A$2:$G$415,7,0),"")</f>
        <v>0</v>
      </c>
      <c r="X319" s="564">
        <f t="shared" si="68"/>
        <v>0</v>
      </c>
      <c r="Y319" s="589"/>
      <c r="Z319" s="592"/>
      <c r="AA319" s="592"/>
      <c r="AB319" s="568"/>
      <c r="AC319" s="592"/>
      <c r="AD319" s="592"/>
      <c r="AE319" s="592"/>
      <c r="AF319" s="590"/>
      <c r="AG319" s="570" t="str">
        <f>IF(AE319&lt;&gt;0,VLOOKUP(AE319,ODDS!$A$2:$C$13,3,0),"")</f>
        <v/>
      </c>
      <c r="AH319" s="570" t="str">
        <f t="shared" si="64"/>
        <v xml:space="preserve"> </v>
      </c>
      <c r="AI319" s="571" t="str">
        <f t="shared" si="62"/>
        <v xml:space="preserve"> </v>
      </c>
      <c r="AJ319" s="593"/>
      <c r="AK319" s="593"/>
    </row>
    <row r="320" spans="1:37" s="376" customFormat="1" ht="60.75" outlineLevel="2" x14ac:dyDescent="0.3">
      <c r="A320" s="447">
        <f t="shared" si="72"/>
        <v>31</v>
      </c>
      <c r="B320" s="557"/>
      <c r="C320" s="558"/>
      <c r="D320" s="587"/>
      <c r="E320" s="587"/>
      <c r="F320" s="560"/>
      <c r="G320" s="558"/>
      <c r="H320" s="588"/>
      <c r="I320" s="546"/>
      <c r="J320" s="593"/>
      <c r="K320" s="563" t="str">
        <f>IF(G320&lt;&gt;0,VLOOKUP(G320,'gia dat'!$A$1:$F$144,5,0)," ")</f>
        <v xml:space="preserve"> </v>
      </c>
      <c r="L320" s="563" t="str">
        <f>IF(G320&lt;&gt;0,VLOOKUP(G320,'gia dat'!$A$1:$F$144,6,0)," ")</f>
        <v xml:space="preserve"> </v>
      </c>
      <c r="M320" s="564" t="str">
        <f t="shared" si="69"/>
        <v xml:space="preserve"> </v>
      </c>
      <c r="N320" s="564" t="str">
        <f t="shared" si="70"/>
        <v xml:space="preserve"> </v>
      </c>
      <c r="O320" s="586"/>
      <c r="P320" s="630"/>
      <c r="Q320" s="564" t="str">
        <f>IF(O320&lt;&gt;0,VLOOKUP(O320,'Cây trong'!$A$2:$C$246,3,0)," ")</f>
        <v xml:space="preserve"> </v>
      </c>
      <c r="R320" s="564" t="str">
        <f t="shared" si="63"/>
        <v xml:space="preserve"> </v>
      </c>
      <c r="S320" s="586" t="s">
        <v>2285</v>
      </c>
      <c r="T320" s="652" t="s">
        <v>78</v>
      </c>
      <c r="U320" s="591">
        <v>0.08</v>
      </c>
      <c r="V320" s="589"/>
      <c r="W320" s="564">
        <f>IF(S320&lt;&gt;0,VLOOKUP(S320,VKT!$A$2:$G$415,7,0),"")</f>
        <v>0</v>
      </c>
      <c r="X320" s="564">
        <f t="shared" si="68"/>
        <v>0</v>
      </c>
      <c r="Y320" s="589"/>
      <c r="Z320" s="592"/>
      <c r="AA320" s="592"/>
      <c r="AB320" s="568"/>
      <c r="AC320" s="592"/>
      <c r="AD320" s="592"/>
      <c r="AE320" s="592"/>
      <c r="AF320" s="590"/>
      <c r="AG320" s="570" t="str">
        <f>IF(AE320&lt;&gt;0,VLOOKUP(AE320,ODDS!$A$2:$C$13,3,0),"")</f>
        <v/>
      </c>
      <c r="AH320" s="570" t="str">
        <f t="shared" si="64"/>
        <v xml:space="preserve"> </v>
      </c>
      <c r="AI320" s="571" t="str">
        <f t="shared" si="62"/>
        <v xml:space="preserve"> </v>
      </c>
      <c r="AJ320" s="558"/>
      <c r="AK320" s="558"/>
    </row>
    <row r="321" spans="1:37" s="376" customFormat="1" ht="81" outlineLevel="2" x14ac:dyDescent="0.3">
      <c r="A321" s="447">
        <f t="shared" si="72"/>
        <v>31</v>
      </c>
      <c r="B321" s="557"/>
      <c r="C321" s="558"/>
      <c r="D321" s="587"/>
      <c r="E321" s="587"/>
      <c r="F321" s="560"/>
      <c r="G321" s="558"/>
      <c r="H321" s="588"/>
      <c r="I321" s="546"/>
      <c r="J321" s="593"/>
      <c r="K321" s="563" t="str">
        <f>IF(G321&lt;&gt;0,VLOOKUP(G321,'gia dat'!$A$1:$F$144,5,0)," ")</f>
        <v xml:space="preserve"> </v>
      </c>
      <c r="L321" s="563" t="str">
        <f>IF(G321&lt;&gt;0,VLOOKUP(G321,'gia dat'!$A$1:$F$144,6,0)," ")</f>
        <v xml:space="preserve"> </v>
      </c>
      <c r="M321" s="564" t="str">
        <f t="shared" si="69"/>
        <v xml:space="preserve"> </v>
      </c>
      <c r="N321" s="564" t="str">
        <f t="shared" si="70"/>
        <v xml:space="preserve"> </v>
      </c>
      <c r="O321" s="586"/>
      <c r="P321" s="630"/>
      <c r="Q321" s="564" t="str">
        <f>IF(O321&lt;&gt;0,VLOOKUP(O321,'Cây trong'!$A$2:$C$246,3,0)," ")</f>
        <v xml:space="preserve"> </v>
      </c>
      <c r="R321" s="564" t="str">
        <f t="shared" si="63"/>
        <v xml:space="preserve"> </v>
      </c>
      <c r="S321" s="586" t="s">
        <v>2286</v>
      </c>
      <c r="T321" s="652" t="s">
        <v>53</v>
      </c>
      <c r="U321" s="591">
        <v>27.37</v>
      </c>
      <c r="V321" s="589"/>
      <c r="W321" s="564">
        <f>IF(S321&lt;&gt;0,VLOOKUP(S321,VKT!$A$2:$G$415,7,0),"")</f>
        <v>496651</v>
      </c>
      <c r="X321" s="564">
        <f t="shared" si="68"/>
        <v>13593000</v>
      </c>
      <c r="Y321" s="589"/>
      <c r="Z321" s="592"/>
      <c r="AA321" s="592"/>
      <c r="AB321" s="568"/>
      <c r="AC321" s="592"/>
      <c r="AD321" s="592"/>
      <c r="AE321" s="592"/>
      <c r="AF321" s="590"/>
      <c r="AG321" s="570" t="str">
        <f>IF(AE321&lt;&gt;0,VLOOKUP(AE321,ODDS!$A$2:$C$13,3,0),"")</f>
        <v/>
      </c>
      <c r="AH321" s="570" t="str">
        <f t="shared" si="64"/>
        <v xml:space="preserve"> </v>
      </c>
      <c r="AI321" s="571" t="str">
        <f t="shared" si="62"/>
        <v xml:space="preserve"> </v>
      </c>
      <c r="AJ321" s="558"/>
      <c r="AK321" s="558"/>
    </row>
    <row r="322" spans="1:37" s="376" customFormat="1" ht="40.5" outlineLevel="2" x14ac:dyDescent="0.3">
      <c r="A322" s="447">
        <f t="shared" si="72"/>
        <v>31</v>
      </c>
      <c r="B322" s="557"/>
      <c r="C322" s="558"/>
      <c r="D322" s="587"/>
      <c r="E322" s="587"/>
      <c r="F322" s="560"/>
      <c r="G322" s="558"/>
      <c r="H322" s="588"/>
      <c r="I322" s="546"/>
      <c r="J322" s="593"/>
      <c r="K322" s="563" t="str">
        <f>IF(G322&lt;&gt;0,VLOOKUP(G322,'gia dat'!$A$1:$F$144,5,0)," ")</f>
        <v xml:space="preserve"> </v>
      </c>
      <c r="L322" s="563" t="str">
        <f>IF(G322&lt;&gt;0,VLOOKUP(G322,'gia dat'!$A$1:$F$144,6,0)," ")</f>
        <v xml:space="preserve"> </v>
      </c>
      <c r="M322" s="564" t="str">
        <f t="shared" si="69"/>
        <v xml:space="preserve"> </v>
      </c>
      <c r="N322" s="564" t="str">
        <f t="shared" si="70"/>
        <v xml:space="preserve"> </v>
      </c>
      <c r="O322" s="586"/>
      <c r="P322" s="630"/>
      <c r="Q322" s="564" t="str">
        <f>IF(O322&lt;&gt;0,VLOOKUP(O322,'Cây trong'!$A$2:$C$246,3,0)," ")</f>
        <v xml:space="preserve"> </v>
      </c>
      <c r="R322" s="564" t="str">
        <f t="shared" si="63"/>
        <v xml:space="preserve"> </v>
      </c>
      <c r="S322" s="586" t="s">
        <v>1799</v>
      </c>
      <c r="T322" s="652" t="s">
        <v>53</v>
      </c>
      <c r="U322" s="591">
        <v>16.2</v>
      </c>
      <c r="V322" s="589"/>
      <c r="W322" s="564">
        <f>IF(S322&lt;&gt;0,VLOOKUP(S322,VKT!$A$2:$G$415,7,0),"")</f>
        <v>275180</v>
      </c>
      <c r="X322" s="564">
        <f t="shared" si="68"/>
        <v>4458000</v>
      </c>
      <c r="Y322" s="589"/>
      <c r="Z322" s="592"/>
      <c r="AA322" s="592"/>
      <c r="AB322" s="568"/>
      <c r="AC322" s="592"/>
      <c r="AD322" s="592"/>
      <c r="AE322" s="592"/>
      <c r="AF322" s="590"/>
      <c r="AG322" s="570" t="str">
        <f>IF(AE322&lt;&gt;0,VLOOKUP(AE322,ODDS!$A$2:$C$13,3,0),"")</f>
        <v/>
      </c>
      <c r="AH322" s="570" t="str">
        <f t="shared" si="64"/>
        <v xml:space="preserve"> </v>
      </c>
      <c r="AI322" s="571" t="str">
        <f t="shared" si="62"/>
        <v xml:space="preserve"> </v>
      </c>
      <c r="AJ322" s="558"/>
      <c r="AK322" s="558"/>
    </row>
    <row r="323" spans="1:37" s="376" customFormat="1" ht="20.25" outlineLevel="2" x14ac:dyDescent="0.3">
      <c r="A323" s="447">
        <f t="shared" si="72"/>
        <v>31</v>
      </c>
      <c r="B323" s="557"/>
      <c r="C323" s="558"/>
      <c r="D323" s="587"/>
      <c r="E323" s="587"/>
      <c r="F323" s="560"/>
      <c r="G323" s="558"/>
      <c r="H323" s="588"/>
      <c r="I323" s="546"/>
      <c r="J323" s="593"/>
      <c r="K323" s="563" t="str">
        <f>IF(G323&lt;&gt;0,VLOOKUP(G323,'gia dat'!$A$1:$F$144,5,0)," ")</f>
        <v xml:space="preserve"> </v>
      </c>
      <c r="L323" s="563" t="str">
        <f>IF(G323&lt;&gt;0,VLOOKUP(G323,'gia dat'!$A$1:$F$144,6,0)," ")</f>
        <v xml:space="preserve"> </v>
      </c>
      <c r="M323" s="564" t="str">
        <f t="shared" si="69"/>
        <v xml:space="preserve"> </v>
      </c>
      <c r="N323" s="564" t="str">
        <f t="shared" si="70"/>
        <v xml:space="preserve"> </v>
      </c>
      <c r="O323" s="586"/>
      <c r="P323" s="630"/>
      <c r="Q323" s="564" t="str">
        <f>IF(O323&lt;&gt;0,VLOOKUP(O323,'Cây trong'!$A$2:$C$246,3,0)," ")</f>
        <v xml:space="preserve"> </v>
      </c>
      <c r="R323" s="564" t="str">
        <f t="shared" si="63"/>
        <v xml:space="preserve"> </v>
      </c>
      <c r="S323" s="586"/>
      <c r="T323" s="652"/>
      <c r="U323" s="591"/>
      <c r="V323" s="589"/>
      <c r="W323" s="564" t="str">
        <f>IF(S323&lt;&gt;0,VLOOKUP(S323,VKT!$A$2:$G$415,7,0),"")</f>
        <v/>
      </c>
      <c r="X323" s="564" t="str">
        <f t="shared" si="68"/>
        <v xml:space="preserve"> </v>
      </c>
      <c r="Y323" s="589"/>
      <c r="Z323" s="592"/>
      <c r="AA323" s="592"/>
      <c r="AB323" s="568"/>
      <c r="AC323" s="592"/>
      <c r="AD323" s="592"/>
      <c r="AE323" s="592"/>
      <c r="AF323" s="590"/>
      <c r="AG323" s="570" t="str">
        <f>IF(AE323&lt;&gt;0,VLOOKUP(AE323,ODDS!$A$2:$C$13,3,0),"")</f>
        <v/>
      </c>
      <c r="AH323" s="570" t="str">
        <f t="shared" si="64"/>
        <v xml:space="preserve"> </v>
      </c>
      <c r="AI323" s="571" t="str">
        <f t="shared" si="62"/>
        <v xml:space="preserve"> </v>
      </c>
      <c r="AJ323" s="593"/>
      <c r="AK323" s="593"/>
    </row>
    <row r="324" spans="1:37" s="376" customFormat="1" ht="20.25" outlineLevel="2" x14ac:dyDescent="0.3">
      <c r="A324" s="447">
        <f t="shared" si="72"/>
        <v>31</v>
      </c>
      <c r="B324" s="557"/>
      <c r="C324" s="558"/>
      <c r="D324" s="587"/>
      <c r="E324" s="587"/>
      <c r="F324" s="560"/>
      <c r="G324" s="558"/>
      <c r="H324" s="588"/>
      <c r="I324" s="546"/>
      <c r="J324" s="593"/>
      <c r="K324" s="563" t="str">
        <f>IF(G324&lt;&gt;0,VLOOKUP(G324,'gia dat'!$A$1:$F$144,5,0)," ")</f>
        <v xml:space="preserve"> </v>
      </c>
      <c r="L324" s="563" t="str">
        <f>IF(G324&lt;&gt;0,VLOOKUP(G324,'gia dat'!$A$1:$F$144,6,0)," ")</f>
        <v xml:space="preserve"> </v>
      </c>
      <c r="M324" s="564" t="str">
        <f t="shared" si="69"/>
        <v xml:space="preserve"> </v>
      </c>
      <c r="N324" s="564" t="str">
        <f t="shared" si="70"/>
        <v xml:space="preserve"> </v>
      </c>
      <c r="O324" s="586"/>
      <c r="P324" s="630"/>
      <c r="Q324" s="564" t="str">
        <f>IF(O324&lt;&gt;0,VLOOKUP(O324,'Cây trong'!$A$2:$C$246,3,0)," ")</f>
        <v xml:space="preserve"> </v>
      </c>
      <c r="R324" s="564" t="str">
        <f t="shared" si="63"/>
        <v xml:space="preserve"> </v>
      </c>
      <c r="S324" s="586"/>
      <c r="T324" s="652"/>
      <c r="U324" s="591"/>
      <c r="V324" s="589"/>
      <c r="W324" s="564" t="str">
        <f>IF(S324&lt;&gt;0,VLOOKUP(S324,VKT!$A$2:$G$415,7,0),"")</f>
        <v/>
      </c>
      <c r="X324" s="564" t="str">
        <f t="shared" si="68"/>
        <v xml:space="preserve"> </v>
      </c>
      <c r="Y324" s="589"/>
      <c r="Z324" s="592"/>
      <c r="AA324" s="592"/>
      <c r="AB324" s="568"/>
      <c r="AC324" s="592"/>
      <c r="AD324" s="592"/>
      <c r="AE324" s="592"/>
      <c r="AF324" s="590"/>
      <c r="AG324" s="570" t="str">
        <f>IF(AE324&lt;&gt;0,VLOOKUP(AE324,ODDS!$A$2:$C$13,3,0),"")</f>
        <v/>
      </c>
      <c r="AH324" s="570" t="str">
        <f t="shared" si="64"/>
        <v xml:space="preserve"> </v>
      </c>
      <c r="AI324" s="571" t="str">
        <f t="shared" si="62"/>
        <v xml:space="preserve"> </v>
      </c>
      <c r="AJ324" s="593"/>
      <c r="AK324" s="593"/>
    </row>
    <row r="325" spans="1:37" s="376" customFormat="1" ht="20.25" outlineLevel="2" x14ac:dyDescent="0.3">
      <c r="A325" s="447">
        <f t="shared" si="72"/>
        <v>31</v>
      </c>
      <c r="B325" s="557"/>
      <c r="C325" s="558"/>
      <c r="D325" s="587"/>
      <c r="E325" s="587"/>
      <c r="F325" s="560"/>
      <c r="G325" s="558"/>
      <c r="H325" s="588"/>
      <c r="I325" s="546"/>
      <c r="J325" s="593"/>
      <c r="K325" s="563" t="str">
        <f>IF(G325&lt;&gt;0,VLOOKUP(G325,'gia dat'!$A$1:$F$144,5,0)," ")</f>
        <v xml:space="preserve"> </v>
      </c>
      <c r="L325" s="563" t="str">
        <f>IF(G325&lt;&gt;0,VLOOKUP(G325,'gia dat'!$A$1:$F$144,6,0)," ")</f>
        <v xml:space="preserve"> </v>
      </c>
      <c r="M325" s="564" t="str">
        <f t="shared" si="69"/>
        <v xml:space="preserve"> </v>
      </c>
      <c r="N325" s="564" t="str">
        <f t="shared" si="70"/>
        <v xml:space="preserve"> </v>
      </c>
      <c r="O325" s="586"/>
      <c r="P325" s="630"/>
      <c r="Q325" s="564" t="str">
        <f>IF(O325&lt;&gt;0,VLOOKUP(O325,'Cây trong'!$A$2:$C$246,3,0)," ")</f>
        <v xml:space="preserve"> </v>
      </c>
      <c r="R325" s="564" t="str">
        <f t="shared" si="63"/>
        <v xml:space="preserve"> </v>
      </c>
      <c r="S325" s="586"/>
      <c r="T325" s="652"/>
      <c r="U325" s="591"/>
      <c r="V325" s="589"/>
      <c r="W325" s="564" t="str">
        <f>IF(S325&lt;&gt;0,VLOOKUP(S325,VKT!$A$2:$G$415,7,0),"")</f>
        <v/>
      </c>
      <c r="X325" s="564" t="str">
        <f t="shared" si="68"/>
        <v xml:space="preserve"> </v>
      </c>
      <c r="Y325" s="589"/>
      <c r="Z325" s="592"/>
      <c r="AA325" s="592"/>
      <c r="AB325" s="568"/>
      <c r="AC325" s="592"/>
      <c r="AD325" s="592"/>
      <c r="AE325" s="592"/>
      <c r="AF325" s="590"/>
      <c r="AG325" s="570" t="str">
        <f>IF(AE325&lt;&gt;0,VLOOKUP(AE325,ODDS!$A$2:$C$13,3,0),"")</f>
        <v/>
      </c>
      <c r="AH325" s="570" t="str">
        <f t="shared" si="64"/>
        <v xml:space="preserve"> </v>
      </c>
      <c r="AI325" s="571" t="str">
        <f t="shared" si="62"/>
        <v xml:space="preserve"> </v>
      </c>
      <c r="AJ325" s="593"/>
      <c r="AK325" s="593"/>
    </row>
    <row r="326" spans="1:37" s="376" customFormat="1" ht="20.25" outlineLevel="2" x14ac:dyDescent="0.3">
      <c r="A326" s="447">
        <f t="shared" si="72"/>
        <v>31</v>
      </c>
      <c r="B326" s="557"/>
      <c r="C326" s="607"/>
      <c r="D326" s="594"/>
      <c r="E326" s="595"/>
      <c r="F326" s="577"/>
      <c r="G326" s="574"/>
      <c r="H326" s="588"/>
      <c r="I326" s="546"/>
      <c r="J326" s="593"/>
      <c r="K326" s="563" t="str">
        <f>IF(G326&lt;&gt;0,VLOOKUP(G326,'gia dat'!$A$1:$F$144,5,0)," ")</f>
        <v xml:space="preserve"> </v>
      </c>
      <c r="L326" s="563" t="str">
        <f>IF(G326&lt;&gt;0,VLOOKUP(G326,'gia dat'!$A$1:$F$144,6,0)," ")</f>
        <v xml:space="preserve"> </v>
      </c>
      <c r="M326" s="564" t="str">
        <f t="shared" si="69"/>
        <v xml:space="preserve"> </v>
      </c>
      <c r="N326" s="564" t="str">
        <f t="shared" si="70"/>
        <v xml:space="preserve"> </v>
      </c>
      <c r="O326" s="586"/>
      <c r="P326" s="630"/>
      <c r="Q326" s="564" t="str">
        <f>IF(O326&lt;&gt;0,VLOOKUP(O326,'Cây trong'!$A$2:$C$246,3,0)," ")</f>
        <v xml:space="preserve"> </v>
      </c>
      <c r="R326" s="564" t="str">
        <f t="shared" si="63"/>
        <v xml:space="preserve"> </v>
      </c>
      <c r="S326" s="586"/>
      <c r="T326" s="652"/>
      <c r="U326" s="591"/>
      <c r="V326" s="597"/>
      <c r="W326" s="564" t="str">
        <f>IF(S326&lt;&gt;0,VLOOKUP(S326,VKT!$A$2:$G$415,7,0),"")</f>
        <v/>
      </c>
      <c r="X326" s="564" t="str">
        <f t="shared" si="68"/>
        <v xml:space="preserve"> </v>
      </c>
      <c r="Y326" s="580"/>
      <c r="Z326" s="601"/>
      <c r="AA326" s="601"/>
      <c r="AB326" s="584"/>
      <c r="AC326" s="601"/>
      <c r="AD326" s="601"/>
      <c r="AE326" s="601"/>
      <c r="AF326" s="599"/>
      <c r="AG326" s="570" t="str">
        <f>IF(AE326&lt;&gt;0,VLOOKUP(AE326,ODDS!$A$2:$C$13,3,0),"")</f>
        <v/>
      </c>
      <c r="AH326" s="570" t="str">
        <f t="shared" si="64"/>
        <v xml:space="preserve"> </v>
      </c>
      <c r="AI326" s="571" t="str">
        <f t="shared" si="62"/>
        <v xml:space="preserve"> </v>
      </c>
      <c r="AJ326" s="608"/>
      <c r="AK326" s="608"/>
    </row>
    <row r="327" spans="1:37" s="376" customFormat="1" ht="20.25" outlineLevel="2" x14ac:dyDescent="0.3">
      <c r="A327" s="447">
        <f t="shared" si="72"/>
        <v>31</v>
      </c>
      <c r="B327" s="557"/>
      <c r="C327" s="572"/>
      <c r="D327" s="603"/>
      <c r="E327" s="587"/>
      <c r="F327" s="560"/>
      <c r="G327" s="558"/>
      <c r="H327" s="588"/>
      <c r="I327" s="546"/>
      <c r="J327" s="593"/>
      <c r="K327" s="563" t="str">
        <f>IF(G327&lt;&gt;0,VLOOKUP(G327,'gia dat'!$A$1:$F$144,5,0)," ")</f>
        <v xml:space="preserve"> </v>
      </c>
      <c r="L327" s="563" t="str">
        <f>IF(G327&lt;&gt;0,VLOOKUP(G327,'gia dat'!$A$1:$F$144,6,0)," ")</f>
        <v xml:space="preserve"> </v>
      </c>
      <c r="M327" s="564" t="str">
        <f t="shared" si="69"/>
        <v xml:space="preserve"> </v>
      </c>
      <c r="N327" s="564" t="str">
        <f t="shared" si="70"/>
        <v xml:space="preserve"> </v>
      </c>
      <c r="O327" s="586"/>
      <c r="P327" s="630"/>
      <c r="Q327" s="564" t="str">
        <f>IF(O327&lt;&gt;0,VLOOKUP(O327,'Cây trong'!$A$2:$C$246,3,0)," ")</f>
        <v xml:space="preserve"> </v>
      </c>
      <c r="R327" s="564" t="str">
        <f t="shared" si="63"/>
        <v xml:space="preserve"> </v>
      </c>
      <c r="S327" s="586"/>
      <c r="T327" s="652"/>
      <c r="U327" s="591"/>
      <c r="V327" s="611"/>
      <c r="W327" s="564" t="str">
        <f>IF(S327&lt;&gt;0,VLOOKUP(S327,VKT!$A$2:$G$415,7,0),"")</f>
        <v/>
      </c>
      <c r="X327" s="564" t="str">
        <f t="shared" si="68"/>
        <v xml:space="preserve"> </v>
      </c>
      <c r="Y327" s="562"/>
      <c r="Z327" s="592"/>
      <c r="AA327" s="592"/>
      <c r="AB327" s="568"/>
      <c r="AC327" s="592"/>
      <c r="AD327" s="592"/>
      <c r="AE327" s="592"/>
      <c r="AF327" s="590"/>
      <c r="AG327" s="570" t="str">
        <f>IF(AE327&lt;&gt;0,VLOOKUP(AE327,ODDS!$A$2:$C$13,3,0),"")</f>
        <v/>
      </c>
      <c r="AH327" s="570" t="str">
        <f t="shared" si="64"/>
        <v xml:space="preserve"> </v>
      </c>
      <c r="AI327" s="571" t="str">
        <f t="shared" si="62"/>
        <v xml:space="preserve"> </v>
      </c>
      <c r="AJ327" s="593"/>
      <c r="AK327" s="593"/>
    </row>
    <row r="328" spans="1:37" s="376" customFormat="1" ht="20.25" outlineLevel="2" x14ac:dyDescent="0.3">
      <c r="A328" s="447">
        <f t="shared" si="72"/>
        <v>31</v>
      </c>
      <c r="B328" s="557"/>
      <c r="C328" s="572"/>
      <c r="D328" s="587"/>
      <c r="E328" s="587"/>
      <c r="F328" s="560"/>
      <c r="G328" s="586"/>
      <c r="H328" s="588"/>
      <c r="I328" s="546"/>
      <c r="J328" s="593"/>
      <c r="K328" s="563" t="str">
        <f>IF(G328&lt;&gt;0,VLOOKUP(G328,'gia dat'!$A$1:$F$144,5,0)," ")</f>
        <v xml:space="preserve"> </v>
      </c>
      <c r="L328" s="563" t="str">
        <f>IF(G328&lt;&gt;0,VLOOKUP(G328,'gia dat'!$A$1:$F$144,6,0)," ")</f>
        <v xml:space="preserve"> </v>
      </c>
      <c r="M328" s="564" t="str">
        <f t="shared" si="69"/>
        <v xml:space="preserve"> </v>
      </c>
      <c r="N328" s="564" t="str">
        <f t="shared" si="70"/>
        <v xml:space="preserve"> </v>
      </c>
      <c r="O328" s="586"/>
      <c r="P328" s="630"/>
      <c r="Q328" s="564" t="str">
        <f>IF(O328&lt;&gt;0,VLOOKUP(O328,'Cây trong'!$A$2:$C$246,3,0)," ")</f>
        <v xml:space="preserve"> </v>
      </c>
      <c r="R328" s="564" t="str">
        <f t="shared" si="63"/>
        <v xml:space="preserve"> </v>
      </c>
      <c r="S328" s="586"/>
      <c r="T328" s="652"/>
      <c r="U328" s="591"/>
      <c r="V328" s="611"/>
      <c r="W328" s="564" t="str">
        <f>IF(S328&lt;&gt;0,VLOOKUP(S328,VKT!$A$2:$G$415,7,0),"")</f>
        <v/>
      </c>
      <c r="X328" s="564" t="str">
        <f t="shared" si="68"/>
        <v xml:space="preserve"> </v>
      </c>
      <c r="Y328" s="589"/>
      <c r="Z328" s="592"/>
      <c r="AA328" s="592"/>
      <c r="AB328" s="568"/>
      <c r="AC328" s="592"/>
      <c r="AD328" s="592"/>
      <c r="AE328" s="592"/>
      <c r="AF328" s="590"/>
      <c r="AG328" s="570" t="str">
        <f>IF(AE328&lt;&gt;0,VLOOKUP(AE328,ODDS!$A$2:$C$13,3,0),"")</f>
        <v/>
      </c>
      <c r="AH328" s="570" t="str">
        <f t="shared" si="64"/>
        <v xml:space="preserve"> </v>
      </c>
      <c r="AI328" s="571" t="str">
        <f t="shared" si="62"/>
        <v xml:space="preserve"> </v>
      </c>
      <c r="AJ328" s="593"/>
      <c r="AK328" s="593"/>
    </row>
    <row r="329" spans="1:37" s="376" customFormat="1" ht="20.25" outlineLevel="2" x14ac:dyDescent="0.3">
      <c r="A329" s="447">
        <f t="shared" si="72"/>
        <v>31</v>
      </c>
      <c r="B329" s="557"/>
      <c r="C329" s="572"/>
      <c r="D329" s="587"/>
      <c r="E329" s="587"/>
      <c r="F329" s="615"/>
      <c r="G329" s="558"/>
      <c r="H329" s="604"/>
      <c r="I329" s="546"/>
      <c r="J329" s="593"/>
      <c r="K329" s="563" t="str">
        <f>IF(G329&lt;&gt;0,VLOOKUP(G329,'gia dat'!$A$1:$F$144,5,0)," ")</f>
        <v xml:space="preserve"> </v>
      </c>
      <c r="L329" s="563" t="str">
        <f>IF(G329&lt;&gt;0,VLOOKUP(G329,'gia dat'!$A$1:$F$144,6,0)," ")</f>
        <v xml:space="preserve"> </v>
      </c>
      <c r="M329" s="564" t="str">
        <f t="shared" si="69"/>
        <v xml:space="preserve"> </v>
      </c>
      <c r="N329" s="564" t="str">
        <f t="shared" si="70"/>
        <v xml:space="preserve"> </v>
      </c>
      <c r="O329" s="593"/>
      <c r="P329" s="616"/>
      <c r="Q329" s="564" t="str">
        <f>IF(O329&lt;&gt;0,VLOOKUP(O329,'Cây trong'!$A$2:$C$246,3,0)," ")</f>
        <v xml:space="preserve"> </v>
      </c>
      <c r="R329" s="564" t="str">
        <f t="shared" si="63"/>
        <v xml:space="preserve"> </v>
      </c>
      <c r="S329" s="593"/>
      <c r="T329" s="593"/>
      <c r="U329" s="617"/>
      <c r="V329" s="589"/>
      <c r="W329" s="564" t="str">
        <f>IF(S329&lt;&gt;0,VLOOKUP(S329,VKT!$A$2:$G$415,7,0),"")</f>
        <v/>
      </c>
      <c r="X329" s="564" t="str">
        <f t="shared" si="68"/>
        <v xml:space="preserve"> </v>
      </c>
      <c r="Y329" s="589"/>
      <c r="Z329" s="589"/>
      <c r="AA329" s="589"/>
      <c r="AB329" s="562"/>
      <c r="AC329" s="589"/>
      <c r="AD329" s="589"/>
      <c r="AE329" s="589"/>
      <c r="AF329" s="629"/>
      <c r="AG329" s="570" t="str">
        <f>IF(AE329&lt;&gt;0,VLOOKUP(AE329,ODDS!$A$2:$C$13,3,0),"")</f>
        <v/>
      </c>
      <c r="AH329" s="570" t="str">
        <f t="shared" si="64"/>
        <v xml:space="preserve"> </v>
      </c>
      <c r="AI329" s="571" t="str">
        <f t="shared" ref="AI329:AI392" si="73">IF(B329&lt;&gt;0,M329+N329+R329+X329+AH329," ")</f>
        <v xml:space="preserve"> </v>
      </c>
      <c r="AJ329" s="593"/>
      <c r="AK329" s="593"/>
    </row>
    <row r="330" spans="1:37" s="376" customFormat="1" ht="20.25" outlineLevel="2" x14ac:dyDescent="0.3">
      <c r="A330" s="447">
        <f t="shared" si="72"/>
        <v>31</v>
      </c>
      <c r="B330" s="557"/>
      <c r="C330" s="572"/>
      <c r="D330" s="587"/>
      <c r="E330" s="587"/>
      <c r="F330" s="560"/>
      <c r="G330" s="586"/>
      <c r="H330" s="588"/>
      <c r="I330" s="546"/>
      <c r="J330" s="593"/>
      <c r="K330" s="563" t="str">
        <f>IF(G330&lt;&gt;0,VLOOKUP(G330,'gia dat'!$A$1:$F$144,5,0)," ")</f>
        <v xml:space="preserve"> </v>
      </c>
      <c r="L330" s="563" t="str">
        <f>IF(G330&lt;&gt;0,VLOOKUP(G330,'gia dat'!$A$1:$F$144,6,0)," ")</f>
        <v xml:space="preserve"> </v>
      </c>
      <c r="M330" s="564" t="str">
        <f t="shared" si="69"/>
        <v xml:space="preserve"> </v>
      </c>
      <c r="N330" s="564" t="str">
        <f t="shared" si="70"/>
        <v xml:space="preserve"> </v>
      </c>
      <c r="O330" s="586"/>
      <c r="P330" s="630"/>
      <c r="Q330" s="564" t="str">
        <f>IF(O330&lt;&gt;0,VLOOKUP(O330,'Cây trong'!$A$2:$C$246,3,0)," ")</f>
        <v xml:space="preserve"> </v>
      </c>
      <c r="R330" s="564" t="str">
        <f t="shared" si="63"/>
        <v xml:space="preserve"> </v>
      </c>
      <c r="S330" s="586"/>
      <c r="T330" s="654"/>
      <c r="U330" s="591"/>
      <c r="V330" s="611"/>
      <c r="W330" s="564" t="str">
        <f>IF(S330&lt;&gt;0,VLOOKUP(S330,VKT!$A$2:$G$415,7,0),"")</f>
        <v/>
      </c>
      <c r="X330" s="564" t="str">
        <f t="shared" si="68"/>
        <v xml:space="preserve"> </v>
      </c>
      <c r="Y330" s="589"/>
      <c r="Z330" s="592"/>
      <c r="AA330" s="592"/>
      <c r="AB330" s="568"/>
      <c r="AC330" s="592"/>
      <c r="AD330" s="592"/>
      <c r="AE330" s="592"/>
      <c r="AF330" s="590"/>
      <c r="AG330" s="570" t="str">
        <f>IF(AE330&lt;&gt;0,VLOOKUP(AE330,ODDS!$A$2:$C$13,3,0),"")</f>
        <v/>
      </c>
      <c r="AH330" s="570" t="str">
        <f t="shared" si="64"/>
        <v xml:space="preserve"> </v>
      </c>
      <c r="AI330" s="571" t="str">
        <f t="shared" si="73"/>
        <v xml:space="preserve"> </v>
      </c>
      <c r="AJ330" s="593"/>
      <c r="AK330" s="593"/>
    </row>
    <row r="331" spans="1:37" s="376" customFormat="1" ht="20.25" outlineLevel="2" x14ac:dyDescent="0.3">
      <c r="A331" s="447">
        <f t="shared" si="72"/>
        <v>31</v>
      </c>
      <c r="B331" s="557"/>
      <c r="C331" s="643"/>
      <c r="D331" s="587"/>
      <c r="E331" s="587"/>
      <c r="F331" s="560"/>
      <c r="G331" s="586"/>
      <c r="H331" s="588"/>
      <c r="I331" s="546"/>
      <c r="J331" s="593"/>
      <c r="K331" s="563" t="str">
        <f>IF(G331&lt;&gt;0,VLOOKUP(G331,'gia dat'!$A$1:$F$144,5,0)," ")</f>
        <v xml:space="preserve"> </v>
      </c>
      <c r="L331" s="563" t="str">
        <f>IF(G331&lt;&gt;0,VLOOKUP(G331,'gia dat'!$A$1:$F$144,6,0)," ")</f>
        <v xml:space="preserve"> </v>
      </c>
      <c r="M331" s="564" t="str">
        <f t="shared" si="69"/>
        <v xml:space="preserve"> </v>
      </c>
      <c r="N331" s="564" t="str">
        <f t="shared" si="70"/>
        <v xml:space="preserve"> </v>
      </c>
      <c r="O331" s="586"/>
      <c r="P331" s="630"/>
      <c r="Q331" s="564" t="str">
        <f>IF(O331&lt;&gt;0,VLOOKUP(O331,'Cây trong'!$A$2:$C$246,3,0)," ")</f>
        <v xml:space="preserve"> </v>
      </c>
      <c r="R331" s="564" t="str">
        <f t="shared" si="63"/>
        <v xml:space="preserve"> </v>
      </c>
      <c r="S331" s="586"/>
      <c r="T331" s="654"/>
      <c r="U331" s="591"/>
      <c r="V331" s="611"/>
      <c r="W331" s="564" t="str">
        <f>IF(S331&lt;&gt;0,VLOOKUP(S331,VKT!$A$2:$G$415,7,0),"")</f>
        <v/>
      </c>
      <c r="X331" s="564" t="str">
        <f t="shared" si="68"/>
        <v xml:space="preserve"> </v>
      </c>
      <c r="Y331" s="589"/>
      <c r="Z331" s="592"/>
      <c r="AA331" s="592"/>
      <c r="AB331" s="568"/>
      <c r="AC331" s="592"/>
      <c r="AD331" s="592"/>
      <c r="AE331" s="592"/>
      <c r="AF331" s="590"/>
      <c r="AG331" s="570" t="str">
        <f>IF(AE331&lt;&gt;0,VLOOKUP(AE331,ODDS!$A$2:$C$13,3,0),"")</f>
        <v/>
      </c>
      <c r="AH331" s="570" t="str">
        <f t="shared" si="64"/>
        <v xml:space="preserve"> </v>
      </c>
      <c r="AI331" s="571" t="str">
        <f t="shared" si="73"/>
        <v xml:space="preserve"> </v>
      </c>
      <c r="AJ331" s="593"/>
      <c r="AK331" s="593"/>
    </row>
    <row r="332" spans="1:37" s="376" customFormat="1" ht="40.5" outlineLevel="1" x14ac:dyDescent="0.25">
      <c r="A332" s="467" t="s">
        <v>2678</v>
      </c>
      <c r="B332" s="576">
        <v>32</v>
      </c>
      <c r="C332" s="643" t="s">
        <v>33</v>
      </c>
      <c r="D332" s="595"/>
      <c r="E332" s="595"/>
      <c r="F332" s="577"/>
      <c r="G332" s="574"/>
      <c r="H332" s="618">
        <f>SUBTOTAL(9,H333:H348)</f>
        <v>342.5</v>
      </c>
      <c r="I332" s="579">
        <f>SUBTOTAL(9,I333:I338)</f>
        <v>250.7</v>
      </c>
      <c r="J332" s="597"/>
      <c r="K332" s="581"/>
      <c r="L332" s="581"/>
      <c r="M332" s="571">
        <f>SUBTOTAL(9,M333:M348)</f>
        <v>189882000</v>
      </c>
      <c r="N332" s="571">
        <f>SUBTOTAL(9,N333:N348)</f>
        <v>416964000</v>
      </c>
      <c r="O332" s="574"/>
      <c r="P332" s="599">
        <f>SUBTOTAL(9,P333:P348)</f>
        <v>0</v>
      </c>
      <c r="Q332" s="571"/>
      <c r="R332" s="571">
        <f>SUBTOTAL(9,R333:R348)</f>
        <v>0</v>
      </c>
      <c r="S332" s="644"/>
      <c r="T332" s="655"/>
      <c r="U332" s="600">
        <f>SUBTOTAL(9,U333:U348)</f>
        <v>125.82</v>
      </c>
      <c r="V332" s="597"/>
      <c r="W332" s="571"/>
      <c r="X332" s="571">
        <f>SUBTOTAL(9,X333:X348)</f>
        <v>78892000</v>
      </c>
      <c r="Y332" s="589"/>
      <c r="Z332" s="592"/>
      <c r="AA332" s="592"/>
      <c r="AB332" s="568"/>
      <c r="AC332" s="592"/>
      <c r="AD332" s="568"/>
      <c r="AE332" s="602"/>
      <c r="AF332" s="581">
        <f>SUBTOTAL(9,AF333:AF348)</f>
        <v>0</v>
      </c>
      <c r="AG332" s="585"/>
      <c r="AH332" s="585">
        <f>SUBTOTAL(9,AH333:AH348)</f>
        <v>0</v>
      </c>
      <c r="AI332" s="571">
        <f t="shared" si="73"/>
        <v>685738000</v>
      </c>
      <c r="AJ332" s="574"/>
      <c r="AK332" s="578"/>
    </row>
    <row r="333" spans="1:37" s="376" customFormat="1" ht="121.5" outlineLevel="2" x14ac:dyDescent="0.3">
      <c r="A333" s="447">
        <f>IF(B332&lt;&gt;0,B332,A331)</f>
        <v>32</v>
      </c>
      <c r="B333" s="557"/>
      <c r="C333" s="648" t="s">
        <v>157</v>
      </c>
      <c r="D333" s="587">
        <v>4</v>
      </c>
      <c r="E333" s="587">
        <v>86</v>
      </c>
      <c r="F333" s="560">
        <v>266</v>
      </c>
      <c r="G333" s="558" t="s">
        <v>2469</v>
      </c>
      <c r="H333" s="588">
        <f>338.2-H335</f>
        <v>246.39999999999998</v>
      </c>
      <c r="I333" s="546">
        <f t="shared" ref="I333:I335" si="74">IF(N333&gt;0,H333,"")</f>
        <v>246.39999999999998</v>
      </c>
      <c r="J333" s="589"/>
      <c r="K333" s="563">
        <f>IF(G333&lt;&gt;0,VLOOKUP(G333,'gia dat'!$A$1:$F$144,5,0)," ")</f>
        <v>554400</v>
      </c>
      <c r="L333" s="563">
        <f>IF(G333&lt;&gt;0,VLOOKUP(G333,'gia dat'!$A$1:$F$144,6,0)," ")</f>
        <v>1663200</v>
      </c>
      <c r="M333" s="564">
        <f t="shared" si="69"/>
        <v>136604000</v>
      </c>
      <c r="N333" s="564">
        <f t="shared" si="70"/>
        <v>409812000</v>
      </c>
      <c r="O333" s="558"/>
      <c r="P333" s="590"/>
      <c r="Q333" s="564" t="str">
        <f>IF(O333&lt;&gt;0,VLOOKUP(O333,'Cây trong'!$A$2:$C$246,3,0)," ")</f>
        <v xml:space="preserve"> </v>
      </c>
      <c r="R333" s="564" t="str">
        <f t="shared" si="63"/>
        <v xml:space="preserve"> </v>
      </c>
      <c r="S333" s="646" t="s">
        <v>1852</v>
      </c>
      <c r="T333" s="649" t="s">
        <v>53</v>
      </c>
      <c r="U333" s="591">
        <v>28.2</v>
      </c>
      <c r="V333" s="589"/>
      <c r="W333" s="564">
        <f>IF(S333&lt;&gt;0,VLOOKUP(S333,VKT!$A$2:$G$415,7,0),"")</f>
        <v>1490563</v>
      </c>
      <c r="X333" s="564">
        <f t="shared" si="68"/>
        <v>42034000</v>
      </c>
      <c r="Y333" s="589" t="s">
        <v>54</v>
      </c>
      <c r="Z333" s="592" t="s">
        <v>55</v>
      </c>
      <c r="AA333" s="592" t="s">
        <v>56</v>
      </c>
      <c r="AB333" s="568" t="s">
        <v>137</v>
      </c>
      <c r="AC333" s="592" t="s">
        <v>66</v>
      </c>
      <c r="AD333" s="568" t="s">
        <v>430</v>
      </c>
      <c r="AE333" s="569"/>
      <c r="AF333" s="563"/>
      <c r="AG333" s="570" t="str">
        <f>IF(AE333&lt;&gt;0,VLOOKUP(AE333,ODDS!$A$2:$C$13,3,0),"")</f>
        <v/>
      </c>
      <c r="AH333" s="570"/>
      <c r="AI333" s="571" t="str">
        <f t="shared" si="73"/>
        <v xml:space="preserve"> </v>
      </c>
      <c r="AJ333" s="558" t="s">
        <v>660</v>
      </c>
      <c r="AK333" s="586" t="s">
        <v>2771</v>
      </c>
    </row>
    <row r="334" spans="1:37" s="376" customFormat="1" ht="101.25" outlineLevel="2" x14ac:dyDescent="0.3">
      <c r="A334" s="447">
        <f t="shared" ref="A334:A348" si="75">IF(B333&lt;&gt;0,B333,A333)</f>
        <v>32</v>
      </c>
      <c r="B334" s="557"/>
      <c r="C334" s="648" t="s">
        <v>661</v>
      </c>
      <c r="D334" s="587"/>
      <c r="E334" s="587"/>
      <c r="F334" s="560"/>
      <c r="G334" s="558" t="s">
        <v>2470</v>
      </c>
      <c r="H334" s="588">
        <v>4.3</v>
      </c>
      <c r="I334" s="546">
        <f t="shared" si="74"/>
        <v>4.3</v>
      </c>
      <c r="J334" s="589"/>
      <c r="K334" s="563">
        <f>IF(G334&lt;&gt;0,VLOOKUP(G334,'gia dat'!$A$1:$F$144,5,0)," ")</f>
        <v>554400</v>
      </c>
      <c r="L334" s="563">
        <f>IF(G334&lt;&gt;0,VLOOKUP(G334,'gia dat'!$A$1:$F$144,6,0)," ")</f>
        <v>1663200</v>
      </c>
      <c r="M334" s="564">
        <f t="shared" si="69"/>
        <v>2384000</v>
      </c>
      <c r="N334" s="564">
        <f t="shared" si="70"/>
        <v>7152000</v>
      </c>
      <c r="O334" s="558"/>
      <c r="P334" s="590"/>
      <c r="Q334" s="564" t="str">
        <f>IF(O334&lt;&gt;0,VLOOKUP(O334,'Cây trong'!$A$2:$C$246,3,0)," ")</f>
        <v xml:space="preserve"> </v>
      </c>
      <c r="R334" s="564" t="str">
        <f t="shared" si="63"/>
        <v xml:space="preserve"> </v>
      </c>
      <c r="S334" s="566" t="s">
        <v>1853</v>
      </c>
      <c r="T334" s="589" t="s">
        <v>53</v>
      </c>
      <c r="U334" s="591">
        <v>3</v>
      </c>
      <c r="V334" s="589"/>
      <c r="W334" s="564">
        <f>IF(S334&lt;&gt;0,VLOOKUP(S334,VKT!$A$2:$G$415,7,0),"")</f>
        <v>2093161</v>
      </c>
      <c r="X334" s="564">
        <f t="shared" si="68"/>
        <v>6279000</v>
      </c>
      <c r="Y334" s="589"/>
      <c r="Z334" s="592"/>
      <c r="AA334" s="592" t="s">
        <v>56</v>
      </c>
      <c r="AB334" s="568" t="s">
        <v>57</v>
      </c>
      <c r="AC334" s="592" t="s">
        <v>139</v>
      </c>
      <c r="AD334" s="592"/>
      <c r="AE334" s="592"/>
      <c r="AF334" s="590"/>
      <c r="AG334" s="570" t="str">
        <f>IF(AE334&lt;&gt;0,VLOOKUP(AE334,ODDS!$A$2:$C$13,3,0),"")</f>
        <v/>
      </c>
      <c r="AH334" s="570" t="str">
        <f t="shared" si="64"/>
        <v xml:space="preserve"> </v>
      </c>
      <c r="AI334" s="571" t="str">
        <f t="shared" si="73"/>
        <v xml:space="preserve"> </v>
      </c>
      <c r="AJ334" s="558" t="s">
        <v>487</v>
      </c>
      <c r="AK334" s="558" t="s">
        <v>2448</v>
      </c>
    </row>
    <row r="335" spans="1:37" s="376" customFormat="1" ht="121.5" outlineLevel="2" x14ac:dyDescent="0.3">
      <c r="A335" s="447">
        <f t="shared" si="75"/>
        <v>32</v>
      </c>
      <c r="B335" s="557"/>
      <c r="C335" s="558" t="s">
        <v>304</v>
      </c>
      <c r="D335" s="587"/>
      <c r="E335" s="587">
        <v>86</v>
      </c>
      <c r="F335" s="560">
        <v>266</v>
      </c>
      <c r="G335" s="558" t="s">
        <v>2471</v>
      </c>
      <c r="H335" s="588">
        <v>91.8</v>
      </c>
      <c r="I335" s="546" t="str">
        <f t="shared" si="74"/>
        <v/>
      </c>
      <c r="J335" s="589"/>
      <c r="K335" s="563">
        <f>IF(G335&lt;&gt;0,VLOOKUP(G335,'gia dat'!$A$1:$F$144,5,0)," ")</f>
        <v>554400</v>
      </c>
      <c r="L335" s="563">
        <f>IF(G335&lt;&gt;0,VLOOKUP(G335,'gia dat'!$A$1:$F$144,6,0)," ")</f>
        <v>0</v>
      </c>
      <c r="M335" s="564">
        <f t="shared" si="69"/>
        <v>50894000</v>
      </c>
      <c r="N335" s="564">
        <f t="shared" si="70"/>
        <v>0</v>
      </c>
      <c r="O335" s="558"/>
      <c r="P335" s="590"/>
      <c r="Q335" s="564" t="str">
        <f>IF(O335&lt;&gt;0,VLOOKUP(O335,'Cây trong'!$A$2:$C$246,3,0)," ")</f>
        <v xml:space="preserve"> </v>
      </c>
      <c r="R335" s="564" t="str">
        <f t="shared" ref="R335:R400" si="76">IF(O335&lt;&gt;0,ROUND(P335*Q335,-2)," ")</f>
        <v xml:space="preserve"> </v>
      </c>
      <c r="S335" s="566" t="s">
        <v>1839</v>
      </c>
      <c r="T335" s="589" t="s">
        <v>53</v>
      </c>
      <c r="U335" s="591">
        <v>4.8</v>
      </c>
      <c r="V335" s="589"/>
      <c r="W335" s="564">
        <f>IF(S335&lt;&gt;0,VLOOKUP(S335,VKT!$A$2:$G$415,7,0),"")</f>
        <v>244604</v>
      </c>
      <c r="X335" s="564">
        <f t="shared" si="68"/>
        <v>1174000</v>
      </c>
      <c r="Y335" s="589"/>
      <c r="Z335" s="592"/>
      <c r="AA335" s="592"/>
      <c r="AB335" s="568"/>
      <c r="AC335" s="592"/>
      <c r="AD335" s="592"/>
      <c r="AE335" s="592"/>
      <c r="AF335" s="590"/>
      <c r="AG335" s="570" t="str">
        <f>IF(AE335&lt;&gt;0,VLOOKUP(AE335,ODDS!$A$2:$C$13,3,0),"")</f>
        <v/>
      </c>
      <c r="AH335" s="570" t="str">
        <f t="shared" ref="AH335:AH400" si="77">IF(AE335&lt;&gt;0,ROUND(AF335*AG335,-2)," ")</f>
        <v xml:space="preserve"> </v>
      </c>
      <c r="AI335" s="571" t="str">
        <f t="shared" si="73"/>
        <v xml:space="preserve"> </v>
      </c>
      <c r="AJ335" s="593" t="s">
        <v>488</v>
      </c>
      <c r="AK335" s="558" t="s">
        <v>2450</v>
      </c>
    </row>
    <row r="336" spans="1:37" s="376" customFormat="1" ht="101.25" outlineLevel="2" x14ac:dyDescent="0.3">
      <c r="A336" s="447">
        <f t="shared" si="75"/>
        <v>32</v>
      </c>
      <c r="B336" s="557"/>
      <c r="C336" s="572"/>
      <c r="D336" s="603"/>
      <c r="E336" s="587"/>
      <c r="F336" s="560"/>
      <c r="G336" s="558"/>
      <c r="H336" s="588"/>
      <c r="I336" s="546"/>
      <c r="J336" s="593"/>
      <c r="K336" s="563" t="str">
        <f>IF(G336&lt;&gt;0,VLOOKUP(G336,'gia dat'!$A$1:$F$144,5,0)," ")</f>
        <v xml:space="preserve"> </v>
      </c>
      <c r="L336" s="563" t="str">
        <f>IF(G336&lt;&gt;0,VLOOKUP(G336,'gia dat'!$A$1:$F$144,6,0)," ")</f>
        <v xml:space="preserve"> </v>
      </c>
      <c r="M336" s="564" t="str">
        <f t="shared" si="69"/>
        <v xml:space="preserve"> </v>
      </c>
      <c r="N336" s="564" t="str">
        <f t="shared" si="70"/>
        <v xml:space="preserve"> </v>
      </c>
      <c r="O336" s="586"/>
      <c r="P336" s="630"/>
      <c r="Q336" s="564" t="str">
        <f>IF(O336&lt;&gt;0,VLOOKUP(O336,'Cây trong'!$A$2:$C$246,3,0)," ")</f>
        <v xml:space="preserve"> </v>
      </c>
      <c r="R336" s="564" t="str">
        <f t="shared" si="76"/>
        <v xml:space="preserve"> </v>
      </c>
      <c r="S336" s="586" t="s">
        <v>1748</v>
      </c>
      <c r="T336" s="609" t="s">
        <v>53</v>
      </c>
      <c r="U336" s="591">
        <v>4.8</v>
      </c>
      <c r="V336" s="589"/>
      <c r="W336" s="564">
        <f>IF(S336&lt;&gt;0,VLOOKUP(S336,VKT!$A$2:$G$415,7,0),"")</f>
        <v>0</v>
      </c>
      <c r="X336" s="564">
        <f t="shared" si="68"/>
        <v>0</v>
      </c>
      <c r="Y336" s="562"/>
      <c r="Z336" s="592"/>
      <c r="AA336" s="592"/>
      <c r="AB336" s="568"/>
      <c r="AC336" s="592"/>
      <c r="AD336" s="592"/>
      <c r="AE336" s="592"/>
      <c r="AF336" s="590"/>
      <c r="AG336" s="570" t="str">
        <f>IF(AE336&lt;&gt;0,VLOOKUP(AE336,ODDS!$A$2:$C$13,3,0),"")</f>
        <v/>
      </c>
      <c r="AH336" s="570" t="str">
        <f t="shared" si="77"/>
        <v xml:space="preserve"> </v>
      </c>
      <c r="AI336" s="571" t="str">
        <f t="shared" si="73"/>
        <v xml:space="preserve"> </v>
      </c>
      <c r="AJ336" s="558" t="s">
        <v>662</v>
      </c>
      <c r="AK336" s="558" t="s">
        <v>2800</v>
      </c>
    </row>
    <row r="337" spans="1:37" s="376" customFormat="1" ht="60.75" outlineLevel="2" x14ac:dyDescent="0.3">
      <c r="A337" s="447">
        <f t="shared" si="75"/>
        <v>32</v>
      </c>
      <c r="B337" s="557"/>
      <c r="C337" s="572"/>
      <c r="D337" s="587"/>
      <c r="E337" s="612"/>
      <c r="F337" s="612"/>
      <c r="G337" s="586"/>
      <c r="H337" s="588"/>
      <c r="I337" s="546"/>
      <c r="J337" s="593"/>
      <c r="K337" s="563" t="str">
        <f>IF(G337&lt;&gt;0,VLOOKUP(G337,'gia dat'!$A$1:$F$144,5,0)," ")</f>
        <v xml:space="preserve"> </v>
      </c>
      <c r="L337" s="563" t="str">
        <f>IF(G337&lt;&gt;0,VLOOKUP(G337,'gia dat'!$A$1:$F$144,6,0)," ")</f>
        <v xml:space="preserve"> </v>
      </c>
      <c r="M337" s="564" t="str">
        <f t="shared" si="69"/>
        <v xml:space="preserve"> </v>
      </c>
      <c r="N337" s="564" t="str">
        <f t="shared" si="70"/>
        <v xml:space="preserve"> </v>
      </c>
      <c r="O337" s="586"/>
      <c r="P337" s="630"/>
      <c r="Q337" s="564" t="str">
        <f>IF(O337&lt;&gt;0,VLOOKUP(O337,'Cây trong'!$A$2:$C$246,3,0)," ")</f>
        <v xml:space="preserve"> </v>
      </c>
      <c r="R337" s="564" t="str">
        <f t="shared" si="76"/>
        <v xml:space="preserve"> </v>
      </c>
      <c r="S337" s="586" t="s">
        <v>1748</v>
      </c>
      <c r="T337" s="609" t="s">
        <v>53</v>
      </c>
      <c r="U337" s="591">
        <v>6.8</v>
      </c>
      <c r="V337" s="589"/>
      <c r="W337" s="564">
        <f>IF(S337&lt;&gt;0,VLOOKUP(S337,VKT!$A$2:$G$415,7,0),"")</f>
        <v>0</v>
      </c>
      <c r="X337" s="564">
        <f t="shared" si="68"/>
        <v>0</v>
      </c>
      <c r="Y337" s="589"/>
      <c r="Z337" s="592"/>
      <c r="AA337" s="592"/>
      <c r="AB337" s="568"/>
      <c r="AC337" s="592"/>
      <c r="AD337" s="592"/>
      <c r="AE337" s="592"/>
      <c r="AF337" s="590"/>
      <c r="AG337" s="570" t="str">
        <f>IF(AE337&lt;&gt;0,VLOOKUP(AE337,ODDS!$A$2:$C$13,3,0),"")</f>
        <v/>
      </c>
      <c r="AH337" s="570" t="str">
        <f t="shared" si="77"/>
        <v xml:space="preserve"> </v>
      </c>
      <c r="AI337" s="571" t="str">
        <f t="shared" si="73"/>
        <v xml:space="preserve"> </v>
      </c>
      <c r="AJ337" s="558" t="s">
        <v>2074</v>
      </c>
      <c r="AK337" s="558"/>
    </row>
    <row r="338" spans="1:37" s="376" customFormat="1" ht="60.75" outlineLevel="2" x14ac:dyDescent="0.3">
      <c r="A338" s="447">
        <f t="shared" si="75"/>
        <v>32</v>
      </c>
      <c r="B338" s="557"/>
      <c r="C338" s="574"/>
      <c r="D338" s="587"/>
      <c r="E338" s="587"/>
      <c r="F338" s="560"/>
      <c r="G338" s="558"/>
      <c r="H338" s="588"/>
      <c r="I338" s="546"/>
      <c r="J338" s="593"/>
      <c r="K338" s="563" t="str">
        <f>IF(G338&lt;&gt;0,VLOOKUP(G338,'gia dat'!$A$1:$F$144,5,0)," ")</f>
        <v xml:space="preserve"> </v>
      </c>
      <c r="L338" s="563" t="str">
        <f>IF(G338&lt;&gt;0,VLOOKUP(G338,'gia dat'!$A$1:$F$144,6,0)," ")</f>
        <v xml:space="preserve"> </v>
      </c>
      <c r="M338" s="564" t="str">
        <f t="shared" si="69"/>
        <v xml:space="preserve"> </v>
      </c>
      <c r="N338" s="564" t="str">
        <f t="shared" si="70"/>
        <v xml:space="preserve"> </v>
      </c>
      <c r="O338" s="586"/>
      <c r="P338" s="630"/>
      <c r="Q338" s="564" t="str">
        <f>IF(O338&lt;&gt;0,VLOOKUP(O338,'Cây trong'!$A$2:$C$246,3,0)," ")</f>
        <v xml:space="preserve"> </v>
      </c>
      <c r="R338" s="564" t="str">
        <f t="shared" si="76"/>
        <v xml:space="preserve"> </v>
      </c>
      <c r="S338" s="586" t="s">
        <v>1749</v>
      </c>
      <c r="T338" s="609" t="s">
        <v>53</v>
      </c>
      <c r="U338" s="591">
        <v>6.8</v>
      </c>
      <c r="V338" s="589"/>
      <c r="W338" s="564">
        <f>IF(S338&lt;&gt;0,VLOOKUP(S338,VKT!$A$2:$G$415,7,0),"")</f>
        <v>211811</v>
      </c>
      <c r="X338" s="564">
        <f t="shared" si="68"/>
        <v>1440000</v>
      </c>
      <c r="Y338" s="589"/>
      <c r="Z338" s="592"/>
      <c r="AA338" s="592"/>
      <c r="AB338" s="568"/>
      <c r="AC338" s="592"/>
      <c r="AD338" s="592"/>
      <c r="AE338" s="592"/>
      <c r="AF338" s="590"/>
      <c r="AG338" s="570" t="str">
        <f>IF(AE338&lt;&gt;0,VLOOKUP(AE338,ODDS!$A$2:$C$13,3,0),"")</f>
        <v/>
      </c>
      <c r="AH338" s="570" t="str">
        <f t="shared" si="77"/>
        <v xml:space="preserve"> </v>
      </c>
      <c r="AI338" s="571" t="str">
        <f t="shared" si="73"/>
        <v xml:space="preserve"> </v>
      </c>
      <c r="AJ338" s="575"/>
      <c r="AK338" s="593"/>
    </row>
    <row r="339" spans="1:37" s="376" customFormat="1" ht="60.75" outlineLevel="2" x14ac:dyDescent="0.3">
      <c r="A339" s="447">
        <f t="shared" si="75"/>
        <v>32</v>
      </c>
      <c r="B339" s="557"/>
      <c r="C339" s="558"/>
      <c r="D339" s="587"/>
      <c r="E339" s="587"/>
      <c r="F339" s="560"/>
      <c r="G339" s="558"/>
      <c r="H339" s="588"/>
      <c r="I339" s="546"/>
      <c r="J339" s="593"/>
      <c r="K339" s="563" t="str">
        <f>IF(G339&lt;&gt;0,VLOOKUP(G339,'gia dat'!$A$1:$F$144,5,0)," ")</f>
        <v xml:space="preserve"> </v>
      </c>
      <c r="L339" s="563" t="str">
        <f>IF(G339&lt;&gt;0,VLOOKUP(G339,'gia dat'!$A$1:$F$144,6,0)," ")</f>
        <v xml:space="preserve"> </v>
      </c>
      <c r="M339" s="564" t="str">
        <f t="shared" si="69"/>
        <v xml:space="preserve"> </v>
      </c>
      <c r="N339" s="564" t="str">
        <f t="shared" si="70"/>
        <v xml:space="preserve"> </v>
      </c>
      <c r="O339" s="586"/>
      <c r="P339" s="630"/>
      <c r="Q339" s="564" t="str">
        <f>IF(O339&lt;&gt;0,VLOOKUP(O339,'Cây trong'!$A$2:$C$246,3,0)," ")</f>
        <v xml:space="preserve"> </v>
      </c>
      <c r="R339" s="564" t="str">
        <f t="shared" si="76"/>
        <v xml:space="preserve"> </v>
      </c>
      <c r="S339" s="586" t="s">
        <v>1854</v>
      </c>
      <c r="T339" s="609" t="s">
        <v>53</v>
      </c>
      <c r="U339" s="591">
        <v>3.57</v>
      </c>
      <c r="V339" s="589"/>
      <c r="W339" s="564">
        <f>IF(S339&lt;&gt;0,VLOOKUP(S339,VKT!$A$2:$G$415,7,0),"")</f>
        <v>2093161</v>
      </c>
      <c r="X339" s="564">
        <f t="shared" si="68"/>
        <v>7473000</v>
      </c>
      <c r="Y339" s="589"/>
      <c r="Z339" s="592" t="s">
        <v>55</v>
      </c>
      <c r="AA339" s="592" t="s">
        <v>56</v>
      </c>
      <c r="AB339" s="568" t="s">
        <v>57</v>
      </c>
      <c r="AC339" s="592" t="s">
        <v>54</v>
      </c>
      <c r="AD339" s="592"/>
      <c r="AE339" s="592"/>
      <c r="AF339" s="590"/>
      <c r="AG339" s="570" t="str">
        <f>IF(AE339&lt;&gt;0,VLOOKUP(AE339,ODDS!$A$2:$C$13,3,0),"")</f>
        <v/>
      </c>
      <c r="AH339" s="570" t="str">
        <f t="shared" si="77"/>
        <v xml:space="preserve"> </v>
      </c>
      <c r="AI339" s="571" t="str">
        <f t="shared" si="73"/>
        <v xml:space="preserve"> </v>
      </c>
      <c r="AJ339" s="593"/>
      <c r="AK339" s="593"/>
    </row>
    <row r="340" spans="1:37" s="376" customFormat="1" ht="60.75" outlineLevel="2" x14ac:dyDescent="0.3">
      <c r="A340" s="447">
        <f t="shared" si="75"/>
        <v>32</v>
      </c>
      <c r="B340" s="557"/>
      <c r="C340" s="558"/>
      <c r="D340" s="587"/>
      <c r="E340" s="587"/>
      <c r="F340" s="560"/>
      <c r="G340" s="558"/>
      <c r="H340" s="588"/>
      <c r="I340" s="546"/>
      <c r="J340" s="593"/>
      <c r="K340" s="563" t="str">
        <f>IF(G340&lt;&gt;0,VLOOKUP(G340,'gia dat'!$A$1:$F$144,5,0)," ")</f>
        <v xml:space="preserve"> </v>
      </c>
      <c r="L340" s="563" t="str">
        <f>IF(G340&lt;&gt;0,VLOOKUP(G340,'gia dat'!$A$1:$F$144,6,0)," ")</f>
        <v xml:space="preserve"> </v>
      </c>
      <c r="M340" s="564" t="str">
        <f t="shared" si="69"/>
        <v xml:space="preserve"> </v>
      </c>
      <c r="N340" s="564" t="str">
        <f t="shared" si="70"/>
        <v xml:space="preserve"> </v>
      </c>
      <c r="O340" s="586"/>
      <c r="P340" s="630"/>
      <c r="Q340" s="564" t="str">
        <f>IF(O340&lt;&gt;0,VLOOKUP(O340,'Cây trong'!$A$2:$C$246,3,0)," ")</f>
        <v xml:space="preserve"> </v>
      </c>
      <c r="R340" s="564" t="str">
        <f t="shared" si="76"/>
        <v xml:space="preserve"> </v>
      </c>
      <c r="S340" s="586" t="s">
        <v>1749</v>
      </c>
      <c r="T340" s="609" t="s">
        <v>53</v>
      </c>
      <c r="U340" s="591">
        <v>4.0999999999999996</v>
      </c>
      <c r="V340" s="589"/>
      <c r="W340" s="564">
        <f>IF(S340&lt;&gt;0,VLOOKUP(S340,VKT!$A$2:$G$415,7,0),"")</f>
        <v>211811</v>
      </c>
      <c r="X340" s="564">
        <f t="shared" si="68"/>
        <v>868000</v>
      </c>
      <c r="Y340" s="589"/>
      <c r="Z340" s="592"/>
      <c r="AA340" s="592"/>
      <c r="AB340" s="568"/>
      <c r="AC340" s="592"/>
      <c r="AD340" s="592"/>
      <c r="AE340" s="592"/>
      <c r="AF340" s="590"/>
      <c r="AG340" s="570" t="str">
        <f>IF(AE340&lt;&gt;0,VLOOKUP(AE340,ODDS!$A$2:$C$13,3,0),"")</f>
        <v/>
      </c>
      <c r="AH340" s="570" t="str">
        <f t="shared" si="77"/>
        <v xml:space="preserve"> </v>
      </c>
      <c r="AI340" s="571" t="str">
        <f t="shared" si="73"/>
        <v xml:space="preserve"> </v>
      </c>
      <c r="AJ340" s="593"/>
      <c r="AK340" s="593"/>
    </row>
    <row r="341" spans="1:37" s="376" customFormat="1" ht="60.75" outlineLevel="2" x14ac:dyDescent="0.3">
      <c r="A341" s="447">
        <f t="shared" si="75"/>
        <v>32</v>
      </c>
      <c r="B341" s="557"/>
      <c r="C341" s="558"/>
      <c r="D341" s="587"/>
      <c r="E341" s="587"/>
      <c r="F341" s="560"/>
      <c r="G341" s="558"/>
      <c r="H341" s="588"/>
      <c r="I341" s="546"/>
      <c r="J341" s="593"/>
      <c r="K341" s="563" t="str">
        <f>IF(G341&lt;&gt;0,VLOOKUP(G341,'gia dat'!$A$1:$F$144,5,0)," ")</f>
        <v xml:space="preserve"> </v>
      </c>
      <c r="L341" s="563" t="str">
        <f>IF(G341&lt;&gt;0,VLOOKUP(G341,'gia dat'!$A$1:$F$144,6,0)," ")</f>
        <v xml:space="preserve"> </v>
      </c>
      <c r="M341" s="564" t="str">
        <f t="shared" si="69"/>
        <v xml:space="preserve"> </v>
      </c>
      <c r="N341" s="564" t="str">
        <f t="shared" si="70"/>
        <v xml:space="preserve"> </v>
      </c>
      <c r="O341" s="586"/>
      <c r="P341" s="630"/>
      <c r="Q341" s="564" t="str">
        <f>IF(O341&lt;&gt;0,VLOOKUP(O341,'Cây trong'!$A$2:$C$246,3,0)," ")</f>
        <v xml:space="preserve"> </v>
      </c>
      <c r="R341" s="564" t="str">
        <f t="shared" si="76"/>
        <v xml:space="preserve"> </v>
      </c>
      <c r="S341" s="586" t="s">
        <v>1855</v>
      </c>
      <c r="T341" s="609" t="s">
        <v>53</v>
      </c>
      <c r="U341" s="591">
        <v>0.96</v>
      </c>
      <c r="V341" s="589"/>
      <c r="W341" s="564">
        <f>IF(S341&lt;&gt;0,VLOOKUP(S341,VKT!$A$2:$G$415,7,0),"")</f>
        <v>310020</v>
      </c>
      <c r="X341" s="564">
        <f t="shared" si="68"/>
        <v>298000</v>
      </c>
      <c r="Y341" s="589"/>
      <c r="Z341" s="592"/>
      <c r="AA341" s="592"/>
      <c r="AB341" s="568"/>
      <c r="AC341" s="592"/>
      <c r="AD341" s="592"/>
      <c r="AE341" s="592"/>
      <c r="AF341" s="590"/>
      <c r="AG341" s="570" t="str">
        <f>IF(AE341&lt;&gt;0,VLOOKUP(AE341,ODDS!$A$2:$C$13,3,0),"")</f>
        <v/>
      </c>
      <c r="AH341" s="570" t="str">
        <f t="shared" si="77"/>
        <v xml:space="preserve"> </v>
      </c>
      <c r="AI341" s="571" t="str">
        <f t="shared" si="73"/>
        <v xml:space="preserve"> </v>
      </c>
      <c r="AJ341" s="593"/>
      <c r="AK341" s="593"/>
    </row>
    <row r="342" spans="1:37" s="376" customFormat="1" ht="60.75" outlineLevel="2" x14ac:dyDescent="0.3">
      <c r="A342" s="447">
        <f t="shared" si="75"/>
        <v>32</v>
      </c>
      <c r="B342" s="557"/>
      <c r="C342" s="558"/>
      <c r="D342" s="587"/>
      <c r="E342" s="587"/>
      <c r="F342" s="560"/>
      <c r="G342" s="558"/>
      <c r="H342" s="588"/>
      <c r="I342" s="546"/>
      <c r="J342" s="593"/>
      <c r="K342" s="563" t="str">
        <f>IF(G342&lt;&gt;0,VLOOKUP(G342,'gia dat'!$A$1:$F$144,5,0)," ")</f>
        <v xml:space="preserve"> </v>
      </c>
      <c r="L342" s="563" t="str">
        <f>IF(G342&lt;&gt;0,VLOOKUP(G342,'gia dat'!$A$1:$F$144,6,0)," ")</f>
        <v xml:space="preserve"> </v>
      </c>
      <c r="M342" s="564" t="str">
        <f t="shared" si="69"/>
        <v xml:space="preserve"> </v>
      </c>
      <c r="N342" s="564" t="str">
        <f t="shared" si="70"/>
        <v xml:space="preserve"> </v>
      </c>
      <c r="O342" s="586"/>
      <c r="P342" s="630"/>
      <c r="Q342" s="564" t="str">
        <f>IF(O342&lt;&gt;0,VLOOKUP(O342,'Cây trong'!$A$2:$C$246,3,0)," ")</f>
        <v xml:space="preserve"> </v>
      </c>
      <c r="R342" s="564" t="str">
        <f t="shared" si="76"/>
        <v xml:space="preserve"> </v>
      </c>
      <c r="S342" s="586" t="s">
        <v>1856</v>
      </c>
      <c r="T342" s="652" t="s">
        <v>78</v>
      </c>
      <c r="U342" s="591">
        <v>0.36</v>
      </c>
      <c r="V342" s="589"/>
      <c r="W342" s="564">
        <f>IF(S342&lt;&gt;0,VLOOKUP(S342,VKT!$A$2:$G$415,7,0),"")</f>
        <v>0</v>
      </c>
      <c r="X342" s="564">
        <f t="shared" si="68"/>
        <v>0</v>
      </c>
      <c r="Y342" s="589"/>
      <c r="Z342" s="592"/>
      <c r="AA342" s="592"/>
      <c r="AB342" s="568"/>
      <c r="AC342" s="592"/>
      <c r="AD342" s="592"/>
      <c r="AE342" s="592"/>
      <c r="AF342" s="590"/>
      <c r="AG342" s="570" t="str">
        <f>IF(AE342&lt;&gt;0,VLOOKUP(AE342,ODDS!$A$2:$C$13,3,0),"")</f>
        <v/>
      </c>
      <c r="AH342" s="570" t="str">
        <f t="shared" si="77"/>
        <v xml:space="preserve"> </v>
      </c>
      <c r="AI342" s="571" t="str">
        <f t="shared" si="73"/>
        <v xml:space="preserve"> </v>
      </c>
      <c r="AJ342" s="593"/>
      <c r="AK342" s="593"/>
    </row>
    <row r="343" spans="1:37" s="376" customFormat="1" ht="60.75" outlineLevel="2" x14ac:dyDescent="0.3">
      <c r="A343" s="447">
        <f t="shared" si="75"/>
        <v>32</v>
      </c>
      <c r="B343" s="557"/>
      <c r="C343" s="558"/>
      <c r="D343" s="587"/>
      <c r="E343" s="587"/>
      <c r="F343" s="560"/>
      <c r="G343" s="558"/>
      <c r="H343" s="588"/>
      <c r="I343" s="546"/>
      <c r="J343" s="593"/>
      <c r="K343" s="563" t="str">
        <f>IF(G343&lt;&gt;0,VLOOKUP(G343,'gia dat'!$A$1:$F$144,5,0)," ")</f>
        <v xml:space="preserve"> </v>
      </c>
      <c r="L343" s="563" t="str">
        <f>IF(G343&lt;&gt;0,VLOOKUP(G343,'gia dat'!$A$1:$F$144,6,0)," ")</f>
        <v xml:space="preserve"> </v>
      </c>
      <c r="M343" s="564" t="str">
        <f t="shared" si="69"/>
        <v xml:space="preserve"> </v>
      </c>
      <c r="N343" s="564" t="str">
        <f t="shared" si="70"/>
        <v xml:space="preserve"> </v>
      </c>
      <c r="O343" s="586"/>
      <c r="P343" s="630"/>
      <c r="Q343" s="564" t="str">
        <f>IF(O343&lt;&gt;0,VLOOKUP(O343,'Cây trong'!$A$2:$C$246,3,0)," ")</f>
        <v xml:space="preserve"> </v>
      </c>
      <c r="R343" s="564" t="str">
        <f t="shared" si="76"/>
        <v xml:space="preserve"> </v>
      </c>
      <c r="S343" s="586" t="s">
        <v>1857</v>
      </c>
      <c r="T343" s="609" t="s">
        <v>53</v>
      </c>
      <c r="U343" s="591">
        <v>1.05</v>
      </c>
      <c r="V343" s="589"/>
      <c r="W343" s="564">
        <f>IF(S343&lt;&gt;0,VLOOKUP(S343,VKT!$A$2:$G$415,7,0),"")</f>
        <v>226126</v>
      </c>
      <c r="X343" s="564">
        <f t="shared" si="68"/>
        <v>237000</v>
      </c>
      <c r="Y343" s="589"/>
      <c r="Z343" s="592"/>
      <c r="AA343" s="592"/>
      <c r="AB343" s="568"/>
      <c r="AC343" s="592"/>
      <c r="AD343" s="592"/>
      <c r="AE343" s="592"/>
      <c r="AF343" s="590"/>
      <c r="AG343" s="570" t="str">
        <f>IF(AE343&lt;&gt;0,VLOOKUP(AE343,ODDS!$A$2:$C$13,3,0),"")</f>
        <v/>
      </c>
      <c r="AH343" s="570" t="str">
        <f t="shared" si="77"/>
        <v xml:space="preserve"> </v>
      </c>
      <c r="AI343" s="571" t="str">
        <f t="shared" si="73"/>
        <v xml:space="preserve"> </v>
      </c>
      <c r="AJ343" s="593"/>
      <c r="AK343" s="593"/>
    </row>
    <row r="344" spans="1:37" s="376" customFormat="1" ht="40.5" outlineLevel="2" x14ac:dyDescent="0.3">
      <c r="A344" s="447">
        <f t="shared" si="75"/>
        <v>32</v>
      </c>
      <c r="B344" s="557"/>
      <c r="C344" s="558"/>
      <c r="D344" s="587"/>
      <c r="E344" s="587"/>
      <c r="F344" s="560"/>
      <c r="G344" s="558"/>
      <c r="H344" s="588"/>
      <c r="I344" s="546"/>
      <c r="J344" s="593"/>
      <c r="K344" s="563" t="str">
        <f>IF(G344&lt;&gt;0,VLOOKUP(G344,'gia dat'!$A$1:$F$144,5,0)," ")</f>
        <v xml:space="preserve"> </v>
      </c>
      <c r="L344" s="563" t="str">
        <f>IF(G344&lt;&gt;0,VLOOKUP(G344,'gia dat'!$A$1:$F$144,6,0)," ")</f>
        <v xml:space="preserve"> </v>
      </c>
      <c r="M344" s="564" t="str">
        <f t="shared" si="69"/>
        <v xml:space="preserve"> </v>
      </c>
      <c r="N344" s="564" t="str">
        <f t="shared" si="70"/>
        <v xml:space="preserve"> </v>
      </c>
      <c r="O344" s="586"/>
      <c r="P344" s="630"/>
      <c r="Q344" s="564" t="str">
        <f>IF(O344&lt;&gt;0,VLOOKUP(O344,'Cây trong'!$A$2:$C$246,3,0)," ")</f>
        <v xml:space="preserve"> </v>
      </c>
      <c r="R344" s="564" t="str">
        <f t="shared" si="76"/>
        <v xml:space="preserve"> </v>
      </c>
      <c r="S344" s="586" t="s">
        <v>1757</v>
      </c>
      <c r="T344" s="609" t="s">
        <v>53</v>
      </c>
      <c r="U344" s="591">
        <v>28.2</v>
      </c>
      <c r="V344" s="589"/>
      <c r="W344" s="564">
        <f>IF(S344&lt;&gt;0,VLOOKUP(S344,VKT!$A$2:$G$415,7,0),"")</f>
        <v>157477</v>
      </c>
      <c r="X344" s="564">
        <f t="shared" si="68"/>
        <v>4441000</v>
      </c>
      <c r="Y344" s="589"/>
      <c r="Z344" s="592"/>
      <c r="AA344" s="592"/>
      <c r="AB344" s="568"/>
      <c r="AC344" s="592"/>
      <c r="AD344" s="592"/>
      <c r="AE344" s="592"/>
      <c r="AF344" s="590"/>
      <c r="AG344" s="570" t="str">
        <f>IF(AE344&lt;&gt;0,VLOOKUP(AE344,ODDS!$A$2:$C$13,3,0),"")</f>
        <v/>
      </c>
      <c r="AH344" s="570" t="str">
        <f t="shared" si="77"/>
        <v xml:space="preserve"> </v>
      </c>
      <c r="AI344" s="571" t="str">
        <f t="shared" si="73"/>
        <v xml:space="preserve"> </v>
      </c>
      <c r="AJ344" s="593"/>
      <c r="AK344" s="593"/>
    </row>
    <row r="345" spans="1:37" s="376" customFormat="1" ht="60.75" outlineLevel="2" x14ac:dyDescent="0.3">
      <c r="A345" s="447">
        <f t="shared" si="75"/>
        <v>32</v>
      </c>
      <c r="B345" s="557"/>
      <c r="C345" s="558"/>
      <c r="D345" s="587"/>
      <c r="E345" s="587"/>
      <c r="F345" s="560"/>
      <c r="G345" s="558"/>
      <c r="H345" s="588"/>
      <c r="I345" s="546"/>
      <c r="J345" s="593"/>
      <c r="K345" s="563" t="str">
        <f>IF(G345&lt;&gt;0,VLOOKUP(G345,'gia dat'!$A$1:$F$144,5,0)," ")</f>
        <v xml:space="preserve"> </v>
      </c>
      <c r="L345" s="563" t="str">
        <f>IF(G345&lt;&gt;0,VLOOKUP(G345,'gia dat'!$A$1:$F$144,6,0)," ")</f>
        <v xml:space="preserve"> </v>
      </c>
      <c r="M345" s="564" t="str">
        <f t="shared" si="69"/>
        <v xml:space="preserve"> </v>
      </c>
      <c r="N345" s="564" t="str">
        <f t="shared" si="70"/>
        <v xml:space="preserve"> </v>
      </c>
      <c r="O345" s="586"/>
      <c r="P345" s="630"/>
      <c r="Q345" s="564" t="str">
        <f>IF(O345&lt;&gt;0,VLOOKUP(O345,'Cây trong'!$A$2:$C$246,3,0)," ")</f>
        <v xml:space="preserve"> </v>
      </c>
      <c r="R345" s="564" t="str">
        <f t="shared" si="76"/>
        <v xml:space="preserve"> </v>
      </c>
      <c r="S345" s="646" t="s">
        <v>1858</v>
      </c>
      <c r="T345" s="647" t="s">
        <v>53</v>
      </c>
      <c r="U345" s="591">
        <v>33.18</v>
      </c>
      <c r="V345" s="589"/>
      <c r="W345" s="564">
        <f>IF(S345&lt;&gt;0,VLOOKUP(S345,VKT!$A$2:$G$415,7,0),"")</f>
        <v>441467</v>
      </c>
      <c r="X345" s="564">
        <f t="shared" si="68"/>
        <v>14648000</v>
      </c>
      <c r="Y345" s="589"/>
      <c r="Z345" s="592"/>
      <c r="AA345" s="592"/>
      <c r="AB345" s="568"/>
      <c r="AC345" s="592"/>
      <c r="AD345" s="592"/>
      <c r="AE345" s="592"/>
      <c r="AF345" s="590"/>
      <c r="AG345" s="570" t="str">
        <f>IF(AE345&lt;&gt;0,VLOOKUP(AE345,ODDS!$A$2:$C$13,3,0),"")</f>
        <v/>
      </c>
      <c r="AH345" s="570" t="str">
        <f t="shared" si="77"/>
        <v xml:space="preserve"> </v>
      </c>
      <c r="AI345" s="571" t="str">
        <f t="shared" si="73"/>
        <v xml:space="preserve"> </v>
      </c>
      <c r="AJ345" s="593"/>
      <c r="AK345" s="593"/>
    </row>
    <row r="346" spans="1:37" s="376" customFormat="1" ht="20.25" outlineLevel="2" x14ac:dyDescent="0.3">
      <c r="A346" s="447">
        <f t="shared" si="75"/>
        <v>32</v>
      </c>
      <c r="B346" s="557"/>
      <c r="C346" s="558"/>
      <c r="D346" s="587"/>
      <c r="E346" s="587"/>
      <c r="F346" s="560"/>
      <c r="G346" s="558"/>
      <c r="H346" s="588"/>
      <c r="I346" s="546"/>
      <c r="J346" s="593"/>
      <c r="K346" s="563" t="str">
        <f>IF(G346&lt;&gt;0,VLOOKUP(G346,'gia dat'!$A$1:$F$144,5,0)," ")</f>
        <v xml:space="preserve"> </v>
      </c>
      <c r="L346" s="563" t="str">
        <f>IF(G346&lt;&gt;0,VLOOKUP(G346,'gia dat'!$A$1:$F$144,6,0)," ")</f>
        <v xml:space="preserve"> </v>
      </c>
      <c r="M346" s="564" t="str">
        <f t="shared" si="69"/>
        <v xml:space="preserve"> </v>
      </c>
      <c r="N346" s="564" t="str">
        <f t="shared" si="70"/>
        <v xml:space="preserve"> </v>
      </c>
      <c r="O346" s="586"/>
      <c r="P346" s="630"/>
      <c r="Q346" s="564" t="str">
        <f>IF(O346&lt;&gt;0,VLOOKUP(O346,'Cây trong'!$A$2:$C$246,3,0)," ")</f>
        <v xml:space="preserve"> </v>
      </c>
      <c r="R346" s="564" t="str">
        <f t="shared" si="76"/>
        <v xml:space="preserve"> </v>
      </c>
      <c r="S346" s="586"/>
      <c r="T346" s="609"/>
      <c r="U346" s="591"/>
      <c r="V346" s="589"/>
      <c r="W346" s="564" t="str">
        <f>IF(S346&lt;&gt;0,VLOOKUP(S346,VKT!$A$2:$G$415,7,0),"")</f>
        <v/>
      </c>
      <c r="X346" s="564" t="str">
        <f t="shared" si="68"/>
        <v xml:space="preserve"> </v>
      </c>
      <c r="Y346" s="589"/>
      <c r="Z346" s="592"/>
      <c r="AA346" s="592"/>
      <c r="AB346" s="568"/>
      <c r="AC346" s="592"/>
      <c r="AD346" s="592"/>
      <c r="AE346" s="592"/>
      <c r="AF346" s="590"/>
      <c r="AG346" s="570" t="str">
        <f>IF(AE346&lt;&gt;0,VLOOKUP(AE346,ODDS!$A$2:$C$13,3,0),"")</f>
        <v/>
      </c>
      <c r="AH346" s="570" t="str">
        <f t="shared" si="77"/>
        <v xml:space="preserve"> </v>
      </c>
      <c r="AI346" s="571" t="str">
        <f t="shared" si="73"/>
        <v xml:space="preserve"> </v>
      </c>
      <c r="AJ346" s="593"/>
      <c r="AK346" s="593"/>
    </row>
    <row r="347" spans="1:37" s="376" customFormat="1" ht="20.25" outlineLevel="2" x14ac:dyDescent="0.3">
      <c r="A347" s="447">
        <f t="shared" si="75"/>
        <v>32</v>
      </c>
      <c r="B347" s="557"/>
      <c r="C347" s="558"/>
      <c r="D347" s="587"/>
      <c r="E347" s="587"/>
      <c r="F347" s="560"/>
      <c r="G347" s="558"/>
      <c r="H347" s="588"/>
      <c r="I347" s="546"/>
      <c r="J347" s="593"/>
      <c r="K347" s="563" t="str">
        <f>IF(G347&lt;&gt;0,VLOOKUP(G347,'gia dat'!$A$1:$F$144,5,0)," ")</f>
        <v xml:space="preserve"> </v>
      </c>
      <c r="L347" s="563" t="str">
        <f>IF(G347&lt;&gt;0,VLOOKUP(G347,'gia dat'!$A$1:$F$144,6,0)," ")</f>
        <v xml:space="preserve"> </v>
      </c>
      <c r="M347" s="564" t="str">
        <f t="shared" si="69"/>
        <v xml:space="preserve"> </v>
      </c>
      <c r="N347" s="564" t="str">
        <f t="shared" si="70"/>
        <v xml:space="preserve"> </v>
      </c>
      <c r="O347" s="586"/>
      <c r="P347" s="630"/>
      <c r="Q347" s="564" t="str">
        <f>IF(O347&lt;&gt;0,VLOOKUP(O347,'Cây trong'!$A$2:$C$246,3,0)," ")</f>
        <v xml:space="preserve"> </v>
      </c>
      <c r="R347" s="564" t="str">
        <f t="shared" si="76"/>
        <v xml:space="preserve"> </v>
      </c>
      <c r="S347" s="586"/>
      <c r="T347" s="609"/>
      <c r="U347" s="591"/>
      <c r="V347" s="589"/>
      <c r="W347" s="564" t="str">
        <f>IF(S347&lt;&gt;0,VLOOKUP(S347,VKT!$A$2:$G$415,7,0),"")</f>
        <v/>
      </c>
      <c r="X347" s="564" t="str">
        <f t="shared" si="68"/>
        <v xml:space="preserve"> </v>
      </c>
      <c r="Y347" s="589"/>
      <c r="Z347" s="592"/>
      <c r="AA347" s="592"/>
      <c r="AB347" s="568"/>
      <c r="AC347" s="592"/>
      <c r="AD347" s="592"/>
      <c r="AE347" s="592"/>
      <c r="AF347" s="590"/>
      <c r="AG347" s="570" t="str">
        <f>IF(AE347&lt;&gt;0,VLOOKUP(AE347,ODDS!$A$2:$C$13,3,0),"")</f>
        <v/>
      </c>
      <c r="AH347" s="570" t="str">
        <f t="shared" si="77"/>
        <v xml:space="preserve"> </v>
      </c>
      <c r="AI347" s="571" t="str">
        <f t="shared" si="73"/>
        <v xml:space="preserve"> </v>
      </c>
      <c r="AJ347" s="593"/>
      <c r="AK347" s="593"/>
    </row>
    <row r="348" spans="1:37" s="376" customFormat="1" ht="20.25" outlineLevel="2" x14ac:dyDescent="0.3">
      <c r="A348" s="447">
        <f t="shared" si="75"/>
        <v>32</v>
      </c>
      <c r="B348" s="557"/>
      <c r="C348" s="643"/>
      <c r="D348" s="587"/>
      <c r="E348" s="587"/>
      <c r="F348" s="615"/>
      <c r="G348" s="558"/>
      <c r="H348" s="604"/>
      <c r="I348" s="546"/>
      <c r="J348" s="593"/>
      <c r="K348" s="563" t="str">
        <f>IF(G348&lt;&gt;0,VLOOKUP(G348,'gia dat'!$A$1:$F$144,5,0)," ")</f>
        <v xml:space="preserve"> </v>
      </c>
      <c r="L348" s="563" t="str">
        <f>IF(G348&lt;&gt;0,VLOOKUP(G348,'gia dat'!$A$1:$F$144,6,0)," ")</f>
        <v xml:space="preserve"> </v>
      </c>
      <c r="M348" s="564" t="str">
        <f t="shared" si="69"/>
        <v xml:space="preserve"> </v>
      </c>
      <c r="N348" s="564" t="str">
        <f t="shared" si="70"/>
        <v xml:space="preserve"> </v>
      </c>
      <c r="O348" s="593"/>
      <c r="P348" s="616"/>
      <c r="Q348" s="564" t="str">
        <f>IF(O348&lt;&gt;0,VLOOKUP(O348,'Cây trong'!$A$2:$C$246,3,0)," ")</f>
        <v xml:space="preserve"> </v>
      </c>
      <c r="R348" s="564" t="str">
        <f t="shared" si="76"/>
        <v xml:space="preserve"> </v>
      </c>
      <c r="S348" s="593"/>
      <c r="T348" s="593"/>
      <c r="U348" s="617"/>
      <c r="V348" s="589"/>
      <c r="W348" s="564" t="str">
        <f>IF(S348&lt;&gt;0,VLOOKUP(S348,VKT!$A$2:$G$415,7,0),"")</f>
        <v/>
      </c>
      <c r="X348" s="564" t="str">
        <f t="shared" si="68"/>
        <v xml:space="preserve"> </v>
      </c>
      <c r="Y348" s="589"/>
      <c r="Z348" s="589"/>
      <c r="AA348" s="589"/>
      <c r="AB348" s="562"/>
      <c r="AC348" s="589"/>
      <c r="AD348" s="589"/>
      <c r="AE348" s="589"/>
      <c r="AF348" s="629"/>
      <c r="AG348" s="570" t="str">
        <f>IF(AE348&lt;&gt;0,VLOOKUP(AE348,ODDS!$A$2:$C$13,3,0),"")</f>
        <v/>
      </c>
      <c r="AH348" s="570" t="str">
        <f t="shared" si="77"/>
        <v xml:space="preserve"> </v>
      </c>
      <c r="AI348" s="571" t="str">
        <f t="shared" si="73"/>
        <v xml:space="preserve"> </v>
      </c>
      <c r="AJ348" s="593"/>
      <c r="AK348" s="593"/>
    </row>
    <row r="349" spans="1:37" s="376" customFormat="1" ht="40.5" outlineLevel="1" x14ac:dyDescent="0.25">
      <c r="A349" s="467" t="s">
        <v>2677</v>
      </c>
      <c r="B349" s="576">
        <v>33</v>
      </c>
      <c r="C349" s="643" t="s">
        <v>33</v>
      </c>
      <c r="D349" s="595"/>
      <c r="E349" s="595"/>
      <c r="F349" s="577"/>
      <c r="G349" s="574"/>
      <c r="H349" s="618">
        <f>SUBTOTAL(9,H350:H384)</f>
        <v>410.3</v>
      </c>
      <c r="I349" s="579">
        <f>SUBTOTAL(9,I350:I355)</f>
        <v>208.8</v>
      </c>
      <c r="J349" s="597"/>
      <c r="K349" s="581"/>
      <c r="L349" s="581"/>
      <c r="M349" s="571">
        <f>SUBTOTAL(9,M350:M384)</f>
        <v>1276883000</v>
      </c>
      <c r="N349" s="571">
        <f>SUBTOTAL(9,N350:N384)</f>
        <v>347277000</v>
      </c>
      <c r="O349" s="574"/>
      <c r="P349" s="599">
        <f>SUBTOTAL(9,P350:P384)</f>
        <v>49</v>
      </c>
      <c r="Q349" s="571"/>
      <c r="R349" s="571">
        <f>SUBTOTAL(9,R350:R384)</f>
        <v>37315000</v>
      </c>
      <c r="S349" s="582"/>
      <c r="T349" s="597"/>
      <c r="U349" s="600">
        <f>SUBTOTAL(9,U350:U384)</f>
        <v>291.37999999999994</v>
      </c>
      <c r="V349" s="597"/>
      <c r="W349" s="571"/>
      <c r="X349" s="571">
        <f>SUBTOTAL(9,X350:X384)</f>
        <v>204368000</v>
      </c>
      <c r="Y349" s="589"/>
      <c r="Z349" s="592"/>
      <c r="AA349" s="592"/>
      <c r="AB349" s="568"/>
      <c r="AC349" s="592"/>
      <c r="AD349" s="568"/>
      <c r="AE349" s="602"/>
      <c r="AF349" s="581">
        <f>SUBTOTAL(9,AF350:AF384)</f>
        <v>1</v>
      </c>
      <c r="AG349" s="585"/>
      <c r="AH349" s="585">
        <f>SUBTOTAL(9,AH350:AH384)</f>
        <v>10000000</v>
      </c>
      <c r="AI349" s="571">
        <f t="shared" si="73"/>
        <v>1875843000</v>
      </c>
      <c r="AJ349" s="574"/>
      <c r="AK349" s="578"/>
    </row>
    <row r="350" spans="1:37" s="376" customFormat="1" ht="121.5" outlineLevel="2" x14ac:dyDescent="0.3">
      <c r="A350" s="447">
        <f>IF(B349&lt;&gt;0,B349,A348)</f>
        <v>33</v>
      </c>
      <c r="B350" s="557"/>
      <c r="C350" s="648" t="s">
        <v>157</v>
      </c>
      <c r="D350" s="587"/>
      <c r="E350" s="587">
        <v>86</v>
      </c>
      <c r="F350" s="560">
        <v>257</v>
      </c>
      <c r="G350" s="558" t="s">
        <v>2037</v>
      </c>
      <c r="H350" s="588">
        <v>201.5</v>
      </c>
      <c r="I350" s="546" t="str">
        <f t="shared" ref="I350:I352" si="78">IF(N350&gt;0,H350,"")</f>
        <v/>
      </c>
      <c r="J350" s="589"/>
      <c r="K350" s="563">
        <f>IF(G350&lt;&gt;0,VLOOKUP(G350,'gia dat'!$A$1:$F$144,5,0)," ")</f>
        <v>5762400</v>
      </c>
      <c r="L350" s="563">
        <f>IF(G350&lt;&gt;0,VLOOKUP(G350,'gia dat'!$A$1:$F$144,6,0)," ")</f>
        <v>0</v>
      </c>
      <c r="M350" s="564">
        <f t="shared" si="69"/>
        <v>1161124000</v>
      </c>
      <c r="N350" s="564">
        <f t="shared" si="70"/>
        <v>0</v>
      </c>
      <c r="O350" s="558" t="s">
        <v>145</v>
      </c>
      <c r="P350" s="590">
        <v>1</v>
      </c>
      <c r="Q350" s="564">
        <f>IF(O350&lt;&gt;0,VLOOKUP(O350,'Cây trong'!$A$2:$C$246,3,0)," ")</f>
        <v>4240000</v>
      </c>
      <c r="R350" s="564">
        <f t="shared" si="76"/>
        <v>4240000</v>
      </c>
      <c r="S350" s="566" t="s">
        <v>1852</v>
      </c>
      <c r="T350" s="589" t="s">
        <v>53</v>
      </c>
      <c r="U350" s="591">
        <v>28.2</v>
      </c>
      <c r="V350" s="589"/>
      <c r="W350" s="564">
        <f>IF(S350&lt;&gt;0,VLOOKUP(S350,VKT!$A$2:$G$415,7,0),"")</f>
        <v>1490563</v>
      </c>
      <c r="X350" s="564">
        <f t="shared" si="68"/>
        <v>42034000</v>
      </c>
      <c r="Y350" s="589"/>
      <c r="Z350" s="592" t="s">
        <v>55</v>
      </c>
      <c r="AA350" s="592" t="s">
        <v>56</v>
      </c>
      <c r="AB350" s="568" t="s">
        <v>137</v>
      </c>
      <c r="AC350" s="592" t="s">
        <v>66</v>
      </c>
      <c r="AD350" s="568" t="s">
        <v>430</v>
      </c>
      <c r="AE350" s="569"/>
      <c r="AF350" s="563"/>
      <c r="AG350" s="570"/>
      <c r="AH350" s="570"/>
      <c r="AI350" s="571" t="str">
        <f t="shared" si="73"/>
        <v xml:space="preserve"> </v>
      </c>
      <c r="AJ350" s="558" t="s">
        <v>663</v>
      </c>
      <c r="AK350" s="586" t="s">
        <v>2771</v>
      </c>
    </row>
    <row r="351" spans="1:37" s="376" customFormat="1" ht="101.25" outlineLevel="2" x14ac:dyDescent="0.3">
      <c r="A351" s="447">
        <f t="shared" ref="A351:A384" si="79">IF(B350&lt;&gt;0,B350,A350)</f>
        <v>33</v>
      </c>
      <c r="B351" s="557"/>
      <c r="C351" s="648" t="s">
        <v>661</v>
      </c>
      <c r="D351" s="587"/>
      <c r="E351" s="587">
        <v>86</v>
      </c>
      <c r="F351" s="560">
        <v>257</v>
      </c>
      <c r="G351" s="558" t="s">
        <v>2469</v>
      </c>
      <c r="H351" s="588">
        <v>205.5</v>
      </c>
      <c r="I351" s="546">
        <f t="shared" si="78"/>
        <v>205.5</v>
      </c>
      <c r="J351" s="589"/>
      <c r="K351" s="563">
        <f>IF(G351&lt;&gt;0,VLOOKUP(G351,'gia dat'!$A$1:$F$144,5,0)," ")</f>
        <v>554400</v>
      </c>
      <c r="L351" s="563">
        <f>IF(G351&lt;&gt;0,VLOOKUP(G351,'gia dat'!$A$1:$F$144,6,0)," ")</f>
        <v>1663200</v>
      </c>
      <c r="M351" s="564">
        <f t="shared" si="69"/>
        <v>113929000</v>
      </c>
      <c r="N351" s="564">
        <f t="shared" si="70"/>
        <v>341788000</v>
      </c>
      <c r="O351" s="558" t="s">
        <v>77</v>
      </c>
      <c r="P351" s="590">
        <v>8</v>
      </c>
      <c r="Q351" s="564">
        <f>IF(O351&lt;&gt;0,VLOOKUP(O351,'Cây trong'!$A$2:$C$246,3,0)," ")</f>
        <v>3064000</v>
      </c>
      <c r="R351" s="564">
        <f t="shared" si="76"/>
        <v>24512000</v>
      </c>
      <c r="S351" s="566" t="s">
        <v>2287</v>
      </c>
      <c r="T351" s="589" t="s">
        <v>53</v>
      </c>
      <c r="U351" s="591">
        <v>3</v>
      </c>
      <c r="V351" s="589"/>
      <c r="W351" s="564">
        <f>IF(S351&lt;&gt;0,VLOOKUP(S351,VKT!$A$2:$G$415,7,0),"")</f>
        <v>2093161</v>
      </c>
      <c r="X351" s="564">
        <f t="shared" si="68"/>
        <v>6279000</v>
      </c>
      <c r="Y351" s="589"/>
      <c r="Z351" s="592"/>
      <c r="AA351" s="592" t="s">
        <v>56</v>
      </c>
      <c r="AB351" s="568" t="s">
        <v>57</v>
      </c>
      <c r="AC351" s="592" t="s">
        <v>54</v>
      </c>
      <c r="AD351" s="592"/>
      <c r="AE351" s="569" t="s">
        <v>2790</v>
      </c>
      <c r="AF351" s="590">
        <v>1</v>
      </c>
      <c r="AG351" s="570">
        <f>IF(AE351&lt;&gt;0,VLOOKUP(AE351,ODDS!$A$2:$C$13,3,0),"")</f>
        <v>10000000</v>
      </c>
      <c r="AH351" s="570">
        <f t="shared" si="77"/>
        <v>10000000</v>
      </c>
      <c r="AI351" s="571" t="str">
        <f t="shared" si="73"/>
        <v xml:space="preserve"> </v>
      </c>
      <c r="AJ351" s="558" t="s">
        <v>490</v>
      </c>
      <c r="AK351" s="558" t="s">
        <v>2448</v>
      </c>
    </row>
    <row r="352" spans="1:37" s="376" customFormat="1" ht="121.5" outlineLevel="2" x14ac:dyDescent="0.3">
      <c r="A352" s="447">
        <f t="shared" si="79"/>
        <v>33</v>
      </c>
      <c r="B352" s="557"/>
      <c r="C352" s="558" t="s">
        <v>304</v>
      </c>
      <c r="D352" s="587"/>
      <c r="E352" s="587"/>
      <c r="F352" s="560"/>
      <c r="G352" s="558" t="s">
        <v>2470</v>
      </c>
      <c r="H352" s="588">
        <v>3.3</v>
      </c>
      <c r="I352" s="546">
        <f t="shared" si="78"/>
        <v>3.3</v>
      </c>
      <c r="J352" s="589"/>
      <c r="K352" s="563">
        <f>IF(G352&lt;&gt;0,VLOOKUP(G352,'gia dat'!$A$1:$F$144,5,0)," ")</f>
        <v>554400</v>
      </c>
      <c r="L352" s="563">
        <f>IF(G352&lt;&gt;0,VLOOKUP(G352,'gia dat'!$A$1:$F$144,6,0)," ")</f>
        <v>1663200</v>
      </c>
      <c r="M352" s="564">
        <f t="shared" si="69"/>
        <v>1830000</v>
      </c>
      <c r="N352" s="564">
        <f t="shared" si="70"/>
        <v>5489000</v>
      </c>
      <c r="O352" s="646" t="s">
        <v>149</v>
      </c>
      <c r="P352" s="590">
        <v>1</v>
      </c>
      <c r="Q352" s="564">
        <f>IF(O352&lt;&gt;0,VLOOKUP(O352,'Cây trong'!$A$2:$C$246,3,0)," ")</f>
        <v>146000</v>
      </c>
      <c r="R352" s="564">
        <f t="shared" si="76"/>
        <v>146000</v>
      </c>
      <c r="S352" s="646" t="s">
        <v>1839</v>
      </c>
      <c r="T352" s="649" t="s">
        <v>53</v>
      </c>
      <c r="U352" s="591">
        <v>4.8</v>
      </c>
      <c r="V352" s="589"/>
      <c r="W352" s="564">
        <f>IF(S352&lt;&gt;0,VLOOKUP(S352,VKT!$A$2:$G$415,7,0),"")</f>
        <v>244604</v>
      </c>
      <c r="X352" s="564">
        <f t="shared" si="68"/>
        <v>1174000</v>
      </c>
      <c r="Y352" s="589"/>
      <c r="Z352" s="592"/>
      <c r="AA352" s="592"/>
      <c r="AB352" s="568"/>
      <c r="AC352" s="592"/>
      <c r="AD352" s="592"/>
      <c r="AE352" s="606"/>
      <c r="AF352" s="590"/>
      <c r="AG352" s="570" t="str">
        <f>IF(AE352&lt;&gt;0,VLOOKUP(AE352,ODDS!$A$2:$C$13,3,0),"")</f>
        <v/>
      </c>
      <c r="AH352" s="570" t="str">
        <f t="shared" si="77"/>
        <v xml:space="preserve"> </v>
      </c>
      <c r="AI352" s="571" t="str">
        <f t="shared" si="73"/>
        <v xml:space="preserve"> </v>
      </c>
      <c r="AJ352" s="593" t="s">
        <v>488</v>
      </c>
      <c r="AK352" s="558" t="s">
        <v>2450</v>
      </c>
    </row>
    <row r="353" spans="1:37" s="376" customFormat="1" ht="101.25" outlineLevel="2" x14ac:dyDescent="0.3">
      <c r="A353" s="447">
        <f t="shared" si="79"/>
        <v>33</v>
      </c>
      <c r="B353" s="557"/>
      <c r="C353" s="648"/>
      <c r="D353" s="587"/>
      <c r="E353" s="587"/>
      <c r="F353" s="560"/>
      <c r="G353" s="558"/>
      <c r="H353" s="588"/>
      <c r="I353" s="546"/>
      <c r="J353" s="589"/>
      <c r="K353" s="563" t="str">
        <f>IF(G353&lt;&gt;0,VLOOKUP(G353,'gia dat'!$A$1:$F$144,5,0)," ")</f>
        <v xml:space="preserve"> </v>
      </c>
      <c r="L353" s="563" t="str">
        <f>IF(G353&lt;&gt;0,VLOOKUP(G353,'gia dat'!$A$1:$F$144,6,0)," ")</f>
        <v xml:space="preserve"> </v>
      </c>
      <c r="M353" s="564" t="str">
        <f t="shared" si="69"/>
        <v xml:space="preserve"> </v>
      </c>
      <c r="N353" s="564" t="str">
        <f t="shared" si="70"/>
        <v xml:space="preserve"> </v>
      </c>
      <c r="O353" s="646" t="s">
        <v>76</v>
      </c>
      <c r="P353" s="590">
        <v>6</v>
      </c>
      <c r="Q353" s="564">
        <f>IF(O353&lt;&gt;0,VLOOKUP(O353,'Cây trong'!$A$2:$C$246,3,0)," ")</f>
        <v>45000</v>
      </c>
      <c r="R353" s="564">
        <f t="shared" si="76"/>
        <v>270000</v>
      </c>
      <c r="S353" s="586" t="s">
        <v>1748</v>
      </c>
      <c r="T353" s="647" t="s">
        <v>53</v>
      </c>
      <c r="U353" s="591">
        <v>4.8</v>
      </c>
      <c r="V353" s="589"/>
      <c r="W353" s="564">
        <f>IF(S353&lt;&gt;0,VLOOKUP(S353,VKT!$A$2:$G$415,7,0),"")</f>
        <v>0</v>
      </c>
      <c r="X353" s="564">
        <f t="shared" si="68"/>
        <v>0</v>
      </c>
      <c r="Y353" s="589"/>
      <c r="Z353" s="592"/>
      <c r="AA353" s="592"/>
      <c r="AB353" s="568"/>
      <c r="AC353" s="592"/>
      <c r="AD353" s="592"/>
      <c r="AE353" s="592"/>
      <c r="AF353" s="590"/>
      <c r="AG353" s="570" t="str">
        <f>IF(AE353&lt;&gt;0,VLOOKUP(AE353,ODDS!$A$2:$C$13,3,0),"")</f>
        <v/>
      </c>
      <c r="AH353" s="570" t="str">
        <f t="shared" si="77"/>
        <v xml:space="preserve"> </v>
      </c>
      <c r="AI353" s="571" t="str">
        <f t="shared" si="73"/>
        <v xml:space="preserve"> </v>
      </c>
      <c r="AJ353" s="558" t="s">
        <v>491</v>
      </c>
      <c r="AK353" s="558" t="s">
        <v>2449</v>
      </c>
    </row>
    <row r="354" spans="1:37" s="376" customFormat="1" ht="81" outlineLevel="2" x14ac:dyDescent="0.3">
      <c r="A354" s="447">
        <f t="shared" si="79"/>
        <v>33</v>
      </c>
      <c r="B354" s="557"/>
      <c r="C354" s="558"/>
      <c r="D354" s="587"/>
      <c r="E354" s="587"/>
      <c r="F354" s="560"/>
      <c r="G354" s="558"/>
      <c r="H354" s="588"/>
      <c r="I354" s="546"/>
      <c r="J354" s="593"/>
      <c r="K354" s="563" t="str">
        <f>IF(G354&lt;&gt;0,VLOOKUP(G354,'gia dat'!$A$1:$F$144,5,0)," ")</f>
        <v xml:space="preserve"> </v>
      </c>
      <c r="L354" s="563" t="str">
        <f>IF(G354&lt;&gt;0,VLOOKUP(G354,'gia dat'!$A$1:$F$144,6,0)," ")</f>
        <v xml:space="preserve"> </v>
      </c>
      <c r="M354" s="564" t="str">
        <f t="shared" si="69"/>
        <v xml:space="preserve"> </v>
      </c>
      <c r="N354" s="564" t="str">
        <f t="shared" si="70"/>
        <v xml:space="preserve"> </v>
      </c>
      <c r="O354" s="586" t="s">
        <v>72</v>
      </c>
      <c r="P354" s="630">
        <v>4</v>
      </c>
      <c r="Q354" s="564">
        <f>IF(O354&lt;&gt;0,VLOOKUP(O354,'Cây trong'!$A$2:$C$246,3,0)," ")</f>
        <v>132000</v>
      </c>
      <c r="R354" s="564">
        <f t="shared" si="76"/>
        <v>528000</v>
      </c>
      <c r="S354" s="586" t="s">
        <v>1748</v>
      </c>
      <c r="T354" s="609" t="s">
        <v>53</v>
      </c>
      <c r="U354" s="591">
        <v>6.8</v>
      </c>
      <c r="V354" s="589"/>
      <c r="W354" s="564">
        <f>IF(S354&lt;&gt;0,VLOOKUP(S354,VKT!$A$2:$G$415,7,0),"")</f>
        <v>0</v>
      </c>
      <c r="X354" s="564">
        <f t="shared" si="68"/>
        <v>0</v>
      </c>
      <c r="Y354" s="589"/>
      <c r="Z354" s="592"/>
      <c r="AA354" s="592"/>
      <c r="AB354" s="568"/>
      <c r="AC354" s="592"/>
      <c r="AD354" s="592"/>
      <c r="AE354" s="592"/>
      <c r="AF354" s="590"/>
      <c r="AG354" s="570" t="str">
        <f>IF(AE354&lt;&gt;0,VLOOKUP(AE354,ODDS!$A$2:$C$13,3,0),"")</f>
        <v/>
      </c>
      <c r="AH354" s="570" t="str">
        <f t="shared" si="77"/>
        <v xml:space="preserve"> </v>
      </c>
      <c r="AI354" s="571" t="str">
        <f t="shared" si="73"/>
        <v xml:space="preserve"> </v>
      </c>
      <c r="AJ354" s="558" t="s">
        <v>2074</v>
      </c>
      <c r="AK354" s="558" t="s">
        <v>2451</v>
      </c>
    </row>
    <row r="355" spans="1:37" s="376" customFormat="1" ht="101.25" outlineLevel="2" x14ac:dyDescent="0.3">
      <c r="A355" s="447">
        <f t="shared" si="79"/>
        <v>33</v>
      </c>
      <c r="B355" s="557"/>
      <c r="C355" s="558"/>
      <c r="D355" s="587"/>
      <c r="E355" s="587"/>
      <c r="F355" s="560"/>
      <c r="G355" s="558"/>
      <c r="H355" s="588"/>
      <c r="I355" s="546"/>
      <c r="J355" s="593"/>
      <c r="K355" s="563" t="str">
        <f>IF(G355&lt;&gt;0,VLOOKUP(G355,'gia dat'!$A$1:$F$144,5,0)," ")</f>
        <v xml:space="preserve"> </v>
      </c>
      <c r="L355" s="563" t="str">
        <f>IF(G355&lt;&gt;0,VLOOKUP(G355,'gia dat'!$A$1:$F$144,6,0)," ")</f>
        <v xml:space="preserve"> </v>
      </c>
      <c r="M355" s="564" t="str">
        <f t="shared" si="69"/>
        <v xml:space="preserve"> </v>
      </c>
      <c r="N355" s="564" t="str">
        <f t="shared" si="70"/>
        <v xml:space="preserve"> </v>
      </c>
      <c r="O355" s="586" t="s">
        <v>73</v>
      </c>
      <c r="P355" s="630">
        <v>3</v>
      </c>
      <c r="Q355" s="564">
        <f>IF(O355&lt;&gt;0,VLOOKUP(O355,'Cây trong'!$A$2:$C$246,3,0)," ")</f>
        <v>76000</v>
      </c>
      <c r="R355" s="564">
        <f t="shared" si="76"/>
        <v>228000</v>
      </c>
      <c r="S355" s="586" t="s">
        <v>1749</v>
      </c>
      <c r="T355" s="609" t="s">
        <v>53</v>
      </c>
      <c r="U355" s="591">
        <v>6.8</v>
      </c>
      <c r="V355" s="589"/>
      <c r="W355" s="564">
        <f>IF(S355&lt;&gt;0,VLOOKUP(S355,VKT!$A$2:$G$415,7,0),"")</f>
        <v>211811</v>
      </c>
      <c r="X355" s="564">
        <f t="shared" si="68"/>
        <v>1440000</v>
      </c>
      <c r="Y355" s="589"/>
      <c r="Z355" s="592"/>
      <c r="AA355" s="592"/>
      <c r="AB355" s="568"/>
      <c r="AC355" s="592"/>
      <c r="AD355" s="592"/>
      <c r="AE355" s="592"/>
      <c r="AF355" s="590"/>
      <c r="AG355" s="570" t="str">
        <f>IF(AE355&lt;&gt;0,VLOOKUP(AE355,ODDS!$A$2:$C$13,3,0),"")</f>
        <v/>
      </c>
      <c r="AH355" s="570" t="str">
        <f t="shared" si="77"/>
        <v xml:space="preserve"> </v>
      </c>
      <c r="AI355" s="571" t="str">
        <f t="shared" si="73"/>
        <v xml:space="preserve"> </v>
      </c>
      <c r="AJ355" s="593" t="s">
        <v>492</v>
      </c>
      <c r="AK355" s="558" t="s">
        <v>2800</v>
      </c>
    </row>
    <row r="356" spans="1:37" s="376" customFormat="1" ht="60.75" outlineLevel="2" x14ac:dyDescent="0.3">
      <c r="A356" s="447">
        <f t="shared" si="79"/>
        <v>33</v>
      </c>
      <c r="B356" s="557"/>
      <c r="C356" s="558"/>
      <c r="D356" s="587"/>
      <c r="E356" s="587"/>
      <c r="F356" s="560"/>
      <c r="G356" s="558"/>
      <c r="H356" s="588"/>
      <c r="I356" s="546"/>
      <c r="J356" s="593"/>
      <c r="K356" s="563" t="str">
        <f>IF(G356&lt;&gt;0,VLOOKUP(G356,'gia dat'!$A$1:$F$144,5,0)," ")</f>
        <v xml:space="preserve"> </v>
      </c>
      <c r="L356" s="563" t="str">
        <f>IF(G356&lt;&gt;0,VLOOKUP(G356,'gia dat'!$A$1:$F$144,6,0)," ")</f>
        <v xml:space="preserve"> </v>
      </c>
      <c r="M356" s="564" t="str">
        <f t="shared" si="69"/>
        <v xml:space="preserve"> </v>
      </c>
      <c r="N356" s="564" t="str">
        <f t="shared" si="70"/>
        <v xml:space="preserve"> </v>
      </c>
      <c r="O356" s="586" t="s">
        <v>75</v>
      </c>
      <c r="P356" s="630">
        <v>6</v>
      </c>
      <c r="Q356" s="564">
        <f>IF(O356&lt;&gt;0,VLOOKUP(O356,'Cây trong'!$A$2:$C$246,3,0)," ")</f>
        <v>34000</v>
      </c>
      <c r="R356" s="564">
        <f t="shared" si="76"/>
        <v>204000</v>
      </c>
      <c r="S356" s="586" t="s">
        <v>1749</v>
      </c>
      <c r="T356" s="609" t="s">
        <v>53</v>
      </c>
      <c r="U356" s="591">
        <v>8.5</v>
      </c>
      <c r="V356" s="589"/>
      <c r="W356" s="564">
        <f>IF(S356&lt;&gt;0,VLOOKUP(S356,VKT!$A$2:$G$415,7,0),"")</f>
        <v>211811</v>
      </c>
      <c r="X356" s="564">
        <f t="shared" si="68"/>
        <v>1800000</v>
      </c>
      <c r="Y356" s="589"/>
      <c r="Z356" s="592"/>
      <c r="AA356" s="592"/>
      <c r="AB356" s="568"/>
      <c r="AC356" s="592"/>
      <c r="AD356" s="592"/>
      <c r="AE356" s="592"/>
      <c r="AF356" s="590"/>
      <c r="AG356" s="570" t="str">
        <f>IF(AE356&lt;&gt;0,VLOOKUP(AE356,ODDS!$A$2:$C$13,3,0),"")</f>
        <v/>
      </c>
      <c r="AH356" s="570" t="str">
        <f t="shared" si="77"/>
        <v xml:space="preserve"> </v>
      </c>
      <c r="AI356" s="571" t="str">
        <f t="shared" si="73"/>
        <v xml:space="preserve"> </v>
      </c>
      <c r="AJ356" s="575"/>
      <c r="AK356" s="593"/>
    </row>
    <row r="357" spans="1:37" s="376" customFormat="1" ht="81" outlineLevel="2" x14ac:dyDescent="0.3">
      <c r="A357" s="447">
        <f t="shared" si="79"/>
        <v>33</v>
      </c>
      <c r="B357" s="557"/>
      <c r="C357" s="558"/>
      <c r="D357" s="587"/>
      <c r="E357" s="587"/>
      <c r="F357" s="560"/>
      <c r="G357" s="558"/>
      <c r="H357" s="588"/>
      <c r="I357" s="546"/>
      <c r="J357" s="593"/>
      <c r="K357" s="563" t="str">
        <f>IF(G357&lt;&gt;0,VLOOKUP(G357,'gia dat'!$A$1:$F$144,5,0)," ")</f>
        <v xml:space="preserve"> </v>
      </c>
      <c r="L357" s="563" t="str">
        <f>IF(G357&lt;&gt;0,VLOOKUP(G357,'gia dat'!$A$1:$F$144,6,0)," ")</f>
        <v xml:space="preserve"> </v>
      </c>
      <c r="M357" s="564" t="str">
        <f t="shared" si="69"/>
        <v xml:space="preserve"> </v>
      </c>
      <c r="N357" s="564" t="str">
        <f t="shared" si="70"/>
        <v xml:space="preserve"> </v>
      </c>
      <c r="O357" s="586" t="s">
        <v>70</v>
      </c>
      <c r="P357" s="630">
        <v>2</v>
      </c>
      <c r="Q357" s="564">
        <f>IF(O357&lt;&gt;0,VLOOKUP(O357,'Cây trong'!$A$2:$C$246,3,0)," ")</f>
        <v>1632000</v>
      </c>
      <c r="R357" s="564">
        <f t="shared" si="76"/>
        <v>3264000</v>
      </c>
      <c r="S357" s="586" t="s">
        <v>2288</v>
      </c>
      <c r="T357" s="609" t="s">
        <v>53</v>
      </c>
      <c r="U357" s="591">
        <v>60.06</v>
      </c>
      <c r="V357" s="589"/>
      <c r="W357" s="564">
        <f>IF(S357&lt;&gt;0,VLOOKUP(S357,VKT!$A$2:$G$415,7,0),"")</f>
        <v>441467</v>
      </c>
      <c r="X357" s="564">
        <f t="shared" si="68"/>
        <v>26515000</v>
      </c>
      <c r="Y357" s="589"/>
      <c r="Z357" s="592"/>
      <c r="AA357" s="592"/>
      <c r="AB357" s="568"/>
      <c r="AC357" s="592"/>
      <c r="AD357" s="592"/>
      <c r="AE357" s="592"/>
      <c r="AF357" s="590"/>
      <c r="AG357" s="570" t="str">
        <f>IF(AE357&lt;&gt;0,VLOOKUP(AE357,ODDS!$A$2:$C$13,3,0),"")</f>
        <v/>
      </c>
      <c r="AH357" s="570" t="str">
        <f t="shared" si="77"/>
        <v xml:space="preserve"> </v>
      </c>
      <c r="AI357" s="571" t="str">
        <f t="shared" si="73"/>
        <v xml:space="preserve"> </v>
      </c>
      <c r="AJ357" s="593"/>
      <c r="AK357" s="593"/>
    </row>
    <row r="358" spans="1:37" s="376" customFormat="1" ht="40.5" outlineLevel="2" x14ac:dyDescent="0.3">
      <c r="A358" s="447">
        <f t="shared" si="79"/>
        <v>33</v>
      </c>
      <c r="B358" s="557"/>
      <c r="C358" s="558"/>
      <c r="D358" s="587"/>
      <c r="E358" s="587"/>
      <c r="F358" s="560"/>
      <c r="G358" s="558"/>
      <c r="H358" s="588"/>
      <c r="I358" s="546"/>
      <c r="J358" s="593"/>
      <c r="K358" s="563" t="str">
        <f>IF(G358&lt;&gt;0,VLOOKUP(G358,'gia dat'!$A$1:$F$144,5,0)," ")</f>
        <v xml:space="preserve"> </v>
      </c>
      <c r="L358" s="563" t="str">
        <f>IF(G358&lt;&gt;0,VLOOKUP(G358,'gia dat'!$A$1:$F$144,6,0)," ")</f>
        <v xml:space="preserve"> </v>
      </c>
      <c r="M358" s="564" t="str">
        <f t="shared" si="69"/>
        <v xml:space="preserve"> </v>
      </c>
      <c r="N358" s="564" t="str">
        <f t="shared" si="70"/>
        <v xml:space="preserve"> </v>
      </c>
      <c r="O358" s="586" t="s">
        <v>133</v>
      </c>
      <c r="P358" s="630">
        <v>1</v>
      </c>
      <c r="Q358" s="564">
        <f>IF(O358&lt;&gt;0,VLOOKUP(O358,'Cây trong'!$A$2:$C$246,3,0)," ")</f>
        <v>758000</v>
      </c>
      <c r="R358" s="564">
        <f t="shared" si="76"/>
        <v>758000</v>
      </c>
      <c r="S358" s="586" t="s">
        <v>1852</v>
      </c>
      <c r="T358" s="609" t="s">
        <v>53</v>
      </c>
      <c r="U358" s="591">
        <v>36.049999999999997</v>
      </c>
      <c r="V358" s="589"/>
      <c r="W358" s="564">
        <f>IF(S358&lt;&gt;0,VLOOKUP(S358,VKT!$A$2:$G$415,7,0),"")</f>
        <v>1490563</v>
      </c>
      <c r="X358" s="564">
        <f t="shared" ref="X358:X422" si="80">IF(S358&lt;&gt;0,ROUND(U358*W358,-3)," ")</f>
        <v>53735000</v>
      </c>
      <c r="Y358" s="589"/>
      <c r="Z358" s="592" t="s">
        <v>55</v>
      </c>
      <c r="AA358" s="592" t="s">
        <v>56</v>
      </c>
      <c r="AB358" s="568" t="s">
        <v>137</v>
      </c>
      <c r="AC358" s="592" t="s">
        <v>66</v>
      </c>
      <c r="AD358" s="592"/>
      <c r="AE358" s="592"/>
      <c r="AF358" s="590"/>
      <c r="AG358" s="570" t="str">
        <f>IF(AE358&lt;&gt;0,VLOOKUP(AE358,ODDS!$A$2:$C$13,3,0),"")</f>
        <v/>
      </c>
      <c r="AH358" s="570" t="str">
        <f t="shared" si="77"/>
        <v xml:space="preserve"> </v>
      </c>
      <c r="AI358" s="571" t="str">
        <f t="shared" si="73"/>
        <v xml:space="preserve"> </v>
      </c>
      <c r="AJ358" s="575"/>
      <c r="AK358" s="593"/>
    </row>
    <row r="359" spans="1:37" s="376" customFormat="1" ht="40.5" outlineLevel="2" x14ac:dyDescent="0.3">
      <c r="A359" s="447">
        <f t="shared" si="79"/>
        <v>33</v>
      </c>
      <c r="B359" s="557"/>
      <c r="C359" s="558"/>
      <c r="D359" s="587"/>
      <c r="E359" s="587"/>
      <c r="F359" s="560"/>
      <c r="G359" s="558"/>
      <c r="H359" s="588"/>
      <c r="I359" s="546"/>
      <c r="J359" s="593"/>
      <c r="K359" s="563" t="str">
        <f>IF(G359&lt;&gt;0,VLOOKUP(G359,'gia dat'!$A$1:$F$144,5,0)," ")</f>
        <v xml:space="preserve"> </v>
      </c>
      <c r="L359" s="563" t="str">
        <f>IF(G359&lt;&gt;0,VLOOKUP(G359,'gia dat'!$A$1:$F$144,6,0)," ")</f>
        <v xml:space="preserve"> </v>
      </c>
      <c r="M359" s="564" t="str">
        <f t="shared" si="69"/>
        <v xml:space="preserve"> </v>
      </c>
      <c r="N359" s="564" t="str">
        <f t="shared" si="70"/>
        <v xml:space="preserve"> </v>
      </c>
      <c r="O359" s="586" t="s">
        <v>165</v>
      </c>
      <c r="P359" s="630">
        <v>3</v>
      </c>
      <c r="Q359" s="564">
        <f>IF(O359&lt;&gt;0,VLOOKUP(O359,'Cây trong'!$A$2:$C$246,3,0)," ")</f>
        <v>180000</v>
      </c>
      <c r="R359" s="564">
        <f t="shared" si="76"/>
        <v>540000</v>
      </c>
      <c r="S359" s="586" t="s">
        <v>2289</v>
      </c>
      <c r="T359" s="609" t="s">
        <v>53</v>
      </c>
      <c r="U359" s="591">
        <v>17.600000000000001</v>
      </c>
      <c r="V359" s="589"/>
      <c r="W359" s="564">
        <f>IF(S359&lt;&gt;0,VLOOKUP(S359,VKT!$A$2:$G$415,7,0),"")</f>
        <v>684506</v>
      </c>
      <c r="X359" s="564">
        <f t="shared" si="80"/>
        <v>12047000</v>
      </c>
      <c r="Y359" s="589"/>
      <c r="Z359" s="592" t="s">
        <v>55</v>
      </c>
      <c r="AA359" s="592" t="s">
        <v>141</v>
      </c>
      <c r="AB359" s="568"/>
      <c r="AC359" s="592" t="s">
        <v>66</v>
      </c>
      <c r="AD359" s="592"/>
      <c r="AE359" s="592"/>
      <c r="AF359" s="590"/>
      <c r="AG359" s="570" t="str">
        <f>IF(AE359&lt;&gt;0,VLOOKUP(AE359,ODDS!$A$2:$C$13,3,0),"")</f>
        <v/>
      </c>
      <c r="AH359" s="570" t="str">
        <f t="shared" si="77"/>
        <v xml:space="preserve"> </v>
      </c>
      <c r="AI359" s="571" t="str">
        <f t="shared" si="73"/>
        <v xml:space="preserve"> </v>
      </c>
      <c r="AJ359" s="593"/>
      <c r="AK359" s="593"/>
    </row>
    <row r="360" spans="1:37" s="376" customFormat="1" ht="40.5" outlineLevel="2" x14ac:dyDescent="0.3">
      <c r="A360" s="447">
        <f t="shared" si="79"/>
        <v>33</v>
      </c>
      <c r="B360" s="557"/>
      <c r="C360" s="558"/>
      <c r="D360" s="587"/>
      <c r="E360" s="587"/>
      <c r="F360" s="560"/>
      <c r="G360" s="558"/>
      <c r="H360" s="588"/>
      <c r="I360" s="546"/>
      <c r="J360" s="593"/>
      <c r="K360" s="563" t="str">
        <f>IF(G360&lt;&gt;0,VLOOKUP(G360,'gia dat'!$A$1:$F$144,5,0)," ")</f>
        <v xml:space="preserve"> </v>
      </c>
      <c r="L360" s="563" t="str">
        <f>IF(G360&lt;&gt;0,VLOOKUP(G360,'gia dat'!$A$1:$F$144,6,0)," ")</f>
        <v xml:space="preserve"> </v>
      </c>
      <c r="M360" s="564" t="str">
        <f t="shared" si="69"/>
        <v xml:space="preserve"> </v>
      </c>
      <c r="N360" s="564" t="str">
        <f t="shared" si="70"/>
        <v xml:space="preserve"> </v>
      </c>
      <c r="O360" s="586" t="s">
        <v>84</v>
      </c>
      <c r="P360" s="630">
        <v>3</v>
      </c>
      <c r="Q360" s="564">
        <f>IF(O360&lt;&gt;0,VLOOKUP(O360,'Cây trong'!$A$2:$C$246,3,0)," ")</f>
        <v>300000</v>
      </c>
      <c r="R360" s="564">
        <f t="shared" si="76"/>
        <v>900000</v>
      </c>
      <c r="S360" s="586" t="s">
        <v>2289</v>
      </c>
      <c r="T360" s="609" t="s">
        <v>53</v>
      </c>
      <c r="U360" s="591">
        <v>7.2</v>
      </c>
      <c r="V360" s="589"/>
      <c r="W360" s="564">
        <f>IF(S360&lt;&gt;0,VLOOKUP(S360,VKT!$A$2:$G$415,7,0),"")</f>
        <v>684506</v>
      </c>
      <c r="X360" s="564">
        <f t="shared" si="80"/>
        <v>4928000</v>
      </c>
      <c r="Y360" s="589"/>
      <c r="Z360" s="592" t="s">
        <v>55</v>
      </c>
      <c r="AA360" s="592" t="s">
        <v>141</v>
      </c>
      <c r="AB360" s="568"/>
      <c r="AC360" s="592" t="s">
        <v>66</v>
      </c>
      <c r="AD360" s="592"/>
      <c r="AE360" s="592"/>
      <c r="AF360" s="590"/>
      <c r="AG360" s="570" t="str">
        <f>IF(AE360&lt;&gt;0,VLOOKUP(AE360,ODDS!$A$2:$C$13,3,0),"")</f>
        <v/>
      </c>
      <c r="AH360" s="570" t="str">
        <f t="shared" si="77"/>
        <v xml:space="preserve"> </v>
      </c>
      <c r="AI360" s="571" t="str">
        <f t="shared" si="73"/>
        <v xml:space="preserve"> </v>
      </c>
      <c r="AJ360" s="593"/>
      <c r="AK360" s="593"/>
    </row>
    <row r="361" spans="1:37" s="376" customFormat="1" ht="101.25" outlineLevel="2" x14ac:dyDescent="0.3">
      <c r="A361" s="447">
        <f t="shared" si="79"/>
        <v>33</v>
      </c>
      <c r="B361" s="557"/>
      <c r="C361" s="558"/>
      <c r="D361" s="587"/>
      <c r="E361" s="587"/>
      <c r="F361" s="560"/>
      <c r="G361" s="558"/>
      <c r="H361" s="588"/>
      <c r="I361" s="546"/>
      <c r="J361" s="593"/>
      <c r="K361" s="563" t="str">
        <f>IF(G361&lt;&gt;0,VLOOKUP(G361,'gia dat'!$A$1:$F$144,5,0)," ")</f>
        <v xml:space="preserve"> </v>
      </c>
      <c r="L361" s="563" t="str">
        <f>IF(G361&lt;&gt;0,VLOOKUP(G361,'gia dat'!$A$1:$F$144,6,0)," ")</f>
        <v xml:space="preserve"> </v>
      </c>
      <c r="M361" s="564" t="str">
        <f t="shared" si="69"/>
        <v xml:space="preserve"> </v>
      </c>
      <c r="N361" s="564" t="str">
        <f t="shared" si="70"/>
        <v xml:space="preserve"> </v>
      </c>
      <c r="O361" s="586" t="s">
        <v>67</v>
      </c>
      <c r="P361" s="630">
        <v>1</v>
      </c>
      <c r="Q361" s="564">
        <f>IF(O361&lt;&gt;0,VLOOKUP(O361,'Cây trong'!$A$2:$C$246,3,0)," ")</f>
        <v>494000</v>
      </c>
      <c r="R361" s="564">
        <f t="shared" si="76"/>
        <v>494000</v>
      </c>
      <c r="S361" s="586" t="s">
        <v>2290</v>
      </c>
      <c r="T361" s="609" t="s">
        <v>53</v>
      </c>
      <c r="U361" s="591">
        <v>3.15</v>
      </c>
      <c r="V361" s="589"/>
      <c r="W361" s="564">
        <f>IF(S361&lt;&gt;0,VLOOKUP(S361,VKT!$A$2:$G$415,7,0),"")</f>
        <v>8308812</v>
      </c>
      <c r="X361" s="564">
        <f t="shared" si="80"/>
        <v>26173000</v>
      </c>
      <c r="Y361" s="589"/>
      <c r="Z361" s="592"/>
      <c r="AA361" s="592" t="s">
        <v>56</v>
      </c>
      <c r="AB361" s="568" t="s">
        <v>57</v>
      </c>
      <c r="AC361" s="592" t="s">
        <v>54</v>
      </c>
      <c r="AD361" s="592"/>
      <c r="AE361" s="592"/>
      <c r="AF361" s="590"/>
      <c r="AG361" s="570" t="str">
        <f>IF(AE361&lt;&gt;0,VLOOKUP(AE361,ODDS!$A$2:$C$13,3,0),"")</f>
        <v/>
      </c>
      <c r="AH361" s="570" t="str">
        <f t="shared" si="77"/>
        <v xml:space="preserve"> </v>
      </c>
      <c r="AI361" s="571" t="str">
        <f t="shared" si="73"/>
        <v xml:space="preserve"> </v>
      </c>
      <c r="AJ361" s="593"/>
      <c r="AK361" s="593"/>
    </row>
    <row r="362" spans="1:37" s="376" customFormat="1" ht="60.75" outlineLevel="2" x14ac:dyDescent="0.3">
      <c r="A362" s="447">
        <f t="shared" si="79"/>
        <v>33</v>
      </c>
      <c r="B362" s="557"/>
      <c r="C362" s="558"/>
      <c r="D362" s="587"/>
      <c r="E362" s="587"/>
      <c r="F362" s="560"/>
      <c r="G362" s="558"/>
      <c r="H362" s="588"/>
      <c r="I362" s="546"/>
      <c r="J362" s="589"/>
      <c r="K362" s="563" t="str">
        <f>IF(G362&lt;&gt;0,VLOOKUP(G362,'gia dat'!$A$1:$F$144,5,0)," ")</f>
        <v xml:space="preserve"> </v>
      </c>
      <c r="L362" s="563" t="str">
        <f>IF(G362&lt;&gt;0,VLOOKUP(G362,'gia dat'!$A$1:$F$144,6,0)," ")</f>
        <v xml:space="preserve"> </v>
      </c>
      <c r="M362" s="564" t="str">
        <f t="shared" ref="M362:M429" si="81">IF(H362&lt;&gt;0,ROUND(H362*K362,-3)," ")</f>
        <v xml:space="preserve"> </v>
      </c>
      <c r="N362" s="564" t="str">
        <f t="shared" ref="N362:N429" si="82">IF(H362&lt;&gt;0,ROUND(H362*L362,-3)," ")</f>
        <v xml:space="preserve"> </v>
      </c>
      <c r="O362" s="565" t="s">
        <v>429</v>
      </c>
      <c r="P362" s="590">
        <v>5</v>
      </c>
      <c r="Q362" s="564">
        <f>IF(O362&lt;&gt;0,VLOOKUP(O362,'Cây trong'!$A$2:$C$246,3,0)," ")</f>
        <v>12000</v>
      </c>
      <c r="R362" s="564">
        <f t="shared" si="76"/>
        <v>60000</v>
      </c>
      <c r="S362" s="566" t="s">
        <v>1749</v>
      </c>
      <c r="T362" s="589" t="s">
        <v>53</v>
      </c>
      <c r="U362" s="591">
        <v>20.8</v>
      </c>
      <c r="V362" s="589"/>
      <c r="W362" s="564">
        <f>IF(S362&lt;&gt;0,VLOOKUP(S362,VKT!$A$2:$G$415,7,0),"")</f>
        <v>211811</v>
      </c>
      <c r="X362" s="564">
        <f t="shared" si="80"/>
        <v>4406000</v>
      </c>
      <c r="Y362" s="589"/>
      <c r="Z362" s="592"/>
      <c r="AA362" s="592"/>
      <c r="AB362" s="568"/>
      <c r="AC362" s="592"/>
      <c r="AD362" s="592"/>
      <c r="AE362" s="592"/>
      <c r="AF362" s="590"/>
      <c r="AG362" s="570" t="str">
        <f>IF(AE362&lt;&gt;0,VLOOKUP(AE362,ODDS!$A$2:$C$13,3,0),"")</f>
        <v/>
      </c>
      <c r="AH362" s="570" t="str">
        <f t="shared" si="77"/>
        <v xml:space="preserve"> </v>
      </c>
      <c r="AI362" s="571" t="str">
        <f t="shared" si="73"/>
        <v xml:space="preserve"> </v>
      </c>
      <c r="AJ362" s="593"/>
      <c r="AK362" s="593"/>
    </row>
    <row r="363" spans="1:37" s="376" customFormat="1" ht="60.75" outlineLevel="2" x14ac:dyDescent="0.3">
      <c r="A363" s="447">
        <f t="shared" si="79"/>
        <v>33</v>
      </c>
      <c r="B363" s="557"/>
      <c r="C363" s="607"/>
      <c r="D363" s="587"/>
      <c r="E363" s="595"/>
      <c r="F363" s="577"/>
      <c r="G363" s="574"/>
      <c r="H363" s="588"/>
      <c r="I363" s="546"/>
      <c r="J363" s="608"/>
      <c r="K363" s="563" t="str">
        <f>IF(G363&lt;&gt;0,VLOOKUP(G363,'gia dat'!$A$1:$F$144,5,0)," ")</f>
        <v xml:space="preserve"> </v>
      </c>
      <c r="L363" s="563" t="str">
        <f>IF(G363&lt;&gt;0,VLOOKUP(G363,'gia dat'!$A$1:$F$144,6,0)," ")</f>
        <v xml:space="preserve"> </v>
      </c>
      <c r="M363" s="564" t="str">
        <f t="shared" si="81"/>
        <v xml:space="preserve"> </v>
      </c>
      <c r="N363" s="564" t="str">
        <f t="shared" si="82"/>
        <v xml:space="preserve"> </v>
      </c>
      <c r="O363" s="586" t="s">
        <v>166</v>
      </c>
      <c r="P363" s="630">
        <v>1</v>
      </c>
      <c r="Q363" s="564">
        <f>IF(O363&lt;&gt;0,VLOOKUP(O363,'Cây trong'!$A$2:$C$246,3,0)," ")</f>
        <v>120000</v>
      </c>
      <c r="R363" s="564">
        <f t="shared" si="76"/>
        <v>120000</v>
      </c>
      <c r="S363" s="586" t="s">
        <v>1749</v>
      </c>
      <c r="T363" s="609" t="s">
        <v>53</v>
      </c>
      <c r="U363" s="591">
        <v>13.18</v>
      </c>
      <c r="V363" s="610"/>
      <c r="W363" s="564">
        <f>IF(S363&lt;&gt;0,VLOOKUP(S363,VKT!$A$2:$G$415,7,0),"")</f>
        <v>211811</v>
      </c>
      <c r="X363" s="564">
        <f t="shared" si="80"/>
        <v>2792000</v>
      </c>
      <c r="Y363" s="580"/>
      <c r="Z363" s="601"/>
      <c r="AA363" s="601"/>
      <c r="AB363" s="584"/>
      <c r="AC363" s="601"/>
      <c r="AD363" s="601"/>
      <c r="AE363" s="601"/>
      <c r="AF363" s="599"/>
      <c r="AG363" s="570" t="str">
        <f>IF(AE363&lt;&gt;0,VLOOKUP(AE363,ODDS!$A$2:$C$13,3,0),"")</f>
        <v/>
      </c>
      <c r="AH363" s="570" t="str">
        <f t="shared" si="77"/>
        <v xml:space="preserve"> </v>
      </c>
      <c r="AI363" s="571" t="str">
        <f t="shared" si="73"/>
        <v xml:space="preserve"> </v>
      </c>
      <c r="AJ363" s="608"/>
      <c r="AK363" s="608"/>
    </row>
    <row r="364" spans="1:37" s="376" customFormat="1" ht="60.75" outlineLevel="2" x14ac:dyDescent="0.3">
      <c r="A364" s="447">
        <f t="shared" si="79"/>
        <v>33</v>
      </c>
      <c r="B364" s="557"/>
      <c r="C364" s="572"/>
      <c r="D364" s="594"/>
      <c r="E364" s="587"/>
      <c r="F364" s="560"/>
      <c r="G364" s="558"/>
      <c r="H364" s="588"/>
      <c r="I364" s="546"/>
      <c r="J364" s="593"/>
      <c r="K364" s="563" t="str">
        <f>IF(G364&lt;&gt;0,VLOOKUP(G364,'gia dat'!$A$1:$F$144,5,0)," ")</f>
        <v xml:space="preserve"> </v>
      </c>
      <c r="L364" s="563" t="str">
        <f>IF(G364&lt;&gt;0,VLOOKUP(G364,'gia dat'!$A$1:$F$144,6,0)," ")</f>
        <v xml:space="preserve"> </v>
      </c>
      <c r="M364" s="564" t="str">
        <f t="shared" si="81"/>
        <v xml:space="preserve"> </v>
      </c>
      <c r="N364" s="564" t="str">
        <f t="shared" si="82"/>
        <v xml:space="preserve"> </v>
      </c>
      <c r="O364" s="586" t="s">
        <v>167</v>
      </c>
      <c r="P364" s="630">
        <v>1</v>
      </c>
      <c r="Q364" s="564">
        <f>IF(O364&lt;&gt;0,VLOOKUP(O364,'Cây trong'!$A$2:$C$246,3,0)," ")</f>
        <v>150000</v>
      </c>
      <c r="R364" s="564">
        <f t="shared" si="76"/>
        <v>150000</v>
      </c>
      <c r="S364" s="586" t="s">
        <v>1749</v>
      </c>
      <c r="T364" s="609" t="s">
        <v>53</v>
      </c>
      <c r="U364" s="591">
        <v>5.5</v>
      </c>
      <c r="V364" s="611"/>
      <c r="W364" s="564">
        <f>IF(S364&lt;&gt;0,VLOOKUP(S364,VKT!$A$2:$G$415,7,0),"")</f>
        <v>211811</v>
      </c>
      <c r="X364" s="564">
        <f t="shared" si="80"/>
        <v>1165000</v>
      </c>
      <c r="Y364" s="562"/>
      <c r="Z364" s="592"/>
      <c r="AA364" s="592"/>
      <c r="AB364" s="568"/>
      <c r="AC364" s="592"/>
      <c r="AD364" s="592"/>
      <c r="AE364" s="592"/>
      <c r="AF364" s="590"/>
      <c r="AG364" s="570" t="str">
        <f>IF(AE364&lt;&gt;0,VLOOKUP(AE364,ODDS!$A$2:$C$13,3,0),"")</f>
        <v/>
      </c>
      <c r="AH364" s="570" t="str">
        <f t="shared" si="77"/>
        <v xml:space="preserve"> </v>
      </c>
      <c r="AI364" s="571" t="str">
        <f t="shared" si="73"/>
        <v xml:space="preserve"> </v>
      </c>
      <c r="AJ364" s="593"/>
      <c r="AK364" s="593"/>
    </row>
    <row r="365" spans="1:37" s="376" customFormat="1" ht="40.5" outlineLevel="2" x14ac:dyDescent="0.3">
      <c r="A365" s="447">
        <f t="shared" si="79"/>
        <v>33</v>
      </c>
      <c r="B365" s="557"/>
      <c r="C365" s="572"/>
      <c r="D365" s="603"/>
      <c r="E365" s="612"/>
      <c r="F365" s="612"/>
      <c r="G365" s="586"/>
      <c r="H365" s="588"/>
      <c r="I365" s="546"/>
      <c r="J365" s="593"/>
      <c r="K365" s="563" t="str">
        <f>IF(G365&lt;&gt;0,VLOOKUP(G365,'gia dat'!$A$1:$F$144,5,0)," ")</f>
        <v xml:space="preserve"> </v>
      </c>
      <c r="L365" s="563" t="str">
        <f>IF(G365&lt;&gt;0,VLOOKUP(G365,'gia dat'!$A$1:$F$144,6,0)," ")</f>
        <v xml:space="preserve"> </v>
      </c>
      <c r="M365" s="564" t="str">
        <f t="shared" si="81"/>
        <v xml:space="preserve"> </v>
      </c>
      <c r="N365" s="564" t="str">
        <f t="shared" si="82"/>
        <v xml:space="preserve"> </v>
      </c>
      <c r="O365" s="586" t="s">
        <v>91</v>
      </c>
      <c r="P365" s="630">
        <v>1</v>
      </c>
      <c r="Q365" s="564">
        <f>IF(O365&lt;&gt;0,VLOOKUP(O365,'Cây trong'!$A$2:$C$246,3,0)," ")</f>
        <v>93000</v>
      </c>
      <c r="R365" s="564">
        <f t="shared" si="76"/>
        <v>93000</v>
      </c>
      <c r="S365" s="586" t="s">
        <v>2289</v>
      </c>
      <c r="T365" s="609" t="s">
        <v>53</v>
      </c>
      <c r="U365" s="591">
        <v>15.81</v>
      </c>
      <c r="V365" s="611"/>
      <c r="W365" s="564">
        <f>IF(S365&lt;&gt;0,VLOOKUP(S365,VKT!$A$2:$G$415,7,0),"")</f>
        <v>684506</v>
      </c>
      <c r="X365" s="564">
        <f t="shared" si="80"/>
        <v>10822000</v>
      </c>
      <c r="Y365" s="589"/>
      <c r="Z365" s="592"/>
      <c r="AA365" s="592"/>
      <c r="AB365" s="568"/>
      <c r="AC365" s="592"/>
      <c r="AD365" s="592"/>
      <c r="AE365" s="592"/>
      <c r="AF365" s="590"/>
      <c r="AG365" s="570" t="str">
        <f>IF(AE365&lt;&gt;0,VLOOKUP(AE365,ODDS!$A$2:$C$13,3,0),"")</f>
        <v/>
      </c>
      <c r="AH365" s="570" t="str">
        <f t="shared" si="77"/>
        <v xml:space="preserve"> </v>
      </c>
      <c r="AI365" s="571" t="str">
        <f t="shared" si="73"/>
        <v xml:space="preserve"> </v>
      </c>
      <c r="AJ365" s="593"/>
      <c r="AK365" s="593"/>
    </row>
    <row r="366" spans="1:37" s="376" customFormat="1" ht="60.75" outlineLevel="2" x14ac:dyDescent="0.3">
      <c r="A366" s="447">
        <f t="shared" si="79"/>
        <v>33</v>
      </c>
      <c r="B366" s="557"/>
      <c r="C366" s="572"/>
      <c r="D366" s="587"/>
      <c r="E366" s="587"/>
      <c r="F366" s="560"/>
      <c r="G366" s="558"/>
      <c r="H366" s="588"/>
      <c r="I366" s="546"/>
      <c r="J366" s="593"/>
      <c r="K366" s="563" t="str">
        <f>IF(G366&lt;&gt;0,VLOOKUP(G366,'gia dat'!$A$1:$F$144,5,0)," ")</f>
        <v xml:space="preserve"> </v>
      </c>
      <c r="L366" s="563" t="str">
        <f>IF(G366&lt;&gt;0,VLOOKUP(G366,'gia dat'!$A$1:$F$144,6,0)," ")</f>
        <v xml:space="preserve"> </v>
      </c>
      <c r="M366" s="564" t="str">
        <f t="shared" si="81"/>
        <v xml:space="preserve"> </v>
      </c>
      <c r="N366" s="564" t="str">
        <f t="shared" si="82"/>
        <v xml:space="preserve"> </v>
      </c>
      <c r="O366" s="586" t="s">
        <v>131</v>
      </c>
      <c r="P366" s="630">
        <v>1</v>
      </c>
      <c r="Q366" s="564">
        <f>IF(O366&lt;&gt;0,VLOOKUP(O366,'Cây trong'!$A$2:$C$246,3,0)," ")</f>
        <v>228000</v>
      </c>
      <c r="R366" s="564">
        <f t="shared" si="76"/>
        <v>228000</v>
      </c>
      <c r="S366" s="586" t="s">
        <v>1749</v>
      </c>
      <c r="T366" s="609" t="s">
        <v>53</v>
      </c>
      <c r="U366" s="591">
        <v>3.6</v>
      </c>
      <c r="V366" s="611"/>
      <c r="W366" s="564">
        <f>IF(S366&lt;&gt;0,VLOOKUP(S366,VKT!$A$2:$G$415,7,0),"")</f>
        <v>211811</v>
      </c>
      <c r="X366" s="564">
        <f t="shared" si="80"/>
        <v>763000</v>
      </c>
      <c r="Y366" s="589"/>
      <c r="Z366" s="592"/>
      <c r="AA366" s="592"/>
      <c r="AB366" s="568"/>
      <c r="AC366" s="592"/>
      <c r="AD366" s="592"/>
      <c r="AE366" s="592"/>
      <c r="AF366" s="590"/>
      <c r="AG366" s="570" t="str">
        <f>IF(AE366&lt;&gt;0,VLOOKUP(AE366,ODDS!$A$2:$C$13,3,0),"")</f>
        <v/>
      </c>
      <c r="AH366" s="570" t="str">
        <f t="shared" si="77"/>
        <v xml:space="preserve"> </v>
      </c>
      <c r="AI366" s="571" t="str">
        <f t="shared" si="73"/>
        <v xml:space="preserve"> </v>
      </c>
      <c r="AJ366" s="593"/>
      <c r="AK366" s="593"/>
    </row>
    <row r="367" spans="1:37" s="376" customFormat="1" ht="40.5" outlineLevel="2" x14ac:dyDescent="0.3">
      <c r="A367" s="447">
        <f t="shared" si="79"/>
        <v>33</v>
      </c>
      <c r="B367" s="557"/>
      <c r="C367" s="558"/>
      <c r="D367" s="587"/>
      <c r="E367" s="587"/>
      <c r="F367" s="560"/>
      <c r="G367" s="558"/>
      <c r="H367" s="588"/>
      <c r="I367" s="546"/>
      <c r="J367" s="593"/>
      <c r="K367" s="563" t="str">
        <f>IF(G367&lt;&gt;0,VLOOKUP(G367,'gia dat'!$A$1:$F$144,5,0)," ")</f>
        <v xml:space="preserve"> </v>
      </c>
      <c r="L367" s="563" t="str">
        <f>IF(G367&lt;&gt;0,VLOOKUP(G367,'gia dat'!$A$1:$F$144,6,0)," ")</f>
        <v xml:space="preserve"> </v>
      </c>
      <c r="M367" s="564" t="str">
        <f t="shared" si="81"/>
        <v xml:space="preserve"> </v>
      </c>
      <c r="N367" s="564" t="str">
        <f t="shared" si="82"/>
        <v xml:space="preserve"> </v>
      </c>
      <c r="O367" s="586" t="s">
        <v>168</v>
      </c>
      <c r="P367" s="630">
        <v>1</v>
      </c>
      <c r="Q367" s="564">
        <f>IF(O367&lt;&gt;0,VLOOKUP(O367,'Cây trong'!$A$2:$C$246,3,0)," ")</f>
        <v>580000</v>
      </c>
      <c r="R367" s="564">
        <f t="shared" si="76"/>
        <v>580000</v>
      </c>
      <c r="S367" s="586" t="s">
        <v>1748</v>
      </c>
      <c r="T367" s="609" t="s">
        <v>53</v>
      </c>
      <c r="U367" s="591">
        <v>1.76</v>
      </c>
      <c r="V367" s="611"/>
      <c r="W367" s="564">
        <f>IF(S367&lt;&gt;0,VLOOKUP(S367,VKT!$A$2:$G$415,7,0),"")</f>
        <v>0</v>
      </c>
      <c r="X367" s="564">
        <f t="shared" si="80"/>
        <v>0</v>
      </c>
      <c r="Y367" s="589"/>
      <c r="Z367" s="592"/>
      <c r="AA367" s="592"/>
      <c r="AB367" s="568"/>
      <c r="AC367" s="592"/>
      <c r="AD367" s="592"/>
      <c r="AE367" s="592"/>
      <c r="AF367" s="590"/>
      <c r="AG367" s="570" t="str">
        <f>IF(AE367&lt;&gt;0,VLOOKUP(AE367,ODDS!$A$2:$C$13,3,0),"")</f>
        <v/>
      </c>
      <c r="AH367" s="570" t="str">
        <f t="shared" si="77"/>
        <v xml:space="preserve"> </v>
      </c>
      <c r="AI367" s="571" t="str">
        <f t="shared" si="73"/>
        <v xml:space="preserve"> </v>
      </c>
      <c r="AJ367" s="593"/>
      <c r="AK367" s="593"/>
    </row>
    <row r="368" spans="1:37" s="376" customFormat="1" ht="60.75" outlineLevel="2" x14ac:dyDescent="0.3">
      <c r="A368" s="447">
        <f t="shared" si="79"/>
        <v>33</v>
      </c>
      <c r="B368" s="557"/>
      <c r="C368" s="558"/>
      <c r="D368" s="587"/>
      <c r="E368" s="587"/>
      <c r="F368" s="560"/>
      <c r="G368" s="558"/>
      <c r="H368" s="588"/>
      <c r="I368" s="546"/>
      <c r="J368" s="593"/>
      <c r="K368" s="563" t="str">
        <f>IF(G368&lt;&gt;0,VLOOKUP(G368,'gia dat'!$A$1:$F$144,5,0)," ")</f>
        <v xml:space="preserve"> </v>
      </c>
      <c r="L368" s="563" t="str">
        <f>IF(G368&lt;&gt;0,VLOOKUP(G368,'gia dat'!$A$1:$F$144,6,0)," ")</f>
        <v xml:space="preserve"> </v>
      </c>
      <c r="M368" s="564" t="str">
        <f t="shared" si="81"/>
        <v xml:space="preserve"> </v>
      </c>
      <c r="N368" s="564" t="str">
        <f t="shared" si="82"/>
        <v xml:space="preserve"> </v>
      </c>
      <c r="O368" s="586"/>
      <c r="P368" s="630"/>
      <c r="Q368" s="564" t="str">
        <f>IF(O368&lt;&gt;0,VLOOKUP(O368,'Cây trong'!$A$2:$C$246,3,0)," ")</f>
        <v xml:space="preserve"> </v>
      </c>
      <c r="R368" s="564" t="str">
        <f t="shared" si="76"/>
        <v xml:space="preserve"> </v>
      </c>
      <c r="S368" s="586" t="s">
        <v>1749</v>
      </c>
      <c r="T368" s="609" t="s">
        <v>53</v>
      </c>
      <c r="U368" s="591">
        <v>1.76</v>
      </c>
      <c r="V368" s="611"/>
      <c r="W368" s="564">
        <f>IF(S368&lt;&gt;0,VLOOKUP(S368,VKT!$A$2:$G$415,7,0),"")</f>
        <v>211811</v>
      </c>
      <c r="X368" s="564">
        <f t="shared" si="80"/>
        <v>373000</v>
      </c>
      <c r="Y368" s="589"/>
      <c r="Z368" s="592"/>
      <c r="AA368" s="592"/>
      <c r="AB368" s="568"/>
      <c r="AC368" s="592"/>
      <c r="AD368" s="592"/>
      <c r="AE368" s="592"/>
      <c r="AF368" s="590"/>
      <c r="AG368" s="570" t="str">
        <f>IF(AE368&lt;&gt;0,VLOOKUP(AE368,ODDS!$A$2:$C$13,3,0),"")</f>
        <v/>
      </c>
      <c r="AH368" s="570" t="str">
        <f t="shared" si="77"/>
        <v xml:space="preserve"> </v>
      </c>
      <c r="AI368" s="571" t="str">
        <f t="shared" si="73"/>
        <v xml:space="preserve"> </v>
      </c>
      <c r="AJ368" s="593"/>
      <c r="AK368" s="593"/>
    </row>
    <row r="369" spans="1:37" s="376" customFormat="1" ht="40.5" outlineLevel="2" x14ac:dyDescent="0.3">
      <c r="A369" s="447">
        <f t="shared" si="79"/>
        <v>33</v>
      </c>
      <c r="B369" s="557"/>
      <c r="C369" s="558"/>
      <c r="D369" s="587"/>
      <c r="E369" s="587"/>
      <c r="F369" s="560"/>
      <c r="G369" s="558"/>
      <c r="H369" s="588"/>
      <c r="I369" s="546"/>
      <c r="J369" s="593"/>
      <c r="K369" s="563" t="str">
        <f>IF(G369&lt;&gt;0,VLOOKUP(G369,'gia dat'!$A$1:$F$144,5,0)," ")</f>
        <v xml:space="preserve"> </v>
      </c>
      <c r="L369" s="563" t="str">
        <f>IF(G369&lt;&gt;0,VLOOKUP(G369,'gia dat'!$A$1:$F$144,6,0)," ")</f>
        <v xml:space="preserve"> </v>
      </c>
      <c r="M369" s="564" t="str">
        <f t="shared" si="81"/>
        <v xml:space="preserve"> </v>
      </c>
      <c r="N369" s="564" t="str">
        <f t="shared" si="82"/>
        <v xml:space="preserve"> </v>
      </c>
      <c r="O369" s="586"/>
      <c r="P369" s="630"/>
      <c r="Q369" s="564" t="str">
        <f>IF(O369&lt;&gt;0,VLOOKUP(O369,'Cây trong'!$A$2:$C$246,3,0)," ")</f>
        <v xml:space="preserve"> </v>
      </c>
      <c r="R369" s="564" t="str">
        <f t="shared" si="76"/>
        <v xml:space="preserve"> </v>
      </c>
      <c r="S369" s="586" t="s">
        <v>2291</v>
      </c>
      <c r="T369" s="609" t="s">
        <v>78</v>
      </c>
      <c r="U369" s="591">
        <v>0.03</v>
      </c>
      <c r="V369" s="611"/>
      <c r="W369" s="564">
        <f>IF(S369&lt;&gt;0,VLOOKUP(S369,VKT!$A$2:$G$415,7,0),"")</f>
        <v>0</v>
      </c>
      <c r="X369" s="564">
        <f t="shared" si="80"/>
        <v>0</v>
      </c>
      <c r="Y369" s="589"/>
      <c r="Z369" s="592"/>
      <c r="AA369" s="592"/>
      <c r="AB369" s="568"/>
      <c r="AC369" s="592"/>
      <c r="AD369" s="592"/>
      <c r="AE369" s="592"/>
      <c r="AF369" s="590"/>
      <c r="AG369" s="570" t="str">
        <f>IF(AE369&lt;&gt;0,VLOOKUP(AE369,ODDS!$A$2:$C$13,3,0),"")</f>
        <v/>
      </c>
      <c r="AH369" s="570" t="str">
        <f t="shared" si="77"/>
        <v xml:space="preserve"> </v>
      </c>
      <c r="AI369" s="571" t="str">
        <f t="shared" si="73"/>
        <v xml:space="preserve"> </v>
      </c>
      <c r="AJ369" s="593"/>
      <c r="AK369" s="593"/>
    </row>
    <row r="370" spans="1:37" s="376" customFormat="1" ht="60.75" outlineLevel="2" x14ac:dyDescent="0.3">
      <c r="A370" s="447">
        <f t="shared" si="79"/>
        <v>33</v>
      </c>
      <c r="B370" s="557"/>
      <c r="C370" s="558"/>
      <c r="D370" s="587"/>
      <c r="E370" s="587"/>
      <c r="F370" s="560"/>
      <c r="G370" s="558"/>
      <c r="H370" s="588"/>
      <c r="I370" s="546"/>
      <c r="J370" s="593"/>
      <c r="K370" s="563" t="str">
        <f>IF(G370&lt;&gt;0,VLOOKUP(G370,'gia dat'!$A$1:$F$144,5,0)," ")</f>
        <v xml:space="preserve"> </v>
      </c>
      <c r="L370" s="563" t="str">
        <f>IF(G370&lt;&gt;0,VLOOKUP(G370,'gia dat'!$A$1:$F$144,6,0)," ")</f>
        <v xml:space="preserve"> </v>
      </c>
      <c r="M370" s="564" t="str">
        <f t="shared" si="81"/>
        <v xml:space="preserve"> </v>
      </c>
      <c r="N370" s="564" t="str">
        <f t="shared" si="82"/>
        <v xml:space="preserve"> </v>
      </c>
      <c r="O370" s="586"/>
      <c r="P370" s="630"/>
      <c r="Q370" s="564" t="str">
        <f>IF(O370&lt;&gt;0,VLOOKUP(O370,'Cây trong'!$A$2:$C$246,3,0)," ")</f>
        <v xml:space="preserve"> </v>
      </c>
      <c r="R370" s="564" t="str">
        <f t="shared" si="76"/>
        <v xml:space="preserve"> </v>
      </c>
      <c r="S370" s="586" t="s">
        <v>2292</v>
      </c>
      <c r="T370" s="609" t="s">
        <v>53</v>
      </c>
      <c r="U370" s="591">
        <v>0.8</v>
      </c>
      <c r="V370" s="611"/>
      <c r="W370" s="564">
        <f>IF(S370&lt;&gt;0,VLOOKUP(S370,VKT!$A$2:$G$415,7,0),"")</f>
        <v>310020</v>
      </c>
      <c r="X370" s="564">
        <f t="shared" si="80"/>
        <v>248000</v>
      </c>
      <c r="Y370" s="589"/>
      <c r="Z370" s="592"/>
      <c r="AA370" s="592"/>
      <c r="AB370" s="568"/>
      <c r="AC370" s="592"/>
      <c r="AD370" s="592"/>
      <c r="AE370" s="592"/>
      <c r="AF370" s="590"/>
      <c r="AG370" s="570" t="str">
        <f>IF(AE370&lt;&gt;0,VLOOKUP(AE370,ODDS!$A$2:$C$13,3,0),"")</f>
        <v/>
      </c>
      <c r="AH370" s="570" t="str">
        <f t="shared" si="77"/>
        <v xml:space="preserve"> </v>
      </c>
      <c r="AI370" s="571" t="str">
        <f t="shared" si="73"/>
        <v xml:space="preserve"> </v>
      </c>
      <c r="AJ370" s="593"/>
      <c r="AK370" s="593"/>
    </row>
    <row r="371" spans="1:37" s="376" customFormat="1" ht="40.5" outlineLevel="2" x14ac:dyDescent="0.3">
      <c r="A371" s="447">
        <f t="shared" si="79"/>
        <v>33</v>
      </c>
      <c r="B371" s="557"/>
      <c r="C371" s="558"/>
      <c r="D371" s="587"/>
      <c r="E371" s="587"/>
      <c r="F371" s="560"/>
      <c r="G371" s="558"/>
      <c r="H371" s="588"/>
      <c r="I371" s="546"/>
      <c r="J371" s="593"/>
      <c r="K371" s="563" t="str">
        <f>IF(G371&lt;&gt;0,VLOOKUP(G371,'gia dat'!$A$1:$F$144,5,0)," ")</f>
        <v xml:space="preserve"> </v>
      </c>
      <c r="L371" s="563" t="str">
        <f>IF(G371&lt;&gt;0,VLOOKUP(G371,'gia dat'!$A$1:$F$144,6,0)," ")</f>
        <v xml:space="preserve"> </v>
      </c>
      <c r="M371" s="564" t="str">
        <f t="shared" si="81"/>
        <v xml:space="preserve"> </v>
      </c>
      <c r="N371" s="564" t="str">
        <f t="shared" si="82"/>
        <v xml:space="preserve"> </v>
      </c>
      <c r="O371" s="586"/>
      <c r="P371" s="630"/>
      <c r="Q371" s="564" t="str">
        <f>IF(O371&lt;&gt;0,VLOOKUP(O371,'Cây trong'!$A$2:$C$246,3,0)," ")</f>
        <v xml:space="preserve"> </v>
      </c>
      <c r="R371" s="564" t="str">
        <f t="shared" si="76"/>
        <v xml:space="preserve"> </v>
      </c>
      <c r="S371" s="586" t="s">
        <v>2293</v>
      </c>
      <c r="T371" s="609" t="s">
        <v>53</v>
      </c>
      <c r="U371" s="591">
        <v>0.5</v>
      </c>
      <c r="V371" s="611"/>
      <c r="W371" s="564">
        <f>IF(S371&lt;&gt;0,VLOOKUP(S371,VKT!$A$2:$G$415,7,0),"")</f>
        <v>254982</v>
      </c>
      <c r="X371" s="564">
        <f t="shared" si="80"/>
        <v>127000</v>
      </c>
      <c r="Y371" s="589"/>
      <c r="Z371" s="592"/>
      <c r="AA371" s="592"/>
      <c r="AB371" s="568"/>
      <c r="AC371" s="592"/>
      <c r="AD371" s="592"/>
      <c r="AE371" s="592"/>
      <c r="AF371" s="590"/>
      <c r="AG371" s="570" t="str">
        <f>IF(AE371&lt;&gt;0,VLOOKUP(AE371,ODDS!$A$2:$C$13,3,0),"")</f>
        <v/>
      </c>
      <c r="AH371" s="570" t="str">
        <f t="shared" si="77"/>
        <v xml:space="preserve"> </v>
      </c>
      <c r="AI371" s="571" t="str">
        <f t="shared" si="73"/>
        <v xml:space="preserve"> </v>
      </c>
      <c r="AJ371" s="593"/>
      <c r="AK371" s="593"/>
    </row>
    <row r="372" spans="1:37" s="376" customFormat="1" ht="40.5" outlineLevel="2" x14ac:dyDescent="0.3">
      <c r="A372" s="447">
        <f t="shared" si="79"/>
        <v>33</v>
      </c>
      <c r="B372" s="557"/>
      <c r="C372" s="574"/>
      <c r="D372" s="587"/>
      <c r="E372" s="587"/>
      <c r="F372" s="560"/>
      <c r="G372" s="558"/>
      <c r="H372" s="588"/>
      <c r="I372" s="546"/>
      <c r="J372" s="593"/>
      <c r="K372" s="563" t="str">
        <f>IF(G372&lt;&gt;0,VLOOKUP(G372,'gia dat'!$A$1:$F$144,5,0)," ")</f>
        <v xml:space="preserve"> </v>
      </c>
      <c r="L372" s="563" t="str">
        <f>IF(G372&lt;&gt;0,VLOOKUP(G372,'gia dat'!$A$1:$F$144,6,0)," ")</f>
        <v xml:space="preserve"> </v>
      </c>
      <c r="M372" s="564" t="str">
        <f t="shared" si="81"/>
        <v xml:space="preserve"> </v>
      </c>
      <c r="N372" s="564" t="str">
        <f t="shared" si="82"/>
        <v xml:space="preserve"> </v>
      </c>
      <c r="O372" s="586"/>
      <c r="P372" s="630"/>
      <c r="Q372" s="564" t="str">
        <f>IF(O372&lt;&gt;0,VLOOKUP(O372,'Cây trong'!$A$2:$C$246,3,0)," ")</f>
        <v xml:space="preserve"> </v>
      </c>
      <c r="R372" s="564" t="str">
        <f t="shared" si="76"/>
        <v xml:space="preserve"> </v>
      </c>
      <c r="S372" s="586" t="s">
        <v>1748</v>
      </c>
      <c r="T372" s="609" t="s">
        <v>53</v>
      </c>
      <c r="U372" s="591">
        <v>2.66</v>
      </c>
      <c r="V372" s="641"/>
      <c r="W372" s="564">
        <f>IF(S372&lt;&gt;0,VLOOKUP(S372,VKT!$A$2:$G$415,7,0),"")</f>
        <v>0</v>
      </c>
      <c r="X372" s="564">
        <f t="shared" si="80"/>
        <v>0</v>
      </c>
      <c r="Y372" s="589"/>
      <c r="Z372" s="592"/>
      <c r="AA372" s="592"/>
      <c r="AB372" s="568"/>
      <c r="AC372" s="592"/>
      <c r="AD372" s="592"/>
      <c r="AE372" s="592"/>
      <c r="AF372" s="590"/>
      <c r="AG372" s="570" t="str">
        <f>IF(AE372&lt;&gt;0,VLOOKUP(AE372,ODDS!$A$2:$C$13,3,0),"")</f>
        <v/>
      </c>
      <c r="AH372" s="570" t="str">
        <f t="shared" si="77"/>
        <v xml:space="preserve"> </v>
      </c>
      <c r="AI372" s="571" t="str">
        <f t="shared" si="73"/>
        <v xml:space="preserve"> </v>
      </c>
      <c r="AJ372" s="593"/>
      <c r="AK372" s="593"/>
    </row>
    <row r="373" spans="1:37" s="376" customFormat="1" ht="40.5" outlineLevel="2" x14ac:dyDescent="0.3">
      <c r="A373" s="447">
        <f t="shared" si="79"/>
        <v>33</v>
      </c>
      <c r="B373" s="557"/>
      <c r="C373" s="574"/>
      <c r="D373" s="587"/>
      <c r="E373" s="587"/>
      <c r="F373" s="560"/>
      <c r="G373" s="558"/>
      <c r="H373" s="588"/>
      <c r="I373" s="546"/>
      <c r="J373" s="593"/>
      <c r="K373" s="563" t="str">
        <f>IF(G373&lt;&gt;0,VLOOKUP(G373,'gia dat'!$A$1:$F$144,5,0)," ")</f>
        <v xml:space="preserve"> </v>
      </c>
      <c r="L373" s="563" t="str">
        <f>IF(G373&lt;&gt;0,VLOOKUP(G373,'gia dat'!$A$1:$F$144,6,0)," ")</f>
        <v xml:space="preserve"> </v>
      </c>
      <c r="M373" s="564" t="str">
        <f t="shared" si="81"/>
        <v xml:space="preserve"> </v>
      </c>
      <c r="N373" s="564" t="str">
        <f t="shared" si="82"/>
        <v xml:space="preserve"> </v>
      </c>
      <c r="O373" s="586"/>
      <c r="P373" s="630"/>
      <c r="Q373" s="564" t="str">
        <f>IF(O373&lt;&gt;0,VLOOKUP(O373,'Cây trong'!$A$2:$C$246,3,0)," ")</f>
        <v xml:space="preserve"> </v>
      </c>
      <c r="R373" s="564" t="str">
        <f t="shared" si="76"/>
        <v xml:space="preserve"> </v>
      </c>
      <c r="S373" s="586" t="s">
        <v>1839</v>
      </c>
      <c r="T373" s="609" t="s">
        <v>53</v>
      </c>
      <c r="U373" s="591">
        <v>4.8</v>
      </c>
      <c r="V373" s="641"/>
      <c r="W373" s="564">
        <f>IF(S373&lt;&gt;0,VLOOKUP(S373,VKT!$A$2:$G$415,7,0),"")</f>
        <v>244604</v>
      </c>
      <c r="X373" s="564">
        <f t="shared" si="80"/>
        <v>1174000</v>
      </c>
      <c r="Y373" s="589"/>
      <c r="Z373" s="592"/>
      <c r="AA373" s="592"/>
      <c r="AB373" s="568"/>
      <c r="AC373" s="592"/>
      <c r="AD373" s="592"/>
      <c r="AE373" s="592"/>
      <c r="AF373" s="590"/>
      <c r="AG373" s="570" t="str">
        <f>IF(AE373&lt;&gt;0,VLOOKUP(AE373,ODDS!$A$2:$C$13,3,0),"")</f>
        <v/>
      </c>
      <c r="AH373" s="570" t="str">
        <f t="shared" si="77"/>
        <v xml:space="preserve"> </v>
      </c>
      <c r="AI373" s="571" t="str">
        <f t="shared" si="73"/>
        <v xml:space="preserve"> </v>
      </c>
      <c r="AJ373" s="593"/>
      <c r="AK373" s="593"/>
    </row>
    <row r="374" spans="1:37" s="376" customFormat="1" ht="81" outlineLevel="2" x14ac:dyDescent="0.3">
      <c r="A374" s="447">
        <f t="shared" si="79"/>
        <v>33</v>
      </c>
      <c r="B374" s="557"/>
      <c r="C374" s="574"/>
      <c r="D374" s="587"/>
      <c r="E374" s="587"/>
      <c r="F374" s="560"/>
      <c r="G374" s="558"/>
      <c r="H374" s="588"/>
      <c r="I374" s="546"/>
      <c r="J374" s="593"/>
      <c r="K374" s="563" t="str">
        <f>IF(G374&lt;&gt;0,VLOOKUP(G374,'gia dat'!$A$1:$F$144,5,0)," ")</f>
        <v xml:space="preserve"> </v>
      </c>
      <c r="L374" s="563" t="str">
        <f>IF(G374&lt;&gt;0,VLOOKUP(G374,'gia dat'!$A$1:$F$144,6,0)," ")</f>
        <v xml:space="preserve"> </v>
      </c>
      <c r="M374" s="564" t="str">
        <f t="shared" si="81"/>
        <v xml:space="preserve"> </v>
      </c>
      <c r="N374" s="564" t="str">
        <f t="shared" si="82"/>
        <v xml:space="preserve"> </v>
      </c>
      <c r="O374" s="586"/>
      <c r="P374" s="630"/>
      <c r="Q374" s="564" t="str">
        <f>IF(O374&lt;&gt;0,VLOOKUP(O374,'Cây trong'!$A$2:$C$246,3,0)," ")</f>
        <v xml:space="preserve"> </v>
      </c>
      <c r="R374" s="564" t="str">
        <f t="shared" si="76"/>
        <v xml:space="preserve"> </v>
      </c>
      <c r="S374" s="586" t="s">
        <v>2294</v>
      </c>
      <c r="T374" s="609" t="s">
        <v>53</v>
      </c>
      <c r="U374" s="591">
        <v>0.45</v>
      </c>
      <c r="V374" s="641"/>
      <c r="W374" s="564">
        <f>IF(S374&lt;&gt;0,VLOOKUP(S374,VKT!$A$2:$G$415,7,0),"")</f>
        <v>441467</v>
      </c>
      <c r="X374" s="564">
        <f t="shared" si="80"/>
        <v>199000</v>
      </c>
      <c r="Y374" s="589"/>
      <c r="Z374" s="592"/>
      <c r="AA374" s="592"/>
      <c r="AB374" s="568"/>
      <c r="AC374" s="592"/>
      <c r="AD374" s="592"/>
      <c r="AE374" s="592"/>
      <c r="AF374" s="590"/>
      <c r="AG374" s="570" t="str">
        <f>IF(AE374&lt;&gt;0,VLOOKUP(AE374,ODDS!$A$2:$C$13,3,0),"")</f>
        <v/>
      </c>
      <c r="AH374" s="570" t="str">
        <f t="shared" si="77"/>
        <v xml:space="preserve"> </v>
      </c>
      <c r="AI374" s="571" t="str">
        <f t="shared" si="73"/>
        <v xml:space="preserve"> </v>
      </c>
      <c r="AJ374" s="593"/>
      <c r="AK374" s="593"/>
    </row>
    <row r="375" spans="1:37" s="376" customFormat="1" ht="60.75" outlineLevel="2" x14ac:dyDescent="0.3">
      <c r="A375" s="447">
        <f t="shared" si="79"/>
        <v>33</v>
      </c>
      <c r="B375" s="557"/>
      <c r="C375" s="574"/>
      <c r="D375" s="587"/>
      <c r="E375" s="587"/>
      <c r="F375" s="560"/>
      <c r="G375" s="558"/>
      <c r="H375" s="588"/>
      <c r="I375" s="546"/>
      <c r="J375" s="593"/>
      <c r="K375" s="563" t="str">
        <f>IF(G375&lt;&gt;0,VLOOKUP(G375,'gia dat'!$A$1:$F$144,5,0)," ")</f>
        <v xml:space="preserve"> </v>
      </c>
      <c r="L375" s="563" t="str">
        <f>IF(G375&lt;&gt;0,VLOOKUP(G375,'gia dat'!$A$1:$F$144,6,0)," ")</f>
        <v xml:space="preserve"> </v>
      </c>
      <c r="M375" s="564" t="str">
        <f t="shared" si="81"/>
        <v xml:space="preserve"> </v>
      </c>
      <c r="N375" s="564" t="str">
        <f t="shared" si="82"/>
        <v xml:space="preserve"> </v>
      </c>
      <c r="O375" s="586"/>
      <c r="P375" s="630"/>
      <c r="Q375" s="564" t="str">
        <f>IF(O375&lt;&gt;0,VLOOKUP(O375,'Cây trong'!$A$2:$C$246,3,0)," ")</f>
        <v xml:space="preserve"> </v>
      </c>
      <c r="R375" s="564" t="str">
        <f t="shared" si="76"/>
        <v xml:space="preserve"> </v>
      </c>
      <c r="S375" s="586" t="s">
        <v>1858</v>
      </c>
      <c r="T375" s="609" t="s">
        <v>53</v>
      </c>
      <c r="U375" s="591">
        <v>2.2000000000000002</v>
      </c>
      <c r="V375" s="641"/>
      <c r="W375" s="564">
        <f>IF(S375&lt;&gt;0,VLOOKUP(S375,VKT!$A$2:$G$415,7,0),"")</f>
        <v>441467</v>
      </c>
      <c r="X375" s="564">
        <f t="shared" si="80"/>
        <v>971000</v>
      </c>
      <c r="Y375" s="589"/>
      <c r="Z375" s="592"/>
      <c r="AA375" s="592"/>
      <c r="AB375" s="568"/>
      <c r="AC375" s="592"/>
      <c r="AD375" s="592"/>
      <c r="AE375" s="592"/>
      <c r="AF375" s="590"/>
      <c r="AG375" s="570" t="str">
        <f>IF(AE375&lt;&gt;0,VLOOKUP(AE375,ODDS!$A$2:$C$13,3,0),"")</f>
        <v/>
      </c>
      <c r="AH375" s="570" t="str">
        <f t="shared" si="77"/>
        <v xml:space="preserve"> </v>
      </c>
      <c r="AI375" s="571" t="str">
        <f t="shared" si="73"/>
        <v xml:space="preserve"> </v>
      </c>
      <c r="AJ375" s="593"/>
      <c r="AK375" s="593"/>
    </row>
    <row r="376" spans="1:37" s="376" customFormat="1" ht="60.75" outlineLevel="2" x14ac:dyDescent="0.3">
      <c r="A376" s="447">
        <f t="shared" si="79"/>
        <v>33</v>
      </c>
      <c r="B376" s="557"/>
      <c r="C376" s="574"/>
      <c r="D376" s="587"/>
      <c r="E376" s="587"/>
      <c r="F376" s="560"/>
      <c r="G376" s="558"/>
      <c r="H376" s="588"/>
      <c r="I376" s="546"/>
      <c r="J376" s="589"/>
      <c r="K376" s="563" t="str">
        <f>IF(G376&lt;&gt;0,VLOOKUP(G376,'gia dat'!$A$1:$F$144,5,0)," ")</f>
        <v xml:space="preserve"> </v>
      </c>
      <c r="L376" s="563" t="str">
        <f>IF(G376&lt;&gt;0,VLOOKUP(G376,'gia dat'!$A$1:$F$144,6,0)," ")</f>
        <v xml:space="preserve"> </v>
      </c>
      <c r="M376" s="564" t="str">
        <f t="shared" si="81"/>
        <v xml:space="preserve"> </v>
      </c>
      <c r="N376" s="564" t="str">
        <f t="shared" si="82"/>
        <v xml:space="preserve"> </v>
      </c>
      <c r="O376" s="646"/>
      <c r="P376" s="590"/>
      <c r="Q376" s="564" t="str">
        <f>IF(O376&lt;&gt;0,VLOOKUP(O376,'Cây trong'!$A$2:$C$246,3,0)," ")</f>
        <v xml:space="preserve"> </v>
      </c>
      <c r="R376" s="564" t="str">
        <f t="shared" si="76"/>
        <v xml:space="preserve"> </v>
      </c>
      <c r="S376" s="646" t="s">
        <v>2295</v>
      </c>
      <c r="T376" s="647" t="s">
        <v>53</v>
      </c>
      <c r="U376" s="591">
        <v>1.05</v>
      </c>
      <c r="V376" s="589"/>
      <c r="W376" s="564">
        <f>IF(S376&lt;&gt;0,VLOOKUP(S376,VKT!$A$2:$G$415,7,0),"")</f>
        <v>441467</v>
      </c>
      <c r="X376" s="564">
        <f t="shared" si="80"/>
        <v>464000</v>
      </c>
      <c r="Y376" s="589"/>
      <c r="Z376" s="592"/>
      <c r="AA376" s="592"/>
      <c r="AB376" s="568"/>
      <c r="AC376" s="592"/>
      <c r="AD376" s="592"/>
      <c r="AE376" s="592"/>
      <c r="AF376" s="590"/>
      <c r="AG376" s="570" t="str">
        <f>IF(AE376&lt;&gt;0,VLOOKUP(AE376,ODDS!$A$2:$C$13,3,0),"")</f>
        <v/>
      </c>
      <c r="AH376" s="570" t="str">
        <f t="shared" si="77"/>
        <v xml:space="preserve"> </v>
      </c>
      <c r="AI376" s="571" t="str">
        <f t="shared" si="73"/>
        <v xml:space="preserve"> </v>
      </c>
      <c r="AJ376" s="593"/>
      <c r="AK376" s="593"/>
    </row>
    <row r="377" spans="1:37" s="376" customFormat="1" ht="60.75" outlineLevel="2" x14ac:dyDescent="0.3">
      <c r="A377" s="447">
        <f t="shared" si="79"/>
        <v>33</v>
      </c>
      <c r="B377" s="557"/>
      <c r="C377" s="558"/>
      <c r="D377" s="587"/>
      <c r="E377" s="587"/>
      <c r="F377" s="560"/>
      <c r="G377" s="558"/>
      <c r="H377" s="588"/>
      <c r="I377" s="546"/>
      <c r="J377" s="589"/>
      <c r="K377" s="563" t="str">
        <f>IF(G377&lt;&gt;0,VLOOKUP(G377,'gia dat'!$A$1:$F$144,5,0)," ")</f>
        <v xml:space="preserve"> </v>
      </c>
      <c r="L377" s="563" t="str">
        <f>IF(G377&lt;&gt;0,VLOOKUP(G377,'gia dat'!$A$1:$F$144,6,0)," ")</f>
        <v xml:space="preserve"> </v>
      </c>
      <c r="M377" s="564" t="str">
        <f t="shared" si="81"/>
        <v xml:space="preserve"> </v>
      </c>
      <c r="N377" s="564" t="str">
        <f t="shared" si="82"/>
        <v xml:space="preserve"> </v>
      </c>
      <c r="O377" s="558"/>
      <c r="P377" s="590"/>
      <c r="Q377" s="564" t="str">
        <f>IF(O377&lt;&gt;0,VLOOKUP(O377,'Cây trong'!$A$2:$C$246,3,0)," ")</f>
        <v xml:space="preserve"> </v>
      </c>
      <c r="R377" s="564" t="str">
        <f t="shared" si="76"/>
        <v xml:space="preserve"> </v>
      </c>
      <c r="S377" s="566" t="s">
        <v>2296</v>
      </c>
      <c r="T377" s="589" t="s">
        <v>53</v>
      </c>
      <c r="U377" s="591">
        <v>0.96</v>
      </c>
      <c r="V377" s="589"/>
      <c r="W377" s="564">
        <f>IF(S377&lt;&gt;0,VLOOKUP(S377,VKT!$A$2:$G$415,7,0),"")</f>
        <v>310020</v>
      </c>
      <c r="X377" s="564">
        <f t="shared" si="80"/>
        <v>298000</v>
      </c>
      <c r="Y377" s="589"/>
      <c r="Z377" s="592"/>
      <c r="AA377" s="592"/>
      <c r="AB377" s="568"/>
      <c r="AC377" s="592"/>
      <c r="AD377" s="592"/>
      <c r="AE377" s="592"/>
      <c r="AF377" s="590"/>
      <c r="AG377" s="570" t="str">
        <f>IF(AE377&lt;&gt;0,VLOOKUP(AE377,ODDS!$A$2:$C$13,3,0),"")</f>
        <v/>
      </c>
      <c r="AH377" s="570" t="str">
        <f t="shared" si="77"/>
        <v xml:space="preserve"> </v>
      </c>
      <c r="AI377" s="571" t="str">
        <f t="shared" si="73"/>
        <v xml:space="preserve"> </v>
      </c>
      <c r="AJ377" s="558"/>
      <c r="AK377" s="558"/>
    </row>
    <row r="378" spans="1:37" s="376" customFormat="1" ht="60.75" outlineLevel="2" x14ac:dyDescent="0.3">
      <c r="A378" s="447">
        <f t="shared" si="79"/>
        <v>33</v>
      </c>
      <c r="B378" s="557"/>
      <c r="C378" s="648"/>
      <c r="D378" s="587"/>
      <c r="E378" s="587"/>
      <c r="F378" s="560"/>
      <c r="G378" s="558"/>
      <c r="H378" s="588"/>
      <c r="I378" s="546"/>
      <c r="J378" s="589"/>
      <c r="K378" s="563" t="str">
        <f>IF(G378&lt;&gt;0,VLOOKUP(G378,'gia dat'!$A$1:$F$144,5,0)," ")</f>
        <v xml:space="preserve"> </v>
      </c>
      <c r="L378" s="563" t="str">
        <f>IF(G378&lt;&gt;0,VLOOKUP(G378,'gia dat'!$A$1:$F$144,6,0)," ")</f>
        <v xml:space="preserve"> </v>
      </c>
      <c r="M378" s="564" t="str">
        <f t="shared" si="81"/>
        <v xml:space="preserve"> </v>
      </c>
      <c r="N378" s="564" t="str">
        <f t="shared" si="82"/>
        <v xml:space="preserve"> </v>
      </c>
      <c r="O378" s="558"/>
      <c r="P378" s="590"/>
      <c r="Q378" s="564" t="str">
        <f>IF(O378&lt;&gt;0,VLOOKUP(O378,'Cây trong'!$A$2:$C$246,3,0)," ")</f>
        <v xml:space="preserve"> </v>
      </c>
      <c r="R378" s="564" t="str">
        <f t="shared" si="76"/>
        <v xml:space="preserve"> </v>
      </c>
      <c r="S378" s="566" t="s">
        <v>1856</v>
      </c>
      <c r="T378" s="589" t="s">
        <v>78</v>
      </c>
      <c r="U378" s="591">
        <v>0.36</v>
      </c>
      <c r="V378" s="589"/>
      <c r="W378" s="564">
        <f>IF(S378&lt;&gt;0,VLOOKUP(S378,VKT!$A$2:$G$415,7,0),"")</f>
        <v>0</v>
      </c>
      <c r="X378" s="564">
        <f t="shared" si="80"/>
        <v>0</v>
      </c>
      <c r="Y378" s="589"/>
      <c r="Z378" s="592"/>
      <c r="AA378" s="592"/>
      <c r="AB378" s="568"/>
      <c r="AC378" s="592"/>
      <c r="AD378" s="592"/>
      <c r="AE378" s="592"/>
      <c r="AF378" s="590"/>
      <c r="AG378" s="570" t="str">
        <f>IF(AE378&lt;&gt;0,VLOOKUP(AE378,ODDS!$A$2:$C$13,3,0),"")</f>
        <v/>
      </c>
      <c r="AH378" s="570" t="str">
        <f t="shared" si="77"/>
        <v xml:space="preserve"> </v>
      </c>
      <c r="AI378" s="571" t="str">
        <f t="shared" si="73"/>
        <v xml:space="preserve"> </v>
      </c>
      <c r="AJ378" s="558"/>
      <c r="AK378" s="558"/>
    </row>
    <row r="379" spans="1:37" s="376" customFormat="1" ht="40.5" outlineLevel="2" x14ac:dyDescent="0.3">
      <c r="A379" s="447">
        <f t="shared" si="79"/>
        <v>33</v>
      </c>
      <c r="B379" s="557"/>
      <c r="C379" s="648"/>
      <c r="D379" s="587"/>
      <c r="E379" s="587"/>
      <c r="F379" s="560"/>
      <c r="G379" s="558"/>
      <c r="H379" s="588"/>
      <c r="I379" s="546"/>
      <c r="J379" s="589"/>
      <c r="K379" s="563" t="str">
        <f>IF(G379&lt;&gt;0,VLOOKUP(G379,'gia dat'!$A$1:$F$144,5,0)," ")</f>
        <v xml:space="preserve"> </v>
      </c>
      <c r="L379" s="563" t="str">
        <f>IF(G379&lt;&gt;0,VLOOKUP(G379,'gia dat'!$A$1:$F$144,6,0)," ")</f>
        <v xml:space="preserve"> </v>
      </c>
      <c r="M379" s="564" t="str">
        <f t="shared" si="81"/>
        <v xml:space="preserve"> </v>
      </c>
      <c r="N379" s="564" t="str">
        <f t="shared" si="82"/>
        <v xml:space="preserve"> </v>
      </c>
      <c r="O379" s="646"/>
      <c r="P379" s="590"/>
      <c r="Q379" s="564" t="str">
        <f>IF(O379&lt;&gt;0,VLOOKUP(O379,'Cây trong'!$A$2:$C$246,3,0)," ")</f>
        <v xml:space="preserve"> </v>
      </c>
      <c r="R379" s="564" t="str">
        <f t="shared" si="76"/>
        <v xml:space="preserve"> </v>
      </c>
      <c r="S379" s="586" t="s">
        <v>1757</v>
      </c>
      <c r="T379" s="609" t="s">
        <v>53</v>
      </c>
      <c r="U379" s="591">
        <v>28.2</v>
      </c>
      <c r="V379" s="589"/>
      <c r="W379" s="564">
        <f>IF(S379&lt;&gt;0,VLOOKUP(S379,VKT!$A$2:$G$415,7,0),"")</f>
        <v>157477</v>
      </c>
      <c r="X379" s="564">
        <f t="shared" si="80"/>
        <v>4441000</v>
      </c>
      <c r="Y379" s="589"/>
      <c r="Z379" s="592"/>
      <c r="AA379" s="592"/>
      <c r="AB379" s="568"/>
      <c r="AC379" s="592"/>
      <c r="AD379" s="592"/>
      <c r="AE379" s="592"/>
      <c r="AF379" s="590"/>
      <c r="AG379" s="570" t="str">
        <f>IF(AE379&lt;&gt;0,VLOOKUP(AE379,ODDS!$A$2:$C$13,3,0),"")</f>
        <v/>
      </c>
      <c r="AH379" s="570" t="str">
        <f t="shared" si="77"/>
        <v xml:space="preserve"> </v>
      </c>
      <c r="AI379" s="571" t="str">
        <f t="shared" si="73"/>
        <v xml:space="preserve"> </v>
      </c>
      <c r="AJ379" s="593"/>
      <c r="AK379" s="593"/>
    </row>
    <row r="380" spans="1:37" s="376" customFormat="1" ht="20.25" outlineLevel="2" x14ac:dyDescent="0.3">
      <c r="A380" s="447">
        <f t="shared" si="79"/>
        <v>33</v>
      </c>
      <c r="B380" s="557"/>
      <c r="C380" s="572"/>
      <c r="D380" s="587"/>
      <c r="E380" s="587"/>
      <c r="F380" s="560"/>
      <c r="G380" s="558"/>
      <c r="H380" s="588"/>
      <c r="I380" s="546"/>
      <c r="J380" s="593"/>
      <c r="K380" s="563" t="str">
        <f>IF(G380&lt;&gt;0,VLOOKUP(G380,'gia dat'!$A$1:$F$144,5,0)," ")</f>
        <v xml:space="preserve"> </v>
      </c>
      <c r="L380" s="563" t="str">
        <f>IF(G380&lt;&gt;0,VLOOKUP(G380,'gia dat'!$A$1:$F$144,6,0)," ")</f>
        <v xml:space="preserve"> </v>
      </c>
      <c r="M380" s="564" t="str">
        <f t="shared" si="81"/>
        <v xml:space="preserve"> </v>
      </c>
      <c r="N380" s="564" t="str">
        <f t="shared" si="82"/>
        <v xml:space="preserve"> </v>
      </c>
      <c r="O380" s="586"/>
      <c r="P380" s="630"/>
      <c r="Q380" s="564" t="str">
        <f>IF(O380&lt;&gt;0,VLOOKUP(O380,'Cây trong'!$A$2:$C$246,3,0)," ")</f>
        <v xml:space="preserve"> </v>
      </c>
      <c r="R380" s="564" t="str">
        <f t="shared" si="76"/>
        <v xml:space="preserve"> </v>
      </c>
      <c r="S380" s="593"/>
      <c r="T380" s="593"/>
      <c r="U380" s="617"/>
      <c r="V380" s="611"/>
      <c r="W380" s="564" t="str">
        <f>IF(S380&lt;&gt;0,VLOOKUP(S380,VKT!$A$2:$G$415,7,0),"")</f>
        <v/>
      </c>
      <c r="X380" s="564" t="str">
        <f t="shared" si="80"/>
        <v xml:space="preserve"> </v>
      </c>
      <c r="Y380" s="562"/>
      <c r="Z380" s="592"/>
      <c r="AA380" s="592"/>
      <c r="AB380" s="568"/>
      <c r="AC380" s="592"/>
      <c r="AD380" s="592"/>
      <c r="AE380" s="592"/>
      <c r="AF380" s="590"/>
      <c r="AG380" s="570" t="str">
        <f>IF(AE380&lt;&gt;0,VLOOKUP(AE380,ODDS!$A$2:$C$13,3,0),"")</f>
        <v/>
      </c>
      <c r="AH380" s="570" t="str">
        <f t="shared" si="77"/>
        <v xml:space="preserve"> </v>
      </c>
      <c r="AI380" s="571" t="str">
        <f t="shared" si="73"/>
        <v xml:space="preserve"> </v>
      </c>
      <c r="AJ380" s="558"/>
      <c r="AK380" s="558"/>
    </row>
    <row r="381" spans="1:37" s="376" customFormat="1" ht="20.25" outlineLevel="2" x14ac:dyDescent="0.3">
      <c r="A381" s="447">
        <f t="shared" si="79"/>
        <v>33</v>
      </c>
      <c r="B381" s="557"/>
      <c r="C381" s="572"/>
      <c r="D381" s="603"/>
      <c r="E381" s="587"/>
      <c r="F381" s="560"/>
      <c r="G381" s="558"/>
      <c r="H381" s="588"/>
      <c r="I381" s="546"/>
      <c r="J381" s="593"/>
      <c r="K381" s="563" t="str">
        <f>IF(G381&lt;&gt;0,VLOOKUP(G381,'gia dat'!$A$1:$F$144,5,0)," ")</f>
        <v xml:space="preserve"> </v>
      </c>
      <c r="L381" s="563" t="str">
        <f>IF(G381&lt;&gt;0,VLOOKUP(G381,'gia dat'!$A$1:$F$144,6,0)," ")</f>
        <v xml:space="preserve"> </v>
      </c>
      <c r="M381" s="564" t="str">
        <f t="shared" si="81"/>
        <v xml:space="preserve"> </v>
      </c>
      <c r="N381" s="564" t="str">
        <f t="shared" si="82"/>
        <v xml:space="preserve"> </v>
      </c>
      <c r="O381" s="586"/>
      <c r="P381" s="630"/>
      <c r="Q381" s="564" t="str">
        <f>IF(O381&lt;&gt;0,VLOOKUP(O381,'Cây trong'!$A$2:$C$246,3,0)," ")</f>
        <v xml:space="preserve"> </v>
      </c>
      <c r="R381" s="564" t="str">
        <f t="shared" si="76"/>
        <v xml:space="preserve"> </v>
      </c>
      <c r="S381" s="586"/>
      <c r="T381" s="609"/>
      <c r="U381" s="591"/>
      <c r="V381" s="611"/>
      <c r="W381" s="564" t="str">
        <f>IF(S381&lt;&gt;0,VLOOKUP(S381,VKT!$A$2:$G$415,7,0),"")</f>
        <v/>
      </c>
      <c r="X381" s="564" t="str">
        <f t="shared" si="80"/>
        <v xml:space="preserve"> </v>
      </c>
      <c r="Y381" s="562"/>
      <c r="Z381" s="592"/>
      <c r="AA381" s="592"/>
      <c r="AB381" s="568"/>
      <c r="AC381" s="592"/>
      <c r="AD381" s="592"/>
      <c r="AE381" s="592"/>
      <c r="AF381" s="590"/>
      <c r="AG381" s="570" t="str">
        <f>IF(AE381&lt;&gt;0,VLOOKUP(AE381,ODDS!$A$2:$C$13,3,0),"")</f>
        <v/>
      </c>
      <c r="AH381" s="570" t="str">
        <f t="shared" si="77"/>
        <v xml:space="preserve"> </v>
      </c>
      <c r="AI381" s="571" t="str">
        <f t="shared" si="73"/>
        <v xml:space="preserve"> </v>
      </c>
      <c r="AJ381" s="558"/>
      <c r="AK381" s="558"/>
    </row>
    <row r="382" spans="1:37" s="376" customFormat="1" ht="20.25" outlineLevel="2" x14ac:dyDescent="0.3">
      <c r="A382" s="447">
        <f t="shared" si="79"/>
        <v>33</v>
      </c>
      <c r="B382" s="557"/>
      <c r="C382" s="572"/>
      <c r="D382" s="603"/>
      <c r="E382" s="587"/>
      <c r="F382" s="615"/>
      <c r="G382" s="558"/>
      <c r="H382" s="604"/>
      <c r="I382" s="546"/>
      <c r="J382" s="593"/>
      <c r="K382" s="563" t="str">
        <f>IF(G382&lt;&gt;0,VLOOKUP(G382,'gia dat'!$A$1:$F$144,5,0)," ")</f>
        <v xml:space="preserve"> </v>
      </c>
      <c r="L382" s="563" t="str">
        <f>IF(G382&lt;&gt;0,VLOOKUP(G382,'gia dat'!$A$1:$F$144,6,0)," ")</f>
        <v xml:space="preserve"> </v>
      </c>
      <c r="M382" s="564" t="str">
        <f t="shared" si="81"/>
        <v xml:space="preserve"> </v>
      </c>
      <c r="N382" s="564" t="str">
        <f t="shared" si="82"/>
        <v xml:space="preserve"> </v>
      </c>
      <c r="O382" s="593"/>
      <c r="P382" s="616"/>
      <c r="Q382" s="564" t="str">
        <f>IF(O382&lt;&gt;0,VLOOKUP(O382,'Cây trong'!$A$2:$C$246,3,0)," ")</f>
        <v xml:space="preserve"> </v>
      </c>
      <c r="R382" s="564" t="str">
        <f t="shared" si="76"/>
        <v xml:space="preserve"> </v>
      </c>
      <c r="S382" s="593"/>
      <c r="T382" s="593"/>
      <c r="U382" s="617"/>
      <c r="V382" s="589"/>
      <c r="W382" s="564" t="str">
        <f>IF(S382&lt;&gt;0,VLOOKUP(S382,VKT!$A$2:$G$415,7,0),"")</f>
        <v/>
      </c>
      <c r="X382" s="564" t="str">
        <f t="shared" si="80"/>
        <v xml:space="preserve"> </v>
      </c>
      <c r="Y382" s="589"/>
      <c r="Z382" s="589"/>
      <c r="AA382" s="589"/>
      <c r="AB382" s="562"/>
      <c r="AC382" s="589"/>
      <c r="AD382" s="589"/>
      <c r="AE382" s="589"/>
      <c r="AF382" s="629"/>
      <c r="AG382" s="570" t="str">
        <f>IF(AE382&lt;&gt;0,VLOOKUP(AE382,ODDS!$A$2:$C$13,3,0),"")</f>
        <v/>
      </c>
      <c r="AH382" s="570" t="str">
        <f t="shared" si="77"/>
        <v xml:space="preserve"> </v>
      </c>
      <c r="AI382" s="571" t="str">
        <f t="shared" si="73"/>
        <v xml:space="preserve"> </v>
      </c>
      <c r="AJ382" s="593"/>
      <c r="AK382" s="593"/>
    </row>
    <row r="383" spans="1:37" s="376" customFormat="1" ht="20.25" outlineLevel="2" x14ac:dyDescent="0.3">
      <c r="A383" s="447">
        <f t="shared" si="79"/>
        <v>33</v>
      </c>
      <c r="B383" s="557"/>
      <c r="C383" s="572"/>
      <c r="D383" s="603"/>
      <c r="E383" s="587"/>
      <c r="F383" s="615"/>
      <c r="G383" s="558"/>
      <c r="H383" s="604"/>
      <c r="I383" s="546"/>
      <c r="J383" s="593"/>
      <c r="K383" s="563" t="str">
        <f>IF(G383&lt;&gt;0,VLOOKUP(G383,'gia dat'!$A$1:$F$144,5,0)," ")</f>
        <v xml:space="preserve"> </v>
      </c>
      <c r="L383" s="563" t="str">
        <f>IF(G383&lt;&gt;0,VLOOKUP(G383,'gia dat'!$A$1:$F$144,6,0)," ")</f>
        <v xml:space="preserve"> </v>
      </c>
      <c r="M383" s="564" t="str">
        <f t="shared" si="81"/>
        <v xml:space="preserve"> </v>
      </c>
      <c r="N383" s="564" t="str">
        <f t="shared" si="82"/>
        <v xml:space="preserve"> </v>
      </c>
      <c r="O383" s="593"/>
      <c r="P383" s="616"/>
      <c r="Q383" s="564" t="str">
        <f>IF(O383&lt;&gt;0,VLOOKUP(O383,'Cây trong'!$A$2:$C$246,3,0)," ")</f>
        <v xml:space="preserve"> </v>
      </c>
      <c r="R383" s="564" t="str">
        <f t="shared" si="76"/>
        <v xml:space="preserve"> </v>
      </c>
      <c r="S383" s="593"/>
      <c r="T383" s="593"/>
      <c r="U383" s="617"/>
      <c r="V383" s="589"/>
      <c r="W383" s="564" t="str">
        <f>IF(S383&lt;&gt;0,VLOOKUP(S383,VKT!$A$2:$G$415,7,0),"")</f>
        <v/>
      </c>
      <c r="X383" s="564" t="str">
        <f t="shared" si="80"/>
        <v xml:space="preserve"> </v>
      </c>
      <c r="Y383" s="589"/>
      <c r="Z383" s="589"/>
      <c r="AA383" s="589"/>
      <c r="AB383" s="562"/>
      <c r="AC383" s="589"/>
      <c r="AD383" s="589"/>
      <c r="AE383" s="589"/>
      <c r="AF383" s="629"/>
      <c r="AG383" s="570" t="str">
        <f>IF(AE383&lt;&gt;0,VLOOKUP(AE383,ODDS!$A$2:$C$13,3,0),"")</f>
        <v/>
      </c>
      <c r="AH383" s="570" t="str">
        <f t="shared" si="77"/>
        <v xml:space="preserve"> </v>
      </c>
      <c r="AI383" s="571" t="str">
        <f t="shared" si="73"/>
        <v xml:space="preserve"> </v>
      </c>
      <c r="AJ383" s="593"/>
      <c r="AK383" s="593"/>
    </row>
    <row r="384" spans="1:37" s="376" customFormat="1" ht="20.25" outlineLevel="2" x14ac:dyDescent="0.3">
      <c r="A384" s="447">
        <f t="shared" si="79"/>
        <v>33</v>
      </c>
      <c r="B384" s="557"/>
      <c r="C384" s="574"/>
      <c r="D384" s="587"/>
      <c r="E384" s="612"/>
      <c r="F384" s="612"/>
      <c r="G384" s="586"/>
      <c r="H384" s="588"/>
      <c r="I384" s="546"/>
      <c r="J384" s="593"/>
      <c r="K384" s="563" t="str">
        <f>IF(G384&lt;&gt;0,VLOOKUP(G384,'gia dat'!$A$1:$F$144,5,0)," ")</f>
        <v xml:space="preserve"> </v>
      </c>
      <c r="L384" s="563" t="str">
        <f>IF(G384&lt;&gt;0,VLOOKUP(G384,'gia dat'!$A$1:$F$144,6,0)," ")</f>
        <v xml:space="preserve"> </v>
      </c>
      <c r="M384" s="564" t="str">
        <f t="shared" si="81"/>
        <v xml:space="preserve"> </v>
      </c>
      <c r="N384" s="564" t="str">
        <f t="shared" si="82"/>
        <v xml:space="preserve"> </v>
      </c>
      <c r="O384" s="586"/>
      <c r="P384" s="630"/>
      <c r="Q384" s="564" t="str">
        <f>IF(O384&lt;&gt;0,VLOOKUP(O384,'Cây trong'!$A$2:$C$246,3,0)," ")</f>
        <v xml:space="preserve"> </v>
      </c>
      <c r="R384" s="564" t="str">
        <f t="shared" si="76"/>
        <v xml:space="preserve"> </v>
      </c>
      <c r="S384" s="586"/>
      <c r="T384" s="609"/>
      <c r="U384" s="591"/>
      <c r="V384" s="611"/>
      <c r="W384" s="564" t="str">
        <f>IF(S384&lt;&gt;0,VLOOKUP(S384,VKT!$A$2:$G$415,7,0),"")</f>
        <v/>
      </c>
      <c r="X384" s="564" t="str">
        <f t="shared" si="80"/>
        <v xml:space="preserve"> </v>
      </c>
      <c r="Y384" s="589"/>
      <c r="Z384" s="592"/>
      <c r="AA384" s="592"/>
      <c r="AB384" s="568"/>
      <c r="AC384" s="592"/>
      <c r="AD384" s="592"/>
      <c r="AE384" s="592"/>
      <c r="AF384" s="590"/>
      <c r="AG384" s="570" t="str">
        <f>IF(AE384&lt;&gt;0,VLOOKUP(AE384,ODDS!$A$2:$C$13,3,0),"")</f>
        <v/>
      </c>
      <c r="AH384" s="570" t="str">
        <f t="shared" si="77"/>
        <v xml:space="preserve"> </v>
      </c>
      <c r="AI384" s="571" t="str">
        <f t="shared" si="73"/>
        <v xml:space="preserve"> </v>
      </c>
      <c r="AJ384" s="558"/>
      <c r="AK384" s="558"/>
    </row>
    <row r="385" spans="1:37" s="376" customFormat="1" ht="40.5" outlineLevel="1" x14ac:dyDescent="0.25">
      <c r="A385" s="467" t="s">
        <v>2676</v>
      </c>
      <c r="B385" s="576">
        <v>34</v>
      </c>
      <c r="C385" s="574" t="s">
        <v>34</v>
      </c>
      <c r="D385" s="595"/>
      <c r="E385" s="595"/>
      <c r="F385" s="577"/>
      <c r="G385" s="574"/>
      <c r="H385" s="618">
        <f>SUBTOTAL(9,H386:H410)</f>
        <v>323.79999999999995</v>
      </c>
      <c r="I385" s="579">
        <f>SUBTOTAL(9,I386:I391)</f>
        <v>123.60000000000001</v>
      </c>
      <c r="J385" s="597"/>
      <c r="K385" s="581"/>
      <c r="L385" s="581"/>
      <c r="M385" s="571">
        <f>SUBTOTAL(9,M386:M410)</f>
        <v>960714000</v>
      </c>
      <c r="N385" s="571">
        <f>SUBTOTAL(9,N386:N410)</f>
        <v>205571000</v>
      </c>
      <c r="O385" s="574"/>
      <c r="P385" s="599">
        <f>SUBTOTAL(9,P386:P410)</f>
        <v>17</v>
      </c>
      <c r="Q385" s="571"/>
      <c r="R385" s="571">
        <f>SUBTOTAL(9,R386:R410)</f>
        <v>3188000</v>
      </c>
      <c r="S385" s="582"/>
      <c r="T385" s="597"/>
      <c r="U385" s="600">
        <f>SUBTOTAL(9,U386:U410)</f>
        <v>436.88000000000005</v>
      </c>
      <c r="V385" s="597"/>
      <c r="W385" s="571"/>
      <c r="X385" s="571">
        <f>SUBTOTAL(9,X386:X410)</f>
        <v>794296000</v>
      </c>
      <c r="Y385" s="589"/>
      <c r="Z385" s="592"/>
      <c r="AA385" s="592"/>
      <c r="AB385" s="568"/>
      <c r="AC385" s="592"/>
      <c r="AD385" s="592"/>
      <c r="AE385" s="602"/>
      <c r="AF385" s="581">
        <f>SUBTOTAL(9,AF386:AF410)</f>
        <v>1</v>
      </c>
      <c r="AG385" s="585"/>
      <c r="AH385" s="585">
        <f>SUBTOTAL(9,AH386:AH410)</f>
        <v>17000000</v>
      </c>
      <c r="AI385" s="571">
        <f t="shared" si="73"/>
        <v>1980769000</v>
      </c>
      <c r="AJ385" s="574"/>
      <c r="AK385" s="578"/>
    </row>
    <row r="386" spans="1:37" s="376" customFormat="1" ht="121.5" outlineLevel="2" x14ac:dyDescent="0.3">
      <c r="A386" s="447">
        <f>IF(B385&lt;&gt;0,B385,A384)</f>
        <v>34</v>
      </c>
      <c r="B386" s="557"/>
      <c r="C386" s="558" t="s">
        <v>162</v>
      </c>
      <c r="D386" s="587">
        <v>3</v>
      </c>
      <c r="E386" s="587">
        <v>86</v>
      </c>
      <c r="F386" s="560">
        <v>263</v>
      </c>
      <c r="G386" s="558" t="s">
        <v>2037</v>
      </c>
      <c r="H386" s="588">
        <v>150</v>
      </c>
      <c r="I386" s="546" t="str">
        <f t="shared" ref="I386:I389" si="83">IF(N386&gt;0,H386,"")</f>
        <v/>
      </c>
      <c r="J386" s="589"/>
      <c r="K386" s="563">
        <f>IF(G386&lt;&gt;0,VLOOKUP(G386,'gia dat'!$A$1:$F$144,5,0)," ")</f>
        <v>5762400</v>
      </c>
      <c r="L386" s="563">
        <f>IF(G386&lt;&gt;0,VLOOKUP(G386,'gia dat'!$A$1:$F$144,6,0)," ")</f>
        <v>0</v>
      </c>
      <c r="M386" s="564">
        <f t="shared" si="81"/>
        <v>864360000</v>
      </c>
      <c r="N386" s="564">
        <f t="shared" si="82"/>
        <v>0</v>
      </c>
      <c r="O386" s="558" t="s">
        <v>175</v>
      </c>
      <c r="P386" s="590">
        <v>1</v>
      </c>
      <c r="Q386" s="564">
        <f>IF(O386&lt;&gt;0,VLOOKUP(O386,'Cây trong'!$A$2:$C$246,3,0)," ")</f>
        <v>979000</v>
      </c>
      <c r="R386" s="564">
        <f t="shared" si="76"/>
        <v>979000</v>
      </c>
      <c r="S386" s="566" t="s">
        <v>2297</v>
      </c>
      <c r="T386" s="589" t="s">
        <v>53</v>
      </c>
      <c r="U386" s="591">
        <v>8.5500000000000007</v>
      </c>
      <c r="V386" s="589"/>
      <c r="W386" s="564">
        <f>IF(S386&lt;&gt;0,VLOOKUP(S386,VKT!$A$2:$G$415,7,0),"")</f>
        <v>4116730</v>
      </c>
      <c r="X386" s="564">
        <f t="shared" si="80"/>
        <v>35198000</v>
      </c>
      <c r="Y386" s="589" t="s">
        <v>63</v>
      </c>
      <c r="Z386" s="592" t="s">
        <v>63</v>
      </c>
      <c r="AA386" s="592" t="s">
        <v>56</v>
      </c>
      <c r="AB386" s="568"/>
      <c r="AC386" s="592" t="s">
        <v>63</v>
      </c>
      <c r="AD386" s="592"/>
      <c r="AE386" s="569"/>
      <c r="AF386" s="563"/>
      <c r="AG386" s="570"/>
      <c r="AH386" s="570"/>
      <c r="AI386" s="571" t="str">
        <f t="shared" si="73"/>
        <v xml:space="preserve"> </v>
      </c>
      <c r="AJ386" s="558" t="s">
        <v>664</v>
      </c>
      <c r="AK386" s="586" t="s">
        <v>2771</v>
      </c>
    </row>
    <row r="387" spans="1:37" s="376" customFormat="1" ht="101.25" outlineLevel="2" x14ac:dyDescent="0.3">
      <c r="A387" s="447">
        <f t="shared" ref="A387:A410" si="84">IF(B386&lt;&gt;0,B386,A386)</f>
        <v>34</v>
      </c>
      <c r="B387" s="557"/>
      <c r="C387" s="648" t="s">
        <v>665</v>
      </c>
      <c r="D387" s="587"/>
      <c r="E387" s="587">
        <v>86</v>
      </c>
      <c r="F387" s="560">
        <v>263</v>
      </c>
      <c r="G387" s="558" t="s">
        <v>2469</v>
      </c>
      <c r="H387" s="588">
        <f>169.4-H389</f>
        <v>119.2</v>
      </c>
      <c r="I387" s="546">
        <f t="shared" si="83"/>
        <v>119.2</v>
      </c>
      <c r="J387" s="589"/>
      <c r="K387" s="563">
        <f>IF(G387&lt;&gt;0,VLOOKUP(G387,'gia dat'!$A$1:$F$144,5,0)," ")</f>
        <v>554400</v>
      </c>
      <c r="L387" s="563">
        <f>IF(G387&lt;&gt;0,VLOOKUP(G387,'gia dat'!$A$1:$F$144,6,0)," ")</f>
        <v>1663200</v>
      </c>
      <c r="M387" s="564">
        <f t="shared" si="81"/>
        <v>66084000</v>
      </c>
      <c r="N387" s="564">
        <f t="shared" si="82"/>
        <v>198253000</v>
      </c>
      <c r="O387" s="558" t="s">
        <v>742</v>
      </c>
      <c r="P387" s="590">
        <v>3</v>
      </c>
      <c r="Q387" s="564">
        <f>IF(O387&lt;&gt;0,VLOOKUP(O387,'Cây trong'!$A$2:$C$246,3,0)," ")</f>
        <v>72000</v>
      </c>
      <c r="R387" s="564">
        <f t="shared" si="76"/>
        <v>216000</v>
      </c>
      <c r="S387" s="566" t="s">
        <v>1752</v>
      </c>
      <c r="T387" s="589" t="s">
        <v>53</v>
      </c>
      <c r="U387" s="591">
        <v>87.9</v>
      </c>
      <c r="V387" s="589"/>
      <c r="W387" s="564">
        <f>IF(S387&lt;&gt;0,VLOOKUP(S387,VKT!$A$2:$G$415,7,0),"")</f>
        <v>4861390</v>
      </c>
      <c r="X387" s="564">
        <f t="shared" si="80"/>
        <v>427316000</v>
      </c>
      <c r="Y387" s="589" t="s">
        <v>63</v>
      </c>
      <c r="Z387" s="592" t="s">
        <v>55</v>
      </c>
      <c r="AA387" s="592" t="s">
        <v>56</v>
      </c>
      <c r="AB387" s="568" t="s">
        <v>57</v>
      </c>
      <c r="AC387" s="592" t="s">
        <v>63</v>
      </c>
      <c r="AD387" s="568" t="s">
        <v>430</v>
      </c>
      <c r="AE387" s="569" t="s">
        <v>2791</v>
      </c>
      <c r="AF387" s="590">
        <v>1</v>
      </c>
      <c r="AG387" s="570">
        <f>IF(AE387&lt;&gt;0,VLOOKUP(AE387,ODDS!$A$2:$C$13,3,0),"")</f>
        <v>17000000</v>
      </c>
      <c r="AH387" s="570">
        <f t="shared" si="77"/>
        <v>17000000</v>
      </c>
      <c r="AI387" s="571" t="str">
        <f t="shared" si="73"/>
        <v xml:space="preserve"> </v>
      </c>
      <c r="AJ387" s="558" t="s">
        <v>496</v>
      </c>
      <c r="AK387" s="558" t="s">
        <v>2448</v>
      </c>
    </row>
    <row r="388" spans="1:37" s="376" customFormat="1" ht="121.5" outlineLevel="2" x14ac:dyDescent="0.3">
      <c r="A388" s="447">
        <f t="shared" si="84"/>
        <v>34</v>
      </c>
      <c r="B388" s="557"/>
      <c r="C388" s="648" t="s">
        <v>305</v>
      </c>
      <c r="D388" s="587"/>
      <c r="E388" s="587"/>
      <c r="F388" s="560"/>
      <c r="G388" s="558" t="s">
        <v>2470</v>
      </c>
      <c r="H388" s="588">
        <v>4.4000000000000004</v>
      </c>
      <c r="I388" s="546">
        <f t="shared" si="83"/>
        <v>4.4000000000000004</v>
      </c>
      <c r="J388" s="589"/>
      <c r="K388" s="563">
        <f>IF(G388&lt;&gt;0,VLOOKUP(G388,'gia dat'!$A$1:$F$144,5,0)," ")</f>
        <v>554400</v>
      </c>
      <c r="L388" s="563">
        <f>IF(G388&lt;&gt;0,VLOOKUP(G388,'gia dat'!$A$1:$F$144,6,0)," ")</f>
        <v>1663200</v>
      </c>
      <c r="M388" s="564">
        <f t="shared" si="81"/>
        <v>2439000</v>
      </c>
      <c r="N388" s="564">
        <f t="shared" si="82"/>
        <v>7318000</v>
      </c>
      <c r="O388" s="586" t="s">
        <v>741</v>
      </c>
      <c r="P388" s="630">
        <v>3</v>
      </c>
      <c r="Q388" s="564">
        <f>IF(O388&lt;&gt;0,VLOOKUP(O388,'Cây trong'!$A$2:$C$246,3,0)," ")</f>
        <v>150000</v>
      </c>
      <c r="R388" s="564">
        <f t="shared" si="76"/>
        <v>450000</v>
      </c>
      <c r="S388" s="646" t="s">
        <v>2289</v>
      </c>
      <c r="T388" s="649" t="s">
        <v>53</v>
      </c>
      <c r="U388" s="591">
        <v>22</v>
      </c>
      <c r="V388" s="589"/>
      <c r="W388" s="564">
        <f>IF(S388&lt;&gt;0,VLOOKUP(S388,VKT!$A$2:$G$415,7,0),"")</f>
        <v>684506</v>
      </c>
      <c r="X388" s="564">
        <f t="shared" si="80"/>
        <v>15059000</v>
      </c>
      <c r="Y388" s="589"/>
      <c r="Z388" s="592" t="s">
        <v>55</v>
      </c>
      <c r="AA388" s="592" t="s">
        <v>141</v>
      </c>
      <c r="AB388" s="568"/>
      <c r="AC388" s="592" t="s">
        <v>66</v>
      </c>
      <c r="AD388" s="568"/>
      <c r="AE388" s="606"/>
      <c r="AF388" s="590"/>
      <c r="AG388" s="570" t="str">
        <f>IF(AE388&lt;&gt;0,VLOOKUP(AE388,ODDS!$A$2:$C$13,3,0),"")</f>
        <v/>
      </c>
      <c r="AH388" s="570" t="str">
        <f t="shared" si="77"/>
        <v xml:space="preserve"> </v>
      </c>
      <c r="AI388" s="571" t="str">
        <f t="shared" si="73"/>
        <v xml:space="preserve"> </v>
      </c>
      <c r="AJ388" s="593" t="s">
        <v>169</v>
      </c>
      <c r="AK388" s="558" t="s">
        <v>2450</v>
      </c>
    </row>
    <row r="389" spans="1:37" s="376" customFormat="1" ht="101.25" outlineLevel="2" x14ac:dyDescent="0.3">
      <c r="A389" s="447">
        <f t="shared" si="84"/>
        <v>34</v>
      </c>
      <c r="B389" s="557"/>
      <c r="C389" s="572"/>
      <c r="D389" s="603"/>
      <c r="E389" s="587">
        <v>86</v>
      </c>
      <c r="F389" s="560">
        <v>263</v>
      </c>
      <c r="G389" s="558" t="s">
        <v>2471</v>
      </c>
      <c r="H389" s="588">
        <v>50.2</v>
      </c>
      <c r="I389" s="546" t="str">
        <f t="shared" si="83"/>
        <v/>
      </c>
      <c r="J389" s="593"/>
      <c r="K389" s="563">
        <f>IF(G389&lt;&gt;0,VLOOKUP(G389,'gia dat'!$A$1:$F$144,5,0)," ")</f>
        <v>554400</v>
      </c>
      <c r="L389" s="563">
        <f>IF(G389&lt;&gt;0,VLOOKUP(G389,'gia dat'!$A$1:$F$144,6,0)," ")</f>
        <v>0</v>
      </c>
      <c r="M389" s="564">
        <f t="shared" si="81"/>
        <v>27831000</v>
      </c>
      <c r="N389" s="564">
        <f t="shared" si="82"/>
        <v>0</v>
      </c>
      <c r="O389" s="586" t="s">
        <v>743</v>
      </c>
      <c r="P389" s="630">
        <v>5</v>
      </c>
      <c r="Q389" s="564">
        <f>IF(O389&lt;&gt;0,VLOOKUP(O389,'Cây trong'!$A$2:$C$246,3,0)," ")</f>
        <v>72000</v>
      </c>
      <c r="R389" s="564">
        <f t="shared" si="76"/>
        <v>360000</v>
      </c>
      <c r="S389" s="586" t="s">
        <v>2289</v>
      </c>
      <c r="T389" s="609" t="s">
        <v>53</v>
      </c>
      <c r="U389" s="591">
        <v>17.7</v>
      </c>
      <c r="V389" s="589"/>
      <c r="W389" s="564">
        <f>IF(S389&lt;&gt;0,VLOOKUP(S389,VKT!$A$2:$G$415,7,0),"")</f>
        <v>684506</v>
      </c>
      <c r="X389" s="564">
        <f t="shared" si="80"/>
        <v>12116000</v>
      </c>
      <c r="Y389" s="562"/>
      <c r="Z389" s="592" t="s">
        <v>55</v>
      </c>
      <c r="AA389" s="592" t="s">
        <v>56</v>
      </c>
      <c r="AB389" s="568"/>
      <c r="AC389" s="592" t="s">
        <v>66</v>
      </c>
      <c r="AD389" s="568"/>
      <c r="AE389" s="568"/>
      <c r="AF389" s="563"/>
      <c r="AG389" s="570" t="str">
        <f>IF(AE389&lt;&gt;0,VLOOKUP(AE389,ODDS!$A$2:$C$13,3,0),"")</f>
        <v/>
      </c>
      <c r="AH389" s="570" t="str">
        <f t="shared" si="77"/>
        <v xml:space="preserve"> </v>
      </c>
      <c r="AI389" s="571" t="str">
        <f t="shared" si="73"/>
        <v xml:space="preserve"> </v>
      </c>
      <c r="AJ389" s="558" t="s">
        <v>2197</v>
      </c>
      <c r="AK389" s="558" t="s">
        <v>2449</v>
      </c>
    </row>
    <row r="390" spans="1:37" s="376" customFormat="1" ht="81" outlineLevel="2" x14ac:dyDescent="0.3">
      <c r="A390" s="447">
        <f t="shared" si="84"/>
        <v>34</v>
      </c>
      <c r="B390" s="557"/>
      <c r="C390" s="572"/>
      <c r="D390" s="587"/>
      <c r="E390" s="612"/>
      <c r="F390" s="612"/>
      <c r="G390" s="586"/>
      <c r="H390" s="588"/>
      <c r="I390" s="546"/>
      <c r="J390" s="593"/>
      <c r="K390" s="563" t="str">
        <f>IF(G390&lt;&gt;0,VLOOKUP(G390,'gia dat'!$A$1:$F$144,5,0)," ")</f>
        <v xml:space="preserve"> </v>
      </c>
      <c r="L390" s="563" t="str">
        <f>IF(G390&lt;&gt;0,VLOOKUP(G390,'gia dat'!$A$1:$F$144,6,0)," ")</f>
        <v xml:space="preserve"> </v>
      </c>
      <c r="M390" s="564" t="str">
        <f t="shared" si="81"/>
        <v xml:space="preserve"> </v>
      </c>
      <c r="N390" s="564" t="str">
        <f t="shared" si="82"/>
        <v xml:space="preserve"> </v>
      </c>
      <c r="O390" s="586" t="s">
        <v>149</v>
      </c>
      <c r="P390" s="630">
        <v>1</v>
      </c>
      <c r="Q390" s="564">
        <f>IF(O390&lt;&gt;0,VLOOKUP(O390,'Cây trong'!$A$2:$C$246,3,0)," ")</f>
        <v>146000</v>
      </c>
      <c r="R390" s="564">
        <f t="shared" si="76"/>
        <v>146000</v>
      </c>
      <c r="S390" s="586" t="s">
        <v>2298</v>
      </c>
      <c r="T390" s="609" t="s">
        <v>53</v>
      </c>
      <c r="U390" s="591">
        <v>3.92</v>
      </c>
      <c r="V390" s="589"/>
      <c r="W390" s="564">
        <f>IF(S390&lt;&gt;0,VLOOKUP(S390,VKT!$A$2:$G$415,7,0),"")</f>
        <v>1479010</v>
      </c>
      <c r="X390" s="564">
        <f t="shared" si="80"/>
        <v>5798000</v>
      </c>
      <c r="Y390" s="589"/>
      <c r="Z390" s="592" t="s">
        <v>55</v>
      </c>
      <c r="AA390" s="592" t="s">
        <v>140</v>
      </c>
      <c r="AB390" s="568" t="s">
        <v>170</v>
      </c>
      <c r="AC390" s="592" t="s">
        <v>66</v>
      </c>
      <c r="AD390" s="568"/>
      <c r="AE390" s="568"/>
      <c r="AF390" s="563"/>
      <c r="AG390" s="570" t="str">
        <f>IF(AE390&lt;&gt;0,VLOOKUP(AE390,ODDS!$A$2:$C$13,3,0),"")</f>
        <v/>
      </c>
      <c r="AH390" s="570" t="str">
        <f t="shared" si="77"/>
        <v xml:space="preserve"> </v>
      </c>
      <c r="AI390" s="571" t="str">
        <f t="shared" si="73"/>
        <v xml:space="preserve"> </v>
      </c>
      <c r="AJ390" s="558" t="s">
        <v>2074</v>
      </c>
      <c r="AK390" s="558" t="s">
        <v>2451</v>
      </c>
    </row>
    <row r="391" spans="1:37" s="376" customFormat="1" ht="101.25" outlineLevel="2" x14ac:dyDescent="0.3">
      <c r="A391" s="447">
        <f t="shared" si="84"/>
        <v>34</v>
      </c>
      <c r="B391" s="557"/>
      <c r="C391" s="574"/>
      <c r="D391" s="587"/>
      <c r="E391" s="587"/>
      <c r="F391" s="560"/>
      <c r="G391" s="558"/>
      <c r="H391" s="588"/>
      <c r="I391" s="546"/>
      <c r="J391" s="593"/>
      <c r="K391" s="563" t="str">
        <f>IF(G391&lt;&gt;0,VLOOKUP(G391,'gia dat'!$A$1:$F$144,5,0)," ")</f>
        <v xml:space="preserve"> </v>
      </c>
      <c r="L391" s="563" t="str">
        <f>IF(G391&lt;&gt;0,VLOOKUP(G391,'gia dat'!$A$1:$F$144,6,0)," ")</f>
        <v xml:space="preserve"> </v>
      </c>
      <c r="M391" s="564" t="str">
        <f t="shared" si="81"/>
        <v xml:space="preserve"> </v>
      </c>
      <c r="N391" s="564" t="str">
        <f t="shared" si="82"/>
        <v xml:space="preserve"> </v>
      </c>
      <c r="O391" s="586" t="s">
        <v>177</v>
      </c>
      <c r="P391" s="630">
        <v>1</v>
      </c>
      <c r="Q391" s="564">
        <f>IF(O391&lt;&gt;0,VLOOKUP(O391,'Cây trong'!$A$2:$C$246,3,0)," ")</f>
        <v>473000</v>
      </c>
      <c r="R391" s="564">
        <f t="shared" si="76"/>
        <v>473000</v>
      </c>
      <c r="S391" s="586" t="s">
        <v>2299</v>
      </c>
      <c r="T391" s="609" t="s">
        <v>53</v>
      </c>
      <c r="U391" s="591">
        <v>3.08</v>
      </c>
      <c r="V391" s="589"/>
      <c r="W391" s="564">
        <f>IF(S391&lt;&gt;0,VLOOKUP(S391,VKT!$A$2:$G$415,7,0),"")</f>
        <v>8308812</v>
      </c>
      <c r="X391" s="564">
        <f t="shared" si="80"/>
        <v>25591000</v>
      </c>
      <c r="Y391" s="589"/>
      <c r="Z391" s="592" t="s">
        <v>55</v>
      </c>
      <c r="AA391" s="592" t="s">
        <v>56</v>
      </c>
      <c r="AB391" s="568" t="s">
        <v>57</v>
      </c>
      <c r="AC391" s="592" t="s">
        <v>54</v>
      </c>
      <c r="AD391" s="568" t="s">
        <v>430</v>
      </c>
      <c r="AE391" s="568"/>
      <c r="AF391" s="563"/>
      <c r="AG391" s="570" t="str">
        <f>IF(AE391&lt;&gt;0,VLOOKUP(AE391,ODDS!$A$2:$C$13,3,0),"")</f>
        <v/>
      </c>
      <c r="AH391" s="570" t="str">
        <f t="shared" si="77"/>
        <v xml:space="preserve"> </v>
      </c>
      <c r="AI391" s="571" t="str">
        <f t="shared" si="73"/>
        <v xml:space="preserve"> </v>
      </c>
      <c r="AJ391" s="575"/>
      <c r="AK391" s="558" t="s">
        <v>2800</v>
      </c>
    </row>
    <row r="392" spans="1:37" s="376" customFormat="1" ht="81" outlineLevel="2" x14ac:dyDescent="0.3">
      <c r="A392" s="447">
        <f t="shared" si="84"/>
        <v>34</v>
      </c>
      <c r="B392" s="557"/>
      <c r="C392" s="558"/>
      <c r="D392" s="587"/>
      <c r="E392" s="587"/>
      <c r="F392" s="560"/>
      <c r="G392" s="558"/>
      <c r="H392" s="588"/>
      <c r="I392" s="546"/>
      <c r="J392" s="593"/>
      <c r="K392" s="563" t="str">
        <f>IF(G392&lt;&gt;0,VLOOKUP(G392,'gia dat'!$A$1:$F$144,5,0)," ")</f>
        <v xml:space="preserve"> </v>
      </c>
      <c r="L392" s="563" t="str">
        <f>IF(G392&lt;&gt;0,VLOOKUP(G392,'gia dat'!$A$1:$F$144,6,0)," ")</f>
        <v xml:space="preserve"> </v>
      </c>
      <c r="M392" s="564" t="str">
        <f t="shared" si="81"/>
        <v xml:space="preserve"> </v>
      </c>
      <c r="N392" s="564" t="str">
        <f t="shared" si="82"/>
        <v xml:space="preserve"> </v>
      </c>
      <c r="O392" s="586" t="s">
        <v>744</v>
      </c>
      <c r="P392" s="630">
        <v>1</v>
      </c>
      <c r="Q392" s="564">
        <f>IF(O392&lt;&gt;0,VLOOKUP(O392,'Cây trong'!$A$2:$C$246,3,0)," ")</f>
        <v>0</v>
      </c>
      <c r="R392" s="564">
        <f t="shared" si="76"/>
        <v>0</v>
      </c>
      <c r="S392" s="586" t="s">
        <v>2300</v>
      </c>
      <c r="T392" s="609" t="s">
        <v>53</v>
      </c>
      <c r="U392" s="591">
        <v>6.3</v>
      </c>
      <c r="V392" s="589"/>
      <c r="W392" s="564">
        <f>IF(S392&lt;&gt;0,VLOOKUP(S392,VKT!$A$2:$G$415,7,0),"")</f>
        <v>8308812</v>
      </c>
      <c r="X392" s="564">
        <f t="shared" si="80"/>
        <v>52346000</v>
      </c>
      <c r="Y392" s="589"/>
      <c r="Z392" s="592" t="s">
        <v>63</v>
      </c>
      <c r="AA392" s="592" t="s">
        <v>56</v>
      </c>
      <c r="AB392" s="568" t="s">
        <v>57</v>
      </c>
      <c r="AC392" s="592" t="s">
        <v>63</v>
      </c>
      <c r="AD392" s="592"/>
      <c r="AE392" s="592"/>
      <c r="AF392" s="590"/>
      <c r="AG392" s="570" t="str">
        <f>IF(AE392&lt;&gt;0,VLOOKUP(AE392,ODDS!$A$2:$C$13,3,0),"")</f>
        <v/>
      </c>
      <c r="AH392" s="570" t="str">
        <f t="shared" si="77"/>
        <v xml:space="preserve"> </v>
      </c>
      <c r="AI392" s="571" t="str">
        <f t="shared" si="73"/>
        <v xml:space="preserve"> </v>
      </c>
      <c r="AJ392" s="593"/>
      <c r="AK392" s="558"/>
    </row>
    <row r="393" spans="1:37" s="376" customFormat="1" ht="40.5" outlineLevel="2" x14ac:dyDescent="0.3">
      <c r="A393" s="447">
        <f t="shared" si="84"/>
        <v>34</v>
      </c>
      <c r="B393" s="557"/>
      <c r="C393" s="635"/>
      <c r="D393" s="587"/>
      <c r="E393" s="587"/>
      <c r="F393" s="560"/>
      <c r="G393" s="558"/>
      <c r="H393" s="588"/>
      <c r="I393" s="546"/>
      <c r="J393" s="593"/>
      <c r="K393" s="563" t="str">
        <f>IF(G393&lt;&gt;0,VLOOKUP(G393,'gia dat'!$A$1:$F$144,5,0)," ")</f>
        <v xml:space="preserve"> </v>
      </c>
      <c r="L393" s="563" t="str">
        <f>IF(G393&lt;&gt;0,VLOOKUP(G393,'gia dat'!$A$1:$F$144,6,0)," ")</f>
        <v xml:space="preserve"> </v>
      </c>
      <c r="M393" s="564" t="str">
        <f t="shared" si="81"/>
        <v xml:space="preserve"> </v>
      </c>
      <c r="N393" s="564" t="str">
        <f t="shared" si="82"/>
        <v xml:space="preserve"> </v>
      </c>
      <c r="O393" s="586" t="s">
        <v>178</v>
      </c>
      <c r="P393" s="630">
        <v>1</v>
      </c>
      <c r="Q393" s="564">
        <f>IF(O393&lt;&gt;0,VLOOKUP(O393,'Cây trong'!$A$2:$C$246,3,0)," ")</f>
        <v>554000</v>
      </c>
      <c r="R393" s="564">
        <f t="shared" si="76"/>
        <v>554000</v>
      </c>
      <c r="S393" s="586" t="s">
        <v>2301</v>
      </c>
      <c r="T393" s="609" t="s">
        <v>53</v>
      </c>
      <c r="U393" s="591">
        <v>43.2</v>
      </c>
      <c r="V393" s="589"/>
      <c r="W393" s="564">
        <f>IF(S393&lt;&gt;0,VLOOKUP(S393,VKT!$A$2:$G$415,7,0),"")</f>
        <v>1226656</v>
      </c>
      <c r="X393" s="564">
        <f t="shared" si="80"/>
        <v>52992000</v>
      </c>
      <c r="Y393" s="589"/>
      <c r="Z393" s="592" t="s">
        <v>55</v>
      </c>
      <c r="AA393" s="592" t="s">
        <v>141</v>
      </c>
      <c r="AB393" s="568" t="s">
        <v>171</v>
      </c>
      <c r="AC393" s="592" t="s">
        <v>88</v>
      </c>
      <c r="AD393" s="592"/>
      <c r="AE393" s="592"/>
      <c r="AF393" s="590"/>
      <c r="AG393" s="570" t="str">
        <f>IF(AE393&lt;&gt;0,VLOOKUP(AE393,ODDS!$A$2:$C$13,3,0),"")</f>
        <v/>
      </c>
      <c r="AH393" s="570" t="str">
        <f t="shared" si="77"/>
        <v xml:space="preserve"> </v>
      </c>
      <c r="AI393" s="571" t="str">
        <f t="shared" ref="AI393:AI456" si="85">IF(B393&lt;&gt;0,M393+N393+R393+X393+AH393," ")</f>
        <v xml:space="preserve"> </v>
      </c>
      <c r="AJ393" s="593"/>
      <c r="AK393" s="593"/>
    </row>
    <row r="394" spans="1:37" s="376" customFormat="1" ht="40.5" outlineLevel="2" x14ac:dyDescent="0.3">
      <c r="A394" s="447">
        <f t="shared" si="84"/>
        <v>34</v>
      </c>
      <c r="B394" s="557"/>
      <c r="C394" s="558"/>
      <c r="D394" s="587"/>
      <c r="E394" s="587"/>
      <c r="F394" s="560"/>
      <c r="G394" s="558"/>
      <c r="H394" s="588"/>
      <c r="I394" s="546"/>
      <c r="J394" s="593"/>
      <c r="K394" s="563" t="str">
        <f>IF(G394&lt;&gt;0,VLOOKUP(G394,'gia dat'!$A$1:$F$144,5,0)," ")</f>
        <v xml:space="preserve"> </v>
      </c>
      <c r="L394" s="563" t="str">
        <f>IF(G394&lt;&gt;0,VLOOKUP(G394,'gia dat'!$A$1:$F$144,6,0)," ")</f>
        <v xml:space="preserve"> </v>
      </c>
      <c r="M394" s="564" t="str">
        <f t="shared" si="81"/>
        <v xml:space="preserve"> </v>
      </c>
      <c r="N394" s="564" t="str">
        <f t="shared" si="82"/>
        <v xml:space="preserve"> </v>
      </c>
      <c r="O394" s="586" t="s">
        <v>179</v>
      </c>
      <c r="P394" s="630">
        <v>1</v>
      </c>
      <c r="Q394" s="564">
        <f>IF(O394&lt;&gt;0,VLOOKUP(O394,'Cây trong'!$A$2:$C$246,3,0)," ")</f>
        <v>10000</v>
      </c>
      <c r="R394" s="564">
        <f t="shared" si="76"/>
        <v>10000</v>
      </c>
      <c r="S394" s="586" t="s">
        <v>2301</v>
      </c>
      <c r="T394" s="609" t="s">
        <v>53</v>
      </c>
      <c r="U394" s="591">
        <v>20.8</v>
      </c>
      <c r="V394" s="589"/>
      <c r="W394" s="564">
        <f>IF(S394&lt;&gt;0,VLOOKUP(S394,VKT!$A$2:$G$415,7,0),"")</f>
        <v>1226656</v>
      </c>
      <c r="X394" s="564">
        <f t="shared" si="80"/>
        <v>25514000</v>
      </c>
      <c r="Y394" s="589"/>
      <c r="Z394" s="592" t="s">
        <v>55</v>
      </c>
      <c r="AA394" s="592" t="s">
        <v>140</v>
      </c>
      <c r="AB394" s="568" t="s">
        <v>172</v>
      </c>
      <c r="AC394" s="592" t="s">
        <v>143</v>
      </c>
      <c r="AD394" s="592"/>
      <c r="AE394" s="592"/>
      <c r="AF394" s="590"/>
      <c r="AG394" s="570" t="str">
        <f>IF(AE394&lt;&gt;0,VLOOKUP(AE394,ODDS!$A$2:$C$13,3,0),"")</f>
        <v/>
      </c>
      <c r="AH394" s="570" t="str">
        <f t="shared" si="77"/>
        <v xml:space="preserve"> </v>
      </c>
      <c r="AI394" s="571" t="str">
        <f t="shared" si="85"/>
        <v xml:space="preserve"> </v>
      </c>
      <c r="AJ394" s="593"/>
      <c r="AK394" s="593"/>
    </row>
    <row r="395" spans="1:37" s="376" customFormat="1" ht="60.75" outlineLevel="2" x14ac:dyDescent="0.3">
      <c r="A395" s="447">
        <f t="shared" si="84"/>
        <v>34</v>
      </c>
      <c r="B395" s="557"/>
      <c r="C395" s="558"/>
      <c r="D395" s="587"/>
      <c r="E395" s="587"/>
      <c r="F395" s="560"/>
      <c r="G395" s="558"/>
      <c r="H395" s="588"/>
      <c r="I395" s="546"/>
      <c r="J395" s="593"/>
      <c r="K395" s="563" t="str">
        <f>IF(G395&lt;&gt;0,VLOOKUP(G395,'gia dat'!$A$1:$F$144,5,0)," ")</f>
        <v xml:space="preserve"> </v>
      </c>
      <c r="L395" s="563" t="str">
        <f>IF(G395&lt;&gt;0,VLOOKUP(G395,'gia dat'!$A$1:$F$144,6,0)," ")</f>
        <v xml:space="preserve"> </v>
      </c>
      <c r="M395" s="564" t="str">
        <f t="shared" si="81"/>
        <v xml:space="preserve"> </v>
      </c>
      <c r="N395" s="564" t="str">
        <f t="shared" si="82"/>
        <v xml:space="preserve"> </v>
      </c>
      <c r="O395" s="593"/>
      <c r="P395" s="616"/>
      <c r="Q395" s="564" t="str">
        <f>IF(O395&lt;&gt;0,VLOOKUP(O395,'Cây trong'!$A$2:$C$246,3,0)," ")</f>
        <v xml:space="preserve"> </v>
      </c>
      <c r="R395" s="564" t="str">
        <f t="shared" si="76"/>
        <v xml:space="preserve"> </v>
      </c>
      <c r="S395" s="586" t="s">
        <v>1860</v>
      </c>
      <c r="T395" s="609" t="s">
        <v>53</v>
      </c>
      <c r="U395" s="591">
        <v>44.9</v>
      </c>
      <c r="V395" s="589"/>
      <c r="W395" s="564">
        <f>IF(S395&lt;&gt;0,VLOOKUP(S395,VKT!$A$2:$G$415,7,0),"")</f>
        <v>236298</v>
      </c>
      <c r="X395" s="564">
        <f t="shared" si="80"/>
        <v>10610000</v>
      </c>
      <c r="Y395" s="589"/>
      <c r="Z395" s="592"/>
      <c r="AA395" s="592"/>
      <c r="AB395" s="568"/>
      <c r="AC395" s="592"/>
      <c r="AD395" s="592"/>
      <c r="AE395" s="592"/>
      <c r="AF395" s="590"/>
      <c r="AG395" s="570" t="str">
        <f>IF(AE395&lt;&gt;0,VLOOKUP(AE395,ODDS!$A$2:$C$13,3,0),"")</f>
        <v/>
      </c>
      <c r="AH395" s="570" t="str">
        <f t="shared" si="77"/>
        <v xml:space="preserve"> </v>
      </c>
      <c r="AI395" s="571" t="str">
        <f t="shared" si="85"/>
        <v xml:space="preserve"> </v>
      </c>
      <c r="AJ395" s="593"/>
      <c r="AK395" s="593"/>
    </row>
    <row r="396" spans="1:37" s="376" customFormat="1" ht="101.25" outlineLevel="2" x14ac:dyDescent="0.3">
      <c r="A396" s="447">
        <f t="shared" si="84"/>
        <v>34</v>
      </c>
      <c r="B396" s="557"/>
      <c r="C396" s="558"/>
      <c r="D396" s="587"/>
      <c r="E396" s="587"/>
      <c r="F396" s="560"/>
      <c r="G396" s="558"/>
      <c r="H396" s="588"/>
      <c r="I396" s="546"/>
      <c r="J396" s="593"/>
      <c r="K396" s="563" t="str">
        <f>IF(G396&lt;&gt;0,VLOOKUP(G396,'gia dat'!$A$1:$F$144,5,0)," ")</f>
        <v xml:space="preserve"> </v>
      </c>
      <c r="L396" s="563" t="str">
        <f>IF(G396&lt;&gt;0,VLOOKUP(G396,'gia dat'!$A$1:$F$144,6,0)," ")</f>
        <v xml:space="preserve"> </v>
      </c>
      <c r="M396" s="564" t="str">
        <f t="shared" si="81"/>
        <v xml:space="preserve"> </v>
      </c>
      <c r="N396" s="564" t="str">
        <f t="shared" si="82"/>
        <v xml:space="preserve"> </v>
      </c>
      <c r="O396" s="586"/>
      <c r="P396" s="630"/>
      <c r="Q396" s="564" t="str">
        <f>IF(O396&lt;&gt;0,VLOOKUP(O396,'Cây trong'!$A$2:$C$246,3,0)," ")</f>
        <v xml:space="preserve"> </v>
      </c>
      <c r="R396" s="564" t="str">
        <f t="shared" si="76"/>
        <v xml:space="preserve"> </v>
      </c>
      <c r="S396" s="566" t="s">
        <v>2302</v>
      </c>
      <c r="T396" s="589" t="s">
        <v>53</v>
      </c>
      <c r="U396" s="591">
        <v>16.8</v>
      </c>
      <c r="V396" s="589"/>
      <c r="W396" s="564">
        <f>IF(S396&lt;&gt;0,VLOOKUP(S396,VKT!$A$2:$G$415,7,0),"")</f>
        <v>992025</v>
      </c>
      <c r="X396" s="564">
        <f t="shared" si="80"/>
        <v>16666000</v>
      </c>
      <c r="Y396" s="589"/>
      <c r="Z396" s="592"/>
      <c r="AA396" s="592"/>
      <c r="AB396" s="568"/>
      <c r="AC396" s="592"/>
      <c r="AD396" s="592"/>
      <c r="AE396" s="592"/>
      <c r="AF396" s="590"/>
      <c r="AG396" s="570" t="str">
        <f>IF(AE396&lt;&gt;0,VLOOKUP(AE396,ODDS!$A$2:$C$13,3,0),"")</f>
        <v/>
      </c>
      <c r="AH396" s="570" t="str">
        <f t="shared" si="77"/>
        <v xml:space="preserve"> </v>
      </c>
      <c r="AI396" s="571" t="str">
        <f t="shared" si="85"/>
        <v xml:space="preserve"> </v>
      </c>
      <c r="AJ396" s="593"/>
      <c r="AK396" s="593"/>
    </row>
    <row r="397" spans="1:37" s="376" customFormat="1" ht="101.25" outlineLevel="2" x14ac:dyDescent="0.3">
      <c r="A397" s="447">
        <f t="shared" si="84"/>
        <v>34</v>
      </c>
      <c r="B397" s="557"/>
      <c r="C397" s="558"/>
      <c r="D397" s="587"/>
      <c r="E397" s="587"/>
      <c r="F397" s="560"/>
      <c r="G397" s="558"/>
      <c r="H397" s="588"/>
      <c r="I397" s="546"/>
      <c r="J397" s="589"/>
      <c r="K397" s="563" t="str">
        <f>IF(G397&lt;&gt;0,VLOOKUP(G397,'gia dat'!$A$1:$F$144,5,0)," ")</f>
        <v xml:space="preserve"> </v>
      </c>
      <c r="L397" s="563" t="str">
        <f>IF(G397&lt;&gt;0,VLOOKUP(G397,'gia dat'!$A$1:$F$144,6,0)," ")</f>
        <v xml:space="preserve"> </v>
      </c>
      <c r="M397" s="564" t="str">
        <f t="shared" si="81"/>
        <v xml:space="preserve"> </v>
      </c>
      <c r="N397" s="564" t="str">
        <f t="shared" si="82"/>
        <v xml:space="preserve"> </v>
      </c>
      <c r="O397" s="558"/>
      <c r="P397" s="590"/>
      <c r="Q397" s="564" t="str">
        <f>IF(O397&lt;&gt;0,VLOOKUP(O397,'Cây trong'!$A$2:$C$246,3,0)," ")</f>
        <v xml:space="preserve"> </v>
      </c>
      <c r="R397" s="564" t="str">
        <f t="shared" si="76"/>
        <v xml:space="preserve"> </v>
      </c>
      <c r="S397" s="566" t="s">
        <v>2303</v>
      </c>
      <c r="T397" s="589" t="s">
        <v>53</v>
      </c>
      <c r="U397" s="591">
        <v>43.68</v>
      </c>
      <c r="V397" s="589"/>
      <c r="W397" s="564">
        <f>IF(S397&lt;&gt;0,VLOOKUP(S397,VKT!$A$2:$G$415,7,0),"")</f>
        <v>840258</v>
      </c>
      <c r="X397" s="564">
        <f t="shared" si="80"/>
        <v>36702000</v>
      </c>
      <c r="Y397" s="589"/>
      <c r="Z397" s="592"/>
      <c r="AA397" s="592"/>
      <c r="AB397" s="568"/>
      <c r="AC397" s="592"/>
      <c r="AD397" s="592"/>
      <c r="AE397" s="592"/>
      <c r="AF397" s="590"/>
      <c r="AG397" s="570" t="str">
        <f>IF(AE397&lt;&gt;0,VLOOKUP(AE397,ODDS!$A$2:$C$13,3,0),"")</f>
        <v/>
      </c>
      <c r="AH397" s="570" t="str">
        <f t="shared" si="77"/>
        <v xml:space="preserve"> </v>
      </c>
      <c r="AI397" s="571" t="str">
        <f t="shared" si="85"/>
        <v xml:space="preserve"> </v>
      </c>
      <c r="AJ397" s="593"/>
      <c r="AK397" s="593"/>
    </row>
    <row r="398" spans="1:37" s="376" customFormat="1" ht="60.75" outlineLevel="2" x14ac:dyDescent="0.3">
      <c r="A398" s="447">
        <f t="shared" si="84"/>
        <v>34</v>
      </c>
      <c r="B398" s="557"/>
      <c r="C398" s="574"/>
      <c r="D398" s="587"/>
      <c r="E398" s="587"/>
      <c r="F398" s="560"/>
      <c r="G398" s="558"/>
      <c r="H398" s="588"/>
      <c r="I398" s="546"/>
      <c r="J398" s="589"/>
      <c r="K398" s="563" t="str">
        <f>IF(G398&lt;&gt;0,VLOOKUP(G398,'gia dat'!$A$1:$F$144,5,0)," ")</f>
        <v xml:space="preserve"> </v>
      </c>
      <c r="L398" s="563" t="str">
        <f>IF(G398&lt;&gt;0,VLOOKUP(G398,'gia dat'!$A$1:$F$144,6,0)," ")</f>
        <v xml:space="preserve"> </v>
      </c>
      <c r="M398" s="564" t="str">
        <f t="shared" si="81"/>
        <v xml:space="preserve"> </v>
      </c>
      <c r="N398" s="564" t="str">
        <f t="shared" si="82"/>
        <v xml:space="preserve"> </v>
      </c>
      <c r="O398" s="558"/>
      <c r="P398" s="590"/>
      <c r="Q398" s="564" t="str">
        <f>IF(O398&lt;&gt;0,VLOOKUP(O398,'Cây trong'!$A$2:$C$246,3,0)," ")</f>
        <v xml:space="preserve"> </v>
      </c>
      <c r="R398" s="564" t="str">
        <f t="shared" si="76"/>
        <v xml:space="preserve"> </v>
      </c>
      <c r="S398" s="586" t="s">
        <v>2304</v>
      </c>
      <c r="T398" s="609" t="s">
        <v>53</v>
      </c>
      <c r="U398" s="591">
        <v>3.36</v>
      </c>
      <c r="V398" s="589"/>
      <c r="W398" s="564">
        <f>IF(S398&lt;&gt;0,VLOOKUP(S398,VKT!$A$2:$G$415,7,0),"")</f>
        <v>441467</v>
      </c>
      <c r="X398" s="564">
        <f t="shared" si="80"/>
        <v>1483000</v>
      </c>
      <c r="Y398" s="589"/>
      <c r="Z398" s="592"/>
      <c r="AA398" s="592"/>
      <c r="AB398" s="568"/>
      <c r="AC398" s="592"/>
      <c r="AD398" s="592"/>
      <c r="AE398" s="592"/>
      <c r="AF398" s="590"/>
      <c r="AG398" s="570" t="str">
        <f>IF(AE398&lt;&gt;0,VLOOKUP(AE398,ODDS!$A$2:$C$13,3,0),"")</f>
        <v/>
      </c>
      <c r="AH398" s="570" t="str">
        <f t="shared" si="77"/>
        <v xml:space="preserve"> </v>
      </c>
      <c r="AI398" s="571" t="str">
        <f t="shared" si="85"/>
        <v xml:space="preserve"> </v>
      </c>
      <c r="AJ398" s="593"/>
      <c r="AK398" s="593"/>
    </row>
    <row r="399" spans="1:37" s="376" customFormat="1" ht="40.5" outlineLevel="2" x14ac:dyDescent="0.3">
      <c r="A399" s="447">
        <f t="shared" si="84"/>
        <v>34</v>
      </c>
      <c r="B399" s="557"/>
      <c r="C399" s="607"/>
      <c r="D399" s="594"/>
      <c r="E399" s="595"/>
      <c r="F399" s="577"/>
      <c r="G399" s="574"/>
      <c r="H399" s="588"/>
      <c r="I399" s="546"/>
      <c r="J399" s="608"/>
      <c r="K399" s="563" t="str">
        <f>IF(G399&lt;&gt;0,VLOOKUP(G399,'gia dat'!$A$1:$F$144,5,0)," ")</f>
        <v xml:space="preserve"> </v>
      </c>
      <c r="L399" s="563" t="str">
        <f>IF(G399&lt;&gt;0,VLOOKUP(G399,'gia dat'!$A$1:$F$144,6,0)," ")</f>
        <v xml:space="preserve"> </v>
      </c>
      <c r="M399" s="564" t="str">
        <f t="shared" si="81"/>
        <v xml:space="preserve"> </v>
      </c>
      <c r="N399" s="564" t="str">
        <f t="shared" si="82"/>
        <v xml:space="preserve"> </v>
      </c>
      <c r="O399" s="578"/>
      <c r="P399" s="633"/>
      <c r="Q399" s="564" t="str">
        <f>IF(O399&lt;&gt;0,VLOOKUP(O399,'Cây trong'!$A$2:$C$246,3,0)," ")</f>
        <v xml:space="preserve"> </v>
      </c>
      <c r="R399" s="564" t="str">
        <f t="shared" si="76"/>
        <v xml:space="preserve"> </v>
      </c>
      <c r="S399" s="586" t="s">
        <v>2021</v>
      </c>
      <c r="T399" s="609" t="s">
        <v>53</v>
      </c>
      <c r="U399" s="591">
        <v>4.63</v>
      </c>
      <c r="V399" s="597"/>
      <c r="W399" s="564">
        <f>IF(S399&lt;&gt;0,VLOOKUP(S399,VKT!$A$2:$G$415,7,0),"")</f>
        <v>107866</v>
      </c>
      <c r="X399" s="564">
        <f t="shared" si="80"/>
        <v>499000</v>
      </c>
      <c r="Y399" s="580"/>
      <c r="Z399" s="601"/>
      <c r="AA399" s="601"/>
      <c r="AB399" s="584"/>
      <c r="AC399" s="601"/>
      <c r="AD399" s="601"/>
      <c r="AE399" s="601"/>
      <c r="AF399" s="599"/>
      <c r="AG399" s="570" t="str">
        <f>IF(AE399&lt;&gt;0,VLOOKUP(AE399,ODDS!$A$2:$C$13,3,0),"")</f>
        <v/>
      </c>
      <c r="AH399" s="570" t="str">
        <f t="shared" si="77"/>
        <v xml:space="preserve"> </v>
      </c>
      <c r="AI399" s="571" t="str">
        <f t="shared" si="85"/>
        <v xml:space="preserve"> </v>
      </c>
      <c r="AJ399" s="608"/>
      <c r="AK399" s="608"/>
    </row>
    <row r="400" spans="1:37" s="376" customFormat="1" ht="81" outlineLevel="2" x14ac:dyDescent="0.3">
      <c r="A400" s="447">
        <f t="shared" si="84"/>
        <v>34</v>
      </c>
      <c r="B400" s="557"/>
      <c r="C400" s="572"/>
      <c r="D400" s="603"/>
      <c r="E400" s="587"/>
      <c r="F400" s="560"/>
      <c r="G400" s="558"/>
      <c r="H400" s="588"/>
      <c r="I400" s="546"/>
      <c r="J400" s="593"/>
      <c r="K400" s="563" t="str">
        <f>IF(G400&lt;&gt;0,VLOOKUP(G400,'gia dat'!$A$1:$F$144,5,0)," ")</f>
        <v xml:space="preserve"> </v>
      </c>
      <c r="L400" s="563" t="str">
        <f>IF(G400&lt;&gt;0,VLOOKUP(G400,'gia dat'!$A$1:$F$144,6,0)," ")</f>
        <v xml:space="preserve"> </v>
      </c>
      <c r="M400" s="564" t="str">
        <f t="shared" si="81"/>
        <v xml:space="preserve"> </v>
      </c>
      <c r="N400" s="564" t="str">
        <f t="shared" si="82"/>
        <v xml:space="preserve"> </v>
      </c>
      <c r="O400" s="586"/>
      <c r="P400" s="630"/>
      <c r="Q400" s="564" t="str">
        <f>IF(O400&lt;&gt;0,VLOOKUP(O400,'Cây trong'!$A$2:$C$246,3,0)," ")</f>
        <v xml:space="preserve"> </v>
      </c>
      <c r="R400" s="564" t="str">
        <f t="shared" si="76"/>
        <v xml:space="preserve"> </v>
      </c>
      <c r="S400" s="586" t="s">
        <v>2305</v>
      </c>
      <c r="T400" s="609" t="s">
        <v>53</v>
      </c>
      <c r="U400" s="591">
        <v>11.76</v>
      </c>
      <c r="V400" s="589"/>
      <c r="W400" s="564">
        <f>IF(S400&lt;&gt;0,VLOOKUP(S400,VKT!$A$2:$G$415,7,0),"")</f>
        <v>441467</v>
      </c>
      <c r="X400" s="564">
        <f t="shared" si="80"/>
        <v>5192000</v>
      </c>
      <c r="Y400" s="562"/>
      <c r="Z400" s="592"/>
      <c r="AA400" s="592"/>
      <c r="AB400" s="568"/>
      <c r="AC400" s="592"/>
      <c r="AD400" s="592"/>
      <c r="AE400" s="592"/>
      <c r="AF400" s="590"/>
      <c r="AG400" s="570" t="str">
        <f>IF(AE400&lt;&gt;0,VLOOKUP(AE400,ODDS!$A$2:$C$13,3,0),"")</f>
        <v/>
      </c>
      <c r="AH400" s="570" t="str">
        <f t="shared" si="77"/>
        <v xml:space="preserve"> </v>
      </c>
      <c r="AI400" s="571" t="str">
        <f t="shared" si="85"/>
        <v xml:space="preserve"> </v>
      </c>
      <c r="AJ400" s="558"/>
      <c r="AK400" s="558"/>
    </row>
    <row r="401" spans="1:37" s="376" customFormat="1" ht="101.25" outlineLevel="2" x14ac:dyDescent="0.3">
      <c r="A401" s="447">
        <f t="shared" si="84"/>
        <v>34</v>
      </c>
      <c r="B401" s="557"/>
      <c r="C401" s="572"/>
      <c r="D401" s="587"/>
      <c r="E401" s="587"/>
      <c r="F401" s="560"/>
      <c r="G401" s="586"/>
      <c r="H401" s="588"/>
      <c r="I401" s="546"/>
      <c r="J401" s="593"/>
      <c r="K401" s="563" t="str">
        <f>IF(G401&lt;&gt;0,VLOOKUP(G401,'gia dat'!$A$1:$F$144,5,0)," ")</f>
        <v xml:space="preserve"> </v>
      </c>
      <c r="L401" s="563" t="str">
        <f>IF(G401&lt;&gt;0,VLOOKUP(G401,'gia dat'!$A$1:$F$144,6,0)," ")</f>
        <v xml:space="preserve"> </v>
      </c>
      <c r="M401" s="564" t="str">
        <f t="shared" si="81"/>
        <v xml:space="preserve"> </v>
      </c>
      <c r="N401" s="564" t="str">
        <f t="shared" si="82"/>
        <v xml:space="preserve"> </v>
      </c>
      <c r="O401" s="586"/>
      <c r="P401" s="630"/>
      <c r="Q401" s="564" t="str">
        <f>IF(O401&lt;&gt;0,VLOOKUP(O401,'Cây trong'!$A$2:$C$246,3,0)," ")</f>
        <v xml:space="preserve"> </v>
      </c>
      <c r="R401" s="564" t="str">
        <f t="shared" ref="R401:R512" si="86">IF(O401&lt;&gt;0,ROUND(P401*Q401,-2)," ")</f>
        <v xml:space="preserve"> </v>
      </c>
      <c r="S401" s="566" t="s">
        <v>2306</v>
      </c>
      <c r="T401" s="589" t="s">
        <v>53</v>
      </c>
      <c r="U401" s="591">
        <v>79.599999999999994</v>
      </c>
      <c r="V401" s="589"/>
      <c r="W401" s="564">
        <f>IF(S401&lt;&gt;0,VLOOKUP(S401,VKT!$A$2:$G$415,7,0),"")</f>
        <v>840258</v>
      </c>
      <c r="X401" s="564">
        <f t="shared" si="80"/>
        <v>66885000</v>
      </c>
      <c r="Y401" s="589"/>
      <c r="Z401" s="592"/>
      <c r="AA401" s="592"/>
      <c r="AB401" s="568"/>
      <c r="AC401" s="592"/>
      <c r="AD401" s="592"/>
      <c r="AE401" s="592"/>
      <c r="AF401" s="590"/>
      <c r="AG401" s="570" t="str">
        <f>IF(AE401&lt;&gt;0,VLOOKUP(AE401,ODDS!$A$2:$C$13,3,0),"")</f>
        <v/>
      </c>
      <c r="AH401" s="570" t="str">
        <f t="shared" ref="AH401:AH512" si="87">IF(AE401&lt;&gt;0,ROUND(AF401*AG401,-2)," ")</f>
        <v xml:space="preserve"> </v>
      </c>
      <c r="AI401" s="571" t="str">
        <f t="shared" si="85"/>
        <v xml:space="preserve"> </v>
      </c>
      <c r="AJ401" s="558"/>
      <c r="AK401" s="558"/>
    </row>
    <row r="402" spans="1:37" s="376" customFormat="1" ht="60.75" outlineLevel="2" x14ac:dyDescent="0.3">
      <c r="A402" s="447">
        <f t="shared" si="84"/>
        <v>34</v>
      </c>
      <c r="B402" s="557"/>
      <c r="C402" s="643"/>
      <c r="D402" s="587"/>
      <c r="E402" s="587"/>
      <c r="F402" s="560"/>
      <c r="G402" s="558"/>
      <c r="H402" s="588"/>
      <c r="I402" s="546"/>
      <c r="J402" s="589"/>
      <c r="K402" s="563" t="str">
        <f>IF(G402&lt;&gt;0,VLOOKUP(G402,'gia dat'!$A$1:$F$144,5,0)," ")</f>
        <v xml:space="preserve"> </v>
      </c>
      <c r="L402" s="563" t="str">
        <f>IF(G402&lt;&gt;0,VLOOKUP(G402,'gia dat'!$A$1:$F$144,6,0)," ")</f>
        <v xml:space="preserve"> </v>
      </c>
      <c r="M402" s="564" t="str">
        <f t="shared" si="81"/>
        <v xml:space="preserve"> </v>
      </c>
      <c r="N402" s="564" t="str">
        <f t="shared" si="82"/>
        <v xml:space="preserve"> </v>
      </c>
      <c r="O402" s="558"/>
      <c r="P402" s="590"/>
      <c r="Q402" s="564" t="str">
        <f>IF(O402&lt;&gt;0,VLOOKUP(O402,'Cây trong'!$A$2:$C$246,3,0)," ")</f>
        <v xml:space="preserve"> </v>
      </c>
      <c r="R402" s="564" t="str">
        <f t="shared" si="86"/>
        <v xml:space="preserve"> </v>
      </c>
      <c r="S402" s="646" t="s">
        <v>1758</v>
      </c>
      <c r="T402" s="649" t="s">
        <v>174</v>
      </c>
      <c r="U402" s="591">
        <v>1</v>
      </c>
      <c r="V402" s="589"/>
      <c r="W402" s="564">
        <f>IF(S402&lt;&gt;0,VLOOKUP(S402,VKT!$A$2:$G$415,7,0),"")</f>
        <v>0</v>
      </c>
      <c r="X402" s="564">
        <f t="shared" si="80"/>
        <v>0</v>
      </c>
      <c r="Y402" s="589"/>
      <c r="Z402" s="592"/>
      <c r="AA402" s="592"/>
      <c r="AB402" s="568"/>
      <c r="AC402" s="592"/>
      <c r="AD402" s="592"/>
      <c r="AE402" s="592"/>
      <c r="AF402" s="590"/>
      <c r="AG402" s="570" t="str">
        <f>IF(AE402&lt;&gt;0,VLOOKUP(AE402,ODDS!$A$2:$C$13,3,0),"")</f>
        <v/>
      </c>
      <c r="AH402" s="570" t="str">
        <f t="shared" si="87"/>
        <v xml:space="preserve"> </v>
      </c>
      <c r="AI402" s="571" t="str">
        <f t="shared" si="85"/>
        <v xml:space="preserve"> </v>
      </c>
      <c r="AJ402" s="593"/>
      <c r="AK402" s="593"/>
    </row>
    <row r="403" spans="1:37" s="376" customFormat="1" ht="40.5" outlineLevel="2" x14ac:dyDescent="0.3">
      <c r="A403" s="447">
        <f t="shared" si="84"/>
        <v>34</v>
      </c>
      <c r="B403" s="557"/>
      <c r="C403" s="648"/>
      <c r="D403" s="587"/>
      <c r="E403" s="587"/>
      <c r="F403" s="560"/>
      <c r="G403" s="558"/>
      <c r="H403" s="588"/>
      <c r="I403" s="546"/>
      <c r="J403" s="589"/>
      <c r="K403" s="563" t="str">
        <f>IF(G403&lt;&gt;0,VLOOKUP(G403,'gia dat'!$A$1:$F$144,5,0)," ")</f>
        <v xml:space="preserve"> </v>
      </c>
      <c r="L403" s="563" t="str">
        <f>IF(G403&lt;&gt;0,VLOOKUP(G403,'gia dat'!$A$1:$F$144,6,0)," ")</f>
        <v xml:space="preserve"> </v>
      </c>
      <c r="M403" s="564" t="str">
        <f t="shared" si="81"/>
        <v xml:space="preserve"> </v>
      </c>
      <c r="N403" s="564" t="str">
        <f t="shared" si="82"/>
        <v xml:space="preserve"> </v>
      </c>
      <c r="O403" s="646"/>
      <c r="P403" s="590"/>
      <c r="Q403" s="564" t="str">
        <f>IF(O403&lt;&gt;0,VLOOKUP(O403,'Cây trong'!$A$2:$C$246,3,0)," ")</f>
        <v xml:space="preserve"> </v>
      </c>
      <c r="R403" s="564" t="str">
        <f t="shared" si="86"/>
        <v xml:space="preserve"> </v>
      </c>
      <c r="S403" s="646" t="s">
        <v>1839</v>
      </c>
      <c r="T403" s="647" t="s">
        <v>53</v>
      </c>
      <c r="U403" s="591">
        <v>17.7</v>
      </c>
      <c r="V403" s="589"/>
      <c r="W403" s="564">
        <f>IF(S403&lt;&gt;0,VLOOKUP(S403,VKT!$A$2:$G$415,7,0),"")</f>
        <v>244604</v>
      </c>
      <c r="X403" s="564">
        <f t="shared" si="80"/>
        <v>4329000</v>
      </c>
      <c r="Y403" s="589"/>
      <c r="Z403" s="592"/>
      <c r="AA403" s="592"/>
      <c r="AB403" s="568"/>
      <c r="AC403" s="592"/>
      <c r="AD403" s="592"/>
      <c r="AE403" s="592"/>
      <c r="AF403" s="590"/>
      <c r="AG403" s="570" t="str">
        <f>IF(AE403&lt;&gt;0,VLOOKUP(AE403,ODDS!$A$2:$C$13,3,0),"")</f>
        <v/>
      </c>
      <c r="AH403" s="570" t="str">
        <f t="shared" si="87"/>
        <v xml:space="preserve"> </v>
      </c>
      <c r="AI403" s="571" t="str">
        <f t="shared" si="85"/>
        <v xml:space="preserve"> </v>
      </c>
      <c r="AJ403" s="558"/>
      <c r="AK403" s="558"/>
    </row>
    <row r="404" spans="1:37" s="376" customFormat="1" ht="20.25" outlineLevel="2" x14ac:dyDescent="0.3">
      <c r="A404" s="447">
        <f t="shared" si="84"/>
        <v>34</v>
      </c>
      <c r="B404" s="557"/>
      <c r="C404" s="648"/>
      <c r="D404" s="587"/>
      <c r="E404" s="587"/>
      <c r="F404" s="615"/>
      <c r="G404" s="558"/>
      <c r="H404" s="604"/>
      <c r="I404" s="546"/>
      <c r="J404" s="593"/>
      <c r="K404" s="563" t="str">
        <f>IF(G404&lt;&gt;0,VLOOKUP(G404,'gia dat'!$A$1:$F$144,5,0)," ")</f>
        <v xml:space="preserve"> </v>
      </c>
      <c r="L404" s="563" t="str">
        <f>IF(G404&lt;&gt;0,VLOOKUP(G404,'gia dat'!$A$1:$F$144,6,0)," ")</f>
        <v xml:space="preserve"> </v>
      </c>
      <c r="M404" s="564" t="str">
        <f t="shared" si="81"/>
        <v xml:space="preserve"> </v>
      </c>
      <c r="N404" s="564" t="str">
        <f t="shared" si="82"/>
        <v xml:space="preserve"> </v>
      </c>
      <c r="O404" s="593"/>
      <c r="P404" s="616"/>
      <c r="Q404" s="564" t="str">
        <f>IF(O404&lt;&gt;0,VLOOKUP(O404,'Cây trong'!$A$2:$C$246,3,0)," ")</f>
        <v xml:space="preserve"> </v>
      </c>
      <c r="R404" s="564" t="str">
        <f t="shared" si="86"/>
        <v xml:space="preserve"> </v>
      </c>
      <c r="S404" s="593"/>
      <c r="T404" s="593"/>
      <c r="U404" s="617"/>
      <c r="V404" s="589"/>
      <c r="W404" s="564" t="str">
        <f>IF(S404&lt;&gt;0,VLOOKUP(S404,VKT!$A$2:$G$415,7,0),"")</f>
        <v/>
      </c>
      <c r="X404" s="564" t="str">
        <f t="shared" si="80"/>
        <v xml:space="preserve"> </v>
      </c>
      <c r="Y404" s="589"/>
      <c r="Z404" s="589"/>
      <c r="AA404" s="589"/>
      <c r="AB404" s="562"/>
      <c r="AC404" s="589"/>
      <c r="AD404" s="589"/>
      <c r="AE404" s="589"/>
      <c r="AF404" s="629"/>
      <c r="AG404" s="570" t="str">
        <f>IF(AE404&lt;&gt;0,VLOOKUP(AE404,ODDS!$A$2:$C$13,3,0),"")</f>
        <v/>
      </c>
      <c r="AH404" s="570" t="str">
        <f t="shared" si="87"/>
        <v xml:space="preserve"> </v>
      </c>
      <c r="AI404" s="571" t="str">
        <f t="shared" si="85"/>
        <v xml:space="preserve"> </v>
      </c>
      <c r="AJ404" s="593"/>
      <c r="AK404" s="593"/>
    </row>
    <row r="405" spans="1:37" s="376" customFormat="1" ht="20.25" outlineLevel="2" x14ac:dyDescent="0.3">
      <c r="A405" s="447">
        <f t="shared" si="84"/>
        <v>34</v>
      </c>
      <c r="B405" s="557"/>
      <c r="C405" s="558"/>
      <c r="D405" s="587"/>
      <c r="E405" s="587"/>
      <c r="F405" s="560"/>
      <c r="G405" s="558"/>
      <c r="H405" s="588"/>
      <c r="I405" s="546"/>
      <c r="J405" s="589"/>
      <c r="K405" s="563" t="str">
        <f>IF(G405&lt;&gt;0,VLOOKUP(G405,'gia dat'!$A$1:$F$144,5,0)," ")</f>
        <v xml:space="preserve"> </v>
      </c>
      <c r="L405" s="563" t="str">
        <f>IF(G405&lt;&gt;0,VLOOKUP(G405,'gia dat'!$A$1:$F$144,6,0)," ")</f>
        <v xml:space="preserve"> </v>
      </c>
      <c r="M405" s="564" t="str">
        <f t="shared" si="81"/>
        <v xml:space="preserve"> </v>
      </c>
      <c r="N405" s="564" t="str">
        <f t="shared" si="82"/>
        <v xml:space="preserve"> </v>
      </c>
      <c r="O405" s="646"/>
      <c r="P405" s="590"/>
      <c r="Q405" s="564" t="str">
        <f>IF(O405&lt;&gt;0,VLOOKUP(O405,'Cây trong'!$A$2:$C$246,3,0)," ")</f>
        <v xml:space="preserve"> </v>
      </c>
      <c r="R405" s="564" t="str">
        <f t="shared" si="86"/>
        <v xml:space="preserve"> </v>
      </c>
      <c r="S405" s="593"/>
      <c r="T405" s="593"/>
      <c r="U405" s="617"/>
      <c r="V405" s="589"/>
      <c r="W405" s="564" t="str">
        <f>IF(S405&lt;&gt;0,VLOOKUP(S405,VKT!$A$2:$G$415,7,0),"")</f>
        <v/>
      </c>
      <c r="X405" s="564" t="str">
        <f t="shared" si="80"/>
        <v xml:space="preserve"> </v>
      </c>
      <c r="Y405" s="589"/>
      <c r="Z405" s="592"/>
      <c r="AA405" s="592"/>
      <c r="AB405" s="568"/>
      <c r="AC405" s="592"/>
      <c r="AD405" s="592"/>
      <c r="AE405" s="592"/>
      <c r="AF405" s="590"/>
      <c r="AG405" s="570" t="str">
        <f>IF(AE405&lt;&gt;0,VLOOKUP(AE405,ODDS!$A$2:$C$13,3,0),"")</f>
        <v/>
      </c>
      <c r="AH405" s="570" t="str">
        <f t="shared" si="87"/>
        <v xml:space="preserve"> </v>
      </c>
      <c r="AI405" s="571" t="str">
        <f t="shared" si="85"/>
        <v xml:space="preserve"> </v>
      </c>
      <c r="AJ405" s="558"/>
      <c r="AK405" s="558"/>
    </row>
    <row r="406" spans="1:37" s="376" customFormat="1" ht="20.25" outlineLevel="2" x14ac:dyDescent="0.3">
      <c r="A406" s="447">
        <f t="shared" si="84"/>
        <v>34</v>
      </c>
      <c r="B406" s="557"/>
      <c r="C406" s="607"/>
      <c r="D406" s="587"/>
      <c r="E406" s="587"/>
      <c r="F406" s="560"/>
      <c r="G406" s="558"/>
      <c r="H406" s="588"/>
      <c r="I406" s="546"/>
      <c r="J406" s="589"/>
      <c r="K406" s="563" t="str">
        <f>IF(G406&lt;&gt;0,VLOOKUP(G406,'gia dat'!$A$1:$F$144,5,0)," ")</f>
        <v xml:space="preserve"> </v>
      </c>
      <c r="L406" s="563" t="str">
        <f>IF(G406&lt;&gt;0,VLOOKUP(G406,'gia dat'!$A$1:$F$144,6,0)," ")</f>
        <v xml:space="preserve"> </v>
      </c>
      <c r="M406" s="564" t="str">
        <f t="shared" si="81"/>
        <v xml:space="preserve"> </v>
      </c>
      <c r="N406" s="564" t="str">
        <f t="shared" si="82"/>
        <v xml:space="preserve"> </v>
      </c>
      <c r="O406" s="646"/>
      <c r="P406" s="590"/>
      <c r="Q406" s="564" t="str">
        <f>IF(O406&lt;&gt;0,VLOOKUP(O406,'Cây trong'!$A$2:$C$246,3,0)," ")</f>
        <v xml:space="preserve"> </v>
      </c>
      <c r="R406" s="564" t="str">
        <f t="shared" si="86"/>
        <v xml:space="preserve"> </v>
      </c>
      <c r="S406" s="646"/>
      <c r="T406" s="647"/>
      <c r="U406" s="591"/>
      <c r="V406" s="589"/>
      <c r="W406" s="564" t="str">
        <f>IF(S406&lt;&gt;0,VLOOKUP(S406,VKT!$A$2:$G$415,7,0),"")</f>
        <v/>
      </c>
      <c r="X406" s="564" t="str">
        <f t="shared" si="80"/>
        <v xml:space="preserve"> </v>
      </c>
      <c r="Y406" s="589"/>
      <c r="Z406" s="592"/>
      <c r="AA406" s="592"/>
      <c r="AB406" s="568"/>
      <c r="AC406" s="592"/>
      <c r="AD406" s="592"/>
      <c r="AE406" s="592"/>
      <c r="AF406" s="590"/>
      <c r="AG406" s="570" t="str">
        <f>IF(AE406&lt;&gt;0,VLOOKUP(AE406,ODDS!$A$2:$C$13,3,0),"")</f>
        <v/>
      </c>
      <c r="AH406" s="570" t="str">
        <f t="shared" si="87"/>
        <v xml:space="preserve"> </v>
      </c>
      <c r="AI406" s="571" t="str">
        <f t="shared" si="85"/>
        <v xml:space="preserve"> </v>
      </c>
      <c r="AJ406" s="558"/>
      <c r="AK406" s="558"/>
    </row>
    <row r="407" spans="1:37" s="376" customFormat="1" ht="20.25" outlineLevel="2" x14ac:dyDescent="0.3">
      <c r="A407" s="447">
        <f t="shared" si="84"/>
        <v>34</v>
      </c>
      <c r="B407" s="557"/>
      <c r="C407" s="607"/>
      <c r="D407" s="594"/>
      <c r="E407" s="595"/>
      <c r="F407" s="577"/>
      <c r="G407" s="574"/>
      <c r="H407" s="588"/>
      <c r="I407" s="546"/>
      <c r="J407" s="597"/>
      <c r="K407" s="563" t="str">
        <f>IF(G407&lt;&gt;0,VLOOKUP(G407,'gia dat'!$A$1:$F$144,5,0)," ")</f>
        <v xml:space="preserve"> </v>
      </c>
      <c r="L407" s="563" t="str">
        <f>IF(G407&lt;&gt;0,VLOOKUP(G407,'gia dat'!$A$1:$F$144,6,0)," ")</f>
        <v xml:space="preserve"> </v>
      </c>
      <c r="M407" s="564" t="str">
        <f t="shared" si="81"/>
        <v xml:space="preserve"> </v>
      </c>
      <c r="N407" s="564" t="str">
        <f t="shared" si="82"/>
        <v xml:space="preserve"> </v>
      </c>
      <c r="O407" s="598"/>
      <c r="P407" s="599"/>
      <c r="Q407" s="564" t="str">
        <f>IF(O407&lt;&gt;0,VLOOKUP(O407,'Cây trong'!$A$2:$C$246,3,0)," ")</f>
        <v xml:space="preserve"> </v>
      </c>
      <c r="R407" s="564" t="str">
        <f t="shared" si="86"/>
        <v xml:space="preserve"> </v>
      </c>
      <c r="S407" s="582"/>
      <c r="T407" s="597"/>
      <c r="U407" s="591"/>
      <c r="V407" s="597"/>
      <c r="W407" s="564" t="str">
        <f>IF(S407&lt;&gt;0,VLOOKUP(S407,VKT!$A$2:$G$415,7,0),"")</f>
        <v/>
      </c>
      <c r="X407" s="564" t="str">
        <f t="shared" si="80"/>
        <v xml:space="preserve"> </v>
      </c>
      <c r="Y407" s="589"/>
      <c r="Z407" s="592"/>
      <c r="AA407" s="592"/>
      <c r="AB407" s="568"/>
      <c r="AC407" s="592"/>
      <c r="AD407" s="592"/>
      <c r="AE407" s="592"/>
      <c r="AF407" s="590"/>
      <c r="AG407" s="570" t="str">
        <f>IF(AE407&lt;&gt;0,VLOOKUP(AE407,ODDS!$A$2:$C$13,3,0),"")</f>
        <v/>
      </c>
      <c r="AH407" s="570" t="str">
        <f t="shared" si="87"/>
        <v xml:space="preserve"> </v>
      </c>
      <c r="AI407" s="571" t="str">
        <f t="shared" si="85"/>
        <v xml:space="preserve"> </v>
      </c>
      <c r="AJ407" s="593"/>
      <c r="AK407" s="593"/>
    </row>
    <row r="408" spans="1:37" s="376" customFormat="1" ht="20.25" outlineLevel="2" x14ac:dyDescent="0.3">
      <c r="A408" s="447">
        <f t="shared" si="84"/>
        <v>34</v>
      </c>
      <c r="B408" s="557"/>
      <c r="C408" s="607"/>
      <c r="D408" s="594"/>
      <c r="E408" s="595"/>
      <c r="F408" s="577"/>
      <c r="G408" s="574"/>
      <c r="H408" s="588"/>
      <c r="I408" s="546"/>
      <c r="J408" s="597"/>
      <c r="K408" s="563" t="str">
        <f>IF(G408&lt;&gt;0,VLOOKUP(G408,'gia dat'!$A$1:$F$144,5,0)," ")</f>
        <v xml:space="preserve"> </v>
      </c>
      <c r="L408" s="563" t="str">
        <f>IF(G408&lt;&gt;0,VLOOKUP(G408,'gia dat'!$A$1:$F$144,6,0)," ")</f>
        <v xml:space="preserve"> </v>
      </c>
      <c r="M408" s="564" t="str">
        <f t="shared" si="81"/>
        <v xml:space="preserve"> </v>
      </c>
      <c r="N408" s="564" t="str">
        <f t="shared" si="82"/>
        <v xml:space="preserve"> </v>
      </c>
      <c r="O408" s="598"/>
      <c r="P408" s="599"/>
      <c r="Q408" s="564"/>
      <c r="R408" s="564"/>
      <c r="S408" s="582"/>
      <c r="T408" s="597"/>
      <c r="U408" s="591"/>
      <c r="V408" s="597"/>
      <c r="W408" s="564" t="str">
        <f>IF(S408&lt;&gt;0,VLOOKUP(S408,VKT!$A$2:$G$415,7,0),"")</f>
        <v/>
      </c>
      <c r="X408" s="564" t="str">
        <f t="shared" si="80"/>
        <v xml:space="preserve"> </v>
      </c>
      <c r="Y408" s="589"/>
      <c r="Z408" s="592"/>
      <c r="AA408" s="592"/>
      <c r="AB408" s="568"/>
      <c r="AC408" s="592"/>
      <c r="AD408" s="592"/>
      <c r="AE408" s="592"/>
      <c r="AF408" s="590"/>
      <c r="AG408" s="570" t="str">
        <f>IF(AE408&lt;&gt;0,VLOOKUP(AE408,ODDS!$A$2:$C$13,3,0),"")</f>
        <v/>
      </c>
      <c r="AH408" s="570"/>
      <c r="AI408" s="571" t="str">
        <f t="shared" si="85"/>
        <v xml:space="preserve"> </v>
      </c>
      <c r="AJ408" s="593"/>
      <c r="AK408" s="593"/>
    </row>
    <row r="409" spans="1:37" s="376" customFormat="1" ht="20.25" outlineLevel="2" x14ac:dyDescent="0.3">
      <c r="A409" s="447">
        <f t="shared" si="84"/>
        <v>34</v>
      </c>
      <c r="B409" s="557"/>
      <c r="C409" s="607"/>
      <c r="D409" s="594"/>
      <c r="E409" s="595"/>
      <c r="F409" s="577"/>
      <c r="G409" s="574"/>
      <c r="H409" s="588"/>
      <c r="I409" s="546"/>
      <c r="J409" s="597"/>
      <c r="K409" s="563" t="str">
        <f>IF(G409&lt;&gt;0,VLOOKUP(G409,'gia dat'!$A$1:$F$144,5,0)," ")</f>
        <v xml:space="preserve"> </v>
      </c>
      <c r="L409" s="563" t="str">
        <f>IF(G409&lt;&gt;0,VLOOKUP(G409,'gia dat'!$A$1:$F$144,6,0)," ")</f>
        <v xml:space="preserve"> </v>
      </c>
      <c r="M409" s="564" t="str">
        <f t="shared" si="81"/>
        <v xml:space="preserve"> </v>
      </c>
      <c r="N409" s="564" t="str">
        <f t="shared" si="82"/>
        <v xml:space="preserve"> </v>
      </c>
      <c r="O409" s="598"/>
      <c r="P409" s="599"/>
      <c r="Q409" s="564"/>
      <c r="R409" s="564"/>
      <c r="S409" s="582"/>
      <c r="T409" s="597"/>
      <c r="U409" s="591"/>
      <c r="V409" s="597"/>
      <c r="W409" s="564" t="str">
        <f>IF(S409&lt;&gt;0,VLOOKUP(S409,VKT!$A$2:$G$415,7,0),"")</f>
        <v/>
      </c>
      <c r="X409" s="564" t="str">
        <f t="shared" si="80"/>
        <v xml:space="preserve"> </v>
      </c>
      <c r="Y409" s="589"/>
      <c r="Z409" s="592"/>
      <c r="AA409" s="592"/>
      <c r="AB409" s="568"/>
      <c r="AC409" s="592"/>
      <c r="AD409" s="592"/>
      <c r="AE409" s="592"/>
      <c r="AF409" s="590"/>
      <c r="AG409" s="570" t="str">
        <f>IF(AE409&lt;&gt;0,VLOOKUP(AE409,ODDS!$A$2:$C$13,3,0),"")</f>
        <v/>
      </c>
      <c r="AH409" s="570"/>
      <c r="AI409" s="571" t="str">
        <f t="shared" si="85"/>
        <v xml:space="preserve"> </v>
      </c>
      <c r="AJ409" s="593"/>
      <c r="AK409" s="593"/>
    </row>
    <row r="410" spans="1:37" s="376" customFormat="1" ht="20.25" outlineLevel="2" x14ac:dyDescent="0.3">
      <c r="A410" s="447">
        <f t="shared" si="84"/>
        <v>34</v>
      </c>
      <c r="B410" s="557"/>
      <c r="C410" s="574"/>
      <c r="D410" s="594"/>
      <c r="E410" s="595"/>
      <c r="F410" s="577"/>
      <c r="G410" s="574"/>
      <c r="H410" s="588"/>
      <c r="I410" s="546"/>
      <c r="J410" s="597"/>
      <c r="K410" s="563" t="str">
        <f>IF(G410&lt;&gt;0,VLOOKUP(G410,'gia dat'!$A$1:$F$144,5,0)," ")</f>
        <v xml:space="preserve"> </v>
      </c>
      <c r="L410" s="563" t="str">
        <f>IF(G410&lt;&gt;0,VLOOKUP(G410,'gia dat'!$A$1:$F$144,6,0)," ")</f>
        <v xml:space="preserve"> </v>
      </c>
      <c r="M410" s="564" t="str">
        <f t="shared" si="81"/>
        <v xml:space="preserve"> </v>
      </c>
      <c r="N410" s="564" t="str">
        <f t="shared" si="82"/>
        <v xml:space="preserve"> </v>
      </c>
      <c r="O410" s="598"/>
      <c r="P410" s="599"/>
      <c r="Q410" s="564"/>
      <c r="R410" s="564"/>
      <c r="S410" s="582"/>
      <c r="T410" s="597"/>
      <c r="U410" s="591"/>
      <c r="V410" s="597"/>
      <c r="W410" s="564" t="str">
        <f>IF(S410&lt;&gt;0,VLOOKUP(S410,VKT!$A$2:$G$415,7,0),"")</f>
        <v/>
      </c>
      <c r="X410" s="564" t="str">
        <f t="shared" si="80"/>
        <v xml:space="preserve"> </v>
      </c>
      <c r="Y410" s="589"/>
      <c r="Z410" s="592"/>
      <c r="AA410" s="592"/>
      <c r="AB410" s="568"/>
      <c r="AC410" s="592"/>
      <c r="AD410" s="592"/>
      <c r="AE410" s="592"/>
      <c r="AF410" s="590"/>
      <c r="AG410" s="570" t="str">
        <f>IF(AE410&lt;&gt;0,VLOOKUP(AE410,ODDS!$A$2:$C$13,3,0),"")</f>
        <v/>
      </c>
      <c r="AH410" s="570"/>
      <c r="AI410" s="571" t="str">
        <f t="shared" si="85"/>
        <v xml:space="preserve"> </v>
      </c>
      <c r="AJ410" s="593"/>
      <c r="AK410" s="593"/>
    </row>
    <row r="411" spans="1:37" s="376" customFormat="1" ht="40.5" outlineLevel="1" x14ac:dyDescent="0.25">
      <c r="A411" s="467" t="s">
        <v>2675</v>
      </c>
      <c r="B411" s="576">
        <v>35</v>
      </c>
      <c r="C411" s="574" t="s">
        <v>34</v>
      </c>
      <c r="D411" s="594"/>
      <c r="E411" s="595"/>
      <c r="F411" s="577"/>
      <c r="G411" s="574"/>
      <c r="H411" s="618">
        <f>SUBTOTAL(9,H412:H418)</f>
        <v>67.099999999999994</v>
      </c>
      <c r="I411" s="579">
        <f>SUBTOTAL(9,I412:I417)</f>
        <v>28.1</v>
      </c>
      <c r="J411" s="597"/>
      <c r="K411" s="581"/>
      <c r="L411" s="581"/>
      <c r="M411" s="571">
        <f>SUBTOTAL(9,M412:M418)</f>
        <v>37200000</v>
      </c>
      <c r="N411" s="571">
        <f>SUBTOTAL(9,N412:N418)</f>
        <v>46736000</v>
      </c>
      <c r="O411" s="598"/>
      <c r="P411" s="599">
        <f>SUBTOTAL(9,P412:P418)</f>
        <v>0</v>
      </c>
      <c r="Q411" s="571"/>
      <c r="R411" s="571">
        <f>SUBTOTAL(9,R412:R418)</f>
        <v>0</v>
      </c>
      <c r="S411" s="582"/>
      <c r="T411" s="597"/>
      <c r="U411" s="600">
        <f>SUBTOTAL(9,U412:U418)</f>
        <v>0</v>
      </c>
      <c r="V411" s="597"/>
      <c r="W411" s="571"/>
      <c r="X411" s="571">
        <f>SUBTOTAL(9,X412:X418)</f>
        <v>0</v>
      </c>
      <c r="Y411" s="589"/>
      <c r="Z411" s="592"/>
      <c r="AA411" s="592"/>
      <c r="AB411" s="568"/>
      <c r="AC411" s="592"/>
      <c r="AD411" s="592"/>
      <c r="AE411" s="601"/>
      <c r="AF411" s="599">
        <f>SUBTOTAL(9,AF412:AF418)</f>
        <v>0</v>
      </c>
      <c r="AG411" s="585"/>
      <c r="AH411" s="585">
        <f>SUBTOTAL(9,AH412:AH418)</f>
        <v>0</v>
      </c>
      <c r="AI411" s="571">
        <f t="shared" si="85"/>
        <v>83936000</v>
      </c>
      <c r="AJ411" s="574"/>
      <c r="AK411" s="578"/>
    </row>
    <row r="412" spans="1:37" s="376" customFormat="1" ht="222.75" outlineLevel="2" x14ac:dyDescent="0.3">
      <c r="A412" s="447">
        <f>IF(B411&lt;&gt;0,B411,A410)</f>
        <v>35</v>
      </c>
      <c r="B412" s="557"/>
      <c r="C412" s="558" t="s">
        <v>162</v>
      </c>
      <c r="D412" s="594"/>
      <c r="E412" s="587">
        <v>86</v>
      </c>
      <c r="F412" s="560">
        <v>263</v>
      </c>
      <c r="G412" s="558" t="s">
        <v>2469</v>
      </c>
      <c r="H412" s="588">
        <f>65-H414</f>
        <v>26</v>
      </c>
      <c r="I412" s="546">
        <f t="shared" ref="I412:I414" si="88">IF(N412&gt;0,H412,"")</f>
        <v>26</v>
      </c>
      <c r="J412" s="597"/>
      <c r="K412" s="563">
        <f>IF(G412&lt;&gt;0,VLOOKUP(G412,'gia dat'!$A$1:$F$144,5,0)," ")</f>
        <v>554400</v>
      </c>
      <c r="L412" s="563">
        <f>IF(G412&lt;&gt;0,VLOOKUP(G412,'gia dat'!$A$1:$F$144,6,0)," ")</f>
        <v>1663200</v>
      </c>
      <c r="M412" s="564">
        <f t="shared" si="81"/>
        <v>14414000</v>
      </c>
      <c r="N412" s="564">
        <f t="shared" si="82"/>
        <v>43243000</v>
      </c>
      <c r="O412" s="598"/>
      <c r="P412" s="599"/>
      <c r="Q412" s="564"/>
      <c r="R412" s="564"/>
      <c r="S412" s="582"/>
      <c r="T412" s="597"/>
      <c r="U412" s="591"/>
      <c r="V412" s="597"/>
      <c r="W412" s="564" t="str">
        <f>IF(S412&lt;&gt;0,VLOOKUP(S412,VKT!$A$2:$G$415,7,0),"")</f>
        <v/>
      </c>
      <c r="X412" s="564" t="str">
        <f t="shared" si="80"/>
        <v xml:space="preserve"> </v>
      </c>
      <c r="Y412" s="589"/>
      <c r="Z412" s="592"/>
      <c r="AA412" s="592"/>
      <c r="AB412" s="568"/>
      <c r="AC412" s="592"/>
      <c r="AD412" s="592"/>
      <c r="AE412" s="592"/>
      <c r="AF412" s="590"/>
      <c r="AG412" s="570" t="str">
        <f>IF(AE412&lt;&gt;0,VLOOKUP(AE412,ODDS!$A$2:$C$13,3,0),"")</f>
        <v/>
      </c>
      <c r="AH412" s="570"/>
      <c r="AI412" s="571" t="str">
        <f t="shared" si="85"/>
        <v xml:space="preserve"> </v>
      </c>
      <c r="AJ412" s="558" t="s">
        <v>2198</v>
      </c>
      <c r="AK412" s="586" t="s">
        <v>2771</v>
      </c>
    </row>
    <row r="413" spans="1:37" s="376" customFormat="1" ht="101.25" outlineLevel="2" x14ac:dyDescent="0.3">
      <c r="A413" s="447">
        <f t="shared" ref="A413:A418" si="89">IF(B412&lt;&gt;0,B412,A412)</f>
        <v>35</v>
      </c>
      <c r="B413" s="557"/>
      <c r="C413" s="648" t="s">
        <v>665</v>
      </c>
      <c r="D413" s="594"/>
      <c r="E413" s="587"/>
      <c r="F413" s="560"/>
      <c r="G413" s="558" t="s">
        <v>2470</v>
      </c>
      <c r="H413" s="588">
        <v>2.1</v>
      </c>
      <c r="I413" s="546">
        <f t="shared" si="88"/>
        <v>2.1</v>
      </c>
      <c r="J413" s="597"/>
      <c r="K413" s="563">
        <f>IF(G413&lt;&gt;0,VLOOKUP(G413,'gia dat'!$A$1:$F$144,5,0)," ")</f>
        <v>554400</v>
      </c>
      <c r="L413" s="563">
        <f>IF(G413&lt;&gt;0,VLOOKUP(G413,'gia dat'!$A$1:$F$144,6,0)," ")</f>
        <v>1663200</v>
      </c>
      <c r="M413" s="564">
        <f t="shared" si="81"/>
        <v>1164000</v>
      </c>
      <c r="N413" s="564">
        <f t="shared" si="82"/>
        <v>3493000</v>
      </c>
      <c r="O413" s="598"/>
      <c r="P413" s="599"/>
      <c r="Q413" s="564"/>
      <c r="R413" s="564"/>
      <c r="S413" s="582"/>
      <c r="T413" s="597"/>
      <c r="U413" s="591"/>
      <c r="V413" s="597"/>
      <c r="W413" s="564" t="str">
        <f>IF(S413&lt;&gt;0,VLOOKUP(S413,VKT!$A$2:$G$415,7,0),"")</f>
        <v/>
      </c>
      <c r="X413" s="564" t="str">
        <f t="shared" si="80"/>
        <v xml:space="preserve"> </v>
      </c>
      <c r="Y413" s="589"/>
      <c r="Z413" s="592"/>
      <c r="AA413" s="592"/>
      <c r="AB413" s="568"/>
      <c r="AC413" s="592"/>
      <c r="AD413" s="592"/>
      <c r="AE413" s="592"/>
      <c r="AF413" s="590"/>
      <c r="AG413" s="570" t="str">
        <f>IF(AE413&lt;&gt;0,VLOOKUP(AE413,ODDS!$A$2:$C$13,3,0),"")</f>
        <v/>
      </c>
      <c r="AH413" s="570"/>
      <c r="AI413" s="571" t="str">
        <f t="shared" si="85"/>
        <v xml:space="preserve"> </v>
      </c>
      <c r="AJ413" s="558" t="s">
        <v>2802</v>
      </c>
      <c r="AK413" s="558" t="s">
        <v>2448</v>
      </c>
    </row>
    <row r="414" spans="1:37" s="376" customFormat="1" ht="60.75" outlineLevel="2" x14ac:dyDescent="0.3">
      <c r="A414" s="447">
        <f t="shared" si="89"/>
        <v>35</v>
      </c>
      <c r="B414" s="557"/>
      <c r="C414" s="648" t="s">
        <v>305</v>
      </c>
      <c r="D414" s="594"/>
      <c r="E414" s="587">
        <v>86</v>
      </c>
      <c r="F414" s="560">
        <v>263</v>
      </c>
      <c r="G414" s="558" t="s">
        <v>2471</v>
      </c>
      <c r="H414" s="588">
        <v>39</v>
      </c>
      <c r="I414" s="546" t="str">
        <f t="shared" si="88"/>
        <v/>
      </c>
      <c r="J414" s="597"/>
      <c r="K414" s="563">
        <f>IF(G414&lt;&gt;0,VLOOKUP(G414,'gia dat'!$A$1:$F$144,5,0)," ")</f>
        <v>554400</v>
      </c>
      <c r="L414" s="563">
        <f>IF(G414&lt;&gt;0,VLOOKUP(G414,'gia dat'!$A$1:$F$144,6,0)," ")</f>
        <v>0</v>
      </c>
      <c r="M414" s="564">
        <f t="shared" si="81"/>
        <v>21622000</v>
      </c>
      <c r="N414" s="564">
        <f t="shared" si="82"/>
        <v>0</v>
      </c>
      <c r="O414" s="598"/>
      <c r="P414" s="599"/>
      <c r="Q414" s="564"/>
      <c r="R414" s="564"/>
      <c r="S414" s="582"/>
      <c r="T414" s="597"/>
      <c r="U414" s="591"/>
      <c r="V414" s="597"/>
      <c r="W414" s="564" t="str">
        <f>IF(S414&lt;&gt;0,VLOOKUP(S414,VKT!$A$2:$G$415,7,0),"")</f>
        <v/>
      </c>
      <c r="X414" s="564" t="str">
        <f t="shared" si="80"/>
        <v xml:space="preserve"> </v>
      </c>
      <c r="Y414" s="589"/>
      <c r="Z414" s="592"/>
      <c r="AA414" s="592"/>
      <c r="AB414" s="568"/>
      <c r="AC414" s="592"/>
      <c r="AD414" s="592"/>
      <c r="AE414" s="592"/>
      <c r="AF414" s="590"/>
      <c r="AG414" s="570" t="str">
        <f>IF(AE414&lt;&gt;0,VLOOKUP(AE414,ODDS!$A$2:$C$13,3,0),"")</f>
        <v/>
      </c>
      <c r="AH414" s="570"/>
      <c r="AI414" s="571" t="str">
        <f t="shared" si="85"/>
        <v xml:space="preserve"> </v>
      </c>
      <c r="AJ414" s="558" t="s">
        <v>2074</v>
      </c>
      <c r="AK414" s="558"/>
    </row>
    <row r="415" spans="1:37" s="376" customFormat="1" ht="20.25" outlineLevel="2" x14ac:dyDescent="0.3">
      <c r="A415" s="447">
        <f t="shared" si="89"/>
        <v>35</v>
      </c>
      <c r="B415" s="557"/>
      <c r="C415" s="607"/>
      <c r="D415" s="594"/>
      <c r="E415" s="595"/>
      <c r="F415" s="577"/>
      <c r="G415" s="574"/>
      <c r="H415" s="588"/>
      <c r="I415" s="546"/>
      <c r="J415" s="597"/>
      <c r="K415" s="563" t="str">
        <f>IF(G415&lt;&gt;0,VLOOKUP(G415,'gia dat'!$A$1:$F$144,5,0)," ")</f>
        <v xml:space="preserve"> </v>
      </c>
      <c r="L415" s="563" t="str">
        <f>IF(G415&lt;&gt;0,VLOOKUP(G415,'gia dat'!$A$1:$F$144,6,0)," ")</f>
        <v xml:space="preserve"> </v>
      </c>
      <c r="M415" s="564" t="str">
        <f t="shared" si="81"/>
        <v xml:space="preserve"> </v>
      </c>
      <c r="N415" s="564" t="str">
        <f t="shared" si="82"/>
        <v xml:space="preserve"> </v>
      </c>
      <c r="O415" s="598"/>
      <c r="P415" s="599"/>
      <c r="Q415" s="564"/>
      <c r="R415" s="564"/>
      <c r="S415" s="582"/>
      <c r="T415" s="597"/>
      <c r="U415" s="591"/>
      <c r="V415" s="597"/>
      <c r="W415" s="564" t="str">
        <f>IF(S415&lt;&gt;0,VLOOKUP(S415,VKT!$A$2:$G$415,7,0),"")</f>
        <v/>
      </c>
      <c r="X415" s="564" t="str">
        <f t="shared" si="80"/>
        <v xml:space="preserve"> </v>
      </c>
      <c r="Y415" s="589"/>
      <c r="Z415" s="592"/>
      <c r="AA415" s="592"/>
      <c r="AB415" s="568"/>
      <c r="AC415" s="592"/>
      <c r="AD415" s="592"/>
      <c r="AE415" s="592"/>
      <c r="AF415" s="590"/>
      <c r="AG415" s="570" t="str">
        <f>IF(AE415&lt;&gt;0,VLOOKUP(AE415,ODDS!$A$2:$C$13,3,0),"")</f>
        <v/>
      </c>
      <c r="AH415" s="570"/>
      <c r="AI415" s="571" t="str">
        <f t="shared" si="85"/>
        <v xml:space="preserve"> </v>
      </c>
      <c r="AJ415" s="593"/>
      <c r="AK415" s="558"/>
    </row>
    <row r="416" spans="1:37" s="376" customFormat="1" ht="20.25" outlineLevel="2" x14ac:dyDescent="0.3">
      <c r="A416" s="447">
        <f t="shared" si="89"/>
        <v>35</v>
      </c>
      <c r="B416" s="557"/>
      <c r="C416" s="607"/>
      <c r="D416" s="594"/>
      <c r="E416" s="595"/>
      <c r="F416" s="577"/>
      <c r="G416" s="574"/>
      <c r="H416" s="588"/>
      <c r="I416" s="546"/>
      <c r="J416" s="597"/>
      <c r="K416" s="563" t="str">
        <f>IF(G416&lt;&gt;0,VLOOKUP(G416,'gia dat'!$A$1:$F$144,5,0)," ")</f>
        <v xml:space="preserve"> </v>
      </c>
      <c r="L416" s="563" t="str">
        <f>IF(G416&lt;&gt;0,VLOOKUP(G416,'gia dat'!$A$1:$F$144,6,0)," ")</f>
        <v xml:space="preserve"> </v>
      </c>
      <c r="M416" s="564" t="str">
        <f t="shared" si="81"/>
        <v xml:space="preserve"> </v>
      </c>
      <c r="N416" s="564" t="str">
        <f t="shared" si="82"/>
        <v xml:space="preserve"> </v>
      </c>
      <c r="O416" s="598"/>
      <c r="P416" s="599"/>
      <c r="Q416" s="564"/>
      <c r="R416" s="564"/>
      <c r="S416" s="582"/>
      <c r="T416" s="597"/>
      <c r="U416" s="591"/>
      <c r="V416" s="597"/>
      <c r="W416" s="564" t="str">
        <f>IF(S416&lt;&gt;0,VLOOKUP(S416,VKT!$A$2:$G$415,7,0),"")</f>
        <v/>
      </c>
      <c r="X416" s="564" t="str">
        <f t="shared" si="80"/>
        <v xml:space="preserve"> </v>
      </c>
      <c r="Y416" s="589"/>
      <c r="Z416" s="592"/>
      <c r="AA416" s="592"/>
      <c r="AB416" s="568"/>
      <c r="AC416" s="592"/>
      <c r="AD416" s="592"/>
      <c r="AE416" s="592"/>
      <c r="AF416" s="590"/>
      <c r="AG416" s="570" t="str">
        <f>IF(AE416&lt;&gt;0,VLOOKUP(AE416,ODDS!$A$2:$C$13,3,0),"")</f>
        <v/>
      </c>
      <c r="AH416" s="570"/>
      <c r="AI416" s="571" t="str">
        <f t="shared" si="85"/>
        <v xml:space="preserve"> </v>
      </c>
      <c r="AJ416" s="593"/>
      <c r="AK416" s="593"/>
    </row>
    <row r="417" spans="1:38" s="376" customFormat="1" ht="20.25" outlineLevel="2" x14ac:dyDescent="0.3">
      <c r="A417" s="447">
        <f t="shared" si="89"/>
        <v>35</v>
      </c>
      <c r="B417" s="557"/>
      <c r="C417" s="607"/>
      <c r="D417" s="594"/>
      <c r="E417" s="595"/>
      <c r="F417" s="577"/>
      <c r="G417" s="574"/>
      <c r="H417" s="588"/>
      <c r="I417" s="546"/>
      <c r="J417" s="597"/>
      <c r="K417" s="563" t="str">
        <f>IF(G417&lt;&gt;0,VLOOKUP(G417,'gia dat'!$A$1:$F$144,5,0)," ")</f>
        <v xml:space="preserve"> </v>
      </c>
      <c r="L417" s="563" t="str">
        <f>IF(G417&lt;&gt;0,VLOOKUP(G417,'gia dat'!$A$1:$F$144,6,0)," ")</f>
        <v xml:space="preserve"> </v>
      </c>
      <c r="M417" s="564" t="str">
        <f t="shared" si="81"/>
        <v xml:space="preserve"> </v>
      </c>
      <c r="N417" s="564" t="str">
        <f t="shared" si="82"/>
        <v xml:space="preserve"> </v>
      </c>
      <c r="O417" s="598"/>
      <c r="P417" s="599"/>
      <c r="Q417" s="564"/>
      <c r="R417" s="564"/>
      <c r="S417" s="582"/>
      <c r="T417" s="597"/>
      <c r="U417" s="591"/>
      <c r="V417" s="597"/>
      <c r="W417" s="564" t="str">
        <f>IF(S417&lt;&gt;0,VLOOKUP(S417,VKT!$A$2:$G$415,7,0),"")</f>
        <v/>
      </c>
      <c r="X417" s="564" t="str">
        <f t="shared" si="80"/>
        <v xml:space="preserve"> </v>
      </c>
      <c r="Y417" s="589"/>
      <c r="Z417" s="592"/>
      <c r="AA417" s="592"/>
      <c r="AB417" s="568"/>
      <c r="AC417" s="592"/>
      <c r="AD417" s="592"/>
      <c r="AE417" s="592"/>
      <c r="AF417" s="590"/>
      <c r="AG417" s="570" t="str">
        <f>IF(AE417&lt;&gt;0,VLOOKUP(AE417,ODDS!$A$2:$C$13,3,0),"")</f>
        <v/>
      </c>
      <c r="AH417" s="570"/>
      <c r="AI417" s="571" t="str">
        <f t="shared" si="85"/>
        <v xml:space="preserve"> </v>
      </c>
      <c r="AJ417" s="593"/>
      <c r="AK417" s="593"/>
    </row>
    <row r="418" spans="1:38" s="376" customFormat="1" ht="20.25" outlineLevel="2" x14ac:dyDescent="0.3">
      <c r="A418" s="447">
        <f t="shared" si="89"/>
        <v>35</v>
      </c>
      <c r="B418" s="557"/>
      <c r="C418" s="643"/>
      <c r="D418" s="594"/>
      <c r="E418" s="595"/>
      <c r="F418" s="577"/>
      <c r="G418" s="574"/>
      <c r="H418" s="588"/>
      <c r="I418" s="546"/>
      <c r="J418" s="597"/>
      <c r="K418" s="563" t="str">
        <f>IF(G418&lt;&gt;0,VLOOKUP(G418,'gia dat'!$A$1:$F$144,5,0)," ")</f>
        <v xml:space="preserve"> </v>
      </c>
      <c r="L418" s="563" t="str">
        <f>IF(G418&lt;&gt;0,VLOOKUP(G418,'gia dat'!$A$1:$F$144,6,0)," ")</f>
        <v xml:space="preserve"> </v>
      </c>
      <c r="M418" s="564" t="str">
        <f t="shared" si="81"/>
        <v xml:space="preserve"> </v>
      </c>
      <c r="N418" s="564" t="str">
        <f t="shared" si="82"/>
        <v xml:space="preserve"> </v>
      </c>
      <c r="O418" s="598"/>
      <c r="P418" s="599"/>
      <c r="Q418" s="564"/>
      <c r="R418" s="564"/>
      <c r="S418" s="582"/>
      <c r="T418" s="597"/>
      <c r="U418" s="591"/>
      <c r="V418" s="597"/>
      <c r="W418" s="564" t="str">
        <f>IF(S418&lt;&gt;0,VLOOKUP(S418,VKT!$A$2:$G$415,7,0),"")</f>
        <v/>
      </c>
      <c r="X418" s="564" t="str">
        <f t="shared" si="80"/>
        <v xml:space="preserve"> </v>
      </c>
      <c r="Y418" s="589"/>
      <c r="Z418" s="592"/>
      <c r="AA418" s="592"/>
      <c r="AB418" s="568"/>
      <c r="AC418" s="592"/>
      <c r="AD418" s="592"/>
      <c r="AE418" s="592"/>
      <c r="AF418" s="590"/>
      <c r="AG418" s="570" t="str">
        <f>IF(AE418&lt;&gt;0,VLOOKUP(AE418,ODDS!$A$2:$C$13,3,0),"")</f>
        <v/>
      </c>
      <c r="AH418" s="570"/>
      <c r="AI418" s="571" t="str">
        <f t="shared" si="85"/>
        <v xml:space="preserve"> </v>
      </c>
      <c r="AJ418" s="593"/>
      <c r="AK418" s="593"/>
    </row>
    <row r="419" spans="1:38" s="376" customFormat="1" ht="20.25" outlineLevel="1" x14ac:dyDescent="0.3">
      <c r="A419" s="467" t="s">
        <v>2674</v>
      </c>
      <c r="B419" s="576">
        <v>36</v>
      </c>
      <c r="C419" s="643" t="s">
        <v>2171</v>
      </c>
      <c r="D419" s="595"/>
      <c r="E419" s="623"/>
      <c r="F419" s="623"/>
      <c r="G419" s="624"/>
      <c r="H419" s="625">
        <f>SUBTOTAL(9,H420:H427)</f>
        <v>0</v>
      </c>
      <c r="I419" s="579">
        <f>SUBTOTAL(9,I420:I425)</f>
        <v>0</v>
      </c>
      <c r="J419" s="597"/>
      <c r="K419" s="581"/>
      <c r="L419" s="581"/>
      <c r="M419" s="571">
        <f>SUBTOTAL(9,M420:M427)</f>
        <v>0</v>
      </c>
      <c r="N419" s="571">
        <f>SUBTOTAL(9,N420:N427)</f>
        <v>0</v>
      </c>
      <c r="O419" s="644"/>
      <c r="P419" s="599">
        <f>SUBTOTAL(9,P420:P427)</f>
        <v>6</v>
      </c>
      <c r="Q419" s="571"/>
      <c r="R419" s="571">
        <f>SUBTOTAL(9,R420:R427)</f>
        <v>12893000</v>
      </c>
      <c r="S419" s="644"/>
      <c r="T419" s="655"/>
      <c r="U419" s="600">
        <f>SUBTOTAL(9,U420:U427)</f>
        <v>88.850000000000009</v>
      </c>
      <c r="V419" s="597"/>
      <c r="W419" s="571"/>
      <c r="X419" s="571">
        <f>SUBTOTAL(9,X420:X427)</f>
        <v>254355000</v>
      </c>
      <c r="Y419" s="589"/>
      <c r="Z419" s="592"/>
      <c r="AA419" s="592"/>
      <c r="AB419" s="568"/>
      <c r="AC419" s="592"/>
      <c r="AD419" s="568"/>
      <c r="AE419" s="584"/>
      <c r="AF419" s="581">
        <f>SUBTOTAL(9,AF420:AF427)</f>
        <v>0</v>
      </c>
      <c r="AG419" s="585"/>
      <c r="AH419" s="585">
        <f>SUBTOTAL(9,AH420:AH427)</f>
        <v>0</v>
      </c>
      <c r="AI419" s="571">
        <f t="shared" si="85"/>
        <v>267248000</v>
      </c>
      <c r="AJ419" s="608"/>
      <c r="AK419" s="574"/>
    </row>
    <row r="420" spans="1:38" s="376" customFormat="1" ht="121.5" outlineLevel="2" x14ac:dyDescent="0.3">
      <c r="A420" s="447">
        <f>IF(B419&lt;&gt;0,B419,A418)</f>
        <v>36</v>
      </c>
      <c r="B420" s="557"/>
      <c r="C420" s="648" t="s">
        <v>181</v>
      </c>
      <c r="D420" s="587">
        <v>4</v>
      </c>
      <c r="E420" s="627"/>
      <c r="F420" s="627"/>
      <c r="G420" s="575"/>
      <c r="H420" s="561"/>
      <c r="I420" s="546"/>
      <c r="J420" s="589"/>
      <c r="K420" s="563" t="str">
        <f>IF(G420&lt;&gt;0,VLOOKUP(G420,'gia dat'!$A$1:$F$144,5,0)," ")</f>
        <v xml:space="preserve"> </v>
      </c>
      <c r="L420" s="563" t="str">
        <f>IF(G420&lt;&gt;0,VLOOKUP(G420,'gia dat'!$A$1:$F$144,6,0)," ")</f>
        <v xml:space="preserve"> </v>
      </c>
      <c r="M420" s="564" t="str">
        <f t="shared" si="81"/>
        <v xml:space="preserve"> </v>
      </c>
      <c r="N420" s="564" t="str">
        <f t="shared" si="82"/>
        <v xml:space="preserve"> </v>
      </c>
      <c r="O420" s="646" t="s">
        <v>145</v>
      </c>
      <c r="P420" s="590">
        <v>2</v>
      </c>
      <c r="Q420" s="564">
        <f>IF(O420&lt;&gt;0,VLOOKUP(O420,'Cây trong'!$A$2:$C$246,3,0)," ")</f>
        <v>4240000</v>
      </c>
      <c r="R420" s="564">
        <f t="shared" si="86"/>
        <v>8480000</v>
      </c>
      <c r="S420" s="646" t="s">
        <v>1754</v>
      </c>
      <c r="T420" s="649" t="s">
        <v>53</v>
      </c>
      <c r="U420" s="591">
        <v>42.7</v>
      </c>
      <c r="V420" s="589"/>
      <c r="W420" s="564">
        <f>IF(S420&lt;&gt;0,VLOOKUP(S420,VKT!$A$2:$G$415,7,0),"")</f>
        <v>4717925</v>
      </c>
      <c r="X420" s="564">
        <f t="shared" si="80"/>
        <v>201455000</v>
      </c>
      <c r="Y420" s="589" t="s">
        <v>63</v>
      </c>
      <c r="Z420" s="592" t="s">
        <v>55</v>
      </c>
      <c r="AA420" s="592" t="s">
        <v>56</v>
      </c>
      <c r="AB420" s="568" t="s">
        <v>57</v>
      </c>
      <c r="AC420" s="592" t="s">
        <v>63</v>
      </c>
      <c r="AD420" s="568" t="s">
        <v>430</v>
      </c>
      <c r="AE420" s="568"/>
      <c r="AF420" s="563"/>
      <c r="AG420" s="570" t="str">
        <f>IF(AE420&lt;&gt;0,VLOOKUP(AE420,ODDS!$A$2:$C$13,3,0),"")</f>
        <v/>
      </c>
      <c r="AH420" s="570" t="str">
        <f t="shared" si="87"/>
        <v xml:space="preserve"> </v>
      </c>
      <c r="AI420" s="571" t="str">
        <f t="shared" si="85"/>
        <v xml:space="preserve"> </v>
      </c>
      <c r="AJ420" s="593" t="s">
        <v>182</v>
      </c>
      <c r="AK420" s="558" t="s">
        <v>2450</v>
      </c>
    </row>
    <row r="421" spans="1:38" s="376" customFormat="1" ht="101.25" outlineLevel="2" x14ac:dyDescent="0.3">
      <c r="A421" s="447">
        <f t="shared" ref="A421:A427" si="90">IF(B420&lt;&gt;0,B420,A420)</f>
        <v>36</v>
      </c>
      <c r="B421" s="557"/>
      <c r="C421" s="648" t="s">
        <v>667</v>
      </c>
      <c r="D421" s="587"/>
      <c r="E421" s="627"/>
      <c r="F421" s="627"/>
      <c r="G421" s="575"/>
      <c r="H421" s="561"/>
      <c r="I421" s="546"/>
      <c r="J421" s="589"/>
      <c r="K421" s="563" t="str">
        <f>IF(G421&lt;&gt;0,VLOOKUP(G421,'gia dat'!$A$1:$F$144,5,0)," ")</f>
        <v xml:space="preserve"> </v>
      </c>
      <c r="L421" s="563" t="str">
        <f>IF(G421&lt;&gt;0,VLOOKUP(G421,'gia dat'!$A$1:$F$144,6,0)," ")</f>
        <v xml:space="preserve"> </v>
      </c>
      <c r="M421" s="564" t="str">
        <f t="shared" si="81"/>
        <v xml:space="preserve"> </v>
      </c>
      <c r="N421" s="564" t="str">
        <f t="shared" si="82"/>
        <v xml:space="preserve"> </v>
      </c>
      <c r="O421" s="646" t="s">
        <v>183</v>
      </c>
      <c r="P421" s="590">
        <v>1</v>
      </c>
      <c r="Q421" s="564">
        <f>IF(O421&lt;&gt;0,VLOOKUP(O421,'Cây trong'!$A$2:$C$246,3,0)," ")</f>
        <v>2236000</v>
      </c>
      <c r="R421" s="564">
        <f t="shared" si="86"/>
        <v>2236000</v>
      </c>
      <c r="S421" s="586" t="s">
        <v>1859</v>
      </c>
      <c r="T421" s="647" t="s">
        <v>53</v>
      </c>
      <c r="U421" s="591">
        <v>18.350000000000001</v>
      </c>
      <c r="V421" s="589"/>
      <c r="W421" s="564">
        <f>IF(S421&lt;&gt;0,VLOOKUP(S421,VKT!$A$2:$G$415,7,0),"")</f>
        <v>2524871</v>
      </c>
      <c r="X421" s="564">
        <f t="shared" si="80"/>
        <v>46331000</v>
      </c>
      <c r="Y421" s="589"/>
      <c r="Z421" s="592"/>
      <c r="AA421" s="592"/>
      <c r="AB421" s="568"/>
      <c r="AC421" s="592"/>
      <c r="AD421" s="592"/>
      <c r="AE421" s="592"/>
      <c r="AF421" s="590"/>
      <c r="AG421" s="570" t="str">
        <f>IF(AE421&lt;&gt;0,VLOOKUP(AE421,ODDS!$A$2:$C$13,3,0),"")</f>
        <v/>
      </c>
      <c r="AH421" s="570" t="str">
        <f t="shared" si="87"/>
        <v xml:space="preserve"> </v>
      </c>
      <c r="AI421" s="571" t="str">
        <f t="shared" si="85"/>
        <v xml:space="preserve"> </v>
      </c>
      <c r="AJ421" s="593"/>
      <c r="AK421" s="558" t="s">
        <v>2449</v>
      </c>
    </row>
    <row r="422" spans="1:38" s="376" customFormat="1" ht="60.75" outlineLevel="2" x14ac:dyDescent="0.3">
      <c r="A422" s="447">
        <f t="shared" si="90"/>
        <v>36</v>
      </c>
      <c r="B422" s="557"/>
      <c r="C422" s="558"/>
      <c r="D422" s="587"/>
      <c r="E422" s="627"/>
      <c r="F422" s="627"/>
      <c r="G422" s="575"/>
      <c r="H422" s="561"/>
      <c r="I422" s="546"/>
      <c r="J422" s="589"/>
      <c r="K422" s="563" t="str">
        <f>IF(G422&lt;&gt;0,VLOOKUP(G422,'gia dat'!$A$1:$F$144,5,0)," ")</f>
        <v xml:space="preserve"> </v>
      </c>
      <c r="L422" s="563" t="str">
        <f>IF(G422&lt;&gt;0,VLOOKUP(G422,'gia dat'!$A$1:$F$144,6,0)," ")</f>
        <v xml:space="preserve"> </v>
      </c>
      <c r="M422" s="564" t="str">
        <f t="shared" si="81"/>
        <v xml:space="preserve"> </v>
      </c>
      <c r="N422" s="564" t="str">
        <f t="shared" si="82"/>
        <v xml:space="preserve"> </v>
      </c>
      <c r="O422" s="646" t="s">
        <v>184</v>
      </c>
      <c r="P422" s="590">
        <v>1</v>
      </c>
      <c r="Q422" s="564">
        <f>IF(O422&lt;&gt;0,VLOOKUP(O422,'Cây trong'!$A$2:$C$246,3,0)," ")</f>
        <v>1632000</v>
      </c>
      <c r="R422" s="564">
        <f t="shared" si="86"/>
        <v>1632000</v>
      </c>
      <c r="S422" s="646" t="s">
        <v>1860</v>
      </c>
      <c r="T422" s="647" t="s">
        <v>53</v>
      </c>
      <c r="U422" s="591">
        <v>27.8</v>
      </c>
      <c r="V422" s="589"/>
      <c r="W422" s="564">
        <f>IF(S422&lt;&gt;0,VLOOKUP(S422,VKT!$A$2:$G$415,7,0),"")</f>
        <v>236298</v>
      </c>
      <c r="X422" s="564">
        <f t="shared" si="80"/>
        <v>6569000</v>
      </c>
      <c r="Y422" s="589"/>
      <c r="Z422" s="592"/>
      <c r="AA422" s="592"/>
      <c r="AB422" s="568"/>
      <c r="AC422" s="592"/>
      <c r="AD422" s="592"/>
      <c r="AE422" s="592"/>
      <c r="AF422" s="590"/>
      <c r="AG422" s="570" t="str">
        <f>IF(AE422&lt;&gt;0,VLOOKUP(AE422,ODDS!$A$2:$C$13,3,0),"")</f>
        <v/>
      </c>
      <c r="AH422" s="570" t="str">
        <f t="shared" si="87"/>
        <v xml:space="preserve"> </v>
      </c>
      <c r="AI422" s="571" t="str">
        <f t="shared" si="85"/>
        <v xml:space="preserve"> </v>
      </c>
      <c r="AJ422" s="593"/>
      <c r="AK422" s="593"/>
    </row>
    <row r="423" spans="1:38" s="376" customFormat="1" ht="20.25" outlineLevel="2" x14ac:dyDescent="0.3">
      <c r="A423" s="447">
        <f t="shared" si="90"/>
        <v>36</v>
      </c>
      <c r="B423" s="557"/>
      <c r="C423" s="635"/>
      <c r="D423" s="587"/>
      <c r="E423" s="587"/>
      <c r="F423" s="560"/>
      <c r="G423" s="558"/>
      <c r="H423" s="588"/>
      <c r="I423" s="546"/>
      <c r="J423" s="589"/>
      <c r="K423" s="563" t="str">
        <f>IF(G423&lt;&gt;0,VLOOKUP(G423,'gia dat'!$A$1:$F$144,5,0)," ")</f>
        <v xml:space="preserve"> </v>
      </c>
      <c r="L423" s="563" t="str">
        <f>IF(G423&lt;&gt;0,VLOOKUP(G423,'gia dat'!$A$1:$F$144,6,0)," ")</f>
        <v xml:space="preserve"> </v>
      </c>
      <c r="M423" s="564" t="str">
        <f t="shared" si="81"/>
        <v xml:space="preserve"> </v>
      </c>
      <c r="N423" s="564" t="str">
        <f t="shared" si="82"/>
        <v xml:space="preserve"> </v>
      </c>
      <c r="O423" s="558" t="s">
        <v>185</v>
      </c>
      <c r="P423" s="590">
        <v>1</v>
      </c>
      <c r="Q423" s="564">
        <f>IF(O423&lt;&gt;0,VLOOKUP(O423,'Cây trong'!$A$2:$C$246,3,0)," ")</f>
        <v>473000</v>
      </c>
      <c r="R423" s="564">
        <f t="shared" si="86"/>
        <v>473000</v>
      </c>
      <c r="S423" s="566"/>
      <c r="T423" s="589"/>
      <c r="U423" s="591"/>
      <c r="V423" s="589"/>
      <c r="W423" s="564" t="str">
        <f>IF(S423&lt;&gt;0,VLOOKUP(S423,VKT!$A$2:$G$415,7,0),"")</f>
        <v/>
      </c>
      <c r="X423" s="564" t="str">
        <f t="shared" ref="X423:X486" si="91">IF(S423&lt;&gt;0,ROUND(U423*W423,-3)," ")</f>
        <v xml:space="preserve"> </v>
      </c>
      <c r="Y423" s="589"/>
      <c r="Z423" s="592"/>
      <c r="AA423" s="592"/>
      <c r="AB423" s="568"/>
      <c r="AC423" s="592"/>
      <c r="AD423" s="592"/>
      <c r="AE423" s="592"/>
      <c r="AF423" s="590"/>
      <c r="AG423" s="570" t="str">
        <f>IF(AE423&lt;&gt;0,VLOOKUP(AE423,ODDS!$A$2:$C$13,3,0),"")</f>
        <v/>
      </c>
      <c r="AH423" s="570" t="str">
        <f t="shared" si="87"/>
        <v xml:space="preserve"> </v>
      </c>
      <c r="AI423" s="571" t="str">
        <f t="shared" si="85"/>
        <v xml:space="preserve"> </v>
      </c>
      <c r="AJ423" s="593"/>
      <c r="AK423" s="558"/>
    </row>
    <row r="424" spans="1:38" s="376" customFormat="1" ht="40.5" outlineLevel="2" x14ac:dyDescent="0.3">
      <c r="A424" s="447">
        <f t="shared" si="90"/>
        <v>36</v>
      </c>
      <c r="B424" s="557"/>
      <c r="C424" s="558"/>
      <c r="D424" s="587"/>
      <c r="E424" s="587"/>
      <c r="F424" s="560"/>
      <c r="G424" s="558"/>
      <c r="H424" s="588"/>
      <c r="I424" s="546"/>
      <c r="J424" s="589"/>
      <c r="K424" s="563" t="str">
        <f>IF(G424&lt;&gt;0,VLOOKUP(G424,'gia dat'!$A$1:$F$144,5,0)," ")</f>
        <v xml:space="preserve"> </v>
      </c>
      <c r="L424" s="563" t="str">
        <f>IF(G424&lt;&gt;0,VLOOKUP(G424,'gia dat'!$A$1:$F$144,6,0)," ")</f>
        <v xml:space="preserve"> </v>
      </c>
      <c r="M424" s="564" t="str">
        <f t="shared" si="81"/>
        <v xml:space="preserve"> </v>
      </c>
      <c r="N424" s="564" t="str">
        <f t="shared" si="82"/>
        <v xml:space="preserve"> </v>
      </c>
      <c r="O424" s="558" t="s">
        <v>745</v>
      </c>
      <c r="P424" s="590">
        <v>1</v>
      </c>
      <c r="Q424" s="564">
        <f>IF(O424&lt;&gt;0,VLOOKUP(O424,'Cây trong'!$A$2:$C$246,3,0)," ")</f>
        <v>72000</v>
      </c>
      <c r="R424" s="564">
        <f t="shared" si="86"/>
        <v>72000</v>
      </c>
      <c r="S424" s="566"/>
      <c r="T424" s="589"/>
      <c r="U424" s="591"/>
      <c r="V424" s="589"/>
      <c r="W424" s="564" t="str">
        <f>IF(S424&lt;&gt;0,VLOOKUP(S424,VKT!$A$2:$G$415,7,0),"")</f>
        <v/>
      </c>
      <c r="X424" s="564" t="str">
        <f t="shared" si="91"/>
        <v xml:space="preserve"> </v>
      </c>
      <c r="Y424" s="589"/>
      <c r="Z424" s="592"/>
      <c r="AA424" s="592"/>
      <c r="AB424" s="568"/>
      <c r="AC424" s="592"/>
      <c r="AD424" s="592"/>
      <c r="AE424" s="592"/>
      <c r="AF424" s="590"/>
      <c r="AG424" s="570" t="str">
        <f>IF(AE424&lt;&gt;0,VLOOKUP(AE424,ODDS!$A$2:$C$13,3,0),"")</f>
        <v/>
      </c>
      <c r="AH424" s="570" t="str">
        <f t="shared" si="87"/>
        <v xml:space="preserve"> </v>
      </c>
      <c r="AI424" s="571" t="str">
        <f t="shared" si="85"/>
        <v xml:space="preserve"> </v>
      </c>
      <c r="AJ424" s="593"/>
      <c r="AK424" s="593"/>
    </row>
    <row r="425" spans="1:38" s="376" customFormat="1" ht="20.25" outlineLevel="2" x14ac:dyDescent="0.3">
      <c r="A425" s="447">
        <f t="shared" si="90"/>
        <v>36</v>
      </c>
      <c r="B425" s="557"/>
      <c r="C425" s="558"/>
      <c r="D425" s="587"/>
      <c r="E425" s="587"/>
      <c r="F425" s="560"/>
      <c r="G425" s="558"/>
      <c r="H425" s="588"/>
      <c r="I425" s="546"/>
      <c r="J425" s="589"/>
      <c r="K425" s="563" t="str">
        <f>IF(G425&lt;&gt;0,VLOOKUP(G425,'gia dat'!$A$1:$F$144,5,0)," ")</f>
        <v xml:space="preserve"> </v>
      </c>
      <c r="L425" s="563" t="str">
        <f>IF(G425&lt;&gt;0,VLOOKUP(G425,'gia dat'!$A$1:$F$144,6,0)," ")</f>
        <v xml:space="preserve"> </v>
      </c>
      <c r="M425" s="564" t="str">
        <f t="shared" si="81"/>
        <v xml:space="preserve"> </v>
      </c>
      <c r="N425" s="564" t="str">
        <f t="shared" si="82"/>
        <v xml:space="preserve"> </v>
      </c>
      <c r="O425" s="558"/>
      <c r="P425" s="590"/>
      <c r="Q425" s="564" t="str">
        <f>IF(O425&lt;&gt;0,VLOOKUP(O425,'Cây trong'!$A$2:$C$246,3,0)," ")</f>
        <v xml:space="preserve"> </v>
      </c>
      <c r="R425" s="564" t="str">
        <f t="shared" si="86"/>
        <v xml:space="preserve"> </v>
      </c>
      <c r="S425" s="566"/>
      <c r="T425" s="589"/>
      <c r="U425" s="591"/>
      <c r="V425" s="589"/>
      <c r="W425" s="564" t="str">
        <f>IF(S425&lt;&gt;0,VLOOKUP(S425,VKT!$A$2:$G$415,7,0),"")</f>
        <v/>
      </c>
      <c r="X425" s="564" t="str">
        <f t="shared" si="91"/>
        <v xml:space="preserve"> </v>
      </c>
      <c r="Y425" s="589"/>
      <c r="Z425" s="592"/>
      <c r="AA425" s="592"/>
      <c r="AB425" s="568"/>
      <c r="AC425" s="592"/>
      <c r="AD425" s="592"/>
      <c r="AE425" s="592"/>
      <c r="AF425" s="590"/>
      <c r="AG425" s="570" t="str">
        <f>IF(AE425&lt;&gt;0,VLOOKUP(AE425,ODDS!$A$2:$C$13,3,0),"")</f>
        <v/>
      </c>
      <c r="AH425" s="570" t="str">
        <f t="shared" si="87"/>
        <v xml:space="preserve"> </v>
      </c>
      <c r="AI425" s="571" t="str">
        <f t="shared" si="85"/>
        <v xml:space="preserve"> </v>
      </c>
      <c r="AJ425" s="593"/>
      <c r="AK425" s="593"/>
    </row>
    <row r="426" spans="1:38" s="376" customFormat="1" ht="20.25" outlineLevel="2" x14ac:dyDescent="0.3">
      <c r="A426" s="447">
        <f t="shared" si="90"/>
        <v>36</v>
      </c>
      <c r="B426" s="557"/>
      <c r="C426" s="607"/>
      <c r="D426" s="594"/>
      <c r="E426" s="595"/>
      <c r="F426" s="577"/>
      <c r="G426" s="574"/>
      <c r="H426" s="588"/>
      <c r="I426" s="546"/>
      <c r="J426" s="597"/>
      <c r="K426" s="563" t="str">
        <f>IF(G426&lt;&gt;0,VLOOKUP(G426,'gia dat'!$A$1:$F$144,5,0)," ")</f>
        <v xml:space="preserve"> </v>
      </c>
      <c r="L426" s="563" t="str">
        <f>IF(G426&lt;&gt;0,VLOOKUP(G426,'gia dat'!$A$1:$F$144,6,0)," ")</f>
        <v xml:space="preserve"> </v>
      </c>
      <c r="M426" s="564" t="str">
        <f t="shared" si="81"/>
        <v xml:space="preserve"> </v>
      </c>
      <c r="N426" s="564" t="str">
        <f t="shared" si="82"/>
        <v xml:space="preserve"> </v>
      </c>
      <c r="O426" s="598"/>
      <c r="P426" s="599"/>
      <c r="Q426" s="564" t="str">
        <f>IF(O426&lt;&gt;0,VLOOKUP(O426,'Cây trong'!$A$2:$C$246,3,0)," ")</f>
        <v xml:space="preserve"> </v>
      </c>
      <c r="R426" s="564" t="str">
        <f t="shared" si="86"/>
        <v xml:space="preserve"> </v>
      </c>
      <c r="S426" s="582"/>
      <c r="T426" s="597"/>
      <c r="U426" s="591"/>
      <c r="V426" s="597"/>
      <c r="W426" s="564" t="str">
        <f>IF(S426&lt;&gt;0,VLOOKUP(S426,VKT!$A$2:$G$415,7,0),"")</f>
        <v/>
      </c>
      <c r="X426" s="564" t="str">
        <f t="shared" si="91"/>
        <v xml:space="preserve"> </v>
      </c>
      <c r="Y426" s="589"/>
      <c r="Z426" s="592"/>
      <c r="AA426" s="592"/>
      <c r="AB426" s="568"/>
      <c r="AC426" s="592"/>
      <c r="AD426" s="592"/>
      <c r="AE426" s="592"/>
      <c r="AF426" s="590"/>
      <c r="AG426" s="570" t="str">
        <f>IF(AE426&lt;&gt;0,VLOOKUP(AE426,ODDS!$A$2:$C$13,3,0),"")</f>
        <v/>
      </c>
      <c r="AH426" s="570" t="str">
        <f t="shared" si="87"/>
        <v xml:space="preserve"> </v>
      </c>
      <c r="AI426" s="571" t="str">
        <f t="shared" si="85"/>
        <v xml:space="preserve"> </v>
      </c>
      <c r="AJ426" s="593"/>
      <c r="AK426" s="593"/>
    </row>
    <row r="427" spans="1:38" s="376" customFormat="1" ht="20.25" outlineLevel="2" x14ac:dyDescent="0.3">
      <c r="A427" s="447">
        <f t="shared" si="90"/>
        <v>36</v>
      </c>
      <c r="B427" s="557"/>
      <c r="C427" s="607"/>
      <c r="D427" s="587"/>
      <c r="E427" s="587"/>
      <c r="F427" s="615"/>
      <c r="G427" s="558"/>
      <c r="H427" s="604"/>
      <c r="I427" s="546"/>
      <c r="J427" s="593"/>
      <c r="K427" s="563" t="str">
        <f>IF(G427&lt;&gt;0,VLOOKUP(G427,'gia dat'!$A$1:$F$144,5,0)," ")</f>
        <v xml:space="preserve"> </v>
      </c>
      <c r="L427" s="563" t="str">
        <f>IF(G427&lt;&gt;0,VLOOKUP(G427,'gia dat'!$A$1:$F$144,6,0)," ")</f>
        <v xml:space="preserve"> </v>
      </c>
      <c r="M427" s="564" t="str">
        <f t="shared" si="81"/>
        <v xml:space="preserve"> </v>
      </c>
      <c r="N427" s="564" t="str">
        <f t="shared" si="82"/>
        <v xml:space="preserve"> </v>
      </c>
      <c r="O427" s="593"/>
      <c r="P427" s="616"/>
      <c r="Q427" s="564" t="str">
        <f>IF(O427&lt;&gt;0,VLOOKUP(O427,'Cây trong'!$A$2:$C$246,3,0)," ")</f>
        <v xml:space="preserve"> </v>
      </c>
      <c r="R427" s="564" t="str">
        <f t="shared" si="86"/>
        <v xml:space="preserve"> </v>
      </c>
      <c r="S427" s="593"/>
      <c r="T427" s="593"/>
      <c r="U427" s="617"/>
      <c r="V427" s="589"/>
      <c r="W427" s="564" t="str">
        <f>IF(S427&lt;&gt;0,VLOOKUP(S427,VKT!$A$2:$G$415,7,0),"")</f>
        <v/>
      </c>
      <c r="X427" s="564" t="str">
        <f t="shared" si="91"/>
        <v xml:space="preserve"> </v>
      </c>
      <c r="Y427" s="589"/>
      <c r="Z427" s="589"/>
      <c r="AA427" s="589"/>
      <c r="AB427" s="562"/>
      <c r="AC427" s="589"/>
      <c r="AD427" s="589"/>
      <c r="AE427" s="589"/>
      <c r="AF427" s="629"/>
      <c r="AG427" s="570" t="str">
        <f>IF(AE427&lt;&gt;0,VLOOKUP(AE427,ODDS!$A$2:$C$13,3,0),"")</f>
        <v/>
      </c>
      <c r="AH427" s="570" t="str">
        <f t="shared" si="87"/>
        <v xml:space="preserve"> </v>
      </c>
      <c r="AI427" s="571" t="str">
        <f t="shared" si="85"/>
        <v xml:space="preserve"> </v>
      </c>
      <c r="AJ427" s="593"/>
      <c r="AK427" s="593"/>
    </row>
    <row r="428" spans="1:38" s="376" customFormat="1" ht="20.25" outlineLevel="1" x14ac:dyDescent="0.25">
      <c r="A428" s="467" t="s">
        <v>2673</v>
      </c>
      <c r="B428" s="576">
        <v>37</v>
      </c>
      <c r="C428" s="607" t="s">
        <v>2172</v>
      </c>
      <c r="D428" s="595"/>
      <c r="E428" s="595"/>
      <c r="F428" s="577"/>
      <c r="G428" s="574"/>
      <c r="H428" s="618">
        <f>SUBTOTAL(9,H429:H434)</f>
        <v>195.40000000000003</v>
      </c>
      <c r="I428" s="579">
        <f>SUBTOTAL(9,I429:I434)</f>
        <v>0</v>
      </c>
      <c r="J428" s="608"/>
      <c r="K428" s="581"/>
      <c r="L428" s="581"/>
      <c r="M428" s="571">
        <f>SUBTOTAL(9,M429:M434)</f>
        <v>524449000</v>
      </c>
      <c r="N428" s="571">
        <f>SUBTOTAL(9,N429:N434)</f>
        <v>0</v>
      </c>
      <c r="O428" s="608"/>
      <c r="P428" s="619">
        <f>SUBTOTAL(9,P429:P434)</f>
        <v>0</v>
      </c>
      <c r="Q428" s="571"/>
      <c r="R428" s="571">
        <f>SUBTOTAL(9,R429:R434)</f>
        <v>0</v>
      </c>
      <c r="S428" s="608"/>
      <c r="T428" s="608"/>
      <c r="U428" s="620">
        <f>SUBTOTAL(9,U429:U434)</f>
        <v>0</v>
      </c>
      <c r="V428" s="597"/>
      <c r="W428" s="571"/>
      <c r="X428" s="571">
        <f>SUBTOTAL(9,X429:X434)</f>
        <v>0</v>
      </c>
      <c r="Y428" s="589"/>
      <c r="Z428" s="589"/>
      <c r="AA428" s="589"/>
      <c r="AB428" s="562"/>
      <c r="AC428" s="589"/>
      <c r="AD428" s="589"/>
      <c r="AE428" s="602"/>
      <c r="AF428" s="581">
        <f>SUBTOTAL(9,AF429:AF434)</f>
        <v>0</v>
      </c>
      <c r="AG428" s="585"/>
      <c r="AH428" s="585">
        <f>SUBTOTAL(9,AH429:AH434)</f>
        <v>0</v>
      </c>
      <c r="AI428" s="571">
        <f t="shared" si="85"/>
        <v>524449000</v>
      </c>
      <c r="AJ428" s="574"/>
      <c r="AK428" s="578"/>
    </row>
    <row r="429" spans="1:38" s="376" customFormat="1" ht="202.5" outlineLevel="2" x14ac:dyDescent="0.3">
      <c r="A429" s="447">
        <f>IF(B428&lt;&gt;0,B428,A427)</f>
        <v>37</v>
      </c>
      <c r="B429" s="557"/>
      <c r="C429" s="572" t="s">
        <v>2798</v>
      </c>
      <c r="D429" s="587"/>
      <c r="E429" s="587">
        <v>86</v>
      </c>
      <c r="F429" s="560">
        <v>259</v>
      </c>
      <c r="G429" s="558" t="s">
        <v>2037</v>
      </c>
      <c r="H429" s="588">
        <v>79.900000000000006</v>
      </c>
      <c r="I429" s="546" t="str">
        <f t="shared" ref="I429:I432" si="92">IF(N429&gt;0,H429,"")</f>
        <v/>
      </c>
      <c r="J429" s="593"/>
      <c r="K429" s="563">
        <f>IF(G429&lt;&gt;0,VLOOKUP(G429,'gia dat'!$A$1:$F$144,5,0)," ")</f>
        <v>5762400</v>
      </c>
      <c r="L429" s="563">
        <f>IF(G429&lt;&gt;0,VLOOKUP(G429,'gia dat'!$A$1:$F$144,6,0)," ")</f>
        <v>0</v>
      </c>
      <c r="M429" s="564">
        <f t="shared" si="81"/>
        <v>460416000</v>
      </c>
      <c r="N429" s="564">
        <f t="shared" si="82"/>
        <v>0</v>
      </c>
      <c r="O429" s="593"/>
      <c r="P429" s="616"/>
      <c r="Q429" s="564"/>
      <c r="R429" s="564"/>
      <c r="S429" s="593"/>
      <c r="T429" s="593"/>
      <c r="U429" s="617"/>
      <c r="V429" s="589"/>
      <c r="W429" s="564" t="str">
        <f>IF(S429&lt;&gt;0,VLOOKUP(S429,VKT!$A$2:$G$415,7,0),"")</f>
        <v/>
      </c>
      <c r="X429" s="564" t="str">
        <f t="shared" si="91"/>
        <v xml:space="preserve"> </v>
      </c>
      <c r="Y429" s="589"/>
      <c r="Z429" s="589"/>
      <c r="AA429" s="589"/>
      <c r="AB429" s="562"/>
      <c r="AC429" s="589"/>
      <c r="AD429" s="589"/>
      <c r="AE429" s="569"/>
      <c r="AF429" s="563"/>
      <c r="AG429" s="570"/>
      <c r="AH429" s="570"/>
      <c r="AI429" s="571" t="str">
        <f t="shared" si="85"/>
        <v xml:space="preserve"> </v>
      </c>
      <c r="AJ429" s="558" t="s">
        <v>2199</v>
      </c>
      <c r="AK429" s="586" t="s">
        <v>2771</v>
      </c>
      <c r="AL429" s="376" t="s">
        <v>2202</v>
      </c>
    </row>
    <row r="430" spans="1:38" s="376" customFormat="1" ht="101.25" outlineLevel="2" x14ac:dyDescent="0.3">
      <c r="A430" s="447">
        <f>IF(B429&lt;&gt;0,B429,A429)</f>
        <v>37</v>
      </c>
      <c r="B430" s="557"/>
      <c r="C430" s="572" t="s">
        <v>2799</v>
      </c>
      <c r="D430" s="587"/>
      <c r="E430" s="587">
        <v>86</v>
      </c>
      <c r="F430" s="560">
        <v>259</v>
      </c>
      <c r="G430" s="558" t="s">
        <v>2472</v>
      </c>
      <c r="H430" s="588">
        <f>111.7-H432</f>
        <v>92.800000000000011</v>
      </c>
      <c r="I430" s="546" t="str">
        <f t="shared" si="92"/>
        <v/>
      </c>
      <c r="J430" s="593"/>
      <c r="K430" s="563">
        <f>IF(G430&lt;&gt;0,VLOOKUP(G430,'gia dat'!$A$1:$F$144,5,0)," ")</f>
        <v>554400</v>
      </c>
      <c r="L430" s="563">
        <f>IF(G430&lt;&gt;0,VLOOKUP(G430,'gia dat'!$A$1:$F$144,6,0)," ")</f>
        <v>0</v>
      </c>
      <c r="M430" s="564">
        <f t="shared" ref="M430:M499" si="93">IF(H430&lt;&gt;0,ROUND(H430*K430,-3)," ")</f>
        <v>51448000</v>
      </c>
      <c r="N430" s="564">
        <f t="shared" ref="N430:N499" si="94">IF(H430&lt;&gt;0,ROUND(H430*L430,-3)," ")</f>
        <v>0</v>
      </c>
      <c r="O430" s="593"/>
      <c r="P430" s="616"/>
      <c r="Q430" s="564"/>
      <c r="R430" s="564"/>
      <c r="S430" s="593"/>
      <c r="T430" s="593"/>
      <c r="U430" s="617"/>
      <c r="V430" s="589"/>
      <c r="W430" s="564" t="str">
        <f>IF(S430&lt;&gt;0,VLOOKUP(S430,VKT!$A$2:$G$415,7,0),"")</f>
        <v/>
      </c>
      <c r="X430" s="564" t="str">
        <f t="shared" si="91"/>
        <v xml:space="preserve"> </v>
      </c>
      <c r="Y430" s="589"/>
      <c r="Z430" s="589"/>
      <c r="AA430" s="589"/>
      <c r="AB430" s="562"/>
      <c r="AC430" s="589"/>
      <c r="AD430" s="589"/>
      <c r="AE430" s="569"/>
      <c r="AF430" s="590"/>
      <c r="AG430" s="570" t="str">
        <f>IF(AE430&lt;&gt;0,VLOOKUP(AE430,ODDS!$A$2:$C$13,3,0),"")</f>
        <v/>
      </c>
      <c r="AH430" s="570" t="str">
        <f t="shared" ref="AH430" si="95">IF(AE430&lt;&gt;0,ROUND(AF430*AG430,-2)," ")</f>
        <v xml:space="preserve"> </v>
      </c>
      <c r="AI430" s="571" t="str">
        <f t="shared" si="85"/>
        <v xml:space="preserve"> </v>
      </c>
      <c r="AJ430" s="558" t="s">
        <v>502</v>
      </c>
      <c r="AK430" s="558" t="s">
        <v>2451</v>
      </c>
    </row>
    <row r="431" spans="1:38" s="376" customFormat="1" ht="60.75" outlineLevel="2" x14ac:dyDescent="0.3">
      <c r="A431" s="447">
        <f>IF(B430&lt;&gt;0,B430,A430)</f>
        <v>37</v>
      </c>
      <c r="B431" s="557"/>
      <c r="C431" s="607"/>
      <c r="D431" s="587"/>
      <c r="E431" s="587"/>
      <c r="F431" s="560"/>
      <c r="G431" s="558" t="s">
        <v>2473</v>
      </c>
      <c r="H431" s="588">
        <v>3.8</v>
      </c>
      <c r="I431" s="546" t="str">
        <f t="shared" si="92"/>
        <v/>
      </c>
      <c r="J431" s="593"/>
      <c r="K431" s="563">
        <f>IF(G431&lt;&gt;0,VLOOKUP(G431,'gia dat'!$A$1:$F$144,5,0)," ")</f>
        <v>554400</v>
      </c>
      <c r="L431" s="563">
        <f>IF(G431&lt;&gt;0,VLOOKUP(G431,'gia dat'!$A$1:$F$144,6,0)," ")</f>
        <v>0</v>
      </c>
      <c r="M431" s="564">
        <f t="shared" si="93"/>
        <v>2107000</v>
      </c>
      <c r="N431" s="564">
        <f t="shared" si="94"/>
        <v>0</v>
      </c>
      <c r="O431" s="593"/>
      <c r="P431" s="616"/>
      <c r="Q431" s="564"/>
      <c r="R431" s="564"/>
      <c r="S431" s="593"/>
      <c r="T431" s="593"/>
      <c r="U431" s="617"/>
      <c r="V431" s="589"/>
      <c r="W431" s="564" t="str">
        <f>IF(S431&lt;&gt;0,VLOOKUP(S431,VKT!$A$2:$G$415,7,0),"")</f>
        <v/>
      </c>
      <c r="X431" s="564" t="str">
        <f t="shared" si="91"/>
        <v xml:space="preserve"> </v>
      </c>
      <c r="Y431" s="589"/>
      <c r="Z431" s="589"/>
      <c r="AA431" s="589"/>
      <c r="AB431" s="562"/>
      <c r="AC431" s="589"/>
      <c r="AD431" s="589"/>
      <c r="AE431" s="606"/>
      <c r="AF431" s="590"/>
      <c r="AG431" s="570" t="str">
        <f>IF(AE431&lt;&gt;0,VLOOKUP(AE431,ODDS!$A$2:$C$13,3,0),"")</f>
        <v/>
      </c>
      <c r="AH431" s="570"/>
      <c r="AI431" s="571" t="str">
        <f t="shared" si="85"/>
        <v xml:space="preserve"> </v>
      </c>
      <c r="AJ431" s="558" t="s">
        <v>2453</v>
      </c>
      <c r="AK431" s="558"/>
    </row>
    <row r="432" spans="1:38" s="376" customFormat="1" ht="60.75" outlineLevel="2" x14ac:dyDescent="0.3">
      <c r="A432" s="447">
        <f>IF(B431&lt;&gt;0,B431,A431)</f>
        <v>37</v>
      </c>
      <c r="B432" s="557"/>
      <c r="C432" s="607"/>
      <c r="D432" s="587"/>
      <c r="E432" s="587"/>
      <c r="F432" s="560"/>
      <c r="G432" s="558" t="s">
        <v>2471</v>
      </c>
      <c r="H432" s="588">
        <v>18.899999999999999</v>
      </c>
      <c r="I432" s="546" t="str">
        <f t="shared" si="92"/>
        <v/>
      </c>
      <c r="J432" s="593"/>
      <c r="K432" s="563">
        <f>IF(G432&lt;&gt;0,VLOOKUP(G432,'gia dat'!$A$1:$F$144,5,0)," ")</f>
        <v>554400</v>
      </c>
      <c r="L432" s="563">
        <f>IF(G432&lt;&gt;0,VLOOKUP(G432,'gia dat'!$A$1:$F$144,6,0)," ")</f>
        <v>0</v>
      </c>
      <c r="M432" s="564">
        <f t="shared" si="93"/>
        <v>10478000</v>
      </c>
      <c r="N432" s="564">
        <f t="shared" si="94"/>
        <v>0</v>
      </c>
      <c r="O432" s="593"/>
      <c r="P432" s="616"/>
      <c r="Q432" s="564"/>
      <c r="R432" s="564"/>
      <c r="S432" s="593"/>
      <c r="T432" s="593"/>
      <c r="U432" s="617"/>
      <c r="V432" s="589"/>
      <c r="W432" s="564" t="str">
        <f>IF(S432&lt;&gt;0,VLOOKUP(S432,VKT!$A$2:$G$415,7,0),"")</f>
        <v/>
      </c>
      <c r="X432" s="564" t="str">
        <f t="shared" si="91"/>
        <v xml:space="preserve"> </v>
      </c>
      <c r="Y432" s="589"/>
      <c r="Z432" s="589"/>
      <c r="AA432" s="589"/>
      <c r="AB432" s="562"/>
      <c r="AC432" s="589"/>
      <c r="AD432" s="589"/>
      <c r="AE432" s="589"/>
      <c r="AF432" s="629"/>
      <c r="AG432" s="570" t="str">
        <f>IF(AE432&lt;&gt;0,VLOOKUP(AE432,ODDS!$A$2:$C$13,3,0),"")</f>
        <v/>
      </c>
      <c r="AH432" s="570"/>
      <c r="AI432" s="571" t="str">
        <f t="shared" si="85"/>
        <v xml:space="preserve"> </v>
      </c>
      <c r="AJ432" s="593"/>
      <c r="AK432" s="593"/>
    </row>
    <row r="433" spans="1:38" s="376" customFormat="1" ht="20.25" outlineLevel="2" x14ac:dyDescent="0.3">
      <c r="A433" s="447">
        <f>IF(B432&lt;&gt;0,B432,A432)</f>
        <v>37</v>
      </c>
      <c r="B433" s="557"/>
      <c r="C433" s="607"/>
      <c r="D433" s="587"/>
      <c r="E433" s="587"/>
      <c r="F433" s="615"/>
      <c r="G433" s="558"/>
      <c r="H433" s="604"/>
      <c r="I433" s="546"/>
      <c r="J433" s="593"/>
      <c r="K433" s="563" t="str">
        <f>IF(G433&lt;&gt;0,VLOOKUP(G433,'gia dat'!$A$1:$F$144,5,0)," ")</f>
        <v xml:space="preserve"> </v>
      </c>
      <c r="L433" s="563" t="str">
        <f>IF(G433&lt;&gt;0,VLOOKUP(G433,'gia dat'!$A$1:$F$144,6,0)," ")</f>
        <v xml:space="preserve"> </v>
      </c>
      <c r="M433" s="564" t="str">
        <f t="shared" si="93"/>
        <v xml:space="preserve"> </v>
      </c>
      <c r="N433" s="564" t="str">
        <f t="shared" si="94"/>
        <v xml:space="preserve"> </v>
      </c>
      <c r="O433" s="593"/>
      <c r="P433" s="616"/>
      <c r="Q433" s="564"/>
      <c r="R433" s="564"/>
      <c r="S433" s="593"/>
      <c r="T433" s="593"/>
      <c r="U433" s="617"/>
      <c r="V433" s="589"/>
      <c r="W433" s="564" t="str">
        <f>IF(S433&lt;&gt;0,VLOOKUP(S433,VKT!$A$2:$G$415,7,0),"")</f>
        <v/>
      </c>
      <c r="X433" s="564" t="str">
        <f t="shared" si="91"/>
        <v xml:space="preserve"> </v>
      </c>
      <c r="Y433" s="589"/>
      <c r="Z433" s="589"/>
      <c r="AA433" s="589"/>
      <c r="AB433" s="562"/>
      <c r="AC433" s="589"/>
      <c r="AD433" s="589"/>
      <c r="AE433" s="589"/>
      <c r="AF433" s="629"/>
      <c r="AG433" s="570" t="str">
        <f>IF(AE433&lt;&gt;0,VLOOKUP(AE433,ODDS!$A$2:$C$13,3,0),"")</f>
        <v/>
      </c>
      <c r="AH433" s="570"/>
      <c r="AI433" s="571" t="str">
        <f t="shared" si="85"/>
        <v xml:space="preserve"> </v>
      </c>
      <c r="AJ433" s="593"/>
      <c r="AK433" s="593"/>
    </row>
    <row r="434" spans="1:38" s="376" customFormat="1" ht="20.25" outlineLevel="2" x14ac:dyDescent="0.3">
      <c r="A434" s="447">
        <f>IF(B433&lt;&gt;0,B433,A433)</f>
        <v>37</v>
      </c>
      <c r="B434" s="557"/>
      <c r="C434" s="607"/>
      <c r="D434" s="587"/>
      <c r="E434" s="587"/>
      <c r="F434" s="615"/>
      <c r="G434" s="558"/>
      <c r="H434" s="604"/>
      <c r="I434" s="546"/>
      <c r="J434" s="593"/>
      <c r="K434" s="563" t="str">
        <f>IF(G434&lt;&gt;0,VLOOKUP(G434,'gia dat'!$A$1:$F$144,5,0)," ")</f>
        <v xml:space="preserve"> </v>
      </c>
      <c r="L434" s="563" t="str">
        <f>IF(G434&lt;&gt;0,VLOOKUP(G434,'gia dat'!$A$1:$F$144,6,0)," ")</f>
        <v xml:space="preserve"> </v>
      </c>
      <c r="M434" s="564" t="str">
        <f t="shared" si="93"/>
        <v xml:space="preserve"> </v>
      </c>
      <c r="N434" s="564" t="str">
        <f t="shared" si="94"/>
        <v xml:space="preserve"> </v>
      </c>
      <c r="O434" s="593"/>
      <c r="P434" s="616"/>
      <c r="Q434" s="564"/>
      <c r="R434" s="564"/>
      <c r="S434" s="593"/>
      <c r="T434" s="593"/>
      <c r="U434" s="617"/>
      <c r="V434" s="589"/>
      <c r="W434" s="564" t="str">
        <f>IF(S434&lt;&gt;0,VLOOKUP(S434,VKT!$A$2:$G$415,7,0),"")</f>
        <v/>
      </c>
      <c r="X434" s="564" t="str">
        <f t="shared" si="91"/>
        <v xml:space="preserve"> </v>
      </c>
      <c r="Y434" s="589"/>
      <c r="Z434" s="589"/>
      <c r="AA434" s="589"/>
      <c r="AB434" s="562"/>
      <c r="AC434" s="589"/>
      <c r="AD434" s="589"/>
      <c r="AE434" s="589"/>
      <c r="AF434" s="629"/>
      <c r="AG434" s="570" t="str">
        <f>IF(AE434&lt;&gt;0,VLOOKUP(AE434,ODDS!$A$2:$C$13,3,0),"")</f>
        <v/>
      </c>
      <c r="AH434" s="570"/>
      <c r="AI434" s="571" t="str">
        <f t="shared" si="85"/>
        <v xml:space="preserve"> </v>
      </c>
      <c r="AJ434" s="593"/>
      <c r="AK434" s="593"/>
    </row>
    <row r="435" spans="1:38" s="376" customFormat="1" ht="20.25" outlineLevel="1" x14ac:dyDescent="0.25">
      <c r="A435" s="467" t="s">
        <v>2672</v>
      </c>
      <c r="B435" s="576">
        <v>38</v>
      </c>
      <c r="C435" s="607" t="s">
        <v>2172</v>
      </c>
      <c r="D435" s="595"/>
      <c r="E435" s="595"/>
      <c r="F435" s="577"/>
      <c r="G435" s="574"/>
      <c r="H435" s="618">
        <f>SUBTOTAL(9,H436:H441)</f>
        <v>195.8</v>
      </c>
      <c r="I435" s="579">
        <f>SUBTOTAL(9,I436:I441)</f>
        <v>0</v>
      </c>
      <c r="J435" s="608"/>
      <c r="K435" s="581"/>
      <c r="L435" s="581"/>
      <c r="M435" s="571">
        <f>SUBTOTAL(9,M436:M441)</f>
        <v>525191000</v>
      </c>
      <c r="N435" s="571">
        <f>SUBTOTAL(9,N436:N441)</f>
        <v>0</v>
      </c>
      <c r="O435" s="608"/>
      <c r="P435" s="619">
        <f>SUBTOTAL(9,P436:P441)</f>
        <v>0</v>
      </c>
      <c r="Q435" s="571"/>
      <c r="R435" s="571">
        <f>SUBTOTAL(9,R436:R441)</f>
        <v>0</v>
      </c>
      <c r="S435" s="608"/>
      <c r="T435" s="608"/>
      <c r="U435" s="620">
        <f>SUBTOTAL(9,U436:U441)</f>
        <v>0</v>
      </c>
      <c r="V435" s="597"/>
      <c r="W435" s="571"/>
      <c r="X435" s="571">
        <f>SUBTOTAL(9,X436:X441)</f>
        <v>0</v>
      </c>
      <c r="Y435" s="589"/>
      <c r="Z435" s="589"/>
      <c r="AA435" s="589"/>
      <c r="AB435" s="562"/>
      <c r="AC435" s="589"/>
      <c r="AD435" s="589"/>
      <c r="AE435" s="597"/>
      <c r="AF435" s="656">
        <f>SUBTOTAL(9,AF436:AF441)</f>
        <v>0</v>
      </c>
      <c r="AG435" s="585"/>
      <c r="AH435" s="585">
        <f>SUBTOTAL(9,AH436:AH441)</f>
        <v>0</v>
      </c>
      <c r="AI435" s="571">
        <f t="shared" si="85"/>
        <v>525191000</v>
      </c>
      <c r="AJ435" s="574"/>
      <c r="AK435" s="578"/>
    </row>
    <row r="436" spans="1:38" s="376" customFormat="1" ht="202.5" outlineLevel="2" x14ac:dyDescent="0.3">
      <c r="A436" s="447">
        <f>IF(B435&lt;&gt;0,B435,A434)</f>
        <v>38</v>
      </c>
      <c r="B436" s="557"/>
      <c r="C436" s="572" t="s">
        <v>2798</v>
      </c>
      <c r="D436" s="587"/>
      <c r="E436" s="587">
        <v>86</v>
      </c>
      <c r="F436" s="560">
        <v>259</v>
      </c>
      <c r="G436" s="558" t="s">
        <v>2037</v>
      </c>
      <c r="H436" s="588">
        <v>80</v>
      </c>
      <c r="I436" s="546" t="str">
        <f t="shared" ref="I436:I439" si="96">IF(N436&gt;0,H436,"")</f>
        <v/>
      </c>
      <c r="J436" s="593"/>
      <c r="K436" s="563">
        <f>IF(G436&lt;&gt;0,VLOOKUP(G436,'gia dat'!$A$1:$F$144,5,0)," ")</f>
        <v>5762400</v>
      </c>
      <c r="L436" s="563">
        <f>IF(G436&lt;&gt;0,VLOOKUP(G436,'gia dat'!$A$1:$F$144,6,0)," ")</f>
        <v>0</v>
      </c>
      <c r="M436" s="564">
        <f t="shared" si="93"/>
        <v>460992000</v>
      </c>
      <c r="N436" s="564">
        <f t="shared" si="94"/>
        <v>0</v>
      </c>
      <c r="O436" s="593"/>
      <c r="P436" s="616"/>
      <c r="Q436" s="564"/>
      <c r="R436" s="564"/>
      <c r="S436" s="593"/>
      <c r="T436" s="593"/>
      <c r="U436" s="617"/>
      <c r="V436" s="589"/>
      <c r="W436" s="564" t="str">
        <f>IF(S436&lt;&gt;0,VLOOKUP(S436,VKT!$A$2:$G$415,7,0),"")</f>
        <v/>
      </c>
      <c r="X436" s="564" t="str">
        <f t="shared" si="91"/>
        <v xml:space="preserve"> </v>
      </c>
      <c r="Y436" s="589"/>
      <c r="Z436" s="589"/>
      <c r="AA436" s="589"/>
      <c r="AB436" s="562"/>
      <c r="AC436" s="589"/>
      <c r="AD436" s="589"/>
      <c r="AE436" s="589"/>
      <c r="AF436" s="629"/>
      <c r="AG436" s="570" t="str">
        <f>IF(AE436&lt;&gt;0,VLOOKUP(AE436,ODDS!$A$2:$C$13,3,0),"")</f>
        <v/>
      </c>
      <c r="AH436" s="570"/>
      <c r="AI436" s="571" t="str">
        <f t="shared" si="85"/>
        <v xml:space="preserve"> </v>
      </c>
      <c r="AJ436" s="558" t="s">
        <v>2200</v>
      </c>
      <c r="AK436" s="586" t="s">
        <v>2771</v>
      </c>
      <c r="AL436" s="376" t="s">
        <v>2202</v>
      </c>
    </row>
    <row r="437" spans="1:38" s="376" customFormat="1" ht="101.25" outlineLevel="2" x14ac:dyDescent="0.3">
      <c r="A437" s="447">
        <f>IF(B436&lt;&gt;0,B436,A436)</f>
        <v>38</v>
      </c>
      <c r="B437" s="557"/>
      <c r="C437" s="572" t="s">
        <v>2799</v>
      </c>
      <c r="D437" s="587"/>
      <c r="E437" s="587">
        <v>86</v>
      </c>
      <c r="F437" s="560">
        <v>259</v>
      </c>
      <c r="G437" s="558" t="s">
        <v>2472</v>
      </c>
      <c r="H437" s="588">
        <f>111.7-H439</f>
        <v>96.9</v>
      </c>
      <c r="I437" s="546" t="str">
        <f t="shared" si="96"/>
        <v/>
      </c>
      <c r="J437" s="593"/>
      <c r="K437" s="563">
        <f>IF(G437&lt;&gt;0,VLOOKUP(G437,'gia dat'!$A$1:$F$144,5,0)," ")</f>
        <v>554400</v>
      </c>
      <c r="L437" s="563">
        <f>IF(G437&lt;&gt;0,VLOOKUP(G437,'gia dat'!$A$1:$F$144,6,0)," ")</f>
        <v>0</v>
      </c>
      <c r="M437" s="564">
        <f t="shared" si="93"/>
        <v>53721000</v>
      </c>
      <c r="N437" s="564">
        <f t="shared" si="94"/>
        <v>0</v>
      </c>
      <c r="O437" s="593"/>
      <c r="P437" s="616"/>
      <c r="Q437" s="564"/>
      <c r="R437" s="564"/>
      <c r="S437" s="593"/>
      <c r="T437" s="593"/>
      <c r="U437" s="617"/>
      <c r="V437" s="589"/>
      <c r="W437" s="564" t="str">
        <f>IF(S437&lt;&gt;0,VLOOKUP(S437,VKT!$A$2:$G$415,7,0),"")</f>
        <v/>
      </c>
      <c r="X437" s="564" t="str">
        <f t="shared" si="91"/>
        <v xml:space="preserve"> </v>
      </c>
      <c r="Y437" s="589"/>
      <c r="Z437" s="589"/>
      <c r="AA437" s="589"/>
      <c r="AB437" s="562"/>
      <c r="AC437" s="589"/>
      <c r="AD437" s="589"/>
      <c r="AE437" s="589"/>
      <c r="AF437" s="629"/>
      <c r="AG437" s="570" t="str">
        <f>IF(AE437&lt;&gt;0,VLOOKUP(AE437,ODDS!$A$2:$C$13,3,0),"")</f>
        <v/>
      </c>
      <c r="AH437" s="570"/>
      <c r="AI437" s="571" t="str">
        <f t="shared" si="85"/>
        <v xml:space="preserve"> </v>
      </c>
      <c r="AJ437" s="558" t="s">
        <v>2201</v>
      </c>
      <c r="AK437" s="593"/>
    </row>
    <row r="438" spans="1:38" s="376" customFormat="1" ht="60.75" outlineLevel="2" x14ac:dyDescent="0.3">
      <c r="A438" s="447">
        <f>IF(B437&lt;&gt;0,B437,A437)</f>
        <v>38</v>
      </c>
      <c r="B438" s="557"/>
      <c r="C438" s="607"/>
      <c r="D438" s="587"/>
      <c r="E438" s="587"/>
      <c r="F438" s="560"/>
      <c r="G438" s="558" t="s">
        <v>2473</v>
      </c>
      <c r="H438" s="588">
        <v>4.0999999999999996</v>
      </c>
      <c r="I438" s="546" t="str">
        <f t="shared" si="96"/>
        <v/>
      </c>
      <c r="J438" s="593"/>
      <c r="K438" s="563">
        <f>IF(G438&lt;&gt;0,VLOOKUP(G438,'gia dat'!$A$1:$F$144,5,0)," ")</f>
        <v>554400</v>
      </c>
      <c r="L438" s="563">
        <f>IF(G438&lt;&gt;0,VLOOKUP(G438,'gia dat'!$A$1:$F$144,6,0)," ")</f>
        <v>0</v>
      </c>
      <c r="M438" s="564">
        <f t="shared" si="93"/>
        <v>2273000</v>
      </c>
      <c r="N438" s="564">
        <f t="shared" si="94"/>
        <v>0</v>
      </c>
      <c r="O438" s="593"/>
      <c r="P438" s="616"/>
      <c r="Q438" s="564"/>
      <c r="R438" s="564"/>
      <c r="S438" s="593"/>
      <c r="T438" s="593"/>
      <c r="U438" s="617"/>
      <c r="V438" s="589"/>
      <c r="W438" s="564" t="str">
        <f>IF(S438&lt;&gt;0,VLOOKUP(S438,VKT!$A$2:$G$415,7,0),"")</f>
        <v/>
      </c>
      <c r="X438" s="564" t="str">
        <f t="shared" si="91"/>
        <v xml:space="preserve"> </v>
      </c>
      <c r="Y438" s="589"/>
      <c r="Z438" s="589"/>
      <c r="AA438" s="589"/>
      <c r="AB438" s="562"/>
      <c r="AC438" s="589"/>
      <c r="AD438" s="589"/>
      <c r="AE438" s="589"/>
      <c r="AF438" s="629"/>
      <c r="AG438" s="570" t="str">
        <f>IF(AE438&lt;&gt;0,VLOOKUP(AE438,ODDS!$A$2:$C$13,3,0),"")</f>
        <v/>
      </c>
      <c r="AH438" s="570"/>
      <c r="AI438" s="571" t="str">
        <f t="shared" si="85"/>
        <v xml:space="preserve"> </v>
      </c>
      <c r="AJ438" s="558" t="s">
        <v>2453</v>
      </c>
      <c r="AK438" s="593"/>
    </row>
    <row r="439" spans="1:38" s="376" customFormat="1" ht="60.75" outlineLevel="2" x14ac:dyDescent="0.3">
      <c r="A439" s="447">
        <f>IF(B438&lt;&gt;0,B438,A438)</f>
        <v>38</v>
      </c>
      <c r="B439" s="557"/>
      <c r="C439" s="607"/>
      <c r="D439" s="587"/>
      <c r="E439" s="612"/>
      <c r="F439" s="612"/>
      <c r="G439" s="558" t="s">
        <v>2471</v>
      </c>
      <c r="H439" s="588">
        <v>14.8</v>
      </c>
      <c r="I439" s="546" t="str">
        <f t="shared" si="96"/>
        <v/>
      </c>
      <c r="J439" s="593"/>
      <c r="K439" s="563">
        <f>IF(G439&lt;&gt;0,VLOOKUP(G439,'gia dat'!$A$1:$F$144,5,0)," ")</f>
        <v>554400</v>
      </c>
      <c r="L439" s="563">
        <f>IF(G439&lt;&gt;0,VLOOKUP(G439,'gia dat'!$A$1:$F$144,6,0)," ")</f>
        <v>0</v>
      </c>
      <c r="M439" s="564">
        <f t="shared" si="93"/>
        <v>8205000</v>
      </c>
      <c r="N439" s="564">
        <f t="shared" si="94"/>
        <v>0</v>
      </c>
      <c r="O439" s="593"/>
      <c r="P439" s="616"/>
      <c r="Q439" s="564"/>
      <c r="R439" s="564"/>
      <c r="S439" s="593"/>
      <c r="T439" s="593"/>
      <c r="U439" s="617"/>
      <c r="V439" s="589"/>
      <c r="W439" s="564" t="str">
        <f>IF(S439&lt;&gt;0,VLOOKUP(S439,VKT!$A$2:$G$415,7,0),"")</f>
        <v/>
      </c>
      <c r="X439" s="564" t="str">
        <f t="shared" si="91"/>
        <v xml:space="preserve"> </v>
      </c>
      <c r="Y439" s="589"/>
      <c r="Z439" s="589"/>
      <c r="AA439" s="589"/>
      <c r="AB439" s="562"/>
      <c r="AC439" s="589"/>
      <c r="AD439" s="589"/>
      <c r="AE439" s="589"/>
      <c r="AF439" s="629"/>
      <c r="AG439" s="570" t="str">
        <f>IF(AE439&lt;&gt;0,VLOOKUP(AE439,ODDS!$A$2:$C$13,3,0),"")</f>
        <v/>
      </c>
      <c r="AH439" s="570"/>
      <c r="AI439" s="571" t="str">
        <f t="shared" si="85"/>
        <v xml:space="preserve"> </v>
      </c>
      <c r="AJ439" s="593"/>
      <c r="AK439" s="593"/>
    </row>
    <row r="440" spans="1:38" s="376" customFormat="1" ht="20.25" outlineLevel="2" x14ac:dyDescent="0.3">
      <c r="A440" s="447">
        <f>IF(B439&lt;&gt;0,B439,A439)</f>
        <v>38</v>
      </c>
      <c r="B440" s="557"/>
      <c r="C440" s="607"/>
      <c r="D440" s="587"/>
      <c r="E440" s="587"/>
      <c r="F440" s="615"/>
      <c r="G440" s="558"/>
      <c r="H440" s="604"/>
      <c r="I440" s="546"/>
      <c r="J440" s="593"/>
      <c r="K440" s="563" t="str">
        <f>IF(G440&lt;&gt;0,VLOOKUP(G440,'gia dat'!$A$1:$F$144,5,0)," ")</f>
        <v xml:space="preserve"> </v>
      </c>
      <c r="L440" s="563" t="str">
        <f>IF(G440&lt;&gt;0,VLOOKUP(G440,'gia dat'!$A$1:$F$144,6,0)," ")</f>
        <v xml:space="preserve"> </v>
      </c>
      <c r="M440" s="564" t="str">
        <f t="shared" si="93"/>
        <v xml:space="preserve"> </v>
      </c>
      <c r="N440" s="564" t="str">
        <f t="shared" si="94"/>
        <v xml:space="preserve"> </v>
      </c>
      <c r="O440" s="593"/>
      <c r="P440" s="616"/>
      <c r="Q440" s="564"/>
      <c r="R440" s="564"/>
      <c r="S440" s="593"/>
      <c r="T440" s="593"/>
      <c r="U440" s="617"/>
      <c r="V440" s="589"/>
      <c r="W440" s="564" t="str">
        <f>IF(S440&lt;&gt;0,VLOOKUP(S440,VKT!$A$2:$G$415,7,0),"")</f>
        <v/>
      </c>
      <c r="X440" s="564" t="str">
        <f t="shared" si="91"/>
        <v xml:space="preserve"> </v>
      </c>
      <c r="Y440" s="589"/>
      <c r="Z440" s="589"/>
      <c r="AA440" s="589"/>
      <c r="AB440" s="562"/>
      <c r="AC440" s="589"/>
      <c r="AD440" s="589"/>
      <c r="AE440" s="589"/>
      <c r="AF440" s="629"/>
      <c r="AG440" s="570" t="str">
        <f>IF(AE440&lt;&gt;0,VLOOKUP(AE440,ODDS!$A$2:$C$13,3,0),"")</f>
        <v/>
      </c>
      <c r="AH440" s="570"/>
      <c r="AI440" s="571" t="str">
        <f t="shared" si="85"/>
        <v xml:space="preserve"> </v>
      </c>
      <c r="AJ440" s="593"/>
      <c r="AK440" s="593"/>
    </row>
    <row r="441" spans="1:38" s="376" customFormat="1" ht="20.25" outlineLevel="2" x14ac:dyDescent="0.3">
      <c r="A441" s="447">
        <f>IF(B440&lt;&gt;0,B440,A440)</f>
        <v>38</v>
      </c>
      <c r="B441" s="557"/>
      <c r="C441" s="574"/>
      <c r="D441" s="587"/>
      <c r="E441" s="587"/>
      <c r="F441" s="615"/>
      <c r="G441" s="558"/>
      <c r="H441" s="604"/>
      <c r="I441" s="546"/>
      <c r="J441" s="593"/>
      <c r="K441" s="563" t="str">
        <f>IF(G441&lt;&gt;0,VLOOKUP(G441,'gia dat'!$A$1:$F$144,5,0)," ")</f>
        <v xml:space="preserve"> </v>
      </c>
      <c r="L441" s="563" t="str">
        <f>IF(G441&lt;&gt;0,VLOOKUP(G441,'gia dat'!$A$1:$F$144,6,0)," ")</f>
        <v xml:space="preserve"> </v>
      </c>
      <c r="M441" s="564" t="str">
        <f t="shared" si="93"/>
        <v xml:space="preserve"> </v>
      </c>
      <c r="N441" s="564" t="str">
        <f t="shared" si="94"/>
        <v xml:space="preserve"> </v>
      </c>
      <c r="O441" s="593"/>
      <c r="P441" s="616"/>
      <c r="Q441" s="564"/>
      <c r="R441" s="564"/>
      <c r="S441" s="593"/>
      <c r="T441" s="593"/>
      <c r="U441" s="617"/>
      <c r="V441" s="589"/>
      <c r="W441" s="564" t="str">
        <f>IF(S441&lt;&gt;0,VLOOKUP(S441,VKT!$A$2:$G$415,7,0),"")</f>
        <v/>
      </c>
      <c r="X441" s="564" t="str">
        <f t="shared" si="91"/>
        <v xml:space="preserve"> </v>
      </c>
      <c r="Y441" s="589"/>
      <c r="Z441" s="589"/>
      <c r="AA441" s="589"/>
      <c r="AB441" s="562"/>
      <c r="AC441" s="589"/>
      <c r="AD441" s="589"/>
      <c r="AE441" s="589"/>
      <c r="AF441" s="629"/>
      <c r="AG441" s="570" t="str">
        <f>IF(AE441&lt;&gt;0,VLOOKUP(AE441,ODDS!$A$2:$C$13,3,0),"")</f>
        <v/>
      </c>
      <c r="AH441" s="570"/>
      <c r="AI441" s="571" t="str">
        <f t="shared" si="85"/>
        <v xml:space="preserve"> </v>
      </c>
      <c r="AJ441" s="593"/>
      <c r="AK441" s="593"/>
    </row>
    <row r="442" spans="1:38" s="376" customFormat="1" ht="20.25" outlineLevel="1" x14ac:dyDescent="0.3">
      <c r="A442" s="467" t="s">
        <v>2671</v>
      </c>
      <c r="B442" s="576">
        <v>39</v>
      </c>
      <c r="C442" s="574" t="s">
        <v>2176</v>
      </c>
      <c r="D442" s="595"/>
      <c r="E442" s="623"/>
      <c r="F442" s="623"/>
      <c r="G442" s="624"/>
      <c r="H442" s="625">
        <f>SUBTOTAL(9,H443:H454)</f>
        <v>0</v>
      </c>
      <c r="I442" s="579">
        <f>SUBTOTAL(9,I443:I448)</f>
        <v>0</v>
      </c>
      <c r="J442" s="608"/>
      <c r="K442" s="581"/>
      <c r="L442" s="581"/>
      <c r="M442" s="571">
        <f>SUBTOTAL(9,M443:M454)</f>
        <v>0</v>
      </c>
      <c r="N442" s="571">
        <f>SUBTOTAL(9,N443:N454)</f>
        <v>0</v>
      </c>
      <c r="O442" s="578"/>
      <c r="P442" s="599">
        <f>SUBTOTAL(9,P443:P454)</f>
        <v>21</v>
      </c>
      <c r="Q442" s="571"/>
      <c r="R442" s="571">
        <f>SUBTOTAL(9,R443:R454)</f>
        <v>11462000</v>
      </c>
      <c r="S442" s="578"/>
      <c r="T442" s="621"/>
      <c r="U442" s="600">
        <f>SUBTOTAL(9,U443:U454)</f>
        <v>44.4</v>
      </c>
      <c r="V442" s="597"/>
      <c r="W442" s="571"/>
      <c r="X442" s="571">
        <f>SUBTOTAL(9,X443:X454)</f>
        <v>49803000</v>
      </c>
      <c r="Y442" s="589"/>
      <c r="Z442" s="592"/>
      <c r="AA442" s="592"/>
      <c r="AB442" s="568"/>
      <c r="AC442" s="592"/>
      <c r="AD442" s="592"/>
      <c r="AE442" s="601"/>
      <c r="AF442" s="599">
        <f>SUBTOTAL(9,AF443:AF454)</f>
        <v>0</v>
      </c>
      <c r="AG442" s="585"/>
      <c r="AH442" s="585">
        <f>SUBTOTAL(9,AH443:AH454)</f>
        <v>0</v>
      </c>
      <c r="AI442" s="571">
        <f t="shared" si="85"/>
        <v>61265000</v>
      </c>
      <c r="AJ442" s="608"/>
      <c r="AK442" s="574"/>
    </row>
    <row r="443" spans="1:38" s="376" customFormat="1" ht="121.5" outlineLevel="2" x14ac:dyDescent="0.3">
      <c r="A443" s="447">
        <f>IF(B442&lt;&gt;0,B442,A441)</f>
        <v>39</v>
      </c>
      <c r="B443" s="557"/>
      <c r="C443" s="558" t="s">
        <v>129</v>
      </c>
      <c r="D443" s="587">
        <v>1</v>
      </c>
      <c r="E443" s="627"/>
      <c r="F443" s="627"/>
      <c r="G443" s="575"/>
      <c r="H443" s="561"/>
      <c r="I443" s="546"/>
      <c r="J443" s="593"/>
      <c r="K443" s="563" t="str">
        <f>IF(G443&lt;&gt;0,VLOOKUP(G443,'gia dat'!$A$1:$F$144,5,0)," ")</f>
        <v xml:space="preserve"> </v>
      </c>
      <c r="L443" s="563" t="str">
        <f>IF(G443&lt;&gt;0,VLOOKUP(G443,'gia dat'!$A$1:$F$144,6,0)," ")</f>
        <v xml:space="preserve"> </v>
      </c>
      <c r="M443" s="564" t="str">
        <f t="shared" si="93"/>
        <v xml:space="preserve"> </v>
      </c>
      <c r="N443" s="564" t="str">
        <f t="shared" si="94"/>
        <v xml:space="preserve"> </v>
      </c>
      <c r="O443" s="586" t="s">
        <v>145</v>
      </c>
      <c r="P443" s="590">
        <v>1</v>
      </c>
      <c r="Q443" s="564">
        <f>IF(O443&lt;&gt;0,VLOOKUP(O443,'Cây trong'!$A$2:$C$246,3,0)," ")</f>
        <v>4240000</v>
      </c>
      <c r="R443" s="564">
        <f t="shared" si="86"/>
        <v>4240000</v>
      </c>
      <c r="S443" s="586" t="s">
        <v>1852</v>
      </c>
      <c r="T443" s="609" t="s">
        <v>53</v>
      </c>
      <c r="U443" s="591">
        <v>28.9</v>
      </c>
      <c r="V443" s="589"/>
      <c r="W443" s="564">
        <f>IF(S443&lt;&gt;0,VLOOKUP(S443,VKT!$A$2:$G$415,7,0),"")</f>
        <v>1490563</v>
      </c>
      <c r="X443" s="564">
        <f t="shared" si="91"/>
        <v>43077000</v>
      </c>
      <c r="Y443" s="589" t="s">
        <v>54</v>
      </c>
      <c r="Z443" s="592" t="s">
        <v>55</v>
      </c>
      <c r="AA443" s="592" t="s">
        <v>56</v>
      </c>
      <c r="AB443" s="568" t="s">
        <v>186</v>
      </c>
      <c r="AC443" s="592" t="s">
        <v>66</v>
      </c>
      <c r="AD443" s="592"/>
      <c r="AE443" s="592"/>
      <c r="AF443" s="590"/>
      <c r="AG443" s="570" t="str">
        <f>IF(AE443&lt;&gt;0,VLOOKUP(AE443,ODDS!$A$2:$C$13,3,0),"")</f>
        <v/>
      </c>
      <c r="AH443" s="570" t="str">
        <f t="shared" si="87"/>
        <v xml:space="preserve"> </v>
      </c>
      <c r="AI443" s="571" t="str">
        <f t="shared" si="85"/>
        <v xml:space="preserve"> </v>
      </c>
      <c r="AJ443" s="593" t="s">
        <v>488</v>
      </c>
      <c r="AK443" s="558" t="s">
        <v>2450</v>
      </c>
    </row>
    <row r="444" spans="1:38" s="376" customFormat="1" ht="101.25" outlineLevel="2" x14ac:dyDescent="0.3">
      <c r="A444" s="447">
        <f t="shared" ref="A444:A454" si="97">IF(B443&lt;&gt;0,B443,A443)</f>
        <v>39</v>
      </c>
      <c r="B444" s="557"/>
      <c r="C444" s="628" t="s">
        <v>669</v>
      </c>
      <c r="D444" s="587"/>
      <c r="E444" s="627"/>
      <c r="F444" s="627"/>
      <c r="G444" s="575"/>
      <c r="H444" s="561"/>
      <c r="I444" s="546"/>
      <c r="J444" s="593"/>
      <c r="K444" s="563" t="str">
        <f>IF(G444&lt;&gt;0,VLOOKUP(G444,'gia dat'!$A$1:$F$144,5,0)," ")</f>
        <v xml:space="preserve"> </v>
      </c>
      <c r="L444" s="563" t="str">
        <f>IF(G444&lt;&gt;0,VLOOKUP(G444,'gia dat'!$A$1:$F$144,6,0)," ")</f>
        <v xml:space="preserve"> </v>
      </c>
      <c r="M444" s="564" t="str">
        <f t="shared" si="93"/>
        <v xml:space="preserve"> </v>
      </c>
      <c r="N444" s="564" t="str">
        <f t="shared" si="94"/>
        <v xml:space="preserve"> </v>
      </c>
      <c r="O444" s="586" t="s">
        <v>77</v>
      </c>
      <c r="P444" s="590">
        <v>1</v>
      </c>
      <c r="Q444" s="564">
        <f>IF(O444&lt;&gt;0,VLOOKUP(O444,'Cây trong'!$A$2:$C$246,3,0)," ")</f>
        <v>3064000</v>
      </c>
      <c r="R444" s="564">
        <f t="shared" si="86"/>
        <v>3064000</v>
      </c>
      <c r="S444" s="586" t="s">
        <v>2307</v>
      </c>
      <c r="T444" s="609" t="s">
        <v>53</v>
      </c>
      <c r="U444" s="591">
        <v>2.6</v>
      </c>
      <c r="V444" s="589"/>
      <c r="W444" s="564">
        <f>IF(S444&lt;&gt;0,VLOOKUP(S444,VKT!$A$2:$G$415,7,0),"")</f>
        <v>2093161</v>
      </c>
      <c r="X444" s="564">
        <f t="shared" si="91"/>
        <v>5442000</v>
      </c>
      <c r="Y444" s="589"/>
      <c r="Z444" s="592"/>
      <c r="AA444" s="592" t="s">
        <v>56</v>
      </c>
      <c r="AB444" s="568" t="s">
        <v>57</v>
      </c>
      <c r="AC444" s="592" t="s">
        <v>139</v>
      </c>
      <c r="AD444" s="592"/>
      <c r="AE444" s="592"/>
      <c r="AF444" s="590"/>
      <c r="AG444" s="570" t="str">
        <f>IF(AE444&lt;&gt;0,VLOOKUP(AE444,ODDS!$A$2:$C$13,3,0),"")</f>
        <v/>
      </c>
      <c r="AH444" s="570" t="str">
        <f t="shared" si="87"/>
        <v xml:space="preserve"> </v>
      </c>
      <c r="AI444" s="571" t="str">
        <f t="shared" si="85"/>
        <v xml:space="preserve"> </v>
      </c>
      <c r="AJ444" s="575"/>
      <c r="AK444" s="558" t="s">
        <v>2449</v>
      </c>
    </row>
    <row r="445" spans="1:38" s="376" customFormat="1" ht="101.25" outlineLevel="2" x14ac:dyDescent="0.3">
      <c r="A445" s="447">
        <f t="shared" si="97"/>
        <v>39</v>
      </c>
      <c r="B445" s="557"/>
      <c r="C445" s="558"/>
      <c r="D445" s="587"/>
      <c r="E445" s="627"/>
      <c r="F445" s="627"/>
      <c r="G445" s="575"/>
      <c r="H445" s="561"/>
      <c r="I445" s="546"/>
      <c r="J445" s="593"/>
      <c r="K445" s="563" t="str">
        <f>IF(G445&lt;&gt;0,VLOOKUP(G445,'gia dat'!$A$1:$F$144,5,0)," ")</f>
        <v xml:space="preserve"> </v>
      </c>
      <c r="L445" s="563" t="str">
        <f>IF(G445&lt;&gt;0,VLOOKUP(G445,'gia dat'!$A$1:$F$144,6,0)," ")</f>
        <v xml:space="preserve"> </v>
      </c>
      <c r="M445" s="564" t="str">
        <f t="shared" si="93"/>
        <v xml:space="preserve"> </v>
      </c>
      <c r="N445" s="564" t="str">
        <f t="shared" si="94"/>
        <v xml:space="preserve"> </v>
      </c>
      <c r="O445" s="586" t="s">
        <v>61</v>
      </c>
      <c r="P445" s="590">
        <v>1</v>
      </c>
      <c r="Q445" s="564">
        <f>IF(O445&lt;&gt;0,VLOOKUP(O445,'Cây trong'!$A$2:$C$246,3,0)," ")</f>
        <v>1708000</v>
      </c>
      <c r="R445" s="564">
        <f t="shared" si="86"/>
        <v>1708000</v>
      </c>
      <c r="S445" s="586" t="s">
        <v>1748</v>
      </c>
      <c r="T445" s="609" t="s">
        <v>53</v>
      </c>
      <c r="U445" s="591">
        <v>6.65</v>
      </c>
      <c r="V445" s="589"/>
      <c r="W445" s="564">
        <f>IF(S445&lt;&gt;0,VLOOKUP(S445,VKT!$A$2:$G$415,7,0),"")</f>
        <v>0</v>
      </c>
      <c r="X445" s="564">
        <f t="shared" si="91"/>
        <v>0</v>
      </c>
      <c r="Y445" s="589"/>
      <c r="Z445" s="592"/>
      <c r="AA445" s="592"/>
      <c r="AB445" s="568"/>
      <c r="AC445" s="592"/>
      <c r="AD445" s="592"/>
      <c r="AE445" s="592"/>
      <c r="AF445" s="590"/>
      <c r="AG445" s="570" t="str">
        <f>IF(AE445&lt;&gt;0,VLOOKUP(AE445,ODDS!$A$2:$C$13,3,0),"")</f>
        <v/>
      </c>
      <c r="AH445" s="570" t="str">
        <f t="shared" si="87"/>
        <v xml:space="preserve"> </v>
      </c>
      <c r="AI445" s="571" t="str">
        <f t="shared" si="85"/>
        <v xml:space="preserve"> </v>
      </c>
      <c r="AJ445" s="593"/>
      <c r="AK445" s="558" t="s">
        <v>2800</v>
      </c>
    </row>
    <row r="446" spans="1:38" s="376" customFormat="1" ht="40.5" outlineLevel="2" x14ac:dyDescent="0.3">
      <c r="A446" s="447">
        <f t="shared" si="97"/>
        <v>39</v>
      </c>
      <c r="B446" s="557"/>
      <c r="C446" s="558"/>
      <c r="D446" s="587"/>
      <c r="E446" s="627"/>
      <c r="F446" s="627"/>
      <c r="G446" s="575"/>
      <c r="H446" s="561"/>
      <c r="I446" s="546"/>
      <c r="J446" s="593"/>
      <c r="K446" s="563" t="str">
        <f>IF(G446&lt;&gt;0,VLOOKUP(G446,'gia dat'!$A$1:$F$144,5,0)," ")</f>
        <v xml:space="preserve"> </v>
      </c>
      <c r="L446" s="563" t="str">
        <f>IF(G446&lt;&gt;0,VLOOKUP(G446,'gia dat'!$A$1:$F$144,6,0)," ")</f>
        <v xml:space="preserve"> </v>
      </c>
      <c r="M446" s="564" t="str">
        <f t="shared" si="93"/>
        <v xml:space="preserve"> </v>
      </c>
      <c r="N446" s="564" t="str">
        <f t="shared" si="94"/>
        <v xml:space="preserve"> </v>
      </c>
      <c r="O446" s="586" t="s">
        <v>64</v>
      </c>
      <c r="P446" s="590">
        <v>1</v>
      </c>
      <c r="Q446" s="564">
        <f>IF(O446&lt;&gt;0,VLOOKUP(O446,'Cây trong'!$A$2:$C$246,3,0)," ")</f>
        <v>1122000</v>
      </c>
      <c r="R446" s="564">
        <f t="shared" si="86"/>
        <v>1122000</v>
      </c>
      <c r="S446" s="586" t="s">
        <v>1839</v>
      </c>
      <c r="T446" s="609" t="s">
        <v>53</v>
      </c>
      <c r="U446" s="591">
        <v>5.25</v>
      </c>
      <c r="V446" s="589"/>
      <c r="W446" s="564">
        <f>IF(S446&lt;&gt;0,VLOOKUP(S446,VKT!$A$2:$G$415,7,0),"")</f>
        <v>244604</v>
      </c>
      <c r="X446" s="564">
        <f t="shared" si="91"/>
        <v>1284000</v>
      </c>
      <c r="Y446" s="589"/>
      <c r="Z446" s="592"/>
      <c r="AA446" s="592"/>
      <c r="AB446" s="568"/>
      <c r="AC446" s="592"/>
      <c r="AD446" s="592"/>
      <c r="AE446" s="592"/>
      <c r="AF446" s="590"/>
      <c r="AG446" s="570" t="str">
        <f>IF(AE446&lt;&gt;0,VLOOKUP(AE446,ODDS!$A$2:$C$13,3,0),"")</f>
        <v/>
      </c>
      <c r="AH446" s="570" t="str">
        <f t="shared" si="87"/>
        <v xml:space="preserve"> </v>
      </c>
      <c r="AI446" s="571" t="str">
        <f t="shared" si="85"/>
        <v xml:space="preserve"> </v>
      </c>
      <c r="AJ446" s="575"/>
      <c r="AK446" s="558"/>
    </row>
    <row r="447" spans="1:38" s="376" customFormat="1" ht="60.75" outlineLevel="2" x14ac:dyDescent="0.3">
      <c r="A447" s="447">
        <f t="shared" si="97"/>
        <v>39</v>
      </c>
      <c r="B447" s="557"/>
      <c r="C447" s="572"/>
      <c r="D447" s="603"/>
      <c r="E447" s="587"/>
      <c r="F447" s="560"/>
      <c r="G447" s="558"/>
      <c r="H447" s="588"/>
      <c r="I447" s="546"/>
      <c r="J447" s="589"/>
      <c r="K447" s="563" t="str">
        <f>IF(G447&lt;&gt;0,VLOOKUP(G447,'gia dat'!$A$1:$F$144,5,0)," ")</f>
        <v xml:space="preserve"> </v>
      </c>
      <c r="L447" s="563" t="str">
        <f>IF(G447&lt;&gt;0,VLOOKUP(G447,'gia dat'!$A$1:$F$144,6,0)," ")</f>
        <v xml:space="preserve"> </v>
      </c>
      <c r="M447" s="564" t="str">
        <f t="shared" si="93"/>
        <v xml:space="preserve"> </v>
      </c>
      <c r="N447" s="564" t="str">
        <f t="shared" si="94"/>
        <v xml:space="preserve"> </v>
      </c>
      <c r="O447" s="565" t="s">
        <v>746</v>
      </c>
      <c r="P447" s="590">
        <v>1</v>
      </c>
      <c r="Q447" s="564">
        <f>IF(O447&lt;&gt;0,VLOOKUP(O447,'Cây trong'!$A$2:$C$246,3,0)," ")</f>
        <v>32000</v>
      </c>
      <c r="R447" s="564">
        <f t="shared" si="86"/>
        <v>32000</v>
      </c>
      <c r="S447" s="566" t="s">
        <v>1758</v>
      </c>
      <c r="T447" s="589" t="s">
        <v>93</v>
      </c>
      <c r="U447" s="591">
        <v>1</v>
      </c>
      <c r="V447" s="589"/>
      <c r="W447" s="564">
        <f>IF(S447&lt;&gt;0,VLOOKUP(S447,VKT!$A$2:$G$415,7,0),"")</f>
        <v>0</v>
      </c>
      <c r="X447" s="564">
        <f t="shared" si="91"/>
        <v>0</v>
      </c>
      <c r="Y447" s="589"/>
      <c r="Z447" s="592"/>
      <c r="AA447" s="592"/>
      <c r="AB447" s="568"/>
      <c r="AC447" s="592"/>
      <c r="AD447" s="592"/>
      <c r="AE447" s="592"/>
      <c r="AF447" s="590"/>
      <c r="AG447" s="570" t="str">
        <f>IF(AE447&lt;&gt;0,VLOOKUP(AE447,ODDS!$A$2:$C$13,3,0),"")</f>
        <v/>
      </c>
      <c r="AH447" s="570" t="str">
        <f t="shared" si="87"/>
        <v xml:space="preserve"> </v>
      </c>
      <c r="AI447" s="571" t="str">
        <f t="shared" si="85"/>
        <v xml:space="preserve"> </v>
      </c>
      <c r="AJ447" s="575"/>
      <c r="AK447" s="593"/>
    </row>
    <row r="448" spans="1:38" s="376" customFormat="1" ht="40.5" outlineLevel="2" x14ac:dyDescent="0.3">
      <c r="A448" s="447">
        <f t="shared" si="97"/>
        <v>39</v>
      </c>
      <c r="B448" s="557"/>
      <c r="C448" s="572"/>
      <c r="D448" s="587"/>
      <c r="E448" s="612"/>
      <c r="F448" s="612"/>
      <c r="G448" s="586"/>
      <c r="H448" s="588"/>
      <c r="I448" s="546"/>
      <c r="J448" s="593"/>
      <c r="K448" s="563" t="str">
        <f>IF(G448&lt;&gt;0,VLOOKUP(G448,'gia dat'!$A$1:$F$144,5,0)," ")</f>
        <v xml:space="preserve"> </v>
      </c>
      <c r="L448" s="563" t="str">
        <f>IF(G448&lt;&gt;0,VLOOKUP(G448,'gia dat'!$A$1:$F$144,6,0)," ")</f>
        <v xml:space="preserve"> </v>
      </c>
      <c r="M448" s="564" t="str">
        <f t="shared" si="93"/>
        <v xml:space="preserve"> </v>
      </c>
      <c r="N448" s="564" t="str">
        <f t="shared" si="94"/>
        <v xml:space="preserve"> </v>
      </c>
      <c r="O448" s="586" t="s">
        <v>187</v>
      </c>
      <c r="P448" s="630">
        <v>1</v>
      </c>
      <c r="Q448" s="564">
        <f>IF(O448&lt;&gt;0,VLOOKUP(O448,'Cây trong'!$A$2:$C$246,3,0)," ")</f>
        <v>120000</v>
      </c>
      <c r="R448" s="564">
        <f t="shared" si="86"/>
        <v>120000</v>
      </c>
      <c r="S448" s="566"/>
      <c r="T448" s="589"/>
      <c r="U448" s="591"/>
      <c r="V448" s="589"/>
      <c r="W448" s="564" t="str">
        <f>IF(S448&lt;&gt;0,VLOOKUP(S448,VKT!$A$2:$G$415,7,0),"")</f>
        <v/>
      </c>
      <c r="X448" s="564" t="str">
        <f t="shared" si="91"/>
        <v xml:space="preserve"> </v>
      </c>
      <c r="Y448" s="589"/>
      <c r="Z448" s="592"/>
      <c r="AA448" s="592"/>
      <c r="AB448" s="568"/>
      <c r="AC448" s="592"/>
      <c r="AD448" s="592"/>
      <c r="AE448" s="592"/>
      <c r="AF448" s="590"/>
      <c r="AG448" s="570" t="str">
        <f>IF(AE448&lt;&gt;0,VLOOKUP(AE448,ODDS!$A$2:$C$13,3,0),"")</f>
        <v/>
      </c>
      <c r="AH448" s="570" t="str">
        <f t="shared" si="87"/>
        <v xml:space="preserve"> </v>
      </c>
      <c r="AI448" s="571" t="str">
        <f t="shared" si="85"/>
        <v xml:space="preserve"> </v>
      </c>
      <c r="AJ448" s="593"/>
      <c r="AK448" s="593"/>
    </row>
    <row r="449" spans="1:37" s="376" customFormat="1" ht="20.25" outlineLevel="2" x14ac:dyDescent="0.3">
      <c r="A449" s="447">
        <f t="shared" si="97"/>
        <v>39</v>
      </c>
      <c r="B449" s="557"/>
      <c r="C449" s="558"/>
      <c r="D449" s="587"/>
      <c r="E449" s="587"/>
      <c r="F449" s="560"/>
      <c r="G449" s="558"/>
      <c r="H449" s="588"/>
      <c r="I449" s="546"/>
      <c r="J449" s="593"/>
      <c r="K449" s="563" t="str">
        <f>IF(G449&lt;&gt;0,VLOOKUP(G449,'gia dat'!$A$1:$F$144,5,0)," ")</f>
        <v xml:space="preserve"> </v>
      </c>
      <c r="L449" s="563" t="str">
        <f>IF(G449&lt;&gt;0,VLOOKUP(G449,'gia dat'!$A$1:$F$144,6,0)," ")</f>
        <v xml:space="preserve"> </v>
      </c>
      <c r="M449" s="564" t="str">
        <f t="shared" si="93"/>
        <v xml:space="preserve"> </v>
      </c>
      <c r="N449" s="564" t="str">
        <f t="shared" si="94"/>
        <v xml:space="preserve"> </v>
      </c>
      <c r="O449" s="586" t="s">
        <v>747</v>
      </c>
      <c r="P449" s="630">
        <v>1</v>
      </c>
      <c r="Q449" s="564">
        <f>IF(O449&lt;&gt;0,VLOOKUP(O449,'Cây trong'!$A$2:$C$246,3,0)," ")</f>
        <v>0</v>
      </c>
      <c r="R449" s="564">
        <f t="shared" si="86"/>
        <v>0</v>
      </c>
      <c r="S449" s="586"/>
      <c r="T449" s="609"/>
      <c r="U449" s="591"/>
      <c r="V449" s="589"/>
      <c r="W449" s="564" t="str">
        <f>IF(S449&lt;&gt;0,VLOOKUP(S449,VKT!$A$2:$G$415,7,0),"")</f>
        <v/>
      </c>
      <c r="X449" s="564" t="str">
        <f t="shared" si="91"/>
        <v xml:space="preserve"> </v>
      </c>
      <c r="Y449" s="589"/>
      <c r="Z449" s="592"/>
      <c r="AA449" s="592"/>
      <c r="AB449" s="568"/>
      <c r="AC449" s="592"/>
      <c r="AD449" s="592"/>
      <c r="AE449" s="592"/>
      <c r="AF449" s="590"/>
      <c r="AG449" s="570" t="str">
        <f>IF(AE449&lt;&gt;0,VLOOKUP(AE449,ODDS!$A$2:$C$13,3,0),"")</f>
        <v/>
      </c>
      <c r="AH449" s="570" t="str">
        <f t="shared" si="87"/>
        <v xml:space="preserve"> </v>
      </c>
      <c r="AI449" s="571" t="str">
        <f t="shared" si="85"/>
        <v xml:space="preserve"> </v>
      </c>
      <c r="AJ449" s="593"/>
      <c r="AK449" s="593"/>
    </row>
    <row r="450" spans="1:37" s="376" customFormat="1" ht="20.25" outlineLevel="2" x14ac:dyDescent="0.3">
      <c r="A450" s="447">
        <f t="shared" si="97"/>
        <v>39</v>
      </c>
      <c r="B450" s="557"/>
      <c r="C450" s="558"/>
      <c r="D450" s="587"/>
      <c r="E450" s="587"/>
      <c r="F450" s="560"/>
      <c r="G450" s="558"/>
      <c r="H450" s="588"/>
      <c r="I450" s="546"/>
      <c r="J450" s="589"/>
      <c r="K450" s="563" t="str">
        <f>IF(G450&lt;&gt;0,VLOOKUP(G450,'gia dat'!$A$1:$F$144,5,0)," ")</f>
        <v xml:space="preserve"> </v>
      </c>
      <c r="L450" s="563" t="str">
        <f>IF(G450&lt;&gt;0,VLOOKUP(G450,'gia dat'!$A$1:$F$144,6,0)," ")</f>
        <v xml:space="preserve"> </v>
      </c>
      <c r="M450" s="564" t="str">
        <f t="shared" si="93"/>
        <v xml:space="preserve"> </v>
      </c>
      <c r="N450" s="564" t="str">
        <f t="shared" si="94"/>
        <v xml:space="preserve"> </v>
      </c>
      <c r="O450" s="558" t="s">
        <v>72</v>
      </c>
      <c r="P450" s="590">
        <v>5</v>
      </c>
      <c r="Q450" s="564">
        <f>IF(O450&lt;&gt;0,VLOOKUP(O450,'Cây trong'!$A$2:$C$246,3,0)," ")</f>
        <v>132000</v>
      </c>
      <c r="R450" s="564">
        <f t="shared" si="86"/>
        <v>660000</v>
      </c>
      <c r="S450" s="566"/>
      <c r="T450" s="589"/>
      <c r="U450" s="591"/>
      <c r="V450" s="589"/>
      <c r="W450" s="564" t="str">
        <f>IF(S450&lt;&gt;0,VLOOKUP(S450,VKT!$A$2:$G$415,7,0),"")</f>
        <v/>
      </c>
      <c r="X450" s="564" t="str">
        <f t="shared" si="91"/>
        <v xml:space="preserve"> </v>
      </c>
      <c r="Y450" s="589"/>
      <c r="Z450" s="592"/>
      <c r="AA450" s="592"/>
      <c r="AB450" s="568"/>
      <c r="AC450" s="592"/>
      <c r="AD450" s="592"/>
      <c r="AE450" s="592"/>
      <c r="AF450" s="590"/>
      <c r="AG450" s="570" t="str">
        <f>IF(AE450&lt;&gt;0,VLOOKUP(AE450,ODDS!$A$2:$C$13,3,0),"")</f>
        <v/>
      </c>
      <c r="AH450" s="570" t="str">
        <f t="shared" si="87"/>
        <v xml:space="preserve"> </v>
      </c>
      <c r="AI450" s="571" t="str">
        <f t="shared" si="85"/>
        <v xml:space="preserve"> </v>
      </c>
      <c r="AJ450" s="593"/>
      <c r="AK450" s="593"/>
    </row>
    <row r="451" spans="1:37" s="376" customFormat="1" ht="20.25" outlineLevel="2" x14ac:dyDescent="0.3">
      <c r="A451" s="447">
        <f t="shared" si="97"/>
        <v>39</v>
      </c>
      <c r="B451" s="557"/>
      <c r="C451" s="558"/>
      <c r="D451" s="587"/>
      <c r="E451" s="587"/>
      <c r="F451" s="560"/>
      <c r="G451" s="558"/>
      <c r="H451" s="588"/>
      <c r="I451" s="546"/>
      <c r="J451" s="589"/>
      <c r="K451" s="563" t="str">
        <f>IF(G451&lt;&gt;0,VLOOKUP(G451,'gia dat'!$A$1:$F$144,5,0)," ")</f>
        <v xml:space="preserve"> </v>
      </c>
      <c r="L451" s="563" t="str">
        <f>IF(G451&lt;&gt;0,VLOOKUP(G451,'gia dat'!$A$1:$F$144,6,0)," ")</f>
        <v xml:space="preserve"> </v>
      </c>
      <c r="M451" s="564" t="str">
        <f t="shared" si="93"/>
        <v xml:space="preserve"> </v>
      </c>
      <c r="N451" s="564" t="str">
        <f t="shared" si="94"/>
        <v xml:space="preserve"> </v>
      </c>
      <c r="O451" s="558" t="s">
        <v>73</v>
      </c>
      <c r="P451" s="590">
        <v>5</v>
      </c>
      <c r="Q451" s="564">
        <f>IF(O451&lt;&gt;0,VLOOKUP(O451,'Cây trong'!$A$2:$C$246,3,0)," ")</f>
        <v>76000</v>
      </c>
      <c r="R451" s="564">
        <f t="shared" si="86"/>
        <v>380000</v>
      </c>
      <c r="S451" s="566"/>
      <c r="T451" s="589"/>
      <c r="U451" s="591"/>
      <c r="V451" s="589"/>
      <c r="W451" s="564" t="str">
        <f>IF(S451&lt;&gt;0,VLOOKUP(S451,VKT!$A$2:$G$415,7,0),"")</f>
        <v/>
      </c>
      <c r="X451" s="564" t="str">
        <f t="shared" si="91"/>
        <v xml:space="preserve"> </v>
      </c>
      <c r="Y451" s="589"/>
      <c r="Z451" s="592"/>
      <c r="AA451" s="592"/>
      <c r="AB451" s="568"/>
      <c r="AC451" s="592"/>
      <c r="AD451" s="592"/>
      <c r="AE451" s="592"/>
      <c r="AF451" s="590"/>
      <c r="AG451" s="570" t="str">
        <f>IF(AE451&lt;&gt;0,VLOOKUP(AE451,ODDS!$A$2:$C$13,3,0),"")</f>
        <v/>
      </c>
      <c r="AH451" s="570" t="str">
        <f t="shared" si="87"/>
        <v xml:space="preserve"> </v>
      </c>
      <c r="AI451" s="571" t="str">
        <f t="shared" si="85"/>
        <v xml:space="preserve"> </v>
      </c>
      <c r="AJ451" s="593"/>
      <c r="AK451" s="593"/>
    </row>
    <row r="452" spans="1:37" s="376" customFormat="1" ht="20.25" outlineLevel="2" x14ac:dyDescent="0.3">
      <c r="A452" s="447">
        <f t="shared" si="97"/>
        <v>39</v>
      </c>
      <c r="B452" s="557"/>
      <c r="C452" s="558"/>
      <c r="D452" s="587"/>
      <c r="E452" s="587"/>
      <c r="F452" s="560"/>
      <c r="G452" s="558"/>
      <c r="H452" s="588"/>
      <c r="I452" s="546"/>
      <c r="J452" s="589"/>
      <c r="K452" s="563" t="str">
        <f>IF(G452&lt;&gt;0,VLOOKUP(G452,'gia dat'!$A$1:$F$144,5,0)," ")</f>
        <v xml:space="preserve"> </v>
      </c>
      <c r="L452" s="563" t="str">
        <f>IF(G452&lt;&gt;0,VLOOKUP(G452,'gia dat'!$A$1:$F$144,6,0)," ")</f>
        <v xml:space="preserve"> </v>
      </c>
      <c r="M452" s="564" t="str">
        <f t="shared" si="93"/>
        <v xml:space="preserve"> </v>
      </c>
      <c r="N452" s="564" t="str">
        <f t="shared" si="94"/>
        <v xml:space="preserve"> </v>
      </c>
      <c r="O452" s="558" t="s">
        <v>75</v>
      </c>
      <c r="P452" s="590">
        <v>4</v>
      </c>
      <c r="Q452" s="564">
        <f>IF(O452&lt;&gt;0,VLOOKUP(O452,'Cây trong'!$A$2:$C$246,3,0)," ")</f>
        <v>34000</v>
      </c>
      <c r="R452" s="564">
        <f t="shared" si="86"/>
        <v>136000</v>
      </c>
      <c r="S452" s="566"/>
      <c r="T452" s="589"/>
      <c r="U452" s="591"/>
      <c r="V452" s="589"/>
      <c r="W452" s="564" t="str">
        <f>IF(S452&lt;&gt;0,VLOOKUP(S452,VKT!$A$2:$G$415,7,0),"")</f>
        <v/>
      </c>
      <c r="X452" s="564" t="str">
        <f t="shared" si="91"/>
        <v xml:space="preserve"> </v>
      </c>
      <c r="Y452" s="589"/>
      <c r="Z452" s="592"/>
      <c r="AA452" s="592"/>
      <c r="AB452" s="568"/>
      <c r="AC452" s="592"/>
      <c r="AD452" s="592"/>
      <c r="AE452" s="592"/>
      <c r="AF452" s="590"/>
      <c r="AG452" s="570" t="str">
        <f>IF(AE452&lt;&gt;0,VLOOKUP(AE452,ODDS!$A$2:$C$13,3,0),"")</f>
        <v/>
      </c>
      <c r="AH452" s="570" t="str">
        <f t="shared" si="87"/>
        <v xml:space="preserve"> </v>
      </c>
      <c r="AI452" s="571" t="str">
        <f t="shared" si="85"/>
        <v xml:space="preserve"> </v>
      </c>
      <c r="AJ452" s="593"/>
      <c r="AK452" s="593"/>
    </row>
    <row r="453" spans="1:37" s="376" customFormat="1" ht="20.25" outlineLevel="2" x14ac:dyDescent="0.3">
      <c r="A453" s="447">
        <f t="shared" si="97"/>
        <v>39</v>
      </c>
      <c r="B453" s="557"/>
      <c r="C453" s="558"/>
      <c r="D453" s="587"/>
      <c r="E453" s="587"/>
      <c r="F453" s="615"/>
      <c r="G453" s="558"/>
      <c r="H453" s="604"/>
      <c r="I453" s="546"/>
      <c r="J453" s="593"/>
      <c r="K453" s="563" t="str">
        <f>IF(G453&lt;&gt;0,VLOOKUP(G453,'gia dat'!$A$1:$F$144,5,0)," ")</f>
        <v xml:space="preserve"> </v>
      </c>
      <c r="L453" s="563" t="str">
        <f>IF(G453&lt;&gt;0,VLOOKUP(G453,'gia dat'!$A$1:$F$144,6,0)," ")</f>
        <v xml:space="preserve"> </v>
      </c>
      <c r="M453" s="564" t="str">
        <f t="shared" si="93"/>
        <v xml:space="preserve"> </v>
      </c>
      <c r="N453" s="564" t="str">
        <f t="shared" si="94"/>
        <v xml:space="preserve"> </v>
      </c>
      <c r="O453" s="593"/>
      <c r="P453" s="616"/>
      <c r="Q453" s="564" t="str">
        <f>IF(O453&lt;&gt;0,VLOOKUP(O453,'Cây trong'!$A$2:$C$246,3,0)," ")</f>
        <v xml:space="preserve"> </v>
      </c>
      <c r="R453" s="564" t="str">
        <f t="shared" si="86"/>
        <v xml:space="preserve"> </v>
      </c>
      <c r="S453" s="593"/>
      <c r="T453" s="593"/>
      <c r="U453" s="617"/>
      <c r="V453" s="589"/>
      <c r="W453" s="564" t="str">
        <f>IF(S453&lt;&gt;0,VLOOKUP(S453,VKT!$A$2:$G$415,7,0),"")</f>
        <v/>
      </c>
      <c r="X453" s="564" t="str">
        <f t="shared" si="91"/>
        <v xml:space="preserve"> </v>
      </c>
      <c r="Y453" s="589"/>
      <c r="Z453" s="589"/>
      <c r="AA453" s="589"/>
      <c r="AB453" s="562"/>
      <c r="AC453" s="589"/>
      <c r="AD453" s="589"/>
      <c r="AE453" s="589"/>
      <c r="AF453" s="629"/>
      <c r="AG453" s="570" t="str">
        <f>IF(AE453&lt;&gt;0,VLOOKUP(AE453,ODDS!$A$2:$C$13,3,0),"")</f>
        <v/>
      </c>
      <c r="AH453" s="570" t="str">
        <f t="shared" si="87"/>
        <v xml:space="preserve"> </v>
      </c>
      <c r="AI453" s="571" t="str">
        <f t="shared" si="85"/>
        <v xml:space="preserve"> </v>
      </c>
      <c r="AJ453" s="593"/>
      <c r="AK453" s="593"/>
    </row>
    <row r="454" spans="1:37" s="376" customFormat="1" ht="20.25" outlineLevel="2" x14ac:dyDescent="0.3">
      <c r="A454" s="447">
        <f t="shared" si="97"/>
        <v>39</v>
      </c>
      <c r="B454" s="557"/>
      <c r="C454" s="574"/>
      <c r="D454" s="587"/>
      <c r="E454" s="587"/>
      <c r="F454" s="560"/>
      <c r="G454" s="558"/>
      <c r="H454" s="588"/>
      <c r="I454" s="546"/>
      <c r="J454" s="589"/>
      <c r="K454" s="563" t="str">
        <f>IF(G454&lt;&gt;0,VLOOKUP(G454,'gia dat'!$A$1:$F$144,5,0)," ")</f>
        <v xml:space="preserve"> </v>
      </c>
      <c r="L454" s="563" t="str">
        <f>IF(G454&lt;&gt;0,VLOOKUP(G454,'gia dat'!$A$1:$F$144,6,0)," ")</f>
        <v xml:space="preserve"> </v>
      </c>
      <c r="M454" s="564" t="str">
        <f t="shared" si="93"/>
        <v xml:space="preserve"> </v>
      </c>
      <c r="N454" s="564" t="str">
        <f t="shared" si="94"/>
        <v xml:space="preserve"> </v>
      </c>
      <c r="O454" s="558"/>
      <c r="P454" s="590"/>
      <c r="Q454" s="564" t="str">
        <f>IF(O454&lt;&gt;0,VLOOKUP(O454,'Cây trong'!$A$2:$C$246,3,0)," ")</f>
        <v xml:space="preserve"> </v>
      </c>
      <c r="R454" s="564" t="str">
        <f t="shared" si="86"/>
        <v xml:space="preserve"> </v>
      </c>
      <c r="S454" s="566"/>
      <c r="T454" s="589"/>
      <c r="U454" s="591"/>
      <c r="V454" s="589"/>
      <c r="W454" s="564" t="str">
        <f>IF(S454&lt;&gt;0,VLOOKUP(S454,VKT!$A$2:$G$415,7,0),"")</f>
        <v/>
      </c>
      <c r="X454" s="564" t="str">
        <f t="shared" si="91"/>
        <v xml:space="preserve"> </v>
      </c>
      <c r="Y454" s="589"/>
      <c r="Z454" s="592"/>
      <c r="AA454" s="592"/>
      <c r="AB454" s="568"/>
      <c r="AC454" s="592"/>
      <c r="AD454" s="592"/>
      <c r="AE454" s="592"/>
      <c r="AF454" s="590"/>
      <c r="AG454" s="570" t="str">
        <f>IF(AE454&lt;&gt;0,VLOOKUP(AE454,ODDS!$A$2:$C$13,3,0),"")</f>
        <v/>
      </c>
      <c r="AH454" s="570" t="str">
        <f t="shared" si="87"/>
        <v xml:space="preserve"> </v>
      </c>
      <c r="AI454" s="571" t="str">
        <f t="shared" si="85"/>
        <v xml:space="preserve"> </v>
      </c>
      <c r="AJ454" s="593"/>
      <c r="AK454" s="593"/>
    </row>
    <row r="455" spans="1:37" s="376" customFormat="1" ht="20.25" outlineLevel="1" x14ac:dyDescent="0.3">
      <c r="A455" s="467" t="s">
        <v>2670</v>
      </c>
      <c r="B455" s="576">
        <v>40</v>
      </c>
      <c r="C455" s="574" t="s">
        <v>2177</v>
      </c>
      <c r="D455" s="595"/>
      <c r="E455" s="623"/>
      <c r="F455" s="623"/>
      <c r="G455" s="624"/>
      <c r="H455" s="625">
        <f>SUBTOTAL(9,H456:H464)</f>
        <v>0</v>
      </c>
      <c r="I455" s="579">
        <f>SUBTOTAL(9,I456:I461)</f>
        <v>0</v>
      </c>
      <c r="J455" s="608"/>
      <c r="K455" s="581"/>
      <c r="L455" s="581"/>
      <c r="M455" s="571">
        <f>SUBTOTAL(9,M456:M464)</f>
        <v>0</v>
      </c>
      <c r="N455" s="571">
        <f>SUBTOTAL(9,N456:N464)</f>
        <v>0</v>
      </c>
      <c r="O455" s="578"/>
      <c r="P455" s="599">
        <f>SUBTOTAL(9,P456:P464)</f>
        <v>0</v>
      </c>
      <c r="Q455" s="571"/>
      <c r="R455" s="571">
        <f>SUBTOTAL(9,R456:R464)</f>
        <v>0</v>
      </c>
      <c r="S455" s="578"/>
      <c r="T455" s="621"/>
      <c r="U455" s="600">
        <f>SUBTOTAL(9,U456:U464)</f>
        <v>73.2</v>
      </c>
      <c r="V455" s="597"/>
      <c r="W455" s="571"/>
      <c r="X455" s="571">
        <f>SUBTOTAL(9,X456:X464)</f>
        <v>59605000</v>
      </c>
      <c r="Y455" s="589"/>
      <c r="Z455" s="592"/>
      <c r="AA455" s="592"/>
      <c r="AB455" s="568"/>
      <c r="AC455" s="592"/>
      <c r="AD455" s="592"/>
      <c r="AE455" s="601"/>
      <c r="AF455" s="599">
        <f>SUBTOTAL(9,AF456:AF464)</f>
        <v>0</v>
      </c>
      <c r="AG455" s="585"/>
      <c r="AH455" s="585">
        <f>SUBTOTAL(9,AH456:AH464)</f>
        <v>0</v>
      </c>
      <c r="AI455" s="571">
        <f t="shared" si="85"/>
        <v>59605000</v>
      </c>
      <c r="AJ455" s="608"/>
      <c r="AK455" s="574"/>
    </row>
    <row r="456" spans="1:37" s="376" customFormat="1" ht="121.5" outlineLevel="2" x14ac:dyDescent="0.3">
      <c r="A456" s="447">
        <f>IF(B455&lt;&gt;0,B455,A454)</f>
        <v>40</v>
      </c>
      <c r="B456" s="557"/>
      <c r="C456" s="558" t="s">
        <v>189</v>
      </c>
      <c r="D456" s="587">
        <v>1</v>
      </c>
      <c r="E456" s="627"/>
      <c r="F456" s="627"/>
      <c r="G456" s="575"/>
      <c r="H456" s="561"/>
      <c r="I456" s="546"/>
      <c r="J456" s="593"/>
      <c r="K456" s="563" t="str">
        <f>IF(G456&lt;&gt;0,VLOOKUP(G456,'gia dat'!$A$1:$F$144,5,0)," ")</f>
        <v xml:space="preserve"> </v>
      </c>
      <c r="L456" s="563" t="str">
        <f>IF(G456&lt;&gt;0,VLOOKUP(G456,'gia dat'!$A$1:$F$144,6,0)," ")</f>
        <v xml:space="preserve"> </v>
      </c>
      <c r="M456" s="564" t="str">
        <f t="shared" si="93"/>
        <v xml:space="preserve"> </v>
      </c>
      <c r="N456" s="564" t="str">
        <f t="shared" si="94"/>
        <v xml:space="preserve"> </v>
      </c>
      <c r="O456" s="586"/>
      <c r="P456" s="590"/>
      <c r="Q456" s="564" t="str">
        <f>IF(O456&lt;&gt;0,VLOOKUP(O456,'Cây trong'!$A$2:$C$246,3,0)," ")</f>
        <v xml:space="preserve"> </v>
      </c>
      <c r="R456" s="564" t="str">
        <f t="shared" si="86"/>
        <v xml:space="preserve"> </v>
      </c>
      <c r="S456" s="586" t="s">
        <v>1852</v>
      </c>
      <c r="T456" s="609" t="s">
        <v>53</v>
      </c>
      <c r="U456" s="591">
        <v>28.9</v>
      </c>
      <c r="V456" s="589"/>
      <c r="W456" s="564">
        <f>IF(S456&lt;&gt;0,VLOOKUP(S456,VKT!$A$2:$G$415,7,0),"")</f>
        <v>1490563</v>
      </c>
      <c r="X456" s="564">
        <f t="shared" si="91"/>
        <v>43077000</v>
      </c>
      <c r="Y456" s="589" t="s">
        <v>54</v>
      </c>
      <c r="Z456" s="592" t="s">
        <v>55</v>
      </c>
      <c r="AA456" s="592" t="s">
        <v>56</v>
      </c>
      <c r="AB456" s="568" t="s">
        <v>186</v>
      </c>
      <c r="AC456" s="592" t="s">
        <v>66</v>
      </c>
      <c r="AD456" s="592"/>
      <c r="AE456" s="592"/>
      <c r="AF456" s="590"/>
      <c r="AG456" s="570" t="str">
        <f>IF(AE456&lt;&gt;0,VLOOKUP(AE456,ODDS!$A$2:$C$13,3,0),"")</f>
        <v/>
      </c>
      <c r="AH456" s="570" t="str">
        <f t="shared" si="87"/>
        <v xml:space="preserve"> </v>
      </c>
      <c r="AI456" s="571" t="str">
        <f t="shared" si="85"/>
        <v xml:space="preserve"> </v>
      </c>
      <c r="AJ456" s="593" t="s">
        <v>488</v>
      </c>
      <c r="AK456" s="558" t="s">
        <v>2450</v>
      </c>
    </row>
    <row r="457" spans="1:37" s="376" customFormat="1" ht="101.25" outlineLevel="2" x14ac:dyDescent="0.3">
      <c r="A457" s="447">
        <f t="shared" ref="A457:A464" si="98">IF(B456&lt;&gt;0,B456,A456)</f>
        <v>40</v>
      </c>
      <c r="B457" s="557"/>
      <c r="C457" s="628" t="s">
        <v>671</v>
      </c>
      <c r="D457" s="594"/>
      <c r="E457" s="627"/>
      <c r="F457" s="627"/>
      <c r="G457" s="575"/>
      <c r="H457" s="561"/>
      <c r="I457" s="546"/>
      <c r="J457" s="608"/>
      <c r="K457" s="563" t="str">
        <f>IF(G457&lt;&gt;0,VLOOKUP(G457,'gia dat'!$A$1:$F$144,5,0)," ")</f>
        <v xml:space="preserve"> </v>
      </c>
      <c r="L457" s="563" t="str">
        <f>IF(G457&lt;&gt;0,VLOOKUP(G457,'gia dat'!$A$1:$F$144,6,0)," ")</f>
        <v xml:space="preserve"> </v>
      </c>
      <c r="M457" s="564" t="str">
        <f t="shared" si="93"/>
        <v xml:space="preserve"> </v>
      </c>
      <c r="N457" s="564" t="str">
        <f t="shared" si="94"/>
        <v xml:space="preserve"> </v>
      </c>
      <c r="O457" s="578"/>
      <c r="P457" s="590"/>
      <c r="Q457" s="564" t="str">
        <f>IF(O457&lt;&gt;0,VLOOKUP(O457,'Cây trong'!$A$2:$C$246,3,0)," ")</f>
        <v xml:space="preserve"> </v>
      </c>
      <c r="R457" s="564" t="str">
        <f t="shared" si="86"/>
        <v xml:space="preserve"> </v>
      </c>
      <c r="S457" s="586" t="s">
        <v>1749</v>
      </c>
      <c r="T457" s="609" t="s">
        <v>53</v>
      </c>
      <c r="U457" s="591">
        <v>14.6</v>
      </c>
      <c r="V457" s="597"/>
      <c r="W457" s="564">
        <f>IF(S457&lt;&gt;0,VLOOKUP(S457,VKT!$A$2:$G$415,7,0),"")</f>
        <v>211811</v>
      </c>
      <c r="X457" s="564">
        <f t="shared" si="91"/>
        <v>3092000</v>
      </c>
      <c r="Y457" s="580"/>
      <c r="Z457" s="601"/>
      <c r="AA457" s="601"/>
      <c r="AB457" s="584"/>
      <c r="AC457" s="601"/>
      <c r="AD457" s="601"/>
      <c r="AE457" s="601"/>
      <c r="AF457" s="599"/>
      <c r="AG457" s="570" t="str">
        <f>IF(AE457&lt;&gt;0,VLOOKUP(AE457,ODDS!$A$2:$C$13,3,0),"")</f>
        <v/>
      </c>
      <c r="AH457" s="570" t="str">
        <f t="shared" si="87"/>
        <v xml:space="preserve"> </v>
      </c>
      <c r="AI457" s="571" t="str">
        <f t="shared" ref="AI457:AI520" si="99">IF(B457&lt;&gt;0,M457+N457+R457+X457+AH457," ")</f>
        <v xml:space="preserve"> </v>
      </c>
      <c r="AJ457" s="558" t="s">
        <v>2074</v>
      </c>
      <c r="AK457" s="558" t="s">
        <v>2800</v>
      </c>
    </row>
    <row r="458" spans="1:37" s="376" customFormat="1" ht="81" outlineLevel="2" x14ac:dyDescent="0.3">
      <c r="A458" s="447">
        <f t="shared" si="98"/>
        <v>40</v>
      </c>
      <c r="B458" s="557"/>
      <c r="C458" s="572"/>
      <c r="D458" s="603"/>
      <c r="E458" s="627"/>
      <c r="F458" s="627"/>
      <c r="G458" s="575"/>
      <c r="H458" s="561"/>
      <c r="I458" s="546"/>
      <c r="J458" s="593"/>
      <c r="K458" s="563" t="str">
        <f>IF(G458&lt;&gt;0,VLOOKUP(G458,'gia dat'!$A$1:$F$144,5,0)," ")</f>
        <v xml:space="preserve"> </v>
      </c>
      <c r="L458" s="563" t="str">
        <f>IF(G458&lt;&gt;0,VLOOKUP(G458,'gia dat'!$A$1:$F$144,6,0)," ")</f>
        <v xml:space="preserve"> </v>
      </c>
      <c r="M458" s="564" t="str">
        <f t="shared" si="93"/>
        <v xml:space="preserve"> </v>
      </c>
      <c r="N458" s="564" t="str">
        <f t="shared" si="94"/>
        <v xml:space="preserve"> </v>
      </c>
      <c r="O458" s="586"/>
      <c r="P458" s="590"/>
      <c r="Q458" s="564" t="str">
        <f>IF(O458&lt;&gt;0,VLOOKUP(O458,'Cây trong'!$A$2:$C$246,3,0)," ")</f>
        <v xml:space="preserve"> </v>
      </c>
      <c r="R458" s="564" t="str">
        <f t="shared" si="86"/>
        <v xml:space="preserve"> </v>
      </c>
      <c r="S458" s="586" t="s">
        <v>2305</v>
      </c>
      <c r="T458" s="609" t="s">
        <v>53</v>
      </c>
      <c r="U458" s="591">
        <v>15.2</v>
      </c>
      <c r="V458" s="589"/>
      <c r="W458" s="564">
        <f>IF(S458&lt;&gt;0,VLOOKUP(S458,VKT!$A$2:$G$415,7,0),"")</f>
        <v>441467</v>
      </c>
      <c r="X458" s="564">
        <f t="shared" si="91"/>
        <v>6710000</v>
      </c>
      <c r="Y458" s="562"/>
      <c r="Z458" s="592"/>
      <c r="AA458" s="592"/>
      <c r="AB458" s="568"/>
      <c r="AC458" s="592"/>
      <c r="AD458" s="592"/>
      <c r="AE458" s="592"/>
      <c r="AF458" s="590"/>
      <c r="AG458" s="570" t="str">
        <f>IF(AE458&lt;&gt;0,VLOOKUP(AE458,ODDS!$A$2:$C$13,3,0),"")</f>
        <v/>
      </c>
      <c r="AH458" s="570" t="str">
        <f t="shared" si="87"/>
        <v xml:space="preserve"> </v>
      </c>
      <c r="AI458" s="571" t="str">
        <f t="shared" si="99"/>
        <v xml:space="preserve"> </v>
      </c>
      <c r="AJ458" s="575"/>
      <c r="AK458" s="593"/>
    </row>
    <row r="459" spans="1:37" s="376" customFormat="1" ht="81" outlineLevel="2" x14ac:dyDescent="0.3">
      <c r="A459" s="447">
        <f t="shared" si="98"/>
        <v>40</v>
      </c>
      <c r="B459" s="557"/>
      <c r="C459" s="572"/>
      <c r="D459" s="587"/>
      <c r="E459" s="627"/>
      <c r="F459" s="627"/>
      <c r="G459" s="575"/>
      <c r="H459" s="561"/>
      <c r="I459" s="546"/>
      <c r="J459" s="593"/>
      <c r="K459" s="563" t="str">
        <f>IF(G459&lt;&gt;0,VLOOKUP(G459,'gia dat'!$A$1:$F$144,5,0)," ")</f>
        <v xml:space="preserve"> </v>
      </c>
      <c r="L459" s="563" t="str">
        <f>IF(G459&lt;&gt;0,VLOOKUP(G459,'gia dat'!$A$1:$F$144,6,0)," ")</f>
        <v xml:space="preserve"> </v>
      </c>
      <c r="M459" s="564" t="str">
        <f t="shared" si="93"/>
        <v xml:space="preserve"> </v>
      </c>
      <c r="N459" s="564" t="str">
        <f t="shared" si="94"/>
        <v xml:space="preserve"> </v>
      </c>
      <c r="O459" s="586"/>
      <c r="P459" s="590"/>
      <c r="Q459" s="564" t="str">
        <f>IF(O459&lt;&gt;0,VLOOKUP(O459,'Cây trong'!$A$2:$C$246,3,0)," ")</f>
        <v xml:space="preserve"> </v>
      </c>
      <c r="R459" s="564" t="str">
        <f t="shared" si="86"/>
        <v xml:space="preserve"> </v>
      </c>
      <c r="S459" s="586" t="s">
        <v>2307</v>
      </c>
      <c r="T459" s="609" t="s">
        <v>53</v>
      </c>
      <c r="U459" s="591">
        <v>2.6</v>
      </c>
      <c r="V459" s="589"/>
      <c r="W459" s="564">
        <f>IF(S459&lt;&gt;0,VLOOKUP(S459,VKT!$A$2:$G$415,7,0),"")</f>
        <v>2093161</v>
      </c>
      <c r="X459" s="564">
        <f t="shared" si="91"/>
        <v>5442000</v>
      </c>
      <c r="Y459" s="589"/>
      <c r="Z459" s="592"/>
      <c r="AA459" s="592" t="s">
        <v>56</v>
      </c>
      <c r="AB459" s="568" t="s">
        <v>57</v>
      </c>
      <c r="AC459" s="592" t="s">
        <v>54</v>
      </c>
      <c r="AD459" s="592"/>
      <c r="AE459" s="592"/>
      <c r="AF459" s="590"/>
      <c r="AG459" s="570" t="str">
        <f>IF(AE459&lt;&gt;0,VLOOKUP(AE459,ODDS!$A$2:$C$13,3,0),"")</f>
        <v/>
      </c>
      <c r="AH459" s="570" t="str">
        <f t="shared" si="87"/>
        <v xml:space="preserve"> </v>
      </c>
      <c r="AI459" s="571" t="str">
        <f t="shared" si="99"/>
        <v xml:space="preserve"> </v>
      </c>
      <c r="AJ459" s="575"/>
      <c r="AK459" s="558"/>
    </row>
    <row r="460" spans="1:37" s="376" customFormat="1" ht="40.5" outlineLevel="2" x14ac:dyDescent="0.3">
      <c r="A460" s="447">
        <f t="shared" si="98"/>
        <v>40</v>
      </c>
      <c r="B460" s="557"/>
      <c r="C460" s="574"/>
      <c r="D460" s="587"/>
      <c r="E460" s="587"/>
      <c r="F460" s="560"/>
      <c r="G460" s="558"/>
      <c r="H460" s="588"/>
      <c r="I460" s="546"/>
      <c r="J460" s="589"/>
      <c r="K460" s="563" t="str">
        <f>IF(G460&lt;&gt;0,VLOOKUP(G460,'gia dat'!$A$1:$F$144,5,0)," ")</f>
        <v xml:space="preserve"> </v>
      </c>
      <c r="L460" s="563" t="str">
        <f>IF(G460&lt;&gt;0,VLOOKUP(G460,'gia dat'!$A$1:$F$144,6,0)," ")</f>
        <v xml:space="preserve"> </v>
      </c>
      <c r="M460" s="564" t="str">
        <f t="shared" si="93"/>
        <v xml:space="preserve"> </v>
      </c>
      <c r="N460" s="564" t="str">
        <f t="shared" si="94"/>
        <v xml:space="preserve"> </v>
      </c>
      <c r="O460" s="558"/>
      <c r="P460" s="590"/>
      <c r="Q460" s="564" t="str">
        <f>IF(O460&lt;&gt;0,VLOOKUP(O460,'Cây trong'!$A$2:$C$246,3,0)," ")</f>
        <v xml:space="preserve"> </v>
      </c>
      <c r="R460" s="564" t="str">
        <f t="shared" si="86"/>
        <v xml:space="preserve"> </v>
      </c>
      <c r="S460" s="586" t="s">
        <v>1748</v>
      </c>
      <c r="T460" s="589" t="s">
        <v>53</v>
      </c>
      <c r="U460" s="591">
        <v>6.65</v>
      </c>
      <c r="V460" s="589"/>
      <c r="W460" s="564">
        <f>IF(S460&lt;&gt;0,VLOOKUP(S460,VKT!$A$2:$G$415,7,0),"")</f>
        <v>0</v>
      </c>
      <c r="X460" s="564">
        <f t="shared" si="91"/>
        <v>0</v>
      </c>
      <c r="Y460" s="589"/>
      <c r="Z460" s="592"/>
      <c r="AA460" s="592"/>
      <c r="AB460" s="568"/>
      <c r="AC460" s="592"/>
      <c r="AD460" s="592"/>
      <c r="AE460" s="592"/>
      <c r="AF460" s="590"/>
      <c r="AG460" s="570" t="str">
        <f>IF(AE460&lt;&gt;0,VLOOKUP(AE460,ODDS!$A$2:$C$13,3,0),"")</f>
        <v/>
      </c>
      <c r="AH460" s="570" t="str">
        <f t="shared" si="87"/>
        <v xml:space="preserve"> </v>
      </c>
      <c r="AI460" s="571" t="str">
        <f t="shared" si="99"/>
        <v xml:space="preserve"> </v>
      </c>
      <c r="AJ460" s="575"/>
      <c r="AK460" s="593"/>
    </row>
    <row r="461" spans="1:37" s="376" customFormat="1" ht="40.5" outlineLevel="2" x14ac:dyDescent="0.3">
      <c r="A461" s="447">
        <f t="shared" si="98"/>
        <v>40</v>
      </c>
      <c r="B461" s="557"/>
      <c r="C461" s="648"/>
      <c r="D461" s="594"/>
      <c r="E461" s="595"/>
      <c r="F461" s="577"/>
      <c r="G461" s="574"/>
      <c r="H461" s="588"/>
      <c r="I461" s="546"/>
      <c r="J461" s="597"/>
      <c r="K461" s="563" t="str">
        <f>IF(G461&lt;&gt;0,VLOOKUP(G461,'gia dat'!$A$1:$F$144,5,0)," ")</f>
        <v xml:space="preserve"> </v>
      </c>
      <c r="L461" s="563" t="str">
        <f>IF(G461&lt;&gt;0,VLOOKUP(G461,'gia dat'!$A$1:$F$144,6,0)," ")</f>
        <v xml:space="preserve"> </v>
      </c>
      <c r="M461" s="564" t="str">
        <f t="shared" si="93"/>
        <v xml:space="preserve"> </v>
      </c>
      <c r="N461" s="564" t="str">
        <f t="shared" si="94"/>
        <v xml:space="preserve"> </v>
      </c>
      <c r="O461" s="598"/>
      <c r="P461" s="599"/>
      <c r="Q461" s="564" t="str">
        <f>IF(O461&lt;&gt;0,VLOOKUP(O461,'Cây trong'!$A$2:$C$246,3,0)," ")</f>
        <v xml:space="preserve"> </v>
      </c>
      <c r="R461" s="564" t="str">
        <f t="shared" si="86"/>
        <v xml:space="preserve"> </v>
      </c>
      <c r="S461" s="566" t="s">
        <v>1839</v>
      </c>
      <c r="T461" s="589" t="s">
        <v>53</v>
      </c>
      <c r="U461" s="591">
        <v>5.25</v>
      </c>
      <c r="V461" s="597"/>
      <c r="W461" s="564">
        <f>IF(S461&lt;&gt;0,VLOOKUP(S461,VKT!$A$2:$G$415,7,0),"")</f>
        <v>244604</v>
      </c>
      <c r="X461" s="564">
        <f t="shared" si="91"/>
        <v>1284000</v>
      </c>
      <c r="Y461" s="589"/>
      <c r="Z461" s="592"/>
      <c r="AA461" s="592"/>
      <c r="AB461" s="568"/>
      <c r="AC461" s="592"/>
      <c r="AD461" s="592"/>
      <c r="AE461" s="592"/>
      <c r="AF461" s="590"/>
      <c r="AG461" s="570" t="str">
        <f>IF(AE461&lt;&gt;0,VLOOKUP(AE461,ODDS!$A$2:$C$13,3,0),"")</f>
        <v/>
      </c>
      <c r="AH461" s="570" t="str">
        <f t="shared" si="87"/>
        <v xml:space="preserve"> </v>
      </c>
      <c r="AI461" s="571" t="str">
        <f t="shared" si="99"/>
        <v xml:space="preserve"> </v>
      </c>
      <c r="AJ461" s="593"/>
      <c r="AK461" s="593"/>
    </row>
    <row r="462" spans="1:37" s="376" customFormat="1" ht="20.25" outlineLevel="2" x14ac:dyDescent="0.3">
      <c r="A462" s="447">
        <f t="shared" si="98"/>
        <v>40</v>
      </c>
      <c r="B462" s="557"/>
      <c r="C462" s="572"/>
      <c r="D462" s="603"/>
      <c r="E462" s="587"/>
      <c r="F462" s="560"/>
      <c r="G462" s="558"/>
      <c r="H462" s="588"/>
      <c r="I462" s="546"/>
      <c r="J462" s="589"/>
      <c r="K462" s="563" t="str">
        <f>IF(G462&lt;&gt;0,VLOOKUP(G462,'gia dat'!$A$1:$F$144,5,0)," ")</f>
        <v xml:space="preserve"> </v>
      </c>
      <c r="L462" s="563" t="str">
        <f>IF(G462&lt;&gt;0,VLOOKUP(G462,'gia dat'!$A$1:$F$144,6,0)," ")</f>
        <v xml:space="preserve"> </v>
      </c>
      <c r="M462" s="564" t="str">
        <f t="shared" si="93"/>
        <v xml:space="preserve"> </v>
      </c>
      <c r="N462" s="564" t="str">
        <f t="shared" si="94"/>
        <v xml:space="preserve"> </v>
      </c>
      <c r="O462" s="565"/>
      <c r="P462" s="590"/>
      <c r="Q462" s="564" t="str">
        <f>IF(O462&lt;&gt;0,VLOOKUP(O462,'Cây trong'!$A$2:$C$246,3,0)," ")</f>
        <v xml:space="preserve"> </v>
      </c>
      <c r="R462" s="564" t="str">
        <f t="shared" si="86"/>
        <v xml:space="preserve"> </v>
      </c>
      <c r="S462" s="566"/>
      <c r="T462" s="589"/>
      <c r="U462" s="591"/>
      <c r="V462" s="589"/>
      <c r="W462" s="564" t="str">
        <f>IF(S462&lt;&gt;0,VLOOKUP(S462,VKT!$A$2:$G$415,7,0),"")</f>
        <v/>
      </c>
      <c r="X462" s="564" t="str">
        <f t="shared" si="91"/>
        <v xml:space="preserve"> </v>
      </c>
      <c r="Y462" s="580"/>
      <c r="Z462" s="601"/>
      <c r="AA462" s="601"/>
      <c r="AB462" s="584"/>
      <c r="AC462" s="601"/>
      <c r="AD462" s="601"/>
      <c r="AE462" s="601"/>
      <c r="AF462" s="599"/>
      <c r="AG462" s="570" t="str">
        <f>IF(AE462&lt;&gt;0,VLOOKUP(AE462,ODDS!$A$2:$C$13,3,0),"")</f>
        <v/>
      </c>
      <c r="AH462" s="570" t="str">
        <f t="shared" si="87"/>
        <v xml:space="preserve"> </v>
      </c>
      <c r="AI462" s="571" t="str">
        <f t="shared" si="99"/>
        <v xml:space="preserve"> </v>
      </c>
      <c r="AJ462" s="558"/>
      <c r="AK462" s="558"/>
    </row>
    <row r="463" spans="1:37" s="376" customFormat="1" ht="20.25" outlineLevel="2" x14ac:dyDescent="0.3">
      <c r="A463" s="447">
        <f t="shared" si="98"/>
        <v>40</v>
      </c>
      <c r="B463" s="557"/>
      <c r="C463" s="572"/>
      <c r="D463" s="587"/>
      <c r="E463" s="587"/>
      <c r="F463" s="615"/>
      <c r="G463" s="558"/>
      <c r="H463" s="604"/>
      <c r="I463" s="546"/>
      <c r="J463" s="593"/>
      <c r="K463" s="563" t="str">
        <f>IF(G463&lt;&gt;0,VLOOKUP(G463,'gia dat'!$A$1:$F$144,5,0)," ")</f>
        <v xml:space="preserve"> </v>
      </c>
      <c r="L463" s="563" t="str">
        <f>IF(G463&lt;&gt;0,VLOOKUP(G463,'gia dat'!$A$1:$F$144,6,0)," ")</f>
        <v xml:space="preserve"> </v>
      </c>
      <c r="M463" s="564" t="str">
        <f t="shared" si="93"/>
        <v xml:space="preserve"> </v>
      </c>
      <c r="N463" s="564" t="str">
        <f t="shared" si="94"/>
        <v xml:space="preserve"> </v>
      </c>
      <c r="O463" s="593"/>
      <c r="P463" s="616"/>
      <c r="Q463" s="564" t="str">
        <f>IF(O463&lt;&gt;0,VLOOKUP(O463,'Cây trong'!$A$2:$C$246,3,0)," ")</f>
        <v xml:space="preserve"> </v>
      </c>
      <c r="R463" s="564" t="str">
        <f t="shared" si="86"/>
        <v xml:space="preserve"> </v>
      </c>
      <c r="S463" s="593"/>
      <c r="T463" s="593"/>
      <c r="U463" s="617"/>
      <c r="V463" s="589"/>
      <c r="W463" s="564" t="str">
        <f>IF(S463&lt;&gt;0,VLOOKUP(S463,VKT!$A$2:$G$415,7,0),"")</f>
        <v/>
      </c>
      <c r="X463" s="564" t="str">
        <f t="shared" si="91"/>
        <v xml:space="preserve"> </v>
      </c>
      <c r="Y463" s="589"/>
      <c r="Z463" s="589"/>
      <c r="AA463" s="589"/>
      <c r="AB463" s="562"/>
      <c r="AC463" s="589"/>
      <c r="AD463" s="589"/>
      <c r="AE463" s="589"/>
      <c r="AF463" s="629"/>
      <c r="AG463" s="570" t="str">
        <f>IF(AE463&lt;&gt;0,VLOOKUP(AE463,ODDS!$A$2:$C$13,3,0),"")</f>
        <v/>
      </c>
      <c r="AH463" s="570" t="str">
        <f t="shared" si="87"/>
        <v xml:space="preserve"> </v>
      </c>
      <c r="AI463" s="571" t="str">
        <f t="shared" si="99"/>
        <v xml:space="preserve"> </v>
      </c>
      <c r="AJ463" s="593"/>
      <c r="AK463" s="593"/>
    </row>
    <row r="464" spans="1:37" s="376" customFormat="1" ht="20.25" outlineLevel="2" x14ac:dyDescent="0.3">
      <c r="A464" s="447">
        <f t="shared" si="98"/>
        <v>40</v>
      </c>
      <c r="B464" s="557"/>
      <c r="C464" s="574"/>
      <c r="D464" s="587"/>
      <c r="E464" s="657"/>
      <c r="F464" s="657"/>
      <c r="G464" s="586"/>
      <c r="H464" s="588"/>
      <c r="I464" s="546"/>
      <c r="J464" s="593"/>
      <c r="K464" s="563" t="str">
        <f>IF(G464&lt;&gt;0,VLOOKUP(G464,'gia dat'!$A$1:$F$144,5,0)," ")</f>
        <v xml:space="preserve"> </v>
      </c>
      <c r="L464" s="563" t="str">
        <f>IF(G464&lt;&gt;0,VLOOKUP(G464,'gia dat'!$A$1:$F$144,6,0)," ")</f>
        <v xml:space="preserve"> </v>
      </c>
      <c r="M464" s="564" t="str">
        <f t="shared" si="93"/>
        <v xml:space="preserve"> </v>
      </c>
      <c r="N464" s="564" t="str">
        <f t="shared" si="94"/>
        <v xml:space="preserve"> </v>
      </c>
      <c r="O464" s="646"/>
      <c r="P464" s="658"/>
      <c r="Q464" s="564" t="str">
        <f>IF(O464&lt;&gt;0,VLOOKUP(O464,'Cây trong'!$A$2:$C$246,3,0)," ")</f>
        <v xml:space="preserve"> </v>
      </c>
      <c r="R464" s="564" t="str">
        <f t="shared" si="86"/>
        <v xml:space="preserve"> </v>
      </c>
      <c r="S464" s="586"/>
      <c r="T464" s="609"/>
      <c r="U464" s="591"/>
      <c r="V464" s="589"/>
      <c r="W464" s="564" t="str">
        <f>IF(S464&lt;&gt;0,VLOOKUP(S464,VKT!$A$2:$G$415,7,0),"")</f>
        <v/>
      </c>
      <c r="X464" s="564" t="str">
        <f t="shared" si="91"/>
        <v xml:space="preserve"> </v>
      </c>
      <c r="Y464" s="562"/>
      <c r="Z464" s="592"/>
      <c r="AA464" s="592"/>
      <c r="AB464" s="568"/>
      <c r="AC464" s="592"/>
      <c r="AD464" s="592"/>
      <c r="AE464" s="592"/>
      <c r="AF464" s="590"/>
      <c r="AG464" s="570" t="str">
        <f>IF(AE464&lt;&gt;0,VLOOKUP(AE464,ODDS!$A$2:$C$13,3,0),"")</f>
        <v/>
      </c>
      <c r="AH464" s="570" t="str">
        <f t="shared" si="87"/>
        <v xml:space="preserve"> </v>
      </c>
      <c r="AI464" s="571" t="str">
        <f t="shared" si="99"/>
        <v xml:space="preserve"> </v>
      </c>
      <c r="AJ464" s="593"/>
      <c r="AK464" s="593"/>
    </row>
    <row r="465" spans="1:37" s="376" customFormat="1" ht="20.25" outlineLevel="1" x14ac:dyDescent="0.25">
      <c r="A465" s="467" t="s">
        <v>2669</v>
      </c>
      <c r="B465" s="576">
        <v>41</v>
      </c>
      <c r="C465" s="574" t="s">
        <v>35</v>
      </c>
      <c r="D465" s="595"/>
      <c r="E465" s="595"/>
      <c r="F465" s="577"/>
      <c r="G465" s="574"/>
      <c r="H465" s="618">
        <f>SUBTOTAL(9,H466:H487)</f>
        <v>195.5</v>
      </c>
      <c r="I465" s="579">
        <f>SUBTOTAL(9,I466:I471)</f>
        <v>79.099999999999994</v>
      </c>
      <c r="J465" s="608"/>
      <c r="K465" s="581"/>
      <c r="L465" s="581"/>
      <c r="M465" s="571">
        <f>SUBTOTAL(9,M466:M487)</f>
        <v>714596000</v>
      </c>
      <c r="N465" s="571">
        <f>SUBTOTAL(9,N466:N487)</f>
        <v>131559000</v>
      </c>
      <c r="O465" s="578"/>
      <c r="P465" s="599">
        <f>SUBTOTAL(9,P466:P487)</f>
        <v>119</v>
      </c>
      <c r="Q465" s="571"/>
      <c r="R465" s="571">
        <f>SUBTOTAL(9,R466:R487)</f>
        <v>8006000</v>
      </c>
      <c r="S465" s="578"/>
      <c r="T465" s="621"/>
      <c r="U465" s="600">
        <f>SUBTOTAL(9,U466:U487)</f>
        <v>357.28</v>
      </c>
      <c r="V465" s="597"/>
      <c r="W465" s="571"/>
      <c r="X465" s="571">
        <f>SUBTOTAL(9,X466:X487)</f>
        <v>365853000</v>
      </c>
      <c r="Y465" s="589"/>
      <c r="Z465" s="592"/>
      <c r="AA465" s="592"/>
      <c r="AB465" s="568"/>
      <c r="AC465" s="592"/>
      <c r="AD465" s="568"/>
      <c r="AE465" s="602"/>
      <c r="AF465" s="581">
        <f>SUBTOTAL(9,AF466:AF487)</f>
        <v>1</v>
      </c>
      <c r="AG465" s="585"/>
      <c r="AH465" s="585">
        <f>SUBTOTAL(9,AH466:AH487)</f>
        <v>13000000</v>
      </c>
      <c r="AI465" s="571">
        <f t="shared" si="99"/>
        <v>1233014000</v>
      </c>
      <c r="AJ465" s="574"/>
      <c r="AK465" s="578"/>
    </row>
    <row r="466" spans="1:37" s="376" customFormat="1" ht="121.5" outlineLevel="2" x14ac:dyDescent="0.3">
      <c r="A466" s="447">
        <f>IF(B465&lt;&gt;0,B465,A464)</f>
        <v>41</v>
      </c>
      <c r="B466" s="557"/>
      <c r="C466" s="558" t="s">
        <v>190</v>
      </c>
      <c r="D466" s="587">
        <v>9</v>
      </c>
      <c r="E466" s="587">
        <v>86</v>
      </c>
      <c r="F466" s="560">
        <v>256</v>
      </c>
      <c r="G466" s="558" t="s">
        <v>2037</v>
      </c>
      <c r="H466" s="588">
        <v>116.4</v>
      </c>
      <c r="I466" s="546" t="str">
        <f t="shared" ref="I466:I468" si="100">IF(N466&gt;0,H466,"")</f>
        <v/>
      </c>
      <c r="J466" s="593"/>
      <c r="K466" s="563">
        <f>IF(G466&lt;&gt;0,VLOOKUP(G466,'gia dat'!$A$1:$F$144,5,0)," ")</f>
        <v>5762400</v>
      </c>
      <c r="L466" s="563">
        <f>IF(G466&lt;&gt;0,VLOOKUP(G466,'gia dat'!$A$1:$F$144,6,0)," ")</f>
        <v>0</v>
      </c>
      <c r="M466" s="564">
        <f t="shared" si="93"/>
        <v>670743000</v>
      </c>
      <c r="N466" s="564">
        <f t="shared" si="94"/>
        <v>0</v>
      </c>
      <c r="O466" s="586" t="s">
        <v>72</v>
      </c>
      <c r="P466" s="590">
        <v>19</v>
      </c>
      <c r="Q466" s="564">
        <f>IF(O466&lt;&gt;0,VLOOKUP(O466,'Cây trong'!$A$2:$C$246,3,0)," ")</f>
        <v>132000</v>
      </c>
      <c r="R466" s="564">
        <f t="shared" si="86"/>
        <v>2508000</v>
      </c>
      <c r="S466" s="586" t="s">
        <v>1838</v>
      </c>
      <c r="T466" s="609" t="s">
        <v>53</v>
      </c>
      <c r="U466" s="591">
        <v>79.430000000000007</v>
      </c>
      <c r="V466" s="589"/>
      <c r="W466" s="564">
        <f>IF(S466&lt;&gt;0,VLOOKUP(S466,VKT!$A$2:$G$415,7,0),"")</f>
        <v>3156089</v>
      </c>
      <c r="X466" s="564">
        <f t="shared" si="91"/>
        <v>250688000</v>
      </c>
      <c r="Y466" s="589" t="s">
        <v>63</v>
      </c>
      <c r="Z466" s="592" t="s">
        <v>55</v>
      </c>
      <c r="AA466" s="592" t="s">
        <v>56</v>
      </c>
      <c r="AB466" s="568" t="s">
        <v>186</v>
      </c>
      <c r="AC466" s="592" t="s">
        <v>63</v>
      </c>
      <c r="AD466" s="568" t="s">
        <v>206</v>
      </c>
      <c r="AE466" s="569"/>
      <c r="AF466" s="563"/>
      <c r="AG466" s="570"/>
      <c r="AH466" s="570"/>
      <c r="AI466" s="571" t="str">
        <f t="shared" si="99"/>
        <v xml:space="preserve"> </v>
      </c>
      <c r="AJ466" s="558" t="s">
        <v>672</v>
      </c>
      <c r="AK466" s="586" t="s">
        <v>2771</v>
      </c>
    </row>
    <row r="467" spans="1:37" s="376" customFormat="1" ht="101.25" outlineLevel="2" x14ac:dyDescent="0.3">
      <c r="A467" s="447">
        <f t="shared" ref="A467:A487" si="101">IF(B466&lt;&gt;0,B466,A466)</f>
        <v>41</v>
      </c>
      <c r="B467" s="557"/>
      <c r="C467" s="628" t="s">
        <v>673</v>
      </c>
      <c r="D467" s="587"/>
      <c r="E467" s="587">
        <v>86</v>
      </c>
      <c r="F467" s="560">
        <v>256</v>
      </c>
      <c r="G467" s="558" t="s">
        <v>2469</v>
      </c>
      <c r="H467" s="588">
        <v>72</v>
      </c>
      <c r="I467" s="546">
        <f t="shared" si="100"/>
        <v>72</v>
      </c>
      <c r="J467" s="593"/>
      <c r="K467" s="563">
        <f>IF(G467&lt;&gt;0,VLOOKUP(G467,'gia dat'!$A$1:$F$144,5,0)," ")</f>
        <v>554400</v>
      </c>
      <c r="L467" s="563">
        <f>IF(G467&lt;&gt;0,VLOOKUP(G467,'gia dat'!$A$1:$F$144,6,0)," ")</f>
        <v>1663200</v>
      </c>
      <c r="M467" s="564">
        <f t="shared" si="93"/>
        <v>39917000</v>
      </c>
      <c r="N467" s="564">
        <f t="shared" si="94"/>
        <v>119750000</v>
      </c>
      <c r="O467" s="586" t="s">
        <v>73</v>
      </c>
      <c r="P467" s="590">
        <v>20</v>
      </c>
      <c r="Q467" s="564">
        <f>IF(O467&lt;&gt;0,VLOOKUP(O467,'Cây trong'!$A$2:$C$246,3,0)," ")</f>
        <v>76000</v>
      </c>
      <c r="R467" s="564">
        <f t="shared" si="86"/>
        <v>1520000</v>
      </c>
      <c r="S467" s="586" t="s">
        <v>1884</v>
      </c>
      <c r="T467" s="609" t="s">
        <v>53</v>
      </c>
      <c r="U467" s="591">
        <v>23.5</v>
      </c>
      <c r="V467" s="589"/>
      <c r="W467" s="564">
        <f>IF(S467&lt;&gt;0,VLOOKUP(S467,VKT!$A$2:$G$415,7,0),"")</f>
        <v>984277</v>
      </c>
      <c r="X467" s="564">
        <f t="shared" si="91"/>
        <v>23131000</v>
      </c>
      <c r="Y467" s="589"/>
      <c r="Z467" s="592" t="s">
        <v>55</v>
      </c>
      <c r="AA467" s="592" t="s">
        <v>56</v>
      </c>
      <c r="AB467" s="568" t="s">
        <v>186</v>
      </c>
      <c r="AC467" s="592" t="s">
        <v>66</v>
      </c>
      <c r="AD467" s="592"/>
      <c r="AE467" s="569" t="s">
        <v>2789</v>
      </c>
      <c r="AF467" s="590">
        <v>1</v>
      </c>
      <c r="AG467" s="570">
        <f>IF(AE467&lt;&gt;0,VLOOKUP(AE467,ODDS!$A$2:$C$13,3,0),"")</f>
        <v>13000000</v>
      </c>
      <c r="AH467" s="570">
        <f t="shared" si="87"/>
        <v>13000000</v>
      </c>
      <c r="AI467" s="571" t="str">
        <f t="shared" si="99"/>
        <v xml:space="preserve"> </v>
      </c>
      <c r="AJ467" s="558" t="s">
        <v>504</v>
      </c>
      <c r="AK467" s="558" t="s">
        <v>2448</v>
      </c>
    </row>
    <row r="468" spans="1:37" s="376" customFormat="1" ht="121.5" outlineLevel="2" x14ac:dyDescent="0.3">
      <c r="A468" s="447">
        <f t="shared" si="101"/>
        <v>41</v>
      </c>
      <c r="B468" s="557"/>
      <c r="C468" s="558" t="s">
        <v>309</v>
      </c>
      <c r="D468" s="587"/>
      <c r="E468" s="587"/>
      <c r="F468" s="560"/>
      <c r="G468" s="558" t="s">
        <v>2470</v>
      </c>
      <c r="H468" s="588">
        <v>7.1</v>
      </c>
      <c r="I468" s="546">
        <f t="shared" si="100"/>
        <v>7.1</v>
      </c>
      <c r="J468" s="593"/>
      <c r="K468" s="563">
        <f>IF(G468&lt;&gt;0,VLOOKUP(G468,'gia dat'!$A$1:$F$144,5,0)," ")</f>
        <v>554400</v>
      </c>
      <c r="L468" s="563">
        <f>IF(G468&lt;&gt;0,VLOOKUP(G468,'gia dat'!$A$1:$F$144,6,0)," ")</f>
        <v>1663200</v>
      </c>
      <c r="M468" s="564">
        <f t="shared" si="93"/>
        <v>3936000</v>
      </c>
      <c r="N468" s="564">
        <f t="shared" si="94"/>
        <v>11809000</v>
      </c>
      <c r="O468" s="586" t="s">
        <v>75</v>
      </c>
      <c r="P468" s="590">
        <v>29</v>
      </c>
      <c r="Q468" s="564">
        <f>IF(O468&lt;&gt;0,VLOOKUP(O468,'Cây trong'!$A$2:$C$246,3,0)," ")</f>
        <v>34000</v>
      </c>
      <c r="R468" s="564">
        <f t="shared" si="86"/>
        <v>986000</v>
      </c>
      <c r="S468" s="586" t="s">
        <v>1884</v>
      </c>
      <c r="T468" s="609" t="s">
        <v>53</v>
      </c>
      <c r="U468" s="591">
        <v>13.3</v>
      </c>
      <c r="V468" s="589"/>
      <c r="W468" s="564">
        <f>IF(S468&lt;&gt;0,VLOOKUP(S468,VKT!$A$2:$G$415,7,0),"")</f>
        <v>984277</v>
      </c>
      <c r="X468" s="564">
        <f t="shared" si="91"/>
        <v>13091000</v>
      </c>
      <c r="Y468" s="589"/>
      <c r="Z468" s="592" t="s">
        <v>55</v>
      </c>
      <c r="AA468" s="592" t="s">
        <v>56</v>
      </c>
      <c r="AB468" s="568" t="s">
        <v>186</v>
      </c>
      <c r="AC468" s="592" t="s">
        <v>66</v>
      </c>
      <c r="AD468" s="592"/>
      <c r="AE468" s="606"/>
      <c r="AF468" s="590"/>
      <c r="AG468" s="570" t="str">
        <f>IF(AE468&lt;&gt;0,VLOOKUP(AE468,ODDS!$A$2:$C$13,3,0),"")</f>
        <v/>
      </c>
      <c r="AH468" s="570" t="str">
        <f t="shared" si="87"/>
        <v xml:space="preserve"> </v>
      </c>
      <c r="AI468" s="571" t="str">
        <f t="shared" si="99"/>
        <v xml:space="preserve"> </v>
      </c>
      <c r="AJ468" s="593" t="s">
        <v>207</v>
      </c>
      <c r="AK468" s="558" t="s">
        <v>2450</v>
      </c>
    </row>
    <row r="469" spans="1:37" s="376" customFormat="1" ht="101.25" outlineLevel="2" x14ac:dyDescent="0.3">
      <c r="A469" s="447">
        <f t="shared" si="101"/>
        <v>41</v>
      </c>
      <c r="B469" s="557"/>
      <c r="C469" s="558"/>
      <c r="D469" s="587"/>
      <c r="E469" s="587"/>
      <c r="F469" s="560"/>
      <c r="G469" s="558"/>
      <c r="H469" s="588"/>
      <c r="I469" s="546"/>
      <c r="J469" s="593"/>
      <c r="K469" s="563" t="str">
        <f>IF(G469&lt;&gt;0,VLOOKUP(G469,'gia dat'!$A$1:$F$144,5,0)," ")</f>
        <v xml:space="preserve"> </v>
      </c>
      <c r="L469" s="563" t="str">
        <f>IF(G469&lt;&gt;0,VLOOKUP(G469,'gia dat'!$A$1:$F$144,6,0)," ")</f>
        <v xml:space="preserve"> </v>
      </c>
      <c r="M469" s="564" t="str">
        <f t="shared" si="93"/>
        <v xml:space="preserve"> </v>
      </c>
      <c r="N469" s="564" t="str">
        <f t="shared" si="94"/>
        <v xml:space="preserve"> </v>
      </c>
      <c r="O469" s="586" t="s">
        <v>748</v>
      </c>
      <c r="P469" s="590">
        <v>1</v>
      </c>
      <c r="Q469" s="564">
        <f>IF(O469&lt;&gt;0,VLOOKUP(O469,'Cây trong'!$A$2:$C$246,3,0)," ")</f>
        <v>0</v>
      </c>
      <c r="R469" s="564">
        <f t="shared" si="86"/>
        <v>0</v>
      </c>
      <c r="S469" s="586" t="s">
        <v>2290</v>
      </c>
      <c r="T469" s="609" t="s">
        <v>53</v>
      </c>
      <c r="U469" s="591">
        <v>4.5599999999999996</v>
      </c>
      <c r="V469" s="589"/>
      <c r="W469" s="564">
        <f>IF(S469&lt;&gt;0,VLOOKUP(S469,VKT!$A$2:$G$415,7,0),"")</f>
        <v>8308812</v>
      </c>
      <c r="X469" s="564">
        <f t="shared" si="91"/>
        <v>37888000</v>
      </c>
      <c r="Y469" s="589"/>
      <c r="Z469" s="592"/>
      <c r="AA469" s="592" t="s">
        <v>56</v>
      </c>
      <c r="AB469" s="568" t="s">
        <v>57</v>
      </c>
      <c r="AC469" s="592" t="s">
        <v>54</v>
      </c>
      <c r="AD469" s="592"/>
      <c r="AE469" s="592"/>
      <c r="AF469" s="590"/>
      <c r="AG469" s="570" t="str">
        <f>IF(AE469&lt;&gt;0,VLOOKUP(AE469,ODDS!$A$2:$C$13,3,0),"")</f>
        <v/>
      </c>
      <c r="AH469" s="570" t="str">
        <f t="shared" si="87"/>
        <v xml:space="preserve"> </v>
      </c>
      <c r="AI469" s="571" t="str">
        <f t="shared" si="99"/>
        <v xml:space="preserve"> </v>
      </c>
      <c r="AJ469" s="558" t="s">
        <v>506</v>
      </c>
      <c r="AK469" s="558" t="s">
        <v>2449</v>
      </c>
    </row>
    <row r="470" spans="1:37" s="376" customFormat="1" ht="81" outlineLevel="2" x14ac:dyDescent="0.3">
      <c r="A470" s="447">
        <f t="shared" si="101"/>
        <v>41</v>
      </c>
      <c r="B470" s="557"/>
      <c r="C470" s="558"/>
      <c r="D470" s="587"/>
      <c r="E470" s="587"/>
      <c r="F470" s="560"/>
      <c r="G470" s="558"/>
      <c r="H470" s="588"/>
      <c r="I470" s="546"/>
      <c r="J470" s="593"/>
      <c r="K470" s="563" t="str">
        <f>IF(G470&lt;&gt;0,VLOOKUP(G470,'gia dat'!$A$1:$F$144,5,0)," ")</f>
        <v xml:space="preserve"> </v>
      </c>
      <c r="L470" s="563" t="str">
        <f>IF(G470&lt;&gt;0,VLOOKUP(G470,'gia dat'!$A$1:$F$144,6,0)," ")</f>
        <v xml:space="preserve"> </v>
      </c>
      <c r="M470" s="564" t="str">
        <f t="shared" si="93"/>
        <v xml:space="preserve"> </v>
      </c>
      <c r="N470" s="564" t="str">
        <f t="shared" si="94"/>
        <v xml:space="preserve"> </v>
      </c>
      <c r="O470" s="586" t="s">
        <v>352</v>
      </c>
      <c r="P470" s="590">
        <v>1</v>
      </c>
      <c r="Q470" s="564">
        <f>IF(O470&lt;&gt;0,VLOOKUP(O470,'Cây trong'!$A$2:$C$246,3,0)," ")</f>
        <v>60000</v>
      </c>
      <c r="R470" s="564">
        <f t="shared" si="86"/>
        <v>60000</v>
      </c>
      <c r="S470" s="586" t="s">
        <v>2308</v>
      </c>
      <c r="T470" s="609" t="s">
        <v>53</v>
      </c>
      <c r="U470" s="591">
        <v>32.9</v>
      </c>
      <c r="V470" s="589"/>
      <c r="W470" s="564">
        <f>IF(S470&lt;&gt;0,VLOOKUP(S470,VKT!$A$2:$G$415,7,0),"")</f>
        <v>0</v>
      </c>
      <c r="X470" s="564">
        <f t="shared" si="91"/>
        <v>0</v>
      </c>
      <c r="Y470" s="589"/>
      <c r="Z470" s="592"/>
      <c r="AA470" s="592"/>
      <c r="AB470" s="568"/>
      <c r="AC470" s="592"/>
      <c r="AD470" s="592"/>
      <c r="AE470" s="592"/>
      <c r="AF470" s="590"/>
      <c r="AG470" s="570" t="str">
        <f>IF(AE470&lt;&gt;0,VLOOKUP(AE470,ODDS!$A$2:$C$13,3,0),"")</f>
        <v/>
      </c>
      <c r="AH470" s="570" t="str">
        <f t="shared" si="87"/>
        <v xml:space="preserve"> </v>
      </c>
      <c r="AI470" s="571" t="str">
        <f t="shared" si="99"/>
        <v xml:space="preserve"> </v>
      </c>
      <c r="AJ470" s="558" t="s">
        <v>2074</v>
      </c>
      <c r="AK470" s="558" t="s">
        <v>2451</v>
      </c>
    </row>
    <row r="471" spans="1:37" s="376" customFormat="1" ht="101.25" outlineLevel="2" x14ac:dyDescent="0.3">
      <c r="A471" s="447">
        <f t="shared" si="101"/>
        <v>41</v>
      </c>
      <c r="B471" s="557"/>
      <c r="C471" s="558"/>
      <c r="D471" s="587"/>
      <c r="E471" s="587"/>
      <c r="F471" s="560"/>
      <c r="G471" s="558"/>
      <c r="H471" s="588"/>
      <c r="I471" s="546"/>
      <c r="J471" s="593"/>
      <c r="K471" s="563" t="str">
        <f>IF(G471&lt;&gt;0,VLOOKUP(G471,'gia dat'!$A$1:$F$144,5,0)," ")</f>
        <v xml:space="preserve"> </v>
      </c>
      <c r="L471" s="563" t="str">
        <f>IF(G471&lt;&gt;0,VLOOKUP(G471,'gia dat'!$A$1:$F$144,6,0)," ")</f>
        <v xml:space="preserve"> </v>
      </c>
      <c r="M471" s="564" t="str">
        <f t="shared" si="93"/>
        <v xml:space="preserve"> </v>
      </c>
      <c r="N471" s="564" t="str">
        <f t="shared" si="94"/>
        <v xml:space="preserve"> </v>
      </c>
      <c r="O471" s="586" t="s">
        <v>191</v>
      </c>
      <c r="P471" s="590">
        <v>16</v>
      </c>
      <c r="Q471" s="564">
        <f>IF(O471&lt;&gt;0,VLOOKUP(O471,'Cây trong'!$A$2:$C$246,3,0)," ")</f>
        <v>10000</v>
      </c>
      <c r="R471" s="564">
        <f t="shared" si="86"/>
        <v>160000</v>
      </c>
      <c r="S471" s="586" t="s">
        <v>1749</v>
      </c>
      <c r="T471" s="609" t="s">
        <v>53</v>
      </c>
      <c r="U471" s="591">
        <v>32.9</v>
      </c>
      <c r="V471" s="589"/>
      <c r="W471" s="564">
        <f>IF(S471&lt;&gt;0,VLOOKUP(S471,VKT!$A$2:$G$415,7,0),"")</f>
        <v>211811</v>
      </c>
      <c r="X471" s="564">
        <f t="shared" si="91"/>
        <v>6969000</v>
      </c>
      <c r="Y471" s="589"/>
      <c r="Z471" s="592"/>
      <c r="AA471" s="592"/>
      <c r="AB471" s="568"/>
      <c r="AC471" s="592"/>
      <c r="AD471" s="592"/>
      <c r="AE471" s="592"/>
      <c r="AF471" s="590"/>
      <c r="AG471" s="570" t="str">
        <f>IF(AE471&lt;&gt;0,VLOOKUP(AE471,ODDS!$A$2:$C$13,3,0),"")</f>
        <v/>
      </c>
      <c r="AH471" s="570" t="str">
        <f t="shared" si="87"/>
        <v xml:space="preserve"> </v>
      </c>
      <c r="AI471" s="571" t="str">
        <f t="shared" si="99"/>
        <v xml:space="preserve"> </v>
      </c>
      <c r="AJ471" s="575"/>
      <c r="AK471" s="558" t="s">
        <v>2800</v>
      </c>
    </row>
    <row r="472" spans="1:37" s="376" customFormat="1" ht="60.75" outlineLevel="2" x14ac:dyDescent="0.3">
      <c r="A472" s="447">
        <f t="shared" si="101"/>
        <v>41</v>
      </c>
      <c r="B472" s="557"/>
      <c r="C472" s="558"/>
      <c r="D472" s="587"/>
      <c r="E472" s="587"/>
      <c r="F472" s="560"/>
      <c r="G472" s="558"/>
      <c r="H472" s="588"/>
      <c r="I472" s="546"/>
      <c r="J472" s="593"/>
      <c r="K472" s="563" t="str">
        <f>IF(G472&lt;&gt;0,VLOOKUP(G472,'gia dat'!$A$1:$F$144,5,0)," ")</f>
        <v xml:space="preserve"> </v>
      </c>
      <c r="L472" s="563" t="str">
        <f>IF(G472&lt;&gt;0,VLOOKUP(G472,'gia dat'!$A$1:$F$144,6,0)," ")</f>
        <v xml:space="preserve"> </v>
      </c>
      <c r="M472" s="564" t="str">
        <f t="shared" si="93"/>
        <v xml:space="preserve"> </v>
      </c>
      <c r="N472" s="564" t="str">
        <f t="shared" si="94"/>
        <v xml:space="preserve"> </v>
      </c>
      <c r="O472" s="586" t="s">
        <v>192</v>
      </c>
      <c r="P472" s="590">
        <v>5</v>
      </c>
      <c r="Q472" s="564">
        <f>IF(O472&lt;&gt;0,VLOOKUP(O472,'Cây trong'!$A$2:$C$246,3,0)," ")</f>
        <v>8000</v>
      </c>
      <c r="R472" s="564">
        <f t="shared" si="86"/>
        <v>40000</v>
      </c>
      <c r="S472" s="586" t="s">
        <v>1749</v>
      </c>
      <c r="T472" s="609" t="s">
        <v>53</v>
      </c>
      <c r="U472" s="591">
        <v>26.91</v>
      </c>
      <c r="V472" s="589"/>
      <c r="W472" s="564">
        <f>IF(S472&lt;&gt;0,VLOOKUP(S472,VKT!$A$2:$G$415,7,0),"")</f>
        <v>211811</v>
      </c>
      <c r="X472" s="564">
        <f t="shared" si="91"/>
        <v>5700000</v>
      </c>
      <c r="Y472" s="589"/>
      <c r="Z472" s="592"/>
      <c r="AA472" s="592"/>
      <c r="AB472" s="568"/>
      <c r="AC472" s="592"/>
      <c r="AD472" s="592"/>
      <c r="AE472" s="592"/>
      <c r="AF472" s="590"/>
      <c r="AG472" s="570" t="str">
        <f>IF(AE472&lt;&gt;0,VLOOKUP(AE472,ODDS!$A$2:$C$13,3,0),"")</f>
        <v/>
      </c>
      <c r="AH472" s="570" t="str">
        <f t="shared" si="87"/>
        <v xml:space="preserve"> </v>
      </c>
      <c r="AI472" s="571" t="str">
        <f t="shared" si="99"/>
        <v xml:space="preserve"> </v>
      </c>
      <c r="AJ472" s="575"/>
      <c r="AK472" s="593"/>
    </row>
    <row r="473" spans="1:37" s="376" customFormat="1" ht="60.75" outlineLevel="2" x14ac:dyDescent="0.3">
      <c r="A473" s="447">
        <f t="shared" si="101"/>
        <v>41</v>
      </c>
      <c r="B473" s="557"/>
      <c r="C473" s="558"/>
      <c r="D473" s="587"/>
      <c r="E473" s="587"/>
      <c r="F473" s="560"/>
      <c r="G473" s="558"/>
      <c r="H473" s="588"/>
      <c r="I473" s="546"/>
      <c r="J473" s="593"/>
      <c r="K473" s="563" t="str">
        <f>IF(G473&lt;&gt;0,VLOOKUP(G473,'gia dat'!$A$1:$F$144,5,0)," ")</f>
        <v xml:space="preserve"> </v>
      </c>
      <c r="L473" s="563" t="str">
        <f>IF(G473&lt;&gt;0,VLOOKUP(G473,'gia dat'!$A$1:$F$144,6,0)," ")</f>
        <v xml:space="preserve"> </v>
      </c>
      <c r="M473" s="564" t="str">
        <f t="shared" si="93"/>
        <v xml:space="preserve"> </v>
      </c>
      <c r="N473" s="564" t="str">
        <f t="shared" si="94"/>
        <v xml:space="preserve"> </v>
      </c>
      <c r="O473" s="586" t="s">
        <v>154</v>
      </c>
      <c r="P473" s="590">
        <v>5</v>
      </c>
      <c r="Q473" s="564">
        <f>IF(O473&lt;&gt;0,VLOOKUP(O473,'Cây trong'!$A$2:$C$246,3,0)," ")</f>
        <v>248000</v>
      </c>
      <c r="R473" s="564">
        <f t="shared" si="86"/>
        <v>1240000</v>
      </c>
      <c r="S473" s="586" t="s">
        <v>1749</v>
      </c>
      <c r="T473" s="609" t="s">
        <v>53</v>
      </c>
      <c r="U473" s="591">
        <v>3.7</v>
      </c>
      <c r="V473" s="589"/>
      <c r="W473" s="564">
        <f>IF(S473&lt;&gt;0,VLOOKUP(S473,VKT!$A$2:$G$415,7,0),"")</f>
        <v>211811</v>
      </c>
      <c r="X473" s="564">
        <f t="shared" si="91"/>
        <v>784000</v>
      </c>
      <c r="Y473" s="589"/>
      <c r="Z473" s="592"/>
      <c r="AA473" s="592"/>
      <c r="AB473" s="568"/>
      <c r="AC473" s="592"/>
      <c r="AD473" s="592"/>
      <c r="AE473" s="592"/>
      <c r="AF473" s="590"/>
      <c r="AG473" s="570" t="str">
        <f>IF(AE473&lt;&gt;0,VLOOKUP(AE473,ODDS!$A$2:$C$13,3,0),"")</f>
        <v/>
      </c>
      <c r="AH473" s="570" t="str">
        <f t="shared" si="87"/>
        <v xml:space="preserve"> </v>
      </c>
      <c r="AI473" s="571" t="str">
        <f t="shared" si="99"/>
        <v xml:space="preserve"> </v>
      </c>
      <c r="AJ473" s="593"/>
      <c r="AK473" s="593"/>
    </row>
    <row r="474" spans="1:37" s="376" customFormat="1" ht="40.5" outlineLevel="2" x14ac:dyDescent="0.3">
      <c r="A474" s="447">
        <f t="shared" si="101"/>
        <v>41</v>
      </c>
      <c r="B474" s="557"/>
      <c r="C474" s="558"/>
      <c r="D474" s="587"/>
      <c r="E474" s="587"/>
      <c r="F474" s="560"/>
      <c r="G474" s="558"/>
      <c r="H474" s="588"/>
      <c r="I474" s="546"/>
      <c r="J474" s="593"/>
      <c r="K474" s="563" t="str">
        <f>IF(G474&lt;&gt;0,VLOOKUP(G474,'gia dat'!$A$1:$F$144,5,0)," ")</f>
        <v xml:space="preserve"> </v>
      </c>
      <c r="L474" s="563" t="str">
        <f>IF(G474&lt;&gt;0,VLOOKUP(G474,'gia dat'!$A$1:$F$144,6,0)," ")</f>
        <v xml:space="preserve"> </v>
      </c>
      <c r="M474" s="564" t="str">
        <f t="shared" si="93"/>
        <v xml:space="preserve"> </v>
      </c>
      <c r="N474" s="564" t="str">
        <f t="shared" si="94"/>
        <v xml:space="preserve"> </v>
      </c>
      <c r="O474" s="586" t="s">
        <v>149</v>
      </c>
      <c r="P474" s="590">
        <v>7</v>
      </c>
      <c r="Q474" s="564">
        <f>IF(O474&lt;&gt;0,VLOOKUP(O474,'Cây trong'!$A$2:$C$246,3,0)," ")</f>
        <v>146000</v>
      </c>
      <c r="R474" s="564">
        <f t="shared" si="86"/>
        <v>1022000</v>
      </c>
      <c r="S474" s="586" t="s">
        <v>2291</v>
      </c>
      <c r="T474" s="609" t="s">
        <v>78</v>
      </c>
      <c r="U474" s="591">
        <v>7.0000000000000007E-2</v>
      </c>
      <c r="V474" s="589"/>
      <c r="W474" s="564">
        <f>IF(S474&lt;&gt;0,VLOOKUP(S474,VKT!$A$2:$G$415,7,0),"")</f>
        <v>0</v>
      </c>
      <c r="X474" s="564">
        <f t="shared" si="91"/>
        <v>0</v>
      </c>
      <c r="Y474" s="589"/>
      <c r="Z474" s="592"/>
      <c r="AA474" s="592"/>
      <c r="AB474" s="568"/>
      <c r="AC474" s="592"/>
      <c r="AD474" s="592"/>
      <c r="AE474" s="592"/>
      <c r="AF474" s="590"/>
      <c r="AG474" s="570" t="str">
        <f>IF(AE474&lt;&gt;0,VLOOKUP(AE474,ODDS!$A$2:$C$13,3,0),"")</f>
        <v/>
      </c>
      <c r="AH474" s="570" t="str">
        <f t="shared" si="87"/>
        <v xml:space="preserve"> </v>
      </c>
      <c r="AI474" s="571" t="str">
        <f t="shared" si="99"/>
        <v xml:space="preserve"> </v>
      </c>
      <c r="AJ474" s="593"/>
      <c r="AK474" s="593"/>
    </row>
    <row r="475" spans="1:37" s="376" customFormat="1" ht="40.5" outlineLevel="2" x14ac:dyDescent="0.3">
      <c r="A475" s="447">
        <f t="shared" si="101"/>
        <v>41</v>
      </c>
      <c r="B475" s="557"/>
      <c r="C475" s="558"/>
      <c r="D475" s="587"/>
      <c r="E475" s="587"/>
      <c r="F475" s="560"/>
      <c r="G475" s="558"/>
      <c r="H475" s="588"/>
      <c r="I475" s="546"/>
      <c r="J475" s="593"/>
      <c r="K475" s="563" t="str">
        <f>IF(G475&lt;&gt;0,VLOOKUP(G475,'gia dat'!$A$1:$F$144,5,0)," ")</f>
        <v xml:space="preserve"> </v>
      </c>
      <c r="L475" s="563" t="str">
        <f>IF(G475&lt;&gt;0,VLOOKUP(G475,'gia dat'!$A$1:$F$144,6,0)," ")</f>
        <v xml:space="preserve"> </v>
      </c>
      <c r="M475" s="564" t="str">
        <f t="shared" si="93"/>
        <v xml:space="preserve"> </v>
      </c>
      <c r="N475" s="564" t="str">
        <f t="shared" si="94"/>
        <v xml:space="preserve"> </v>
      </c>
      <c r="O475" s="586" t="s">
        <v>193</v>
      </c>
      <c r="P475" s="590">
        <v>1</v>
      </c>
      <c r="Q475" s="564">
        <f>IF(O475&lt;&gt;0,VLOOKUP(O475,'Cây trong'!$A$2:$C$246,3,0)," ")</f>
        <v>275000</v>
      </c>
      <c r="R475" s="564">
        <f t="shared" si="86"/>
        <v>275000</v>
      </c>
      <c r="S475" s="586" t="s">
        <v>2293</v>
      </c>
      <c r="T475" s="609" t="s">
        <v>53</v>
      </c>
      <c r="U475" s="591">
        <v>0.9</v>
      </c>
      <c r="V475" s="589"/>
      <c r="W475" s="564">
        <f>IF(S475&lt;&gt;0,VLOOKUP(S475,VKT!$A$2:$G$415,7,0),"")</f>
        <v>254982</v>
      </c>
      <c r="X475" s="564">
        <f t="shared" si="91"/>
        <v>229000</v>
      </c>
      <c r="Y475" s="589"/>
      <c r="Z475" s="592"/>
      <c r="AA475" s="592"/>
      <c r="AB475" s="568"/>
      <c r="AC475" s="592"/>
      <c r="AD475" s="592"/>
      <c r="AE475" s="592"/>
      <c r="AF475" s="590"/>
      <c r="AG475" s="570" t="str">
        <f>IF(AE475&lt;&gt;0,VLOOKUP(AE475,ODDS!$A$2:$C$13,3,0),"")</f>
        <v/>
      </c>
      <c r="AH475" s="570" t="str">
        <f t="shared" si="87"/>
        <v xml:space="preserve"> </v>
      </c>
      <c r="AI475" s="571" t="str">
        <f t="shared" si="99"/>
        <v xml:space="preserve"> </v>
      </c>
      <c r="AJ475" s="593"/>
      <c r="AK475" s="593"/>
    </row>
    <row r="476" spans="1:37" s="376" customFormat="1" ht="60.75" outlineLevel="2" x14ac:dyDescent="0.3">
      <c r="A476" s="447">
        <f t="shared" si="101"/>
        <v>41</v>
      </c>
      <c r="B476" s="557"/>
      <c r="C476" s="558"/>
      <c r="D476" s="587"/>
      <c r="E476" s="587"/>
      <c r="F476" s="560"/>
      <c r="G476" s="558"/>
      <c r="H476" s="588"/>
      <c r="I476" s="546"/>
      <c r="J476" s="593"/>
      <c r="K476" s="563" t="str">
        <f>IF(G476&lt;&gt;0,VLOOKUP(G476,'gia dat'!$A$1:$F$144,5,0)," ")</f>
        <v xml:space="preserve"> </v>
      </c>
      <c r="L476" s="563" t="str">
        <f>IF(G476&lt;&gt;0,VLOOKUP(G476,'gia dat'!$A$1:$F$144,6,0)," ")</f>
        <v xml:space="preserve"> </v>
      </c>
      <c r="M476" s="564" t="str">
        <f t="shared" si="93"/>
        <v xml:space="preserve"> </v>
      </c>
      <c r="N476" s="564" t="str">
        <f t="shared" si="94"/>
        <v xml:space="preserve"> </v>
      </c>
      <c r="O476" s="586" t="s">
        <v>194</v>
      </c>
      <c r="P476" s="590">
        <v>15</v>
      </c>
      <c r="Q476" s="564">
        <f>IF(O476&lt;&gt;0,VLOOKUP(O476,'Cây trong'!$A$2:$C$246,3,0)," ")</f>
        <v>13000</v>
      </c>
      <c r="R476" s="564">
        <f t="shared" si="86"/>
        <v>195000</v>
      </c>
      <c r="S476" s="586" t="s">
        <v>2292</v>
      </c>
      <c r="T476" s="609" t="s">
        <v>53</v>
      </c>
      <c r="U476" s="591">
        <v>0.9</v>
      </c>
      <c r="V476" s="589"/>
      <c r="W476" s="564">
        <f>IF(S476&lt;&gt;0,VLOOKUP(S476,VKT!$A$2:$G$415,7,0),"")</f>
        <v>310020</v>
      </c>
      <c r="X476" s="564">
        <f t="shared" si="91"/>
        <v>279000</v>
      </c>
      <c r="Y476" s="589"/>
      <c r="Z476" s="592"/>
      <c r="AA476" s="592"/>
      <c r="AB476" s="568"/>
      <c r="AC476" s="592"/>
      <c r="AD476" s="592"/>
      <c r="AE476" s="592"/>
      <c r="AF476" s="590"/>
      <c r="AG476" s="570" t="str">
        <f>IF(AE476&lt;&gt;0,VLOOKUP(AE476,ODDS!$A$2:$C$13,3,0),"")</f>
        <v/>
      </c>
      <c r="AH476" s="570" t="str">
        <f t="shared" si="87"/>
        <v xml:space="preserve"> </v>
      </c>
      <c r="AI476" s="571" t="str">
        <f t="shared" si="99"/>
        <v xml:space="preserve"> </v>
      </c>
      <c r="AJ476" s="593"/>
      <c r="AK476" s="593"/>
    </row>
    <row r="477" spans="1:37" s="376" customFormat="1" ht="40.5" outlineLevel="2" x14ac:dyDescent="0.3">
      <c r="A477" s="447">
        <f t="shared" si="101"/>
        <v>41</v>
      </c>
      <c r="B477" s="557"/>
      <c r="C477" s="574"/>
      <c r="D477" s="587"/>
      <c r="E477" s="587"/>
      <c r="F477" s="560"/>
      <c r="G477" s="558"/>
      <c r="H477" s="588"/>
      <c r="I477" s="546"/>
      <c r="J477" s="593"/>
      <c r="K477" s="563" t="str">
        <f>IF(G477&lt;&gt;0,VLOOKUP(G477,'gia dat'!$A$1:$F$144,5,0)," ")</f>
        <v xml:space="preserve"> </v>
      </c>
      <c r="L477" s="563" t="str">
        <f>IF(G477&lt;&gt;0,VLOOKUP(G477,'gia dat'!$A$1:$F$144,6,0)," ")</f>
        <v xml:space="preserve"> </v>
      </c>
      <c r="M477" s="564" t="str">
        <f t="shared" si="93"/>
        <v xml:space="preserve"> </v>
      </c>
      <c r="N477" s="564" t="str">
        <f t="shared" si="94"/>
        <v xml:space="preserve"> </v>
      </c>
      <c r="O477" s="646"/>
      <c r="P477" s="658"/>
      <c r="Q477" s="564" t="str">
        <f>IF(O477&lt;&gt;0,VLOOKUP(O477,'Cây trong'!$A$2:$C$246,3,0)," ")</f>
        <v xml:space="preserve"> </v>
      </c>
      <c r="R477" s="564" t="str">
        <f t="shared" si="86"/>
        <v xml:space="preserve"> </v>
      </c>
      <c r="S477" s="586" t="s">
        <v>2309</v>
      </c>
      <c r="T477" s="609" t="s">
        <v>53</v>
      </c>
      <c r="U477" s="591">
        <v>5.2</v>
      </c>
      <c r="V477" s="589"/>
      <c r="W477" s="564">
        <f>IF(S477&lt;&gt;0,VLOOKUP(S477,VKT!$A$2:$G$415,7,0),"")</f>
        <v>0</v>
      </c>
      <c r="X477" s="564">
        <f t="shared" si="91"/>
        <v>0</v>
      </c>
      <c r="Y477" s="589"/>
      <c r="Z477" s="592"/>
      <c r="AA477" s="592"/>
      <c r="AB477" s="568"/>
      <c r="AC477" s="592"/>
      <c r="AD477" s="592"/>
      <c r="AE477" s="592"/>
      <c r="AF477" s="590"/>
      <c r="AG477" s="570" t="str">
        <f>IF(AE477&lt;&gt;0,VLOOKUP(AE477,ODDS!$A$2:$C$13,3,0),"")</f>
        <v/>
      </c>
      <c r="AH477" s="570" t="str">
        <f t="shared" si="87"/>
        <v xml:space="preserve"> </v>
      </c>
      <c r="AI477" s="571" t="str">
        <f t="shared" si="99"/>
        <v xml:space="preserve"> </v>
      </c>
      <c r="AJ477" s="593"/>
      <c r="AK477" s="593"/>
    </row>
    <row r="478" spans="1:37" s="376" customFormat="1" ht="101.25" outlineLevel="2" x14ac:dyDescent="0.3">
      <c r="A478" s="447">
        <f t="shared" si="101"/>
        <v>41</v>
      </c>
      <c r="B478" s="557"/>
      <c r="C478" s="558"/>
      <c r="D478" s="587"/>
      <c r="E478" s="587"/>
      <c r="F478" s="560"/>
      <c r="G478" s="558"/>
      <c r="H478" s="588"/>
      <c r="I478" s="546"/>
      <c r="J478" s="593"/>
      <c r="K478" s="563" t="str">
        <f>IF(G478&lt;&gt;0,VLOOKUP(G478,'gia dat'!$A$1:$F$144,5,0)," ")</f>
        <v xml:space="preserve"> </v>
      </c>
      <c r="L478" s="563" t="str">
        <f>IF(G478&lt;&gt;0,VLOOKUP(G478,'gia dat'!$A$1:$F$144,6,0)," ")</f>
        <v xml:space="preserve"> </v>
      </c>
      <c r="M478" s="564" t="str">
        <f t="shared" si="93"/>
        <v xml:space="preserve"> </v>
      </c>
      <c r="N478" s="564" t="str">
        <f t="shared" si="94"/>
        <v xml:space="preserve"> </v>
      </c>
      <c r="O478" s="646"/>
      <c r="P478" s="658"/>
      <c r="Q478" s="564" t="str">
        <f>IF(O478&lt;&gt;0,VLOOKUP(O478,'Cây trong'!$A$2:$C$246,3,0)," ")</f>
        <v xml:space="preserve"> </v>
      </c>
      <c r="R478" s="564" t="str">
        <f t="shared" si="86"/>
        <v xml:space="preserve"> </v>
      </c>
      <c r="S478" s="586" t="s">
        <v>2310</v>
      </c>
      <c r="T478" s="609" t="s">
        <v>53</v>
      </c>
      <c r="U478" s="591">
        <v>18.63</v>
      </c>
      <c r="V478" s="589"/>
      <c r="W478" s="564">
        <f>IF(S478&lt;&gt;0,VLOOKUP(S478,VKT!$A$2:$G$415,7,0),"")</f>
        <v>441467</v>
      </c>
      <c r="X478" s="564">
        <f t="shared" si="91"/>
        <v>8225000</v>
      </c>
      <c r="Y478" s="589"/>
      <c r="Z478" s="592"/>
      <c r="AA478" s="592"/>
      <c r="AB478" s="568"/>
      <c r="AC478" s="592"/>
      <c r="AD478" s="592"/>
      <c r="AE478" s="592"/>
      <c r="AF478" s="590"/>
      <c r="AG478" s="570" t="str">
        <f>IF(AE478&lt;&gt;0,VLOOKUP(AE478,ODDS!$A$2:$C$13,3,0),"")</f>
        <v/>
      </c>
      <c r="AH478" s="570" t="str">
        <f t="shared" si="87"/>
        <v xml:space="preserve"> </v>
      </c>
      <c r="AI478" s="571" t="str">
        <f t="shared" si="99"/>
        <v xml:space="preserve"> </v>
      </c>
      <c r="AJ478" s="593"/>
      <c r="AK478" s="593"/>
    </row>
    <row r="479" spans="1:37" s="376" customFormat="1" ht="60.75" outlineLevel="2" x14ac:dyDescent="0.3">
      <c r="A479" s="447">
        <f t="shared" si="101"/>
        <v>41</v>
      </c>
      <c r="B479" s="557"/>
      <c r="C479" s="635"/>
      <c r="D479" s="587"/>
      <c r="E479" s="587"/>
      <c r="F479" s="560"/>
      <c r="G479" s="558"/>
      <c r="H479" s="588"/>
      <c r="I479" s="546"/>
      <c r="J479" s="593"/>
      <c r="K479" s="563" t="str">
        <f>IF(G479&lt;&gt;0,VLOOKUP(G479,'gia dat'!$A$1:$F$144,5,0)," ")</f>
        <v xml:space="preserve"> </v>
      </c>
      <c r="L479" s="563" t="str">
        <f>IF(G479&lt;&gt;0,VLOOKUP(G479,'gia dat'!$A$1:$F$144,6,0)," ")</f>
        <v xml:space="preserve"> </v>
      </c>
      <c r="M479" s="564" t="str">
        <f t="shared" si="93"/>
        <v xml:space="preserve"> </v>
      </c>
      <c r="N479" s="564" t="str">
        <f t="shared" si="94"/>
        <v xml:space="preserve"> </v>
      </c>
      <c r="O479" s="646"/>
      <c r="P479" s="658"/>
      <c r="Q479" s="564" t="str">
        <f>IF(O479&lt;&gt;0,VLOOKUP(O479,'Cây trong'!$A$2:$C$246,3,0)," ")</f>
        <v xml:space="preserve"> </v>
      </c>
      <c r="R479" s="564" t="str">
        <f t="shared" si="86"/>
        <v xml:space="preserve"> </v>
      </c>
      <c r="S479" s="586" t="s">
        <v>2311</v>
      </c>
      <c r="T479" s="609" t="s">
        <v>53</v>
      </c>
      <c r="U479" s="591">
        <v>8.2799999999999994</v>
      </c>
      <c r="V479" s="589"/>
      <c r="W479" s="564">
        <f>IF(S479&lt;&gt;0,VLOOKUP(S479,VKT!$A$2:$G$415,7,0),"")</f>
        <v>441467</v>
      </c>
      <c r="X479" s="564">
        <f t="shared" si="91"/>
        <v>3655000</v>
      </c>
      <c r="Y479" s="589"/>
      <c r="Z479" s="592"/>
      <c r="AA479" s="592"/>
      <c r="AB479" s="568"/>
      <c r="AC479" s="592"/>
      <c r="AD479" s="592"/>
      <c r="AE479" s="592"/>
      <c r="AF479" s="590"/>
      <c r="AG479" s="570" t="str">
        <f>IF(AE479&lt;&gt;0,VLOOKUP(AE479,ODDS!$A$2:$C$13,3,0),"")</f>
        <v/>
      </c>
      <c r="AH479" s="570" t="str">
        <f t="shared" si="87"/>
        <v xml:space="preserve"> </v>
      </c>
      <c r="AI479" s="571" t="str">
        <f t="shared" si="99"/>
        <v xml:space="preserve"> </v>
      </c>
      <c r="AJ479" s="593"/>
      <c r="AK479" s="593"/>
    </row>
    <row r="480" spans="1:37" s="376" customFormat="1" ht="81" outlineLevel="2" x14ac:dyDescent="0.3">
      <c r="A480" s="447">
        <f t="shared" si="101"/>
        <v>41</v>
      </c>
      <c r="B480" s="557"/>
      <c r="C480" s="558"/>
      <c r="D480" s="587"/>
      <c r="E480" s="587"/>
      <c r="F480" s="560"/>
      <c r="G480" s="558"/>
      <c r="H480" s="588"/>
      <c r="I480" s="546"/>
      <c r="J480" s="589"/>
      <c r="K480" s="563" t="str">
        <f>IF(G480&lt;&gt;0,VLOOKUP(G480,'gia dat'!$A$1:$F$144,5,0)," ")</f>
        <v xml:space="preserve"> </v>
      </c>
      <c r="L480" s="563" t="str">
        <f>IF(G480&lt;&gt;0,VLOOKUP(G480,'gia dat'!$A$1:$F$144,6,0)," ")</f>
        <v xml:space="preserve"> </v>
      </c>
      <c r="M480" s="564" t="str">
        <f t="shared" si="93"/>
        <v xml:space="preserve"> </v>
      </c>
      <c r="N480" s="564" t="str">
        <f t="shared" si="94"/>
        <v xml:space="preserve"> </v>
      </c>
      <c r="O480" s="558"/>
      <c r="P480" s="590"/>
      <c r="Q480" s="564" t="str">
        <f>IF(O480&lt;&gt;0,VLOOKUP(O480,'Cây trong'!$A$2:$C$246,3,0)," ")</f>
        <v xml:space="preserve"> </v>
      </c>
      <c r="R480" s="564" t="str">
        <f t="shared" si="86"/>
        <v xml:space="preserve"> </v>
      </c>
      <c r="S480" s="566" t="s">
        <v>2312</v>
      </c>
      <c r="T480" s="589" t="s">
        <v>101</v>
      </c>
      <c r="U480" s="591">
        <v>50</v>
      </c>
      <c r="V480" s="589"/>
      <c r="W480" s="564">
        <f>IF(S480&lt;&gt;0,VLOOKUP(S480,VKT!$A$2:$G$415,7,0),"")</f>
        <v>80723</v>
      </c>
      <c r="X480" s="564">
        <f t="shared" si="91"/>
        <v>4036000</v>
      </c>
      <c r="Y480" s="589"/>
      <c r="Z480" s="592"/>
      <c r="AA480" s="592"/>
      <c r="AB480" s="568"/>
      <c r="AC480" s="592"/>
      <c r="AD480" s="592"/>
      <c r="AE480" s="592"/>
      <c r="AF480" s="590"/>
      <c r="AG480" s="570" t="str">
        <f>IF(AE480&lt;&gt;0,VLOOKUP(AE480,ODDS!$A$2:$C$13,3,0),"")</f>
        <v/>
      </c>
      <c r="AH480" s="570" t="str">
        <f t="shared" si="87"/>
        <v xml:space="preserve"> </v>
      </c>
      <c r="AI480" s="571" t="str">
        <f t="shared" si="99"/>
        <v xml:space="preserve"> </v>
      </c>
      <c r="AJ480" s="659"/>
      <c r="AK480" s="659"/>
    </row>
    <row r="481" spans="1:37" s="376" customFormat="1" ht="40.5" outlineLevel="2" x14ac:dyDescent="0.3">
      <c r="A481" s="447">
        <f t="shared" si="101"/>
        <v>41</v>
      </c>
      <c r="B481" s="557"/>
      <c r="C481" s="558"/>
      <c r="D481" s="587"/>
      <c r="E481" s="587"/>
      <c r="F481" s="560"/>
      <c r="G481" s="558"/>
      <c r="H481" s="588"/>
      <c r="I481" s="546"/>
      <c r="J481" s="589"/>
      <c r="K481" s="563" t="str">
        <f>IF(G481&lt;&gt;0,VLOOKUP(G481,'gia dat'!$A$1:$F$144,5,0)," ")</f>
        <v xml:space="preserve"> </v>
      </c>
      <c r="L481" s="563" t="str">
        <f>IF(G481&lt;&gt;0,VLOOKUP(G481,'gia dat'!$A$1:$F$144,6,0)," ")</f>
        <v xml:space="preserve"> </v>
      </c>
      <c r="M481" s="564" t="str">
        <f t="shared" si="93"/>
        <v xml:space="preserve"> </v>
      </c>
      <c r="N481" s="564" t="str">
        <f t="shared" si="94"/>
        <v xml:space="preserve"> </v>
      </c>
      <c r="O481" s="558"/>
      <c r="P481" s="590"/>
      <c r="Q481" s="564" t="str">
        <f>IF(O481&lt;&gt;0,VLOOKUP(O481,'Cây trong'!$A$2:$C$246,3,0)," ")</f>
        <v xml:space="preserve"> </v>
      </c>
      <c r="R481" s="564" t="str">
        <f t="shared" si="86"/>
        <v xml:space="preserve"> </v>
      </c>
      <c r="S481" s="586" t="s">
        <v>1748</v>
      </c>
      <c r="T481" s="589" t="s">
        <v>53</v>
      </c>
      <c r="U481" s="591">
        <v>5.88</v>
      </c>
      <c r="V481" s="589"/>
      <c r="W481" s="564">
        <f>IF(S481&lt;&gt;0,VLOOKUP(S481,VKT!$A$2:$G$415,7,0),"")</f>
        <v>0</v>
      </c>
      <c r="X481" s="564">
        <f t="shared" si="91"/>
        <v>0</v>
      </c>
      <c r="Y481" s="589"/>
      <c r="Z481" s="592"/>
      <c r="AA481" s="592"/>
      <c r="AB481" s="568"/>
      <c r="AC481" s="592"/>
      <c r="AD481" s="592"/>
      <c r="AE481" s="592"/>
      <c r="AF481" s="590"/>
      <c r="AG481" s="570" t="str">
        <f>IF(AE481&lt;&gt;0,VLOOKUP(AE481,ODDS!$A$2:$C$13,3,0),"")</f>
        <v/>
      </c>
      <c r="AH481" s="570" t="str">
        <f t="shared" si="87"/>
        <v xml:space="preserve"> </v>
      </c>
      <c r="AI481" s="571" t="str">
        <f t="shared" si="99"/>
        <v xml:space="preserve"> </v>
      </c>
      <c r="AJ481" s="593"/>
      <c r="AK481" s="593"/>
    </row>
    <row r="482" spans="1:37" s="376" customFormat="1" ht="60.75" outlineLevel="2" x14ac:dyDescent="0.3">
      <c r="A482" s="447">
        <f t="shared" si="101"/>
        <v>41</v>
      </c>
      <c r="B482" s="557"/>
      <c r="C482" s="607"/>
      <c r="D482" s="587"/>
      <c r="E482" s="587"/>
      <c r="F482" s="560"/>
      <c r="G482" s="558"/>
      <c r="H482" s="588"/>
      <c r="I482" s="546"/>
      <c r="J482" s="589"/>
      <c r="K482" s="563" t="str">
        <f>IF(G482&lt;&gt;0,VLOOKUP(G482,'gia dat'!$A$1:$F$144,5,0)," ")</f>
        <v xml:space="preserve"> </v>
      </c>
      <c r="L482" s="563" t="str">
        <f>IF(G482&lt;&gt;0,VLOOKUP(G482,'gia dat'!$A$1:$F$144,6,0)," ")</f>
        <v xml:space="preserve"> </v>
      </c>
      <c r="M482" s="564" t="str">
        <f t="shared" si="93"/>
        <v xml:space="preserve"> </v>
      </c>
      <c r="N482" s="564" t="str">
        <f t="shared" si="94"/>
        <v xml:space="preserve"> </v>
      </c>
      <c r="O482" s="558"/>
      <c r="P482" s="590"/>
      <c r="Q482" s="564" t="str">
        <f>IF(O482&lt;&gt;0,VLOOKUP(O482,'Cây trong'!$A$2:$C$246,3,0)," ")</f>
        <v xml:space="preserve"> </v>
      </c>
      <c r="R482" s="564" t="str">
        <f t="shared" si="86"/>
        <v xml:space="preserve"> </v>
      </c>
      <c r="S482" s="566" t="s">
        <v>1749</v>
      </c>
      <c r="T482" s="589" t="s">
        <v>53</v>
      </c>
      <c r="U482" s="591">
        <v>5.88</v>
      </c>
      <c r="V482" s="589"/>
      <c r="W482" s="564">
        <f>IF(S482&lt;&gt;0,VLOOKUP(S482,VKT!$A$2:$G$415,7,0),"")</f>
        <v>211811</v>
      </c>
      <c r="X482" s="564">
        <f t="shared" si="91"/>
        <v>1245000</v>
      </c>
      <c r="Y482" s="589"/>
      <c r="Z482" s="592"/>
      <c r="AA482" s="592"/>
      <c r="AB482" s="568"/>
      <c r="AC482" s="592"/>
      <c r="AD482" s="592"/>
      <c r="AE482" s="592"/>
      <c r="AF482" s="590"/>
      <c r="AG482" s="570" t="str">
        <f>IF(AE482&lt;&gt;0,VLOOKUP(AE482,ODDS!$A$2:$C$13,3,0),"")</f>
        <v/>
      </c>
      <c r="AH482" s="570" t="str">
        <f t="shared" si="87"/>
        <v xml:space="preserve"> </v>
      </c>
      <c r="AI482" s="571" t="str">
        <f t="shared" si="99"/>
        <v xml:space="preserve"> </v>
      </c>
      <c r="AJ482" s="593"/>
      <c r="AK482" s="593"/>
    </row>
    <row r="483" spans="1:37" s="376" customFormat="1" ht="40.5" outlineLevel="2" x14ac:dyDescent="0.3">
      <c r="A483" s="447">
        <f t="shared" si="101"/>
        <v>41</v>
      </c>
      <c r="B483" s="557"/>
      <c r="C483" s="558"/>
      <c r="D483" s="587"/>
      <c r="E483" s="612"/>
      <c r="F483" s="612"/>
      <c r="G483" s="586"/>
      <c r="H483" s="588"/>
      <c r="I483" s="546"/>
      <c r="J483" s="589"/>
      <c r="K483" s="563" t="str">
        <f>IF(G483&lt;&gt;0,VLOOKUP(G483,'gia dat'!$A$1:$F$144,5,0)," ")</f>
        <v xml:space="preserve"> </v>
      </c>
      <c r="L483" s="563" t="str">
        <f>IF(G483&lt;&gt;0,VLOOKUP(G483,'gia dat'!$A$1:$F$144,6,0)," ")</f>
        <v xml:space="preserve"> </v>
      </c>
      <c r="M483" s="564" t="str">
        <f t="shared" si="93"/>
        <v xml:space="preserve"> </v>
      </c>
      <c r="N483" s="564" t="str">
        <f t="shared" si="94"/>
        <v xml:space="preserve"> </v>
      </c>
      <c r="O483" s="558"/>
      <c r="P483" s="590"/>
      <c r="Q483" s="564" t="str">
        <f>IF(O483&lt;&gt;0,VLOOKUP(O483,'Cây trong'!$A$2:$C$246,3,0)," ")</f>
        <v xml:space="preserve"> </v>
      </c>
      <c r="R483" s="564" t="str">
        <f t="shared" si="86"/>
        <v xml:space="preserve"> </v>
      </c>
      <c r="S483" s="566" t="s">
        <v>1839</v>
      </c>
      <c r="T483" s="609" t="s">
        <v>53</v>
      </c>
      <c r="U483" s="591">
        <v>36.799999999999997</v>
      </c>
      <c r="V483" s="589"/>
      <c r="W483" s="564">
        <f>IF(S483&lt;&gt;0,VLOOKUP(S483,VKT!$A$2:$G$415,7,0),"")</f>
        <v>244604</v>
      </c>
      <c r="X483" s="564">
        <f t="shared" si="91"/>
        <v>9001000</v>
      </c>
      <c r="Y483" s="589"/>
      <c r="Z483" s="592"/>
      <c r="AA483" s="592"/>
      <c r="AB483" s="568"/>
      <c r="AC483" s="592"/>
      <c r="AD483" s="592"/>
      <c r="AE483" s="592"/>
      <c r="AF483" s="590"/>
      <c r="AG483" s="570" t="str">
        <f>IF(AE483&lt;&gt;0,VLOOKUP(AE483,ODDS!$A$2:$C$13,3,0),"")</f>
        <v/>
      </c>
      <c r="AH483" s="570" t="str">
        <f t="shared" si="87"/>
        <v xml:space="preserve"> </v>
      </c>
      <c r="AI483" s="571" t="str">
        <f t="shared" si="99"/>
        <v xml:space="preserve"> </v>
      </c>
      <c r="AJ483" s="593"/>
      <c r="AK483" s="593"/>
    </row>
    <row r="484" spans="1:37" s="376" customFormat="1" ht="101.25" outlineLevel="2" x14ac:dyDescent="0.3">
      <c r="A484" s="447">
        <f t="shared" si="101"/>
        <v>41</v>
      </c>
      <c r="B484" s="557"/>
      <c r="C484" s="572"/>
      <c r="D484" s="587"/>
      <c r="E484" s="612"/>
      <c r="F484" s="612"/>
      <c r="G484" s="586"/>
      <c r="H484" s="588"/>
      <c r="I484" s="546"/>
      <c r="J484" s="593"/>
      <c r="K484" s="563" t="str">
        <f>IF(G484&lt;&gt;0,VLOOKUP(G484,'gia dat'!$A$1:$F$144,5,0)," ")</f>
        <v xml:space="preserve"> </v>
      </c>
      <c r="L484" s="563" t="str">
        <f>IF(G484&lt;&gt;0,VLOOKUP(G484,'gia dat'!$A$1:$F$144,6,0)," ")</f>
        <v xml:space="preserve"> </v>
      </c>
      <c r="M484" s="564" t="str">
        <f t="shared" si="93"/>
        <v xml:space="preserve"> </v>
      </c>
      <c r="N484" s="564" t="str">
        <f t="shared" si="94"/>
        <v xml:space="preserve"> </v>
      </c>
      <c r="O484" s="646"/>
      <c r="P484" s="658"/>
      <c r="Q484" s="564" t="str">
        <f>IF(O484&lt;&gt;0,VLOOKUP(O484,'Cây trong'!$A$2:$C$246,3,0)," ")</f>
        <v xml:space="preserve"> </v>
      </c>
      <c r="R484" s="564" t="str">
        <f t="shared" si="86"/>
        <v xml:space="preserve"> </v>
      </c>
      <c r="S484" s="566" t="s">
        <v>2313</v>
      </c>
      <c r="T484" s="609" t="s">
        <v>93</v>
      </c>
      <c r="U484" s="591">
        <v>1</v>
      </c>
      <c r="V484" s="589"/>
      <c r="W484" s="564">
        <f>IF(S484&lt;&gt;0,VLOOKUP(S484,VKT!$A$2:$G$415,7,0),"")</f>
        <v>0</v>
      </c>
      <c r="X484" s="564">
        <f t="shared" si="91"/>
        <v>0</v>
      </c>
      <c r="Y484" s="589"/>
      <c r="Z484" s="592"/>
      <c r="AA484" s="592"/>
      <c r="AB484" s="568"/>
      <c r="AC484" s="592"/>
      <c r="AD484" s="592"/>
      <c r="AE484" s="592"/>
      <c r="AF484" s="590"/>
      <c r="AG484" s="570" t="str">
        <f>IF(AE484&lt;&gt;0,VLOOKUP(AE484,ODDS!$A$2:$C$13,3,0),"")</f>
        <v/>
      </c>
      <c r="AH484" s="570" t="str">
        <f t="shared" si="87"/>
        <v xml:space="preserve"> </v>
      </c>
      <c r="AI484" s="571" t="str">
        <f t="shared" si="99"/>
        <v xml:space="preserve"> </v>
      </c>
      <c r="AJ484" s="593"/>
      <c r="AK484" s="593"/>
    </row>
    <row r="485" spans="1:37" s="376" customFormat="1" ht="60.75" outlineLevel="2" x14ac:dyDescent="0.3">
      <c r="A485" s="447">
        <f t="shared" si="101"/>
        <v>41</v>
      </c>
      <c r="B485" s="557"/>
      <c r="C485" s="574"/>
      <c r="D485" s="587"/>
      <c r="E485" s="587"/>
      <c r="F485" s="615"/>
      <c r="G485" s="558"/>
      <c r="H485" s="604"/>
      <c r="I485" s="546"/>
      <c r="J485" s="593"/>
      <c r="K485" s="563" t="str">
        <f>IF(G485&lt;&gt;0,VLOOKUP(G485,'gia dat'!$A$1:$F$144,5,0)," ")</f>
        <v xml:space="preserve"> </v>
      </c>
      <c r="L485" s="563" t="str">
        <f>IF(G485&lt;&gt;0,VLOOKUP(G485,'gia dat'!$A$1:$F$144,6,0)," ")</f>
        <v xml:space="preserve"> </v>
      </c>
      <c r="M485" s="564" t="str">
        <f t="shared" si="93"/>
        <v xml:space="preserve"> </v>
      </c>
      <c r="N485" s="564" t="str">
        <f t="shared" si="94"/>
        <v xml:space="preserve"> </v>
      </c>
      <c r="O485" s="593"/>
      <c r="P485" s="616"/>
      <c r="Q485" s="564" t="str">
        <f>IF(O485&lt;&gt;0,VLOOKUP(O485,'Cây trong'!$A$2:$C$246,3,0)," ")</f>
        <v xml:space="preserve"> </v>
      </c>
      <c r="R485" s="564" t="str">
        <f t="shared" si="86"/>
        <v xml:space="preserve"> </v>
      </c>
      <c r="S485" s="558" t="s">
        <v>2314</v>
      </c>
      <c r="T485" s="609" t="s">
        <v>53</v>
      </c>
      <c r="U485" s="591">
        <v>6.54</v>
      </c>
      <c r="V485" s="589"/>
      <c r="W485" s="564">
        <f>IF(S485&lt;&gt;0,VLOOKUP(S485,VKT!$A$2:$G$415,7,0),"")</f>
        <v>142450</v>
      </c>
      <c r="X485" s="564">
        <f t="shared" si="91"/>
        <v>932000</v>
      </c>
      <c r="Y485" s="589"/>
      <c r="Z485" s="589"/>
      <c r="AA485" s="589"/>
      <c r="AB485" s="562"/>
      <c r="AC485" s="589"/>
      <c r="AD485" s="589"/>
      <c r="AE485" s="589"/>
      <c r="AF485" s="629"/>
      <c r="AG485" s="570" t="str">
        <f>IF(AE485&lt;&gt;0,VLOOKUP(AE485,ODDS!$A$2:$C$13,3,0),"")</f>
        <v/>
      </c>
      <c r="AH485" s="570" t="str">
        <f t="shared" si="87"/>
        <v xml:space="preserve"> </v>
      </c>
      <c r="AI485" s="571" t="str">
        <f t="shared" si="99"/>
        <v xml:space="preserve"> </v>
      </c>
      <c r="AJ485" s="593"/>
      <c r="AK485" s="593"/>
    </row>
    <row r="486" spans="1:37" s="376" customFormat="1" ht="20.25" outlineLevel="2" x14ac:dyDescent="0.3">
      <c r="A486" s="447">
        <f t="shared" si="101"/>
        <v>41</v>
      </c>
      <c r="B486" s="557"/>
      <c r="C486" s="558"/>
      <c r="D486" s="587"/>
      <c r="E486" s="612"/>
      <c r="F486" s="612"/>
      <c r="G486" s="586"/>
      <c r="H486" s="588"/>
      <c r="I486" s="546"/>
      <c r="J486" s="593"/>
      <c r="K486" s="563" t="str">
        <f>IF(G486&lt;&gt;0,VLOOKUP(G486,'gia dat'!$A$1:$F$144,5,0)," ")</f>
        <v xml:space="preserve"> </v>
      </c>
      <c r="L486" s="563" t="str">
        <f>IF(G486&lt;&gt;0,VLOOKUP(G486,'gia dat'!$A$1:$F$144,6,0)," ")</f>
        <v xml:space="preserve"> </v>
      </c>
      <c r="M486" s="564" t="str">
        <f t="shared" si="93"/>
        <v xml:space="preserve"> </v>
      </c>
      <c r="N486" s="564" t="str">
        <f t="shared" si="94"/>
        <v xml:space="preserve"> </v>
      </c>
      <c r="O486" s="646"/>
      <c r="P486" s="658"/>
      <c r="Q486" s="564" t="str">
        <f>IF(O486&lt;&gt;0,VLOOKUP(O486,'Cây trong'!$A$2:$C$246,3,0)," ")</f>
        <v xml:space="preserve"> </v>
      </c>
      <c r="R486" s="564" t="str">
        <f t="shared" si="86"/>
        <v xml:space="preserve"> </v>
      </c>
      <c r="S486" s="586"/>
      <c r="T486" s="609"/>
      <c r="U486" s="591"/>
      <c r="V486" s="589"/>
      <c r="W486" s="564" t="str">
        <f>IF(S486&lt;&gt;0,VLOOKUP(S486,VKT!$A$2:$G$415,7,0),"")</f>
        <v/>
      </c>
      <c r="X486" s="564" t="str">
        <f t="shared" si="91"/>
        <v xml:space="preserve"> </v>
      </c>
      <c r="Y486" s="589"/>
      <c r="Z486" s="592"/>
      <c r="AA486" s="592"/>
      <c r="AB486" s="568"/>
      <c r="AC486" s="592"/>
      <c r="AD486" s="592"/>
      <c r="AE486" s="592"/>
      <c r="AF486" s="590"/>
      <c r="AG486" s="570" t="str">
        <f>IF(AE486&lt;&gt;0,VLOOKUP(AE486,ODDS!$A$2:$C$13,3,0),"")</f>
        <v/>
      </c>
      <c r="AH486" s="570" t="str">
        <f t="shared" si="87"/>
        <v xml:space="preserve"> </v>
      </c>
      <c r="AI486" s="571" t="str">
        <f t="shared" si="99"/>
        <v xml:space="preserve"> </v>
      </c>
      <c r="AJ486" s="593"/>
      <c r="AK486" s="593"/>
    </row>
    <row r="487" spans="1:37" s="376" customFormat="1" ht="20.25" outlineLevel="2" x14ac:dyDescent="0.3">
      <c r="A487" s="447">
        <f t="shared" si="101"/>
        <v>41</v>
      </c>
      <c r="B487" s="557"/>
      <c r="C487" s="574"/>
      <c r="D487" s="587"/>
      <c r="E487" s="587"/>
      <c r="F487" s="560"/>
      <c r="G487" s="558"/>
      <c r="H487" s="588"/>
      <c r="I487" s="546"/>
      <c r="J487" s="589"/>
      <c r="K487" s="563" t="str">
        <f>IF(G487&lt;&gt;0,VLOOKUP(G487,'gia dat'!$A$1:$F$144,5,0)," ")</f>
        <v xml:space="preserve"> </v>
      </c>
      <c r="L487" s="563" t="str">
        <f>IF(G487&lt;&gt;0,VLOOKUP(G487,'gia dat'!$A$1:$F$144,6,0)," ")</f>
        <v xml:space="preserve"> </v>
      </c>
      <c r="M487" s="564" t="str">
        <f t="shared" si="93"/>
        <v xml:space="preserve"> </v>
      </c>
      <c r="N487" s="564" t="str">
        <f t="shared" si="94"/>
        <v xml:space="preserve"> </v>
      </c>
      <c r="O487" s="558"/>
      <c r="P487" s="590"/>
      <c r="Q487" s="564" t="str">
        <f>IF(O487&lt;&gt;0,VLOOKUP(O487,'Cây trong'!$A$2:$C$246,3,0)," ")</f>
        <v xml:space="preserve"> </v>
      </c>
      <c r="R487" s="564" t="str">
        <f t="shared" si="86"/>
        <v xml:space="preserve"> </v>
      </c>
      <c r="S487" s="566"/>
      <c r="T487" s="589"/>
      <c r="U487" s="591"/>
      <c r="V487" s="589"/>
      <c r="W487" s="564" t="str">
        <f>IF(S487&lt;&gt;0,VLOOKUP(S487,VKT!$A$2:$G$415,7,0),"")</f>
        <v/>
      </c>
      <c r="X487" s="564" t="str">
        <f t="shared" ref="X487:X556" si="102">IF(S487&lt;&gt;0,ROUND(U487*W487,-3)," ")</f>
        <v xml:space="preserve"> </v>
      </c>
      <c r="Y487" s="589"/>
      <c r="Z487" s="592"/>
      <c r="AA487" s="592"/>
      <c r="AB487" s="568"/>
      <c r="AC487" s="592"/>
      <c r="AD487" s="592"/>
      <c r="AE487" s="592"/>
      <c r="AF487" s="590"/>
      <c r="AG487" s="570" t="str">
        <f>IF(AE487&lt;&gt;0,VLOOKUP(AE487,ODDS!$A$2:$C$13,3,0),"")</f>
        <v/>
      </c>
      <c r="AH487" s="570" t="str">
        <f t="shared" si="87"/>
        <v xml:space="preserve"> </v>
      </c>
      <c r="AI487" s="571" t="str">
        <f t="shared" si="99"/>
        <v xml:space="preserve"> </v>
      </c>
      <c r="AJ487" s="593"/>
      <c r="AK487" s="593"/>
    </row>
    <row r="488" spans="1:37" s="376" customFormat="1" ht="20.25" outlineLevel="1" x14ac:dyDescent="0.25">
      <c r="A488" s="467" t="s">
        <v>2668</v>
      </c>
      <c r="B488" s="576">
        <v>42</v>
      </c>
      <c r="C488" s="574" t="s">
        <v>35</v>
      </c>
      <c r="D488" s="595"/>
      <c r="E488" s="595"/>
      <c r="F488" s="577"/>
      <c r="G488" s="574"/>
      <c r="H488" s="618">
        <f>SUBTOTAL(9,H489:H495)</f>
        <v>49.2</v>
      </c>
      <c r="I488" s="579">
        <f>SUBTOTAL(9,I489:I494)</f>
        <v>0</v>
      </c>
      <c r="J488" s="597"/>
      <c r="K488" s="581"/>
      <c r="L488" s="581"/>
      <c r="M488" s="571">
        <f>SUBTOTAL(9,M489:M495)</f>
        <v>283510000</v>
      </c>
      <c r="N488" s="571">
        <f>SUBTOTAL(9,N489:N495)</f>
        <v>0</v>
      </c>
      <c r="O488" s="574"/>
      <c r="P488" s="599">
        <f>SUBTOTAL(9,P489:P495)</f>
        <v>0</v>
      </c>
      <c r="Q488" s="571"/>
      <c r="R488" s="571">
        <f>SUBTOTAL(9,R489:R495)</f>
        <v>0</v>
      </c>
      <c r="S488" s="582"/>
      <c r="T488" s="597"/>
      <c r="U488" s="600">
        <f>SUBTOTAL(9,U489:U495)</f>
        <v>0</v>
      </c>
      <c r="V488" s="597"/>
      <c r="W488" s="571"/>
      <c r="X488" s="571">
        <f>SUBTOTAL(9,X489:X495)</f>
        <v>0</v>
      </c>
      <c r="Y488" s="589"/>
      <c r="Z488" s="592"/>
      <c r="AA488" s="592"/>
      <c r="AB488" s="568"/>
      <c r="AC488" s="592"/>
      <c r="AD488" s="592"/>
      <c r="AE488" s="601"/>
      <c r="AF488" s="599">
        <f>SUBTOTAL(9,AF489:AF495)</f>
        <v>0</v>
      </c>
      <c r="AG488" s="585"/>
      <c r="AH488" s="585">
        <f>SUBTOTAL(9,AH489:AH495)</f>
        <v>0</v>
      </c>
      <c r="AI488" s="571">
        <f t="shared" si="99"/>
        <v>283510000</v>
      </c>
      <c r="AJ488" s="574"/>
      <c r="AK488" s="578"/>
    </row>
    <row r="489" spans="1:37" s="376" customFormat="1" ht="202.5" outlineLevel="2" x14ac:dyDescent="0.3">
      <c r="A489" s="447">
        <f>IF(B488&lt;&gt;0,B488,A487)</f>
        <v>42</v>
      </c>
      <c r="B489" s="557"/>
      <c r="C489" s="558" t="s">
        <v>190</v>
      </c>
      <c r="D489" s="587"/>
      <c r="E489" s="587">
        <v>86</v>
      </c>
      <c r="F489" s="560">
        <v>256</v>
      </c>
      <c r="G489" s="558" t="s">
        <v>2038</v>
      </c>
      <c r="H489" s="588">
        <v>49.2</v>
      </c>
      <c r="I489" s="546" t="str">
        <f t="shared" ref="I489" si="103">IF(N489&gt;0,H489,"")</f>
        <v/>
      </c>
      <c r="J489" s="589"/>
      <c r="K489" s="563">
        <f>IF(G489&lt;&gt;0,VLOOKUP(G489,'gia dat'!$A$1:$F$144,5,0)," ")</f>
        <v>5762400</v>
      </c>
      <c r="L489" s="563">
        <f>IF(G489&lt;&gt;0,VLOOKUP(G489,'gia dat'!$A$1:$F$144,6,0)," ")</f>
        <v>0</v>
      </c>
      <c r="M489" s="564">
        <f t="shared" si="93"/>
        <v>283510000</v>
      </c>
      <c r="N489" s="564">
        <f t="shared" si="94"/>
        <v>0</v>
      </c>
      <c r="O489" s="558"/>
      <c r="P489" s="590"/>
      <c r="Q489" s="564"/>
      <c r="R489" s="564"/>
      <c r="S489" s="566"/>
      <c r="T489" s="589"/>
      <c r="U489" s="591"/>
      <c r="V489" s="589"/>
      <c r="W489" s="564" t="str">
        <f>IF(S489&lt;&gt;0,VLOOKUP(S489,VKT!$A$2:$G$415,7,0),"")</f>
        <v/>
      </c>
      <c r="X489" s="564" t="str">
        <f t="shared" si="102"/>
        <v xml:space="preserve"> </v>
      </c>
      <c r="Y489" s="589"/>
      <c r="Z489" s="592"/>
      <c r="AA489" s="592"/>
      <c r="AB489" s="568"/>
      <c r="AC489" s="592"/>
      <c r="AD489" s="592"/>
      <c r="AE489" s="592"/>
      <c r="AF489" s="590"/>
      <c r="AG489" s="570" t="str">
        <f>IF(AE489&lt;&gt;0,VLOOKUP(AE489,ODDS!$A$2:$C$13,3,0),"")</f>
        <v/>
      </c>
      <c r="AH489" s="570"/>
      <c r="AI489" s="571" t="str">
        <f t="shared" si="99"/>
        <v xml:space="preserve"> </v>
      </c>
      <c r="AJ489" s="558" t="s">
        <v>2203</v>
      </c>
      <c r="AK489" s="586" t="s">
        <v>2771</v>
      </c>
    </row>
    <row r="490" spans="1:37" s="376" customFormat="1" ht="101.25" outlineLevel="2" x14ac:dyDescent="0.3">
      <c r="A490" s="447">
        <f t="shared" ref="A490:A495" si="104">IF(B489&lt;&gt;0,B489,A489)</f>
        <v>42</v>
      </c>
      <c r="B490" s="557"/>
      <c r="C490" s="628" t="s">
        <v>673</v>
      </c>
      <c r="D490" s="587"/>
      <c r="E490" s="587"/>
      <c r="F490" s="560"/>
      <c r="G490" s="558"/>
      <c r="H490" s="588"/>
      <c r="I490" s="546"/>
      <c r="J490" s="589"/>
      <c r="K490" s="563" t="str">
        <f>IF(G490&lt;&gt;0,VLOOKUP(G490,'gia dat'!$A$1:$F$144,5,0)," ")</f>
        <v xml:space="preserve"> </v>
      </c>
      <c r="L490" s="563" t="str">
        <f>IF(G490&lt;&gt;0,VLOOKUP(G490,'gia dat'!$A$1:$F$144,6,0)," ")</f>
        <v xml:space="preserve"> </v>
      </c>
      <c r="M490" s="564" t="str">
        <f t="shared" si="93"/>
        <v xml:space="preserve"> </v>
      </c>
      <c r="N490" s="564" t="str">
        <f t="shared" si="94"/>
        <v xml:space="preserve"> </v>
      </c>
      <c r="O490" s="558"/>
      <c r="P490" s="590"/>
      <c r="Q490" s="564"/>
      <c r="R490" s="564"/>
      <c r="S490" s="566"/>
      <c r="T490" s="589"/>
      <c r="U490" s="591"/>
      <c r="V490" s="589"/>
      <c r="W490" s="564" t="str">
        <f>IF(S490&lt;&gt;0,VLOOKUP(S490,VKT!$A$2:$G$415,7,0),"")</f>
        <v/>
      </c>
      <c r="X490" s="564" t="str">
        <f t="shared" si="102"/>
        <v xml:space="preserve"> </v>
      </c>
      <c r="Y490" s="589"/>
      <c r="Z490" s="592"/>
      <c r="AA490" s="592"/>
      <c r="AB490" s="568"/>
      <c r="AC490" s="592"/>
      <c r="AD490" s="592"/>
      <c r="AE490" s="592"/>
      <c r="AF490" s="590"/>
      <c r="AG490" s="570" t="str">
        <f>IF(AE490&lt;&gt;0,VLOOKUP(AE490,ODDS!$A$2:$C$13,3,0),"")</f>
        <v/>
      </c>
      <c r="AH490" s="570"/>
      <c r="AI490" s="571" t="str">
        <f t="shared" si="99"/>
        <v xml:space="preserve"> </v>
      </c>
      <c r="AJ490" s="558"/>
      <c r="AK490" s="593"/>
    </row>
    <row r="491" spans="1:37" s="376" customFormat="1" ht="40.5" outlineLevel="2" x14ac:dyDescent="0.3">
      <c r="A491" s="447">
        <f t="shared" si="104"/>
        <v>42</v>
      </c>
      <c r="B491" s="557"/>
      <c r="C491" s="558" t="s">
        <v>309</v>
      </c>
      <c r="D491" s="587"/>
      <c r="E491" s="587"/>
      <c r="F491" s="560"/>
      <c r="G491" s="558"/>
      <c r="H491" s="588"/>
      <c r="I491" s="546"/>
      <c r="J491" s="589"/>
      <c r="K491" s="563" t="str">
        <f>IF(G491&lt;&gt;0,VLOOKUP(G491,'gia dat'!$A$1:$F$144,5,0)," ")</f>
        <v xml:space="preserve"> </v>
      </c>
      <c r="L491" s="563" t="str">
        <f>IF(G491&lt;&gt;0,VLOOKUP(G491,'gia dat'!$A$1:$F$144,6,0)," ")</f>
        <v xml:space="preserve"> </v>
      </c>
      <c r="M491" s="564" t="str">
        <f t="shared" si="93"/>
        <v xml:space="preserve"> </v>
      </c>
      <c r="N491" s="564" t="str">
        <f t="shared" si="94"/>
        <v xml:space="preserve"> </v>
      </c>
      <c r="O491" s="558"/>
      <c r="P491" s="590"/>
      <c r="Q491" s="564"/>
      <c r="R491" s="564"/>
      <c r="S491" s="566"/>
      <c r="T491" s="589"/>
      <c r="U491" s="591"/>
      <c r="V491" s="589"/>
      <c r="W491" s="564" t="str">
        <f>IF(S491&lt;&gt;0,VLOOKUP(S491,VKT!$A$2:$G$415,7,0),"")</f>
        <v/>
      </c>
      <c r="X491" s="564" t="str">
        <f t="shared" si="102"/>
        <v xml:space="preserve"> </v>
      </c>
      <c r="Y491" s="589"/>
      <c r="Z491" s="592"/>
      <c r="AA491" s="592"/>
      <c r="AB491" s="568"/>
      <c r="AC491" s="592"/>
      <c r="AD491" s="592"/>
      <c r="AE491" s="592"/>
      <c r="AF491" s="590"/>
      <c r="AG491" s="570" t="str">
        <f>IF(AE491&lt;&gt;0,VLOOKUP(AE491,ODDS!$A$2:$C$13,3,0),"")</f>
        <v/>
      </c>
      <c r="AH491" s="570"/>
      <c r="AI491" s="571" t="str">
        <f t="shared" si="99"/>
        <v xml:space="preserve"> </v>
      </c>
      <c r="AJ491" s="593"/>
      <c r="AK491" s="593"/>
    </row>
    <row r="492" spans="1:37" s="376" customFormat="1" ht="20.25" outlineLevel="2" x14ac:dyDescent="0.3">
      <c r="A492" s="447">
        <f t="shared" si="104"/>
        <v>42</v>
      </c>
      <c r="B492" s="557"/>
      <c r="C492" s="558"/>
      <c r="D492" s="587"/>
      <c r="E492" s="587"/>
      <c r="F492" s="560"/>
      <c r="G492" s="558"/>
      <c r="H492" s="588"/>
      <c r="I492" s="546"/>
      <c r="J492" s="589"/>
      <c r="K492" s="563" t="str">
        <f>IF(G492&lt;&gt;0,VLOOKUP(G492,'gia dat'!$A$1:$F$144,5,0)," ")</f>
        <v xml:space="preserve"> </v>
      </c>
      <c r="L492" s="563" t="str">
        <f>IF(G492&lt;&gt;0,VLOOKUP(G492,'gia dat'!$A$1:$F$144,6,0)," ")</f>
        <v xml:space="preserve"> </v>
      </c>
      <c r="M492" s="564" t="str">
        <f t="shared" si="93"/>
        <v xml:space="preserve"> </v>
      </c>
      <c r="N492" s="564" t="str">
        <f t="shared" si="94"/>
        <v xml:space="preserve"> </v>
      </c>
      <c r="O492" s="558"/>
      <c r="P492" s="590"/>
      <c r="Q492" s="564"/>
      <c r="R492" s="564"/>
      <c r="S492" s="566"/>
      <c r="T492" s="589"/>
      <c r="U492" s="591"/>
      <c r="V492" s="589"/>
      <c r="W492" s="564" t="str">
        <f>IF(S492&lt;&gt;0,VLOOKUP(S492,VKT!$A$2:$G$415,7,0),"")</f>
        <v/>
      </c>
      <c r="X492" s="564" t="str">
        <f t="shared" si="102"/>
        <v xml:space="preserve"> </v>
      </c>
      <c r="Y492" s="589"/>
      <c r="Z492" s="592"/>
      <c r="AA492" s="592"/>
      <c r="AB492" s="568"/>
      <c r="AC492" s="592"/>
      <c r="AD492" s="592"/>
      <c r="AE492" s="592"/>
      <c r="AF492" s="590"/>
      <c r="AG492" s="570" t="str">
        <f>IF(AE492&lt;&gt;0,VLOOKUP(AE492,ODDS!$A$2:$C$13,3,0),"")</f>
        <v/>
      </c>
      <c r="AH492" s="570"/>
      <c r="AI492" s="571" t="str">
        <f t="shared" si="99"/>
        <v xml:space="preserve"> </v>
      </c>
      <c r="AJ492" s="593"/>
      <c r="AK492" s="593"/>
    </row>
    <row r="493" spans="1:37" s="376" customFormat="1" ht="20.25" outlineLevel="2" x14ac:dyDescent="0.3">
      <c r="A493" s="447">
        <f t="shared" si="104"/>
        <v>42</v>
      </c>
      <c r="B493" s="557"/>
      <c r="C493" s="558"/>
      <c r="D493" s="587"/>
      <c r="E493" s="587"/>
      <c r="F493" s="560"/>
      <c r="G493" s="558"/>
      <c r="H493" s="588"/>
      <c r="I493" s="546"/>
      <c r="J493" s="589"/>
      <c r="K493" s="563" t="str">
        <f>IF(G493&lt;&gt;0,VLOOKUP(G493,'gia dat'!$A$1:$F$144,5,0)," ")</f>
        <v xml:space="preserve"> </v>
      </c>
      <c r="L493" s="563" t="str">
        <f>IF(G493&lt;&gt;0,VLOOKUP(G493,'gia dat'!$A$1:$F$144,6,0)," ")</f>
        <v xml:space="preserve"> </v>
      </c>
      <c r="M493" s="564" t="str">
        <f t="shared" si="93"/>
        <v xml:space="preserve"> </v>
      </c>
      <c r="N493" s="564" t="str">
        <f t="shared" si="94"/>
        <v xml:space="preserve"> </v>
      </c>
      <c r="O493" s="558"/>
      <c r="P493" s="590"/>
      <c r="Q493" s="564"/>
      <c r="R493" s="564"/>
      <c r="S493" s="566"/>
      <c r="T493" s="589"/>
      <c r="U493" s="591"/>
      <c r="V493" s="589"/>
      <c r="W493" s="564" t="str">
        <f>IF(S493&lt;&gt;0,VLOOKUP(S493,VKT!$A$2:$G$415,7,0),"")</f>
        <v/>
      </c>
      <c r="X493" s="564" t="str">
        <f t="shared" si="102"/>
        <v xml:space="preserve"> </v>
      </c>
      <c r="Y493" s="589"/>
      <c r="Z493" s="592"/>
      <c r="AA493" s="592"/>
      <c r="AB493" s="568"/>
      <c r="AC493" s="592"/>
      <c r="AD493" s="592"/>
      <c r="AE493" s="592"/>
      <c r="AF493" s="590"/>
      <c r="AG493" s="570" t="str">
        <f>IF(AE493&lt;&gt;0,VLOOKUP(AE493,ODDS!$A$2:$C$13,3,0),"")</f>
        <v/>
      </c>
      <c r="AH493" s="570"/>
      <c r="AI493" s="571" t="str">
        <f t="shared" si="99"/>
        <v xml:space="preserve"> </v>
      </c>
      <c r="AJ493" s="593"/>
      <c r="AK493" s="593"/>
    </row>
    <row r="494" spans="1:37" s="376" customFormat="1" ht="20.25" outlineLevel="2" x14ac:dyDescent="0.3">
      <c r="A494" s="447">
        <f t="shared" si="104"/>
        <v>42</v>
      </c>
      <c r="B494" s="557"/>
      <c r="C494" s="558"/>
      <c r="D494" s="587"/>
      <c r="E494" s="587"/>
      <c r="F494" s="560"/>
      <c r="G494" s="558"/>
      <c r="H494" s="588"/>
      <c r="I494" s="546"/>
      <c r="J494" s="589"/>
      <c r="K494" s="563" t="str">
        <f>IF(G494&lt;&gt;0,VLOOKUP(G494,'gia dat'!$A$1:$F$144,5,0)," ")</f>
        <v xml:space="preserve"> </v>
      </c>
      <c r="L494" s="563" t="str">
        <f>IF(G494&lt;&gt;0,VLOOKUP(G494,'gia dat'!$A$1:$F$144,6,0)," ")</f>
        <v xml:space="preserve"> </v>
      </c>
      <c r="M494" s="564" t="str">
        <f t="shared" si="93"/>
        <v xml:space="preserve"> </v>
      </c>
      <c r="N494" s="564" t="str">
        <f t="shared" si="94"/>
        <v xml:space="preserve"> </v>
      </c>
      <c r="O494" s="558"/>
      <c r="P494" s="590"/>
      <c r="Q494" s="564"/>
      <c r="R494" s="564"/>
      <c r="S494" s="566"/>
      <c r="T494" s="589"/>
      <c r="U494" s="591"/>
      <c r="V494" s="589"/>
      <c r="W494" s="564" t="str">
        <f>IF(S494&lt;&gt;0,VLOOKUP(S494,VKT!$A$2:$G$415,7,0),"")</f>
        <v/>
      </c>
      <c r="X494" s="564" t="str">
        <f t="shared" si="102"/>
        <v xml:space="preserve"> </v>
      </c>
      <c r="Y494" s="589"/>
      <c r="Z494" s="592"/>
      <c r="AA494" s="592"/>
      <c r="AB494" s="568"/>
      <c r="AC494" s="592"/>
      <c r="AD494" s="592"/>
      <c r="AE494" s="592"/>
      <c r="AF494" s="590"/>
      <c r="AG494" s="570" t="str">
        <f>IF(AE494&lt;&gt;0,VLOOKUP(AE494,ODDS!$A$2:$C$13,3,0),"")</f>
        <v/>
      </c>
      <c r="AH494" s="570"/>
      <c r="AI494" s="571" t="str">
        <f t="shared" si="99"/>
        <v xml:space="preserve"> </v>
      </c>
      <c r="AJ494" s="593"/>
      <c r="AK494" s="593"/>
    </row>
    <row r="495" spans="1:37" s="376" customFormat="1" ht="20.25" outlineLevel="2" x14ac:dyDescent="0.3">
      <c r="A495" s="447">
        <f t="shared" si="104"/>
        <v>42</v>
      </c>
      <c r="B495" s="557"/>
      <c r="C495" s="574"/>
      <c r="D495" s="587"/>
      <c r="E495" s="587"/>
      <c r="F495" s="560"/>
      <c r="G495" s="558"/>
      <c r="H495" s="588"/>
      <c r="I495" s="546"/>
      <c r="J495" s="589"/>
      <c r="K495" s="563" t="str">
        <f>IF(G495&lt;&gt;0,VLOOKUP(G495,'gia dat'!$A$1:$F$144,5,0)," ")</f>
        <v xml:space="preserve"> </v>
      </c>
      <c r="L495" s="563" t="str">
        <f>IF(G495&lt;&gt;0,VLOOKUP(G495,'gia dat'!$A$1:$F$144,6,0)," ")</f>
        <v xml:space="preserve"> </v>
      </c>
      <c r="M495" s="564" t="str">
        <f t="shared" si="93"/>
        <v xml:space="preserve"> </v>
      </c>
      <c r="N495" s="564" t="str">
        <f t="shared" si="94"/>
        <v xml:space="preserve"> </v>
      </c>
      <c r="O495" s="558"/>
      <c r="P495" s="590"/>
      <c r="Q495" s="564"/>
      <c r="R495" s="564"/>
      <c r="S495" s="566"/>
      <c r="T495" s="589"/>
      <c r="U495" s="591"/>
      <c r="V495" s="589"/>
      <c r="W495" s="564" t="str">
        <f>IF(S495&lt;&gt;0,VLOOKUP(S495,VKT!$A$2:$G$415,7,0),"")</f>
        <v/>
      </c>
      <c r="X495" s="564" t="str">
        <f t="shared" si="102"/>
        <v xml:space="preserve"> </v>
      </c>
      <c r="Y495" s="589"/>
      <c r="Z495" s="592"/>
      <c r="AA495" s="592"/>
      <c r="AB495" s="568"/>
      <c r="AC495" s="592"/>
      <c r="AD495" s="592"/>
      <c r="AE495" s="592"/>
      <c r="AF495" s="590"/>
      <c r="AG495" s="570" t="str">
        <f>IF(AE495&lt;&gt;0,VLOOKUP(AE495,ODDS!$A$2:$C$13,3,0),"")</f>
        <v/>
      </c>
      <c r="AH495" s="570"/>
      <c r="AI495" s="571" t="str">
        <f t="shared" si="99"/>
        <v xml:space="preserve"> </v>
      </c>
      <c r="AJ495" s="593"/>
      <c r="AK495" s="593"/>
    </row>
    <row r="496" spans="1:37" s="376" customFormat="1" ht="20.25" outlineLevel="1" x14ac:dyDescent="0.25">
      <c r="A496" s="467" t="s">
        <v>2667</v>
      </c>
      <c r="B496" s="576">
        <v>43</v>
      </c>
      <c r="C496" s="574" t="s">
        <v>35</v>
      </c>
      <c r="D496" s="595"/>
      <c r="E496" s="595"/>
      <c r="F496" s="577"/>
      <c r="G496" s="574"/>
      <c r="H496" s="618">
        <f>SUBTOTAL(9,H497:H505)</f>
        <v>49.2</v>
      </c>
      <c r="I496" s="579">
        <f>SUBTOTAL(9,I497:I502)</f>
        <v>0</v>
      </c>
      <c r="J496" s="597"/>
      <c r="K496" s="581"/>
      <c r="L496" s="581"/>
      <c r="M496" s="571">
        <f>SUBTOTAL(9,M497:M505)</f>
        <v>283510000</v>
      </c>
      <c r="N496" s="571">
        <f>SUBTOTAL(9,N497:N505)</f>
        <v>0</v>
      </c>
      <c r="O496" s="574"/>
      <c r="P496" s="599">
        <f>SUBTOTAL(9,P497:P505)</f>
        <v>0</v>
      </c>
      <c r="Q496" s="571"/>
      <c r="R496" s="571">
        <f>SUBTOTAL(9,R497:R505)</f>
        <v>0</v>
      </c>
      <c r="S496" s="582"/>
      <c r="T496" s="597"/>
      <c r="U496" s="600">
        <f>SUBTOTAL(9,U497:U505)</f>
        <v>0</v>
      </c>
      <c r="V496" s="597"/>
      <c r="W496" s="571"/>
      <c r="X496" s="571">
        <f>SUBTOTAL(9,X497:X505)</f>
        <v>0</v>
      </c>
      <c r="Y496" s="589"/>
      <c r="Z496" s="592"/>
      <c r="AA496" s="592"/>
      <c r="AB496" s="568"/>
      <c r="AC496" s="592"/>
      <c r="AD496" s="592"/>
      <c r="AE496" s="601"/>
      <c r="AF496" s="599">
        <f>SUBTOTAL(9,AF497:AF505)</f>
        <v>0</v>
      </c>
      <c r="AG496" s="585"/>
      <c r="AH496" s="585">
        <f>SUBTOTAL(9,AH497:AH505)</f>
        <v>0</v>
      </c>
      <c r="AI496" s="571">
        <f t="shared" si="99"/>
        <v>283510000</v>
      </c>
      <c r="AJ496" s="574"/>
      <c r="AK496" s="578"/>
    </row>
    <row r="497" spans="1:37" s="376" customFormat="1" ht="202.5" outlineLevel="2" x14ac:dyDescent="0.3">
      <c r="A497" s="447">
        <f>IF(B496&lt;&gt;0,B496,A495)</f>
        <v>43</v>
      </c>
      <c r="B497" s="557"/>
      <c r="C497" s="558" t="s">
        <v>190</v>
      </c>
      <c r="D497" s="587"/>
      <c r="E497" s="587">
        <v>86</v>
      </c>
      <c r="F497" s="560">
        <v>256</v>
      </c>
      <c r="G497" s="558" t="s">
        <v>2037</v>
      </c>
      <c r="H497" s="588">
        <v>49.2</v>
      </c>
      <c r="I497" s="546" t="str">
        <f t="shared" ref="I497" si="105">IF(N497&gt;0,H497,"")</f>
        <v/>
      </c>
      <c r="J497" s="589"/>
      <c r="K497" s="563">
        <f>IF(G497&lt;&gt;0,VLOOKUP(G497,'gia dat'!$A$1:$F$144,5,0)," ")</f>
        <v>5762400</v>
      </c>
      <c r="L497" s="563">
        <f>IF(G497&lt;&gt;0,VLOOKUP(G497,'gia dat'!$A$1:$F$144,6,0)," ")</f>
        <v>0</v>
      </c>
      <c r="M497" s="564">
        <f t="shared" si="93"/>
        <v>283510000</v>
      </c>
      <c r="N497" s="564">
        <f t="shared" si="94"/>
        <v>0</v>
      </c>
      <c r="O497" s="558"/>
      <c r="P497" s="590"/>
      <c r="Q497" s="564"/>
      <c r="R497" s="564"/>
      <c r="S497" s="566"/>
      <c r="T497" s="589"/>
      <c r="U497" s="591"/>
      <c r="V497" s="589"/>
      <c r="W497" s="564" t="str">
        <f>IF(S497&lt;&gt;0,VLOOKUP(S497,VKT!$A$2:$G$415,7,0),"")</f>
        <v/>
      </c>
      <c r="X497" s="564" t="str">
        <f t="shared" si="102"/>
        <v xml:space="preserve"> </v>
      </c>
      <c r="Y497" s="589"/>
      <c r="Z497" s="592"/>
      <c r="AA497" s="592"/>
      <c r="AB497" s="568"/>
      <c r="AC497" s="592"/>
      <c r="AD497" s="592"/>
      <c r="AE497" s="592"/>
      <c r="AF497" s="590"/>
      <c r="AG497" s="570" t="str">
        <f>IF(AE497&lt;&gt;0,VLOOKUP(AE497,ODDS!$A$2:$C$13,3,0),"")</f>
        <v/>
      </c>
      <c r="AH497" s="570"/>
      <c r="AI497" s="571" t="str">
        <f t="shared" si="99"/>
        <v xml:space="preserve"> </v>
      </c>
      <c r="AJ497" s="558" t="s">
        <v>2204</v>
      </c>
      <c r="AK497" s="586" t="s">
        <v>2771</v>
      </c>
    </row>
    <row r="498" spans="1:37" s="376" customFormat="1" ht="101.25" outlineLevel="2" x14ac:dyDescent="0.3">
      <c r="A498" s="447">
        <f t="shared" ref="A498:A505" si="106">IF(B497&lt;&gt;0,B497,A497)</f>
        <v>43</v>
      </c>
      <c r="B498" s="557"/>
      <c r="C498" s="628" t="s">
        <v>673</v>
      </c>
      <c r="D498" s="587"/>
      <c r="E498" s="587"/>
      <c r="F498" s="560"/>
      <c r="G498" s="558"/>
      <c r="H498" s="588"/>
      <c r="I498" s="546"/>
      <c r="J498" s="589"/>
      <c r="K498" s="563" t="str">
        <f>IF(G498&lt;&gt;0,VLOOKUP(G498,'gia dat'!$A$1:$F$144,5,0)," ")</f>
        <v xml:space="preserve"> </v>
      </c>
      <c r="L498" s="563" t="str">
        <f>IF(G498&lt;&gt;0,VLOOKUP(G498,'gia dat'!$A$1:$F$144,6,0)," ")</f>
        <v xml:space="preserve"> </v>
      </c>
      <c r="M498" s="564" t="str">
        <f t="shared" si="93"/>
        <v xml:space="preserve"> </v>
      </c>
      <c r="N498" s="564" t="str">
        <f t="shared" si="94"/>
        <v xml:space="preserve"> </v>
      </c>
      <c r="O498" s="558"/>
      <c r="P498" s="590"/>
      <c r="Q498" s="564"/>
      <c r="R498" s="564"/>
      <c r="S498" s="566"/>
      <c r="T498" s="589"/>
      <c r="U498" s="591"/>
      <c r="V498" s="589"/>
      <c r="W498" s="564" t="str">
        <f>IF(S498&lt;&gt;0,VLOOKUP(S498,VKT!$A$2:$G$415,7,0),"")</f>
        <v/>
      </c>
      <c r="X498" s="564" t="str">
        <f t="shared" si="102"/>
        <v xml:space="preserve"> </v>
      </c>
      <c r="Y498" s="589"/>
      <c r="Z498" s="592"/>
      <c r="AA498" s="592"/>
      <c r="AB498" s="568"/>
      <c r="AC498" s="592"/>
      <c r="AD498" s="592"/>
      <c r="AE498" s="592"/>
      <c r="AF498" s="590"/>
      <c r="AG498" s="570" t="str">
        <f>IF(AE498&lt;&gt;0,VLOOKUP(AE498,ODDS!$A$2:$C$13,3,0),"")</f>
        <v/>
      </c>
      <c r="AH498" s="570"/>
      <c r="AI498" s="571" t="str">
        <f t="shared" si="99"/>
        <v xml:space="preserve"> </v>
      </c>
      <c r="AJ498" s="558"/>
      <c r="AK498" s="593"/>
    </row>
    <row r="499" spans="1:37" s="376" customFormat="1" ht="40.5" outlineLevel="2" x14ac:dyDescent="0.3">
      <c r="A499" s="447">
        <f t="shared" si="106"/>
        <v>43</v>
      </c>
      <c r="B499" s="557"/>
      <c r="C499" s="558" t="s">
        <v>309</v>
      </c>
      <c r="D499" s="587"/>
      <c r="E499" s="587"/>
      <c r="F499" s="560"/>
      <c r="G499" s="558"/>
      <c r="H499" s="588"/>
      <c r="I499" s="546"/>
      <c r="J499" s="589"/>
      <c r="K499" s="563" t="str">
        <f>IF(G499&lt;&gt;0,VLOOKUP(G499,'gia dat'!$A$1:$F$144,5,0)," ")</f>
        <v xml:space="preserve"> </v>
      </c>
      <c r="L499" s="563" t="str">
        <f>IF(G499&lt;&gt;0,VLOOKUP(G499,'gia dat'!$A$1:$F$144,6,0)," ")</f>
        <v xml:space="preserve"> </v>
      </c>
      <c r="M499" s="564" t="str">
        <f t="shared" si="93"/>
        <v xml:space="preserve"> </v>
      </c>
      <c r="N499" s="564" t="str">
        <f t="shared" si="94"/>
        <v xml:space="preserve"> </v>
      </c>
      <c r="O499" s="558"/>
      <c r="P499" s="590"/>
      <c r="Q499" s="564"/>
      <c r="R499" s="564"/>
      <c r="S499" s="566"/>
      <c r="T499" s="589"/>
      <c r="U499" s="591"/>
      <c r="V499" s="589"/>
      <c r="W499" s="564" t="str">
        <f>IF(S499&lt;&gt;0,VLOOKUP(S499,VKT!$A$2:$G$415,7,0),"")</f>
        <v/>
      </c>
      <c r="X499" s="564" t="str">
        <f t="shared" si="102"/>
        <v xml:space="preserve"> </v>
      </c>
      <c r="Y499" s="589"/>
      <c r="Z499" s="592"/>
      <c r="AA499" s="592"/>
      <c r="AB499" s="568"/>
      <c r="AC499" s="592"/>
      <c r="AD499" s="592"/>
      <c r="AE499" s="592"/>
      <c r="AF499" s="590"/>
      <c r="AG499" s="570" t="str">
        <f>IF(AE499&lt;&gt;0,VLOOKUP(AE499,ODDS!$A$2:$C$13,3,0),"")</f>
        <v/>
      </c>
      <c r="AH499" s="570"/>
      <c r="AI499" s="571" t="str">
        <f t="shared" si="99"/>
        <v xml:space="preserve"> </v>
      </c>
      <c r="AJ499" s="593"/>
      <c r="AK499" s="593"/>
    </row>
    <row r="500" spans="1:37" s="376" customFormat="1" ht="20.25" outlineLevel="2" x14ac:dyDescent="0.3">
      <c r="A500" s="447">
        <f t="shared" si="106"/>
        <v>43</v>
      </c>
      <c r="B500" s="557"/>
      <c r="C500" s="558"/>
      <c r="D500" s="587"/>
      <c r="E500" s="587"/>
      <c r="F500" s="560"/>
      <c r="G500" s="558"/>
      <c r="H500" s="588"/>
      <c r="I500" s="546"/>
      <c r="J500" s="589"/>
      <c r="K500" s="563" t="str">
        <f>IF(G500&lt;&gt;0,VLOOKUP(G500,'gia dat'!$A$1:$F$144,5,0)," ")</f>
        <v xml:space="preserve"> </v>
      </c>
      <c r="L500" s="563" t="str">
        <f>IF(G500&lt;&gt;0,VLOOKUP(G500,'gia dat'!$A$1:$F$144,6,0)," ")</f>
        <v xml:space="preserve"> </v>
      </c>
      <c r="M500" s="564" t="str">
        <f t="shared" ref="M500:M569" si="107">IF(H500&lt;&gt;0,ROUND(H500*K500,-3)," ")</f>
        <v xml:space="preserve"> </v>
      </c>
      <c r="N500" s="564" t="str">
        <f t="shared" ref="N500:N569" si="108">IF(H500&lt;&gt;0,ROUND(H500*L500,-3)," ")</f>
        <v xml:space="preserve"> </v>
      </c>
      <c r="O500" s="558"/>
      <c r="P500" s="590"/>
      <c r="Q500" s="564"/>
      <c r="R500" s="564"/>
      <c r="S500" s="566"/>
      <c r="T500" s="589"/>
      <c r="U500" s="591"/>
      <c r="V500" s="589"/>
      <c r="W500" s="564" t="str">
        <f>IF(S500&lt;&gt;0,VLOOKUP(S500,VKT!$A$2:$G$415,7,0),"")</f>
        <v/>
      </c>
      <c r="X500" s="564" t="str">
        <f t="shared" si="102"/>
        <v xml:space="preserve"> </v>
      </c>
      <c r="Y500" s="589"/>
      <c r="Z500" s="592"/>
      <c r="AA500" s="592"/>
      <c r="AB500" s="568"/>
      <c r="AC500" s="592"/>
      <c r="AD500" s="592"/>
      <c r="AE500" s="592"/>
      <c r="AF500" s="590"/>
      <c r="AG500" s="570" t="str">
        <f>IF(AE500&lt;&gt;0,VLOOKUP(AE500,ODDS!$A$2:$C$13,3,0),"")</f>
        <v/>
      </c>
      <c r="AH500" s="570"/>
      <c r="AI500" s="571" t="str">
        <f t="shared" si="99"/>
        <v xml:space="preserve"> </v>
      </c>
      <c r="AJ500" s="593"/>
      <c r="AK500" s="593"/>
    </row>
    <row r="501" spans="1:37" s="376" customFormat="1" ht="20.25" outlineLevel="2" x14ac:dyDescent="0.3">
      <c r="A501" s="447">
        <f t="shared" si="106"/>
        <v>43</v>
      </c>
      <c r="B501" s="557"/>
      <c r="C501" s="558"/>
      <c r="D501" s="587"/>
      <c r="E501" s="587"/>
      <c r="F501" s="560"/>
      <c r="G501" s="558"/>
      <c r="H501" s="588"/>
      <c r="I501" s="546"/>
      <c r="J501" s="589"/>
      <c r="K501" s="563" t="str">
        <f>IF(G501&lt;&gt;0,VLOOKUP(G501,'gia dat'!$A$1:$F$144,5,0)," ")</f>
        <v xml:space="preserve"> </v>
      </c>
      <c r="L501" s="563" t="str">
        <f>IF(G501&lt;&gt;0,VLOOKUP(G501,'gia dat'!$A$1:$F$144,6,0)," ")</f>
        <v xml:space="preserve"> </v>
      </c>
      <c r="M501" s="564" t="str">
        <f t="shared" si="107"/>
        <v xml:space="preserve"> </v>
      </c>
      <c r="N501" s="564" t="str">
        <f t="shared" si="108"/>
        <v xml:space="preserve"> </v>
      </c>
      <c r="O501" s="558"/>
      <c r="P501" s="590"/>
      <c r="Q501" s="564"/>
      <c r="R501" s="564"/>
      <c r="S501" s="566"/>
      <c r="T501" s="589"/>
      <c r="U501" s="591"/>
      <c r="V501" s="589"/>
      <c r="W501" s="564" t="str">
        <f>IF(S501&lt;&gt;0,VLOOKUP(S501,VKT!$A$2:$G$415,7,0),"")</f>
        <v/>
      </c>
      <c r="X501" s="564" t="str">
        <f t="shared" si="102"/>
        <v xml:space="preserve"> </v>
      </c>
      <c r="Y501" s="589"/>
      <c r="Z501" s="592"/>
      <c r="AA501" s="592"/>
      <c r="AB501" s="568"/>
      <c r="AC501" s="592"/>
      <c r="AD501" s="592"/>
      <c r="AE501" s="592"/>
      <c r="AF501" s="590"/>
      <c r="AG501" s="570" t="str">
        <f>IF(AE501&lt;&gt;0,VLOOKUP(AE501,ODDS!$A$2:$C$13,3,0),"")</f>
        <v/>
      </c>
      <c r="AH501" s="570"/>
      <c r="AI501" s="571" t="str">
        <f t="shared" si="99"/>
        <v xml:space="preserve"> </v>
      </c>
      <c r="AJ501" s="593"/>
      <c r="AK501" s="593"/>
    </row>
    <row r="502" spans="1:37" s="376" customFormat="1" ht="20.25" outlineLevel="2" x14ac:dyDescent="0.3">
      <c r="A502" s="447">
        <f t="shared" si="106"/>
        <v>43</v>
      </c>
      <c r="B502" s="557"/>
      <c r="C502" s="558"/>
      <c r="D502" s="587"/>
      <c r="E502" s="587"/>
      <c r="F502" s="560"/>
      <c r="G502" s="558"/>
      <c r="H502" s="588"/>
      <c r="I502" s="546"/>
      <c r="J502" s="589"/>
      <c r="K502" s="563" t="str">
        <f>IF(G502&lt;&gt;0,VLOOKUP(G502,'gia dat'!$A$1:$F$144,5,0)," ")</f>
        <v xml:space="preserve"> </v>
      </c>
      <c r="L502" s="563" t="str">
        <f>IF(G502&lt;&gt;0,VLOOKUP(G502,'gia dat'!$A$1:$F$144,6,0)," ")</f>
        <v xml:space="preserve"> </v>
      </c>
      <c r="M502" s="564" t="str">
        <f t="shared" si="107"/>
        <v xml:space="preserve"> </v>
      </c>
      <c r="N502" s="564" t="str">
        <f t="shared" si="108"/>
        <v xml:space="preserve"> </v>
      </c>
      <c r="O502" s="558"/>
      <c r="P502" s="590"/>
      <c r="Q502" s="564"/>
      <c r="R502" s="564"/>
      <c r="S502" s="566"/>
      <c r="T502" s="589"/>
      <c r="U502" s="591"/>
      <c r="V502" s="589"/>
      <c r="W502" s="564" t="str">
        <f>IF(S502&lt;&gt;0,VLOOKUP(S502,VKT!$A$2:$G$415,7,0),"")</f>
        <v/>
      </c>
      <c r="X502" s="564" t="str">
        <f t="shared" si="102"/>
        <v xml:space="preserve"> </v>
      </c>
      <c r="Y502" s="589"/>
      <c r="Z502" s="592"/>
      <c r="AA502" s="592"/>
      <c r="AB502" s="568"/>
      <c r="AC502" s="592"/>
      <c r="AD502" s="592"/>
      <c r="AE502" s="592"/>
      <c r="AF502" s="590"/>
      <c r="AG502" s="570" t="str">
        <f>IF(AE502&lt;&gt;0,VLOOKUP(AE502,ODDS!$A$2:$C$13,3,0),"")</f>
        <v/>
      </c>
      <c r="AH502" s="570"/>
      <c r="AI502" s="571" t="str">
        <f t="shared" si="99"/>
        <v xml:space="preserve"> </v>
      </c>
      <c r="AJ502" s="593"/>
      <c r="AK502" s="593"/>
    </row>
    <row r="503" spans="1:37" s="376" customFormat="1" ht="20.25" outlineLevel="2" x14ac:dyDescent="0.3">
      <c r="A503" s="447">
        <f t="shared" si="106"/>
        <v>43</v>
      </c>
      <c r="B503" s="557"/>
      <c r="C503" s="558"/>
      <c r="D503" s="587"/>
      <c r="E503" s="587"/>
      <c r="F503" s="560"/>
      <c r="G503" s="558"/>
      <c r="H503" s="588"/>
      <c r="I503" s="546"/>
      <c r="J503" s="589"/>
      <c r="K503" s="563" t="str">
        <f>IF(G503&lt;&gt;0,VLOOKUP(G503,'gia dat'!$A$1:$F$144,5,0)," ")</f>
        <v xml:space="preserve"> </v>
      </c>
      <c r="L503" s="563" t="str">
        <f>IF(G503&lt;&gt;0,VLOOKUP(G503,'gia dat'!$A$1:$F$144,6,0)," ")</f>
        <v xml:space="preserve"> </v>
      </c>
      <c r="M503" s="564" t="str">
        <f t="shared" si="107"/>
        <v xml:space="preserve"> </v>
      </c>
      <c r="N503" s="564" t="str">
        <f t="shared" si="108"/>
        <v xml:space="preserve"> </v>
      </c>
      <c r="O503" s="558"/>
      <c r="P503" s="590"/>
      <c r="Q503" s="564"/>
      <c r="R503" s="564"/>
      <c r="S503" s="566"/>
      <c r="T503" s="589"/>
      <c r="U503" s="591"/>
      <c r="V503" s="589"/>
      <c r="W503" s="564" t="str">
        <f>IF(S503&lt;&gt;0,VLOOKUP(S503,VKT!$A$2:$G$415,7,0),"")</f>
        <v/>
      </c>
      <c r="X503" s="564" t="str">
        <f t="shared" si="102"/>
        <v xml:space="preserve"> </v>
      </c>
      <c r="Y503" s="589"/>
      <c r="Z503" s="592"/>
      <c r="AA503" s="592"/>
      <c r="AB503" s="568"/>
      <c r="AC503" s="592"/>
      <c r="AD503" s="592"/>
      <c r="AE503" s="592"/>
      <c r="AF503" s="590"/>
      <c r="AG503" s="570" t="str">
        <f>IF(AE503&lt;&gt;0,VLOOKUP(AE503,ODDS!$A$2:$C$13,3,0),"")</f>
        <v/>
      </c>
      <c r="AH503" s="570"/>
      <c r="AI503" s="571" t="str">
        <f t="shared" si="99"/>
        <v xml:space="preserve"> </v>
      </c>
      <c r="AJ503" s="593"/>
      <c r="AK503" s="593"/>
    </row>
    <row r="504" spans="1:37" s="376" customFormat="1" ht="20.25" outlineLevel="2" x14ac:dyDescent="0.3">
      <c r="A504" s="447">
        <f t="shared" si="106"/>
        <v>43</v>
      </c>
      <c r="B504" s="557"/>
      <c r="C504" s="558"/>
      <c r="D504" s="587"/>
      <c r="E504" s="587"/>
      <c r="F504" s="560"/>
      <c r="G504" s="558"/>
      <c r="H504" s="588"/>
      <c r="I504" s="546"/>
      <c r="J504" s="589"/>
      <c r="K504" s="563" t="str">
        <f>IF(G504&lt;&gt;0,VLOOKUP(G504,'gia dat'!$A$1:$F$144,5,0)," ")</f>
        <v xml:space="preserve"> </v>
      </c>
      <c r="L504" s="563" t="str">
        <f>IF(G504&lt;&gt;0,VLOOKUP(G504,'gia dat'!$A$1:$F$144,6,0)," ")</f>
        <v xml:space="preserve"> </v>
      </c>
      <c r="M504" s="564" t="str">
        <f t="shared" si="107"/>
        <v xml:space="preserve"> </v>
      </c>
      <c r="N504" s="564" t="str">
        <f t="shared" si="108"/>
        <v xml:space="preserve"> </v>
      </c>
      <c r="O504" s="558"/>
      <c r="P504" s="590"/>
      <c r="Q504" s="564"/>
      <c r="R504" s="564"/>
      <c r="S504" s="566"/>
      <c r="T504" s="589"/>
      <c r="U504" s="591"/>
      <c r="V504" s="589"/>
      <c r="W504" s="564" t="str">
        <f>IF(S504&lt;&gt;0,VLOOKUP(S504,VKT!$A$2:$G$415,7,0),"")</f>
        <v/>
      </c>
      <c r="X504" s="564" t="str">
        <f t="shared" si="102"/>
        <v xml:space="preserve"> </v>
      </c>
      <c r="Y504" s="589"/>
      <c r="Z504" s="592"/>
      <c r="AA504" s="592"/>
      <c r="AB504" s="568"/>
      <c r="AC504" s="592"/>
      <c r="AD504" s="592"/>
      <c r="AE504" s="592"/>
      <c r="AF504" s="590"/>
      <c r="AG504" s="570" t="str">
        <f>IF(AE504&lt;&gt;0,VLOOKUP(AE504,ODDS!$A$2:$C$13,3,0),"")</f>
        <v/>
      </c>
      <c r="AH504" s="570"/>
      <c r="AI504" s="571" t="str">
        <f t="shared" si="99"/>
        <v xml:space="preserve"> </v>
      </c>
      <c r="AJ504" s="593"/>
      <c r="AK504" s="593"/>
    </row>
    <row r="505" spans="1:37" s="376" customFormat="1" ht="20.25" outlineLevel="2" x14ac:dyDescent="0.3">
      <c r="A505" s="447">
        <f t="shared" si="106"/>
        <v>43</v>
      </c>
      <c r="B505" s="557"/>
      <c r="C505" s="607"/>
      <c r="D505" s="587"/>
      <c r="E505" s="587"/>
      <c r="F505" s="560"/>
      <c r="G505" s="558"/>
      <c r="H505" s="588"/>
      <c r="I505" s="546"/>
      <c r="J505" s="589"/>
      <c r="K505" s="563" t="str">
        <f>IF(G505&lt;&gt;0,VLOOKUP(G505,'gia dat'!$A$1:$F$144,5,0)," ")</f>
        <v xml:space="preserve"> </v>
      </c>
      <c r="L505" s="563" t="str">
        <f>IF(G505&lt;&gt;0,VLOOKUP(G505,'gia dat'!$A$1:$F$144,6,0)," ")</f>
        <v xml:space="preserve"> </v>
      </c>
      <c r="M505" s="564" t="str">
        <f t="shared" si="107"/>
        <v xml:space="preserve"> </v>
      </c>
      <c r="N505" s="564" t="str">
        <f t="shared" si="108"/>
        <v xml:space="preserve"> </v>
      </c>
      <c r="O505" s="558"/>
      <c r="P505" s="590"/>
      <c r="Q505" s="564"/>
      <c r="R505" s="564"/>
      <c r="S505" s="566"/>
      <c r="T505" s="589"/>
      <c r="U505" s="591"/>
      <c r="V505" s="589"/>
      <c r="W505" s="564" t="str">
        <f>IF(S505&lt;&gt;0,VLOOKUP(S505,VKT!$A$2:$G$415,7,0),"")</f>
        <v/>
      </c>
      <c r="X505" s="564" t="str">
        <f t="shared" si="102"/>
        <v xml:space="preserve"> </v>
      </c>
      <c r="Y505" s="589"/>
      <c r="Z505" s="592"/>
      <c r="AA505" s="592"/>
      <c r="AB505" s="568"/>
      <c r="AC505" s="592"/>
      <c r="AD505" s="592"/>
      <c r="AE505" s="592"/>
      <c r="AF505" s="590"/>
      <c r="AG505" s="570" t="str">
        <f>IF(AE505&lt;&gt;0,VLOOKUP(AE505,ODDS!$A$2:$C$13,3,0),"")</f>
        <v/>
      </c>
      <c r="AH505" s="570"/>
      <c r="AI505" s="571" t="str">
        <f t="shared" si="99"/>
        <v xml:space="preserve"> </v>
      </c>
      <c r="AJ505" s="593"/>
      <c r="AK505" s="593"/>
    </row>
    <row r="506" spans="1:37" s="376" customFormat="1" ht="20.25" outlineLevel="1" x14ac:dyDescent="0.3">
      <c r="A506" s="467" t="s">
        <v>2666</v>
      </c>
      <c r="B506" s="576">
        <v>44</v>
      </c>
      <c r="C506" s="607" t="s">
        <v>2178</v>
      </c>
      <c r="D506" s="594"/>
      <c r="E506" s="623"/>
      <c r="F506" s="623"/>
      <c r="G506" s="624"/>
      <c r="H506" s="625">
        <f>SUBTOTAL(9,H507:H520)</f>
        <v>0</v>
      </c>
      <c r="I506" s="579">
        <f>SUBTOTAL(9,I507:I512)</f>
        <v>0</v>
      </c>
      <c r="J506" s="608"/>
      <c r="K506" s="581"/>
      <c r="L506" s="581"/>
      <c r="M506" s="571">
        <f>SUBTOTAL(9,M507:M520)</f>
        <v>0</v>
      </c>
      <c r="N506" s="571">
        <f>SUBTOTAL(9,N507:N520)</f>
        <v>0</v>
      </c>
      <c r="O506" s="578"/>
      <c r="P506" s="599">
        <f>SUBTOTAL(9,P507:P520)</f>
        <v>0</v>
      </c>
      <c r="Q506" s="571"/>
      <c r="R506" s="571">
        <f>SUBTOTAL(9,R507:R520)</f>
        <v>0</v>
      </c>
      <c r="S506" s="578"/>
      <c r="T506" s="621"/>
      <c r="U506" s="600">
        <f>SUBTOTAL(9,U507:U520)</f>
        <v>100.2</v>
      </c>
      <c r="V506" s="622"/>
      <c r="W506" s="571"/>
      <c r="X506" s="571">
        <f>SUBTOTAL(9,X507:X520)</f>
        <v>116218000</v>
      </c>
      <c r="Y506" s="562"/>
      <c r="Z506" s="592"/>
      <c r="AA506" s="592"/>
      <c r="AB506" s="568"/>
      <c r="AC506" s="592"/>
      <c r="AD506" s="568"/>
      <c r="AE506" s="584"/>
      <c r="AF506" s="581">
        <f>SUBTOTAL(9,AF507:AF520)</f>
        <v>0</v>
      </c>
      <c r="AG506" s="585"/>
      <c r="AH506" s="585">
        <f>SUBTOTAL(9,AH507:AH520)</f>
        <v>0</v>
      </c>
      <c r="AI506" s="571">
        <f t="shared" si="99"/>
        <v>116218000</v>
      </c>
      <c r="AJ506" s="608"/>
      <c r="AK506" s="574"/>
    </row>
    <row r="507" spans="1:37" s="376" customFormat="1" ht="121.5" outlineLevel="2" x14ac:dyDescent="0.3">
      <c r="A507" s="447">
        <f>IF(B506&lt;&gt;0,B506,A505)</f>
        <v>44</v>
      </c>
      <c r="B507" s="557"/>
      <c r="C507" s="572" t="s">
        <v>196</v>
      </c>
      <c r="D507" s="603">
        <v>3</v>
      </c>
      <c r="E507" s="627"/>
      <c r="F507" s="627"/>
      <c r="G507" s="575"/>
      <c r="H507" s="561"/>
      <c r="I507" s="546"/>
      <c r="J507" s="593"/>
      <c r="K507" s="563" t="str">
        <f>IF(G507&lt;&gt;0,VLOOKUP(G507,'gia dat'!$A$1:$F$144,5,0)," ")</f>
        <v xml:space="preserve"> </v>
      </c>
      <c r="L507" s="563" t="str">
        <f>IF(G507&lt;&gt;0,VLOOKUP(G507,'gia dat'!$A$1:$F$144,6,0)," ")</f>
        <v xml:space="preserve"> </v>
      </c>
      <c r="M507" s="564" t="str">
        <f t="shared" si="107"/>
        <v xml:space="preserve"> </v>
      </c>
      <c r="N507" s="564" t="str">
        <f t="shared" si="108"/>
        <v xml:space="preserve"> </v>
      </c>
      <c r="O507" s="586"/>
      <c r="P507" s="590"/>
      <c r="Q507" s="564" t="str">
        <f>IF(O507&lt;&gt;0,VLOOKUP(O507,'Cây trong'!$A$2:$C$246,3,0)," ")</f>
        <v xml:space="preserve"> </v>
      </c>
      <c r="R507" s="564" t="str">
        <f t="shared" si="86"/>
        <v xml:space="preserve"> </v>
      </c>
      <c r="S507" s="586" t="s">
        <v>1838</v>
      </c>
      <c r="T507" s="609" t="s">
        <v>53</v>
      </c>
      <c r="U507" s="591">
        <v>15.3</v>
      </c>
      <c r="V507" s="611"/>
      <c r="W507" s="564">
        <f>IF(S507&lt;&gt;0,VLOOKUP(S507,VKT!$A$2:$G$415,7,0),"")</f>
        <v>3156089</v>
      </c>
      <c r="X507" s="564">
        <f t="shared" si="102"/>
        <v>48288000</v>
      </c>
      <c r="Y507" s="562" t="s">
        <v>63</v>
      </c>
      <c r="Z507" s="592" t="s">
        <v>55</v>
      </c>
      <c r="AA507" s="592" t="s">
        <v>56</v>
      </c>
      <c r="AB507" s="568" t="s">
        <v>57</v>
      </c>
      <c r="AC507" s="592" t="s">
        <v>54</v>
      </c>
      <c r="AD507" s="568" t="s">
        <v>430</v>
      </c>
      <c r="AE507" s="568"/>
      <c r="AF507" s="563"/>
      <c r="AG507" s="570" t="str">
        <f>IF(AE507&lt;&gt;0,VLOOKUP(AE507,ODDS!$A$2:$C$13,3,0),"")</f>
        <v/>
      </c>
      <c r="AH507" s="570" t="str">
        <f t="shared" si="87"/>
        <v xml:space="preserve"> </v>
      </c>
      <c r="AI507" s="571" t="str">
        <f t="shared" si="99"/>
        <v xml:space="preserve"> </v>
      </c>
      <c r="AJ507" s="593" t="s">
        <v>207</v>
      </c>
      <c r="AK507" s="558" t="s">
        <v>2450</v>
      </c>
    </row>
    <row r="508" spans="1:37" s="376" customFormat="1" ht="101.25" outlineLevel="2" x14ac:dyDescent="0.3">
      <c r="A508" s="447">
        <f t="shared" ref="A508:A520" si="109">IF(B507&lt;&gt;0,B507,A507)</f>
        <v>44</v>
      </c>
      <c r="B508" s="557"/>
      <c r="C508" s="572" t="s">
        <v>675</v>
      </c>
      <c r="D508" s="587"/>
      <c r="E508" s="612"/>
      <c r="F508" s="612"/>
      <c r="G508" s="586"/>
      <c r="H508" s="588"/>
      <c r="I508" s="546"/>
      <c r="J508" s="593"/>
      <c r="K508" s="563" t="str">
        <f>IF(G508&lt;&gt;0,VLOOKUP(G508,'gia dat'!$A$1:$F$144,5,0)," ")</f>
        <v xml:space="preserve"> </v>
      </c>
      <c r="L508" s="563" t="str">
        <f>IF(G508&lt;&gt;0,VLOOKUP(G508,'gia dat'!$A$1:$F$144,6,0)," ")</f>
        <v xml:space="preserve"> </v>
      </c>
      <c r="M508" s="564" t="str">
        <f t="shared" si="107"/>
        <v xml:space="preserve"> </v>
      </c>
      <c r="N508" s="564" t="str">
        <f t="shared" si="108"/>
        <v xml:space="preserve"> </v>
      </c>
      <c r="O508" s="586"/>
      <c r="P508" s="590"/>
      <c r="Q508" s="564" t="str">
        <f>IF(O508&lt;&gt;0,VLOOKUP(O508,'Cây trong'!$A$2:$C$246,3,0)," ")</f>
        <v xml:space="preserve"> </v>
      </c>
      <c r="R508" s="564" t="str">
        <f t="shared" si="86"/>
        <v xml:space="preserve"> </v>
      </c>
      <c r="S508" s="586" t="s">
        <v>1838</v>
      </c>
      <c r="T508" s="609" t="s">
        <v>53</v>
      </c>
      <c r="U508" s="591">
        <v>15.3</v>
      </c>
      <c r="V508" s="611"/>
      <c r="W508" s="564">
        <f>IF(S508&lt;&gt;0,VLOOKUP(S508,VKT!$A$2:$G$415,7,0),"")</f>
        <v>3156089</v>
      </c>
      <c r="X508" s="564">
        <f t="shared" si="102"/>
        <v>48288000</v>
      </c>
      <c r="Y508" s="589" t="s">
        <v>63</v>
      </c>
      <c r="Z508" s="592" t="s">
        <v>55</v>
      </c>
      <c r="AA508" s="592" t="s">
        <v>56</v>
      </c>
      <c r="AB508" s="568" t="s">
        <v>57</v>
      </c>
      <c r="AC508" s="592" t="s">
        <v>54</v>
      </c>
      <c r="AD508" s="568" t="s">
        <v>206</v>
      </c>
      <c r="AE508" s="568"/>
      <c r="AF508" s="563"/>
      <c r="AG508" s="570" t="str">
        <f>IF(AE508&lt;&gt;0,VLOOKUP(AE508,ODDS!$A$2:$C$13,3,0),"")</f>
        <v/>
      </c>
      <c r="AH508" s="570" t="str">
        <f t="shared" si="87"/>
        <v xml:space="preserve"> </v>
      </c>
      <c r="AI508" s="571" t="str">
        <f t="shared" si="99"/>
        <v xml:space="preserve"> </v>
      </c>
      <c r="AJ508" s="575"/>
      <c r="AK508" s="558" t="s">
        <v>2800</v>
      </c>
    </row>
    <row r="509" spans="1:37" s="376" customFormat="1" ht="81" outlineLevel="2" x14ac:dyDescent="0.3">
      <c r="A509" s="447">
        <f t="shared" si="109"/>
        <v>44</v>
      </c>
      <c r="B509" s="557"/>
      <c r="C509" s="558" t="s">
        <v>310</v>
      </c>
      <c r="D509" s="587"/>
      <c r="E509" s="587"/>
      <c r="F509" s="560"/>
      <c r="G509" s="558"/>
      <c r="H509" s="588"/>
      <c r="I509" s="546"/>
      <c r="J509" s="593"/>
      <c r="K509" s="563" t="str">
        <f>IF(G509&lt;&gt;0,VLOOKUP(G509,'gia dat'!$A$1:$F$144,5,0)," ")</f>
        <v xml:space="preserve"> </v>
      </c>
      <c r="L509" s="563" t="str">
        <f>IF(G509&lt;&gt;0,VLOOKUP(G509,'gia dat'!$A$1:$F$144,6,0)," ")</f>
        <v xml:space="preserve"> </v>
      </c>
      <c r="M509" s="564" t="str">
        <f t="shared" si="107"/>
        <v xml:space="preserve"> </v>
      </c>
      <c r="N509" s="564" t="str">
        <f t="shared" si="108"/>
        <v xml:space="preserve"> </v>
      </c>
      <c r="O509" s="586"/>
      <c r="P509" s="590"/>
      <c r="Q509" s="564" t="str">
        <f>IF(O509&lt;&gt;0,VLOOKUP(O509,'Cây trong'!$A$2:$C$246,3,0)," ")</f>
        <v xml:space="preserve"> </v>
      </c>
      <c r="R509" s="564" t="str">
        <f t="shared" si="86"/>
        <v xml:space="preserve"> </v>
      </c>
      <c r="S509" s="586" t="s">
        <v>2307</v>
      </c>
      <c r="T509" s="609" t="s">
        <v>53</v>
      </c>
      <c r="U509" s="591">
        <v>1.92</v>
      </c>
      <c r="V509" s="611"/>
      <c r="W509" s="564">
        <f>IF(S509&lt;&gt;0,VLOOKUP(S509,VKT!$A$2:$G$415,7,0),"")</f>
        <v>2093161</v>
      </c>
      <c r="X509" s="564">
        <f t="shared" si="102"/>
        <v>4019000</v>
      </c>
      <c r="Y509" s="589"/>
      <c r="Z509" s="592"/>
      <c r="AA509" s="592" t="s">
        <v>56</v>
      </c>
      <c r="AB509" s="568" t="s">
        <v>57</v>
      </c>
      <c r="AC509" s="592" t="s">
        <v>54</v>
      </c>
      <c r="AD509" s="592"/>
      <c r="AE509" s="592"/>
      <c r="AF509" s="590"/>
      <c r="AG509" s="570" t="str">
        <f>IF(AE509&lt;&gt;0,VLOOKUP(AE509,ODDS!$A$2:$C$13,3,0),"")</f>
        <v/>
      </c>
      <c r="AH509" s="570" t="str">
        <f t="shared" si="87"/>
        <v xml:space="preserve"> </v>
      </c>
      <c r="AI509" s="571" t="str">
        <f t="shared" si="99"/>
        <v xml:space="preserve"> </v>
      </c>
      <c r="AJ509" s="593"/>
      <c r="AK509" s="593"/>
    </row>
    <row r="510" spans="1:37" s="376" customFormat="1" ht="81" outlineLevel="2" x14ac:dyDescent="0.3">
      <c r="A510" s="447">
        <f t="shared" si="109"/>
        <v>44</v>
      </c>
      <c r="B510" s="557"/>
      <c r="C510" s="635"/>
      <c r="D510" s="587"/>
      <c r="E510" s="587"/>
      <c r="F510" s="560"/>
      <c r="G510" s="558"/>
      <c r="H510" s="588"/>
      <c r="I510" s="546"/>
      <c r="J510" s="593"/>
      <c r="K510" s="563" t="str">
        <f>IF(G510&lt;&gt;0,VLOOKUP(G510,'gia dat'!$A$1:$F$144,5,0)," ")</f>
        <v xml:space="preserve"> </v>
      </c>
      <c r="L510" s="563" t="str">
        <f>IF(G510&lt;&gt;0,VLOOKUP(G510,'gia dat'!$A$1:$F$144,6,0)," ")</f>
        <v xml:space="preserve"> </v>
      </c>
      <c r="M510" s="564" t="str">
        <f t="shared" si="107"/>
        <v xml:space="preserve"> </v>
      </c>
      <c r="N510" s="564" t="str">
        <f t="shared" si="108"/>
        <v xml:space="preserve"> </v>
      </c>
      <c r="O510" s="586"/>
      <c r="P510" s="630"/>
      <c r="Q510" s="564" t="str">
        <f>IF(O510&lt;&gt;0,VLOOKUP(O510,'Cây trong'!$A$2:$C$246,3,0)," ")</f>
        <v xml:space="preserve"> </v>
      </c>
      <c r="R510" s="564" t="str">
        <f t="shared" si="86"/>
        <v xml:space="preserve"> </v>
      </c>
      <c r="S510" s="586" t="s">
        <v>2307</v>
      </c>
      <c r="T510" s="609" t="s">
        <v>53</v>
      </c>
      <c r="U510" s="591">
        <v>1.92</v>
      </c>
      <c r="V510" s="589"/>
      <c r="W510" s="564">
        <f>IF(S510&lt;&gt;0,VLOOKUP(S510,VKT!$A$2:$G$415,7,0),"")</f>
        <v>2093161</v>
      </c>
      <c r="X510" s="564">
        <f t="shared" si="102"/>
        <v>4019000</v>
      </c>
      <c r="Y510" s="589"/>
      <c r="Z510" s="592"/>
      <c r="AA510" s="592" t="s">
        <v>56</v>
      </c>
      <c r="AB510" s="568" t="s">
        <v>57</v>
      </c>
      <c r="AC510" s="592" t="s">
        <v>54</v>
      </c>
      <c r="AD510" s="592"/>
      <c r="AE510" s="592"/>
      <c r="AF510" s="590"/>
      <c r="AG510" s="570" t="str">
        <f>IF(AE510&lt;&gt;0,VLOOKUP(AE510,ODDS!$A$2:$C$13,3,0),"")</f>
        <v/>
      </c>
      <c r="AH510" s="570" t="str">
        <f t="shared" si="87"/>
        <v xml:space="preserve"> </v>
      </c>
      <c r="AI510" s="571" t="str">
        <f t="shared" si="99"/>
        <v xml:space="preserve"> </v>
      </c>
      <c r="AJ510" s="593"/>
      <c r="AK510" s="593"/>
    </row>
    <row r="511" spans="1:37" s="376" customFormat="1" ht="40.5" outlineLevel="2" x14ac:dyDescent="0.3">
      <c r="A511" s="447">
        <f t="shared" si="109"/>
        <v>44</v>
      </c>
      <c r="B511" s="557"/>
      <c r="C511" s="574"/>
      <c r="D511" s="587"/>
      <c r="E511" s="587"/>
      <c r="F511" s="560"/>
      <c r="G511" s="558"/>
      <c r="H511" s="588"/>
      <c r="I511" s="546"/>
      <c r="J511" s="589"/>
      <c r="K511" s="563" t="str">
        <f>IF(G511&lt;&gt;0,VLOOKUP(G511,'gia dat'!$A$1:$F$144,5,0)," ")</f>
        <v xml:space="preserve"> </v>
      </c>
      <c r="L511" s="563" t="str">
        <f>IF(G511&lt;&gt;0,VLOOKUP(G511,'gia dat'!$A$1:$F$144,6,0)," ")</f>
        <v xml:space="preserve"> </v>
      </c>
      <c r="M511" s="564" t="str">
        <f t="shared" si="107"/>
        <v xml:space="preserve"> </v>
      </c>
      <c r="N511" s="564" t="str">
        <f t="shared" si="108"/>
        <v xml:space="preserve"> </v>
      </c>
      <c r="O511" s="558"/>
      <c r="P511" s="590"/>
      <c r="Q511" s="564" t="str">
        <f>IF(O511&lt;&gt;0,VLOOKUP(O511,'Cây trong'!$A$2:$C$246,3,0)," ")</f>
        <v xml:space="preserve"> </v>
      </c>
      <c r="R511" s="564" t="str">
        <f t="shared" si="86"/>
        <v xml:space="preserve"> </v>
      </c>
      <c r="S511" s="586" t="s">
        <v>1748</v>
      </c>
      <c r="T511" s="589" t="s">
        <v>53</v>
      </c>
      <c r="U511" s="591">
        <v>14.76</v>
      </c>
      <c r="V511" s="589"/>
      <c r="W511" s="564">
        <f>IF(S511&lt;&gt;0,VLOOKUP(S511,VKT!$A$2:$G$415,7,0),"")</f>
        <v>0</v>
      </c>
      <c r="X511" s="564">
        <f t="shared" si="102"/>
        <v>0</v>
      </c>
      <c r="Y511" s="589"/>
      <c r="Z511" s="592"/>
      <c r="AA511" s="592"/>
      <c r="AB511" s="568"/>
      <c r="AC511" s="592"/>
      <c r="AD511" s="592"/>
      <c r="AE511" s="592"/>
      <c r="AF511" s="590"/>
      <c r="AG511" s="570" t="str">
        <f>IF(AE511&lt;&gt;0,VLOOKUP(AE511,ODDS!$A$2:$C$13,3,0),"")</f>
        <v/>
      </c>
      <c r="AH511" s="570" t="str">
        <f t="shared" si="87"/>
        <v xml:space="preserve"> </v>
      </c>
      <c r="AI511" s="571" t="str">
        <f t="shared" si="99"/>
        <v xml:space="preserve"> </v>
      </c>
      <c r="AJ511" s="558"/>
      <c r="AK511" s="558"/>
    </row>
    <row r="512" spans="1:37" s="376" customFormat="1" ht="60.75" outlineLevel="2" x14ac:dyDescent="0.3">
      <c r="A512" s="447">
        <f t="shared" si="109"/>
        <v>44</v>
      </c>
      <c r="B512" s="557"/>
      <c r="C512" s="574"/>
      <c r="D512" s="587"/>
      <c r="E512" s="587"/>
      <c r="F512" s="560"/>
      <c r="G512" s="558"/>
      <c r="H512" s="588"/>
      <c r="I512" s="546"/>
      <c r="J512" s="589"/>
      <c r="K512" s="563" t="str">
        <f>IF(G512&lt;&gt;0,VLOOKUP(G512,'gia dat'!$A$1:$F$144,5,0)," ")</f>
        <v xml:space="preserve"> </v>
      </c>
      <c r="L512" s="563" t="str">
        <f>IF(G512&lt;&gt;0,VLOOKUP(G512,'gia dat'!$A$1:$F$144,6,0)," ")</f>
        <v xml:space="preserve"> </v>
      </c>
      <c r="M512" s="564" t="str">
        <f t="shared" si="107"/>
        <v xml:space="preserve"> </v>
      </c>
      <c r="N512" s="564" t="str">
        <f t="shared" si="108"/>
        <v xml:space="preserve"> </v>
      </c>
      <c r="O512" s="558"/>
      <c r="P512" s="590"/>
      <c r="Q512" s="564" t="str">
        <f>IF(O512&lt;&gt;0,VLOOKUP(O512,'Cây trong'!$A$2:$C$246,3,0)," ")</f>
        <v xml:space="preserve"> </v>
      </c>
      <c r="R512" s="564" t="str">
        <f t="shared" si="86"/>
        <v xml:space="preserve"> </v>
      </c>
      <c r="S512" s="566" t="s">
        <v>1749</v>
      </c>
      <c r="T512" s="589" t="s">
        <v>53</v>
      </c>
      <c r="U512" s="591">
        <v>14.76</v>
      </c>
      <c r="V512" s="589"/>
      <c r="W512" s="564">
        <f>IF(S512&lt;&gt;0,VLOOKUP(S512,VKT!$A$2:$G$415,7,0),"")</f>
        <v>211811</v>
      </c>
      <c r="X512" s="564">
        <f t="shared" si="102"/>
        <v>3126000</v>
      </c>
      <c r="Y512" s="589"/>
      <c r="Z512" s="592"/>
      <c r="AA512" s="592"/>
      <c r="AB512" s="568"/>
      <c r="AC512" s="592"/>
      <c r="AD512" s="592"/>
      <c r="AE512" s="592"/>
      <c r="AF512" s="590"/>
      <c r="AG512" s="570" t="str">
        <f>IF(AE512&lt;&gt;0,VLOOKUP(AE512,ODDS!$A$2:$C$13,3,0),"")</f>
        <v/>
      </c>
      <c r="AH512" s="570" t="str">
        <f t="shared" si="87"/>
        <v xml:space="preserve"> </v>
      </c>
      <c r="AI512" s="571" t="str">
        <f t="shared" si="99"/>
        <v xml:space="preserve"> </v>
      </c>
      <c r="AJ512" s="593"/>
      <c r="AK512" s="593"/>
    </row>
    <row r="513" spans="1:37" s="376" customFormat="1" ht="40.5" outlineLevel="2" x14ac:dyDescent="0.3">
      <c r="A513" s="447">
        <f t="shared" si="109"/>
        <v>44</v>
      </c>
      <c r="B513" s="557"/>
      <c r="C513" s="574"/>
      <c r="D513" s="587"/>
      <c r="E513" s="587"/>
      <c r="F513" s="560"/>
      <c r="G513" s="558"/>
      <c r="H513" s="588"/>
      <c r="I513" s="546"/>
      <c r="J513" s="589"/>
      <c r="K513" s="563" t="str">
        <f>IF(G513&lt;&gt;0,VLOOKUP(G513,'gia dat'!$A$1:$F$144,5,0)," ")</f>
        <v xml:space="preserve"> </v>
      </c>
      <c r="L513" s="563" t="str">
        <f>IF(G513&lt;&gt;0,VLOOKUP(G513,'gia dat'!$A$1:$F$144,6,0)," ")</f>
        <v xml:space="preserve"> </v>
      </c>
      <c r="M513" s="564" t="str">
        <f t="shared" si="107"/>
        <v xml:space="preserve"> </v>
      </c>
      <c r="N513" s="564" t="str">
        <f t="shared" si="108"/>
        <v xml:space="preserve"> </v>
      </c>
      <c r="O513" s="558"/>
      <c r="P513" s="590"/>
      <c r="Q513" s="564" t="str">
        <f>IF(O513&lt;&gt;0,VLOOKUP(O513,'Cây trong'!$A$2:$C$246,3,0)," ")</f>
        <v xml:space="preserve"> </v>
      </c>
      <c r="R513" s="564" t="str">
        <f t="shared" ref="R513:R581" si="110">IF(O513&lt;&gt;0,ROUND(P513*Q513,-2)," ")</f>
        <v xml:space="preserve"> </v>
      </c>
      <c r="S513" s="566" t="s">
        <v>2291</v>
      </c>
      <c r="T513" s="589" t="s">
        <v>78</v>
      </c>
      <c r="U513" s="591">
        <v>0.02</v>
      </c>
      <c r="V513" s="589"/>
      <c r="W513" s="564">
        <f>IF(S513&lt;&gt;0,VLOOKUP(S513,VKT!$A$2:$G$415,7,0),"")</f>
        <v>0</v>
      </c>
      <c r="X513" s="564">
        <f t="shared" si="102"/>
        <v>0</v>
      </c>
      <c r="Y513" s="589"/>
      <c r="Z513" s="592"/>
      <c r="AA513" s="592"/>
      <c r="AB513" s="568"/>
      <c r="AC513" s="592"/>
      <c r="AD513" s="592"/>
      <c r="AE513" s="592"/>
      <c r="AF513" s="590"/>
      <c r="AG513" s="570" t="str">
        <f>IF(AE513&lt;&gt;0,VLOOKUP(AE513,ODDS!$A$2:$C$13,3,0),"")</f>
        <v/>
      </c>
      <c r="AH513" s="570" t="str">
        <f t="shared" ref="AH513:AH581" si="111">IF(AE513&lt;&gt;0,ROUND(AF513*AG513,-2)," ")</f>
        <v xml:space="preserve"> </v>
      </c>
      <c r="AI513" s="571" t="str">
        <f t="shared" si="99"/>
        <v xml:space="preserve"> </v>
      </c>
      <c r="AJ513" s="593"/>
      <c r="AK513" s="593"/>
    </row>
    <row r="514" spans="1:37" s="376" customFormat="1" ht="40.5" outlineLevel="2" x14ac:dyDescent="0.3">
      <c r="A514" s="447">
        <f t="shared" si="109"/>
        <v>44</v>
      </c>
      <c r="B514" s="557"/>
      <c r="C514" s="574"/>
      <c r="D514" s="587"/>
      <c r="E514" s="587"/>
      <c r="F514" s="560"/>
      <c r="G514" s="558"/>
      <c r="H514" s="588"/>
      <c r="I514" s="546"/>
      <c r="J514" s="589"/>
      <c r="K514" s="563" t="str">
        <f>IF(G514&lt;&gt;0,VLOOKUP(G514,'gia dat'!$A$1:$F$144,5,0)," ")</f>
        <v xml:space="preserve"> </v>
      </c>
      <c r="L514" s="563" t="str">
        <f>IF(G514&lt;&gt;0,VLOOKUP(G514,'gia dat'!$A$1:$F$144,6,0)," ")</f>
        <v xml:space="preserve"> </v>
      </c>
      <c r="M514" s="564" t="str">
        <f t="shared" si="107"/>
        <v xml:space="preserve"> </v>
      </c>
      <c r="N514" s="564" t="str">
        <f t="shared" si="108"/>
        <v xml:space="preserve"> </v>
      </c>
      <c r="O514" s="558"/>
      <c r="P514" s="590"/>
      <c r="Q514" s="564" t="str">
        <f>IF(O514&lt;&gt;0,VLOOKUP(O514,'Cây trong'!$A$2:$C$246,3,0)," ")</f>
        <v xml:space="preserve"> </v>
      </c>
      <c r="R514" s="564" t="str">
        <f t="shared" si="110"/>
        <v xml:space="preserve"> </v>
      </c>
      <c r="S514" s="566" t="s">
        <v>2293</v>
      </c>
      <c r="T514" s="589" t="s">
        <v>53</v>
      </c>
      <c r="U514" s="591">
        <v>0.5</v>
      </c>
      <c r="V514" s="589"/>
      <c r="W514" s="564">
        <f>IF(S514&lt;&gt;0,VLOOKUP(S514,VKT!$A$2:$G$415,7,0),"")</f>
        <v>254982</v>
      </c>
      <c r="X514" s="564">
        <f t="shared" si="102"/>
        <v>127000</v>
      </c>
      <c r="Y514" s="589"/>
      <c r="Z514" s="592"/>
      <c r="AA514" s="592"/>
      <c r="AB514" s="568"/>
      <c r="AC514" s="592"/>
      <c r="AD514" s="592"/>
      <c r="AE514" s="592"/>
      <c r="AF514" s="590"/>
      <c r="AG514" s="570" t="str">
        <f>IF(AE514&lt;&gt;0,VLOOKUP(AE514,ODDS!$A$2:$C$13,3,0),"")</f>
        <v/>
      </c>
      <c r="AH514" s="570" t="str">
        <f t="shared" si="111"/>
        <v xml:space="preserve"> </v>
      </c>
      <c r="AI514" s="571" t="str">
        <f t="shared" si="99"/>
        <v xml:space="preserve"> </v>
      </c>
      <c r="AJ514" s="593"/>
      <c r="AK514" s="593"/>
    </row>
    <row r="515" spans="1:37" s="376" customFormat="1" ht="60.75" outlineLevel="2" x14ac:dyDescent="0.3">
      <c r="A515" s="447">
        <f t="shared" si="109"/>
        <v>44</v>
      </c>
      <c r="B515" s="557"/>
      <c r="C515" s="574"/>
      <c r="D515" s="587"/>
      <c r="E515" s="587"/>
      <c r="F515" s="560"/>
      <c r="G515" s="558"/>
      <c r="H515" s="588"/>
      <c r="I515" s="546"/>
      <c r="J515" s="589"/>
      <c r="K515" s="563" t="str">
        <f>IF(G515&lt;&gt;0,VLOOKUP(G515,'gia dat'!$A$1:$F$144,5,0)," ")</f>
        <v xml:space="preserve"> </v>
      </c>
      <c r="L515" s="563" t="str">
        <f>IF(G515&lt;&gt;0,VLOOKUP(G515,'gia dat'!$A$1:$F$144,6,0)," ")</f>
        <v xml:space="preserve"> </v>
      </c>
      <c r="M515" s="564" t="str">
        <f t="shared" si="107"/>
        <v xml:space="preserve"> </v>
      </c>
      <c r="N515" s="564" t="str">
        <f t="shared" si="108"/>
        <v xml:space="preserve"> </v>
      </c>
      <c r="O515" s="558"/>
      <c r="P515" s="590"/>
      <c r="Q515" s="564" t="str">
        <f>IF(O515&lt;&gt;0,VLOOKUP(O515,'Cây trong'!$A$2:$C$246,3,0)," ")</f>
        <v xml:space="preserve"> </v>
      </c>
      <c r="R515" s="564" t="str">
        <f t="shared" si="110"/>
        <v xml:space="preserve"> </v>
      </c>
      <c r="S515" s="566" t="s">
        <v>2315</v>
      </c>
      <c r="T515" s="589" t="s">
        <v>53</v>
      </c>
      <c r="U515" s="591">
        <v>0.2</v>
      </c>
      <c r="V515" s="589"/>
      <c r="W515" s="564">
        <f>IF(S515&lt;&gt;0,VLOOKUP(S515,VKT!$A$2:$G$415,7,0),"")</f>
        <v>310020</v>
      </c>
      <c r="X515" s="564">
        <f t="shared" si="102"/>
        <v>62000</v>
      </c>
      <c r="Y515" s="589"/>
      <c r="Z515" s="592"/>
      <c r="AA515" s="592"/>
      <c r="AB515" s="568"/>
      <c r="AC515" s="592"/>
      <c r="AD515" s="592"/>
      <c r="AE515" s="592"/>
      <c r="AF515" s="590"/>
      <c r="AG515" s="570" t="str">
        <f>IF(AE515&lt;&gt;0,VLOOKUP(AE515,ODDS!$A$2:$C$13,3,0),"")</f>
        <v/>
      </c>
      <c r="AH515" s="570" t="str">
        <f t="shared" si="111"/>
        <v xml:space="preserve"> </v>
      </c>
      <c r="AI515" s="571" t="str">
        <f t="shared" si="99"/>
        <v xml:space="preserve"> </v>
      </c>
      <c r="AJ515" s="593"/>
      <c r="AK515" s="593"/>
    </row>
    <row r="516" spans="1:37" s="376" customFormat="1" ht="101.25" outlineLevel="2" x14ac:dyDescent="0.3">
      <c r="A516" s="447">
        <f t="shared" si="109"/>
        <v>44</v>
      </c>
      <c r="B516" s="557"/>
      <c r="C516" s="574"/>
      <c r="D516" s="587"/>
      <c r="E516" s="587"/>
      <c r="F516" s="560"/>
      <c r="G516" s="558"/>
      <c r="H516" s="588"/>
      <c r="I516" s="546"/>
      <c r="J516" s="589"/>
      <c r="K516" s="563" t="str">
        <f>IF(G516&lt;&gt;0,VLOOKUP(G516,'gia dat'!$A$1:$F$144,5,0)," ")</f>
        <v xml:space="preserve"> </v>
      </c>
      <c r="L516" s="563" t="str">
        <f>IF(G516&lt;&gt;0,VLOOKUP(G516,'gia dat'!$A$1:$F$144,6,0)," ")</f>
        <v xml:space="preserve"> </v>
      </c>
      <c r="M516" s="564" t="str">
        <f t="shared" si="107"/>
        <v xml:space="preserve"> </v>
      </c>
      <c r="N516" s="564" t="str">
        <f t="shared" si="108"/>
        <v xml:space="preserve"> </v>
      </c>
      <c r="O516" s="558"/>
      <c r="P516" s="590"/>
      <c r="Q516" s="564" t="str">
        <f>IF(O516&lt;&gt;0,VLOOKUP(O516,'Cây trong'!$A$2:$C$246,3,0)," ")</f>
        <v xml:space="preserve"> </v>
      </c>
      <c r="R516" s="564" t="str">
        <f t="shared" si="110"/>
        <v xml:space="preserve"> </v>
      </c>
      <c r="S516" s="566" t="s">
        <v>2316</v>
      </c>
      <c r="T516" s="589" t="s">
        <v>53</v>
      </c>
      <c r="U516" s="591">
        <v>4.92</v>
      </c>
      <c r="V516" s="589"/>
      <c r="W516" s="564">
        <f>IF(S516&lt;&gt;0,VLOOKUP(S516,VKT!$A$2:$G$415,7,0),"")</f>
        <v>441467</v>
      </c>
      <c r="X516" s="564">
        <f t="shared" si="102"/>
        <v>2172000</v>
      </c>
      <c r="Y516" s="589"/>
      <c r="Z516" s="592"/>
      <c r="AA516" s="592"/>
      <c r="AB516" s="568"/>
      <c r="AC516" s="592"/>
      <c r="AD516" s="592"/>
      <c r="AE516" s="592"/>
      <c r="AF516" s="590"/>
      <c r="AG516" s="570" t="str">
        <f>IF(AE516&lt;&gt;0,VLOOKUP(AE516,ODDS!$A$2:$C$13,3,0),"")</f>
        <v/>
      </c>
      <c r="AH516" s="570" t="str">
        <f t="shared" si="111"/>
        <v xml:space="preserve"> </v>
      </c>
      <c r="AI516" s="571" t="str">
        <f t="shared" si="99"/>
        <v xml:space="preserve"> </v>
      </c>
      <c r="AJ516" s="593"/>
      <c r="AK516" s="593"/>
    </row>
    <row r="517" spans="1:37" s="376" customFormat="1" ht="40.5" outlineLevel="2" x14ac:dyDescent="0.3">
      <c r="A517" s="447">
        <f t="shared" si="109"/>
        <v>44</v>
      </c>
      <c r="B517" s="557"/>
      <c r="C517" s="574"/>
      <c r="D517" s="587"/>
      <c r="E517" s="587"/>
      <c r="F517" s="560"/>
      <c r="G517" s="558"/>
      <c r="H517" s="588"/>
      <c r="I517" s="546"/>
      <c r="J517" s="589"/>
      <c r="K517" s="563" t="str">
        <f>IF(G517&lt;&gt;0,VLOOKUP(G517,'gia dat'!$A$1:$F$144,5,0)," ")</f>
        <v xml:space="preserve"> </v>
      </c>
      <c r="L517" s="563" t="str">
        <f>IF(G517&lt;&gt;0,VLOOKUP(G517,'gia dat'!$A$1:$F$144,6,0)," ")</f>
        <v xml:space="preserve"> </v>
      </c>
      <c r="M517" s="564" t="str">
        <f t="shared" si="107"/>
        <v xml:space="preserve"> </v>
      </c>
      <c r="N517" s="564" t="str">
        <f t="shared" si="108"/>
        <v xml:space="preserve"> </v>
      </c>
      <c r="O517" s="558"/>
      <c r="P517" s="590"/>
      <c r="Q517" s="564" t="str">
        <f>IF(O517&lt;&gt;0,VLOOKUP(O517,'Cây trong'!$A$2:$C$246,3,0)," ")</f>
        <v xml:space="preserve"> </v>
      </c>
      <c r="R517" s="564" t="str">
        <f t="shared" si="110"/>
        <v xml:space="preserve"> </v>
      </c>
      <c r="S517" s="566" t="s">
        <v>1757</v>
      </c>
      <c r="T517" s="589" t="s">
        <v>53</v>
      </c>
      <c r="U517" s="591">
        <v>15.3</v>
      </c>
      <c r="V517" s="589"/>
      <c r="W517" s="564">
        <f>IF(S517&lt;&gt;0,VLOOKUP(S517,VKT!$A$2:$G$415,7,0),"")</f>
        <v>157477</v>
      </c>
      <c r="X517" s="564">
        <f t="shared" si="102"/>
        <v>2409000</v>
      </c>
      <c r="Y517" s="589"/>
      <c r="Z517" s="592"/>
      <c r="AA517" s="592"/>
      <c r="AB517" s="568"/>
      <c r="AC517" s="592"/>
      <c r="AD517" s="592"/>
      <c r="AE517" s="592"/>
      <c r="AF517" s="590"/>
      <c r="AG517" s="570" t="str">
        <f>IF(AE517&lt;&gt;0,VLOOKUP(AE517,ODDS!$A$2:$C$13,3,0),"")</f>
        <v/>
      </c>
      <c r="AH517" s="570" t="str">
        <f t="shared" si="111"/>
        <v xml:space="preserve"> </v>
      </c>
      <c r="AI517" s="571" t="str">
        <f t="shared" si="99"/>
        <v xml:space="preserve"> </v>
      </c>
      <c r="AJ517" s="593"/>
      <c r="AK517" s="593"/>
    </row>
    <row r="518" spans="1:37" s="376" customFormat="1" ht="40.5" outlineLevel="2" x14ac:dyDescent="0.3">
      <c r="A518" s="447">
        <f t="shared" si="109"/>
        <v>44</v>
      </c>
      <c r="B518" s="557"/>
      <c r="C518" s="574"/>
      <c r="D518" s="587"/>
      <c r="E518" s="587"/>
      <c r="F518" s="560"/>
      <c r="G518" s="558"/>
      <c r="H518" s="588"/>
      <c r="I518" s="546"/>
      <c r="J518" s="589"/>
      <c r="K518" s="563" t="str">
        <f>IF(G518&lt;&gt;0,VLOOKUP(G518,'gia dat'!$A$1:$F$144,5,0)," ")</f>
        <v xml:space="preserve"> </v>
      </c>
      <c r="L518" s="563" t="str">
        <f>IF(G518&lt;&gt;0,VLOOKUP(G518,'gia dat'!$A$1:$F$144,6,0)," ")</f>
        <v xml:space="preserve"> </v>
      </c>
      <c r="M518" s="564" t="str">
        <f t="shared" si="107"/>
        <v xml:space="preserve"> </v>
      </c>
      <c r="N518" s="564" t="str">
        <f t="shared" si="108"/>
        <v xml:space="preserve"> </v>
      </c>
      <c r="O518" s="558"/>
      <c r="P518" s="590"/>
      <c r="Q518" s="564" t="str">
        <f>IF(O518&lt;&gt;0,VLOOKUP(O518,'Cây trong'!$A$2:$C$246,3,0)," ")</f>
        <v xml:space="preserve"> </v>
      </c>
      <c r="R518" s="564" t="str">
        <f t="shared" si="110"/>
        <v xml:space="preserve"> </v>
      </c>
      <c r="S518" s="566" t="s">
        <v>2317</v>
      </c>
      <c r="T518" s="589" t="s">
        <v>53</v>
      </c>
      <c r="U518" s="591">
        <v>15.3</v>
      </c>
      <c r="V518" s="589"/>
      <c r="W518" s="564">
        <f>IF(S518&lt;&gt;0,VLOOKUP(S518,VKT!$A$2:$G$415,7,0),"")</f>
        <v>242324</v>
      </c>
      <c r="X518" s="564">
        <f t="shared" si="102"/>
        <v>3708000</v>
      </c>
      <c r="Y518" s="589"/>
      <c r="Z518" s="592"/>
      <c r="AA518" s="592"/>
      <c r="AB518" s="568"/>
      <c r="AC518" s="592"/>
      <c r="AD518" s="592"/>
      <c r="AE518" s="592"/>
      <c r="AF518" s="590"/>
      <c r="AG518" s="570" t="str">
        <f>IF(AE518&lt;&gt;0,VLOOKUP(AE518,ODDS!$A$2:$C$13,3,0),"")</f>
        <v/>
      </c>
      <c r="AH518" s="570" t="str">
        <f t="shared" si="111"/>
        <v xml:space="preserve"> </v>
      </c>
      <c r="AI518" s="571" t="str">
        <f t="shared" si="99"/>
        <v xml:space="preserve"> </v>
      </c>
      <c r="AJ518" s="593"/>
      <c r="AK518" s="593"/>
    </row>
    <row r="519" spans="1:37" s="376" customFormat="1" ht="20.25" outlineLevel="2" x14ac:dyDescent="0.3">
      <c r="A519" s="447">
        <f t="shared" si="109"/>
        <v>44</v>
      </c>
      <c r="B519" s="557"/>
      <c r="C519" s="574"/>
      <c r="D519" s="587"/>
      <c r="E519" s="587"/>
      <c r="F519" s="615"/>
      <c r="G519" s="558"/>
      <c r="H519" s="604"/>
      <c r="I519" s="546"/>
      <c r="J519" s="593"/>
      <c r="K519" s="563" t="str">
        <f>IF(G519&lt;&gt;0,VLOOKUP(G519,'gia dat'!$A$1:$F$144,5,0)," ")</f>
        <v xml:space="preserve"> </v>
      </c>
      <c r="L519" s="563" t="str">
        <f>IF(G519&lt;&gt;0,VLOOKUP(G519,'gia dat'!$A$1:$F$144,6,0)," ")</f>
        <v xml:space="preserve"> </v>
      </c>
      <c r="M519" s="564" t="str">
        <f t="shared" si="107"/>
        <v xml:space="preserve"> </v>
      </c>
      <c r="N519" s="564" t="str">
        <f t="shared" si="108"/>
        <v xml:space="preserve"> </v>
      </c>
      <c r="O519" s="593"/>
      <c r="P519" s="616"/>
      <c r="Q519" s="564" t="str">
        <f>IF(O519&lt;&gt;0,VLOOKUP(O519,'Cây trong'!$A$2:$C$246,3,0)," ")</f>
        <v xml:space="preserve"> </v>
      </c>
      <c r="R519" s="564" t="str">
        <f t="shared" si="110"/>
        <v xml:space="preserve"> </v>
      </c>
      <c r="S519" s="593"/>
      <c r="T519" s="593"/>
      <c r="U519" s="617"/>
      <c r="V519" s="589"/>
      <c r="W519" s="564" t="str">
        <f>IF(S519&lt;&gt;0,VLOOKUP(S519,VKT!$A$2:$G$415,7,0),"")</f>
        <v/>
      </c>
      <c r="X519" s="564" t="str">
        <f t="shared" si="102"/>
        <v xml:space="preserve"> </v>
      </c>
      <c r="Y519" s="589"/>
      <c r="Z519" s="589"/>
      <c r="AA519" s="589"/>
      <c r="AB519" s="562"/>
      <c r="AC519" s="589"/>
      <c r="AD519" s="589"/>
      <c r="AE519" s="589"/>
      <c r="AF519" s="629"/>
      <c r="AG519" s="570" t="str">
        <f>IF(AE519&lt;&gt;0,VLOOKUP(AE519,ODDS!$A$2:$C$13,3,0),"")</f>
        <v/>
      </c>
      <c r="AH519" s="570" t="str">
        <f t="shared" si="111"/>
        <v xml:space="preserve"> </v>
      </c>
      <c r="AI519" s="571" t="str">
        <f t="shared" si="99"/>
        <v xml:space="preserve"> </v>
      </c>
      <c r="AJ519" s="593"/>
      <c r="AK519" s="593"/>
    </row>
    <row r="520" spans="1:37" s="376" customFormat="1" ht="20.25" outlineLevel="2" x14ac:dyDescent="0.3">
      <c r="A520" s="447">
        <f t="shared" si="109"/>
        <v>44</v>
      </c>
      <c r="B520" s="557"/>
      <c r="C520" s="607"/>
      <c r="D520" s="587"/>
      <c r="E520" s="587"/>
      <c r="F520" s="560"/>
      <c r="G520" s="558"/>
      <c r="H520" s="588"/>
      <c r="I520" s="546"/>
      <c r="J520" s="589"/>
      <c r="K520" s="563" t="str">
        <f>IF(G520&lt;&gt;0,VLOOKUP(G520,'gia dat'!$A$1:$F$144,5,0)," ")</f>
        <v xml:space="preserve"> </v>
      </c>
      <c r="L520" s="563" t="str">
        <f>IF(G520&lt;&gt;0,VLOOKUP(G520,'gia dat'!$A$1:$F$144,6,0)," ")</f>
        <v xml:space="preserve"> </v>
      </c>
      <c r="M520" s="564" t="str">
        <f t="shared" si="107"/>
        <v xml:space="preserve"> </v>
      </c>
      <c r="N520" s="564" t="str">
        <f t="shared" si="108"/>
        <v xml:space="preserve"> </v>
      </c>
      <c r="O520" s="558"/>
      <c r="P520" s="590"/>
      <c r="Q520" s="564" t="str">
        <f>IF(O520&lt;&gt;0,VLOOKUP(O520,'Cây trong'!$A$2:$C$246,3,0)," ")</f>
        <v xml:space="preserve"> </v>
      </c>
      <c r="R520" s="564" t="str">
        <f t="shared" si="110"/>
        <v xml:space="preserve"> </v>
      </c>
      <c r="S520" s="566"/>
      <c r="T520" s="589"/>
      <c r="U520" s="591"/>
      <c r="V520" s="589"/>
      <c r="W520" s="564" t="str">
        <f>IF(S520&lt;&gt;0,VLOOKUP(S520,VKT!$A$2:$G$415,7,0),"")</f>
        <v/>
      </c>
      <c r="X520" s="564" t="str">
        <f t="shared" si="102"/>
        <v xml:space="preserve"> </v>
      </c>
      <c r="Y520" s="589"/>
      <c r="Z520" s="592"/>
      <c r="AA520" s="592"/>
      <c r="AB520" s="568"/>
      <c r="AC520" s="592"/>
      <c r="AD520" s="592"/>
      <c r="AE520" s="592"/>
      <c r="AF520" s="590"/>
      <c r="AG520" s="570" t="str">
        <f>IF(AE520&lt;&gt;0,VLOOKUP(AE520,ODDS!$A$2:$C$13,3,0),"")</f>
        <v/>
      </c>
      <c r="AH520" s="570" t="str">
        <f t="shared" si="111"/>
        <v xml:space="preserve"> </v>
      </c>
      <c r="AI520" s="571" t="str">
        <f t="shared" si="99"/>
        <v xml:space="preserve"> </v>
      </c>
      <c r="AJ520" s="593"/>
      <c r="AK520" s="593"/>
    </row>
    <row r="521" spans="1:37" s="376" customFormat="1" ht="20.25" outlineLevel="1" x14ac:dyDescent="0.3">
      <c r="A521" s="467" t="s">
        <v>2665</v>
      </c>
      <c r="B521" s="576">
        <v>45</v>
      </c>
      <c r="C521" s="607" t="s">
        <v>2179</v>
      </c>
      <c r="D521" s="594"/>
      <c r="E521" s="623"/>
      <c r="F521" s="623"/>
      <c r="G521" s="624"/>
      <c r="H521" s="625">
        <f>SUBTOTAL(9,H522:H538)</f>
        <v>0</v>
      </c>
      <c r="I521" s="579">
        <f>SUBTOTAL(9,I522:I527)</f>
        <v>0</v>
      </c>
      <c r="J521" s="597"/>
      <c r="K521" s="581"/>
      <c r="L521" s="581"/>
      <c r="M521" s="571">
        <f>SUBTOTAL(9,M522:M538)</f>
        <v>0</v>
      </c>
      <c r="N521" s="571">
        <f>SUBTOTAL(9,N522:N538)</f>
        <v>0</v>
      </c>
      <c r="O521" s="598"/>
      <c r="P521" s="599">
        <f>SUBTOTAL(9,P522:P538)</f>
        <v>0</v>
      </c>
      <c r="Q521" s="571"/>
      <c r="R521" s="571">
        <f>SUBTOTAL(9,R522:R538)</f>
        <v>0</v>
      </c>
      <c r="S521" s="582"/>
      <c r="T521" s="597"/>
      <c r="U521" s="600">
        <f>SUBTOTAL(9,U522:U538)</f>
        <v>112.16</v>
      </c>
      <c r="V521" s="597"/>
      <c r="W521" s="571"/>
      <c r="X521" s="571">
        <f>SUBTOTAL(9,X522:X538)</f>
        <v>122341000</v>
      </c>
      <c r="Y521" s="589"/>
      <c r="Z521" s="592"/>
      <c r="AA521" s="592"/>
      <c r="AB521" s="568"/>
      <c r="AC521" s="592"/>
      <c r="AD521" s="568"/>
      <c r="AE521" s="584"/>
      <c r="AF521" s="581">
        <f>SUBTOTAL(9,AF522:AF538)</f>
        <v>0</v>
      </c>
      <c r="AG521" s="585"/>
      <c r="AH521" s="585">
        <f>SUBTOTAL(9,AH522:AH538)</f>
        <v>0</v>
      </c>
      <c r="AI521" s="571">
        <f t="shared" ref="AI521:AI584" si="112">IF(B521&lt;&gt;0,M521+N521+R521+X521+AH521," ")</f>
        <v>122341000</v>
      </c>
      <c r="AJ521" s="608"/>
      <c r="AK521" s="574"/>
    </row>
    <row r="522" spans="1:37" s="376" customFormat="1" ht="121.5" outlineLevel="2" x14ac:dyDescent="0.3">
      <c r="A522" s="447">
        <f>IF(B521&lt;&gt;0,B521,A520)</f>
        <v>45</v>
      </c>
      <c r="B522" s="557"/>
      <c r="C522" s="572" t="s">
        <v>198</v>
      </c>
      <c r="D522" s="594">
        <v>1</v>
      </c>
      <c r="E522" s="627"/>
      <c r="F522" s="627"/>
      <c r="G522" s="575"/>
      <c r="H522" s="561"/>
      <c r="I522" s="546"/>
      <c r="J522" s="589"/>
      <c r="K522" s="563" t="str">
        <f>IF(G522&lt;&gt;0,VLOOKUP(G522,'gia dat'!$A$1:$F$144,5,0)," ")</f>
        <v xml:space="preserve"> </v>
      </c>
      <c r="L522" s="563" t="str">
        <f>IF(G522&lt;&gt;0,VLOOKUP(G522,'gia dat'!$A$1:$F$144,6,0)," ")</f>
        <v xml:space="preserve"> </v>
      </c>
      <c r="M522" s="564" t="str">
        <f t="shared" si="107"/>
        <v xml:space="preserve"> </v>
      </c>
      <c r="N522" s="564" t="str">
        <f t="shared" si="108"/>
        <v xml:space="preserve"> </v>
      </c>
      <c r="O522" s="565"/>
      <c r="P522" s="590"/>
      <c r="Q522" s="564" t="str">
        <f>IF(O522&lt;&gt;0,VLOOKUP(O522,'Cây trong'!$A$2:$C$246,3,0)," ")</f>
        <v xml:space="preserve"> </v>
      </c>
      <c r="R522" s="564" t="str">
        <f t="shared" si="110"/>
        <v xml:space="preserve"> </v>
      </c>
      <c r="S522" s="566" t="s">
        <v>1838</v>
      </c>
      <c r="T522" s="589" t="s">
        <v>53</v>
      </c>
      <c r="U522" s="591">
        <v>15.3</v>
      </c>
      <c r="V522" s="589"/>
      <c r="W522" s="564">
        <f>IF(S522&lt;&gt;0,VLOOKUP(S522,VKT!$A$2:$G$415,7,0),"")</f>
        <v>3156089</v>
      </c>
      <c r="X522" s="564">
        <f t="shared" si="102"/>
        <v>48288000</v>
      </c>
      <c r="Y522" s="589" t="s">
        <v>63</v>
      </c>
      <c r="Z522" s="592" t="s">
        <v>55</v>
      </c>
      <c r="AA522" s="592" t="s">
        <v>56</v>
      </c>
      <c r="AB522" s="568" t="s">
        <v>57</v>
      </c>
      <c r="AC522" s="592" t="s">
        <v>54</v>
      </c>
      <c r="AD522" s="568" t="s">
        <v>206</v>
      </c>
      <c r="AE522" s="568"/>
      <c r="AF522" s="563"/>
      <c r="AG522" s="570" t="str">
        <f>IF(AE522&lt;&gt;0,VLOOKUP(AE522,ODDS!$A$2:$C$13,3,0),"")</f>
        <v/>
      </c>
      <c r="AH522" s="570" t="str">
        <f t="shared" si="111"/>
        <v xml:space="preserve"> </v>
      </c>
      <c r="AI522" s="571" t="str">
        <f t="shared" si="112"/>
        <v xml:space="preserve"> </v>
      </c>
      <c r="AJ522" s="593" t="s">
        <v>207</v>
      </c>
      <c r="AK522" s="558" t="s">
        <v>2450</v>
      </c>
    </row>
    <row r="523" spans="1:37" s="376" customFormat="1" ht="101.25" outlineLevel="2" x14ac:dyDescent="0.3">
      <c r="A523" s="447">
        <f t="shared" ref="A523:A538" si="113">IF(B522&lt;&gt;0,B522,A522)</f>
        <v>45</v>
      </c>
      <c r="B523" s="557"/>
      <c r="C523" s="628" t="s">
        <v>673</v>
      </c>
      <c r="D523" s="603"/>
      <c r="E523" s="612"/>
      <c r="F523" s="612"/>
      <c r="G523" s="586"/>
      <c r="H523" s="588"/>
      <c r="I523" s="546"/>
      <c r="J523" s="589"/>
      <c r="K523" s="563" t="str">
        <f>IF(G523&lt;&gt;0,VLOOKUP(G523,'gia dat'!$A$1:$F$144,5,0)," ")</f>
        <v xml:space="preserve"> </v>
      </c>
      <c r="L523" s="563" t="str">
        <f>IF(G523&lt;&gt;0,VLOOKUP(G523,'gia dat'!$A$1:$F$144,6,0)," ")</f>
        <v xml:space="preserve"> </v>
      </c>
      <c r="M523" s="564" t="str">
        <f t="shared" si="107"/>
        <v xml:space="preserve"> </v>
      </c>
      <c r="N523" s="564" t="str">
        <f t="shared" si="108"/>
        <v xml:space="preserve"> </v>
      </c>
      <c r="O523" s="558"/>
      <c r="P523" s="590"/>
      <c r="Q523" s="564" t="str">
        <f>IF(O523&lt;&gt;0,VLOOKUP(O523,'Cây trong'!$A$2:$C$246,3,0)," ")</f>
        <v xml:space="preserve"> </v>
      </c>
      <c r="R523" s="564" t="str">
        <f t="shared" si="110"/>
        <v xml:space="preserve"> </v>
      </c>
      <c r="S523" s="586" t="s">
        <v>1838</v>
      </c>
      <c r="T523" s="609" t="s">
        <v>53</v>
      </c>
      <c r="U523" s="591">
        <v>15.3</v>
      </c>
      <c r="V523" s="589"/>
      <c r="W523" s="564">
        <f>IF(S523&lt;&gt;0,VLOOKUP(S523,VKT!$A$2:$G$415,7,0),"")</f>
        <v>3156089</v>
      </c>
      <c r="X523" s="564">
        <f t="shared" si="102"/>
        <v>48288000</v>
      </c>
      <c r="Y523" s="589" t="s">
        <v>63</v>
      </c>
      <c r="Z523" s="592" t="s">
        <v>55</v>
      </c>
      <c r="AA523" s="592" t="s">
        <v>56</v>
      </c>
      <c r="AB523" s="568" t="s">
        <v>57</v>
      </c>
      <c r="AC523" s="592" t="s">
        <v>54</v>
      </c>
      <c r="AD523" s="568" t="s">
        <v>206</v>
      </c>
      <c r="AE523" s="568"/>
      <c r="AF523" s="563"/>
      <c r="AG523" s="570" t="str">
        <f>IF(AE523&lt;&gt;0,VLOOKUP(AE523,ODDS!$A$2:$C$13,3,0),"")</f>
        <v/>
      </c>
      <c r="AH523" s="570" t="str">
        <f t="shared" si="111"/>
        <v xml:space="preserve"> </v>
      </c>
      <c r="AI523" s="571" t="str">
        <f t="shared" si="112"/>
        <v xml:space="preserve"> </v>
      </c>
      <c r="AJ523" s="574" t="s">
        <v>1731</v>
      </c>
      <c r="AK523" s="558" t="s">
        <v>2800</v>
      </c>
    </row>
    <row r="524" spans="1:37" s="376" customFormat="1" ht="81" outlineLevel="2" x14ac:dyDescent="0.3">
      <c r="A524" s="447">
        <f t="shared" si="113"/>
        <v>45</v>
      </c>
      <c r="B524" s="557"/>
      <c r="C524" s="558"/>
      <c r="D524" s="587"/>
      <c r="E524" s="587"/>
      <c r="F524" s="560"/>
      <c r="G524" s="558"/>
      <c r="H524" s="588"/>
      <c r="I524" s="546"/>
      <c r="J524" s="589"/>
      <c r="K524" s="563" t="str">
        <f>IF(G524&lt;&gt;0,VLOOKUP(G524,'gia dat'!$A$1:$F$144,5,0)," ")</f>
        <v xml:space="preserve"> </v>
      </c>
      <c r="L524" s="563" t="str">
        <f>IF(G524&lt;&gt;0,VLOOKUP(G524,'gia dat'!$A$1:$F$144,6,0)," ")</f>
        <v xml:space="preserve"> </v>
      </c>
      <c r="M524" s="564" t="str">
        <f t="shared" si="107"/>
        <v xml:space="preserve"> </v>
      </c>
      <c r="N524" s="564" t="str">
        <f t="shared" si="108"/>
        <v xml:space="preserve"> </v>
      </c>
      <c r="O524" s="558"/>
      <c r="P524" s="590"/>
      <c r="Q524" s="564" t="str">
        <f>IF(O524&lt;&gt;0,VLOOKUP(O524,'Cây trong'!$A$2:$C$246,3,0)," ")</f>
        <v xml:space="preserve"> </v>
      </c>
      <c r="R524" s="564" t="str">
        <f t="shared" si="110"/>
        <v xml:space="preserve"> </v>
      </c>
      <c r="S524" s="566" t="s">
        <v>2307</v>
      </c>
      <c r="T524" s="589" t="s">
        <v>53</v>
      </c>
      <c r="U524" s="591">
        <v>1.92</v>
      </c>
      <c r="V524" s="589"/>
      <c r="W524" s="564">
        <f>IF(S524&lt;&gt;0,VLOOKUP(S524,VKT!$A$2:$G$415,7,0),"")</f>
        <v>2093161</v>
      </c>
      <c r="X524" s="564">
        <f t="shared" si="102"/>
        <v>4019000</v>
      </c>
      <c r="Y524" s="589"/>
      <c r="Z524" s="592"/>
      <c r="AA524" s="592" t="s">
        <v>56</v>
      </c>
      <c r="AB524" s="568" t="s">
        <v>57</v>
      </c>
      <c r="AC524" s="592" t="s">
        <v>54</v>
      </c>
      <c r="AD524" s="592"/>
      <c r="AE524" s="592"/>
      <c r="AF524" s="590"/>
      <c r="AG524" s="570" t="str">
        <f>IF(AE524&lt;&gt;0,VLOOKUP(AE524,ODDS!$A$2:$C$13,3,0),"")</f>
        <v/>
      </c>
      <c r="AH524" s="570" t="str">
        <f t="shared" si="111"/>
        <v xml:space="preserve"> </v>
      </c>
      <c r="AI524" s="571" t="str">
        <f t="shared" si="112"/>
        <v xml:space="preserve"> </v>
      </c>
      <c r="AJ524" s="575"/>
      <c r="AK524" s="574"/>
    </row>
    <row r="525" spans="1:37" s="376" customFormat="1" ht="81" outlineLevel="2" x14ac:dyDescent="0.3">
      <c r="A525" s="447">
        <f t="shared" si="113"/>
        <v>45</v>
      </c>
      <c r="B525" s="557"/>
      <c r="C525" s="558"/>
      <c r="D525" s="587"/>
      <c r="E525" s="587"/>
      <c r="F525" s="560"/>
      <c r="G525" s="558"/>
      <c r="H525" s="588"/>
      <c r="I525" s="546"/>
      <c r="J525" s="593"/>
      <c r="K525" s="563" t="str">
        <f>IF(G525&lt;&gt;0,VLOOKUP(G525,'gia dat'!$A$1:$F$144,5,0)," ")</f>
        <v xml:space="preserve"> </v>
      </c>
      <c r="L525" s="563" t="str">
        <f>IF(G525&lt;&gt;0,VLOOKUP(G525,'gia dat'!$A$1:$F$144,6,0)," ")</f>
        <v xml:space="preserve"> </v>
      </c>
      <c r="M525" s="564" t="str">
        <f t="shared" si="107"/>
        <v xml:space="preserve"> </v>
      </c>
      <c r="N525" s="564" t="str">
        <f t="shared" si="108"/>
        <v xml:space="preserve"> </v>
      </c>
      <c r="O525" s="586"/>
      <c r="P525" s="630"/>
      <c r="Q525" s="564" t="str">
        <f>IF(O525&lt;&gt;0,VLOOKUP(O525,'Cây trong'!$A$2:$C$246,3,0)," ")</f>
        <v xml:space="preserve"> </v>
      </c>
      <c r="R525" s="564" t="str">
        <f t="shared" si="110"/>
        <v xml:space="preserve"> </v>
      </c>
      <c r="S525" s="566" t="s">
        <v>2307</v>
      </c>
      <c r="T525" s="609" t="s">
        <v>53</v>
      </c>
      <c r="U525" s="591">
        <v>1.92</v>
      </c>
      <c r="V525" s="589"/>
      <c r="W525" s="564">
        <f>IF(S525&lt;&gt;0,VLOOKUP(S525,VKT!$A$2:$G$415,7,0),"")</f>
        <v>2093161</v>
      </c>
      <c r="X525" s="564">
        <f t="shared" si="102"/>
        <v>4019000</v>
      </c>
      <c r="Y525" s="589"/>
      <c r="Z525" s="592"/>
      <c r="AA525" s="592" t="s">
        <v>56</v>
      </c>
      <c r="AB525" s="568" t="s">
        <v>57</v>
      </c>
      <c r="AC525" s="592" t="s">
        <v>54</v>
      </c>
      <c r="AD525" s="592"/>
      <c r="AE525" s="592"/>
      <c r="AF525" s="590"/>
      <c r="AG525" s="570" t="str">
        <f>IF(AE525&lt;&gt;0,VLOOKUP(AE525,ODDS!$A$2:$C$13,3,0),"")</f>
        <v/>
      </c>
      <c r="AH525" s="570" t="str">
        <f t="shared" si="111"/>
        <v xml:space="preserve"> </v>
      </c>
      <c r="AI525" s="571" t="str">
        <f t="shared" si="112"/>
        <v xml:space="preserve"> </v>
      </c>
      <c r="AJ525" s="574"/>
      <c r="AK525" s="574"/>
    </row>
    <row r="526" spans="1:37" s="376" customFormat="1" ht="40.5" outlineLevel="2" x14ac:dyDescent="0.3">
      <c r="A526" s="447">
        <f t="shared" si="113"/>
        <v>45</v>
      </c>
      <c r="B526" s="557"/>
      <c r="C526" s="558"/>
      <c r="D526" s="587"/>
      <c r="E526" s="587"/>
      <c r="F526" s="560"/>
      <c r="G526" s="558"/>
      <c r="H526" s="588"/>
      <c r="I526" s="546"/>
      <c r="J526" s="589"/>
      <c r="K526" s="563" t="str">
        <f>IF(G526&lt;&gt;0,VLOOKUP(G526,'gia dat'!$A$1:$F$144,5,0)," ")</f>
        <v xml:space="preserve"> </v>
      </c>
      <c r="L526" s="563" t="str">
        <f>IF(G526&lt;&gt;0,VLOOKUP(G526,'gia dat'!$A$1:$F$144,6,0)," ")</f>
        <v xml:space="preserve"> </v>
      </c>
      <c r="M526" s="564" t="str">
        <f t="shared" si="107"/>
        <v xml:space="preserve"> </v>
      </c>
      <c r="N526" s="564" t="str">
        <f t="shared" si="108"/>
        <v xml:space="preserve"> </v>
      </c>
      <c r="O526" s="558"/>
      <c r="P526" s="590"/>
      <c r="Q526" s="564" t="str">
        <f>IF(O526&lt;&gt;0,VLOOKUP(O526,'Cây trong'!$A$2:$C$246,3,0)," ")</f>
        <v xml:space="preserve"> </v>
      </c>
      <c r="R526" s="564" t="str">
        <f t="shared" si="110"/>
        <v xml:space="preserve"> </v>
      </c>
      <c r="S526" s="586" t="s">
        <v>1748</v>
      </c>
      <c r="T526" s="589" t="s">
        <v>53</v>
      </c>
      <c r="U526" s="591">
        <v>14.76</v>
      </c>
      <c r="V526" s="589"/>
      <c r="W526" s="564">
        <f>IF(S526&lt;&gt;0,VLOOKUP(S526,VKT!$A$2:$G$415,7,0),"")</f>
        <v>0</v>
      </c>
      <c r="X526" s="564">
        <f t="shared" si="102"/>
        <v>0</v>
      </c>
      <c r="Y526" s="589"/>
      <c r="Z526" s="592"/>
      <c r="AA526" s="592"/>
      <c r="AB526" s="568"/>
      <c r="AC526" s="592"/>
      <c r="AD526" s="592"/>
      <c r="AE526" s="592"/>
      <c r="AF526" s="590"/>
      <c r="AG526" s="570" t="str">
        <f>IF(AE526&lt;&gt;0,VLOOKUP(AE526,ODDS!$A$2:$C$13,3,0),"")</f>
        <v/>
      </c>
      <c r="AH526" s="570" t="str">
        <f t="shared" si="111"/>
        <v xml:space="preserve"> </v>
      </c>
      <c r="AI526" s="571" t="str">
        <f t="shared" si="112"/>
        <v xml:space="preserve"> </v>
      </c>
      <c r="AJ526" s="558"/>
      <c r="AK526" s="558"/>
    </row>
    <row r="527" spans="1:37" s="376" customFormat="1" ht="60.75" outlineLevel="2" x14ac:dyDescent="0.3">
      <c r="A527" s="447">
        <f t="shared" si="113"/>
        <v>45</v>
      </c>
      <c r="B527" s="557"/>
      <c r="C527" s="574"/>
      <c r="D527" s="587"/>
      <c r="E527" s="587"/>
      <c r="F527" s="560"/>
      <c r="G527" s="558"/>
      <c r="H527" s="588"/>
      <c r="I527" s="546"/>
      <c r="J527" s="589"/>
      <c r="K527" s="563" t="str">
        <f>IF(G527&lt;&gt;0,VLOOKUP(G527,'gia dat'!$A$1:$F$144,5,0)," ")</f>
        <v xml:space="preserve"> </v>
      </c>
      <c r="L527" s="563" t="str">
        <f>IF(G527&lt;&gt;0,VLOOKUP(G527,'gia dat'!$A$1:$F$144,6,0)," ")</f>
        <v xml:space="preserve"> </v>
      </c>
      <c r="M527" s="564" t="str">
        <f t="shared" si="107"/>
        <v xml:space="preserve"> </v>
      </c>
      <c r="N527" s="564" t="str">
        <f t="shared" si="108"/>
        <v xml:space="preserve"> </v>
      </c>
      <c r="O527" s="558"/>
      <c r="P527" s="590"/>
      <c r="Q527" s="564" t="str">
        <f>IF(O527&lt;&gt;0,VLOOKUP(O527,'Cây trong'!$A$2:$C$246,3,0)," ")</f>
        <v xml:space="preserve"> </v>
      </c>
      <c r="R527" s="564" t="str">
        <f t="shared" si="110"/>
        <v xml:space="preserve"> </v>
      </c>
      <c r="S527" s="566" t="s">
        <v>1749</v>
      </c>
      <c r="T527" s="589" t="s">
        <v>53</v>
      </c>
      <c r="U527" s="591">
        <v>14.76</v>
      </c>
      <c r="V527" s="589"/>
      <c r="W527" s="564">
        <f>IF(S527&lt;&gt;0,VLOOKUP(S527,VKT!$A$2:$G$415,7,0),"")</f>
        <v>211811</v>
      </c>
      <c r="X527" s="564">
        <f t="shared" si="102"/>
        <v>3126000</v>
      </c>
      <c r="Y527" s="589"/>
      <c r="Z527" s="592"/>
      <c r="AA527" s="592"/>
      <c r="AB527" s="568"/>
      <c r="AC527" s="592"/>
      <c r="AD527" s="592"/>
      <c r="AE527" s="592"/>
      <c r="AF527" s="590"/>
      <c r="AG527" s="570" t="str">
        <f>IF(AE527&lt;&gt;0,VLOOKUP(AE527,ODDS!$A$2:$C$13,3,0),"")</f>
        <v/>
      </c>
      <c r="AH527" s="570" t="str">
        <f t="shared" si="111"/>
        <v xml:space="preserve"> </v>
      </c>
      <c r="AI527" s="571" t="str">
        <f t="shared" si="112"/>
        <v xml:space="preserve"> </v>
      </c>
      <c r="AJ527" s="558"/>
      <c r="AK527" s="558"/>
    </row>
    <row r="528" spans="1:37" s="376" customFormat="1" ht="40.5" outlineLevel="2" x14ac:dyDescent="0.3">
      <c r="A528" s="447">
        <f t="shared" si="113"/>
        <v>45</v>
      </c>
      <c r="B528" s="557"/>
      <c r="C528" s="558"/>
      <c r="D528" s="587"/>
      <c r="E528" s="587"/>
      <c r="F528" s="560"/>
      <c r="G528" s="558"/>
      <c r="H528" s="588"/>
      <c r="I528" s="546"/>
      <c r="J528" s="589"/>
      <c r="K528" s="563" t="str">
        <f>IF(G528&lt;&gt;0,VLOOKUP(G528,'gia dat'!$A$1:$F$144,5,0)," ")</f>
        <v xml:space="preserve"> </v>
      </c>
      <c r="L528" s="563" t="str">
        <f>IF(G528&lt;&gt;0,VLOOKUP(G528,'gia dat'!$A$1:$F$144,6,0)," ")</f>
        <v xml:space="preserve"> </v>
      </c>
      <c r="M528" s="564" t="str">
        <f t="shared" si="107"/>
        <v xml:space="preserve"> </v>
      </c>
      <c r="N528" s="564" t="str">
        <f t="shared" si="108"/>
        <v xml:space="preserve"> </v>
      </c>
      <c r="O528" s="558"/>
      <c r="P528" s="590"/>
      <c r="Q528" s="564" t="str">
        <f>IF(O528&lt;&gt;0,VLOOKUP(O528,'Cây trong'!$A$2:$C$246,3,0)," ")</f>
        <v xml:space="preserve"> </v>
      </c>
      <c r="R528" s="564" t="str">
        <f t="shared" si="110"/>
        <v xml:space="preserve"> </v>
      </c>
      <c r="S528" s="566" t="s">
        <v>2291</v>
      </c>
      <c r="T528" s="589" t="s">
        <v>78</v>
      </c>
      <c r="U528" s="591">
        <v>0.06</v>
      </c>
      <c r="V528" s="589"/>
      <c r="W528" s="564">
        <f>IF(S528&lt;&gt;0,VLOOKUP(S528,VKT!$A$2:$G$415,7,0),"")</f>
        <v>0</v>
      </c>
      <c r="X528" s="564">
        <f t="shared" si="102"/>
        <v>0</v>
      </c>
      <c r="Y528" s="589"/>
      <c r="Z528" s="592"/>
      <c r="AA528" s="592"/>
      <c r="AB528" s="568"/>
      <c r="AC528" s="592"/>
      <c r="AD528" s="592"/>
      <c r="AE528" s="592"/>
      <c r="AF528" s="590"/>
      <c r="AG528" s="570" t="str">
        <f>IF(AE528&lt;&gt;0,VLOOKUP(AE528,ODDS!$A$2:$C$13,3,0),"")</f>
        <v/>
      </c>
      <c r="AH528" s="570" t="str">
        <f t="shared" si="111"/>
        <v xml:space="preserve"> </v>
      </c>
      <c r="AI528" s="571" t="str">
        <f t="shared" si="112"/>
        <v xml:space="preserve"> </v>
      </c>
      <c r="AJ528" s="593"/>
      <c r="AK528" s="593"/>
    </row>
    <row r="529" spans="1:37" s="376" customFormat="1" ht="60.75" outlineLevel="2" x14ac:dyDescent="0.3">
      <c r="A529" s="447">
        <f t="shared" si="113"/>
        <v>45</v>
      </c>
      <c r="B529" s="557"/>
      <c r="C529" s="572"/>
      <c r="D529" s="587"/>
      <c r="E529" s="595"/>
      <c r="F529" s="577"/>
      <c r="G529" s="574"/>
      <c r="H529" s="588"/>
      <c r="I529" s="546"/>
      <c r="J529" s="597"/>
      <c r="K529" s="563" t="str">
        <f>IF(G529&lt;&gt;0,VLOOKUP(G529,'gia dat'!$A$1:$F$144,5,0)," ")</f>
        <v xml:space="preserve"> </v>
      </c>
      <c r="L529" s="563" t="str">
        <f>IF(G529&lt;&gt;0,VLOOKUP(G529,'gia dat'!$A$1:$F$144,6,0)," ")</f>
        <v xml:space="preserve"> </v>
      </c>
      <c r="M529" s="564" t="str">
        <f t="shared" si="107"/>
        <v xml:space="preserve"> </v>
      </c>
      <c r="N529" s="564" t="str">
        <f t="shared" si="108"/>
        <v xml:space="preserve"> </v>
      </c>
      <c r="O529" s="598"/>
      <c r="P529" s="599"/>
      <c r="Q529" s="564" t="str">
        <f>IF(O529&lt;&gt;0,VLOOKUP(O529,'Cây trong'!$A$2:$C$246,3,0)," ")</f>
        <v xml:space="preserve"> </v>
      </c>
      <c r="R529" s="564" t="str">
        <f t="shared" si="110"/>
        <v xml:space="preserve"> </v>
      </c>
      <c r="S529" s="566" t="s">
        <v>2318</v>
      </c>
      <c r="T529" s="589" t="s">
        <v>53</v>
      </c>
      <c r="U529" s="591">
        <v>0.9</v>
      </c>
      <c r="V529" s="597"/>
      <c r="W529" s="564">
        <f>IF(S529&lt;&gt;0,VLOOKUP(S529,VKT!$A$2:$G$415,7,0),"")</f>
        <v>254982</v>
      </c>
      <c r="X529" s="564">
        <f t="shared" si="102"/>
        <v>229000</v>
      </c>
      <c r="Y529" s="580"/>
      <c r="Z529" s="601"/>
      <c r="AA529" s="601"/>
      <c r="AB529" s="584"/>
      <c r="AC529" s="601"/>
      <c r="AD529" s="601"/>
      <c r="AE529" s="601"/>
      <c r="AF529" s="599"/>
      <c r="AG529" s="570" t="str">
        <f>IF(AE529&lt;&gt;0,VLOOKUP(AE529,ODDS!$A$2:$C$13,3,0),"")</f>
        <v/>
      </c>
      <c r="AH529" s="570" t="str">
        <f t="shared" si="111"/>
        <v xml:space="preserve"> </v>
      </c>
      <c r="AI529" s="571" t="str">
        <f t="shared" si="112"/>
        <v xml:space="preserve"> </v>
      </c>
      <c r="AJ529" s="608"/>
      <c r="AK529" s="608"/>
    </row>
    <row r="530" spans="1:37" s="376" customFormat="1" ht="60.75" outlineLevel="2" x14ac:dyDescent="0.3">
      <c r="A530" s="447">
        <f t="shared" si="113"/>
        <v>45</v>
      </c>
      <c r="B530" s="557"/>
      <c r="C530" s="572"/>
      <c r="D530" s="594"/>
      <c r="E530" s="587"/>
      <c r="F530" s="560"/>
      <c r="G530" s="558"/>
      <c r="H530" s="588"/>
      <c r="I530" s="546"/>
      <c r="J530" s="589"/>
      <c r="K530" s="563" t="str">
        <f>IF(G530&lt;&gt;0,VLOOKUP(G530,'gia dat'!$A$1:$F$144,5,0)," ")</f>
        <v xml:space="preserve"> </v>
      </c>
      <c r="L530" s="563" t="str">
        <f>IF(G530&lt;&gt;0,VLOOKUP(G530,'gia dat'!$A$1:$F$144,6,0)," ")</f>
        <v xml:space="preserve"> </v>
      </c>
      <c r="M530" s="564" t="str">
        <f t="shared" si="107"/>
        <v xml:space="preserve"> </v>
      </c>
      <c r="N530" s="564" t="str">
        <f t="shared" si="108"/>
        <v xml:space="preserve"> </v>
      </c>
      <c r="O530" s="565"/>
      <c r="P530" s="590"/>
      <c r="Q530" s="564" t="str">
        <f>IF(O530&lt;&gt;0,VLOOKUP(O530,'Cây trong'!$A$2:$C$246,3,0)," ")</f>
        <v xml:space="preserve"> </v>
      </c>
      <c r="R530" s="564" t="str">
        <f t="shared" si="110"/>
        <v xml:space="preserve"> </v>
      </c>
      <c r="S530" s="566" t="s">
        <v>2292</v>
      </c>
      <c r="T530" s="589" t="s">
        <v>53</v>
      </c>
      <c r="U530" s="591">
        <v>0.5</v>
      </c>
      <c r="V530" s="589"/>
      <c r="W530" s="564">
        <f>IF(S530&lt;&gt;0,VLOOKUP(S530,VKT!$A$2:$G$415,7,0),"")</f>
        <v>310020</v>
      </c>
      <c r="X530" s="564">
        <f t="shared" si="102"/>
        <v>155000</v>
      </c>
      <c r="Y530" s="562"/>
      <c r="Z530" s="592"/>
      <c r="AA530" s="592"/>
      <c r="AB530" s="568"/>
      <c r="AC530" s="592"/>
      <c r="AD530" s="592"/>
      <c r="AE530" s="592"/>
      <c r="AF530" s="590"/>
      <c r="AG530" s="570" t="str">
        <f>IF(AE530&lt;&gt;0,VLOOKUP(AE530,ODDS!$A$2:$C$13,3,0),"")</f>
        <v/>
      </c>
      <c r="AH530" s="570" t="str">
        <f t="shared" si="111"/>
        <v xml:space="preserve"> </v>
      </c>
      <c r="AI530" s="571" t="str">
        <f t="shared" si="112"/>
        <v xml:space="preserve"> </v>
      </c>
      <c r="AJ530" s="593"/>
      <c r="AK530" s="593"/>
    </row>
    <row r="531" spans="1:37" s="376" customFormat="1" ht="40.5" outlineLevel="2" x14ac:dyDescent="0.3">
      <c r="A531" s="447">
        <f t="shared" si="113"/>
        <v>45</v>
      </c>
      <c r="B531" s="557"/>
      <c r="C531" s="572"/>
      <c r="D531" s="603"/>
      <c r="E531" s="612"/>
      <c r="F531" s="612"/>
      <c r="G531" s="586"/>
      <c r="H531" s="588"/>
      <c r="I531" s="546"/>
      <c r="J531" s="593"/>
      <c r="K531" s="563" t="str">
        <f>IF(G531&lt;&gt;0,VLOOKUP(G531,'gia dat'!$A$1:$F$144,5,0)," ")</f>
        <v xml:space="preserve"> </v>
      </c>
      <c r="L531" s="563" t="str">
        <f>IF(G531&lt;&gt;0,VLOOKUP(G531,'gia dat'!$A$1:$F$144,6,0)," ")</f>
        <v xml:space="preserve"> </v>
      </c>
      <c r="M531" s="564" t="str">
        <f t="shared" si="107"/>
        <v xml:space="preserve"> </v>
      </c>
      <c r="N531" s="564" t="str">
        <f t="shared" si="108"/>
        <v xml:space="preserve"> </v>
      </c>
      <c r="O531" s="586"/>
      <c r="P531" s="630"/>
      <c r="Q531" s="564" t="str">
        <f>IF(O531&lt;&gt;0,VLOOKUP(O531,'Cây trong'!$A$2:$C$246,3,0)," ")</f>
        <v xml:space="preserve"> </v>
      </c>
      <c r="R531" s="564" t="str">
        <f t="shared" si="110"/>
        <v xml:space="preserve"> </v>
      </c>
      <c r="S531" s="586" t="s">
        <v>2319</v>
      </c>
      <c r="T531" s="609" t="s">
        <v>53</v>
      </c>
      <c r="U531" s="591">
        <v>1.08</v>
      </c>
      <c r="V531" s="589"/>
      <c r="W531" s="564">
        <f>IF(S531&lt;&gt;0,VLOOKUP(S531,VKT!$A$2:$G$415,7,0),"")</f>
        <v>142450</v>
      </c>
      <c r="X531" s="564">
        <f t="shared" si="102"/>
        <v>154000</v>
      </c>
      <c r="Y531" s="589"/>
      <c r="Z531" s="592"/>
      <c r="AA531" s="592"/>
      <c r="AB531" s="568"/>
      <c r="AC531" s="592"/>
      <c r="AD531" s="592"/>
      <c r="AE531" s="592"/>
      <c r="AF531" s="590"/>
      <c r="AG531" s="570" t="str">
        <f>IF(AE531&lt;&gt;0,VLOOKUP(AE531,ODDS!$A$2:$C$13,3,0),"")</f>
        <v/>
      </c>
      <c r="AH531" s="570" t="str">
        <f t="shared" si="111"/>
        <v xml:space="preserve"> </v>
      </c>
      <c r="AI531" s="571" t="str">
        <f t="shared" si="112"/>
        <v xml:space="preserve"> </v>
      </c>
      <c r="AJ531" s="593"/>
      <c r="AK531" s="593"/>
    </row>
    <row r="532" spans="1:37" s="376" customFormat="1" ht="101.25" outlineLevel="2" x14ac:dyDescent="0.3">
      <c r="A532" s="447">
        <f t="shared" si="113"/>
        <v>45</v>
      </c>
      <c r="B532" s="557"/>
      <c r="C532" s="574"/>
      <c r="D532" s="587"/>
      <c r="E532" s="587"/>
      <c r="F532" s="560"/>
      <c r="G532" s="558"/>
      <c r="H532" s="588"/>
      <c r="I532" s="546"/>
      <c r="J532" s="593"/>
      <c r="K532" s="563" t="str">
        <f>IF(G532&lt;&gt;0,VLOOKUP(G532,'gia dat'!$A$1:$F$144,5,0)," ")</f>
        <v xml:space="preserve"> </v>
      </c>
      <c r="L532" s="563" t="str">
        <f>IF(G532&lt;&gt;0,VLOOKUP(G532,'gia dat'!$A$1:$F$144,6,0)," ")</f>
        <v xml:space="preserve"> </v>
      </c>
      <c r="M532" s="564" t="str">
        <f t="shared" si="107"/>
        <v xml:space="preserve"> </v>
      </c>
      <c r="N532" s="564" t="str">
        <f t="shared" si="108"/>
        <v xml:space="preserve"> </v>
      </c>
      <c r="O532" s="586"/>
      <c r="P532" s="630"/>
      <c r="Q532" s="564" t="str">
        <f>IF(O532&lt;&gt;0,VLOOKUP(O532,'Cây trong'!$A$2:$C$246,3,0)," ")</f>
        <v xml:space="preserve"> </v>
      </c>
      <c r="R532" s="564" t="str">
        <f t="shared" si="110"/>
        <v xml:space="preserve"> </v>
      </c>
      <c r="S532" s="586" t="s">
        <v>2320</v>
      </c>
      <c r="T532" s="609" t="s">
        <v>53</v>
      </c>
      <c r="U532" s="591">
        <v>4.92</v>
      </c>
      <c r="V532" s="589"/>
      <c r="W532" s="564">
        <f>IF(S532&lt;&gt;0,VLOOKUP(S532,VKT!$A$2:$G$415,7,0),"")</f>
        <v>441467</v>
      </c>
      <c r="X532" s="564">
        <f t="shared" si="102"/>
        <v>2172000</v>
      </c>
      <c r="Y532" s="589"/>
      <c r="Z532" s="592"/>
      <c r="AA532" s="592"/>
      <c r="AB532" s="568"/>
      <c r="AC532" s="592"/>
      <c r="AD532" s="592"/>
      <c r="AE532" s="592"/>
      <c r="AF532" s="590"/>
      <c r="AG532" s="570" t="str">
        <f>IF(AE532&lt;&gt;0,VLOOKUP(AE532,ODDS!$A$2:$C$13,3,0),"")</f>
        <v/>
      </c>
      <c r="AH532" s="570" t="str">
        <f t="shared" si="111"/>
        <v xml:space="preserve"> </v>
      </c>
      <c r="AI532" s="571" t="str">
        <f t="shared" si="112"/>
        <v xml:space="preserve"> </v>
      </c>
      <c r="AJ532" s="593"/>
      <c r="AK532" s="593"/>
    </row>
    <row r="533" spans="1:37" s="376" customFormat="1" ht="81" outlineLevel="2" x14ac:dyDescent="0.3">
      <c r="A533" s="447">
        <f t="shared" si="113"/>
        <v>45</v>
      </c>
      <c r="B533" s="557"/>
      <c r="C533" s="574"/>
      <c r="D533" s="587"/>
      <c r="E533" s="587"/>
      <c r="F533" s="560"/>
      <c r="G533" s="558"/>
      <c r="H533" s="588"/>
      <c r="I533" s="546"/>
      <c r="J533" s="593"/>
      <c r="K533" s="563" t="str">
        <f>IF(G533&lt;&gt;0,VLOOKUP(G533,'gia dat'!$A$1:$F$144,5,0)," ")</f>
        <v xml:space="preserve"> </v>
      </c>
      <c r="L533" s="563" t="str">
        <f>IF(G533&lt;&gt;0,VLOOKUP(G533,'gia dat'!$A$1:$F$144,6,0)," ")</f>
        <v xml:space="preserve"> </v>
      </c>
      <c r="M533" s="564" t="str">
        <f t="shared" si="107"/>
        <v xml:space="preserve"> </v>
      </c>
      <c r="N533" s="564" t="str">
        <f t="shared" si="108"/>
        <v xml:space="preserve"> </v>
      </c>
      <c r="O533" s="586"/>
      <c r="P533" s="630"/>
      <c r="Q533" s="564" t="str">
        <f>IF(O533&lt;&gt;0,VLOOKUP(O533,'Cây trong'!$A$2:$C$246,3,0)," ")</f>
        <v xml:space="preserve"> </v>
      </c>
      <c r="R533" s="564" t="str">
        <f t="shared" si="110"/>
        <v xml:space="preserve"> </v>
      </c>
      <c r="S533" s="586" t="s">
        <v>2288</v>
      </c>
      <c r="T533" s="609" t="s">
        <v>53</v>
      </c>
      <c r="U533" s="591">
        <v>10.14</v>
      </c>
      <c r="V533" s="589"/>
      <c r="W533" s="564">
        <f>IF(S533&lt;&gt;0,VLOOKUP(S533,VKT!$A$2:$G$415,7,0),"")</f>
        <v>441467</v>
      </c>
      <c r="X533" s="564">
        <f t="shared" si="102"/>
        <v>4476000</v>
      </c>
      <c r="Y533" s="589"/>
      <c r="Z533" s="592"/>
      <c r="AA533" s="592"/>
      <c r="AB533" s="568"/>
      <c r="AC533" s="592"/>
      <c r="AD533" s="592"/>
      <c r="AE533" s="592"/>
      <c r="AF533" s="590"/>
      <c r="AG533" s="570" t="str">
        <f>IF(AE533&lt;&gt;0,VLOOKUP(AE533,ODDS!$A$2:$C$13,3,0),"")</f>
        <v/>
      </c>
      <c r="AH533" s="570" t="str">
        <f t="shared" si="111"/>
        <v xml:space="preserve"> </v>
      </c>
      <c r="AI533" s="571" t="str">
        <f t="shared" si="112"/>
        <v xml:space="preserve"> </v>
      </c>
      <c r="AJ533" s="593"/>
      <c r="AK533" s="593"/>
    </row>
    <row r="534" spans="1:37" s="376" customFormat="1" ht="40.5" outlineLevel="2" x14ac:dyDescent="0.3">
      <c r="A534" s="447">
        <f t="shared" si="113"/>
        <v>45</v>
      </c>
      <c r="B534" s="557"/>
      <c r="C534" s="574"/>
      <c r="D534" s="587"/>
      <c r="E534" s="587"/>
      <c r="F534" s="560"/>
      <c r="G534" s="558"/>
      <c r="H534" s="588"/>
      <c r="I534" s="546"/>
      <c r="J534" s="593"/>
      <c r="K534" s="563" t="str">
        <f>IF(G534&lt;&gt;0,VLOOKUP(G534,'gia dat'!$A$1:$F$144,5,0)," ")</f>
        <v xml:space="preserve"> </v>
      </c>
      <c r="L534" s="563" t="str">
        <f>IF(G534&lt;&gt;0,VLOOKUP(G534,'gia dat'!$A$1:$F$144,6,0)," ")</f>
        <v xml:space="preserve"> </v>
      </c>
      <c r="M534" s="564" t="str">
        <f t="shared" si="107"/>
        <v xml:space="preserve"> </v>
      </c>
      <c r="N534" s="564" t="str">
        <f t="shared" si="108"/>
        <v xml:space="preserve"> </v>
      </c>
      <c r="O534" s="586"/>
      <c r="P534" s="630"/>
      <c r="Q534" s="564" t="str">
        <f>IF(O534&lt;&gt;0,VLOOKUP(O534,'Cây trong'!$A$2:$C$246,3,0)," ")</f>
        <v xml:space="preserve"> </v>
      </c>
      <c r="R534" s="564" t="str">
        <f t="shared" si="110"/>
        <v xml:space="preserve"> </v>
      </c>
      <c r="S534" s="586" t="s">
        <v>2317</v>
      </c>
      <c r="T534" s="609" t="s">
        <v>53</v>
      </c>
      <c r="U534" s="591">
        <v>30.6</v>
      </c>
      <c r="V534" s="589"/>
      <c r="W534" s="564">
        <f>IF(S534&lt;&gt;0,VLOOKUP(S534,VKT!$A$2:$G$415,7,0),"")</f>
        <v>242324</v>
      </c>
      <c r="X534" s="564">
        <f t="shared" si="102"/>
        <v>7415000</v>
      </c>
      <c r="Y534" s="589"/>
      <c r="Z534" s="592"/>
      <c r="AA534" s="592"/>
      <c r="AB534" s="568"/>
      <c r="AC534" s="592"/>
      <c r="AD534" s="592"/>
      <c r="AE534" s="592"/>
      <c r="AF534" s="590"/>
      <c r="AG534" s="570" t="str">
        <f>IF(AE534&lt;&gt;0,VLOOKUP(AE534,ODDS!$A$2:$C$13,3,0),"")</f>
        <v/>
      </c>
      <c r="AH534" s="570" t="str">
        <f t="shared" si="111"/>
        <v xml:space="preserve"> </v>
      </c>
      <c r="AI534" s="571" t="str">
        <f t="shared" si="112"/>
        <v xml:space="preserve"> </v>
      </c>
      <c r="AJ534" s="593"/>
      <c r="AK534" s="593"/>
    </row>
    <row r="535" spans="1:37" s="376" customFormat="1" ht="20.25" outlineLevel="2" x14ac:dyDescent="0.3">
      <c r="A535" s="447">
        <f t="shared" si="113"/>
        <v>45</v>
      </c>
      <c r="B535" s="557"/>
      <c r="C535" s="574"/>
      <c r="D535" s="587"/>
      <c r="E535" s="587"/>
      <c r="F535" s="560"/>
      <c r="G535" s="558"/>
      <c r="H535" s="588"/>
      <c r="I535" s="546"/>
      <c r="J535" s="593"/>
      <c r="K535" s="563" t="str">
        <f>IF(G535&lt;&gt;0,VLOOKUP(G535,'gia dat'!$A$1:$F$144,5,0)," ")</f>
        <v xml:space="preserve"> </v>
      </c>
      <c r="L535" s="563" t="str">
        <f>IF(G535&lt;&gt;0,VLOOKUP(G535,'gia dat'!$A$1:$F$144,6,0)," ")</f>
        <v xml:space="preserve"> </v>
      </c>
      <c r="M535" s="564" t="str">
        <f t="shared" si="107"/>
        <v xml:space="preserve"> </v>
      </c>
      <c r="N535" s="564" t="str">
        <f t="shared" si="108"/>
        <v xml:space="preserve"> </v>
      </c>
      <c r="O535" s="586"/>
      <c r="P535" s="630"/>
      <c r="Q535" s="564" t="str">
        <f>IF(O535&lt;&gt;0,VLOOKUP(O535,'Cây trong'!$A$2:$C$246,3,0)," ")</f>
        <v xml:space="preserve"> </v>
      </c>
      <c r="R535" s="564" t="str">
        <f t="shared" si="110"/>
        <v xml:space="preserve"> </v>
      </c>
      <c r="S535" s="593"/>
      <c r="T535" s="593"/>
      <c r="U535" s="617"/>
      <c r="V535" s="589"/>
      <c r="W535" s="564" t="str">
        <f>IF(S535&lt;&gt;0,VLOOKUP(S535,VKT!$A$2:$G$415,7,0),"")</f>
        <v/>
      </c>
      <c r="X535" s="564" t="str">
        <f t="shared" si="102"/>
        <v xml:space="preserve"> </v>
      </c>
      <c r="Y535" s="589"/>
      <c r="Z535" s="592"/>
      <c r="AA535" s="592"/>
      <c r="AB535" s="568"/>
      <c r="AC535" s="592"/>
      <c r="AD535" s="592"/>
      <c r="AE535" s="592"/>
      <c r="AF535" s="590"/>
      <c r="AG535" s="570" t="str">
        <f>IF(AE535&lt;&gt;0,VLOOKUP(AE535,ODDS!$A$2:$C$13,3,0),"")</f>
        <v/>
      </c>
      <c r="AH535" s="570" t="str">
        <f t="shared" si="111"/>
        <v xml:space="preserve"> </v>
      </c>
      <c r="AI535" s="571" t="str">
        <f t="shared" si="112"/>
        <v xml:space="preserve"> </v>
      </c>
      <c r="AJ535" s="593"/>
      <c r="AK535" s="593"/>
    </row>
    <row r="536" spans="1:37" s="376" customFormat="1" ht="20.25" outlineLevel="2" x14ac:dyDescent="0.3">
      <c r="A536" s="447">
        <f t="shared" si="113"/>
        <v>45</v>
      </c>
      <c r="B536" s="557"/>
      <c r="C536" s="558"/>
      <c r="D536" s="587"/>
      <c r="E536" s="587"/>
      <c r="F536" s="615"/>
      <c r="G536" s="558"/>
      <c r="H536" s="604"/>
      <c r="I536" s="546"/>
      <c r="J536" s="593"/>
      <c r="K536" s="563" t="str">
        <f>IF(G536&lt;&gt;0,VLOOKUP(G536,'gia dat'!$A$1:$F$144,5,0)," ")</f>
        <v xml:space="preserve"> </v>
      </c>
      <c r="L536" s="563" t="str">
        <f>IF(G536&lt;&gt;0,VLOOKUP(G536,'gia dat'!$A$1:$F$144,6,0)," ")</f>
        <v xml:space="preserve"> </v>
      </c>
      <c r="M536" s="564" t="str">
        <f t="shared" si="107"/>
        <v xml:space="preserve"> </v>
      </c>
      <c r="N536" s="564" t="str">
        <f t="shared" si="108"/>
        <v xml:space="preserve"> </v>
      </c>
      <c r="O536" s="593"/>
      <c r="P536" s="616"/>
      <c r="Q536" s="564" t="str">
        <f>IF(O536&lt;&gt;0,VLOOKUP(O536,'Cây trong'!$A$2:$C$246,3,0)," ")</f>
        <v xml:space="preserve"> </v>
      </c>
      <c r="R536" s="564" t="str">
        <f t="shared" si="110"/>
        <v xml:space="preserve"> </v>
      </c>
      <c r="S536" s="593"/>
      <c r="T536" s="593"/>
      <c r="U536" s="617"/>
      <c r="V536" s="589"/>
      <c r="W536" s="564" t="str">
        <f>IF(S536&lt;&gt;0,VLOOKUP(S536,VKT!$A$2:$G$415,7,0),"")</f>
        <v/>
      </c>
      <c r="X536" s="564" t="str">
        <f t="shared" si="102"/>
        <v xml:space="preserve"> </v>
      </c>
      <c r="Y536" s="589"/>
      <c r="Z536" s="589"/>
      <c r="AA536" s="589"/>
      <c r="AB536" s="562"/>
      <c r="AC536" s="589"/>
      <c r="AD536" s="589"/>
      <c r="AE536" s="589"/>
      <c r="AF536" s="629"/>
      <c r="AG536" s="570" t="str">
        <f>IF(AE536&lt;&gt;0,VLOOKUP(AE536,ODDS!$A$2:$C$13,3,0),"")</f>
        <v/>
      </c>
      <c r="AH536" s="570" t="str">
        <f t="shared" si="111"/>
        <v xml:space="preserve"> </v>
      </c>
      <c r="AI536" s="571" t="str">
        <f t="shared" si="112"/>
        <v xml:space="preserve"> </v>
      </c>
      <c r="AJ536" s="593"/>
      <c r="AK536" s="593"/>
    </row>
    <row r="537" spans="1:37" s="376" customFormat="1" ht="20.25" outlineLevel="2" x14ac:dyDescent="0.3">
      <c r="A537" s="447">
        <f t="shared" si="113"/>
        <v>45</v>
      </c>
      <c r="B537" s="557"/>
      <c r="C537" s="558"/>
      <c r="D537" s="587"/>
      <c r="E537" s="587"/>
      <c r="F537" s="560"/>
      <c r="G537" s="558"/>
      <c r="H537" s="588"/>
      <c r="I537" s="546"/>
      <c r="J537" s="589"/>
      <c r="K537" s="563" t="str">
        <f>IF(G537&lt;&gt;0,VLOOKUP(G537,'gia dat'!$A$1:$F$144,5,0)," ")</f>
        <v xml:space="preserve"> </v>
      </c>
      <c r="L537" s="563" t="str">
        <f>IF(G537&lt;&gt;0,VLOOKUP(G537,'gia dat'!$A$1:$F$144,6,0)," ")</f>
        <v xml:space="preserve"> </v>
      </c>
      <c r="M537" s="564" t="str">
        <f t="shared" si="107"/>
        <v xml:space="preserve"> </v>
      </c>
      <c r="N537" s="564" t="str">
        <f t="shared" si="108"/>
        <v xml:space="preserve"> </v>
      </c>
      <c r="O537" s="558"/>
      <c r="P537" s="590"/>
      <c r="Q537" s="564" t="str">
        <f>IF(O537&lt;&gt;0,VLOOKUP(O537,'Cây trong'!$A$2:$C$246,3,0)," ")</f>
        <v xml:space="preserve"> </v>
      </c>
      <c r="R537" s="564" t="str">
        <f t="shared" si="110"/>
        <v xml:space="preserve"> </v>
      </c>
      <c r="S537" s="566"/>
      <c r="T537" s="609"/>
      <c r="U537" s="591"/>
      <c r="V537" s="589"/>
      <c r="W537" s="564" t="str">
        <f>IF(S537&lt;&gt;0,VLOOKUP(S537,VKT!$A$2:$G$415,7,0),"")</f>
        <v/>
      </c>
      <c r="X537" s="564" t="str">
        <f t="shared" si="102"/>
        <v xml:space="preserve"> </v>
      </c>
      <c r="Y537" s="589"/>
      <c r="Z537" s="592"/>
      <c r="AA537" s="592"/>
      <c r="AB537" s="568"/>
      <c r="AC537" s="592"/>
      <c r="AD537" s="592"/>
      <c r="AE537" s="592"/>
      <c r="AF537" s="590"/>
      <c r="AG537" s="570" t="str">
        <f>IF(AE537&lt;&gt;0,VLOOKUP(AE537,ODDS!$A$2:$C$13,3,0),"")</f>
        <v/>
      </c>
      <c r="AH537" s="570" t="str">
        <f t="shared" si="111"/>
        <v xml:space="preserve"> </v>
      </c>
      <c r="AI537" s="571" t="str">
        <f t="shared" si="112"/>
        <v xml:space="preserve"> </v>
      </c>
      <c r="AJ537" s="593"/>
      <c r="AK537" s="593"/>
    </row>
    <row r="538" spans="1:37" s="376" customFormat="1" ht="20.25" outlineLevel="2" x14ac:dyDescent="0.3">
      <c r="A538" s="447">
        <f t="shared" si="113"/>
        <v>45</v>
      </c>
      <c r="B538" s="557"/>
      <c r="C538" s="607"/>
      <c r="D538" s="587"/>
      <c r="E538" s="587"/>
      <c r="F538" s="560"/>
      <c r="G538" s="558"/>
      <c r="H538" s="588"/>
      <c r="I538" s="546"/>
      <c r="J538" s="589"/>
      <c r="K538" s="563" t="str">
        <f>IF(G538&lt;&gt;0,VLOOKUP(G538,'gia dat'!$A$1:$F$144,5,0)," ")</f>
        <v xml:space="preserve"> </v>
      </c>
      <c r="L538" s="563" t="str">
        <f>IF(G538&lt;&gt;0,VLOOKUP(G538,'gia dat'!$A$1:$F$144,6,0)," ")</f>
        <v xml:space="preserve"> </v>
      </c>
      <c r="M538" s="564" t="str">
        <f t="shared" si="107"/>
        <v xml:space="preserve"> </v>
      </c>
      <c r="N538" s="564" t="str">
        <f t="shared" si="108"/>
        <v xml:space="preserve"> </v>
      </c>
      <c r="O538" s="558"/>
      <c r="P538" s="590"/>
      <c r="Q538" s="564" t="str">
        <f>IF(O538&lt;&gt;0,VLOOKUP(O538,'Cây trong'!$A$2:$C$246,3,0)," ")</f>
        <v xml:space="preserve"> </v>
      </c>
      <c r="R538" s="564" t="str">
        <f t="shared" si="110"/>
        <v xml:space="preserve"> </v>
      </c>
      <c r="S538" s="566"/>
      <c r="T538" s="589"/>
      <c r="U538" s="591"/>
      <c r="V538" s="589"/>
      <c r="W538" s="564" t="str">
        <f>IF(S538&lt;&gt;0,VLOOKUP(S538,VKT!$A$2:$G$415,7,0),"")</f>
        <v/>
      </c>
      <c r="X538" s="564" t="str">
        <f t="shared" si="102"/>
        <v xml:space="preserve"> </v>
      </c>
      <c r="Y538" s="589"/>
      <c r="Z538" s="592"/>
      <c r="AA538" s="592"/>
      <c r="AB538" s="568"/>
      <c r="AC538" s="592"/>
      <c r="AD538" s="592"/>
      <c r="AE538" s="592"/>
      <c r="AF538" s="590"/>
      <c r="AG538" s="570" t="str">
        <f>IF(AE538&lt;&gt;0,VLOOKUP(AE538,ODDS!$A$2:$C$13,3,0),"")</f>
        <v/>
      </c>
      <c r="AH538" s="570" t="str">
        <f t="shared" si="111"/>
        <v xml:space="preserve"> </v>
      </c>
      <c r="AI538" s="571" t="str">
        <f t="shared" si="112"/>
        <v xml:space="preserve"> </v>
      </c>
      <c r="AJ538" s="593"/>
      <c r="AK538" s="593"/>
    </row>
    <row r="539" spans="1:37" s="376" customFormat="1" ht="40.5" outlineLevel="1" x14ac:dyDescent="0.25">
      <c r="A539" s="467" t="s">
        <v>2664</v>
      </c>
      <c r="B539" s="576">
        <v>46</v>
      </c>
      <c r="C539" s="607" t="s">
        <v>199</v>
      </c>
      <c r="D539" s="595"/>
      <c r="E539" s="595"/>
      <c r="F539" s="577"/>
      <c r="G539" s="574"/>
      <c r="H539" s="618">
        <f>SUBTOTAL(9,H540:H548)</f>
        <v>245</v>
      </c>
      <c r="I539" s="579">
        <f>SUBTOTAL(9,I540:I545)</f>
        <v>0</v>
      </c>
      <c r="J539" s="608"/>
      <c r="K539" s="581"/>
      <c r="L539" s="581"/>
      <c r="M539" s="571">
        <f>SUBTOTAL(9,M540:M548)</f>
        <v>656108000</v>
      </c>
      <c r="N539" s="571">
        <f>SUBTOTAL(9,N540:N548)</f>
        <v>0</v>
      </c>
      <c r="O539" s="578"/>
      <c r="P539" s="599">
        <f>SUBTOTAL(9,P540:P548)</f>
        <v>0</v>
      </c>
      <c r="Q539" s="571"/>
      <c r="R539" s="571">
        <f>SUBTOTAL(9,R540:R548)</f>
        <v>0</v>
      </c>
      <c r="S539" s="578"/>
      <c r="T539" s="621"/>
      <c r="U539" s="600">
        <f>SUBTOTAL(9,U540:U548)</f>
        <v>0</v>
      </c>
      <c r="V539" s="597"/>
      <c r="W539" s="571"/>
      <c r="X539" s="571">
        <f>SUBTOTAL(9,X540:X548)</f>
        <v>0</v>
      </c>
      <c r="Y539" s="589"/>
      <c r="Z539" s="592"/>
      <c r="AA539" s="592"/>
      <c r="AB539" s="568"/>
      <c r="AC539" s="592"/>
      <c r="AD539" s="592"/>
      <c r="AE539" s="602"/>
      <c r="AF539" s="581">
        <f>SUBTOTAL(9,AF540:AF548)</f>
        <v>0</v>
      </c>
      <c r="AG539" s="585"/>
      <c r="AH539" s="585">
        <f>SUBTOTAL(9,AH540:AH548)</f>
        <v>0</v>
      </c>
      <c r="AI539" s="571">
        <f t="shared" si="112"/>
        <v>656108000</v>
      </c>
      <c r="AJ539" s="574"/>
      <c r="AK539" s="578"/>
    </row>
    <row r="540" spans="1:37" s="376" customFormat="1" ht="121.5" outlineLevel="2" x14ac:dyDescent="0.3">
      <c r="A540" s="447">
        <f>IF(B539&lt;&gt;0,B539,A538)</f>
        <v>46</v>
      </c>
      <c r="B540" s="557"/>
      <c r="C540" s="558" t="s">
        <v>200</v>
      </c>
      <c r="D540" s="587">
        <v>1</v>
      </c>
      <c r="E540" s="587">
        <v>86</v>
      </c>
      <c r="F540" s="560">
        <v>255</v>
      </c>
      <c r="G540" s="558" t="s">
        <v>2037</v>
      </c>
      <c r="H540" s="588">
        <v>99.9</v>
      </c>
      <c r="I540" s="546" t="str">
        <f t="shared" ref="I540:I542" si="114">IF(N540&gt;0,H540,"")</f>
        <v/>
      </c>
      <c r="J540" s="593"/>
      <c r="K540" s="563">
        <f>IF(G540&lt;&gt;0,VLOOKUP(G540,'gia dat'!$A$1:$F$144,5,0)," ")</f>
        <v>5762400</v>
      </c>
      <c r="L540" s="563">
        <f>IF(G540&lt;&gt;0,VLOOKUP(G540,'gia dat'!$A$1:$F$144,6,0)," ")</f>
        <v>0</v>
      </c>
      <c r="M540" s="564">
        <f t="shared" si="107"/>
        <v>575664000</v>
      </c>
      <c r="N540" s="564">
        <f t="shared" si="108"/>
        <v>0</v>
      </c>
      <c r="O540" s="586"/>
      <c r="P540" s="590"/>
      <c r="Q540" s="564" t="str">
        <f>IF(O540&lt;&gt;0,VLOOKUP(O540,'Cây trong'!$A$2:$C$246,3,0)," ")</f>
        <v xml:space="preserve"> </v>
      </c>
      <c r="R540" s="564" t="str">
        <f t="shared" si="110"/>
        <v xml:space="preserve"> </v>
      </c>
      <c r="S540" s="586"/>
      <c r="T540" s="609"/>
      <c r="U540" s="591"/>
      <c r="V540" s="589"/>
      <c r="W540" s="564" t="str">
        <f>IF(S540&lt;&gt;0,VLOOKUP(S540,VKT!$A$2:$G$415,7,0),"")</f>
        <v/>
      </c>
      <c r="X540" s="564" t="str">
        <f t="shared" si="102"/>
        <v xml:space="preserve"> </v>
      </c>
      <c r="Y540" s="589"/>
      <c r="Z540" s="592"/>
      <c r="AA540" s="592"/>
      <c r="AB540" s="568"/>
      <c r="AC540" s="592"/>
      <c r="AD540" s="592"/>
      <c r="AE540" s="569"/>
      <c r="AF540" s="563"/>
      <c r="AG540" s="570"/>
      <c r="AH540" s="570"/>
      <c r="AI540" s="571" t="str">
        <f t="shared" si="112"/>
        <v xml:space="preserve"> </v>
      </c>
      <c r="AJ540" s="558" t="s">
        <v>1694</v>
      </c>
      <c r="AK540" s="586" t="s">
        <v>2771</v>
      </c>
    </row>
    <row r="541" spans="1:37" s="376" customFormat="1" ht="101.25" outlineLevel="2" x14ac:dyDescent="0.3">
      <c r="A541" s="447">
        <f t="shared" ref="A541:A548" si="115">IF(B540&lt;&gt;0,B540,A540)</f>
        <v>46</v>
      </c>
      <c r="B541" s="557"/>
      <c r="C541" s="558" t="s">
        <v>677</v>
      </c>
      <c r="D541" s="587"/>
      <c r="E541" s="587">
        <v>86</v>
      </c>
      <c r="F541" s="560">
        <v>255</v>
      </c>
      <c r="G541" s="558" t="s">
        <v>2472</v>
      </c>
      <c r="H541" s="588">
        <v>138.6</v>
      </c>
      <c r="I541" s="546" t="str">
        <f t="shared" si="114"/>
        <v/>
      </c>
      <c r="J541" s="589"/>
      <c r="K541" s="563">
        <f>IF(G541&lt;&gt;0,VLOOKUP(G541,'gia dat'!$A$1:$F$144,5,0)," ")</f>
        <v>554400</v>
      </c>
      <c r="L541" s="563">
        <f>IF(G541&lt;&gt;0,VLOOKUP(G541,'gia dat'!$A$1:$F$144,6,0)," ")</f>
        <v>0</v>
      </c>
      <c r="M541" s="564">
        <f t="shared" si="107"/>
        <v>76840000</v>
      </c>
      <c r="N541" s="564">
        <f t="shared" si="108"/>
        <v>0</v>
      </c>
      <c r="O541" s="558"/>
      <c r="P541" s="590"/>
      <c r="Q541" s="564" t="str">
        <f>IF(O541&lt;&gt;0,VLOOKUP(O541,'Cây trong'!$A$2:$C$246,3,0)," ")</f>
        <v xml:space="preserve"> </v>
      </c>
      <c r="R541" s="564" t="str">
        <f t="shared" si="110"/>
        <v xml:space="preserve"> </v>
      </c>
      <c r="S541" s="566"/>
      <c r="T541" s="589"/>
      <c r="U541" s="591"/>
      <c r="V541" s="589"/>
      <c r="W541" s="564" t="str">
        <f>IF(S541&lt;&gt;0,VLOOKUP(S541,VKT!$A$2:$G$415,7,0),"")</f>
        <v/>
      </c>
      <c r="X541" s="564" t="str">
        <f t="shared" si="102"/>
        <v xml:space="preserve"> </v>
      </c>
      <c r="Y541" s="589"/>
      <c r="Z541" s="592"/>
      <c r="AA541" s="592"/>
      <c r="AB541" s="568"/>
      <c r="AC541" s="592"/>
      <c r="AD541" s="592"/>
      <c r="AE541" s="569"/>
      <c r="AF541" s="590"/>
      <c r="AG541" s="570" t="str">
        <f>IF(AE541&lt;&gt;0,VLOOKUP(AE541,ODDS!$A$2:$C$13,3,0),"")</f>
        <v/>
      </c>
      <c r="AH541" s="570" t="str">
        <f t="shared" si="111"/>
        <v xml:space="preserve"> </v>
      </c>
      <c r="AI541" s="571" t="str">
        <f t="shared" si="112"/>
        <v xml:space="preserve"> </v>
      </c>
      <c r="AJ541" s="558" t="s">
        <v>513</v>
      </c>
      <c r="AK541" s="558"/>
    </row>
    <row r="542" spans="1:37" s="376" customFormat="1" ht="60.75" outlineLevel="2" x14ac:dyDescent="0.3">
      <c r="A542" s="447">
        <f t="shared" si="115"/>
        <v>46</v>
      </c>
      <c r="B542" s="557"/>
      <c r="C542" s="574" t="s">
        <v>201</v>
      </c>
      <c r="D542" s="587"/>
      <c r="E542" s="587"/>
      <c r="F542" s="560"/>
      <c r="G542" s="558" t="s">
        <v>2473</v>
      </c>
      <c r="H542" s="588">
        <v>6.5</v>
      </c>
      <c r="I542" s="546" t="str">
        <f t="shared" si="114"/>
        <v/>
      </c>
      <c r="J542" s="589"/>
      <c r="K542" s="563">
        <f>IF(G542&lt;&gt;0,VLOOKUP(G542,'gia dat'!$A$1:$F$144,5,0)," ")</f>
        <v>554400</v>
      </c>
      <c r="L542" s="563">
        <f>IF(G542&lt;&gt;0,VLOOKUP(G542,'gia dat'!$A$1:$F$144,6,0)," ")</f>
        <v>0</v>
      </c>
      <c r="M542" s="564">
        <f t="shared" si="107"/>
        <v>3604000</v>
      </c>
      <c r="N542" s="564">
        <f t="shared" si="108"/>
        <v>0</v>
      </c>
      <c r="O542" s="558"/>
      <c r="P542" s="590"/>
      <c r="Q542" s="564" t="str">
        <f>IF(O542&lt;&gt;0,VLOOKUP(O542,'Cây trong'!$A$2:$C$246,3,0)," ")</f>
        <v xml:space="preserve"> </v>
      </c>
      <c r="R542" s="564" t="str">
        <f t="shared" si="110"/>
        <v xml:space="preserve"> </v>
      </c>
      <c r="S542" s="566"/>
      <c r="T542" s="589"/>
      <c r="U542" s="591"/>
      <c r="V542" s="589"/>
      <c r="W542" s="564" t="str">
        <f>IF(S542&lt;&gt;0,VLOOKUP(S542,VKT!$A$2:$G$415,7,0),"")</f>
        <v/>
      </c>
      <c r="X542" s="564" t="str">
        <f t="shared" si="102"/>
        <v xml:space="preserve"> </v>
      </c>
      <c r="Y542" s="589"/>
      <c r="Z542" s="592"/>
      <c r="AA542" s="592"/>
      <c r="AB542" s="568"/>
      <c r="AC542" s="592"/>
      <c r="AD542" s="592"/>
      <c r="AE542" s="606"/>
      <c r="AF542" s="590"/>
      <c r="AG542" s="570" t="str">
        <f>IF(AE542&lt;&gt;0,VLOOKUP(AE542,ODDS!$A$2:$C$13,3,0),"")</f>
        <v/>
      </c>
      <c r="AH542" s="570" t="str">
        <f t="shared" si="111"/>
        <v xml:space="preserve"> </v>
      </c>
      <c r="AI542" s="571" t="str">
        <f t="shared" si="112"/>
        <v xml:space="preserve"> </v>
      </c>
      <c r="AJ542" s="608" t="s">
        <v>111</v>
      </c>
      <c r="AK542" s="593"/>
    </row>
    <row r="543" spans="1:37" s="376" customFormat="1" ht="101.25" outlineLevel="2" x14ac:dyDescent="0.3">
      <c r="A543" s="447">
        <f t="shared" si="115"/>
        <v>46</v>
      </c>
      <c r="B543" s="557"/>
      <c r="C543" s="648" t="s">
        <v>202</v>
      </c>
      <c r="D543" s="603">
        <v>1</v>
      </c>
      <c r="E543" s="595"/>
      <c r="F543" s="577"/>
      <c r="G543" s="574"/>
      <c r="H543" s="588"/>
      <c r="I543" s="546"/>
      <c r="J543" s="597"/>
      <c r="K543" s="563" t="str">
        <f>IF(G543&lt;&gt;0,VLOOKUP(G543,'gia dat'!$A$1:$F$144,5,0)," ")</f>
        <v xml:space="preserve"> </v>
      </c>
      <c r="L543" s="563" t="str">
        <f>IF(G543&lt;&gt;0,VLOOKUP(G543,'gia dat'!$A$1:$F$144,6,0)," ")</f>
        <v xml:space="preserve"> </v>
      </c>
      <c r="M543" s="564" t="str">
        <f t="shared" si="107"/>
        <v xml:space="preserve"> </v>
      </c>
      <c r="N543" s="564" t="str">
        <f t="shared" si="108"/>
        <v xml:space="preserve"> </v>
      </c>
      <c r="O543" s="598"/>
      <c r="P543" s="590"/>
      <c r="Q543" s="564" t="str">
        <f>IF(O543&lt;&gt;0,VLOOKUP(O543,'Cây trong'!$A$2:$C$246,3,0)," ")</f>
        <v xml:space="preserve"> </v>
      </c>
      <c r="R543" s="564" t="str">
        <f t="shared" si="110"/>
        <v xml:space="preserve"> </v>
      </c>
      <c r="S543" s="582"/>
      <c r="T543" s="597"/>
      <c r="U543" s="591"/>
      <c r="V543" s="597"/>
      <c r="W543" s="564" t="str">
        <f>IF(S543&lt;&gt;0,VLOOKUP(S543,VKT!$A$2:$G$415,7,0),"")</f>
        <v/>
      </c>
      <c r="X543" s="564" t="str">
        <f t="shared" si="102"/>
        <v xml:space="preserve"> </v>
      </c>
      <c r="Y543" s="589"/>
      <c r="Z543" s="592"/>
      <c r="AA543" s="592"/>
      <c r="AB543" s="568"/>
      <c r="AC543" s="592"/>
      <c r="AD543" s="592"/>
      <c r="AE543" s="592"/>
      <c r="AF543" s="590"/>
      <c r="AG543" s="570" t="str">
        <f>IF(AE543&lt;&gt;0,VLOOKUP(AE543,ODDS!$A$2:$C$13,3,0),"")</f>
        <v/>
      </c>
      <c r="AH543" s="570" t="str">
        <f t="shared" si="111"/>
        <v xml:space="preserve"> </v>
      </c>
      <c r="AI543" s="571" t="str">
        <f t="shared" si="112"/>
        <v xml:space="preserve"> </v>
      </c>
      <c r="AJ543" s="558" t="s">
        <v>1695</v>
      </c>
      <c r="AK543" s="608"/>
    </row>
    <row r="544" spans="1:37" s="376" customFormat="1" ht="81" outlineLevel="2" x14ac:dyDescent="0.3">
      <c r="A544" s="447">
        <f t="shared" si="115"/>
        <v>46</v>
      </c>
      <c r="B544" s="557"/>
      <c r="C544" s="572" t="s">
        <v>678</v>
      </c>
      <c r="D544" s="603"/>
      <c r="E544" s="587"/>
      <c r="F544" s="560"/>
      <c r="G544" s="558"/>
      <c r="H544" s="588"/>
      <c r="I544" s="546"/>
      <c r="J544" s="589"/>
      <c r="K544" s="563" t="str">
        <f>IF(G544&lt;&gt;0,VLOOKUP(G544,'gia dat'!$A$1:$F$144,5,0)," ")</f>
        <v xml:space="preserve"> </v>
      </c>
      <c r="L544" s="563" t="str">
        <f>IF(G544&lt;&gt;0,VLOOKUP(G544,'gia dat'!$A$1:$F$144,6,0)," ")</f>
        <v xml:space="preserve"> </v>
      </c>
      <c r="M544" s="564" t="str">
        <f t="shared" si="107"/>
        <v xml:space="preserve"> </v>
      </c>
      <c r="N544" s="564" t="str">
        <f t="shared" si="108"/>
        <v xml:space="preserve"> </v>
      </c>
      <c r="O544" s="565"/>
      <c r="P544" s="590"/>
      <c r="Q544" s="564" t="str">
        <f>IF(O544&lt;&gt;0,VLOOKUP(O544,'Cây trong'!$A$2:$C$246,3,0)," ")</f>
        <v xml:space="preserve"> </v>
      </c>
      <c r="R544" s="564" t="str">
        <f t="shared" si="110"/>
        <v xml:space="preserve"> </v>
      </c>
      <c r="S544" s="566"/>
      <c r="T544" s="589"/>
      <c r="U544" s="591"/>
      <c r="V544" s="589"/>
      <c r="W544" s="564" t="str">
        <f>IF(S544&lt;&gt;0,VLOOKUP(S544,VKT!$A$2:$G$415,7,0),"")</f>
        <v/>
      </c>
      <c r="X544" s="564" t="str">
        <f t="shared" si="102"/>
        <v xml:space="preserve"> </v>
      </c>
      <c r="Y544" s="580"/>
      <c r="Z544" s="601"/>
      <c r="AA544" s="601"/>
      <c r="AB544" s="584"/>
      <c r="AC544" s="601"/>
      <c r="AD544" s="601"/>
      <c r="AE544" s="601"/>
      <c r="AF544" s="599"/>
      <c r="AG544" s="570" t="str">
        <f>IF(AE544&lt;&gt;0,VLOOKUP(AE544,ODDS!$A$2:$C$13,3,0),"")</f>
        <v/>
      </c>
      <c r="AH544" s="570" t="str">
        <f t="shared" si="111"/>
        <v xml:space="preserve"> </v>
      </c>
      <c r="AI544" s="571" t="str">
        <f t="shared" si="112"/>
        <v xml:space="preserve"> </v>
      </c>
      <c r="AJ544" s="558" t="s">
        <v>2205</v>
      </c>
      <c r="AK544" s="558"/>
    </row>
    <row r="545" spans="1:39" s="376" customFormat="1" ht="20.25" outlineLevel="2" x14ac:dyDescent="0.3">
      <c r="A545" s="447">
        <f t="shared" si="115"/>
        <v>46</v>
      </c>
      <c r="B545" s="557"/>
      <c r="C545" s="572"/>
      <c r="D545" s="587"/>
      <c r="E545" s="587"/>
      <c r="F545" s="615"/>
      <c r="G545" s="558"/>
      <c r="H545" s="604"/>
      <c r="I545" s="546"/>
      <c r="J545" s="593"/>
      <c r="K545" s="563" t="str">
        <f>IF(G545&lt;&gt;0,VLOOKUP(G545,'gia dat'!$A$1:$F$144,5,0)," ")</f>
        <v xml:space="preserve"> </v>
      </c>
      <c r="L545" s="563" t="str">
        <f>IF(G545&lt;&gt;0,VLOOKUP(G545,'gia dat'!$A$1:$F$144,6,0)," ")</f>
        <v xml:space="preserve"> </v>
      </c>
      <c r="M545" s="564" t="str">
        <f t="shared" si="107"/>
        <v xml:space="preserve"> </v>
      </c>
      <c r="N545" s="564" t="str">
        <f t="shared" si="108"/>
        <v xml:space="preserve"> </v>
      </c>
      <c r="O545" s="593"/>
      <c r="P545" s="616"/>
      <c r="Q545" s="564" t="str">
        <f>IF(O545&lt;&gt;0,VLOOKUP(O545,'Cây trong'!$A$2:$C$246,3,0)," ")</f>
        <v xml:space="preserve"> </v>
      </c>
      <c r="R545" s="564" t="str">
        <f t="shared" si="110"/>
        <v xml:space="preserve"> </v>
      </c>
      <c r="S545" s="593"/>
      <c r="T545" s="593"/>
      <c r="U545" s="617"/>
      <c r="V545" s="589"/>
      <c r="W545" s="564" t="str">
        <f>IF(S545&lt;&gt;0,VLOOKUP(S545,VKT!$A$2:$G$415,7,0),"")</f>
        <v/>
      </c>
      <c r="X545" s="564" t="str">
        <f t="shared" si="102"/>
        <v xml:space="preserve"> </v>
      </c>
      <c r="Y545" s="589"/>
      <c r="Z545" s="589"/>
      <c r="AA545" s="589"/>
      <c r="AB545" s="562"/>
      <c r="AC545" s="589"/>
      <c r="AD545" s="589"/>
      <c r="AE545" s="589"/>
      <c r="AF545" s="629"/>
      <c r="AG545" s="570" t="str">
        <f>IF(AE545&lt;&gt;0,VLOOKUP(AE545,ODDS!$A$2:$C$13,3,0),"")</f>
        <v/>
      </c>
      <c r="AH545" s="570" t="str">
        <f t="shared" si="111"/>
        <v xml:space="preserve"> </v>
      </c>
      <c r="AI545" s="571" t="str">
        <f t="shared" si="112"/>
        <v xml:space="preserve"> </v>
      </c>
      <c r="AJ545" s="575"/>
      <c r="AK545" s="593"/>
    </row>
    <row r="546" spans="1:39" s="376" customFormat="1" ht="20.25" outlineLevel="2" x14ac:dyDescent="0.3">
      <c r="A546" s="447">
        <f t="shared" si="115"/>
        <v>46</v>
      </c>
      <c r="B546" s="557"/>
      <c r="C546" s="572"/>
      <c r="D546" s="587"/>
      <c r="E546" s="587"/>
      <c r="F546" s="615"/>
      <c r="G546" s="558"/>
      <c r="H546" s="604"/>
      <c r="I546" s="546"/>
      <c r="J546" s="593"/>
      <c r="K546" s="563" t="str">
        <f>IF(G546&lt;&gt;0,VLOOKUP(G546,'gia dat'!$A$1:$F$144,5,0)," ")</f>
        <v xml:space="preserve"> </v>
      </c>
      <c r="L546" s="563" t="str">
        <f>IF(G546&lt;&gt;0,VLOOKUP(G546,'gia dat'!$A$1:$F$144,6,0)," ")</f>
        <v xml:space="preserve"> </v>
      </c>
      <c r="M546" s="564" t="str">
        <f t="shared" si="107"/>
        <v xml:space="preserve"> </v>
      </c>
      <c r="N546" s="564" t="str">
        <f t="shared" si="108"/>
        <v xml:space="preserve"> </v>
      </c>
      <c r="O546" s="593"/>
      <c r="P546" s="616"/>
      <c r="Q546" s="564" t="str">
        <f>IF(O546&lt;&gt;0,VLOOKUP(O546,'Cây trong'!$A$2:$C$246,3,0)," ")</f>
        <v xml:space="preserve"> </v>
      </c>
      <c r="R546" s="564" t="str">
        <f t="shared" si="110"/>
        <v xml:space="preserve"> </v>
      </c>
      <c r="S546" s="593"/>
      <c r="T546" s="593"/>
      <c r="U546" s="617"/>
      <c r="V546" s="589"/>
      <c r="W546" s="564" t="str">
        <f>IF(S546&lt;&gt;0,VLOOKUP(S546,VKT!$A$2:$G$415,7,0),"")</f>
        <v/>
      </c>
      <c r="X546" s="564" t="str">
        <f t="shared" si="102"/>
        <v xml:space="preserve"> </v>
      </c>
      <c r="Y546" s="589"/>
      <c r="Z546" s="589"/>
      <c r="AA546" s="589"/>
      <c r="AB546" s="562"/>
      <c r="AC546" s="589"/>
      <c r="AD546" s="589"/>
      <c r="AE546" s="589"/>
      <c r="AF546" s="629"/>
      <c r="AG546" s="570" t="str">
        <f>IF(AE546&lt;&gt;0,VLOOKUP(AE546,ODDS!$A$2:$C$13,3,0),"")</f>
        <v/>
      </c>
      <c r="AH546" s="570" t="str">
        <f t="shared" si="111"/>
        <v xml:space="preserve"> </v>
      </c>
      <c r="AI546" s="571" t="str">
        <f t="shared" si="112"/>
        <v xml:space="preserve"> </v>
      </c>
      <c r="AJ546" s="593"/>
      <c r="AK546" s="593"/>
    </row>
    <row r="547" spans="1:39" s="376" customFormat="1" ht="20.25" outlineLevel="2" x14ac:dyDescent="0.3">
      <c r="A547" s="447">
        <f t="shared" si="115"/>
        <v>46</v>
      </c>
      <c r="B547" s="557"/>
      <c r="C547" s="607"/>
      <c r="D547" s="587"/>
      <c r="E547" s="587"/>
      <c r="F547" s="615"/>
      <c r="G547" s="558"/>
      <c r="H547" s="604"/>
      <c r="I547" s="546"/>
      <c r="J547" s="593"/>
      <c r="K547" s="563" t="str">
        <f>IF(G547&lt;&gt;0,VLOOKUP(G547,'gia dat'!$A$1:$F$144,5,0)," ")</f>
        <v xml:space="preserve"> </v>
      </c>
      <c r="L547" s="563" t="str">
        <f>IF(G547&lt;&gt;0,VLOOKUP(G547,'gia dat'!$A$1:$F$144,6,0)," ")</f>
        <v xml:space="preserve"> </v>
      </c>
      <c r="M547" s="564" t="str">
        <f t="shared" si="107"/>
        <v xml:space="preserve"> </v>
      </c>
      <c r="N547" s="564" t="str">
        <f t="shared" si="108"/>
        <v xml:space="preserve"> </v>
      </c>
      <c r="O547" s="593"/>
      <c r="P547" s="616"/>
      <c r="Q547" s="564" t="str">
        <f>IF(O547&lt;&gt;0,VLOOKUP(O547,'Cây trong'!$A$2:$C$246,3,0)," ")</f>
        <v xml:space="preserve"> </v>
      </c>
      <c r="R547" s="564" t="str">
        <f t="shared" si="110"/>
        <v xml:space="preserve"> </v>
      </c>
      <c r="S547" s="593"/>
      <c r="T547" s="593"/>
      <c r="U547" s="617"/>
      <c r="V547" s="589"/>
      <c r="W547" s="564" t="str">
        <f>IF(S547&lt;&gt;0,VLOOKUP(S547,VKT!$A$2:$G$415,7,0),"")</f>
        <v/>
      </c>
      <c r="X547" s="564" t="str">
        <f t="shared" si="102"/>
        <v xml:space="preserve"> </v>
      </c>
      <c r="Y547" s="589"/>
      <c r="Z547" s="589"/>
      <c r="AA547" s="589"/>
      <c r="AB547" s="562"/>
      <c r="AC547" s="589"/>
      <c r="AD547" s="589"/>
      <c r="AE547" s="589"/>
      <c r="AF547" s="629"/>
      <c r="AG547" s="570" t="str">
        <f>IF(AE547&lt;&gt;0,VLOOKUP(AE547,ODDS!$A$2:$C$13,3,0),"")</f>
        <v/>
      </c>
      <c r="AH547" s="570" t="str">
        <f t="shared" si="111"/>
        <v xml:space="preserve"> </v>
      </c>
      <c r="AI547" s="571" t="str">
        <f t="shared" si="112"/>
        <v xml:space="preserve"> </v>
      </c>
      <c r="AJ547" s="593"/>
      <c r="AK547" s="593"/>
    </row>
    <row r="548" spans="1:39" s="376" customFormat="1" ht="20.25" outlineLevel="2" x14ac:dyDescent="0.3">
      <c r="A548" s="447">
        <f t="shared" si="115"/>
        <v>46</v>
      </c>
      <c r="B548" s="557"/>
      <c r="C548" s="607"/>
      <c r="D548" s="587"/>
      <c r="E548" s="587"/>
      <c r="F548" s="560"/>
      <c r="G548" s="558"/>
      <c r="H548" s="588"/>
      <c r="I548" s="546"/>
      <c r="J548" s="589"/>
      <c r="K548" s="563" t="str">
        <f>IF(G548&lt;&gt;0,VLOOKUP(G548,'gia dat'!$A$1:$F$144,5,0)," ")</f>
        <v xml:space="preserve"> </v>
      </c>
      <c r="L548" s="563" t="str">
        <f>IF(G548&lt;&gt;0,VLOOKUP(G548,'gia dat'!$A$1:$F$144,6,0)," ")</f>
        <v xml:space="preserve"> </v>
      </c>
      <c r="M548" s="564" t="str">
        <f t="shared" si="107"/>
        <v xml:space="preserve"> </v>
      </c>
      <c r="N548" s="564" t="str">
        <f t="shared" si="108"/>
        <v xml:space="preserve"> </v>
      </c>
      <c r="O548" s="558"/>
      <c r="P548" s="590"/>
      <c r="Q548" s="564" t="str">
        <f>IF(O548&lt;&gt;0,VLOOKUP(O548,'Cây trong'!$A$2:$C$246,3,0)," ")</f>
        <v xml:space="preserve"> </v>
      </c>
      <c r="R548" s="564" t="str">
        <f t="shared" si="110"/>
        <v xml:space="preserve"> </v>
      </c>
      <c r="S548" s="566"/>
      <c r="T548" s="589"/>
      <c r="U548" s="591"/>
      <c r="V548" s="589"/>
      <c r="W548" s="564" t="str">
        <f>IF(S548&lt;&gt;0,VLOOKUP(S548,VKT!$A$2:$G$415,7,0),"")</f>
        <v/>
      </c>
      <c r="X548" s="564" t="str">
        <f t="shared" si="102"/>
        <v xml:space="preserve"> </v>
      </c>
      <c r="Y548" s="589"/>
      <c r="Z548" s="592"/>
      <c r="AA548" s="592"/>
      <c r="AB548" s="568"/>
      <c r="AC548" s="592"/>
      <c r="AD548" s="592"/>
      <c r="AE548" s="592"/>
      <c r="AF548" s="590"/>
      <c r="AG548" s="570" t="str">
        <f>IF(AE548&lt;&gt;0,VLOOKUP(AE548,ODDS!$A$2:$C$13,3,0),"")</f>
        <v/>
      </c>
      <c r="AH548" s="570" t="str">
        <f t="shared" si="111"/>
        <v xml:space="preserve"> </v>
      </c>
      <c r="AI548" s="571" t="str">
        <f t="shared" si="112"/>
        <v xml:space="preserve"> </v>
      </c>
      <c r="AJ548" s="659"/>
      <c r="AK548" s="659"/>
    </row>
    <row r="549" spans="1:39" s="376" customFormat="1" ht="40.5" outlineLevel="1" x14ac:dyDescent="0.25">
      <c r="A549" s="467" t="s">
        <v>2663</v>
      </c>
      <c r="B549" s="576">
        <v>47</v>
      </c>
      <c r="C549" s="607" t="s">
        <v>30</v>
      </c>
      <c r="D549" s="594"/>
      <c r="E549" s="595"/>
      <c r="F549" s="577"/>
      <c r="G549" s="574"/>
      <c r="H549" s="618">
        <f>SUBTOTAL(9,H550:H558)</f>
        <v>1580.5</v>
      </c>
      <c r="I549" s="579">
        <f>SUBTOTAL(9,I550:I555)</f>
        <v>493.9</v>
      </c>
      <c r="J549" s="597"/>
      <c r="K549" s="581"/>
      <c r="L549" s="581"/>
      <c r="M549" s="571">
        <f>SUBTOTAL(9,M550:M558)</f>
        <v>6535242000</v>
      </c>
      <c r="N549" s="571">
        <f>SUBTOTAL(9,N550:N558)</f>
        <v>821454000</v>
      </c>
      <c r="O549" s="598"/>
      <c r="P549" s="599">
        <f>SUBTOTAL(9,P550:P558)</f>
        <v>0</v>
      </c>
      <c r="Q549" s="571"/>
      <c r="R549" s="571">
        <f>SUBTOTAL(9,R550:R558)</f>
        <v>0</v>
      </c>
      <c r="S549" s="582"/>
      <c r="T549" s="597"/>
      <c r="U549" s="600">
        <f>SUBTOTAL(9,U550:U558)</f>
        <v>0</v>
      </c>
      <c r="V549" s="597"/>
      <c r="W549" s="571"/>
      <c r="X549" s="571">
        <f>SUBTOTAL(9,X550:X558)</f>
        <v>0</v>
      </c>
      <c r="Y549" s="589"/>
      <c r="Z549" s="592"/>
      <c r="AA549" s="592"/>
      <c r="AB549" s="568"/>
      <c r="AC549" s="592"/>
      <c r="AD549" s="592"/>
      <c r="AE549" s="602"/>
      <c r="AF549" s="581">
        <f>SUBTOTAL(9,AF550:AF558)</f>
        <v>0</v>
      </c>
      <c r="AG549" s="585"/>
      <c r="AH549" s="585">
        <f>SUBTOTAL(9,AH550:AH558)</f>
        <v>0</v>
      </c>
      <c r="AI549" s="571">
        <f t="shared" si="112"/>
        <v>7356696000</v>
      </c>
      <c r="AJ549" s="574"/>
      <c r="AK549" s="578"/>
      <c r="AL549" s="414"/>
      <c r="AM549" s="383"/>
    </row>
    <row r="550" spans="1:39" s="376" customFormat="1" ht="121.5" outlineLevel="2" x14ac:dyDescent="0.3">
      <c r="A550" s="447">
        <f>IF(B549&lt;&gt;0,B549,A548)</f>
        <v>47</v>
      </c>
      <c r="B550" s="557"/>
      <c r="C550" s="558" t="s">
        <v>127</v>
      </c>
      <c r="D550" s="603">
        <v>1</v>
      </c>
      <c r="E550" s="587">
        <v>86</v>
      </c>
      <c r="F550" s="560">
        <v>151</v>
      </c>
      <c r="G550" s="558" t="s">
        <v>2037</v>
      </c>
      <c r="H550" s="588">
        <v>1086.5999999999999</v>
      </c>
      <c r="I550" s="546" t="str">
        <f t="shared" ref="I550:I551" si="116">IF(N550&gt;0,H550,"")</f>
        <v/>
      </c>
      <c r="J550" s="589"/>
      <c r="K550" s="563">
        <f>IF(G550&lt;&gt;0,VLOOKUP(G550,'gia dat'!$A$1:$F$144,5,0)," ")</f>
        <v>5762400</v>
      </c>
      <c r="L550" s="563">
        <f>IF(G550&lt;&gt;0,VLOOKUP(G550,'gia dat'!$A$1:$F$144,6,0)," ")</f>
        <v>0</v>
      </c>
      <c r="M550" s="564">
        <f t="shared" si="107"/>
        <v>6261424000</v>
      </c>
      <c r="N550" s="564">
        <f t="shared" si="108"/>
        <v>0</v>
      </c>
      <c r="O550" s="565"/>
      <c r="P550" s="590"/>
      <c r="Q550" s="564" t="str">
        <f>IF(O550&lt;&gt;0,VLOOKUP(O550,'Cây trong'!$A$2:$C$246,3,0)," ")</f>
        <v xml:space="preserve"> </v>
      </c>
      <c r="R550" s="564" t="str">
        <f t="shared" si="110"/>
        <v xml:space="preserve"> </v>
      </c>
      <c r="S550" s="566"/>
      <c r="T550" s="589"/>
      <c r="U550" s="591"/>
      <c r="V550" s="589"/>
      <c r="W550" s="564" t="str">
        <f>IF(S550&lt;&gt;0,VLOOKUP(S550,VKT!$A$2:$G$415,7,0),"")</f>
        <v/>
      </c>
      <c r="X550" s="564" t="str">
        <f t="shared" si="102"/>
        <v xml:space="preserve"> </v>
      </c>
      <c r="Y550" s="589"/>
      <c r="Z550" s="592"/>
      <c r="AA550" s="592"/>
      <c r="AB550" s="568"/>
      <c r="AC550" s="592"/>
      <c r="AD550" s="592"/>
      <c r="AE550" s="569"/>
      <c r="AF550" s="563"/>
      <c r="AG550" s="570"/>
      <c r="AH550" s="570"/>
      <c r="AI550" s="571" t="str">
        <f t="shared" si="112"/>
        <v xml:space="preserve"> </v>
      </c>
      <c r="AJ550" s="558" t="s">
        <v>514</v>
      </c>
      <c r="AK550" s="586" t="s">
        <v>2771</v>
      </c>
      <c r="AL550" s="414" t="s">
        <v>2206</v>
      </c>
      <c r="AM550" s="383"/>
    </row>
    <row r="551" spans="1:39" s="376" customFormat="1" ht="81" outlineLevel="2" x14ac:dyDescent="0.3">
      <c r="A551" s="447">
        <f t="shared" ref="A551:A558" si="117">IF(B550&lt;&gt;0,B550,A550)</f>
        <v>47</v>
      </c>
      <c r="B551" s="557"/>
      <c r="C551" s="558" t="s">
        <v>651</v>
      </c>
      <c r="D551" s="587"/>
      <c r="E551" s="587">
        <v>86</v>
      </c>
      <c r="F551" s="560">
        <v>151</v>
      </c>
      <c r="G551" s="586" t="s">
        <v>2469</v>
      </c>
      <c r="H551" s="588">
        <v>493.9</v>
      </c>
      <c r="I551" s="546">
        <f t="shared" si="116"/>
        <v>493.9</v>
      </c>
      <c r="J551" s="593"/>
      <c r="K551" s="563">
        <f>IF(G551&lt;&gt;0,VLOOKUP(G551,'gia dat'!$A$1:$F$144,5,0)," ")</f>
        <v>554400</v>
      </c>
      <c r="L551" s="563">
        <f>IF(G551&lt;&gt;0,VLOOKUP(G551,'gia dat'!$A$1:$F$144,6,0)," ")</f>
        <v>1663200</v>
      </c>
      <c r="M551" s="564">
        <f t="shared" si="107"/>
        <v>273818000</v>
      </c>
      <c r="N551" s="564">
        <f t="shared" si="108"/>
        <v>821454000</v>
      </c>
      <c r="O551" s="586"/>
      <c r="P551" s="590"/>
      <c r="Q551" s="564" t="str">
        <f>IF(O551&lt;&gt;0,VLOOKUP(O551,'Cây trong'!$A$2:$C$246,3,0)," ")</f>
        <v xml:space="preserve"> </v>
      </c>
      <c r="R551" s="564" t="str">
        <f t="shared" si="110"/>
        <v xml:space="preserve"> </v>
      </c>
      <c r="S551" s="586"/>
      <c r="T551" s="609"/>
      <c r="U551" s="591"/>
      <c r="V551" s="589"/>
      <c r="W551" s="564" t="str">
        <f>IF(S551&lt;&gt;0,VLOOKUP(S551,VKT!$A$2:$G$415,7,0),"")</f>
        <v/>
      </c>
      <c r="X551" s="564" t="str">
        <f t="shared" si="102"/>
        <v xml:space="preserve"> </v>
      </c>
      <c r="Y551" s="589"/>
      <c r="Z551" s="592"/>
      <c r="AA551" s="592"/>
      <c r="AB551" s="568"/>
      <c r="AC551" s="592"/>
      <c r="AD551" s="592"/>
      <c r="AE551" s="592"/>
      <c r="AF551" s="590"/>
      <c r="AG551" s="570" t="str">
        <f>IF(AE551&lt;&gt;0,VLOOKUP(AE551,ODDS!$A$2:$C$13,3,0),"")</f>
        <v/>
      </c>
      <c r="AH551" s="570" t="str">
        <f t="shared" si="111"/>
        <v xml:space="preserve"> </v>
      </c>
      <c r="AI551" s="571" t="str">
        <f t="shared" si="112"/>
        <v xml:space="preserve"> </v>
      </c>
      <c r="AJ551" s="558" t="s">
        <v>516</v>
      </c>
      <c r="AK551" s="558" t="s">
        <v>2448</v>
      </c>
    </row>
    <row r="552" spans="1:39" s="376" customFormat="1" ht="20.25" outlineLevel="2" x14ac:dyDescent="0.3">
      <c r="A552" s="447">
        <f t="shared" si="117"/>
        <v>47</v>
      </c>
      <c r="B552" s="557"/>
      <c r="C552" s="574" t="s">
        <v>203</v>
      </c>
      <c r="D552" s="587"/>
      <c r="E552" s="587"/>
      <c r="F552" s="560"/>
      <c r="G552" s="558"/>
      <c r="H552" s="588"/>
      <c r="I552" s="546"/>
      <c r="J552" s="593"/>
      <c r="K552" s="563" t="str">
        <f>IF(G552&lt;&gt;0,VLOOKUP(G552,'gia dat'!$A$1:$F$144,5,0)," ")</f>
        <v xml:space="preserve"> </v>
      </c>
      <c r="L552" s="563" t="str">
        <f>IF(G552&lt;&gt;0,VLOOKUP(G552,'gia dat'!$A$1:$F$144,6,0)," ")</f>
        <v xml:space="preserve"> </v>
      </c>
      <c r="M552" s="564" t="str">
        <f t="shared" si="107"/>
        <v xml:space="preserve"> </v>
      </c>
      <c r="N552" s="564" t="str">
        <f t="shared" si="108"/>
        <v xml:space="preserve"> </v>
      </c>
      <c r="O552" s="586"/>
      <c r="P552" s="590"/>
      <c r="Q552" s="564" t="str">
        <f>IF(O552&lt;&gt;0,VLOOKUP(O552,'Cây trong'!$A$2:$C$246,3,0)," ")</f>
        <v xml:space="preserve"> </v>
      </c>
      <c r="R552" s="564" t="str">
        <f t="shared" si="110"/>
        <v xml:space="preserve"> </v>
      </c>
      <c r="S552" s="586"/>
      <c r="T552" s="609"/>
      <c r="U552" s="591"/>
      <c r="V552" s="589"/>
      <c r="W552" s="564" t="str">
        <f>IF(S552&lt;&gt;0,VLOOKUP(S552,VKT!$A$2:$G$415,7,0),"")</f>
        <v/>
      </c>
      <c r="X552" s="564" t="str">
        <f t="shared" si="102"/>
        <v xml:space="preserve"> </v>
      </c>
      <c r="Y552" s="589"/>
      <c r="Z552" s="592"/>
      <c r="AA552" s="592"/>
      <c r="AB552" s="568"/>
      <c r="AC552" s="592"/>
      <c r="AD552" s="592"/>
      <c r="AE552" s="592"/>
      <c r="AF552" s="590"/>
      <c r="AG552" s="570" t="str">
        <f>IF(AE552&lt;&gt;0,VLOOKUP(AE552,ODDS!$A$2:$C$13,3,0),"")</f>
        <v/>
      </c>
      <c r="AH552" s="570" t="str">
        <f t="shared" si="111"/>
        <v xml:space="preserve"> </v>
      </c>
      <c r="AI552" s="571" t="str">
        <f t="shared" si="112"/>
        <v xml:space="preserve"> </v>
      </c>
      <c r="AJ552" s="660" t="s">
        <v>111</v>
      </c>
      <c r="AK552" s="558"/>
    </row>
    <row r="553" spans="1:39" s="376" customFormat="1" ht="60.75" outlineLevel="2" x14ac:dyDescent="0.3">
      <c r="A553" s="447">
        <f t="shared" si="117"/>
        <v>47</v>
      </c>
      <c r="B553" s="557"/>
      <c r="C553" s="558" t="s">
        <v>204</v>
      </c>
      <c r="D553" s="587">
        <v>1</v>
      </c>
      <c r="E553" s="587"/>
      <c r="F553" s="560"/>
      <c r="G553" s="558"/>
      <c r="H553" s="588"/>
      <c r="I553" s="546"/>
      <c r="J553" s="589"/>
      <c r="K553" s="563" t="str">
        <f>IF(G553&lt;&gt;0,VLOOKUP(G553,'gia dat'!$A$1:$F$144,5,0)," ")</f>
        <v xml:space="preserve"> </v>
      </c>
      <c r="L553" s="563" t="str">
        <f>IF(G553&lt;&gt;0,VLOOKUP(G553,'gia dat'!$A$1:$F$144,6,0)," ")</f>
        <v xml:space="preserve"> </v>
      </c>
      <c r="M553" s="564" t="str">
        <f t="shared" si="107"/>
        <v xml:space="preserve"> </v>
      </c>
      <c r="N553" s="564" t="str">
        <f t="shared" si="108"/>
        <v xml:space="preserve"> </v>
      </c>
      <c r="O553" s="558"/>
      <c r="P553" s="590"/>
      <c r="Q553" s="564" t="str">
        <f>IF(O553&lt;&gt;0,VLOOKUP(O553,'Cây trong'!$A$2:$C$246,3,0)," ")</f>
        <v xml:space="preserve"> </v>
      </c>
      <c r="R553" s="564" t="str">
        <f t="shared" si="110"/>
        <v xml:space="preserve"> </v>
      </c>
      <c r="S553" s="566"/>
      <c r="T553" s="589"/>
      <c r="U553" s="591"/>
      <c r="V553" s="589"/>
      <c r="W553" s="564" t="str">
        <f>IF(S553&lt;&gt;0,VLOOKUP(S553,VKT!$A$2:$G$415,7,0),"")</f>
        <v/>
      </c>
      <c r="X553" s="564" t="str">
        <f t="shared" si="102"/>
        <v xml:space="preserve"> </v>
      </c>
      <c r="Y553" s="589"/>
      <c r="Z553" s="592"/>
      <c r="AA553" s="592"/>
      <c r="AB553" s="568"/>
      <c r="AC553" s="592"/>
      <c r="AD553" s="592"/>
      <c r="AE553" s="592"/>
      <c r="AF553" s="590"/>
      <c r="AG553" s="570" t="str">
        <f>IF(AE553&lt;&gt;0,VLOOKUP(AE553,ODDS!$A$2:$C$13,3,0),"")</f>
        <v/>
      </c>
      <c r="AH553" s="570" t="str">
        <f t="shared" si="111"/>
        <v xml:space="preserve"> </v>
      </c>
      <c r="AI553" s="571" t="str">
        <f t="shared" si="112"/>
        <v xml:space="preserve"> </v>
      </c>
      <c r="AJ553" s="558" t="s">
        <v>2074</v>
      </c>
      <c r="AK553" s="660"/>
    </row>
    <row r="554" spans="1:39" s="376" customFormat="1" ht="81" outlineLevel="2" x14ac:dyDescent="0.3">
      <c r="A554" s="447">
        <f t="shared" si="117"/>
        <v>47</v>
      </c>
      <c r="B554" s="557"/>
      <c r="C554" s="572" t="s">
        <v>679</v>
      </c>
      <c r="D554" s="594"/>
      <c r="E554" s="595"/>
      <c r="F554" s="577"/>
      <c r="G554" s="574"/>
      <c r="H554" s="588"/>
      <c r="I554" s="546"/>
      <c r="J554" s="597"/>
      <c r="K554" s="563" t="str">
        <f>IF(G554&lt;&gt;0,VLOOKUP(G554,'gia dat'!$A$1:$F$144,5,0)," ")</f>
        <v xml:space="preserve"> </v>
      </c>
      <c r="L554" s="563" t="str">
        <f>IF(G554&lt;&gt;0,VLOOKUP(G554,'gia dat'!$A$1:$F$144,6,0)," ")</f>
        <v xml:space="preserve"> </v>
      </c>
      <c r="M554" s="564" t="str">
        <f t="shared" si="107"/>
        <v xml:space="preserve"> </v>
      </c>
      <c r="N554" s="564" t="str">
        <f t="shared" si="108"/>
        <v xml:space="preserve"> </v>
      </c>
      <c r="O554" s="598"/>
      <c r="P554" s="590"/>
      <c r="Q554" s="564" t="str">
        <f>IF(O554&lt;&gt;0,VLOOKUP(O554,'Cây trong'!$A$2:$C$246,3,0)," ")</f>
        <v xml:space="preserve"> </v>
      </c>
      <c r="R554" s="564" t="str">
        <f t="shared" si="110"/>
        <v xml:space="preserve"> </v>
      </c>
      <c r="S554" s="582"/>
      <c r="T554" s="597"/>
      <c r="U554" s="591"/>
      <c r="V554" s="597"/>
      <c r="W554" s="564" t="str">
        <f>IF(S554&lt;&gt;0,VLOOKUP(S554,VKT!$A$2:$G$415,7,0),"")</f>
        <v/>
      </c>
      <c r="X554" s="564" t="str">
        <f t="shared" si="102"/>
        <v xml:space="preserve"> </v>
      </c>
      <c r="Y554" s="580"/>
      <c r="Z554" s="601"/>
      <c r="AA554" s="601"/>
      <c r="AB554" s="584"/>
      <c r="AC554" s="601"/>
      <c r="AD554" s="601"/>
      <c r="AE554" s="601"/>
      <c r="AF554" s="599"/>
      <c r="AG554" s="570" t="str">
        <f>IF(AE554&lt;&gt;0,VLOOKUP(AE554,ODDS!$A$2:$C$13,3,0),"")</f>
        <v/>
      </c>
      <c r="AH554" s="570" t="str">
        <f t="shared" si="111"/>
        <v xml:space="preserve"> </v>
      </c>
      <c r="AI554" s="571" t="str">
        <f t="shared" si="112"/>
        <v xml:space="preserve"> </v>
      </c>
      <c r="AJ554" s="575"/>
      <c r="AK554" s="608"/>
    </row>
    <row r="555" spans="1:39" s="376" customFormat="1" ht="20.25" outlineLevel="2" x14ac:dyDescent="0.3">
      <c r="A555" s="447">
        <f t="shared" si="117"/>
        <v>47</v>
      </c>
      <c r="B555" s="557"/>
      <c r="C555" s="572"/>
      <c r="D555" s="587"/>
      <c r="E555" s="587"/>
      <c r="F555" s="615"/>
      <c r="G555" s="558"/>
      <c r="H555" s="604"/>
      <c r="I555" s="546"/>
      <c r="J555" s="593"/>
      <c r="K555" s="563" t="str">
        <f>IF(G555&lt;&gt;0,VLOOKUP(G555,'gia dat'!$A$1:$F$144,5,0)," ")</f>
        <v xml:space="preserve"> </v>
      </c>
      <c r="L555" s="563" t="str">
        <f>IF(G555&lt;&gt;0,VLOOKUP(G555,'gia dat'!$A$1:$F$144,6,0)," ")</f>
        <v xml:space="preserve"> </v>
      </c>
      <c r="M555" s="564" t="str">
        <f t="shared" si="107"/>
        <v xml:space="preserve"> </v>
      </c>
      <c r="N555" s="564" t="str">
        <f t="shared" si="108"/>
        <v xml:space="preserve"> </v>
      </c>
      <c r="O555" s="593"/>
      <c r="P555" s="616"/>
      <c r="Q555" s="564" t="str">
        <f>IF(O555&lt;&gt;0,VLOOKUP(O555,'Cây trong'!$A$2:$C$246,3,0)," ")</f>
        <v xml:space="preserve"> </v>
      </c>
      <c r="R555" s="564" t="str">
        <f t="shared" si="110"/>
        <v xml:space="preserve"> </v>
      </c>
      <c r="S555" s="593"/>
      <c r="T555" s="593"/>
      <c r="U555" s="617"/>
      <c r="V555" s="589"/>
      <c r="W555" s="564" t="str">
        <f>IF(S555&lt;&gt;0,VLOOKUP(S555,VKT!$A$2:$G$415,7,0),"")</f>
        <v/>
      </c>
      <c r="X555" s="564" t="str">
        <f t="shared" si="102"/>
        <v xml:space="preserve"> </v>
      </c>
      <c r="Y555" s="589"/>
      <c r="Z555" s="589"/>
      <c r="AA555" s="589"/>
      <c r="AB555" s="562"/>
      <c r="AC555" s="589"/>
      <c r="AD555" s="589"/>
      <c r="AE555" s="589"/>
      <c r="AF555" s="629"/>
      <c r="AG555" s="570" t="str">
        <f>IF(AE555&lt;&gt;0,VLOOKUP(AE555,ODDS!$A$2:$C$13,3,0),"")</f>
        <v/>
      </c>
      <c r="AH555" s="570" t="str">
        <f t="shared" si="111"/>
        <v xml:space="preserve"> </v>
      </c>
      <c r="AI555" s="571" t="str">
        <f t="shared" si="112"/>
        <v xml:space="preserve"> </v>
      </c>
      <c r="AJ555" s="593"/>
      <c r="AK555" s="593"/>
    </row>
    <row r="556" spans="1:39" s="376" customFormat="1" ht="20.25" outlineLevel="2" x14ac:dyDescent="0.3">
      <c r="A556" s="447">
        <f t="shared" si="117"/>
        <v>47</v>
      </c>
      <c r="B556" s="557"/>
      <c r="C556" s="572"/>
      <c r="D556" s="587"/>
      <c r="E556" s="587"/>
      <c r="F556" s="615"/>
      <c r="G556" s="558"/>
      <c r="H556" s="604"/>
      <c r="I556" s="546"/>
      <c r="J556" s="593"/>
      <c r="K556" s="563" t="str">
        <f>IF(G556&lt;&gt;0,VLOOKUP(G556,'gia dat'!$A$1:$F$144,5,0)," ")</f>
        <v xml:space="preserve"> </v>
      </c>
      <c r="L556" s="563" t="str">
        <f>IF(G556&lt;&gt;0,VLOOKUP(G556,'gia dat'!$A$1:$F$144,6,0)," ")</f>
        <v xml:space="preserve"> </v>
      </c>
      <c r="M556" s="564" t="str">
        <f t="shared" si="107"/>
        <v xml:space="preserve"> </v>
      </c>
      <c r="N556" s="564" t="str">
        <f t="shared" si="108"/>
        <v xml:space="preserve"> </v>
      </c>
      <c r="O556" s="593"/>
      <c r="P556" s="616"/>
      <c r="Q556" s="564" t="str">
        <f>IF(O556&lt;&gt;0,VLOOKUP(O556,'Cây trong'!$A$2:$C$246,3,0)," ")</f>
        <v xml:space="preserve"> </v>
      </c>
      <c r="R556" s="564" t="str">
        <f t="shared" si="110"/>
        <v xml:space="preserve"> </v>
      </c>
      <c r="S556" s="593"/>
      <c r="T556" s="593"/>
      <c r="U556" s="617"/>
      <c r="V556" s="589"/>
      <c r="W556" s="564" t="str">
        <f>IF(S556&lt;&gt;0,VLOOKUP(S556,VKT!$A$2:$G$415,7,0),"")</f>
        <v/>
      </c>
      <c r="X556" s="564" t="str">
        <f t="shared" si="102"/>
        <v xml:space="preserve"> </v>
      </c>
      <c r="Y556" s="589"/>
      <c r="Z556" s="589"/>
      <c r="AA556" s="589"/>
      <c r="AB556" s="562"/>
      <c r="AC556" s="589"/>
      <c r="AD556" s="589"/>
      <c r="AE556" s="589"/>
      <c r="AF556" s="629"/>
      <c r="AG556" s="570" t="str">
        <f>IF(AE556&lt;&gt;0,VLOOKUP(AE556,ODDS!$A$2:$C$13,3,0),"")</f>
        <v/>
      </c>
      <c r="AH556" s="570" t="str">
        <f t="shared" si="111"/>
        <v xml:space="preserve"> </v>
      </c>
      <c r="AI556" s="571" t="str">
        <f t="shared" si="112"/>
        <v xml:space="preserve"> </v>
      </c>
      <c r="AJ556" s="593"/>
      <c r="AK556" s="593"/>
    </row>
    <row r="557" spans="1:39" s="376" customFormat="1" ht="20.25" outlineLevel="2" x14ac:dyDescent="0.3">
      <c r="A557" s="447">
        <f t="shared" si="117"/>
        <v>47</v>
      </c>
      <c r="B557" s="557"/>
      <c r="C557" s="558"/>
      <c r="D557" s="587"/>
      <c r="E557" s="587"/>
      <c r="F557" s="615"/>
      <c r="G557" s="558"/>
      <c r="H557" s="604"/>
      <c r="I557" s="546"/>
      <c r="J557" s="593"/>
      <c r="K557" s="563" t="str">
        <f>IF(G557&lt;&gt;0,VLOOKUP(G557,'gia dat'!$A$1:$F$144,5,0)," ")</f>
        <v xml:space="preserve"> </v>
      </c>
      <c r="L557" s="563" t="str">
        <f>IF(G557&lt;&gt;0,VLOOKUP(G557,'gia dat'!$A$1:$F$144,6,0)," ")</f>
        <v xml:space="preserve"> </v>
      </c>
      <c r="M557" s="564" t="str">
        <f t="shared" si="107"/>
        <v xml:space="preserve"> </v>
      </c>
      <c r="N557" s="564" t="str">
        <f t="shared" si="108"/>
        <v xml:space="preserve"> </v>
      </c>
      <c r="O557" s="593"/>
      <c r="P557" s="616"/>
      <c r="Q557" s="564" t="str">
        <f>IF(O557&lt;&gt;0,VLOOKUP(O557,'Cây trong'!$A$2:$C$246,3,0)," ")</f>
        <v xml:space="preserve"> </v>
      </c>
      <c r="R557" s="564" t="str">
        <f t="shared" si="110"/>
        <v xml:space="preserve"> </v>
      </c>
      <c r="S557" s="593"/>
      <c r="T557" s="593"/>
      <c r="U557" s="617"/>
      <c r="V557" s="589"/>
      <c r="W557" s="564" t="str">
        <f>IF(S557&lt;&gt;0,VLOOKUP(S557,VKT!$A$2:$G$415,7,0),"")</f>
        <v/>
      </c>
      <c r="X557" s="564" t="str">
        <f t="shared" ref="X557:X625" si="118">IF(S557&lt;&gt;0,ROUND(U557*W557,-3)," ")</f>
        <v xml:space="preserve"> </v>
      </c>
      <c r="Y557" s="589"/>
      <c r="Z557" s="589"/>
      <c r="AA557" s="589"/>
      <c r="AB557" s="562"/>
      <c r="AC557" s="589"/>
      <c r="AD557" s="589"/>
      <c r="AE557" s="589"/>
      <c r="AF557" s="629"/>
      <c r="AG557" s="570" t="str">
        <f>IF(AE557&lt;&gt;0,VLOOKUP(AE557,ODDS!$A$2:$C$13,3,0),"")</f>
        <v/>
      </c>
      <c r="AH557" s="570" t="str">
        <f t="shared" si="111"/>
        <v xml:space="preserve"> </v>
      </c>
      <c r="AI557" s="571" t="str">
        <f t="shared" si="112"/>
        <v xml:space="preserve"> </v>
      </c>
      <c r="AJ557" s="593"/>
      <c r="AK557" s="593"/>
    </row>
    <row r="558" spans="1:39" s="376" customFormat="1" ht="20.25" outlineLevel="2" x14ac:dyDescent="0.3">
      <c r="A558" s="447">
        <f t="shared" si="117"/>
        <v>47</v>
      </c>
      <c r="B558" s="557"/>
      <c r="C558" s="574"/>
      <c r="D558" s="587"/>
      <c r="E558" s="587"/>
      <c r="F558" s="560"/>
      <c r="G558" s="558"/>
      <c r="H558" s="588"/>
      <c r="I558" s="546"/>
      <c r="J558" s="593"/>
      <c r="K558" s="563" t="str">
        <f>IF(G558&lt;&gt;0,VLOOKUP(G558,'gia dat'!$A$1:$F$144,5,0)," ")</f>
        <v xml:space="preserve"> </v>
      </c>
      <c r="L558" s="563" t="str">
        <f>IF(G558&lt;&gt;0,VLOOKUP(G558,'gia dat'!$A$1:$F$144,6,0)," ")</f>
        <v xml:space="preserve"> </v>
      </c>
      <c r="M558" s="564" t="str">
        <f t="shared" si="107"/>
        <v xml:space="preserve"> </v>
      </c>
      <c r="N558" s="564" t="str">
        <f t="shared" si="108"/>
        <v xml:space="preserve"> </v>
      </c>
      <c r="O558" s="586"/>
      <c r="P558" s="630"/>
      <c r="Q558" s="564" t="str">
        <f>IF(O558&lt;&gt;0,VLOOKUP(O558,'Cây trong'!$A$2:$C$246,3,0)," ")</f>
        <v xml:space="preserve"> </v>
      </c>
      <c r="R558" s="564" t="str">
        <f t="shared" si="110"/>
        <v xml:space="preserve"> </v>
      </c>
      <c r="S558" s="661"/>
      <c r="T558" s="609"/>
      <c r="U558" s="591"/>
      <c r="V558" s="589"/>
      <c r="W558" s="564" t="str">
        <f>IF(S558&lt;&gt;0,VLOOKUP(S558,VKT!$A$2:$G$415,7,0),"")</f>
        <v/>
      </c>
      <c r="X558" s="564" t="str">
        <f t="shared" si="118"/>
        <v xml:space="preserve"> </v>
      </c>
      <c r="Y558" s="589"/>
      <c r="Z558" s="592"/>
      <c r="AA558" s="592"/>
      <c r="AB558" s="568"/>
      <c r="AC558" s="592"/>
      <c r="AD558" s="592"/>
      <c r="AE558" s="592"/>
      <c r="AF558" s="590"/>
      <c r="AG558" s="570" t="str">
        <f>IF(AE558&lt;&gt;0,VLOOKUP(AE558,ODDS!$A$2:$C$13,3,0),"")</f>
        <v/>
      </c>
      <c r="AH558" s="570" t="str">
        <f t="shared" si="111"/>
        <v xml:space="preserve"> </v>
      </c>
      <c r="AI558" s="571" t="str">
        <f t="shared" si="112"/>
        <v xml:space="preserve"> </v>
      </c>
      <c r="AJ558" s="593"/>
      <c r="AK558" s="593"/>
    </row>
    <row r="559" spans="1:39" s="376" customFormat="1" ht="20.25" outlineLevel="1" x14ac:dyDescent="0.25">
      <c r="A559" s="467" t="s">
        <v>2662</v>
      </c>
      <c r="B559" s="576">
        <v>48</v>
      </c>
      <c r="C559" s="574" t="s">
        <v>36</v>
      </c>
      <c r="D559" s="595"/>
      <c r="E559" s="595"/>
      <c r="F559" s="577"/>
      <c r="G559" s="574"/>
      <c r="H559" s="618">
        <f>SUBTOTAL(9,H560:H566)</f>
        <v>246.5</v>
      </c>
      <c r="I559" s="579">
        <f>SUBTOTAL(9,I560:I565)</f>
        <v>37.1</v>
      </c>
      <c r="J559" s="597"/>
      <c r="K559" s="581"/>
      <c r="L559" s="581"/>
      <c r="M559" s="571">
        <f>SUBTOTAL(9,M560:M566)</f>
        <v>1227215000</v>
      </c>
      <c r="N559" s="571">
        <f>SUBTOTAL(9,N560:N566)</f>
        <v>61704000</v>
      </c>
      <c r="O559" s="574"/>
      <c r="P559" s="599">
        <f>SUBTOTAL(9,P560:P566)</f>
        <v>95</v>
      </c>
      <c r="Q559" s="571"/>
      <c r="R559" s="571">
        <f>SUBTOTAL(9,R560:R566)</f>
        <v>11207000</v>
      </c>
      <c r="S559" s="582"/>
      <c r="T559" s="597"/>
      <c r="U559" s="600">
        <f>SUBTOTAL(9,U560:U566)</f>
        <v>0</v>
      </c>
      <c r="V559" s="597"/>
      <c r="W559" s="571"/>
      <c r="X559" s="571">
        <f>SUBTOTAL(9,X560:X566)</f>
        <v>0</v>
      </c>
      <c r="Y559" s="589"/>
      <c r="Z559" s="592"/>
      <c r="AA559" s="592"/>
      <c r="AB559" s="568"/>
      <c r="AC559" s="592"/>
      <c r="AD559" s="592"/>
      <c r="AE559" s="601"/>
      <c r="AF559" s="599">
        <f>SUBTOTAL(9,AF560:AF566)</f>
        <v>0</v>
      </c>
      <c r="AG559" s="585"/>
      <c r="AH559" s="585">
        <f>SUBTOTAL(9,AH560:AH566)</f>
        <v>0</v>
      </c>
      <c r="AI559" s="571">
        <f t="shared" si="112"/>
        <v>1300126000</v>
      </c>
      <c r="AJ559" s="574"/>
      <c r="AK559" s="578"/>
    </row>
    <row r="560" spans="1:39" s="376" customFormat="1" ht="121.5" outlineLevel="2" x14ac:dyDescent="0.3">
      <c r="A560" s="447">
        <f>IF(B559&lt;&gt;0,B559,A558)</f>
        <v>48</v>
      </c>
      <c r="B560" s="557"/>
      <c r="C560" s="648" t="s">
        <v>205</v>
      </c>
      <c r="D560" s="587">
        <v>4</v>
      </c>
      <c r="E560" s="587">
        <v>86</v>
      </c>
      <c r="F560" s="560">
        <v>370</v>
      </c>
      <c r="G560" s="558" t="s">
        <v>2037</v>
      </c>
      <c r="H560" s="588">
        <v>209.4</v>
      </c>
      <c r="I560" s="546" t="str">
        <f t="shared" ref="I560:I562" si="119">IF(N560&gt;0,H560,"")</f>
        <v/>
      </c>
      <c r="J560" s="589"/>
      <c r="K560" s="563">
        <f>IF(G560&lt;&gt;0,VLOOKUP(G560,'gia dat'!$A$1:$F$144,5,0)," ")</f>
        <v>5762400</v>
      </c>
      <c r="L560" s="563">
        <f>IF(G560&lt;&gt;0,VLOOKUP(G560,'gia dat'!$A$1:$F$144,6,0)," ")</f>
        <v>0</v>
      </c>
      <c r="M560" s="564">
        <f t="shared" si="107"/>
        <v>1206647000</v>
      </c>
      <c r="N560" s="564">
        <f t="shared" si="108"/>
        <v>0</v>
      </c>
      <c r="O560" s="558" t="s">
        <v>319</v>
      </c>
      <c r="P560" s="590">
        <v>71</v>
      </c>
      <c r="Q560" s="564">
        <f>IF(O560&lt;&gt;0,VLOOKUP(O560,'Cây trong'!$A$2:$C$246,3,0)," ")</f>
        <v>132000</v>
      </c>
      <c r="R560" s="564">
        <f t="shared" si="110"/>
        <v>9372000</v>
      </c>
      <c r="S560" s="566"/>
      <c r="T560" s="589"/>
      <c r="U560" s="591"/>
      <c r="V560" s="589"/>
      <c r="W560" s="564" t="str">
        <f>IF(S560&lt;&gt;0,VLOOKUP(S560,VKT!$A$2:$G$415,7,0),"")</f>
        <v/>
      </c>
      <c r="X560" s="564" t="str">
        <f t="shared" si="118"/>
        <v xml:space="preserve"> </v>
      </c>
      <c r="Y560" s="589"/>
      <c r="Z560" s="592"/>
      <c r="AA560" s="592"/>
      <c r="AB560" s="568"/>
      <c r="AC560" s="592"/>
      <c r="AD560" s="592"/>
      <c r="AE560" s="592"/>
      <c r="AF560" s="590"/>
      <c r="AG560" s="570" t="str">
        <f>IF(AE560&lt;&gt;0,VLOOKUP(AE560,ODDS!$A$2:$C$13,3,0),"")</f>
        <v/>
      </c>
      <c r="AH560" s="570"/>
      <c r="AI560" s="571" t="str">
        <f t="shared" si="112"/>
        <v xml:space="preserve"> </v>
      </c>
      <c r="AJ560" s="558" t="s">
        <v>680</v>
      </c>
      <c r="AK560" s="586" t="s">
        <v>2771</v>
      </c>
    </row>
    <row r="561" spans="1:37" s="376" customFormat="1" ht="101.25" outlineLevel="2" x14ac:dyDescent="0.3">
      <c r="A561" s="447">
        <f t="shared" ref="A561:A566" si="120">IF(B560&lt;&gt;0,B560,A560)</f>
        <v>48</v>
      </c>
      <c r="B561" s="557"/>
      <c r="C561" s="648" t="s">
        <v>681</v>
      </c>
      <c r="D561" s="587"/>
      <c r="E561" s="587">
        <v>86</v>
      </c>
      <c r="F561" s="560">
        <v>370</v>
      </c>
      <c r="G561" s="558" t="s">
        <v>2469</v>
      </c>
      <c r="H561" s="588">
        <v>35.1</v>
      </c>
      <c r="I561" s="546">
        <f t="shared" si="119"/>
        <v>35.1</v>
      </c>
      <c r="J561" s="589"/>
      <c r="K561" s="563">
        <f>IF(G561&lt;&gt;0,VLOOKUP(G561,'gia dat'!$A$1:$F$144,5,0)," ")</f>
        <v>554400</v>
      </c>
      <c r="L561" s="563">
        <f>IF(G561&lt;&gt;0,VLOOKUP(G561,'gia dat'!$A$1:$F$144,6,0)," ")</f>
        <v>1663200</v>
      </c>
      <c r="M561" s="564">
        <f t="shared" si="107"/>
        <v>19459000</v>
      </c>
      <c r="N561" s="564">
        <f t="shared" si="108"/>
        <v>58378000</v>
      </c>
      <c r="O561" s="646" t="s">
        <v>73</v>
      </c>
      <c r="P561" s="590">
        <v>11</v>
      </c>
      <c r="Q561" s="564">
        <f>IF(O561&lt;&gt;0,VLOOKUP(O561,'Cây trong'!$A$2:$C$246,3,0)," ")</f>
        <v>76000</v>
      </c>
      <c r="R561" s="564">
        <f t="shared" si="110"/>
        <v>836000</v>
      </c>
      <c r="S561" s="646"/>
      <c r="T561" s="662"/>
      <c r="U561" s="591"/>
      <c r="V561" s="589"/>
      <c r="W561" s="564" t="str">
        <f>IF(S561&lt;&gt;0,VLOOKUP(S561,VKT!$A$2:$G$415,7,0),"")</f>
        <v/>
      </c>
      <c r="X561" s="564" t="str">
        <f t="shared" si="118"/>
        <v xml:space="preserve"> </v>
      </c>
      <c r="Y561" s="589"/>
      <c r="Z561" s="592"/>
      <c r="AA561" s="592"/>
      <c r="AB561" s="568"/>
      <c r="AC561" s="592"/>
      <c r="AD561" s="592"/>
      <c r="AE561" s="592"/>
      <c r="AF561" s="590"/>
      <c r="AG561" s="570" t="str">
        <f>IF(AE561&lt;&gt;0,VLOOKUP(AE561,ODDS!$A$2:$C$13,3,0),"")</f>
        <v/>
      </c>
      <c r="AH561" s="570" t="str">
        <f t="shared" si="111"/>
        <v xml:space="preserve"> </v>
      </c>
      <c r="AI561" s="571" t="str">
        <f t="shared" si="112"/>
        <v xml:space="preserve"> </v>
      </c>
      <c r="AJ561" s="558" t="s">
        <v>517</v>
      </c>
      <c r="AK561" s="558" t="s">
        <v>2448</v>
      </c>
    </row>
    <row r="562" spans="1:37" s="376" customFormat="1" ht="101.25" outlineLevel="2" x14ac:dyDescent="0.3">
      <c r="A562" s="447">
        <f t="shared" si="120"/>
        <v>48</v>
      </c>
      <c r="B562" s="557"/>
      <c r="C562" s="648" t="s">
        <v>311</v>
      </c>
      <c r="D562" s="587"/>
      <c r="E562" s="587"/>
      <c r="F562" s="560"/>
      <c r="G562" s="558" t="s">
        <v>2470</v>
      </c>
      <c r="H562" s="588">
        <v>2</v>
      </c>
      <c r="I562" s="546">
        <f t="shared" si="119"/>
        <v>2</v>
      </c>
      <c r="J562" s="589"/>
      <c r="K562" s="563">
        <f>IF(G562&lt;&gt;0,VLOOKUP(G562,'gia dat'!$A$1:$F$144,5,0)," ")</f>
        <v>554400</v>
      </c>
      <c r="L562" s="563">
        <f>IF(G562&lt;&gt;0,VLOOKUP(G562,'gia dat'!$A$1:$F$144,6,0)," ")</f>
        <v>1663200</v>
      </c>
      <c r="M562" s="564">
        <f t="shared" si="107"/>
        <v>1109000</v>
      </c>
      <c r="N562" s="564">
        <f t="shared" si="108"/>
        <v>3326000</v>
      </c>
      <c r="O562" s="558" t="s">
        <v>75</v>
      </c>
      <c r="P562" s="590">
        <v>9</v>
      </c>
      <c r="Q562" s="564">
        <f>IF(O562&lt;&gt;0,VLOOKUP(O562,'Cây trong'!$A$2:$C$246,3,0)," ")</f>
        <v>34000</v>
      </c>
      <c r="R562" s="564">
        <f t="shared" si="110"/>
        <v>306000</v>
      </c>
      <c r="S562" s="566"/>
      <c r="T562" s="589"/>
      <c r="U562" s="591"/>
      <c r="V562" s="589"/>
      <c r="W562" s="564" t="str">
        <f>IF(S562&lt;&gt;0,VLOOKUP(S562,VKT!$A$2:$G$415,7,0),"")</f>
        <v/>
      </c>
      <c r="X562" s="564" t="str">
        <f t="shared" si="118"/>
        <v xml:space="preserve"> </v>
      </c>
      <c r="Y562" s="589"/>
      <c r="Z562" s="592"/>
      <c r="AA562" s="592"/>
      <c r="AB562" s="568"/>
      <c r="AC562" s="592"/>
      <c r="AD562" s="592"/>
      <c r="AE562" s="592"/>
      <c r="AF562" s="590"/>
      <c r="AG562" s="570" t="str">
        <f>IF(AE562&lt;&gt;0,VLOOKUP(AE562,ODDS!$A$2:$C$13,3,0),"")</f>
        <v/>
      </c>
      <c r="AH562" s="570" t="str">
        <f t="shared" si="111"/>
        <v xml:space="preserve"> </v>
      </c>
      <c r="AI562" s="571" t="str">
        <f t="shared" si="112"/>
        <v xml:space="preserve"> </v>
      </c>
      <c r="AJ562" s="558" t="s">
        <v>518</v>
      </c>
      <c r="AK562" s="558" t="s">
        <v>2449</v>
      </c>
    </row>
    <row r="563" spans="1:37" s="376" customFormat="1" ht="60.75" outlineLevel="2" x14ac:dyDescent="0.3">
      <c r="A563" s="447">
        <f t="shared" si="120"/>
        <v>48</v>
      </c>
      <c r="B563" s="557"/>
      <c r="C563" s="558"/>
      <c r="D563" s="587"/>
      <c r="E563" s="587"/>
      <c r="F563" s="560"/>
      <c r="G563" s="558"/>
      <c r="H563" s="588"/>
      <c r="I563" s="546"/>
      <c r="J563" s="593"/>
      <c r="K563" s="563" t="str">
        <f>IF(G563&lt;&gt;0,VLOOKUP(G563,'gia dat'!$A$1:$F$144,5,0)," ")</f>
        <v xml:space="preserve"> </v>
      </c>
      <c r="L563" s="563" t="str">
        <f>IF(G563&lt;&gt;0,VLOOKUP(G563,'gia dat'!$A$1:$F$144,6,0)," ")</f>
        <v xml:space="preserve"> </v>
      </c>
      <c r="M563" s="564" t="str">
        <f t="shared" si="107"/>
        <v xml:space="preserve"> </v>
      </c>
      <c r="N563" s="564" t="str">
        <f t="shared" si="108"/>
        <v xml:space="preserve"> </v>
      </c>
      <c r="O563" s="586" t="s">
        <v>69</v>
      </c>
      <c r="P563" s="630">
        <v>3</v>
      </c>
      <c r="Q563" s="564">
        <f>IF(O563&lt;&gt;0,VLOOKUP(O563,'Cây trong'!$A$2:$C$246,3,0)," ")</f>
        <v>211000</v>
      </c>
      <c r="R563" s="564">
        <f t="shared" si="110"/>
        <v>633000</v>
      </c>
      <c r="S563" s="586"/>
      <c r="T563" s="609"/>
      <c r="U563" s="591"/>
      <c r="V563" s="589"/>
      <c r="W563" s="564" t="str">
        <f>IF(S563&lt;&gt;0,VLOOKUP(S563,VKT!$A$2:$G$415,7,0),"")</f>
        <v/>
      </c>
      <c r="X563" s="564" t="str">
        <f t="shared" si="118"/>
        <v xml:space="preserve"> </v>
      </c>
      <c r="Y563" s="589"/>
      <c r="Z563" s="592"/>
      <c r="AA563" s="592"/>
      <c r="AB563" s="568"/>
      <c r="AC563" s="592"/>
      <c r="AD563" s="592"/>
      <c r="AE563" s="592"/>
      <c r="AF563" s="590"/>
      <c r="AG563" s="570" t="str">
        <f>IF(AE563&lt;&gt;0,VLOOKUP(AE563,ODDS!$A$2:$C$13,3,0),"")</f>
        <v/>
      </c>
      <c r="AH563" s="570" t="str">
        <f t="shared" si="111"/>
        <v xml:space="preserve"> </v>
      </c>
      <c r="AI563" s="571" t="str">
        <f t="shared" si="112"/>
        <v xml:space="preserve"> </v>
      </c>
      <c r="AJ563" s="558" t="s">
        <v>2074</v>
      </c>
      <c r="AK563" s="593"/>
    </row>
    <row r="564" spans="1:37" s="376" customFormat="1" ht="20.25" outlineLevel="2" x14ac:dyDescent="0.3">
      <c r="A564" s="447">
        <f t="shared" si="120"/>
        <v>48</v>
      </c>
      <c r="B564" s="557"/>
      <c r="C564" s="558"/>
      <c r="D564" s="587"/>
      <c r="E564" s="587"/>
      <c r="F564" s="560"/>
      <c r="G564" s="558"/>
      <c r="H564" s="588"/>
      <c r="I564" s="546"/>
      <c r="J564" s="589"/>
      <c r="K564" s="563" t="str">
        <f>IF(G564&lt;&gt;0,VLOOKUP(G564,'gia dat'!$A$1:$F$144,5,0)," ")</f>
        <v xml:space="preserve"> </v>
      </c>
      <c r="L564" s="563" t="str">
        <f>IF(G564&lt;&gt;0,VLOOKUP(G564,'gia dat'!$A$1:$F$144,6,0)," ")</f>
        <v xml:space="preserve"> </v>
      </c>
      <c r="M564" s="564" t="str">
        <f t="shared" si="107"/>
        <v xml:space="preserve"> </v>
      </c>
      <c r="N564" s="564" t="str">
        <f t="shared" si="108"/>
        <v xml:space="preserve"> </v>
      </c>
      <c r="O564" s="558" t="s">
        <v>749</v>
      </c>
      <c r="P564" s="590">
        <v>1</v>
      </c>
      <c r="Q564" s="564">
        <f>IF(O564&lt;&gt;0,VLOOKUP(O564,'Cây trong'!$A$2:$C$246,3,0)," ")</f>
        <v>60000</v>
      </c>
      <c r="R564" s="564">
        <f t="shared" si="110"/>
        <v>60000</v>
      </c>
      <c r="S564" s="566"/>
      <c r="T564" s="589"/>
      <c r="U564" s="591"/>
      <c r="V564" s="589"/>
      <c r="W564" s="564" t="str">
        <f>IF(S564&lt;&gt;0,VLOOKUP(S564,VKT!$A$2:$G$415,7,0),"")</f>
        <v/>
      </c>
      <c r="X564" s="564" t="str">
        <f t="shared" si="118"/>
        <v xml:space="preserve"> </v>
      </c>
      <c r="Y564" s="589"/>
      <c r="Z564" s="592"/>
      <c r="AA564" s="592"/>
      <c r="AB564" s="568"/>
      <c r="AC564" s="592"/>
      <c r="AD564" s="592"/>
      <c r="AE564" s="592"/>
      <c r="AF564" s="590"/>
      <c r="AG564" s="570" t="str">
        <f>IF(AE564&lt;&gt;0,VLOOKUP(AE564,ODDS!$A$2:$C$13,3,0),"")</f>
        <v/>
      </c>
      <c r="AH564" s="570" t="str">
        <f t="shared" si="111"/>
        <v xml:space="preserve"> </v>
      </c>
      <c r="AI564" s="571" t="str">
        <f t="shared" si="112"/>
        <v xml:space="preserve"> </v>
      </c>
      <c r="AJ564" s="575"/>
      <c r="AK564" s="593"/>
    </row>
    <row r="565" spans="1:37" s="376" customFormat="1" ht="20.25" outlineLevel="2" x14ac:dyDescent="0.3">
      <c r="A565" s="447">
        <f t="shared" si="120"/>
        <v>48</v>
      </c>
      <c r="B565" s="557"/>
      <c r="C565" s="607"/>
      <c r="D565" s="587"/>
      <c r="E565" s="587"/>
      <c r="F565" s="615"/>
      <c r="G565" s="558"/>
      <c r="H565" s="604"/>
      <c r="I565" s="546"/>
      <c r="J565" s="593"/>
      <c r="K565" s="563" t="str">
        <f>IF(G565&lt;&gt;0,VLOOKUP(G565,'gia dat'!$A$1:$F$144,5,0)," ")</f>
        <v xml:space="preserve"> </v>
      </c>
      <c r="L565" s="563" t="str">
        <f>IF(G565&lt;&gt;0,VLOOKUP(G565,'gia dat'!$A$1:$F$144,6,0)," ")</f>
        <v xml:space="preserve"> </v>
      </c>
      <c r="M565" s="564" t="str">
        <f t="shared" si="107"/>
        <v xml:space="preserve"> </v>
      </c>
      <c r="N565" s="564" t="str">
        <f t="shared" si="108"/>
        <v xml:space="preserve"> </v>
      </c>
      <c r="O565" s="593"/>
      <c r="P565" s="616"/>
      <c r="Q565" s="564" t="str">
        <f>IF(O565&lt;&gt;0,VLOOKUP(O565,'Cây trong'!$A$2:$C$246,3,0)," ")</f>
        <v xml:space="preserve"> </v>
      </c>
      <c r="R565" s="564" t="str">
        <f t="shared" si="110"/>
        <v xml:space="preserve"> </v>
      </c>
      <c r="S565" s="593"/>
      <c r="T565" s="593"/>
      <c r="U565" s="617"/>
      <c r="V565" s="589"/>
      <c r="W565" s="564" t="str">
        <f>IF(S565&lt;&gt;0,VLOOKUP(S565,VKT!$A$2:$G$415,7,0),"")</f>
        <v/>
      </c>
      <c r="X565" s="564" t="str">
        <f t="shared" si="118"/>
        <v xml:space="preserve"> </v>
      </c>
      <c r="Y565" s="589"/>
      <c r="Z565" s="589"/>
      <c r="AA565" s="589"/>
      <c r="AB565" s="562"/>
      <c r="AC565" s="589"/>
      <c r="AD565" s="589"/>
      <c r="AE565" s="589"/>
      <c r="AF565" s="629"/>
      <c r="AG565" s="570" t="str">
        <f>IF(AE565&lt;&gt;0,VLOOKUP(AE565,ODDS!$A$2:$C$13,3,0),"")</f>
        <v/>
      </c>
      <c r="AH565" s="570" t="str">
        <f t="shared" si="111"/>
        <v xml:space="preserve"> </v>
      </c>
      <c r="AI565" s="571" t="str">
        <f t="shared" si="112"/>
        <v xml:space="preserve"> </v>
      </c>
      <c r="AJ565" s="593"/>
      <c r="AK565" s="593"/>
    </row>
    <row r="566" spans="1:37" s="376" customFormat="1" ht="20.25" outlineLevel="2" x14ac:dyDescent="0.3">
      <c r="A566" s="447">
        <f t="shared" si="120"/>
        <v>48</v>
      </c>
      <c r="B566" s="557"/>
      <c r="C566" s="574"/>
      <c r="D566" s="587"/>
      <c r="E566" s="587"/>
      <c r="F566" s="560"/>
      <c r="G566" s="558"/>
      <c r="H566" s="588"/>
      <c r="I566" s="546"/>
      <c r="J566" s="589"/>
      <c r="K566" s="563" t="str">
        <f>IF(G566&lt;&gt;0,VLOOKUP(G566,'gia dat'!$A$1:$F$144,5,0)," ")</f>
        <v xml:space="preserve"> </v>
      </c>
      <c r="L566" s="563" t="str">
        <f>IF(G566&lt;&gt;0,VLOOKUP(G566,'gia dat'!$A$1:$F$144,6,0)," ")</f>
        <v xml:space="preserve"> </v>
      </c>
      <c r="M566" s="564" t="str">
        <f t="shared" si="107"/>
        <v xml:space="preserve"> </v>
      </c>
      <c r="N566" s="564" t="str">
        <f t="shared" si="108"/>
        <v xml:space="preserve"> </v>
      </c>
      <c r="O566" s="558"/>
      <c r="P566" s="590"/>
      <c r="Q566" s="564" t="str">
        <f>IF(O566&lt;&gt;0,VLOOKUP(O566,'Cây trong'!$A$2:$C$246,3,0)," ")</f>
        <v xml:space="preserve"> </v>
      </c>
      <c r="R566" s="564" t="str">
        <f t="shared" si="110"/>
        <v xml:space="preserve"> </v>
      </c>
      <c r="S566" s="566"/>
      <c r="T566" s="589"/>
      <c r="U566" s="591"/>
      <c r="V566" s="589"/>
      <c r="W566" s="564" t="str">
        <f>IF(S566&lt;&gt;0,VLOOKUP(S566,VKT!$A$2:$G$415,7,0),"")</f>
        <v/>
      </c>
      <c r="X566" s="564" t="str">
        <f t="shared" si="118"/>
        <v xml:space="preserve"> </v>
      </c>
      <c r="Y566" s="589"/>
      <c r="Z566" s="592"/>
      <c r="AA566" s="592"/>
      <c r="AB566" s="568"/>
      <c r="AC566" s="592"/>
      <c r="AD566" s="592"/>
      <c r="AE566" s="592"/>
      <c r="AF566" s="590"/>
      <c r="AG566" s="570" t="str">
        <f>IF(AE566&lt;&gt;0,VLOOKUP(AE566,ODDS!$A$2:$C$13,3,0),"")</f>
        <v/>
      </c>
      <c r="AH566" s="570" t="str">
        <f t="shared" si="111"/>
        <v xml:space="preserve"> </v>
      </c>
      <c r="AI566" s="571" t="str">
        <f t="shared" si="112"/>
        <v xml:space="preserve"> </v>
      </c>
      <c r="AJ566" s="593"/>
      <c r="AK566" s="593"/>
    </row>
    <row r="567" spans="1:37" s="376" customFormat="1" ht="20.25" outlineLevel="1" x14ac:dyDescent="0.25">
      <c r="A567" s="467" t="s">
        <v>2661</v>
      </c>
      <c r="B567" s="576">
        <v>49</v>
      </c>
      <c r="C567" s="574" t="s">
        <v>36</v>
      </c>
      <c r="D567" s="595"/>
      <c r="E567" s="595"/>
      <c r="F567" s="577"/>
      <c r="G567" s="574"/>
      <c r="H567" s="618">
        <f>SUBTOTAL(9,H568:H584)</f>
        <v>246.1</v>
      </c>
      <c r="I567" s="579">
        <f>SUBTOTAL(9,I568:I573)</f>
        <v>36.5</v>
      </c>
      <c r="J567" s="597"/>
      <c r="K567" s="581"/>
      <c r="L567" s="581"/>
      <c r="M567" s="571">
        <f>SUBTOTAL(9,M568:M584)</f>
        <v>1228035000</v>
      </c>
      <c r="N567" s="571">
        <f>SUBTOTAL(9,N568:N584)</f>
        <v>60707000</v>
      </c>
      <c r="O567" s="644"/>
      <c r="P567" s="599">
        <f>SUBTOTAL(9,P568:P584)</f>
        <v>2</v>
      </c>
      <c r="Q567" s="571"/>
      <c r="R567" s="571">
        <f>SUBTOTAL(9,R568:R584)</f>
        <v>248000</v>
      </c>
      <c r="S567" s="644"/>
      <c r="T567" s="645"/>
      <c r="U567" s="600">
        <f>SUBTOTAL(9,U568:U584)</f>
        <v>153.55000000000001</v>
      </c>
      <c r="V567" s="597"/>
      <c r="W567" s="571"/>
      <c r="X567" s="571">
        <f>SUBTOTAL(9,X568:X584)</f>
        <v>380029000</v>
      </c>
      <c r="Y567" s="589"/>
      <c r="Z567" s="592"/>
      <c r="AA567" s="592"/>
      <c r="AB567" s="568"/>
      <c r="AC567" s="592"/>
      <c r="AD567" s="568"/>
      <c r="AE567" s="602"/>
      <c r="AF567" s="581">
        <f>SUBTOTAL(9,AF568:AF584)</f>
        <v>1</v>
      </c>
      <c r="AG567" s="585"/>
      <c r="AH567" s="585">
        <f>SUBTOTAL(9,AH568:AH584)</f>
        <v>13000000</v>
      </c>
      <c r="AI567" s="571">
        <f t="shared" si="112"/>
        <v>1682019000</v>
      </c>
      <c r="AJ567" s="574"/>
      <c r="AK567" s="578"/>
    </row>
    <row r="568" spans="1:37" s="376" customFormat="1" ht="121.5" outlineLevel="2" x14ac:dyDescent="0.3">
      <c r="A568" s="447">
        <f>IF(B567&lt;&gt;0,B567,A566)</f>
        <v>49</v>
      </c>
      <c r="B568" s="557"/>
      <c r="C568" s="648" t="s">
        <v>205</v>
      </c>
      <c r="D568" s="587"/>
      <c r="E568" s="587">
        <v>86</v>
      </c>
      <c r="F568" s="560">
        <v>695</v>
      </c>
      <c r="G568" s="558" t="s">
        <v>2039</v>
      </c>
      <c r="H568" s="588">
        <v>209.6</v>
      </c>
      <c r="I568" s="546" t="str">
        <f t="shared" ref="I568:I570" si="121">IF(N568&gt;0,H568,"")</f>
        <v/>
      </c>
      <c r="J568" s="589"/>
      <c r="K568" s="563">
        <f>IF(G568&lt;&gt;0,VLOOKUP(G568,'gia dat'!$A$1:$F$144,5,0)," ")</f>
        <v>5762400</v>
      </c>
      <c r="L568" s="563">
        <f>IF(G568&lt;&gt;0,VLOOKUP(G568,'gia dat'!$A$1:$F$144,6,0)," ")</f>
        <v>0</v>
      </c>
      <c r="M568" s="564">
        <f t="shared" si="107"/>
        <v>1207799000</v>
      </c>
      <c r="N568" s="564">
        <f t="shared" si="108"/>
        <v>0</v>
      </c>
      <c r="O568" s="646" t="s">
        <v>154</v>
      </c>
      <c r="P568" s="590">
        <v>1</v>
      </c>
      <c r="Q568" s="564">
        <f>IF(O568&lt;&gt;0,VLOOKUP(O568,'Cây trong'!$A$2:$C$246,3,0)," ")</f>
        <v>248000</v>
      </c>
      <c r="R568" s="564">
        <f t="shared" si="110"/>
        <v>248000</v>
      </c>
      <c r="S568" s="646" t="s">
        <v>1820</v>
      </c>
      <c r="T568" s="647" t="s">
        <v>53</v>
      </c>
      <c r="U568" s="591">
        <v>43.1</v>
      </c>
      <c r="V568" s="589"/>
      <c r="W568" s="564">
        <f>IF(S568&lt;&gt;0,VLOOKUP(S568,VKT!$A$2:$G$415,7,0),"")</f>
        <v>5307665</v>
      </c>
      <c r="X568" s="564">
        <f t="shared" si="118"/>
        <v>228760000</v>
      </c>
      <c r="Y568" s="589" t="s">
        <v>63</v>
      </c>
      <c r="Z568" s="592" t="s">
        <v>55</v>
      </c>
      <c r="AA568" s="592" t="s">
        <v>56</v>
      </c>
      <c r="AB568" s="568" t="s">
        <v>57</v>
      </c>
      <c r="AC568" s="592" t="s">
        <v>63</v>
      </c>
      <c r="AD568" s="568" t="s">
        <v>206</v>
      </c>
      <c r="AE568" s="569"/>
      <c r="AF568" s="563"/>
      <c r="AG568" s="570"/>
      <c r="AH568" s="570"/>
      <c r="AI568" s="571" t="str">
        <f t="shared" si="112"/>
        <v xml:space="preserve"> </v>
      </c>
      <c r="AJ568" s="558" t="s">
        <v>1696</v>
      </c>
      <c r="AK568" s="586" t="s">
        <v>2771</v>
      </c>
    </row>
    <row r="569" spans="1:37" s="376" customFormat="1" ht="101.25" outlineLevel="2" x14ac:dyDescent="0.3">
      <c r="A569" s="447">
        <f t="shared" ref="A569:A584" si="122">IF(B568&lt;&gt;0,B568,A568)</f>
        <v>49</v>
      </c>
      <c r="B569" s="557"/>
      <c r="C569" s="648" t="s">
        <v>681</v>
      </c>
      <c r="D569" s="587"/>
      <c r="E569" s="587">
        <v>86</v>
      </c>
      <c r="F569" s="560">
        <v>695</v>
      </c>
      <c r="G569" s="558" t="s">
        <v>2469</v>
      </c>
      <c r="H569" s="588">
        <v>34.9</v>
      </c>
      <c r="I569" s="546">
        <f t="shared" si="121"/>
        <v>34.9</v>
      </c>
      <c r="J569" s="589"/>
      <c r="K569" s="563">
        <f>IF(G569&lt;&gt;0,VLOOKUP(G569,'gia dat'!$A$1:$F$144,5,0)," ")</f>
        <v>554400</v>
      </c>
      <c r="L569" s="563">
        <f>IF(G569&lt;&gt;0,VLOOKUP(G569,'gia dat'!$A$1:$F$144,6,0)," ")</f>
        <v>1663200</v>
      </c>
      <c r="M569" s="564">
        <f t="shared" si="107"/>
        <v>19349000</v>
      </c>
      <c r="N569" s="564">
        <f t="shared" si="108"/>
        <v>58046000</v>
      </c>
      <c r="O569" s="646" t="s">
        <v>750</v>
      </c>
      <c r="P569" s="590">
        <v>1</v>
      </c>
      <c r="Q569" s="564">
        <f>IF(O569&lt;&gt;0,VLOOKUP(O569,'Cây trong'!$A$2:$C$246,3,0)," ")</f>
        <v>0</v>
      </c>
      <c r="R569" s="564">
        <f t="shared" si="110"/>
        <v>0</v>
      </c>
      <c r="S569" s="646" t="s">
        <v>2321</v>
      </c>
      <c r="T569" s="647" t="s">
        <v>53</v>
      </c>
      <c r="U569" s="591">
        <v>8.4</v>
      </c>
      <c r="V569" s="589"/>
      <c r="W569" s="564">
        <f>IF(S569&lt;&gt;0,VLOOKUP(S569,VKT!$A$2:$G$415,7,0),"")</f>
        <v>4246132</v>
      </c>
      <c r="X569" s="564">
        <f t="shared" si="118"/>
        <v>35668000</v>
      </c>
      <c r="Y569" s="589" t="s">
        <v>63</v>
      </c>
      <c r="Z569" s="592" t="s">
        <v>55</v>
      </c>
      <c r="AA569" s="592" t="s">
        <v>56</v>
      </c>
      <c r="AB569" s="568"/>
      <c r="AC569" s="592" t="s">
        <v>63</v>
      </c>
      <c r="AD569" s="592"/>
      <c r="AE569" s="569" t="s">
        <v>2789</v>
      </c>
      <c r="AF569" s="590">
        <v>1</v>
      </c>
      <c r="AG569" s="570">
        <f>IF(AE569&lt;&gt;0,VLOOKUP(AE569,ODDS!$A$2:$C$13,3,0),"")</f>
        <v>13000000</v>
      </c>
      <c r="AH569" s="570">
        <f t="shared" si="111"/>
        <v>13000000</v>
      </c>
      <c r="AI569" s="571" t="str">
        <f t="shared" si="112"/>
        <v xml:space="preserve"> </v>
      </c>
      <c r="AJ569" s="558" t="s">
        <v>521</v>
      </c>
      <c r="AK569" s="558" t="s">
        <v>2448</v>
      </c>
    </row>
    <row r="570" spans="1:37" s="376" customFormat="1" ht="121.5" outlineLevel="2" x14ac:dyDescent="0.3">
      <c r="A570" s="447">
        <f t="shared" si="122"/>
        <v>49</v>
      </c>
      <c r="B570" s="557"/>
      <c r="C570" s="648" t="s">
        <v>311</v>
      </c>
      <c r="D570" s="587"/>
      <c r="E570" s="587"/>
      <c r="F570" s="560"/>
      <c r="G570" s="558" t="s">
        <v>2470</v>
      </c>
      <c r="H570" s="588">
        <v>1.6</v>
      </c>
      <c r="I570" s="546">
        <f t="shared" si="121"/>
        <v>1.6</v>
      </c>
      <c r="J570" s="589"/>
      <c r="K570" s="563">
        <f>IF(G570&lt;&gt;0,VLOOKUP(G570,'gia dat'!$A$1:$F$144,5,0)," ")</f>
        <v>554400</v>
      </c>
      <c r="L570" s="563">
        <f>IF(G570&lt;&gt;0,VLOOKUP(G570,'gia dat'!$A$1:$F$144,6,0)," ")</f>
        <v>1663200</v>
      </c>
      <c r="M570" s="564">
        <f t="shared" ref="M570:M637" si="123">IF(H570&lt;&gt;0,ROUND(H570*K570,-3)," ")</f>
        <v>887000</v>
      </c>
      <c r="N570" s="564">
        <f t="shared" ref="N570:N637" si="124">IF(H570&lt;&gt;0,ROUND(H570*L570,-3)," ")</f>
        <v>2661000</v>
      </c>
      <c r="O570" s="646"/>
      <c r="P570" s="590"/>
      <c r="Q570" s="564" t="str">
        <f>IF(O570&lt;&gt;0,VLOOKUP(O570,'Cây trong'!$A$2:$C$246,3,0)," ")</f>
        <v xml:space="preserve"> </v>
      </c>
      <c r="R570" s="564" t="str">
        <f t="shared" si="110"/>
        <v xml:space="preserve"> </v>
      </c>
      <c r="S570" s="646" t="s">
        <v>1886</v>
      </c>
      <c r="T570" s="647" t="s">
        <v>53</v>
      </c>
      <c r="U570" s="591">
        <v>3.08</v>
      </c>
      <c r="V570" s="589"/>
      <c r="W570" s="564">
        <f>IF(S570&lt;&gt;0,VLOOKUP(S570,VKT!$A$2:$G$415,7,0),"")</f>
        <v>9347414</v>
      </c>
      <c r="X570" s="564">
        <f t="shared" si="118"/>
        <v>28790000</v>
      </c>
      <c r="Y570" s="589"/>
      <c r="Z570" s="592"/>
      <c r="AA570" s="592" t="s">
        <v>56</v>
      </c>
      <c r="AB570" s="568" t="s">
        <v>57</v>
      </c>
      <c r="AC570" s="592" t="s">
        <v>54</v>
      </c>
      <c r="AD570" s="592"/>
      <c r="AE570" s="606"/>
      <c r="AF570" s="590"/>
      <c r="AG570" s="570" t="str">
        <f>IF(AE570&lt;&gt;0,VLOOKUP(AE570,ODDS!$A$2:$C$13,3,0),"")</f>
        <v/>
      </c>
      <c r="AH570" s="570" t="str">
        <f t="shared" si="111"/>
        <v xml:space="preserve"> </v>
      </c>
      <c r="AI570" s="571" t="str">
        <f t="shared" si="112"/>
        <v xml:space="preserve"> </v>
      </c>
      <c r="AJ570" s="593" t="s">
        <v>250</v>
      </c>
      <c r="AK570" s="558" t="s">
        <v>2450</v>
      </c>
    </row>
    <row r="571" spans="1:37" s="376" customFormat="1" ht="101.25" outlineLevel="2" x14ac:dyDescent="0.3">
      <c r="A571" s="447">
        <f t="shared" si="122"/>
        <v>49</v>
      </c>
      <c r="B571" s="557"/>
      <c r="C571" s="648"/>
      <c r="D571" s="587"/>
      <c r="E571" s="587"/>
      <c r="F571" s="560"/>
      <c r="G571" s="558"/>
      <c r="H571" s="588"/>
      <c r="I571" s="546"/>
      <c r="J571" s="589"/>
      <c r="K571" s="563" t="str">
        <f>IF(G571&lt;&gt;0,VLOOKUP(G571,'gia dat'!$A$1:$F$144,5,0)," ")</f>
        <v xml:space="preserve"> </v>
      </c>
      <c r="L571" s="563" t="str">
        <f>IF(G571&lt;&gt;0,VLOOKUP(G571,'gia dat'!$A$1:$F$144,6,0)," ")</f>
        <v xml:space="preserve"> </v>
      </c>
      <c r="M571" s="564" t="str">
        <f t="shared" si="123"/>
        <v xml:space="preserve"> </v>
      </c>
      <c r="N571" s="564" t="str">
        <f t="shared" si="124"/>
        <v xml:space="preserve"> </v>
      </c>
      <c r="O571" s="646"/>
      <c r="P571" s="590"/>
      <c r="Q571" s="564" t="str">
        <f>IF(O571&lt;&gt;0,VLOOKUP(O571,'Cây trong'!$A$2:$C$246,3,0)," ")</f>
        <v xml:space="preserve"> </v>
      </c>
      <c r="R571" s="564" t="str">
        <f t="shared" si="110"/>
        <v xml:space="preserve"> </v>
      </c>
      <c r="S571" s="646" t="s">
        <v>1844</v>
      </c>
      <c r="T571" s="647" t="s">
        <v>53</v>
      </c>
      <c r="U571" s="591">
        <v>22</v>
      </c>
      <c r="V571" s="589"/>
      <c r="W571" s="564">
        <f>IF(S571&lt;&gt;0,VLOOKUP(S571,VKT!$A$2:$G$415,7,0),"")</f>
        <v>770070</v>
      </c>
      <c r="X571" s="564">
        <f t="shared" si="118"/>
        <v>16942000</v>
      </c>
      <c r="Y571" s="589"/>
      <c r="Z571" s="592" t="s">
        <v>55</v>
      </c>
      <c r="AA571" s="592" t="s">
        <v>141</v>
      </c>
      <c r="AB571" s="568"/>
      <c r="AC571" s="592" t="s">
        <v>66</v>
      </c>
      <c r="AD571" s="592"/>
      <c r="AE571" s="592"/>
      <c r="AF571" s="590"/>
      <c r="AG571" s="570" t="str">
        <f>IF(AE571&lt;&gt;0,VLOOKUP(AE571,ODDS!$A$2:$C$13,3,0),"")</f>
        <v/>
      </c>
      <c r="AH571" s="570" t="str">
        <f t="shared" si="111"/>
        <v xml:space="preserve"> </v>
      </c>
      <c r="AI571" s="571" t="str">
        <f t="shared" si="112"/>
        <v xml:space="preserve"> </v>
      </c>
      <c r="AJ571" s="558" t="s">
        <v>1697</v>
      </c>
      <c r="AK571" s="558" t="s">
        <v>2449</v>
      </c>
    </row>
    <row r="572" spans="1:37" s="376" customFormat="1" ht="81" outlineLevel="2" x14ac:dyDescent="0.3">
      <c r="A572" s="447">
        <f t="shared" si="122"/>
        <v>49</v>
      </c>
      <c r="B572" s="557"/>
      <c r="C572" s="648"/>
      <c r="D572" s="587"/>
      <c r="E572" s="587"/>
      <c r="F572" s="560"/>
      <c r="G572" s="558"/>
      <c r="H572" s="588"/>
      <c r="I572" s="546"/>
      <c r="J572" s="589"/>
      <c r="K572" s="563" t="str">
        <f>IF(G572&lt;&gt;0,VLOOKUP(G572,'gia dat'!$A$1:$F$144,5,0)," ")</f>
        <v xml:space="preserve"> </v>
      </c>
      <c r="L572" s="563" t="str">
        <f>IF(G572&lt;&gt;0,VLOOKUP(G572,'gia dat'!$A$1:$F$144,6,0)," ")</f>
        <v xml:space="preserve"> </v>
      </c>
      <c r="M572" s="564" t="str">
        <f t="shared" si="123"/>
        <v xml:space="preserve"> </v>
      </c>
      <c r="N572" s="564" t="str">
        <f t="shared" si="124"/>
        <v xml:space="preserve"> </v>
      </c>
      <c r="O572" s="646"/>
      <c r="P572" s="590"/>
      <c r="Q572" s="564" t="str">
        <f>IF(O572&lt;&gt;0,VLOOKUP(O572,'Cây trong'!$A$2:$C$246,3,0)," ")</f>
        <v xml:space="preserve"> </v>
      </c>
      <c r="R572" s="564" t="str">
        <f t="shared" si="110"/>
        <v xml:space="preserve"> </v>
      </c>
      <c r="S572" s="646" t="s">
        <v>1840</v>
      </c>
      <c r="T572" s="647" t="s">
        <v>53</v>
      </c>
      <c r="U572" s="591">
        <v>25</v>
      </c>
      <c r="V572" s="589"/>
      <c r="W572" s="564">
        <f>IF(S572&lt;&gt;0,VLOOKUP(S572,VKT!$A$2:$G$415,7,0),"")</f>
        <v>1676884</v>
      </c>
      <c r="X572" s="564">
        <f t="shared" si="118"/>
        <v>41922000</v>
      </c>
      <c r="Y572" s="589"/>
      <c r="Z572" s="592" t="s">
        <v>55</v>
      </c>
      <c r="AA572" s="592" t="s">
        <v>56</v>
      </c>
      <c r="AB572" s="568" t="s">
        <v>320</v>
      </c>
      <c r="AC572" s="592" t="s">
        <v>66</v>
      </c>
      <c r="AD572" s="592"/>
      <c r="AE572" s="592"/>
      <c r="AF572" s="590"/>
      <c r="AG572" s="570" t="str">
        <f>IF(AE572&lt;&gt;0,VLOOKUP(AE572,ODDS!$A$2:$C$13,3,0),"")</f>
        <v/>
      </c>
      <c r="AH572" s="570" t="str">
        <f t="shared" si="111"/>
        <v xml:space="preserve"> </v>
      </c>
      <c r="AI572" s="571" t="str">
        <f t="shared" si="112"/>
        <v xml:space="preserve"> </v>
      </c>
      <c r="AJ572" s="558" t="s">
        <v>2074</v>
      </c>
      <c r="AK572" s="558" t="s">
        <v>2451</v>
      </c>
    </row>
    <row r="573" spans="1:37" s="376" customFormat="1" ht="101.25" outlineLevel="2" x14ac:dyDescent="0.3">
      <c r="A573" s="447">
        <f t="shared" si="122"/>
        <v>49</v>
      </c>
      <c r="B573" s="557"/>
      <c r="C573" s="648"/>
      <c r="D573" s="587"/>
      <c r="E573" s="587"/>
      <c r="F573" s="560"/>
      <c r="G573" s="558"/>
      <c r="H573" s="588"/>
      <c r="I573" s="546"/>
      <c r="J573" s="589"/>
      <c r="K573" s="563" t="str">
        <f>IF(G573&lt;&gt;0,VLOOKUP(G573,'gia dat'!$A$1:$F$144,5,0)," ")</f>
        <v xml:space="preserve"> </v>
      </c>
      <c r="L573" s="563" t="str">
        <f>IF(G573&lt;&gt;0,VLOOKUP(G573,'gia dat'!$A$1:$F$144,6,0)," ")</f>
        <v xml:space="preserve"> </v>
      </c>
      <c r="M573" s="564" t="str">
        <f t="shared" si="123"/>
        <v xml:space="preserve"> </v>
      </c>
      <c r="N573" s="564" t="str">
        <f t="shared" si="124"/>
        <v xml:space="preserve"> </v>
      </c>
      <c r="O573" s="646"/>
      <c r="P573" s="590"/>
      <c r="Q573" s="564" t="str">
        <f>IF(O573&lt;&gt;0,VLOOKUP(O573,'Cây trong'!$A$2:$C$246,3,0)," ")</f>
        <v xml:space="preserve"> </v>
      </c>
      <c r="R573" s="564" t="str">
        <f t="shared" si="110"/>
        <v xml:space="preserve"> </v>
      </c>
      <c r="S573" s="646" t="s">
        <v>1846</v>
      </c>
      <c r="T573" s="647" t="s">
        <v>53</v>
      </c>
      <c r="U573" s="591">
        <v>13</v>
      </c>
      <c r="V573" s="589"/>
      <c r="W573" s="564">
        <f>IF(S573&lt;&gt;0,VLOOKUP(S573,VKT!$A$2:$G$415,7,0),"")</f>
        <v>238288</v>
      </c>
      <c r="X573" s="564">
        <f t="shared" si="118"/>
        <v>3098000</v>
      </c>
      <c r="Y573" s="589"/>
      <c r="Z573" s="592"/>
      <c r="AA573" s="592"/>
      <c r="AB573" s="568"/>
      <c r="AC573" s="592"/>
      <c r="AD573" s="592"/>
      <c r="AE573" s="592"/>
      <c r="AF573" s="590"/>
      <c r="AG573" s="570" t="str">
        <f>IF(AE573&lt;&gt;0,VLOOKUP(AE573,ODDS!$A$2:$C$13,3,0),"")</f>
        <v/>
      </c>
      <c r="AH573" s="570" t="str">
        <f t="shared" si="111"/>
        <v xml:space="preserve"> </v>
      </c>
      <c r="AI573" s="571" t="str">
        <f t="shared" si="112"/>
        <v xml:space="preserve"> </v>
      </c>
      <c r="AJ573" s="575"/>
      <c r="AK573" s="558" t="s">
        <v>2800</v>
      </c>
    </row>
    <row r="574" spans="1:37" s="376" customFormat="1" ht="60.75" outlineLevel="2" x14ac:dyDescent="0.3">
      <c r="A574" s="447">
        <f t="shared" si="122"/>
        <v>49</v>
      </c>
      <c r="B574" s="557"/>
      <c r="C574" s="648"/>
      <c r="D574" s="587"/>
      <c r="E574" s="587"/>
      <c r="F574" s="560"/>
      <c r="G574" s="558"/>
      <c r="H574" s="588"/>
      <c r="I574" s="546"/>
      <c r="J574" s="589"/>
      <c r="K574" s="563" t="str">
        <f>IF(G574&lt;&gt;0,VLOOKUP(G574,'gia dat'!$A$1:$F$144,5,0)," ")</f>
        <v xml:space="preserve"> </v>
      </c>
      <c r="L574" s="563" t="str">
        <f>IF(G574&lt;&gt;0,VLOOKUP(G574,'gia dat'!$A$1:$F$144,6,0)," ")</f>
        <v xml:space="preserve"> </v>
      </c>
      <c r="M574" s="564" t="str">
        <f t="shared" si="123"/>
        <v xml:space="preserve"> </v>
      </c>
      <c r="N574" s="564" t="str">
        <f t="shared" si="124"/>
        <v xml:space="preserve"> </v>
      </c>
      <c r="O574" s="646"/>
      <c r="P574" s="590"/>
      <c r="Q574" s="564" t="str">
        <f>IF(O574&lt;&gt;0,VLOOKUP(O574,'Cây trong'!$A$2:$C$246,3,0)," ")</f>
        <v xml:space="preserve"> </v>
      </c>
      <c r="R574" s="564" t="str">
        <f t="shared" si="110"/>
        <v xml:space="preserve"> </v>
      </c>
      <c r="S574" s="646" t="s">
        <v>1768</v>
      </c>
      <c r="T574" s="647" t="s">
        <v>53</v>
      </c>
      <c r="U574" s="591">
        <v>8.8000000000000007</v>
      </c>
      <c r="V574" s="589"/>
      <c r="W574" s="564">
        <f>IF(S574&lt;&gt;0,VLOOKUP(S574,VKT!$A$2:$G$415,7,0),"")</f>
        <v>238288</v>
      </c>
      <c r="X574" s="564">
        <f t="shared" si="118"/>
        <v>2097000</v>
      </c>
      <c r="Y574" s="589"/>
      <c r="Z574" s="592"/>
      <c r="AA574" s="592"/>
      <c r="AB574" s="568"/>
      <c r="AC574" s="592"/>
      <c r="AD574" s="592"/>
      <c r="AE574" s="592"/>
      <c r="AF574" s="590"/>
      <c r="AG574" s="570" t="str">
        <f>IF(AE574&lt;&gt;0,VLOOKUP(AE574,ODDS!$A$2:$C$13,3,0),"")</f>
        <v/>
      </c>
      <c r="AH574" s="570" t="str">
        <f t="shared" si="111"/>
        <v xml:space="preserve"> </v>
      </c>
      <c r="AI574" s="571" t="str">
        <f t="shared" si="112"/>
        <v xml:space="preserve"> </v>
      </c>
      <c r="AJ574" s="558"/>
      <c r="AK574" s="558"/>
    </row>
    <row r="575" spans="1:37" s="376" customFormat="1" ht="81" outlineLevel="2" x14ac:dyDescent="0.3">
      <c r="A575" s="447">
        <f t="shared" si="122"/>
        <v>49</v>
      </c>
      <c r="B575" s="557"/>
      <c r="C575" s="648"/>
      <c r="D575" s="587"/>
      <c r="E575" s="587"/>
      <c r="F575" s="560"/>
      <c r="G575" s="558"/>
      <c r="H575" s="588"/>
      <c r="I575" s="546"/>
      <c r="J575" s="589"/>
      <c r="K575" s="563" t="str">
        <f>IF(G575&lt;&gt;0,VLOOKUP(G575,'gia dat'!$A$1:$F$144,5,0)," ")</f>
        <v xml:space="preserve"> </v>
      </c>
      <c r="L575" s="563" t="str">
        <f>IF(G575&lt;&gt;0,VLOOKUP(G575,'gia dat'!$A$1:$F$144,6,0)," ")</f>
        <v xml:space="preserve"> </v>
      </c>
      <c r="M575" s="564" t="str">
        <f t="shared" si="123"/>
        <v xml:space="preserve"> </v>
      </c>
      <c r="N575" s="564" t="str">
        <f t="shared" si="124"/>
        <v xml:space="preserve"> </v>
      </c>
      <c r="O575" s="646"/>
      <c r="P575" s="590"/>
      <c r="Q575" s="564" t="str">
        <f>IF(O575&lt;&gt;0,VLOOKUP(O575,'Cây trong'!$A$2:$C$246,3,0)," ")</f>
        <v xml:space="preserve"> </v>
      </c>
      <c r="R575" s="564" t="str">
        <f t="shared" si="110"/>
        <v xml:space="preserve"> </v>
      </c>
      <c r="S575" s="646" t="s">
        <v>2322</v>
      </c>
      <c r="T575" s="647" t="s">
        <v>53</v>
      </c>
      <c r="U575" s="591">
        <v>14</v>
      </c>
      <c r="V575" s="589"/>
      <c r="W575" s="564">
        <f>IF(S575&lt;&gt;0,VLOOKUP(S575,VKT!$A$2:$G$415,7,0),"")</f>
        <v>1116028</v>
      </c>
      <c r="X575" s="564">
        <f t="shared" si="118"/>
        <v>15624000</v>
      </c>
      <c r="Y575" s="589"/>
      <c r="Z575" s="592"/>
      <c r="AA575" s="592"/>
      <c r="AB575" s="568"/>
      <c r="AC575" s="592"/>
      <c r="AD575" s="592"/>
      <c r="AE575" s="592"/>
      <c r="AF575" s="590"/>
      <c r="AG575" s="570" t="str">
        <f>IF(AE575&lt;&gt;0,VLOOKUP(AE575,ODDS!$A$2:$C$13,3,0),"")</f>
        <v/>
      </c>
      <c r="AH575" s="570" t="str">
        <f t="shared" si="111"/>
        <v xml:space="preserve"> </v>
      </c>
      <c r="AI575" s="571" t="str">
        <f t="shared" si="112"/>
        <v xml:space="preserve"> </v>
      </c>
      <c r="AJ575" s="558"/>
      <c r="AK575" s="558"/>
    </row>
    <row r="576" spans="1:37" s="376" customFormat="1" ht="40.5" outlineLevel="2" x14ac:dyDescent="0.3">
      <c r="A576" s="447">
        <f t="shared" si="122"/>
        <v>49</v>
      </c>
      <c r="B576" s="557"/>
      <c r="C576" s="648"/>
      <c r="D576" s="587"/>
      <c r="E576" s="587"/>
      <c r="F576" s="560"/>
      <c r="G576" s="558"/>
      <c r="H576" s="588"/>
      <c r="I576" s="546"/>
      <c r="J576" s="589"/>
      <c r="K576" s="563" t="str">
        <f>IF(G576&lt;&gt;0,VLOOKUP(G576,'gia dat'!$A$1:$F$144,5,0)," ")</f>
        <v xml:space="preserve"> </v>
      </c>
      <c r="L576" s="563" t="str">
        <f>IF(G576&lt;&gt;0,VLOOKUP(G576,'gia dat'!$A$1:$F$144,6,0)," ")</f>
        <v xml:space="preserve"> </v>
      </c>
      <c r="M576" s="564" t="str">
        <f t="shared" si="123"/>
        <v xml:space="preserve"> </v>
      </c>
      <c r="N576" s="564" t="str">
        <f t="shared" si="124"/>
        <v xml:space="preserve"> </v>
      </c>
      <c r="O576" s="646"/>
      <c r="P576" s="590"/>
      <c r="Q576" s="564" t="str">
        <f>IF(O576&lt;&gt;0,VLOOKUP(O576,'Cây trong'!$A$2:$C$246,3,0)," ")</f>
        <v xml:space="preserve"> </v>
      </c>
      <c r="R576" s="564" t="str">
        <f t="shared" si="110"/>
        <v xml:space="preserve"> </v>
      </c>
      <c r="S576" s="646" t="s">
        <v>1880</v>
      </c>
      <c r="T576" s="647" t="s">
        <v>78</v>
      </c>
      <c r="U576" s="591">
        <v>0.11</v>
      </c>
      <c r="V576" s="589"/>
      <c r="W576" s="564">
        <f>IF(S576&lt;&gt;0,VLOOKUP(S576,VKT!$A$2:$G$415,7,0),"")</f>
        <v>0</v>
      </c>
      <c r="X576" s="564">
        <f t="shared" si="118"/>
        <v>0</v>
      </c>
      <c r="Y576" s="589"/>
      <c r="Z576" s="592"/>
      <c r="AA576" s="592"/>
      <c r="AB576" s="568"/>
      <c r="AC576" s="592"/>
      <c r="AD576" s="592"/>
      <c r="AE576" s="592"/>
      <c r="AF576" s="590"/>
      <c r="AG576" s="570" t="str">
        <f>IF(AE576&lt;&gt;0,VLOOKUP(AE576,ODDS!$A$2:$C$13,3,0),"")</f>
        <v/>
      </c>
      <c r="AH576" s="570" t="str">
        <f t="shared" si="111"/>
        <v xml:space="preserve"> </v>
      </c>
      <c r="AI576" s="571" t="str">
        <f t="shared" si="112"/>
        <v xml:space="preserve"> </v>
      </c>
      <c r="AJ576" s="558"/>
      <c r="AK576" s="558"/>
    </row>
    <row r="577" spans="1:37" s="376" customFormat="1" ht="60.75" outlineLevel="2" x14ac:dyDescent="0.3">
      <c r="A577" s="447">
        <f t="shared" si="122"/>
        <v>49</v>
      </c>
      <c r="B577" s="557"/>
      <c r="C577" s="648"/>
      <c r="D577" s="587"/>
      <c r="E577" s="587"/>
      <c r="F577" s="560"/>
      <c r="G577" s="558"/>
      <c r="H577" s="588"/>
      <c r="I577" s="546"/>
      <c r="J577" s="589"/>
      <c r="K577" s="563" t="str">
        <f>IF(G577&lt;&gt;0,VLOOKUP(G577,'gia dat'!$A$1:$F$144,5,0)," ")</f>
        <v xml:space="preserve"> </v>
      </c>
      <c r="L577" s="563" t="str">
        <f>IF(G577&lt;&gt;0,VLOOKUP(G577,'gia dat'!$A$1:$F$144,6,0)," ")</f>
        <v xml:space="preserve"> </v>
      </c>
      <c r="M577" s="564" t="str">
        <f t="shared" si="123"/>
        <v xml:space="preserve"> </v>
      </c>
      <c r="N577" s="564" t="str">
        <f t="shared" si="124"/>
        <v xml:space="preserve"> </v>
      </c>
      <c r="O577" s="646"/>
      <c r="P577" s="590"/>
      <c r="Q577" s="564" t="str">
        <f>IF(O577&lt;&gt;0,VLOOKUP(O577,'Cây trong'!$A$2:$C$246,3,0)," ")</f>
        <v xml:space="preserve"> </v>
      </c>
      <c r="R577" s="564" t="str">
        <f t="shared" si="110"/>
        <v xml:space="preserve"> </v>
      </c>
      <c r="S577" s="646" t="s">
        <v>1774</v>
      </c>
      <c r="T577" s="647" t="s">
        <v>53</v>
      </c>
      <c r="U577" s="591">
        <v>1.86</v>
      </c>
      <c r="V577" s="589"/>
      <c r="W577" s="564">
        <f>IF(S577&lt;&gt;0,VLOOKUP(S577,VKT!$A$2:$G$415,7,0),"")</f>
        <v>286855</v>
      </c>
      <c r="X577" s="564">
        <f t="shared" si="118"/>
        <v>534000</v>
      </c>
      <c r="Y577" s="589"/>
      <c r="Z577" s="592"/>
      <c r="AA577" s="592"/>
      <c r="AB577" s="568"/>
      <c r="AC577" s="592"/>
      <c r="AD577" s="592"/>
      <c r="AE577" s="592"/>
      <c r="AF577" s="590"/>
      <c r="AG577" s="570" t="str">
        <f>IF(AE577&lt;&gt;0,VLOOKUP(AE577,ODDS!$A$2:$C$13,3,0),"")</f>
        <v/>
      </c>
      <c r="AH577" s="570" t="str">
        <f t="shared" si="111"/>
        <v xml:space="preserve"> </v>
      </c>
      <c r="AI577" s="571" t="str">
        <f t="shared" si="112"/>
        <v xml:space="preserve"> </v>
      </c>
      <c r="AJ577" s="558"/>
      <c r="AK577" s="558"/>
    </row>
    <row r="578" spans="1:37" s="376" customFormat="1" ht="60.75" outlineLevel="2" x14ac:dyDescent="0.3">
      <c r="A578" s="447">
        <f t="shared" si="122"/>
        <v>49</v>
      </c>
      <c r="B578" s="557"/>
      <c r="C578" s="648"/>
      <c r="D578" s="587"/>
      <c r="E578" s="587"/>
      <c r="F578" s="560"/>
      <c r="G578" s="558"/>
      <c r="H578" s="588"/>
      <c r="I578" s="546"/>
      <c r="J578" s="589"/>
      <c r="K578" s="563" t="str">
        <f>IF(G578&lt;&gt;0,VLOOKUP(G578,'gia dat'!$A$1:$F$144,5,0)," ")</f>
        <v xml:space="preserve"> </v>
      </c>
      <c r="L578" s="563" t="str">
        <f>IF(G578&lt;&gt;0,VLOOKUP(G578,'gia dat'!$A$1:$F$144,6,0)," ")</f>
        <v xml:space="preserve"> </v>
      </c>
      <c r="M578" s="564" t="str">
        <f t="shared" si="123"/>
        <v xml:space="preserve"> </v>
      </c>
      <c r="N578" s="564" t="str">
        <f t="shared" si="124"/>
        <v xml:space="preserve"> </v>
      </c>
      <c r="O578" s="646"/>
      <c r="P578" s="590"/>
      <c r="Q578" s="564" t="str">
        <f>IF(O578&lt;&gt;0,VLOOKUP(O578,'Cây trong'!$A$2:$C$246,3,0)," ")</f>
        <v xml:space="preserve"> </v>
      </c>
      <c r="R578" s="564" t="str">
        <f t="shared" si="110"/>
        <v xml:space="preserve"> </v>
      </c>
      <c r="S578" s="646" t="s">
        <v>1894</v>
      </c>
      <c r="T578" s="647" t="s">
        <v>53</v>
      </c>
      <c r="U578" s="591">
        <v>1.26</v>
      </c>
      <c r="V578" s="589"/>
      <c r="W578" s="564">
        <f>IF(S578&lt;&gt;0,VLOOKUP(S578,VKT!$A$2:$G$415,7,0),"")</f>
        <v>348773</v>
      </c>
      <c r="X578" s="564">
        <f t="shared" si="118"/>
        <v>439000</v>
      </c>
      <c r="Y578" s="589"/>
      <c r="Z578" s="592"/>
      <c r="AA578" s="592"/>
      <c r="AB578" s="568"/>
      <c r="AC578" s="592"/>
      <c r="AD578" s="592"/>
      <c r="AE578" s="592"/>
      <c r="AF578" s="590"/>
      <c r="AG578" s="570" t="str">
        <f>IF(AE578&lt;&gt;0,VLOOKUP(AE578,ODDS!$A$2:$C$13,3,0),"")</f>
        <v/>
      </c>
      <c r="AH578" s="570" t="str">
        <f t="shared" si="111"/>
        <v xml:space="preserve"> </v>
      </c>
      <c r="AI578" s="571" t="str">
        <f t="shared" si="112"/>
        <v xml:space="preserve"> </v>
      </c>
      <c r="AJ578" s="558"/>
      <c r="AK578" s="558"/>
    </row>
    <row r="579" spans="1:37" s="376" customFormat="1" ht="60.75" outlineLevel="2" x14ac:dyDescent="0.3">
      <c r="A579" s="447">
        <f t="shared" si="122"/>
        <v>49</v>
      </c>
      <c r="B579" s="557"/>
      <c r="C579" s="648"/>
      <c r="D579" s="587"/>
      <c r="E579" s="587"/>
      <c r="F579" s="560"/>
      <c r="G579" s="558"/>
      <c r="H579" s="588"/>
      <c r="I579" s="546"/>
      <c r="J579" s="589"/>
      <c r="K579" s="563" t="str">
        <f>IF(G579&lt;&gt;0,VLOOKUP(G579,'gia dat'!$A$1:$F$144,5,0)," ")</f>
        <v xml:space="preserve"> </v>
      </c>
      <c r="L579" s="563" t="str">
        <f>IF(G579&lt;&gt;0,VLOOKUP(G579,'gia dat'!$A$1:$F$144,6,0)," ")</f>
        <v xml:space="preserve"> </v>
      </c>
      <c r="M579" s="564" t="str">
        <f t="shared" si="123"/>
        <v xml:space="preserve"> </v>
      </c>
      <c r="N579" s="564" t="str">
        <f t="shared" si="124"/>
        <v xml:space="preserve"> </v>
      </c>
      <c r="O579" s="646"/>
      <c r="P579" s="590"/>
      <c r="Q579" s="564" t="str">
        <f>IF(O579&lt;&gt;0,VLOOKUP(O579,'Cây trong'!$A$2:$C$246,3,0)," ")</f>
        <v xml:space="preserve"> </v>
      </c>
      <c r="R579" s="564" t="str">
        <f t="shared" si="110"/>
        <v xml:space="preserve"> </v>
      </c>
      <c r="S579" s="646" t="s">
        <v>2323</v>
      </c>
      <c r="T579" s="647" t="s">
        <v>53</v>
      </c>
      <c r="U579" s="591">
        <v>1.84</v>
      </c>
      <c r="V579" s="589"/>
      <c r="W579" s="564">
        <f>IF(S579&lt;&gt;0,VLOOKUP(S579,VKT!$A$2:$G$415,7,0),"")</f>
        <v>348773</v>
      </c>
      <c r="X579" s="564">
        <f t="shared" si="118"/>
        <v>642000</v>
      </c>
      <c r="Y579" s="589"/>
      <c r="Z579" s="592"/>
      <c r="AA579" s="592"/>
      <c r="AB579" s="568"/>
      <c r="AC579" s="592"/>
      <c r="AD579" s="592"/>
      <c r="AE579" s="592"/>
      <c r="AF579" s="590"/>
      <c r="AG579" s="570" t="str">
        <f>IF(AE579&lt;&gt;0,VLOOKUP(AE579,ODDS!$A$2:$C$13,3,0),"")</f>
        <v/>
      </c>
      <c r="AH579" s="570" t="str">
        <f t="shared" si="111"/>
        <v xml:space="preserve"> </v>
      </c>
      <c r="AI579" s="571" t="str">
        <f t="shared" si="112"/>
        <v xml:space="preserve"> </v>
      </c>
      <c r="AJ579" s="558"/>
      <c r="AK579" s="558"/>
    </row>
    <row r="580" spans="1:37" s="376" customFormat="1" ht="81" outlineLevel="2" x14ac:dyDescent="0.3">
      <c r="A580" s="447">
        <f t="shared" si="122"/>
        <v>49</v>
      </c>
      <c r="B580" s="557"/>
      <c r="C580" s="648"/>
      <c r="D580" s="587"/>
      <c r="E580" s="587"/>
      <c r="F580" s="560"/>
      <c r="G580" s="558"/>
      <c r="H580" s="588"/>
      <c r="I580" s="546"/>
      <c r="J580" s="589"/>
      <c r="K580" s="563" t="str">
        <f>IF(G580&lt;&gt;0,VLOOKUP(G580,'gia dat'!$A$1:$F$144,5,0)," ")</f>
        <v xml:space="preserve"> </v>
      </c>
      <c r="L580" s="563" t="str">
        <f>IF(G580&lt;&gt;0,VLOOKUP(G580,'gia dat'!$A$1:$F$144,6,0)," ")</f>
        <v xml:space="preserve"> </v>
      </c>
      <c r="M580" s="564" t="str">
        <f t="shared" si="123"/>
        <v xml:space="preserve"> </v>
      </c>
      <c r="N580" s="564" t="str">
        <f t="shared" si="124"/>
        <v xml:space="preserve"> </v>
      </c>
      <c r="O580" s="646"/>
      <c r="P580" s="590"/>
      <c r="Q580" s="564" t="str">
        <f>IF(O580&lt;&gt;0,VLOOKUP(O580,'Cây trong'!$A$2:$C$246,3,0)," ")</f>
        <v xml:space="preserve"> </v>
      </c>
      <c r="R580" s="564" t="str">
        <f t="shared" si="110"/>
        <v xml:space="preserve"> </v>
      </c>
      <c r="S580" s="646" t="s">
        <v>2324</v>
      </c>
      <c r="T580" s="647" t="s">
        <v>53</v>
      </c>
      <c r="U580" s="591">
        <v>4.76</v>
      </c>
      <c r="V580" s="589"/>
      <c r="W580" s="564">
        <f>IF(S580&lt;&gt;0,VLOOKUP(S580,VKT!$A$2:$G$415,7,0),"")</f>
        <v>496651</v>
      </c>
      <c r="X580" s="564">
        <f t="shared" si="118"/>
        <v>2364000</v>
      </c>
      <c r="Y580" s="589"/>
      <c r="Z580" s="592"/>
      <c r="AA580" s="592"/>
      <c r="AB580" s="568"/>
      <c r="AC580" s="592"/>
      <c r="AD580" s="592"/>
      <c r="AE580" s="592"/>
      <c r="AF580" s="590"/>
      <c r="AG580" s="570" t="str">
        <f>IF(AE580&lt;&gt;0,VLOOKUP(AE580,ODDS!$A$2:$C$13,3,0),"")</f>
        <v/>
      </c>
      <c r="AH580" s="570" t="str">
        <f t="shared" si="111"/>
        <v xml:space="preserve"> </v>
      </c>
      <c r="AI580" s="571" t="str">
        <f t="shared" si="112"/>
        <v xml:space="preserve"> </v>
      </c>
      <c r="AJ580" s="558"/>
      <c r="AK580" s="558"/>
    </row>
    <row r="581" spans="1:37" s="376" customFormat="1" ht="81" outlineLevel="2" x14ac:dyDescent="0.3">
      <c r="A581" s="447">
        <f t="shared" si="122"/>
        <v>49</v>
      </c>
      <c r="B581" s="557"/>
      <c r="C581" s="648"/>
      <c r="D581" s="587"/>
      <c r="E581" s="587"/>
      <c r="F581" s="560"/>
      <c r="G581" s="558"/>
      <c r="H581" s="588"/>
      <c r="I581" s="546"/>
      <c r="J581" s="589"/>
      <c r="K581" s="563" t="str">
        <f>IF(G581&lt;&gt;0,VLOOKUP(G581,'gia dat'!$A$1:$F$144,5,0)," ")</f>
        <v xml:space="preserve"> </v>
      </c>
      <c r="L581" s="563" t="str">
        <f>IF(G581&lt;&gt;0,VLOOKUP(G581,'gia dat'!$A$1:$F$144,6,0)," ")</f>
        <v xml:space="preserve"> </v>
      </c>
      <c r="M581" s="564" t="str">
        <f t="shared" si="123"/>
        <v xml:space="preserve"> </v>
      </c>
      <c r="N581" s="564" t="str">
        <f t="shared" si="124"/>
        <v xml:space="preserve"> </v>
      </c>
      <c r="O581" s="646"/>
      <c r="P581" s="590"/>
      <c r="Q581" s="564" t="str">
        <f>IF(O581&lt;&gt;0,VLOOKUP(O581,'Cây trong'!$A$2:$C$246,3,0)," ")</f>
        <v xml:space="preserve"> </v>
      </c>
      <c r="R581" s="564" t="str">
        <f t="shared" si="110"/>
        <v xml:space="preserve"> </v>
      </c>
      <c r="S581" s="646" t="s">
        <v>2325</v>
      </c>
      <c r="T581" s="647" t="s">
        <v>53</v>
      </c>
      <c r="U581" s="591">
        <v>6.34</v>
      </c>
      <c r="V581" s="589"/>
      <c r="W581" s="564">
        <f>IF(S581&lt;&gt;0,VLOOKUP(S581,VKT!$A$2:$G$415,7,0),"")</f>
        <v>496651</v>
      </c>
      <c r="X581" s="564">
        <f t="shared" si="118"/>
        <v>3149000</v>
      </c>
      <c r="Y581" s="589"/>
      <c r="Z581" s="592"/>
      <c r="AA581" s="592"/>
      <c r="AB581" s="568"/>
      <c r="AC581" s="592"/>
      <c r="AD581" s="592"/>
      <c r="AE581" s="592"/>
      <c r="AF581" s="590"/>
      <c r="AG581" s="570" t="str">
        <f>IF(AE581&lt;&gt;0,VLOOKUP(AE581,ODDS!$A$2:$C$13,3,0),"")</f>
        <v/>
      </c>
      <c r="AH581" s="570" t="str">
        <f t="shared" si="111"/>
        <v xml:space="preserve"> </v>
      </c>
      <c r="AI581" s="571" t="str">
        <f t="shared" si="112"/>
        <v xml:space="preserve"> </v>
      </c>
      <c r="AJ581" s="558"/>
      <c r="AK581" s="558"/>
    </row>
    <row r="582" spans="1:37" s="376" customFormat="1" ht="20.25" outlineLevel="2" x14ac:dyDescent="0.3">
      <c r="A582" s="447">
        <f t="shared" si="122"/>
        <v>49</v>
      </c>
      <c r="B582" s="557"/>
      <c r="C582" s="648"/>
      <c r="D582" s="587"/>
      <c r="E582" s="587"/>
      <c r="F582" s="560"/>
      <c r="G582" s="558"/>
      <c r="H582" s="588"/>
      <c r="I582" s="546"/>
      <c r="J582" s="589"/>
      <c r="K582" s="563" t="str">
        <f>IF(G582&lt;&gt;0,VLOOKUP(G582,'gia dat'!$A$1:$F$144,5,0)," ")</f>
        <v xml:space="preserve"> </v>
      </c>
      <c r="L582" s="563" t="str">
        <f>IF(G582&lt;&gt;0,VLOOKUP(G582,'gia dat'!$A$1:$F$144,6,0)," ")</f>
        <v xml:space="preserve"> </v>
      </c>
      <c r="M582" s="564" t="str">
        <f t="shared" si="123"/>
        <v xml:space="preserve"> </v>
      </c>
      <c r="N582" s="564" t="str">
        <f t="shared" si="124"/>
        <v xml:space="preserve"> </v>
      </c>
      <c r="O582" s="646"/>
      <c r="P582" s="590"/>
      <c r="Q582" s="564" t="str">
        <f>IF(O582&lt;&gt;0,VLOOKUP(O582,'Cây trong'!$A$2:$C$246,3,0)," ")</f>
        <v xml:space="preserve"> </v>
      </c>
      <c r="R582" s="564" t="str">
        <f t="shared" ref="R582:R651" si="125">IF(O582&lt;&gt;0,ROUND(P582*Q582,-2)," ")</f>
        <v xml:space="preserve"> </v>
      </c>
      <c r="S582" s="646"/>
      <c r="T582" s="647"/>
      <c r="U582" s="591"/>
      <c r="V582" s="589"/>
      <c r="W582" s="564" t="str">
        <f>IF(S582&lt;&gt;0,VLOOKUP(S582,VKT!$A$2:$G$415,7,0),"")</f>
        <v/>
      </c>
      <c r="X582" s="564" t="str">
        <f t="shared" si="118"/>
        <v xml:space="preserve"> </v>
      </c>
      <c r="Y582" s="589"/>
      <c r="Z582" s="592"/>
      <c r="AA582" s="592"/>
      <c r="AB582" s="568"/>
      <c r="AC582" s="592"/>
      <c r="AD582" s="592"/>
      <c r="AE582" s="592"/>
      <c r="AF582" s="590"/>
      <c r="AG582" s="570" t="str">
        <f>IF(AE582&lt;&gt;0,VLOOKUP(AE582,ODDS!$A$2:$C$13,3,0),"")</f>
        <v/>
      </c>
      <c r="AH582" s="570" t="str">
        <f t="shared" ref="AH582:AH651" si="126">IF(AE582&lt;&gt;0,ROUND(AF582*AG582,-2)," ")</f>
        <v xml:space="preserve"> </v>
      </c>
      <c r="AI582" s="571" t="str">
        <f t="shared" si="112"/>
        <v xml:space="preserve"> </v>
      </c>
      <c r="AJ582" s="558"/>
      <c r="AK582" s="558"/>
    </row>
    <row r="583" spans="1:37" s="376" customFormat="1" ht="20.25" outlineLevel="2" x14ac:dyDescent="0.3">
      <c r="A583" s="447">
        <f t="shared" si="122"/>
        <v>49</v>
      </c>
      <c r="B583" s="557"/>
      <c r="C583" s="648"/>
      <c r="D583" s="587"/>
      <c r="E583" s="587"/>
      <c r="F583" s="615"/>
      <c r="G583" s="558"/>
      <c r="H583" s="604"/>
      <c r="I583" s="546"/>
      <c r="J583" s="593"/>
      <c r="K583" s="563" t="str">
        <f>IF(G583&lt;&gt;0,VLOOKUP(G583,'gia dat'!$A$1:$F$144,5,0)," ")</f>
        <v xml:space="preserve"> </v>
      </c>
      <c r="L583" s="563" t="str">
        <f>IF(G583&lt;&gt;0,VLOOKUP(G583,'gia dat'!$A$1:$F$144,6,0)," ")</f>
        <v xml:space="preserve"> </v>
      </c>
      <c r="M583" s="564" t="str">
        <f t="shared" si="123"/>
        <v xml:space="preserve"> </v>
      </c>
      <c r="N583" s="564" t="str">
        <f t="shared" si="124"/>
        <v xml:space="preserve"> </v>
      </c>
      <c r="O583" s="593"/>
      <c r="P583" s="616"/>
      <c r="Q583" s="564" t="str">
        <f>IF(O583&lt;&gt;0,VLOOKUP(O583,'Cây trong'!$A$2:$C$246,3,0)," ")</f>
        <v xml:space="preserve"> </v>
      </c>
      <c r="R583" s="564" t="str">
        <f t="shared" si="125"/>
        <v xml:space="preserve"> </v>
      </c>
      <c r="S583" s="593"/>
      <c r="T583" s="593"/>
      <c r="U583" s="617"/>
      <c r="V583" s="589"/>
      <c r="W583" s="564" t="str">
        <f>IF(S583&lt;&gt;0,VLOOKUP(S583,VKT!$A$2:$G$415,7,0),"")</f>
        <v/>
      </c>
      <c r="X583" s="564" t="str">
        <f t="shared" si="118"/>
        <v xml:space="preserve"> </v>
      </c>
      <c r="Y583" s="589"/>
      <c r="Z583" s="589"/>
      <c r="AA583" s="589"/>
      <c r="AB583" s="562"/>
      <c r="AC583" s="589"/>
      <c r="AD583" s="589"/>
      <c r="AE583" s="589"/>
      <c r="AF583" s="629"/>
      <c r="AG583" s="570" t="str">
        <f>IF(AE583&lt;&gt;0,VLOOKUP(AE583,ODDS!$A$2:$C$13,3,0),"")</f>
        <v/>
      </c>
      <c r="AH583" s="570" t="str">
        <f t="shared" si="126"/>
        <v xml:space="preserve"> </v>
      </c>
      <c r="AI583" s="571" t="str">
        <f t="shared" si="112"/>
        <v xml:space="preserve"> </v>
      </c>
      <c r="AJ583" s="593"/>
      <c r="AK583" s="593"/>
    </row>
    <row r="584" spans="1:37" s="376" customFormat="1" ht="20.25" outlineLevel="2" x14ac:dyDescent="0.3">
      <c r="A584" s="447">
        <f t="shared" si="122"/>
        <v>49</v>
      </c>
      <c r="B584" s="557"/>
      <c r="C584" s="574"/>
      <c r="D584" s="587"/>
      <c r="E584" s="587"/>
      <c r="F584" s="560"/>
      <c r="G584" s="558"/>
      <c r="H584" s="588"/>
      <c r="I584" s="546"/>
      <c r="J584" s="589"/>
      <c r="K584" s="563" t="str">
        <f>IF(G584&lt;&gt;0,VLOOKUP(G584,'gia dat'!$A$1:$F$144,5,0)," ")</f>
        <v xml:space="preserve"> </v>
      </c>
      <c r="L584" s="563" t="str">
        <f>IF(G584&lt;&gt;0,VLOOKUP(G584,'gia dat'!$A$1:$F$144,6,0)," ")</f>
        <v xml:space="preserve"> </v>
      </c>
      <c r="M584" s="564" t="str">
        <f t="shared" si="123"/>
        <v xml:space="preserve"> </v>
      </c>
      <c r="N584" s="564" t="str">
        <f t="shared" si="124"/>
        <v xml:space="preserve"> </v>
      </c>
      <c r="O584" s="646"/>
      <c r="P584" s="590"/>
      <c r="Q584" s="564" t="str">
        <f>IF(O584&lt;&gt;0,VLOOKUP(O584,'Cây trong'!$A$2:$C$246,3,0)," ")</f>
        <v xml:space="preserve"> </v>
      </c>
      <c r="R584" s="564" t="str">
        <f t="shared" si="125"/>
        <v xml:space="preserve"> </v>
      </c>
      <c r="S584" s="646"/>
      <c r="T584" s="647"/>
      <c r="U584" s="591"/>
      <c r="V584" s="589"/>
      <c r="W584" s="564" t="str">
        <f>IF(S584&lt;&gt;0,VLOOKUP(S584,VKT!$A$2:$G$415,7,0),"")</f>
        <v/>
      </c>
      <c r="X584" s="564" t="str">
        <f t="shared" si="118"/>
        <v xml:space="preserve"> </v>
      </c>
      <c r="Y584" s="589"/>
      <c r="Z584" s="592"/>
      <c r="AA584" s="592"/>
      <c r="AB584" s="568"/>
      <c r="AC584" s="592"/>
      <c r="AD584" s="592"/>
      <c r="AE584" s="592"/>
      <c r="AF584" s="590"/>
      <c r="AG584" s="570" t="str">
        <f>IF(AE584&lt;&gt;0,VLOOKUP(AE584,ODDS!$A$2:$C$13,3,0),"")</f>
        <v/>
      </c>
      <c r="AH584" s="570" t="str">
        <f t="shared" si="126"/>
        <v xml:space="preserve"> </v>
      </c>
      <c r="AI584" s="571" t="str">
        <f t="shared" si="112"/>
        <v xml:space="preserve"> </v>
      </c>
      <c r="AJ584" s="558"/>
      <c r="AK584" s="558"/>
    </row>
    <row r="585" spans="1:37" s="376" customFormat="1" ht="20.25" outlineLevel="1" x14ac:dyDescent="0.25">
      <c r="A585" s="467" t="s">
        <v>2660</v>
      </c>
      <c r="B585" s="576">
        <v>50</v>
      </c>
      <c r="C585" s="574" t="s">
        <v>37</v>
      </c>
      <c r="D585" s="595"/>
      <c r="E585" s="595"/>
      <c r="F585" s="577"/>
      <c r="G585" s="574"/>
      <c r="H585" s="618">
        <f>SUBTOTAL(9,H586:H607)</f>
        <v>511.3</v>
      </c>
      <c r="I585" s="579">
        <f>SUBTOTAL(9,I586:I591)</f>
        <v>0</v>
      </c>
      <c r="J585" s="597"/>
      <c r="K585" s="581"/>
      <c r="L585" s="581"/>
      <c r="M585" s="571">
        <f>SUBTOTAL(9,M586:M607)</f>
        <v>1180281000</v>
      </c>
      <c r="N585" s="571">
        <f>SUBTOTAL(9,N586:N607)</f>
        <v>0</v>
      </c>
      <c r="O585" s="574"/>
      <c r="P585" s="599">
        <f>SUBTOTAL(9,P586:P607)</f>
        <v>20</v>
      </c>
      <c r="Q585" s="571"/>
      <c r="R585" s="571">
        <f>SUBTOTAL(9,R586:R607)</f>
        <v>2956000</v>
      </c>
      <c r="S585" s="582"/>
      <c r="T585" s="597"/>
      <c r="U585" s="600">
        <f>SUBTOTAL(9,U586:U607)</f>
        <v>549.25</v>
      </c>
      <c r="V585" s="597"/>
      <c r="W585" s="571"/>
      <c r="X585" s="571">
        <f>SUBTOTAL(9,X586:X607)</f>
        <v>721740000</v>
      </c>
      <c r="Y585" s="589"/>
      <c r="Z585" s="592"/>
      <c r="AA585" s="592"/>
      <c r="AB585" s="568"/>
      <c r="AC585" s="592"/>
      <c r="AD585" s="592"/>
      <c r="AE585" s="602"/>
      <c r="AF585" s="581">
        <f>SUBTOTAL(9,AF586:AF607)</f>
        <v>1</v>
      </c>
      <c r="AG585" s="585"/>
      <c r="AH585" s="585">
        <f>SUBTOTAL(9,AH586:AH607)</f>
        <v>13000000</v>
      </c>
      <c r="AI585" s="571">
        <f t="shared" ref="AI585:AI648" si="127">IF(B585&lt;&gt;0,M585+N585+R585+X585+AH585," ")</f>
        <v>1917977000</v>
      </c>
      <c r="AJ585" s="574"/>
      <c r="AK585" s="578"/>
    </row>
    <row r="586" spans="1:37" s="376" customFormat="1" ht="121.5" outlineLevel="2" x14ac:dyDescent="0.3">
      <c r="A586" s="447">
        <f>IF(B585&lt;&gt;0,B585,A584)</f>
        <v>50</v>
      </c>
      <c r="B586" s="557"/>
      <c r="C586" s="558" t="s">
        <v>300</v>
      </c>
      <c r="D586" s="587">
        <v>6</v>
      </c>
      <c r="E586" s="587">
        <v>86</v>
      </c>
      <c r="F586" s="560">
        <v>506</v>
      </c>
      <c r="G586" s="558" t="s">
        <v>2037</v>
      </c>
      <c r="H586" s="588">
        <v>172.2</v>
      </c>
      <c r="I586" s="546" t="str">
        <f t="shared" ref="I586:I589" si="128">IF(N586&gt;0,H586,"")</f>
        <v/>
      </c>
      <c r="J586" s="589"/>
      <c r="K586" s="563">
        <f>IF(G586&lt;&gt;0,VLOOKUP(G586,'gia dat'!$A$1:$F$144,5,0)," ")</f>
        <v>5762400</v>
      </c>
      <c r="L586" s="563">
        <f>IF(G586&lt;&gt;0,VLOOKUP(G586,'gia dat'!$A$1:$F$144,6,0)," ")</f>
        <v>0</v>
      </c>
      <c r="M586" s="564">
        <f t="shared" si="123"/>
        <v>992285000</v>
      </c>
      <c r="N586" s="564">
        <f t="shared" si="124"/>
        <v>0</v>
      </c>
      <c r="O586" s="558" t="s">
        <v>72</v>
      </c>
      <c r="P586" s="590">
        <v>5</v>
      </c>
      <c r="Q586" s="564">
        <f>IF(O586&lt;&gt;0,VLOOKUP(O586,'Cây trong'!$A$2:$C$246,3,0)," ")</f>
        <v>132000</v>
      </c>
      <c r="R586" s="564">
        <f t="shared" si="125"/>
        <v>660000</v>
      </c>
      <c r="S586" s="566" t="s">
        <v>2321</v>
      </c>
      <c r="T586" s="589" t="s">
        <v>53</v>
      </c>
      <c r="U586" s="591">
        <v>10.4</v>
      </c>
      <c r="V586" s="589"/>
      <c r="W586" s="564">
        <f>IF(S586&lt;&gt;0,VLOOKUP(S586,VKT!$A$2:$G$415,7,0),"")</f>
        <v>4246132</v>
      </c>
      <c r="X586" s="564">
        <f t="shared" si="118"/>
        <v>44160000</v>
      </c>
      <c r="Y586" s="589" t="s">
        <v>63</v>
      </c>
      <c r="Z586" s="592" t="s">
        <v>55</v>
      </c>
      <c r="AA586" s="592" t="s">
        <v>56</v>
      </c>
      <c r="AB586" s="568"/>
      <c r="AC586" s="592" t="s">
        <v>63</v>
      </c>
      <c r="AD586" s="592"/>
      <c r="AE586" s="569"/>
      <c r="AF586" s="563"/>
      <c r="AG586" s="570"/>
      <c r="AH586" s="570"/>
      <c r="AI586" s="571" t="str">
        <f t="shared" si="127"/>
        <v xml:space="preserve"> </v>
      </c>
      <c r="AJ586" s="558" t="s">
        <v>1698</v>
      </c>
      <c r="AK586" s="586" t="s">
        <v>2771</v>
      </c>
    </row>
    <row r="587" spans="1:37" s="376" customFormat="1" ht="101.25" outlineLevel="2" x14ac:dyDescent="0.3">
      <c r="A587" s="447">
        <f t="shared" ref="A587:A607" si="129">IF(B586&lt;&gt;0,B586,A586)</f>
        <v>50</v>
      </c>
      <c r="B587" s="557"/>
      <c r="C587" s="572" t="s">
        <v>682</v>
      </c>
      <c r="D587" s="587"/>
      <c r="E587" s="587">
        <v>86</v>
      </c>
      <c r="F587" s="560">
        <v>506</v>
      </c>
      <c r="G587" s="558" t="s">
        <v>2472</v>
      </c>
      <c r="H587" s="588">
        <v>332.1</v>
      </c>
      <c r="I587" s="546" t="str">
        <f t="shared" si="128"/>
        <v/>
      </c>
      <c r="J587" s="589"/>
      <c r="K587" s="563">
        <f>IF(G587&lt;&gt;0,VLOOKUP(G587,'gia dat'!$A$1:$F$144,5,0)," ")</f>
        <v>554400</v>
      </c>
      <c r="L587" s="563">
        <f>IF(G587&lt;&gt;0,VLOOKUP(G587,'gia dat'!$A$1:$F$144,6,0)," ")</f>
        <v>0</v>
      </c>
      <c r="M587" s="564">
        <f t="shared" si="123"/>
        <v>184116000</v>
      </c>
      <c r="N587" s="564">
        <f t="shared" si="124"/>
        <v>0</v>
      </c>
      <c r="O587" s="558" t="s">
        <v>73</v>
      </c>
      <c r="P587" s="590">
        <v>4</v>
      </c>
      <c r="Q587" s="564">
        <f>IF(O587&lt;&gt;0,VLOOKUP(O587,'Cây trong'!$A$2:$C$246,3,0)," ")</f>
        <v>76000</v>
      </c>
      <c r="R587" s="564">
        <f t="shared" si="125"/>
        <v>304000</v>
      </c>
      <c r="S587" s="566" t="s">
        <v>1820</v>
      </c>
      <c r="T587" s="589" t="s">
        <v>53</v>
      </c>
      <c r="U587" s="591">
        <v>68.2</v>
      </c>
      <c r="V587" s="597"/>
      <c r="W587" s="564">
        <f>IF(S587&lt;&gt;0,VLOOKUP(S587,VKT!$A$2:$G$415,7,0),"")</f>
        <v>5307665</v>
      </c>
      <c r="X587" s="564">
        <f t="shared" si="118"/>
        <v>361983000</v>
      </c>
      <c r="Y587" s="589" t="s">
        <v>63</v>
      </c>
      <c r="Z587" s="592" t="s">
        <v>55</v>
      </c>
      <c r="AA587" s="592" t="s">
        <v>56</v>
      </c>
      <c r="AB587" s="568" t="s">
        <v>57</v>
      </c>
      <c r="AC587" s="592" t="s">
        <v>63</v>
      </c>
      <c r="AD587" s="568" t="s">
        <v>430</v>
      </c>
      <c r="AE587" s="569" t="s">
        <v>2789</v>
      </c>
      <c r="AF587" s="590">
        <v>1</v>
      </c>
      <c r="AG587" s="570">
        <f>IF(AE587&lt;&gt;0,VLOOKUP(AE587,ODDS!$A$2:$C$13,3,0),"")</f>
        <v>13000000</v>
      </c>
      <c r="AH587" s="570">
        <f t="shared" si="126"/>
        <v>13000000</v>
      </c>
      <c r="AI587" s="571" t="str">
        <f t="shared" si="127"/>
        <v xml:space="preserve"> </v>
      </c>
      <c r="AJ587" s="558" t="s">
        <v>522</v>
      </c>
      <c r="AK587" s="558" t="s">
        <v>2448</v>
      </c>
    </row>
    <row r="588" spans="1:37" s="376" customFormat="1" ht="121.5" outlineLevel="2" x14ac:dyDescent="0.3">
      <c r="A588" s="447">
        <f t="shared" si="129"/>
        <v>50</v>
      </c>
      <c r="B588" s="557"/>
      <c r="C588" s="572" t="s">
        <v>312</v>
      </c>
      <c r="D588" s="603"/>
      <c r="E588" s="587">
        <v>86</v>
      </c>
      <c r="F588" s="560">
        <v>506</v>
      </c>
      <c r="G588" s="558" t="s">
        <v>2474</v>
      </c>
      <c r="H588" s="588">
        <v>1</v>
      </c>
      <c r="I588" s="546" t="str">
        <f t="shared" si="128"/>
        <v/>
      </c>
      <c r="J588" s="597"/>
      <c r="K588" s="563">
        <f>IF(G588&lt;&gt;0,VLOOKUP(G588,'gia dat'!$A$1:$F$144,5,0)," ")</f>
        <v>554400</v>
      </c>
      <c r="L588" s="563">
        <f>IF(G588&lt;&gt;0,VLOOKUP(G588,'gia dat'!$A$1:$F$144,6,0)," ")</f>
        <v>0</v>
      </c>
      <c r="M588" s="564">
        <f t="shared" si="123"/>
        <v>554000</v>
      </c>
      <c r="N588" s="564">
        <f t="shared" si="124"/>
        <v>0</v>
      </c>
      <c r="O588" s="565" t="s">
        <v>75</v>
      </c>
      <c r="P588" s="590">
        <v>6</v>
      </c>
      <c r="Q588" s="564">
        <f>IF(O588&lt;&gt;0,VLOOKUP(O588,'Cây trong'!$A$2:$C$246,3,0)," ")</f>
        <v>34000</v>
      </c>
      <c r="R588" s="564">
        <f t="shared" si="125"/>
        <v>204000</v>
      </c>
      <c r="S588" s="566" t="s">
        <v>2326</v>
      </c>
      <c r="T588" s="589" t="s">
        <v>53</v>
      </c>
      <c r="U588" s="591">
        <v>5.04</v>
      </c>
      <c r="V588" s="589"/>
      <c r="W588" s="564">
        <f>IF(S588&lt;&gt;0,VLOOKUP(S588,VKT!$A$2:$G$415,7,0),"")</f>
        <v>9347414</v>
      </c>
      <c r="X588" s="564">
        <f t="shared" si="118"/>
        <v>47111000</v>
      </c>
      <c r="Y588" s="589"/>
      <c r="Z588" s="592"/>
      <c r="AA588" s="592" t="s">
        <v>56</v>
      </c>
      <c r="AB588" s="568" t="s">
        <v>57</v>
      </c>
      <c r="AC588" s="592" t="s">
        <v>139</v>
      </c>
      <c r="AD588" s="592"/>
      <c r="AE588" s="606"/>
      <c r="AF588" s="590"/>
      <c r="AG588" s="570" t="str">
        <f>IF(AE588&lt;&gt;0,VLOOKUP(AE588,ODDS!$A$2:$C$13,3,0),"")</f>
        <v/>
      </c>
      <c r="AH588" s="570" t="str">
        <f t="shared" si="126"/>
        <v xml:space="preserve"> </v>
      </c>
      <c r="AI588" s="571" t="str">
        <f t="shared" si="127"/>
        <v xml:space="preserve"> </v>
      </c>
      <c r="AJ588" s="558" t="s">
        <v>524</v>
      </c>
      <c r="AK588" s="558" t="s">
        <v>2450</v>
      </c>
    </row>
    <row r="589" spans="1:37" s="376" customFormat="1" ht="101.25" outlineLevel="2" x14ac:dyDescent="0.3">
      <c r="A589" s="447">
        <f t="shared" si="129"/>
        <v>50</v>
      </c>
      <c r="B589" s="557"/>
      <c r="C589" s="572"/>
      <c r="D589" s="587"/>
      <c r="E589" s="612"/>
      <c r="F589" s="612"/>
      <c r="G589" s="586" t="s">
        <v>2473</v>
      </c>
      <c r="H589" s="588">
        <v>6</v>
      </c>
      <c r="I589" s="546" t="str">
        <f t="shared" si="128"/>
        <v/>
      </c>
      <c r="J589" s="589"/>
      <c r="K589" s="563">
        <f>IF(G589&lt;&gt;0,VLOOKUP(G589,'gia dat'!$A$1:$F$144,5,0)," ")</f>
        <v>554400</v>
      </c>
      <c r="L589" s="563">
        <f>IF(G589&lt;&gt;0,VLOOKUP(G589,'gia dat'!$A$1:$F$144,6,0)," ")</f>
        <v>0</v>
      </c>
      <c r="M589" s="564">
        <f t="shared" si="123"/>
        <v>3326000</v>
      </c>
      <c r="N589" s="564">
        <f t="shared" si="124"/>
        <v>0</v>
      </c>
      <c r="O589" s="586" t="s">
        <v>301</v>
      </c>
      <c r="P589" s="590">
        <v>1</v>
      </c>
      <c r="Q589" s="564">
        <f>IF(O589&lt;&gt;0,VLOOKUP(O589,'Cây trong'!$A$2:$C$246,3,0)," ")</f>
        <v>50000</v>
      </c>
      <c r="R589" s="564">
        <f t="shared" si="125"/>
        <v>50000</v>
      </c>
      <c r="S589" s="586" t="s">
        <v>1768</v>
      </c>
      <c r="T589" s="609" t="s">
        <v>53</v>
      </c>
      <c r="U589" s="591">
        <v>33.15</v>
      </c>
      <c r="V589" s="589"/>
      <c r="W589" s="564">
        <f>IF(S589&lt;&gt;0,VLOOKUP(S589,VKT!$A$2:$G$415,7,0),"")</f>
        <v>238288</v>
      </c>
      <c r="X589" s="564">
        <f t="shared" si="118"/>
        <v>7899000</v>
      </c>
      <c r="Y589" s="562"/>
      <c r="Z589" s="592"/>
      <c r="AA589" s="592"/>
      <c r="AB589" s="568"/>
      <c r="AC589" s="592"/>
      <c r="AD589" s="592"/>
      <c r="AE589" s="592"/>
      <c r="AF589" s="590"/>
      <c r="AG589" s="570" t="str">
        <f>IF(AE589&lt;&gt;0,VLOOKUP(AE589,ODDS!$A$2:$C$13,3,0),"")</f>
        <v/>
      </c>
      <c r="AH589" s="570" t="str">
        <f t="shared" si="126"/>
        <v xml:space="preserve"> </v>
      </c>
      <c r="AI589" s="571" t="str">
        <f t="shared" si="127"/>
        <v xml:space="preserve"> </v>
      </c>
      <c r="AJ589" s="593" t="s">
        <v>250</v>
      </c>
      <c r="AK589" s="558" t="s">
        <v>2449</v>
      </c>
    </row>
    <row r="590" spans="1:37" s="376" customFormat="1" ht="101.25" outlineLevel="2" x14ac:dyDescent="0.3">
      <c r="A590" s="447">
        <f t="shared" si="129"/>
        <v>50</v>
      </c>
      <c r="B590" s="557"/>
      <c r="C590" s="574"/>
      <c r="D590" s="587"/>
      <c r="E590" s="587"/>
      <c r="F590" s="560"/>
      <c r="G590" s="558"/>
      <c r="H590" s="588"/>
      <c r="I590" s="546"/>
      <c r="J590" s="589"/>
      <c r="K590" s="563" t="str">
        <f>IF(G590&lt;&gt;0,VLOOKUP(G590,'gia dat'!$A$1:$F$144,5,0)," ")</f>
        <v xml:space="preserve"> </v>
      </c>
      <c r="L590" s="563" t="str">
        <f>IF(G590&lt;&gt;0,VLOOKUP(G590,'gia dat'!$A$1:$F$144,6,0)," ")</f>
        <v xml:space="preserve"> </v>
      </c>
      <c r="M590" s="564" t="str">
        <f t="shared" si="123"/>
        <v xml:space="preserve"> </v>
      </c>
      <c r="N590" s="564" t="str">
        <f t="shared" si="124"/>
        <v xml:space="preserve"> </v>
      </c>
      <c r="O590" s="586" t="s">
        <v>133</v>
      </c>
      <c r="P590" s="590">
        <v>2</v>
      </c>
      <c r="Q590" s="564">
        <f>IF(O590&lt;&gt;0,VLOOKUP(O590,'Cây trong'!$A$2:$C$246,3,0)," ")</f>
        <v>758000</v>
      </c>
      <c r="R590" s="564">
        <f t="shared" si="125"/>
        <v>1516000</v>
      </c>
      <c r="S590" s="586" t="s">
        <v>1768</v>
      </c>
      <c r="T590" s="609" t="s">
        <v>53</v>
      </c>
      <c r="U590" s="591">
        <v>45.9</v>
      </c>
      <c r="V590" s="589"/>
      <c r="W590" s="564">
        <f>IF(S590&lt;&gt;0,VLOOKUP(S590,VKT!$A$2:$G$415,7,0),"")</f>
        <v>238288</v>
      </c>
      <c r="X590" s="564">
        <f t="shared" si="118"/>
        <v>10937000</v>
      </c>
      <c r="Y590" s="589"/>
      <c r="Z590" s="592"/>
      <c r="AA590" s="592"/>
      <c r="AB590" s="568"/>
      <c r="AC590" s="592"/>
      <c r="AD590" s="592"/>
      <c r="AE590" s="592"/>
      <c r="AF590" s="590"/>
      <c r="AG590" s="570" t="str">
        <f>IF(AE590&lt;&gt;0,VLOOKUP(AE590,ODDS!$A$2:$C$13,3,0),"")</f>
        <v/>
      </c>
      <c r="AH590" s="570" t="str">
        <f t="shared" si="126"/>
        <v xml:space="preserve"> </v>
      </c>
      <c r="AI590" s="571" t="str">
        <f t="shared" si="127"/>
        <v xml:space="preserve"> </v>
      </c>
      <c r="AJ590" s="558" t="s">
        <v>1699</v>
      </c>
      <c r="AK590" s="558" t="s">
        <v>2451</v>
      </c>
    </row>
    <row r="591" spans="1:37" s="376" customFormat="1" ht="101.25" outlineLevel="2" x14ac:dyDescent="0.3">
      <c r="A591" s="447">
        <f t="shared" si="129"/>
        <v>50</v>
      </c>
      <c r="B591" s="557"/>
      <c r="C591" s="558"/>
      <c r="D591" s="587"/>
      <c r="E591" s="587"/>
      <c r="F591" s="560"/>
      <c r="G591" s="558"/>
      <c r="H591" s="588"/>
      <c r="I591" s="546"/>
      <c r="J591" s="593"/>
      <c r="K591" s="563" t="str">
        <f>IF(G591&lt;&gt;0,VLOOKUP(G591,'gia dat'!$A$1:$F$144,5,0)," ")</f>
        <v xml:space="preserve"> </v>
      </c>
      <c r="L591" s="563" t="str">
        <f>IF(G591&lt;&gt;0,VLOOKUP(G591,'gia dat'!$A$1:$F$144,6,0)," ")</f>
        <v xml:space="preserve"> </v>
      </c>
      <c r="M591" s="564" t="str">
        <f t="shared" si="123"/>
        <v xml:space="preserve"> </v>
      </c>
      <c r="N591" s="564" t="str">
        <f t="shared" si="124"/>
        <v xml:space="preserve"> </v>
      </c>
      <c r="O591" s="586" t="s">
        <v>751</v>
      </c>
      <c r="P591" s="590">
        <v>1</v>
      </c>
      <c r="Q591" s="564">
        <f>IF(O591&lt;&gt;0,VLOOKUP(O591,'Cây trong'!$A$2:$C$246,3,0)," ")</f>
        <v>72000</v>
      </c>
      <c r="R591" s="564">
        <f t="shared" si="125"/>
        <v>72000</v>
      </c>
      <c r="S591" s="586" t="s">
        <v>1888</v>
      </c>
      <c r="T591" s="609" t="s">
        <v>53</v>
      </c>
      <c r="U591" s="591">
        <v>51.1</v>
      </c>
      <c r="V591" s="589"/>
      <c r="W591" s="564">
        <f>IF(S591&lt;&gt;0,VLOOKUP(S591,VKT!$A$2:$G$415,7,0),"")</f>
        <v>1574011</v>
      </c>
      <c r="X591" s="564">
        <f t="shared" si="118"/>
        <v>80432000</v>
      </c>
      <c r="Y591" s="589" t="s">
        <v>54</v>
      </c>
      <c r="Z591" s="592" t="s">
        <v>55</v>
      </c>
      <c r="AA591" s="592" t="s">
        <v>325</v>
      </c>
      <c r="AB591" s="568" t="s">
        <v>326</v>
      </c>
      <c r="AC591" s="592" t="s">
        <v>327</v>
      </c>
      <c r="AD591" s="592"/>
      <c r="AE591" s="592"/>
      <c r="AF591" s="590"/>
      <c r="AG591" s="570" t="str">
        <f>IF(AE591&lt;&gt;0,VLOOKUP(AE591,ODDS!$A$2:$C$13,3,0),"")</f>
        <v/>
      </c>
      <c r="AH591" s="570" t="str">
        <f t="shared" si="126"/>
        <v xml:space="preserve"> </v>
      </c>
      <c r="AI591" s="571" t="str">
        <f t="shared" si="127"/>
        <v xml:space="preserve"> </v>
      </c>
      <c r="AJ591" s="575"/>
      <c r="AK591" s="558" t="s">
        <v>2800</v>
      </c>
    </row>
    <row r="592" spans="1:37" s="376" customFormat="1" ht="60.75" outlineLevel="2" x14ac:dyDescent="0.3">
      <c r="A592" s="447">
        <f t="shared" si="129"/>
        <v>50</v>
      </c>
      <c r="B592" s="557"/>
      <c r="C592" s="635"/>
      <c r="D592" s="587"/>
      <c r="E592" s="587"/>
      <c r="F592" s="560"/>
      <c r="G592" s="558"/>
      <c r="H592" s="588"/>
      <c r="I592" s="546"/>
      <c r="J592" s="593"/>
      <c r="K592" s="563" t="str">
        <f>IF(G592&lt;&gt;0,VLOOKUP(G592,'gia dat'!$A$1:$F$144,5,0)," ")</f>
        <v xml:space="preserve"> </v>
      </c>
      <c r="L592" s="563" t="str">
        <f>IF(G592&lt;&gt;0,VLOOKUP(G592,'gia dat'!$A$1:$F$144,6,0)," ")</f>
        <v xml:space="preserve"> </v>
      </c>
      <c r="M592" s="564" t="str">
        <f t="shared" si="123"/>
        <v xml:space="preserve"> </v>
      </c>
      <c r="N592" s="564" t="str">
        <f t="shared" si="124"/>
        <v xml:space="preserve"> </v>
      </c>
      <c r="O592" s="586" t="s">
        <v>741</v>
      </c>
      <c r="P592" s="590">
        <v>1</v>
      </c>
      <c r="Q592" s="564">
        <f>IF(O592&lt;&gt;0,VLOOKUP(O592,'Cây trong'!$A$2:$C$246,3,0)," ")</f>
        <v>150000</v>
      </c>
      <c r="R592" s="564">
        <f t="shared" si="125"/>
        <v>150000</v>
      </c>
      <c r="S592" s="586" t="s">
        <v>2327</v>
      </c>
      <c r="T592" s="609" t="s">
        <v>53</v>
      </c>
      <c r="U592" s="591">
        <v>2.2400000000000002</v>
      </c>
      <c r="V592" s="589"/>
      <c r="W592" s="564">
        <f>IF(S592&lt;&gt;0,VLOOKUP(S592,VKT!$A$2:$G$415,7,0),"")</f>
        <v>2354806</v>
      </c>
      <c r="X592" s="564">
        <f t="shared" si="118"/>
        <v>5275000</v>
      </c>
      <c r="Y592" s="589"/>
      <c r="Z592" s="592"/>
      <c r="AA592" s="592" t="s">
        <v>141</v>
      </c>
      <c r="AB592" s="568" t="s">
        <v>57</v>
      </c>
      <c r="AC592" s="592" t="s">
        <v>328</v>
      </c>
      <c r="AD592" s="592"/>
      <c r="AE592" s="592"/>
      <c r="AF592" s="590"/>
      <c r="AG592" s="570" t="str">
        <f>IF(AE592&lt;&gt;0,VLOOKUP(AE592,ODDS!$A$2:$C$13,3,0),"")</f>
        <v/>
      </c>
      <c r="AH592" s="570" t="str">
        <f t="shared" si="126"/>
        <v xml:space="preserve"> </v>
      </c>
      <c r="AI592" s="571" t="str">
        <f t="shared" si="127"/>
        <v xml:space="preserve"> </v>
      </c>
      <c r="AJ592" s="593"/>
      <c r="AK592" s="558"/>
    </row>
    <row r="593" spans="1:37" s="376" customFormat="1" ht="40.5" outlineLevel="2" x14ac:dyDescent="0.3">
      <c r="A593" s="447">
        <f t="shared" si="129"/>
        <v>50</v>
      </c>
      <c r="B593" s="557"/>
      <c r="C593" s="635"/>
      <c r="D593" s="587"/>
      <c r="E593" s="587"/>
      <c r="F593" s="560"/>
      <c r="G593" s="558"/>
      <c r="H593" s="588"/>
      <c r="I593" s="546"/>
      <c r="J593" s="593"/>
      <c r="K593" s="563" t="str">
        <f>IF(G593&lt;&gt;0,VLOOKUP(G593,'gia dat'!$A$1:$F$144,5,0)," ")</f>
        <v xml:space="preserve"> </v>
      </c>
      <c r="L593" s="563" t="str">
        <f>IF(G593&lt;&gt;0,VLOOKUP(G593,'gia dat'!$A$1:$F$144,6,0)," ")</f>
        <v xml:space="preserve"> </v>
      </c>
      <c r="M593" s="564" t="str">
        <f t="shared" si="123"/>
        <v xml:space="preserve"> </v>
      </c>
      <c r="N593" s="564" t="str">
        <f t="shared" si="124"/>
        <v xml:space="preserve"> </v>
      </c>
      <c r="O593" s="586"/>
      <c r="P593" s="590"/>
      <c r="Q593" s="564" t="str">
        <f>IF(O593&lt;&gt;0,VLOOKUP(O593,'Cây trong'!$A$2:$C$246,3,0)," ")</f>
        <v xml:space="preserve"> </v>
      </c>
      <c r="R593" s="564" t="str">
        <f t="shared" si="125"/>
        <v xml:space="preserve"> </v>
      </c>
      <c r="S593" s="586" t="s">
        <v>2328</v>
      </c>
      <c r="T593" s="609" t="s">
        <v>53</v>
      </c>
      <c r="U593" s="591">
        <v>28.7</v>
      </c>
      <c r="V593" s="589"/>
      <c r="W593" s="564">
        <f>IF(S593&lt;&gt;0,VLOOKUP(S593,VKT!$A$2:$G$415,7,0),"")</f>
        <v>1379988</v>
      </c>
      <c r="X593" s="564">
        <f t="shared" si="118"/>
        <v>39606000</v>
      </c>
      <c r="Y593" s="589" t="s">
        <v>54</v>
      </c>
      <c r="Z593" s="592" t="s">
        <v>55</v>
      </c>
      <c r="AA593" s="592" t="s">
        <v>141</v>
      </c>
      <c r="AB593" s="568" t="s">
        <v>326</v>
      </c>
      <c r="AC593" s="592" t="s">
        <v>143</v>
      </c>
      <c r="AD593" s="592"/>
      <c r="AE593" s="592"/>
      <c r="AF593" s="590"/>
      <c r="AG593" s="570" t="str">
        <f>IF(AE593&lt;&gt;0,VLOOKUP(AE593,ODDS!$A$2:$C$13,3,0),"")</f>
        <v/>
      </c>
      <c r="AH593" s="570" t="str">
        <f t="shared" si="126"/>
        <v xml:space="preserve"> </v>
      </c>
      <c r="AI593" s="571" t="str">
        <f t="shared" si="127"/>
        <v xml:space="preserve"> </v>
      </c>
      <c r="AJ593" s="593"/>
      <c r="AK593" s="593"/>
    </row>
    <row r="594" spans="1:37" s="376" customFormat="1" ht="40.5" outlineLevel="2" x14ac:dyDescent="0.3">
      <c r="A594" s="447">
        <f t="shared" si="129"/>
        <v>50</v>
      </c>
      <c r="B594" s="557"/>
      <c r="C594" s="635"/>
      <c r="D594" s="587"/>
      <c r="E594" s="587"/>
      <c r="F594" s="560"/>
      <c r="G594" s="558"/>
      <c r="H594" s="588"/>
      <c r="I594" s="546"/>
      <c r="J594" s="593"/>
      <c r="K594" s="563" t="str">
        <f>IF(G594&lt;&gt;0,VLOOKUP(G594,'gia dat'!$A$1:$F$144,5,0)," ")</f>
        <v xml:space="preserve"> </v>
      </c>
      <c r="L594" s="563" t="str">
        <f>IF(G594&lt;&gt;0,VLOOKUP(G594,'gia dat'!$A$1:$F$144,6,0)," ")</f>
        <v xml:space="preserve"> </v>
      </c>
      <c r="M594" s="564" t="str">
        <f t="shared" si="123"/>
        <v xml:space="preserve"> </v>
      </c>
      <c r="N594" s="564" t="str">
        <f t="shared" si="124"/>
        <v xml:space="preserve"> </v>
      </c>
      <c r="O594" s="586"/>
      <c r="P594" s="590"/>
      <c r="Q594" s="564" t="str">
        <f>IF(O594&lt;&gt;0,VLOOKUP(O594,'Cây trong'!$A$2:$C$246,3,0)," ")</f>
        <v xml:space="preserve"> </v>
      </c>
      <c r="R594" s="564" t="str">
        <f t="shared" si="125"/>
        <v xml:space="preserve"> </v>
      </c>
      <c r="S594" s="586" t="s">
        <v>1767</v>
      </c>
      <c r="T594" s="609" t="s">
        <v>53</v>
      </c>
      <c r="U594" s="591">
        <v>13.12</v>
      </c>
      <c r="V594" s="589"/>
      <c r="W594" s="564">
        <f>IF(S594&lt;&gt;0,VLOOKUP(S594,VKT!$A$2:$G$415,7,0),"")</f>
        <v>0</v>
      </c>
      <c r="X594" s="564">
        <f t="shared" si="118"/>
        <v>0</v>
      </c>
      <c r="Y594" s="589"/>
      <c r="Z594" s="592" t="s">
        <v>55</v>
      </c>
      <c r="AA594" s="592" t="s">
        <v>87</v>
      </c>
      <c r="AB594" s="568" t="s">
        <v>171</v>
      </c>
      <c r="AC594" s="592" t="s">
        <v>143</v>
      </c>
      <c r="AD594" s="592"/>
      <c r="AE594" s="592"/>
      <c r="AF594" s="590"/>
      <c r="AG594" s="570" t="str">
        <f>IF(AE594&lt;&gt;0,VLOOKUP(AE594,ODDS!$A$2:$C$13,3,0),"")</f>
        <v/>
      </c>
      <c r="AH594" s="570" t="str">
        <f t="shared" si="126"/>
        <v xml:space="preserve"> </v>
      </c>
      <c r="AI594" s="571" t="str">
        <f t="shared" si="127"/>
        <v xml:space="preserve"> </v>
      </c>
      <c r="AJ594" s="593"/>
      <c r="AK594" s="593"/>
    </row>
    <row r="595" spans="1:37" s="376" customFormat="1" ht="60.75" outlineLevel="2" x14ac:dyDescent="0.3">
      <c r="A595" s="447">
        <f t="shared" si="129"/>
        <v>50</v>
      </c>
      <c r="B595" s="557"/>
      <c r="C595" s="635"/>
      <c r="D595" s="587"/>
      <c r="E595" s="587"/>
      <c r="F595" s="560"/>
      <c r="G595" s="558"/>
      <c r="H595" s="588"/>
      <c r="I595" s="546"/>
      <c r="J595" s="593"/>
      <c r="K595" s="563" t="str">
        <f>IF(G595&lt;&gt;0,VLOOKUP(G595,'gia dat'!$A$1:$F$144,5,0)," ")</f>
        <v xml:space="preserve"> </v>
      </c>
      <c r="L595" s="563" t="str">
        <f>IF(G595&lt;&gt;0,VLOOKUP(G595,'gia dat'!$A$1:$F$144,6,0)," ")</f>
        <v xml:space="preserve"> </v>
      </c>
      <c r="M595" s="564" t="str">
        <f t="shared" si="123"/>
        <v xml:space="preserve"> </v>
      </c>
      <c r="N595" s="564" t="str">
        <f t="shared" si="124"/>
        <v xml:space="preserve"> </v>
      </c>
      <c r="O595" s="586"/>
      <c r="P595" s="590"/>
      <c r="Q595" s="564" t="str">
        <f>IF(O595&lt;&gt;0,VLOOKUP(O595,'Cây trong'!$A$2:$C$246,3,0)," ")</f>
        <v xml:space="preserve"> </v>
      </c>
      <c r="R595" s="564" t="str">
        <f t="shared" si="125"/>
        <v xml:space="preserve"> </v>
      </c>
      <c r="S595" s="586" t="s">
        <v>1768</v>
      </c>
      <c r="T595" s="609" t="s">
        <v>53</v>
      </c>
      <c r="U595" s="591">
        <v>13.12</v>
      </c>
      <c r="V595" s="589"/>
      <c r="W595" s="564">
        <f>IF(S595&lt;&gt;0,VLOOKUP(S595,VKT!$A$2:$G$415,7,0),"")</f>
        <v>238288</v>
      </c>
      <c r="X595" s="564">
        <f t="shared" si="118"/>
        <v>3126000</v>
      </c>
      <c r="Y595" s="589"/>
      <c r="Z595" s="592"/>
      <c r="AA595" s="592"/>
      <c r="AB595" s="568"/>
      <c r="AC595" s="592"/>
      <c r="AD595" s="592"/>
      <c r="AE595" s="592"/>
      <c r="AF595" s="590"/>
      <c r="AG595" s="570" t="str">
        <f>IF(AE595&lt;&gt;0,VLOOKUP(AE595,ODDS!$A$2:$C$13,3,0),"")</f>
        <v/>
      </c>
      <c r="AH595" s="570" t="str">
        <f t="shared" si="126"/>
        <v xml:space="preserve"> </v>
      </c>
      <c r="AI595" s="571" t="str">
        <f t="shared" si="127"/>
        <v xml:space="preserve"> </v>
      </c>
      <c r="AJ595" s="593"/>
      <c r="AK595" s="593"/>
    </row>
    <row r="596" spans="1:37" s="376" customFormat="1" ht="60.75" outlineLevel="2" x14ac:dyDescent="0.3">
      <c r="A596" s="447">
        <f t="shared" si="129"/>
        <v>50</v>
      </c>
      <c r="B596" s="557"/>
      <c r="C596" s="635"/>
      <c r="D596" s="587"/>
      <c r="E596" s="587"/>
      <c r="F596" s="560"/>
      <c r="G596" s="558"/>
      <c r="H596" s="588"/>
      <c r="I596" s="546"/>
      <c r="J596" s="593"/>
      <c r="K596" s="563" t="str">
        <f>IF(G596&lt;&gt;0,VLOOKUP(G596,'gia dat'!$A$1:$F$144,5,0)," ")</f>
        <v xml:space="preserve"> </v>
      </c>
      <c r="L596" s="563" t="str">
        <f>IF(G596&lt;&gt;0,VLOOKUP(G596,'gia dat'!$A$1:$F$144,6,0)," ")</f>
        <v xml:space="preserve"> </v>
      </c>
      <c r="M596" s="564" t="str">
        <f t="shared" si="123"/>
        <v xml:space="preserve"> </v>
      </c>
      <c r="N596" s="564" t="str">
        <f t="shared" si="124"/>
        <v xml:space="preserve"> </v>
      </c>
      <c r="O596" s="586"/>
      <c r="P596" s="590"/>
      <c r="Q596" s="564" t="str">
        <f>IF(O596&lt;&gt;0,VLOOKUP(O596,'Cây trong'!$A$2:$C$246,3,0)," ")</f>
        <v xml:space="preserve"> </v>
      </c>
      <c r="R596" s="564" t="str">
        <f t="shared" si="125"/>
        <v xml:space="preserve"> </v>
      </c>
      <c r="S596" s="586" t="s">
        <v>1846</v>
      </c>
      <c r="T596" s="609" t="s">
        <v>53</v>
      </c>
      <c r="U596" s="591">
        <v>91.5</v>
      </c>
      <c r="V596" s="589"/>
      <c r="W596" s="564">
        <f>IF(S596&lt;&gt;0,VLOOKUP(S596,VKT!$A$2:$G$415,7,0),"")</f>
        <v>238288</v>
      </c>
      <c r="X596" s="564">
        <f t="shared" si="118"/>
        <v>21803000</v>
      </c>
      <c r="Y596" s="589"/>
      <c r="Z596" s="592"/>
      <c r="AA596" s="592"/>
      <c r="AB596" s="568"/>
      <c r="AC596" s="592"/>
      <c r="AD596" s="592"/>
      <c r="AE596" s="592"/>
      <c r="AF596" s="590"/>
      <c r="AG596" s="570" t="str">
        <f>IF(AE596&lt;&gt;0,VLOOKUP(AE596,ODDS!$A$2:$C$13,3,0),"")</f>
        <v/>
      </c>
      <c r="AH596" s="570" t="str">
        <f t="shared" si="126"/>
        <v xml:space="preserve"> </v>
      </c>
      <c r="AI596" s="571" t="str">
        <f t="shared" si="127"/>
        <v xml:space="preserve"> </v>
      </c>
      <c r="AJ596" s="593"/>
      <c r="AK596" s="593"/>
    </row>
    <row r="597" spans="1:37" s="376" customFormat="1" ht="40.5" outlineLevel="2" x14ac:dyDescent="0.3">
      <c r="A597" s="447">
        <f t="shared" si="129"/>
        <v>50</v>
      </c>
      <c r="B597" s="557"/>
      <c r="C597" s="635"/>
      <c r="D597" s="587"/>
      <c r="E597" s="587"/>
      <c r="F597" s="560"/>
      <c r="G597" s="558"/>
      <c r="H597" s="588"/>
      <c r="I597" s="546"/>
      <c r="J597" s="593"/>
      <c r="K597" s="563" t="str">
        <f>IF(G597&lt;&gt;0,VLOOKUP(G597,'gia dat'!$A$1:$F$144,5,0)," ")</f>
        <v xml:space="preserve"> </v>
      </c>
      <c r="L597" s="563" t="str">
        <f>IF(G597&lt;&gt;0,VLOOKUP(G597,'gia dat'!$A$1:$F$144,6,0)," ")</f>
        <v xml:space="preserve"> </v>
      </c>
      <c r="M597" s="564" t="str">
        <f t="shared" si="123"/>
        <v xml:space="preserve"> </v>
      </c>
      <c r="N597" s="564" t="str">
        <f t="shared" si="124"/>
        <v xml:space="preserve"> </v>
      </c>
      <c r="O597" s="586"/>
      <c r="P597" s="590"/>
      <c r="Q597" s="564" t="str">
        <f>IF(O597&lt;&gt;0,VLOOKUP(O597,'Cây trong'!$A$2:$C$246,3,0)," ")</f>
        <v xml:space="preserve"> </v>
      </c>
      <c r="R597" s="564" t="str">
        <f t="shared" si="125"/>
        <v xml:space="preserve"> </v>
      </c>
      <c r="S597" s="586" t="s">
        <v>2007</v>
      </c>
      <c r="T597" s="609" t="s">
        <v>53</v>
      </c>
      <c r="U597" s="591">
        <v>9.57</v>
      </c>
      <c r="V597" s="589"/>
      <c r="W597" s="564">
        <f>IF(S597&lt;&gt;0,VLOOKUP(S597,VKT!$A$2:$G$415,7,0),"")</f>
        <v>1641213</v>
      </c>
      <c r="X597" s="564">
        <f t="shared" si="118"/>
        <v>15706000</v>
      </c>
      <c r="Y597" s="589"/>
      <c r="Z597" s="592"/>
      <c r="AA597" s="592"/>
      <c r="AB597" s="568"/>
      <c r="AC597" s="592"/>
      <c r="AD597" s="592"/>
      <c r="AE597" s="592"/>
      <c r="AF597" s="590"/>
      <c r="AG597" s="570" t="str">
        <f>IF(AE597&lt;&gt;0,VLOOKUP(AE597,ODDS!$A$2:$C$13,3,0),"")</f>
        <v/>
      </c>
      <c r="AH597" s="570" t="str">
        <f t="shared" si="126"/>
        <v xml:space="preserve"> </v>
      </c>
      <c r="AI597" s="571" t="str">
        <f t="shared" si="127"/>
        <v xml:space="preserve"> </v>
      </c>
      <c r="AJ597" s="593"/>
      <c r="AK597" s="593"/>
    </row>
    <row r="598" spans="1:37" s="376" customFormat="1" ht="81" outlineLevel="2" x14ac:dyDescent="0.3">
      <c r="A598" s="447">
        <f t="shared" si="129"/>
        <v>50</v>
      </c>
      <c r="B598" s="557"/>
      <c r="C598" s="635"/>
      <c r="D598" s="587"/>
      <c r="E598" s="587"/>
      <c r="F598" s="560"/>
      <c r="G598" s="558"/>
      <c r="H598" s="588"/>
      <c r="I598" s="546"/>
      <c r="J598" s="593"/>
      <c r="K598" s="563" t="str">
        <f>IF(G598&lt;&gt;0,VLOOKUP(G598,'gia dat'!$A$1:$F$144,5,0)," ")</f>
        <v xml:space="preserve"> </v>
      </c>
      <c r="L598" s="563" t="str">
        <f>IF(G598&lt;&gt;0,VLOOKUP(G598,'gia dat'!$A$1:$F$144,6,0)," ")</f>
        <v xml:space="preserve"> </v>
      </c>
      <c r="M598" s="564" t="str">
        <f t="shared" si="123"/>
        <v xml:space="preserve"> </v>
      </c>
      <c r="N598" s="564" t="str">
        <f t="shared" si="124"/>
        <v xml:space="preserve"> </v>
      </c>
      <c r="O598" s="586"/>
      <c r="P598" s="590"/>
      <c r="Q598" s="564" t="str">
        <f>IF(O598&lt;&gt;0,VLOOKUP(O598,'Cây trong'!$A$2:$C$246,3,0)," ")</f>
        <v xml:space="preserve"> </v>
      </c>
      <c r="R598" s="564" t="str">
        <f t="shared" si="125"/>
        <v xml:space="preserve"> </v>
      </c>
      <c r="S598" s="586" t="s">
        <v>2329</v>
      </c>
      <c r="T598" s="609" t="s">
        <v>53</v>
      </c>
      <c r="U598" s="591">
        <v>24.66</v>
      </c>
      <c r="V598" s="589"/>
      <c r="W598" s="564">
        <f>IF(S598&lt;&gt;0,VLOOKUP(S598,VKT!$A$2:$G$415,7,0),"")</f>
        <v>300398</v>
      </c>
      <c r="X598" s="564">
        <f t="shared" si="118"/>
        <v>7408000</v>
      </c>
      <c r="Y598" s="589"/>
      <c r="Z598" s="592"/>
      <c r="AA598" s="592"/>
      <c r="AB598" s="568"/>
      <c r="AC598" s="592"/>
      <c r="AD598" s="592"/>
      <c r="AE598" s="592"/>
      <c r="AF598" s="590"/>
      <c r="AG598" s="570" t="str">
        <f>IF(AE598&lt;&gt;0,VLOOKUP(AE598,ODDS!$A$2:$C$13,3,0),"")</f>
        <v/>
      </c>
      <c r="AH598" s="570" t="str">
        <f t="shared" si="126"/>
        <v xml:space="preserve"> </v>
      </c>
      <c r="AI598" s="571" t="str">
        <f t="shared" si="127"/>
        <v xml:space="preserve"> </v>
      </c>
      <c r="AJ598" s="593"/>
      <c r="AK598" s="593"/>
    </row>
    <row r="599" spans="1:37" s="376" customFormat="1" ht="40.5" outlineLevel="2" x14ac:dyDescent="0.3">
      <c r="A599" s="447">
        <f t="shared" si="129"/>
        <v>50</v>
      </c>
      <c r="B599" s="557"/>
      <c r="C599" s="635"/>
      <c r="D599" s="587"/>
      <c r="E599" s="587"/>
      <c r="F599" s="560"/>
      <c r="G599" s="558"/>
      <c r="H599" s="588"/>
      <c r="I599" s="546"/>
      <c r="J599" s="593"/>
      <c r="K599" s="563" t="str">
        <f>IF(G599&lt;&gt;0,VLOOKUP(G599,'gia dat'!$A$1:$F$144,5,0)," ")</f>
        <v xml:space="preserve"> </v>
      </c>
      <c r="L599" s="563" t="str">
        <f>IF(G599&lt;&gt;0,VLOOKUP(G599,'gia dat'!$A$1:$F$144,6,0)," ")</f>
        <v xml:space="preserve"> </v>
      </c>
      <c r="M599" s="564" t="str">
        <f t="shared" si="123"/>
        <v xml:space="preserve"> </v>
      </c>
      <c r="N599" s="564" t="str">
        <f t="shared" si="124"/>
        <v xml:space="preserve"> </v>
      </c>
      <c r="O599" s="586"/>
      <c r="P599" s="590"/>
      <c r="Q599" s="564" t="str">
        <f>IF(O599&lt;&gt;0,VLOOKUP(O599,'Cây trong'!$A$2:$C$246,3,0)," ")</f>
        <v xml:space="preserve"> </v>
      </c>
      <c r="R599" s="564" t="str">
        <f t="shared" si="125"/>
        <v xml:space="preserve"> </v>
      </c>
      <c r="S599" s="586" t="s">
        <v>1801</v>
      </c>
      <c r="T599" s="609" t="s">
        <v>78</v>
      </c>
      <c r="U599" s="591">
        <v>0.52</v>
      </c>
      <c r="V599" s="589"/>
      <c r="W599" s="564">
        <f>IF(S599&lt;&gt;0,VLOOKUP(S599,VKT!$A$2:$G$415,7,0),"")</f>
        <v>0</v>
      </c>
      <c r="X599" s="564">
        <f t="shared" si="118"/>
        <v>0</v>
      </c>
      <c r="Y599" s="589"/>
      <c r="Z599" s="592"/>
      <c r="AA599" s="592"/>
      <c r="AB599" s="568"/>
      <c r="AC599" s="592"/>
      <c r="AD599" s="592"/>
      <c r="AE599" s="592"/>
      <c r="AF599" s="590"/>
      <c r="AG599" s="570" t="str">
        <f>IF(AE599&lt;&gt;0,VLOOKUP(AE599,ODDS!$A$2:$C$13,3,0),"")</f>
        <v/>
      </c>
      <c r="AH599" s="570" t="str">
        <f t="shared" si="126"/>
        <v xml:space="preserve"> </v>
      </c>
      <c r="AI599" s="571" t="str">
        <f t="shared" si="127"/>
        <v xml:space="preserve"> </v>
      </c>
      <c r="AJ599" s="593"/>
      <c r="AK599" s="593"/>
    </row>
    <row r="600" spans="1:37" s="376" customFormat="1" ht="40.5" outlineLevel="2" x14ac:dyDescent="0.3">
      <c r="A600" s="447">
        <f t="shared" si="129"/>
        <v>50</v>
      </c>
      <c r="B600" s="557"/>
      <c r="C600" s="635"/>
      <c r="D600" s="587"/>
      <c r="E600" s="587"/>
      <c r="F600" s="560"/>
      <c r="G600" s="558"/>
      <c r="H600" s="588"/>
      <c r="I600" s="546"/>
      <c r="J600" s="593"/>
      <c r="K600" s="563" t="str">
        <f>IF(G600&lt;&gt;0,VLOOKUP(G600,'gia dat'!$A$1:$F$144,5,0)," ")</f>
        <v xml:space="preserve"> </v>
      </c>
      <c r="L600" s="563" t="str">
        <f>IF(G600&lt;&gt;0,VLOOKUP(G600,'gia dat'!$A$1:$F$144,6,0)," ")</f>
        <v xml:space="preserve"> </v>
      </c>
      <c r="M600" s="564" t="str">
        <f t="shared" si="123"/>
        <v xml:space="preserve"> </v>
      </c>
      <c r="N600" s="564" t="str">
        <f t="shared" si="124"/>
        <v xml:space="preserve"> </v>
      </c>
      <c r="O600" s="586"/>
      <c r="P600" s="590"/>
      <c r="Q600" s="564" t="str">
        <f>IF(O600&lt;&gt;0,VLOOKUP(O600,'Cây trong'!$A$2:$C$246,3,0)," ")</f>
        <v xml:space="preserve"> </v>
      </c>
      <c r="R600" s="564" t="str">
        <f t="shared" si="125"/>
        <v xml:space="preserve"> </v>
      </c>
      <c r="S600" s="586" t="s">
        <v>1880</v>
      </c>
      <c r="T600" s="609" t="s">
        <v>78</v>
      </c>
      <c r="U600" s="591">
        <v>0.25</v>
      </c>
      <c r="V600" s="589"/>
      <c r="W600" s="564">
        <f>IF(S600&lt;&gt;0,VLOOKUP(S600,VKT!$A$2:$G$415,7,0),"")</f>
        <v>0</v>
      </c>
      <c r="X600" s="564">
        <f t="shared" si="118"/>
        <v>0</v>
      </c>
      <c r="Y600" s="589"/>
      <c r="Z600" s="592"/>
      <c r="AA600" s="592"/>
      <c r="AB600" s="568"/>
      <c r="AC600" s="592"/>
      <c r="AD600" s="592"/>
      <c r="AE600" s="592"/>
      <c r="AF600" s="590"/>
      <c r="AG600" s="570" t="str">
        <f>IF(AE600&lt;&gt;0,VLOOKUP(AE600,ODDS!$A$2:$C$13,3,0),"")</f>
        <v/>
      </c>
      <c r="AH600" s="570" t="str">
        <f t="shared" si="126"/>
        <v xml:space="preserve"> </v>
      </c>
      <c r="AI600" s="571" t="str">
        <f t="shared" si="127"/>
        <v xml:space="preserve"> </v>
      </c>
      <c r="AJ600" s="593"/>
      <c r="AK600" s="593"/>
    </row>
    <row r="601" spans="1:37" s="376" customFormat="1" ht="40.5" outlineLevel="2" x14ac:dyDescent="0.3">
      <c r="A601" s="447">
        <f t="shared" si="129"/>
        <v>50</v>
      </c>
      <c r="B601" s="557"/>
      <c r="C601" s="635"/>
      <c r="D601" s="587"/>
      <c r="E601" s="587"/>
      <c r="F601" s="560"/>
      <c r="G601" s="558"/>
      <c r="H601" s="588"/>
      <c r="I601" s="546"/>
      <c r="J601" s="593"/>
      <c r="K601" s="563" t="str">
        <f>IF(G601&lt;&gt;0,VLOOKUP(G601,'gia dat'!$A$1:$F$144,5,0)," ")</f>
        <v xml:space="preserve"> </v>
      </c>
      <c r="L601" s="563" t="str">
        <f>IF(G601&lt;&gt;0,VLOOKUP(G601,'gia dat'!$A$1:$F$144,6,0)," ")</f>
        <v xml:space="preserve"> </v>
      </c>
      <c r="M601" s="564" t="str">
        <f t="shared" si="123"/>
        <v xml:space="preserve"> </v>
      </c>
      <c r="N601" s="564" t="str">
        <f t="shared" si="124"/>
        <v xml:space="preserve"> </v>
      </c>
      <c r="O601" s="586"/>
      <c r="P601" s="590"/>
      <c r="Q601" s="564" t="str">
        <f>IF(O601&lt;&gt;0,VLOOKUP(O601,'Cây trong'!$A$2:$C$246,3,0)," ")</f>
        <v xml:space="preserve"> </v>
      </c>
      <c r="R601" s="564" t="str">
        <f t="shared" si="125"/>
        <v xml:space="preserve"> </v>
      </c>
      <c r="S601" s="586" t="s">
        <v>1881</v>
      </c>
      <c r="T601" s="609" t="s">
        <v>53</v>
      </c>
      <c r="U601" s="591">
        <v>1.68</v>
      </c>
      <c r="V601" s="589"/>
      <c r="W601" s="564">
        <f>IF(S601&lt;&gt;0,VLOOKUP(S601,VKT!$A$2:$G$415,7,0),"")</f>
        <v>286855</v>
      </c>
      <c r="X601" s="564">
        <f t="shared" si="118"/>
        <v>482000</v>
      </c>
      <c r="Y601" s="589"/>
      <c r="Z601" s="592"/>
      <c r="AA601" s="592"/>
      <c r="AB601" s="568"/>
      <c r="AC601" s="592"/>
      <c r="AD601" s="592"/>
      <c r="AE601" s="592"/>
      <c r="AF601" s="590"/>
      <c r="AG601" s="570" t="str">
        <f>IF(AE601&lt;&gt;0,VLOOKUP(AE601,ODDS!$A$2:$C$13,3,0),"")</f>
        <v/>
      </c>
      <c r="AH601" s="570" t="str">
        <f t="shared" si="126"/>
        <v xml:space="preserve"> </v>
      </c>
      <c r="AI601" s="571" t="str">
        <f t="shared" si="127"/>
        <v xml:space="preserve"> </v>
      </c>
      <c r="AJ601" s="593"/>
      <c r="AK601" s="593"/>
    </row>
    <row r="602" spans="1:37" s="376" customFormat="1" ht="60.75" outlineLevel="2" x14ac:dyDescent="0.3">
      <c r="A602" s="447">
        <f t="shared" si="129"/>
        <v>50</v>
      </c>
      <c r="B602" s="557"/>
      <c r="C602" s="635"/>
      <c r="D602" s="587"/>
      <c r="E602" s="587"/>
      <c r="F602" s="560"/>
      <c r="G602" s="558"/>
      <c r="H602" s="588"/>
      <c r="I602" s="546"/>
      <c r="J602" s="593"/>
      <c r="K602" s="563" t="str">
        <f>IF(G602&lt;&gt;0,VLOOKUP(G602,'gia dat'!$A$1:$F$144,5,0)," ")</f>
        <v xml:space="preserve"> </v>
      </c>
      <c r="L602" s="563" t="str">
        <f>IF(G602&lt;&gt;0,VLOOKUP(G602,'gia dat'!$A$1:$F$144,6,0)," ")</f>
        <v xml:space="preserve"> </v>
      </c>
      <c r="M602" s="564" t="str">
        <f t="shared" si="123"/>
        <v xml:space="preserve"> </v>
      </c>
      <c r="N602" s="564" t="str">
        <f t="shared" si="124"/>
        <v xml:space="preserve"> </v>
      </c>
      <c r="O602" s="586"/>
      <c r="P602" s="590"/>
      <c r="Q602" s="564" t="str">
        <f>IF(O602&lt;&gt;0,VLOOKUP(O602,'Cây trong'!$A$2:$C$246,3,0)," ")</f>
        <v xml:space="preserve"> </v>
      </c>
      <c r="R602" s="564" t="str">
        <f t="shared" si="125"/>
        <v xml:space="preserve"> </v>
      </c>
      <c r="S602" s="586" t="s">
        <v>1894</v>
      </c>
      <c r="T602" s="609" t="s">
        <v>53</v>
      </c>
      <c r="U602" s="591">
        <v>1.4</v>
      </c>
      <c r="V602" s="589"/>
      <c r="W602" s="564">
        <f>IF(S602&lt;&gt;0,VLOOKUP(S602,VKT!$A$2:$G$415,7,0),"")</f>
        <v>348773</v>
      </c>
      <c r="X602" s="564">
        <f t="shared" si="118"/>
        <v>488000</v>
      </c>
      <c r="Y602" s="589"/>
      <c r="Z602" s="592"/>
      <c r="AA602" s="592"/>
      <c r="AB602" s="568"/>
      <c r="AC602" s="592"/>
      <c r="AD602" s="592"/>
      <c r="AE602" s="592"/>
      <c r="AF602" s="590"/>
      <c r="AG602" s="570" t="str">
        <f>IF(AE602&lt;&gt;0,VLOOKUP(AE602,ODDS!$A$2:$C$13,3,0),"")</f>
        <v/>
      </c>
      <c r="AH602" s="570" t="str">
        <f t="shared" si="126"/>
        <v xml:space="preserve"> </v>
      </c>
      <c r="AI602" s="571" t="str">
        <f t="shared" si="127"/>
        <v xml:space="preserve"> </v>
      </c>
      <c r="AJ602" s="593"/>
      <c r="AK602" s="593"/>
    </row>
    <row r="603" spans="1:37" s="376" customFormat="1" ht="81" outlineLevel="2" x14ac:dyDescent="0.3">
      <c r="A603" s="447">
        <f t="shared" si="129"/>
        <v>50</v>
      </c>
      <c r="B603" s="557"/>
      <c r="C603" s="635"/>
      <c r="D603" s="587"/>
      <c r="E603" s="587"/>
      <c r="F603" s="560"/>
      <c r="G603" s="558"/>
      <c r="H603" s="588"/>
      <c r="I603" s="546"/>
      <c r="J603" s="593"/>
      <c r="K603" s="563" t="str">
        <f>IF(G603&lt;&gt;0,VLOOKUP(G603,'gia dat'!$A$1:$F$144,5,0)," ")</f>
        <v xml:space="preserve"> </v>
      </c>
      <c r="L603" s="563" t="str">
        <f>IF(G603&lt;&gt;0,VLOOKUP(G603,'gia dat'!$A$1:$F$144,6,0)," ")</f>
        <v xml:space="preserve"> </v>
      </c>
      <c r="M603" s="564" t="str">
        <f t="shared" si="123"/>
        <v xml:space="preserve"> </v>
      </c>
      <c r="N603" s="564" t="str">
        <f t="shared" si="124"/>
        <v xml:space="preserve"> </v>
      </c>
      <c r="O603" s="586"/>
      <c r="P603" s="590"/>
      <c r="Q603" s="564" t="str">
        <f>IF(O603&lt;&gt;0,VLOOKUP(O603,'Cây trong'!$A$2:$C$246,3,0)," ")</f>
        <v xml:space="preserve"> </v>
      </c>
      <c r="R603" s="564" t="str">
        <f t="shared" si="125"/>
        <v xml:space="preserve"> </v>
      </c>
      <c r="S603" s="586" t="s">
        <v>1862</v>
      </c>
      <c r="T603" s="609" t="s">
        <v>53</v>
      </c>
      <c r="U603" s="591">
        <v>144.96</v>
      </c>
      <c r="V603" s="589"/>
      <c r="W603" s="564">
        <f>IF(S603&lt;&gt;0,VLOOKUP(S603,VKT!$A$2:$G$415,7,0),"")</f>
        <v>496651</v>
      </c>
      <c r="X603" s="564">
        <f t="shared" si="118"/>
        <v>71995000</v>
      </c>
      <c r="Y603" s="589"/>
      <c r="Z603" s="592"/>
      <c r="AA603" s="592"/>
      <c r="AB603" s="568"/>
      <c r="AC603" s="592"/>
      <c r="AD603" s="592"/>
      <c r="AE603" s="592"/>
      <c r="AF603" s="590"/>
      <c r="AG603" s="570" t="str">
        <f>IF(AE603&lt;&gt;0,VLOOKUP(AE603,ODDS!$A$2:$C$13,3,0),"")</f>
        <v/>
      </c>
      <c r="AH603" s="570" t="str">
        <f t="shared" si="126"/>
        <v xml:space="preserve"> </v>
      </c>
      <c r="AI603" s="571" t="str">
        <f t="shared" si="127"/>
        <v xml:space="preserve"> </v>
      </c>
      <c r="AJ603" s="593"/>
      <c r="AK603" s="593"/>
    </row>
    <row r="604" spans="1:37" s="376" customFormat="1" ht="81" outlineLevel="2" x14ac:dyDescent="0.3">
      <c r="A604" s="447">
        <f t="shared" si="129"/>
        <v>50</v>
      </c>
      <c r="B604" s="557"/>
      <c r="C604" s="635"/>
      <c r="D604" s="587"/>
      <c r="E604" s="587"/>
      <c r="F604" s="560"/>
      <c r="G604" s="558"/>
      <c r="H604" s="588"/>
      <c r="I604" s="546"/>
      <c r="J604" s="593"/>
      <c r="K604" s="563" t="str">
        <f>IF(G604&lt;&gt;0,VLOOKUP(G604,'gia dat'!$A$1:$F$144,5,0)," ")</f>
        <v xml:space="preserve"> </v>
      </c>
      <c r="L604" s="563" t="str">
        <f>IF(G604&lt;&gt;0,VLOOKUP(G604,'gia dat'!$A$1:$F$144,6,0)," ")</f>
        <v xml:space="preserve"> </v>
      </c>
      <c r="M604" s="564" t="str">
        <f t="shared" si="123"/>
        <v xml:space="preserve"> </v>
      </c>
      <c r="N604" s="564" t="str">
        <f t="shared" si="124"/>
        <v xml:space="preserve"> </v>
      </c>
      <c r="O604" s="586"/>
      <c r="P604" s="590"/>
      <c r="Q604" s="564" t="str">
        <f>IF(O604&lt;&gt;0,VLOOKUP(O604,'Cây trong'!$A$2:$C$246,3,0)," ")</f>
        <v xml:space="preserve"> </v>
      </c>
      <c r="R604" s="564" t="str">
        <f t="shared" si="125"/>
        <v xml:space="preserve"> </v>
      </c>
      <c r="S604" s="586" t="s">
        <v>2330</v>
      </c>
      <c r="T604" s="609" t="s">
        <v>78</v>
      </c>
      <c r="U604" s="591">
        <v>3.74</v>
      </c>
      <c r="V604" s="589"/>
      <c r="W604" s="564">
        <f>IF(S604&lt;&gt;0,VLOOKUP(S604,VKT!$A$2:$G$415,7,0),"")</f>
        <v>890132</v>
      </c>
      <c r="X604" s="564">
        <f t="shared" si="118"/>
        <v>3329000</v>
      </c>
      <c r="Y604" s="589"/>
      <c r="Z604" s="592"/>
      <c r="AA604" s="592"/>
      <c r="AB604" s="568"/>
      <c r="AC604" s="592"/>
      <c r="AD604" s="592"/>
      <c r="AE604" s="592"/>
      <c r="AF604" s="590"/>
      <c r="AG604" s="570" t="str">
        <f>IF(AE604&lt;&gt;0,VLOOKUP(AE604,ODDS!$A$2:$C$13,3,0),"")</f>
        <v/>
      </c>
      <c r="AH604" s="570" t="str">
        <f t="shared" si="126"/>
        <v xml:space="preserve"> </v>
      </c>
      <c r="AI604" s="571" t="str">
        <f t="shared" si="127"/>
        <v xml:space="preserve"> </v>
      </c>
      <c r="AJ604" s="593"/>
      <c r="AK604" s="593"/>
    </row>
    <row r="605" spans="1:37" s="376" customFormat="1" ht="20.25" outlineLevel="2" x14ac:dyDescent="0.3">
      <c r="A605" s="447">
        <f t="shared" si="129"/>
        <v>50</v>
      </c>
      <c r="B605" s="557"/>
      <c r="C605" s="635"/>
      <c r="D605" s="587"/>
      <c r="E605" s="587"/>
      <c r="F605" s="560"/>
      <c r="G605" s="558"/>
      <c r="H605" s="588"/>
      <c r="I605" s="546"/>
      <c r="J605" s="593"/>
      <c r="K605" s="563" t="str">
        <f>IF(G605&lt;&gt;0,VLOOKUP(G605,'gia dat'!$A$1:$F$144,5,0)," ")</f>
        <v xml:space="preserve"> </v>
      </c>
      <c r="L605" s="563" t="str">
        <f>IF(G605&lt;&gt;0,VLOOKUP(G605,'gia dat'!$A$1:$F$144,6,0)," ")</f>
        <v xml:space="preserve"> </v>
      </c>
      <c r="M605" s="564" t="str">
        <f t="shared" si="123"/>
        <v xml:space="preserve"> </v>
      </c>
      <c r="N605" s="564" t="str">
        <f t="shared" si="124"/>
        <v xml:space="preserve"> </v>
      </c>
      <c r="O605" s="586"/>
      <c r="P605" s="590"/>
      <c r="Q605" s="564" t="str">
        <f>IF(O605&lt;&gt;0,VLOOKUP(O605,'Cây trong'!$A$2:$C$246,3,0)," ")</f>
        <v xml:space="preserve"> </v>
      </c>
      <c r="R605" s="564" t="str">
        <f t="shared" si="125"/>
        <v xml:space="preserve"> </v>
      </c>
      <c r="S605" s="593"/>
      <c r="T605" s="593"/>
      <c r="U605" s="617"/>
      <c r="V605" s="589"/>
      <c r="W605" s="564" t="str">
        <f>IF(S605&lt;&gt;0,VLOOKUP(S605,VKT!$A$2:$G$415,7,0),"")</f>
        <v/>
      </c>
      <c r="X605" s="564" t="str">
        <f t="shared" si="118"/>
        <v xml:space="preserve"> </v>
      </c>
      <c r="Y605" s="589"/>
      <c r="Z605" s="592"/>
      <c r="AA605" s="592"/>
      <c r="AB605" s="568"/>
      <c r="AC605" s="592"/>
      <c r="AD605" s="592"/>
      <c r="AE605" s="592"/>
      <c r="AF605" s="590"/>
      <c r="AG605" s="570" t="str">
        <f>IF(AE605&lt;&gt;0,VLOOKUP(AE605,ODDS!$A$2:$C$13,3,0),"")</f>
        <v/>
      </c>
      <c r="AH605" s="570" t="str">
        <f t="shared" si="126"/>
        <v xml:space="preserve"> </v>
      </c>
      <c r="AI605" s="571" t="str">
        <f t="shared" si="127"/>
        <v xml:space="preserve"> </v>
      </c>
      <c r="AJ605" s="593"/>
      <c r="AK605" s="593"/>
    </row>
    <row r="606" spans="1:37" s="376" customFormat="1" ht="20.25" outlineLevel="2" x14ac:dyDescent="0.3">
      <c r="A606" s="447">
        <f t="shared" si="129"/>
        <v>50</v>
      </c>
      <c r="B606" s="557"/>
      <c r="C606" s="635"/>
      <c r="D606" s="587"/>
      <c r="E606" s="587"/>
      <c r="F606" s="560"/>
      <c r="G606" s="558"/>
      <c r="H606" s="588"/>
      <c r="I606" s="546"/>
      <c r="J606" s="593"/>
      <c r="K606" s="563" t="str">
        <f>IF(G606&lt;&gt;0,VLOOKUP(G606,'gia dat'!$A$1:$F$144,5,0)," ")</f>
        <v xml:space="preserve"> </v>
      </c>
      <c r="L606" s="563" t="str">
        <f>IF(G606&lt;&gt;0,VLOOKUP(G606,'gia dat'!$A$1:$F$144,6,0)," ")</f>
        <v xml:space="preserve"> </v>
      </c>
      <c r="M606" s="564" t="str">
        <f t="shared" si="123"/>
        <v xml:space="preserve"> </v>
      </c>
      <c r="N606" s="564" t="str">
        <f t="shared" si="124"/>
        <v xml:space="preserve"> </v>
      </c>
      <c r="O606" s="593"/>
      <c r="P606" s="616"/>
      <c r="Q606" s="564" t="str">
        <f>IF(O606&lt;&gt;0,VLOOKUP(O606,'Cây trong'!$A$2:$C$246,3,0)," ")</f>
        <v xml:space="preserve"> </v>
      </c>
      <c r="R606" s="564" t="str">
        <f t="shared" si="125"/>
        <v xml:space="preserve"> </v>
      </c>
      <c r="S606" s="593"/>
      <c r="T606" s="593"/>
      <c r="U606" s="617"/>
      <c r="V606" s="593"/>
      <c r="W606" s="564" t="str">
        <f>IF(S606&lt;&gt;0,VLOOKUP(S606,VKT!$A$2:$G$415,7,0),"")</f>
        <v/>
      </c>
      <c r="X606" s="564" t="str">
        <f t="shared" si="118"/>
        <v xml:space="preserve"> </v>
      </c>
      <c r="Y606" s="593"/>
      <c r="Z606" s="593"/>
      <c r="AA606" s="593"/>
      <c r="AB606" s="558"/>
      <c r="AC606" s="593"/>
      <c r="AD606" s="593"/>
      <c r="AE606" s="593"/>
      <c r="AF606" s="629"/>
      <c r="AG606" s="570" t="str">
        <f>IF(AE606&lt;&gt;0,VLOOKUP(AE606,ODDS!$A$2:$C$13,3,0),"")</f>
        <v/>
      </c>
      <c r="AH606" s="570" t="str">
        <f t="shared" si="126"/>
        <v xml:space="preserve"> </v>
      </c>
      <c r="AI606" s="571" t="str">
        <f t="shared" si="127"/>
        <v xml:space="preserve"> </v>
      </c>
      <c r="AJ606" s="593"/>
      <c r="AK606" s="593"/>
    </row>
    <row r="607" spans="1:37" s="376" customFormat="1" ht="20.25" outlineLevel="2" x14ac:dyDescent="0.3">
      <c r="A607" s="447">
        <f t="shared" si="129"/>
        <v>50</v>
      </c>
      <c r="B607" s="557"/>
      <c r="C607" s="607"/>
      <c r="D607" s="587"/>
      <c r="E607" s="587"/>
      <c r="F607" s="560"/>
      <c r="G607" s="558"/>
      <c r="H607" s="588"/>
      <c r="I607" s="546"/>
      <c r="J607" s="593"/>
      <c r="K607" s="563" t="str">
        <f>IF(G607&lt;&gt;0,VLOOKUP(G607,'gia dat'!$A$1:$F$144,5,0)," ")</f>
        <v xml:space="preserve"> </v>
      </c>
      <c r="L607" s="563" t="str">
        <f>IF(G607&lt;&gt;0,VLOOKUP(G607,'gia dat'!$A$1:$F$144,6,0)," ")</f>
        <v xml:space="preserve"> </v>
      </c>
      <c r="M607" s="564" t="str">
        <f t="shared" si="123"/>
        <v xml:space="preserve"> </v>
      </c>
      <c r="N607" s="564" t="str">
        <f t="shared" si="124"/>
        <v xml:space="preserve"> </v>
      </c>
      <c r="O607" s="586"/>
      <c r="P607" s="590"/>
      <c r="Q607" s="564" t="str">
        <f>IF(O607&lt;&gt;0,VLOOKUP(O607,'Cây trong'!$A$2:$C$246,3,0)," ")</f>
        <v xml:space="preserve"> </v>
      </c>
      <c r="R607" s="564" t="str">
        <f t="shared" si="125"/>
        <v xml:space="preserve"> </v>
      </c>
      <c r="S607" s="593"/>
      <c r="T607" s="593"/>
      <c r="U607" s="617"/>
      <c r="V607" s="589"/>
      <c r="W607" s="564" t="str">
        <f>IF(S607&lt;&gt;0,VLOOKUP(S607,VKT!$A$2:$G$415,7,0),"")</f>
        <v/>
      </c>
      <c r="X607" s="564" t="str">
        <f t="shared" si="118"/>
        <v xml:space="preserve"> </v>
      </c>
      <c r="Y607" s="589"/>
      <c r="Z607" s="589"/>
      <c r="AA607" s="589"/>
      <c r="AB607" s="562"/>
      <c r="AC607" s="589"/>
      <c r="AD607" s="589"/>
      <c r="AE607" s="589"/>
      <c r="AF607" s="629"/>
      <c r="AG607" s="570" t="str">
        <f>IF(AE607&lt;&gt;0,VLOOKUP(AE607,ODDS!$A$2:$C$13,3,0),"")</f>
        <v/>
      </c>
      <c r="AH607" s="570" t="str">
        <f t="shared" si="126"/>
        <v xml:space="preserve"> </v>
      </c>
      <c r="AI607" s="571" t="str">
        <f t="shared" si="127"/>
        <v xml:space="preserve"> </v>
      </c>
      <c r="AJ607" s="593"/>
      <c r="AK607" s="593"/>
    </row>
    <row r="608" spans="1:37" s="376" customFormat="1" ht="20.25" outlineLevel="1" x14ac:dyDescent="0.25">
      <c r="A608" s="467" t="s">
        <v>2659</v>
      </c>
      <c r="B608" s="576">
        <v>51</v>
      </c>
      <c r="C608" s="607" t="s">
        <v>212</v>
      </c>
      <c r="D608" s="595"/>
      <c r="E608" s="595"/>
      <c r="F608" s="577"/>
      <c r="G608" s="574"/>
      <c r="H608" s="618">
        <f>SUBTOTAL(9,H609:H618)</f>
        <v>745.9</v>
      </c>
      <c r="I608" s="579">
        <f>SUBTOTAL(9,I609:I614)</f>
        <v>452.4</v>
      </c>
      <c r="J608" s="608"/>
      <c r="K608" s="581"/>
      <c r="L608" s="581"/>
      <c r="M608" s="571">
        <f>SUBTOTAL(9,M609:M618)</f>
        <v>1942075000</v>
      </c>
      <c r="N608" s="571">
        <f>SUBTOTAL(9,N609:N618)</f>
        <v>752432000</v>
      </c>
      <c r="O608" s="578"/>
      <c r="P608" s="599">
        <f>SUBTOTAL(9,P609:P618)</f>
        <v>46</v>
      </c>
      <c r="Q608" s="571"/>
      <c r="R608" s="571">
        <f>SUBTOTAL(9,R609:R618)</f>
        <v>4518000</v>
      </c>
      <c r="S608" s="578"/>
      <c r="T608" s="621"/>
      <c r="U608" s="600">
        <f>SUBTOTAL(9,U609:U618)</f>
        <v>0</v>
      </c>
      <c r="V608" s="597"/>
      <c r="W608" s="571"/>
      <c r="X608" s="571">
        <f>SUBTOTAL(9,X609:X618)</f>
        <v>0</v>
      </c>
      <c r="Y608" s="589"/>
      <c r="Z608" s="592"/>
      <c r="AA608" s="592"/>
      <c r="AB608" s="568"/>
      <c r="AC608" s="592"/>
      <c r="AD608" s="592"/>
      <c r="AE608" s="602"/>
      <c r="AF608" s="581">
        <f>SUBTOTAL(9,AF609:AF618)</f>
        <v>0</v>
      </c>
      <c r="AG608" s="585"/>
      <c r="AH608" s="585">
        <f>SUBTOTAL(9,AH609:AH618)</f>
        <v>0</v>
      </c>
      <c r="AI608" s="571">
        <f t="shared" si="127"/>
        <v>2699025000</v>
      </c>
      <c r="AJ608" s="574"/>
      <c r="AK608" s="578"/>
    </row>
    <row r="609" spans="1:37" s="376" customFormat="1" ht="121.5" outlineLevel="2" x14ac:dyDescent="0.3">
      <c r="A609" s="447">
        <f>IF(B608&lt;&gt;0,B608,A607)</f>
        <v>51</v>
      </c>
      <c r="B609" s="557"/>
      <c r="C609" s="558" t="s">
        <v>213</v>
      </c>
      <c r="D609" s="587">
        <v>4</v>
      </c>
      <c r="E609" s="587">
        <v>86</v>
      </c>
      <c r="F609" s="560">
        <v>632</v>
      </c>
      <c r="G609" s="558" t="s">
        <v>2037</v>
      </c>
      <c r="H609" s="588">
        <v>293.5</v>
      </c>
      <c r="I609" s="546" t="str">
        <f t="shared" ref="I609:I610" si="130">IF(N609&gt;0,H609,"")</f>
        <v/>
      </c>
      <c r="J609" s="593"/>
      <c r="K609" s="563">
        <f>IF(G609&lt;&gt;0,VLOOKUP(G609,'gia dat'!$A$1:$F$144,5,0)," ")</f>
        <v>5762400</v>
      </c>
      <c r="L609" s="563">
        <f>IF(G609&lt;&gt;0,VLOOKUP(G609,'gia dat'!$A$1:$F$144,6,0)," ")</f>
        <v>0</v>
      </c>
      <c r="M609" s="564">
        <f t="shared" si="123"/>
        <v>1691264000</v>
      </c>
      <c r="N609" s="564">
        <f t="shared" si="124"/>
        <v>0</v>
      </c>
      <c r="O609" s="586" t="s">
        <v>72</v>
      </c>
      <c r="P609" s="590">
        <v>25</v>
      </c>
      <c r="Q609" s="564">
        <f>IF(O609&lt;&gt;0,VLOOKUP(O609,'Cây trong'!$A$2:$C$246,3,0)," ")</f>
        <v>132000</v>
      </c>
      <c r="R609" s="564">
        <f t="shared" si="125"/>
        <v>3300000</v>
      </c>
      <c r="S609" s="586"/>
      <c r="T609" s="609"/>
      <c r="U609" s="591"/>
      <c r="V609" s="589"/>
      <c r="W609" s="564" t="str">
        <f>IF(S609&lt;&gt;0,VLOOKUP(S609,VKT!$A$2:$G$415,7,0),"")</f>
        <v/>
      </c>
      <c r="X609" s="564" t="str">
        <f t="shared" si="118"/>
        <v xml:space="preserve"> </v>
      </c>
      <c r="Y609" s="589"/>
      <c r="Z609" s="592"/>
      <c r="AA609" s="592"/>
      <c r="AB609" s="568"/>
      <c r="AC609" s="592"/>
      <c r="AD609" s="592"/>
      <c r="AE609" s="569"/>
      <c r="AF609" s="563"/>
      <c r="AG609" s="570"/>
      <c r="AH609" s="570"/>
      <c r="AI609" s="571" t="str">
        <f t="shared" si="127"/>
        <v xml:space="preserve"> </v>
      </c>
      <c r="AJ609" s="558" t="s">
        <v>1700</v>
      </c>
      <c r="AK609" s="586" t="s">
        <v>2771</v>
      </c>
    </row>
    <row r="610" spans="1:37" s="376" customFormat="1" ht="81" outlineLevel="2" x14ac:dyDescent="0.3">
      <c r="A610" s="447">
        <f t="shared" ref="A610:A618" si="131">IF(B609&lt;&gt;0,B609,A609)</f>
        <v>51</v>
      </c>
      <c r="B610" s="557"/>
      <c r="C610" s="558" t="s">
        <v>678</v>
      </c>
      <c r="D610" s="587"/>
      <c r="E610" s="587">
        <v>86</v>
      </c>
      <c r="F610" s="560">
        <v>632</v>
      </c>
      <c r="G610" s="558" t="s">
        <v>2469</v>
      </c>
      <c r="H610" s="588">
        <v>452.4</v>
      </c>
      <c r="I610" s="546">
        <f t="shared" si="130"/>
        <v>452.4</v>
      </c>
      <c r="J610" s="589"/>
      <c r="K610" s="563">
        <f>IF(G610&lt;&gt;0,VLOOKUP(G610,'gia dat'!$A$1:$F$144,5,0)," ")</f>
        <v>554400</v>
      </c>
      <c r="L610" s="563">
        <f>IF(G610&lt;&gt;0,VLOOKUP(G610,'gia dat'!$A$1:$F$144,6,0)," ")</f>
        <v>1663200</v>
      </c>
      <c r="M610" s="564">
        <f t="shared" si="123"/>
        <v>250811000</v>
      </c>
      <c r="N610" s="564">
        <f t="shared" si="124"/>
        <v>752432000</v>
      </c>
      <c r="O610" s="558" t="s">
        <v>73</v>
      </c>
      <c r="P610" s="590">
        <v>12</v>
      </c>
      <c r="Q610" s="564">
        <f>IF(O610&lt;&gt;0,VLOOKUP(O610,'Cây trong'!$A$2:$C$246,3,0)," ")</f>
        <v>76000</v>
      </c>
      <c r="R610" s="564">
        <f t="shared" si="125"/>
        <v>912000</v>
      </c>
      <c r="S610" s="566"/>
      <c r="T610" s="589"/>
      <c r="U610" s="591"/>
      <c r="V610" s="589"/>
      <c r="W610" s="564" t="str">
        <f>IF(S610&lt;&gt;0,VLOOKUP(S610,VKT!$A$2:$G$415,7,0),"")</f>
        <v/>
      </c>
      <c r="X610" s="564" t="str">
        <f t="shared" si="118"/>
        <v xml:space="preserve"> </v>
      </c>
      <c r="Y610" s="589"/>
      <c r="Z610" s="592"/>
      <c r="AA610" s="592"/>
      <c r="AB610" s="568"/>
      <c r="AC610" s="592"/>
      <c r="AD610" s="592"/>
      <c r="AE610" s="569"/>
      <c r="AF610" s="563"/>
      <c r="AG610" s="570" t="str">
        <f>IF(AE610&lt;&gt;0,VLOOKUP(AE610,ODDS!$A$2:$C$13,3,0),"")</f>
        <v/>
      </c>
      <c r="AH610" s="570" t="str">
        <f t="shared" si="126"/>
        <v xml:space="preserve"> </v>
      </c>
      <c r="AI610" s="571" t="str">
        <f t="shared" si="127"/>
        <v xml:space="preserve"> </v>
      </c>
      <c r="AJ610" s="558" t="s">
        <v>528</v>
      </c>
      <c r="AK610" s="558" t="s">
        <v>2448</v>
      </c>
    </row>
    <row r="611" spans="1:37" s="376" customFormat="1" ht="101.25" outlineLevel="2" x14ac:dyDescent="0.3">
      <c r="A611" s="447">
        <f t="shared" si="131"/>
        <v>51</v>
      </c>
      <c r="B611" s="557"/>
      <c r="C611" s="574" t="s">
        <v>214</v>
      </c>
      <c r="D611" s="587"/>
      <c r="E611" s="587"/>
      <c r="F611" s="560"/>
      <c r="G611" s="558"/>
      <c r="H611" s="588"/>
      <c r="I611" s="546"/>
      <c r="J611" s="589"/>
      <c r="K611" s="563" t="str">
        <f>IF(G611&lt;&gt;0,VLOOKUP(G611,'gia dat'!$A$1:$F$144,5,0)," ")</f>
        <v xml:space="preserve"> </v>
      </c>
      <c r="L611" s="563" t="str">
        <f>IF(G611&lt;&gt;0,VLOOKUP(G611,'gia dat'!$A$1:$F$144,6,0)," ")</f>
        <v xml:space="preserve"> </v>
      </c>
      <c r="M611" s="564" t="str">
        <f t="shared" si="123"/>
        <v xml:space="preserve"> </v>
      </c>
      <c r="N611" s="564" t="str">
        <f t="shared" si="124"/>
        <v xml:space="preserve"> </v>
      </c>
      <c r="O611" s="558" t="s">
        <v>75</v>
      </c>
      <c r="P611" s="590">
        <v>9</v>
      </c>
      <c r="Q611" s="564">
        <f>IF(O611&lt;&gt;0,VLOOKUP(O611,'Cây trong'!$A$2:$C$246,3,0)," ")</f>
        <v>34000</v>
      </c>
      <c r="R611" s="564">
        <f t="shared" si="125"/>
        <v>306000</v>
      </c>
      <c r="S611" s="566"/>
      <c r="T611" s="589"/>
      <c r="U611" s="591"/>
      <c r="V611" s="589"/>
      <c r="W611" s="564" t="str">
        <f>IF(S611&lt;&gt;0,VLOOKUP(S611,VKT!$A$2:$G$415,7,0),"")</f>
        <v/>
      </c>
      <c r="X611" s="564" t="str">
        <f t="shared" si="118"/>
        <v xml:space="preserve"> </v>
      </c>
      <c r="Y611" s="589"/>
      <c r="Z611" s="592"/>
      <c r="AA611" s="592"/>
      <c r="AB611" s="568"/>
      <c r="AC611" s="592"/>
      <c r="AD611" s="592"/>
      <c r="AE611" s="569"/>
      <c r="AF611" s="563"/>
      <c r="AG611" s="570" t="str">
        <f>IF(AE611&lt;&gt;0,VLOOKUP(AE611,ODDS!$A$2:$C$13,3,0),"")</f>
        <v/>
      </c>
      <c r="AH611" s="570" t="str">
        <f t="shared" si="126"/>
        <v xml:space="preserve"> </v>
      </c>
      <c r="AI611" s="571" t="str">
        <f t="shared" si="127"/>
        <v xml:space="preserve"> </v>
      </c>
      <c r="AJ611" s="608" t="s">
        <v>111</v>
      </c>
      <c r="AK611" s="558" t="s">
        <v>2449</v>
      </c>
    </row>
    <row r="612" spans="1:37" s="376" customFormat="1" ht="60.75" outlineLevel="2" x14ac:dyDescent="0.3">
      <c r="A612" s="447">
        <f t="shared" si="131"/>
        <v>51</v>
      </c>
      <c r="B612" s="557"/>
      <c r="C612" s="558" t="s">
        <v>215</v>
      </c>
      <c r="D612" s="587"/>
      <c r="E612" s="587"/>
      <c r="F612" s="560"/>
      <c r="G612" s="558"/>
      <c r="H612" s="588"/>
      <c r="I612" s="546"/>
      <c r="J612" s="589"/>
      <c r="K612" s="563" t="str">
        <f>IF(G612&lt;&gt;0,VLOOKUP(G612,'gia dat'!$A$1:$F$144,5,0)," ")</f>
        <v xml:space="preserve"> </v>
      </c>
      <c r="L612" s="563" t="str">
        <f>IF(G612&lt;&gt;0,VLOOKUP(G612,'gia dat'!$A$1:$F$144,6,0)," ")</f>
        <v xml:space="preserve"> </v>
      </c>
      <c r="M612" s="564" t="str">
        <f t="shared" si="123"/>
        <v xml:space="preserve"> </v>
      </c>
      <c r="N612" s="564" t="str">
        <f t="shared" si="124"/>
        <v xml:space="preserve"> </v>
      </c>
      <c r="O612" s="558"/>
      <c r="P612" s="590"/>
      <c r="Q612" s="564" t="str">
        <f>IF(O612&lt;&gt;0,VLOOKUP(O612,'Cây trong'!$A$2:$C$246,3,0)," ")</f>
        <v xml:space="preserve"> </v>
      </c>
      <c r="R612" s="564" t="str">
        <f t="shared" si="125"/>
        <v xml:space="preserve"> </v>
      </c>
      <c r="S612" s="566"/>
      <c r="T612" s="589"/>
      <c r="U612" s="591"/>
      <c r="V612" s="589"/>
      <c r="W612" s="564" t="str">
        <f>IF(S612&lt;&gt;0,VLOOKUP(S612,VKT!$A$2:$G$415,7,0),"")</f>
        <v/>
      </c>
      <c r="X612" s="564" t="str">
        <f t="shared" si="118"/>
        <v xml:space="preserve"> </v>
      </c>
      <c r="Y612" s="589"/>
      <c r="Z612" s="592"/>
      <c r="AA612" s="592"/>
      <c r="AB612" s="568"/>
      <c r="AC612" s="592"/>
      <c r="AD612" s="592"/>
      <c r="AE612" s="592"/>
      <c r="AF612" s="590"/>
      <c r="AG612" s="570" t="str">
        <f>IF(AE612&lt;&gt;0,VLOOKUP(AE612,ODDS!$A$2:$C$13,3,0),"")</f>
        <v/>
      </c>
      <c r="AH612" s="570" t="str">
        <f t="shared" si="126"/>
        <v xml:space="preserve"> </v>
      </c>
      <c r="AI612" s="571" t="str">
        <f t="shared" si="127"/>
        <v xml:space="preserve"> </v>
      </c>
      <c r="AJ612" s="558" t="s">
        <v>2074</v>
      </c>
      <c r="AK612" s="558"/>
    </row>
    <row r="613" spans="1:37" s="376" customFormat="1" ht="81" outlineLevel="2" x14ac:dyDescent="0.3">
      <c r="A613" s="447">
        <f t="shared" si="131"/>
        <v>51</v>
      </c>
      <c r="B613" s="557"/>
      <c r="C613" s="572" t="s">
        <v>683</v>
      </c>
      <c r="D613" s="594"/>
      <c r="E613" s="595"/>
      <c r="F613" s="577"/>
      <c r="G613" s="574"/>
      <c r="H613" s="588"/>
      <c r="I613" s="546"/>
      <c r="J613" s="597"/>
      <c r="K613" s="563" t="str">
        <f>IF(G613&lt;&gt;0,VLOOKUP(G613,'gia dat'!$A$1:$F$144,5,0)," ")</f>
        <v xml:space="preserve"> </v>
      </c>
      <c r="L613" s="563" t="str">
        <f>IF(G613&lt;&gt;0,VLOOKUP(G613,'gia dat'!$A$1:$F$144,6,0)," ")</f>
        <v xml:space="preserve"> </v>
      </c>
      <c r="M613" s="564" t="str">
        <f t="shared" si="123"/>
        <v xml:space="preserve"> </v>
      </c>
      <c r="N613" s="564" t="str">
        <f t="shared" si="124"/>
        <v xml:space="preserve"> </v>
      </c>
      <c r="O613" s="598"/>
      <c r="P613" s="590"/>
      <c r="Q613" s="564" t="str">
        <f>IF(O613&lt;&gt;0,VLOOKUP(O613,'Cây trong'!$A$2:$C$246,3,0)," ")</f>
        <v xml:space="preserve"> </v>
      </c>
      <c r="R613" s="564" t="str">
        <f t="shared" si="125"/>
        <v xml:space="preserve"> </v>
      </c>
      <c r="S613" s="582"/>
      <c r="T613" s="597"/>
      <c r="U613" s="591"/>
      <c r="V613" s="597"/>
      <c r="W613" s="564" t="str">
        <f>IF(S613&lt;&gt;0,VLOOKUP(S613,VKT!$A$2:$G$415,7,0),"")</f>
        <v/>
      </c>
      <c r="X613" s="564" t="str">
        <f t="shared" si="118"/>
        <v xml:space="preserve"> </v>
      </c>
      <c r="Y613" s="580"/>
      <c r="Z613" s="601"/>
      <c r="AA613" s="601"/>
      <c r="AB613" s="584"/>
      <c r="AC613" s="601"/>
      <c r="AD613" s="601"/>
      <c r="AE613" s="601"/>
      <c r="AF613" s="599"/>
      <c r="AG613" s="570" t="str">
        <f>IF(AE613&lt;&gt;0,VLOOKUP(AE613,ODDS!$A$2:$C$13,3,0),"")</f>
        <v/>
      </c>
      <c r="AH613" s="570" t="str">
        <f t="shared" si="126"/>
        <v xml:space="preserve"> </v>
      </c>
      <c r="AI613" s="571" t="str">
        <f t="shared" si="127"/>
        <v xml:space="preserve"> </v>
      </c>
      <c r="AJ613" s="575"/>
      <c r="AK613" s="608"/>
    </row>
    <row r="614" spans="1:37" s="376" customFormat="1" ht="20.25" outlineLevel="2" x14ac:dyDescent="0.3">
      <c r="A614" s="447">
        <f t="shared" si="131"/>
        <v>51</v>
      </c>
      <c r="B614" s="557"/>
      <c r="C614" s="572"/>
      <c r="D614" s="587"/>
      <c r="E614" s="587"/>
      <c r="F614" s="615"/>
      <c r="G614" s="558"/>
      <c r="H614" s="604"/>
      <c r="I614" s="546"/>
      <c r="J614" s="593"/>
      <c r="K614" s="563" t="str">
        <f>IF(G614&lt;&gt;0,VLOOKUP(G614,'gia dat'!$A$1:$F$144,5,0)," ")</f>
        <v xml:space="preserve"> </v>
      </c>
      <c r="L614" s="563" t="str">
        <f>IF(G614&lt;&gt;0,VLOOKUP(G614,'gia dat'!$A$1:$F$144,6,0)," ")</f>
        <v xml:space="preserve"> </v>
      </c>
      <c r="M614" s="564" t="str">
        <f t="shared" si="123"/>
        <v xml:space="preserve"> </v>
      </c>
      <c r="N614" s="564" t="str">
        <f t="shared" si="124"/>
        <v xml:space="preserve"> </v>
      </c>
      <c r="O614" s="593"/>
      <c r="P614" s="616"/>
      <c r="Q614" s="564" t="str">
        <f>IF(O614&lt;&gt;0,VLOOKUP(O614,'Cây trong'!$A$2:$C$246,3,0)," ")</f>
        <v xml:space="preserve"> </v>
      </c>
      <c r="R614" s="564" t="str">
        <f t="shared" si="125"/>
        <v xml:space="preserve"> </v>
      </c>
      <c r="S614" s="593"/>
      <c r="T614" s="593"/>
      <c r="U614" s="617"/>
      <c r="V614" s="589"/>
      <c r="W614" s="564" t="str">
        <f>IF(S614&lt;&gt;0,VLOOKUP(S614,VKT!$A$2:$G$415,7,0),"")</f>
        <v/>
      </c>
      <c r="X614" s="564" t="str">
        <f t="shared" si="118"/>
        <v xml:space="preserve"> </v>
      </c>
      <c r="Y614" s="589"/>
      <c r="Z614" s="589"/>
      <c r="AA614" s="589"/>
      <c r="AB614" s="562"/>
      <c r="AC614" s="589"/>
      <c r="AD614" s="589"/>
      <c r="AE614" s="589"/>
      <c r="AF614" s="629"/>
      <c r="AG614" s="570" t="str">
        <f>IF(AE614&lt;&gt;0,VLOOKUP(AE614,ODDS!$A$2:$C$13,3,0),"")</f>
        <v/>
      </c>
      <c r="AH614" s="570" t="str">
        <f t="shared" si="126"/>
        <v xml:space="preserve"> </v>
      </c>
      <c r="AI614" s="571" t="str">
        <f t="shared" si="127"/>
        <v xml:space="preserve"> </v>
      </c>
      <c r="AJ614" s="593"/>
      <c r="AK614" s="593"/>
    </row>
    <row r="615" spans="1:37" s="376" customFormat="1" ht="20.25" outlineLevel="2" x14ac:dyDescent="0.3">
      <c r="A615" s="447">
        <f t="shared" si="131"/>
        <v>51</v>
      </c>
      <c r="B615" s="557"/>
      <c r="C615" s="572"/>
      <c r="D615" s="587"/>
      <c r="E615" s="587"/>
      <c r="F615" s="615"/>
      <c r="G615" s="558"/>
      <c r="H615" s="604"/>
      <c r="I615" s="546"/>
      <c r="J615" s="593"/>
      <c r="K615" s="563" t="str">
        <f>IF(G615&lt;&gt;0,VLOOKUP(G615,'gia dat'!$A$1:$F$144,5,0)," ")</f>
        <v xml:space="preserve"> </v>
      </c>
      <c r="L615" s="563" t="str">
        <f>IF(G615&lt;&gt;0,VLOOKUP(G615,'gia dat'!$A$1:$F$144,6,0)," ")</f>
        <v xml:space="preserve"> </v>
      </c>
      <c r="M615" s="564" t="str">
        <f t="shared" si="123"/>
        <v xml:space="preserve"> </v>
      </c>
      <c r="N615" s="564" t="str">
        <f t="shared" si="124"/>
        <v xml:space="preserve"> </v>
      </c>
      <c r="O615" s="593"/>
      <c r="P615" s="616"/>
      <c r="Q615" s="564" t="str">
        <f>IF(O615&lt;&gt;0,VLOOKUP(O615,'Cây trong'!$A$2:$C$246,3,0)," ")</f>
        <v xml:space="preserve"> </v>
      </c>
      <c r="R615" s="564" t="str">
        <f t="shared" si="125"/>
        <v xml:space="preserve"> </v>
      </c>
      <c r="S615" s="593"/>
      <c r="T615" s="593"/>
      <c r="U615" s="617"/>
      <c r="V615" s="589"/>
      <c r="W615" s="564" t="str">
        <f>IF(S615&lt;&gt;0,VLOOKUP(S615,VKT!$A$2:$G$415,7,0),"")</f>
        <v/>
      </c>
      <c r="X615" s="564" t="str">
        <f t="shared" si="118"/>
        <v xml:space="preserve"> </v>
      </c>
      <c r="Y615" s="589"/>
      <c r="Z615" s="589"/>
      <c r="AA615" s="589"/>
      <c r="AB615" s="562"/>
      <c r="AC615" s="589"/>
      <c r="AD615" s="589"/>
      <c r="AE615" s="589"/>
      <c r="AF615" s="629"/>
      <c r="AG615" s="570" t="str">
        <f>IF(AE615&lt;&gt;0,VLOOKUP(AE615,ODDS!$A$2:$C$13,3,0),"")</f>
        <v/>
      </c>
      <c r="AH615" s="570" t="str">
        <f t="shared" si="126"/>
        <v xml:space="preserve"> </v>
      </c>
      <c r="AI615" s="571" t="str">
        <f t="shared" si="127"/>
        <v xml:space="preserve"> </v>
      </c>
      <c r="AJ615" s="593"/>
      <c r="AK615" s="593"/>
    </row>
    <row r="616" spans="1:37" s="376" customFormat="1" ht="20.25" outlineLevel="2" x14ac:dyDescent="0.3">
      <c r="A616" s="447">
        <f t="shared" si="131"/>
        <v>51</v>
      </c>
      <c r="B616" s="557"/>
      <c r="C616" s="572"/>
      <c r="D616" s="587"/>
      <c r="E616" s="587"/>
      <c r="F616" s="615"/>
      <c r="G616" s="558"/>
      <c r="H616" s="604"/>
      <c r="I616" s="546"/>
      <c r="J616" s="593"/>
      <c r="K616" s="563" t="str">
        <f>IF(G616&lt;&gt;0,VLOOKUP(G616,'gia dat'!$A$1:$F$144,5,0)," ")</f>
        <v xml:space="preserve"> </v>
      </c>
      <c r="L616" s="563" t="str">
        <f>IF(G616&lt;&gt;0,VLOOKUP(G616,'gia dat'!$A$1:$F$144,6,0)," ")</f>
        <v xml:space="preserve"> </v>
      </c>
      <c r="M616" s="564" t="str">
        <f t="shared" si="123"/>
        <v xml:space="preserve"> </v>
      </c>
      <c r="N616" s="564" t="str">
        <f t="shared" si="124"/>
        <v xml:space="preserve"> </v>
      </c>
      <c r="O616" s="593"/>
      <c r="P616" s="616"/>
      <c r="Q616" s="564" t="str">
        <f>IF(O616&lt;&gt;0,VLOOKUP(O616,'Cây trong'!$A$2:$C$246,3,0)," ")</f>
        <v xml:space="preserve"> </v>
      </c>
      <c r="R616" s="564" t="str">
        <f t="shared" si="125"/>
        <v xml:space="preserve"> </v>
      </c>
      <c r="S616" s="593"/>
      <c r="T616" s="593"/>
      <c r="U616" s="617"/>
      <c r="V616" s="589"/>
      <c r="W616" s="564" t="str">
        <f>IF(S616&lt;&gt;0,VLOOKUP(S616,VKT!$A$2:$G$415,7,0),"")</f>
        <v/>
      </c>
      <c r="X616" s="564" t="str">
        <f t="shared" si="118"/>
        <v xml:space="preserve"> </v>
      </c>
      <c r="Y616" s="589"/>
      <c r="Z616" s="589"/>
      <c r="AA616" s="589"/>
      <c r="AB616" s="562"/>
      <c r="AC616" s="589"/>
      <c r="AD616" s="589"/>
      <c r="AE616" s="589"/>
      <c r="AF616" s="629"/>
      <c r="AG616" s="570" t="str">
        <f>IF(AE616&lt;&gt;0,VLOOKUP(AE616,ODDS!$A$2:$C$13,3,0),"")</f>
        <v/>
      </c>
      <c r="AH616" s="570" t="str">
        <f t="shared" si="126"/>
        <v xml:space="preserve"> </v>
      </c>
      <c r="AI616" s="571" t="str">
        <f t="shared" si="127"/>
        <v xml:space="preserve"> </v>
      </c>
      <c r="AJ616" s="593"/>
      <c r="AK616" s="593"/>
    </row>
    <row r="617" spans="1:37" s="376" customFormat="1" ht="20.25" outlineLevel="2" x14ac:dyDescent="0.3">
      <c r="A617" s="447">
        <f t="shared" si="131"/>
        <v>51</v>
      </c>
      <c r="B617" s="557"/>
      <c r="C617" s="572"/>
      <c r="D617" s="587"/>
      <c r="E617" s="587"/>
      <c r="F617" s="615"/>
      <c r="G617" s="558"/>
      <c r="H617" s="604"/>
      <c r="I617" s="546"/>
      <c r="J617" s="593"/>
      <c r="K617" s="563" t="str">
        <f>IF(G617&lt;&gt;0,VLOOKUP(G617,'gia dat'!$A$1:$F$144,5,0)," ")</f>
        <v xml:space="preserve"> </v>
      </c>
      <c r="L617" s="563" t="str">
        <f>IF(G617&lt;&gt;0,VLOOKUP(G617,'gia dat'!$A$1:$F$144,6,0)," ")</f>
        <v xml:space="preserve"> </v>
      </c>
      <c r="M617" s="564" t="str">
        <f t="shared" si="123"/>
        <v xml:space="preserve"> </v>
      </c>
      <c r="N617" s="564" t="str">
        <f t="shared" si="124"/>
        <v xml:space="preserve"> </v>
      </c>
      <c r="O617" s="593"/>
      <c r="P617" s="616"/>
      <c r="Q617" s="564" t="str">
        <f>IF(O617&lt;&gt;0,VLOOKUP(O617,'Cây trong'!$A$2:$C$246,3,0)," ")</f>
        <v xml:space="preserve"> </v>
      </c>
      <c r="R617" s="564" t="str">
        <f t="shared" si="125"/>
        <v xml:space="preserve"> </v>
      </c>
      <c r="S617" s="593"/>
      <c r="T617" s="593"/>
      <c r="U617" s="617"/>
      <c r="V617" s="589"/>
      <c r="W617" s="564" t="str">
        <f>IF(S617&lt;&gt;0,VLOOKUP(S617,VKT!$A$2:$G$415,7,0),"")</f>
        <v/>
      </c>
      <c r="X617" s="564" t="str">
        <f t="shared" si="118"/>
        <v xml:space="preserve"> </v>
      </c>
      <c r="Y617" s="589"/>
      <c r="Z617" s="589"/>
      <c r="AA617" s="589"/>
      <c r="AB617" s="562"/>
      <c r="AC617" s="589"/>
      <c r="AD617" s="589"/>
      <c r="AE617" s="589"/>
      <c r="AF617" s="629"/>
      <c r="AG617" s="570" t="str">
        <f>IF(AE617&lt;&gt;0,VLOOKUP(AE617,ODDS!$A$2:$C$13,3,0),"")</f>
        <v/>
      </c>
      <c r="AH617" s="570" t="str">
        <f t="shared" si="126"/>
        <v xml:space="preserve"> </v>
      </c>
      <c r="AI617" s="571" t="str">
        <f t="shared" si="127"/>
        <v xml:space="preserve"> </v>
      </c>
      <c r="AJ617" s="593"/>
      <c r="AK617" s="593"/>
    </row>
    <row r="618" spans="1:37" s="376" customFormat="1" ht="20.25" outlineLevel="2" x14ac:dyDescent="0.3">
      <c r="A618" s="447">
        <f t="shared" si="131"/>
        <v>51</v>
      </c>
      <c r="B618" s="557"/>
      <c r="C618" s="574"/>
      <c r="D618" s="587"/>
      <c r="E618" s="587"/>
      <c r="F618" s="560"/>
      <c r="G618" s="558"/>
      <c r="H618" s="588"/>
      <c r="I618" s="546"/>
      <c r="J618" s="589"/>
      <c r="K618" s="563" t="str">
        <f>IF(G618&lt;&gt;0,VLOOKUP(G618,'gia dat'!$A$1:$F$144,5,0)," ")</f>
        <v xml:space="preserve"> </v>
      </c>
      <c r="L618" s="563" t="str">
        <f>IF(G618&lt;&gt;0,VLOOKUP(G618,'gia dat'!$A$1:$F$144,6,0)," ")</f>
        <v xml:space="preserve"> </v>
      </c>
      <c r="M618" s="564" t="str">
        <f t="shared" si="123"/>
        <v xml:space="preserve"> </v>
      </c>
      <c r="N618" s="564" t="str">
        <f t="shared" si="124"/>
        <v xml:space="preserve"> </v>
      </c>
      <c r="O618" s="558"/>
      <c r="P618" s="590"/>
      <c r="Q618" s="564" t="str">
        <f>IF(O618&lt;&gt;0,VLOOKUP(O618,'Cây trong'!$A$2:$C$246,3,0)," ")</f>
        <v xml:space="preserve"> </v>
      </c>
      <c r="R618" s="564" t="str">
        <f t="shared" si="125"/>
        <v xml:space="preserve"> </v>
      </c>
      <c r="S618" s="566"/>
      <c r="T618" s="589"/>
      <c r="U618" s="591"/>
      <c r="V618" s="589"/>
      <c r="W618" s="564" t="str">
        <f>IF(S618&lt;&gt;0,VLOOKUP(S618,VKT!$A$2:$G$415,7,0),"")</f>
        <v/>
      </c>
      <c r="X618" s="564" t="str">
        <f t="shared" si="118"/>
        <v xml:space="preserve"> </v>
      </c>
      <c r="Y618" s="589"/>
      <c r="Z618" s="592"/>
      <c r="AA618" s="592"/>
      <c r="AB618" s="568"/>
      <c r="AC618" s="592"/>
      <c r="AD618" s="592"/>
      <c r="AE618" s="592"/>
      <c r="AF618" s="590"/>
      <c r="AG618" s="570" t="str">
        <f>IF(AE618&lt;&gt;0,VLOOKUP(AE618,ODDS!$A$2:$C$13,3,0),"")</f>
        <v/>
      </c>
      <c r="AH618" s="570" t="str">
        <f t="shared" si="126"/>
        <v xml:space="preserve"> </v>
      </c>
      <c r="AI618" s="571" t="str">
        <f t="shared" si="127"/>
        <v xml:space="preserve"> </v>
      </c>
      <c r="AJ618" s="558"/>
      <c r="AK618" s="558"/>
    </row>
    <row r="619" spans="1:37" s="376" customFormat="1" ht="20.25" outlineLevel="1" x14ac:dyDescent="0.25">
      <c r="A619" s="467" t="s">
        <v>2658</v>
      </c>
      <c r="B619" s="576">
        <v>52</v>
      </c>
      <c r="C619" s="574" t="s">
        <v>216</v>
      </c>
      <c r="D619" s="595"/>
      <c r="E619" s="595"/>
      <c r="F619" s="577"/>
      <c r="G619" s="574"/>
      <c r="H619" s="618">
        <f>SUBTOTAL(9,H620:H628)</f>
        <v>35.900000000000006</v>
      </c>
      <c r="I619" s="579">
        <f>SUBTOTAL(9,I620:I625)</f>
        <v>35.1</v>
      </c>
      <c r="J619" s="608"/>
      <c r="K619" s="581"/>
      <c r="L619" s="581"/>
      <c r="M619" s="571">
        <f>SUBTOTAL(9,M620:M628)</f>
        <v>24070000</v>
      </c>
      <c r="N619" s="571">
        <f>SUBTOTAL(9,N620:N628)</f>
        <v>58378000</v>
      </c>
      <c r="O619" s="578"/>
      <c r="P619" s="599">
        <f>SUBTOTAL(9,P620:P628)</f>
        <v>0</v>
      </c>
      <c r="Q619" s="571"/>
      <c r="R619" s="571">
        <f>SUBTOTAL(9,R620:R628)</f>
        <v>0</v>
      </c>
      <c r="S619" s="663"/>
      <c r="T619" s="621"/>
      <c r="U619" s="600">
        <f>SUBTOTAL(9,U620:U628)</f>
        <v>62</v>
      </c>
      <c r="V619" s="597"/>
      <c r="W619" s="571"/>
      <c r="X619" s="571">
        <f>SUBTOTAL(9,X620:X628)</f>
        <v>67617000</v>
      </c>
      <c r="Y619" s="589"/>
      <c r="Z619" s="592"/>
      <c r="AA619" s="592"/>
      <c r="AB619" s="568"/>
      <c r="AC619" s="592"/>
      <c r="AD619" s="592"/>
      <c r="AE619" s="601"/>
      <c r="AF619" s="599">
        <f>SUBTOTAL(9,AF620:AF628)</f>
        <v>0</v>
      </c>
      <c r="AG619" s="585"/>
      <c r="AH619" s="585">
        <f>SUBTOTAL(9,AH620:AH628)</f>
        <v>0</v>
      </c>
      <c r="AI619" s="571">
        <f t="shared" si="127"/>
        <v>150065000</v>
      </c>
      <c r="AJ619" s="574"/>
      <c r="AK619" s="578"/>
    </row>
    <row r="620" spans="1:37" s="376" customFormat="1" ht="121.5" outlineLevel="2" x14ac:dyDescent="0.3">
      <c r="A620" s="447">
        <f>IF(B619&lt;&gt;0,B619,A618)</f>
        <v>52</v>
      </c>
      <c r="B620" s="557"/>
      <c r="C620" s="558" t="s">
        <v>217</v>
      </c>
      <c r="D620" s="587">
        <v>4</v>
      </c>
      <c r="E620" s="587">
        <v>86</v>
      </c>
      <c r="F620" s="560">
        <v>342</v>
      </c>
      <c r="G620" s="558" t="s">
        <v>2037</v>
      </c>
      <c r="H620" s="588">
        <v>0.8</v>
      </c>
      <c r="I620" s="546" t="str">
        <f t="shared" ref="I620:I622" si="132">IF(N620&gt;0,H620,"")</f>
        <v/>
      </c>
      <c r="J620" s="593"/>
      <c r="K620" s="563">
        <f>IF(G620&lt;&gt;0,VLOOKUP(G620,'gia dat'!$A$1:$F$144,5,0)," ")</f>
        <v>5762400</v>
      </c>
      <c r="L620" s="563">
        <f>IF(G620&lt;&gt;0,VLOOKUP(G620,'gia dat'!$A$1:$F$144,6,0)," ")</f>
        <v>0</v>
      </c>
      <c r="M620" s="564">
        <f t="shared" si="123"/>
        <v>4610000</v>
      </c>
      <c r="N620" s="564">
        <f t="shared" si="124"/>
        <v>0</v>
      </c>
      <c r="O620" s="586"/>
      <c r="P620" s="590"/>
      <c r="Q620" s="564" t="str">
        <f>IF(O620&lt;&gt;0,VLOOKUP(O620,'Cây trong'!$A$2:$C$246,3,0)," ")</f>
        <v xml:space="preserve"> </v>
      </c>
      <c r="R620" s="564" t="str">
        <f t="shared" si="125"/>
        <v xml:space="preserve"> </v>
      </c>
      <c r="S620" s="661" t="s">
        <v>1754</v>
      </c>
      <c r="T620" s="609" t="s">
        <v>53</v>
      </c>
      <c r="U620" s="591">
        <f>4.9</f>
        <v>4.9000000000000004</v>
      </c>
      <c r="V620" s="589">
        <v>16.100000000000001</v>
      </c>
      <c r="W620" s="564">
        <f>IF(S620&lt;&gt;0,VLOOKUP(S620,VKT!$A$2:$G$415,7,0),"")</f>
        <v>4717925</v>
      </c>
      <c r="X620" s="564">
        <f t="shared" si="118"/>
        <v>23118000</v>
      </c>
      <c r="Y620" s="589" t="s">
        <v>63</v>
      </c>
      <c r="Z620" s="592" t="s">
        <v>55</v>
      </c>
      <c r="AA620" s="592" t="s">
        <v>56</v>
      </c>
      <c r="AB620" s="568" t="s">
        <v>57</v>
      </c>
      <c r="AC620" s="592" t="s">
        <v>63</v>
      </c>
      <c r="AD620" s="592" t="s">
        <v>206</v>
      </c>
      <c r="AE620" s="592"/>
      <c r="AF620" s="590"/>
      <c r="AG620" s="570" t="str">
        <f>IF(AE620&lt;&gt;0,VLOOKUP(AE620,ODDS!$A$2:$C$13,3,0),"")</f>
        <v/>
      </c>
      <c r="AH620" s="570"/>
      <c r="AI620" s="571" t="str">
        <f t="shared" si="127"/>
        <v xml:space="preserve"> </v>
      </c>
      <c r="AJ620" s="558" t="s">
        <v>684</v>
      </c>
      <c r="AK620" s="586" t="s">
        <v>2771</v>
      </c>
    </row>
    <row r="621" spans="1:37" s="376" customFormat="1" ht="81" outlineLevel="2" x14ac:dyDescent="0.3">
      <c r="A621" s="447">
        <f t="shared" ref="A621:A628" si="133">IF(B620&lt;&gt;0,B620,A620)</f>
        <v>52</v>
      </c>
      <c r="B621" s="557"/>
      <c r="C621" s="574" t="s">
        <v>218</v>
      </c>
      <c r="D621" s="587"/>
      <c r="E621" s="587">
        <v>86</v>
      </c>
      <c r="F621" s="560">
        <v>342</v>
      </c>
      <c r="G621" s="558" t="s">
        <v>2469</v>
      </c>
      <c r="H621" s="588">
        <v>30.6</v>
      </c>
      <c r="I621" s="546">
        <f t="shared" si="132"/>
        <v>30.6</v>
      </c>
      <c r="J621" s="593"/>
      <c r="K621" s="563">
        <f>IF(G621&lt;&gt;0,VLOOKUP(G621,'gia dat'!$A$1:$F$144,5,0)," ")</f>
        <v>554400</v>
      </c>
      <c r="L621" s="563">
        <f>IF(G621&lt;&gt;0,VLOOKUP(G621,'gia dat'!$A$1:$F$144,6,0)," ")</f>
        <v>1663200</v>
      </c>
      <c r="M621" s="564">
        <f t="shared" si="123"/>
        <v>16965000</v>
      </c>
      <c r="N621" s="564">
        <f t="shared" si="124"/>
        <v>50894000</v>
      </c>
      <c r="O621" s="586"/>
      <c r="P621" s="590"/>
      <c r="Q621" s="564" t="str">
        <f>IF(O621&lt;&gt;0,VLOOKUP(O621,'Cây trong'!$A$2:$C$246,3,0)," ")</f>
        <v xml:space="preserve"> </v>
      </c>
      <c r="R621" s="564" t="str">
        <f t="shared" si="125"/>
        <v xml:space="preserve"> </v>
      </c>
      <c r="S621" s="661" t="s">
        <v>1852</v>
      </c>
      <c r="T621" s="609" t="s">
        <v>53</v>
      </c>
      <c r="U621" s="591">
        <v>26.5</v>
      </c>
      <c r="V621" s="589"/>
      <c r="W621" s="564">
        <f>IF(S621&lt;&gt;0,VLOOKUP(S621,VKT!$A$2:$G$415,7,0),"")</f>
        <v>1490563</v>
      </c>
      <c r="X621" s="564">
        <f t="shared" si="118"/>
        <v>39500000</v>
      </c>
      <c r="Y621" s="589"/>
      <c r="Z621" s="592" t="s">
        <v>55</v>
      </c>
      <c r="AA621" s="592" t="s">
        <v>56</v>
      </c>
      <c r="AB621" s="568" t="s">
        <v>137</v>
      </c>
      <c r="AC621" s="592" t="s">
        <v>66</v>
      </c>
      <c r="AD621" s="592" t="s">
        <v>206</v>
      </c>
      <c r="AE621" s="592"/>
      <c r="AF621" s="590"/>
      <c r="AG621" s="570" t="str">
        <f>IF(AE621&lt;&gt;0,VLOOKUP(AE621,ODDS!$A$2:$C$13,3,0),"")</f>
        <v/>
      </c>
      <c r="AH621" s="570" t="str">
        <f t="shared" si="126"/>
        <v xml:space="preserve"> </v>
      </c>
      <c r="AI621" s="571" t="str">
        <f t="shared" si="127"/>
        <v xml:space="preserve"> </v>
      </c>
      <c r="AJ621" s="558" t="s">
        <v>530</v>
      </c>
      <c r="AK621" s="558" t="s">
        <v>2448</v>
      </c>
    </row>
    <row r="622" spans="1:37" s="376" customFormat="1" ht="121.5" outlineLevel="2" x14ac:dyDescent="0.3">
      <c r="A622" s="447">
        <f t="shared" si="133"/>
        <v>52</v>
      </c>
      <c r="B622" s="557"/>
      <c r="C622" s="558" t="s">
        <v>219</v>
      </c>
      <c r="D622" s="587"/>
      <c r="E622" s="587"/>
      <c r="F622" s="560"/>
      <c r="G622" s="558" t="s">
        <v>2470</v>
      </c>
      <c r="H622" s="588">
        <v>4.5</v>
      </c>
      <c r="I622" s="546">
        <f t="shared" si="132"/>
        <v>4.5</v>
      </c>
      <c r="J622" s="593"/>
      <c r="K622" s="563">
        <f>IF(G622&lt;&gt;0,VLOOKUP(G622,'gia dat'!$A$1:$F$144,5,0)," ")</f>
        <v>554400</v>
      </c>
      <c r="L622" s="563">
        <f>IF(G622&lt;&gt;0,VLOOKUP(G622,'gia dat'!$A$1:$F$144,6,0)," ")</f>
        <v>1663200</v>
      </c>
      <c r="M622" s="564">
        <f t="shared" si="123"/>
        <v>2495000</v>
      </c>
      <c r="N622" s="564">
        <f t="shared" si="124"/>
        <v>7484000</v>
      </c>
      <c r="O622" s="586"/>
      <c r="P622" s="590"/>
      <c r="Q622" s="564" t="str">
        <f>IF(O622&lt;&gt;0,VLOOKUP(O622,'Cây trong'!$A$2:$C$246,3,0)," ")</f>
        <v xml:space="preserve"> </v>
      </c>
      <c r="R622" s="564" t="str">
        <f t="shared" si="125"/>
        <v xml:space="preserve"> </v>
      </c>
      <c r="S622" s="586" t="s">
        <v>1749</v>
      </c>
      <c r="T622" s="609" t="s">
        <v>53</v>
      </c>
      <c r="U622" s="591">
        <v>3.9</v>
      </c>
      <c r="V622" s="589"/>
      <c r="W622" s="564">
        <f>IF(S622&lt;&gt;0,VLOOKUP(S622,VKT!$A$2:$G$415,7,0),"")</f>
        <v>211811</v>
      </c>
      <c r="X622" s="564">
        <f t="shared" si="118"/>
        <v>826000</v>
      </c>
      <c r="Y622" s="589"/>
      <c r="Z622" s="592"/>
      <c r="AA622" s="592"/>
      <c r="AB622" s="568"/>
      <c r="AC622" s="592"/>
      <c r="AD622" s="592"/>
      <c r="AE622" s="592"/>
      <c r="AF622" s="590"/>
      <c r="AG622" s="570" t="str">
        <f>IF(AE622&lt;&gt;0,VLOOKUP(AE622,ODDS!$A$2:$C$13,3,0),"")</f>
        <v/>
      </c>
      <c r="AH622" s="570" t="str">
        <f t="shared" si="126"/>
        <v xml:space="preserve"> </v>
      </c>
      <c r="AI622" s="571" t="str">
        <f t="shared" si="127"/>
        <v xml:space="preserve"> </v>
      </c>
      <c r="AJ622" s="593" t="s">
        <v>169</v>
      </c>
      <c r="AK622" s="558" t="s">
        <v>2450</v>
      </c>
    </row>
    <row r="623" spans="1:37" s="376" customFormat="1" ht="101.25" outlineLevel="2" x14ac:dyDescent="0.3">
      <c r="A623" s="447">
        <f t="shared" si="133"/>
        <v>52</v>
      </c>
      <c r="B623" s="557"/>
      <c r="C623" s="628" t="s">
        <v>685</v>
      </c>
      <c r="D623" s="587"/>
      <c r="E623" s="587"/>
      <c r="F623" s="560"/>
      <c r="G623" s="558"/>
      <c r="H623" s="588"/>
      <c r="I623" s="546"/>
      <c r="J623" s="593"/>
      <c r="K623" s="563" t="str">
        <f>IF(G623&lt;&gt;0,VLOOKUP(G623,'gia dat'!$A$1:$F$144,5,0)," ")</f>
        <v xml:space="preserve"> </v>
      </c>
      <c r="L623" s="563" t="str">
        <f>IF(G623&lt;&gt;0,VLOOKUP(G623,'gia dat'!$A$1:$F$144,6,0)," ")</f>
        <v xml:space="preserve"> </v>
      </c>
      <c r="M623" s="564" t="str">
        <f t="shared" si="123"/>
        <v xml:space="preserve"> </v>
      </c>
      <c r="N623" s="564" t="str">
        <f t="shared" si="124"/>
        <v xml:space="preserve"> </v>
      </c>
      <c r="O623" s="586"/>
      <c r="P623" s="590"/>
      <c r="Q623" s="564" t="str">
        <f>IF(O623&lt;&gt;0,VLOOKUP(O623,'Cây trong'!$A$2:$C$246,3,0)," ")</f>
        <v xml:space="preserve"> </v>
      </c>
      <c r="R623" s="564" t="str">
        <f t="shared" si="125"/>
        <v xml:space="preserve"> </v>
      </c>
      <c r="S623" s="586" t="s">
        <v>2331</v>
      </c>
      <c r="T623" s="609" t="s">
        <v>78</v>
      </c>
      <c r="U623" s="591">
        <v>0.2</v>
      </c>
      <c r="V623" s="589"/>
      <c r="W623" s="564">
        <f>IF(S623&lt;&gt;0,VLOOKUP(S623,VKT!$A$2:$G$415,7,0),"")</f>
        <v>0</v>
      </c>
      <c r="X623" s="564">
        <f t="shared" si="118"/>
        <v>0</v>
      </c>
      <c r="Y623" s="589"/>
      <c r="Z623" s="592"/>
      <c r="AA623" s="592"/>
      <c r="AB623" s="568"/>
      <c r="AC623" s="592"/>
      <c r="AD623" s="592"/>
      <c r="AE623" s="592"/>
      <c r="AF623" s="590"/>
      <c r="AG623" s="570" t="str">
        <f>IF(AE623&lt;&gt;0,VLOOKUP(AE623,ODDS!$A$2:$C$13,3,0),"")</f>
        <v/>
      </c>
      <c r="AH623" s="570" t="str">
        <f t="shared" si="126"/>
        <v xml:space="preserve"> </v>
      </c>
      <c r="AI623" s="571" t="str">
        <f t="shared" si="127"/>
        <v xml:space="preserve"> </v>
      </c>
      <c r="AJ623" s="608" t="s">
        <v>111</v>
      </c>
      <c r="AK623" s="558" t="s">
        <v>2800</v>
      </c>
    </row>
    <row r="624" spans="1:37" s="376" customFormat="1" ht="101.25" outlineLevel="2" x14ac:dyDescent="0.3">
      <c r="A624" s="447">
        <f t="shared" si="133"/>
        <v>52</v>
      </c>
      <c r="B624" s="557"/>
      <c r="C624" s="558"/>
      <c r="D624" s="587"/>
      <c r="E624" s="587"/>
      <c r="F624" s="560"/>
      <c r="G624" s="558"/>
      <c r="H624" s="588"/>
      <c r="I624" s="546"/>
      <c r="J624" s="593"/>
      <c r="K624" s="563" t="str">
        <f>IF(G624&lt;&gt;0,VLOOKUP(G624,'gia dat'!$A$1:$F$144,5,0)," ")</f>
        <v xml:space="preserve"> </v>
      </c>
      <c r="L624" s="563" t="str">
        <f>IF(G624&lt;&gt;0,VLOOKUP(G624,'gia dat'!$A$1:$F$144,6,0)," ")</f>
        <v xml:space="preserve"> </v>
      </c>
      <c r="M624" s="564" t="str">
        <f t="shared" si="123"/>
        <v xml:space="preserve"> </v>
      </c>
      <c r="N624" s="564" t="str">
        <f t="shared" si="124"/>
        <v xml:space="preserve"> </v>
      </c>
      <c r="O624" s="586"/>
      <c r="P624" s="590"/>
      <c r="Q624" s="564" t="str">
        <f>IF(O624&lt;&gt;0,VLOOKUP(O624,'Cây trong'!$A$2:$C$246,3,0)," ")</f>
        <v xml:space="preserve"> </v>
      </c>
      <c r="R624" s="564" t="str">
        <f t="shared" si="125"/>
        <v xml:space="preserve"> </v>
      </c>
      <c r="S624" s="566" t="s">
        <v>1757</v>
      </c>
      <c r="T624" s="589" t="s">
        <v>53</v>
      </c>
      <c r="U624" s="591">
        <v>26.5</v>
      </c>
      <c r="V624" s="589"/>
      <c r="W624" s="564">
        <f>IF(S624&lt;&gt;0,VLOOKUP(S624,VKT!$A$2:$G$415,7,0),"")</f>
        <v>157477</v>
      </c>
      <c r="X624" s="564">
        <f t="shared" si="118"/>
        <v>4173000</v>
      </c>
      <c r="Y624" s="589"/>
      <c r="Z624" s="592"/>
      <c r="AA624" s="592"/>
      <c r="AB624" s="568"/>
      <c r="AC624" s="592"/>
      <c r="AD624" s="592"/>
      <c r="AE624" s="592"/>
      <c r="AF624" s="590"/>
      <c r="AG624" s="570" t="str">
        <f>IF(AE624&lt;&gt;0,VLOOKUP(AE624,ODDS!$A$2:$C$13,3,0),"")</f>
        <v/>
      </c>
      <c r="AH624" s="570" t="str">
        <f t="shared" si="126"/>
        <v xml:space="preserve"> </v>
      </c>
      <c r="AI624" s="571" t="str">
        <f t="shared" si="127"/>
        <v xml:space="preserve"> </v>
      </c>
      <c r="AJ624" s="558" t="s">
        <v>532</v>
      </c>
      <c r="AK624" s="593"/>
    </row>
    <row r="625" spans="1:37" s="376" customFormat="1" ht="60.75" outlineLevel="2" x14ac:dyDescent="0.3">
      <c r="A625" s="447">
        <f t="shared" si="133"/>
        <v>52</v>
      </c>
      <c r="B625" s="557"/>
      <c r="C625" s="558"/>
      <c r="D625" s="587"/>
      <c r="E625" s="587"/>
      <c r="F625" s="560"/>
      <c r="G625" s="558"/>
      <c r="H625" s="588"/>
      <c r="I625" s="546"/>
      <c r="J625" s="593"/>
      <c r="K625" s="563" t="str">
        <f>IF(G625&lt;&gt;0,VLOOKUP(G625,'gia dat'!$A$1:$F$144,5,0)," ")</f>
        <v xml:space="preserve"> </v>
      </c>
      <c r="L625" s="563" t="str">
        <f>IF(G625&lt;&gt;0,VLOOKUP(G625,'gia dat'!$A$1:$F$144,6,0)," ")</f>
        <v xml:space="preserve"> </v>
      </c>
      <c r="M625" s="564" t="str">
        <f t="shared" si="123"/>
        <v xml:space="preserve"> </v>
      </c>
      <c r="N625" s="564" t="str">
        <f t="shared" si="124"/>
        <v xml:space="preserve"> </v>
      </c>
      <c r="O625" s="586"/>
      <c r="P625" s="630"/>
      <c r="Q625" s="564" t="str">
        <f>IF(O625&lt;&gt;0,VLOOKUP(O625,'Cây trong'!$A$2:$C$246,3,0)," ")</f>
        <v xml:space="preserve"> </v>
      </c>
      <c r="R625" s="564" t="str">
        <f t="shared" si="125"/>
        <v xml:space="preserve"> </v>
      </c>
      <c r="S625" s="661"/>
      <c r="T625" s="609"/>
      <c r="U625" s="591"/>
      <c r="V625" s="589"/>
      <c r="W625" s="564" t="str">
        <f>IF(S625&lt;&gt;0,VLOOKUP(S625,VKT!$A$2:$G$415,7,0),"")</f>
        <v/>
      </c>
      <c r="X625" s="564" t="str">
        <f t="shared" si="118"/>
        <v xml:space="preserve"> </v>
      </c>
      <c r="Y625" s="589"/>
      <c r="Z625" s="592"/>
      <c r="AA625" s="592"/>
      <c r="AB625" s="568"/>
      <c r="AC625" s="592"/>
      <c r="AD625" s="592"/>
      <c r="AE625" s="592"/>
      <c r="AF625" s="590"/>
      <c r="AG625" s="570" t="str">
        <f>IF(AE625&lt;&gt;0,VLOOKUP(AE625,ODDS!$A$2:$C$13,3,0),"")</f>
        <v/>
      </c>
      <c r="AH625" s="570" t="str">
        <f t="shared" si="126"/>
        <v xml:space="preserve"> </v>
      </c>
      <c r="AI625" s="571" t="str">
        <f t="shared" si="127"/>
        <v xml:space="preserve"> </v>
      </c>
      <c r="AJ625" s="558" t="s">
        <v>2074</v>
      </c>
      <c r="AK625" s="558"/>
    </row>
    <row r="626" spans="1:37" s="376" customFormat="1" ht="20.25" outlineLevel="2" x14ac:dyDescent="0.3">
      <c r="A626" s="447">
        <f t="shared" si="133"/>
        <v>52</v>
      </c>
      <c r="B626" s="557"/>
      <c r="C626" s="607"/>
      <c r="D626" s="587"/>
      <c r="E626" s="587"/>
      <c r="F626" s="560"/>
      <c r="G626" s="558"/>
      <c r="H626" s="588"/>
      <c r="I626" s="546"/>
      <c r="J626" s="593"/>
      <c r="K626" s="563" t="str">
        <f>IF(G626&lt;&gt;0,VLOOKUP(G626,'gia dat'!$A$1:$F$144,5,0)," ")</f>
        <v xml:space="preserve"> </v>
      </c>
      <c r="L626" s="563" t="str">
        <f>IF(G626&lt;&gt;0,VLOOKUP(G626,'gia dat'!$A$1:$F$144,6,0)," ")</f>
        <v xml:space="preserve"> </v>
      </c>
      <c r="M626" s="564" t="str">
        <f t="shared" si="123"/>
        <v xml:space="preserve"> </v>
      </c>
      <c r="N626" s="564" t="str">
        <f t="shared" si="124"/>
        <v xml:space="preserve"> </v>
      </c>
      <c r="O626" s="586"/>
      <c r="P626" s="630"/>
      <c r="Q626" s="564" t="str">
        <f>IF(O626&lt;&gt;0,VLOOKUP(O626,'Cây trong'!$A$2:$C$246,3,0)," ")</f>
        <v xml:space="preserve"> </v>
      </c>
      <c r="R626" s="564" t="str">
        <f t="shared" si="125"/>
        <v xml:space="preserve"> </v>
      </c>
      <c r="S626" s="566"/>
      <c r="T626" s="589"/>
      <c r="U626" s="591"/>
      <c r="V626" s="589"/>
      <c r="W626" s="564" t="str">
        <f>IF(S626&lt;&gt;0,VLOOKUP(S626,VKT!$A$2:$G$415,7,0),"")</f>
        <v/>
      </c>
      <c r="X626" s="564" t="str">
        <f t="shared" ref="X626:X697" si="134">IF(S626&lt;&gt;0,ROUND(U626*W626,-3)," ")</f>
        <v xml:space="preserve"> </v>
      </c>
      <c r="Y626" s="589"/>
      <c r="Z626" s="592"/>
      <c r="AA626" s="592"/>
      <c r="AB626" s="568"/>
      <c r="AC626" s="592"/>
      <c r="AD626" s="592"/>
      <c r="AE626" s="592"/>
      <c r="AF626" s="590"/>
      <c r="AG626" s="570" t="str">
        <f>IF(AE626&lt;&gt;0,VLOOKUP(AE626,ODDS!$A$2:$C$13,3,0),"")</f>
        <v/>
      </c>
      <c r="AH626" s="570" t="str">
        <f t="shared" si="126"/>
        <v xml:space="preserve"> </v>
      </c>
      <c r="AI626" s="571" t="str">
        <f t="shared" si="127"/>
        <v xml:space="preserve"> </v>
      </c>
      <c r="AJ626" s="575"/>
      <c r="AK626" s="558"/>
    </row>
    <row r="627" spans="1:37" s="376" customFormat="1" ht="20.25" outlineLevel="2" x14ac:dyDescent="0.3">
      <c r="A627" s="447">
        <f t="shared" si="133"/>
        <v>52</v>
      </c>
      <c r="B627" s="557"/>
      <c r="C627" s="558"/>
      <c r="D627" s="587"/>
      <c r="E627" s="587"/>
      <c r="F627" s="560"/>
      <c r="G627" s="558"/>
      <c r="H627" s="588"/>
      <c r="I627" s="546"/>
      <c r="J627" s="589"/>
      <c r="K627" s="563" t="str">
        <f>IF(G627&lt;&gt;0,VLOOKUP(G627,'gia dat'!$A$1:$F$144,5,0)," ")</f>
        <v xml:space="preserve"> </v>
      </c>
      <c r="L627" s="563" t="str">
        <f>IF(G627&lt;&gt;0,VLOOKUP(G627,'gia dat'!$A$1:$F$144,6,0)," ")</f>
        <v xml:space="preserve"> </v>
      </c>
      <c r="M627" s="564" t="str">
        <f t="shared" si="123"/>
        <v xml:space="preserve"> </v>
      </c>
      <c r="N627" s="564" t="str">
        <f t="shared" si="124"/>
        <v xml:space="preserve"> </v>
      </c>
      <c r="O627" s="558"/>
      <c r="P627" s="590"/>
      <c r="Q627" s="564" t="str">
        <f>IF(O627&lt;&gt;0,VLOOKUP(O627,'Cây trong'!$A$2:$C$246,3,0)," ")</f>
        <v xml:space="preserve"> </v>
      </c>
      <c r="R627" s="564" t="str">
        <f t="shared" si="125"/>
        <v xml:space="preserve"> </v>
      </c>
      <c r="S627" s="566"/>
      <c r="T627" s="589"/>
      <c r="U627" s="591"/>
      <c r="V627" s="589"/>
      <c r="W627" s="564" t="str">
        <f>IF(S627&lt;&gt;0,VLOOKUP(S627,VKT!$A$2:$G$415,7,0),"")</f>
        <v/>
      </c>
      <c r="X627" s="564" t="str">
        <f t="shared" si="134"/>
        <v xml:space="preserve"> </v>
      </c>
      <c r="Y627" s="589"/>
      <c r="Z627" s="592"/>
      <c r="AA627" s="592"/>
      <c r="AB627" s="568"/>
      <c r="AC627" s="592"/>
      <c r="AD627" s="592"/>
      <c r="AE627" s="592"/>
      <c r="AF627" s="590"/>
      <c r="AG627" s="570" t="str">
        <f>IF(AE627&lt;&gt;0,VLOOKUP(AE627,ODDS!$A$2:$C$13,3,0),"")</f>
        <v/>
      </c>
      <c r="AH627" s="570" t="str">
        <f t="shared" si="126"/>
        <v xml:space="preserve"> </v>
      </c>
      <c r="AI627" s="571" t="str">
        <f t="shared" si="127"/>
        <v xml:space="preserve"> </v>
      </c>
      <c r="AJ627" s="593"/>
      <c r="AK627" s="593"/>
    </row>
    <row r="628" spans="1:37" s="376" customFormat="1" ht="20.25" outlineLevel="2" x14ac:dyDescent="0.3">
      <c r="A628" s="447">
        <f t="shared" si="133"/>
        <v>52</v>
      </c>
      <c r="B628" s="557"/>
      <c r="C628" s="607"/>
      <c r="D628" s="587"/>
      <c r="E628" s="587"/>
      <c r="F628" s="560"/>
      <c r="G628" s="558"/>
      <c r="H628" s="588"/>
      <c r="I628" s="546"/>
      <c r="J628" s="589"/>
      <c r="K628" s="563" t="str">
        <f>IF(G628&lt;&gt;0,VLOOKUP(G628,'gia dat'!$A$1:$F$144,5,0)," ")</f>
        <v xml:space="preserve"> </v>
      </c>
      <c r="L628" s="563" t="str">
        <f>IF(G628&lt;&gt;0,VLOOKUP(G628,'gia dat'!$A$1:$F$144,6,0)," ")</f>
        <v xml:space="preserve"> </v>
      </c>
      <c r="M628" s="564" t="str">
        <f t="shared" si="123"/>
        <v xml:space="preserve"> </v>
      </c>
      <c r="N628" s="564" t="str">
        <f t="shared" si="124"/>
        <v xml:space="preserve"> </v>
      </c>
      <c r="O628" s="586"/>
      <c r="P628" s="630"/>
      <c r="Q628" s="564" t="str">
        <f>IF(O628&lt;&gt;0,VLOOKUP(O628,'Cây trong'!$A$2:$C$246,3,0)," ")</f>
        <v xml:space="preserve"> </v>
      </c>
      <c r="R628" s="564" t="str">
        <f t="shared" si="125"/>
        <v xml:space="preserve"> </v>
      </c>
      <c r="S628" s="586"/>
      <c r="T628" s="609"/>
      <c r="U628" s="591"/>
      <c r="V628" s="589"/>
      <c r="W628" s="564" t="str">
        <f>IF(S628&lt;&gt;0,VLOOKUP(S628,VKT!$A$2:$G$415,7,0),"")</f>
        <v/>
      </c>
      <c r="X628" s="564" t="str">
        <f t="shared" si="134"/>
        <v xml:space="preserve"> </v>
      </c>
      <c r="Y628" s="589"/>
      <c r="Z628" s="592"/>
      <c r="AA628" s="592"/>
      <c r="AB628" s="568"/>
      <c r="AC628" s="592"/>
      <c r="AD628" s="592"/>
      <c r="AE628" s="592"/>
      <c r="AF628" s="590"/>
      <c r="AG628" s="570" t="str">
        <f>IF(AE628&lt;&gt;0,VLOOKUP(AE628,ODDS!$A$2:$C$13,3,0),"")</f>
        <v/>
      </c>
      <c r="AH628" s="570" t="str">
        <f t="shared" si="126"/>
        <v xml:space="preserve"> </v>
      </c>
      <c r="AI628" s="571" t="str">
        <f t="shared" si="127"/>
        <v xml:space="preserve"> </v>
      </c>
      <c r="AJ628" s="558"/>
      <c r="AK628" s="558"/>
    </row>
    <row r="629" spans="1:37" s="376" customFormat="1" ht="40.5" outlineLevel="1" x14ac:dyDescent="0.25">
      <c r="A629" s="467" t="s">
        <v>2657</v>
      </c>
      <c r="B629" s="576">
        <v>53</v>
      </c>
      <c r="C629" s="607" t="s">
        <v>38</v>
      </c>
      <c r="D629" s="595"/>
      <c r="E629" s="595"/>
      <c r="F629" s="577"/>
      <c r="G629" s="574"/>
      <c r="H629" s="618">
        <f>SUBTOTAL(9,H630:H639)</f>
        <v>48.9</v>
      </c>
      <c r="I629" s="579">
        <f>SUBTOTAL(9,I630:I635)</f>
        <v>48.5</v>
      </c>
      <c r="J629" s="608"/>
      <c r="K629" s="581"/>
      <c r="L629" s="581"/>
      <c r="M629" s="571">
        <f>SUBTOTAL(9,M630:M639)</f>
        <v>29193000</v>
      </c>
      <c r="N629" s="571">
        <f>SUBTOTAL(9,N630:N639)</f>
        <v>80665000</v>
      </c>
      <c r="O629" s="578"/>
      <c r="P629" s="599">
        <f>SUBTOTAL(9,P630:P639)</f>
        <v>0</v>
      </c>
      <c r="Q629" s="571"/>
      <c r="R629" s="571">
        <f>SUBTOTAL(9,R630:R639)</f>
        <v>0</v>
      </c>
      <c r="S629" s="578"/>
      <c r="T629" s="621"/>
      <c r="U629" s="600">
        <f>SUBTOTAL(9,U630:U639)</f>
        <v>78.800000000000011</v>
      </c>
      <c r="V629" s="597"/>
      <c r="W629" s="571"/>
      <c r="X629" s="571">
        <f>SUBTOTAL(9,X630:X639)</f>
        <v>63492000</v>
      </c>
      <c r="Y629" s="589"/>
      <c r="Z629" s="592"/>
      <c r="AA629" s="592"/>
      <c r="AB629" s="568"/>
      <c r="AC629" s="592"/>
      <c r="AD629" s="592"/>
      <c r="AE629" s="601"/>
      <c r="AF629" s="599">
        <f>SUBTOTAL(9,AF630:AF639)</f>
        <v>0</v>
      </c>
      <c r="AG629" s="585"/>
      <c r="AH629" s="585">
        <f>SUBTOTAL(9,AH630:AH639)</f>
        <v>0</v>
      </c>
      <c r="AI629" s="571">
        <f t="shared" si="127"/>
        <v>173350000</v>
      </c>
      <c r="AJ629" s="574"/>
      <c r="AK629" s="578"/>
    </row>
    <row r="630" spans="1:37" s="376" customFormat="1" ht="121.5" outlineLevel="2" x14ac:dyDescent="0.3">
      <c r="A630" s="447">
        <f>IF(B629&lt;&gt;0,B629,A628)</f>
        <v>53</v>
      </c>
      <c r="B630" s="557"/>
      <c r="C630" s="572" t="s">
        <v>220</v>
      </c>
      <c r="D630" s="587">
        <v>5</v>
      </c>
      <c r="E630" s="587">
        <v>86</v>
      </c>
      <c r="F630" s="560">
        <v>327</v>
      </c>
      <c r="G630" s="558" t="s">
        <v>2037</v>
      </c>
      <c r="H630" s="588">
        <v>0.4</v>
      </c>
      <c r="I630" s="546" t="str">
        <f t="shared" ref="I630:I632" si="135">IF(N630&gt;0,H630,"")</f>
        <v/>
      </c>
      <c r="J630" s="593"/>
      <c r="K630" s="563">
        <f>IF(G630&lt;&gt;0,VLOOKUP(G630,'gia dat'!$A$1:$F$144,5,0)," ")</f>
        <v>5762400</v>
      </c>
      <c r="L630" s="563">
        <f>IF(G630&lt;&gt;0,VLOOKUP(G630,'gia dat'!$A$1:$F$144,6,0)," ")</f>
        <v>0</v>
      </c>
      <c r="M630" s="564">
        <f t="shared" si="123"/>
        <v>2305000</v>
      </c>
      <c r="N630" s="564">
        <f t="shared" si="124"/>
        <v>0</v>
      </c>
      <c r="O630" s="586"/>
      <c r="P630" s="590"/>
      <c r="Q630" s="564" t="str">
        <f>IF(O630&lt;&gt;0,VLOOKUP(O630,'Cây trong'!$A$2:$C$246,3,0)," ")</f>
        <v xml:space="preserve"> </v>
      </c>
      <c r="R630" s="564" t="str">
        <f t="shared" si="125"/>
        <v xml:space="preserve"> </v>
      </c>
      <c r="S630" s="586" t="s">
        <v>1820</v>
      </c>
      <c r="T630" s="609" t="s">
        <v>53</v>
      </c>
      <c r="U630" s="591">
        <f>3.6</f>
        <v>3.6</v>
      </c>
      <c r="V630" s="589">
        <v>14.4</v>
      </c>
      <c r="W630" s="564">
        <f>IF(S630&lt;&gt;0,VLOOKUP(S630,VKT!$A$2:$G$415,7,0),"")</f>
        <v>5307665</v>
      </c>
      <c r="X630" s="564">
        <f t="shared" si="134"/>
        <v>19108000</v>
      </c>
      <c r="Y630" s="589" t="s">
        <v>63</v>
      </c>
      <c r="Z630" s="592" t="s">
        <v>55</v>
      </c>
      <c r="AA630" s="592" t="s">
        <v>56</v>
      </c>
      <c r="AB630" s="568" t="s">
        <v>57</v>
      </c>
      <c r="AC630" s="592" t="s">
        <v>63</v>
      </c>
      <c r="AD630" s="592" t="s">
        <v>206</v>
      </c>
      <c r="AE630" s="592"/>
      <c r="AF630" s="590"/>
      <c r="AG630" s="570" t="str">
        <f>IF(AE630&lt;&gt;0,VLOOKUP(AE630,ODDS!$A$2:$C$13,3,0),"")</f>
        <v/>
      </c>
      <c r="AH630" s="570"/>
      <c r="AI630" s="571" t="str">
        <f t="shared" si="127"/>
        <v xml:space="preserve"> </v>
      </c>
      <c r="AJ630" s="558" t="s">
        <v>686</v>
      </c>
      <c r="AK630" s="586" t="s">
        <v>2771</v>
      </c>
    </row>
    <row r="631" spans="1:37" s="376" customFormat="1" ht="81" outlineLevel="2" x14ac:dyDescent="0.3">
      <c r="A631" s="447">
        <f t="shared" ref="A631:A639" si="136">IF(B630&lt;&gt;0,B630,A630)</f>
        <v>53</v>
      </c>
      <c r="B631" s="557"/>
      <c r="C631" s="574" t="s">
        <v>393</v>
      </c>
      <c r="D631" s="587"/>
      <c r="E631" s="587">
        <v>86</v>
      </c>
      <c r="F631" s="560">
        <v>327</v>
      </c>
      <c r="G631" s="558" t="s">
        <v>2469</v>
      </c>
      <c r="H631" s="588">
        <v>42.1</v>
      </c>
      <c r="I631" s="546">
        <f t="shared" si="135"/>
        <v>42.1</v>
      </c>
      <c r="J631" s="593"/>
      <c r="K631" s="563">
        <f>IF(G631&lt;&gt;0,VLOOKUP(G631,'gia dat'!$A$1:$F$144,5,0)," ")</f>
        <v>554400</v>
      </c>
      <c r="L631" s="563">
        <f>IF(G631&lt;&gt;0,VLOOKUP(G631,'gia dat'!$A$1:$F$144,6,0)," ")</f>
        <v>1663200</v>
      </c>
      <c r="M631" s="564">
        <f t="shared" si="123"/>
        <v>23340000</v>
      </c>
      <c r="N631" s="564">
        <f t="shared" si="124"/>
        <v>70021000</v>
      </c>
      <c r="O631" s="586"/>
      <c r="P631" s="590"/>
      <c r="Q631" s="564" t="str">
        <f>IF(O631&lt;&gt;0,VLOOKUP(O631,'Cây trong'!$A$2:$C$246,3,0)," ")</f>
        <v xml:space="preserve"> </v>
      </c>
      <c r="R631" s="564" t="str">
        <f t="shared" si="125"/>
        <v xml:space="preserve"> </v>
      </c>
      <c r="S631" s="586" t="s">
        <v>1863</v>
      </c>
      <c r="T631" s="609" t="s">
        <v>53</v>
      </c>
      <c r="U631" s="591">
        <v>16.5</v>
      </c>
      <c r="V631" s="589"/>
      <c r="W631" s="564">
        <f>IF(S631&lt;&gt;0,VLOOKUP(S631,VKT!$A$2:$G$415,7,0),"")</f>
        <v>1107311</v>
      </c>
      <c r="X631" s="564">
        <f t="shared" si="134"/>
        <v>18271000</v>
      </c>
      <c r="Y631" s="589"/>
      <c r="Z631" s="592" t="s">
        <v>55</v>
      </c>
      <c r="AA631" s="592" t="s">
        <v>56</v>
      </c>
      <c r="AB631" s="568" t="s">
        <v>332</v>
      </c>
      <c r="AC631" s="592" t="s">
        <v>66</v>
      </c>
      <c r="AD631" s="592"/>
      <c r="AE631" s="592"/>
      <c r="AF631" s="590"/>
      <c r="AG631" s="570" t="str">
        <f>IF(AE631&lt;&gt;0,VLOOKUP(AE631,ODDS!$A$2:$C$13,3,0),"")</f>
        <v/>
      </c>
      <c r="AH631" s="570" t="str">
        <f t="shared" si="126"/>
        <v xml:space="preserve"> </v>
      </c>
      <c r="AI631" s="571" t="str">
        <f t="shared" si="127"/>
        <v xml:space="preserve"> </v>
      </c>
      <c r="AJ631" s="558" t="s">
        <v>533</v>
      </c>
      <c r="AK631" s="558" t="s">
        <v>2448</v>
      </c>
    </row>
    <row r="632" spans="1:37" s="376" customFormat="1" ht="121.5" outlineLevel="2" x14ac:dyDescent="0.3">
      <c r="A632" s="447">
        <f t="shared" si="136"/>
        <v>53</v>
      </c>
      <c r="B632" s="557"/>
      <c r="C632" s="558" t="s">
        <v>394</v>
      </c>
      <c r="D632" s="587"/>
      <c r="E632" s="587"/>
      <c r="F632" s="560"/>
      <c r="G632" s="558" t="s">
        <v>2470</v>
      </c>
      <c r="H632" s="588">
        <v>6.4</v>
      </c>
      <c r="I632" s="546">
        <f t="shared" si="135"/>
        <v>6.4</v>
      </c>
      <c r="J632" s="589"/>
      <c r="K632" s="563">
        <f>IF(G632&lt;&gt;0,VLOOKUP(G632,'gia dat'!$A$1:$F$144,5,0)," ")</f>
        <v>554400</v>
      </c>
      <c r="L632" s="563">
        <f>IF(G632&lt;&gt;0,VLOOKUP(G632,'gia dat'!$A$1:$F$144,6,0)," ")</f>
        <v>1663200</v>
      </c>
      <c r="M632" s="564">
        <f t="shared" si="123"/>
        <v>3548000</v>
      </c>
      <c r="N632" s="564">
        <f t="shared" si="124"/>
        <v>10644000</v>
      </c>
      <c r="O632" s="558"/>
      <c r="P632" s="590"/>
      <c r="Q632" s="564" t="str">
        <f>IF(O632&lt;&gt;0,VLOOKUP(O632,'Cây trong'!$A$2:$C$246,3,0)," ")</f>
        <v xml:space="preserve"> </v>
      </c>
      <c r="R632" s="564" t="str">
        <f t="shared" si="125"/>
        <v xml:space="preserve"> </v>
      </c>
      <c r="S632" s="566" t="s">
        <v>1766</v>
      </c>
      <c r="T632" s="589" t="s">
        <v>53</v>
      </c>
      <c r="U632" s="591">
        <v>11.5</v>
      </c>
      <c r="V632" s="589"/>
      <c r="W632" s="564">
        <f>IF(S632&lt;&gt;0,VLOOKUP(S632,VKT!$A$2:$G$415,7,0),"")</f>
        <v>265836</v>
      </c>
      <c r="X632" s="564">
        <f t="shared" si="134"/>
        <v>3057000</v>
      </c>
      <c r="Y632" s="589"/>
      <c r="Z632" s="592"/>
      <c r="AA632" s="592"/>
      <c r="AB632" s="568"/>
      <c r="AC632" s="592"/>
      <c r="AD632" s="592"/>
      <c r="AE632" s="592"/>
      <c r="AF632" s="590"/>
      <c r="AG632" s="570" t="str">
        <f>IF(AE632&lt;&gt;0,VLOOKUP(AE632,ODDS!$A$2:$C$13,3,0),"")</f>
        <v/>
      </c>
      <c r="AH632" s="570" t="str">
        <f t="shared" si="126"/>
        <v xml:space="preserve"> </v>
      </c>
      <c r="AI632" s="571" t="str">
        <f t="shared" si="127"/>
        <v xml:space="preserve"> </v>
      </c>
      <c r="AJ632" s="593" t="s">
        <v>296</v>
      </c>
      <c r="AK632" s="558" t="s">
        <v>2450</v>
      </c>
    </row>
    <row r="633" spans="1:37" s="376" customFormat="1" ht="101.25" outlineLevel="2" x14ac:dyDescent="0.3">
      <c r="A633" s="447">
        <f t="shared" si="136"/>
        <v>53</v>
      </c>
      <c r="B633" s="557"/>
      <c r="C633" s="628" t="s">
        <v>687</v>
      </c>
      <c r="D633" s="587"/>
      <c r="E633" s="587"/>
      <c r="F633" s="560"/>
      <c r="G633" s="558"/>
      <c r="H633" s="588"/>
      <c r="I633" s="546"/>
      <c r="J633" s="589"/>
      <c r="K633" s="563" t="str">
        <f>IF(G633&lt;&gt;0,VLOOKUP(G633,'gia dat'!$A$1:$F$144,5,0)," ")</f>
        <v xml:space="preserve"> </v>
      </c>
      <c r="L633" s="563" t="str">
        <f>IF(G633&lt;&gt;0,VLOOKUP(G633,'gia dat'!$A$1:$F$144,6,0)," ")</f>
        <v xml:space="preserve"> </v>
      </c>
      <c r="M633" s="564" t="str">
        <f t="shared" si="123"/>
        <v xml:space="preserve"> </v>
      </c>
      <c r="N633" s="564" t="str">
        <f t="shared" si="124"/>
        <v xml:space="preserve"> </v>
      </c>
      <c r="O633" s="558"/>
      <c r="P633" s="590"/>
      <c r="Q633" s="564" t="str">
        <f>IF(O633&lt;&gt;0,VLOOKUP(O633,'Cây trong'!$A$2:$C$246,3,0)," ")</f>
        <v xml:space="preserve"> </v>
      </c>
      <c r="R633" s="564" t="str">
        <f t="shared" si="125"/>
        <v xml:space="preserve"> </v>
      </c>
      <c r="S633" s="566" t="s">
        <v>1768</v>
      </c>
      <c r="T633" s="589" t="s">
        <v>53</v>
      </c>
      <c r="U633" s="591">
        <v>3.2</v>
      </c>
      <c r="V633" s="589"/>
      <c r="W633" s="564">
        <f>IF(S633&lt;&gt;0,VLOOKUP(S633,VKT!$A$2:$G$415,7,0),"")</f>
        <v>238288</v>
      </c>
      <c r="X633" s="564">
        <f t="shared" si="134"/>
        <v>763000</v>
      </c>
      <c r="Y633" s="589"/>
      <c r="Z633" s="592"/>
      <c r="AA633" s="592"/>
      <c r="AB633" s="568"/>
      <c r="AC633" s="592"/>
      <c r="AD633" s="592"/>
      <c r="AE633" s="592"/>
      <c r="AF633" s="590"/>
      <c r="AG633" s="570" t="str">
        <f>IF(AE633&lt;&gt;0,VLOOKUP(AE633,ODDS!$A$2:$C$13,3,0),"")</f>
        <v/>
      </c>
      <c r="AH633" s="570" t="str">
        <f t="shared" si="126"/>
        <v xml:space="preserve"> </v>
      </c>
      <c r="AI633" s="571" t="str">
        <f t="shared" si="127"/>
        <v xml:space="preserve"> </v>
      </c>
      <c r="AJ633" s="608" t="s">
        <v>111</v>
      </c>
      <c r="AK633" s="558" t="s">
        <v>2800</v>
      </c>
    </row>
    <row r="634" spans="1:37" s="376" customFormat="1" ht="101.25" outlineLevel="2" x14ac:dyDescent="0.3">
      <c r="A634" s="447">
        <f t="shared" si="136"/>
        <v>53</v>
      </c>
      <c r="B634" s="557"/>
      <c r="C634" s="558"/>
      <c r="D634" s="587"/>
      <c r="E634" s="587"/>
      <c r="F634" s="560"/>
      <c r="G634" s="558"/>
      <c r="H634" s="588"/>
      <c r="I634" s="546"/>
      <c r="J634" s="589"/>
      <c r="K634" s="563" t="str">
        <f>IF(G634&lt;&gt;0,VLOOKUP(G634,'gia dat'!$A$1:$F$144,5,0)," ")</f>
        <v xml:space="preserve"> </v>
      </c>
      <c r="L634" s="563" t="str">
        <f>IF(G634&lt;&gt;0,VLOOKUP(G634,'gia dat'!$A$1:$F$144,6,0)," ")</f>
        <v xml:space="preserve"> </v>
      </c>
      <c r="M634" s="564" t="str">
        <f t="shared" si="123"/>
        <v xml:space="preserve"> </v>
      </c>
      <c r="N634" s="564" t="str">
        <f t="shared" si="124"/>
        <v xml:space="preserve"> </v>
      </c>
      <c r="O634" s="558"/>
      <c r="P634" s="590"/>
      <c r="Q634" s="564" t="str">
        <f>IF(O634&lt;&gt;0,VLOOKUP(O634,'Cây trong'!$A$2:$C$246,3,0)," ")</f>
        <v xml:space="preserve"> </v>
      </c>
      <c r="R634" s="564" t="str">
        <f t="shared" si="125"/>
        <v xml:space="preserve"> </v>
      </c>
      <c r="S634" s="566" t="s">
        <v>1768</v>
      </c>
      <c r="T634" s="589" t="s">
        <v>53</v>
      </c>
      <c r="U634" s="591">
        <v>14</v>
      </c>
      <c r="V634" s="589"/>
      <c r="W634" s="564">
        <f>IF(S634&lt;&gt;0,VLOOKUP(S634,VKT!$A$2:$G$415,7,0),"")</f>
        <v>238288</v>
      </c>
      <c r="X634" s="564">
        <f t="shared" si="134"/>
        <v>3336000</v>
      </c>
      <c r="Y634" s="589"/>
      <c r="Z634" s="592"/>
      <c r="AA634" s="592"/>
      <c r="AB634" s="568"/>
      <c r="AC634" s="592"/>
      <c r="AD634" s="592"/>
      <c r="AE634" s="592"/>
      <c r="AF634" s="590"/>
      <c r="AG634" s="570" t="str">
        <f>IF(AE634&lt;&gt;0,VLOOKUP(AE634,ODDS!$A$2:$C$13,3,0),"")</f>
        <v/>
      </c>
      <c r="AH634" s="570" t="str">
        <f t="shared" si="126"/>
        <v xml:space="preserve"> </v>
      </c>
      <c r="AI634" s="571" t="str">
        <f t="shared" si="127"/>
        <v xml:space="preserve"> </v>
      </c>
      <c r="AJ634" s="558" t="s">
        <v>535</v>
      </c>
      <c r="AK634" s="608"/>
    </row>
    <row r="635" spans="1:37" s="376" customFormat="1" ht="81" outlineLevel="2" x14ac:dyDescent="0.3">
      <c r="A635" s="447">
        <f t="shared" si="136"/>
        <v>53</v>
      </c>
      <c r="B635" s="557"/>
      <c r="C635" s="607"/>
      <c r="D635" s="587"/>
      <c r="E635" s="587"/>
      <c r="F635" s="560"/>
      <c r="G635" s="558"/>
      <c r="H635" s="588"/>
      <c r="I635" s="546"/>
      <c r="J635" s="589"/>
      <c r="K635" s="563" t="str">
        <f>IF(G635&lt;&gt;0,VLOOKUP(G635,'gia dat'!$A$1:$F$144,5,0)," ")</f>
        <v xml:space="preserve"> </v>
      </c>
      <c r="L635" s="563" t="str">
        <f>IF(G635&lt;&gt;0,VLOOKUP(G635,'gia dat'!$A$1:$F$144,6,0)," ")</f>
        <v xml:space="preserve"> </v>
      </c>
      <c r="M635" s="564" t="str">
        <f t="shared" si="123"/>
        <v xml:space="preserve"> </v>
      </c>
      <c r="N635" s="564" t="str">
        <f t="shared" si="124"/>
        <v xml:space="preserve"> </v>
      </c>
      <c r="O635" s="558"/>
      <c r="P635" s="590"/>
      <c r="Q635" s="564" t="str">
        <f>IF(O635&lt;&gt;0,VLOOKUP(O635,'Cây trong'!$A$2:$C$246,3,0)," ")</f>
        <v xml:space="preserve"> </v>
      </c>
      <c r="R635" s="564" t="str">
        <f t="shared" si="125"/>
        <v xml:space="preserve"> </v>
      </c>
      <c r="S635" s="566" t="s">
        <v>2150</v>
      </c>
      <c r="T635" s="589" t="s">
        <v>53</v>
      </c>
      <c r="U635" s="591">
        <v>13.5</v>
      </c>
      <c r="V635" s="589"/>
      <c r="W635" s="564">
        <f>IF(S635&lt;&gt;0,VLOOKUP(S635,VKT!$A$2:$G$415,7,0),"")</f>
        <v>1067915</v>
      </c>
      <c r="X635" s="564">
        <f t="shared" si="134"/>
        <v>14417000</v>
      </c>
      <c r="Y635" s="589"/>
      <c r="Z635" s="592"/>
      <c r="AA635" s="592"/>
      <c r="AB635" s="568"/>
      <c r="AC635" s="592"/>
      <c r="AD635" s="592"/>
      <c r="AE635" s="592"/>
      <c r="AF635" s="590"/>
      <c r="AG635" s="570" t="str">
        <f>IF(AE635&lt;&gt;0,VLOOKUP(AE635,ODDS!$A$2:$C$13,3,0),"")</f>
        <v/>
      </c>
      <c r="AH635" s="570" t="str">
        <f t="shared" si="126"/>
        <v xml:space="preserve"> </v>
      </c>
      <c r="AI635" s="571" t="str">
        <f t="shared" si="127"/>
        <v xml:space="preserve"> </v>
      </c>
      <c r="AJ635" s="558" t="s">
        <v>2074</v>
      </c>
      <c r="AK635" s="558"/>
    </row>
    <row r="636" spans="1:37" s="376" customFormat="1" ht="40.5" outlineLevel="2" x14ac:dyDescent="0.3">
      <c r="A636" s="447">
        <f t="shared" si="136"/>
        <v>53</v>
      </c>
      <c r="B636" s="557"/>
      <c r="C636" s="572"/>
      <c r="D636" s="587"/>
      <c r="E636" s="587"/>
      <c r="F636" s="560"/>
      <c r="G636" s="558"/>
      <c r="H636" s="588"/>
      <c r="I636" s="546"/>
      <c r="J636" s="589"/>
      <c r="K636" s="563" t="str">
        <f>IF(G636&lt;&gt;0,VLOOKUP(G636,'gia dat'!$A$1:$F$144,5,0)," ")</f>
        <v xml:space="preserve"> </v>
      </c>
      <c r="L636" s="563" t="str">
        <f>IF(G636&lt;&gt;0,VLOOKUP(G636,'gia dat'!$A$1:$F$144,6,0)," ")</f>
        <v xml:space="preserve"> </v>
      </c>
      <c r="M636" s="564" t="str">
        <f t="shared" si="123"/>
        <v xml:space="preserve"> </v>
      </c>
      <c r="N636" s="564" t="str">
        <f t="shared" si="124"/>
        <v xml:space="preserve"> </v>
      </c>
      <c r="O636" s="558"/>
      <c r="P636" s="590"/>
      <c r="Q636" s="564" t="str">
        <f>IF(O636&lt;&gt;0,VLOOKUP(O636,'Cây trong'!$A$2:$C$246,3,0)," ")</f>
        <v xml:space="preserve"> </v>
      </c>
      <c r="R636" s="564" t="str">
        <f t="shared" si="125"/>
        <v xml:space="preserve"> </v>
      </c>
      <c r="S636" s="566" t="s">
        <v>1799</v>
      </c>
      <c r="T636" s="589" t="s">
        <v>53</v>
      </c>
      <c r="U636" s="591">
        <v>16.5</v>
      </c>
      <c r="V636" s="589"/>
      <c r="W636" s="564">
        <f>IF(S636&lt;&gt;0,VLOOKUP(S636,VKT!$A$2:$G$415,7,0),"")</f>
        <v>275180</v>
      </c>
      <c r="X636" s="564">
        <f t="shared" si="134"/>
        <v>4540000</v>
      </c>
      <c r="Y636" s="589"/>
      <c r="Z636" s="592"/>
      <c r="AA636" s="592"/>
      <c r="AB636" s="568"/>
      <c r="AC636" s="592"/>
      <c r="AD636" s="592"/>
      <c r="AE636" s="592"/>
      <c r="AF636" s="590"/>
      <c r="AG636" s="570" t="str">
        <f>IF(AE636&lt;&gt;0,VLOOKUP(AE636,ODDS!$A$2:$C$13,3,0),"")</f>
        <v/>
      </c>
      <c r="AH636" s="570" t="str">
        <f t="shared" si="126"/>
        <v xml:space="preserve"> </v>
      </c>
      <c r="AI636" s="571" t="str">
        <f t="shared" si="127"/>
        <v xml:space="preserve"> </v>
      </c>
      <c r="AJ636" s="575"/>
      <c r="AK636" s="593"/>
    </row>
    <row r="637" spans="1:37" s="376" customFormat="1" ht="20.25" outlineLevel="2" x14ac:dyDescent="0.3">
      <c r="A637" s="447">
        <f t="shared" si="136"/>
        <v>53</v>
      </c>
      <c r="B637" s="557"/>
      <c r="C637" s="572"/>
      <c r="D637" s="587"/>
      <c r="E637" s="587"/>
      <c r="F637" s="615"/>
      <c r="G637" s="558"/>
      <c r="H637" s="604"/>
      <c r="I637" s="546"/>
      <c r="J637" s="593"/>
      <c r="K637" s="563" t="str">
        <f>IF(G637&lt;&gt;0,VLOOKUP(G637,'gia dat'!$A$1:$F$144,5,0)," ")</f>
        <v xml:space="preserve"> </v>
      </c>
      <c r="L637" s="563" t="str">
        <f>IF(G637&lt;&gt;0,VLOOKUP(G637,'gia dat'!$A$1:$F$144,6,0)," ")</f>
        <v xml:space="preserve"> </v>
      </c>
      <c r="M637" s="564" t="str">
        <f t="shared" si="123"/>
        <v xml:space="preserve"> </v>
      </c>
      <c r="N637" s="564" t="str">
        <f t="shared" si="124"/>
        <v xml:space="preserve"> </v>
      </c>
      <c r="O637" s="593"/>
      <c r="P637" s="616"/>
      <c r="Q637" s="564" t="str">
        <f>IF(O637&lt;&gt;0,VLOOKUP(O637,'Cây trong'!$A$2:$C$246,3,0)," ")</f>
        <v xml:space="preserve"> </v>
      </c>
      <c r="R637" s="564" t="str">
        <f t="shared" si="125"/>
        <v xml:space="preserve"> </v>
      </c>
      <c r="S637" s="586"/>
      <c r="T637" s="609"/>
      <c r="U637" s="617"/>
      <c r="V637" s="589"/>
      <c r="W637" s="564" t="str">
        <f>IF(S637&lt;&gt;0,VLOOKUP(S637,VKT!$A$2:$G$415,7,0),"")</f>
        <v/>
      </c>
      <c r="X637" s="564" t="str">
        <f t="shared" si="134"/>
        <v xml:space="preserve"> </v>
      </c>
      <c r="Y637" s="589"/>
      <c r="Z637" s="589"/>
      <c r="AA637" s="589"/>
      <c r="AB637" s="562"/>
      <c r="AC637" s="589"/>
      <c r="AD637" s="589"/>
      <c r="AE637" s="589"/>
      <c r="AF637" s="629"/>
      <c r="AG637" s="570" t="str">
        <f>IF(AE637&lt;&gt;0,VLOOKUP(AE637,ODDS!$A$2:$C$13,3,0),"")</f>
        <v/>
      </c>
      <c r="AH637" s="570" t="str">
        <f t="shared" si="126"/>
        <v xml:space="preserve"> </v>
      </c>
      <c r="AI637" s="571" t="str">
        <f t="shared" si="127"/>
        <v xml:space="preserve"> </v>
      </c>
      <c r="AJ637" s="593"/>
      <c r="AK637" s="593"/>
    </row>
    <row r="638" spans="1:37" s="376" customFormat="1" ht="20.25" outlineLevel="2" x14ac:dyDescent="0.3">
      <c r="A638" s="447">
        <f t="shared" si="136"/>
        <v>53</v>
      </c>
      <c r="B638" s="557"/>
      <c r="C638" s="572"/>
      <c r="D638" s="587"/>
      <c r="E638" s="587"/>
      <c r="F638" s="615"/>
      <c r="G638" s="558"/>
      <c r="H638" s="604"/>
      <c r="I638" s="546"/>
      <c r="J638" s="593"/>
      <c r="K638" s="563" t="str">
        <f>IF(G638&lt;&gt;0,VLOOKUP(G638,'gia dat'!$A$1:$F$144,5,0)," ")</f>
        <v xml:space="preserve"> </v>
      </c>
      <c r="L638" s="563" t="str">
        <f>IF(G638&lt;&gt;0,VLOOKUP(G638,'gia dat'!$A$1:$F$144,6,0)," ")</f>
        <v xml:space="preserve"> </v>
      </c>
      <c r="M638" s="564" t="str">
        <f t="shared" ref="M638:M709" si="137">IF(H638&lt;&gt;0,ROUND(H638*K638,-3)," ")</f>
        <v xml:space="preserve"> </v>
      </c>
      <c r="N638" s="564" t="str">
        <f t="shared" ref="N638:N709" si="138">IF(H638&lt;&gt;0,ROUND(H638*L638,-3)," ")</f>
        <v xml:space="preserve"> </v>
      </c>
      <c r="O638" s="593"/>
      <c r="P638" s="616"/>
      <c r="Q638" s="564" t="str">
        <f>IF(O638&lt;&gt;0,VLOOKUP(O638,'Cây trong'!$A$2:$C$246,3,0)," ")</f>
        <v xml:space="preserve"> </v>
      </c>
      <c r="R638" s="564" t="str">
        <f t="shared" si="125"/>
        <v xml:space="preserve"> </v>
      </c>
      <c r="S638" s="593"/>
      <c r="T638" s="593"/>
      <c r="U638" s="617"/>
      <c r="V638" s="589"/>
      <c r="W638" s="564" t="str">
        <f>IF(S638&lt;&gt;0,VLOOKUP(S638,VKT!$A$2:$G$415,7,0),"")</f>
        <v/>
      </c>
      <c r="X638" s="564" t="str">
        <f t="shared" si="134"/>
        <v xml:space="preserve"> </v>
      </c>
      <c r="Y638" s="589"/>
      <c r="Z638" s="589"/>
      <c r="AA638" s="589"/>
      <c r="AB638" s="562"/>
      <c r="AC638" s="589"/>
      <c r="AD638" s="589"/>
      <c r="AE638" s="589"/>
      <c r="AF638" s="629"/>
      <c r="AG638" s="570" t="str">
        <f>IF(AE638&lt;&gt;0,VLOOKUP(AE638,ODDS!$A$2:$C$13,3,0),"")</f>
        <v/>
      </c>
      <c r="AH638" s="570" t="str">
        <f t="shared" si="126"/>
        <v xml:space="preserve"> </v>
      </c>
      <c r="AI638" s="571" t="str">
        <f t="shared" si="127"/>
        <v xml:space="preserve"> </v>
      </c>
      <c r="AJ638" s="593"/>
      <c r="AK638" s="593"/>
    </row>
    <row r="639" spans="1:37" s="376" customFormat="1" ht="20.25" outlineLevel="2" x14ac:dyDescent="0.3">
      <c r="A639" s="447">
        <f t="shared" si="136"/>
        <v>53</v>
      </c>
      <c r="B639" s="557"/>
      <c r="C639" s="574"/>
      <c r="D639" s="587"/>
      <c r="E639" s="612"/>
      <c r="F639" s="612"/>
      <c r="G639" s="586"/>
      <c r="H639" s="588"/>
      <c r="I639" s="546"/>
      <c r="J639" s="593"/>
      <c r="K639" s="563" t="str">
        <f>IF(G639&lt;&gt;0,VLOOKUP(G639,'gia dat'!$A$1:$F$144,5,0)," ")</f>
        <v xml:space="preserve"> </v>
      </c>
      <c r="L639" s="563" t="str">
        <f>IF(G639&lt;&gt;0,VLOOKUP(G639,'gia dat'!$A$1:$F$144,6,0)," ")</f>
        <v xml:space="preserve"> </v>
      </c>
      <c r="M639" s="564" t="str">
        <f t="shared" si="137"/>
        <v xml:space="preserve"> </v>
      </c>
      <c r="N639" s="564" t="str">
        <f t="shared" si="138"/>
        <v xml:space="preserve"> </v>
      </c>
      <c r="O639" s="586"/>
      <c r="P639" s="630"/>
      <c r="Q639" s="564" t="str">
        <f>IF(O639&lt;&gt;0,VLOOKUP(O639,'Cây trong'!$A$2:$C$246,3,0)," ")</f>
        <v xml:space="preserve"> </v>
      </c>
      <c r="R639" s="564" t="str">
        <f t="shared" si="125"/>
        <v xml:space="preserve"> </v>
      </c>
      <c r="S639" s="586"/>
      <c r="T639" s="609"/>
      <c r="U639" s="591"/>
      <c r="V639" s="589"/>
      <c r="W639" s="564" t="str">
        <f>IF(S639&lt;&gt;0,VLOOKUP(S639,VKT!$A$2:$G$415,7,0),"")</f>
        <v/>
      </c>
      <c r="X639" s="564" t="str">
        <f t="shared" si="134"/>
        <v xml:space="preserve"> </v>
      </c>
      <c r="Y639" s="589"/>
      <c r="Z639" s="592"/>
      <c r="AA639" s="592"/>
      <c r="AB639" s="568"/>
      <c r="AC639" s="592"/>
      <c r="AD639" s="592"/>
      <c r="AE639" s="592"/>
      <c r="AF639" s="590"/>
      <c r="AG639" s="570" t="str">
        <f>IF(AE639&lt;&gt;0,VLOOKUP(AE639,ODDS!$A$2:$C$13,3,0),"")</f>
        <v/>
      </c>
      <c r="AH639" s="570" t="str">
        <f t="shared" si="126"/>
        <v xml:space="preserve"> </v>
      </c>
      <c r="AI639" s="571" t="str">
        <f t="shared" si="127"/>
        <v xml:space="preserve"> </v>
      </c>
      <c r="AJ639" s="593"/>
      <c r="AK639" s="593"/>
    </row>
    <row r="640" spans="1:37" s="376" customFormat="1" ht="20.25" outlineLevel="1" x14ac:dyDescent="0.25">
      <c r="A640" s="467" t="s">
        <v>2656</v>
      </c>
      <c r="B640" s="576">
        <v>54</v>
      </c>
      <c r="C640" s="574" t="s">
        <v>39</v>
      </c>
      <c r="D640" s="595"/>
      <c r="E640" s="595"/>
      <c r="F640" s="577"/>
      <c r="G640" s="574"/>
      <c r="H640" s="618">
        <f>SUBTOTAL(9,H641:H648)</f>
        <v>55.099999999999994</v>
      </c>
      <c r="I640" s="579">
        <f>SUBTOTAL(9,I641:I646)</f>
        <v>0</v>
      </c>
      <c r="J640" s="597"/>
      <c r="K640" s="581"/>
      <c r="L640" s="581"/>
      <c r="M640" s="571">
        <f>SUBTOTAL(9,M641:M648)</f>
        <v>30548000</v>
      </c>
      <c r="N640" s="571">
        <f>SUBTOTAL(9,N641:N648)</f>
        <v>0</v>
      </c>
      <c r="O640" s="574"/>
      <c r="P640" s="599">
        <f>SUBTOTAL(9,P641:P648)</f>
        <v>6</v>
      </c>
      <c r="Q640" s="571"/>
      <c r="R640" s="571">
        <f>SUBTOTAL(9,R641:R648)</f>
        <v>637000</v>
      </c>
      <c r="S640" s="582"/>
      <c r="T640" s="597"/>
      <c r="U640" s="600">
        <f>SUBTOTAL(9,U641:U648)</f>
        <v>56.22</v>
      </c>
      <c r="V640" s="597"/>
      <c r="W640" s="571"/>
      <c r="X640" s="571">
        <f>SUBTOTAL(9,X641:X648)</f>
        <v>26187000</v>
      </c>
      <c r="Y640" s="589"/>
      <c r="Z640" s="592"/>
      <c r="AA640" s="592"/>
      <c r="AB640" s="568"/>
      <c r="AC640" s="592"/>
      <c r="AD640" s="592"/>
      <c r="AE640" s="601"/>
      <c r="AF640" s="599">
        <f>SUBTOTAL(9,AF641:AF648)</f>
        <v>0</v>
      </c>
      <c r="AG640" s="585"/>
      <c r="AH640" s="585">
        <f>SUBTOTAL(9,AH641:AH648)</f>
        <v>0</v>
      </c>
      <c r="AI640" s="571">
        <f t="shared" si="127"/>
        <v>57372000</v>
      </c>
      <c r="AJ640" s="574"/>
      <c r="AK640" s="578"/>
    </row>
    <row r="641" spans="1:39" s="376" customFormat="1" ht="121.5" outlineLevel="2" x14ac:dyDescent="0.3">
      <c r="A641" s="447">
        <f>IF(B640&lt;&gt;0,B640,A639)</f>
        <v>54</v>
      </c>
      <c r="B641" s="557"/>
      <c r="C641" s="572" t="s">
        <v>221</v>
      </c>
      <c r="D641" s="587">
        <v>5</v>
      </c>
      <c r="E641" s="587">
        <v>86</v>
      </c>
      <c r="F641" s="560">
        <v>1574</v>
      </c>
      <c r="G641" s="558" t="s">
        <v>2472</v>
      </c>
      <c r="H641" s="588">
        <f>48.8-H643</f>
        <v>48.8</v>
      </c>
      <c r="I641" s="546" t="str">
        <f t="shared" ref="I641:I642" si="139">IF(N641&gt;0,H641,"")</f>
        <v/>
      </c>
      <c r="J641" s="589"/>
      <c r="K641" s="563">
        <f>IF(G641&lt;&gt;0,VLOOKUP(G641,'gia dat'!$A$1:$F$144,5,0)," ")</f>
        <v>554400</v>
      </c>
      <c r="L641" s="563">
        <f>IF(G641&lt;&gt;0,VLOOKUP(G641,'gia dat'!$A$1:$F$144,6,0)," ")</f>
        <v>0</v>
      </c>
      <c r="M641" s="564">
        <f t="shared" si="137"/>
        <v>27055000</v>
      </c>
      <c r="N641" s="564">
        <f t="shared" si="138"/>
        <v>0</v>
      </c>
      <c r="O641" s="558" t="s">
        <v>408</v>
      </c>
      <c r="P641" s="590">
        <v>1</v>
      </c>
      <c r="Q641" s="564">
        <f>IF(O641&lt;&gt;0,VLOOKUP(O641,'Cây trong'!$A$2:$C$246,3,0)," ")</f>
        <v>337000</v>
      </c>
      <c r="R641" s="564">
        <f t="shared" si="125"/>
        <v>337000</v>
      </c>
      <c r="S641" s="566" t="s">
        <v>2289</v>
      </c>
      <c r="T641" s="589" t="s">
        <v>53</v>
      </c>
      <c r="U641" s="591">
        <v>17.82</v>
      </c>
      <c r="V641" s="589"/>
      <c r="W641" s="564">
        <f>IF(S641&lt;&gt;0,VLOOKUP(S641,VKT!$A$2:$G$415,7,0),"")</f>
        <v>684506</v>
      </c>
      <c r="X641" s="564">
        <f t="shared" si="134"/>
        <v>12198000</v>
      </c>
      <c r="Y641" s="589"/>
      <c r="Z641" s="592" t="s">
        <v>55</v>
      </c>
      <c r="AA641" s="592" t="s">
        <v>141</v>
      </c>
      <c r="AB641" s="568"/>
      <c r="AC641" s="592" t="s">
        <v>66</v>
      </c>
      <c r="AD641" s="592"/>
      <c r="AE641" s="592"/>
      <c r="AF641" s="590"/>
      <c r="AG641" s="570" t="str">
        <f>IF(AE641&lt;&gt;0,VLOOKUP(AE641,ODDS!$A$2:$C$13,3,0),"")</f>
        <v/>
      </c>
      <c r="AH641" s="570"/>
      <c r="AI641" s="571" t="str">
        <f t="shared" si="127"/>
        <v xml:space="preserve"> </v>
      </c>
      <c r="AJ641" s="558" t="s">
        <v>1701</v>
      </c>
      <c r="AK641" s="586" t="s">
        <v>2771</v>
      </c>
    </row>
    <row r="642" spans="1:39" s="376" customFormat="1" ht="121.5" outlineLevel="2" x14ac:dyDescent="0.3">
      <c r="A642" s="447">
        <f t="shared" ref="A642:A648" si="140">IF(B641&lt;&gt;0,B641,A641)</f>
        <v>54</v>
      </c>
      <c r="B642" s="557"/>
      <c r="C642" s="572" t="s">
        <v>688</v>
      </c>
      <c r="D642" s="587"/>
      <c r="E642" s="587"/>
      <c r="F642" s="560"/>
      <c r="G642" s="558" t="s">
        <v>2473</v>
      </c>
      <c r="H642" s="588">
        <v>6.3</v>
      </c>
      <c r="I642" s="546" t="str">
        <f t="shared" si="139"/>
        <v/>
      </c>
      <c r="J642" s="589"/>
      <c r="K642" s="563">
        <f>IF(G642&lt;&gt;0,VLOOKUP(G642,'gia dat'!$A$1:$F$144,5,0)," ")</f>
        <v>554400</v>
      </c>
      <c r="L642" s="563">
        <f>IF(G642&lt;&gt;0,VLOOKUP(G642,'gia dat'!$A$1:$F$144,6,0)," ")</f>
        <v>0</v>
      </c>
      <c r="M642" s="564">
        <f t="shared" si="137"/>
        <v>3493000</v>
      </c>
      <c r="N642" s="564">
        <f t="shared" si="138"/>
        <v>0</v>
      </c>
      <c r="O642" s="558" t="s">
        <v>352</v>
      </c>
      <c r="P642" s="590">
        <v>5</v>
      </c>
      <c r="Q642" s="564">
        <f>IF(O642&lt;&gt;0,VLOOKUP(O642,'Cây trong'!$A$2:$C$246,3,0)," ")</f>
        <v>60000</v>
      </c>
      <c r="R642" s="564">
        <f t="shared" si="125"/>
        <v>300000</v>
      </c>
      <c r="S642" s="566" t="s">
        <v>1749</v>
      </c>
      <c r="T642" s="589" t="s">
        <v>53</v>
      </c>
      <c r="U642" s="591">
        <v>12.9</v>
      </c>
      <c r="V642" s="589"/>
      <c r="W642" s="564">
        <f>IF(S642&lt;&gt;0,VLOOKUP(S642,VKT!$A$2:$G$415,7,0),"")</f>
        <v>211811</v>
      </c>
      <c r="X642" s="564">
        <f t="shared" si="134"/>
        <v>2732000</v>
      </c>
      <c r="Y642" s="589"/>
      <c r="Z642" s="592"/>
      <c r="AA642" s="592"/>
      <c r="AB642" s="568"/>
      <c r="AC642" s="592"/>
      <c r="AD642" s="592"/>
      <c r="AE642" s="592"/>
      <c r="AF642" s="590"/>
      <c r="AG642" s="570" t="str">
        <f>IF(AE642&lt;&gt;0,VLOOKUP(AE642,ODDS!$A$2:$C$13,3,0),"")</f>
        <v/>
      </c>
      <c r="AH642" s="570" t="str">
        <f t="shared" si="126"/>
        <v xml:space="preserve"> </v>
      </c>
      <c r="AI642" s="571" t="str">
        <f t="shared" si="127"/>
        <v xml:space="preserve"> </v>
      </c>
      <c r="AJ642" s="558" t="s">
        <v>536</v>
      </c>
      <c r="AK642" s="558" t="s">
        <v>2450</v>
      </c>
    </row>
    <row r="643" spans="1:39" s="376" customFormat="1" ht="121.5" outlineLevel="2" x14ac:dyDescent="0.3">
      <c r="A643" s="447">
        <f t="shared" si="140"/>
        <v>54</v>
      </c>
      <c r="B643" s="557"/>
      <c r="C643" s="572" t="s">
        <v>313</v>
      </c>
      <c r="D643" s="587"/>
      <c r="E643" s="612"/>
      <c r="F643" s="612"/>
      <c r="G643" s="558"/>
      <c r="H643" s="588"/>
      <c r="I643" s="546"/>
      <c r="J643" s="589"/>
      <c r="K643" s="563" t="str">
        <f>IF(G643&lt;&gt;0,VLOOKUP(G643,'gia dat'!$A$1:$F$144,5,0)," ")</f>
        <v xml:space="preserve"> </v>
      </c>
      <c r="L643" s="563" t="str">
        <f>IF(G643&lt;&gt;0,VLOOKUP(G643,'gia dat'!$A$1:$F$144,6,0)," ")</f>
        <v xml:space="preserve"> </v>
      </c>
      <c r="M643" s="564" t="str">
        <f t="shared" si="137"/>
        <v xml:space="preserve"> </v>
      </c>
      <c r="N643" s="564" t="str">
        <f t="shared" si="138"/>
        <v xml:space="preserve"> </v>
      </c>
      <c r="O643" s="558"/>
      <c r="P643" s="590"/>
      <c r="Q643" s="564" t="str">
        <f>IF(O643&lt;&gt;0,VLOOKUP(O643,'Cây trong'!$A$2:$C$246,3,0)," ")</f>
        <v xml:space="preserve"> </v>
      </c>
      <c r="R643" s="564" t="str">
        <f t="shared" si="125"/>
        <v xml:space="preserve"> </v>
      </c>
      <c r="S643" s="586" t="s">
        <v>1901</v>
      </c>
      <c r="T643" s="609" t="s">
        <v>53</v>
      </c>
      <c r="U643" s="591">
        <v>25.5</v>
      </c>
      <c r="V643" s="589"/>
      <c r="W643" s="564">
        <f>IF(S643&lt;&gt;0,VLOOKUP(S643,VKT!$A$2:$G$415,7,0),"")</f>
        <v>441467</v>
      </c>
      <c r="X643" s="564">
        <f t="shared" si="134"/>
        <v>11257000</v>
      </c>
      <c r="Y643" s="589"/>
      <c r="Z643" s="592"/>
      <c r="AA643" s="592"/>
      <c r="AB643" s="568"/>
      <c r="AC643" s="592"/>
      <c r="AD643" s="592"/>
      <c r="AE643" s="592"/>
      <c r="AF643" s="590"/>
      <c r="AG643" s="570" t="str">
        <f>IF(AE643&lt;&gt;0,VLOOKUP(AE643,ODDS!$A$2:$C$13,3,0),"")</f>
        <v/>
      </c>
      <c r="AH643" s="570" t="str">
        <f t="shared" si="126"/>
        <v xml:space="preserve"> </v>
      </c>
      <c r="AI643" s="571" t="str">
        <f t="shared" si="127"/>
        <v xml:space="preserve"> </v>
      </c>
      <c r="AJ643" s="558" t="s">
        <v>1702</v>
      </c>
      <c r="AK643" s="558" t="s">
        <v>2449</v>
      </c>
    </row>
    <row r="644" spans="1:39" s="376" customFormat="1" ht="101.25" outlineLevel="2" x14ac:dyDescent="0.3">
      <c r="A644" s="447">
        <f t="shared" si="140"/>
        <v>54</v>
      </c>
      <c r="B644" s="557"/>
      <c r="C644" s="572"/>
      <c r="D644" s="587"/>
      <c r="E644" s="587"/>
      <c r="F644" s="615"/>
      <c r="G644" s="558"/>
      <c r="H644" s="604"/>
      <c r="I644" s="546"/>
      <c r="J644" s="593"/>
      <c r="K644" s="563" t="str">
        <f>IF(G644&lt;&gt;0,VLOOKUP(G644,'gia dat'!$A$1:$F$144,5,0)," ")</f>
        <v xml:space="preserve"> </v>
      </c>
      <c r="L644" s="563" t="str">
        <f>IF(G644&lt;&gt;0,VLOOKUP(G644,'gia dat'!$A$1:$F$144,6,0)," ")</f>
        <v xml:space="preserve"> </v>
      </c>
      <c r="M644" s="564" t="str">
        <f t="shared" si="137"/>
        <v xml:space="preserve"> </v>
      </c>
      <c r="N644" s="564" t="str">
        <f t="shared" si="138"/>
        <v xml:space="preserve"> </v>
      </c>
      <c r="O644" s="593"/>
      <c r="P644" s="616"/>
      <c r="Q644" s="564" t="str">
        <f>IF(O644&lt;&gt;0,VLOOKUP(O644,'Cây trong'!$A$2:$C$246,3,0)," ")</f>
        <v xml:space="preserve"> </v>
      </c>
      <c r="R644" s="564" t="str">
        <f t="shared" si="125"/>
        <v xml:space="preserve"> </v>
      </c>
      <c r="S644" s="593"/>
      <c r="T644" s="593"/>
      <c r="U644" s="617"/>
      <c r="V644" s="589"/>
      <c r="W644" s="564" t="str">
        <f>IF(S644&lt;&gt;0,VLOOKUP(S644,VKT!$A$2:$G$415,7,0),"")</f>
        <v/>
      </c>
      <c r="X644" s="564" t="str">
        <f t="shared" si="134"/>
        <v xml:space="preserve"> </v>
      </c>
      <c r="Y644" s="589"/>
      <c r="Z644" s="589"/>
      <c r="AA644" s="589"/>
      <c r="AB644" s="562"/>
      <c r="AC644" s="589"/>
      <c r="AD644" s="589"/>
      <c r="AE644" s="589"/>
      <c r="AF644" s="629"/>
      <c r="AG644" s="570" t="str">
        <f>IF(AE644&lt;&gt;0,VLOOKUP(AE644,ODDS!$A$2:$C$13,3,0),"")</f>
        <v/>
      </c>
      <c r="AH644" s="570" t="str">
        <f t="shared" si="126"/>
        <v xml:space="preserve"> </v>
      </c>
      <c r="AI644" s="571" t="str">
        <f t="shared" si="127"/>
        <v xml:space="preserve"> </v>
      </c>
      <c r="AJ644" s="558" t="s">
        <v>2207</v>
      </c>
      <c r="AK644" s="558" t="s">
        <v>2800</v>
      </c>
    </row>
    <row r="645" spans="1:39" s="376" customFormat="1" ht="20.25" outlineLevel="2" x14ac:dyDescent="0.3">
      <c r="A645" s="447">
        <f t="shared" si="140"/>
        <v>54</v>
      </c>
      <c r="B645" s="557"/>
      <c r="C645" s="572"/>
      <c r="D645" s="587"/>
      <c r="E645" s="587"/>
      <c r="F645" s="615"/>
      <c r="G645" s="558"/>
      <c r="H645" s="604"/>
      <c r="I645" s="546"/>
      <c r="J645" s="593"/>
      <c r="K645" s="563" t="str">
        <f>IF(G645&lt;&gt;0,VLOOKUP(G645,'gia dat'!$A$1:$F$144,5,0)," ")</f>
        <v xml:space="preserve"> </v>
      </c>
      <c r="L645" s="563" t="str">
        <f>IF(G645&lt;&gt;0,VLOOKUP(G645,'gia dat'!$A$1:$F$144,6,0)," ")</f>
        <v xml:space="preserve"> </v>
      </c>
      <c r="M645" s="564" t="str">
        <f t="shared" si="137"/>
        <v xml:space="preserve"> </v>
      </c>
      <c r="N645" s="564" t="str">
        <f t="shared" si="138"/>
        <v xml:space="preserve"> </v>
      </c>
      <c r="O645" s="593"/>
      <c r="P645" s="616"/>
      <c r="Q645" s="564" t="str">
        <f>IF(O645&lt;&gt;0,VLOOKUP(O645,'Cây trong'!$A$2:$C$246,3,0)," ")</f>
        <v xml:space="preserve"> </v>
      </c>
      <c r="R645" s="564" t="str">
        <f t="shared" si="125"/>
        <v xml:space="preserve"> </v>
      </c>
      <c r="S645" s="593"/>
      <c r="T645" s="593"/>
      <c r="U645" s="617"/>
      <c r="V645" s="589"/>
      <c r="W645" s="564" t="str">
        <f>IF(S645&lt;&gt;0,VLOOKUP(S645,VKT!$A$2:$G$415,7,0),"")</f>
        <v/>
      </c>
      <c r="X645" s="564" t="str">
        <f t="shared" si="134"/>
        <v xml:space="preserve"> </v>
      </c>
      <c r="Y645" s="589"/>
      <c r="Z645" s="589"/>
      <c r="AA645" s="589"/>
      <c r="AB645" s="562"/>
      <c r="AC645" s="589"/>
      <c r="AD645" s="589"/>
      <c r="AE645" s="589"/>
      <c r="AF645" s="629"/>
      <c r="AG645" s="570" t="str">
        <f>IF(AE645&lt;&gt;0,VLOOKUP(AE645,ODDS!$A$2:$C$13,3,0),"")</f>
        <v/>
      </c>
      <c r="AH645" s="570" t="str">
        <f t="shared" si="126"/>
        <v xml:space="preserve"> </v>
      </c>
      <c r="AI645" s="571" t="str">
        <f t="shared" si="127"/>
        <v xml:space="preserve"> </v>
      </c>
      <c r="AJ645" s="575"/>
      <c r="AK645" s="558"/>
    </row>
    <row r="646" spans="1:39" s="376" customFormat="1" ht="20.25" outlineLevel="2" x14ac:dyDescent="0.3">
      <c r="A646" s="447">
        <f t="shared" si="140"/>
        <v>54</v>
      </c>
      <c r="B646" s="557"/>
      <c r="C646" s="636"/>
      <c r="D646" s="587"/>
      <c r="E646" s="587"/>
      <c r="F646" s="615"/>
      <c r="G646" s="558"/>
      <c r="H646" s="604"/>
      <c r="I646" s="546"/>
      <c r="J646" s="593"/>
      <c r="K646" s="563" t="str">
        <f>IF(G646&lt;&gt;0,VLOOKUP(G646,'gia dat'!$A$1:$F$144,5,0)," ")</f>
        <v xml:space="preserve"> </v>
      </c>
      <c r="L646" s="563" t="str">
        <f>IF(G646&lt;&gt;0,VLOOKUP(G646,'gia dat'!$A$1:$F$144,6,0)," ")</f>
        <v xml:space="preserve"> </v>
      </c>
      <c r="M646" s="564" t="str">
        <f t="shared" si="137"/>
        <v xml:space="preserve"> </v>
      </c>
      <c r="N646" s="564" t="str">
        <f t="shared" si="138"/>
        <v xml:space="preserve"> </v>
      </c>
      <c r="O646" s="593"/>
      <c r="P646" s="616"/>
      <c r="Q646" s="564" t="str">
        <f>IF(O646&lt;&gt;0,VLOOKUP(O646,'Cây trong'!$A$2:$C$246,3,0)," ")</f>
        <v xml:space="preserve"> </v>
      </c>
      <c r="R646" s="564" t="str">
        <f t="shared" si="125"/>
        <v xml:space="preserve"> </v>
      </c>
      <c r="S646" s="593"/>
      <c r="T646" s="593"/>
      <c r="U646" s="617"/>
      <c r="V646" s="589"/>
      <c r="W646" s="564" t="str">
        <f>IF(S646&lt;&gt;0,VLOOKUP(S646,VKT!$A$2:$G$415,7,0),"")</f>
        <v/>
      </c>
      <c r="X646" s="564" t="str">
        <f t="shared" si="134"/>
        <v xml:space="preserve"> </v>
      </c>
      <c r="Y646" s="589"/>
      <c r="Z646" s="589"/>
      <c r="AA646" s="589"/>
      <c r="AB646" s="562"/>
      <c r="AC646" s="589"/>
      <c r="AD646" s="589"/>
      <c r="AE646" s="589"/>
      <c r="AF646" s="629"/>
      <c r="AG646" s="570" t="str">
        <f>IF(AE646&lt;&gt;0,VLOOKUP(AE646,ODDS!$A$2:$C$13,3,0),"")</f>
        <v/>
      </c>
      <c r="AH646" s="570" t="str">
        <f t="shared" si="126"/>
        <v xml:space="preserve"> </v>
      </c>
      <c r="AI646" s="571" t="str">
        <f t="shared" si="127"/>
        <v xml:space="preserve"> </v>
      </c>
      <c r="AJ646" s="575"/>
      <c r="AK646" s="558"/>
      <c r="AM646" s="377" t="s">
        <v>2151</v>
      </c>
    </row>
    <row r="647" spans="1:39" s="376" customFormat="1" ht="20.25" outlineLevel="2" x14ac:dyDescent="0.3">
      <c r="A647" s="447">
        <f t="shared" si="140"/>
        <v>54</v>
      </c>
      <c r="B647" s="557"/>
      <c r="C647" s="558"/>
      <c r="D647" s="587"/>
      <c r="E647" s="587"/>
      <c r="F647" s="560"/>
      <c r="G647" s="637"/>
      <c r="H647" s="588"/>
      <c r="I647" s="546"/>
      <c r="J647" s="589"/>
      <c r="K647" s="563" t="str">
        <f>IF(G647&lt;&gt;0,VLOOKUP(G647,'gia dat'!$A$1:$F$144,5,0)," ")</f>
        <v xml:space="preserve"> </v>
      </c>
      <c r="L647" s="563" t="str">
        <f>IF(G647&lt;&gt;0,VLOOKUP(G647,'gia dat'!$A$1:$F$144,6,0)," ")</f>
        <v xml:space="preserve"> </v>
      </c>
      <c r="M647" s="564" t="str">
        <f t="shared" si="137"/>
        <v xml:space="preserve"> </v>
      </c>
      <c r="N647" s="564" t="str">
        <f t="shared" si="138"/>
        <v xml:space="preserve"> </v>
      </c>
      <c r="O647" s="558"/>
      <c r="P647" s="590"/>
      <c r="Q647" s="564" t="str">
        <f>IF(O647&lt;&gt;0,VLOOKUP(O647,'Cây trong'!$A$2:$C$246,3,0)," ")</f>
        <v xml:space="preserve"> </v>
      </c>
      <c r="R647" s="564" t="str">
        <f t="shared" si="125"/>
        <v xml:space="preserve"> </v>
      </c>
      <c r="S647" s="566"/>
      <c r="T647" s="589"/>
      <c r="U647" s="591"/>
      <c r="V647" s="589"/>
      <c r="W647" s="564" t="str">
        <f>IF(S647&lt;&gt;0,VLOOKUP(S647,VKT!$A$2:$G$415,7,0),"")</f>
        <v/>
      </c>
      <c r="X647" s="564" t="str">
        <f t="shared" si="134"/>
        <v xml:space="preserve"> </v>
      </c>
      <c r="Y647" s="589"/>
      <c r="Z647" s="592"/>
      <c r="AA647" s="592"/>
      <c r="AB647" s="568"/>
      <c r="AC647" s="592"/>
      <c r="AD647" s="592"/>
      <c r="AE647" s="592"/>
      <c r="AF647" s="590"/>
      <c r="AG647" s="570" t="str">
        <f>IF(AE647&lt;&gt;0,VLOOKUP(AE647,ODDS!$A$2:$C$13,3,0),"")</f>
        <v/>
      </c>
      <c r="AH647" s="570" t="str">
        <f t="shared" si="126"/>
        <v xml:space="preserve"> </v>
      </c>
      <c r="AI647" s="571" t="str">
        <f t="shared" si="127"/>
        <v xml:space="preserve"> </v>
      </c>
      <c r="AJ647" s="558"/>
      <c r="AK647" s="558"/>
    </row>
    <row r="648" spans="1:39" s="376" customFormat="1" ht="20.25" outlineLevel="2" x14ac:dyDescent="0.3">
      <c r="A648" s="447">
        <f t="shared" si="140"/>
        <v>54</v>
      </c>
      <c r="B648" s="557"/>
      <c r="C648" s="574"/>
      <c r="D648" s="587"/>
      <c r="E648" s="587"/>
      <c r="F648" s="560"/>
      <c r="G648" s="558"/>
      <c r="H648" s="588"/>
      <c r="I648" s="546"/>
      <c r="J648" s="589"/>
      <c r="K648" s="563" t="str">
        <f>IF(G648&lt;&gt;0,VLOOKUP(G648,'gia dat'!$A$1:$F$144,5,0)," ")</f>
        <v xml:space="preserve"> </v>
      </c>
      <c r="L648" s="563" t="str">
        <f>IF(G648&lt;&gt;0,VLOOKUP(G648,'gia dat'!$A$1:$F$144,6,0)," ")</f>
        <v xml:space="preserve"> </v>
      </c>
      <c r="M648" s="564" t="str">
        <f t="shared" si="137"/>
        <v xml:space="preserve"> </v>
      </c>
      <c r="N648" s="564" t="str">
        <f t="shared" si="138"/>
        <v xml:space="preserve"> </v>
      </c>
      <c r="O648" s="558"/>
      <c r="P648" s="590"/>
      <c r="Q648" s="564" t="str">
        <f>IF(O648&lt;&gt;0,VLOOKUP(O648,'Cây trong'!$A$2:$C$246,3,0)," ")</f>
        <v xml:space="preserve"> </v>
      </c>
      <c r="R648" s="564" t="str">
        <f t="shared" si="125"/>
        <v xml:space="preserve"> </v>
      </c>
      <c r="S648" s="566"/>
      <c r="T648" s="589"/>
      <c r="U648" s="591"/>
      <c r="V648" s="589"/>
      <c r="W648" s="564" t="str">
        <f>IF(S648&lt;&gt;0,VLOOKUP(S648,VKT!$A$2:$G$415,7,0),"")</f>
        <v/>
      </c>
      <c r="X648" s="564" t="str">
        <f t="shared" si="134"/>
        <v xml:space="preserve"> </v>
      </c>
      <c r="Y648" s="589"/>
      <c r="Z648" s="592"/>
      <c r="AA648" s="592"/>
      <c r="AB648" s="568"/>
      <c r="AC648" s="592"/>
      <c r="AD648" s="592"/>
      <c r="AE648" s="592"/>
      <c r="AF648" s="590"/>
      <c r="AG648" s="570" t="str">
        <f>IF(AE648&lt;&gt;0,VLOOKUP(AE648,ODDS!$A$2:$C$13,3,0),"")</f>
        <v/>
      </c>
      <c r="AH648" s="570" t="str">
        <f t="shared" si="126"/>
        <v xml:space="preserve"> </v>
      </c>
      <c r="AI648" s="571" t="str">
        <f t="shared" si="127"/>
        <v xml:space="preserve"> </v>
      </c>
      <c r="AJ648" s="593"/>
      <c r="AK648" s="593"/>
    </row>
    <row r="649" spans="1:39" s="376" customFormat="1" ht="20.25" outlineLevel="1" x14ac:dyDescent="0.25">
      <c r="A649" s="467" t="s">
        <v>2655</v>
      </c>
      <c r="B649" s="576">
        <v>55</v>
      </c>
      <c r="C649" s="574" t="s">
        <v>40</v>
      </c>
      <c r="D649" s="595"/>
      <c r="E649" s="595"/>
      <c r="F649" s="577"/>
      <c r="G649" s="574"/>
      <c r="H649" s="618">
        <f>SUBTOTAL(9,H650:H660)</f>
        <v>63.4</v>
      </c>
      <c r="I649" s="579">
        <f>SUBTOTAL(9,I650:I655)</f>
        <v>57.1</v>
      </c>
      <c r="J649" s="597"/>
      <c r="K649" s="581"/>
      <c r="L649" s="581"/>
      <c r="M649" s="571">
        <f>SUBTOTAL(9,M650:M660)</f>
        <v>67959000</v>
      </c>
      <c r="N649" s="571">
        <f>SUBTOTAL(9,N650:N660)</f>
        <v>94968000</v>
      </c>
      <c r="O649" s="578"/>
      <c r="P649" s="599">
        <f>SUBTOTAL(9,P650:P660)</f>
        <v>0</v>
      </c>
      <c r="Q649" s="571"/>
      <c r="R649" s="571">
        <f>SUBTOTAL(9,R650:R660)</f>
        <v>0</v>
      </c>
      <c r="S649" s="582"/>
      <c r="T649" s="597"/>
      <c r="U649" s="600">
        <f>SUBTOTAL(9,U650:U660)</f>
        <v>73.12</v>
      </c>
      <c r="V649" s="597"/>
      <c r="W649" s="571"/>
      <c r="X649" s="571">
        <f>SUBTOTAL(9,X650:X660)</f>
        <v>71522000</v>
      </c>
      <c r="Y649" s="589"/>
      <c r="Z649" s="592"/>
      <c r="AA649" s="592"/>
      <c r="AB649" s="568"/>
      <c r="AC649" s="592"/>
      <c r="AD649" s="592"/>
      <c r="AE649" s="601"/>
      <c r="AF649" s="599">
        <f>SUBTOTAL(9,AF650:AF660)</f>
        <v>0</v>
      </c>
      <c r="AG649" s="585"/>
      <c r="AH649" s="585">
        <f>SUBTOTAL(9,AH650:AH660)</f>
        <v>0</v>
      </c>
      <c r="AI649" s="571">
        <f t="shared" ref="AI649:AI712" si="141">IF(B649&lt;&gt;0,M649+N649+R649+X649+AH649," ")</f>
        <v>234449000</v>
      </c>
      <c r="AJ649" s="574"/>
      <c r="AK649" s="578"/>
    </row>
    <row r="650" spans="1:39" s="376" customFormat="1" ht="121.5" outlineLevel="2" x14ac:dyDescent="0.3">
      <c r="A650" s="447">
        <f>IF(B649&lt;&gt;0,B649,A648)</f>
        <v>55</v>
      </c>
      <c r="B650" s="557"/>
      <c r="C650" s="558" t="s">
        <v>222</v>
      </c>
      <c r="D650" s="587">
        <v>11</v>
      </c>
      <c r="E650" s="587">
        <v>86</v>
      </c>
      <c r="F650" s="560">
        <v>1573</v>
      </c>
      <c r="G650" s="558" t="s">
        <v>2037</v>
      </c>
      <c r="H650" s="588">
        <f>6.3</f>
        <v>6.3</v>
      </c>
      <c r="I650" s="546" t="str">
        <f t="shared" ref="I650:I652" si="142">IF(N650&gt;0,H650,"")</f>
        <v/>
      </c>
      <c r="J650" s="589"/>
      <c r="K650" s="563">
        <f>IF(G650&lt;&gt;0,VLOOKUP(G650,'gia dat'!$A$1:$F$144,5,0)," ")</f>
        <v>5762400</v>
      </c>
      <c r="L650" s="563">
        <f>IF(G650&lt;&gt;0,VLOOKUP(G650,'gia dat'!$A$1:$F$144,6,0)," ")</f>
        <v>0</v>
      </c>
      <c r="M650" s="564">
        <f t="shared" si="137"/>
        <v>36303000</v>
      </c>
      <c r="N650" s="564">
        <f t="shared" si="138"/>
        <v>0</v>
      </c>
      <c r="O650" s="586"/>
      <c r="P650" s="590"/>
      <c r="Q650" s="564" t="str">
        <f>IF(O650&lt;&gt;0,VLOOKUP(O650,'Cây trong'!$A$2:$C$246,3,0)," ")</f>
        <v xml:space="preserve"> </v>
      </c>
      <c r="R650" s="564" t="str">
        <f t="shared" si="125"/>
        <v xml:space="preserve"> </v>
      </c>
      <c r="S650" s="566" t="s">
        <v>1863</v>
      </c>
      <c r="T650" s="589" t="s">
        <v>53</v>
      </c>
      <c r="U650" s="591">
        <f>57.8</f>
        <v>57.8</v>
      </c>
      <c r="V650" s="589">
        <v>14.4</v>
      </c>
      <c r="W650" s="564">
        <f>IF(S650&lt;&gt;0,VLOOKUP(S650,VKT!$A$2:$G$415,7,0),"")</f>
        <v>1107311</v>
      </c>
      <c r="X650" s="564">
        <f t="shared" si="134"/>
        <v>64003000</v>
      </c>
      <c r="Y650" s="589" t="s">
        <v>63</v>
      </c>
      <c r="Z650" s="592" t="s">
        <v>55</v>
      </c>
      <c r="AA650" s="592" t="s">
        <v>56</v>
      </c>
      <c r="AB650" s="568" t="s">
        <v>57</v>
      </c>
      <c r="AC650" s="592" t="s">
        <v>63</v>
      </c>
      <c r="AD650" s="592" t="s">
        <v>430</v>
      </c>
      <c r="AE650" s="592"/>
      <c r="AF650" s="590"/>
      <c r="AG650" s="570" t="str">
        <f>IF(AE650&lt;&gt;0,VLOOKUP(AE650,ODDS!$A$2:$C$13,3,0),"")</f>
        <v/>
      </c>
      <c r="AH650" s="570"/>
      <c r="AI650" s="571" t="str">
        <f t="shared" si="141"/>
        <v xml:space="preserve"> </v>
      </c>
      <c r="AJ650" s="558" t="s">
        <v>1703</v>
      </c>
      <c r="AK650" s="586" t="s">
        <v>2771</v>
      </c>
      <c r="AM650" s="376" t="s">
        <v>2332</v>
      </c>
    </row>
    <row r="651" spans="1:39" s="376" customFormat="1" ht="101.25" outlineLevel="2" x14ac:dyDescent="0.3">
      <c r="A651" s="447">
        <f t="shared" ref="A651:A660" si="143">IF(B650&lt;&gt;0,B650,A650)</f>
        <v>55</v>
      </c>
      <c r="B651" s="557"/>
      <c r="C651" s="628" t="s">
        <v>689</v>
      </c>
      <c r="D651" s="587"/>
      <c r="E651" s="587">
        <v>86</v>
      </c>
      <c r="F651" s="560">
        <v>1573</v>
      </c>
      <c r="G651" s="558" t="s">
        <v>2469</v>
      </c>
      <c r="H651" s="588">
        <f>46.7</f>
        <v>46.7</v>
      </c>
      <c r="I651" s="546">
        <f t="shared" si="142"/>
        <v>46.7</v>
      </c>
      <c r="J651" s="589"/>
      <c r="K651" s="563">
        <f>IF(G651&lt;&gt;0,VLOOKUP(G651,'gia dat'!$A$1:$F$144,5,0)," ")</f>
        <v>554400</v>
      </c>
      <c r="L651" s="563">
        <f>IF(G651&lt;&gt;0,VLOOKUP(G651,'gia dat'!$A$1:$F$144,6,0)," ")</f>
        <v>1663200</v>
      </c>
      <c r="M651" s="564">
        <f t="shared" si="137"/>
        <v>25890000</v>
      </c>
      <c r="N651" s="564">
        <f t="shared" si="138"/>
        <v>77671000</v>
      </c>
      <c r="O651" s="558"/>
      <c r="P651" s="590"/>
      <c r="Q651" s="564" t="str">
        <f>IF(O651&lt;&gt;0,VLOOKUP(O651,'Cây trong'!$A$2:$C$246,3,0)," ")</f>
        <v xml:space="preserve"> </v>
      </c>
      <c r="R651" s="564" t="str">
        <f t="shared" si="125"/>
        <v xml:space="preserve"> </v>
      </c>
      <c r="S651" s="638" t="s">
        <v>1799</v>
      </c>
      <c r="T651" s="639" t="s">
        <v>53</v>
      </c>
      <c r="U651" s="591">
        <v>9.9</v>
      </c>
      <c r="V651" s="589">
        <v>14.7</v>
      </c>
      <c r="W651" s="564">
        <f>IF(S651&lt;&gt;0,VLOOKUP(S651,VKT!$A$2:$G$415,7,0),"")</f>
        <v>275180</v>
      </c>
      <c r="X651" s="564">
        <f t="shared" si="134"/>
        <v>2724000</v>
      </c>
      <c r="Y651" s="589" t="s">
        <v>63</v>
      </c>
      <c r="Z651" s="592" t="s">
        <v>55</v>
      </c>
      <c r="AA651" s="592" t="s">
        <v>56</v>
      </c>
      <c r="AB651" s="568" t="s">
        <v>57</v>
      </c>
      <c r="AC651" s="592" t="s">
        <v>63</v>
      </c>
      <c r="AD651" s="592" t="s">
        <v>430</v>
      </c>
      <c r="AE651" s="592"/>
      <c r="AF651" s="590"/>
      <c r="AG651" s="570" t="str">
        <f>IF(AE651&lt;&gt;0,VLOOKUP(AE651,ODDS!$A$2:$C$13,3,0),"")</f>
        <v/>
      </c>
      <c r="AH651" s="570" t="str">
        <f t="shared" si="126"/>
        <v xml:space="preserve"> </v>
      </c>
      <c r="AI651" s="571" t="str">
        <f t="shared" si="141"/>
        <v xml:space="preserve"> </v>
      </c>
      <c r="AJ651" s="558" t="s">
        <v>538</v>
      </c>
      <c r="AK651" s="558" t="s">
        <v>2448</v>
      </c>
    </row>
    <row r="652" spans="1:39" s="376" customFormat="1" ht="121.5" outlineLevel="2" x14ac:dyDescent="0.3">
      <c r="A652" s="447">
        <f t="shared" si="143"/>
        <v>55</v>
      </c>
      <c r="B652" s="557"/>
      <c r="C652" s="607"/>
      <c r="D652" s="587"/>
      <c r="E652" s="587"/>
      <c r="F652" s="560"/>
      <c r="G652" s="558" t="s">
        <v>2475</v>
      </c>
      <c r="H652" s="588">
        <v>10.4</v>
      </c>
      <c r="I652" s="546">
        <f t="shared" si="142"/>
        <v>10.4</v>
      </c>
      <c r="J652" s="589"/>
      <c r="K652" s="563">
        <f>IF(G652&lt;&gt;0,VLOOKUP(G652,'gia dat'!$A$1:$F$144,5,0)," ")</f>
        <v>554400</v>
      </c>
      <c r="L652" s="563">
        <f>IF(G652&lt;&gt;0,VLOOKUP(G652,'gia dat'!$A$1:$F$144,6,0)," ")</f>
        <v>1663200</v>
      </c>
      <c r="M652" s="564">
        <f t="shared" si="137"/>
        <v>5766000</v>
      </c>
      <c r="N652" s="564">
        <f t="shared" si="138"/>
        <v>17297000</v>
      </c>
      <c r="O652" s="558"/>
      <c r="P652" s="590"/>
      <c r="Q652" s="564" t="str">
        <f>IF(O652&lt;&gt;0,VLOOKUP(O652,'Cây trong'!$A$2:$C$246,3,0)," ")</f>
        <v xml:space="preserve"> </v>
      </c>
      <c r="R652" s="564" t="str">
        <f t="shared" ref="R652:R721" si="144">IF(O652&lt;&gt;0,ROUND(P652*Q652,-2)," ")</f>
        <v xml:space="preserve"> </v>
      </c>
      <c r="S652" s="566" t="s">
        <v>2149</v>
      </c>
      <c r="T652" s="589" t="s">
        <v>78</v>
      </c>
      <c r="U652" s="591">
        <v>1.08</v>
      </c>
      <c r="V652" s="589"/>
      <c r="W652" s="564">
        <f>IF(S652&lt;&gt;0,VLOOKUP(S652,VKT!$A$2:$G$415,7,0),"")</f>
        <v>0</v>
      </c>
      <c r="X652" s="564">
        <f t="shared" si="134"/>
        <v>0</v>
      </c>
      <c r="Y652" s="589"/>
      <c r="Z652" s="592" t="s">
        <v>55</v>
      </c>
      <c r="AA652" s="592" t="s">
        <v>141</v>
      </c>
      <c r="AB652" s="568" t="s">
        <v>332</v>
      </c>
      <c r="AC652" s="592" t="s">
        <v>66</v>
      </c>
      <c r="AD652" s="592"/>
      <c r="AE652" s="592"/>
      <c r="AF652" s="590"/>
      <c r="AG652" s="570" t="str">
        <f>IF(AE652&lt;&gt;0,VLOOKUP(AE652,ODDS!$A$2:$C$13,3,0),"")</f>
        <v/>
      </c>
      <c r="AH652" s="570" t="str">
        <f t="shared" ref="AH652:AH721" si="145">IF(AE652&lt;&gt;0,ROUND(AF652*AG652,-2)," ")</f>
        <v xml:space="preserve"> </v>
      </c>
      <c r="AI652" s="571" t="str">
        <f t="shared" si="141"/>
        <v xml:space="preserve"> </v>
      </c>
      <c r="AJ652" s="593" t="s">
        <v>333</v>
      </c>
      <c r="AK652" s="558" t="s">
        <v>2450</v>
      </c>
    </row>
    <row r="653" spans="1:39" s="376" customFormat="1" ht="101.25" outlineLevel="2" x14ac:dyDescent="0.3">
      <c r="A653" s="447">
        <f t="shared" si="143"/>
        <v>55</v>
      </c>
      <c r="B653" s="557"/>
      <c r="C653" s="637"/>
      <c r="D653" s="587"/>
      <c r="E653" s="587"/>
      <c r="F653" s="560"/>
      <c r="G653" s="558"/>
      <c r="H653" s="588"/>
      <c r="I653" s="546"/>
      <c r="J653" s="589"/>
      <c r="K653" s="563" t="str">
        <f>IF(G653&lt;&gt;0,VLOOKUP(G653,'gia dat'!$A$1:$F$144,5,0)," ")</f>
        <v xml:space="preserve"> </v>
      </c>
      <c r="L653" s="563" t="str">
        <f>IF(G653&lt;&gt;0,VLOOKUP(G653,'gia dat'!$A$1:$F$144,6,0)," ")</f>
        <v xml:space="preserve"> </v>
      </c>
      <c r="M653" s="564" t="str">
        <f t="shared" si="137"/>
        <v xml:space="preserve"> </v>
      </c>
      <c r="N653" s="564" t="str">
        <f t="shared" si="138"/>
        <v xml:space="preserve"> </v>
      </c>
      <c r="O653" s="638"/>
      <c r="P653" s="664"/>
      <c r="Q653" s="564" t="str">
        <f>IF(O653&lt;&gt;0,VLOOKUP(O653,'Cây trong'!$A$2:$C$246,3,0)," ")</f>
        <v xml:space="preserve"> </v>
      </c>
      <c r="R653" s="564" t="str">
        <f t="shared" si="144"/>
        <v xml:space="preserve"> </v>
      </c>
      <c r="S653" s="566" t="s">
        <v>2152</v>
      </c>
      <c r="T653" s="589" t="s">
        <v>53</v>
      </c>
      <c r="U653" s="591">
        <v>3.64</v>
      </c>
      <c r="V653" s="589"/>
      <c r="W653" s="564">
        <f>IF(S653&lt;&gt;0,VLOOKUP(S653,VKT!$A$2:$G$415,7,0),"")</f>
        <v>296377</v>
      </c>
      <c r="X653" s="564">
        <f t="shared" si="134"/>
        <v>1079000</v>
      </c>
      <c r="Y653" s="589"/>
      <c r="Z653" s="592"/>
      <c r="AA653" s="592"/>
      <c r="AB653" s="568"/>
      <c r="AC653" s="592"/>
      <c r="AD653" s="592"/>
      <c r="AE653" s="592"/>
      <c r="AF653" s="590"/>
      <c r="AG653" s="570" t="str">
        <f>IF(AE653&lt;&gt;0,VLOOKUP(AE653,ODDS!$A$2:$C$13,3,0),"")</f>
        <v/>
      </c>
      <c r="AH653" s="570" t="str">
        <f t="shared" si="145"/>
        <v xml:space="preserve"> </v>
      </c>
      <c r="AI653" s="571" t="str">
        <f t="shared" si="141"/>
        <v xml:space="preserve"> </v>
      </c>
      <c r="AJ653" s="558" t="s">
        <v>1738</v>
      </c>
      <c r="AK653" s="558" t="s">
        <v>2800</v>
      </c>
    </row>
    <row r="654" spans="1:39" s="376" customFormat="1" ht="40.5" outlineLevel="2" x14ac:dyDescent="0.3">
      <c r="A654" s="447">
        <f t="shared" si="143"/>
        <v>55</v>
      </c>
      <c r="B654" s="557"/>
      <c r="C654" s="637"/>
      <c r="D654" s="587"/>
      <c r="E654" s="587"/>
      <c r="F654" s="560"/>
      <c r="G654" s="558"/>
      <c r="H654" s="588"/>
      <c r="I654" s="546"/>
      <c r="J654" s="589"/>
      <c r="K654" s="563" t="str">
        <f>IF(G654&lt;&gt;0,VLOOKUP(G654,'gia dat'!$A$1:$F$144,5,0)," ")</f>
        <v xml:space="preserve"> </v>
      </c>
      <c r="L654" s="563" t="str">
        <f>IF(G654&lt;&gt;0,VLOOKUP(G654,'gia dat'!$A$1:$F$144,6,0)," ")</f>
        <v xml:space="preserve"> </v>
      </c>
      <c r="M654" s="564" t="str">
        <f t="shared" si="137"/>
        <v xml:space="preserve"> </v>
      </c>
      <c r="N654" s="564" t="str">
        <f t="shared" si="138"/>
        <v xml:space="preserve"> </v>
      </c>
      <c r="O654" s="638"/>
      <c r="P654" s="664"/>
      <c r="Q654" s="564" t="str">
        <f>IF(O654&lt;&gt;0,VLOOKUP(O654,'Cây trong'!$A$2:$C$246,3,0)," ")</f>
        <v xml:space="preserve"> </v>
      </c>
      <c r="R654" s="564" t="str">
        <f t="shared" si="144"/>
        <v xml:space="preserve"> </v>
      </c>
      <c r="S654" s="665" t="s">
        <v>1820</v>
      </c>
      <c r="T654" s="666" t="s">
        <v>53</v>
      </c>
      <c r="U654" s="667">
        <v>0.5</v>
      </c>
      <c r="V654" s="668">
        <v>14.4</v>
      </c>
      <c r="W654" s="564">
        <f>IF(S654&lt;&gt;0,VLOOKUP(S654,VKT!$A$2:$G$415,7,0),"")</f>
        <v>5307665</v>
      </c>
      <c r="X654" s="564">
        <f t="shared" si="134"/>
        <v>2654000</v>
      </c>
      <c r="Y654" s="669" t="s">
        <v>63</v>
      </c>
      <c r="Z654" s="670" t="s">
        <v>55</v>
      </c>
      <c r="AA654" s="670" t="s">
        <v>56</v>
      </c>
      <c r="AB654" s="670" t="s">
        <v>57</v>
      </c>
      <c r="AC654" s="670" t="s">
        <v>63</v>
      </c>
      <c r="AD654" s="670" t="s">
        <v>430</v>
      </c>
      <c r="AE654" s="592"/>
      <c r="AF654" s="590"/>
      <c r="AG654" s="570" t="str">
        <f>IF(AE654&lt;&gt;0,VLOOKUP(AE654,ODDS!$A$2:$C$13,3,0),"")</f>
        <v/>
      </c>
      <c r="AH654" s="570" t="str">
        <f t="shared" si="145"/>
        <v xml:space="preserve"> </v>
      </c>
      <c r="AI654" s="571" t="str">
        <f t="shared" si="141"/>
        <v xml:space="preserve"> </v>
      </c>
      <c r="AJ654" s="558" t="s">
        <v>2410</v>
      </c>
      <c r="AK654" s="558"/>
    </row>
    <row r="655" spans="1:39" s="376" customFormat="1" ht="60.75" outlineLevel="2" x14ac:dyDescent="0.3">
      <c r="A655" s="447">
        <f t="shared" si="143"/>
        <v>55</v>
      </c>
      <c r="B655" s="557"/>
      <c r="C655" s="637"/>
      <c r="D655" s="587"/>
      <c r="E655" s="587"/>
      <c r="F655" s="560"/>
      <c r="G655" s="558"/>
      <c r="H655" s="588"/>
      <c r="I655" s="546"/>
      <c r="J655" s="589"/>
      <c r="K655" s="563" t="str">
        <f>IF(G655&lt;&gt;0,VLOOKUP(G655,'gia dat'!$A$1:$F$144,5,0)," ")</f>
        <v xml:space="preserve"> </v>
      </c>
      <c r="L655" s="563" t="str">
        <f>IF(G655&lt;&gt;0,VLOOKUP(G655,'gia dat'!$A$1:$F$144,6,0)," ")</f>
        <v xml:space="preserve"> </v>
      </c>
      <c r="M655" s="564" t="str">
        <f t="shared" si="137"/>
        <v xml:space="preserve"> </v>
      </c>
      <c r="N655" s="564" t="str">
        <f t="shared" si="138"/>
        <v xml:space="preserve"> </v>
      </c>
      <c r="O655" s="638"/>
      <c r="P655" s="664"/>
      <c r="Q655" s="564" t="str">
        <f>IF(O655&lt;&gt;0,VLOOKUP(O655,'Cây trong'!$A$2:$C$246,3,0)," ")</f>
        <v xml:space="preserve"> </v>
      </c>
      <c r="R655" s="564" t="str">
        <f t="shared" si="144"/>
        <v xml:space="preserve"> </v>
      </c>
      <c r="S655" s="671" t="s">
        <v>1820</v>
      </c>
      <c r="T655" s="672" t="s">
        <v>53</v>
      </c>
      <c r="U655" s="667">
        <v>0.2</v>
      </c>
      <c r="V655" s="668">
        <v>14.7</v>
      </c>
      <c r="W655" s="564">
        <f>IF(S655&lt;&gt;0,VLOOKUP(S655,VKT!$A$2:$G$415,7,0),"")</f>
        <v>5307665</v>
      </c>
      <c r="X655" s="564">
        <f t="shared" si="134"/>
        <v>1062000</v>
      </c>
      <c r="Y655" s="669" t="s">
        <v>63</v>
      </c>
      <c r="Z655" s="670" t="s">
        <v>55</v>
      </c>
      <c r="AA655" s="670" t="s">
        <v>56</v>
      </c>
      <c r="AB655" s="670" t="s">
        <v>57</v>
      </c>
      <c r="AC655" s="670" t="s">
        <v>63</v>
      </c>
      <c r="AD655" s="670" t="s">
        <v>430</v>
      </c>
      <c r="AE655" s="592"/>
      <c r="AF655" s="590"/>
      <c r="AG655" s="570" t="str">
        <f>IF(AE655&lt;&gt;0,VLOOKUP(AE655,ODDS!$A$2:$C$13,3,0),"")</f>
        <v/>
      </c>
      <c r="AH655" s="570" t="str">
        <f t="shared" si="145"/>
        <v xml:space="preserve"> </v>
      </c>
      <c r="AI655" s="571" t="str">
        <f t="shared" si="141"/>
        <v xml:space="preserve"> </v>
      </c>
      <c r="AJ655" s="558" t="s">
        <v>2074</v>
      </c>
      <c r="AK655" s="558"/>
    </row>
    <row r="656" spans="1:39" s="376" customFormat="1" ht="20.25" outlineLevel="2" x14ac:dyDescent="0.3">
      <c r="A656" s="447">
        <f t="shared" si="143"/>
        <v>55</v>
      </c>
      <c r="B656" s="557"/>
      <c r="C656" s="637"/>
      <c r="D656" s="587"/>
      <c r="E656" s="587"/>
      <c r="F656" s="560"/>
      <c r="G656" s="558"/>
      <c r="H656" s="588"/>
      <c r="I656" s="546"/>
      <c r="J656" s="589"/>
      <c r="K656" s="563" t="str">
        <f>IF(G656&lt;&gt;0,VLOOKUP(G656,'gia dat'!$A$1:$F$144,5,0)," ")</f>
        <v xml:space="preserve"> </v>
      </c>
      <c r="L656" s="563" t="str">
        <f>IF(G656&lt;&gt;0,VLOOKUP(G656,'gia dat'!$A$1:$F$144,6,0)," ")</f>
        <v xml:space="preserve"> </v>
      </c>
      <c r="M656" s="564" t="str">
        <f t="shared" si="137"/>
        <v xml:space="preserve"> </v>
      </c>
      <c r="N656" s="564" t="str">
        <f t="shared" si="138"/>
        <v xml:space="preserve"> </v>
      </c>
      <c r="O656" s="638"/>
      <c r="P656" s="664"/>
      <c r="Q656" s="564" t="str">
        <f>IF(O656&lt;&gt;0,VLOOKUP(O656,'Cây trong'!$A$2:$C$246,3,0)," ")</f>
        <v xml:space="preserve"> </v>
      </c>
      <c r="R656" s="564" t="str">
        <f t="shared" si="144"/>
        <v xml:space="preserve"> </v>
      </c>
      <c r="S656" s="593"/>
      <c r="T656" s="593"/>
      <c r="U656" s="617"/>
      <c r="V656" s="589"/>
      <c r="W656" s="564" t="str">
        <f>IF(S656&lt;&gt;0,VLOOKUP(S656,VKT!$A$2:$G$415,7,0),"")</f>
        <v/>
      </c>
      <c r="X656" s="564" t="str">
        <f t="shared" si="134"/>
        <v xml:space="preserve"> </v>
      </c>
      <c r="Y656" s="589"/>
      <c r="Z656" s="592"/>
      <c r="AA656" s="592"/>
      <c r="AB656" s="568"/>
      <c r="AC656" s="592"/>
      <c r="AD656" s="592"/>
      <c r="AE656" s="592"/>
      <c r="AF656" s="590"/>
      <c r="AG656" s="570" t="str">
        <f>IF(AE656&lt;&gt;0,VLOOKUP(AE656,ODDS!$A$2:$C$13,3,0),"")</f>
        <v/>
      </c>
      <c r="AH656" s="570" t="str">
        <f t="shared" si="145"/>
        <v xml:space="preserve"> </v>
      </c>
      <c r="AI656" s="571" t="str">
        <f t="shared" si="141"/>
        <v xml:space="preserve"> </v>
      </c>
      <c r="AJ656" s="575"/>
      <c r="AK656" s="558"/>
    </row>
    <row r="657" spans="1:39" s="376" customFormat="1" ht="20.25" outlineLevel="2" x14ac:dyDescent="0.3">
      <c r="A657" s="447">
        <f t="shared" si="143"/>
        <v>55</v>
      </c>
      <c r="B657" s="557"/>
      <c r="C657" s="574"/>
      <c r="D657" s="587"/>
      <c r="E657" s="587"/>
      <c r="F657" s="560"/>
      <c r="G657" s="558"/>
      <c r="H657" s="588"/>
      <c r="I657" s="546"/>
      <c r="J657" s="589"/>
      <c r="K657" s="563" t="str">
        <f>IF(G657&lt;&gt;0,VLOOKUP(G657,'gia dat'!$A$1:$F$144,5,0)," ")</f>
        <v xml:space="preserve"> </v>
      </c>
      <c r="L657" s="563" t="str">
        <f>IF(G657&lt;&gt;0,VLOOKUP(G657,'gia dat'!$A$1:$F$144,6,0)," ")</f>
        <v xml:space="preserve"> </v>
      </c>
      <c r="M657" s="564" t="str">
        <f t="shared" si="137"/>
        <v xml:space="preserve"> </v>
      </c>
      <c r="N657" s="564" t="str">
        <f t="shared" si="138"/>
        <v xml:space="preserve"> </v>
      </c>
      <c r="O657" s="558"/>
      <c r="P657" s="590"/>
      <c r="Q657" s="564" t="str">
        <f>IF(O657&lt;&gt;0,VLOOKUP(O657,'Cây trong'!$A$2:$C$246,3,0)," ")</f>
        <v xml:space="preserve"> </v>
      </c>
      <c r="R657" s="564" t="str">
        <f t="shared" si="144"/>
        <v xml:space="preserve"> </v>
      </c>
      <c r="S657" s="593"/>
      <c r="T657" s="593"/>
      <c r="U657" s="617"/>
      <c r="V657" s="589"/>
      <c r="W657" s="564" t="str">
        <f>IF(S657&lt;&gt;0,VLOOKUP(S657,VKT!$A$2:$G$415,7,0),"")</f>
        <v/>
      </c>
      <c r="X657" s="564" t="str">
        <f t="shared" si="134"/>
        <v xml:space="preserve"> </v>
      </c>
      <c r="Y657" s="589"/>
      <c r="Z657" s="592"/>
      <c r="AA657" s="592"/>
      <c r="AB657" s="568"/>
      <c r="AC657" s="592"/>
      <c r="AD657" s="592"/>
      <c r="AE657" s="592"/>
      <c r="AF657" s="590"/>
      <c r="AG657" s="570" t="str">
        <f>IF(AE657&lt;&gt;0,VLOOKUP(AE657,ODDS!$A$2:$C$13,3,0),"")</f>
        <v/>
      </c>
      <c r="AH657" s="570" t="str">
        <f t="shared" si="145"/>
        <v xml:space="preserve"> </v>
      </c>
      <c r="AI657" s="571" t="str">
        <f t="shared" si="141"/>
        <v xml:space="preserve"> </v>
      </c>
      <c r="AJ657" s="593"/>
      <c r="AK657" s="593"/>
    </row>
    <row r="658" spans="1:39" s="376" customFormat="1" ht="20.25" outlineLevel="2" x14ac:dyDescent="0.3">
      <c r="A658" s="447">
        <f t="shared" si="143"/>
        <v>55</v>
      </c>
      <c r="B658" s="557"/>
      <c r="C658" s="637"/>
      <c r="D658" s="587"/>
      <c r="E658" s="587"/>
      <c r="F658" s="615"/>
      <c r="G658" s="558"/>
      <c r="H658" s="604"/>
      <c r="I658" s="546"/>
      <c r="J658" s="593"/>
      <c r="K658" s="563" t="str">
        <f>IF(G658&lt;&gt;0,VLOOKUP(G658,'gia dat'!$A$1:$F$144,5,0)," ")</f>
        <v xml:space="preserve"> </v>
      </c>
      <c r="L658" s="563" t="str">
        <f>IF(G658&lt;&gt;0,VLOOKUP(G658,'gia dat'!$A$1:$F$144,6,0)," ")</f>
        <v xml:space="preserve"> </v>
      </c>
      <c r="M658" s="564" t="str">
        <f t="shared" si="137"/>
        <v xml:space="preserve"> </v>
      </c>
      <c r="N658" s="564" t="str">
        <f t="shared" si="138"/>
        <v xml:space="preserve"> </v>
      </c>
      <c r="O658" s="593"/>
      <c r="P658" s="616"/>
      <c r="Q658" s="564" t="str">
        <f>IF(O658&lt;&gt;0,VLOOKUP(O658,'Cây trong'!$A$2:$C$246,3,0)," ")</f>
        <v xml:space="preserve"> </v>
      </c>
      <c r="R658" s="564" t="str">
        <f t="shared" si="144"/>
        <v xml:space="preserve"> </v>
      </c>
      <c r="S658" s="593"/>
      <c r="T658" s="593"/>
      <c r="U658" s="617"/>
      <c r="V658" s="589"/>
      <c r="W658" s="564" t="str">
        <f>IF(S658&lt;&gt;0,VLOOKUP(S658,VKT!$A$2:$G$415,7,0),"")</f>
        <v/>
      </c>
      <c r="X658" s="564" t="str">
        <f t="shared" si="134"/>
        <v xml:space="preserve"> </v>
      </c>
      <c r="Y658" s="589"/>
      <c r="Z658" s="589"/>
      <c r="AA658" s="589"/>
      <c r="AB658" s="562"/>
      <c r="AC658" s="589"/>
      <c r="AD658" s="589"/>
      <c r="AE658" s="589"/>
      <c r="AF658" s="629"/>
      <c r="AG658" s="570" t="str">
        <f>IF(AE658&lt;&gt;0,VLOOKUP(AE658,ODDS!$A$2:$C$13,3,0),"")</f>
        <v/>
      </c>
      <c r="AH658" s="570" t="str">
        <f t="shared" si="145"/>
        <v xml:space="preserve"> </v>
      </c>
      <c r="AI658" s="571" t="str">
        <f t="shared" si="141"/>
        <v xml:space="preserve"> </v>
      </c>
      <c r="AJ658" s="593"/>
      <c r="AK658" s="593"/>
    </row>
    <row r="659" spans="1:39" s="376" customFormat="1" ht="20.25" outlineLevel="2" x14ac:dyDescent="0.3">
      <c r="A659" s="447">
        <f t="shared" si="143"/>
        <v>55</v>
      </c>
      <c r="B659" s="557"/>
      <c r="C659" s="637"/>
      <c r="D659" s="587"/>
      <c r="E659" s="587"/>
      <c r="F659" s="560"/>
      <c r="G659" s="558"/>
      <c r="H659" s="588"/>
      <c r="I659" s="546"/>
      <c r="J659" s="589"/>
      <c r="K659" s="563" t="str">
        <f>IF(G659&lt;&gt;0,VLOOKUP(G659,'gia dat'!$A$1:$F$144,5,0)," ")</f>
        <v xml:space="preserve"> </v>
      </c>
      <c r="L659" s="563" t="str">
        <f>IF(G659&lt;&gt;0,VLOOKUP(G659,'gia dat'!$A$1:$F$144,6,0)," ")</f>
        <v xml:space="preserve"> </v>
      </c>
      <c r="M659" s="564" t="str">
        <f t="shared" si="137"/>
        <v xml:space="preserve"> </v>
      </c>
      <c r="N659" s="564" t="str">
        <f t="shared" si="138"/>
        <v xml:space="preserve"> </v>
      </c>
      <c r="O659" s="558"/>
      <c r="P659" s="590"/>
      <c r="Q659" s="564" t="str">
        <f>IF(O659&lt;&gt;0,VLOOKUP(O659,'Cây trong'!$A$2:$C$246,3,0)," ")</f>
        <v xml:space="preserve"> </v>
      </c>
      <c r="R659" s="564" t="str">
        <f t="shared" si="144"/>
        <v xml:space="preserve"> </v>
      </c>
      <c r="S659" s="566"/>
      <c r="T659" s="589"/>
      <c r="U659" s="591"/>
      <c r="V659" s="589"/>
      <c r="W659" s="564" t="str">
        <f>IF(S659&lt;&gt;0,VLOOKUP(S659,VKT!$A$2:$G$415,7,0),"")</f>
        <v/>
      </c>
      <c r="X659" s="564" t="str">
        <f t="shared" si="134"/>
        <v xml:space="preserve"> </v>
      </c>
      <c r="Y659" s="589"/>
      <c r="Z659" s="592"/>
      <c r="AA659" s="592"/>
      <c r="AB659" s="568"/>
      <c r="AC659" s="592"/>
      <c r="AD659" s="592"/>
      <c r="AE659" s="592"/>
      <c r="AF659" s="590"/>
      <c r="AG659" s="570" t="str">
        <f>IF(AE659&lt;&gt;0,VLOOKUP(AE659,ODDS!$A$2:$C$13,3,0),"")</f>
        <v/>
      </c>
      <c r="AH659" s="570" t="str">
        <f t="shared" si="145"/>
        <v xml:space="preserve"> </v>
      </c>
      <c r="AI659" s="571" t="str">
        <f t="shared" si="141"/>
        <v xml:space="preserve"> </v>
      </c>
      <c r="AJ659" s="558"/>
      <c r="AK659" s="558"/>
    </row>
    <row r="660" spans="1:39" s="376" customFormat="1" ht="20.25" outlineLevel="2" x14ac:dyDescent="0.3">
      <c r="A660" s="447">
        <f t="shared" si="143"/>
        <v>55</v>
      </c>
      <c r="B660" s="557"/>
      <c r="C660" s="636"/>
      <c r="D660" s="587"/>
      <c r="E660" s="587"/>
      <c r="F660" s="560"/>
      <c r="G660" s="558"/>
      <c r="H660" s="588"/>
      <c r="I660" s="546"/>
      <c r="J660" s="589"/>
      <c r="K660" s="563" t="str">
        <f>IF(G660&lt;&gt;0,VLOOKUP(G660,'gia dat'!$A$1:$F$144,5,0)," ")</f>
        <v xml:space="preserve"> </v>
      </c>
      <c r="L660" s="563" t="str">
        <f>IF(G660&lt;&gt;0,VLOOKUP(G660,'gia dat'!$A$1:$F$144,6,0)," ")</f>
        <v xml:space="preserve"> </v>
      </c>
      <c r="M660" s="564" t="str">
        <f t="shared" si="137"/>
        <v xml:space="preserve"> </v>
      </c>
      <c r="N660" s="564" t="str">
        <f t="shared" si="138"/>
        <v xml:space="preserve"> </v>
      </c>
      <c r="O660" s="558"/>
      <c r="P660" s="590"/>
      <c r="Q660" s="564" t="str">
        <f>IF(O660&lt;&gt;0,VLOOKUP(O660,'Cây trong'!$A$2:$C$246,3,0)," ")</f>
        <v xml:space="preserve"> </v>
      </c>
      <c r="R660" s="564" t="str">
        <f t="shared" si="144"/>
        <v xml:space="preserve"> </v>
      </c>
      <c r="S660" s="638"/>
      <c r="T660" s="639"/>
      <c r="U660" s="591"/>
      <c r="V660" s="589"/>
      <c r="W660" s="564" t="str">
        <f>IF(S660&lt;&gt;0,VLOOKUP(S660,VKT!$A$2:$G$415,7,0),"")</f>
        <v/>
      </c>
      <c r="X660" s="564" t="str">
        <f t="shared" si="134"/>
        <v xml:space="preserve"> </v>
      </c>
      <c r="Y660" s="589"/>
      <c r="Z660" s="592"/>
      <c r="AA660" s="592"/>
      <c r="AB660" s="568"/>
      <c r="AC660" s="592"/>
      <c r="AD660" s="592"/>
      <c r="AE660" s="592"/>
      <c r="AF660" s="590"/>
      <c r="AG660" s="570" t="str">
        <f>IF(AE660&lt;&gt;0,VLOOKUP(AE660,ODDS!$A$2:$C$13,3,0),"")</f>
        <v/>
      </c>
      <c r="AH660" s="570" t="str">
        <f t="shared" si="145"/>
        <v xml:space="preserve"> </v>
      </c>
      <c r="AI660" s="571" t="str">
        <f t="shared" si="141"/>
        <v xml:space="preserve"> </v>
      </c>
      <c r="AJ660" s="558"/>
      <c r="AK660" s="558"/>
    </row>
    <row r="661" spans="1:39" s="376" customFormat="1" ht="40.5" outlineLevel="1" x14ac:dyDescent="0.25">
      <c r="A661" s="467" t="s">
        <v>2654</v>
      </c>
      <c r="B661" s="576">
        <v>56</v>
      </c>
      <c r="C661" s="636" t="s">
        <v>223</v>
      </c>
      <c r="D661" s="595"/>
      <c r="E661" s="595"/>
      <c r="F661" s="577"/>
      <c r="G661" s="574"/>
      <c r="H661" s="618">
        <f>SUBTOTAL(9,H662:H669)</f>
        <v>53.5</v>
      </c>
      <c r="I661" s="579">
        <f>SUBTOTAL(9,I662:I667)</f>
        <v>37.299999999999997</v>
      </c>
      <c r="J661" s="597"/>
      <c r="K661" s="581"/>
      <c r="L661" s="581"/>
      <c r="M661" s="571">
        <f>SUBTOTAL(9,M662:M669)</f>
        <v>29660000</v>
      </c>
      <c r="N661" s="571">
        <f>SUBTOTAL(9,N662:N669)</f>
        <v>62037000</v>
      </c>
      <c r="O661" s="673"/>
      <c r="P661" s="599">
        <f>SUBTOTAL(9,P662:P669)</f>
        <v>0</v>
      </c>
      <c r="Q661" s="571"/>
      <c r="R661" s="571">
        <f>SUBTOTAL(9,R662:R669)</f>
        <v>0</v>
      </c>
      <c r="S661" s="673"/>
      <c r="T661" s="674"/>
      <c r="U661" s="600">
        <f>SUBTOTAL(9,U662:U669)</f>
        <v>71.53</v>
      </c>
      <c r="V661" s="597"/>
      <c r="W661" s="571"/>
      <c r="X661" s="571">
        <f>SUBTOTAL(9,X662:X669)</f>
        <v>38450000</v>
      </c>
      <c r="Y661" s="589"/>
      <c r="Z661" s="592"/>
      <c r="AA661" s="592"/>
      <c r="AB661" s="568"/>
      <c r="AC661" s="592"/>
      <c r="AD661" s="592"/>
      <c r="AE661" s="601"/>
      <c r="AF661" s="599">
        <f>SUBTOTAL(9,AF662:AF669)</f>
        <v>0</v>
      </c>
      <c r="AG661" s="585"/>
      <c r="AH661" s="585">
        <f>SUBTOTAL(9,AH662:AH669)</f>
        <v>0</v>
      </c>
      <c r="AI661" s="571">
        <f t="shared" si="141"/>
        <v>130147000</v>
      </c>
      <c r="AJ661" s="574"/>
      <c r="AK661" s="578"/>
    </row>
    <row r="662" spans="1:39" s="376" customFormat="1" ht="121.5" outlineLevel="2" x14ac:dyDescent="0.3">
      <c r="A662" s="447">
        <f>IF(B661&lt;&gt;0,B661,A660)</f>
        <v>56</v>
      </c>
      <c r="B662" s="557"/>
      <c r="C662" s="637" t="s">
        <v>224</v>
      </c>
      <c r="D662" s="587">
        <v>8</v>
      </c>
      <c r="E662" s="587">
        <v>86</v>
      </c>
      <c r="F662" s="560">
        <v>37</v>
      </c>
      <c r="G662" s="558" t="s">
        <v>2469</v>
      </c>
      <c r="H662" s="588">
        <f>53.5-H663</f>
        <v>37.299999999999997</v>
      </c>
      <c r="I662" s="546">
        <f t="shared" ref="I662:I663" si="146">IF(N662&gt;0,H662,"")</f>
        <v>37.299999999999997</v>
      </c>
      <c r="J662" s="589"/>
      <c r="K662" s="563">
        <f>IF(G662&lt;&gt;0,VLOOKUP(G662,'gia dat'!$A$1:$F$144,5,0)," ")</f>
        <v>554400</v>
      </c>
      <c r="L662" s="563">
        <f>IF(G662&lt;&gt;0,VLOOKUP(G662,'gia dat'!$A$1:$F$144,6,0)," ")</f>
        <v>1663200</v>
      </c>
      <c r="M662" s="564">
        <f t="shared" si="137"/>
        <v>20679000</v>
      </c>
      <c r="N662" s="564">
        <f t="shared" si="138"/>
        <v>62037000</v>
      </c>
      <c r="O662" s="638"/>
      <c r="P662" s="590"/>
      <c r="Q662" s="564" t="str">
        <f>IF(O662&lt;&gt;0,VLOOKUP(O662,'Cây trong'!$A$2:$C$246,3,0)," ")</f>
        <v xml:space="preserve"> </v>
      </c>
      <c r="R662" s="564" t="str">
        <f t="shared" si="144"/>
        <v xml:space="preserve"> </v>
      </c>
      <c r="S662" s="638" t="s">
        <v>2289</v>
      </c>
      <c r="T662" s="639" t="s">
        <v>53</v>
      </c>
      <c r="U662" s="591">
        <v>16.170000000000002</v>
      </c>
      <c r="V662" s="589"/>
      <c r="W662" s="564">
        <f>IF(S662&lt;&gt;0,VLOOKUP(S662,VKT!$A$2:$G$415,7,0),"")</f>
        <v>684506</v>
      </c>
      <c r="X662" s="564">
        <f t="shared" si="134"/>
        <v>11068000</v>
      </c>
      <c r="Y662" s="589"/>
      <c r="Z662" s="592" t="s">
        <v>55</v>
      </c>
      <c r="AA662" s="592" t="s">
        <v>141</v>
      </c>
      <c r="AB662" s="568"/>
      <c r="AC662" s="592" t="s">
        <v>66</v>
      </c>
      <c r="AD662" s="592"/>
      <c r="AE662" s="592"/>
      <c r="AF662" s="590"/>
      <c r="AG662" s="570" t="str">
        <f>IF(AE662&lt;&gt;0,VLOOKUP(AE662,ODDS!$A$2:$C$13,3,0),"")</f>
        <v/>
      </c>
      <c r="AH662" s="570"/>
      <c r="AI662" s="571" t="str">
        <f t="shared" si="141"/>
        <v xml:space="preserve"> </v>
      </c>
      <c r="AJ662" s="558" t="s">
        <v>690</v>
      </c>
      <c r="AK662" s="586" t="s">
        <v>2771</v>
      </c>
    </row>
    <row r="663" spans="1:39" s="376" customFormat="1" ht="81" outlineLevel="2" x14ac:dyDescent="0.3">
      <c r="A663" s="447">
        <f t="shared" ref="A663:A669" si="147">IF(B662&lt;&gt;0,B662,A662)</f>
        <v>56</v>
      </c>
      <c r="B663" s="557"/>
      <c r="C663" s="636" t="s">
        <v>225</v>
      </c>
      <c r="D663" s="587"/>
      <c r="E663" s="587">
        <v>86</v>
      </c>
      <c r="F663" s="560">
        <v>37</v>
      </c>
      <c r="G663" s="558" t="s">
        <v>2471</v>
      </c>
      <c r="H663" s="588">
        <v>16.2</v>
      </c>
      <c r="I663" s="546" t="str">
        <f t="shared" si="146"/>
        <v/>
      </c>
      <c r="J663" s="589"/>
      <c r="K663" s="563">
        <f>IF(G663&lt;&gt;0,VLOOKUP(G663,'gia dat'!$A$1:$F$144,5,0)," ")</f>
        <v>554400</v>
      </c>
      <c r="L663" s="563">
        <f>IF(G663&lt;&gt;0,VLOOKUP(G663,'gia dat'!$A$1:$F$144,6,0)," ")</f>
        <v>0</v>
      </c>
      <c r="M663" s="564">
        <f t="shared" si="137"/>
        <v>8981000</v>
      </c>
      <c r="N663" s="564">
        <f t="shared" si="138"/>
        <v>0</v>
      </c>
      <c r="O663" s="558"/>
      <c r="P663" s="590"/>
      <c r="Q663" s="564" t="str">
        <f>IF(O663&lt;&gt;0,VLOOKUP(O663,'Cây trong'!$A$2:$C$246,3,0)," ")</f>
        <v xml:space="preserve"> </v>
      </c>
      <c r="R663" s="564" t="str">
        <f t="shared" si="144"/>
        <v xml:space="preserve"> </v>
      </c>
      <c r="S663" s="566" t="s">
        <v>2333</v>
      </c>
      <c r="T663" s="589" t="s">
        <v>53</v>
      </c>
      <c r="U663" s="591">
        <v>24.64</v>
      </c>
      <c r="V663" s="589"/>
      <c r="W663" s="564">
        <f>IF(S663&lt;&gt;0,VLOOKUP(S663,VKT!$A$2:$G$415,7,0),"")</f>
        <v>211811</v>
      </c>
      <c r="X663" s="564">
        <f t="shared" si="134"/>
        <v>5219000</v>
      </c>
      <c r="Y663" s="589"/>
      <c r="Z663" s="592"/>
      <c r="AA663" s="592"/>
      <c r="AB663" s="568"/>
      <c r="AC663" s="592"/>
      <c r="AD663" s="592"/>
      <c r="AE663" s="592"/>
      <c r="AF663" s="590"/>
      <c r="AG663" s="570" t="str">
        <f>IF(AE663&lt;&gt;0,VLOOKUP(AE663,ODDS!$A$2:$C$13,3,0),"")</f>
        <v/>
      </c>
      <c r="AH663" s="570" t="str">
        <f t="shared" si="145"/>
        <v xml:space="preserve"> </v>
      </c>
      <c r="AI663" s="571" t="str">
        <f t="shared" si="141"/>
        <v xml:space="preserve"> </v>
      </c>
      <c r="AJ663" s="558" t="s">
        <v>540</v>
      </c>
      <c r="AK663" s="558" t="s">
        <v>2448</v>
      </c>
    </row>
    <row r="664" spans="1:39" s="376" customFormat="1" ht="121.5" outlineLevel="2" x14ac:dyDescent="0.3">
      <c r="A664" s="447">
        <f t="shared" si="147"/>
        <v>56</v>
      </c>
      <c r="B664" s="557"/>
      <c r="C664" s="558" t="s">
        <v>226</v>
      </c>
      <c r="D664" s="587"/>
      <c r="E664" s="587"/>
      <c r="F664" s="560"/>
      <c r="G664" s="558"/>
      <c r="H664" s="588"/>
      <c r="I664" s="546"/>
      <c r="J664" s="589"/>
      <c r="K664" s="563" t="str">
        <f>IF(G664&lt;&gt;0,VLOOKUP(G664,'gia dat'!$A$1:$F$144,5,0)," ")</f>
        <v xml:space="preserve"> </v>
      </c>
      <c r="L664" s="563" t="str">
        <f>IF(G664&lt;&gt;0,VLOOKUP(G664,'gia dat'!$A$1:$F$144,6,0)," ")</f>
        <v xml:space="preserve"> </v>
      </c>
      <c r="M664" s="564" t="str">
        <f t="shared" si="137"/>
        <v xml:space="preserve"> </v>
      </c>
      <c r="N664" s="564" t="str">
        <f t="shared" si="138"/>
        <v xml:space="preserve"> </v>
      </c>
      <c r="O664" s="558"/>
      <c r="P664" s="590"/>
      <c r="Q664" s="564" t="str">
        <f>IF(O664&lt;&gt;0,VLOOKUP(O664,'Cây trong'!$A$2:$C$246,3,0)," ")</f>
        <v xml:space="preserve"> </v>
      </c>
      <c r="R664" s="564" t="str">
        <f t="shared" si="144"/>
        <v xml:space="preserve"> </v>
      </c>
      <c r="S664" s="566" t="s">
        <v>2334</v>
      </c>
      <c r="T664" s="589" t="s">
        <v>53</v>
      </c>
      <c r="U664" s="591">
        <v>16.940000000000001</v>
      </c>
      <c r="V664" s="589"/>
      <c r="W664" s="564">
        <f>IF(S664&lt;&gt;0,VLOOKUP(S664,VKT!$A$2:$G$415,7,0),"")</f>
        <v>949258</v>
      </c>
      <c r="X664" s="564">
        <f t="shared" si="134"/>
        <v>16080000</v>
      </c>
      <c r="Y664" s="589"/>
      <c r="Z664" s="592"/>
      <c r="AA664" s="592"/>
      <c r="AB664" s="568"/>
      <c r="AC664" s="592"/>
      <c r="AD664" s="592"/>
      <c r="AE664" s="592"/>
      <c r="AF664" s="590"/>
      <c r="AG664" s="570" t="str">
        <f>IF(AE664&lt;&gt;0,VLOOKUP(AE664,ODDS!$A$2:$C$13,3,0),"")</f>
        <v/>
      </c>
      <c r="AH664" s="570" t="str">
        <f t="shared" si="145"/>
        <v xml:space="preserve"> </v>
      </c>
      <c r="AI664" s="571" t="str">
        <f t="shared" si="141"/>
        <v xml:space="preserve"> </v>
      </c>
      <c r="AJ664" s="608" t="s">
        <v>111</v>
      </c>
      <c r="AK664" s="558" t="s">
        <v>2450</v>
      </c>
    </row>
    <row r="665" spans="1:39" s="376" customFormat="1" ht="101.25" outlineLevel="2" x14ac:dyDescent="0.3">
      <c r="A665" s="447">
        <f t="shared" si="147"/>
        <v>56</v>
      </c>
      <c r="B665" s="557"/>
      <c r="C665" s="637" t="s">
        <v>691</v>
      </c>
      <c r="D665" s="587"/>
      <c r="E665" s="587"/>
      <c r="F665" s="560"/>
      <c r="G665" s="558"/>
      <c r="H665" s="588"/>
      <c r="I665" s="546"/>
      <c r="J665" s="589"/>
      <c r="K665" s="563" t="str">
        <f>IF(G665&lt;&gt;0,VLOOKUP(G665,'gia dat'!$A$1:$F$144,5,0)," ")</f>
        <v xml:space="preserve"> </v>
      </c>
      <c r="L665" s="563" t="str">
        <f>IF(G665&lt;&gt;0,VLOOKUP(G665,'gia dat'!$A$1:$F$144,6,0)," ")</f>
        <v xml:space="preserve"> </v>
      </c>
      <c r="M665" s="564" t="str">
        <f t="shared" si="137"/>
        <v xml:space="preserve"> </v>
      </c>
      <c r="N665" s="564" t="str">
        <f t="shared" si="138"/>
        <v xml:space="preserve"> </v>
      </c>
      <c r="O665" s="558"/>
      <c r="P665" s="590"/>
      <c r="Q665" s="564" t="str">
        <f>IF(O665&lt;&gt;0,VLOOKUP(O665,'Cây trong'!$A$2:$C$246,3,0)," ")</f>
        <v xml:space="preserve"> </v>
      </c>
      <c r="R665" s="564" t="str">
        <f t="shared" si="144"/>
        <v xml:space="preserve"> </v>
      </c>
      <c r="S665" s="566" t="s">
        <v>2335</v>
      </c>
      <c r="T665" s="589" t="s">
        <v>53</v>
      </c>
      <c r="U665" s="591">
        <v>13.78</v>
      </c>
      <c r="V665" s="589"/>
      <c r="W665" s="564">
        <f>IF(S665&lt;&gt;0,VLOOKUP(S665,VKT!$A$2:$G$415,7,0),"")</f>
        <v>441467</v>
      </c>
      <c r="X665" s="564">
        <f t="shared" si="134"/>
        <v>6083000</v>
      </c>
      <c r="Y665" s="589"/>
      <c r="Z665" s="592"/>
      <c r="AA665" s="592"/>
      <c r="AB665" s="568"/>
      <c r="AC665" s="592"/>
      <c r="AD665" s="592"/>
      <c r="AE665" s="592"/>
      <c r="AF665" s="590"/>
      <c r="AG665" s="570" t="str">
        <f>IF(AE665&lt;&gt;0,VLOOKUP(AE665,ODDS!$A$2:$C$13,3,0),"")</f>
        <v/>
      </c>
      <c r="AH665" s="570" t="str">
        <f t="shared" si="145"/>
        <v xml:space="preserve"> </v>
      </c>
      <c r="AI665" s="571" t="str">
        <f t="shared" si="141"/>
        <v xml:space="preserve"> </v>
      </c>
      <c r="AJ665" s="558" t="s">
        <v>2074</v>
      </c>
      <c r="AK665" s="558" t="s">
        <v>2800</v>
      </c>
    </row>
    <row r="666" spans="1:39" s="376" customFormat="1" ht="20.25" outlineLevel="2" x14ac:dyDescent="0.3">
      <c r="A666" s="447">
        <f t="shared" si="147"/>
        <v>56</v>
      </c>
      <c r="B666" s="557"/>
      <c r="C666" s="637"/>
      <c r="D666" s="587"/>
      <c r="E666" s="587"/>
      <c r="F666" s="615"/>
      <c r="G666" s="558"/>
      <c r="H666" s="604"/>
      <c r="I666" s="546"/>
      <c r="J666" s="593"/>
      <c r="K666" s="563" t="str">
        <f>IF(G666&lt;&gt;0,VLOOKUP(G666,'gia dat'!$A$1:$F$144,5,0)," ")</f>
        <v xml:space="preserve"> </v>
      </c>
      <c r="L666" s="563" t="str">
        <f>IF(G666&lt;&gt;0,VLOOKUP(G666,'gia dat'!$A$1:$F$144,6,0)," ")</f>
        <v xml:space="preserve"> </v>
      </c>
      <c r="M666" s="564" t="str">
        <f t="shared" si="137"/>
        <v xml:space="preserve"> </v>
      </c>
      <c r="N666" s="564" t="str">
        <f t="shared" si="138"/>
        <v xml:space="preserve"> </v>
      </c>
      <c r="O666" s="593"/>
      <c r="P666" s="616"/>
      <c r="Q666" s="564" t="str">
        <f>IF(O666&lt;&gt;0,VLOOKUP(O666,'Cây trong'!$A$2:$C$246,3,0)," ")</f>
        <v xml:space="preserve"> </v>
      </c>
      <c r="R666" s="564" t="str">
        <f t="shared" si="144"/>
        <v xml:space="preserve"> </v>
      </c>
      <c r="S666" s="593"/>
      <c r="T666" s="593"/>
      <c r="U666" s="617"/>
      <c r="V666" s="589"/>
      <c r="W666" s="564" t="str">
        <f>IF(S666&lt;&gt;0,VLOOKUP(S666,VKT!$A$2:$G$415,7,0),"")</f>
        <v/>
      </c>
      <c r="X666" s="564" t="str">
        <f t="shared" si="134"/>
        <v xml:space="preserve"> </v>
      </c>
      <c r="Y666" s="589"/>
      <c r="Z666" s="589"/>
      <c r="AA666" s="589"/>
      <c r="AB666" s="562"/>
      <c r="AC666" s="589"/>
      <c r="AD666" s="589"/>
      <c r="AE666" s="589"/>
      <c r="AF666" s="629"/>
      <c r="AG666" s="570" t="str">
        <f>IF(AE666&lt;&gt;0,VLOOKUP(AE666,ODDS!$A$2:$C$13,3,0),"")</f>
        <v/>
      </c>
      <c r="AH666" s="570" t="str">
        <f t="shared" si="145"/>
        <v xml:space="preserve"> </v>
      </c>
      <c r="AI666" s="571" t="str">
        <f t="shared" si="141"/>
        <v xml:space="preserve"> </v>
      </c>
      <c r="AJ666" s="575"/>
      <c r="AK666" s="593"/>
    </row>
    <row r="667" spans="1:39" s="376" customFormat="1" ht="20.25" outlineLevel="2" x14ac:dyDescent="0.3">
      <c r="A667" s="447">
        <f t="shared" si="147"/>
        <v>56</v>
      </c>
      <c r="B667" s="557"/>
      <c r="C667" s="637"/>
      <c r="D667" s="587"/>
      <c r="E667" s="587"/>
      <c r="F667" s="615"/>
      <c r="G667" s="558"/>
      <c r="H667" s="604"/>
      <c r="I667" s="546"/>
      <c r="J667" s="593"/>
      <c r="K667" s="563" t="str">
        <f>IF(G667&lt;&gt;0,VLOOKUP(G667,'gia dat'!$A$1:$F$144,5,0)," ")</f>
        <v xml:space="preserve"> </v>
      </c>
      <c r="L667" s="563" t="str">
        <f>IF(G667&lt;&gt;0,VLOOKUP(G667,'gia dat'!$A$1:$F$144,6,0)," ")</f>
        <v xml:space="preserve"> </v>
      </c>
      <c r="M667" s="564" t="str">
        <f t="shared" si="137"/>
        <v xml:space="preserve"> </v>
      </c>
      <c r="N667" s="564" t="str">
        <f t="shared" si="138"/>
        <v xml:space="preserve"> </v>
      </c>
      <c r="O667" s="593"/>
      <c r="P667" s="616"/>
      <c r="Q667" s="564" t="str">
        <f>IF(O667&lt;&gt;0,VLOOKUP(O667,'Cây trong'!$A$2:$C$246,3,0)," ")</f>
        <v xml:space="preserve"> </v>
      </c>
      <c r="R667" s="564" t="str">
        <f t="shared" si="144"/>
        <v xml:space="preserve"> </v>
      </c>
      <c r="S667" s="593"/>
      <c r="T667" s="593"/>
      <c r="U667" s="617"/>
      <c r="V667" s="589"/>
      <c r="W667" s="564" t="str">
        <f>IF(S667&lt;&gt;0,VLOOKUP(S667,VKT!$A$2:$G$415,7,0),"")</f>
        <v/>
      </c>
      <c r="X667" s="564" t="str">
        <f t="shared" si="134"/>
        <v xml:space="preserve"> </v>
      </c>
      <c r="Y667" s="589"/>
      <c r="Z667" s="589"/>
      <c r="AA667" s="589"/>
      <c r="AB667" s="562"/>
      <c r="AC667" s="589"/>
      <c r="AD667" s="589"/>
      <c r="AE667" s="589"/>
      <c r="AF667" s="629"/>
      <c r="AG667" s="570" t="str">
        <f>IF(AE667&lt;&gt;0,VLOOKUP(AE667,ODDS!$A$2:$C$13,3,0),"")</f>
        <v/>
      </c>
      <c r="AH667" s="570" t="str">
        <f t="shared" si="145"/>
        <v xml:space="preserve"> </v>
      </c>
      <c r="AI667" s="571" t="str">
        <f t="shared" si="141"/>
        <v xml:space="preserve"> </v>
      </c>
      <c r="AJ667" s="575"/>
      <c r="AK667" s="593"/>
      <c r="AM667" s="377" t="s">
        <v>2151</v>
      </c>
    </row>
    <row r="668" spans="1:39" s="376" customFormat="1" ht="20.25" outlineLevel="2" x14ac:dyDescent="0.3">
      <c r="A668" s="447">
        <f t="shared" si="147"/>
        <v>56</v>
      </c>
      <c r="B668" s="557"/>
      <c r="C668" s="574"/>
      <c r="D668" s="587"/>
      <c r="E668" s="587"/>
      <c r="F668" s="560"/>
      <c r="G668" s="558"/>
      <c r="H668" s="588"/>
      <c r="I668" s="546"/>
      <c r="J668" s="589"/>
      <c r="K668" s="563" t="str">
        <f>IF(G668&lt;&gt;0,VLOOKUP(G668,'gia dat'!$A$1:$F$144,5,0)," ")</f>
        <v xml:space="preserve"> </v>
      </c>
      <c r="L668" s="563" t="str">
        <f>IF(G668&lt;&gt;0,VLOOKUP(G668,'gia dat'!$A$1:$F$144,6,0)," ")</f>
        <v xml:space="preserve"> </v>
      </c>
      <c r="M668" s="564" t="str">
        <f t="shared" si="137"/>
        <v xml:space="preserve"> </v>
      </c>
      <c r="N668" s="564" t="str">
        <f t="shared" si="138"/>
        <v xml:space="preserve"> </v>
      </c>
      <c r="O668" s="558"/>
      <c r="P668" s="590"/>
      <c r="Q668" s="564" t="str">
        <f>IF(O668&lt;&gt;0,VLOOKUP(O668,'Cây trong'!$A$2:$C$246,3,0)," ")</f>
        <v xml:space="preserve"> </v>
      </c>
      <c r="R668" s="564" t="str">
        <f t="shared" si="144"/>
        <v xml:space="preserve"> </v>
      </c>
      <c r="S668" s="566"/>
      <c r="T668" s="589"/>
      <c r="U668" s="591"/>
      <c r="V668" s="589"/>
      <c r="W668" s="564" t="str">
        <f>IF(S668&lt;&gt;0,VLOOKUP(S668,VKT!$A$2:$G$415,7,0),"")</f>
        <v/>
      </c>
      <c r="X668" s="564" t="str">
        <f t="shared" si="134"/>
        <v xml:space="preserve"> </v>
      </c>
      <c r="Y668" s="589"/>
      <c r="Z668" s="592"/>
      <c r="AA668" s="592"/>
      <c r="AB668" s="568"/>
      <c r="AC668" s="592"/>
      <c r="AD668" s="592"/>
      <c r="AE668" s="592"/>
      <c r="AF668" s="590"/>
      <c r="AG668" s="570" t="str">
        <f>IF(AE668&lt;&gt;0,VLOOKUP(AE668,ODDS!$A$2:$C$13,3,0),"")</f>
        <v/>
      </c>
      <c r="AH668" s="570" t="str">
        <f t="shared" si="145"/>
        <v xml:space="preserve"> </v>
      </c>
      <c r="AI668" s="571" t="str">
        <f t="shared" si="141"/>
        <v xml:space="preserve"> </v>
      </c>
      <c r="AJ668" s="593"/>
      <c r="AK668" s="593"/>
    </row>
    <row r="669" spans="1:39" s="376" customFormat="1" ht="20.25" outlineLevel="2" x14ac:dyDescent="0.3">
      <c r="A669" s="447">
        <f t="shared" si="147"/>
        <v>56</v>
      </c>
      <c r="B669" s="557"/>
      <c r="C669" s="636"/>
      <c r="D669" s="587"/>
      <c r="E669" s="587"/>
      <c r="F669" s="560"/>
      <c r="G669" s="558"/>
      <c r="H669" s="588"/>
      <c r="I669" s="546"/>
      <c r="J669" s="589"/>
      <c r="K669" s="563" t="str">
        <f>IF(G669&lt;&gt;0,VLOOKUP(G669,'gia dat'!$A$1:$F$144,5,0)," ")</f>
        <v xml:space="preserve"> </v>
      </c>
      <c r="L669" s="563" t="str">
        <f>IF(G669&lt;&gt;0,VLOOKUP(G669,'gia dat'!$A$1:$F$144,6,0)," ")</f>
        <v xml:space="preserve"> </v>
      </c>
      <c r="M669" s="564" t="str">
        <f t="shared" si="137"/>
        <v xml:space="preserve"> </v>
      </c>
      <c r="N669" s="564" t="str">
        <f t="shared" si="138"/>
        <v xml:space="preserve"> </v>
      </c>
      <c r="O669" s="558"/>
      <c r="P669" s="590"/>
      <c r="Q669" s="564" t="str">
        <f>IF(O669&lt;&gt;0,VLOOKUP(O669,'Cây trong'!$A$2:$C$246,3,0)," ")</f>
        <v xml:space="preserve"> </v>
      </c>
      <c r="R669" s="564" t="str">
        <f t="shared" si="144"/>
        <v xml:space="preserve"> </v>
      </c>
      <c r="S669" s="566"/>
      <c r="T669" s="589"/>
      <c r="U669" s="591"/>
      <c r="V669" s="589"/>
      <c r="W669" s="564" t="str">
        <f>IF(S669&lt;&gt;0,VLOOKUP(S669,VKT!$A$2:$G$415,7,0),"")</f>
        <v/>
      </c>
      <c r="X669" s="564" t="str">
        <f t="shared" si="134"/>
        <v xml:space="preserve"> </v>
      </c>
      <c r="Y669" s="589"/>
      <c r="Z669" s="592"/>
      <c r="AA669" s="592"/>
      <c r="AB669" s="568"/>
      <c r="AC669" s="592"/>
      <c r="AD669" s="592"/>
      <c r="AE669" s="592"/>
      <c r="AF669" s="590"/>
      <c r="AG669" s="570" t="str">
        <f>IF(AE669&lt;&gt;0,VLOOKUP(AE669,ODDS!$A$2:$C$13,3,0),"")</f>
        <v/>
      </c>
      <c r="AH669" s="570" t="str">
        <f t="shared" si="145"/>
        <v xml:space="preserve"> </v>
      </c>
      <c r="AI669" s="571" t="str">
        <f t="shared" si="141"/>
        <v xml:space="preserve"> </v>
      </c>
      <c r="AJ669" s="593"/>
      <c r="AK669" s="593"/>
    </row>
    <row r="670" spans="1:39" s="376" customFormat="1" ht="40.5" outlineLevel="1" x14ac:dyDescent="0.25">
      <c r="A670" s="467" t="s">
        <v>2653</v>
      </c>
      <c r="B670" s="576">
        <v>57</v>
      </c>
      <c r="C670" s="636" t="s">
        <v>41</v>
      </c>
      <c r="D670" s="595"/>
      <c r="E670" s="577"/>
      <c r="F670" s="595"/>
      <c r="G670" s="574"/>
      <c r="H670" s="618">
        <f>SUBTOTAL(9,H671:H679)</f>
        <v>45.8</v>
      </c>
      <c r="I670" s="579">
        <f>SUBTOTAL(9,I671:I676)</f>
        <v>20.8</v>
      </c>
      <c r="J670" s="597"/>
      <c r="K670" s="581"/>
      <c r="L670" s="581"/>
      <c r="M670" s="571">
        <f>SUBTOTAL(9,M671:M679)</f>
        <v>155592000</v>
      </c>
      <c r="N670" s="571">
        <f>SUBTOTAL(9,N671:N679)</f>
        <v>34595000</v>
      </c>
      <c r="O670" s="673"/>
      <c r="P670" s="675">
        <f>SUBTOTAL(9,P671:P679)</f>
        <v>0</v>
      </c>
      <c r="Q670" s="571"/>
      <c r="R670" s="571">
        <f>SUBTOTAL(9,R671:R679)</f>
        <v>0</v>
      </c>
      <c r="S670" s="582"/>
      <c r="T670" s="597"/>
      <c r="U670" s="600">
        <f>SUBTOTAL(9,U671:U679)</f>
        <v>94.21</v>
      </c>
      <c r="V670" s="597"/>
      <c r="W670" s="571"/>
      <c r="X670" s="571">
        <f>SUBTOTAL(9,X671:X679)</f>
        <v>92392000</v>
      </c>
      <c r="Y670" s="589"/>
      <c r="Z670" s="592"/>
      <c r="AA670" s="592"/>
      <c r="AB670" s="568"/>
      <c r="AC670" s="592"/>
      <c r="AD670" s="592"/>
      <c r="AE670" s="601"/>
      <c r="AF670" s="599">
        <f>SUBTOTAL(9,AF671:AF679)</f>
        <v>0</v>
      </c>
      <c r="AG670" s="585"/>
      <c r="AH670" s="585">
        <f>SUBTOTAL(9,AH671:AH679)</f>
        <v>0</v>
      </c>
      <c r="AI670" s="571">
        <f t="shared" si="141"/>
        <v>282579000</v>
      </c>
      <c r="AJ670" s="574"/>
      <c r="AK670" s="578"/>
    </row>
    <row r="671" spans="1:39" s="376" customFormat="1" ht="121.5" outlineLevel="2" x14ac:dyDescent="0.3">
      <c r="A671" s="447">
        <f>IF(B670&lt;&gt;0,B670,A669)</f>
        <v>57</v>
      </c>
      <c r="B671" s="557"/>
      <c r="C671" s="637" t="s">
        <v>227</v>
      </c>
      <c r="D671" s="587">
        <v>6</v>
      </c>
      <c r="E671" s="560">
        <v>86</v>
      </c>
      <c r="F671" s="587">
        <v>227</v>
      </c>
      <c r="G671" s="558" t="s">
        <v>2037</v>
      </c>
      <c r="H671" s="588">
        <v>25</v>
      </c>
      <c r="I671" s="546" t="str">
        <f t="shared" ref="I671:I672" si="148">IF(N671&gt;0,H671,"")</f>
        <v/>
      </c>
      <c r="J671" s="589"/>
      <c r="K671" s="563">
        <f>IF(G671&lt;&gt;0,VLOOKUP(G671,'gia dat'!$A$1:$F$144,5,0)," ")</f>
        <v>5762400</v>
      </c>
      <c r="L671" s="563">
        <f>IF(G671&lt;&gt;0,VLOOKUP(G671,'gia dat'!$A$1:$F$144,6,0)," ")</f>
        <v>0</v>
      </c>
      <c r="M671" s="564">
        <f t="shared" si="137"/>
        <v>144060000</v>
      </c>
      <c r="N671" s="564">
        <f t="shared" si="138"/>
        <v>0</v>
      </c>
      <c r="O671" s="638"/>
      <c r="P671" s="664"/>
      <c r="Q671" s="564" t="str">
        <f>IF(O671&lt;&gt;0,VLOOKUP(O671,'Cây trong'!$A$2:$C$246,3,0)," ")</f>
        <v xml:space="preserve"> </v>
      </c>
      <c r="R671" s="564" t="str">
        <f t="shared" si="144"/>
        <v xml:space="preserve"> </v>
      </c>
      <c r="S671" s="566" t="s">
        <v>1885</v>
      </c>
      <c r="T671" s="589" t="s">
        <v>53</v>
      </c>
      <c r="U671" s="591">
        <f>15.75</f>
        <v>15.75</v>
      </c>
      <c r="V671" s="589"/>
      <c r="W671" s="564">
        <f>IF(S671&lt;&gt;0,VLOOKUP(S671,VKT!$A$2:$G$415,7,0),"")</f>
        <v>3460013</v>
      </c>
      <c r="X671" s="564">
        <f t="shared" si="134"/>
        <v>54495000</v>
      </c>
      <c r="Y671" s="589" t="s">
        <v>63</v>
      </c>
      <c r="Z671" s="592" t="s">
        <v>55</v>
      </c>
      <c r="AA671" s="592" t="s">
        <v>141</v>
      </c>
      <c r="AB671" s="568" t="s">
        <v>57</v>
      </c>
      <c r="AC671" s="592" t="s">
        <v>54</v>
      </c>
      <c r="AD671" s="592"/>
      <c r="AE671" s="592"/>
      <c r="AF671" s="590"/>
      <c r="AG671" s="570" t="str">
        <f>IF(AE671&lt;&gt;0,VLOOKUP(AE671,ODDS!$A$2:$C$13,3,0),"")</f>
        <v/>
      </c>
      <c r="AH671" s="570"/>
      <c r="AI671" s="571" t="str">
        <f t="shared" si="141"/>
        <v xml:space="preserve"> </v>
      </c>
      <c r="AJ671" s="558" t="s">
        <v>228</v>
      </c>
      <c r="AK671" s="586" t="s">
        <v>2771</v>
      </c>
    </row>
    <row r="672" spans="1:39" s="376" customFormat="1" ht="101.25" outlineLevel="2" x14ac:dyDescent="0.3">
      <c r="A672" s="447">
        <f t="shared" ref="A672:A679" si="149">IF(B671&lt;&gt;0,B671,A671)</f>
        <v>57</v>
      </c>
      <c r="B672" s="557"/>
      <c r="C672" s="637" t="s">
        <v>692</v>
      </c>
      <c r="D672" s="587"/>
      <c r="E672" s="560">
        <v>86</v>
      </c>
      <c r="F672" s="587">
        <v>227</v>
      </c>
      <c r="G672" s="558" t="s">
        <v>2469</v>
      </c>
      <c r="H672" s="588">
        <v>20.8</v>
      </c>
      <c r="I672" s="546">
        <f t="shared" si="148"/>
        <v>20.8</v>
      </c>
      <c r="J672" s="589"/>
      <c r="K672" s="563">
        <f>IF(G672&lt;&gt;0,VLOOKUP(G672,'gia dat'!$A$1:$F$144,5,0)," ")</f>
        <v>554400</v>
      </c>
      <c r="L672" s="563">
        <f>IF(G672&lt;&gt;0,VLOOKUP(G672,'gia dat'!$A$1:$F$144,6,0)," ")</f>
        <v>1663200</v>
      </c>
      <c r="M672" s="564">
        <f t="shared" si="137"/>
        <v>11532000</v>
      </c>
      <c r="N672" s="564">
        <f t="shared" si="138"/>
        <v>34595000</v>
      </c>
      <c r="O672" s="638"/>
      <c r="P672" s="664"/>
      <c r="Q672" s="564" t="str">
        <f>IF(O672&lt;&gt;0,VLOOKUP(O672,'Cây trong'!$A$2:$C$246,3,0)," ")</f>
        <v xml:space="preserve"> </v>
      </c>
      <c r="R672" s="564" t="str">
        <f t="shared" si="144"/>
        <v xml:space="preserve"> </v>
      </c>
      <c r="S672" s="566" t="s">
        <v>1846</v>
      </c>
      <c r="T672" s="589" t="s">
        <v>53</v>
      </c>
      <c r="U672" s="591">
        <f>15.3-U677</f>
        <v>7.5900000000000007</v>
      </c>
      <c r="V672" s="589"/>
      <c r="W672" s="564">
        <f>IF(S672&lt;&gt;0,VLOOKUP(S672,VKT!$A$2:$G$415,7,0),"")</f>
        <v>238288</v>
      </c>
      <c r="X672" s="564">
        <f t="shared" si="134"/>
        <v>1809000</v>
      </c>
      <c r="Y672" s="589"/>
      <c r="Z672" s="592"/>
      <c r="AA672" s="592"/>
      <c r="AB672" s="568"/>
      <c r="AC672" s="592"/>
      <c r="AD672" s="592"/>
      <c r="AE672" s="592"/>
      <c r="AF672" s="590"/>
      <c r="AG672" s="570" t="str">
        <f>IF(AE672&lt;&gt;0,VLOOKUP(AE672,ODDS!$A$2:$C$13,3,0),"")</f>
        <v/>
      </c>
      <c r="AH672" s="570" t="str">
        <f t="shared" si="145"/>
        <v xml:space="preserve"> </v>
      </c>
      <c r="AI672" s="571" t="str">
        <f t="shared" si="141"/>
        <v xml:space="preserve"> </v>
      </c>
      <c r="AJ672" s="558" t="s">
        <v>543</v>
      </c>
      <c r="AK672" s="558" t="s">
        <v>2448</v>
      </c>
    </row>
    <row r="673" spans="1:39" s="376" customFormat="1" ht="121.5" outlineLevel="2" x14ac:dyDescent="0.3">
      <c r="A673" s="447">
        <f t="shared" si="149"/>
        <v>57</v>
      </c>
      <c r="B673" s="557"/>
      <c r="C673" s="558" t="s">
        <v>314</v>
      </c>
      <c r="D673" s="587"/>
      <c r="E673" s="587"/>
      <c r="F673" s="560"/>
      <c r="G673" s="558"/>
      <c r="H673" s="588"/>
      <c r="I673" s="546"/>
      <c r="J673" s="589"/>
      <c r="K673" s="563" t="str">
        <f>IF(G673&lt;&gt;0,VLOOKUP(G673,'gia dat'!$A$1:$F$144,5,0)," ")</f>
        <v xml:space="preserve"> </v>
      </c>
      <c r="L673" s="563" t="str">
        <f>IF(G673&lt;&gt;0,VLOOKUP(G673,'gia dat'!$A$1:$F$144,6,0)," ")</f>
        <v xml:space="preserve"> </v>
      </c>
      <c r="M673" s="564" t="str">
        <f t="shared" si="137"/>
        <v xml:space="preserve"> </v>
      </c>
      <c r="N673" s="564" t="str">
        <f t="shared" si="138"/>
        <v xml:space="preserve"> </v>
      </c>
      <c r="O673" s="638"/>
      <c r="P673" s="664"/>
      <c r="Q673" s="564" t="str">
        <f>IF(O673&lt;&gt;0,VLOOKUP(O673,'Cây trong'!$A$2:$C$246,3,0)," ")</f>
        <v xml:space="preserve"> </v>
      </c>
      <c r="R673" s="564" t="str">
        <f t="shared" si="144"/>
        <v xml:space="preserve"> </v>
      </c>
      <c r="S673" s="566" t="s">
        <v>1768</v>
      </c>
      <c r="T673" s="589" t="s">
        <v>53</v>
      </c>
      <c r="U673" s="591">
        <v>11.5</v>
      </c>
      <c r="V673" s="589"/>
      <c r="W673" s="564">
        <f>IF(S673&lt;&gt;0,VLOOKUP(S673,VKT!$A$2:$G$415,7,0),"")</f>
        <v>238288</v>
      </c>
      <c r="X673" s="564">
        <f t="shared" si="134"/>
        <v>2740000</v>
      </c>
      <c r="Y673" s="589"/>
      <c r="Z673" s="592"/>
      <c r="AA673" s="592"/>
      <c r="AB673" s="568"/>
      <c r="AC673" s="592"/>
      <c r="AD673" s="592"/>
      <c r="AE673" s="592"/>
      <c r="AF673" s="590"/>
      <c r="AG673" s="570" t="str">
        <f>IF(AE673&lt;&gt;0,VLOOKUP(AE673,ODDS!$A$2:$C$13,3,0),"")</f>
        <v/>
      </c>
      <c r="AH673" s="570" t="str">
        <f t="shared" si="145"/>
        <v xml:space="preserve"> </v>
      </c>
      <c r="AI673" s="571" t="str">
        <f t="shared" si="141"/>
        <v xml:space="preserve"> </v>
      </c>
      <c r="AJ673" s="593" t="s">
        <v>335</v>
      </c>
      <c r="AK673" s="558" t="s">
        <v>2450</v>
      </c>
    </row>
    <row r="674" spans="1:39" s="376" customFormat="1" ht="101.25" outlineLevel="2" x14ac:dyDescent="0.3">
      <c r="A674" s="447">
        <f t="shared" si="149"/>
        <v>57</v>
      </c>
      <c r="B674" s="557"/>
      <c r="C674" s="558"/>
      <c r="D674" s="587"/>
      <c r="E674" s="587"/>
      <c r="F674" s="560"/>
      <c r="G674" s="558"/>
      <c r="H674" s="588"/>
      <c r="I674" s="546"/>
      <c r="J674" s="589"/>
      <c r="K674" s="563" t="str">
        <f>IF(G674&lt;&gt;0,VLOOKUP(G674,'gia dat'!$A$1:$F$144,5,0)," ")</f>
        <v xml:space="preserve"> </v>
      </c>
      <c r="L674" s="563" t="str">
        <f>IF(G674&lt;&gt;0,VLOOKUP(G674,'gia dat'!$A$1:$F$144,6,0)," ")</f>
        <v xml:space="preserve"> </v>
      </c>
      <c r="M674" s="564" t="str">
        <f t="shared" si="137"/>
        <v xml:space="preserve"> </v>
      </c>
      <c r="N674" s="564" t="str">
        <f t="shared" si="138"/>
        <v xml:space="preserve"> </v>
      </c>
      <c r="O674" s="638"/>
      <c r="P674" s="664"/>
      <c r="Q674" s="564" t="str">
        <f>IF(O674&lt;&gt;0,VLOOKUP(O674,'Cây trong'!$A$2:$C$246,3,0)," ")</f>
        <v xml:space="preserve"> </v>
      </c>
      <c r="R674" s="564" t="str">
        <f t="shared" si="144"/>
        <v xml:space="preserve"> </v>
      </c>
      <c r="S674" s="566" t="s">
        <v>1767</v>
      </c>
      <c r="T674" s="589" t="s">
        <v>53</v>
      </c>
      <c r="U674" s="591">
        <v>8.5500000000000007</v>
      </c>
      <c r="V674" s="589"/>
      <c r="W674" s="564">
        <f>IF(S674&lt;&gt;0,VLOOKUP(S674,VKT!$A$2:$G$415,7,0),"")</f>
        <v>0</v>
      </c>
      <c r="X674" s="564">
        <f t="shared" si="134"/>
        <v>0</v>
      </c>
      <c r="Y674" s="589"/>
      <c r="Z674" s="592"/>
      <c r="AA674" s="592"/>
      <c r="AB674" s="568"/>
      <c r="AC674" s="592"/>
      <c r="AD674" s="592"/>
      <c r="AE674" s="592"/>
      <c r="AF674" s="590"/>
      <c r="AG674" s="570" t="str">
        <f>IF(AE674&lt;&gt;0,VLOOKUP(AE674,ODDS!$A$2:$C$13,3,0),"")</f>
        <v/>
      </c>
      <c r="AH674" s="570" t="str">
        <f t="shared" si="145"/>
        <v xml:space="preserve"> </v>
      </c>
      <c r="AI674" s="571" t="str">
        <f t="shared" si="141"/>
        <v xml:space="preserve"> </v>
      </c>
      <c r="AJ674" s="558" t="s">
        <v>2074</v>
      </c>
      <c r="AK674" s="558" t="s">
        <v>2800</v>
      </c>
    </row>
    <row r="675" spans="1:39" s="376" customFormat="1" ht="81" outlineLevel="2" x14ac:dyDescent="0.3">
      <c r="A675" s="447">
        <f t="shared" si="149"/>
        <v>57</v>
      </c>
      <c r="B675" s="557"/>
      <c r="C675" s="638"/>
      <c r="D675" s="587"/>
      <c r="E675" s="587"/>
      <c r="F675" s="615"/>
      <c r="G675" s="558"/>
      <c r="H675" s="604"/>
      <c r="I675" s="546"/>
      <c r="J675" s="593"/>
      <c r="K675" s="563" t="str">
        <f>IF(G675&lt;&gt;0,VLOOKUP(G675,'gia dat'!$A$1:$F$144,5,0)," ")</f>
        <v xml:space="preserve"> </v>
      </c>
      <c r="L675" s="563" t="str">
        <f>IF(G675&lt;&gt;0,VLOOKUP(G675,'gia dat'!$A$1:$F$144,6,0)," ")</f>
        <v xml:space="preserve"> </v>
      </c>
      <c r="M675" s="564" t="str">
        <f t="shared" si="137"/>
        <v xml:space="preserve"> </v>
      </c>
      <c r="N675" s="564" t="str">
        <f t="shared" si="138"/>
        <v xml:space="preserve"> </v>
      </c>
      <c r="O675" s="593"/>
      <c r="P675" s="616"/>
      <c r="Q675" s="564" t="str">
        <f>IF(O675&lt;&gt;0,VLOOKUP(O675,'Cây trong'!$A$2:$C$246,3,0)," ")</f>
        <v xml:space="preserve"> </v>
      </c>
      <c r="R675" s="564" t="str">
        <f t="shared" si="144"/>
        <v xml:space="preserve"> </v>
      </c>
      <c r="S675" s="558" t="s">
        <v>2336</v>
      </c>
      <c r="T675" s="589" t="s">
        <v>53</v>
      </c>
      <c r="U675" s="591">
        <v>17.68</v>
      </c>
      <c r="V675" s="589"/>
      <c r="W675" s="564">
        <f>IF(S675&lt;&gt;0,VLOOKUP(S675,VKT!$A$2:$G$415,7,0),"")</f>
        <v>1067915</v>
      </c>
      <c r="X675" s="564">
        <f t="shared" si="134"/>
        <v>18881000</v>
      </c>
      <c r="Y675" s="589"/>
      <c r="Z675" s="589"/>
      <c r="AA675" s="589"/>
      <c r="AB675" s="562"/>
      <c r="AC675" s="589"/>
      <c r="AD675" s="589"/>
      <c r="AE675" s="589"/>
      <c r="AF675" s="629"/>
      <c r="AG675" s="570" t="str">
        <f>IF(AE675&lt;&gt;0,VLOOKUP(AE675,ODDS!$A$2:$C$13,3,0),"")</f>
        <v/>
      </c>
      <c r="AH675" s="570" t="str">
        <f t="shared" si="145"/>
        <v xml:space="preserve"> </v>
      </c>
      <c r="AI675" s="571" t="str">
        <f t="shared" si="141"/>
        <v xml:space="preserve"> </v>
      </c>
      <c r="AJ675" s="575"/>
      <c r="AK675" s="593"/>
    </row>
    <row r="676" spans="1:39" s="376" customFormat="1" ht="81" outlineLevel="2" x14ac:dyDescent="0.3">
      <c r="A676" s="447">
        <f t="shared" si="149"/>
        <v>57</v>
      </c>
      <c r="B676" s="557"/>
      <c r="C676" s="638"/>
      <c r="D676" s="587"/>
      <c r="E676" s="587"/>
      <c r="F676" s="560"/>
      <c r="G676" s="558"/>
      <c r="H676" s="588"/>
      <c r="I676" s="546"/>
      <c r="J676" s="589"/>
      <c r="K676" s="563" t="str">
        <f>IF(G676&lt;&gt;0,VLOOKUP(G676,'gia dat'!$A$1:$F$144,5,0)," ")</f>
        <v xml:space="preserve"> </v>
      </c>
      <c r="L676" s="563" t="str">
        <f>IF(G676&lt;&gt;0,VLOOKUP(G676,'gia dat'!$A$1:$F$144,6,0)," ")</f>
        <v xml:space="preserve"> </v>
      </c>
      <c r="M676" s="564" t="str">
        <f t="shared" si="137"/>
        <v xml:space="preserve"> </v>
      </c>
      <c r="N676" s="564" t="str">
        <f t="shared" si="138"/>
        <v xml:space="preserve"> </v>
      </c>
      <c r="O676" s="638"/>
      <c r="P676" s="664"/>
      <c r="Q676" s="564" t="str">
        <f>IF(O676&lt;&gt;0,VLOOKUP(O676,'Cây trong'!$A$2:$C$246,3,0)," ")</f>
        <v xml:space="preserve"> </v>
      </c>
      <c r="R676" s="564" t="str">
        <f t="shared" si="144"/>
        <v xml:space="preserve"> </v>
      </c>
      <c r="S676" s="566" t="s">
        <v>2337</v>
      </c>
      <c r="T676" s="589" t="s">
        <v>53</v>
      </c>
      <c r="U676" s="591">
        <v>25.43</v>
      </c>
      <c r="V676" s="589"/>
      <c r="W676" s="564">
        <f>IF(S676&lt;&gt;0,VLOOKUP(S676,VKT!$A$2:$G$415,7,0),"")</f>
        <v>496651</v>
      </c>
      <c r="X676" s="564">
        <f t="shared" si="134"/>
        <v>12630000</v>
      </c>
      <c r="Y676" s="589"/>
      <c r="Z676" s="592"/>
      <c r="AA676" s="592"/>
      <c r="AB676" s="568"/>
      <c r="AC676" s="592"/>
      <c r="AD676" s="592"/>
      <c r="AE676" s="592"/>
      <c r="AF676" s="590"/>
      <c r="AG676" s="570" t="str">
        <f>IF(AE676&lt;&gt;0,VLOOKUP(AE676,ODDS!$A$2:$C$13,3,0),"")</f>
        <v/>
      </c>
      <c r="AH676" s="570" t="str">
        <f t="shared" si="145"/>
        <v xml:space="preserve"> </v>
      </c>
      <c r="AI676" s="571" t="str">
        <f t="shared" si="141"/>
        <v xml:space="preserve"> </v>
      </c>
      <c r="AJ676" s="558"/>
      <c r="AK676" s="558"/>
    </row>
    <row r="677" spans="1:39" s="376" customFormat="1" ht="60.75" outlineLevel="2" x14ac:dyDescent="0.3">
      <c r="A677" s="447">
        <f t="shared" si="149"/>
        <v>57</v>
      </c>
      <c r="B677" s="557"/>
      <c r="C677" s="638"/>
      <c r="D677" s="587"/>
      <c r="E677" s="587"/>
      <c r="F677" s="560"/>
      <c r="G677" s="558"/>
      <c r="H677" s="588"/>
      <c r="I677" s="546"/>
      <c r="J677" s="589"/>
      <c r="K677" s="563" t="str">
        <f>IF(G677&lt;&gt;0,VLOOKUP(G677,'gia dat'!$A$1:$F$144,5,0)," ")</f>
        <v xml:space="preserve"> </v>
      </c>
      <c r="L677" s="563" t="str">
        <f>IF(G677&lt;&gt;0,VLOOKUP(G677,'gia dat'!$A$1:$F$144,6,0)," ")</f>
        <v xml:space="preserve"> </v>
      </c>
      <c r="M677" s="564" t="str">
        <f t="shared" si="137"/>
        <v xml:space="preserve"> </v>
      </c>
      <c r="N677" s="564" t="str">
        <f t="shared" si="138"/>
        <v xml:space="preserve"> </v>
      </c>
      <c r="O677" s="638"/>
      <c r="P677" s="664"/>
      <c r="Q677" s="564" t="str">
        <f>IF(O677&lt;&gt;0,VLOOKUP(O677,'Cây trong'!$A$2:$C$246,3,0)," ")</f>
        <v xml:space="preserve"> </v>
      </c>
      <c r="R677" s="564" t="str">
        <f t="shared" si="144"/>
        <v xml:space="preserve"> </v>
      </c>
      <c r="S677" s="566" t="s">
        <v>1768</v>
      </c>
      <c r="T677" s="589" t="s">
        <v>53</v>
      </c>
      <c r="U677" s="591">
        <v>7.71</v>
      </c>
      <c r="V677" s="589"/>
      <c r="W677" s="564">
        <f>IF(S677&lt;&gt;0,VLOOKUP(S677,VKT!$A$2:$G$415,7,0),"")</f>
        <v>238288</v>
      </c>
      <c r="X677" s="564">
        <f t="shared" si="134"/>
        <v>1837000</v>
      </c>
      <c r="Y677" s="589"/>
      <c r="Z677" s="592"/>
      <c r="AA677" s="592"/>
      <c r="AB677" s="568"/>
      <c r="AC677" s="592"/>
      <c r="AD677" s="592"/>
      <c r="AE677" s="592"/>
      <c r="AF677" s="590"/>
      <c r="AG677" s="570" t="str">
        <f>IF(AE677&lt;&gt;0,VLOOKUP(AE677,ODDS!$A$2:$C$13,3,0),"")</f>
        <v/>
      </c>
      <c r="AH677" s="570" t="str">
        <f t="shared" si="145"/>
        <v xml:space="preserve"> </v>
      </c>
      <c r="AI677" s="571" t="str">
        <f t="shared" si="141"/>
        <v xml:space="preserve"> </v>
      </c>
      <c r="AJ677" s="558"/>
      <c r="AK677" s="558"/>
    </row>
    <row r="678" spans="1:39" s="376" customFormat="1" ht="20.25" outlineLevel="2" x14ac:dyDescent="0.3">
      <c r="A678" s="447">
        <f t="shared" si="149"/>
        <v>57</v>
      </c>
      <c r="B678" s="557"/>
      <c r="C678" s="558"/>
      <c r="D678" s="587"/>
      <c r="E678" s="587"/>
      <c r="F678" s="560"/>
      <c r="G678" s="558"/>
      <c r="H678" s="588"/>
      <c r="I678" s="546"/>
      <c r="J678" s="589"/>
      <c r="K678" s="563" t="str">
        <f>IF(G678&lt;&gt;0,VLOOKUP(G678,'gia dat'!$A$1:$F$144,5,0)," ")</f>
        <v xml:space="preserve"> </v>
      </c>
      <c r="L678" s="563" t="str">
        <f>IF(G678&lt;&gt;0,VLOOKUP(G678,'gia dat'!$A$1:$F$144,6,0)," ")</f>
        <v xml:space="preserve"> </v>
      </c>
      <c r="M678" s="564" t="str">
        <f t="shared" si="137"/>
        <v xml:space="preserve"> </v>
      </c>
      <c r="N678" s="564" t="str">
        <f t="shared" si="138"/>
        <v xml:space="preserve"> </v>
      </c>
      <c r="O678" s="638"/>
      <c r="P678" s="664"/>
      <c r="Q678" s="564" t="str">
        <f>IF(O678&lt;&gt;0,VLOOKUP(O678,'Cây trong'!$A$2:$C$246,3,0)," ")</f>
        <v xml:space="preserve"> </v>
      </c>
      <c r="R678" s="564" t="str">
        <f t="shared" si="144"/>
        <v xml:space="preserve"> </v>
      </c>
      <c r="S678" s="566"/>
      <c r="T678" s="589"/>
      <c r="U678" s="591"/>
      <c r="V678" s="589"/>
      <c r="W678" s="564" t="str">
        <f>IF(S678&lt;&gt;0,VLOOKUP(S678,VKT!$A$2:$G$415,7,0),"")</f>
        <v/>
      </c>
      <c r="X678" s="564" t="str">
        <f t="shared" si="134"/>
        <v xml:space="preserve"> </v>
      </c>
      <c r="Y678" s="589"/>
      <c r="Z678" s="592"/>
      <c r="AA678" s="592"/>
      <c r="AB678" s="568"/>
      <c r="AC678" s="592"/>
      <c r="AD678" s="592"/>
      <c r="AE678" s="592"/>
      <c r="AF678" s="590"/>
      <c r="AG678" s="570" t="str">
        <f>IF(AE678&lt;&gt;0,VLOOKUP(AE678,ODDS!$A$2:$C$13,3,0),"")</f>
        <v/>
      </c>
      <c r="AH678" s="570" t="str">
        <f t="shared" si="145"/>
        <v xml:space="preserve"> </v>
      </c>
      <c r="AI678" s="571" t="str">
        <f t="shared" si="141"/>
        <v xml:space="preserve"> </v>
      </c>
      <c r="AJ678" s="558"/>
      <c r="AK678" s="558"/>
    </row>
    <row r="679" spans="1:39" s="376" customFormat="1" ht="20.25" outlineLevel="2" x14ac:dyDescent="0.3">
      <c r="A679" s="447">
        <f t="shared" si="149"/>
        <v>57</v>
      </c>
      <c r="B679" s="557"/>
      <c r="C679" s="636"/>
      <c r="D679" s="587"/>
      <c r="E679" s="587"/>
      <c r="F679" s="560"/>
      <c r="G679" s="558"/>
      <c r="H679" s="588"/>
      <c r="I679" s="546"/>
      <c r="J679" s="589"/>
      <c r="K679" s="563" t="str">
        <f>IF(G679&lt;&gt;0,VLOOKUP(G679,'gia dat'!$A$1:$F$144,5,0)," ")</f>
        <v xml:space="preserve"> </v>
      </c>
      <c r="L679" s="563" t="str">
        <f>IF(G679&lt;&gt;0,VLOOKUP(G679,'gia dat'!$A$1:$F$144,6,0)," ")</f>
        <v xml:space="preserve"> </v>
      </c>
      <c r="M679" s="564" t="str">
        <f t="shared" si="137"/>
        <v xml:space="preserve"> </v>
      </c>
      <c r="N679" s="564" t="str">
        <f t="shared" si="138"/>
        <v xml:space="preserve"> </v>
      </c>
      <c r="O679" s="638"/>
      <c r="P679" s="664"/>
      <c r="Q679" s="564" t="str">
        <f>IF(O679&lt;&gt;0,VLOOKUP(O679,'Cây trong'!$A$2:$C$246,3,0)," ")</f>
        <v xml:space="preserve"> </v>
      </c>
      <c r="R679" s="564" t="str">
        <f t="shared" si="144"/>
        <v xml:space="preserve"> </v>
      </c>
      <c r="S679" s="566"/>
      <c r="T679" s="589"/>
      <c r="U679" s="591"/>
      <c r="V679" s="589"/>
      <c r="W679" s="564" t="str">
        <f>IF(S679&lt;&gt;0,VLOOKUP(S679,VKT!$A$2:$G$415,7,0),"")</f>
        <v/>
      </c>
      <c r="X679" s="564" t="str">
        <f t="shared" si="134"/>
        <v xml:space="preserve"> </v>
      </c>
      <c r="Y679" s="589"/>
      <c r="Z679" s="592"/>
      <c r="AA679" s="592"/>
      <c r="AB679" s="568"/>
      <c r="AC679" s="592"/>
      <c r="AD679" s="592"/>
      <c r="AE679" s="592"/>
      <c r="AF679" s="590"/>
      <c r="AG679" s="570" t="str">
        <f>IF(AE679&lt;&gt;0,VLOOKUP(AE679,ODDS!$A$2:$C$13,3,0),"")</f>
        <v/>
      </c>
      <c r="AH679" s="570" t="str">
        <f t="shared" si="145"/>
        <v xml:space="preserve"> </v>
      </c>
      <c r="AI679" s="571" t="str">
        <f t="shared" si="141"/>
        <v xml:space="preserve"> </v>
      </c>
      <c r="AJ679" s="593"/>
      <c r="AK679" s="593"/>
    </row>
    <row r="680" spans="1:39" s="376" customFormat="1" ht="40.5" outlineLevel="1" x14ac:dyDescent="0.25">
      <c r="A680" s="467" t="s">
        <v>2652</v>
      </c>
      <c r="B680" s="576">
        <v>58</v>
      </c>
      <c r="C680" s="636" t="s">
        <v>287</v>
      </c>
      <c r="D680" s="595"/>
      <c r="E680" s="595"/>
      <c r="F680" s="577"/>
      <c r="G680" s="574"/>
      <c r="H680" s="618">
        <f>SUBTOTAL(9,H681:H687)</f>
        <v>64.3</v>
      </c>
      <c r="I680" s="579">
        <f>SUBTOTAL(9,I681:I686)</f>
        <v>0</v>
      </c>
      <c r="J680" s="597"/>
      <c r="K680" s="581"/>
      <c r="L680" s="581"/>
      <c r="M680" s="571">
        <f>SUBTOTAL(9,M681:M687)</f>
        <v>29938000</v>
      </c>
      <c r="N680" s="571">
        <f>SUBTOTAL(9,N681:N687)</f>
        <v>0</v>
      </c>
      <c r="O680" s="673"/>
      <c r="P680" s="676">
        <f>SUBTOTAL(9,P681:P687)</f>
        <v>0</v>
      </c>
      <c r="Q680" s="571"/>
      <c r="R680" s="571">
        <f>SUBTOTAL(9,R681:R687)</f>
        <v>0</v>
      </c>
      <c r="S680" s="673"/>
      <c r="T680" s="674"/>
      <c r="U680" s="600">
        <f>SUBTOTAL(9,U681:U687)</f>
        <v>87.92</v>
      </c>
      <c r="V680" s="597"/>
      <c r="W680" s="571"/>
      <c r="X680" s="571">
        <f>SUBTOTAL(9,X681:X687)</f>
        <v>40431000</v>
      </c>
      <c r="Y680" s="589"/>
      <c r="Z680" s="592"/>
      <c r="AA680" s="592"/>
      <c r="AB680" s="568"/>
      <c r="AC680" s="592"/>
      <c r="AD680" s="592"/>
      <c r="AE680" s="601"/>
      <c r="AF680" s="599">
        <f>SUBTOTAL(9,AF681:AF687)</f>
        <v>0</v>
      </c>
      <c r="AG680" s="585"/>
      <c r="AH680" s="585">
        <f>SUBTOTAL(9,AH681:AH687)</f>
        <v>0</v>
      </c>
      <c r="AI680" s="571">
        <f t="shared" si="141"/>
        <v>70369000</v>
      </c>
      <c r="AJ680" s="574"/>
      <c r="AK680" s="578"/>
    </row>
    <row r="681" spans="1:39" s="376" customFormat="1" ht="121.5" outlineLevel="2" x14ac:dyDescent="0.3">
      <c r="A681" s="447">
        <f>IF(B680&lt;&gt;0,B680,A679)</f>
        <v>58</v>
      </c>
      <c r="B681" s="557"/>
      <c r="C681" s="637" t="s">
        <v>288</v>
      </c>
      <c r="D681" s="587">
        <v>4</v>
      </c>
      <c r="E681" s="587">
        <v>86</v>
      </c>
      <c r="F681" s="560">
        <v>133</v>
      </c>
      <c r="G681" s="558" t="s">
        <v>2476</v>
      </c>
      <c r="H681" s="588">
        <f>64.3-H682</f>
        <v>64.3</v>
      </c>
      <c r="I681" s="546" t="str">
        <f t="shared" ref="I681" si="150">IF(N681&gt;0,H681,"")</f>
        <v/>
      </c>
      <c r="J681" s="589"/>
      <c r="K681" s="563">
        <f>IF(G681&lt;&gt;0,VLOOKUP(G681,'gia dat'!$A$1:$F$144,5,0)," ")</f>
        <v>465600</v>
      </c>
      <c r="L681" s="563">
        <f>IF(G681&lt;&gt;0,VLOOKUP(G681,'gia dat'!$A$1:$F$144,6,0)," ")</f>
        <v>0</v>
      </c>
      <c r="M681" s="564">
        <f t="shared" si="137"/>
        <v>29938000</v>
      </c>
      <c r="N681" s="564">
        <f t="shared" si="138"/>
        <v>0</v>
      </c>
      <c r="O681" s="638"/>
      <c r="P681" s="677"/>
      <c r="Q681" s="564" t="str">
        <f>IF(O681&lt;&gt;0,VLOOKUP(O681,'Cây trong'!$A$2:$C$246,3,0)," ")</f>
        <v xml:space="preserve"> </v>
      </c>
      <c r="R681" s="564" t="str">
        <f t="shared" si="144"/>
        <v xml:space="preserve"> </v>
      </c>
      <c r="S681" s="638" t="s">
        <v>1839</v>
      </c>
      <c r="T681" s="639" t="s">
        <v>53</v>
      </c>
      <c r="U681" s="591">
        <v>39.299999999999997</v>
      </c>
      <c r="V681" s="589"/>
      <c r="W681" s="564">
        <f>IF(S681&lt;&gt;0,VLOOKUP(S681,VKT!$A$2:$G$415,7,0),"")</f>
        <v>244604</v>
      </c>
      <c r="X681" s="564">
        <f t="shared" si="134"/>
        <v>9613000</v>
      </c>
      <c r="Y681" s="589"/>
      <c r="Z681" s="592"/>
      <c r="AA681" s="592"/>
      <c r="AB681" s="568"/>
      <c r="AC681" s="592"/>
      <c r="AD681" s="592"/>
      <c r="AE681" s="592"/>
      <c r="AF681" s="590"/>
      <c r="AG681" s="570" t="str">
        <f>IF(AE681&lt;&gt;0,VLOOKUP(AE681,ODDS!$A$2:$C$13,3,0),"")</f>
        <v/>
      </c>
      <c r="AH681" s="570"/>
      <c r="AI681" s="571" t="str">
        <f t="shared" si="141"/>
        <v xml:space="preserve"> </v>
      </c>
      <c r="AJ681" s="558" t="s">
        <v>289</v>
      </c>
      <c r="AK681" s="586" t="s">
        <v>2771</v>
      </c>
    </row>
    <row r="682" spans="1:39" s="376" customFormat="1" ht="121.5" outlineLevel="2" x14ac:dyDescent="0.3">
      <c r="A682" s="447">
        <f t="shared" ref="A682:A687" si="151">IF(B681&lt;&gt;0,B681,A681)</f>
        <v>58</v>
      </c>
      <c r="B682" s="557"/>
      <c r="C682" s="637" t="s">
        <v>693</v>
      </c>
      <c r="D682" s="587"/>
      <c r="E682" s="587"/>
      <c r="F682" s="560"/>
      <c r="G682" s="558"/>
      <c r="H682" s="588"/>
      <c r="I682" s="546"/>
      <c r="J682" s="589"/>
      <c r="K682" s="563" t="str">
        <f>IF(G682&lt;&gt;0,VLOOKUP(G682,'gia dat'!$A$1:$F$144,5,0)," ")</f>
        <v xml:space="preserve"> </v>
      </c>
      <c r="L682" s="563" t="str">
        <f>IF(G682&lt;&gt;0,VLOOKUP(G682,'gia dat'!$A$1:$F$144,6,0)," ")</f>
        <v xml:space="preserve"> </v>
      </c>
      <c r="M682" s="564" t="str">
        <f t="shared" si="137"/>
        <v xml:space="preserve"> </v>
      </c>
      <c r="N682" s="564" t="str">
        <f t="shared" si="138"/>
        <v xml:space="preserve"> </v>
      </c>
      <c r="O682" s="638"/>
      <c r="P682" s="664"/>
      <c r="Q682" s="564" t="str">
        <f>IF(O682&lt;&gt;0,VLOOKUP(O682,'Cây trong'!$A$2:$C$246,3,0)," ")</f>
        <v xml:space="preserve"> </v>
      </c>
      <c r="R682" s="564" t="str">
        <f t="shared" si="144"/>
        <v xml:space="preserve"> </v>
      </c>
      <c r="S682" s="638" t="s">
        <v>1749</v>
      </c>
      <c r="T682" s="639" t="s">
        <v>53</v>
      </c>
      <c r="U682" s="591">
        <v>14.5</v>
      </c>
      <c r="V682" s="589"/>
      <c r="W682" s="564">
        <f>IF(S682&lt;&gt;0,VLOOKUP(S682,VKT!$A$2:$G$415,7,0),"")</f>
        <v>211811</v>
      </c>
      <c r="X682" s="564">
        <f t="shared" si="134"/>
        <v>3071000</v>
      </c>
      <c r="Y682" s="589"/>
      <c r="Z682" s="592"/>
      <c r="AA682" s="592"/>
      <c r="AB682" s="568"/>
      <c r="AC682" s="592"/>
      <c r="AD682" s="592"/>
      <c r="AE682" s="592"/>
      <c r="AF682" s="590"/>
      <c r="AG682" s="570" t="str">
        <f>IF(AE682&lt;&gt;0,VLOOKUP(AE682,ODDS!$A$2:$C$13,3,0),"")</f>
        <v/>
      </c>
      <c r="AH682" s="570" t="str">
        <f t="shared" si="145"/>
        <v xml:space="preserve"> </v>
      </c>
      <c r="AI682" s="571" t="str">
        <f t="shared" si="141"/>
        <v xml:space="preserve"> </v>
      </c>
      <c r="AJ682" s="558" t="s">
        <v>548</v>
      </c>
      <c r="AK682" s="558" t="s">
        <v>2450</v>
      </c>
    </row>
    <row r="683" spans="1:39" s="376" customFormat="1" ht="101.25" outlineLevel="2" x14ac:dyDescent="0.3">
      <c r="A683" s="447">
        <f t="shared" si="151"/>
        <v>58</v>
      </c>
      <c r="B683" s="557"/>
      <c r="C683" s="558" t="s">
        <v>299</v>
      </c>
      <c r="D683" s="587"/>
      <c r="E683" s="587"/>
      <c r="F683" s="560"/>
      <c r="G683" s="558"/>
      <c r="H683" s="588"/>
      <c r="I683" s="546"/>
      <c r="J683" s="589"/>
      <c r="K683" s="563" t="str">
        <f>IF(G683&lt;&gt;0,VLOOKUP(G683,'gia dat'!$A$1:$F$144,5,0)," ")</f>
        <v xml:space="preserve"> </v>
      </c>
      <c r="L683" s="563" t="str">
        <f>IF(G683&lt;&gt;0,VLOOKUP(G683,'gia dat'!$A$1:$F$144,6,0)," ")</f>
        <v xml:space="preserve"> </v>
      </c>
      <c r="M683" s="564" t="str">
        <f t="shared" si="137"/>
        <v xml:space="preserve"> </v>
      </c>
      <c r="N683" s="564" t="str">
        <f t="shared" si="138"/>
        <v xml:space="preserve"> </v>
      </c>
      <c r="O683" s="638"/>
      <c r="P683" s="664"/>
      <c r="Q683" s="564" t="str">
        <f>IF(O683&lt;&gt;0,VLOOKUP(O683,'Cây trong'!$A$2:$C$246,3,0)," ")</f>
        <v xml:space="preserve"> </v>
      </c>
      <c r="R683" s="564" t="str">
        <f t="shared" si="144"/>
        <v xml:space="preserve"> </v>
      </c>
      <c r="S683" s="638" t="s">
        <v>2154</v>
      </c>
      <c r="T683" s="639" t="s">
        <v>53</v>
      </c>
      <c r="U683" s="591">
        <v>19</v>
      </c>
      <c r="V683" s="589"/>
      <c r="W683" s="564">
        <f>IF(S683&lt;&gt;0,VLOOKUP(S683,VKT!$A$2:$G$415,7,0),"")</f>
        <v>949258</v>
      </c>
      <c r="X683" s="564">
        <f t="shared" si="134"/>
        <v>18036000</v>
      </c>
      <c r="Y683" s="589"/>
      <c r="Z683" s="592"/>
      <c r="AA683" s="592"/>
      <c r="AB683" s="568"/>
      <c r="AC683" s="592"/>
      <c r="AD683" s="592"/>
      <c r="AE683" s="592"/>
      <c r="AF683" s="590"/>
      <c r="AG683" s="570" t="str">
        <f>IF(AE683&lt;&gt;0,VLOOKUP(AE683,ODDS!$A$2:$C$13,3,0),"")</f>
        <v/>
      </c>
      <c r="AH683" s="570" t="str">
        <f t="shared" si="145"/>
        <v xml:space="preserve"> </v>
      </c>
      <c r="AI683" s="571" t="str">
        <f t="shared" si="141"/>
        <v xml:space="preserve"> </v>
      </c>
      <c r="AJ683" s="558" t="s">
        <v>2208</v>
      </c>
      <c r="AK683" s="558" t="s">
        <v>2800</v>
      </c>
    </row>
    <row r="684" spans="1:39" s="376" customFormat="1" ht="60.75" outlineLevel="2" x14ac:dyDescent="0.3">
      <c r="A684" s="447">
        <f t="shared" si="151"/>
        <v>58</v>
      </c>
      <c r="B684" s="557"/>
      <c r="C684" s="558"/>
      <c r="D684" s="587"/>
      <c r="E684" s="587"/>
      <c r="F684" s="560"/>
      <c r="G684" s="558"/>
      <c r="H684" s="588"/>
      <c r="I684" s="546"/>
      <c r="J684" s="589"/>
      <c r="K684" s="563" t="str">
        <f>IF(G684&lt;&gt;0,VLOOKUP(G684,'gia dat'!$A$1:$F$144,5,0)," ")</f>
        <v xml:space="preserve"> </v>
      </c>
      <c r="L684" s="563" t="str">
        <f>IF(G684&lt;&gt;0,VLOOKUP(G684,'gia dat'!$A$1:$F$144,6,0)," ")</f>
        <v xml:space="preserve"> </v>
      </c>
      <c r="M684" s="564" t="str">
        <f t="shared" si="137"/>
        <v xml:space="preserve"> </v>
      </c>
      <c r="N684" s="564" t="str">
        <f t="shared" si="138"/>
        <v xml:space="preserve"> </v>
      </c>
      <c r="O684" s="638"/>
      <c r="P684" s="664"/>
      <c r="Q684" s="564" t="str">
        <f>IF(O684&lt;&gt;0,VLOOKUP(O684,'Cây trong'!$A$2:$C$246,3,0)," ")</f>
        <v xml:space="preserve"> </v>
      </c>
      <c r="R684" s="564" t="str">
        <f t="shared" si="144"/>
        <v xml:space="preserve"> </v>
      </c>
      <c r="S684" s="638" t="s">
        <v>2155</v>
      </c>
      <c r="T684" s="639" t="s">
        <v>53</v>
      </c>
      <c r="U684" s="591">
        <v>15.12</v>
      </c>
      <c r="V684" s="589"/>
      <c r="W684" s="564">
        <f>IF(S684&lt;&gt;0,VLOOKUP(S684,VKT!$A$2:$G$415,7,0),"")</f>
        <v>642264</v>
      </c>
      <c r="X684" s="564">
        <f t="shared" si="134"/>
        <v>9711000</v>
      </c>
      <c r="Y684" s="589"/>
      <c r="Z684" s="592"/>
      <c r="AA684" s="592"/>
      <c r="AB684" s="568"/>
      <c r="AC684" s="592"/>
      <c r="AD684" s="592"/>
      <c r="AE684" s="592"/>
      <c r="AF684" s="590"/>
      <c r="AG684" s="570" t="str">
        <f>IF(AE684&lt;&gt;0,VLOOKUP(AE684,ODDS!$A$2:$C$13,3,0),"")</f>
        <v/>
      </c>
      <c r="AH684" s="570" t="str">
        <f t="shared" si="145"/>
        <v xml:space="preserve"> </v>
      </c>
      <c r="AI684" s="571" t="str">
        <f t="shared" si="141"/>
        <v xml:space="preserve"> </v>
      </c>
      <c r="AJ684" s="575"/>
      <c r="AK684" s="593"/>
      <c r="AM684" s="378" t="s">
        <v>2153</v>
      </c>
    </row>
    <row r="685" spans="1:39" s="376" customFormat="1" ht="20.25" outlineLevel="2" x14ac:dyDescent="0.3">
      <c r="A685" s="447">
        <f t="shared" si="151"/>
        <v>58</v>
      </c>
      <c r="B685" s="557"/>
      <c r="C685" s="558"/>
      <c r="D685" s="587"/>
      <c r="E685" s="587"/>
      <c r="F685" s="615"/>
      <c r="G685" s="558"/>
      <c r="H685" s="604"/>
      <c r="I685" s="546"/>
      <c r="J685" s="593"/>
      <c r="K685" s="563" t="str">
        <f>IF(G685&lt;&gt;0,VLOOKUP(G685,'gia dat'!$A$1:$F$144,5,0)," ")</f>
        <v xml:space="preserve"> </v>
      </c>
      <c r="L685" s="563" t="str">
        <f>IF(G685&lt;&gt;0,VLOOKUP(G685,'gia dat'!$A$1:$F$144,6,0)," ")</f>
        <v xml:space="preserve"> </v>
      </c>
      <c r="M685" s="564" t="str">
        <f t="shared" si="137"/>
        <v xml:space="preserve"> </v>
      </c>
      <c r="N685" s="564" t="str">
        <f t="shared" si="138"/>
        <v xml:space="preserve"> </v>
      </c>
      <c r="O685" s="593"/>
      <c r="P685" s="616"/>
      <c r="Q685" s="564" t="str">
        <f>IF(O685&lt;&gt;0,VLOOKUP(O685,'Cây trong'!$A$2:$C$246,3,0)," ")</f>
        <v xml:space="preserve"> </v>
      </c>
      <c r="R685" s="564" t="str">
        <f t="shared" si="144"/>
        <v xml:space="preserve"> </v>
      </c>
      <c r="S685" s="593"/>
      <c r="T685" s="593"/>
      <c r="U685" s="617"/>
      <c r="V685" s="589"/>
      <c r="W685" s="564" t="str">
        <f>IF(S685&lt;&gt;0,VLOOKUP(S685,VKT!$A$2:$G$415,7,0),"")</f>
        <v/>
      </c>
      <c r="X685" s="564" t="str">
        <f t="shared" si="134"/>
        <v xml:space="preserve"> </v>
      </c>
      <c r="Y685" s="589"/>
      <c r="Z685" s="589"/>
      <c r="AA685" s="589"/>
      <c r="AB685" s="562"/>
      <c r="AC685" s="589"/>
      <c r="AD685" s="589"/>
      <c r="AE685" s="589"/>
      <c r="AF685" s="629"/>
      <c r="AG685" s="570" t="str">
        <f>IF(AE685&lt;&gt;0,VLOOKUP(AE685,ODDS!$A$2:$C$13,3,0),"")</f>
        <v/>
      </c>
      <c r="AH685" s="570" t="str">
        <f t="shared" si="145"/>
        <v xml:space="preserve"> </v>
      </c>
      <c r="AI685" s="571" t="str">
        <f t="shared" si="141"/>
        <v xml:space="preserve"> </v>
      </c>
      <c r="AJ685" s="575"/>
      <c r="AK685" s="593"/>
    </row>
    <row r="686" spans="1:39" s="376" customFormat="1" ht="20.25" outlineLevel="2" x14ac:dyDescent="0.3">
      <c r="A686" s="447">
        <f t="shared" si="151"/>
        <v>58</v>
      </c>
      <c r="B686" s="557"/>
      <c r="C686" s="574"/>
      <c r="D686" s="587"/>
      <c r="E686" s="587"/>
      <c r="F686" s="560"/>
      <c r="G686" s="558"/>
      <c r="H686" s="588"/>
      <c r="I686" s="546"/>
      <c r="J686" s="589"/>
      <c r="K686" s="563" t="str">
        <f>IF(G686&lt;&gt;0,VLOOKUP(G686,'gia dat'!$A$1:$F$144,5,0)," ")</f>
        <v xml:space="preserve"> </v>
      </c>
      <c r="L686" s="563" t="str">
        <f>IF(G686&lt;&gt;0,VLOOKUP(G686,'gia dat'!$A$1:$F$144,6,0)," ")</f>
        <v xml:space="preserve"> </v>
      </c>
      <c r="M686" s="564" t="str">
        <f t="shared" si="137"/>
        <v xml:space="preserve"> </v>
      </c>
      <c r="N686" s="564" t="str">
        <f t="shared" si="138"/>
        <v xml:space="preserve"> </v>
      </c>
      <c r="O686" s="638"/>
      <c r="P686" s="664"/>
      <c r="Q686" s="564" t="str">
        <f>IF(O686&lt;&gt;0,VLOOKUP(O686,'Cây trong'!$A$2:$C$246,3,0)," ")</f>
        <v xml:space="preserve"> </v>
      </c>
      <c r="R686" s="564" t="str">
        <f t="shared" si="144"/>
        <v xml:space="preserve"> </v>
      </c>
      <c r="S686" s="638"/>
      <c r="T686" s="639"/>
      <c r="U686" s="591"/>
      <c r="V686" s="589"/>
      <c r="W686" s="564" t="str">
        <f>IF(S686&lt;&gt;0,VLOOKUP(S686,VKT!$A$2:$G$415,7,0),"")</f>
        <v/>
      </c>
      <c r="X686" s="564" t="str">
        <f t="shared" si="134"/>
        <v xml:space="preserve"> </v>
      </c>
      <c r="Y686" s="589"/>
      <c r="Z686" s="592"/>
      <c r="AA686" s="592"/>
      <c r="AB686" s="568"/>
      <c r="AC686" s="592"/>
      <c r="AD686" s="592"/>
      <c r="AE686" s="592"/>
      <c r="AF686" s="590"/>
      <c r="AG686" s="570" t="str">
        <f>IF(AE686&lt;&gt;0,VLOOKUP(AE686,ODDS!$A$2:$C$13,3,0),"")</f>
        <v/>
      </c>
      <c r="AH686" s="570" t="str">
        <f t="shared" si="145"/>
        <v xml:space="preserve"> </v>
      </c>
      <c r="AI686" s="571" t="str">
        <f t="shared" si="141"/>
        <v xml:space="preserve"> </v>
      </c>
      <c r="AJ686" s="593"/>
      <c r="AK686" s="593"/>
    </row>
    <row r="687" spans="1:39" s="376" customFormat="1" ht="20.25" outlineLevel="2" x14ac:dyDescent="0.3">
      <c r="A687" s="447">
        <f t="shared" si="151"/>
        <v>58</v>
      </c>
      <c r="B687" s="557"/>
      <c r="C687" s="574"/>
      <c r="D687" s="587"/>
      <c r="E687" s="587"/>
      <c r="F687" s="560"/>
      <c r="G687" s="558"/>
      <c r="H687" s="588"/>
      <c r="I687" s="546"/>
      <c r="J687" s="589"/>
      <c r="K687" s="563" t="str">
        <f>IF(G687&lt;&gt;0,VLOOKUP(G687,'gia dat'!$A$1:$F$144,5,0)," ")</f>
        <v xml:space="preserve"> </v>
      </c>
      <c r="L687" s="563" t="str">
        <f>IF(G687&lt;&gt;0,VLOOKUP(G687,'gia dat'!$A$1:$F$144,6,0)," ")</f>
        <v xml:space="preserve"> </v>
      </c>
      <c r="M687" s="564" t="str">
        <f t="shared" si="137"/>
        <v xml:space="preserve"> </v>
      </c>
      <c r="N687" s="564" t="str">
        <f t="shared" si="138"/>
        <v xml:space="preserve"> </v>
      </c>
      <c r="O687" s="638"/>
      <c r="P687" s="664"/>
      <c r="Q687" s="564" t="str">
        <f>IF(O687&lt;&gt;0,VLOOKUP(O687,'Cây trong'!$A$2:$C$246,3,0)," ")</f>
        <v xml:space="preserve"> </v>
      </c>
      <c r="R687" s="564" t="str">
        <f t="shared" si="144"/>
        <v xml:space="preserve"> </v>
      </c>
      <c r="S687" s="638"/>
      <c r="T687" s="639"/>
      <c r="U687" s="591"/>
      <c r="V687" s="589"/>
      <c r="W687" s="564" t="str">
        <f>IF(S687&lt;&gt;0,VLOOKUP(S687,VKT!$A$2:$G$415,7,0),"")</f>
        <v/>
      </c>
      <c r="X687" s="564" t="str">
        <f t="shared" si="134"/>
        <v xml:space="preserve"> </v>
      </c>
      <c r="Y687" s="589"/>
      <c r="Z687" s="592"/>
      <c r="AA687" s="592"/>
      <c r="AB687" s="568"/>
      <c r="AC687" s="592"/>
      <c r="AD687" s="592"/>
      <c r="AE687" s="592"/>
      <c r="AF687" s="590"/>
      <c r="AG687" s="570" t="str">
        <f>IF(AE687&lt;&gt;0,VLOOKUP(AE687,ODDS!$A$2:$C$13,3,0),"")</f>
        <v/>
      </c>
      <c r="AH687" s="570" t="str">
        <f t="shared" si="145"/>
        <v xml:space="preserve"> </v>
      </c>
      <c r="AI687" s="571" t="str">
        <f t="shared" si="141"/>
        <v xml:space="preserve"> </v>
      </c>
      <c r="AJ687" s="593"/>
      <c r="AK687" s="593"/>
    </row>
    <row r="688" spans="1:39" s="376" customFormat="1" ht="40.5" outlineLevel="1" x14ac:dyDescent="0.25">
      <c r="A688" s="467" t="s">
        <v>2651</v>
      </c>
      <c r="B688" s="576">
        <v>59</v>
      </c>
      <c r="C688" s="574" t="s">
        <v>290</v>
      </c>
      <c r="D688" s="595"/>
      <c r="E688" s="595"/>
      <c r="F688" s="577"/>
      <c r="G688" s="574"/>
      <c r="H688" s="618">
        <f>SUBTOTAL(9,H689:H695)</f>
        <v>31.6</v>
      </c>
      <c r="I688" s="579">
        <f>SUBTOTAL(9,I689:I694)</f>
        <v>0</v>
      </c>
      <c r="J688" s="597"/>
      <c r="K688" s="581"/>
      <c r="L688" s="581"/>
      <c r="M688" s="571">
        <f>SUBTOTAL(9,M689:M695)</f>
        <v>14713000</v>
      </c>
      <c r="N688" s="571">
        <f>SUBTOTAL(9,N689:N695)</f>
        <v>0</v>
      </c>
      <c r="O688" s="673"/>
      <c r="P688" s="675">
        <f>SUBTOTAL(9,P689:P695)</f>
        <v>0</v>
      </c>
      <c r="Q688" s="571"/>
      <c r="R688" s="571">
        <f>SUBTOTAL(9,R689:R695)</f>
        <v>0</v>
      </c>
      <c r="S688" s="673"/>
      <c r="T688" s="674"/>
      <c r="U688" s="600">
        <f>SUBTOTAL(9,U689:U695)</f>
        <v>0</v>
      </c>
      <c r="V688" s="597"/>
      <c r="W688" s="571"/>
      <c r="X688" s="571">
        <f>SUBTOTAL(9,X689:X695)</f>
        <v>0</v>
      </c>
      <c r="Y688" s="589"/>
      <c r="Z688" s="592"/>
      <c r="AA688" s="592"/>
      <c r="AB688" s="568"/>
      <c r="AC688" s="592"/>
      <c r="AD688" s="592"/>
      <c r="AE688" s="601"/>
      <c r="AF688" s="599">
        <f>SUBTOTAL(9,AF689:AF695)</f>
        <v>0</v>
      </c>
      <c r="AG688" s="585"/>
      <c r="AH688" s="585">
        <f>SUBTOTAL(9,AH689:AH695)</f>
        <v>0</v>
      </c>
      <c r="AI688" s="571">
        <f t="shared" si="141"/>
        <v>14713000</v>
      </c>
      <c r="AJ688" s="574"/>
      <c r="AK688" s="578"/>
    </row>
    <row r="689" spans="1:37" s="376" customFormat="1" ht="121.5" outlineLevel="2" x14ac:dyDescent="0.3">
      <c r="A689" s="447">
        <f>IF(B688&lt;&gt;0,B688,A687)</f>
        <v>59</v>
      </c>
      <c r="B689" s="557"/>
      <c r="C689" s="558" t="s">
        <v>291</v>
      </c>
      <c r="D689" s="587">
        <v>4</v>
      </c>
      <c r="E689" s="587">
        <v>86</v>
      </c>
      <c r="F689" s="560">
        <v>132</v>
      </c>
      <c r="G689" s="558" t="s">
        <v>2476</v>
      </c>
      <c r="H689" s="588">
        <f>25.6-H691</f>
        <v>25.6</v>
      </c>
      <c r="I689" s="546" t="str">
        <f t="shared" ref="I689:I690" si="152">IF(N689&gt;0,H689,"")</f>
        <v/>
      </c>
      <c r="J689" s="589"/>
      <c r="K689" s="563">
        <f>IF(G689&lt;&gt;0,VLOOKUP(G689,'gia dat'!$A$1:$F$144,5,0)," ")</f>
        <v>465600</v>
      </c>
      <c r="L689" s="563">
        <f>IF(G689&lt;&gt;0,VLOOKUP(G689,'gia dat'!$A$1:$F$144,6,0)," ")</f>
        <v>0</v>
      </c>
      <c r="M689" s="564">
        <f t="shared" si="137"/>
        <v>11919000</v>
      </c>
      <c r="N689" s="564">
        <f t="shared" si="138"/>
        <v>0</v>
      </c>
      <c r="O689" s="638"/>
      <c r="P689" s="664"/>
      <c r="Q689" s="564" t="str">
        <f>IF(O689&lt;&gt;0,VLOOKUP(O689,'Cây trong'!$A$2:$C$246,3,0)," ")</f>
        <v xml:space="preserve"> </v>
      </c>
      <c r="R689" s="564" t="str">
        <f t="shared" si="144"/>
        <v xml:space="preserve"> </v>
      </c>
      <c r="S689" s="638"/>
      <c r="T689" s="639"/>
      <c r="U689" s="591"/>
      <c r="V689" s="589"/>
      <c r="W689" s="564" t="str">
        <f>IF(S689&lt;&gt;0,VLOOKUP(S689,VKT!$A$2:$G$415,7,0),"")</f>
        <v/>
      </c>
      <c r="X689" s="564" t="str">
        <f t="shared" si="134"/>
        <v xml:space="preserve"> </v>
      </c>
      <c r="Y689" s="589"/>
      <c r="Z689" s="592"/>
      <c r="AA689" s="592"/>
      <c r="AB689" s="568"/>
      <c r="AC689" s="592"/>
      <c r="AD689" s="592"/>
      <c r="AE689" s="592"/>
      <c r="AF689" s="590"/>
      <c r="AG689" s="570" t="str">
        <f>IF(AE689&lt;&gt;0,VLOOKUP(AE689,ODDS!$A$2:$C$13,3,0),"")</f>
        <v/>
      </c>
      <c r="AH689" s="570"/>
      <c r="AI689" s="571" t="str">
        <f t="shared" si="141"/>
        <v xml:space="preserve"> </v>
      </c>
      <c r="AJ689" s="558" t="s">
        <v>1704</v>
      </c>
      <c r="AK689" s="586" t="s">
        <v>2771</v>
      </c>
    </row>
    <row r="690" spans="1:37" s="376" customFormat="1" ht="81" outlineLevel="2" x14ac:dyDescent="0.3">
      <c r="A690" s="447">
        <f t="shared" ref="A690:A695" si="153">IF(B689&lt;&gt;0,B689,A689)</f>
        <v>59</v>
      </c>
      <c r="B690" s="557"/>
      <c r="C690" s="558" t="s">
        <v>694</v>
      </c>
      <c r="D690" s="587"/>
      <c r="E690" s="587"/>
      <c r="F690" s="560"/>
      <c r="G690" s="558" t="s">
        <v>2477</v>
      </c>
      <c r="H690" s="588">
        <v>6</v>
      </c>
      <c r="I690" s="546" t="str">
        <f t="shared" si="152"/>
        <v/>
      </c>
      <c r="J690" s="589"/>
      <c r="K690" s="563">
        <f>IF(G690&lt;&gt;0,VLOOKUP(G690,'gia dat'!$A$1:$F$144,5,0)," ")</f>
        <v>465600</v>
      </c>
      <c r="L690" s="563">
        <f>IF(G690&lt;&gt;0,VLOOKUP(G690,'gia dat'!$A$1:$F$144,6,0)," ")</f>
        <v>0</v>
      </c>
      <c r="M690" s="564">
        <f t="shared" si="137"/>
        <v>2794000</v>
      </c>
      <c r="N690" s="564">
        <f t="shared" si="138"/>
        <v>0</v>
      </c>
      <c r="O690" s="638"/>
      <c r="P690" s="664"/>
      <c r="Q690" s="564" t="str">
        <f>IF(O690&lt;&gt;0,VLOOKUP(O690,'Cây trong'!$A$2:$C$246,3,0)," ")</f>
        <v xml:space="preserve"> </v>
      </c>
      <c r="R690" s="564" t="str">
        <f t="shared" si="144"/>
        <v xml:space="preserve"> </v>
      </c>
      <c r="S690" s="638"/>
      <c r="T690" s="639"/>
      <c r="U690" s="591"/>
      <c r="V690" s="589"/>
      <c r="W690" s="564" t="str">
        <f>IF(S690&lt;&gt;0,VLOOKUP(S690,VKT!$A$2:$G$415,7,0),"")</f>
        <v/>
      </c>
      <c r="X690" s="564" t="str">
        <f t="shared" si="134"/>
        <v xml:space="preserve"> </v>
      </c>
      <c r="Y690" s="589"/>
      <c r="Z690" s="592"/>
      <c r="AA690" s="592"/>
      <c r="AB690" s="568"/>
      <c r="AC690" s="592"/>
      <c r="AD690" s="592"/>
      <c r="AE690" s="592"/>
      <c r="AF690" s="590"/>
      <c r="AG690" s="570" t="str">
        <f>IF(AE690&lt;&gt;0,VLOOKUP(AE690,ODDS!$A$2:$C$13,3,0),"")</f>
        <v/>
      </c>
      <c r="AH690" s="570" t="str">
        <f t="shared" si="145"/>
        <v xml:space="preserve"> </v>
      </c>
      <c r="AI690" s="571" t="str">
        <f t="shared" si="141"/>
        <v xml:space="preserve"> </v>
      </c>
      <c r="AJ690" s="558" t="s">
        <v>553</v>
      </c>
      <c r="AK690" s="558"/>
    </row>
    <row r="691" spans="1:37" s="376" customFormat="1" ht="101.25" outlineLevel="2" x14ac:dyDescent="0.3">
      <c r="A691" s="447">
        <f t="shared" si="153"/>
        <v>59</v>
      </c>
      <c r="B691" s="557"/>
      <c r="C691" s="558" t="s">
        <v>315</v>
      </c>
      <c r="D691" s="587"/>
      <c r="E691" s="587"/>
      <c r="F691" s="560"/>
      <c r="G691" s="558"/>
      <c r="H691" s="588"/>
      <c r="I691" s="546"/>
      <c r="J691" s="589"/>
      <c r="K691" s="563" t="str">
        <f>IF(G691&lt;&gt;0,VLOOKUP(G691,'gia dat'!$A$1:$F$144,5,0)," ")</f>
        <v xml:space="preserve"> </v>
      </c>
      <c r="L691" s="563" t="str">
        <f>IF(G691&lt;&gt;0,VLOOKUP(G691,'gia dat'!$A$1:$F$144,6,0)," ")</f>
        <v xml:space="preserve"> </v>
      </c>
      <c r="M691" s="564" t="str">
        <f t="shared" si="137"/>
        <v xml:space="preserve"> </v>
      </c>
      <c r="N691" s="564" t="str">
        <f t="shared" si="138"/>
        <v xml:space="preserve"> </v>
      </c>
      <c r="O691" s="638"/>
      <c r="P691" s="664"/>
      <c r="Q691" s="564" t="str">
        <f>IF(O691&lt;&gt;0,VLOOKUP(O691,'Cây trong'!$A$2:$C$246,3,0)," ")</f>
        <v xml:space="preserve"> </v>
      </c>
      <c r="R691" s="564" t="str">
        <f t="shared" si="144"/>
        <v xml:space="preserve"> </v>
      </c>
      <c r="S691" s="638"/>
      <c r="T691" s="639"/>
      <c r="U691" s="591"/>
      <c r="V691" s="589"/>
      <c r="W691" s="564" t="str">
        <f>IF(S691&lt;&gt;0,VLOOKUP(S691,VKT!$A$2:$G$415,7,0),"")</f>
        <v/>
      </c>
      <c r="X691" s="564" t="str">
        <f t="shared" si="134"/>
        <v xml:space="preserve"> </v>
      </c>
      <c r="Y691" s="589"/>
      <c r="Z691" s="592"/>
      <c r="AA691" s="592"/>
      <c r="AB691" s="568"/>
      <c r="AC691" s="592"/>
      <c r="AD691" s="592"/>
      <c r="AE691" s="592"/>
      <c r="AF691" s="590"/>
      <c r="AG691" s="570" t="str">
        <f>IF(AE691&lt;&gt;0,VLOOKUP(AE691,ODDS!$A$2:$C$13,3,0),"")</f>
        <v/>
      </c>
      <c r="AH691" s="570" t="str">
        <f t="shared" si="145"/>
        <v xml:space="preserve"> </v>
      </c>
      <c r="AI691" s="571" t="str">
        <f t="shared" si="141"/>
        <v xml:space="preserve"> </v>
      </c>
      <c r="AJ691" s="558" t="s">
        <v>1705</v>
      </c>
      <c r="AK691" s="593"/>
    </row>
    <row r="692" spans="1:37" s="376" customFormat="1" ht="101.25" outlineLevel="2" x14ac:dyDescent="0.3">
      <c r="A692" s="447">
        <f t="shared" si="153"/>
        <v>59</v>
      </c>
      <c r="B692" s="557"/>
      <c r="C692" s="558"/>
      <c r="D692" s="587"/>
      <c r="E692" s="587"/>
      <c r="F692" s="615"/>
      <c r="G692" s="558"/>
      <c r="H692" s="604"/>
      <c r="I692" s="546"/>
      <c r="J692" s="593"/>
      <c r="K692" s="563" t="str">
        <f>IF(G692&lt;&gt;0,VLOOKUP(G692,'gia dat'!$A$1:$F$144,5,0)," ")</f>
        <v xml:space="preserve"> </v>
      </c>
      <c r="L692" s="563" t="str">
        <f>IF(G692&lt;&gt;0,VLOOKUP(G692,'gia dat'!$A$1:$F$144,6,0)," ")</f>
        <v xml:space="preserve"> </v>
      </c>
      <c r="M692" s="564" t="str">
        <f t="shared" si="137"/>
        <v xml:space="preserve"> </v>
      </c>
      <c r="N692" s="564" t="str">
        <f t="shared" si="138"/>
        <v xml:space="preserve"> </v>
      </c>
      <c r="O692" s="593"/>
      <c r="P692" s="616"/>
      <c r="Q692" s="564" t="str">
        <f>IF(O692&lt;&gt;0,VLOOKUP(O692,'Cây trong'!$A$2:$C$246,3,0)," ")</f>
        <v xml:space="preserve"> </v>
      </c>
      <c r="R692" s="564" t="str">
        <f t="shared" si="144"/>
        <v xml:space="preserve"> </v>
      </c>
      <c r="S692" s="593"/>
      <c r="T692" s="593"/>
      <c r="U692" s="617"/>
      <c r="V692" s="589"/>
      <c r="W692" s="564" t="str">
        <f>IF(S692&lt;&gt;0,VLOOKUP(S692,VKT!$A$2:$G$415,7,0),"")</f>
        <v/>
      </c>
      <c r="X692" s="564" t="str">
        <f t="shared" si="134"/>
        <v xml:space="preserve"> </v>
      </c>
      <c r="Y692" s="589"/>
      <c r="Z692" s="589"/>
      <c r="AA692" s="589"/>
      <c r="AB692" s="562"/>
      <c r="AC692" s="589"/>
      <c r="AD692" s="589"/>
      <c r="AE692" s="589"/>
      <c r="AF692" s="629"/>
      <c r="AG692" s="570" t="str">
        <f>IF(AE692&lt;&gt;0,VLOOKUP(AE692,ODDS!$A$2:$C$13,3,0),"")</f>
        <v/>
      </c>
      <c r="AH692" s="570" t="str">
        <f t="shared" si="145"/>
        <v xml:space="preserve"> </v>
      </c>
      <c r="AI692" s="571" t="str">
        <f t="shared" si="141"/>
        <v xml:space="preserve"> </v>
      </c>
      <c r="AJ692" s="558" t="s">
        <v>2209</v>
      </c>
      <c r="AK692" s="558"/>
    </row>
    <row r="693" spans="1:37" s="376" customFormat="1" ht="20.25" outlineLevel="2" x14ac:dyDescent="0.3">
      <c r="A693" s="447">
        <f t="shared" si="153"/>
        <v>59</v>
      </c>
      <c r="B693" s="557"/>
      <c r="C693" s="558"/>
      <c r="D693" s="587"/>
      <c r="E693" s="587"/>
      <c r="F693" s="560"/>
      <c r="G693" s="558"/>
      <c r="H693" s="588"/>
      <c r="I693" s="546"/>
      <c r="J693" s="589"/>
      <c r="K693" s="563" t="str">
        <f>IF(G693&lt;&gt;0,VLOOKUP(G693,'gia dat'!$A$1:$F$144,5,0)," ")</f>
        <v xml:space="preserve"> </v>
      </c>
      <c r="L693" s="563" t="str">
        <f>IF(G693&lt;&gt;0,VLOOKUP(G693,'gia dat'!$A$1:$F$144,6,0)," ")</f>
        <v xml:space="preserve"> </v>
      </c>
      <c r="M693" s="564" t="str">
        <f t="shared" si="137"/>
        <v xml:space="preserve"> </v>
      </c>
      <c r="N693" s="564" t="str">
        <f t="shared" si="138"/>
        <v xml:space="preserve"> </v>
      </c>
      <c r="O693" s="638"/>
      <c r="P693" s="664"/>
      <c r="Q693" s="564" t="str">
        <f>IF(O693&lt;&gt;0,VLOOKUP(O693,'Cây trong'!$A$2:$C$246,3,0)," ")</f>
        <v xml:space="preserve"> </v>
      </c>
      <c r="R693" s="564" t="str">
        <f t="shared" si="144"/>
        <v xml:space="preserve"> </v>
      </c>
      <c r="S693" s="638"/>
      <c r="T693" s="639"/>
      <c r="U693" s="591"/>
      <c r="V693" s="589"/>
      <c r="W693" s="564" t="str">
        <f>IF(S693&lt;&gt;0,VLOOKUP(S693,VKT!$A$2:$G$415,7,0),"")</f>
        <v/>
      </c>
      <c r="X693" s="564" t="str">
        <f t="shared" si="134"/>
        <v xml:space="preserve"> </v>
      </c>
      <c r="Y693" s="589"/>
      <c r="Z693" s="592"/>
      <c r="AA693" s="592"/>
      <c r="AB693" s="568"/>
      <c r="AC693" s="592"/>
      <c r="AD693" s="592"/>
      <c r="AE693" s="592"/>
      <c r="AF693" s="590"/>
      <c r="AG693" s="570" t="str">
        <f>IF(AE693&lt;&gt;0,VLOOKUP(AE693,ODDS!$A$2:$C$13,3,0),"")</f>
        <v/>
      </c>
      <c r="AH693" s="570" t="str">
        <f t="shared" si="145"/>
        <v xml:space="preserve"> </v>
      </c>
      <c r="AI693" s="571" t="str">
        <f t="shared" si="141"/>
        <v xml:space="preserve"> </v>
      </c>
      <c r="AJ693" s="575"/>
      <c r="AK693" s="593"/>
    </row>
    <row r="694" spans="1:37" s="376" customFormat="1" ht="20.25" outlineLevel="2" x14ac:dyDescent="0.3">
      <c r="A694" s="447">
        <f t="shared" si="153"/>
        <v>59</v>
      </c>
      <c r="B694" s="557"/>
      <c r="C694" s="558"/>
      <c r="D694" s="587"/>
      <c r="E694" s="587"/>
      <c r="F694" s="560"/>
      <c r="G694" s="558"/>
      <c r="H694" s="588"/>
      <c r="I694" s="546"/>
      <c r="J694" s="589"/>
      <c r="K694" s="563" t="str">
        <f>IF(G694&lt;&gt;0,VLOOKUP(G694,'gia dat'!$A$1:$F$144,5,0)," ")</f>
        <v xml:space="preserve"> </v>
      </c>
      <c r="L694" s="563" t="str">
        <f>IF(G694&lt;&gt;0,VLOOKUP(G694,'gia dat'!$A$1:$F$144,6,0)," ")</f>
        <v xml:space="preserve"> </v>
      </c>
      <c r="M694" s="564" t="str">
        <f t="shared" si="137"/>
        <v xml:space="preserve"> </v>
      </c>
      <c r="N694" s="564" t="str">
        <f t="shared" si="138"/>
        <v xml:space="preserve"> </v>
      </c>
      <c r="O694" s="638"/>
      <c r="P694" s="664"/>
      <c r="Q694" s="564" t="str">
        <f>IF(O694&lt;&gt;0,VLOOKUP(O694,'Cây trong'!$A$2:$C$246,3,0)," ")</f>
        <v xml:space="preserve"> </v>
      </c>
      <c r="R694" s="564" t="str">
        <f t="shared" si="144"/>
        <v xml:space="preserve"> </v>
      </c>
      <c r="S694" s="640"/>
      <c r="T694" s="639"/>
      <c r="U694" s="591"/>
      <c r="V694" s="589"/>
      <c r="W694" s="564" t="str">
        <f>IF(S694&lt;&gt;0,VLOOKUP(S694,VKT!$A$2:$G$415,7,0),"")</f>
        <v/>
      </c>
      <c r="X694" s="564" t="str">
        <f t="shared" si="134"/>
        <v xml:space="preserve"> </v>
      </c>
      <c r="Y694" s="589"/>
      <c r="Z694" s="592"/>
      <c r="AA694" s="592"/>
      <c r="AB694" s="568"/>
      <c r="AC694" s="592"/>
      <c r="AD694" s="592"/>
      <c r="AE694" s="592"/>
      <c r="AF694" s="590"/>
      <c r="AG694" s="570" t="str">
        <f>IF(AE694&lt;&gt;0,VLOOKUP(AE694,ODDS!$A$2:$C$13,3,0),"")</f>
        <v/>
      </c>
      <c r="AH694" s="570" t="str">
        <f t="shared" si="145"/>
        <v xml:space="preserve"> </v>
      </c>
      <c r="AI694" s="571" t="str">
        <f t="shared" si="141"/>
        <v xml:space="preserve"> </v>
      </c>
      <c r="AJ694" s="593"/>
      <c r="AK694" s="593"/>
    </row>
    <row r="695" spans="1:37" s="376" customFormat="1" ht="20.25" outlineLevel="2" x14ac:dyDescent="0.3">
      <c r="A695" s="447">
        <f t="shared" si="153"/>
        <v>59</v>
      </c>
      <c r="B695" s="557"/>
      <c r="C695" s="574"/>
      <c r="D695" s="587"/>
      <c r="E695" s="587"/>
      <c r="F695" s="560"/>
      <c r="G695" s="558"/>
      <c r="H695" s="588"/>
      <c r="I695" s="546"/>
      <c r="J695" s="589"/>
      <c r="K695" s="563" t="str">
        <f>IF(G695&lt;&gt;0,VLOOKUP(G695,'gia dat'!$A$1:$F$144,5,0)," ")</f>
        <v xml:space="preserve"> </v>
      </c>
      <c r="L695" s="563" t="str">
        <f>IF(G695&lt;&gt;0,VLOOKUP(G695,'gia dat'!$A$1:$F$144,6,0)," ")</f>
        <v xml:space="preserve"> </v>
      </c>
      <c r="M695" s="564" t="str">
        <f t="shared" si="137"/>
        <v xml:space="preserve"> </v>
      </c>
      <c r="N695" s="564" t="str">
        <f t="shared" si="138"/>
        <v xml:space="preserve"> </v>
      </c>
      <c r="O695" s="638"/>
      <c r="P695" s="664"/>
      <c r="Q695" s="564" t="str">
        <f>IF(O695&lt;&gt;0,VLOOKUP(O695,'Cây trong'!$A$2:$C$246,3,0)," ")</f>
        <v xml:space="preserve"> </v>
      </c>
      <c r="R695" s="564" t="str">
        <f t="shared" si="144"/>
        <v xml:space="preserve"> </v>
      </c>
      <c r="S695" s="638"/>
      <c r="T695" s="639"/>
      <c r="U695" s="591"/>
      <c r="V695" s="589"/>
      <c r="W695" s="564" t="str">
        <f>IF(S695&lt;&gt;0,VLOOKUP(S695,VKT!$A$2:$G$415,7,0),"")</f>
        <v/>
      </c>
      <c r="X695" s="564" t="str">
        <f t="shared" si="134"/>
        <v xml:space="preserve"> </v>
      </c>
      <c r="Y695" s="589"/>
      <c r="Z695" s="592"/>
      <c r="AA695" s="592"/>
      <c r="AB695" s="568"/>
      <c r="AC695" s="592"/>
      <c r="AD695" s="592"/>
      <c r="AE695" s="592"/>
      <c r="AF695" s="590"/>
      <c r="AG695" s="570" t="str">
        <f>IF(AE695&lt;&gt;0,VLOOKUP(AE695,ODDS!$A$2:$C$13,3,0),"")</f>
        <v/>
      </c>
      <c r="AH695" s="570" t="str">
        <f t="shared" si="145"/>
        <v xml:space="preserve"> </v>
      </c>
      <c r="AI695" s="571" t="str">
        <f t="shared" si="141"/>
        <v xml:space="preserve"> </v>
      </c>
      <c r="AJ695" s="593"/>
      <c r="AK695" s="593"/>
    </row>
    <row r="696" spans="1:37" s="376" customFormat="1" ht="40.5" outlineLevel="1" x14ac:dyDescent="0.25">
      <c r="A696" s="467" t="s">
        <v>2650</v>
      </c>
      <c r="B696" s="576">
        <v>60</v>
      </c>
      <c r="C696" s="574" t="s">
        <v>290</v>
      </c>
      <c r="D696" s="595"/>
      <c r="E696" s="595"/>
      <c r="F696" s="577"/>
      <c r="G696" s="574"/>
      <c r="H696" s="618">
        <f>SUBTOTAL(9,H697:H703)</f>
        <v>31.3</v>
      </c>
      <c r="I696" s="579">
        <f>SUBTOTAL(9,I697:I702)</f>
        <v>0</v>
      </c>
      <c r="J696" s="597"/>
      <c r="K696" s="581"/>
      <c r="L696" s="581"/>
      <c r="M696" s="571">
        <f>SUBTOTAL(9,M697:M703)</f>
        <v>14574000</v>
      </c>
      <c r="N696" s="571">
        <f>SUBTOTAL(9,N697:N703)</f>
        <v>0</v>
      </c>
      <c r="O696" s="673"/>
      <c r="P696" s="675">
        <f>SUBTOTAL(9,P697:P703)</f>
        <v>5</v>
      </c>
      <c r="Q696" s="571"/>
      <c r="R696" s="571">
        <f>SUBTOTAL(9,R697:R703)</f>
        <v>125000</v>
      </c>
      <c r="S696" s="678"/>
      <c r="T696" s="674"/>
      <c r="U696" s="600">
        <f>SUBTOTAL(9,U697:U703)</f>
        <v>0</v>
      </c>
      <c r="V696" s="597"/>
      <c r="W696" s="571"/>
      <c r="X696" s="571">
        <f>SUBTOTAL(9,X697:X703)</f>
        <v>0</v>
      </c>
      <c r="Y696" s="589"/>
      <c r="Z696" s="592"/>
      <c r="AA696" s="592"/>
      <c r="AB696" s="568"/>
      <c r="AC696" s="592"/>
      <c r="AD696" s="592"/>
      <c r="AE696" s="601"/>
      <c r="AF696" s="599">
        <f>SUBTOTAL(9,AF697:AF703)</f>
        <v>0</v>
      </c>
      <c r="AG696" s="585"/>
      <c r="AH696" s="585">
        <f>SUBTOTAL(9,AH697:AH703)</f>
        <v>0</v>
      </c>
      <c r="AI696" s="571">
        <f t="shared" si="141"/>
        <v>14699000</v>
      </c>
      <c r="AJ696" s="574"/>
      <c r="AK696" s="578"/>
    </row>
    <row r="697" spans="1:37" s="376" customFormat="1" ht="121.5" outlineLevel="2" x14ac:dyDescent="0.3">
      <c r="A697" s="447">
        <f>IF(B696&lt;&gt;0,B696,A695)</f>
        <v>60</v>
      </c>
      <c r="B697" s="557"/>
      <c r="C697" s="558" t="s">
        <v>291</v>
      </c>
      <c r="D697" s="587"/>
      <c r="E697" s="587">
        <v>86</v>
      </c>
      <c r="F697" s="560">
        <v>131</v>
      </c>
      <c r="G697" s="558" t="s">
        <v>2476</v>
      </c>
      <c r="H697" s="588">
        <f>30.1-H699</f>
        <v>30.1</v>
      </c>
      <c r="I697" s="546" t="str">
        <f t="shared" ref="I697:I698" si="154">IF(N697&gt;0,H697,"")</f>
        <v/>
      </c>
      <c r="J697" s="589"/>
      <c r="K697" s="563">
        <f>IF(G697&lt;&gt;0,VLOOKUP(G697,'gia dat'!$A$1:$F$144,5,0)," ")</f>
        <v>465600</v>
      </c>
      <c r="L697" s="563">
        <f>IF(G697&lt;&gt;0,VLOOKUP(G697,'gia dat'!$A$1:$F$144,6,0)," ")</f>
        <v>0</v>
      </c>
      <c r="M697" s="564">
        <f t="shared" si="137"/>
        <v>14015000</v>
      </c>
      <c r="N697" s="564">
        <f t="shared" si="138"/>
        <v>0</v>
      </c>
      <c r="O697" s="638" t="s">
        <v>462</v>
      </c>
      <c r="P697" s="664">
        <v>5</v>
      </c>
      <c r="Q697" s="564">
        <f>IF(O697&lt;&gt;0,VLOOKUP(O697,'Cây trong'!$A$2:$C$246,3,0)," ")</f>
        <v>25000</v>
      </c>
      <c r="R697" s="564">
        <f t="shared" si="144"/>
        <v>125000</v>
      </c>
      <c r="S697" s="640"/>
      <c r="T697" s="639"/>
      <c r="U697" s="591"/>
      <c r="V697" s="589"/>
      <c r="W697" s="564" t="str">
        <f>IF(S697&lt;&gt;0,VLOOKUP(S697,VKT!$A$2:$G$415,7,0),"")</f>
        <v/>
      </c>
      <c r="X697" s="564" t="str">
        <f t="shared" si="134"/>
        <v xml:space="preserve"> </v>
      </c>
      <c r="Y697" s="589"/>
      <c r="Z697" s="592"/>
      <c r="AA697" s="592"/>
      <c r="AB697" s="568"/>
      <c r="AC697" s="592"/>
      <c r="AD697" s="592"/>
      <c r="AE697" s="592"/>
      <c r="AF697" s="590"/>
      <c r="AG697" s="570" t="str">
        <f>IF(AE697&lt;&gt;0,VLOOKUP(AE697,ODDS!$A$2:$C$13,3,0),"")</f>
        <v/>
      </c>
      <c r="AH697" s="570" t="str">
        <f t="shared" si="145"/>
        <v xml:space="preserve"> </v>
      </c>
      <c r="AI697" s="571" t="str">
        <f t="shared" si="141"/>
        <v xml:space="preserve"> </v>
      </c>
      <c r="AJ697" s="558" t="s">
        <v>1706</v>
      </c>
      <c r="AK697" s="586" t="s">
        <v>2771</v>
      </c>
    </row>
    <row r="698" spans="1:37" s="376" customFormat="1" ht="101.25" outlineLevel="2" x14ac:dyDescent="0.3">
      <c r="A698" s="447">
        <f t="shared" ref="A698:A703" si="155">IF(B697&lt;&gt;0,B697,A697)</f>
        <v>60</v>
      </c>
      <c r="B698" s="557"/>
      <c r="C698" s="558" t="s">
        <v>694</v>
      </c>
      <c r="D698" s="587"/>
      <c r="E698" s="587">
        <v>86</v>
      </c>
      <c r="F698" s="560">
        <v>131</v>
      </c>
      <c r="G698" s="558" t="s">
        <v>2478</v>
      </c>
      <c r="H698" s="588">
        <v>1.2</v>
      </c>
      <c r="I698" s="546" t="str">
        <f t="shared" si="154"/>
        <v/>
      </c>
      <c r="J698" s="589"/>
      <c r="K698" s="563">
        <f>IF(G698&lt;&gt;0,VLOOKUP(G698,'gia dat'!$A$1:$F$144,5,0)," ")</f>
        <v>465600</v>
      </c>
      <c r="L698" s="563">
        <f>IF(G698&lt;&gt;0,VLOOKUP(G698,'gia dat'!$A$1:$F$144,6,0)," ")</f>
        <v>0</v>
      </c>
      <c r="M698" s="564">
        <f t="shared" si="137"/>
        <v>559000</v>
      </c>
      <c r="N698" s="564">
        <f t="shared" si="138"/>
        <v>0</v>
      </c>
      <c r="O698" s="638"/>
      <c r="P698" s="664"/>
      <c r="Q698" s="564" t="str">
        <f>IF(O698&lt;&gt;0,VLOOKUP(O698,'Cây trong'!$A$2:$C$246,3,0)," ")</f>
        <v xml:space="preserve"> </v>
      </c>
      <c r="R698" s="564" t="str">
        <f t="shared" si="144"/>
        <v xml:space="preserve"> </v>
      </c>
      <c r="S698" s="638"/>
      <c r="T698" s="639"/>
      <c r="U698" s="591"/>
      <c r="V698" s="589"/>
      <c r="W698" s="564" t="str">
        <f>IF(S698&lt;&gt;0,VLOOKUP(S698,VKT!$A$2:$G$415,7,0),"")</f>
        <v/>
      </c>
      <c r="X698" s="564" t="str">
        <f t="shared" ref="X698:X765" si="156">IF(S698&lt;&gt;0,ROUND(U698*W698,-3)," ")</f>
        <v xml:space="preserve"> </v>
      </c>
      <c r="Y698" s="589"/>
      <c r="Z698" s="592"/>
      <c r="AA698" s="592"/>
      <c r="AB698" s="568"/>
      <c r="AC698" s="592"/>
      <c r="AD698" s="592"/>
      <c r="AE698" s="592"/>
      <c r="AF698" s="590"/>
      <c r="AG698" s="570" t="str">
        <f>IF(AE698&lt;&gt;0,VLOOKUP(AE698,ODDS!$A$2:$C$13,3,0),"")</f>
        <v/>
      </c>
      <c r="AH698" s="570" t="str">
        <f t="shared" si="145"/>
        <v xml:space="preserve"> </v>
      </c>
      <c r="AI698" s="571" t="str">
        <f t="shared" si="141"/>
        <v xml:space="preserve"> </v>
      </c>
      <c r="AJ698" s="558" t="s">
        <v>555</v>
      </c>
      <c r="AK698" s="558" t="s">
        <v>2449</v>
      </c>
    </row>
    <row r="699" spans="1:37" s="376" customFormat="1" ht="40.5" outlineLevel="2" x14ac:dyDescent="0.3">
      <c r="A699" s="447">
        <f t="shared" si="155"/>
        <v>60</v>
      </c>
      <c r="B699" s="557"/>
      <c r="C699" s="558" t="s">
        <v>315</v>
      </c>
      <c r="D699" s="587"/>
      <c r="E699" s="587"/>
      <c r="F699" s="560"/>
      <c r="G699" s="558"/>
      <c r="H699" s="588"/>
      <c r="I699" s="546"/>
      <c r="J699" s="589"/>
      <c r="K699" s="563" t="str">
        <f>IF(G699&lt;&gt;0,VLOOKUP(G699,'gia dat'!$A$1:$F$144,5,0)," ")</f>
        <v xml:space="preserve"> </v>
      </c>
      <c r="L699" s="563" t="str">
        <f>IF(G699&lt;&gt;0,VLOOKUP(G699,'gia dat'!$A$1:$F$144,6,0)," ")</f>
        <v xml:space="preserve"> </v>
      </c>
      <c r="M699" s="564" t="str">
        <f t="shared" si="137"/>
        <v xml:space="preserve"> </v>
      </c>
      <c r="N699" s="564" t="str">
        <f t="shared" si="138"/>
        <v xml:space="preserve"> </v>
      </c>
      <c r="O699" s="638"/>
      <c r="P699" s="664"/>
      <c r="Q699" s="564" t="str">
        <f>IF(O699&lt;&gt;0,VLOOKUP(O699,'Cây trong'!$A$2:$C$246,3,0)," ")</f>
        <v xml:space="preserve"> </v>
      </c>
      <c r="R699" s="564" t="str">
        <f t="shared" si="144"/>
        <v xml:space="preserve"> </v>
      </c>
      <c r="S699" s="638"/>
      <c r="T699" s="639"/>
      <c r="U699" s="591"/>
      <c r="V699" s="589"/>
      <c r="W699" s="564" t="str">
        <f>IF(S699&lt;&gt;0,VLOOKUP(S699,VKT!$A$2:$G$415,7,0),"")</f>
        <v/>
      </c>
      <c r="X699" s="564" t="str">
        <f t="shared" si="156"/>
        <v xml:space="preserve"> </v>
      </c>
      <c r="Y699" s="589"/>
      <c r="Z699" s="592"/>
      <c r="AA699" s="592"/>
      <c r="AB699" s="568"/>
      <c r="AC699" s="592"/>
      <c r="AD699" s="592"/>
      <c r="AE699" s="592"/>
      <c r="AF699" s="590"/>
      <c r="AG699" s="570" t="str">
        <f>IF(AE699&lt;&gt;0,VLOOKUP(AE699,ODDS!$A$2:$C$13,3,0),"")</f>
        <v/>
      </c>
      <c r="AH699" s="570" t="str">
        <f t="shared" si="145"/>
        <v xml:space="preserve"> </v>
      </c>
      <c r="AI699" s="571" t="str">
        <f t="shared" si="141"/>
        <v xml:space="preserve"> </v>
      </c>
      <c r="AJ699" s="558" t="s">
        <v>556</v>
      </c>
      <c r="AK699" s="558"/>
    </row>
    <row r="700" spans="1:37" s="376" customFormat="1" ht="40.5" outlineLevel="2" x14ac:dyDescent="0.3">
      <c r="A700" s="447">
        <f t="shared" si="155"/>
        <v>60</v>
      </c>
      <c r="B700" s="557"/>
      <c r="C700" s="558"/>
      <c r="D700" s="587"/>
      <c r="E700" s="587"/>
      <c r="F700" s="560"/>
      <c r="G700" s="558"/>
      <c r="H700" s="588"/>
      <c r="I700" s="546"/>
      <c r="J700" s="589"/>
      <c r="K700" s="563" t="str">
        <f>IF(G700&lt;&gt;0,VLOOKUP(G700,'gia dat'!$A$1:$F$144,5,0)," ")</f>
        <v xml:space="preserve"> </v>
      </c>
      <c r="L700" s="563" t="str">
        <f>IF(G700&lt;&gt;0,VLOOKUP(G700,'gia dat'!$A$1:$F$144,6,0)," ")</f>
        <v xml:space="preserve"> </v>
      </c>
      <c r="M700" s="564" t="str">
        <f t="shared" si="137"/>
        <v xml:space="preserve"> </v>
      </c>
      <c r="N700" s="564" t="str">
        <f t="shared" si="138"/>
        <v xml:space="preserve"> </v>
      </c>
      <c r="O700" s="638"/>
      <c r="P700" s="664"/>
      <c r="Q700" s="564" t="str">
        <f>IF(O700&lt;&gt;0,VLOOKUP(O700,'Cây trong'!$A$2:$C$246,3,0)," ")</f>
        <v xml:space="preserve"> </v>
      </c>
      <c r="R700" s="564" t="str">
        <f t="shared" si="144"/>
        <v xml:space="preserve"> </v>
      </c>
      <c r="S700" s="638"/>
      <c r="T700" s="639"/>
      <c r="U700" s="591"/>
      <c r="V700" s="589"/>
      <c r="W700" s="564" t="str">
        <f>IF(S700&lt;&gt;0,VLOOKUP(S700,VKT!$A$2:$G$415,7,0),"")</f>
        <v/>
      </c>
      <c r="X700" s="564" t="str">
        <f t="shared" si="156"/>
        <v xml:space="preserve"> </v>
      </c>
      <c r="Y700" s="589"/>
      <c r="Z700" s="592"/>
      <c r="AA700" s="592"/>
      <c r="AB700" s="568"/>
      <c r="AC700" s="592"/>
      <c r="AD700" s="592"/>
      <c r="AE700" s="592"/>
      <c r="AF700" s="590"/>
      <c r="AG700" s="570" t="str">
        <f>IF(AE700&lt;&gt;0,VLOOKUP(AE700,ODDS!$A$2:$C$13,3,0),"")</f>
        <v/>
      </c>
      <c r="AH700" s="570" t="str">
        <f t="shared" si="145"/>
        <v xml:space="preserve"> </v>
      </c>
      <c r="AI700" s="571" t="str">
        <f t="shared" si="141"/>
        <v xml:space="preserve"> </v>
      </c>
      <c r="AJ700" s="558" t="s">
        <v>1681</v>
      </c>
      <c r="AK700" s="558"/>
    </row>
    <row r="701" spans="1:37" s="376" customFormat="1" ht="101.25" outlineLevel="2" x14ac:dyDescent="0.3">
      <c r="A701" s="447">
        <f t="shared" si="155"/>
        <v>60</v>
      </c>
      <c r="B701" s="557"/>
      <c r="C701" s="558"/>
      <c r="D701" s="587"/>
      <c r="E701" s="587"/>
      <c r="F701" s="615"/>
      <c r="G701" s="558"/>
      <c r="H701" s="604"/>
      <c r="I701" s="546"/>
      <c r="J701" s="593"/>
      <c r="K701" s="563" t="str">
        <f>IF(G701&lt;&gt;0,VLOOKUP(G701,'gia dat'!$A$1:$F$144,5,0)," ")</f>
        <v xml:space="preserve"> </v>
      </c>
      <c r="L701" s="563" t="str">
        <f>IF(G701&lt;&gt;0,VLOOKUP(G701,'gia dat'!$A$1:$F$144,6,0)," ")</f>
        <v xml:space="preserve"> </v>
      </c>
      <c r="M701" s="564" t="str">
        <f t="shared" si="137"/>
        <v xml:space="preserve"> </v>
      </c>
      <c r="N701" s="564" t="str">
        <f t="shared" si="138"/>
        <v xml:space="preserve"> </v>
      </c>
      <c r="O701" s="593"/>
      <c r="P701" s="616"/>
      <c r="Q701" s="564" t="str">
        <f>IF(O701&lt;&gt;0,VLOOKUP(O701,'Cây trong'!$A$2:$C$246,3,0)," ")</f>
        <v xml:space="preserve"> </v>
      </c>
      <c r="R701" s="564" t="str">
        <f t="shared" si="144"/>
        <v xml:space="preserve"> </v>
      </c>
      <c r="S701" s="593"/>
      <c r="T701" s="593"/>
      <c r="U701" s="617"/>
      <c r="V701" s="589"/>
      <c r="W701" s="564" t="str">
        <f>IF(S701&lt;&gt;0,VLOOKUP(S701,VKT!$A$2:$G$415,7,0),"")</f>
        <v/>
      </c>
      <c r="X701" s="564" t="str">
        <f t="shared" si="156"/>
        <v xml:space="preserve"> </v>
      </c>
      <c r="Y701" s="589"/>
      <c r="Z701" s="589"/>
      <c r="AA701" s="589"/>
      <c r="AB701" s="562"/>
      <c r="AC701" s="589"/>
      <c r="AD701" s="589"/>
      <c r="AE701" s="589"/>
      <c r="AF701" s="629"/>
      <c r="AG701" s="570" t="str">
        <f>IF(AE701&lt;&gt;0,VLOOKUP(AE701,ODDS!$A$2:$C$13,3,0),"")</f>
        <v/>
      </c>
      <c r="AH701" s="570" t="str">
        <f t="shared" si="145"/>
        <v xml:space="preserve"> </v>
      </c>
      <c r="AI701" s="571" t="str">
        <f t="shared" si="141"/>
        <v xml:space="preserve"> </v>
      </c>
      <c r="AJ701" s="558" t="s">
        <v>2209</v>
      </c>
      <c r="AK701" s="593"/>
    </row>
    <row r="702" spans="1:37" s="376" customFormat="1" ht="20.25" outlineLevel="2" x14ac:dyDescent="0.3">
      <c r="A702" s="447">
        <f t="shared" si="155"/>
        <v>60</v>
      </c>
      <c r="B702" s="557"/>
      <c r="C702" s="558"/>
      <c r="D702" s="587"/>
      <c r="E702" s="587"/>
      <c r="F702" s="615"/>
      <c r="G702" s="558"/>
      <c r="H702" s="604"/>
      <c r="I702" s="546"/>
      <c r="J702" s="593"/>
      <c r="K702" s="563" t="str">
        <f>IF(G702&lt;&gt;0,VLOOKUP(G702,'gia dat'!$A$1:$F$144,5,0)," ")</f>
        <v xml:space="preserve"> </v>
      </c>
      <c r="L702" s="563" t="str">
        <f>IF(G702&lt;&gt;0,VLOOKUP(G702,'gia dat'!$A$1:$F$144,6,0)," ")</f>
        <v xml:space="preserve"> </v>
      </c>
      <c r="M702" s="564" t="str">
        <f t="shared" si="137"/>
        <v xml:space="preserve"> </v>
      </c>
      <c r="N702" s="564" t="str">
        <f t="shared" si="138"/>
        <v xml:space="preserve"> </v>
      </c>
      <c r="O702" s="593"/>
      <c r="P702" s="616"/>
      <c r="Q702" s="564" t="str">
        <f>IF(O702&lt;&gt;0,VLOOKUP(O702,'Cây trong'!$A$2:$C$246,3,0)," ")</f>
        <v xml:space="preserve"> </v>
      </c>
      <c r="R702" s="564" t="str">
        <f t="shared" si="144"/>
        <v xml:space="preserve"> </v>
      </c>
      <c r="S702" s="593"/>
      <c r="T702" s="593"/>
      <c r="U702" s="617"/>
      <c r="V702" s="589"/>
      <c r="W702" s="564" t="str">
        <f>IF(S702&lt;&gt;0,VLOOKUP(S702,VKT!$A$2:$G$415,7,0),"")</f>
        <v/>
      </c>
      <c r="X702" s="564" t="str">
        <f t="shared" si="156"/>
        <v xml:space="preserve"> </v>
      </c>
      <c r="Y702" s="589"/>
      <c r="Z702" s="589"/>
      <c r="AA702" s="589"/>
      <c r="AB702" s="562"/>
      <c r="AC702" s="589"/>
      <c r="AD702" s="589"/>
      <c r="AE702" s="589"/>
      <c r="AF702" s="629"/>
      <c r="AG702" s="570" t="str">
        <f>IF(AE702&lt;&gt;0,VLOOKUP(AE702,ODDS!$A$2:$C$13,3,0),"")</f>
        <v/>
      </c>
      <c r="AH702" s="570" t="str">
        <f t="shared" si="145"/>
        <v xml:space="preserve"> </v>
      </c>
      <c r="AI702" s="571" t="str">
        <f t="shared" si="141"/>
        <v xml:space="preserve"> </v>
      </c>
      <c r="AJ702" s="593"/>
      <c r="AK702" s="593"/>
    </row>
    <row r="703" spans="1:37" s="376" customFormat="1" ht="20.25" outlineLevel="2" x14ac:dyDescent="0.3">
      <c r="A703" s="447">
        <f t="shared" si="155"/>
        <v>60</v>
      </c>
      <c r="B703" s="557"/>
      <c r="C703" s="643"/>
      <c r="D703" s="587"/>
      <c r="E703" s="587"/>
      <c r="F703" s="560"/>
      <c r="G703" s="558"/>
      <c r="H703" s="588"/>
      <c r="I703" s="546"/>
      <c r="J703" s="589"/>
      <c r="K703" s="563" t="str">
        <f>IF(G703&lt;&gt;0,VLOOKUP(G703,'gia dat'!$A$1:$F$144,5,0)," ")</f>
        <v xml:space="preserve"> </v>
      </c>
      <c r="L703" s="563" t="str">
        <f>IF(G703&lt;&gt;0,VLOOKUP(G703,'gia dat'!$A$1:$F$144,6,0)," ")</f>
        <v xml:space="preserve"> </v>
      </c>
      <c r="M703" s="564" t="str">
        <f t="shared" si="137"/>
        <v xml:space="preserve"> </v>
      </c>
      <c r="N703" s="564" t="str">
        <f t="shared" si="138"/>
        <v xml:space="preserve"> </v>
      </c>
      <c r="O703" s="638"/>
      <c r="P703" s="664"/>
      <c r="Q703" s="564" t="str">
        <f>IF(O703&lt;&gt;0,VLOOKUP(O703,'Cây trong'!$A$2:$C$246,3,0)," ")</f>
        <v xml:space="preserve"> </v>
      </c>
      <c r="R703" s="564" t="str">
        <f t="shared" si="144"/>
        <v xml:space="preserve"> </v>
      </c>
      <c r="S703" s="640"/>
      <c r="T703" s="639"/>
      <c r="U703" s="591"/>
      <c r="V703" s="589"/>
      <c r="W703" s="564" t="str">
        <f>IF(S703&lt;&gt;0,VLOOKUP(S703,VKT!$A$2:$G$415,7,0),"")</f>
        <v/>
      </c>
      <c r="X703" s="564" t="str">
        <f t="shared" si="156"/>
        <v xml:space="preserve"> </v>
      </c>
      <c r="Y703" s="589"/>
      <c r="Z703" s="592"/>
      <c r="AA703" s="592"/>
      <c r="AB703" s="568"/>
      <c r="AC703" s="592"/>
      <c r="AD703" s="592"/>
      <c r="AE703" s="592"/>
      <c r="AF703" s="590"/>
      <c r="AG703" s="570" t="str">
        <f>IF(AE703&lt;&gt;0,VLOOKUP(AE703,ODDS!$A$2:$C$13,3,0),"")</f>
        <v/>
      </c>
      <c r="AH703" s="570" t="str">
        <f t="shared" si="145"/>
        <v xml:space="preserve"> </v>
      </c>
      <c r="AI703" s="571" t="str">
        <f t="shared" si="141"/>
        <v xml:space="preserve"> </v>
      </c>
      <c r="AJ703" s="593"/>
      <c r="AK703" s="593"/>
    </row>
    <row r="704" spans="1:37" s="376" customFormat="1" ht="20.25" outlineLevel="1" x14ac:dyDescent="0.25">
      <c r="A704" s="467" t="s">
        <v>2649</v>
      </c>
      <c r="B704" s="576">
        <v>61</v>
      </c>
      <c r="C704" s="643" t="s">
        <v>229</v>
      </c>
      <c r="D704" s="595"/>
      <c r="E704" s="595"/>
      <c r="F704" s="577"/>
      <c r="G704" s="574"/>
      <c r="H704" s="596">
        <f>SUBTOTAL(9,H705:H740)</f>
        <v>403.29999999999995</v>
      </c>
      <c r="I704" s="579">
        <f>SUBTOTAL(9,I705:I710)</f>
        <v>0</v>
      </c>
      <c r="J704" s="597"/>
      <c r="K704" s="581"/>
      <c r="L704" s="581"/>
      <c r="M704" s="571">
        <f>SUBTOTAL(9,M705:M740)</f>
        <v>320462000</v>
      </c>
      <c r="N704" s="571">
        <f>SUBTOTAL(9,N705:N740)</f>
        <v>0</v>
      </c>
      <c r="O704" s="574"/>
      <c r="P704" s="599">
        <f>SUBTOTAL(9,P705:P740)</f>
        <v>18</v>
      </c>
      <c r="Q704" s="571"/>
      <c r="R704" s="571">
        <f>SUBTOTAL(9,R705:R740)</f>
        <v>3521000</v>
      </c>
      <c r="S704" s="582"/>
      <c r="T704" s="597"/>
      <c r="U704" s="600">
        <f>SUBTOTAL(9,U705:U740)</f>
        <v>721.99000000000012</v>
      </c>
      <c r="V704" s="597"/>
      <c r="W704" s="571"/>
      <c r="X704" s="571">
        <f>SUBTOTAL(9,X705:X740)</f>
        <v>0</v>
      </c>
      <c r="Y704" s="589"/>
      <c r="Z704" s="592"/>
      <c r="AA704" s="592"/>
      <c r="AB704" s="568"/>
      <c r="AC704" s="592"/>
      <c r="AD704" s="592"/>
      <c r="AE704" s="602"/>
      <c r="AF704" s="599">
        <f>SUBTOTAL(9,AF705:AF740)</f>
        <v>1</v>
      </c>
      <c r="AG704" s="585"/>
      <c r="AH704" s="585">
        <f>SUBTOTAL(9,AH705:AH740)</f>
        <v>0</v>
      </c>
      <c r="AI704" s="571">
        <f t="shared" si="141"/>
        <v>323983000</v>
      </c>
      <c r="AJ704" s="574"/>
      <c r="AK704" s="578"/>
    </row>
    <row r="705" spans="1:37" s="376" customFormat="1" ht="121.5" outlineLevel="2" x14ac:dyDescent="0.3">
      <c r="A705" s="447">
        <f>IF(B704&lt;&gt;0,B704,A703)</f>
        <v>61</v>
      </c>
      <c r="B705" s="557"/>
      <c r="C705" s="648" t="s">
        <v>230</v>
      </c>
      <c r="D705" s="587">
        <v>5</v>
      </c>
      <c r="E705" s="587">
        <v>85</v>
      </c>
      <c r="F705" s="560" t="s">
        <v>231</v>
      </c>
      <c r="G705" s="558" t="s">
        <v>2030</v>
      </c>
      <c r="H705" s="604">
        <v>1.9</v>
      </c>
      <c r="I705" s="546" t="str">
        <f t="shared" ref="I705:I709" si="157">IF(N705&gt;0,H705,"")</f>
        <v/>
      </c>
      <c r="J705" s="589"/>
      <c r="K705" s="563">
        <f>IF(G705&lt;&gt;0,VLOOKUP(G705,'gia dat'!$A$1:$F$144,5,0)," ")</f>
        <v>16800000</v>
      </c>
      <c r="L705" s="563">
        <f>IF(G705&lt;&gt;0,VLOOKUP(G705,'gia dat'!$A$1:$F$144,6,0)," ")</f>
        <v>0</v>
      </c>
      <c r="M705" s="564">
        <f t="shared" si="137"/>
        <v>31920000</v>
      </c>
      <c r="N705" s="564">
        <f t="shared" si="138"/>
        <v>0</v>
      </c>
      <c r="O705" s="558" t="s">
        <v>351</v>
      </c>
      <c r="P705" s="590">
        <v>1</v>
      </c>
      <c r="Q705" s="564">
        <f>IF(O705&lt;&gt;0,VLOOKUP(O705,'Cây trong'!$A$2:$C$246,3,0)," ")</f>
        <v>600000</v>
      </c>
      <c r="R705" s="564">
        <f>IF(O705&lt;&gt;0,ROUND(P705*Q705,-2)," ")</f>
        <v>600000</v>
      </c>
      <c r="S705" s="566" t="s">
        <v>2338</v>
      </c>
      <c r="T705" s="589" t="s">
        <v>53</v>
      </c>
      <c r="U705" s="591">
        <v>108.7</v>
      </c>
      <c r="V705" s="589">
        <v>285</v>
      </c>
      <c r="W705" s="564"/>
      <c r="X705" s="564">
        <f t="shared" si="156"/>
        <v>0</v>
      </c>
      <c r="Y705" s="589"/>
      <c r="Z705" s="592"/>
      <c r="AA705" s="592"/>
      <c r="AB705" s="568"/>
      <c r="AC705" s="592"/>
      <c r="AD705" s="592"/>
      <c r="AE705" s="569" t="s">
        <v>811</v>
      </c>
      <c r="AF705" s="590">
        <v>1</v>
      </c>
      <c r="AG705" s="570">
        <f>IF(AE705&lt;&gt;0,VLOOKUP(AE705,ODDS!$A$2:$C$13,3,0),"")</f>
        <v>0</v>
      </c>
      <c r="AH705" s="570">
        <f t="shared" si="145"/>
        <v>0</v>
      </c>
      <c r="AI705" s="571" t="str">
        <f t="shared" si="141"/>
        <v xml:space="preserve"> </v>
      </c>
      <c r="AJ705" s="558" t="s">
        <v>695</v>
      </c>
      <c r="AK705" s="586" t="s">
        <v>2771</v>
      </c>
    </row>
    <row r="706" spans="1:37" s="382" customFormat="1" ht="121.5" outlineLevel="2" x14ac:dyDescent="0.3">
      <c r="A706" s="447">
        <f t="shared" ref="A706:A740" si="158">IF(B705&lt;&gt;0,B705,A705)</f>
        <v>61</v>
      </c>
      <c r="B706" s="557"/>
      <c r="C706" s="574" t="s">
        <v>232</v>
      </c>
      <c r="D706" s="587"/>
      <c r="E706" s="587">
        <v>85</v>
      </c>
      <c r="F706" s="560" t="s">
        <v>231</v>
      </c>
      <c r="G706" s="558" t="s">
        <v>2032</v>
      </c>
      <c r="H706" s="588">
        <f>10.9-H705</f>
        <v>9</v>
      </c>
      <c r="I706" s="546" t="str">
        <f t="shared" si="157"/>
        <v/>
      </c>
      <c r="J706" s="589"/>
      <c r="K706" s="563">
        <f>IF(G706&lt;&gt;0,VLOOKUP(G706,'gia dat'!$A$1:$F$144,5,0)," ")</f>
        <v>11760000</v>
      </c>
      <c r="L706" s="563">
        <f>IF(G706&lt;&gt;0,VLOOKUP(G706,'gia dat'!$A$1:$F$144,6,0)," ")</f>
        <v>0</v>
      </c>
      <c r="M706" s="564">
        <f t="shared" si="137"/>
        <v>105840000</v>
      </c>
      <c r="N706" s="564">
        <f t="shared" si="138"/>
        <v>0</v>
      </c>
      <c r="O706" s="558" t="s">
        <v>752</v>
      </c>
      <c r="P706" s="590">
        <v>1</v>
      </c>
      <c r="Q706" s="564">
        <f>IF(O706&lt;&gt;0,VLOOKUP(O706,'Cây trong'!$A$2:$C$246,3,0)," ")</f>
        <v>600000</v>
      </c>
      <c r="R706" s="564">
        <f t="shared" si="144"/>
        <v>600000</v>
      </c>
      <c r="S706" s="566" t="s">
        <v>2289</v>
      </c>
      <c r="T706" s="589" t="s">
        <v>53</v>
      </c>
      <c r="U706" s="591">
        <v>21.28</v>
      </c>
      <c r="V706" s="589">
        <v>24.64</v>
      </c>
      <c r="W706" s="564"/>
      <c r="X706" s="564">
        <f t="shared" si="156"/>
        <v>0</v>
      </c>
      <c r="Y706" s="589"/>
      <c r="Z706" s="592" t="s">
        <v>55</v>
      </c>
      <c r="AA706" s="592" t="s">
        <v>141</v>
      </c>
      <c r="AB706" s="568"/>
      <c r="AC706" s="592" t="s">
        <v>66</v>
      </c>
      <c r="AD706" s="592"/>
      <c r="AE706" s="592"/>
      <c r="AF706" s="590"/>
      <c r="AG706" s="570" t="str">
        <f>IF(AE706&lt;&gt;0,VLOOKUP(AE706,ODDS!$A$2:$C$13,3,0),"")</f>
        <v/>
      </c>
      <c r="AH706" s="570"/>
      <c r="AI706" s="571" t="str">
        <f t="shared" si="141"/>
        <v xml:space="preserve"> </v>
      </c>
      <c r="AJ706" s="558" t="s">
        <v>557</v>
      </c>
      <c r="AK706" s="558" t="s">
        <v>2450</v>
      </c>
    </row>
    <row r="707" spans="1:37" s="376" customFormat="1" ht="101.25" outlineLevel="2" x14ac:dyDescent="0.3">
      <c r="A707" s="447">
        <f t="shared" si="158"/>
        <v>61</v>
      </c>
      <c r="B707" s="557"/>
      <c r="C707" s="648" t="s">
        <v>233</v>
      </c>
      <c r="D707" s="587"/>
      <c r="E707" s="587">
        <v>85</v>
      </c>
      <c r="F707" s="560" t="s">
        <v>231</v>
      </c>
      <c r="G707" s="558" t="s">
        <v>2210</v>
      </c>
      <c r="H707" s="588">
        <v>304.3</v>
      </c>
      <c r="I707" s="546" t="str">
        <f t="shared" si="157"/>
        <v/>
      </c>
      <c r="J707" s="589"/>
      <c r="K707" s="563">
        <f>IF(G707&lt;&gt;0,VLOOKUP(G707,'gia dat'!$A$1:$F$144,5,0)," ")</f>
        <v>465600</v>
      </c>
      <c r="L707" s="563">
        <f>IF(G707&lt;&gt;0,VLOOKUP(G707,'gia dat'!$A$1:$F$144,6,0)," ")</f>
        <v>0</v>
      </c>
      <c r="M707" s="564">
        <f t="shared" si="137"/>
        <v>141682000</v>
      </c>
      <c r="N707" s="564">
        <f t="shared" si="138"/>
        <v>0</v>
      </c>
      <c r="O707" s="558" t="s">
        <v>753</v>
      </c>
      <c r="P707" s="590">
        <v>1</v>
      </c>
      <c r="Q707" s="564">
        <f>IF(O707&lt;&gt;0,VLOOKUP(O707,'Cây trong'!$A$2:$C$246,3,0)," ")</f>
        <v>165000</v>
      </c>
      <c r="R707" s="564">
        <f t="shared" si="144"/>
        <v>165000</v>
      </c>
      <c r="S707" s="566" t="s">
        <v>1884</v>
      </c>
      <c r="T707" s="589" t="s">
        <v>53</v>
      </c>
      <c r="U707" s="591">
        <v>10.199999999999999</v>
      </c>
      <c r="V707" s="589">
        <v>217.69</v>
      </c>
      <c r="W707" s="564"/>
      <c r="X707" s="564">
        <f t="shared" si="156"/>
        <v>0</v>
      </c>
      <c r="Y707" s="589"/>
      <c r="Z707" s="592" t="s">
        <v>55</v>
      </c>
      <c r="AA707" s="592" t="s">
        <v>56</v>
      </c>
      <c r="AB707" s="568" t="s">
        <v>186</v>
      </c>
      <c r="AC707" s="592" t="s">
        <v>66</v>
      </c>
      <c r="AD707" s="592"/>
      <c r="AE707" s="592"/>
      <c r="AF707" s="590"/>
      <c r="AG707" s="570" t="str">
        <f>IF(AE707&lt;&gt;0,VLOOKUP(AE707,ODDS!$A$2:$C$13,3,0),"")</f>
        <v/>
      </c>
      <c r="AH707" s="570" t="str">
        <f t="shared" si="145"/>
        <v xml:space="preserve"> </v>
      </c>
      <c r="AI707" s="571" t="str">
        <f t="shared" si="141"/>
        <v xml:space="preserve"> </v>
      </c>
      <c r="AJ707" s="593" t="s">
        <v>169</v>
      </c>
      <c r="AK707" s="558" t="s">
        <v>2449</v>
      </c>
    </row>
    <row r="708" spans="1:37" s="376" customFormat="1" ht="101.25" outlineLevel="2" x14ac:dyDescent="0.3">
      <c r="A708" s="447">
        <f t="shared" si="158"/>
        <v>61</v>
      </c>
      <c r="B708" s="557"/>
      <c r="C708" s="648" t="s">
        <v>696</v>
      </c>
      <c r="D708" s="587"/>
      <c r="E708" s="587"/>
      <c r="F708" s="560"/>
      <c r="G708" s="558" t="s">
        <v>2211</v>
      </c>
      <c r="H708" s="588">
        <v>74.2</v>
      </c>
      <c r="I708" s="546" t="str">
        <f t="shared" si="157"/>
        <v/>
      </c>
      <c r="J708" s="589"/>
      <c r="K708" s="563">
        <f>IF(G708&lt;&gt;0,VLOOKUP(G708,'gia dat'!$A$1:$F$144,5,0)," ")</f>
        <v>465600</v>
      </c>
      <c r="L708" s="563">
        <f>IF(G708&lt;&gt;0,VLOOKUP(G708,'gia dat'!$A$1:$F$144,6,0)," ")</f>
        <v>0</v>
      </c>
      <c r="M708" s="564">
        <f t="shared" si="137"/>
        <v>34548000</v>
      </c>
      <c r="N708" s="564">
        <f t="shared" si="138"/>
        <v>0</v>
      </c>
      <c r="O708" s="646" t="s">
        <v>746</v>
      </c>
      <c r="P708" s="590">
        <v>14</v>
      </c>
      <c r="Q708" s="564">
        <f>IF(O708&lt;&gt;0,VLOOKUP(O708,'Cây trong'!$A$2:$C$246,3,0)," ")</f>
        <v>32000</v>
      </c>
      <c r="R708" s="564">
        <f t="shared" si="144"/>
        <v>448000</v>
      </c>
      <c r="S708" s="646" t="s">
        <v>1839</v>
      </c>
      <c r="T708" s="649" t="s">
        <v>53</v>
      </c>
      <c r="U708" s="591">
        <v>10.199999999999999</v>
      </c>
      <c r="V708" s="589">
        <v>217.69</v>
      </c>
      <c r="W708" s="564"/>
      <c r="X708" s="564">
        <f t="shared" si="156"/>
        <v>0</v>
      </c>
      <c r="Y708" s="589"/>
      <c r="Z708" s="592"/>
      <c r="AA708" s="592"/>
      <c r="AB708" s="568"/>
      <c r="AC708" s="592"/>
      <c r="AD708" s="592"/>
      <c r="AE708" s="592"/>
      <c r="AF708" s="590"/>
      <c r="AG708" s="570" t="str">
        <f>IF(AE708&lt;&gt;0,VLOOKUP(AE708,ODDS!$A$2:$C$13,3,0),"")</f>
        <v/>
      </c>
      <c r="AH708" s="570" t="str">
        <f t="shared" si="145"/>
        <v xml:space="preserve"> </v>
      </c>
      <c r="AI708" s="571" t="str">
        <f t="shared" si="141"/>
        <v xml:space="preserve"> </v>
      </c>
      <c r="AJ708" s="593" t="s">
        <v>1723</v>
      </c>
      <c r="AK708" s="558" t="s">
        <v>2800</v>
      </c>
    </row>
    <row r="709" spans="1:37" s="376" customFormat="1" ht="101.25" outlineLevel="2" x14ac:dyDescent="0.3">
      <c r="A709" s="447">
        <f t="shared" si="158"/>
        <v>61</v>
      </c>
      <c r="B709" s="557"/>
      <c r="C709" s="637"/>
      <c r="D709" s="587"/>
      <c r="E709" s="587"/>
      <c r="F709" s="560"/>
      <c r="G709" s="558" t="s">
        <v>2212</v>
      </c>
      <c r="H709" s="588">
        <v>13.9</v>
      </c>
      <c r="I709" s="546" t="str">
        <f t="shared" si="157"/>
        <v/>
      </c>
      <c r="J709" s="589"/>
      <c r="K709" s="563">
        <f>IF(G709&lt;&gt;0,VLOOKUP(G709,'gia dat'!$A$1:$F$144,5,0)," ")</f>
        <v>465600</v>
      </c>
      <c r="L709" s="563">
        <f>IF(G709&lt;&gt;0,VLOOKUP(G709,'gia dat'!$A$1:$F$144,6,0)," ")</f>
        <v>0</v>
      </c>
      <c r="M709" s="564">
        <f t="shared" si="137"/>
        <v>6472000</v>
      </c>
      <c r="N709" s="564">
        <f t="shared" si="138"/>
        <v>0</v>
      </c>
      <c r="O709" s="558" t="s">
        <v>61</v>
      </c>
      <c r="P709" s="590">
        <v>1</v>
      </c>
      <c r="Q709" s="564">
        <f>IF(O709&lt;&gt;0,VLOOKUP(O709,'Cây trong'!$A$2:$C$246,3,0)," ")</f>
        <v>1708000</v>
      </c>
      <c r="R709" s="564">
        <f t="shared" si="144"/>
        <v>1708000</v>
      </c>
      <c r="S709" s="566" t="s">
        <v>1838</v>
      </c>
      <c r="T709" s="589" t="s">
        <v>53</v>
      </c>
      <c r="U709" s="591">
        <v>13.8</v>
      </c>
      <c r="V709" s="589"/>
      <c r="W709" s="564"/>
      <c r="X709" s="564">
        <f t="shared" si="156"/>
        <v>0</v>
      </c>
      <c r="Y709" s="589" t="s">
        <v>63</v>
      </c>
      <c r="Z709" s="592" t="s">
        <v>55</v>
      </c>
      <c r="AA709" s="592" t="s">
        <v>56</v>
      </c>
      <c r="AB709" s="568" t="s">
        <v>57</v>
      </c>
      <c r="AC709" s="592" t="s">
        <v>54</v>
      </c>
      <c r="AD709" s="592"/>
      <c r="AE709" s="592"/>
      <c r="AF709" s="590"/>
      <c r="AG709" s="570" t="str">
        <f>IF(AE709&lt;&gt;0,VLOOKUP(AE709,ODDS!$A$2:$C$13,3,0),"")</f>
        <v/>
      </c>
      <c r="AH709" s="570" t="str">
        <f t="shared" si="145"/>
        <v xml:space="preserve"> </v>
      </c>
      <c r="AI709" s="571" t="str">
        <f t="shared" si="141"/>
        <v xml:space="preserve"> </v>
      </c>
      <c r="AJ709" s="608" t="s">
        <v>111</v>
      </c>
      <c r="AK709" s="608"/>
    </row>
    <row r="710" spans="1:37" s="376" customFormat="1" ht="60.75" outlineLevel="2" x14ac:dyDescent="0.3">
      <c r="A710" s="447">
        <f t="shared" si="158"/>
        <v>61</v>
      </c>
      <c r="B710" s="557"/>
      <c r="C710" s="637"/>
      <c r="D710" s="587"/>
      <c r="E710" s="587"/>
      <c r="F710" s="560"/>
      <c r="G710" s="558"/>
      <c r="H710" s="588"/>
      <c r="I710" s="546"/>
      <c r="J710" s="589"/>
      <c r="K710" s="563" t="str">
        <f>IF(G710&lt;&gt;0,VLOOKUP(G710,'gia dat'!$A$1:$F$144,5,0)," ")</f>
        <v xml:space="preserve"> </v>
      </c>
      <c r="L710" s="563" t="str">
        <f>IF(G710&lt;&gt;0,VLOOKUP(G710,'gia dat'!$A$1:$F$144,6,0)," ")</f>
        <v xml:space="preserve"> </v>
      </c>
      <c r="M710" s="564" t="str">
        <f t="shared" ref="M710:M777" si="159">IF(H710&lt;&gt;0,ROUND(H710*K710,-3)," ")</f>
        <v xml:space="preserve"> </v>
      </c>
      <c r="N710" s="564" t="str">
        <f t="shared" ref="N710:N777" si="160">IF(H710&lt;&gt;0,ROUND(H710*L710,-3)," ")</f>
        <v xml:space="preserve"> </v>
      </c>
      <c r="O710" s="593"/>
      <c r="P710" s="616"/>
      <c r="Q710" s="564" t="str">
        <f>IF(O710&lt;&gt;0,VLOOKUP(O710,'Cây trong'!$A$2:$C$246,3,0)," ")</f>
        <v xml:space="preserve"> </v>
      </c>
      <c r="R710" s="564" t="str">
        <f t="shared" si="144"/>
        <v xml:space="preserve"> </v>
      </c>
      <c r="S710" s="566" t="s">
        <v>1838</v>
      </c>
      <c r="T710" s="589" t="s">
        <v>53</v>
      </c>
      <c r="U710" s="591">
        <v>11.46</v>
      </c>
      <c r="V710" s="589"/>
      <c r="W710" s="564"/>
      <c r="X710" s="564">
        <f t="shared" si="156"/>
        <v>0</v>
      </c>
      <c r="Y710" s="589" t="s">
        <v>63</v>
      </c>
      <c r="Z710" s="592" t="s">
        <v>55</v>
      </c>
      <c r="AA710" s="592" t="s">
        <v>56</v>
      </c>
      <c r="AB710" s="568" t="s">
        <v>57</v>
      </c>
      <c r="AC710" s="592" t="s">
        <v>54</v>
      </c>
      <c r="AD710" s="592"/>
      <c r="AE710" s="592"/>
      <c r="AF710" s="590"/>
      <c r="AG710" s="570" t="str">
        <f>IF(AE710&lt;&gt;0,VLOOKUP(AE710,ODDS!$A$2:$C$13,3,0),"")</f>
        <v/>
      </c>
      <c r="AH710" s="570" t="str">
        <f t="shared" si="145"/>
        <v xml:space="preserve"> </v>
      </c>
      <c r="AI710" s="571" t="str">
        <f t="shared" si="141"/>
        <v xml:space="preserve"> </v>
      </c>
      <c r="AJ710" s="574" t="s">
        <v>559</v>
      </c>
      <c r="AK710" s="574"/>
    </row>
    <row r="711" spans="1:37" s="376" customFormat="1" ht="121.5" outlineLevel="2" x14ac:dyDescent="0.3">
      <c r="A711" s="447">
        <f t="shared" si="158"/>
        <v>61</v>
      </c>
      <c r="B711" s="557"/>
      <c r="C711" s="558"/>
      <c r="D711" s="587"/>
      <c r="E711" s="587"/>
      <c r="F711" s="560"/>
      <c r="G711" s="558"/>
      <c r="H711" s="588"/>
      <c r="I711" s="546"/>
      <c r="J711" s="589"/>
      <c r="K711" s="563" t="str">
        <f>IF(G711&lt;&gt;0,VLOOKUP(G711,'gia dat'!$A$1:$F$144,5,0)," ")</f>
        <v xml:space="preserve"> </v>
      </c>
      <c r="L711" s="563" t="str">
        <f>IF(G711&lt;&gt;0,VLOOKUP(G711,'gia dat'!$A$1:$F$144,6,0)," ")</f>
        <v xml:space="preserve"> </v>
      </c>
      <c r="M711" s="564" t="str">
        <f t="shared" si="159"/>
        <v xml:space="preserve"> </v>
      </c>
      <c r="N711" s="564" t="str">
        <f t="shared" si="160"/>
        <v xml:space="preserve"> </v>
      </c>
      <c r="O711" s="558"/>
      <c r="P711" s="590"/>
      <c r="Q711" s="564" t="str">
        <f>IF(O711&lt;&gt;0,VLOOKUP(O711,'Cây trong'!$A$2:$C$246,3,0)," ")</f>
        <v xml:space="preserve"> </v>
      </c>
      <c r="R711" s="564" t="str">
        <f t="shared" si="144"/>
        <v xml:space="preserve"> </v>
      </c>
      <c r="S711" s="566" t="s">
        <v>2339</v>
      </c>
      <c r="T711" s="589" t="s">
        <v>53</v>
      </c>
      <c r="U711" s="591">
        <v>2.34</v>
      </c>
      <c r="V711" s="589"/>
      <c r="W711" s="564"/>
      <c r="X711" s="564">
        <f t="shared" si="156"/>
        <v>0</v>
      </c>
      <c r="Y711" s="589"/>
      <c r="Z711" s="592"/>
      <c r="AA711" s="592" t="s">
        <v>56</v>
      </c>
      <c r="AB711" s="568" t="s">
        <v>57</v>
      </c>
      <c r="AC711" s="592" t="s">
        <v>54</v>
      </c>
      <c r="AD711" s="592"/>
      <c r="AE711" s="592"/>
      <c r="AF711" s="590"/>
      <c r="AG711" s="570" t="str">
        <f>IF(AE711&lt;&gt;0,VLOOKUP(AE711,ODDS!$A$2:$C$13,3,0),"")</f>
        <v/>
      </c>
      <c r="AH711" s="570" t="str">
        <f t="shared" si="145"/>
        <v xml:space="preserve"> </v>
      </c>
      <c r="AI711" s="571" t="str">
        <f t="shared" si="141"/>
        <v xml:space="preserve"> </v>
      </c>
      <c r="AJ711" s="558" t="s">
        <v>2043</v>
      </c>
      <c r="AK711" s="558"/>
    </row>
    <row r="712" spans="1:37" s="376" customFormat="1" ht="101.25" outlineLevel="2" x14ac:dyDescent="0.3">
      <c r="A712" s="447">
        <f t="shared" si="158"/>
        <v>61</v>
      </c>
      <c r="B712" s="557"/>
      <c r="C712" s="636"/>
      <c r="D712" s="587"/>
      <c r="E712" s="587"/>
      <c r="F712" s="560"/>
      <c r="G712" s="558"/>
      <c r="H712" s="588"/>
      <c r="I712" s="546"/>
      <c r="J712" s="589"/>
      <c r="K712" s="563" t="str">
        <f>IF(G712&lt;&gt;0,VLOOKUP(G712,'gia dat'!$A$1:$F$144,5,0)," ")</f>
        <v xml:space="preserve"> </v>
      </c>
      <c r="L712" s="563" t="str">
        <f>IF(G712&lt;&gt;0,VLOOKUP(G712,'gia dat'!$A$1:$F$144,6,0)," ")</f>
        <v xml:space="preserve"> </v>
      </c>
      <c r="M712" s="564" t="str">
        <f t="shared" si="159"/>
        <v xml:space="preserve"> </v>
      </c>
      <c r="N712" s="564" t="str">
        <f t="shared" si="160"/>
        <v xml:space="preserve"> </v>
      </c>
      <c r="O712" s="558"/>
      <c r="P712" s="590"/>
      <c r="Q712" s="564" t="str">
        <f>IF(O712&lt;&gt;0,VLOOKUP(O712,'Cây trong'!$A$2:$C$246,3,0)," ")</f>
        <v xml:space="preserve"> </v>
      </c>
      <c r="R712" s="564" t="str">
        <f t="shared" si="144"/>
        <v xml:space="preserve"> </v>
      </c>
      <c r="S712" s="566" t="s">
        <v>1838</v>
      </c>
      <c r="T712" s="589" t="s">
        <v>53</v>
      </c>
      <c r="U712" s="591">
        <v>11.46</v>
      </c>
      <c r="V712" s="589"/>
      <c r="W712" s="564"/>
      <c r="X712" s="564">
        <f t="shared" si="156"/>
        <v>0</v>
      </c>
      <c r="Y712" s="589" t="s">
        <v>63</v>
      </c>
      <c r="Z712" s="592" t="s">
        <v>55</v>
      </c>
      <c r="AA712" s="592" t="s">
        <v>56</v>
      </c>
      <c r="AB712" s="568" t="s">
        <v>57</v>
      </c>
      <c r="AC712" s="592" t="s">
        <v>54</v>
      </c>
      <c r="AD712" s="592"/>
      <c r="AE712" s="592"/>
      <c r="AF712" s="590"/>
      <c r="AG712" s="570" t="str">
        <f>IF(AE712&lt;&gt;0,VLOOKUP(AE712,ODDS!$A$2:$C$13,3,0),"")</f>
        <v/>
      </c>
      <c r="AH712" s="570" t="str">
        <f t="shared" si="145"/>
        <v xml:space="preserve"> </v>
      </c>
      <c r="AI712" s="571" t="str">
        <f t="shared" si="141"/>
        <v xml:space="preserve"> </v>
      </c>
      <c r="AJ712" s="558" t="s">
        <v>2044</v>
      </c>
      <c r="AK712" s="593"/>
    </row>
    <row r="713" spans="1:37" s="376" customFormat="1" ht="81" outlineLevel="2" x14ac:dyDescent="0.3">
      <c r="A713" s="447">
        <f t="shared" si="158"/>
        <v>61</v>
      </c>
      <c r="B713" s="557"/>
      <c r="C713" s="637"/>
      <c r="D713" s="587"/>
      <c r="E713" s="587"/>
      <c r="F713" s="560"/>
      <c r="G713" s="558"/>
      <c r="H713" s="588"/>
      <c r="I713" s="546"/>
      <c r="J713" s="589"/>
      <c r="K713" s="563" t="str">
        <f>IF(G713&lt;&gt;0,VLOOKUP(G713,'gia dat'!$A$1:$F$144,5,0)," ")</f>
        <v xml:space="preserve"> </v>
      </c>
      <c r="L713" s="563" t="str">
        <f>IF(G713&lt;&gt;0,VLOOKUP(G713,'gia dat'!$A$1:$F$144,6,0)," ")</f>
        <v xml:space="preserve"> </v>
      </c>
      <c r="M713" s="564" t="str">
        <f t="shared" si="159"/>
        <v xml:space="preserve"> </v>
      </c>
      <c r="N713" s="564" t="str">
        <f t="shared" si="160"/>
        <v xml:space="preserve"> </v>
      </c>
      <c r="O713" s="638"/>
      <c r="P713" s="664"/>
      <c r="Q713" s="564" t="str">
        <f>IF(O713&lt;&gt;0,VLOOKUP(O713,'Cây trong'!$A$2:$C$246,3,0)," ")</f>
        <v xml:space="preserve"> </v>
      </c>
      <c r="R713" s="564" t="str">
        <f t="shared" si="144"/>
        <v xml:space="preserve"> </v>
      </c>
      <c r="S713" s="638" t="s">
        <v>2339</v>
      </c>
      <c r="T713" s="639" t="s">
        <v>53</v>
      </c>
      <c r="U713" s="591">
        <v>2.34</v>
      </c>
      <c r="V713" s="589"/>
      <c r="W713" s="564"/>
      <c r="X713" s="564">
        <f t="shared" si="156"/>
        <v>0</v>
      </c>
      <c r="Y713" s="589"/>
      <c r="Z713" s="592"/>
      <c r="AA713" s="592" t="s">
        <v>56</v>
      </c>
      <c r="AB713" s="568" t="s">
        <v>57</v>
      </c>
      <c r="AC713" s="592" t="s">
        <v>54</v>
      </c>
      <c r="AD713" s="592"/>
      <c r="AE713" s="592"/>
      <c r="AF713" s="590"/>
      <c r="AG713" s="570" t="str">
        <f>IF(AE713&lt;&gt;0,VLOOKUP(AE713,ODDS!$A$2:$C$13,3,0),"")</f>
        <v/>
      </c>
      <c r="AH713" s="570" t="str">
        <f t="shared" si="145"/>
        <v xml:space="preserve"> </v>
      </c>
      <c r="AI713" s="571" t="str">
        <f t="shared" ref="AI713:AI776" si="161">IF(B713&lt;&gt;0,M713+N713+R713+X713+AH713," ")</f>
        <v xml:space="preserve"> </v>
      </c>
      <c r="AJ713" s="558"/>
      <c r="AK713" s="593"/>
    </row>
    <row r="714" spans="1:37" s="376" customFormat="1" ht="40.5" outlineLevel="2" x14ac:dyDescent="0.3">
      <c r="A714" s="447">
        <f t="shared" si="158"/>
        <v>61</v>
      </c>
      <c r="B714" s="557"/>
      <c r="C714" s="637"/>
      <c r="D714" s="587"/>
      <c r="E714" s="587"/>
      <c r="F714" s="560"/>
      <c r="G714" s="558"/>
      <c r="H714" s="588"/>
      <c r="I714" s="546"/>
      <c r="J714" s="589"/>
      <c r="K714" s="563" t="str">
        <f>IF(G714&lt;&gt;0,VLOOKUP(G714,'gia dat'!$A$1:$F$144,5,0)," ")</f>
        <v xml:space="preserve"> </v>
      </c>
      <c r="L714" s="563" t="str">
        <f>IF(G714&lt;&gt;0,VLOOKUP(G714,'gia dat'!$A$1:$F$144,6,0)," ")</f>
        <v xml:space="preserve"> </v>
      </c>
      <c r="M714" s="564" t="str">
        <f t="shared" si="159"/>
        <v xml:space="preserve"> </v>
      </c>
      <c r="N714" s="564" t="str">
        <f t="shared" si="160"/>
        <v xml:space="preserve"> </v>
      </c>
      <c r="O714" s="558"/>
      <c r="P714" s="590"/>
      <c r="Q714" s="564" t="str">
        <f>IF(O714&lt;&gt;0,VLOOKUP(O714,'Cây trong'!$A$2:$C$246,3,0)," ")</f>
        <v xml:space="preserve"> </v>
      </c>
      <c r="R714" s="564" t="str">
        <f t="shared" si="144"/>
        <v xml:space="preserve"> </v>
      </c>
      <c r="S714" s="566" t="s">
        <v>1838</v>
      </c>
      <c r="T714" s="589" t="s">
        <v>53</v>
      </c>
      <c r="U714" s="591">
        <v>13.8</v>
      </c>
      <c r="V714" s="589"/>
      <c r="W714" s="564"/>
      <c r="X714" s="564">
        <f t="shared" si="156"/>
        <v>0</v>
      </c>
      <c r="Y714" s="589" t="s">
        <v>63</v>
      </c>
      <c r="Z714" s="592" t="s">
        <v>55</v>
      </c>
      <c r="AA714" s="592" t="s">
        <v>56</v>
      </c>
      <c r="AB714" s="568" t="s">
        <v>360</v>
      </c>
      <c r="AC714" s="592" t="s">
        <v>54</v>
      </c>
      <c r="AD714" s="592"/>
      <c r="AE714" s="592"/>
      <c r="AF714" s="590"/>
      <c r="AG714" s="570" t="str">
        <f>IF(AE714&lt;&gt;0,VLOOKUP(AE714,ODDS!$A$2:$C$13,3,0),"")</f>
        <v/>
      </c>
      <c r="AH714" s="570" t="str">
        <f t="shared" si="145"/>
        <v xml:space="preserve"> </v>
      </c>
      <c r="AI714" s="571" t="str">
        <f t="shared" si="161"/>
        <v xml:space="preserve"> </v>
      </c>
      <c r="AJ714" s="593"/>
      <c r="AK714" s="593"/>
    </row>
    <row r="715" spans="1:37" s="376" customFormat="1" ht="81" outlineLevel="2" x14ac:dyDescent="0.3">
      <c r="A715" s="447">
        <f t="shared" si="158"/>
        <v>61</v>
      </c>
      <c r="B715" s="557"/>
      <c r="C715" s="558"/>
      <c r="D715" s="587"/>
      <c r="E715" s="587"/>
      <c r="F715" s="560"/>
      <c r="G715" s="558"/>
      <c r="H715" s="588"/>
      <c r="I715" s="546"/>
      <c r="J715" s="589"/>
      <c r="K715" s="563" t="str">
        <f>IF(G715&lt;&gt;0,VLOOKUP(G715,'gia dat'!$A$1:$F$144,5,0)," ")</f>
        <v xml:space="preserve"> </v>
      </c>
      <c r="L715" s="563" t="str">
        <f>IF(G715&lt;&gt;0,VLOOKUP(G715,'gia dat'!$A$1:$F$144,6,0)," ")</f>
        <v xml:space="preserve"> </v>
      </c>
      <c r="M715" s="564" t="str">
        <f t="shared" si="159"/>
        <v xml:space="preserve"> </v>
      </c>
      <c r="N715" s="564" t="str">
        <f t="shared" si="160"/>
        <v xml:space="preserve"> </v>
      </c>
      <c r="O715" s="558"/>
      <c r="P715" s="590"/>
      <c r="Q715" s="564" t="str">
        <f>IF(O715&lt;&gt;0,VLOOKUP(O715,'Cây trong'!$A$2:$C$246,3,0)," ")</f>
        <v xml:space="preserve"> </v>
      </c>
      <c r="R715" s="564" t="str">
        <f t="shared" si="144"/>
        <v xml:space="preserve"> </v>
      </c>
      <c r="S715" s="566" t="s">
        <v>2340</v>
      </c>
      <c r="T715" s="589" t="s">
        <v>53</v>
      </c>
      <c r="U715" s="591">
        <v>4.8099999999999996</v>
      </c>
      <c r="V715" s="589"/>
      <c r="W715" s="564"/>
      <c r="X715" s="564">
        <f t="shared" si="156"/>
        <v>0</v>
      </c>
      <c r="Y715" s="589"/>
      <c r="Z715" s="592"/>
      <c r="AA715" s="592" t="s">
        <v>56</v>
      </c>
      <c r="AB715" s="568" t="s">
        <v>57</v>
      </c>
      <c r="AC715" s="592" t="s">
        <v>54</v>
      </c>
      <c r="AD715" s="592"/>
      <c r="AE715" s="592"/>
      <c r="AF715" s="590"/>
      <c r="AG715" s="570" t="str">
        <f>IF(AE715&lt;&gt;0,VLOOKUP(AE715,ODDS!$A$2:$C$13,3,0),"")</f>
        <v/>
      </c>
      <c r="AH715" s="570" t="str">
        <f t="shared" si="145"/>
        <v xml:space="preserve"> </v>
      </c>
      <c r="AI715" s="571" t="str">
        <f t="shared" si="161"/>
        <v xml:space="preserve"> </v>
      </c>
      <c r="AJ715" s="593"/>
      <c r="AK715" s="593"/>
    </row>
    <row r="716" spans="1:37" s="376" customFormat="1" ht="60.75" outlineLevel="2" x14ac:dyDescent="0.3">
      <c r="A716" s="447">
        <f t="shared" si="158"/>
        <v>61</v>
      </c>
      <c r="B716" s="557"/>
      <c r="C716" s="636"/>
      <c r="D716" s="587"/>
      <c r="E716" s="587"/>
      <c r="F716" s="560"/>
      <c r="G716" s="558"/>
      <c r="H716" s="588"/>
      <c r="I716" s="546"/>
      <c r="J716" s="589"/>
      <c r="K716" s="563" t="str">
        <f>IF(G716&lt;&gt;0,VLOOKUP(G716,'gia dat'!$A$1:$F$144,5,0)," ")</f>
        <v xml:space="preserve"> </v>
      </c>
      <c r="L716" s="563" t="str">
        <f>IF(G716&lt;&gt;0,VLOOKUP(G716,'gia dat'!$A$1:$F$144,6,0)," ")</f>
        <v xml:space="preserve"> </v>
      </c>
      <c r="M716" s="564" t="str">
        <f t="shared" si="159"/>
        <v xml:space="preserve"> </v>
      </c>
      <c r="N716" s="564" t="str">
        <f t="shared" si="160"/>
        <v xml:space="preserve"> </v>
      </c>
      <c r="O716" s="558"/>
      <c r="P716" s="590"/>
      <c r="Q716" s="564" t="str">
        <f>IF(O716&lt;&gt;0,VLOOKUP(O716,'Cây trong'!$A$2:$C$246,3,0)," ")</f>
        <v xml:space="preserve"> </v>
      </c>
      <c r="R716" s="564" t="str">
        <f t="shared" si="144"/>
        <v xml:space="preserve"> </v>
      </c>
      <c r="S716" s="566" t="s">
        <v>2341</v>
      </c>
      <c r="T716" s="589" t="s">
        <v>53</v>
      </c>
      <c r="U716" s="591">
        <v>68.2</v>
      </c>
      <c r="V716" s="589">
        <v>189.2</v>
      </c>
      <c r="W716" s="564"/>
      <c r="X716" s="564">
        <f t="shared" si="156"/>
        <v>0</v>
      </c>
      <c r="Y716" s="589" t="s">
        <v>63</v>
      </c>
      <c r="Z716" s="592" t="s">
        <v>55</v>
      </c>
      <c r="AA716" s="592" t="s">
        <v>56</v>
      </c>
      <c r="AB716" s="568" t="s">
        <v>57</v>
      </c>
      <c r="AC716" s="592" t="s">
        <v>66</v>
      </c>
      <c r="AD716" s="568" t="s">
        <v>430</v>
      </c>
      <c r="AE716" s="568"/>
      <c r="AF716" s="563"/>
      <c r="AG716" s="570" t="str">
        <f>IF(AE716&lt;&gt;0,VLOOKUP(AE716,ODDS!$A$2:$C$13,3,0),"")</f>
        <v/>
      </c>
      <c r="AH716" s="570" t="str">
        <f t="shared" si="145"/>
        <v xml:space="preserve"> </v>
      </c>
      <c r="AI716" s="571" t="str">
        <f t="shared" si="161"/>
        <v xml:space="preserve"> </v>
      </c>
      <c r="AJ716" s="593"/>
      <c r="AK716" s="593"/>
    </row>
    <row r="717" spans="1:37" s="376" customFormat="1" ht="60.75" outlineLevel="2" x14ac:dyDescent="0.3">
      <c r="A717" s="447">
        <f t="shared" si="158"/>
        <v>61</v>
      </c>
      <c r="B717" s="557"/>
      <c r="C717" s="637"/>
      <c r="D717" s="587"/>
      <c r="E717" s="587"/>
      <c r="F717" s="560"/>
      <c r="G717" s="558"/>
      <c r="H717" s="588"/>
      <c r="I717" s="546"/>
      <c r="J717" s="589"/>
      <c r="K717" s="563" t="str">
        <f>IF(G717&lt;&gt;0,VLOOKUP(G717,'gia dat'!$A$1:$F$144,5,0)," ")</f>
        <v xml:space="preserve"> </v>
      </c>
      <c r="L717" s="563" t="str">
        <f>IF(G717&lt;&gt;0,VLOOKUP(G717,'gia dat'!$A$1:$F$144,6,0)," ")</f>
        <v xml:space="preserve"> </v>
      </c>
      <c r="M717" s="564" t="str">
        <f t="shared" si="159"/>
        <v xml:space="preserve"> </v>
      </c>
      <c r="N717" s="564" t="str">
        <f t="shared" si="160"/>
        <v xml:space="preserve"> </v>
      </c>
      <c r="O717" s="638"/>
      <c r="P717" s="664"/>
      <c r="Q717" s="564" t="str">
        <f>IF(O717&lt;&gt;0,VLOOKUP(O717,'Cây trong'!$A$2:$C$246,3,0)," ")</f>
        <v xml:space="preserve"> </v>
      </c>
      <c r="R717" s="564" t="str">
        <f t="shared" si="144"/>
        <v xml:space="preserve"> </v>
      </c>
      <c r="S717" s="638" t="s">
        <v>2342</v>
      </c>
      <c r="T717" s="639" t="s">
        <v>53</v>
      </c>
      <c r="U717" s="591"/>
      <c r="V717" s="589">
        <v>163.68</v>
      </c>
      <c r="W717" s="564"/>
      <c r="X717" s="564">
        <f t="shared" si="156"/>
        <v>0</v>
      </c>
      <c r="Y717" s="589" t="s">
        <v>63</v>
      </c>
      <c r="Z717" s="592" t="s">
        <v>55</v>
      </c>
      <c r="AA717" s="592" t="s">
        <v>141</v>
      </c>
      <c r="AB717" s="568" t="s">
        <v>57</v>
      </c>
      <c r="AC717" s="592" t="s">
        <v>54</v>
      </c>
      <c r="AD717" s="592"/>
      <c r="AE717" s="592"/>
      <c r="AF717" s="590"/>
      <c r="AG717" s="570" t="str">
        <f>IF(AE717&lt;&gt;0,VLOOKUP(AE717,ODDS!$A$2:$C$13,3,0),"")</f>
        <v/>
      </c>
      <c r="AH717" s="570" t="str">
        <f t="shared" si="145"/>
        <v xml:space="preserve"> </v>
      </c>
      <c r="AI717" s="571" t="str">
        <f t="shared" si="161"/>
        <v xml:space="preserve"> </v>
      </c>
      <c r="AJ717" s="593"/>
      <c r="AK717" s="593"/>
    </row>
    <row r="718" spans="1:37" s="376" customFormat="1" ht="81" outlineLevel="2" x14ac:dyDescent="0.3">
      <c r="A718" s="447">
        <f t="shared" si="158"/>
        <v>61</v>
      </c>
      <c r="B718" s="557"/>
      <c r="C718" s="636"/>
      <c r="D718" s="587"/>
      <c r="E718" s="587"/>
      <c r="F718" s="560"/>
      <c r="G718" s="558"/>
      <c r="H718" s="588"/>
      <c r="I718" s="546"/>
      <c r="J718" s="589"/>
      <c r="K718" s="563" t="str">
        <f>IF(G718&lt;&gt;0,VLOOKUP(G718,'gia dat'!$A$1:$F$144,5,0)," ")</f>
        <v xml:space="preserve"> </v>
      </c>
      <c r="L718" s="563" t="str">
        <f>IF(G718&lt;&gt;0,VLOOKUP(G718,'gia dat'!$A$1:$F$144,6,0)," ")</f>
        <v xml:space="preserve"> </v>
      </c>
      <c r="M718" s="564" t="str">
        <f t="shared" si="159"/>
        <v xml:space="preserve"> </v>
      </c>
      <c r="N718" s="564" t="str">
        <f t="shared" si="160"/>
        <v xml:space="preserve"> </v>
      </c>
      <c r="O718" s="638"/>
      <c r="P718" s="664"/>
      <c r="Q718" s="564" t="str">
        <f>IF(O718&lt;&gt;0,VLOOKUP(O718,'Cây trong'!$A$2:$C$246,3,0)," ")</f>
        <v xml:space="preserve"> </v>
      </c>
      <c r="R718" s="564" t="str">
        <f t="shared" si="144"/>
        <v xml:space="preserve"> </v>
      </c>
      <c r="S718" s="638" t="s">
        <v>2343</v>
      </c>
      <c r="T718" s="639" t="s">
        <v>53</v>
      </c>
      <c r="U718" s="591">
        <v>7.03</v>
      </c>
      <c r="V718" s="589"/>
      <c r="W718" s="564"/>
      <c r="X718" s="564">
        <f t="shared" si="156"/>
        <v>0</v>
      </c>
      <c r="Y718" s="589"/>
      <c r="Z718" s="592"/>
      <c r="AA718" s="592" t="s">
        <v>56</v>
      </c>
      <c r="AB718" s="568" t="s">
        <v>57</v>
      </c>
      <c r="AC718" s="592" t="s">
        <v>54</v>
      </c>
      <c r="AD718" s="592"/>
      <c r="AE718" s="592"/>
      <c r="AF718" s="590"/>
      <c r="AG718" s="570" t="str">
        <f>IF(AE718&lt;&gt;0,VLOOKUP(AE718,ODDS!$A$2:$C$13,3,0),"")</f>
        <v/>
      </c>
      <c r="AH718" s="570" t="str">
        <f t="shared" si="145"/>
        <v xml:space="preserve"> </v>
      </c>
      <c r="AI718" s="571" t="str">
        <f t="shared" si="161"/>
        <v xml:space="preserve"> </v>
      </c>
      <c r="AJ718" s="593"/>
      <c r="AK718" s="593"/>
    </row>
    <row r="719" spans="1:37" s="376" customFormat="1" ht="40.5" outlineLevel="2" x14ac:dyDescent="0.3">
      <c r="A719" s="447">
        <f t="shared" si="158"/>
        <v>61</v>
      </c>
      <c r="B719" s="557"/>
      <c r="C719" s="636"/>
      <c r="D719" s="587"/>
      <c r="E719" s="587"/>
      <c r="F719" s="560"/>
      <c r="G719" s="558"/>
      <c r="H719" s="588"/>
      <c r="I719" s="546"/>
      <c r="J719" s="589"/>
      <c r="K719" s="563" t="str">
        <f>IF(G719&lt;&gt;0,VLOOKUP(G719,'gia dat'!$A$1:$F$144,5,0)," ")</f>
        <v xml:space="preserve"> </v>
      </c>
      <c r="L719" s="563" t="str">
        <f>IF(G719&lt;&gt;0,VLOOKUP(G719,'gia dat'!$A$1:$F$144,6,0)," ")</f>
        <v xml:space="preserve"> </v>
      </c>
      <c r="M719" s="564" t="str">
        <f t="shared" si="159"/>
        <v xml:space="preserve"> </v>
      </c>
      <c r="N719" s="564" t="str">
        <f t="shared" si="160"/>
        <v xml:space="preserve"> </v>
      </c>
      <c r="O719" s="558"/>
      <c r="P719" s="590"/>
      <c r="Q719" s="564" t="str">
        <f>IF(O719&lt;&gt;0,VLOOKUP(O719,'Cây trong'!$A$2:$C$246,3,0)," ")</f>
        <v xml:space="preserve"> </v>
      </c>
      <c r="R719" s="564" t="str">
        <f t="shared" si="144"/>
        <v xml:space="preserve"> </v>
      </c>
      <c r="S719" s="586" t="s">
        <v>1748</v>
      </c>
      <c r="T719" s="589" t="s">
        <v>53</v>
      </c>
      <c r="U719" s="591">
        <v>72.239999999999995</v>
      </c>
      <c r="V719" s="589"/>
      <c r="W719" s="564"/>
      <c r="X719" s="564">
        <f t="shared" si="156"/>
        <v>0</v>
      </c>
      <c r="Y719" s="589"/>
      <c r="Z719" s="592"/>
      <c r="AA719" s="592"/>
      <c r="AB719" s="568"/>
      <c r="AC719" s="592"/>
      <c r="AD719" s="592"/>
      <c r="AE719" s="592"/>
      <c r="AF719" s="590"/>
      <c r="AG719" s="570" t="str">
        <f>IF(AE719&lt;&gt;0,VLOOKUP(AE719,ODDS!$A$2:$C$13,3,0),"")</f>
        <v/>
      </c>
      <c r="AH719" s="570" t="str">
        <f t="shared" si="145"/>
        <v xml:space="preserve"> </v>
      </c>
      <c r="AI719" s="571" t="str">
        <f t="shared" si="161"/>
        <v xml:space="preserve"> </v>
      </c>
      <c r="AJ719" s="593"/>
      <c r="AK719" s="593"/>
    </row>
    <row r="720" spans="1:37" s="376" customFormat="1" ht="40.5" outlineLevel="2" x14ac:dyDescent="0.3">
      <c r="A720" s="447">
        <f t="shared" si="158"/>
        <v>61</v>
      </c>
      <c r="B720" s="557"/>
      <c r="C720" s="637"/>
      <c r="D720" s="587"/>
      <c r="E720" s="587"/>
      <c r="F720" s="560"/>
      <c r="G720" s="558"/>
      <c r="H720" s="588"/>
      <c r="I720" s="546"/>
      <c r="J720" s="589"/>
      <c r="K720" s="563" t="str">
        <f>IF(G720&lt;&gt;0,VLOOKUP(G720,'gia dat'!$A$1:$F$144,5,0)," ")</f>
        <v xml:space="preserve"> </v>
      </c>
      <c r="L720" s="563" t="str">
        <f>IF(G720&lt;&gt;0,VLOOKUP(G720,'gia dat'!$A$1:$F$144,6,0)," ")</f>
        <v xml:space="preserve"> </v>
      </c>
      <c r="M720" s="564" t="str">
        <f t="shared" si="159"/>
        <v xml:space="preserve"> </v>
      </c>
      <c r="N720" s="564" t="str">
        <f t="shared" si="160"/>
        <v xml:space="preserve"> </v>
      </c>
      <c r="O720" s="558"/>
      <c r="P720" s="590"/>
      <c r="Q720" s="564" t="str">
        <f>IF(O720&lt;&gt;0,VLOOKUP(O720,'Cây trong'!$A$2:$C$246,3,0)," ")</f>
        <v xml:space="preserve"> </v>
      </c>
      <c r="R720" s="564" t="str">
        <f t="shared" si="144"/>
        <v xml:space="preserve"> </v>
      </c>
      <c r="S720" s="586" t="s">
        <v>1748</v>
      </c>
      <c r="T720" s="589" t="s">
        <v>53</v>
      </c>
      <c r="U720" s="591">
        <v>11.5</v>
      </c>
      <c r="V720" s="589"/>
      <c r="W720" s="564"/>
      <c r="X720" s="564">
        <f t="shared" si="156"/>
        <v>0</v>
      </c>
      <c r="Y720" s="589"/>
      <c r="Z720" s="592"/>
      <c r="AA720" s="592"/>
      <c r="AB720" s="568"/>
      <c r="AC720" s="592"/>
      <c r="AD720" s="592"/>
      <c r="AE720" s="592"/>
      <c r="AF720" s="590"/>
      <c r="AG720" s="570" t="str">
        <f>IF(AE720&lt;&gt;0,VLOOKUP(AE720,ODDS!$A$2:$C$13,3,0),"")</f>
        <v/>
      </c>
      <c r="AH720" s="570" t="str">
        <f t="shared" si="145"/>
        <v xml:space="preserve"> </v>
      </c>
      <c r="AI720" s="571" t="str">
        <f t="shared" si="161"/>
        <v xml:space="preserve"> </v>
      </c>
      <c r="AJ720" s="558"/>
      <c r="AK720" s="558"/>
    </row>
    <row r="721" spans="1:37" s="376" customFormat="1" ht="60.75" outlineLevel="2" x14ac:dyDescent="0.3">
      <c r="A721" s="447">
        <f t="shared" si="158"/>
        <v>61</v>
      </c>
      <c r="B721" s="557"/>
      <c r="C721" s="558"/>
      <c r="D721" s="587"/>
      <c r="E721" s="587"/>
      <c r="F721" s="560"/>
      <c r="G721" s="558"/>
      <c r="H721" s="588"/>
      <c r="I721" s="546"/>
      <c r="J721" s="589"/>
      <c r="K721" s="563" t="str">
        <f>IF(G721&lt;&gt;0,VLOOKUP(G721,'gia dat'!$A$1:$F$144,5,0)," ")</f>
        <v xml:space="preserve"> </v>
      </c>
      <c r="L721" s="563" t="str">
        <f>IF(G721&lt;&gt;0,VLOOKUP(G721,'gia dat'!$A$1:$F$144,6,0)," ")</f>
        <v xml:space="preserve"> </v>
      </c>
      <c r="M721" s="564" t="str">
        <f t="shared" si="159"/>
        <v xml:space="preserve"> </v>
      </c>
      <c r="N721" s="564" t="str">
        <f t="shared" si="160"/>
        <v xml:space="preserve"> </v>
      </c>
      <c r="O721" s="558"/>
      <c r="P721" s="590"/>
      <c r="Q721" s="564" t="str">
        <f>IF(O721&lt;&gt;0,VLOOKUP(O721,'Cây trong'!$A$2:$C$246,3,0)," ")</f>
        <v xml:space="preserve"> </v>
      </c>
      <c r="R721" s="564" t="str">
        <f t="shared" si="144"/>
        <v xml:space="preserve"> </v>
      </c>
      <c r="S721" s="566" t="s">
        <v>2344</v>
      </c>
      <c r="T721" s="589" t="s">
        <v>53</v>
      </c>
      <c r="U721" s="591">
        <v>72.239999999999995</v>
      </c>
      <c r="V721" s="589"/>
      <c r="W721" s="564"/>
      <c r="X721" s="564">
        <f t="shared" si="156"/>
        <v>0</v>
      </c>
      <c r="Y721" s="589"/>
      <c r="Z721" s="592"/>
      <c r="AA721" s="592"/>
      <c r="AB721" s="568"/>
      <c r="AC721" s="592"/>
      <c r="AD721" s="592"/>
      <c r="AE721" s="592"/>
      <c r="AF721" s="590"/>
      <c r="AG721" s="570" t="str">
        <f>IF(AE721&lt;&gt;0,VLOOKUP(AE721,ODDS!$A$2:$C$13,3,0),"")</f>
        <v/>
      </c>
      <c r="AH721" s="570" t="str">
        <f t="shared" si="145"/>
        <v xml:space="preserve"> </v>
      </c>
      <c r="AI721" s="571" t="str">
        <f t="shared" si="161"/>
        <v xml:space="preserve"> </v>
      </c>
      <c r="AJ721" s="558"/>
      <c r="AK721" s="558"/>
    </row>
    <row r="722" spans="1:37" s="376" customFormat="1" ht="60.75" outlineLevel="2" x14ac:dyDescent="0.3">
      <c r="A722" s="447">
        <f t="shared" si="158"/>
        <v>61</v>
      </c>
      <c r="B722" s="557"/>
      <c r="C722" s="636"/>
      <c r="D722" s="587"/>
      <c r="E722" s="587"/>
      <c r="F722" s="560"/>
      <c r="G722" s="558"/>
      <c r="H722" s="588"/>
      <c r="I722" s="546"/>
      <c r="J722" s="589"/>
      <c r="K722" s="563" t="str">
        <f>IF(G722&lt;&gt;0,VLOOKUP(G722,'gia dat'!$A$1:$F$144,5,0)," ")</f>
        <v xml:space="preserve"> </v>
      </c>
      <c r="L722" s="563" t="str">
        <f>IF(G722&lt;&gt;0,VLOOKUP(G722,'gia dat'!$A$1:$F$144,6,0)," ")</f>
        <v xml:space="preserve"> </v>
      </c>
      <c r="M722" s="564" t="str">
        <f t="shared" si="159"/>
        <v xml:space="preserve"> </v>
      </c>
      <c r="N722" s="564" t="str">
        <f t="shared" si="160"/>
        <v xml:space="preserve"> </v>
      </c>
      <c r="O722" s="558"/>
      <c r="P722" s="590"/>
      <c r="Q722" s="564" t="str">
        <f>IF(O722&lt;&gt;0,VLOOKUP(O722,'Cây trong'!$A$2:$C$246,3,0)," ")</f>
        <v xml:space="preserve"> </v>
      </c>
      <c r="R722" s="564" t="str">
        <f t="shared" ref="R722:R790" si="162">IF(O722&lt;&gt;0,ROUND(P722*Q722,-2)," ")</f>
        <v xml:space="preserve"> </v>
      </c>
      <c r="S722" s="566" t="s">
        <v>1749</v>
      </c>
      <c r="T722" s="589" t="s">
        <v>53</v>
      </c>
      <c r="U722" s="591">
        <v>11.5</v>
      </c>
      <c r="V722" s="589"/>
      <c r="W722" s="564"/>
      <c r="X722" s="564">
        <f t="shared" si="156"/>
        <v>0</v>
      </c>
      <c r="Y722" s="589"/>
      <c r="Z722" s="592"/>
      <c r="AA722" s="592"/>
      <c r="AB722" s="568"/>
      <c r="AC722" s="592"/>
      <c r="AD722" s="592"/>
      <c r="AE722" s="592"/>
      <c r="AF722" s="590"/>
      <c r="AG722" s="570" t="str">
        <f>IF(AE722&lt;&gt;0,VLOOKUP(AE722,ODDS!$A$2:$C$13,3,0),"")</f>
        <v/>
      </c>
      <c r="AH722" s="570" t="str">
        <f t="shared" ref="AH722:AH790" si="163">IF(AE722&lt;&gt;0,ROUND(AF722*AG722,-2)," ")</f>
        <v xml:space="preserve"> </v>
      </c>
      <c r="AI722" s="571" t="str">
        <f t="shared" si="161"/>
        <v xml:space="preserve"> </v>
      </c>
      <c r="AJ722" s="593"/>
      <c r="AK722" s="593"/>
    </row>
    <row r="723" spans="1:37" s="376" customFormat="1" ht="60.75" outlineLevel="2" x14ac:dyDescent="0.3">
      <c r="A723" s="447">
        <f t="shared" si="158"/>
        <v>61</v>
      </c>
      <c r="B723" s="557"/>
      <c r="C723" s="637"/>
      <c r="D723" s="587"/>
      <c r="E723" s="587"/>
      <c r="F723" s="560"/>
      <c r="G723" s="558"/>
      <c r="H723" s="588"/>
      <c r="I723" s="546"/>
      <c r="J723" s="589"/>
      <c r="K723" s="563" t="str">
        <f>IF(G723&lt;&gt;0,VLOOKUP(G723,'gia dat'!$A$1:$F$144,5,0)," ")</f>
        <v xml:space="preserve"> </v>
      </c>
      <c r="L723" s="563" t="str">
        <f>IF(G723&lt;&gt;0,VLOOKUP(G723,'gia dat'!$A$1:$F$144,6,0)," ")</f>
        <v xml:space="preserve"> </v>
      </c>
      <c r="M723" s="564" t="str">
        <f t="shared" si="159"/>
        <v xml:space="preserve"> </v>
      </c>
      <c r="N723" s="564" t="str">
        <f t="shared" si="160"/>
        <v xml:space="preserve"> </v>
      </c>
      <c r="O723" s="558"/>
      <c r="P723" s="590"/>
      <c r="Q723" s="564" t="str">
        <f>IF(O723&lt;&gt;0,VLOOKUP(O723,'Cây trong'!$A$2:$C$246,3,0)," ")</f>
        <v xml:space="preserve"> </v>
      </c>
      <c r="R723" s="564" t="str">
        <f t="shared" si="162"/>
        <v xml:space="preserve"> </v>
      </c>
      <c r="S723" s="638" t="s">
        <v>2344</v>
      </c>
      <c r="T723" s="639" t="s">
        <v>53</v>
      </c>
      <c r="U723" s="591"/>
      <c r="V723" s="589">
        <v>1.9</v>
      </c>
      <c r="W723" s="564"/>
      <c r="X723" s="564">
        <f t="shared" si="156"/>
        <v>0</v>
      </c>
      <c r="Y723" s="589"/>
      <c r="Z723" s="592"/>
      <c r="AA723" s="592"/>
      <c r="AB723" s="568"/>
      <c r="AC723" s="592"/>
      <c r="AD723" s="592"/>
      <c r="AE723" s="592"/>
      <c r="AF723" s="590"/>
      <c r="AG723" s="570" t="str">
        <f>IF(AE723&lt;&gt;0,VLOOKUP(AE723,ODDS!$A$2:$C$13,3,0),"")</f>
        <v/>
      </c>
      <c r="AH723" s="570" t="str">
        <f t="shared" si="163"/>
        <v xml:space="preserve"> </v>
      </c>
      <c r="AI723" s="571" t="str">
        <f t="shared" si="161"/>
        <v xml:space="preserve"> </v>
      </c>
      <c r="AJ723" s="593"/>
      <c r="AK723" s="593"/>
    </row>
    <row r="724" spans="1:37" s="376" customFormat="1" ht="40.5" outlineLevel="2" x14ac:dyDescent="0.3">
      <c r="A724" s="447">
        <f t="shared" si="158"/>
        <v>61</v>
      </c>
      <c r="B724" s="557"/>
      <c r="C724" s="637"/>
      <c r="D724" s="587"/>
      <c r="E724" s="587"/>
      <c r="F724" s="560"/>
      <c r="G724" s="558"/>
      <c r="H724" s="588"/>
      <c r="I724" s="546"/>
      <c r="J724" s="589"/>
      <c r="K724" s="563" t="str">
        <f>IF(G724&lt;&gt;0,VLOOKUP(G724,'gia dat'!$A$1:$F$144,5,0)," ")</f>
        <v xml:space="preserve"> </v>
      </c>
      <c r="L724" s="563" t="str">
        <f>IF(G724&lt;&gt;0,VLOOKUP(G724,'gia dat'!$A$1:$F$144,6,0)," ")</f>
        <v xml:space="preserve"> </v>
      </c>
      <c r="M724" s="564" t="str">
        <f t="shared" si="159"/>
        <v xml:space="preserve"> </v>
      </c>
      <c r="N724" s="564" t="str">
        <f t="shared" si="160"/>
        <v xml:space="preserve"> </v>
      </c>
      <c r="O724" s="558"/>
      <c r="P724" s="590"/>
      <c r="Q724" s="564" t="str">
        <f>IF(O724&lt;&gt;0,VLOOKUP(O724,'Cây trong'!$A$2:$C$246,3,0)," ")</f>
        <v xml:space="preserve"> </v>
      </c>
      <c r="R724" s="564" t="str">
        <f t="shared" si="162"/>
        <v xml:space="preserve"> </v>
      </c>
      <c r="S724" s="586" t="s">
        <v>1748</v>
      </c>
      <c r="T724" s="589" t="s">
        <v>53</v>
      </c>
      <c r="U724" s="591">
        <v>19.399999999999999</v>
      </c>
      <c r="V724" s="589"/>
      <c r="W724" s="564"/>
      <c r="X724" s="564">
        <f t="shared" si="156"/>
        <v>0</v>
      </c>
      <c r="Y724" s="589"/>
      <c r="Z724" s="592"/>
      <c r="AA724" s="592"/>
      <c r="AB724" s="568"/>
      <c r="AC724" s="592"/>
      <c r="AD724" s="592"/>
      <c r="AE724" s="592"/>
      <c r="AF724" s="590"/>
      <c r="AG724" s="570" t="str">
        <f>IF(AE724&lt;&gt;0,VLOOKUP(AE724,ODDS!$A$2:$C$13,3,0),"")</f>
        <v/>
      </c>
      <c r="AH724" s="570" t="str">
        <f t="shared" si="163"/>
        <v xml:space="preserve"> </v>
      </c>
      <c r="AI724" s="571" t="str">
        <f t="shared" si="161"/>
        <v xml:space="preserve"> </v>
      </c>
      <c r="AJ724" s="593"/>
      <c r="AK724" s="593"/>
    </row>
    <row r="725" spans="1:37" s="376" customFormat="1" ht="40.5" outlineLevel="2" x14ac:dyDescent="0.3">
      <c r="A725" s="447">
        <f t="shared" si="158"/>
        <v>61</v>
      </c>
      <c r="B725" s="557"/>
      <c r="C725" s="558"/>
      <c r="D725" s="587"/>
      <c r="E725" s="587"/>
      <c r="F725" s="560"/>
      <c r="G725" s="558"/>
      <c r="H725" s="588"/>
      <c r="I725" s="546"/>
      <c r="J725" s="589"/>
      <c r="K725" s="563" t="str">
        <f>IF(G725&lt;&gt;0,VLOOKUP(G725,'gia dat'!$A$1:$F$144,5,0)," ")</f>
        <v xml:space="preserve"> </v>
      </c>
      <c r="L725" s="563" t="str">
        <f>IF(G725&lt;&gt;0,VLOOKUP(G725,'gia dat'!$A$1:$F$144,6,0)," ")</f>
        <v xml:space="preserve"> </v>
      </c>
      <c r="M725" s="564" t="str">
        <f t="shared" si="159"/>
        <v xml:space="preserve"> </v>
      </c>
      <c r="N725" s="564" t="str">
        <f t="shared" si="160"/>
        <v xml:space="preserve"> </v>
      </c>
      <c r="O725" s="558"/>
      <c r="P725" s="590"/>
      <c r="Q725" s="564" t="str">
        <f>IF(O725&lt;&gt;0,VLOOKUP(O725,'Cây trong'!$A$2:$C$246,3,0)," ")</f>
        <v xml:space="preserve"> </v>
      </c>
      <c r="R725" s="564" t="str">
        <f t="shared" si="162"/>
        <v xml:space="preserve"> </v>
      </c>
      <c r="S725" s="566" t="s">
        <v>2291</v>
      </c>
      <c r="T725" s="589" t="s">
        <v>78</v>
      </c>
      <c r="U725" s="591">
        <v>0.23</v>
      </c>
      <c r="V725" s="589"/>
      <c r="W725" s="564"/>
      <c r="X725" s="564">
        <f t="shared" si="156"/>
        <v>0</v>
      </c>
      <c r="Y725" s="589"/>
      <c r="Z725" s="592"/>
      <c r="AA725" s="592"/>
      <c r="AB725" s="568"/>
      <c r="AC725" s="592"/>
      <c r="AD725" s="592"/>
      <c r="AE725" s="592"/>
      <c r="AF725" s="590"/>
      <c r="AG725" s="570" t="str">
        <f>IF(AE725&lt;&gt;0,VLOOKUP(AE725,ODDS!$A$2:$C$13,3,0),"")</f>
        <v/>
      </c>
      <c r="AH725" s="570" t="str">
        <f t="shared" si="163"/>
        <v xml:space="preserve"> </v>
      </c>
      <c r="AI725" s="571" t="str">
        <f t="shared" si="161"/>
        <v xml:space="preserve"> </v>
      </c>
      <c r="AJ725" s="593"/>
      <c r="AK725" s="593"/>
    </row>
    <row r="726" spans="1:37" s="376" customFormat="1" ht="60.75" outlineLevel="2" x14ac:dyDescent="0.3">
      <c r="A726" s="447">
        <f t="shared" si="158"/>
        <v>61</v>
      </c>
      <c r="B726" s="557"/>
      <c r="C726" s="636"/>
      <c r="D726" s="587"/>
      <c r="E726" s="587"/>
      <c r="F726" s="560"/>
      <c r="G726" s="558"/>
      <c r="H726" s="588"/>
      <c r="I726" s="546"/>
      <c r="J726" s="589"/>
      <c r="K726" s="563" t="str">
        <f>IF(G726&lt;&gt;0,VLOOKUP(G726,'gia dat'!$A$1:$F$144,5,0)," ")</f>
        <v xml:space="preserve"> </v>
      </c>
      <c r="L726" s="563" t="str">
        <f>IF(G726&lt;&gt;0,VLOOKUP(G726,'gia dat'!$A$1:$F$144,6,0)," ")</f>
        <v xml:space="preserve"> </v>
      </c>
      <c r="M726" s="564" t="str">
        <f t="shared" si="159"/>
        <v xml:space="preserve"> </v>
      </c>
      <c r="N726" s="564" t="str">
        <f t="shared" si="160"/>
        <v xml:space="preserve"> </v>
      </c>
      <c r="O726" s="558"/>
      <c r="P726" s="590"/>
      <c r="Q726" s="564" t="str">
        <f>IF(O726&lt;&gt;0,VLOOKUP(O726,'Cây trong'!$A$2:$C$246,3,0)," ")</f>
        <v xml:space="preserve"> </v>
      </c>
      <c r="R726" s="564" t="str">
        <f t="shared" si="162"/>
        <v xml:space="preserve"> </v>
      </c>
      <c r="S726" s="566" t="s">
        <v>2318</v>
      </c>
      <c r="T726" s="589" t="s">
        <v>53</v>
      </c>
      <c r="U726" s="591">
        <v>2.88</v>
      </c>
      <c r="V726" s="589"/>
      <c r="W726" s="564"/>
      <c r="X726" s="564">
        <f t="shared" si="156"/>
        <v>0</v>
      </c>
      <c r="Y726" s="589"/>
      <c r="Z726" s="592"/>
      <c r="AA726" s="592"/>
      <c r="AB726" s="568"/>
      <c r="AC726" s="592"/>
      <c r="AD726" s="592"/>
      <c r="AE726" s="592"/>
      <c r="AF726" s="590"/>
      <c r="AG726" s="570" t="str">
        <f>IF(AE726&lt;&gt;0,VLOOKUP(AE726,ODDS!$A$2:$C$13,3,0),"")</f>
        <v/>
      </c>
      <c r="AH726" s="570" t="str">
        <f t="shared" si="163"/>
        <v xml:space="preserve"> </v>
      </c>
      <c r="AI726" s="571" t="str">
        <f t="shared" si="161"/>
        <v xml:space="preserve"> </v>
      </c>
      <c r="AJ726" s="593"/>
      <c r="AK726" s="593"/>
    </row>
    <row r="727" spans="1:37" s="376" customFormat="1" ht="60.75" outlineLevel="2" x14ac:dyDescent="0.3">
      <c r="A727" s="447">
        <f t="shared" si="158"/>
        <v>61</v>
      </c>
      <c r="B727" s="557"/>
      <c r="C727" s="637"/>
      <c r="D727" s="587"/>
      <c r="E727" s="587"/>
      <c r="F727" s="560"/>
      <c r="G727" s="558"/>
      <c r="H727" s="588"/>
      <c r="I727" s="546"/>
      <c r="J727" s="589"/>
      <c r="K727" s="563" t="str">
        <f>IF(G727&lt;&gt;0,VLOOKUP(G727,'gia dat'!$A$1:$F$144,5,0)," ")</f>
        <v xml:space="preserve"> </v>
      </c>
      <c r="L727" s="563" t="str">
        <f>IF(G727&lt;&gt;0,VLOOKUP(G727,'gia dat'!$A$1:$F$144,6,0)," ")</f>
        <v xml:space="preserve"> </v>
      </c>
      <c r="M727" s="564" t="str">
        <f t="shared" si="159"/>
        <v xml:space="preserve"> </v>
      </c>
      <c r="N727" s="564" t="str">
        <f t="shared" si="160"/>
        <v xml:space="preserve"> </v>
      </c>
      <c r="O727" s="638"/>
      <c r="P727" s="664"/>
      <c r="Q727" s="564" t="str">
        <f>IF(O727&lt;&gt;0,VLOOKUP(O727,'Cây trong'!$A$2:$C$246,3,0)," ")</f>
        <v xml:space="preserve"> </v>
      </c>
      <c r="R727" s="564" t="str">
        <f t="shared" si="162"/>
        <v xml:space="preserve"> </v>
      </c>
      <c r="S727" s="638" t="s">
        <v>2296</v>
      </c>
      <c r="T727" s="639" t="s">
        <v>53</v>
      </c>
      <c r="U727" s="591">
        <v>1.28</v>
      </c>
      <c r="V727" s="589"/>
      <c r="W727" s="564"/>
      <c r="X727" s="564">
        <f t="shared" si="156"/>
        <v>0</v>
      </c>
      <c r="Y727" s="589"/>
      <c r="Z727" s="592"/>
      <c r="AA727" s="592"/>
      <c r="AB727" s="568"/>
      <c r="AC727" s="592"/>
      <c r="AD727" s="592"/>
      <c r="AE727" s="592"/>
      <c r="AF727" s="590"/>
      <c r="AG727" s="570" t="str">
        <f>IF(AE727&lt;&gt;0,VLOOKUP(AE727,ODDS!$A$2:$C$13,3,0),"")</f>
        <v/>
      </c>
      <c r="AH727" s="570" t="str">
        <f t="shared" si="163"/>
        <v xml:space="preserve"> </v>
      </c>
      <c r="AI727" s="571" t="str">
        <f t="shared" si="161"/>
        <v xml:space="preserve"> </v>
      </c>
      <c r="AJ727" s="593"/>
      <c r="AK727" s="593"/>
    </row>
    <row r="728" spans="1:37" s="376" customFormat="1" ht="101.25" outlineLevel="2" x14ac:dyDescent="0.3">
      <c r="A728" s="447">
        <f t="shared" si="158"/>
        <v>61</v>
      </c>
      <c r="B728" s="557"/>
      <c r="C728" s="637"/>
      <c r="D728" s="587"/>
      <c r="E728" s="587"/>
      <c r="F728" s="560"/>
      <c r="G728" s="558"/>
      <c r="H728" s="588"/>
      <c r="I728" s="546"/>
      <c r="J728" s="589"/>
      <c r="K728" s="563" t="str">
        <f>IF(G728&lt;&gt;0,VLOOKUP(G728,'gia dat'!$A$1:$F$144,5,0)," ")</f>
        <v xml:space="preserve"> </v>
      </c>
      <c r="L728" s="563" t="str">
        <f>IF(G728&lt;&gt;0,VLOOKUP(G728,'gia dat'!$A$1:$F$144,6,0)," ")</f>
        <v xml:space="preserve"> </v>
      </c>
      <c r="M728" s="564" t="str">
        <f t="shared" si="159"/>
        <v xml:space="preserve"> </v>
      </c>
      <c r="N728" s="564" t="str">
        <f t="shared" si="160"/>
        <v xml:space="preserve"> </v>
      </c>
      <c r="O728" s="558"/>
      <c r="P728" s="590"/>
      <c r="Q728" s="564" t="str">
        <f>IF(O728&lt;&gt;0,VLOOKUP(O728,'Cây trong'!$A$2:$C$246,3,0)," ")</f>
        <v xml:space="preserve"> </v>
      </c>
      <c r="R728" s="564" t="str">
        <f t="shared" si="162"/>
        <v xml:space="preserve"> </v>
      </c>
      <c r="S728" s="566" t="s">
        <v>2302</v>
      </c>
      <c r="T728" s="589" t="s">
        <v>53</v>
      </c>
      <c r="U728" s="617">
        <v>19.04</v>
      </c>
      <c r="V728" s="589">
        <v>48.16</v>
      </c>
      <c r="W728" s="564"/>
      <c r="X728" s="564">
        <f t="shared" si="156"/>
        <v>0</v>
      </c>
      <c r="Y728" s="589"/>
      <c r="Z728" s="592"/>
      <c r="AA728" s="592"/>
      <c r="AB728" s="568"/>
      <c r="AC728" s="592"/>
      <c r="AD728" s="592"/>
      <c r="AE728" s="592"/>
      <c r="AF728" s="590"/>
      <c r="AG728" s="570" t="str">
        <f>IF(AE728&lt;&gt;0,VLOOKUP(AE728,ODDS!$A$2:$C$13,3,0),"")</f>
        <v/>
      </c>
      <c r="AH728" s="570" t="str">
        <f t="shared" si="163"/>
        <v xml:space="preserve"> </v>
      </c>
      <c r="AI728" s="571" t="str">
        <f t="shared" si="161"/>
        <v xml:space="preserve"> </v>
      </c>
      <c r="AJ728" s="593"/>
      <c r="AK728" s="593"/>
    </row>
    <row r="729" spans="1:37" s="376" customFormat="1" ht="81" outlineLevel="2" x14ac:dyDescent="0.3">
      <c r="A729" s="447">
        <f t="shared" si="158"/>
        <v>61</v>
      </c>
      <c r="B729" s="557"/>
      <c r="C729" s="558"/>
      <c r="D729" s="587"/>
      <c r="E729" s="587"/>
      <c r="F729" s="560"/>
      <c r="G729" s="558"/>
      <c r="H729" s="588"/>
      <c r="I729" s="546"/>
      <c r="J729" s="589"/>
      <c r="K729" s="563" t="str">
        <f>IF(G729&lt;&gt;0,VLOOKUP(G729,'gia dat'!$A$1:$F$144,5,0)," ")</f>
        <v xml:space="preserve"> </v>
      </c>
      <c r="L729" s="563" t="str">
        <f>IF(G729&lt;&gt;0,VLOOKUP(G729,'gia dat'!$A$1:$F$144,6,0)," ")</f>
        <v xml:space="preserve"> </v>
      </c>
      <c r="M729" s="564" t="str">
        <f t="shared" si="159"/>
        <v xml:space="preserve"> </v>
      </c>
      <c r="N729" s="564" t="str">
        <f t="shared" si="160"/>
        <v xml:space="preserve"> </v>
      </c>
      <c r="O729" s="558"/>
      <c r="P729" s="590"/>
      <c r="Q729" s="564" t="str">
        <f>IF(O729&lt;&gt;0,VLOOKUP(O729,'Cây trong'!$A$2:$C$246,3,0)," ")</f>
        <v xml:space="preserve"> </v>
      </c>
      <c r="R729" s="564" t="str">
        <f t="shared" si="162"/>
        <v xml:space="preserve"> </v>
      </c>
      <c r="S729" s="566" t="s">
        <v>1901</v>
      </c>
      <c r="T729" s="589" t="s">
        <v>53</v>
      </c>
      <c r="U729" s="591">
        <v>105.3</v>
      </c>
      <c r="V729" s="589"/>
      <c r="W729" s="564"/>
      <c r="X729" s="564">
        <f t="shared" si="156"/>
        <v>0</v>
      </c>
      <c r="Y729" s="589"/>
      <c r="Z729" s="592"/>
      <c r="AA729" s="592"/>
      <c r="AB729" s="568"/>
      <c r="AC729" s="592"/>
      <c r="AD729" s="592"/>
      <c r="AE729" s="592"/>
      <c r="AF729" s="590"/>
      <c r="AG729" s="570" t="str">
        <f>IF(AE729&lt;&gt;0,VLOOKUP(AE729,ODDS!$A$2:$C$13,3,0),"")</f>
        <v/>
      </c>
      <c r="AH729" s="570" t="str">
        <f t="shared" si="163"/>
        <v xml:space="preserve"> </v>
      </c>
      <c r="AI729" s="571" t="str">
        <f t="shared" si="161"/>
        <v xml:space="preserve"> </v>
      </c>
      <c r="AJ729" s="593"/>
      <c r="AK729" s="593"/>
    </row>
    <row r="730" spans="1:37" s="376" customFormat="1" ht="60.75" outlineLevel="2" x14ac:dyDescent="0.3">
      <c r="A730" s="447">
        <f t="shared" si="158"/>
        <v>61</v>
      </c>
      <c r="B730" s="557"/>
      <c r="C730" s="636"/>
      <c r="D730" s="587"/>
      <c r="E730" s="587"/>
      <c r="F730" s="560"/>
      <c r="G730" s="558"/>
      <c r="H730" s="588"/>
      <c r="I730" s="546"/>
      <c r="J730" s="589"/>
      <c r="K730" s="563" t="str">
        <f>IF(G730&lt;&gt;0,VLOOKUP(G730,'gia dat'!$A$1:$F$144,5,0)," ")</f>
        <v xml:space="preserve"> </v>
      </c>
      <c r="L730" s="563" t="str">
        <f>IF(G730&lt;&gt;0,VLOOKUP(G730,'gia dat'!$A$1:$F$144,6,0)," ")</f>
        <v xml:space="preserve"> </v>
      </c>
      <c r="M730" s="564" t="str">
        <f t="shared" si="159"/>
        <v xml:space="preserve"> </v>
      </c>
      <c r="N730" s="564" t="str">
        <f t="shared" si="160"/>
        <v xml:space="preserve"> </v>
      </c>
      <c r="O730" s="558"/>
      <c r="P730" s="590"/>
      <c r="Q730" s="564" t="str">
        <f>IF(O730&lt;&gt;0,VLOOKUP(O730,'Cây trong'!$A$2:$C$246,3,0)," ")</f>
        <v xml:space="preserve"> </v>
      </c>
      <c r="R730" s="564" t="str">
        <f t="shared" si="162"/>
        <v xml:space="preserve"> </v>
      </c>
      <c r="S730" s="566" t="s">
        <v>2345</v>
      </c>
      <c r="T730" s="589" t="s">
        <v>53</v>
      </c>
      <c r="U730" s="591">
        <v>2.64</v>
      </c>
      <c r="V730" s="589"/>
      <c r="W730" s="564"/>
      <c r="X730" s="564">
        <f t="shared" si="156"/>
        <v>0</v>
      </c>
      <c r="Y730" s="589"/>
      <c r="Z730" s="592"/>
      <c r="AA730" s="592"/>
      <c r="AB730" s="568"/>
      <c r="AC730" s="592"/>
      <c r="AD730" s="592"/>
      <c r="AE730" s="592"/>
      <c r="AF730" s="590"/>
      <c r="AG730" s="570" t="str">
        <f>IF(AE730&lt;&gt;0,VLOOKUP(AE730,ODDS!$A$2:$C$13,3,0),"")</f>
        <v/>
      </c>
      <c r="AH730" s="570" t="str">
        <f t="shared" si="163"/>
        <v xml:space="preserve"> </v>
      </c>
      <c r="AI730" s="571" t="str">
        <f t="shared" si="161"/>
        <v xml:space="preserve"> </v>
      </c>
      <c r="AJ730" s="593"/>
      <c r="AK730" s="593"/>
    </row>
    <row r="731" spans="1:37" s="376" customFormat="1" ht="20.25" outlineLevel="2" x14ac:dyDescent="0.3">
      <c r="A731" s="447">
        <f t="shared" si="158"/>
        <v>61</v>
      </c>
      <c r="B731" s="557"/>
      <c r="C731" s="637"/>
      <c r="D731" s="587"/>
      <c r="E731" s="587"/>
      <c r="F731" s="560"/>
      <c r="G731" s="558"/>
      <c r="H731" s="588"/>
      <c r="I731" s="546"/>
      <c r="J731" s="589"/>
      <c r="K731" s="563" t="str">
        <f>IF(G731&lt;&gt;0,VLOOKUP(G731,'gia dat'!$A$1:$F$144,5,0)," ")</f>
        <v xml:space="preserve"> </v>
      </c>
      <c r="L731" s="563" t="str">
        <f>IF(G731&lt;&gt;0,VLOOKUP(G731,'gia dat'!$A$1:$F$144,6,0)," ")</f>
        <v xml:space="preserve"> </v>
      </c>
      <c r="M731" s="564" t="str">
        <f t="shared" si="159"/>
        <v xml:space="preserve"> </v>
      </c>
      <c r="N731" s="564" t="str">
        <f t="shared" si="160"/>
        <v xml:space="preserve"> </v>
      </c>
      <c r="O731" s="558"/>
      <c r="P731" s="590"/>
      <c r="Q731" s="564" t="str">
        <f>IF(O731&lt;&gt;0,VLOOKUP(O731,'Cây trong'!$A$2:$C$246,3,0)," ")</f>
        <v xml:space="preserve"> </v>
      </c>
      <c r="R731" s="564" t="str">
        <f t="shared" si="162"/>
        <v xml:space="preserve"> </v>
      </c>
      <c r="S731" s="640" t="s">
        <v>1839</v>
      </c>
      <c r="T731" s="639" t="s">
        <v>53</v>
      </c>
      <c r="U731" s="591">
        <v>5.88</v>
      </c>
      <c r="V731" s="589">
        <v>13.44</v>
      </c>
      <c r="W731" s="564"/>
      <c r="X731" s="564">
        <f t="shared" si="156"/>
        <v>0</v>
      </c>
      <c r="Y731" s="589"/>
      <c r="Z731" s="592"/>
      <c r="AA731" s="592"/>
      <c r="AB731" s="568"/>
      <c r="AC731" s="592"/>
      <c r="AD731" s="592"/>
      <c r="AE731" s="592"/>
      <c r="AF731" s="590"/>
      <c r="AG731" s="570" t="str">
        <f>IF(AE731&lt;&gt;0,VLOOKUP(AE731,ODDS!$A$2:$C$13,3,0),"")</f>
        <v/>
      </c>
      <c r="AH731" s="570" t="str">
        <f t="shared" si="163"/>
        <v xml:space="preserve"> </v>
      </c>
      <c r="AI731" s="571" t="str">
        <f t="shared" si="161"/>
        <v xml:space="preserve"> </v>
      </c>
      <c r="AJ731" s="593"/>
      <c r="AK731" s="593"/>
    </row>
    <row r="732" spans="1:37" s="376" customFormat="1" ht="81" outlineLevel="2" x14ac:dyDescent="0.3">
      <c r="A732" s="447">
        <f t="shared" si="158"/>
        <v>61</v>
      </c>
      <c r="B732" s="557"/>
      <c r="C732" s="637"/>
      <c r="D732" s="587"/>
      <c r="E732" s="587"/>
      <c r="F732" s="560"/>
      <c r="G732" s="558"/>
      <c r="H732" s="588"/>
      <c r="I732" s="546"/>
      <c r="J732" s="589"/>
      <c r="K732" s="563" t="str">
        <f>IF(G732&lt;&gt;0,VLOOKUP(G732,'gia dat'!$A$1:$F$144,5,0)," ")</f>
        <v xml:space="preserve"> </v>
      </c>
      <c r="L732" s="563" t="str">
        <f>IF(G732&lt;&gt;0,VLOOKUP(G732,'gia dat'!$A$1:$F$144,6,0)," ")</f>
        <v xml:space="preserve"> </v>
      </c>
      <c r="M732" s="564" t="str">
        <f t="shared" si="159"/>
        <v xml:space="preserve"> </v>
      </c>
      <c r="N732" s="564" t="str">
        <f t="shared" si="160"/>
        <v xml:space="preserve"> </v>
      </c>
      <c r="O732" s="558"/>
      <c r="P732" s="590"/>
      <c r="Q732" s="564" t="str">
        <f>IF(O732&lt;&gt;0,VLOOKUP(O732,'Cây trong'!$A$2:$C$246,3,0)," ")</f>
        <v xml:space="preserve"> </v>
      </c>
      <c r="R732" s="564" t="str">
        <f t="shared" si="162"/>
        <v xml:space="preserve"> </v>
      </c>
      <c r="S732" s="566" t="s">
        <v>2346</v>
      </c>
      <c r="T732" s="589" t="s">
        <v>53</v>
      </c>
      <c r="U732" s="591">
        <v>33.840000000000003</v>
      </c>
      <c r="V732" s="589">
        <v>65.52</v>
      </c>
      <c r="W732" s="564"/>
      <c r="X732" s="564">
        <f t="shared" si="156"/>
        <v>0</v>
      </c>
      <c r="Y732" s="589"/>
      <c r="Z732" s="592"/>
      <c r="AA732" s="592"/>
      <c r="AB732" s="568"/>
      <c r="AC732" s="592"/>
      <c r="AD732" s="592"/>
      <c r="AE732" s="592"/>
      <c r="AF732" s="590"/>
      <c r="AG732" s="570" t="str">
        <f>IF(AE732&lt;&gt;0,VLOOKUP(AE732,ODDS!$A$2:$C$13,3,0),"")</f>
        <v/>
      </c>
      <c r="AH732" s="570" t="str">
        <f t="shared" si="163"/>
        <v xml:space="preserve"> </v>
      </c>
      <c r="AI732" s="571" t="str">
        <f t="shared" si="161"/>
        <v xml:space="preserve"> </v>
      </c>
      <c r="AJ732" s="593"/>
      <c r="AK732" s="593"/>
    </row>
    <row r="733" spans="1:37" s="376" customFormat="1" ht="40.5" outlineLevel="2" x14ac:dyDescent="0.3">
      <c r="A733" s="447">
        <f t="shared" si="158"/>
        <v>61</v>
      </c>
      <c r="B733" s="557"/>
      <c r="C733" s="558"/>
      <c r="D733" s="587"/>
      <c r="E733" s="587"/>
      <c r="F733" s="560"/>
      <c r="G733" s="558"/>
      <c r="H733" s="588"/>
      <c r="I733" s="546"/>
      <c r="J733" s="589"/>
      <c r="K733" s="563" t="str">
        <f>IF(G733&lt;&gt;0,VLOOKUP(G733,'gia dat'!$A$1:$F$144,5,0)," ")</f>
        <v xml:space="preserve"> </v>
      </c>
      <c r="L733" s="563" t="str">
        <f>IF(G733&lt;&gt;0,VLOOKUP(G733,'gia dat'!$A$1:$F$144,6,0)," ")</f>
        <v xml:space="preserve"> </v>
      </c>
      <c r="M733" s="564" t="str">
        <f t="shared" si="159"/>
        <v xml:space="preserve"> </v>
      </c>
      <c r="N733" s="564" t="str">
        <f t="shared" si="160"/>
        <v xml:space="preserve"> </v>
      </c>
      <c r="O733" s="558"/>
      <c r="P733" s="590"/>
      <c r="Q733" s="564" t="str">
        <f>IF(O733&lt;&gt;0,VLOOKUP(O733,'Cây trong'!$A$2:$C$246,3,0)," ")</f>
        <v xml:space="preserve"> </v>
      </c>
      <c r="R733" s="564" t="str">
        <f t="shared" si="162"/>
        <v xml:space="preserve"> </v>
      </c>
      <c r="S733" s="566" t="s">
        <v>2347</v>
      </c>
      <c r="T733" s="589" t="s">
        <v>53</v>
      </c>
      <c r="U733" s="567"/>
      <c r="V733" s="641" t="s">
        <v>364</v>
      </c>
      <c r="W733" s="564"/>
      <c r="X733" s="564">
        <f t="shared" si="156"/>
        <v>0</v>
      </c>
      <c r="Y733" s="589"/>
      <c r="Z733" s="592"/>
      <c r="AA733" s="592"/>
      <c r="AB733" s="568"/>
      <c r="AC733" s="592"/>
      <c r="AD733" s="592"/>
      <c r="AE733" s="592"/>
      <c r="AF733" s="590"/>
      <c r="AG733" s="570" t="str">
        <f>IF(AE733&lt;&gt;0,VLOOKUP(AE733,ODDS!$A$2:$C$13,3,0),"")</f>
        <v/>
      </c>
      <c r="AH733" s="570" t="str">
        <f t="shared" si="163"/>
        <v xml:space="preserve"> </v>
      </c>
      <c r="AI733" s="571" t="str">
        <f t="shared" si="161"/>
        <v xml:space="preserve"> </v>
      </c>
      <c r="AJ733" s="593"/>
      <c r="AK733" s="593"/>
    </row>
    <row r="734" spans="1:37" s="376" customFormat="1" ht="40.5" outlineLevel="2" x14ac:dyDescent="0.3">
      <c r="A734" s="447">
        <f t="shared" si="158"/>
        <v>61</v>
      </c>
      <c r="B734" s="557"/>
      <c r="C734" s="636"/>
      <c r="D734" s="587"/>
      <c r="E734" s="587"/>
      <c r="F734" s="560"/>
      <c r="G734" s="558"/>
      <c r="H734" s="588"/>
      <c r="I734" s="546"/>
      <c r="J734" s="589"/>
      <c r="K734" s="563" t="str">
        <f>IF(G734&lt;&gt;0,VLOOKUP(G734,'gia dat'!$A$1:$F$144,5,0)," ")</f>
        <v xml:space="preserve"> </v>
      </c>
      <c r="L734" s="563" t="str">
        <f>IF(G734&lt;&gt;0,VLOOKUP(G734,'gia dat'!$A$1:$F$144,6,0)," ")</f>
        <v xml:space="preserve"> </v>
      </c>
      <c r="M734" s="564" t="str">
        <f t="shared" si="159"/>
        <v xml:space="preserve"> </v>
      </c>
      <c r="N734" s="564" t="str">
        <f t="shared" si="160"/>
        <v xml:space="preserve"> </v>
      </c>
      <c r="O734" s="558"/>
      <c r="P734" s="590"/>
      <c r="Q734" s="564" t="str">
        <f>IF(O734&lt;&gt;0,VLOOKUP(O734,'Cây trong'!$A$2:$C$246,3,0)," ")</f>
        <v xml:space="preserve"> </v>
      </c>
      <c r="R734" s="564" t="str">
        <f t="shared" si="162"/>
        <v xml:space="preserve"> </v>
      </c>
      <c r="S734" s="566" t="s">
        <v>2347</v>
      </c>
      <c r="T734" s="589" t="s">
        <v>53</v>
      </c>
      <c r="U734" s="567"/>
      <c r="V734" s="679" t="s">
        <v>365</v>
      </c>
      <c r="W734" s="564"/>
      <c r="X734" s="564">
        <f t="shared" si="156"/>
        <v>0</v>
      </c>
      <c r="Y734" s="589"/>
      <c r="Z734" s="592"/>
      <c r="AA734" s="592"/>
      <c r="AB734" s="568"/>
      <c r="AC734" s="592"/>
      <c r="AD734" s="592"/>
      <c r="AE734" s="592"/>
      <c r="AF734" s="590"/>
      <c r="AG734" s="570" t="str">
        <f>IF(AE734&lt;&gt;0,VLOOKUP(AE734,ODDS!$A$2:$C$13,3,0),"")</f>
        <v/>
      </c>
      <c r="AH734" s="570" t="str">
        <f t="shared" si="163"/>
        <v xml:space="preserve"> </v>
      </c>
      <c r="AI734" s="571" t="str">
        <f t="shared" si="161"/>
        <v xml:space="preserve"> </v>
      </c>
      <c r="AJ734" s="593"/>
      <c r="AK734" s="593"/>
    </row>
    <row r="735" spans="1:37" s="376" customFormat="1" ht="40.5" outlineLevel="2" x14ac:dyDescent="0.3">
      <c r="A735" s="447">
        <f t="shared" si="158"/>
        <v>61</v>
      </c>
      <c r="B735" s="557"/>
      <c r="C735" s="637"/>
      <c r="D735" s="587"/>
      <c r="E735" s="587"/>
      <c r="F735" s="560"/>
      <c r="G735" s="558"/>
      <c r="H735" s="588"/>
      <c r="I735" s="546"/>
      <c r="J735" s="589"/>
      <c r="K735" s="563" t="str">
        <f>IF(G735&lt;&gt;0,VLOOKUP(G735,'gia dat'!$A$1:$F$144,5,0)," ")</f>
        <v xml:space="preserve"> </v>
      </c>
      <c r="L735" s="563" t="str">
        <f>IF(G735&lt;&gt;0,VLOOKUP(G735,'gia dat'!$A$1:$F$144,6,0)," ")</f>
        <v xml:space="preserve"> </v>
      </c>
      <c r="M735" s="564" t="str">
        <f t="shared" si="159"/>
        <v xml:space="preserve"> </v>
      </c>
      <c r="N735" s="564" t="str">
        <f t="shared" si="160"/>
        <v xml:space="preserve"> </v>
      </c>
      <c r="O735" s="638"/>
      <c r="P735" s="664"/>
      <c r="Q735" s="564" t="str">
        <f>IF(O735&lt;&gt;0,VLOOKUP(O735,'Cây trong'!$A$2:$C$246,3,0)," ")</f>
        <v xml:space="preserve"> </v>
      </c>
      <c r="R735" s="564" t="str">
        <f t="shared" si="162"/>
        <v xml:space="preserve"> </v>
      </c>
      <c r="S735" s="638" t="s">
        <v>1839</v>
      </c>
      <c r="T735" s="680" t="s">
        <v>53</v>
      </c>
      <c r="U735" s="591">
        <v>10.199999999999999</v>
      </c>
      <c r="V735" s="589">
        <v>217.69</v>
      </c>
      <c r="W735" s="564"/>
      <c r="X735" s="564">
        <f t="shared" si="156"/>
        <v>0</v>
      </c>
      <c r="Y735" s="589"/>
      <c r="Z735" s="592"/>
      <c r="AA735" s="592"/>
      <c r="AB735" s="568"/>
      <c r="AC735" s="592"/>
      <c r="AD735" s="592"/>
      <c r="AE735" s="592"/>
      <c r="AF735" s="590"/>
      <c r="AG735" s="570" t="str">
        <f>IF(AE735&lt;&gt;0,VLOOKUP(AE735,ODDS!$A$2:$C$13,3,0),"")</f>
        <v/>
      </c>
      <c r="AH735" s="570" t="str">
        <f t="shared" si="163"/>
        <v xml:space="preserve"> </v>
      </c>
      <c r="AI735" s="571" t="str">
        <f t="shared" si="161"/>
        <v xml:space="preserve"> </v>
      </c>
      <c r="AJ735" s="593"/>
      <c r="AK735" s="593"/>
    </row>
    <row r="736" spans="1:37" s="376" customFormat="1" ht="20.25" outlineLevel="2" x14ac:dyDescent="0.3">
      <c r="A736" s="447">
        <f t="shared" si="158"/>
        <v>61</v>
      </c>
      <c r="B736" s="557"/>
      <c r="C736" s="637"/>
      <c r="D736" s="587"/>
      <c r="E736" s="587"/>
      <c r="F736" s="560"/>
      <c r="G736" s="558"/>
      <c r="H736" s="588"/>
      <c r="I736" s="546"/>
      <c r="J736" s="589"/>
      <c r="K736" s="563" t="str">
        <f>IF(G736&lt;&gt;0,VLOOKUP(G736,'gia dat'!$A$1:$F$144,5,0)," ")</f>
        <v xml:space="preserve"> </v>
      </c>
      <c r="L736" s="563" t="str">
        <f>IF(G736&lt;&gt;0,VLOOKUP(G736,'gia dat'!$A$1:$F$144,6,0)," ")</f>
        <v xml:space="preserve"> </v>
      </c>
      <c r="M736" s="564" t="str">
        <f t="shared" si="159"/>
        <v xml:space="preserve"> </v>
      </c>
      <c r="N736" s="564" t="str">
        <f t="shared" si="160"/>
        <v xml:space="preserve"> </v>
      </c>
      <c r="O736" s="638"/>
      <c r="P736" s="664"/>
      <c r="Q736" s="564" t="str">
        <f>IF(O736&lt;&gt;0,VLOOKUP(O736,'Cây trong'!$A$2:$C$246,3,0)," ")</f>
        <v xml:space="preserve"> </v>
      </c>
      <c r="R736" s="564" t="str">
        <f t="shared" si="162"/>
        <v xml:space="preserve"> </v>
      </c>
      <c r="S736" s="640" t="s">
        <v>1757</v>
      </c>
      <c r="T736" s="639" t="s">
        <v>53</v>
      </c>
      <c r="U736" s="591">
        <v>68.2</v>
      </c>
      <c r="V736" s="589">
        <v>189.2</v>
      </c>
      <c r="W736" s="564"/>
      <c r="X736" s="564">
        <f t="shared" si="156"/>
        <v>0</v>
      </c>
      <c r="Y736" s="589"/>
      <c r="Z736" s="592"/>
      <c r="AA736" s="592"/>
      <c r="AB736" s="568"/>
      <c r="AC736" s="592"/>
      <c r="AD736" s="592"/>
      <c r="AE736" s="592"/>
      <c r="AF736" s="590"/>
      <c r="AG736" s="570" t="str">
        <f>IF(AE736&lt;&gt;0,VLOOKUP(AE736,ODDS!$A$2:$C$13,3,0),"")</f>
        <v/>
      </c>
      <c r="AH736" s="570" t="str">
        <f t="shared" si="163"/>
        <v xml:space="preserve"> </v>
      </c>
      <c r="AI736" s="571" t="str">
        <f t="shared" si="161"/>
        <v xml:space="preserve"> </v>
      </c>
      <c r="AJ736" s="593"/>
      <c r="AK736" s="593"/>
    </row>
    <row r="737" spans="1:37" s="376" customFormat="1" ht="20.25" outlineLevel="2" x14ac:dyDescent="0.3">
      <c r="A737" s="447">
        <f t="shared" si="158"/>
        <v>61</v>
      </c>
      <c r="B737" s="557"/>
      <c r="C737" s="558"/>
      <c r="D737" s="587"/>
      <c r="E737" s="587"/>
      <c r="F737" s="615"/>
      <c r="G737" s="558"/>
      <c r="H737" s="604"/>
      <c r="I737" s="546"/>
      <c r="J737" s="593"/>
      <c r="K737" s="563" t="str">
        <f>IF(G737&lt;&gt;0,VLOOKUP(G737,'gia dat'!$A$1:$F$144,5,0)," ")</f>
        <v xml:space="preserve"> </v>
      </c>
      <c r="L737" s="563" t="str">
        <f>IF(G737&lt;&gt;0,VLOOKUP(G737,'gia dat'!$A$1:$F$144,6,0)," ")</f>
        <v xml:space="preserve"> </v>
      </c>
      <c r="M737" s="564" t="str">
        <f t="shared" si="159"/>
        <v xml:space="preserve"> </v>
      </c>
      <c r="N737" s="564" t="str">
        <f t="shared" si="160"/>
        <v xml:space="preserve"> </v>
      </c>
      <c r="O737" s="593"/>
      <c r="P737" s="616"/>
      <c r="Q737" s="564" t="str">
        <f>IF(O737&lt;&gt;0,VLOOKUP(O737,'Cây trong'!$A$2:$C$246,3,0)," ")</f>
        <v xml:space="preserve"> </v>
      </c>
      <c r="R737" s="564" t="str">
        <f t="shared" si="162"/>
        <v xml:space="preserve"> </v>
      </c>
      <c r="S737" s="593"/>
      <c r="T737" s="593"/>
      <c r="U737" s="617"/>
      <c r="V737" s="589"/>
      <c r="W737" s="564" t="str">
        <f>IF(S737&lt;&gt;0,VLOOKUP(S737,VKT!$A$2:$G$415,7,0),"")</f>
        <v/>
      </c>
      <c r="X737" s="564" t="str">
        <f t="shared" si="156"/>
        <v xml:space="preserve"> </v>
      </c>
      <c r="Y737" s="589"/>
      <c r="Z737" s="589"/>
      <c r="AA737" s="589"/>
      <c r="AB737" s="562"/>
      <c r="AC737" s="589"/>
      <c r="AD737" s="589"/>
      <c r="AE737" s="589"/>
      <c r="AF737" s="629"/>
      <c r="AG737" s="570" t="str">
        <f>IF(AE737&lt;&gt;0,VLOOKUP(AE737,ODDS!$A$2:$C$13,3,0),"")</f>
        <v/>
      </c>
      <c r="AH737" s="570" t="str">
        <f t="shared" si="163"/>
        <v xml:space="preserve"> </v>
      </c>
      <c r="AI737" s="571" t="str">
        <f t="shared" si="161"/>
        <v xml:space="preserve"> </v>
      </c>
      <c r="AJ737" s="593"/>
      <c r="AK737" s="593"/>
    </row>
    <row r="738" spans="1:37" s="376" customFormat="1" ht="20.25" outlineLevel="2" x14ac:dyDescent="0.3">
      <c r="A738" s="447">
        <f t="shared" si="158"/>
        <v>61</v>
      </c>
      <c r="B738" s="557"/>
      <c r="C738" s="636"/>
      <c r="D738" s="587"/>
      <c r="E738" s="587"/>
      <c r="F738" s="560"/>
      <c r="G738" s="558"/>
      <c r="H738" s="588"/>
      <c r="I738" s="546"/>
      <c r="J738" s="589"/>
      <c r="K738" s="563" t="str">
        <f>IF(G738&lt;&gt;0,VLOOKUP(G738,'gia dat'!$A$1:$F$144,5,0)," ")</f>
        <v xml:space="preserve"> </v>
      </c>
      <c r="L738" s="563" t="str">
        <f>IF(G738&lt;&gt;0,VLOOKUP(G738,'gia dat'!$A$1:$F$144,6,0)," ")</f>
        <v xml:space="preserve"> </v>
      </c>
      <c r="M738" s="564" t="str">
        <f t="shared" si="159"/>
        <v xml:space="preserve"> </v>
      </c>
      <c r="N738" s="564" t="str">
        <f t="shared" si="160"/>
        <v xml:space="preserve"> </v>
      </c>
      <c r="O738" s="558"/>
      <c r="P738" s="590"/>
      <c r="Q738" s="564" t="str">
        <f>IF(O738&lt;&gt;0,VLOOKUP(O738,'Cây trong'!$A$2:$C$246,3,0)," ")</f>
        <v xml:space="preserve"> </v>
      </c>
      <c r="R738" s="564" t="str">
        <f t="shared" si="162"/>
        <v xml:space="preserve"> </v>
      </c>
      <c r="S738" s="566"/>
      <c r="T738" s="589"/>
      <c r="U738" s="591"/>
      <c r="V738" s="589"/>
      <c r="W738" s="564" t="str">
        <f>IF(S738&lt;&gt;0,VLOOKUP(S738,VKT!$A$2:$G$415,7,0),"")</f>
        <v/>
      </c>
      <c r="X738" s="564" t="str">
        <f t="shared" si="156"/>
        <v xml:space="preserve"> </v>
      </c>
      <c r="Y738" s="589"/>
      <c r="Z738" s="592"/>
      <c r="AA738" s="592"/>
      <c r="AB738" s="568"/>
      <c r="AC738" s="592"/>
      <c r="AD738" s="592"/>
      <c r="AE738" s="592"/>
      <c r="AF738" s="590"/>
      <c r="AG738" s="570" t="str">
        <f>IF(AE738&lt;&gt;0,VLOOKUP(AE738,ODDS!$A$2:$C$13,3,0),"")</f>
        <v/>
      </c>
      <c r="AH738" s="570" t="str">
        <f t="shared" si="163"/>
        <v xml:space="preserve"> </v>
      </c>
      <c r="AI738" s="571" t="str">
        <f t="shared" si="161"/>
        <v xml:space="preserve"> </v>
      </c>
      <c r="AJ738" s="593"/>
      <c r="AK738" s="593"/>
    </row>
    <row r="739" spans="1:37" s="376" customFormat="1" ht="20.25" outlineLevel="2" x14ac:dyDescent="0.3">
      <c r="A739" s="447">
        <f t="shared" si="158"/>
        <v>61</v>
      </c>
      <c r="B739" s="557"/>
      <c r="C739" s="637"/>
      <c r="D739" s="587"/>
      <c r="E739" s="587"/>
      <c r="F739" s="560"/>
      <c r="G739" s="558"/>
      <c r="H739" s="588"/>
      <c r="I739" s="546"/>
      <c r="J739" s="589"/>
      <c r="K739" s="563" t="str">
        <f>IF(G739&lt;&gt;0,VLOOKUP(G739,'gia dat'!$A$1:$F$144,5,0)," ")</f>
        <v xml:space="preserve"> </v>
      </c>
      <c r="L739" s="563" t="str">
        <f>IF(G739&lt;&gt;0,VLOOKUP(G739,'gia dat'!$A$1:$F$144,6,0)," ")</f>
        <v xml:space="preserve"> </v>
      </c>
      <c r="M739" s="564" t="str">
        <f t="shared" si="159"/>
        <v xml:space="preserve"> </v>
      </c>
      <c r="N739" s="564" t="str">
        <f t="shared" si="160"/>
        <v xml:space="preserve"> </v>
      </c>
      <c r="O739" s="558"/>
      <c r="P739" s="590"/>
      <c r="Q739" s="564" t="str">
        <f>IF(O739&lt;&gt;0,VLOOKUP(O739,'Cây trong'!$A$2:$C$246,3,0)," ")</f>
        <v xml:space="preserve"> </v>
      </c>
      <c r="R739" s="564" t="str">
        <f t="shared" si="162"/>
        <v xml:space="preserve"> </v>
      </c>
      <c r="S739" s="566"/>
      <c r="T739" s="589"/>
      <c r="U739" s="591"/>
      <c r="V739" s="589"/>
      <c r="W739" s="564" t="str">
        <f>IF(S739&lt;&gt;0,VLOOKUP(S739,VKT!$A$2:$G$415,7,0),"")</f>
        <v/>
      </c>
      <c r="X739" s="564" t="str">
        <f t="shared" si="156"/>
        <v xml:space="preserve"> </v>
      </c>
      <c r="Y739" s="589"/>
      <c r="Z739" s="592"/>
      <c r="AA739" s="592"/>
      <c r="AB739" s="568"/>
      <c r="AC739" s="592"/>
      <c r="AD739" s="592"/>
      <c r="AE739" s="592"/>
      <c r="AF739" s="590"/>
      <c r="AG739" s="570" t="str">
        <f>IF(AE739&lt;&gt;0,VLOOKUP(AE739,ODDS!$A$2:$C$13,3,0),"")</f>
        <v/>
      </c>
      <c r="AH739" s="570" t="str">
        <f t="shared" si="163"/>
        <v xml:space="preserve"> </v>
      </c>
      <c r="AI739" s="571" t="str">
        <f t="shared" si="161"/>
        <v xml:space="preserve"> </v>
      </c>
      <c r="AJ739" s="593"/>
      <c r="AK739" s="593"/>
    </row>
    <row r="740" spans="1:37" s="376" customFormat="1" ht="20.25" outlineLevel="2" x14ac:dyDescent="0.3">
      <c r="A740" s="447">
        <f t="shared" si="158"/>
        <v>61</v>
      </c>
      <c r="B740" s="557"/>
      <c r="C740" s="636"/>
      <c r="D740" s="587"/>
      <c r="E740" s="587"/>
      <c r="F740" s="560"/>
      <c r="G740" s="558"/>
      <c r="H740" s="588"/>
      <c r="I740" s="546"/>
      <c r="J740" s="589"/>
      <c r="K740" s="563" t="str">
        <f>IF(G740&lt;&gt;0,VLOOKUP(G740,'gia dat'!$A$1:$F$144,5,0)," ")</f>
        <v xml:space="preserve"> </v>
      </c>
      <c r="L740" s="563" t="str">
        <f>IF(G740&lt;&gt;0,VLOOKUP(G740,'gia dat'!$A$1:$F$144,6,0)," ")</f>
        <v xml:space="preserve"> </v>
      </c>
      <c r="M740" s="564" t="str">
        <f t="shared" si="159"/>
        <v xml:space="preserve"> </v>
      </c>
      <c r="N740" s="564" t="str">
        <f t="shared" si="160"/>
        <v xml:space="preserve"> </v>
      </c>
      <c r="O740" s="638"/>
      <c r="P740" s="664"/>
      <c r="Q740" s="564" t="str">
        <f>IF(O740&lt;&gt;0,VLOOKUP(O740,'Cây trong'!$A$2:$C$246,3,0)," ")</f>
        <v xml:space="preserve"> </v>
      </c>
      <c r="R740" s="564" t="str">
        <f t="shared" si="162"/>
        <v xml:space="preserve"> </v>
      </c>
      <c r="S740" s="640"/>
      <c r="T740" s="639"/>
      <c r="U740" s="591"/>
      <c r="V740" s="589"/>
      <c r="W740" s="564" t="str">
        <f>IF(S740&lt;&gt;0,VLOOKUP(S740,VKT!$A$2:$G$415,7,0),"")</f>
        <v/>
      </c>
      <c r="X740" s="564" t="str">
        <f t="shared" si="156"/>
        <v xml:space="preserve"> </v>
      </c>
      <c r="Y740" s="589"/>
      <c r="Z740" s="592"/>
      <c r="AA740" s="592"/>
      <c r="AB740" s="568"/>
      <c r="AC740" s="592"/>
      <c r="AD740" s="592"/>
      <c r="AE740" s="592"/>
      <c r="AF740" s="590"/>
      <c r="AG740" s="570" t="str">
        <f>IF(AE740&lt;&gt;0,VLOOKUP(AE740,ODDS!$A$2:$C$13,3,0),"")</f>
        <v/>
      </c>
      <c r="AH740" s="570" t="str">
        <f t="shared" si="163"/>
        <v xml:space="preserve"> </v>
      </c>
      <c r="AI740" s="571" t="str">
        <f t="shared" si="161"/>
        <v xml:space="preserve"> </v>
      </c>
      <c r="AJ740" s="593"/>
      <c r="AK740" s="593"/>
    </row>
    <row r="741" spans="1:37" s="376" customFormat="1" ht="40.5" outlineLevel="1" x14ac:dyDescent="0.25">
      <c r="A741" s="467" t="s">
        <v>2648</v>
      </c>
      <c r="B741" s="576">
        <v>62</v>
      </c>
      <c r="C741" s="636" t="s">
        <v>561</v>
      </c>
      <c r="D741" s="595"/>
      <c r="E741" s="595"/>
      <c r="F741" s="577"/>
      <c r="G741" s="574"/>
      <c r="H741" s="618">
        <f>SUBTOTAL(9,H742:H750)</f>
        <v>1183.2</v>
      </c>
      <c r="I741" s="579">
        <f>SUBTOTAL(9,I742:I747)</f>
        <v>1183.2</v>
      </c>
      <c r="J741" s="597"/>
      <c r="K741" s="581"/>
      <c r="L741" s="581"/>
      <c r="M741" s="571">
        <f>SUBTOTAL(9,M742:M750)</f>
        <v>550898000</v>
      </c>
      <c r="N741" s="571">
        <f>SUBTOTAL(9,N742:N750)</f>
        <v>1652694000</v>
      </c>
      <c r="O741" s="574"/>
      <c r="P741" s="599">
        <f>SUBTOTAL(9,P742:P750)</f>
        <v>0</v>
      </c>
      <c r="Q741" s="571"/>
      <c r="R741" s="571">
        <f>SUBTOTAL(9,R742:R750)</f>
        <v>0</v>
      </c>
      <c r="S741" s="582"/>
      <c r="T741" s="597"/>
      <c r="U741" s="600">
        <f>SUBTOTAL(9,U742:U750)</f>
        <v>0</v>
      </c>
      <c r="V741" s="597"/>
      <c r="W741" s="571"/>
      <c r="X741" s="571">
        <f>SUBTOTAL(9,X742:X750)</f>
        <v>0</v>
      </c>
      <c r="Y741" s="589"/>
      <c r="Z741" s="592"/>
      <c r="AA741" s="592"/>
      <c r="AB741" s="568"/>
      <c r="AC741" s="592"/>
      <c r="AD741" s="592"/>
      <c r="AE741" s="634"/>
      <c r="AF741" s="599">
        <f>SUBTOTAL(9,AF742:AF750)</f>
        <v>0</v>
      </c>
      <c r="AG741" s="585"/>
      <c r="AH741" s="585">
        <f>SUBTOTAL(9,AH742:AH750)</f>
        <v>0</v>
      </c>
      <c r="AI741" s="571">
        <f t="shared" si="161"/>
        <v>2203592000</v>
      </c>
      <c r="AJ741" s="574"/>
      <c r="AK741" s="578"/>
    </row>
    <row r="742" spans="1:37" s="376" customFormat="1" ht="121.5" outlineLevel="2" x14ac:dyDescent="0.3">
      <c r="A742" s="447">
        <f>IF(B741&lt;&gt;0,B741,A740)</f>
        <v>62</v>
      </c>
      <c r="B742" s="557"/>
      <c r="C742" s="558" t="s">
        <v>234</v>
      </c>
      <c r="D742" s="587">
        <v>1</v>
      </c>
      <c r="E742" s="587">
        <v>86</v>
      </c>
      <c r="F742" s="560">
        <v>708</v>
      </c>
      <c r="G742" s="558" t="s">
        <v>2864</v>
      </c>
      <c r="H742" s="588">
        <v>1088.2</v>
      </c>
      <c r="I742" s="546">
        <f t="shared" ref="I742:I744" si="164">IF(N742&gt;0,H742,"")</f>
        <v>1088.2</v>
      </c>
      <c r="J742" s="589"/>
      <c r="K742" s="563">
        <f>IF(G742&lt;&gt;0,VLOOKUP(G742,'gia dat'!$A$1:$F$144,5,0)," ")</f>
        <v>465600</v>
      </c>
      <c r="L742" s="563">
        <f>IF(G742&lt;&gt;0,VLOOKUP(G742,'gia dat'!$A$1:$F$144,6,0)," ")</f>
        <v>1396800</v>
      </c>
      <c r="M742" s="564">
        <f t="shared" si="159"/>
        <v>506666000</v>
      </c>
      <c r="N742" s="564">
        <f t="shared" si="160"/>
        <v>1519998000</v>
      </c>
      <c r="O742" s="558"/>
      <c r="P742" s="590"/>
      <c r="Q742" s="564" t="str">
        <f>IF(O742&lt;&gt;0,VLOOKUP(O742,'Cây trong'!$A$2:$C$246,3,0)," ")</f>
        <v xml:space="preserve"> </v>
      </c>
      <c r="R742" s="564" t="str">
        <f t="shared" si="162"/>
        <v xml:space="preserve"> </v>
      </c>
      <c r="S742" s="566"/>
      <c r="T742" s="589"/>
      <c r="U742" s="591"/>
      <c r="V742" s="589"/>
      <c r="W742" s="564" t="str">
        <f>IF(S742&lt;&gt;0,VLOOKUP(S742,VKT!$A$2:$G$415,7,0),"")</f>
        <v/>
      </c>
      <c r="X742" s="564" t="str">
        <f t="shared" si="156"/>
        <v xml:space="preserve"> </v>
      </c>
      <c r="Y742" s="589"/>
      <c r="Z742" s="592"/>
      <c r="AA742" s="592"/>
      <c r="AB742" s="568"/>
      <c r="AC742" s="592"/>
      <c r="AD742" s="592"/>
      <c r="AE742" s="606"/>
      <c r="AF742" s="590"/>
      <c r="AG742" s="570" t="str">
        <f>IF(AE742&lt;&gt;0,VLOOKUP(AE742,ODDS!$A$2:$C$13,3,0),"")</f>
        <v/>
      </c>
      <c r="AH742" s="570"/>
      <c r="AI742" s="571" t="str">
        <f t="shared" si="161"/>
        <v xml:space="preserve"> </v>
      </c>
      <c r="AJ742" s="558" t="s">
        <v>1707</v>
      </c>
      <c r="AK742" s="586" t="s">
        <v>2771</v>
      </c>
    </row>
    <row r="743" spans="1:37" s="376" customFormat="1" ht="81" outlineLevel="2" x14ac:dyDescent="0.3">
      <c r="A743" s="447">
        <f t="shared" ref="A743:A750" si="165">IF(B742&lt;&gt;0,B742,A742)</f>
        <v>62</v>
      </c>
      <c r="B743" s="557"/>
      <c r="C743" s="637" t="s">
        <v>697</v>
      </c>
      <c r="D743" s="587"/>
      <c r="E743" s="587"/>
      <c r="F743" s="560"/>
      <c r="G743" s="558" t="s">
        <v>2878</v>
      </c>
      <c r="H743" s="588">
        <v>87.2</v>
      </c>
      <c r="I743" s="546">
        <f t="shared" si="164"/>
        <v>87.2</v>
      </c>
      <c r="J743" s="589"/>
      <c r="K743" s="563">
        <f>IF(G743&lt;&gt;0,VLOOKUP(G743,'gia dat'!$A$1:$F$144,5,0)," ")</f>
        <v>465600</v>
      </c>
      <c r="L743" s="563">
        <f>IF(G743&lt;&gt;0,VLOOKUP(G743,'gia dat'!$A$1:$F$144,6,0)," ")</f>
        <v>1396800</v>
      </c>
      <c r="M743" s="564">
        <f t="shared" si="159"/>
        <v>40600000</v>
      </c>
      <c r="N743" s="564">
        <f t="shared" si="160"/>
        <v>121801000</v>
      </c>
      <c r="O743" s="558"/>
      <c r="P743" s="590"/>
      <c r="Q743" s="564" t="str">
        <f>IF(O743&lt;&gt;0,VLOOKUP(O743,'Cây trong'!$A$2:$C$246,3,0)," ")</f>
        <v xml:space="preserve"> </v>
      </c>
      <c r="R743" s="564" t="str">
        <f t="shared" si="162"/>
        <v xml:space="preserve"> </v>
      </c>
      <c r="S743" s="566"/>
      <c r="T743" s="589"/>
      <c r="U743" s="591"/>
      <c r="V743" s="589"/>
      <c r="W743" s="564" t="str">
        <f>IF(S743&lt;&gt;0,VLOOKUP(S743,VKT!$A$2:$G$415,7,0),"")</f>
        <v/>
      </c>
      <c r="X743" s="564" t="str">
        <f t="shared" si="156"/>
        <v xml:space="preserve"> </v>
      </c>
      <c r="Y743" s="589"/>
      <c r="Z743" s="592"/>
      <c r="AA743" s="592"/>
      <c r="AB743" s="568"/>
      <c r="AC743" s="592"/>
      <c r="AD743" s="592"/>
      <c r="AE743" s="592"/>
      <c r="AF743" s="590"/>
      <c r="AG743" s="570" t="str">
        <f>IF(AE743&lt;&gt;0,VLOOKUP(AE743,ODDS!$A$2:$C$13,3,0),"")</f>
        <v/>
      </c>
      <c r="AH743" s="570" t="str">
        <f t="shared" si="163"/>
        <v xml:space="preserve"> </v>
      </c>
      <c r="AI743" s="571" t="str">
        <f t="shared" si="161"/>
        <v xml:space="preserve"> </v>
      </c>
      <c r="AJ743" s="558" t="s">
        <v>563</v>
      </c>
      <c r="AK743" s="558" t="s">
        <v>2448</v>
      </c>
    </row>
    <row r="744" spans="1:37" s="376" customFormat="1" ht="81" outlineLevel="2" x14ac:dyDescent="0.3">
      <c r="A744" s="447">
        <f t="shared" si="165"/>
        <v>62</v>
      </c>
      <c r="B744" s="557"/>
      <c r="C744" s="637"/>
      <c r="D744" s="587"/>
      <c r="E744" s="587"/>
      <c r="F744" s="560"/>
      <c r="G744" s="558" t="s">
        <v>2879</v>
      </c>
      <c r="H744" s="588">
        <v>7.8</v>
      </c>
      <c r="I744" s="546">
        <f t="shared" si="164"/>
        <v>7.8</v>
      </c>
      <c r="J744" s="589"/>
      <c r="K744" s="563">
        <f>IF(G744&lt;&gt;0,VLOOKUP(G744,'gia dat'!$A$1:$F$144,5,0)," ")</f>
        <v>465600</v>
      </c>
      <c r="L744" s="563">
        <f>IF(G744&lt;&gt;0,VLOOKUP(G744,'gia dat'!$A$1:$F$144,6,0)," ")</f>
        <v>1396800</v>
      </c>
      <c r="M744" s="564">
        <f t="shared" si="159"/>
        <v>3632000</v>
      </c>
      <c r="N744" s="564">
        <f t="shared" si="160"/>
        <v>10895000</v>
      </c>
      <c r="O744" s="638"/>
      <c r="P744" s="590"/>
      <c r="Q744" s="564" t="str">
        <f>IF(O744&lt;&gt;0,VLOOKUP(O744,'Cây trong'!$A$2:$C$246,3,0)," ")</f>
        <v xml:space="preserve"> </v>
      </c>
      <c r="R744" s="564" t="str">
        <f t="shared" si="162"/>
        <v xml:space="preserve"> </v>
      </c>
      <c r="S744" s="638"/>
      <c r="T744" s="639"/>
      <c r="U744" s="591"/>
      <c r="V744" s="589"/>
      <c r="W744" s="564" t="str">
        <f>IF(S744&lt;&gt;0,VLOOKUP(S744,VKT!$A$2:$G$415,7,0),"")</f>
        <v/>
      </c>
      <c r="X744" s="564" t="str">
        <f t="shared" si="156"/>
        <v xml:space="preserve"> </v>
      </c>
      <c r="Y744" s="589"/>
      <c r="Z744" s="592"/>
      <c r="AA744" s="592"/>
      <c r="AB744" s="568"/>
      <c r="AC744" s="592"/>
      <c r="AD744" s="592"/>
      <c r="AE744" s="592"/>
      <c r="AF744" s="590"/>
      <c r="AG744" s="570" t="str">
        <f>IF(AE744&lt;&gt;0,VLOOKUP(AE744,ODDS!$A$2:$C$13,3,0),"")</f>
        <v/>
      </c>
      <c r="AH744" s="570" t="str">
        <f t="shared" si="163"/>
        <v xml:space="preserve"> </v>
      </c>
      <c r="AI744" s="571" t="str">
        <f t="shared" si="161"/>
        <v xml:space="preserve"> </v>
      </c>
      <c r="AJ744" s="574" t="s">
        <v>292</v>
      </c>
      <c r="AK744" s="593"/>
    </row>
    <row r="745" spans="1:37" s="376" customFormat="1" ht="101.25" outlineLevel="2" x14ac:dyDescent="0.3">
      <c r="A745" s="447">
        <f t="shared" si="165"/>
        <v>62</v>
      </c>
      <c r="B745" s="557"/>
      <c r="C745" s="637"/>
      <c r="D745" s="587"/>
      <c r="E745" s="587"/>
      <c r="F745" s="560"/>
      <c r="G745" s="558"/>
      <c r="H745" s="588"/>
      <c r="I745" s="546"/>
      <c r="J745" s="589"/>
      <c r="K745" s="563" t="str">
        <f>IF(G745&lt;&gt;0,VLOOKUP(G745,'gia dat'!$A$1:$F$144,5,0)," ")</f>
        <v xml:space="preserve"> </v>
      </c>
      <c r="L745" s="563" t="str">
        <f>IF(G745&lt;&gt;0,VLOOKUP(G745,'gia dat'!$A$1:$F$144,6,0)," ")</f>
        <v xml:space="preserve"> </v>
      </c>
      <c r="M745" s="564" t="str">
        <f t="shared" si="159"/>
        <v xml:space="preserve"> </v>
      </c>
      <c r="N745" s="564" t="str">
        <f t="shared" si="160"/>
        <v xml:space="preserve"> </v>
      </c>
      <c r="O745" s="638"/>
      <c r="P745" s="664"/>
      <c r="Q745" s="564" t="str">
        <f>IF(O745&lt;&gt;0,VLOOKUP(O745,'Cây trong'!$A$2:$C$246,3,0)," ")</f>
        <v xml:space="preserve"> </v>
      </c>
      <c r="R745" s="564" t="str">
        <f t="shared" si="162"/>
        <v xml:space="preserve"> </v>
      </c>
      <c r="S745" s="638"/>
      <c r="T745" s="640"/>
      <c r="U745" s="591"/>
      <c r="V745" s="589"/>
      <c r="W745" s="564" t="str">
        <f>IF(S745&lt;&gt;0,VLOOKUP(S745,VKT!$A$2:$G$415,7,0),"")</f>
        <v/>
      </c>
      <c r="X745" s="564" t="str">
        <f t="shared" si="156"/>
        <v xml:space="preserve"> </v>
      </c>
      <c r="Y745" s="589"/>
      <c r="Z745" s="592"/>
      <c r="AA745" s="592"/>
      <c r="AB745" s="568"/>
      <c r="AC745" s="592"/>
      <c r="AD745" s="592"/>
      <c r="AE745" s="592"/>
      <c r="AF745" s="590"/>
      <c r="AG745" s="570" t="str">
        <f>IF(AE745&lt;&gt;0,VLOOKUP(AE745,ODDS!$A$2:$C$13,3,0),"")</f>
        <v/>
      </c>
      <c r="AH745" s="570" t="str">
        <f t="shared" si="163"/>
        <v xml:space="preserve"> </v>
      </c>
      <c r="AI745" s="571" t="str">
        <f t="shared" si="161"/>
        <v xml:space="preserve"> </v>
      </c>
      <c r="AJ745" s="558" t="s">
        <v>1708</v>
      </c>
      <c r="AK745" s="574"/>
    </row>
    <row r="746" spans="1:37" s="376" customFormat="1" ht="121.5" outlineLevel="2" x14ac:dyDescent="0.3">
      <c r="A746" s="447">
        <f t="shared" si="165"/>
        <v>62</v>
      </c>
      <c r="B746" s="557"/>
      <c r="C746" s="558"/>
      <c r="D746" s="587"/>
      <c r="E746" s="587"/>
      <c r="F746" s="615"/>
      <c r="G746" s="558"/>
      <c r="H746" s="604"/>
      <c r="I746" s="546"/>
      <c r="J746" s="593"/>
      <c r="K746" s="563" t="str">
        <f>IF(G746&lt;&gt;0,VLOOKUP(G746,'gia dat'!$A$1:$F$144,5,0)," ")</f>
        <v xml:space="preserve"> </v>
      </c>
      <c r="L746" s="563" t="str">
        <f>IF(G746&lt;&gt;0,VLOOKUP(G746,'gia dat'!$A$1:$F$144,6,0)," ")</f>
        <v xml:space="preserve"> </v>
      </c>
      <c r="M746" s="564" t="str">
        <f t="shared" si="159"/>
        <v xml:space="preserve"> </v>
      </c>
      <c r="N746" s="564" t="str">
        <f t="shared" si="160"/>
        <v xml:space="preserve"> </v>
      </c>
      <c r="O746" s="593"/>
      <c r="P746" s="616"/>
      <c r="Q746" s="564" t="str">
        <f>IF(O746&lt;&gt;0,VLOOKUP(O746,'Cây trong'!$A$2:$C$246,3,0)," ")</f>
        <v xml:space="preserve"> </v>
      </c>
      <c r="R746" s="564" t="str">
        <f t="shared" si="162"/>
        <v xml:space="preserve"> </v>
      </c>
      <c r="S746" s="593"/>
      <c r="T746" s="593"/>
      <c r="U746" s="617"/>
      <c r="V746" s="589"/>
      <c r="W746" s="564" t="str">
        <f>IF(S746&lt;&gt;0,VLOOKUP(S746,VKT!$A$2:$G$415,7,0),"")</f>
        <v/>
      </c>
      <c r="X746" s="564" t="str">
        <f t="shared" si="156"/>
        <v xml:space="preserve"> </v>
      </c>
      <c r="Y746" s="589"/>
      <c r="Z746" s="589"/>
      <c r="AA746" s="589"/>
      <c r="AB746" s="562"/>
      <c r="AC746" s="589"/>
      <c r="AD746" s="589"/>
      <c r="AE746" s="589"/>
      <c r="AF746" s="629"/>
      <c r="AG746" s="570" t="str">
        <f>IF(AE746&lt;&gt;0,VLOOKUP(AE746,ODDS!$A$2:$C$13,3,0),"")</f>
        <v/>
      </c>
      <c r="AH746" s="570" t="str">
        <f t="shared" si="163"/>
        <v xml:space="preserve"> </v>
      </c>
      <c r="AI746" s="571" t="str">
        <f t="shared" si="161"/>
        <v xml:space="preserve"> </v>
      </c>
      <c r="AJ746" s="558" t="s">
        <v>2045</v>
      </c>
      <c r="AK746" s="558"/>
    </row>
    <row r="747" spans="1:37" s="376" customFormat="1" ht="60.75" outlineLevel="2" x14ac:dyDescent="0.3">
      <c r="A747" s="447">
        <f t="shared" si="165"/>
        <v>62</v>
      </c>
      <c r="B747" s="557"/>
      <c r="C747" s="558"/>
      <c r="D747" s="587"/>
      <c r="E747" s="587"/>
      <c r="F747" s="560"/>
      <c r="G747" s="558"/>
      <c r="H747" s="588"/>
      <c r="I747" s="546"/>
      <c r="J747" s="589"/>
      <c r="K747" s="563" t="str">
        <f>IF(G747&lt;&gt;0,VLOOKUP(G747,'gia dat'!$A$1:$F$144,5,0)," ")</f>
        <v xml:space="preserve"> </v>
      </c>
      <c r="L747" s="563" t="str">
        <f>IF(G747&lt;&gt;0,VLOOKUP(G747,'gia dat'!$A$1:$F$144,6,0)," ")</f>
        <v xml:space="preserve"> </v>
      </c>
      <c r="M747" s="564" t="str">
        <f t="shared" si="159"/>
        <v xml:space="preserve"> </v>
      </c>
      <c r="N747" s="564" t="str">
        <f t="shared" si="160"/>
        <v xml:space="preserve"> </v>
      </c>
      <c r="O747" s="638"/>
      <c r="P747" s="664"/>
      <c r="Q747" s="564" t="str">
        <f>IF(O747&lt;&gt;0,VLOOKUP(O747,'Cây trong'!$A$2:$C$246,3,0)," ")</f>
        <v xml:space="preserve"> </v>
      </c>
      <c r="R747" s="564" t="str">
        <f t="shared" si="162"/>
        <v xml:space="preserve"> </v>
      </c>
      <c r="S747" s="640"/>
      <c r="T747" s="640"/>
      <c r="U747" s="591"/>
      <c r="V747" s="589"/>
      <c r="W747" s="564" t="str">
        <f>IF(S747&lt;&gt;0,VLOOKUP(S747,VKT!$A$2:$G$415,7,0),"")</f>
        <v/>
      </c>
      <c r="X747" s="564" t="str">
        <f t="shared" si="156"/>
        <v xml:space="preserve"> </v>
      </c>
      <c r="Y747" s="589"/>
      <c r="Z747" s="592"/>
      <c r="AA747" s="592"/>
      <c r="AB747" s="568"/>
      <c r="AC747" s="592"/>
      <c r="AD747" s="592"/>
      <c r="AE747" s="592"/>
      <c r="AF747" s="590"/>
      <c r="AG747" s="570" t="str">
        <f>IF(AE747&lt;&gt;0,VLOOKUP(AE747,ODDS!$A$2:$C$13,3,0),"")</f>
        <v/>
      </c>
      <c r="AH747" s="570" t="str">
        <f t="shared" si="163"/>
        <v xml:space="preserve"> </v>
      </c>
      <c r="AI747" s="571" t="str">
        <f t="shared" si="161"/>
        <v xml:space="preserve"> </v>
      </c>
      <c r="AJ747" s="558" t="s">
        <v>2074</v>
      </c>
      <c r="AK747" s="558"/>
    </row>
    <row r="748" spans="1:37" s="376" customFormat="1" ht="20.25" outlineLevel="2" x14ac:dyDescent="0.3">
      <c r="A748" s="447">
        <f t="shared" si="165"/>
        <v>62</v>
      </c>
      <c r="B748" s="557"/>
      <c r="C748" s="558"/>
      <c r="D748" s="587"/>
      <c r="E748" s="587"/>
      <c r="F748" s="560"/>
      <c r="G748" s="558"/>
      <c r="H748" s="588"/>
      <c r="I748" s="546"/>
      <c r="J748" s="589"/>
      <c r="K748" s="563" t="str">
        <f>IF(G748&lt;&gt;0,VLOOKUP(G748,'gia dat'!$A$1:$F$144,5,0)," ")</f>
        <v xml:space="preserve"> </v>
      </c>
      <c r="L748" s="563" t="str">
        <f>IF(G748&lt;&gt;0,VLOOKUP(G748,'gia dat'!$A$1:$F$144,6,0)," ")</f>
        <v xml:space="preserve"> </v>
      </c>
      <c r="M748" s="564" t="str">
        <f t="shared" si="159"/>
        <v xml:space="preserve"> </v>
      </c>
      <c r="N748" s="564" t="str">
        <f t="shared" si="160"/>
        <v xml:space="preserve"> </v>
      </c>
      <c r="O748" s="638"/>
      <c r="P748" s="664"/>
      <c r="Q748" s="564" t="str">
        <f>IF(O748&lt;&gt;0,VLOOKUP(O748,'Cây trong'!$A$2:$C$246,3,0)," ")</f>
        <v xml:space="preserve"> </v>
      </c>
      <c r="R748" s="564" t="str">
        <f t="shared" si="162"/>
        <v xml:space="preserve"> </v>
      </c>
      <c r="S748" s="640"/>
      <c r="T748" s="640"/>
      <c r="U748" s="591"/>
      <c r="V748" s="589"/>
      <c r="W748" s="564" t="str">
        <f>IF(S748&lt;&gt;0,VLOOKUP(S748,VKT!$A$2:$G$415,7,0),"")</f>
        <v/>
      </c>
      <c r="X748" s="564" t="str">
        <f t="shared" si="156"/>
        <v xml:space="preserve"> </v>
      </c>
      <c r="Y748" s="589"/>
      <c r="Z748" s="592"/>
      <c r="AA748" s="592"/>
      <c r="AB748" s="568"/>
      <c r="AC748" s="592"/>
      <c r="AD748" s="592"/>
      <c r="AE748" s="592"/>
      <c r="AF748" s="590"/>
      <c r="AG748" s="570" t="str">
        <f>IF(AE748&lt;&gt;0,VLOOKUP(AE748,ODDS!$A$2:$C$13,3,0),"")</f>
        <v/>
      </c>
      <c r="AH748" s="570" t="str">
        <f t="shared" si="163"/>
        <v xml:space="preserve"> </v>
      </c>
      <c r="AI748" s="571" t="str">
        <f t="shared" si="161"/>
        <v xml:space="preserve"> </v>
      </c>
      <c r="AJ748" s="575"/>
      <c r="AK748" s="558"/>
    </row>
    <row r="749" spans="1:37" s="376" customFormat="1" ht="20.25" outlineLevel="2" x14ac:dyDescent="0.3">
      <c r="A749" s="447">
        <f t="shared" si="165"/>
        <v>62</v>
      </c>
      <c r="B749" s="557"/>
      <c r="C749" s="558"/>
      <c r="D749" s="587"/>
      <c r="E749" s="587"/>
      <c r="F749" s="560"/>
      <c r="G749" s="558"/>
      <c r="H749" s="588"/>
      <c r="I749" s="546"/>
      <c r="J749" s="589"/>
      <c r="K749" s="563" t="str">
        <f>IF(G749&lt;&gt;0,VLOOKUP(G749,'gia dat'!$A$1:$F$144,5,0)," ")</f>
        <v xml:space="preserve"> </v>
      </c>
      <c r="L749" s="563" t="str">
        <f>IF(G749&lt;&gt;0,VLOOKUP(G749,'gia dat'!$A$1:$F$144,6,0)," ")</f>
        <v xml:space="preserve"> </v>
      </c>
      <c r="M749" s="564" t="str">
        <f t="shared" si="159"/>
        <v xml:space="preserve"> </v>
      </c>
      <c r="N749" s="564" t="str">
        <f t="shared" si="160"/>
        <v xml:space="preserve"> </v>
      </c>
      <c r="O749" s="638"/>
      <c r="P749" s="664"/>
      <c r="Q749" s="564" t="str">
        <f>IF(O749&lt;&gt;0,VLOOKUP(O749,'Cây trong'!$A$2:$C$246,3,0)," ")</f>
        <v xml:space="preserve"> </v>
      </c>
      <c r="R749" s="564" t="str">
        <f t="shared" si="162"/>
        <v xml:space="preserve"> </v>
      </c>
      <c r="S749" s="640"/>
      <c r="T749" s="640"/>
      <c r="U749" s="591"/>
      <c r="V749" s="589"/>
      <c r="W749" s="564" t="str">
        <f>IF(S749&lt;&gt;0,VLOOKUP(S749,VKT!$A$2:$G$415,7,0),"")</f>
        <v/>
      </c>
      <c r="X749" s="564" t="str">
        <f t="shared" si="156"/>
        <v xml:space="preserve"> </v>
      </c>
      <c r="Y749" s="589"/>
      <c r="Z749" s="592"/>
      <c r="AA749" s="592"/>
      <c r="AB749" s="568"/>
      <c r="AC749" s="592"/>
      <c r="AD749" s="592"/>
      <c r="AE749" s="592"/>
      <c r="AF749" s="590"/>
      <c r="AG749" s="570" t="str">
        <f>IF(AE749&lt;&gt;0,VLOOKUP(AE749,ODDS!$A$2:$C$13,3,0),"")</f>
        <v/>
      </c>
      <c r="AH749" s="570" t="str">
        <f t="shared" si="163"/>
        <v xml:space="preserve"> </v>
      </c>
      <c r="AI749" s="571" t="str">
        <f t="shared" si="161"/>
        <v xml:space="preserve"> </v>
      </c>
      <c r="AJ749" s="593"/>
      <c r="AK749" s="593"/>
    </row>
    <row r="750" spans="1:37" s="376" customFormat="1" ht="20.25" outlineLevel="2" x14ac:dyDescent="0.3">
      <c r="A750" s="447">
        <f t="shared" si="165"/>
        <v>62</v>
      </c>
      <c r="B750" s="557"/>
      <c r="C750" s="574"/>
      <c r="D750" s="587"/>
      <c r="E750" s="587"/>
      <c r="F750" s="560"/>
      <c r="G750" s="558"/>
      <c r="H750" s="588"/>
      <c r="I750" s="546"/>
      <c r="J750" s="589"/>
      <c r="K750" s="563" t="str">
        <f>IF(G750&lt;&gt;0,VLOOKUP(G750,'gia dat'!$A$1:$F$144,5,0)," ")</f>
        <v xml:space="preserve"> </v>
      </c>
      <c r="L750" s="563" t="str">
        <f>IF(G750&lt;&gt;0,VLOOKUP(G750,'gia dat'!$A$1:$F$144,6,0)," ")</f>
        <v xml:space="preserve"> </v>
      </c>
      <c r="M750" s="564" t="str">
        <f t="shared" si="159"/>
        <v xml:space="preserve"> </v>
      </c>
      <c r="N750" s="564" t="str">
        <f t="shared" si="160"/>
        <v xml:space="preserve"> </v>
      </c>
      <c r="O750" s="638"/>
      <c r="P750" s="664"/>
      <c r="Q750" s="564" t="str">
        <f>IF(O750&lt;&gt;0,VLOOKUP(O750,'Cây trong'!$A$2:$C$246,3,0)," ")</f>
        <v xml:space="preserve"> </v>
      </c>
      <c r="R750" s="564" t="str">
        <f t="shared" si="162"/>
        <v xml:space="preserve"> </v>
      </c>
      <c r="S750" s="640"/>
      <c r="T750" s="639"/>
      <c r="U750" s="591"/>
      <c r="V750" s="589"/>
      <c r="W750" s="564" t="str">
        <f>IF(S750&lt;&gt;0,VLOOKUP(S750,VKT!$A$2:$G$415,7,0),"")</f>
        <v/>
      </c>
      <c r="X750" s="564" t="str">
        <f t="shared" si="156"/>
        <v xml:space="preserve"> </v>
      </c>
      <c r="Y750" s="589"/>
      <c r="Z750" s="592"/>
      <c r="AA750" s="592"/>
      <c r="AB750" s="568"/>
      <c r="AC750" s="592"/>
      <c r="AD750" s="592"/>
      <c r="AE750" s="592"/>
      <c r="AF750" s="590"/>
      <c r="AG750" s="570" t="str">
        <f>IF(AE750&lt;&gt;0,VLOOKUP(AE750,ODDS!$A$2:$C$13,3,0),"")</f>
        <v/>
      </c>
      <c r="AH750" s="570" t="str">
        <f t="shared" si="163"/>
        <v xml:space="preserve"> </v>
      </c>
      <c r="AI750" s="571" t="str">
        <f t="shared" si="161"/>
        <v xml:space="preserve"> </v>
      </c>
      <c r="AJ750" s="593"/>
      <c r="AK750" s="593"/>
    </row>
    <row r="751" spans="1:37" s="376" customFormat="1" ht="20.25" outlineLevel="1" x14ac:dyDescent="0.25">
      <c r="A751" s="467" t="s">
        <v>2647</v>
      </c>
      <c r="B751" s="576">
        <v>63</v>
      </c>
      <c r="C751" s="574" t="s">
        <v>42</v>
      </c>
      <c r="D751" s="595"/>
      <c r="E751" s="595"/>
      <c r="F751" s="577"/>
      <c r="G751" s="574"/>
      <c r="H751" s="618">
        <f>SUBTOTAL(9,H752:H759)</f>
        <v>1100.2</v>
      </c>
      <c r="I751" s="579">
        <f>SUBTOTAL(9,I752:I757)</f>
        <v>1100.2</v>
      </c>
      <c r="J751" s="597"/>
      <c r="K751" s="581"/>
      <c r="L751" s="581"/>
      <c r="M751" s="571">
        <f>SUBTOTAL(9,M752:M759)</f>
        <v>512253000</v>
      </c>
      <c r="N751" s="571">
        <f>SUBTOTAL(9,N752:N759)</f>
        <v>1536759000</v>
      </c>
      <c r="O751" s="574"/>
      <c r="P751" s="599">
        <f>SUBTOTAL(9,P752:P759)</f>
        <v>0</v>
      </c>
      <c r="Q751" s="571"/>
      <c r="R751" s="571">
        <f>SUBTOTAL(9,R752:R759)</f>
        <v>0</v>
      </c>
      <c r="S751" s="582"/>
      <c r="T751" s="597"/>
      <c r="U751" s="600">
        <f>SUBTOTAL(9,U752:U759)</f>
        <v>0</v>
      </c>
      <c r="V751" s="597"/>
      <c r="W751" s="571"/>
      <c r="X751" s="571">
        <f>SUBTOTAL(9,X752:X759)</f>
        <v>0</v>
      </c>
      <c r="Y751" s="589"/>
      <c r="Z751" s="592"/>
      <c r="AA751" s="592"/>
      <c r="AB751" s="568"/>
      <c r="AC751" s="592"/>
      <c r="AD751" s="592"/>
      <c r="AE751" s="601"/>
      <c r="AF751" s="599">
        <f>SUBTOTAL(9,AF752:AF759)</f>
        <v>0</v>
      </c>
      <c r="AG751" s="585"/>
      <c r="AH751" s="585">
        <f>SUBTOTAL(9,AH752:AH759)</f>
        <v>0</v>
      </c>
      <c r="AI751" s="571">
        <f t="shared" si="161"/>
        <v>2049012000</v>
      </c>
      <c r="AJ751" s="574"/>
      <c r="AK751" s="578"/>
    </row>
    <row r="752" spans="1:37" s="376" customFormat="1" ht="121.5" outlineLevel="2" x14ac:dyDescent="0.3">
      <c r="A752" s="447">
        <f>IF(B751&lt;&gt;0,B751,A750)</f>
        <v>63</v>
      </c>
      <c r="B752" s="557"/>
      <c r="C752" s="637" t="s">
        <v>235</v>
      </c>
      <c r="D752" s="587">
        <v>6</v>
      </c>
      <c r="E752" s="587">
        <v>86</v>
      </c>
      <c r="F752" s="560">
        <v>709</v>
      </c>
      <c r="G752" s="558" t="s">
        <v>2863</v>
      </c>
      <c r="H752" s="588">
        <v>1092.8</v>
      </c>
      <c r="I752" s="546">
        <f t="shared" ref="I752:I753" si="166">IF(N752&gt;0,H752,"")</f>
        <v>1092.8</v>
      </c>
      <c r="J752" s="589"/>
      <c r="K752" s="563">
        <f>IF(G752&lt;&gt;0,VLOOKUP(G752,'gia dat'!$A$1:$F$144,5,0)," ")</f>
        <v>465600</v>
      </c>
      <c r="L752" s="563">
        <f>IF(G752&lt;&gt;0,VLOOKUP(G752,'gia dat'!$A$1:$F$144,6,0)," ")</f>
        <v>1396800</v>
      </c>
      <c r="M752" s="564">
        <f t="shared" si="159"/>
        <v>508808000</v>
      </c>
      <c r="N752" s="564">
        <f t="shared" si="160"/>
        <v>1526423000</v>
      </c>
      <c r="O752" s="558"/>
      <c r="P752" s="590"/>
      <c r="Q752" s="564" t="str">
        <f>IF(O752&lt;&gt;0,VLOOKUP(O752,'Cây trong'!$A$2:$C$246,3,0)," ")</f>
        <v xml:space="preserve"> </v>
      </c>
      <c r="R752" s="564" t="str">
        <f t="shared" si="162"/>
        <v xml:space="preserve"> </v>
      </c>
      <c r="S752" s="566"/>
      <c r="T752" s="589"/>
      <c r="U752" s="591"/>
      <c r="V752" s="589"/>
      <c r="W752" s="564" t="str">
        <f>IF(S752&lt;&gt;0,VLOOKUP(S752,VKT!$A$2:$G$415,7,0),"")</f>
        <v/>
      </c>
      <c r="X752" s="564" t="str">
        <f t="shared" si="156"/>
        <v xml:space="preserve"> </v>
      </c>
      <c r="Y752" s="589"/>
      <c r="Z752" s="592"/>
      <c r="AA752" s="592"/>
      <c r="AB752" s="568"/>
      <c r="AC752" s="592"/>
      <c r="AD752" s="592"/>
      <c r="AE752" s="592"/>
      <c r="AF752" s="590"/>
      <c r="AG752" s="570" t="str">
        <f>IF(AE752&lt;&gt;0,VLOOKUP(AE752,ODDS!$A$2:$C$13,3,0),"")</f>
        <v/>
      </c>
      <c r="AH752" s="570"/>
      <c r="AI752" s="571" t="str">
        <f t="shared" si="161"/>
        <v xml:space="preserve"> </v>
      </c>
      <c r="AJ752" s="558" t="s">
        <v>1710</v>
      </c>
      <c r="AK752" s="586" t="s">
        <v>2771</v>
      </c>
    </row>
    <row r="753" spans="1:37" s="376" customFormat="1" ht="81" outlineLevel="2" x14ac:dyDescent="0.3">
      <c r="A753" s="447">
        <f t="shared" ref="A753:A759" si="167">IF(B752&lt;&gt;0,B752,A752)</f>
        <v>63</v>
      </c>
      <c r="B753" s="557"/>
      <c r="C753" s="637" t="s">
        <v>697</v>
      </c>
      <c r="D753" s="587"/>
      <c r="E753" s="587"/>
      <c r="F753" s="560"/>
      <c r="G753" s="558" t="s">
        <v>2879</v>
      </c>
      <c r="H753" s="588">
        <v>7.4</v>
      </c>
      <c r="I753" s="546">
        <f t="shared" si="166"/>
        <v>7.4</v>
      </c>
      <c r="J753" s="589"/>
      <c r="K753" s="563">
        <f>IF(G753&lt;&gt;0,VLOOKUP(G753,'gia dat'!$A$1:$F$144,5,0)," ")</f>
        <v>465600</v>
      </c>
      <c r="L753" s="563">
        <f>IF(G753&lt;&gt;0,VLOOKUP(G753,'gia dat'!$A$1:$F$144,6,0)," ")</f>
        <v>1396800</v>
      </c>
      <c r="M753" s="564">
        <f t="shared" si="159"/>
        <v>3445000</v>
      </c>
      <c r="N753" s="564">
        <f t="shared" si="160"/>
        <v>10336000</v>
      </c>
      <c r="O753" s="558"/>
      <c r="P753" s="590"/>
      <c r="Q753" s="564" t="str">
        <f>IF(O753&lt;&gt;0,VLOOKUP(O753,'Cây trong'!$A$2:$C$246,3,0)," ")</f>
        <v xml:space="preserve"> </v>
      </c>
      <c r="R753" s="564" t="str">
        <f t="shared" si="162"/>
        <v xml:space="preserve"> </v>
      </c>
      <c r="S753" s="638"/>
      <c r="T753" s="639"/>
      <c r="U753" s="591"/>
      <c r="V753" s="589"/>
      <c r="W753" s="564" t="str">
        <f>IF(S753&lt;&gt;0,VLOOKUP(S753,VKT!$A$2:$G$415,7,0),"")</f>
        <v/>
      </c>
      <c r="X753" s="564" t="str">
        <f t="shared" si="156"/>
        <v xml:space="preserve"> </v>
      </c>
      <c r="Y753" s="589"/>
      <c r="Z753" s="592"/>
      <c r="AA753" s="592"/>
      <c r="AB753" s="568"/>
      <c r="AC753" s="592"/>
      <c r="AD753" s="592"/>
      <c r="AE753" s="592"/>
      <c r="AF753" s="590"/>
      <c r="AG753" s="570" t="str">
        <f>IF(AE753&lt;&gt;0,VLOOKUP(AE753,ODDS!$A$2:$C$13,3,0),"")</f>
        <v/>
      </c>
      <c r="AH753" s="570" t="str">
        <f t="shared" si="163"/>
        <v xml:space="preserve"> </v>
      </c>
      <c r="AI753" s="571" t="str">
        <f t="shared" si="161"/>
        <v xml:space="preserve"> </v>
      </c>
      <c r="AJ753" s="558" t="s">
        <v>566</v>
      </c>
      <c r="AK753" s="558" t="s">
        <v>2448</v>
      </c>
    </row>
    <row r="754" spans="1:37" s="376" customFormat="1" ht="121.5" outlineLevel="2" x14ac:dyDescent="0.3">
      <c r="A754" s="447">
        <f t="shared" si="167"/>
        <v>63</v>
      </c>
      <c r="B754" s="557"/>
      <c r="C754" s="637"/>
      <c r="D754" s="587"/>
      <c r="E754" s="587"/>
      <c r="F754" s="560"/>
      <c r="G754" s="558"/>
      <c r="H754" s="588"/>
      <c r="I754" s="546"/>
      <c r="J754" s="589"/>
      <c r="K754" s="563" t="str">
        <f>IF(G754&lt;&gt;0,VLOOKUP(G754,'gia dat'!$A$1:$F$144,5,0)," ")</f>
        <v xml:space="preserve"> </v>
      </c>
      <c r="L754" s="563" t="str">
        <f>IF(G754&lt;&gt;0,VLOOKUP(G754,'gia dat'!$A$1:$F$144,6,0)," ")</f>
        <v xml:space="preserve"> </v>
      </c>
      <c r="M754" s="564" t="str">
        <f t="shared" si="159"/>
        <v xml:space="preserve"> </v>
      </c>
      <c r="N754" s="564" t="str">
        <f t="shared" si="160"/>
        <v xml:space="preserve"> </v>
      </c>
      <c r="O754" s="558"/>
      <c r="P754" s="590"/>
      <c r="Q754" s="564" t="str">
        <f>IF(O754&lt;&gt;0,VLOOKUP(O754,'Cây trong'!$A$2:$C$246,3,0)," ")</f>
        <v xml:space="preserve"> </v>
      </c>
      <c r="R754" s="564" t="str">
        <f t="shared" si="162"/>
        <v xml:space="preserve"> </v>
      </c>
      <c r="S754" s="566"/>
      <c r="T754" s="589"/>
      <c r="U754" s="591"/>
      <c r="V754" s="589"/>
      <c r="W754" s="564" t="str">
        <f>IF(S754&lt;&gt;0,VLOOKUP(S754,VKT!$A$2:$G$415,7,0),"")</f>
        <v/>
      </c>
      <c r="X754" s="564" t="str">
        <f t="shared" si="156"/>
        <v xml:space="preserve"> </v>
      </c>
      <c r="Y754" s="589"/>
      <c r="Z754" s="592"/>
      <c r="AA754" s="592"/>
      <c r="AB754" s="568"/>
      <c r="AC754" s="592"/>
      <c r="AD754" s="592"/>
      <c r="AE754" s="592"/>
      <c r="AF754" s="590"/>
      <c r="AG754" s="570" t="str">
        <f>IF(AE754&lt;&gt;0,VLOOKUP(AE754,ODDS!$A$2:$C$13,3,0),"")</f>
        <v/>
      </c>
      <c r="AH754" s="570" t="str">
        <f t="shared" si="163"/>
        <v xml:space="preserve"> </v>
      </c>
      <c r="AI754" s="571" t="str">
        <f t="shared" si="161"/>
        <v xml:space="preserve"> </v>
      </c>
      <c r="AJ754" s="558" t="s">
        <v>2046</v>
      </c>
      <c r="AK754" s="593"/>
    </row>
    <row r="755" spans="1:37" s="376" customFormat="1" ht="40.5" outlineLevel="2" x14ac:dyDescent="0.3">
      <c r="A755" s="447">
        <f t="shared" si="167"/>
        <v>63</v>
      </c>
      <c r="B755" s="557"/>
      <c r="C755" s="558"/>
      <c r="D755" s="587"/>
      <c r="E755" s="587"/>
      <c r="F755" s="615"/>
      <c r="G755" s="558"/>
      <c r="H755" s="604"/>
      <c r="I755" s="546"/>
      <c r="J755" s="593"/>
      <c r="K755" s="563" t="str">
        <f>IF(G755&lt;&gt;0,VLOOKUP(G755,'gia dat'!$A$1:$F$144,5,0)," ")</f>
        <v xml:space="preserve"> </v>
      </c>
      <c r="L755" s="563" t="str">
        <f>IF(G755&lt;&gt;0,VLOOKUP(G755,'gia dat'!$A$1:$F$144,6,0)," ")</f>
        <v xml:space="preserve"> </v>
      </c>
      <c r="M755" s="564" t="str">
        <f t="shared" si="159"/>
        <v xml:space="preserve"> </v>
      </c>
      <c r="N755" s="564" t="str">
        <f t="shared" si="160"/>
        <v xml:space="preserve"> </v>
      </c>
      <c r="O755" s="593"/>
      <c r="P755" s="616"/>
      <c r="Q755" s="564" t="str">
        <f>IF(O755&lt;&gt;0,VLOOKUP(O755,'Cây trong'!$A$2:$C$246,3,0)," ")</f>
        <v xml:space="preserve"> </v>
      </c>
      <c r="R755" s="564" t="str">
        <f t="shared" si="162"/>
        <v xml:space="preserve"> </v>
      </c>
      <c r="S755" s="593"/>
      <c r="T755" s="593"/>
      <c r="U755" s="617"/>
      <c r="V755" s="589"/>
      <c r="W755" s="564" t="str">
        <f>IF(S755&lt;&gt;0,VLOOKUP(S755,VKT!$A$2:$G$415,7,0),"")</f>
        <v/>
      </c>
      <c r="X755" s="564" t="str">
        <f t="shared" si="156"/>
        <v xml:space="preserve"> </v>
      </c>
      <c r="Y755" s="589"/>
      <c r="Z755" s="589"/>
      <c r="AA755" s="589"/>
      <c r="AB755" s="562"/>
      <c r="AC755" s="589"/>
      <c r="AD755" s="589"/>
      <c r="AE755" s="589"/>
      <c r="AF755" s="629"/>
      <c r="AG755" s="570" t="str">
        <f>IF(AE755&lt;&gt;0,VLOOKUP(AE755,ODDS!$A$2:$C$13,3,0),"")</f>
        <v/>
      </c>
      <c r="AH755" s="570" t="str">
        <f t="shared" si="163"/>
        <v xml:space="preserve"> </v>
      </c>
      <c r="AI755" s="571" t="str">
        <f t="shared" si="161"/>
        <v xml:space="preserve"> </v>
      </c>
      <c r="AJ755" s="574" t="s">
        <v>2070</v>
      </c>
      <c r="AK755" s="558"/>
    </row>
    <row r="756" spans="1:37" s="376" customFormat="1" ht="60.75" outlineLevel="2" x14ac:dyDescent="0.3">
      <c r="A756" s="447">
        <f t="shared" si="167"/>
        <v>63</v>
      </c>
      <c r="B756" s="557"/>
      <c r="C756" s="637"/>
      <c r="D756" s="587"/>
      <c r="E756" s="587"/>
      <c r="F756" s="560"/>
      <c r="G756" s="558"/>
      <c r="H756" s="588"/>
      <c r="I756" s="546"/>
      <c r="J756" s="589"/>
      <c r="K756" s="563" t="str">
        <f>IF(G756&lt;&gt;0,VLOOKUP(G756,'gia dat'!$A$1:$F$144,5,0)," ")</f>
        <v xml:space="preserve"> </v>
      </c>
      <c r="L756" s="563" t="str">
        <f>IF(G756&lt;&gt;0,VLOOKUP(G756,'gia dat'!$A$1:$F$144,6,0)," ")</f>
        <v xml:space="preserve"> </v>
      </c>
      <c r="M756" s="564" t="str">
        <f t="shared" si="159"/>
        <v xml:space="preserve"> </v>
      </c>
      <c r="N756" s="564" t="str">
        <f t="shared" si="160"/>
        <v xml:space="preserve"> </v>
      </c>
      <c r="O756" s="558"/>
      <c r="P756" s="590"/>
      <c r="Q756" s="564" t="str">
        <f>IF(O756&lt;&gt;0,VLOOKUP(O756,'Cây trong'!$A$2:$C$246,3,0)," ")</f>
        <v xml:space="preserve"> </v>
      </c>
      <c r="R756" s="564" t="str">
        <f t="shared" si="162"/>
        <v xml:space="preserve"> </v>
      </c>
      <c r="S756" s="566"/>
      <c r="T756" s="589"/>
      <c r="U756" s="591"/>
      <c r="V756" s="589"/>
      <c r="W756" s="564" t="str">
        <f>IF(S756&lt;&gt;0,VLOOKUP(S756,VKT!$A$2:$G$415,7,0),"")</f>
        <v/>
      </c>
      <c r="X756" s="564" t="str">
        <f t="shared" si="156"/>
        <v xml:space="preserve"> </v>
      </c>
      <c r="Y756" s="589"/>
      <c r="Z756" s="592"/>
      <c r="AA756" s="592"/>
      <c r="AB756" s="568"/>
      <c r="AC756" s="592"/>
      <c r="AD756" s="592"/>
      <c r="AE756" s="592"/>
      <c r="AF756" s="590"/>
      <c r="AG756" s="570" t="str">
        <f>IF(AE756&lt;&gt;0,VLOOKUP(AE756,ODDS!$A$2:$C$13,3,0),"")</f>
        <v/>
      </c>
      <c r="AH756" s="570" t="str">
        <f t="shared" si="163"/>
        <v xml:space="preserve"> </v>
      </c>
      <c r="AI756" s="571" t="str">
        <f t="shared" si="161"/>
        <v xml:space="preserve"> </v>
      </c>
      <c r="AJ756" s="558" t="s">
        <v>2074</v>
      </c>
      <c r="AK756" s="558"/>
    </row>
    <row r="757" spans="1:37" s="376" customFormat="1" ht="20.25" outlineLevel="2" x14ac:dyDescent="0.3">
      <c r="A757" s="447">
        <f t="shared" si="167"/>
        <v>63</v>
      </c>
      <c r="B757" s="557"/>
      <c r="C757" s="637"/>
      <c r="D757" s="587"/>
      <c r="E757" s="587"/>
      <c r="F757" s="560"/>
      <c r="G757" s="558"/>
      <c r="H757" s="588"/>
      <c r="I757" s="546"/>
      <c r="J757" s="589"/>
      <c r="K757" s="563" t="str">
        <f>IF(G757&lt;&gt;0,VLOOKUP(G757,'gia dat'!$A$1:$F$144,5,0)," ")</f>
        <v xml:space="preserve"> </v>
      </c>
      <c r="L757" s="563" t="str">
        <f>IF(G757&lt;&gt;0,VLOOKUP(G757,'gia dat'!$A$1:$F$144,6,0)," ")</f>
        <v xml:space="preserve"> </v>
      </c>
      <c r="M757" s="564" t="str">
        <f t="shared" si="159"/>
        <v xml:space="preserve"> </v>
      </c>
      <c r="N757" s="564" t="str">
        <f t="shared" si="160"/>
        <v xml:space="preserve"> </v>
      </c>
      <c r="O757" s="558"/>
      <c r="P757" s="590"/>
      <c r="Q757" s="564" t="str">
        <f>IF(O757&lt;&gt;0,VLOOKUP(O757,'Cây trong'!$A$2:$C$246,3,0)," ")</f>
        <v xml:space="preserve"> </v>
      </c>
      <c r="R757" s="564" t="str">
        <f t="shared" si="162"/>
        <v xml:space="preserve"> </v>
      </c>
      <c r="S757" s="566"/>
      <c r="T757" s="589"/>
      <c r="U757" s="591"/>
      <c r="V757" s="589"/>
      <c r="W757" s="564" t="str">
        <f>IF(S757&lt;&gt;0,VLOOKUP(S757,VKT!$A$2:$G$415,7,0),"")</f>
        <v/>
      </c>
      <c r="X757" s="564" t="str">
        <f t="shared" si="156"/>
        <v xml:space="preserve"> </v>
      </c>
      <c r="Y757" s="589"/>
      <c r="Z757" s="592"/>
      <c r="AA757" s="592"/>
      <c r="AB757" s="568"/>
      <c r="AC757" s="592"/>
      <c r="AD757" s="592"/>
      <c r="AE757" s="592"/>
      <c r="AF757" s="590"/>
      <c r="AG757" s="570" t="str">
        <f>IF(AE757&lt;&gt;0,VLOOKUP(AE757,ODDS!$A$2:$C$13,3,0),"")</f>
        <v/>
      </c>
      <c r="AH757" s="570" t="str">
        <f t="shared" si="163"/>
        <v xml:space="preserve"> </v>
      </c>
      <c r="AI757" s="571" t="str">
        <f t="shared" si="161"/>
        <v xml:space="preserve"> </v>
      </c>
      <c r="AJ757" s="681"/>
      <c r="AK757" s="558"/>
    </row>
    <row r="758" spans="1:37" s="376" customFormat="1" ht="20.25" outlineLevel="2" x14ac:dyDescent="0.3">
      <c r="A758" s="447">
        <f t="shared" si="167"/>
        <v>63</v>
      </c>
      <c r="B758" s="557"/>
      <c r="C758" s="637"/>
      <c r="D758" s="587"/>
      <c r="E758" s="587"/>
      <c r="F758" s="560"/>
      <c r="G758" s="558"/>
      <c r="H758" s="588"/>
      <c r="I758" s="546"/>
      <c r="J758" s="589"/>
      <c r="K758" s="563" t="str">
        <f>IF(G758&lt;&gt;0,VLOOKUP(G758,'gia dat'!$A$1:$F$144,5,0)," ")</f>
        <v xml:space="preserve"> </v>
      </c>
      <c r="L758" s="563" t="str">
        <f>IF(G758&lt;&gt;0,VLOOKUP(G758,'gia dat'!$A$1:$F$144,6,0)," ")</f>
        <v xml:space="preserve"> </v>
      </c>
      <c r="M758" s="564" t="str">
        <f t="shared" si="159"/>
        <v xml:space="preserve"> </v>
      </c>
      <c r="N758" s="564" t="str">
        <f t="shared" si="160"/>
        <v xml:space="preserve"> </v>
      </c>
      <c r="O758" s="558"/>
      <c r="P758" s="590"/>
      <c r="Q758" s="564" t="str">
        <f>IF(O758&lt;&gt;0,VLOOKUP(O758,'Cây trong'!$A$2:$C$246,3,0)," ")</f>
        <v xml:space="preserve"> </v>
      </c>
      <c r="R758" s="564" t="str">
        <f t="shared" si="162"/>
        <v xml:space="preserve"> </v>
      </c>
      <c r="S758" s="640"/>
      <c r="T758" s="639"/>
      <c r="U758" s="591"/>
      <c r="V758" s="589"/>
      <c r="W758" s="564" t="str">
        <f>IF(S758&lt;&gt;0,VLOOKUP(S758,VKT!$A$2:$G$415,7,0),"")</f>
        <v/>
      </c>
      <c r="X758" s="564" t="str">
        <f t="shared" si="156"/>
        <v xml:space="preserve"> </v>
      </c>
      <c r="Y758" s="589"/>
      <c r="Z758" s="592"/>
      <c r="AA758" s="592"/>
      <c r="AB758" s="568"/>
      <c r="AC758" s="592"/>
      <c r="AD758" s="592"/>
      <c r="AE758" s="592"/>
      <c r="AF758" s="590"/>
      <c r="AG758" s="570" t="str">
        <f>IF(AE758&lt;&gt;0,VLOOKUP(AE758,ODDS!$A$2:$C$13,3,0),"")</f>
        <v/>
      </c>
      <c r="AH758" s="570" t="str">
        <f t="shared" si="163"/>
        <v xml:space="preserve"> </v>
      </c>
      <c r="AI758" s="571" t="str">
        <f t="shared" si="161"/>
        <v xml:space="preserve"> </v>
      </c>
      <c r="AJ758" s="593"/>
      <c r="AK758" s="593"/>
    </row>
    <row r="759" spans="1:37" s="376" customFormat="1" ht="20.25" outlineLevel="2" x14ac:dyDescent="0.3">
      <c r="A759" s="447">
        <f t="shared" si="167"/>
        <v>63</v>
      </c>
      <c r="B759" s="557"/>
      <c r="C759" s="636"/>
      <c r="D759" s="587"/>
      <c r="E759" s="587"/>
      <c r="F759" s="560"/>
      <c r="G759" s="558"/>
      <c r="H759" s="588"/>
      <c r="I759" s="546"/>
      <c r="J759" s="589"/>
      <c r="K759" s="563" t="str">
        <f>IF(G759&lt;&gt;0,VLOOKUP(G759,'gia dat'!$A$1:$F$144,5,0)," ")</f>
        <v xml:space="preserve"> </v>
      </c>
      <c r="L759" s="563" t="str">
        <f>IF(G759&lt;&gt;0,VLOOKUP(G759,'gia dat'!$A$1:$F$144,6,0)," ")</f>
        <v xml:space="preserve"> </v>
      </c>
      <c r="M759" s="564" t="str">
        <f t="shared" si="159"/>
        <v xml:space="preserve"> </v>
      </c>
      <c r="N759" s="564" t="str">
        <f t="shared" si="160"/>
        <v xml:space="preserve"> </v>
      </c>
      <c r="O759" s="558"/>
      <c r="P759" s="590"/>
      <c r="Q759" s="564" t="str">
        <f>IF(O759&lt;&gt;0,VLOOKUP(O759,'Cây trong'!$A$2:$C$246,3,0)," ")</f>
        <v xml:space="preserve"> </v>
      </c>
      <c r="R759" s="564" t="str">
        <f t="shared" si="162"/>
        <v xml:space="preserve"> </v>
      </c>
      <c r="S759" s="638"/>
      <c r="T759" s="639"/>
      <c r="U759" s="591"/>
      <c r="V759" s="589"/>
      <c r="W759" s="564" t="str">
        <f>IF(S759&lt;&gt;0,VLOOKUP(S759,VKT!$A$2:$G$415,7,0),"")</f>
        <v/>
      </c>
      <c r="X759" s="564" t="str">
        <f t="shared" si="156"/>
        <v xml:space="preserve"> </v>
      </c>
      <c r="Y759" s="589"/>
      <c r="Z759" s="592"/>
      <c r="AA759" s="592"/>
      <c r="AB759" s="568"/>
      <c r="AC759" s="592"/>
      <c r="AD759" s="592"/>
      <c r="AE759" s="592"/>
      <c r="AF759" s="590"/>
      <c r="AG759" s="570" t="str">
        <f>IF(AE759&lt;&gt;0,VLOOKUP(AE759,ODDS!$A$2:$C$13,3,0),"")</f>
        <v/>
      </c>
      <c r="AH759" s="570" t="str">
        <f t="shared" si="163"/>
        <v xml:space="preserve"> </v>
      </c>
      <c r="AI759" s="571" t="str">
        <f t="shared" si="161"/>
        <v xml:space="preserve"> </v>
      </c>
      <c r="AJ759" s="593"/>
      <c r="AK759" s="593"/>
    </row>
    <row r="760" spans="1:37" s="376" customFormat="1" ht="40.5" outlineLevel="1" x14ac:dyDescent="0.25">
      <c r="A760" s="467" t="s">
        <v>2646</v>
      </c>
      <c r="B760" s="576">
        <v>64</v>
      </c>
      <c r="C760" s="636" t="s">
        <v>43</v>
      </c>
      <c r="D760" s="595"/>
      <c r="E760" s="595"/>
      <c r="F760" s="577"/>
      <c r="G760" s="574"/>
      <c r="H760" s="618">
        <f>SUBTOTAL(9,H761:H766)</f>
        <v>2031</v>
      </c>
      <c r="I760" s="579">
        <f>SUBTOTAL(9,I761:I766)</f>
        <v>2031</v>
      </c>
      <c r="J760" s="597"/>
      <c r="K760" s="581"/>
      <c r="L760" s="581"/>
      <c r="M760" s="571">
        <f>SUBTOTAL(9,M761:M766)</f>
        <v>945634000</v>
      </c>
      <c r="N760" s="571">
        <f>SUBTOTAL(9,N761:N766)</f>
        <v>2836901000</v>
      </c>
      <c r="O760" s="574"/>
      <c r="P760" s="599">
        <f>SUBTOTAL(9,P761:P766)</f>
        <v>0</v>
      </c>
      <c r="Q760" s="571"/>
      <c r="R760" s="571">
        <f>SUBTOTAL(9,R761:R766)</f>
        <v>0</v>
      </c>
      <c r="S760" s="582"/>
      <c r="T760" s="597"/>
      <c r="U760" s="600">
        <f>SUBTOTAL(9,U761:U766)</f>
        <v>0</v>
      </c>
      <c r="V760" s="597"/>
      <c r="W760" s="571"/>
      <c r="X760" s="571">
        <f>SUBTOTAL(9,X761:X766)</f>
        <v>0</v>
      </c>
      <c r="Y760" s="589"/>
      <c r="Z760" s="592"/>
      <c r="AA760" s="592"/>
      <c r="AB760" s="568"/>
      <c r="AC760" s="592"/>
      <c r="AD760" s="592"/>
      <c r="AE760" s="601"/>
      <c r="AF760" s="599">
        <f>SUBTOTAL(9,AF761:AF766)</f>
        <v>0</v>
      </c>
      <c r="AG760" s="585"/>
      <c r="AH760" s="585">
        <f>SUBTOTAL(9,AH761:AH766)</f>
        <v>0</v>
      </c>
      <c r="AI760" s="571">
        <f t="shared" si="161"/>
        <v>3782535000</v>
      </c>
      <c r="AJ760" s="574"/>
      <c r="AK760" s="578"/>
    </row>
    <row r="761" spans="1:37" s="376" customFormat="1" ht="121.5" outlineLevel="2" x14ac:dyDescent="0.3">
      <c r="A761" s="447">
        <f>IF(B760&lt;&gt;0,B760,A759)</f>
        <v>64</v>
      </c>
      <c r="B761" s="557"/>
      <c r="C761" s="637" t="s">
        <v>236</v>
      </c>
      <c r="D761" s="587">
        <v>3</v>
      </c>
      <c r="E761" s="587">
        <v>86</v>
      </c>
      <c r="F761" s="560">
        <v>710</v>
      </c>
      <c r="G761" s="558" t="s">
        <v>2863</v>
      </c>
      <c r="H761" s="588">
        <v>2017.1</v>
      </c>
      <c r="I761" s="546">
        <f t="shared" ref="I761:I762" si="168">IF(N761&gt;0,H761,"")</f>
        <v>2017.1</v>
      </c>
      <c r="J761" s="589"/>
      <c r="K761" s="563">
        <f>IF(G761&lt;&gt;0,VLOOKUP(G761,'gia dat'!$A$1:$F$144,5,0)," ")</f>
        <v>465600</v>
      </c>
      <c r="L761" s="563">
        <f>IF(G761&lt;&gt;0,VLOOKUP(G761,'gia dat'!$A$1:$F$144,6,0)," ")</f>
        <v>1396800</v>
      </c>
      <c r="M761" s="564">
        <f t="shared" si="159"/>
        <v>939162000</v>
      </c>
      <c r="N761" s="564">
        <f t="shared" si="160"/>
        <v>2817485000</v>
      </c>
      <c r="O761" s="558"/>
      <c r="P761" s="590"/>
      <c r="Q761" s="564" t="str">
        <f>IF(O761&lt;&gt;0,VLOOKUP(O761,'Cây trong'!$A$2:$C$246,3,0)," ")</f>
        <v xml:space="preserve"> </v>
      </c>
      <c r="R761" s="564" t="str">
        <f t="shared" si="162"/>
        <v xml:space="preserve"> </v>
      </c>
      <c r="S761" s="566"/>
      <c r="T761" s="589"/>
      <c r="U761" s="591"/>
      <c r="V761" s="589"/>
      <c r="W761" s="564" t="str">
        <f>IF(S761&lt;&gt;0,VLOOKUP(S761,VKT!$A$2:$G$415,7,0),"")</f>
        <v/>
      </c>
      <c r="X761" s="564" t="str">
        <f t="shared" si="156"/>
        <v xml:space="preserve"> </v>
      </c>
      <c r="Y761" s="589"/>
      <c r="Z761" s="592"/>
      <c r="AA761" s="592"/>
      <c r="AB761" s="568"/>
      <c r="AC761" s="592"/>
      <c r="AD761" s="592"/>
      <c r="AE761" s="592"/>
      <c r="AF761" s="590"/>
      <c r="AG761" s="570" t="str">
        <f>IF(AE761&lt;&gt;0,VLOOKUP(AE761,ODDS!$A$2:$C$13,3,0),"")</f>
        <v/>
      </c>
      <c r="AH761" s="570"/>
      <c r="AI761" s="571" t="str">
        <f t="shared" si="161"/>
        <v xml:space="preserve"> </v>
      </c>
      <c r="AJ761" s="558" t="s">
        <v>1712</v>
      </c>
      <c r="AK761" s="586" t="s">
        <v>2771</v>
      </c>
    </row>
    <row r="762" spans="1:37" s="376" customFormat="1" ht="81" outlineLevel="2" x14ac:dyDescent="0.3">
      <c r="A762" s="447">
        <f>IF(B761&lt;&gt;0,B761,A761)</f>
        <v>64</v>
      </c>
      <c r="B762" s="557"/>
      <c r="C762" s="558" t="s">
        <v>698</v>
      </c>
      <c r="D762" s="587"/>
      <c r="E762" s="587"/>
      <c r="F762" s="560"/>
      <c r="G762" s="558" t="s">
        <v>2879</v>
      </c>
      <c r="H762" s="588">
        <v>13.9</v>
      </c>
      <c r="I762" s="546">
        <f t="shared" si="168"/>
        <v>13.9</v>
      </c>
      <c r="J762" s="589"/>
      <c r="K762" s="563">
        <f>IF(G762&lt;&gt;0,VLOOKUP(G762,'gia dat'!$A$1:$F$144,5,0)," ")</f>
        <v>465600</v>
      </c>
      <c r="L762" s="563">
        <f>IF(G762&lt;&gt;0,VLOOKUP(G762,'gia dat'!$A$1:$F$144,6,0)," ")</f>
        <v>1396800</v>
      </c>
      <c r="M762" s="564">
        <f t="shared" si="159"/>
        <v>6472000</v>
      </c>
      <c r="N762" s="564">
        <f t="shared" si="160"/>
        <v>19416000</v>
      </c>
      <c r="O762" s="558"/>
      <c r="P762" s="590"/>
      <c r="Q762" s="564" t="str">
        <f>IF(O762&lt;&gt;0,VLOOKUP(O762,'Cây trong'!$A$2:$C$246,3,0)," ")</f>
        <v xml:space="preserve"> </v>
      </c>
      <c r="R762" s="564" t="str">
        <f t="shared" si="162"/>
        <v xml:space="preserve"> </v>
      </c>
      <c r="S762" s="566"/>
      <c r="T762" s="589"/>
      <c r="U762" s="591"/>
      <c r="V762" s="589"/>
      <c r="W762" s="564" t="str">
        <f>IF(S762&lt;&gt;0,VLOOKUP(S762,VKT!$A$2:$G$415,7,0),"")</f>
        <v/>
      </c>
      <c r="X762" s="564" t="str">
        <f t="shared" si="156"/>
        <v xml:space="preserve"> </v>
      </c>
      <c r="Y762" s="589"/>
      <c r="Z762" s="592"/>
      <c r="AA762" s="592"/>
      <c r="AB762" s="568"/>
      <c r="AC762" s="592"/>
      <c r="AD762" s="592"/>
      <c r="AE762" s="592"/>
      <c r="AF762" s="590"/>
      <c r="AG762" s="570" t="str">
        <f>IF(AE762&lt;&gt;0,VLOOKUP(AE762,ODDS!$A$2:$C$13,3,0),"")</f>
        <v/>
      </c>
      <c r="AH762" s="570" t="str">
        <f t="shared" si="163"/>
        <v xml:space="preserve"> </v>
      </c>
      <c r="AI762" s="571" t="str">
        <f t="shared" si="161"/>
        <v xml:space="preserve"> </v>
      </c>
      <c r="AJ762" s="558" t="s">
        <v>568</v>
      </c>
      <c r="AK762" s="558" t="s">
        <v>2448</v>
      </c>
    </row>
    <row r="763" spans="1:37" s="376" customFormat="1" ht="121.5" outlineLevel="2" x14ac:dyDescent="0.3">
      <c r="A763" s="447">
        <f>IF(B762&lt;&gt;0,B762,A762)</f>
        <v>64</v>
      </c>
      <c r="B763" s="557"/>
      <c r="C763" s="636"/>
      <c r="D763" s="587"/>
      <c r="E763" s="587"/>
      <c r="F763" s="560"/>
      <c r="G763" s="558"/>
      <c r="H763" s="588"/>
      <c r="I763" s="546"/>
      <c r="J763" s="589"/>
      <c r="K763" s="563" t="str">
        <f>IF(G763&lt;&gt;0,VLOOKUP(G763,'gia dat'!$A$1:$F$144,5,0)," ")</f>
        <v xml:space="preserve"> </v>
      </c>
      <c r="L763" s="563" t="str">
        <f>IF(G763&lt;&gt;0,VLOOKUP(G763,'gia dat'!$A$1:$F$144,6,0)," ")</f>
        <v xml:space="preserve"> </v>
      </c>
      <c r="M763" s="564" t="str">
        <f t="shared" si="159"/>
        <v xml:space="preserve"> </v>
      </c>
      <c r="N763" s="564" t="str">
        <f t="shared" si="160"/>
        <v xml:space="preserve"> </v>
      </c>
      <c r="O763" s="558"/>
      <c r="P763" s="590"/>
      <c r="Q763" s="564" t="str">
        <f>IF(O763&lt;&gt;0,VLOOKUP(O763,'Cây trong'!$A$2:$C$246,3,0)," ")</f>
        <v xml:space="preserve"> </v>
      </c>
      <c r="R763" s="564" t="str">
        <f t="shared" si="162"/>
        <v xml:space="preserve"> </v>
      </c>
      <c r="S763" s="566"/>
      <c r="T763" s="589"/>
      <c r="U763" s="591"/>
      <c r="V763" s="589"/>
      <c r="W763" s="564" t="str">
        <f>IF(S763&lt;&gt;0,VLOOKUP(S763,VKT!$A$2:$G$415,7,0),"")</f>
        <v/>
      </c>
      <c r="X763" s="564" t="str">
        <f t="shared" si="156"/>
        <v xml:space="preserve"> </v>
      </c>
      <c r="Y763" s="589"/>
      <c r="Z763" s="592"/>
      <c r="AA763" s="592"/>
      <c r="AB763" s="568"/>
      <c r="AC763" s="592"/>
      <c r="AD763" s="592"/>
      <c r="AE763" s="592"/>
      <c r="AF763" s="590"/>
      <c r="AG763" s="570" t="str">
        <f>IF(AE763&lt;&gt;0,VLOOKUP(AE763,ODDS!$A$2:$C$13,3,0),"")</f>
        <v/>
      </c>
      <c r="AH763" s="570" t="str">
        <f t="shared" si="163"/>
        <v xml:space="preserve"> </v>
      </c>
      <c r="AI763" s="571" t="str">
        <f t="shared" si="161"/>
        <v xml:space="preserve"> </v>
      </c>
      <c r="AJ763" s="558" t="s">
        <v>2047</v>
      </c>
      <c r="AK763" s="593"/>
    </row>
    <row r="764" spans="1:37" s="376" customFormat="1" ht="60.75" outlineLevel="2" x14ac:dyDescent="0.3">
      <c r="A764" s="447">
        <f>IF(B763&lt;&gt;0,B763,A763)</f>
        <v>64</v>
      </c>
      <c r="B764" s="557"/>
      <c r="C764" s="558"/>
      <c r="D764" s="587"/>
      <c r="E764" s="587"/>
      <c r="F764" s="615"/>
      <c r="G764" s="558"/>
      <c r="H764" s="604"/>
      <c r="I764" s="546"/>
      <c r="J764" s="593"/>
      <c r="K764" s="563" t="str">
        <f>IF(G764&lt;&gt;0,VLOOKUP(G764,'gia dat'!$A$1:$F$144,5,0)," ")</f>
        <v xml:space="preserve"> </v>
      </c>
      <c r="L764" s="563" t="str">
        <f>IF(G764&lt;&gt;0,VLOOKUP(G764,'gia dat'!$A$1:$F$144,6,0)," ")</f>
        <v xml:space="preserve"> </v>
      </c>
      <c r="M764" s="564" t="str">
        <f t="shared" si="159"/>
        <v xml:space="preserve"> </v>
      </c>
      <c r="N764" s="564" t="str">
        <f t="shared" si="160"/>
        <v xml:space="preserve"> </v>
      </c>
      <c r="O764" s="593"/>
      <c r="P764" s="616"/>
      <c r="Q764" s="564" t="str">
        <f>IF(O764&lt;&gt;0,VLOOKUP(O764,'Cây trong'!$A$2:$C$246,3,0)," ")</f>
        <v xml:space="preserve"> </v>
      </c>
      <c r="R764" s="564" t="str">
        <f t="shared" si="162"/>
        <v xml:space="preserve"> </v>
      </c>
      <c r="S764" s="593"/>
      <c r="T764" s="593"/>
      <c r="U764" s="617"/>
      <c r="V764" s="589"/>
      <c r="W764" s="564" t="str">
        <f>IF(S764&lt;&gt;0,VLOOKUP(S764,VKT!$A$2:$G$415,7,0),"")</f>
        <v/>
      </c>
      <c r="X764" s="564" t="str">
        <f t="shared" si="156"/>
        <v xml:space="preserve"> </v>
      </c>
      <c r="Y764" s="589"/>
      <c r="Z764" s="589"/>
      <c r="AA764" s="589"/>
      <c r="AB764" s="562"/>
      <c r="AC764" s="589"/>
      <c r="AD764" s="589"/>
      <c r="AE764" s="589"/>
      <c r="AF764" s="629"/>
      <c r="AG764" s="570" t="str">
        <f>IF(AE764&lt;&gt;0,VLOOKUP(AE764,ODDS!$A$2:$C$13,3,0),"")</f>
        <v/>
      </c>
      <c r="AH764" s="570" t="str">
        <f t="shared" si="163"/>
        <v xml:space="preserve"> </v>
      </c>
      <c r="AI764" s="571" t="str">
        <f t="shared" si="161"/>
        <v xml:space="preserve"> </v>
      </c>
      <c r="AJ764" s="558" t="s">
        <v>2074</v>
      </c>
      <c r="AK764" s="558"/>
    </row>
    <row r="765" spans="1:37" s="376" customFormat="1" ht="20.25" outlineLevel="2" x14ac:dyDescent="0.3">
      <c r="A765" s="447">
        <f>IF(B764&lt;&gt;0,B764,A764)</f>
        <v>64</v>
      </c>
      <c r="B765" s="557"/>
      <c r="C765" s="558"/>
      <c r="D765" s="587"/>
      <c r="E765" s="587"/>
      <c r="F765" s="560"/>
      <c r="G765" s="558"/>
      <c r="H765" s="588"/>
      <c r="I765" s="546"/>
      <c r="J765" s="589"/>
      <c r="K765" s="563" t="str">
        <f>IF(G765&lt;&gt;0,VLOOKUP(G765,'gia dat'!$A$1:$F$144,5,0)," ")</f>
        <v xml:space="preserve"> </v>
      </c>
      <c r="L765" s="563" t="str">
        <f>IF(G765&lt;&gt;0,VLOOKUP(G765,'gia dat'!$A$1:$F$144,6,0)," ")</f>
        <v xml:space="preserve"> </v>
      </c>
      <c r="M765" s="564" t="str">
        <f t="shared" si="159"/>
        <v xml:space="preserve"> </v>
      </c>
      <c r="N765" s="564" t="str">
        <f t="shared" si="160"/>
        <v xml:space="preserve"> </v>
      </c>
      <c r="O765" s="638"/>
      <c r="P765" s="664"/>
      <c r="Q765" s="564" t="str">
        <f>IF(O765&lt;&gt;0,VLOOKUP(O765,'Cây trong'!$A$2:$C$246,3,0)," ")</f>
        <v xml:space="preserve"> </v>
      </c>
      <c r="R765" s="564" t="str">
        <f t="shared" si="162"/>
        <v xml:space="preserve"> </v>
      </c>
      <c r="S765" s="638"/>
      <c r="T765" s="639"/>
      <c r="U765" s="591"/>
      <c r="V765" s="589"/>
      <c r="W765" s="564" t="str">
        <f>IF(S765&lt;&gt;0,VLOOKUP(S765,VKT!$A$2:$G$415,7,0),"")</f>
        <v/>
      </c>
      <c r="X765" s="564" t="str">
        <f t="shared" si="156"/>
        <v xml:space="preserve"> </v>
      </c>
      <c r="Y765" s="589"/>
      <c r="Z765" s="592"/>
      <c r="AA765" s="592"/>
      <c r="AB765" s="568"/>
      <c r="AC765" s="592"/>
      <c r="AD765" s="592"/>
      <c r="AE765" s="592"/>
      <c r="AF765" s="590"/>
      <c r="AG765" s="570" t="str">
        <f>IF(AE765&lt;&gt;0,VLOOKUP(AE765,ODDS!$A$2:$C$13,3,0),"")</f>
        <v/>
      </c>
      <c r="AH765" s="570" t="str">
        <f t="shared" si="163"/>
        <v xml:space="preserve"> </v>
      </c>
      <c r="AI765" s="571" t="str">
        <f t="shared" si="161"/>
        <v xml:space="preserve"> </v>
      </c>
      <c r="AJ765" s="575"/>
      <c r="AK765" s="593"/>
    </row>
    <row r="766" spans="1:37" s="376" customFormat="1" ht="20.25" outlineLevel="2" x14ac:dyDescent="0.3">
      <c r="A766" s="447">
        <f>IF(B765&lt;&gt;0,B765,A765)</f>
        <v>64</v>
      </c>
      <c r="B766" s="557"/>
      <c r="C766" s="574"/>
      <c r="D766" s="587"/>
      <c r="E766" s="587"/>
      <c r="F766" s="560"/>
      <c r="G766" s="558"/>
      <c r="H766" s="588"/>
      <c r="I766" s="546"/>
      <c r="J766" s="589"/>
      <c r="K766" s="563" t="str">
        <f>IF(G766&lt;&gt;0,VLOOKUP(G766,'gia dat'!$A$1:$F$144,5,0)," ")</f>
        <v xml:space="preserve"> </v>
      </c>
      <c r="L766" s="563" t="str">
        <f>IF(G766&lt;&gt;0,VLOOKUP(G766,'gia dat'!$A$1:$F$144,6,0)," ")</f>
        <v xml:space="preserve"> </v>
      </c>
      <c r="M766" s="564" t="str">
        <f t="shared" si="159"/>
        <v xml:space="preserve"> </v>
      </c>
      <c r="N766" s="564" t="str">
        <f t="shared" si="160"/>
        <v xml:space="preserve"> </v>
      </c>
      <c r="O766" s="638"/>
      <c r="P766" s="664"/>
      <c r="Q766" s="564" t="str">
        <f>IF(O766&lt;&gt;0,VLOOKUP(O766,'Cây trong'!$A$2:$C$246,3,0)," ")</f>
        <v xml:space="preserve"> </v>
      </c>
      <c r="R766" s="564" t="str">
        <f t="shared" si="162"/>
        <v xml:space="preserve"> </v>
      </c>
      <c r="S766" s="638"/>
      <c r="T766" s="639"/>
      <c r="U766" s="591"/>
      <c r="V766" s="589"/>
      <c r="W766" s="564" t="str">
        <f>IF(S766&lt;&gt;0,VLOOKUP(S766,VKT!$A$2:$G$415,7,0),"")</f>
        <v/>
      </c>
      <c r="X766" s="564" t="str">
        <f t="shared" ref="X766:X833" si="169">IF(S766&lt;&gt;0,ROUND(U766*W766,-3)," ")</f>
        <v xml:space="preserve"> </v>
      </c>
      <c r="Y766" s="589"/>
      <c r="Z766" s="592"/>
      <c r="AA766" s="592"/>
      <c r="AB766" s="568"/>
      <c r="AC766" s="592"/>
      <c r="AD766" s="592"/>
      <c r="AE766" s="592"/>
      <c r="AF766" s="590"/>
      <c r="AG766" s="570" t="str">
        <f>IF(AE766&lt;&gt;0,VLOOKUP(AE766,ODDS!$A$2:$C$13,3,0),"")</f>
        <v/>
      </c>
      <c r="AH766" s="570" t="str">
        <f t="shared" si="163"/>
        <v xml:space="preserve"> </v>
      </c>
      <c r="AI766" s="571" t="str">
        <f t="shared" si="161"/>
        <v xml:space="preserve"> </v>
      </c>
      <c r="AJ766" s="593"/>
      <c r="AK766" s="593"/>
    </row>
    <row r="767" spans="1:37" s="376" customFormat="1" ht="40.5" outlineLevel="1" x14ac:dyDescent="0.25">
      <c r="A767" s="467" t="s">
        <v>2645</v>
      </c>
      <c r="B767" s="576">
        <v>65</v>
      </c>
      <c r="C767" s="574" t="s">
        <v>237</v>
      </c>
      <c r="D767" s="595"/>
      <c r="E767" s="595"/>
      <c r="F767" s="577"/>
      <c r="G767" s="574"/>
      <c r="H767" s="618">
        <f>SUBTOTAL(9,H768:H786)</f>
        <v>4189.7999999999993</v>
      </c>
      <c r="I767" s="579">
        <f>SUBTOTAL(9,I768:I773)</f>
        <v>2050.8000000000002</v>
      </c>
      <c r="J767" s="597"/>
      <c r="K767" s="581"/>
      <c r="L767" s="581"/>
      <c r="M767" s="571">
        <f>SUBTOTAL(9,M768:M786)</f>
        <v>2089760000</v>
      </c>
      <c r="N767" s="571">
        <f>SUBTOTAL(9,N768:N786)</f>
        <v>2864557000</v>
      </c>
      <c r="O767" s="673"/>
      <c r="P767" s="599">
        <f>SUBTOTAL(9,P768:P786)</f>
        <v>912</v>
      </c>
      <c r="Q767" s="571"/>
      <c r="R767" s="571">
        <f>SUBTOTAL(9,R768:R786)</f>
        <v>266125000</v>
      </c>
      <c r="S767" s="673"/>
      <c r="T767" s="682"/>
      <c r="U767" s="600">
        <f>SUBTOTAL(9,U768:U786)</f>
        <v>580.53</v>
      </c>
      <c r="V767" s="682"/>
      <c r="W767" s="571"/>
      <c r="X767" s="571">
        <f>SUBTOTAL(9,X768:X786)</f>
        <v>452703000</v>
      </c>
      <c r="Y767" s="589"/>
      <c r="Z767" s="592"/>
      <c r="AA767" s="592"/>
      <c r="AB767" s="568"/>
      <c r="AC767" s="592"/>
      <c r="AD767" s="568"/>
      <c r="AE767" s="602"/>
      <c r="AF767" s="581">
        <f>SUBTOTAL(9,AF768:AF786)</f>
        <v>0</v>
      </c>
      <c r="AG767" s="585"/>
      <c r="AH767" s="585">
        <f>SUBTOTAL(9,AH768:AH786)</f>
        <v>0</v>
      </c>
      <c r="AI767" s="571">
        <f t="shared" si="161"/>
        <v>5673145000</v>
      </c>
      <c r="AJ767" s="574"/>
      <c r="AK767" s="578"/>
    </row>
    <row r="768" spans="1:37" s="376" customFormat="1" ht="121.5" outlineLevel="2" x14ac:dyDescent="0.3">
      <c r="A768" s="447">
        <f>IF(B767&lt;&gt;0,B767,A766)</f>
        <v>65</v>
      </c>
      <c r="B768" s="557"/>
      <c r="C768" s="558" t="s">
        <v>238</v>
      </c>
      <c r="D768" s="587">
        <v>3</v>
      </c>
      <c r="E768" s="587">
        <v>86</v>
      </c>
      <c r="F768" s="560">
        <v>43</v>
      </c>
      <c r="G768" s="558" t="s">
        <v>2479</v>
      </c>
      <c r="H768" s="588">
        <f>2593.9-H773</f>
        <v>543.09999999999991</v>
      </c>
      <c r="I768" s="546" t="str">
        <f t="shared" ref="I768:I773" si="170">IF(N768&gt;0,H768,"")</f>
        <v/>
      </c>
      <c r="J768" s="589"/>
      <c r="K768" s="563">
        <f>IF(G768&lt;&gt;0,VLOOKUP(G768,'gia dat'!$A$1:$F$144,5,0)," ")</f>
        <v>465600</v>
      </c>
      <c r="L768" s="563">
        <f>IF(G768&lt;&gt;0,VLOOKUP(G768,'gia dat'!$A$1:$F$144,6,0)," ")</f>
        <v>0</v>
      </c>
      <c r="M768" s="564">
        <f t="shared" si="159"/>
        <v>252867000</v>
      </c>
      <c r="N768" s="564">
        <f t="shared" si="160"/>
        <v>0</v>
      </c>
      <c r="O768" s="638" t="s">
        <v>61</v>
      </c>
      <c r="P768" s="590">
        <v>31</v>
      </c>
      <c r="Q768" s="564">
        <f>IF(O768&lt;&gt;0,VLOOKUP(O768,'Cây trong'!$A$2:$C$246,3,0)," ")</f>
        <v>1708000</v>
      </c>
      <c r="R768" s="564">
        <f t="shared" si="162"/>
        <v>52948000</v>
      </c>
      <c r="S768" s="638" t="s">
        <v>1763</v>
      </c>
      <c r="T768" s="680" t="s">
        <v>53</v>
      </c>
      <c r="U768" s="591">
        <v>23.92</v>
      </c>
      <c r="V768" s="680"/>
      <c r="W768" s="564">
        <f>IF(S768&lt;&gt;0,VLOOKUP(S768,VKT!$A$2:$G$415,7,0),"")</f>
        <v>3550600</v>
      </c>
      <c r="X768" s="564">
        <f t="shared" si="169"/>
        <v>84930000</v>
      </c>
      <c r="Y768" s="589" t="s">
        <v>54</v>
      </c>
      <c r="Z768" s="592" t="s">
        <v>55</v>
      </c>
      <c r="AA768" s="592" t="s">
        <v>56</v>
      </c>
      <c r="AB768" s="568" t="s">
        <v>57</v>
      </c>
      <c r="AC768" s="592" t="s">
        <v>54</v>
      </c>
      <c r="AD768" s="568" t="s">
        <v>430</v>
      </c>
      <c r="AE768" s="569"/>
      <c r="AF768" s="563"/>
      <c r="AG768" s="570" t="str">
        <f>IF(AE768&lt;&gt;0,VLOOKUP(AE768,ODDS!$A$2:$C$13,3,0),"")</f>
        <v/>
      </c>
      <c r="AH768" s="570"/>
      <c r="AI768" s="571" t="str">
        <f t="shared" si="161"/>
        <v xml:space="preserve"> </v>
      </c>
      <c r="AJ768" s="558" t="s">
        <v>573</v>
      </c>
      <c r="AK768" s="586" t="s">
        <v>2771</v>
      </c>
    </row>
    <row r="769" spans="1:37" s="376" customFormat="1" ht="81" outlineLevel="2" x14ac:dyDescent="0.3">
      <c r="A769" s="447">
        <f t="shared" ref="A769:A786" si="171">IF(B768&lt;&gt;0,B768,A768)</f>
        <v>65</v>
      </c>
      <c r="B769" s="557"/>
      <c r="C769" s="574" t="s">
        <v>239</v>
      </c>
      <c r="D769" s="587"/>
      <c r="E769" s="587">
        <v>86</v>
      </c>
      <c r="F769" s="560">
        <v>64</v>
      </c>
      <c r="G769" s="558" t="s">
        <v>2480</v>
      </c>
      <c r="H769" s="588">
        <f>1459.8</f>
        <v>1459.8</v>
      </c>
      <c r="I769" s="546" t="str">
        <f t="shared" si="170"/>
        <v/>
      </c>
      <c r="J769" s="589"/>
      <c r="K769" s="563">
        <f>IF(G769&lt;&gt;0,VLOOKUP(G769,'gia dat'!$A$1:$F$144,5,0)," ")</f>
        <v>554400</v>
      </c>
      <c r="L769" s="563">
        <f>IF(G769&lt;&gt;0,VLOOKUP(G769,'gia dat'!$A$1:$F$144,6,0)," ")</f>
        <v>0</v>
      </c>
      <c r="M769" s="564">
        <f t="shared" si="159"/>
        <v>809313000</v>
      </c>
      <c r="N769" s="564">
        <f t="shared" si="160"/>
        <v>0</v>
      </c>
      <c r="O769" s="638" t="s">
        <v>64</v>
      </c>
      <c r="P769" s="590">
        <v>9</v>
      </c>
      <c r="Q769" s="564">
        <f>IF(O769&lt;&gt;0,VLOOKUP(O769,'Cây trong'!$A$2:$C$246,3,0)," ")</f>
        <v>1122000</v>
      </c>
      <c r="R769" s="564">
        <f t="shared" si="162"/>
        <v>10098000</v>
      </c>
      <c r="S769" s="638" t="s">
        <v>1763</v>
      </c>
      <c r="T769" s="680" t="s">
        <v>53</v>
      </c>
      <c r="U769" s="591">
        <v>23.92</v>
      </c>
      <c r="V769" s="680"/>
      <c r="W769" s="564">
        <f>IF(S769&lt;&gt;0,VLOOKUP(S769,VKT!$A$2:$G$415,7,0),"")</f>
        <v>3550600</v>
      </c>
      <c r="X769" s="564">
        <f t="shared" si="169"/>
        <v>84930000</v>
      </c>
      <c r="Y769" s="589" t="s">
        <v>54</v>
      </c>
      <c r="Z769" s="592" t="s">
        <v>55</v>
      </c>
      <c r="AA769" s="592" t="s">
        <v>56</v>
      </c>
      <c r="AB769" s="568" t="s">
        <v>57</v>
      </c>
      <c r="AC769" s="592" t="s">
        <v>54</v>
      </c>
      <c r="AD769" s="568" t="s">
        <v>430</v>
      </c>
      <c r="AE769" s="568"/>
      <c r="AF769" s="563"/>
      <c r="AG769" s="570" t="str">
        <f>IF(AE769&lt;&gt;0,VLOOKUP(AE769,ODDS!$A$2:$C$13,3,0),"")</f>
        <v/>
      </c>
      <c r="AH769" s="570" t="str">
        <f t="shared" si="163"/>
        <v xml:space="preserve"> </v>
      </c>
      <c r="AI769" s="571" t="str">
        <f t="shared" si="161"/>
        <v xml:space="preserve"> </v>
      </c>
      <c r="AJ769" s="558" t="s">
        <v>575</v>
      </c>
      <c r="AK769" s="558" t="s">
        <v>2448</v>
      </c>
    </row>
    <row r="770" spans="1:37" s="376" customFormat="1" ht="121.5" outlineLevel="2" x14ac:dyDescent="0.3">
      <c r="A770" s="447">
        <f t="shared" si="171"/>
        <v>65</v>
      </c>
      <c r="B770" s="557"/>
      <c r="C770" s="558" t="s">
        <v>240</v>
      </c>
      <c r="D770" s="587"/>
      <c r="E770" s="587"/>
      <c r="F770" s="560"/>
      <c r="G770" s="558" t="s">
        <v>2481</v>
      </c>
      <c r="H770" s="588">
        <v>20.5</v>
      </c>
      <c r="I770" s="546" t="str">
        <f t="shared" si="170"/>
        <v/>
      </c>
      <c r="J770" s="589"/>
      <c r="K770" s="563">
        <f>IF(G770&lt;&gt;0,VLOOKUP(G770,'gia dat'!$A$1:$F$144,5,0)," ")</f>
        <v>540540</v>
      </c>
      <c r="L770" s="563">
        <f>IF(G770&lt;&gt;0,VLOOKUP(G770,'gia dat'!$A$1:$F$144,6,0)," ")</f>
        <v>0</v>
      </c>
      <c r="M770" s="564">
        <f t="shared" si="159"/>
        <v>11081000</v>
      </c>
      <c r="N770" s="564">
        <f t="shared" si="160"/>
        <v>0</v>
      </c>
      <c r="O770" s="638" t="s">
        <v>67</v>
      </c>
      <c r="P770" s="590">
        <v>11</v>
      </c>
      <c r="Q770" s="564">
        <f>IF(O770&lt;&gt;0,VLOOKUP(O770,'Cây trong'!$A$2:$C$246,3,0)," ")</f>
        <v>494000</v>
      </c>
      <c r="R770" s="564">
        <f t="shared" si="162"/>
        <v>5434000</v>
      </c>
      <c r="S770" s="638" t="s">
        <v>1864</v>
      </c>
      <c r="T770" s="680" t="s">
        <v>53</v>
      </c>
      <c r="U770" s="591">
        <v>2.6</v>
      </c>
      <c r="V770" s="680"/>
      <c r="W770" s="564">
        <f>IF(S770&lt;&gt;0,VLOOKUP(S770,VKT!$A$2:$G$415,7,0),"")</f>
        <v>9028527</v>
      </c>
      <c r="X770" s="564">
        <f t="shared" si="169"/>
        <v>23474000</v>
      </c>
      <c r="Y770" s="589"/>
      <c r="Z770" s="592"/>
      <c r="AA770" s="592" t="s">
        <v>56</v>
      </c>
      <c r="AB770" s="568" t="s">
        <v>57</v>
      </c>
      <c r="AC770" s="592" t="s">
        <v>54</v>
      </c>
      <c r="AD770" s="592"/>
      <c r="AE770" s="592"/>
      <c r="AF770" s="590"/>
      <c r="AG770" s="570" t="str">
        <f>IF(AE770&lt;&gt;0,VLOOKUP(AE770,ODDS!$A$2:$C$13,3,0),"")</f>
        <v/>
      </c>
      <c r="AH770" s="570" t="str">
        <f t="shared" si="163"/>
        <v xml:space="preserve"> </v>
      </c>
      <c r="AI770" s="571" t="str">
        <f t="shared" si="161"/>
        <v xml:space="preserve"> </v>
      </c>
      <c r="AJ770" s="558" t="s">
        <v>577</v>
      </c>
      <c r="AK770" s="558" t="s">
        <v>2450</v>
      </c>
    </row>
    <row r="771" spans="1:37" s="376" customFormat="1" ht="101.25" outlineLevel="2" x14ac:dyDescent="0.3">
      <c r="A771" s="447">
        <f t="shared" si="171"/>
        <v>65</v>
      </c>
      <c r="B771" s="557"/>
      <c r="C771" s="628" t="s">
        <v>700</v>
      </c>
      <c r="D771" s="587"/>
      <c r="E771" s="587"/>
      <c r="F771" s="560"/>
      <c r="G771" s="558" t="s">
        <v>2482</v>
      </c>
      <c r="H771" s="588">
        <v>27.5</v>
      </c>
      <c r="I771" s="546" t="str">
        <f t="shared" si="170"/>
        <v/>
      </c>
      <c r="J771" s="589"/>
      <c r="K771" s="563">
        <f>IF(G771&lt;&gt;0,VLOOKUP(G771,'gia dat'!$A$1:$F$144,5,0)," ")</f>
        <v>465600</v>
      </c>
      <c r="L771" s="563">
        <f>IF(G771&lt;&gt;0,VLOOKUP(G771,'gia dat'!$A$1:$F$144,6,0)," ")</f>
        <v>0</v>
      </c>
      <c r="M771" s="564">
        <f t="shared" si="159"/>
        <v>12804000</v>
      </c>
      <c r="N771" s="564">
        <f t="shared" si="160"/>
        <v>0</v>
      </c>
      <c r="O771" s="638" t="s">
        <v>72</v>
      </c>
      <c r="P771" s="590">
        <v>243</v>
      </c>
      <c r="Q771" s="564">
        <f>IF(O771&lt;&gt;0,VLOOKUP(O771,'Cây trong'!$A$2:$C$246,3,0)," ")</f>
        <v>132000</v>
      </c>
      <c r="R771" s="564">
        <f t="shared" si="162"/>
        <v>32076000</v>
      </c>
      <c r="S771" s="638" t="s">
        <v>1864</v>
      </c>
      <c r="T771" s="680" t="s">
        <v>53</v>
      </c>
      <c r="U771" s="591">
        <v>2.6</v>
      </c>
      <c r="V771" s="680"/>
      <c r="W771" s="564">
        <f>IF(S771&lt;&gt;0,VLOOKUP(S771,VKT!$A$2:$G$415,7,0),"")</f>
        <v>9028527</v>
      </c>
      <c r="X771" s="564">
        <f t="shared" si="169"/>
        <v>23474000</v>
      </c>
      <c r="Y771" s="589"/>
      <c r="Z771" s="592"/>
      <c r="AA771" s="592" t="s">
        <v>56</v>
      </c>
      <c r="AB771" s="568" t="s">
        <v>57</v>
      </c>
      <c r="AC771" s="592" t="s">
        <v>139</v>
      </c>
      <c r="AD771" s="592"/>
      <c r="AE771" s="592"/>
      <c r="AF771" s="590"/>
      <c r="AG771" s="570" t="str">
        <f>IF(AE771&lt;&gt;0,VLOOKUP(AE771,ODDS!$A$2:$C$13,3,0),"")</f>
        <v/>
      </c>
      <c r="AH771" s="570" t="str">
        <f t="shared" si="163"/>
        <v xml:space="preserve"> </v>
      </c>
      <c r="AI771" s="571" t="str">
        <f t="shared" si="161"/>
        <v xml:space="preserve"> </v>
      </c>
      <c r="AJ771" s="608" t="s">
        <v>111</v>
      </c>
      <c r="AK771" s="558" t="s">
        <v>2449</v>
      </c>
    </row>
    <row r="772" spans="1:37" s="376" customFormat="1" ht="101.25" outlineLevel="2" x14ac:dyDescent="0.3">
      <c r="A772" s="447">
        <f t="shared" si="171"/>
        <v>65</v>
      </c>
      <c r="B772" s="557"/>
      <c r="C772" s="558"/>
      <c r="D772" s="587"/>
      <c r="E772" s="587"/>
      <c r="F772" s="560"/>
      <c r="G772" s="558" t="s">
        <v>2483</v>
      </c>
      <c r="H772" s="588">
        <v>88.1</v>
      </c>
      <c r="I772" s="546" t="str">
        <f t="shared" si="170"/>
        <v/>
      </c>
      <c r="J772" s="589"/>
      <c r="K772" s="563">
        <f>IF(G772&lt;&gt;0,VLOOKUP(G772,'gia dat'!$A$1:$F$144,5,0)," ")</f>
        <v>554400</v>
      </c>
      <c r="L772" s="563">
        <f>IF(G772&lt;&gt;0,VLOOKUP(G772,'gia dat'!$A$1:$F$144,6,0)," ")</f>
        <v>0</v>
      </c>
      <c r="M772" s="564">
        <f t="shared" si="159"/>
        <v>48843000</v>
      </c>
      <c r="N772" s="564">
        <f t="shared" si="160"/>
        <v>0</v>
      </c>
      <c r="O772" s="638" t="s">
        <v>73</v>
      </c>
      <c r="P772" s="590">
        <v>312</v>
      </c>
      <c r="Q772" s="564">
        <f>IF(O772&lt;&gt;0,VLOOKUP(O772,'Cây trong'!$A$2:$C$246,3,0)," ")</f>
        <v>76000</v>
      </c>
      <c r="R772" s="564">
        <f t="shared" si="162"/>
        <v>23712000</v>
      </c>
      <c r="S772" s="638" t="s">
        <v>1844</v>
      </c>
      <c r="T772" s="680" t="s">
        <v>53</v>
      </c>
      <c r="U772" s="591">
        <v>21.42</v>
      </c>
      <c r="V772" s="680"/>
      <c r="W772" s="564">
        <f>IF(S772&lt;&gt;0,VLOOKUP(S772,VKT!$A$2:$G$415,7,0),"")</f>
        <v>770070</v>
      </c>
      <c r="X772" s="564">
        <f t="shared" si="169"/>
        <v>16495000</v>
      </c>
      <c r="Y772" s="589"/>
      <c r="Z772" s="592" t="s">
        <v>55</v>
      </c>
      <c r="AA772" s="592" t="s">
        <v>141</v>
      </c>
      <c r="AB772" s="568"/>
      <c r="AC772" s="592" t="s">
        <v>66</v>
      </c>
      <c r="AD772" s="592"/>
      <c r="AE772" s="592"/>
      <c r="AF772" s="590"/>
      <c r="AG772" s="570" t="str">
        <f>IF(AE772&lt;&gt;0,VLOOKUP(AE772,ODDS!$A$2:$C$13,3,0),"")</f>
        <v/>
      </c>
      <c r="AH772" s="570" t="str">
        <f t="shared" si="163"/>
        <v xml:space="preserve"> </v>
      </c>
      <c r="AI772" s="571" t="str">
        <f t="shared" si="161"/>
        <v xml:space="preserve"> </v>
      </c>
      <c r="AJ772" s="558" t="s">
        <v>580</v>
      </c>
      <c r="AK772" s="558" t="s">
        <v>2800</v>
      </c>
    </row>
    <row r="773" spans="1:37" s="376" customFormat="1" ht="121.5" outlineLevel="2" x14ac:dyDescent="0.3">
      <c r="A773" s="447">
        <f t="shared" si="171"/>
        <v>65</v>
      </c>
      <c r="B773" s="557"/>
      <c r="C773" s="558"/>
      <c r="D773" s="587"/>
      <c r="E773" s="587"/>
      <c r="F773" s="560"/>
      <c r="G773" s="558" t="s">
        <v>2484</v>
      </c>
      <c r="H773" s="588">
        <v>2050.8000000000002</v>
      </c>
      <c r="I773" s="546">
        <f t="shared" si="170"/>
        <v>2050.8000000000002</v>
      </c>
      <c r="J773" s="589"/>
      <c r="K773" s="563">
        <f>IF(G773&lt;&gt;0,VLOOKUP(G773,'gia dat'!$A$1:$F$144,5,0)," ")</f>
        <v>465600</v>
      </c>
      <c r="L773" s="563">
        <f>IF(G773&lt;&gt;0,VLOOKUP(G773,'gia dat'!$A$1:$F$144,6,0)," ")</f>
        <v>1396800</v>
      </c>
      <c r="M773" s="564">
        <f t="shared" si="159"/>
        <v>954852000</v>
      </c>
      <c r="N773" s="564">
        <f t="shared" si="160"/>
        <v>2864557000</v>
      </c>
      <c r="O773" s="638" t="s">
        <v>75</v>
      </c>
      <c r="P773" s="590">
        <v>198</v>
      </c>
      <c r="Q773" s="564">
        <f>IF(O773&lt;&gt;0,VLOOKUP(O773,'Cây trong'!$A$2:$C$246,3,0)," ")</f>
        <v>34000</v>
      </c>
      <c r="R773" s="564">
        <f t="shared" si="162"/>
        <v>6732000</v>
      </c>
      <c r="S773" s="586" t="s">
        <v>1767</v>
      </c>
      <c r="T773" s="680" t="s">
        <v>53</v>
      </c>
      <c r="U773" s="591">
        <v>15.3</v>
      </c>
      <c r="V773" s="680"/>
      <c r="W773" s="564">
        <f>IF(S773&lt;&gt;0,VLOOKUP(S773,VKT!$A$2:$G$415,7,0),"")</f>
        <v>0</v>
      </c>
      <c r="X773" s="564">
        <f t="shared" si="169"/>
        <v>0</v>
      </c>
      <c r="Y773" s="589"/>
      <c r="Z773" s="592"/>
      <c r="AA773" s="592"/>
      <c r="AB773" s="568"/>
      <c r="AC773" s="592"/>
      <c r="AD773" s="592"/>
      <c r="AE773" s="592"/>
      <c r="AF773" s="590"/>
      <c r="AG773" s="570" t="str">
        <f>IF(AE773&lt;&gt;0,VLOOKUP(AE773,ODDS!$A$2:$C$13,3,0),"")</f>
        <v/>
      </c>
      <c r="AH773" s="570" t="str">
        <f t="shared" si="163"/>
        <v xml:space="preserve"> </v>
      </c>
      <c r="AI773" s="571" t="str">
        <f t="shared" si="161"/>
        <v xml:space="preserve"> </v>
      </c>
      <c r="AJ773" s="558" t="s">
        <v>2048</v>
      </c>
      <c r="AK773" s="558"/>
    </row>
    <row r="774" spans="1:37" s="376" customFormat="1" ht="81" outlineLevel="2" x14ac:dyDescent="0.3">
      <c r="A774" s="447">
        <f t="shared" si="171"/>
        <v>65</v>
      </c>
      <c r="B774" s="557"/>
      <c r="C774" s="558"/>
      <c r="D774" s="587"/>
      <c r="E774" s="587"/>
      <c r="F774" s="560"/>
      <c r="G774" s="558"/>
      <c r="H774" s="588"/>
      <c r="I774" s="546"/>
      <c r="J774" s="589"/>
      <c r="K774" s="563" t="str">
        <f>IF(G774&lt;&gt;0,VLOOKUP(G774,'gia dat'!$A$1:$F$144,5,0)," ")</f>
        <v xml:space="preserve"> </v>
      </c>
      <c r="L774" s="563" t="str">
        <f>IF(G774&lt;&gt;0,VLOOKUP(G774,'gia dat'!$A$1:$F$144,6,0)," ")</f>
        <v xml:space="preserve"> </v>
      </c>
      <c r="M774" s="564" t="str">
        <f t="shared" si="159"/>
        <v xml:space="preserve"> </v>
      </c>
      <c r="N774" s="564" t="str">
        <f t="shared" si="160"/>
        <v xml:space="preserve"> </v>
      </c>
      <c r="O774" s="558" t="s">
        <v>183</v>
      </c>
      <c r="P774" s="590">
        <v>8</v>
      </c>
      <c r="Q774" s="564">
        <f>IF(O774&lt;&gt;0,VLOOKUP(O774,'Cây trong'!$A$2:$C$246,3,0)," ")</f>
        <v>2236000</v>
      </c>
      <c r="R774" s="564">
        <f t="shared" si="162"/>
        <v>17888000</v>
      </c>
      <c r="S774" s="566" t="s">
        <v>1768</v>
      </c>
      <c r="T774" s="680" t="s">
        <v>53</v>
      </c>
      <c r="U774" s="591">
        <v>15.3</v>
      </c>
      <c r="V774" s="589"/>
      <c r="W774" s="564">
        <f>IF(S774&lt;&gt;0,VLOOKUP(S774,VKT!$A$2:$G$415,7,0),"")</f>
        <v>238288</v>
      </c>
      <c r="X774" s="564">
        <f t="shared" si="169"/>
        <v>3646000</v>
      </c>
      <c r="Y774" s="589"/>
      <c r="Z774" s="592"/>
      <c r="AA774" s="592"/>
      <c r="AB774" s="568"/>
      <c r="AC774" s="592"/>
      <c r="AD774" s="592"/>
      <c r="AE774" s="592"/>
      <c r="AF774" s="590"/>
      <c r="AG774" s="570" t="str">
        <f>IF(AE774&lt;&gt;0,VLOOKUP(AE774,ODDS!$A$2:$C$13,3,0),"")</f>
        <v/>
      </c>
      <c r="AH774" s="570" t="str">
        <f t="shared" si="163"/>
        <v xml:space="preserve"> </v>
      </c>
      <c r="AI774" s="571" t="str">
        <f t="shared" si="161"/>
        <v xml:space="preserve"> </v>
      </c>
      <c r="AJ774" s="558" t="s">
        <v>2213</v>
      </c>
      <c r="AK774" s="558"/>
    </row>
    <row r="775" spans="1:37" s="376" customFormat="1" ht="40.5" outlineLevel="2" x14ac:dyDescent="0.3">
      <c r="A775" s="447">
        <f t="shared" si="171"/>
        <v>65</v>
      </c>
      <c r="B775" s="557"/>
      <c r="C775" s="636"/>
      <c r="D775" s="587"/>
      <c r="E775" s="587"/>
      <c r="F775" s="560"/>
      <c r="G775" s="558"/>
      <c r="H775" s="588"/>
      <c r="I775" s="546"/>
      <c r="J775" s="589"/>
      <c r="K775" s="563" t="str">
        <f>IF(G775&lt;&gt;0,VLOOKUP(G775,'gia dat'!$A$1:$F$144,5,0)," ")</f>
        <v xml:space="preserve"> </v>
      </c>
      <c r="L775" s="563" t="str">
        <f>IF(G775&lt;&gt;0,VLOOKUP(G775,'gia dat'!$A$1:$F$144,6,0)," ")</f>
        <v xml:space="preserve"> </v>
      </c>
      <c r="M775" s="564" t="str">
        <f t="shared" si="159"/>
        <v xml:space="preserve"> </v>
      </c>
      <c r="N775" s="564" t="str">
        <f t="shared" si="160"/>
        <v xml:space="preserve"> </v>
      </c>
      <c r="O775" s="558" t="s">
        <v>70</v>
      </c>
      <c r="P775" s="590">
        <v>20</v>
      </c>
      <c r="Q775" s="564">
        <f>IF(O775&lt;&gt;0,VLOOKUP(O775,'Cây trong'!$A$2:$C$246,3,0)," ")</f>
        <v>1632000</v>
      </c>
      <c r="R775" s="564">
        <f t="shared" si="162"/>
        <v>32640000</v>
      </c>
      <c r="S775" s="586" t="s">
        <v>1844</v>
      </c>
      <c r="T775" s="680" t="s">
        <v>53</v>
      </c>
      <c r="U775" s="591">
        <v>7.28</v>
      </c>
      <c r="V775" s="589"/>
      <c r="W775" s="564">
        <f>IF(S775&lt;&gt;0,VLOOKUP(S775,VKT!$A$2:$G$415,7,0),"")</f>
        <v>770070</v>
      </c>
      <c r="X775" s="564">
        <f t="shared" si="169"/>
        <v>5606000</v>
      </c>
      <c r="Y775" s="589"/>
      <c r="Z775" s="592"/>
      <c r="AA775" s="592"/>
      <c r="AB775" s="568"/>
      <c r="AC775" s="592"/>
      <c r="AD775" s="592"/>
      <c r="AE775" s="592"/>
      <c r="AF775" s="590"/>
      <c r="AG775" s="570" t="str">
        <f>IF(AE775&lt;&gt;0,VLOOKUP(AE775,ODDS!$A$2:$C$13,3,0),"")</f>
        <v/>
      </c>
      <c r="AH775" s="570" t="str">
        <f t="shared" si="163"/>
        <v xml:space="preserve"> </v>
      </c>
      <c r="AI775" s="571" t="str">
        <f t="shared" si="161"/>
        <v xml:space="preserve"> </v>
      </c>
      <c r="AJ775" s="575"/>
      <c r="AK775" s="593"/>
    </row>
    <row r="776" spans="1:37" s="376" customFormat="1" ht="60.75" outlineLevel="2" x14ac:dyDescent="0.3">
      <c r="A776" s="447">
        <f t="shared" si="171"/>
        <v>65</v>
      </c>
      <c r="B776" s="557"/>
      <c r="C776" s="637"/>
      <c r="D776" s="587"/>
      <c r="E776" s="587"/>
      <c r="F776" s="560"/>
      <c r="G776" s="558"/>
      <c r="H776" s="588"/>
      <c r="I776" s="546"/>
      <c r="J776" s="589"/>
      <c r="K776" s="563" t="str">
        <f>IF(G776&lt;&gt;0,VLOOKUP(G776,'gia dat'!$A$1:$F$144,5,0)," ")</f>
        <v xml:space="preserve"> </v>
      </c>
      <c r="L776" s="563" t="str">
        <f>IF(G776&lt;&gt;0,VLOOKUP(G776,'gia dat'!$A$1:$F$144,6,0)," ")</f>
        <v xml:space="preserve"> </v>
      </c>
      <c r="M776" s="564" t="str">
        <f t="shared" si="159"/>
        <v xml:space="preserve"> </v>
      </c>
      <c r="N776" s="564" t="str">
        <f t="shared" si="160"/>
        <v xml:space="preserve"> </v>
      </c>
      <c r="O776" s="558" t="s">
        <v>133</v>
      </c>
      <c r="P776" s="590">
        <v>5</v>
      </c>
      <c r="Q776" s="564">
        <f>IF(O776&lt;&gt;0,VLOOKUP(O776,'Cây trong'!$A$2:$C$246,3,0)," ")</f>
        <v>758000</v>
      </c>
      <c r="R776" s="564">
        <f t="shared" si="162"/>
        <v>3790000</v>
      </c>
      <c r="S776" s="566" t="s">
        <v>1768</v>
      </c>
      <c r="T776" s="680" t="s">
        <v>53</v>
      </c>
      <c r="U776" s="591">
        <v>17.5</v>
      </c>
      <c r="V776" s="589"/>
      <c r="W776" s="564">
        <f>IF(S776&lt;&gt;0,VLOOKUP(S776,VKT!$A$2:$G$415,7,0),"")</f>
        <v>238288</v>
      </c>
      <c r="X776" s="564">
        <f t="shared" si="169"/>
        <v>4170000</v>
      </c>
      <c r="Y776" s="639"/>
      <c r="Z776" s="680"/>
      <c r="AA776" s="652"/>
      <c r="AB776" s="568"/>
      <c r="AC776" s="592"/>
      <c r="AD776" s="592"/>
      <c r="AE776" s="592"/>
      <c r="AF776" s="590"/>
      <c r="AG776" s="570" t="str">
        <f>IF(AE776&lt;&gt;0,VLOOKUP(AE776,ODDS!$A$2:$C$13,3,0),"")</f>
        <v/>
      </c>
      <c r="AH776" s="570" t="str">
        <f t="shared" si="163"/>
        <v xml:space="preserve"> </v>
      </c>
      <c r="AI776" s="571" t="str">
        <f t="shared" si="161"/>
        <v xml:space="preserve"> </v>
      </c>
      <c r="AJ776" s="593"/>
      <c r="AK776" s="593"/>
    </row>
    <row r="777" spans="1:37" s="376" customFormat="1" ht="81" outlineLevel="2" x14ac:dyDescent="0.3">
      <c r="A777" s="447">
        <f t="shared" si="171"/>
        <v>65</v>
      </c>
      <c r="B777" s="557"/>
      <c r="C777" s="637"/>
      <c r="D777" s="587"/>
      <c r="E777" s="587"/>
      <c r="F777" s="560"/>
      <c r="G777" s="558"/>
      <c r="H777" s="588"/>
      <c r="I777" s="546"/>
      <c r="J777" s="589"/>
      <c r="K777" s="563" t="str">
        <f>IF(G777&lt;&gt;0,VLOOKUP(G777,'gia dat'!$A$1:$F$144,5,0)," ")</f>
        <v xml:space="preserve"> </v>
      </c>
      <c r="L777" s="563" t="str">
        <f>IF(G777&lt;&gt;0,VLOOKUP(G777,'gia dat'!$A$1:$F$144,6,0)," ")</f>
        <v xml:space="preserve"> </v>
      </c>
      <c r="M777" s="564" t="str">
        <f t="shared" si="159"/>
        <v xml:space="preserve"> </v>
      </c>
      <c r="N777" s="564" t="str">
        <f t="shared" si="160"/>
        <v xml:space="preserve"> </v>
      </c>
      <c r="O777" s="558" t="s">
        <v>145</v>
      </c>
      <c r="P777" s="590">
        <v>5</v>
      </c>
      <c r="Q777" s="564">
        <f>IF(O777&lt;&gt;0,VLOOKUP(O777,'Cây trong'!$A$2:$C$246,3,0)," ")</f>
        <v>4240000</v>
      </c>
      <c r="R777" s="564">
        <f t="shared" si="162"/>
        <v>21200000</v>
      </c>
      <c r="S777" s="566" t="s">
        <v>1865</v>
      </c>
      <c r="T777" s="680" t="s">
        <v>53</v>
      </c>
      <c r="U777" s="591">
        <v>371.04</v>
      </c>
      <c r="V777" s="589"/>
      <c r="W777" s="564">
        <f>IF(S777&lt;&gt;0,VLOOKUP(S777,VKT!$A$2:$G$415,7,0),"")</f>
        <v>496651</v>
      </c>
      <c r="X777" s="564">
        <f t="shared" si="169"/>
        <v>184277000</v>
      </c>
      <c r="Y777" s="562"/>
      <c r="Z777" s="680"/>
      <c r="AA777" s="614"/>
      <c r="AB777" s="568"/>
      <c r="AC777" s="592"/>
      <c r="AD777" s="592"/>
      <c r="AE777" s="592"/>
      <c r="AF777" s="590"/>
      <c r="AG777" s="570" t="str">
        <f>IF(AE777&lt;&gt;0,VLOOKUP(AE777,ODDS!$A$2:$C$13,3,0),"")</f>
        <v/>
      </c>
      <c r="AH777" s="570" t="str">
        <f t="shared" si="163"/>
        <v xml:space="preserve"> </v>
      </c>
      <c r="AI777" s="571" t="str">
        <f t="shared" ref="AI777:AI840" si="172">IF(B777&lt;&gt;0,M777+N777+R777+X777+AH777," ")</f>
        <v xml:space="preserve"> </v>
      </c>
      <c r="AJ777" s="593"/>
      <c r="AK777" s="593"/>
    </row>
    <row r="778" spans="1:37" s="376" customFormat="1" ht="60.75" outlineLevel="2" x14ac:dyDescent="0.3">
      <c r="A778" s="447">
        <f t="shared" si="171"/>
        <v>65</v>
      </c>
      <c r="B778" s="557"/>
      <c r="C778" s="558"/>
      <c r="D778" s="587"/>
      <c r="E778" s="587"/>
      <c r="F778" s="560"/>
      <c r="G778" s="558"/>
      <c r="H778" s="588"/>
      <c r="I778" s="546"/>
      <c r="J778" s="589"/>
      <c r="K778" s="563" t="str">
        <f>IF(G778&lt;&gt;0,VLOOKUP(G778,'gia dat'!$A$1:$F$144,5,0)," ")</f>
        <v xml:space="preserve"> </v>
      </c>
      <c r="L778" s="563" t="str">
        <f>IF(G778&lt;&gt;0,VLOOKUP(G778,'gia dat'!$A$1:$F$144,6,0)," ")</f>
        <v xml:space="preserve"> </v>
      </c>
      <c r="M778" s="564" t="str">
        <f t="shared" ref="M778:M845" si="173">IF(H778&lt;&gt;0,ROUND(H778*K778,-3)," ")</f>
        <v xml:space="preserve"> </v>
      </c>
      <c r="N778" s="564" t="str">
        <f t="shared" ref="N778:N845" si="174">IF(H778&lt;&gt;0,ROUND(H778*L778,-3)," ")</f>
        <v xml:space="preserve"> </v>
      </c>
      <c r="O778" s="558" t="s">
        <v>77</v>
      </c>
      <c r="P778" s="590">
        <v>15</v>
      </c>
      <c r="Q778" s="564">
        <f>IF(O778&lt;&gt;0,VLOOKUP(O778,'Cây trong'!$A$2:$C$246,3,0)," ")</f>
        <v>3064000</v>
      </c>
      <c r="R778" s="564">
        <f t="shared" si="162"/>
        <v>45960000</v>
      </c>
      <c r="S778" s="566" t="s">
        <v>1866</v>
      </c>
      <c r="T778" s="680" t="s">
        <v>53</v>
      </c>
      <c r="U778" s="591">
        <v>17.64</v>
      </c>
      <c r="V778" s="589"/>
      <c r="W778" s="564">
        <f>IF(S778&lt;&gt;0,VLOOKUP(S778,VKT!$A$2:$G$415,7,0),"")</f>
        <v>0</v>
      </c>
      <c r="X778" s="564">
        <f t="shared" si="169"/>
        <v>0</v>
      </c>
      <c r="Y778" s="562"/>
      <c r="Z778" s="680"/>
      <c r="AA778" s="614"/>
      <c r="AB778" s="568"/>
      <c r="AC778" s="592"/>
      <c r="AD778" s="592"/>
      <c r="AE778" s="592"/>
      <c r="AF778" s="590"/>
      <c r="AG778" s="570" t="str">
        <f>IF(AE778&lt;&gt;0,VLOOKUP(AE778,ODDS!$A$2:$C$13,3,0),"")</f>
        <v/>
      </c>
      <c r="AH778" s="570" t="str">
        <f t="shared" si="163"/>
        <v xml:space="preserve"> </v>
      </c>
      <c r="AI778" s="571" t="str">
        <f t="shared" si="172"/>
        <v xml:space="preserve"> </v>
      </c>
      <c r="AJ778" s="593"/>
      <c r="AK778" s="593"/>
    </row>
    <row r="779" spans="1:37" s="376" customFormat="1" ht="40.5" outlineLevel="2" x14ac:dyDescent="0.3">
      <c r="A779" s="447">
        <f t="shared" si="171"/>
        <v>65</v>
      </c>
      <c r="B779" s="557"/>
      <c r="C779" s="558"/>
      <c r="D779" s="587"/>
      <c r="E779" s="587"/>
      <c r="F779" s="560"/>
      <c r="G779" s="558"/>
      <c r="H779" s="588"/>
      <c r="I779" s="546"/>
      <c r="J779" s="589"/>
      <c r="K779" s="563" t="str">
        <f>IF(G779&lt;&gt;0,VLOOKUP(G779,'gia dat'!$A$1:$F$144,5,0)," ")</f>
        <v xml:space="preserve"> </v>
      </c>
      <c r="L779" s="563" t="str">
        <f>IF(G779&lt;&gt;0,VLOOKUP(G779,'gia dat'!$A$1:$F$144,6,0)," ")</f>
        <v xml:space="preserve"> </v>
      </c>
      <c r="M779" s="564" t="str">
        <f t="shared" si="173"/>
        <v xml:space="preserve"> </v>
      </c>
      <c r="N779" s="564" t="str">
        <f t="shared" si="174"/>
        <v xml:space="preserve"> </v>
      </c>
      <c r="O779" s="558" t="s">
        <v>79</v>
      </c>
      <c r="P779" s="590">
        <v>13</v>
      </c>
      <c r="Q779" s="564">
        <f>IF(O779&lt;&gt;0,VLOOKUP(O779,'Cây trong'!$A$2:$C$246,3,0)," ")</f>
        <v>1035000</v>
      </c>
      <c r="R779" s="564">
        <f t="shared" si="162"/>
        <v>13455000</v>
      </c>
      <c r="S779" s="586" t="s">
        <v>1844</v>
      </c>
      <c r="T779" s="680" t="s">
        <v>53</v>
      </c>
      <c r="U779" s="591">
        <v>6.4</v>
      </c>
      <c r="V779" s="589"/>
      <c r="W779" s="564">
        <f>IF(S779&lt;&gt;0,VLOOKUP(S779,VKT!$A$2:$G$415,7,0),"")</f>
        <v>770070</v>
      </c>
      <c r="X779" s="564">
        <f t="shared" si="169"/>
        <v>4928000</v>
      </c>
      <c r="Y779" s="562"/>
      <c r="Z779" s="680"/>
      <c r="AA779" s="614"/>
      <c r="AB779" s="568"/>
      <c r="AC779" s="592"/>
      <c r="AD779" s="592"/>
      <c r="AE779" s="592"/>
      <c r="AF779" s="590"/>
      <c r="AG779" s="570" t="str">
        <f>IF(AE779&lt;&gt;0,VLOOKUP(AE779,ODDS!$A$2:$C$13,3,0),"")</f>
        <v/>
      </c>
      <c r="AH779" s="570" t="str">
        <f t="shared" si="163"/>
        <v xml:space="preserve"> </v>
      </c>
      <c r="AI779" s="571" t="str">
        <f t="shared" si="172"/>
        <v xml:space="preserve"> </v>
      </c>
      <c r="AJ779" s="593"/>
      <c r="AK779" s="593"/>
    </row>
    <row r="780" spans="1:37" s="376" customFormat="1" ht="81" outlineLevel="2" x14ac:dyDescent="0.3">
      <c r="A780" s="447">
        <f t="shared" si="171"/>
        <v>65</v>
      </c>
      <c r="B780" s="557"/>
      <c r="C780" s="558"/>
      <c r="D780" s="587"/>
      <c r="E780" s="587"/>
      <c r="F780" s="560"/>
      <c r="G780" s="558"/>
      <c r="H780" s="588"/>
      <c r="I780" s="546"/>
      <c r="J780" s="589"/>
      <c r="K780" s="563" t="str">
        <f>IF(G780&lt;&gt;0,VLOOKUP(G780,'gia dat'!$A$1:$F$144,5,0)," ")</f>
        <v xml:space="preserve"> </v>
      </c>
      <c r="L780" s="563" t="str">
        <f>IF(G780&lt;&gt;0,VLOOKUP(G780,'gia dat'!$A$1:$F$144,6,0)," ")</f>
        <v xml:space="preserve"> </v>
      </c>
      <c r="M780" s="564" t="str">
        <f t="shared" si="173"/>
        <v xml:space="preserve"> </v>
      </c>
      <c r="N780" s="564" t="str">
        <f t="shared" si="174"/>
        <v xml:space="preserve"> </v>
      </c>
      <c r="O780" s="558" t="s">
        <v>410</v>
      </c>
      <c r="P780" s="590">
        <v>3</v>
      </c>
      <c r="Q780" s="564">
        <f>IF(O780&lt;&gt;0,VLOOKUP(O780,'Cây trong'!$A$2:$C$246,3,0)," ")</f>
        <v>0</v>
      </c>
      <c r="R780" s="564">
        <f t="shared" si="162"/>
        <v>0</v>
      </c>
      <c r="S780" s="566" t="s">
        <v>1867</v>
      </c>
      <c r="T780" s="680" t="s">
        <v>53</v>
      </c>
      <c r="U780" s="591">
        <v>7.77</v>
      </c>
      <c r="V780" s="589"/>
      <c r="W780" s="564">
        <f>IF(S780&lt;&gt;0,VLOOKUP(S780,VKT!$A$2:$G$415,7,0),"")</f>
        <v>1067915</v>
      </c>
      <c r="X780" s="564">
        <f t="shared" si="169"/>
        <v>8298000</v>
      </c>
      <c r="Y780" s="562"/>
      <c r="Z780" s="680"/>
      <c r="AA780" s="614"/>
      <c r="AB780" s="568"/>
      <c r="AC780" s="592"/>
      <c r="AD780" s="592"/>
      <c r="AE780" s="592"/>
      <c r="AF780" s="590"/>
      <c r="AG780" s="570" t="str">
        <f>IF(AE780&lt;&gt;0,VLOOKUP(AE780,ODDS!$A$2:$C$13,3,0),"")</f>
        <v/>
      </c>
      <c r="AH780" s="570" t="str">
        <f t="shared" si="163"/>
        <v xml:space="preserve"> </v>
      </c>
      <c r="AI780" s="571" t="str">
        <f t="shared" si="172"/>
        <v xml:space="preserve"> </v>
      </c>
      <c r="AJ780" s="593"/>
      <c r="AK780" s="593"/>
    </row>
    <row r="781" spans="1:37" s="376" customFormat="1" ht="20.25" outlineLevel="2" x14ac:dyDescent="0.3">
      <c r="A781" s="447">
        <f t="shared" si="171"/>
        <v>65</v>
      </c>
      <c r="B781" s="557"/>
      <c r="C781" s="558"/>
      <c r="D781" s="587"/>
      <c r="E781" s="587"/>
      <c r="F781" s="560"/>
      <c r="G781" s="558"/>
      <c r="H781" s="588"/>
      <c r="I781" s="546"/>
      <c r="J781" s="589"/>
      <c r="K781" s="563" t="str">
        <f>IF(G781&lt;&gt;0,VLOOKUP(G781,'gia dat'!$A$1:$F$144,5,0)," ")</f>
        <v xml:space="preserve"> </v>
      </c>
      <c r="L781" s="563" t="str">
        <f>IF(G781&lt;&gt;0,VLOOKUP(G781,'gia dat'!$A$1:$F$144,6,0)," ")</f>
        <v xml:space="preserve"> </v>
      </c>
      <c r="M781" s="564" t="str">
        <f t="shared" si="173"/>
        <v xml:space="preserve"> </v>
      </c>
      <c r="N781" s="564" t="str">
        <f t="shared" si="174"/>
        <v xml:space="preserve"> </v>
      </c>
      <c r="O781" s="558" t="s">
        <v>754</v>
      </c>
      <c r="P781" s="590">
        <v>2</v>
      </c>
      <c r="Q781" s="564">
        <f>IF(O781&lt;&gt;0,VLOOKUP(O781,'Cây trong'!$A$2:$C$246,3,0)," ")</f>
        <v>0</v>
      </c>
      <c r="R781" s="564">
        <f t="shared" si="162"/>
        <v>0</v>
      </c>
      <c r="S781" s="683" t="s">
        <v>1776</v>
      </c>
      <c r="T781" s="680" t="s">
        <v>53</v>
      </c>
      <c r="U781" s="591">
        <v>47.84</v>
      </c>
      <c r="V781" s="589"/>
      <c r="W781" s="564">
        <f>IF(S781&lt;&gt;0,VLOOKUP(S781,VKT!$A$2:$G$415,7,0),"")</f>
        <v>177161</v>
      </c>
      <c r="X781" s="564">
        <f t="shared" si="169"/>
        <v>8475000</v>
      </c>
      <c r="Y781" s="562"/>
      <c r="Z781" s="680"/>
      <c r="AA781" s="614"/>
      <c r="AB781" s="568"/>
      <c r="AC781" s="592"/>
      <c r="AD781" s="592"/>
      <c r="AE781" s="592"/>
      <c r="AF781" s="590"/>
      <c r="AG781" s="570" t="str">
        <f>IF(AE781&lt;&gt;0,VLOOKUP(AE781,ODDS!$A$2:$C$13,3,0),"")</f>
        <v/>
      </c>
      <c r="AH781" s="570" t="str">
        <f t="shared" si="163"/>
        <v xml:space="preserve"> </v>
      </c>
      <c r="AI781" s="571" t="str">
        <f t="shared" si="172"/>
        <v xml:space="preserve"> </v>
      </c>
      <c r="AJ781" s="593"/>
      <c r="AK781" s="593"/>
    </row>
    <row r="782" spans="1:37" s="376" customFormat="1" ht="20.25" outlineLevel="2" x14ac:dyDescent="0.3">
      <c r="A782" s="447">
        <f t="shared" si="171"/>
        <v>65</v>
      </c>
      <c r="B782" s="557"/>
      <c r="C782" s="558"/>
      <c r="D782" s="587"/>
      <c r="E782" s="587"/>
      <c r="F782" s="560"/>
      <c r="G782" s="558"/>
      <c r="H782" s="588"/>
      <c r="I782" s="546"/>
      <c r="J782" s="589"/>
      <c r="K782" s="563" t="str">
        <f>IF(G782&lt;&gt;0,VLOOKUP(G782,'gia dat'!$A$1:$F$144,5,0)," ")</f>
        <v xml:space="preserve"> </v>
      </c>
      <c r="L782" s="563" t="str">
        <f>IF(G782&lt;&gt;0,VLOOKUP(G782,'gia dat'!$A$1:$F$144,6,0)," ")</f>
        <v xml:space="preserve"> </v>
      </c>
      <c r="M782" s="564" t="str">
        <f t="shared" si="173"/>
        <v xml:space="preserve"> </v>
      </c>
      <c r="N782" s="564" t="str">
        <f t="shared" si="174"/>
        <v xml:space="preserve"> </v>
      </c>
      <c r="O782" s="558" t="s">
        <v>750</v>
      </c>
      <c r="P782" s="590">
        <v>5</v>
      </c>
      <c r="Q782" s="564">
        <f>IF(O782&lt;&gt;0,VLOOKUP(O782,'Cây trong'!$A$2:$C$246,3,0)," ")</f>
        <v>0</v>
      </c>
      <c r="R782" s="564">
        <f t="shared" si="162"/>
        <v>0</v>
      </c>
      <c r="S782" s="683"/>
      <c r="T782" s="680"/>
      <c r="U782" s="591"/>
      <c r="V782" s="589"/>
      <c r="W782" s="564" t="str">
        <f>IF(S782&lt;&gt;0,VLOOKUP(S782,VKT!$A$2:$G$415,7,0),"")</f>
        <v/>
      </c>
      <c r="X782" s="564" t="str">
        <f t="shared" si="169"/>
        <v xml:space="preserve"> </v>
      </c>
      <c r="Y782" s="589"/>
      <c r="Z782" s="592"/>
      <c r="AA782" s="592"/>
      <c r="AB782" s="568"/>
      <c r="AC782" s="592"/>
      <c r="AD782" s="592"/>
      <c r="AE782" s="592"/>
      <c r="AF782" s="590"/>
      <c r="AG782" s="570" t="str">
        <f>IF(AE782&lt;&gt;0,VLOOKUP(AE782,ODDS!$A$2:$C$13,3,0),"")</f>
        <v/>
      </c>
      <c r="AH782" s="570" t="str">
        <f t="shared" si="163"/>
        <v xml:space="preserve"> </v>
      </c>
      <c r="AI782" s="571" t="str">
        <f t="shared" si="172"/>
        <v xml:space="preserve"> </v>
      </c>
      <c r="AJ782" s="593"/>
      <c r="AK782" s="593"/>
    </row>
    <row r="783" spans="1:37" s="376" customFormat="1" ht="40.5" outlineLevel="2" x14ac:dyDescent="0.3">
      <c r="A783" s="447">
        <f t="shared" si="171"/>
        <v>65</v>
      </c>
      <c r="B783" s="557"/>
      <c r="C783" s="574"/>
      <c r="D783" s="587"/>
      <c r="E783" s="587"/>
      <c r="F783" s="560"/>
      <c r="G783" s="558"/>
      <c r="H783" s="588"/>
      <c r="I783" s="546"/>
      <c r="J783" s="589"/>
      <c r="K783" s="563" t="str">
        <f>IF(G783&lt;&gt;0,VLOOKUP(G783,'gia dat'!$A$1:$F$144,5,0)," ")</f>
        <v xml:space="preserve"> </v>
      </c>
      <c r="L783" s="563" t="str">
        <f>IF(G783&lt;&gt;0,VLOOKUP(G783,'gia dat'!$A$1:$F$144,6,0)," ")</f>
        <v xml:space="preserve"> </v>
      </c>
      <c r="M783" s="564" t="str">
        <f t="shared" si="173"/>
        <v xml:space="preserve"> </v>
      </c>
      <c r="N783" s="564" t="str">
        <f t="shared" si="174"/>
        <v xml:space="preserve"> </v>
      </c>
      <c r="O783" s="558" t="s">
        <v>242</v>
      </c>
      <c r="P783" s="590">
        <v>32</v>
      </c>
      <c r="Q783" s="564">
        <f>IF(O783&lt;&gt;0,VLOOKUP(O783,'Cây trong'!$A$2:$C$246,3,0)," ")</f>
        <v>6000</v>
      </c>
      <c r="R783" s="564">
        <f t="shared" si="162"/>
        <v>192000</v>
      </c>
      <c r="S783" s="566"/>
      <c r="T783" s="589"/>
      <c r="U783" s="591"/>
      <c r="V783" s="589"/>
      <c r="W783" s="564" t="str">
        <f>IF(S783&lt;&gt;0,VLOOKUP(S783,VKT!$A$2:$G$415,7,0),"")</f>
        <v/>
      </c>
      <c r="X783" s="564" t="str">
        <f t="shared" si="169"/>
        <v xml:space="preserve"> </v>
      </c>
      <c r="Y783" s="589"/>
      <c r="Z783" s="592"/>
      <c r="AA783" s="592"/>
      <c r="AB783" s="568"/>
      <c r="AC783" s="592"/>
      <c r="AD783" s="592"/>
      <c r="AE783" s="592"/>
      <c r="AF783" s="590"/>
      <c r="AG783" s="570" t="str">
        <f>IF(AE783&lt;&gt;0,VLOOKUP(AE783,ODDS!$A$2:$C$13,3,0),"")</f>
        <v/>
      </c>
      <c r="AH783" s="570" t="str">
        <f t="shared" si="163"/>
        <v xml:space="preserve"> </v>
      </c>
      <c r="AI783" s="571" t="str">
        <f t="shared" si="172"/>
        <v xml:space="preserve"> </v>
      </c>
      <c r="AJ783" s="593"/>
      <c r="AK783" s="593"/>
    </row>
    <row r="784" spans="1:37" s="376" customFormat="1" ht="20.25" outlineLevel="2" x14ac:dyDescent="0.3">
      <c r="A784" s="447">
        <f t="shared" si="171"/>
        <v>65</v>
      </c>
      <c r="B784" s="557"/>
      <c r="C784" s="637"/>
      <c r="D784" s="587"/>
      <c r="E784" s="587"/>
      <c r="F784" s="615"/>
      <c r="G784" s="558"/>
      <c r="H784" s="604"/>
      <c r="I784" s="546"/>
      <c r="J784" s="593"/>
      <c r="K784" s="563" t="str">
        <f>IF(G784&lt;&gt;0,VLOOKUP(G784,'gia dat'!$A$1:$F$144,5,0)," ")</f>
        <v xml:space="preserve"> </v>
      </c>
      <c r="L784" s="563" t="str">
        <f>IF(G784&lt;&gt;0,VLOOKUP(G784,'gia dat'!$A$1:$F$144,6,0)," ")</f>
        <v xml:space="preserve"> </v>
      </c>
      <c r="M784" s="564" t="str">
        <f t="shared" si="173"/>
        <v xml:space="preserve"> </v>
      </c>
      <c r="N784" s="564" t="str">
        <f t="shared" si="174"/>
        <v xml:space="preserve"> </v>
      </c>
      <c r="O784" s="593"/>
      <c r="P784" s="616"/>
      <c r="Q784" s="564" t="str">
        <f>IF(O784&lt;&gt;0,VLOOKUP(O784,'Cây trong'!$A$2:$C$246,3,0)," ")</f>
        <v xml:space="preserve"> </v>
      </c>
      <c r="R784" s="564" t="str">
        <f t="shared" si="162"/>
        <v xml:space="preserve"> </v>
      </c>
      <c r="S784" s="593"/>
      <c r="T784" s="593"/>
      <c r="U784" s="617"/>
      <c r="V784" s="589"/>
      <c r="W784" s="564" t="str">
        <f>IF(S784&lt;&gt;0,VLOOKUP(S784,VKT!$A$2:$G$415,7,0),"")</f>
        <v/>
      </c>
      <c r="X784" s="564" t="str">
        <f t="shared" si="169"/>
        <v xml:space="preserve"> </v>
      </c>
      <c r="Y784" s="589"/>
      <c r="Z784" s="589"/>
      <c r="AA784" s="589"/>
      <c r="AB784" s="562"/>
      <c r="AC784" s="589"/>
      <c r="AD784" s="589"/>
      <c r="AE784" s="589"/>
      <c r="AF784" s="629"/>
      <c r="AG784" s="570" t="str">
        <f>IF(AE784&lt;&gt;0,VLOOKUP(AE784,ODDS!$A$2:$C$13,3,0),"")</f>
        <v/>
      </c>
      <c r="AH784" s="570" t="str">
        <f t="shared" si="163"/>
        <v xml:space="preserve"> </v>
      </c>
      <c r="AI784" s="571" t="str">
        <f t="shared" si="172"/>
        <v xml:space="preserve"> </v>
      </c>
      <c r="AJ784" s="593"/>
      <c r="AK784" s="593"/>
    </row>
    <row r="785" spans="1:37" s="376" customFormat="1" ht="20.25" outlineLevel="2" x14ac:dyDescent="0.3">
      <c r="A785" s="447">
        <f t="shared" si="171"/>
        <v>65</v>
      </c>
      <c r="B785" s="557"/>
      <c r="C785" s="636"/>
      <c r="D785" s="587"/>
      <c r="E785" s="587"/>
      <c r="F785" s="560"/>
      <c r="G785" s="558"/>
      <c r="H785" s="588"/>
      <c r="I785" s="546"/>
      <c r="J785" s="589"/>
      <c r="K785" s="563" t="str">
        <f>IF(G785&lt;&gt;0,VLOOKUP(G785,'gia dat'!$A$1:$F$144,5,0)," ")</f>
        <v xml:space="preserve"> </v>
      </c>
      <c r="L785" s="563" t="str">
        <f>IF(G785&lt;&gt;0,VLOOKUP(G785,'gia dat'!$A$1:$F$144,6,0)," ")</f>
        <v xml:space="preserve"> </v>
      </c>
      <c r="M785" s="564" t="str">
        <f t="shared" si="173"/>
        <v xml:space="preserve"> </v>
      </c>
      <c r="N785" s="564" t="str">
        <f t="shared" si="174"/>
        <v xml:space="preserve"> </v>
      </c>
      <c r="O785" s="558"/>
      <c r="P785" s="590"/>
      <c r="Q785" s="564" t="str">
        <f>IF(O785&lt;&gt;0,VLOOKUP(O785,'Cây trong'!$A$2:$C$246,3,0)," ")</f>
        <v xml:space="preserve"> </v>
      </c>
      <c r="R785" s="564" t="str">
        <f t="shared" si="162"/>
        <v xml:space="preserve"> </v>
      </c>
      <c r="S785" s="566"/>
      <c r="T785" s="589"/>
      <c r="U785" s="591"/>
      <c r="V785" s="589"/>
      <c r="W785" s="564" t="str">
        <f>IF(S785&lt;&gt;0,VLOOKUP(S785,VKT!$A$2:$G$415,7,0),"")</f>
        <v/>
      </c>
      <c r="X785" s="564" t="str">
        <f t="shared" si="169"/>
        <v xml:space="preserve"> </v>
      </c>
      <c r="Y785" s="589"/>
      <c r="Z785" s="592"/>
      <c r="AA785" s="592"/>
      <c r="AB785" s="568"/>
      <c r="AC785" s="592"/>
      <c r="AD785" s="592"/>
      <c r="AE785" s="592"/>
      <c r="AF785" s="590"/>
      <c r="AG785" s="570" t="str">
        <f>IF(AE785&lt;&gt;0,VLOOKUP(AE785,ODDS!$A$2:$C$13,3,0),"")</f>
        <v/>
      </c>
      <c r="AH785" s="570" t="str">
        <f t="shared" si="163"/>
        <v xml:space="preserve"> </v>
      </c>
      <c r="AI785" s="571" t="str">
        <f t="shared" si="172"/>
        <v xml:space="preserve"> </v>
      </c>
      <c r="AJ785" s="593"/>
      <c r="AK785" s="593"/>
    </row>
    <row r="786" spans="1:37" s="376" customFormat="1" ht="20.25" outlineLevel="2" x14ac:dyDescent="0.3">
      <c r="A786" s="447">
        <f t="shared" si="171"/>
        <v>65</v>
      </c>
      <c r="B786" s="557"/>
      <c r="C786" s="636"/>
      <c r="D786" s="587"/>
      <c r="E786" s="587"/>
      <c r="F786" s="560"/>
      <c r="G786" s="558"/>
      <c r="H786" s="588"/>
      <c r="I786" s="546"/>
      <c r="J786" s="589"/>
      <c r="K786" s="563" t="str">
        <f>IF(G786&lt;&gt;0,VLOOKUP(G786,'gia dat'!$A$1:$F$144,5,0)," ")</f>
        <v xml:space="preserve"> </v>
      </c>
      <c r="L786" s="563" t="str">
        <f>IF(G786&lt;&gt;0,VLOOKUP(G786,'gia dat'!$A$1:$F$144,6,0)," ")</f>
        <v xml:space="preserve"> </v>
      </c>
      <c r="M786" s="564" t="str">
        <f t="shared" si="173"/>
        <v xml:space="preserve"> </v>
      </c>
      <c r="N786" s="564" t="str">
        <f t="shared" si="174"/>
        <v xml:space="preserve"> </v>
      </c>
      <c r="O786" s="558"/>
      <c r="P786" s="590"/>
      <c r="Q786" s="564" t="str">
        <f>IF(O786&lt;&gt;0,VLOOKUP(O786,'Cây trong'!$A$2:$C$246,3,0)," ")</f>
        <v xml:space="preserve"> </v>
      </c>
      <c r="R786" s="564" t="str">
        <f t="shared" si="162"/>
        <v xml:space="preserve"> </v>
      </c>
      <c r="S786" s="566"/>
      <c r="T786" s="589"/>
      <c r="U786" s="591"/>
      <c r="V786" s="589"/>
      <c r="W786" s="564" t="str">
        <f>IF(S786&lt;&gt;0,VLOOKUP(S786,VKT!$A$2:$G$415,7,0),"")</f>
        <v/>
      </c>
      <c r="X786" s="564" t="str">
        <f t="shared" si="169"/>
        <v xml:space="preserve"> </v>
      </c>
      <c r="Y786" s="589"/>
      <c r="Z786" s="592"/>
      <c r="AA786" s="592"/>
      <c r="AB786" s="568"/>
      <c r="AC786" s="592"/>
      <c r="AD786" s="592"/>
      <c r="AE786" s="592"/>
      <c r="AF786" s="590"/>
      <c r="AG786" s="570" t="str">
        <f>IF(AE786&lt;&gt;0,VLOOKUP(AE786,ODDS!$A$2:$C$13,3,0),"")</f>
        <v/>
      </c>
      <c r="AH786" s="570" t="str">
        <f t="shared" si="163"/>
        <v xml:space="preserve"> </v>
      </c>
      <c r="AI786" s="571" t="str">
        <f t="shared" si="172"/>
        <v xml:space="preserve"> </v>
      </c>
      <c r="AJ786" s="593"/>
      <c r="AK786" s="593"/>
    </row>
    <row r="787" spans="1:37" s="376" customFormat="1" ht="60.75" outlineLevel="1" x14ac:dyDescent="0.25">
      <c r="A787" s="467" t="s">
        <v>2644</v>
      </c>
      <c r="B787" s="576">
        <v>66</v>
      </c>
      <c r="C787" s="636" t="s">
        <v>243</v>
      </c>
      <c r="D787" s="595"/>
      <c r="E787" s="595"/>
      <c r="F787" s="577"/>
      <c r="G787" s="574"/>
      <c r="H787" s="618">
        <f>SUBTOTAL(9,H788:H793)</f>
        <v>21.4</v>
      </c>
      <c r="I787" s="579">
        <f>SUBTOTAL(9,I788:I793)</f>
        <v>0</v>
      </c>
      <c r="J787" s="597"/>
      <c r="K787" s="581"/>
      <c r="L787" s="581"/>
      <c r="M787" s="571">
        <f>SUBTOTAL(9,M788:M793)</f>
        <v>0</v>
      </c>
      <c r="N787" s="571">
        <f>SUBTOTAL(9,N788:N793)</f>
        <v>0</v>
      </c>
      <c r="O787" s="574"/>
      <c r="P787" s="599">
        <f>SUBTOTAL(9,P788:P793)</f>
        <v>0</v>
      </c>
      <c r="Q787" s="571"/>
      <c r="R787" s="571">
        <f>SUBTOTAL(9,R788:R793)</f>
        <v>0</v>
      </c>
      <c r="S787" s="582"/>
      <c r="T787" s="597"/>
      <c r="U787" s="600">
        <f>SUBTOTAL(9,U788:U793)</f>
        <v>106.72</v>
      </c>
      <c r="V787" s="597"/>
      <c r="W787" s="571"/>
      <c r="X787" s="571">
        <f>SUBTOTAL(9,X788:X793)</f>
        <v>77361000</v>
      </c>
      <c r="Y787" s="589"/>
      <c r="Z787" s="592"/>
      <c r="AA787" s="592"/>
      <c r="AB787" s="568"/>
      <c r="AC787" s="592"/>
      <c r="AD787" s="592"/>
      <c r="AE787" s="601"/>
      <c r="AF787" s="599">
        <f>SUBTOTAL(9,AF788:AF793)</f>
        <v>0</v>
      </c>
      <c r="AG787" s="585"/>
      <c r="AH787" s="585">
        <f>SUBTOTAL(9,AH788:AH793)</f>
        <v>0</v>
      </c>
      <c r="AI787" s="571">
        <f t="shared" si="172"/>
        <v>77361000</v>
      </c>
      <c r="AJ787" s="608"/>
      <c r="AK787" s="608"/>
    </row>
    <row r="788" spans="1:37" s="376" customFormat="1" ht="101.25" outlineLevel="2" x14ac:dyDescent="0.3">
      <c r="A788" s="447">
        <f>IF(B787&lt;&gt;0,B787,A786)</f>
        <v>66</v>
      </c>
      <c r="B788" s="557"/>
      <c r="C788" s="637" t="s">
        <v>584</v>
      </c>
      <c r="D788" s="587"/>
      <c r="E788" s="587"/>
      <c r="F788" s="560"/>
      <c r="G788" s="558" t="s">
        <v>2144</v>
      </c>
      <c r="H788" s="588">
        <v>21.4</v>
      </c>
      <c r="I788" s="546" t="str">
        <f t="shared" ref="I788" si="175">IF(N788&gt;0,H788,"")</f>
        <v/>
      </c>
      <c r="J788" s="589"/>
      <c r="K788" s="563">
        <f>IF(G788&lt;&gt;0,VLOOKUP(G788,'gia dat'!$A$1:$F$144,5,0)," ")</f>
        <v>0</v>
      </c>
      <c r="L788" s="563">
        <f>IF(G788&lt;&gt;0,VLOOKUP(G788,'gia dat'!$A$1:$F$144,6,0)," ")</f>
        <v>0</v>
      </c>
      <c r="M788" s="564">
        <f t="shared" si="173"/>
        <v>0</v>
      </c>
      <c r="N788" s="564">
        <f t="shared" si="174"/>
        <v>0</v>
      </c>
      <c r="O788" s="558"/>
      <c r="P788" s="590"/>
      <c r="Q788" s="564" t="str">
        <f>IF(O788&lt;&gt;0,VLOOKUP(O788,'Cây trong'!$A$2:$C$246,3,0)," ")</f>
        <v xml:space="preserve"> </v>
      </c>
      <c r="R788" s="564" t="str">
        <f t="shared" si="162"/>
        <v xml:space="preserve"> </v>
      </c>
      <c r="S788" s="566" t="s">
        <v>583</v>
      </c>
      <c r="T788" s="589" t="s">
        <v>53</v>
      </c>
      <c r="U788" s="591">
        <v>87.42</v>
      </c>
      <c r="V788" s="589"/>
      <c r="W788" s="564">
        <f>IF(S788&lt;&gt;0,VLOOKUP(S788,VKT!$A$2:$G$415,7,0),"")</f>
        <v>802830</v>
      </c>
      <c r="X788" s="564">
        <f t="shared" si="169"/>
        <v>70183000</v>
      </c>
      <c r="Y788" s="589"/>
      <c r="Z788" s="592"/>
      <c r="AA788" s="592"/>
      <c r="AB788" s="568"/>
      <c r="AC788" s="592"/>
      <c r="AD788" s="592"/>
      <c r="AE788" s="592"/>
      <c r="AF788" s="590"/>
      <c r="AG788" s="570" t="str">
        <f>IF(AE788&lt;&gt;0,VLOOKUP(AE788,ODDS!$A$2:$C$13,3,0),"")</f>
        <v/>
      </c>
      <c r="AH788" s="570" t="str">
        <f t="shared" si="163"/>
        <v xml:space="preserve"> </v>
      </c>
      <c r="AI788" s="571" t="str">
        <f t="shared" si="172"/>
        <v xml:space="preserve"> </v>
      </c>
      <c r="AJ788" s="593"/>
      <c r="AK788" s="593"/>
    </row>
    <row r="789" spans="1:37" s="376" customFormat="1" ht="40.5" outlineLevel="2" x14ac:dyDescent="0.3">
      <c r="A789" s="447">
        <f>IF(B788&lt;&gt;0,B788,A788)</f>
        <v>66</v>
      </c>
      <c r="B789" s="557"/>
      <c r="C789" s="637"/>
      <c r="D789" s="587"/>
      <c r="E789" s="587"/>
      <c r="F789" s="560"/>
      <c r="G789" s="558"/>
      <c r="H789" s="588"/>
      <c r="I789" s="546"/>
      <c r="J789" s="589"/>
      <c r="K789" s="563" t="str">
        <f>IF(G789&lt;&gt;0,VLOOKUP(G789,'gia dat'!$A$1:$F$144,5,0)," ")</f>
        <v xml:space="preserve"> </v>
      </c>
      <c r="L789" s="563" t="str">
        <f>IF(G789&lt;&gt;0,VLOOKUP(G789,'gia dat'!$A$1:$F$144,6,0)," ")</f>
        <v xml:space="preserve"> </v>
      </c>
      <c r="M789" s="564" t="str">
        <f t="shared" si="173"/>
        <v xml:space="preserve"> </v>
      </c>
      <c r="N789" s="564" t="str">
        <f t="shared" si="174"/>
        <v xml:space="preserve"> </v>
      </c>
      <c r="O789" s="558"/>
      <c r="P789" s="590"/>
      <c r="Q789" s="564" t="str">
        <f>IF(O789&lt;&gt;0,VLOOKUP(O789,'Cây trong'!$A$2:$C$246,3,0)," ")</f>
        <v xml:space="preserve"> </v>
      </c>
      <c r="R789" s="564" t="str">
        <f t="shared" si="162"/>
        <v xml:space="preserve"> </v>
      </c>
      <c r="S789" s="566" t="s">
        <v>374</v>
      </c>
      <c r="T789" s="589" t="s">
        <v>53</v>
      </c>
      <c r="U789" s="591">
        <v>19.3</v>
      </c>
      <c r="V789" s="589"/>
      <c r="W789" s="564">
        <f>IF(S789&lt;&gt;0,VLOOKUP(S789,VKT!$A$2:$G$415,7,0),"")</f>
        <v>371943</v>
      </c>
      <c r="X789" s="564">
        <f t="shared" si="169"/>
        <v>7178000</v>
      </c>
      <c r="Y789" s="589"/>
      <c r="Z789" s="592"/>
      <c r="AA789" s="592"/>
      <c r="AB789" s="568"/>
      <c r="AC789" s="592"/>
      <c r="AD789" s="592"/>
      <c r="AE789" s="592"/>
      <c r="AF789" s="590"/>
      <c r="AG789" s="570" t="str">
        <f>IF(AE789&lt;&gt;0,VLOOKUP(AE789,ODDS!$A$2:$C$13,3,0),"")</f>
        <v/>
      </c>
      <c r="AH789" s="570" t="str">
        <f t="shared" si="163"/>
        <v xml:space="preserve"> </v>
      </c>
      <c r="AI789" s="571" t="str">
        <f t="shared" si="172"/>
        <v xml:space="preserve"> </v>
      </c>
      <c r="AJ789" s="593"/>
      <c r="AK789" s="593"/>
    </row>
    <row r="790" spans="1:37" s="376" customFormat="1" ht="20.25" outlineLevel="2" x14ac:dyDescent="0.3">
      <c r="A790" s="447">
        <f>IF(B789&lt;&gt;0,B789,A789)</f>
        <v>66</v>
      </c>
      <c r="B790" s="557"/>
      <c r="C790" s="637"/>
      <c r="D790" s="587"/>
      <c r="E790" s="587"/>
      <c r="F790" s="560"/>
      <c r="G790" s="558"/>
      <c r="H790" s="588"/>
      <c r="I790" s="546"/>
      <c r="J790" s="589"/>
      <c r="K790" s="563" t="str">
        <f>IF(G790&lt;&gt;0,VLOOKUP(G790,'gia dat'!$A$1:$F$144,5,0)," ")</f>
        <v xml:space="preserve"> </v>
      </c>
      <c r="L790" s="563" t="str">
        <f>IF(G790&lt;&gt;0,VLOOKUP(G790,'gia dat'!$A$1:$F$144,6,0)," ")</f>
        <v xml:space="preserve"> </v>
      </c>
      <c r="M790" s="564" t="str">
        <f t="shared" si="173"/>
        <v xml:space="preserve"> </v>
      </c>
      <c r="N790" s="564" t="str">
        <f t="shared" si="174"/>
        <v xml:space="preserve"> </v>
      </c>
      <c r="O790" s="558"/>
      <c r="P790" s="590"/>
      <c r="Q790" s="564" t="str">
        <f>IF(O790&lt;&gt;0,VLOOKUP(O790,'Cây trong'!$A$2:$C$246,3,0)," ")</f>
        <v xml:space="preserve"> </v>
      </c>
      <c r="R790" s="564" t="str">
        <f t="shared" si="162"/>
        <v xml:space="preserve"> </v>
      </c>
      <c r="S790" s="593"/>
      <c r="T790" s="593"/>
      <c r="U790" s="617"/>
      <c r="V790" s="589"/>
      <c r="W790" s="564" t="str">
        <f>IF(S790&lt;&gt;0,VLOOKUP(S790,VKT!$A$2:$G$415,7,0),"")</f>
        <v/>
      </c>
      <c r="X790" s="564" t="str">
        <f t="shared" si="169"/>
        <v xml:space="preserve"> </v>
      </c>
      <c r="Y790" s="589"/>
      <c r="Z790" s="592"/>
      <c r="AA790" s="592"/>
      <c r="AB790" s="568"/>
      <c r="AC790" s="592"/>
      <c r="AD790" s="592"/>
      <c r="AE790" s="592"/>
      <c r="AF790" s="590"/>
      <c r="AG790" s="570" t="str">
        <f>IF(AE790&lt;&gt;0,VLOOKUP(AE790,ODDS!$A$2:$C$13,3,0),"")</f>
        <v/>
      </c>
      <c r="AH790" s="570" t="str">
        <f t="shared" si="163"/>
        <v xml:space="preserve"> </v>
      </c>
      <c r="AI790" s="571" t="str">
        <f t="shared" si="172"/>
        <v xml:space="preserve"> </v>
      </c>
      <c r="AJ790" s="593"/>
      <c r="AK790" s="593"/>
    </row>
    <row r="791" spans="1:37" s="376" customFormat="1" ht="20.25" outlineLevel="2" x14ac:dyDescent="0.3">
      <c r="A791" s="447">
        <f>IF(B790&lt;&gt;0,B790,A790)</f>
        <v>66</v>
      </c>
      <c r="B791" s="557"/>
      <c r="C791" s="637"/>
      <c r="D791" s="587"/>
      <c r="E791" s="587"/>
      <c r="F791" s="560"/>
      <c r="G791" s="558"/>
      <c r="H791" s="588"/>
      <c r="I791" s="546"/>
      <c r="J791" s="589"/>
      <c r="K791" s="563" t="str">
        <f>IF(G791&lt;&gt;0,VLOOKUP(G791,'gia dat'!$A$1:$F$144,5,0)," ")</f>
        <v xml:space="preserve"> </v>
      </c>
      <c r="L791" s="563" t="str">
        <f>IF(G791&lt;&gt;0,VLOOKUP(G791,'gia dat'!$A$1:$F$144,6,0)," ")</f>
        <v xml:space="preserve"> </v>
      </c>
      <c r="M791" s="564" t="str">
        <f t="shared" si="173"/>
        <v xml:space="preserve"> </v>
      </c>
      <c r="N791" s="564" t="str">
        <f t="shared" si="174"/>
        <v xml:space="preserve"> </v>
      </c>
      <c r="O791" s="638"/>
      <c r="P791" s="664"/>
      <c r="Q791" s="564" t="str">
        <f>IF(O791&lt;&gt;0,VLOOKUP(O791,'Cây trong'!$A$2:$C$246,3,0)," ")</f>
        <v xml:space="preserve"> </v>
      </c>
      <c r="R791" s="564" t="str">
        <f t="shared" ref="R791:R858" si="176">IF(O791&lt;&gt;0,ROUND(P791*Q791,-2)," ")</f>
        <v xml:space="preserve"> </v>
      </c>
      <c r="S791" s="638"/>
      <c r="T791" s="639"/>
      <c r="U791" s="591"/>
      <c r="V791" s="680"/>
      <c r="W791" s="564" t="str">
        <f>IF(S791&lt;&gt;0,VLOOKUP(S791,VKT!$A$2:$G$415,7,0),"")</f>
        <v/>
      </c>
      <c r="X791" s="564" t="str">
        <f t="shared" si="169"/>
        <v xml:space="preserve"> </v>
      </c>
      <c r="Y791" s="589"/>
      <c r="Z791" s="592"/>
      <c r="AA791" s="592"/>
      <c r="AB791" s="568"/>
      <c r="AC791" s="592"/>
      <c r="AD791" s="592"/>
      <c r="AE791" s="592"/>
      <c r="AF791" s="590"/>
      <c r="AG791" s="570" t="str">
        <f>IF(AE791&lt;&gt;0,VLOOKUP(AE791,ODDS!$A$2:$C$13,3,0),"")</f>
        <v/>
      </c>
      <c r="AH791" s="570" t="str">
        <f t="shared" ref="AH791:AH858" si="177">IF(AE791&lt;&gt;0,ROUND(AF791*AG791,-2)," ")</f>
        <v xml:space="preserve"> </v>
      </c>
      <c r="AI791" s="571" t="str">
        <f t="shared" si="172"/>
        <v xml:space="preserve"> </v>
      </c>
      <c r="AJ791" s="593"/>
      <c r="AK791" s="593"/>
    </row>
    <row r="792" spans="1:37" s="376" customFormat="1" ht="20.25" outlineLevel="2" x14ac:dyDescent="0.3">
      <c r="A792" s="447">
        <f>IF(B791&lt;&gt;0,B791,A791)</f>
        <v>66</v>
      </c>
      <c r="B792" s="557"/>
      <c r="C792" s="558"/>
      <c r="D792" s="587"/>
      <c r="E792" s="587"/>
      <c r="F792" s="560"/>
      <c r="G792" s="558"/>
      <c r="H792" s="588"/>
      <c r="I792" s="546"/>
      <c r="J792" s="589"/>
      <c r="K792" s="563" t="str">
        <f>IF(G792&lt;&gt;0,VLOOKUP(G792,'gia dat'!$A$1:$F$144,5,0)," ")</f>
        <v xml:space="preserve"> </v>
      </c>
      <c r="L792" s="563" t="str">
        <f>IF(G792&lt;&gt;0,VLOOKUP(G792,'gia dat'!$A$1:$F$144,6,0)," ")</f>
        <v xml:space="preserve"> </v>
      </c>
      <c r="M792" s="564" t="str">
        <f t="shared" si="173"/>
        <v xml:space="preserve"> </v>
      </c>
      <c r="N792" s="564" t="str">
        <f t="shared" si="174"/>
        <v xml:space="preserve"> </v>
      </c>
      <c r="O792" s="638"/>
      <c r="P792" s="664"/>
      <c r="Q792" s="564" t="str">
        <f>IF(O792&lt;&gt;0,VLOOKUP(O792,'Cây trong'!$A$2:$C$246,3,0)," ")</f>
        <v xml:space="preserve"> </v>
      </c>
      <c r="R792" s="564" t="str">
        <f t="shared" si="176"/>
        <v xml:space="preserve"> </v>
      </c>
      <c r="S792" s="638"/>
      <c r="T792" s="639"/>
      <c r="U792" s="591"/>
      <c r="V792" s="680"/>
      <c r="W792" s="564" t="str">
        <f>IF(S792&lt;&gt;0,VLOOKUP(S792,VKT!$A$2:$G$415,7,0),"")</f>
        <v/>
      </c>
      <c r="X792" s="564" t="str">
        <f t="shared" si="169"/>
        <v xml:space="preserve"> </v>
      </c>
      <c r="Y792" s="589"/>
      <c r="Z792" s="592"/>
      <c r="AA792" s="592"/>
      <c r="AB792" s="568"/>
      <c r="AC792" s="592"/>
      <c r="AD792" s="592"/>
      <c r="AE792" s="592"/>
      <c r="AF792" s="590"/>
      <c r="AG792" s="570" t="str">
        <f>IF(AE792&lt;&gt;0,VLOOKUP(AE792,ODDS!$A$2:$C$13,3,0),"")</f>
        <v/>
      </c>
      <c r="AH792" s="570" t="str">
        <f t="shared" si="177"/>
        <v xml:space="preserve"> </v>
      </c>
      <c r="AI792" s="571" t="str">
        <f t="shared" si="172"/>
        <v xml:space="preserve"> </v>
      </c>
      <c r="AJ792" s="593"/>
      <c r="AK792" s="593"/>
    </row>
    <row r="793" spans="1:37" s="376" customFormat="1" ht="20.25" outlineLevel="2" x14ac:dyDescent="0.3">
      <c r="A793" s="447">
        <f>IF(B792&lt;&gt;0,B792,A792)</f>
        <v>66</v>
      </c>
      <c r="B793" s="557"/>
      <c r="C793" s="636"/>
      <c r="D793" s="587"/>
      <c r="E793" s="587"/>
      <c r="F793" s="560"/>
      <c r="G793" s="558"/>
      <c r="H793" s="588"/>
      <c r="I793" s="546"/>
      <c r="J793" s="589"/>
      <c r="K793" s="563" t="str">
        <f>IF(G793&lt;&gt;0,VLOOKUP(G793,'gia dat'!$A$1:$F$144,5,0)," ")</f>
        <v xml:space="preserve"> </v>
      </c>
      <c r="L793" s="563" t="str">
        <f>IF(G793&lt;&gt;0,VLOOKUP(G793,'gia dat'!$A$1:$F$144,6,0)," ")</f>
        <v xml:space="preserve"> </v>
      </c>
      <c r="M793" s="564" t="str">
        <f t="shared" si="173"/>
        <v xml:space="preserve"> </v>
      </c>
      <c r="N793" s="564" t="str">
        <f t="shared" si="174"/>
        <v xml:space="preserve"> </v>
      </c>
      <c r="O793" s="638"/>
      <c r="P793" s="664"/>
      <c r="Q793" s="564" t="str">
        <f>IF(O793&lt;&gt;0,VLOOKUP(O793,'Cây trong'!$A$2:$C$246,3,0)," ")</f>
        <v xml:space="preserve"> </v>
      </c>
      <c r="R793" s="564" t="str">
        <f t="shared" si="176"/>
        <v xml:space="preserve"> </v>
      </c>
      <c r="S793" s="638"/>
      <c r="T793" s="639"/>
      <c r="U793" s="591"/>
      <c r="V793" s="680"/>
      <c r="W793" s="564" t="str">
        <f>IF(S793&lt;&gt;0,VLOOKUP(S793,VKT!$A$2:$G$415,7,0),"")</f>
        <v/>
      </c>
      <c r="X793" s="564" t="str">
        <f t="shared" si="169"/>
        <v xml:space="preserve"> </v>
      </c>
      <c r="Y793" s="589"/>
      <c r="Z793" s="592"/>
      <c r="AA793" s="592"/>
      <c r="AB793" s="568"/>
      <c r="AC793" s="592"/>
      <c r="AD793" s="592"/>
      <c r="AE793" s="592"/>
      <c r="AF793" s="590"/>
      <c r="AG793" s="570" t="str">
        <f>IF(AE793&lt;&gt;0,VLOOKUP(AE793,ODDS!$A$2:$C$13,3,0),"")</f>
        <v/>
      </c>
      <c r="AH793" s="570" t="str">
        <f t="shared" si="177"/>
        <v xml:space="preserve"> </v>
      </c>
      <c r="AI793" s="571" t="str">
        <f t="shared" si="172"/>
        <v xml:space="preserve"> </v>
      </c>
      <c r="AJ793" s="593"/>
      <c r="AK793" s="593"/>
    </row>
    <row r="794" spans="1:37" s="376" customFormat="1" ht="40.5" outlineLevel="1" x14ac:dyDescent="0.25">
      <c r="A794" s="467" t="s">
        <v>2643</v>
      </c>
      <c r="B794" s="576">
        <v>67</v>
      </c>
      <c r="C794" s="636" t="s">
        <v>44</v>
      </c>
      <c r="D794" s="595"/>
      <c r="E794" s="595"/>
      <c r="F794" s="577"/>
      <c r="G794" s="574"/>
      <c r="H794" s="618">
        <f>SUBTOTAL(9,H795:H812)</f>
        <v>144.1</v>
      </c>
      <c r="I794" s="579">
        <f>SUBTOTAL(9,I795:I800)</f>
        <v>0</v>
      </c>
      <c r="J794" s="597"/>
      <c r="K794" s="581"/>
      <c r="L794" s="581"/>
      <c r="M794" s="571">
        <f>SUBTOTAL(9,M795:M812)</f>
        <v>79888000</v>
      </c>
      <c r="N794" s="571">
        <f>SUBTOTAL(9,N795:N812)</f>
        <v>0</v>
      </c>
      <c r="O794" s="574"/>
      <c r="P794" s="599">
        <f>SUBTOTAL(9,P795:P812)</f>
        <v>104</v>
      </c>
      <c r="Q794" s="571"/>
      <c r="R794" s="571">
        <f>SUBTOTAL(9,R795:R812)</f>
        <v>8032000</v>
      </c>
      <c r="S794" s="582"/>
      <c r="T794" s="597"/>
      <c r="U794" s="600">
        <f>SUBTOTAL(9,U795:U812)</f>
        <v>188.91</v>
      </c>
      <c r="V794" s="597"/>
      <c r="W794" s="571"/>
      <c r="X794" s="571">
        <f>SUBTOTAL(9,X795:X812)</f>
        <v>456056000</v>
      </c>
      <c r="Y794" s="589"/>
      <c r="Z794" s="592"/>
      <c r="AA794" s="592"/>
      <c r="AB794" s="568"/>
      <c r="AC794" s="592"/>
      <c r="AD794" s="568"/>
      <c r="AE794" s="602"/>
      <c r="AF794" s="581">
        <f>SUBTOTAL(9,AF795:AF812)</f>
        <v>1</v>
      </c>
      <c r="AG794" s="585"/>
      <c r="AH794" s="585">
        <f>SUBTOTAL(9,AH795:AH812)</f>
        <v>17000000</v>
      </c>
      <c r="AI794" s="571">
        <f t="shared" si="172"/>
        <v>560976000</v>
      </c>
      <c r="AJ794" s="574"/>
      <c r="AK794" s="578"/>
    </row>
    <row r="795" spans="1:37" s="376" customFormat="1" ht="121.5" outlineLevel="2" x14ac:dyDescent="0.3">
      <c r="A795" s="447">
        <f>IF(B794&lt;&gt;0,B794,A793)</f>
        <v>67</v>
      </c>
      <c r="B795" s="557"/>
      <c r="C795" s="558" t="s">
        <v>244</v>
      </c>
      <c r="D795" s="587">
        <v>2</v>
      </c>
      <c r="E795" s="587">
        <v>86</v>
      </c>
      <c r="F795" s="560">
        <v>387</v>
      </c>
      <c r="G795" s="558" t="s">
        <v>2483</v>
      </c>
      <c r="H795" s="588">
        <v>103.4</v>
      </c>
      <c r="I795" s="546" t="str">
        <f t="shared" ref="I795:I798" si="178">IF(N795&gt;0,H795,"")</f>
        <v/>
      </c>
      <c r="J795" s="589"/>
      <c r="K795" s="563">
        <f>IF(G795&lt;&gt;0,VLOOKUP(G795,'gia dat'!$A$1:$F$144,5,0)," ")</f>
        <v>554400</v>
      </c>
      <c r="L795" s="563">
        <f>IF(G795&lt;&gt;0,VLOOKUP(G795,'gia dat'!$A$1:$F$144,6,0)," ")</f>
        <v>0</v>
      </c>
      <c r="M795" s="564">
        <f t="shared" si="173"/>
        <v>57325000</v>
      </c>
      <c r="N795" s="564">
        <f t="shared" si="174"/>
        <v>0</v>
      </c>
      <c r="O795" s="558" t="s">
        <v>72</v>
      </c>
      <c r="P795" s="590">
        <v>22</v>
      </c>
      <c r="Q795" s="564">
        <f>IF(O795&lt;&gt;0,VLOOKUP(O795,'Cây trong'!$A$2:$C$246,3,0)," ")</f>
        <v>132000</v>
      </c>
      <c r="R795" s="564">
        <f t="shared" si="176"/>
        <v>2904000</v>
      </c>
      <c r="S795" s="566" t="s">
        <v>1820</v>
      </c>
      <c r="T795" s="589" t="s">
        <v>53</v>
      </c>
      <c r="U795" s="591">
        <v>60</v>
      </c>
      <c r="V795" s="589"/>
      <c r="W795" s="564">
        <f>IF(S795&lt;&gt;0,VLOOKUP(S795,VKT!$A$2:$G$415,7,0),"")</f>
        <v>5307665</v>
      </c>
      <c r="X795" s="564">
        <f t="shared" si="169"/>
        <v>318460000</v>
      </c>
      <c r="Y795" s="589" t="s">
        <v>63</v>
      </c>
      <c r="Z795" s="592" t="s">
        <v>55</v>
      </c>
      <c r="AA795" s="592" t="s">
        <v>56</v>
      </c>
      <c r="AB795" s="568" t="s">
        <v>57</v>
      </c>
      <c r="AC795" s="592" t="s">
        <v>63</v>
      </c>
      <c r="AD795" s="568" t="s">
        <v>430</v>
      </c>
      <c r="AE795" s="569"/>
      <c r="AF795" s="563"/>
      <c r="AG795" s="570"/>
      <c r="AH795" s="570"/>
      <c r="AI795" s="571" t="str">
        <f t="shared" si="172"/>
        <v xml:space="preserve"> </v>
      </c>
      <c r="AJ795" s="558" t="s">
        <v>1714</v>
      </c>
      <c r="AK795" s="586" t="s">
        <v>2771</v>
      </c>
    </row>
    <row r="796" spans="1:37" s="376" customFormat="1" ht="101.25" outlineLevel="2" x14ac:dyDescent="0.3">
      <c r="A796" s="447">
        <f t="shared" ref="A796:A812" si="179">IF(B795&lt;&gt;0,B795,A795)</f>
        <v>67</v>
      </c>
      <c r="B796" s="557"/>
      <c r="C796" s="637" t="s">
        <v>701</v>
      </c>
      <c r="D796" s="587"/>
      <c r="E796" s="587"/>
      <c r="F796" s="560"/>
      <c r="G796" s="684" t="s">
        <v>2788</v>
      </c>
      <c r="H796" s="588">
        <v>0.5</v>
      </c>
      <c r="I796" s="546" t="str">
        <f t="shared" si="178"/>
        <v/>
      </c>
      <c r="J796" s="589"/>
      <c r="K796" s="563">
        <f>IF(G796&lt;&gt;0,VLOOKUP(G796,'gia dat'!$A$1:$F$144,5,0)," ")</f>
        <v>554400</v>
      </c>
      <c r="L796" s="563">
        <f>IF(G796&lt;&gt;0,VLOOKUP(G796,'gia dat'!$A$1:$F$144,6,0)," ")</f>
        <v>0</v>
      </c>
      <c r="M796" s="564">
        <f t="shared" si="173"/>
        <v>277000</v>
      </c>
      <c r="N796" s="564">
        <f t="shared" si="174"/>
        <v>0</v>
      </c>
      <c r="O796" s="558" t="s">
        <v>73</v>
      </c>
      <c r="P796" s="590">
        <v>19</v>
      </c>
      <c r="Q796" s="564">
        <f>IF(O796&lt;&gt;0,VLOOKUP(O796,'Cây trong'!$A$2:$C$246,3,0)," ")</f>
        <v>76000</v>
      </c>
      <c r="R796" s="564">
        <f t="shared" si="176"/>
        <v>1444000</v>
      </c>
      <c r="S796" s="566" t="s">
        <v>1868</v>
      </c>
      <c r="T796" s="589" t="s">
        <v>53</v>
      </c>
      <c r="U796" s="591">
        <v>4.68</v>
      </c>
      <c r="V796" s="589"/>
      <c r="W796" s="564">
        <f>IF(S796&lt;&gt;0,VLOOKUP(S796,VKT!$A$2:$G$415,7,0),"")</f>
        <v>4631321</v>
      </c>
      <c r="X796" s="564">
        <f t="shared" si="169"/>
        <v>21675000</v>
      </c>
      <c r="Y796" s="589" t="s">
        <v>63</v>
      </c>
      <c r="Z796" s="592" t="s">
        <v>63</v>
      </c>
      <c r="AA796" s="592" t="s">
        <v>56</v>
      </c>
      <c r="AB796" s="568"/>
      <c r="AC796" s="592" t="s">
        <v>63</v>
      </c>
      <c r="AD796" s="568"/>
      <c r="AE796" s="569" t="s">
        <v>2791</v>
      </c>
      <c r="AF796" s="590">
        <v>1</v>
      </c>
      <c r="AG796" s="570">
        <f>IF(AE796&lt;&gt;0,VLOOKUP(AE796,ODDS!$A$2:$C$13,3,0),"")</f>
        <v>17000000</v>
      </c>
      <c r="AH796" s="570">
        <f t="shared" si="177"/>
        <v>17000000</v>
      </c>
      <c r="AI796" s="571" t="str">
        <f t="shared" si="172"/>
        <v xml:space="preserve"> </v>
      </c>
      <c r="AJ796" s="558" t="s">
        <v>586</v>
      </c>
      <c r="AK796" s="558" t="s">
        <v>2448</v>
      </c>
    </row>
    <row r="797" spans="1:37" s="376" customFormat="1" ht="121.5" outlineLevel="2" x14ac:dyDescent="0.3">
      <c r="A797" s="447">
        <f t="shared" si="179"/>
        <v>67</v>
      </c>
      <c r="B797" s="557"/>
      <c r="C797" s="637" t="s">
        <v>245</v>
      </c>
      <c r="D797" s="587"/>
      <c r="E797" s="587"/>
      <c r="F797" s="560"/>
      <c r="G797" s="558" t="s">
        <v>2485</v>
      </c>
      <c r="H797" s="588">
        <v>7.6</v>
      </c>
      <c r="I797" s="546" t="str">
        <f t="shared" si="178"/>
        <v/>
      </c>
      <c r="J797" s="589"/>
      <c r="K797" s="563">
        <f>IF(G797&lt;&gt;0,VLOOKUP(G797,'gia dat'!$A$1:$F$144,5,0)," ")</f>
        <v>554400</v>
      </c>
      <c r="L797" s="563">
        <f>IF(G797&lt;&gt;0,VLOOKUP(G797,'gia dat'!$A$1:$F$144,6,0)," ")</f>
        <v>0</v>
      </c>
      <c r="M797" s="564">
        <f t="shared" si="173"/>
        <v>4213000</v>
      </c>
      <c r="N797" s="564">
        <f t="shared" si="174"/>
        <v>0</v>
      </c>
      <c r="O797" s="558" t="s">
        <v>75</v>
      </c>
      <c r="P797" s="590">
        <v>33</v>
      </c>
      <c r="Q797" s="564">
        <f>IF(O797&lt;&gt;0,VLOOKUP(O797,'Cây trong'!$A$2:$C$246,3,0)," ")</f>
        <v>34000</v>
      </c>
      <c r="R797" s="564">
        <f t="shared" si="176"/>
        <v>1122000</v>
      </c>
      <c r="S797" s="640" t="s">
        <v>1844</v>
      </c>
      <c r="T797" s="589" t="s">
        <v>53</v>
      </c>
      <c r="U797" s="591">
        <v>30</v>
      </c>
      <c r="V797" s="589"/>
      <c r="W797" s="564">
        <f>IF(S797&lt;&gt;0,VLOOKUP(S797,VKT!$A$2:$G$415,7,0),"")</f>
        <v>770070</v>
      </c>
      <c r="X797" s="564">
        <f t="shared" si="169"/>
        <v>23102000</v>
      </c>
      <c r="Y797" s="589"/>
      <c r="Z797" s="592" t="s">
        <v>55</v>
      </c>
      <c r="AA797" s="592" t="s">
        <v>56</v>
      </c>
      <c r="AB797" s="568"/>
      <c r="AC797" s="592" t="s">
        <v>66</v>
      </c>
      <c r="AD797" s="568" t="s">
        <v>246</v>
      </c>
      <c r="AE797" s="606"/>
      <c r="AF797" s="590"/>
      <c r="AG797" s="570" t="str">
        <f>IF(AE797&lt;&gt;0,VLOOKUP(AE797,ODDS!$A$2:$C$13,3,0),"")</f>
        <v/>
      </c>
      <c r="AH797" s="570" t="str">
        <f t="shared" si="177"/>
        <v xml:space="preserve"> </v>
      </c>
      <c r="AI797" s="571" t="str">
        <f t="shared" si="172"/>
        <v xml:space="preserve"> </v>
      </c>
      <c r="AJ797" s="593" t="s">
        <v>247</v>
      </c>
      <c r="AK797" s="558" t="s">
        <v>2450</v>
      </c>
    </row>
    <row r="798" spans="1:37" s="376" customFormat="1" ht="101.25" outlineLevel="2" x14ac:dyDescent="0.3">
      <c r="A798" s="447">
        <f t="shared" si="179"/>
        <v>67</v>
      </c>
      <c r="B798" s="557"/>
      <c r="C798" s="637"/>
      <c r="D798" s="587"/>
      <c r="E798" s="587"/>
      <c r="F798" s="560"/>
      <c r="G798" s="558" t="s">
        <v>2486</v>
      </c>
      <c r="H798" s="588">
        <f>32.6-H799</f>
        <v>32.6</v>
      </c>
      <c r="I798" s="546" t="str">
        <f t="shared" si="178"/>
        <v/>
      </c>
      <c r="J798" s="589"/>
      <c r="K798" s="563">
        <f>IF(G798&lt;&gt;0,VLOOKUP(G798,'gia dat'!$A$1:$F$144,5,0)," ")</f>
        <v>554400</v>
      </c>
      <c r="L798" s="563">
        <f>IF(G798&lt;&gt;0,VLOOKUP(G798,'gia dat'!$A$1:$F$144,6,0)," ")</f>
        <v>0</v>
      </c>
      <c r="M798" s="564">
        <f t="shared" si="173"/>
        <v>18073000</v>
      </c>
      <c r="N798" s="564">
        <f t="shared" si="174"/>
        <v>0</v>
      </c>
      <c r="O798" s="558" t="s">
        <v>745</v>
      </c>
      <c r="P798" s="590">
        <v>1</v>
      </c>
      <c r="Q798" s="564">
        <f>IF(O798&lt;&gt;0,VLOOKUP(O798,'Cây trong'!$A$2:$C$246,3,0)," ")</f>
        <v>72000</v>
      </c>
      <c r="R798" s="564">
        <f t="shared" si="176"/>
        <v>72000</v>
      </c>
      <c r="S798" s="638" t="s">
        <v>1869</v>
      </c>
      <c r="T798" s="589" t="s">
        <v>53</v>
      </c>
      <c r="U798" s="591">
        <v>3.2</v>
      </c>
      <c r="V798" s="589"/>
      <c r="W798" s="564">
        <f>IF(S798&lt;&gt;0,VLOOKUP(S798,VKT!$A$2:$G$415,7,0),"")</f>
        <v>9347414</v>
      </c>
      <c r="X798" s="564">
        <f t="shared" si="169"/>
        <v>29912000</v>
      </c>
      <c r="Y798" s="589"/>
      <c r="Z798" s="592"/>
      <c r="AA798" s="592" t="s">
        <v>56</v>
      </c>
      <c r="AB798" s="568" t="s">
        <v>57</v>
      </c>
      <c r="AC798" s="592" t="s">
        <v>63</v>
      </c>
      <c r="AD798" s="592"/>
      <c r="AE798" s="592"/>
      <c r="AF798" s="590"/>
      <c r="AG798" s="570" t="str">
        <f>IF(AE798&lt;&gt;0,VLOOKUP(AE798,ODDS!$A$2:$C$13,3,0),"")</f>
        <v/>
      </c>
      <c r="AH798" s="570" t="str">
        <f t="shared" si="177"/>
        <v xml:space="preserve"> </v>
      </c>
      <c r="AI798" s="571" t="str">
        <f t="shared" si="172"/>
        <v xml:space="preserve"> </v>
      </c>
      <c r="AJ798" s="558" t="s">
        <v>2214</v>
      </c>
      <c r="AK798" s="558" t="s">
        <v>2449</v>
      </c>
    </row>
    <row r="799" spans="1:37" s="376" customFormat="1" ht="101.25" outlineLevel="2" x14ac:dyDescent="0.3">
      <c r="A799" s="447">
        <f t="shared" si="179"/>
        <v>67</v>
      </c>
      <c r="B799" s="557"/>
      <c r="C799" s="558"/>
      <c r="D799" s="587"/>
      <c r="E799" s="587"/>
      <c r="F799" s="560"/>
      <c r="G799" s="558"/>
      <c r="H799" s="588"/>
      <c r="I799" s="546"/>
      <c r="J799" s="589"/>
      <c r="K799" s="563" t="str">
        <f>IF(G799&lt;&gt;0,VLOOKUP(G799,'gia dat'!$A$1:$F$144,5,0)," ")</f>
        <v xml:space="preserve"> </v>
      </c>
      <c r="L799" s="563" t="str">
        <f>IF(G799&lt;&gt;0,VLOOKUP(G799,'gia dat'!$A$1:$F$144,6,0)," ")</f>
        <v xml:space="preserve"> </v>
      </c>
      <c r="M799" s="564" t="str">
        <f t="shared" si="173"/>
        <v xml:space="preserve"> </v>
      </c>
      <c r="N799" s="564" t="str">
        <f t="shared" si="174"/>
        <v xml:space="preserve"> </v>
      </c>
      <c r="O799" s="558" t="s">
        <v>154</v>
      </c>
      <c r="P799" s="590">
        <v>1</v>
      </c>
      <c r="Q799" s="564">
        <f>IF(O799&lt;&gt;0,VLOOKUP(O799,'Cây trong'!$A$2:$C$246,3,0)," ")</f>
        <v>248000</v>
      </c>
      <c r="R799" s="564">
        <f t="shared" si="176"/>
        <v>248000</v>
      </c>
      <c r="S799" s="566" t="s">
        <v>1870</v>
      </c>
      <c r="T799" s="589" t="s">
        <v>53</v>
      </c>
      <c r="U799" s="591">
        <v>11.6</v>
      </c>
      <c r="V799" s="589"/>
      <c r="W799" s="564">
        <f>IF(S799&lt;&gt;0,VLOOKUP(S799,VKT!$A$2:$G$415,7,0),"")</f>
        <v>1067915</v>
      </c>
      <c r="X799" s="564">
        <f t="shared" si="169"/>
        <v>12388000</v>
      </c>
      <c r="Y799" s="589"/>
      <c r="Z799" s="592"/>
      <c r="AA799" s="592"/>
      <c r="AB799" s="568"/>
      <c r="AC799" s="592"/>
      <c r="AD799" s="592"/>
      <c r="AE799" s="592"/>
      <c r="AF799" s="590"/>
      <c r="AG799" s="570" t="str">
        <f>IF(AE799&lt;&gt;0,VLOOKUP(AE799,ODDS!$A$2:$C$13,3,0),"")</f>
        <v/>
      </c>
      <c r="AH799" s="570" t="str">
        <f t="shared" si="177"/>
        <v xml:space="preserve"> </v>
      </c>
      <c r="AI799" s="571" t="str">
        <f t="shared" si="172"/>
        <v xml:space="preserve"> </v>
      </c>
      <c r="AJ799" s="558" t="s">
        <v>1715</v>
      </c>
      <c r="AK799" s="558" t="s">
        <v>2451</v>
      </c>
    </row>
    <row r="800" spans="1:37" s="376" customFormat="1" ht="101.25" outlineLevel="2" x14ac:dyDescent="0.3">
      <c r="A800" s="447">
        <f t="shared" si="179"/>
        <v>67</v>
      </c>
      <c r="B800" s="557"/>
      <c r="C800" s="636"/>
      <c r="D800" s="587"/>
      <c r="E800" s="587"/>
      <c r="F800" s="560"/>
      <c r="G800" s="558"/>
      <c r="H800" s="588"/>
      <c r="I800" s="546"/>
      <c r="J800" s="589"/>
      <c r="K800" s="563" t="str">
        <f>IF(G800&lt;&gt;0,VLOOKUP(G800,'gia dat'!$A$1:$F$144,5,0)," ")</f>
        <v xml:space="preserve"> </v>
      </c>
      <c r="L800" s="563" t="str">
        <f>IF(G800&lt;&gt;0,VLOOKUP(G800,'gia dat'!$A$1:$F$144,6,0)," ")</f>
        <v xml:space="preserve"> </v>
      </c>
      <c r="M800" s="564" t="str">
        <f t="shared" si="173"/>
        <v xml:space="preserve"> </v>
      </c>
      <c r="N800" s="564" t="str">
        <f t="shared" si="174"/>
        <v xml:space="preserve"> </v>
      </c>
      <c r="O800" s="558" t="s">
        <v>149</v>
      </c>
      <c r="P800" s="590">
        <v>1</v>
      </c>
      <c r="Q800" s="564">
        <f>IF(O800&lt;&gt;0,VLOOKUP(O800,'Cây trong'!$A$2:$C$246,3,0)," ")</f>
        <v>146000</v>
      </c>
      <c r="R800" s="564">
        <f t="shared" si="176"/>
        <v>146000</v>
      </c>
      <c r="S800" s="566" t="s">
        <v>1871</v>
      </c>
      <c r="T800" s="589" t="s">
        <v>53</v>
      </c>
      <c r="U800" s="591">
        <v>33.799999999999997</v>
      </c>
      <c r="V800" s="589"/>
      <c r="W800" s="564">
        <f>IF(S800&lt;&gt;0,VLOOKUP(S800,VKT!$A$2:$G$415,7,0),"")</f>
        <v>703764</v>
      </c>
      <c r="X800" s="564">
        <f t="shared" si="169"/>
        <v>23787000</v>
      </c>
      <c r="Y800" s="589"/>
      <c r="Z800" s="592"/>
      <c r="AA800" s="592"/>
      <c r="AB800" s="568"/>
      <c r="AC800" s="592"/>
      <c r="AD800" s="592"/>
      <c r="AE800" s="592"/>
      <c r="AF800" s="590"/>
      <c r="AG800" s="570" t="str">
        <f>IF(AE800&lt;&gt;0,VLOOKUP(AE800,ODDS!$A$2:$C$13,3,0),"")</f>
        <v/>
      </c>
      <c r="AH800" s="570" t="str">
        <f t="shared" si="177"/>
        <v xml:space="preserve"> </v>
      </c>
      <c r="AI800" s="571" t="str">
        <f t="shared" si="172"/>
        <v xml:space="preserve"> </v>
      </c>
      <c r="AJ800" s="558" t="s">
        <v>2215</v>
      </c>
      <c r="AK800" s="558" t="s">
        <v>2800</v>
      </c>
    </row>
    <row r="801" spans="1:37" s="376" customFormat="1" ht="40.5" outlineLevel="2" x14ac:dyDescent="0.3">
      <c r="A801" s="447">
        <f t="shared" si="179"/>
        <v>67</v>
      </c>
      <c r="B801" s="557"/>
      <c r="C801" s="637"/>
      <c r="D801" s="587"/>
      <c r="E801" s="587"/>
      <c r="F801" s="560"/>
      <c r="G801" s="558"/>
      <c r="H801" s="588"/>
      <c r="I801" s="546"/>
      <c r="J801" s="589"/>
      <c r="K801" s="563" t="str">
        <f>IF(G801&lt;&gt;0,VLOOKUP(G801,'gia dat'!$A$1:$F$144,5,0)," ")</f>
        <v xml:space="preserve"> </v>
      </c>
      <c r="L801" s="563" t="str">
        <f>IF(G801&lt;&gt;0,VLOOKUP(G801,'gia dat'!$A$1:$F$144,6,0)," ")</f>
        <v xml:space="preserve"> </v>
      </c>
      <c r="M801" s="564" t="str">
        <f t="shared" si="173"/>
        <v xml:space="preserve"> </v>
      </c>
      <c r="N801" s="564" t="str">
        <f t="shared" si="174"/>
        <v xml:space="preserve"> </v>
      </c>
      <c r="O801" s="558" t="s">
        <v>76</v>
      </c>
      <c r="P801" s="590">
        <v>6</v>
      </c>
      <c r="Q801" s="564">
        <f>IF(O801&lt;&gt;0,VLOOKUP(O801,'Cây trong'!$A$2:$C$246,3,0)," ")</f>
        <v>45000</v>
      </c>
      <c r="R801" s="564">
        <f t="shared" si="176"/>
        <v>270000</v>
      </c>
      <c r="S801" s="638" t="s">
        <v>1872</v>
      </c>
      <c r="T801" s="589" t="s">
        <v>78</v>
      </c>
      <c r="U801" s="591">
        <v>0.1</v>
      </c>
      <c r="V801" s="589"/>
      <c r="W801" s="564">
        <f>IF(S801&lt;&gt;0,VLOOKUP(S801,VKT!$A$2:$G$415,7,0),"")</f>
        <v>0</v>
      </c>
      <c r="X801" s="564">
        <f t="shared" si="169"/>
        <v>0</v>
      </c>
      <c r="Y801" s="589"/>
      <c r="Z801" s="592"/>
      <c r="AA801" s="592"/>
      <c r="AB801" s="568"/>
      <c r="AC801" s="592"/>
      <c r="AD801" s="592"/>
      <c r="AE801" s="592"/>
      <c r="AF801" s="590"/>
      <c r="AG801" s="570" t="str">
        <f>IF(AE801&lt;&gt;0,VLOOKUP(AE801,ODDS!$A$2:$C$13,3,0),"")</f>
        <v/>
      </c>
      <c r="AH801" s="570" t="str">
        <f t="shared" si="177"/>
        <v xml:space="preserve"> </v>
      </c>
      <c r="AI801" s="571" t="str">
        <f t="shared" si="172"/>
        <v xml:space="preserve"> </v>
      </c>
      <c r="AJ801" s="593"/>
      <c r="AK801" s="593"/>
    </row>
    <row r="802" spans="1:37" s="376" customFormat="1" ht="60.75" outlineLevel="2" x14ac:dyDescent="0.3">
      <c r="A802" s="447">
        <f t="shared" si="179"/>
        <v>67</v>
      </c>
      <c r="B802" s="557"/>
      <c r="C802" s="637"/>
      <c r="D802" s="587"/>
      <c r="E802" s="587"/>
      <c r="F802" s="560"/>
      <c r="G802" s="558"/>
      <c r="H802" s="588"/>
      <c r="I802" s="546"/>
      <c r="J802" s="589"/>
      <c r="K802" s="563" t="str">
        <f>IF(G802&lt;&gt;0,VLOOKUP(G802,'gia dat'!$A$1:$F$144,5,0)," ")</f>
        <v xml:space="preserve"> </v>
      </c>
      <c r="L802" s="563" t="str">
        <f>IF(G802&lt;&gt;0,VLOOKUP(G802,'gia dat'!$A$1:$F$144,6,0)," ")</f>
        <v xml:space="preserve"> </v>
      </c>
      <c r="M802" s="564" t="str">
        <f t="shared" si="173"/>
        <v xml:space="preserve"> </v>
      </c>
      <c r="N802" s="564" t="str">
        <f t="shared" si="174"/>
        <v xml:space="preserve"> </v>
      </c>
      <c r="O802" s="638" t="s">
        <v>248</v>
      </c>
      <c r="P802" s="590">
        <v>4</v>
      </c>
      <c r="Q802" s="564">
        <f>IF(O802&lt;&gt;0,VLOOKUP(O802,'Cây trong'!$A$2:$C$246,3,0)," ")</f>
        <v>12000</v>
      </c>
      <c r="R802" s="564">
        <f t="shared" si="176"/>
        <v>48000</v>
      </c>
      <c r="S802" s="638" t="s">
        <v>1771</v>
      </c>
      <c r="T802" s="589" t="s">
        <v>53</v>
      </c>
      <c r="U802" s="591">
        <v>1.44</v>
      </c>
      <c r="V802" s="589"/>
      <c r="W802" s="564">
        <f>IF(S802&lt;&gt;0,VLOOKUP(S802,VKT!$A$2:$G$415,7,0),"")</f>
        <v>348773</v>
      </c>
      <c r="X802" s="564">
        <f t="shared" si="169"/>
        <v>502000</v>
      </c>
      <c r="Y802" s="589"/>
      <c r="Z802" s="592"/>
      <c r="AA802" s="592"/>
      <c r="AB802" s="568"/>
      <c r="AC802" s="592"/>
      <c r="AD802" s="592"/>
      <c r="AE802" s="592"/>
      <c r="AF802" s="590"/>
      <c r="AG802" s="570" t="str">
        <f>IF(AE802&lt;&gt;0,VLOOKUP(AE802,ODDS!$A$2:$C$13,3,0),"")</f>
        <v/>
      </c>
      <c r="AH802" s="570" t="str">
        <f t="shared" si="177"/>
        <v xml:space="preserve"> </v>
      </c>
      <c r="AI802" s="571" t="str">
        <f t="shared" si="172"/>
        <v xml:space="preserve"> </v>
      </c>
      <c r="AJ802" s="593"/>
      <c r="AK802" s="593"/>
    </row>
    <row r="803" spans="1:37" s="376" customFormat="1" ht="81" outlineLevel="2" x14ac:dyDescent="0.3">
      <c r="A803" s="447">
        <f t="shared" si="179"/>
        <v>67</v>
      </c>
      <c r="B803" s="557"/>
      <c r="C803" s="558"/>
      <c r="D803" s="587"/>
      <c r="E803" s="587"/>
      <c r="F803" s="560"/>
      <c r="G803" s="558"/>
      <c r="H803" s="588"/>
      <c r="I803" s="546"/>
      <c r="J803" s="589"/>
      <c r="K803" s="563" t="str">
        <f>IF(G803&lt;&gt;0,VLOOKUP(G803,'gia dat'!$A$1:$F$144,5,0)," ")</f>
        <v xml:space="preserve"> </v>
      </c>
      <c r="L803" s="563" t="str">
        <f>IF(G803&lt;&gt;0,VLOOKUP(G803,'gia dat'!$A$1:$F$144,6,0)," ")</f>
        <v xml:space="preserve"> </v>
      </c>
      <c r="M803" s="564" t="str">
        <f t="shared" si="173"/>
        <v xml:space="preserve"> </v>
      </c>
      <c r="N803" s="564" t="str">
        <f t="shared" si="174"/>
        <v xml:space="preserve"> </v>
      </c>
      <c r="O803" s="638" t="s">
        <v>755</v>
      </c>
      <c r="P803" s="590">
        <v>3</v>
      </c>
      <c r="Q803" s="564">
        <f>IF(O803&lt;&gt;0,VLOOKUP(O803,'Cây trong'!$A$2:$C$246,3,0)," ")</f>
        <v>10000</v>
      </c>
      <c r="R803" s="564">
        <f t="shared" si="176"/>
        <v>30000</v>
      </c>
      <c r="S803" s="638" t="s">
        <v>1873</v>
      </c>
      <c r="T803" s="589" t="s">
        <v>53</v>
      </c>
      <c r="U803" s="591">
        <v>5.6</v>
      </c>
      <c r="V803" s="589"/>
      <c r="W803" s="564">
        <f>IF(S803&lt;&gt;0,VLOOKUP(S803,VKT!$A$2:$G$415,7,0),"")</f>
        <v>773302</v>
      </c>
      <c r="X803" s="564">
        <f t="shared" si="169"/>
        <v>4330000</v>
      </c>
      <c r="Y803" s="589"/>
      <c r="Z803" s="592"/>
      <c r="AA803" s="592"/>
      <c r="AB803" s="568"/>
      <c r="AC803" s="592"/>
      <c r="AD803" s="592"/>
      <c r="AE803" s="592"/>
      <c r="AF803" s="590"/>
      <c r="AG803" s="570" t="str">
        <f>IF(AE803&lt;&gt;0,VLOOKUP(AE803,ODDS!$A$2:$C$13,3,0),"")</f>
        <v/>
      </c>
      <c r="AH803" s="570" t="str">
        <f t="shared" si="177"/>
        <v xml:space="preserve"> </v>
      </c>
      <c r="AI803" s="571" t="str">
        <f t="shared" si="172"/>
        <v xml:space="preserve"> </v>
      </c>
      <c r="AJ803" s="593"/>
      <c r="AK803" s="593"/>
    </row>
    <row r="804" spans="1:37" s="376" customFormat="1" ht="40.5" outlineLevel="2" x14ac:dyDescent="0.3">
      <c r="A804" s="447">
        <f t="shared" si="179"/>
        <v>67</v>
      </c>
      <c r="B804" s="557"/>
      <c r="C804" s="558"/>
      <c r="D804" s="587"/>
      <c r="E804" s="587"/>
      <c r="F804" s="560"/>
      <c r="G804" s="558"/>
      <c r="H804" s="588"/>
      <c r="I804" s="546"/>
      <c r="J804" s="589"/>
      <c r="K804" s="563" t="str">
        <f>IF(G804&lt;&gt;0,VLOOKUP(G804,'gia dat'!$A$1:$F$144,5,0)," ")</f>
        <v xml:space="preserve"> </v>
      </c>
      <c r="L804" s="563" t="str">
        <f>IF(G804&lt;&gt;0,VLOOKUP(G804,'gia dat'!$A$1:$F$144,6,0)," ")</f>
        <v xml:space="preserve"> </v>
      </c>
      <c r="M804" s="564" t="str">
        <f t="shared" si="173"/>
        <v xml:space="preserve"> </v>
      </c>
      <c r="N804" s="564" t="str">
        <f t="shared" si="174"/>
        <v xml:space="preserve"> </v>
      </c>
      <c r="O804" s="558" t="s">
        <v>756</v>
      </c>
      <c r="P804" s="590">
        <v>3</v>
      </c>
      <c r="Q804" s="564">
        <f>IF(O804&lt;&gt;0,VLOOKUP(O804,'Cây trong'!$A$2:$C$246,3,0)," ")</f>
        <v>150000</v>
      </c>
      <c r="R804" s="564">
        <f t="shared" si="176"/>
        <v>450000</v>
      </c>
      <c r="S804" s="566" t="s">
        <v>1799</v>
      </c>
      <c r="T804" s="589" t="s">
        <v>53</v>
      </c>
      <c r="U804" s="591">
        <v>24.9</v>
      </c>
      <c r="V804" s="589"/>
      <c r="W804" s="564">
        <f>IF(S804&lt;&gt;0,VLOOKUP(S804,VKT!$A$2:$G$415,7,0),"")</f>
        <v>275180</v>
      </c>
      <c r="X804" s="564">
        <f t="shared" si="169"/>
        <v>6852000</v>
      </c>
      <c r="Y804" s="589"/>
      <c r="Z804" s="592"/>
      <c r="AA804" s="592"/>
      <c r="AB804" s="568"/>
      <c r="AC804" s="592"/>
      <c r="AD804" s="592"/>
      <c r="AE804" s="592"/>
      <c r="AF804" s="590"/>
      <c r="AG804" s="570" t="str">
        <f>IF(AE804&lt;&gt;0,VLOOKUP(AE804,ODDS!$A$2:$C$13,3,0),"")</f>
        <v/>
      </c>
      <c r="AH804" s="570" t="str">
        <f t="shared" si="177"/>
        <v xml:space="preserve"> </v>
      </c>
      <c r="AI804" s="571" t="str">
        <f t="shared" si="172"/>
        <v xml:space="preserve"> </v>
      </c>
      <c r="AJ804" s="593"/>
      <c r="AK804" s="593"/>
    </row>
    <row r="805" spans="1:37" s="376" customFormat="1" ht="40.5" outlineLevel="2" x14ac:dyDescent="0.3">
      <c r="A805" s="447">
        <f t="shared" si="179"/>
        <v>67</v>
      </c>
      <c r="B805" s="557"/>
      <c r="C805" s="558"/>
      <c r="D805" s="587"/>
      <c r="E805" s="587"/>
      <c r="F805" s="560"/>
      <c r="G805" s="558"/>
      <c r="H805" s="588"/>
      <c r="I805" s="546"/>
      <c r="J805" s="589"/>
      <c r="K805" s="563" t="str">
        <f>IF(G805&lt;&gt;0,VLOOKUP(G805,'gia dat'!$A$1:$F$144,5,0)," ")</f>
        <v xml:space="preserve"> </v>
      </c>
      <c r="L805" s="563" t="str">
        <f>IF(G805&lt;&gt;0,VLOOKUP(G805,'gia dat'!$A$1:$F$144,6,0)," ")</f>
        <v xml:space="preserve"> </v>
      </c>
      <c r="M805" s="564" t="str">
        <f t="shared" si="173"/>
        <v xml:space="preserve"> </v>
      </c>
      <c r="N805" s="564" t="str">
        <f t="shared" si="174"/>
        <v xml:space="preserve"> </v>
      </c>
      <c r="O805" s="558" t="s">
        <v>405</v>
      </c>
      <c r="P805" s="590">
        <v>7</v>
      </c>
      <c r="Q805" s="564">
        <f>IF(O805&lt;&gt;0,VLOOKUP(O805,'Cây trong'!$A$2:$C$246,3,0)," ")</f>
        <v>72000</v>
      </c>
      <c r="R805" s="564">
        <f t="shared" si="176"/>
        <v>504000</v>
      </c>
      <c r="S805" s="640" t="s">
        <v>1863</v>
      </c>
      <c r="T805" s="639" t="s">
        <v>53</v>
      </c>
      <c r="U805" s="591">
        <v>13.59</v>
      </c>
      <c r="V805" s="589"/>
      <c r="W805" s="564">
        <f>IF(S805&lt;&gt;0,VLOOKUP(S805,VKT!$A$2:$G$415,7,0),"")</f>
        <v>1107311</v>
      </c>
      <c r="X805" s="564">
        <f t="shared" si="169"/>
        <v>15048000</v>
      </c>
      <c r="Y805" s="589"/>
      <c r="Z805" s="592"/>
      <c r="AA805" s="592"/>
      <c r="AB805" s="568"/>
      <c r="AC805" s="592"/>
      <c r="AD805" s="592"/>
      <c r="AE805" s="592"/>
      <c r="AF805" s="590"/>
      <c r="AG805" s="570" t="str">
        <f>IF(AE805&lt;&gt;0,VLOOKUP(AE805,ODDS!$A$2:$C$13,3,0),"")</f>
        <v/>
      </c>
      <c r="AH805" s="570" t="str">
        <f t="shared" si="177"/>
        <v xml:space="preserve"> </v>
      </c>
      <c r="AI805" s="571" t="str">
        <f t="shared" si="172"/>
        <v xml:space="preserve"> </v>
      </c>
      <c r="AJ805" s="593"/>
      <c r="AK805" s="593"/>
    </row>
    <row r="806" spans="1:37" s="376" customFormat="1" ht="20.25" outlineLevel="2" x14ac:dyDescent="0.3">
      <c r="A806" s="447">
        <f t="shared" si="179"/>
        <v>67</v>
      </c>
      <c r="B806" s="557"/>
      <c r="C806" s="636"/>
      <c r="D806" s="587"/>
      <c r="E806" s="587"/>
      <c r="F806" s="560"/>
      <c r="G806" s="558"/>
      <c r="H806" s="588"/>
      <c r="I806" s="546"/>
      <c r="J806" s="589"/>
      <c r="K806" s="563" t="str">
        <f>IF(G806&lt;&gt;0,VLOOKUP(G806,'gia dat'!$A$1:$F$144,5,0)," ")</f>
        <v xml:space="preserve"> </v>
      </c>
      <c r="L806" s="563" t="str">
        <f>IF(G806&lt;&gt;0,VLOOKUP(G806,'gia dat'!$A$1:$F$144,6,0)," ")</f>
        <v xml:space="preserve"> </v>
      </c>
      <c r="M806" s="564" t="str">
        <f t="shared" si="173"/>
        <v xml:space="preserve"> </v>
      </c>
      <c r="N806" s="564" t="str">
        <f t="shared" si="174"/>
        <v xml:space="preserve"> </v>
      </c>
      <c r="O806" s="558" t="s">
        <v>133</v>
      </c>
      <c r="P806" s="590">
        <v>1</v>
      </c>
      <c r="Q806" s="564">
        <f>IF(O806&lt;&gt;0,VLOOKUP(O806,'Cây trong'!$A$2:$C$246,3,0)," ")</f>
        <v>758000</v>
      </c>
      <c r="R806" s="564">
        <f t="shared" si="176"/>
        <v>758000</v>
      </c>
      <c r="S806" s="566"/>
      <c r="T806" s="589"/>
      <c r="U806" s="591"/>
      <c r="V806" s="589"/>
      <c r="W806" s="564" t="str">
        <f>IF(S806&lt;&gt;0,VLOOKUP(S806,VKT!$A$2:$G$415,7,0),"")</f>
        <v/>
      </c>
      <c r="X806" s="564" t="str">
        <f t="shared" si="169"/>
        <v xml:space="preserve"> </v>
      </c>
      <c r="Y806" s="589"/>
      <c r="Z806" s="592"/>
      <c r="AA806" s="592"/>
      <c r="AB806" s="568"/>
      <c r="AC806" s="592"/>
      <c r="AD806" s="592"/>
      <c r="AE806" s="592"/>
      <c r="AF806" s="590"/>
      <c r="AG806" s="570" t="str">
        <f>IF(AE806&lt;&gt;0,VLOOKUP(AE806,ODDS!$A$2:$C$13,3,0),"")</f>
        <v/>
      </c>
      <c r="AH806" s="570" t="str">
        <f t="shared" si="177"/>
        <v xml:space="preserve"> </v>
      </c>
      <c r="AI806" s="571" t="str">
        <f t="shared" si="172"/>
        <v xml:space="preserve"> </v>
      </c>
      <c r="AJ806" s="593"/>
      <c r="AK806" s="593"/>
    </row>
    <row r="807" spans="1:37" s="376" customFormat="1" ht="60.75" outlineLevel="2" x14ac:dyDescent="0.3">
      <c r="A807" s="447">
        <f t="shared" si="179"/>
        <v>67</v>
      </c>
      <c r="B807" s="557"/>
      <c r="C807" s="558"/>
      <c r="D807" s="587"/>
      <c r="E807" s="587"/>
      <c r="F807" s="560"/>
      <c r="G807" s="558"/>
      <c r="H807" s="588"/>
      <c r="I807" s="546"/>
      <c r="J807" s="589"/>
      <c r="K807" s="563" t="str">
        <f>IF(G807&lt;&gt;0,VLOOKUP(G807,'gia dat'!$A$1:$F$144,5,0)," ")</f>
        <v xml:space="preserve"> </v>
      </c>
      <c r="L807" s="563" t="str">
        <f>IF(G807&lt;&gt;0,VLOOKUP(G807,'gia dat'!$A$1:$F$144,6,0)," ")</f>
        <v xml:space="preserve"> </v>
      </c>
      <c r="M807" s="564" t="str">
        <f t="shared" si="173"/>
        <v xml:space="preserve"> </v>
      </c>
      <c r="N807" s="564" t="str">
        <f t="shared" si="174"/>
        <v xml:space="preserve"> </v>
      </c>
      <c r="O807" s="558" t="s">
        <v>429</v>
      </c>
      <c r="P807" s="590">
        <v>3</v>
      </c>
      <c r="Q807" s="564">
        <f>IF(O807&lt;&gt;0,VLOOKUP(O807,'Cây trong'!$A$2:$C$246,3,0)," ")</f>
        <v>12000</v>
      </c>
      <c r="R807" s="564">
        <f t="shared" si="176"/>
        <v>36000</v>
      </c>
      <c r="S807" s="640"/>
      <c r="T807" s="639"/>
      <c r="U807" s="591"/>
      <c r="V807" s="589"/>
      <c r="W807" s="564" t="str">
        <f>IF(S807&lt;&gt;0,VLOOKUP(S807,VKT!$A$2:$G$415,7,0),"")</f>
        <v/>
      </c>
      <c r="X807" s="564" t="str">
        <f t="shared" si="169"/>
        <v xml:space="preserve"> </v>
      </c>
      <c r="Y807" s="589"/>
      <c r="Z807" s="592"/>
      <c r="AA807" s="592"/>
      <c r="AB807" s="568"/>
      <c r="AC807" s="592"/>
      <c r="AD807" s="592"/>
      <c r="AE807" s="592"/>
      <c r="AF807" s="590"/>
      <c r="AG807" s="570" t="str">
        <f>IF(AE807&lt;&gt;0,VLOOKUP(AE807,ODDS!$A$2:$C$13,3,0),"")</f>
        <v/>
      </c>
      <c r="AH807" s="570" t="str">
        <f t="shared" si="177"/>
        <v xml:space="preserve"> </v>
      </c>
      <c r="AI807" s="571" t="str">
        <f t="shared" si="172"/>
        <v xml:space="preserve"> </v>
      </c>
      <c r="AJ807" s="593"/>
      <c r="AK807" s="593"/>
    </row>
    <row r="808" spans="1:37" s="376" customFormat="1" ht="20.25" outlineLevel="2" x14ac:dyDescent="0.3">
      <c r="A808" s="447">
        <f t="shared" si="179"/>
        <v>67</v>
      </c>
      <c r="B808" s="557"/>
      <c r="C808" s="558"/>
      <c r="D808" s="587"/>
      <c r="E808" s="587"/>
      <c r="F808" s="560"/>
      <c r="G808" s="558"/>
      <c r="H808" s="588"/>
      <c r="I808" s="546"/>
      <c r="J808" s="589"/>
      <c r="K808" s="563" t="str">
        <f>IF(G808&lt;&gt;0,VLOOKUP(G808,'gia dat'!$A$1:$F$144,5,0)," ")</f>
        <v xml:space="preserve"> </v>
      </c>
      <c r="L808" s="563" t="str">
        <f>IF(G808&lt;&gt;0,VLOOKUP(G808,'gia dat'!$A$1:$F$144,6,0)," ")</f>
        <v xml:space="preserve"> </v>
      </c>
      <c r="M808" s="564" t="str">
        <f t="shared" si="173"/>
        <v xml:space="preserve"> </v>
      </c>
      <c r="N808" s="564" t="str">
        <f t="shared" si="174"/>
        <v xml:space="preserve"> </v>
      </c>
      <c r="O808" s="593"/>
      <c r="P808" s="616"/>
      <c r="Q808" s="564" t="str">
        <f>IF(O808&lt;&gt;0,VLOOKUP(O808,'Cây trong'!$A$2:$C$246,3,0)," ")</f>
        <v xml:space="preserve"> </v>
      </c>
      <c r="R808" s="564" t="str">
        <f t="shared" si="176"/>
        <v xml:space="preserve"> </v>
      </c>
      <c r="S808" s="640"/>
      <c r="T808" s="639"/>
      <c r="U808" s="591"/>
      <c r="V808" s="589"/>
      <c r="W808" s="564" t="str">
        <f>IF(S808&lt;&gt;0,VLOOKUP(S808,VKT!$A$2:$G$415,7,0),"")</f>
        <v/>
      </c>
      <c r="X808" s="564" t="str">
        <f t="shared" si="169"/>
        <v xml:space="preserve"> </v>
      </c>
      <c r="Y808" s="589"/>
      <c r="Z808" s="592"/>
      <c r="AA808" s="592"/>
      <c r="AB808" s="568"/>
      <c r="AC808" s="592"/>
      <c r="AD808" s="592"/>
      <c r="AE808" s="592"/>
      <c r="AF808" s="590"/>
      <c r="AG808" s="570" t="str">
        <f>IF(AE808&lt;&gt;0,VLOOKUP(AE808,ODDS!$A$2:$C$13,3,0),"")</f>
        <v/>
      </c>
      <c r="AH808" s="570" t="str">
        <f t="shared" si="177"/>
        <v xml:space="preserve"> </v>
      </c>
      <c r="AI808" s="571" t="str">
        <f t="shared" si="172"/>
        <v xml:space="preserve"> </v>
      </c>
      <c r="AJ808" s="593"/>
      <c r="AK808" s="593"/>
    </row>
    <row r="809" spans="1:37" s="376" customFormat="1" ht="20.25" outlineLevel="2" x14ac:dyDescent="0.3">
      <c r="A809" s="447">
        <f t="shared" si="179"/>
        <v>67</v>
      </c>
      <c r="B809" s="557"/>
      <c r="C809" s="636"/>
      <c r="D809" s="587"/>
      <c r="E809" s="587"/>
      <c r="F809" s="615"/>
      <c r="G809" s="558"/>
      <c r="H809" s="604"/>
      <c r="I809" s="546"/>
      <c r="J809" s="593"/>
      <c r="K809" s="563" t="str">
        <f>IF(G809&lt;&gt;0,VLOOKUP(G809,'gia dat'!$A$1:$F$144,5,0)," ")</f>
        <v xml:space="preserve"> </v>
      </c>
      <c r="L809" s="563" t="str">
        <f>IF(G809&lt;&gt;0,VLOOKUP(G809,'gia dat'!$A$1:$F$144,6,0)," ")</f>
        <v xml:space="preserve"> </v>
      </c>
      <c r="M809" s="564" t="str">
        <f t="shared" si="173"/>
        <v xml:space="preserve"> </v>
      </c>
      <c r="N809" s="564" t="str">
        <f t="shared" si="174"/>
        <v xml:space="preserve"> </v>
      </c>
      <c r="O809" s="593"/>
      <c r="P809" s="616"/>
      <c r="Q809" s="564" t="str">
        <f>IF(O809&lt;&gt;0,VLOOKUP(O809,'Cây trong'!$A$2:$C$246,3,0)," ")</f>
        <v xml:space="preserve"> </v>
      </c>
      <c r="R809" s="564" t="str">
        <f t="shared" si="176"/>
        <v xml:space="preserve"> </v>
      </c>
      <c r="S809" s="593"/>
      <c r="T809" s="593"/>
      <c r="U809" s="617"/>
      <c r="V809" s="589"/>
      <c r="W809" s="564" t="str">
        <f>IF(S809&lt;&gt;0,VLOOKUP(S809,VKT!$A$2:$G$415,7,0),"")</f>
        <v/>
      </c>
      <c r="X809" s="564" t="str">
        <f t="shared" si="169"/>
        <v xml:space="preserve"> </v>
      </c>
      <c r="Y809" s="589"/>
      <c r="Z809" s="589"/>
      <c r="AA809" s="589"/>
      <c r="AB809" s="562"/>
      <c r="AC809" s="589"/>
      <c r="AD809" s="589"/>
      <c r="AE809" s="589"/>
      <c r="AF809" s="629"/>
      <c r="AG809" s="570" t="str">
        <f>IF(AE809&lt;&gt;0,VLOOKUP(AE809,ODDS!$A$2:$C$13,3,0),"")</f>
        <v/>
      </c>
      <c r="AH809" s="570" t="str">
        <f t="shared" si="177"/>
        <v xml:space="preserve"> </v>
      </c>
      <c r="AI809" s="571" t="str">
        <f t="shared" si="172"/>
        <v xml:space="preserve"> </v>
      </c>
      <c r="AJ809" s="593"/>
      <c r="AK809" s="593"/>
    </row>
    <row r="810" spans="1:37" s="376" customFormat="1" ht="20.25" outlineLevel="2" x14ac:dyDescent="0.3">
      <c r="A810" s="447">
        <f t="shared" si="179"/>
        <v>67</v>
      </c>
      <c r="B810" s="557"/>
      <c r="C810" s="637"/>
      <c r="D810" s="587"/>
      <c r="E810" s="587"/>
      <c r="F810" s="560"/>
      <c r="G810" s="558"/>
      <c r="H810" s="588"/>
      <c r="I810" s="546"/>
      <c r="J810" s="589"/>
      <c r="K810" s="563" t="str">
        <f>IF(G810&lt;&gt;0,VLOOKUP(G810,'gia dat'!$A$1:$F$144,5,0)," ")</f>
        <v xml:space="preserve"> </v>
      </c>
      <c r="L810" s="563" t="str">
        <f>IF(G810&lt;&gt;0,VLOOKUP(G810,'gia dat'!$A$1:$F$144,6,0)," ")</f>
        <v xml:space="preserve"> </v>
      </c>
      <c r="M810" s="564" t="str">
        <f t="shared" si="173"/>
        <v xml:space="preserve"> </v>
      </c>
      <c r="N810" s="564" t="str">
        <f t="shared" si="174"/>
        <v xml:space="preserve"> </v>
      </c>
      <c r="O810" s="558"/>
      <c r="P810" s="590"/>
      <c r="Q810" s="564" t="str">
        <f>IF(O810&lt;&gt;0,VLOOKUP(O810,'Cây trong'!$A$2:$C$246,3,0)," ")</f>
        <v xml:space="preserve"> </v>
      </c>
      <c r="R810" s="564" t="str">
        <f t="shared" si="176"/>
        <v xml:space="preserve"> </v>
      </c>
      <c r="S810" s="566"/>
      <c r="T810" s="589"/>
      <c r="U810" s="591"/>
      <c r="V810" s="589"/>
      <c r="W810" s="564" t="str">
        <f>IF(S810&lt;&gt;0,VLOOKUP(S810,VKT!$A$2:$G$415,7,0),"")</f>
        <v/>
      </c>
      <c r="X810" s="564" t="str">
        <f t="shared" si="169"/>
        <v xml:space="preserve"> </v>
      </c>
      <c r="Y810" s="589"/>
      <c r="Z810" s="592"/>
      <c r="AA810" s="592"/>
      <c r="AB810" s="568"/>
      <c r="AC810" s="592"/>
      <c r="AD810" s="592"/>
      <c r="AE810" s="592"/>
      <c r="AF810" s="590"/>
      <c r="AG810" s="570" t="str">
        <f>IF(AE810&lt;&gt;0,VLOOKUP(AE810,ODDS!$A$2:$C$13,3,0),"")</f>
        <v/>
      </c>
      <c r="AH810" s="570" t="str">
        <f t="shared" si="177"/>
        <v xml:space="preserve"> </v>
      </c>
      <c r="AI810" s="571" t="str">
        <f t="shared" si="172"/>
        <v xml:space="preserve"> </v>
      </c>
      <c r="AJ810" s="593"/>
      <c r="AK810" s="593"/>
    </row>
    <row r="811" spans="1:37" s="376" customFormat="1" ht="20.25" outlineLevel="2" x14ac:dyDescent="0.3">
      <c r="A811" s="447">
        <f t="shared" si="179"/>
        <v>67</v>
      </c>
      <c r="B811" s="557"/>
      <c r="C811" s="637"/>
      <c r="D811" s="587"/>
      <c r="E811" s="587"/>
      <c r="F811" s="560"/>
      <c r="G811" s="558"/>
      <c r="H811" s="588"/>
      <c r="I811" s="546"/>
      <c r="J811" s="589"/>
      <c r="K811" s="563" t="str">
        <f>IF(G811&lt;&gt;0,VLOOKUP(G811,'gia dat'!$A$1:$F$144,5,0)," ")</f>
        <v xml:space="preserve"> </v>
      </c>
      <c r="L811" s="563" t="str">
        <f>IF(G811&lt;&gt;0,VLOOKUP(G811,'gia dat'!$A$1:$F$144,6,0)," ")</f>
        <v xml:space="preserve"> </v>
      </c>
      <c r="M811" s="564" t="str">
        <f t="shared" si="173"/>
        <v xml:space="preserve"> </v>
      </c>
      <c r="N811" s="564" t="str">
        <f t="shared" si="174"/>
        <v xml:space="preserve"> </v>
      </c>
      <c r="O811" s="638"/>
      <c r="P811" s="664"/>
      <c r="Q811" s="564" t="str">
        <f>IF(O811&lt;&gt;0,VLOOKUP(O811,'Cây trong'!$A$2:$C$246,3,0)," ")</f>
        <v xml:space="preserve"> </v>
      </c>
      <c r="R811" s="564" t="str">
        <f t="shared" si="176"/>
        <v xml:space="preserve"> </v>
      </c>
      <c r="S811" s="638"/>
      <c r="T811" s="640"/>
      <c r="U811" s="591"/>
      <c r="V811" s="680"/>
      <c r="W811" s="564" t="str">
        <f>IF(S811&lt;&gt;0,VLOOKUP(S811,VKT!$A$2:$G$415,7,0),"")</f>
        <v/>
      </c>
      <c r="X811" s="564" t="str">
        <f t="shared" si="169"/>
        <v xml:space="preserve"> </v>
      </c>
      <c r="Y811" s="589"/>
      <c r="Z811" s="592"/>
      <c r="AA811" s="592"/>
      <c r="AB811" s="568"/>
      <c r="AC811" s="592"/>
      <c r="AD811" s="592"/>
      <c r="AE811" s="592"/>
      <c r="AF811" s="590"/>
      <c r="AG811" s="570" t="str">
        <f>IF(AE811&lt;&gt;0,VLOOKUP(AE811,ODDS!$A$2:$C$13,3,0),"")</f>
        <v/>
      </c>
      <c r="AH811" s="570" t="str">
        <f t="shared" si="177"/>
        <v xml:space="preserve"> </v>
      </c>
      <c r="AI811" s="571" t="str">
        <f t="shared" si="172"/>
        <v xml:space="preserve"> </v>
      </c>
      <c r="AJ811" s="593"/>
      <c r="AK811" s="593"/>
    </row>
    <row r="812" spans="1:37" s="376" customFormat="1" ht="20.25" outlineLevel="2" x14ac:dyDescent="0.3">
      <c r="A812" s="447">
        <f t="shared" si="179"/>
        <v>67</v>
      </c>
      <c r="B812" s="557"/>
      <c r="C812" s="636"/>
      <c r="D812" s="587"/>
      <c r="E812" s="587"/>
      <c r="F812" s="560"/>
      <c r="G812" s="558"/>
      <c r="H812" s="588"/>
      <c r="I812" s="546"/>
      <c r="J812" s="589"/>
      <c r="K812" s="563" t="str">
        <f>IF(G812&lt;&gt;0,VLOOKUP(G812,'gia dat'!$A$1:$F$144,5,0)," ")</f>
        <v xml:space="preserve"> </v>
      </c>
      <c r="L812" s="563" t="str">
        <f>IF(G812&lt;&gt;0,VLOOKUP(G812,'gia dat'!$A$1:$F$144,6,0)," ")</f>
        <v xml:space="preserve"> </v>
      </c>
      <c r="M812" s="564" t="str">
        <f t="shared" si="173"/>
        <v xml:space="preserve"> </v>
      </c>
      <c r="N812" s="564" t="str">
        <f t="shared" si="174"/>
        <v xml:space="preserve"> </v>
      </c>
      <c r="O812" s="638"/>
      <c r="P812" s="664"/>
      <c r="Q812" s="564" t="str">
        <f>IF(O812&lt;&gt;0,VLOOKUP(O812,'Cây trong'!$A$2:$C$246,3,0)," ")</f>
        <v xml:space="preserve"> </v>
      </c>
      <c r="R812" s="564" t="str">
        <f t="shared" si="176"/>
        <v xml:space="preserve"> </v>
      </c>
      <c r="S812" s="638"/>
      <c r="T812" s="640"/>
      <c r="U812" s="591"/>
      <c r="V812" s="680"/>
      <c r="W812" s="564" t="str">
        <f>IF(S812&lt;&gt;0,VLOOKUP(S812,VKT!$A$2:$G$415,7,0),"")</f>
        <v/>
      </c>
      <c r="X812" s="564" t="str">
        <f t="shared" si="169"/>
        <v xml:space="preserve"> </v>
      </c>
      <c r="Y812" s="589"/>
      <c r="Z812" s="592"/>
      <c r="AA812" s="592"/>
      <c r="AB812" s="568"/>
      <c r="AC812" s="592"/>
      <c r="AD812" s="592"/>
      <c r="AE812" s="592"/>
      <c r="AF812" s="590"/>
      <c r="AG812" s="570" t="str">
        <f>IF(AE812&lt;&gt;0,VLOOKUP(AE812,ODDS!$A$2:$C$13,3,0),"")</f>
        <v/>
      </c>
      <c r="AH812" s="570" t="str">
        <f t="shared" si="177"/>
        <v xml:space="preserve"> </v>
      </c>
      <c r="AI812" s="571" t="str">
        <f t="shared" si="172"/>
        <v xml:space="preserve"> </v>
      </c>
      <c r="AJ812" s="593"/>
      <c r="AK812" s="593"/>
    </row>
    <row r="813" spans="1:37" s="376" customFormat="1" ht="20.25" outlineLevel="1" x14ac:dyDescent="0.25">
      <c r="A813" s="467" t="s">
        <v>2642</v>
      </c>
      <c r="B813" s="576">
        <v>68</v>
      </c>
      <c r="C813" s="636" t="s">
        <v>45</v>
      </c>
      <c r="D813" s="595"/>
      <c r="E813" s="595"/>
      <c r="F813" s="577"/>
      <c r="G813" s="574"/>
      <c r="H813" s="618">
        <f>SUBTOTAL(9,H814:H835)</f>
        <v>21.3</v>
      </c>
      <c r="I813" s="579">
        <f>SUBTOTAL(9,I814:I819)</f>
        <v>0</v>
      </c>
      <c r="J813" s="597"/>
      <c r="K813" s="581"/>
      <c r="L813" s="581"/>
      <c r="M813" s="571">
        <f>SUBTOTAL(9,M814:M835)</f>
        <v>11809000</v>
      </c>
      <c r="N813" s="571">
        <f>SUBTOTAL(9,N814:N835)</f>
        <v>0</v>
      </c>
      <c r="O813" s="574"/>
      <c r="P813" s="599">
        <f>SUBTOTAL(9,P814:P835)</f>
        <v>0</v>
      </c>
      <c r="Q813" s="571"/>
      <c r="R813" s="571">
        <f>SUBTOTAL(9,R814:R835)</f>
        <v>0</v>
      </c>
      <c r="S813" s="673"/>
      <c r="T813" s="674"/>
      <c r="U813" s="600">
        <f>SUBTOTAL(9,U814:U835)</f>
        <v>64.27000000000001</v>
      </c>
      <c r="V813" s="682"/>
      <c r="W813" s="571"/>
      <c r="X813" s="571">
        <f>SUBTOTAL(9,X814:X835)</f>
        <v>141726000</v>
      </c>
      <c r="Y813" s="589"/>
      <c r="Z813" s="592"/>
      <c r="AA813" s="592"/>
      <c r="AB813" s="568"/>
      <c r="AC813" s="592"/>
      <c r="AD813" s="568"/>
      <c r="AE813" s="584"/>
      <c r="AF813" s="581">
        <f>SUBTOTAL(9,AF814:AF835)</f>
        <v>0</v>
      </c>
      <c r="AG813" s="585"/>
      <c r="AH813" s="585">
        <f>SUBTOTAL(9,AH814:AH835)</f>
        <v>0</v>
      </c>
      <c r="AI813" s="571">
        <f t="shared" si="172"/>
        <v>153535000</v>
      </c>
      <c r="AJ813" s="574"/>
      <c r="AK813" s="578"/>
    </row>
    <row r="814" spans="1:37" s="376" customFormat="1" ht="121.5" outlineLevel="2" x14ac:dyDescent="0.3">
      <c r="A814" s="447">
        <f>IF(B813&lt;&gt;0,B813,A812)</f>
        <v>68</v>
      </c>
      <c r="B814" s="557"/>
      <c r="C814" s="637" t="s">
        <v>249</v>
      </c>
      <c r="D814" s="587">
        <v>4</v>
      </c>
      <c r="E814" s="587">
        <v>86</v>
      </c>
      <c r="F814" s="560">
        <v>388</v>
      </c>
      <c r="G814" s="558" t="s">
        <v>2483</v>
      </c>
      <c r="H814" s="588">
        <f>21.3</f>
        <v>21.3</v>
      </c>
      <c r="I814" s="546" t="str">
        <f t="shared" ref="I814" si="180">IF(N814&gt;0,H814,"")</f>
        <v/>
      </c>
      <c r="J814" s="589"/>
      <c r="K814" s="563">
        <f>IF(G814&lt;&gt;0,VLOOKUP(G814,'gia dat'!$A$1:$F$144,5,0)," ")</f>
        <v>554400</v>
      </c>
      <c r="L814" s="563">
        <f>IF(G814&lt;&gt;0,VLOOKUP(G814,'gia dat'!$A$1:$F$144,6,0)," ")</f>
        <v>0</v>
      </c>
      <c r="M814" s="564">
        <f t="shared" si="173"/>
        <v>11809000</v>
      </c>
      <c r="N814" s="564">
        <f t="shared" si="174"/>
        <v>0</v>
      </c>
      <c r="O814" s="558"/>
      <c r="P814" s="590"/>
      <c r="Q814" s="564" t="str">
        <f>IF(O814&lt;&gt;0,VLOOKUP(O814,'Cây trong'!$A$2:$C$246,3,0)," ")</f>
        <v xml:space="preserve"> </v>
      </c>
      <c r="R814" s="564" t="str">
        <f t="shared" si="176"/>
        <v xml:space="preserve"> </v>
      </c>
      <c r="S814" s="638" t="s">
        <v>1820</v>
      </c>
      <c r="T814" s="639" t="s">
        <v>53</v>
      </c>
      <c r="U814" s="591">
        <v>15.2</v>
      </c>
      <c r="V814" s="680">
        <v>35.5</v>
      </c>
      <c r="W814" s="564">
        <f>IF(S814&lt;&gt;0,VLOOKUP(S814,VKT!$A$2:$G$415,7,0),"")</f>
        <v>5307665</v>
      </c>
      <c r="X814" s="564">
        <f t="shared" si="169"/>
        <v>80677000</v>
      </c>
      <c r="Y814" s="589" t="s">
        <v>63</v>
      </c>
      <c r="Z814" s="592" t="s">
        <v>55</v>
      </c>
      <c r="AA814" s="592" t="s">
        <v>56</v>
      </c>
      <c r="AB814" s="568" t="s">
        <v>57</v>
      </c>
      <c r="AC814" s="592" t="s">
        <v>63</v>
      </c>
      <c r="AD814" s="568" t="s">
        <v>430</v>
      </c>
      <c r="AE814" s="568"/>
      <c r="AF814" s="563"/>
      <c r="AG814" s="570" t="str">
        <f>IF(AE814&lt;&gt;0,VLOOKUP(AE814,ODDS!$A$2:$C$13,3,0),"")</f>
        <v/>
      </c>
      <c r="AH814" s="570"/>
      <c r="AI814" s="571" t="str">
        <f t="shared" si="172"/>
        <v xml:space="preserve"> </v>
      </c>
      <c r="AJ814" s="558" t="s">
        <v>1716</v>
      </c>
      <c r="AK814" s="586" t="s">
        <v>2771</v>
      </c>
    </row>
    <row r="815" spans="1:37" s="376" customFormat="1" ht="121.5" outlineLevel="2" x14ac:dyDescent="0.3">
      <c r="A815" s="447">
        <f t="shared" ref="A815:A835" si="181">IF(B814&lt;&gt;0,B814,A814)</f>
        <v>68</v>
      </c>
      <c r="B815" s="557"/>
      <c r="C815" s="637" t="s">
        <v>702</v>
      </c>
      <c r="D815" s="587"/>
      <c r="E815" s="587"/>
      <c r="F815" s="560"/>
      <c r="G815" s="558"/>
      <c r="H815" s="588"/>
      <c r="I815" s="546"/>
      <c r="J815" s="589"/>
      <c r="K815" s="563" t="str">
        <f>IF(G815&lt;&gt;0,VLOOKUP(G815,'gia dat'!$A$1:$F$144,5,0)," ")</f>
        <v xml:space="preserve"> </v>
      </c>
      <c r="L815" s="563" t="str">
        <f>IF(G815&lt;&gt;0,VLOOKUP(G815,'gia dat'!$A$1:$F$144,6,0)," ")</f>
        <v xml:space="preserve"> </v>
      </c>
      <c r="M815" s="564" t="str">
        <f t="shared" si="173"/>
        <v xml:space="preserve"> </v>
      </c>
      <c r="N815" s="564" t="str">
        <f t="shared" si="174"/>
        <v xml:space="preserve"> </v>
      </c>
      <c r="O815" s="558"/>
      <c r="P815" s="590"/>
      <c r="Q815" s="564" t="str">
        <f>IF(O815&lt;&gt;0,VLOOKUP(O815,'Cây trong'!$A$2:$C$246,3,0)," ")</f>
        <v xml:space="preserve"> </v>
      </c>
      <c r="R815" s="564" t="str">
        <f t="shared" si="176"/>
        <v xml:space="preserve"> </v>
      </c>
      <c r="S815" s="638" t="s">
        <v>1844</v>
      </c>
      <c r="T815" s="639" t="s">
        <v>53</v>
      </c>
      <c r="U815" s="591"/>
      <c r="V815" s="685">
        <v>16.5</v>
      </c>
      <c r="W815" s="564">
        <f>IF(S815&lt;&gt;0,VLOOKUP(S815,VKT!$A$2:$G$415,7,0),"")</f>
        <v>770070</v>
      </c>
      <c r="X815" s="564">
        <f t="shared" si="169"/>
        <v>0</v>
      </c>
      <c r="Y815" s="589"/>
      <c r="Z815" s="592" t="s">
        <v>55</v>
      </c>
      <c r="AA815" s="592" t="s">
        <v>141</v>
      </c>
      <c r="AB815" s="568"/>
      <c r="AC815" s="592" t="s">
        <v>66</v>
      </c>
      <c r="AD815" s="592"/>
      <c r="AE815" s="592"/>
      <c r="AF815" s="590"/>
      <c r="AG815" s="570" t="str">
        <f>IF(AE815&lt;&gt;0,VLOOKUP(AE815,ODDS!$A$2:$C$13,3,0),"")</f>
        <v/>
      </c>
      <c r="AH815" s="570" t="str">
        <f t="shared" si="177"/>
        <v xml:space="preserve"> </v>
      </c>
      <c r="AI815" s="571" t="str">
        <f t="shared" si="172"/>
        <v xml:space="preserve"> </v>
      </c>
      <c r="AJ815" s="558" t="s">
        <v>587</v>
      </c>
      <c r="AK815" s="558" t="s">
        <v>2450</v>
      </c>
    </row>
    <row r="816" spans="1:37" s="376" customFormat="1" ht="101.25" outlineLevel="2" x14ac:dyDescent="0.3">
      <c r="A816" s="447">
        <f t="shared" si="181"/>
        <v>68</v>
      </c>
      <c r="B816" s="557"/>
      <c r="C816" s="558" t="s">
        <v>316</v>
      </c>
      <c r="D816" s="587"/>
      <c r="E816" s="587"/>
      <c r="F816" s="560"/>
      <c r="G816" s="558"/>
      <c r="H816" s="588"/>
      <c r="I816" s="546"/>
      <c r="J816" s="589"/>
      <c r="K816" s="563" t="str">
        <f>IF(G816&lt;&gt;0,VLOOKUP(G816,'gia dat'!$A$1:$F$144,5,0)," ")</f>
        <v xml:space="preserve"> </v>
      </c>
      <c r="L816" s="563" t="str">
        <f>IF(G816&lt;&gt;0,VLOOKUP(G816,'gia dat'!$A$1:$F$144,6,0)," ")</f>
        <v xml:space="preserve"> </v>
      </c>
      <c r="M816" s="564" t="str">
        <f t="shared" si="173"/>
        <v xml:space="preserve"> </v>
      </c>
      <c r="N816" s="564" t="str">
        <f t="shared" si="174"/>
        <v xml:space="preserve"> </v>
      </c>
      <c r="O816" s="558"/>
      <c r="P816" s="590"/>
      <c r="Q816" s="564" t="str">
        <f>IF(O816&lt;&gt;0,VLOOKUP(O816,'Cây trong'!$A$2:$C$246,3,0)," ")</f>
        <v xml:space="preserve"> </v>
      </c>
      <c r="R816" s="564" t="str">
        <f t="shared" si="176"/>
        <v xml:space="preserve"> </v>
      </c>
      <c r="S816" s="638" t="s">
        <v>1844</v>
      </c>
      <c r="T816" s="639" t="s">
        <v>53</v>
      </c>
      <c r="U816" s="591"/>
      <c r="V816" s="685">
        <v>7.8</v>
      </c>
      <c r="W816" s="564">
        <f>IF(S816&lt;&gt;0,VLOOKUP(S816,VKT!$A$2:$G$415,7,0),"")</f>
        <v>770070</v>
      </c>
      <c r="X816" s="564">
        <f t="shared" si="169"/>
        <v>0</v>
      </c>
      <c r="Y816" s="589"/>
      <c r="Z816" s="592" t="s">
        <v>55</v>
      </c>
      <c r="AA816" s="592" t="s">
        <v>141</v>
      </c>
      <c r="AB816" s="568"/>
      <c r="AC816" s="592" t="s">
        <v>66</v>
      </c>
      <c r="AD816" s="592"/>
      <c r="AE816" s="592"/>
      <c r="AF816" s="590"/>
      <c r="AG816" s="570" t="str">
        <f>IF(AE816&lt;&gt;0,VLOOKUP(AE816,ODDS!$A$2:$C$13,3,0),"")</f>
        <v/>
      </c>
      <c r="AH816" s="570" t="str">
        <f t="shared" si="177"/>
        <v xml:space="preserve"> </v>
      </c>
      <c r="AI816" s="571" t="str">
        <f t="shared" si="172"/>
        <v xml:space="preserve"> </v>
      </c>
      <c r="AJ816" s="593" t="s">
        <v>250</v>
      </c>
      <c r="AK816" s="558" t="s">
        <v>2800</v>
      </c>
    </row>
    <row r="817" spans="1:37" s="376" customFormat="1" ht="81" outlineLevel="2" x14ac:dyDescent="0.3">
      <c r="A817" s="447">
        <f t="shared" si="181"/>
        <v>68</v>
      </c>
      <c r="B817" s="557"/>
      <c r="C817" s="558"/>
      <c r="D817" s="587"/>
      <c r="E817" s="587"/>
      <c r="F817" s="560"/>
      <c r="G817" s="558"/>
      <c r="H817" s="588"/>
      <c r="I817" s="546"/>
      <c r="J817" s="589"/>
      <c r="K817" s="563" t="str">
        <f>IF(G817&lt;&gt;0,VLOOKUP(G817,'gia dat'!$A$1:$F$144,5,0)," ")</f>
        <v xml:space="preserve"> </v>
      </c>
      <c r="L817" s="563" t="str">
        <f>IF(G817&lt;&gt;0,VLOOKUP(G817,'gia dat'!$A$1:$F$144,6,0)," ")</f>
        <v xml:space="preserve"> </v>
      </c>
      <c r="M817" s="564" t="str">
        <f t="shared" si="173"/>
        <v xml:space="preserve"> </v>
      </c>
      <c r="N817" s="564" t="str">
        <f t="shared" si="174"/>
        <v xml:space="preserve"> </v>
      </c>
      <c r="O817" s="558"/>
      <c r="P817" s="590"/>
      <c r="Q817" s="564" t="str">
        <f>IF(O817&lt;&gt;0,VLOOKUP(O817,'Cây trong'!$A$2:$C$246,3,0)," ")</f>
        <v xml:space="preserve"> </v>
      </c>
      <c r="R817" s="564" t="str">
        <f t="shared" si="176"/>
        <v xml:space="preserve"> </v>
      </c>
      <c r="S817" s="638" t="s">
        <v>1874</v>
      </c>
      <c r="T817" s="639" t="s">
        <v>53</v>
      </c>
      <c r="U817" s="591">
        <v>3.6</v>
      </c>
      <c r="V817" s="680"/>
      <c r="W817" s="564">
        <f>IF(S817&lt;&gt;0,VLOOKUP(S817,VKT!$A$2:$G$415,7,0),"")</f>
        <v>9347414</v>
      </c>
      <c r="X817" s="564">
        <f t="shared" si="169"/>
        <v>33651000</v>
      </c>
      <c r="Y817" s="589"/>
      <c r="Z817" s="592" t="s">
        <v>63</v>
      </c>
      <c r="AA817" s="592" t="s">
        <v>56</v>
      </c>
      <c r="AB817" s="568" t="s">
        <v>57</v>
      </c>
      <c r="AC817" s="592" t="s">
        <v>63</v>
      </c>
      <c r="AD817" s="592"/>
      <c r="AE817" s="592"/>
      <c r="AF817" s="590"/>
      <c r="AG817" s="570" t="str">
        <f>IF(AE817&lt;&gt;0,VLOOKUP(AE817,ODDS!$A$2:$C$13,3,0),"")</f>
        <v/>
      </c>
      <c r="AH817" s="570" t="str">
        <f t="shared" si="177"/>
        <v xml:space="preserve"> </v>
      </c>
      <c r="AI817" s="571" t="str">
        <f t="shared" si="172"/>
        <v xml:space="preserve"> </v>
      </c>
      <c r="AJ817" s="593"/>
      <c r="AK817" s="558"/>
    </row>
    <row r="818" spans="1:37" s="376" customFormat="1" ht="40.5" outlineLevel="2" x14ac:dyDescent="0.3">
      <c r="A818" s="447">
        <f t="shared" si="181"/>
        <v>68</v>
      </c>
      <c r="B818" s="557"/>
      <c r="C818" s="558"/>
      <c r="D818" s="587"/>
      <c r="E818" s="587"/>
      <c r="F818" s="560"/>
      <c r="G818" s="558"/>
      <c r="H818" s="588"/>
      <c r="I818" s="546"/>
      <c r="J818" s="589"/>
      <c r="K818" s="563" t="str">
        <f>IF(G818&lt;&gt;0,VLOOKUP(G818,'gia dat'!$A$1:$F$144,5,0)," ")</f>
        <v xml:space="preserve"> </v>
      </c>
      <c r="L818" s="563" t="str">
        <f>IF(G818&lt;&gt;0,VLOOKUP(G818,'gia dat'!$A$1:$F$144,6,0)," ")</f>
        <v xml:space="preserve"> </v>
      </c>
      <c r="M818" s="564" t="str">
        <f t="shared" si="173"/>
        <v xml:space="preserve"> </v>
      </c>
      <c r="N818" s="564" t="str">
        <f t="shared" si="174"/>
        <v xml:space="preserve"> </v>
      </c>
      <c r="O818" s="558"/>
      <c r="P818" s="590"/>
      <c r="Q818" s="564" t="str">
        <f>IF(O818&lt;&gt;0,VLOOKUP(O818,'Cây trong'!$A$2:$C$246,3,0)," ")</f>
        <v xml:space="preserve"> </v>
      </c>
      <c r="R818" s="564" t="str">
        <f t="shared" si="176"/>
        <v xml:space="preserve"> </v>
      </c>
      <c r="S818" s="566" t="s">
        <v>1767</v>
      </c>
      <c r="T818" s="639" t="s">
        <v>53</v>
      </c>
      <c r="U818" s="591">
        <v>2.16</v>
      </c>
      <c r="V818" s="680"/>
      <c r="W818" s="564">
        <f>IF(S818&lt;&gt;0,VLOOKUP(S818,VKT!$A$2:$G$415,7,0),"")</f>
        <v>0</v>
      </c>
      <c r="X818" s="564">
        <f t="shared" si="169"/>
        <v>0</v>
      </c>
      <c r="Y818" s="589"/>
      <c r="Z818" s="592"/>
      <c r="AA818" s="592"/>
      <c r="AB818" s="568"/>
      <c r="AC818" s="592"/>
      <c r="AD818" s="592"/>
      <c r="AE818" s="592"/>
      <c r="AF818" s="590"/>
      <c r="AG818" s="570" t="str">
        <f>IF(AE818&lt;&gt;0,VLOOKUP(AE818,ODDS!$A$2:$C$13,3,0),"")</f>
        <v/>
      </c>
      <c r="AH818" s="570" t="str">
        <f t="shared" si="177"/>
        <v xml:space="preserve"> </v>
      </c>
      <c r="AI818" s="571" t="str">
        <f t="shared" si="172"/>
        <v xml:space="preserve"> </v>
      </c>
      <c r="AJ818" s="593"/>
      <c r="AK818" s="593"/>
    </row>
    <row r="819" spans="1:37" s="376" customFormat="1" ht="60.75" outlineLevel="2" x14ac:dyDescent="0.3">
      <c r="A819" s="447">
        <f t="shared" si="181"/>
        <v>68</v>
      </c>
      <c r="B819" s="557"/>
      <c r="C819" s="558"/>
      <c r="D819" s="587"/>
      <c r="E819" s="587"/>
      <c r="F819" s="560"/>
      <c r="G819" s="558"/>
      <c r="H819" s="588"/>
      <c r="I819" s="546"/>
      <c r="J819" s="589"/>
      <c r="K819" s="563" t="str">
        <f>IF(G819&lt;&gt;0,VLOOKUP(G819,'gia dat'!$A$1:$F$144,5,0)," ")</f>
        <v xml:space="preserve"> </v>
      </c>
      <c r="L819" s="563" t="str">
        <f>IF(G819&lt;&gt;0,VLOOKUP(G819,'gia dat'!$A$1:$F$144,6,0)," ")</f>
        <v xml:space="preserve"> </v>
      </c>
      <c r="M819" s="564" t="str">
        <f t="shared" si="173"/>
        <v xml:space="preserve"> </v>
      </c>
      <c r="N819" s="564" t="str">
        <f t="shared" si="174"/>
        <v xml:space="preserve"> </v>
      </c>
      <c r="O819" s="558"/>
      <c r="P819" s="590"/>
      <c r="Q819" s="564" t="str">
        <f>IF(O819&lt;&gt;0,VLOOKUP(O819,'Cây trong'!$A$2:$C$246,3,0)," ")</f>
        <v xml:space="preserve"> </v>
      </c>
      <c r="R819" s="564" t="str">
        <f t="shared" si="176"/>
        <v xml:space="preserve"> </v>
      </c>
      <c r="S819" s="638" t="s">
        <v>1875</v>
      </c>
      <c r="T819" s="639" t="s">
        <v>53</v>
      </c>
      <c r="U819" s="591">
        <v>4.96</v>
      </c>
      <c r="V819" s="589"/>
      <c r="W819" s="564">
        <f>IF(S819&lt;&gt;0,VLOOKUP(S819,VKT!$A$2:$G$415,7,0),"")</f>
        <v>496651</v>
      </c>
      <c r="X819" s="564">
        <f t="shared" si="169"/>
        <v>2463000</v>
      </c>
      <c r="Y819" s="589"/>
      <c r="Z819" s="592"/>
      <c r="AA819" s="592"/>
      <c r="AB819" s="568"/>
      <c r="AC819" s="592"/>
      <c r="AD819" s="592"/>
      <c r="AE819" s="592"/>
      <c r="AF819" s="590"/>
      <c r="AG819" s="570" t="str">
        <f>IF(AE819&lt;&gt;0,VLOOKUP(AE819,ODDS!$A$2:$C$13,3,0),"")</f>
        <v/>
      </c>
      <c r="AH819" s="570" t="str">
        <f t="shared" si="177"/>
        <v xml:space="preserve"> </v>
      </c>
      <c r="AI819" s="571" t="str">
        <f t="shared" si="172"/>
        <v xml:space="preserve"> </v>
      </c>
      <c r="AJ819" s="593"/>
      <c r="AK819" s="593"/>
    </row>
    <row r="820" spans="1:37" s="376" customFormat="1" ht="60.75" outlineLevel="2" x14ac:dyDescent="0.3">
      <c r="A820" s="447">
        <f t="shared" si="181"/>
        <v>68</v>
      </c>
      <c r="B820" s="557"/>
      <c r="C820" s="636"/>
      <c r="D820" s="587"/>
      <c r="E820" s="587"/>
      <c r="F820" s="560"/>
      <c r="G820" s="558"/>
      <c r="H820" s="588"/>
      <c r="I820" s="546"/>
      <c r="J820" s="589"/>
      <c r="K820" s="563" t="str">
        <f>IF(G820&lt;&gt;0,VLOOKUP(G820,'gia dat'!$A$1:$F$144,5,0)," ")</f>
        <v xml:space="preserve"> </v>
      </c>
      <c r="L820" s="563" t="str">
        <f>IF(G820&lt;&gt;0,VLOOKUP(G820,'gia dat'!$A$1:$F$144,6,0)," ")</f>
        <v xml:space="preserve"> </v>
      </c>
      <c r="M820" s="564" t="str">
        <f t="shared" si="173"/>
        <v xml:space="preserve"> </v>
      </c>
      <c r="N820" s="564" t="str">
        <f t="shared" si="174"/>
        <v xml:space="preserve"> </v>
      </c>
      <c r="O820" s="558"/>
      <c r="P820" s="590"/>
      <c r="Q820" s="564" t="str">
        <f>IF(O820&lt;&gt;0,VLOOKUP(O820,'Cây trong'!$A$2:$C$246,3,0)," ")</f>
        <v xml:space="preserve"> </v>
      </c>
      <c r="R820" s="564" t="str">
        <f t="shared" si="176"/>
        <v xml:space="preserve"> </v>
      </c>
      <c r="S820" s="638" t="s">
        <v>1876</v>
      </c>
      <c r="T820" s="639" t="s">
        <v>53</v>
      </c>
      <c r="U820" s="591">
        <v>15.9</v>
      </c>
      <c r="V820" s="589"/>
      <c r="W820" s="564">
        <f>IF(S820&lt;&gt;0,VLOOKUP(S820,VKT!$A$2:$G$415,7,0),"")</f>
        <v>0</v>
      </c>
      <c r="X820" s="564">
        <f t="shared" si="169"/>
        <v>0</v>
      </c>
      <c r="Y820" s="589"/>
      <c r="Z820" s="592"/>
      <c r="AA820" s="592"/>
      <c r="AB820" s="568"/>
      <c r="AC820" s="592"/>
      <c r="AD820" s="592"/>
      <c r="AE820" s="592"/>
      <c r="AF820" s="590"/>
      <c r="AG820" s="570" t="str">
        <f>IF(AE820&lt;&gt;0,VLOOKUP(AE820,ODDS!$A$2:$C$13,3,0),"")</f>
        <v/>
      </c>
      <c r="AH820" s="570" t="str">
        <f t="shared" si="177"/>
        <v xml:space="preserve"> </v>
      </c>
      <c r="AI820" s="571" t="str">
        <f t="shared" si="172"/>
        <v xml:space="preserve"> </v>
      </c>
      <c r="AJ820" s="593"/>
      <c r="AK820" s="593"/>
    </row>
    <row r="821" spans="1:37" s="376" customFormat="1" ht="40.5" outlineLevel="2" x14ac:dyDescent="0.3">
      <c r="A821" s="447">
        <f t="shared" si="181"/>
        <v>68</v>
      </c>
      <c r="B821" s="557"/>
      <c r="C821" s="637"/>
      <c r="D821" s="587"/>
      <c r="E821" s="587"/>
      <c r="F821" s="560"/>
      <c r="G821" s="558"/>
      <c r="H821" s="588"/>
      <c r="I821" s="546"/>
      <c r="J821" s="589"/>
      <c r="K821" s="563" t="str">
        <f>IF(G821&lt;&gt;0,VLOOKUP(G821,'gia dat'!$A$1:$F$144,5,0)," ")</f>
        <v xml:space="preserve"> </v>
      </c>
      <c r="L821" s="563" t="str">
        <f>IF(G821&lt;&gt;0,VLOOKUP(G821,'gia dat'!$A$1:$F$144,6,0)," ")</f>
        <v xml:space="preserve"> </v>
      </c>
      <c r="M821" s="564" t="str">
        <f t="shared" si="173"/>
        <v xml:space="preserve"> </v>
      </c>
      <c r="N821" s="564" t="str">
        <f t="shared" si="174"/>
        <v xml:space="preserve"> </v>
      </c>
      <c r="O821" s="638"/>
      <c r="P821" s="590"/>
      <c r="Q821" s="564" t="str">
        <f>IF(O821&lt;&gt;0,VLOOKUP(O821,'Cây trong'!$A$2:$C$246,3,0)," ")</f>
        <v xml:space="preserve"> </v>
      </c>
      <c r="R821" s="564" t="str">
        <f t="shared" si="176"/>
        <v xml:space="preserve"> </v>
      </c>
      <c r="S821" s="638" t="s">
        <v>1877</v>
      </c>
      <c r="T821" s="639" t="s">
        <v>78</v>
      </c>
      <c r="U821" s="591">
        <v>1.27</v>
      </c>
      <c r="V821" s="680"/>
      <c r="W821" s="564">
        <f>IF(S821&lt;&gt;0,VLOOKUP(S821,VKT!$A$2:$G$415,7,0),"")</f>
        <v>0</v>
      </c>
      <c r="X821" s="564">
        <f t="shared" si="169"/>
        <v>0</v>
      </c>
      <c r="Y821" s="589"/>
      <c r="Z821" s="592"/>
      <c r="AA821" s="592"/>
      <c r="AB821" s="568"/>
      <c r="AC821" s="592"/>
      <c r="AD821" s="592"/>
      <c r="AE821" s="592"/>
      <c r="AF821" s="590"/>
      <c r="AG821" s="570" t="str">
        <f>IF(AE821&lt;&gt;0,VLOOKUP(AE821,ODDS!$A$2:$C$13,3,0),"")</f>
        <v/>
      </c>
      <c r="AH821" s="570" t="str">
        <f t="shared" si="177"/>
        <v xml:space="preserve"> </v>
      </c>
      <c r="AI821" s="571" t="str">
        <f t="shared" si="172"/>
        <v xml:space="preserve"> </v>
      </c>
      <c r="AJ821" s="593"/>
      <c r="AK821" s="593"/>
    </row>
    <row r="822" spans="1:37" s="376" customFormat="1" ht="81" outlineLevel="2" x14ac:dyDescent="0.3">
      <c r="A822" s="447">
        <f t="shared" si="181"/>
        <v>68</v>
      </c>
      <c r="B822" s="557"/>
      <c r="C822" s="637"/>
      <c r="D822" s="587"/>
      <c r="E822" s="587"/>
      <c r="F822" s="560"/>
      <c r="G822" s="558"/>
      <c r="H822" s="588"/>
      <c r="I822" s="546"/>
      <c r="J822" s="589"/>
      <c r="K822" s="563" t="str">
        <f>IF(G822&lt;&gt;0,VLOOKUP(G822,'gia dat'!$A$1:$F$144,5,0)," ")</f>
        <v xml:space="preserve"> </v>
      </c>
      <c r="L822" s="563" t="str">
        <f>IF(G822&lt;&gt;0,VLOOKUP(G822,'gia dat'!$A$1:$F$144,6,0)," ")</f>
        <v xml:space="preserve"> </v>
      </c>
      <c r="M822" s="564" t="str">
        <f t="shared" si="173"/>
        <v xml:space="preserve"> </v>
      </c>
      <c r="N822" s="564" t="str">
        <f t="shared" si="174"/>
        <v xml:space="preserve"> </v>
      </c>
      <c r="O822" s="638"/>
      <c r="P822" s="590"/>
      <c r="Q822" s="564" t="str">
        <f>IF(O822&lt;&gt;0,VLOOKUP(O822,'Cây trong'!$A$2:$C$246,3,0)," ")</f>
        <v xml:space="preserve"> </v>
      </c>
      <c r="R822" s="564" t="str">
        <f t="shared" si="176"/>
        <v xml:space="preserve"> </v>
      </c>
      <c r="S822" s="638" t="s">
        <v>1878</v>
      </c>
      <c r="T822" s="639" t="s">
        <v>78</v>
      </c>
      <c r="U822" s="591">
        <v>3.38</v>
      </c>
      <c r="V822" s="680"/>
      <c r="W822" s="564">
        <f>IF(S822&lt;&gt;0,VLOOKUP(S822,VKT!$A$2:$G$415,7,0),"")</f>
        <v>3878211</v>
      </c>
      <c r="X822" s="564">
        <f t="shared" si="169"/>
        <v>13108000</v>
      </c>
      <c r="Y822" s="589"/>
      <c r="Z822" s="592"/>
      <c r="AA822" s="592"/>
      <c r="AB822" s="568"/>
      <c r="AC822" s="592"/>
      <c r="AD822" s="592"/>
      <c r="AE822" s="592"/>
      <c r="AF822" s="590"/>
      <c r="AG822" s="570" t="str">
        <f>IF(AE822&lt;&gt;0,VLOOKUP(AE822,ODDS!$A$2:$C$13,3,0),"")</f>
        <v/>
      </c>
      <c r="AH822" s="570" t="str">
        <f t="shared" si="177"/>
        <v xml:space="preserve"> </v>
      </c>
      <c r="AI822" s="571" t="str">
        <f t="shared" si="172"/>
        <v xml:space="preserve"> </v>
      </c>
      <c r="AJ822" s="593"/>
      <c r="AK822" s="593"/>
    </row>
    <row r="823" spans="1:37" s="376" customFormat="1" ht="81" outlineLevel="2" x14ac:dyDescent="0.3">
      <c r="A823" s="447">
        <f t="shared" si="181"/>
        <v>68</v>
      </c>
      <c r="B823" s="557"/>
      <c r="C823" s="558"/>
      <c r="D823" s="587"/>
      <c r="E823" s="587"/>
      <c r="F823" s="560"/>
      <c r="G823" s="558"/>
      <c r="H823" s="588"/>
      <c r="I823" s="546"/>
      <c r="J823" s="589"/>
      <c r="K823" s="563" t="str">
        <f>IF(G823&lt;&gt;0,VLOOKUP(G823,'gia dat'!$A$1:$F$144,5,0)," ")</f>
        <v xml:space="preserve"> </v>
      </c>
      <c r="L823" s="563" t="str">
        <f>IF(G823&lt;&gt;0,VLOOKUP(G823,'gia dat'!$A$1:$F$144,6,0)," ")</f>
        <v xml:space="preserve"> </v>
      </c>
      <c r="M823" s="564" t="str">
        <f t="shared" si="173"/>
        <v xml:space="preserve"> </v>
      </c>
      <c r="N823" s="564" t="str">
        <f t="shared" si="174"/>
        <v xml:space="preserve"> </v>
      </c>
      <c r="O823" s="638"/>
      <c r="P823" s="590"/>
      <c r="Q823" s="564" t="str">
        <f>IF(O823&lt;&gt;0,VLOOKUP(O823,'Cây trong'!$A$2:$C$246,3,0)," ")</f>
        <v xml:space="preserve"> </v>
      </c>
      <c r="R823" s="564" t="str">
        <f t="shared" si="176"/>
        <v xml:space="preserve"> </v>
      </c>
      <c r="S823" s="566" t="s">
        <v>1879</v>
      </c>
      <c r="T823" s="639" t="s">
        <v>53</v>
      </c>
      <c r="U823" s="591">
        <v>10.75</v>
      </c>
      <c r="V823" s="680"/>
      <c r="W823" s="564">
        <f>IF(S823&lt;&gt;0,VLOOKUP(S823,VKT!$A$2:$G$415,7,0),"")</f>
        <v>703764</v>
      </c>
      <c r="X823" s="564">
        <f t="shared" si="169"/>
        <v>7565000</v>
      </c>
      <c r="Y823" s="589"/>
      <c r="Z823" s="592"/>
      <c r="AA823" s="592"/>
      <c r="AB823" s="568"/>
      <c r="AC823" s="592"/>
      <c r="AD823" s="592"/>
      <c r="AE823" s="592"/>
      <c r="AF823" s="590"/>
      <c r="AG823" s="570" t="str">
        <f>IF(AE823&lt;&gt;0,VLOOKUP(AE823,ODDS!$A$2:$C$13,3,0),"")</f>
        <v/>
      </c>
      <c r="AH823" s="570" t="str">
        <f t="shared" si="177"/>
        <v xml:space="preserve"> </v>
      </c>
      <c r="AI823" s="571" t="str">
        <f t="shared" si="172"/>
        <v xml:space="preserve"> </v>
      </c>
      <c r="AJ823" s="593"/>
      <c r="AK823" s="593"/>
    </row>
    <row r="824" spans="1:37" s="376" customFormat="1" ht="40.5" outlineLevel="2" x14ac:dyDescent="0.3">
      <c r="A824" s="447">
        <f t="shared" si="181"/>
        <v>68</v>
      </c>
      <c r="B824" s="557"/>
      <c r="C824" s="558"/>
      <c r="D824" s="587"/>
      <c r="E824" s="587"/>
      <c r="F824" s="560"/>
      <c r="G824" s="558"/>
      <c r="H824" s="588"/>
      <c r="I824" s="546"/>
      <c r="J824" s="589"/>
      <c r="K824" s="563" t="str">
        <f>IF(G824&lt;&gt;0,VLOOKUP(G824,'gia dat'!$A$1:$F$144,5,0)," ")</f>
        <v xml:space="preserve"> </v>
      </c>
      <c r="L824" s="563" t="str">
        <f>IF(G824&lt;&gt;0,VLOOKUP(G824,'gia dat'!$A$1:$F$144,6,0)," ")</f>
        <v xml:space="preserve"> </v>
      </c>
      <c r="M824" s="564" t="str">
        <f t="shared" si="173"/>
        <v xml:space="preserve"> </v>
      </c>
      <c r="N824" s="564" t="str">
        <f t="shared" si="174"/>
        <v xml:space="preserve"> </v>
      </c>
      <c r="O824" s="638"/>
      <c r="P824" s="590"/>
      <c r="Q824" s="564" t="str">
        <f>IF(O824&lt;&gt;0,VLOOKUP(O824,'Cây trong'!$A$2:$C$246,3,0)," ")</f>
        <v xml:space="preserve"> </v>
      </c>
      <c r="R824" s="564" t="str">
        <f t="shared" si="176"/>
        <v xml:space="preserve"> </v>
      </c>
      <c r="S824" s="566" t="s">
        <v>1799</v>
      </c>
      <c r="T824" s="639" t="s">
        <v>53</v>
      </c>
      <c r="U824" s="591">
        <v>2.72</v>
      </c>
      <c r="V824" s="680"/>
      <c r="W824" s="564">
        <f>IF(S824&lt;&gt;0,VLOOKUP(S824,VKT!$A$2:$G$415,7,0),"")</f>
        <v>275180</v>
      </c>
      <c r="X824" s="564">
        <f t="shared" si="169"/>
        <v>748000</v>
      </c>
      <c r="Y824" s="589"/>
      <c r="Z824" s="592"/>
      <c r="AA824" s="592"/>
      <c r="AB824" s="568"/>
      <c r="AC824" s="592"/>
      <c r="AD824" s="592"/>
      <c r="AE824" s="592"/>
      <c r="AF824" s="590"/>
      <c r="AG824" s="570" t="str">
        <f>IF(AE824&lt;&gt;0,VLOOKUP(AE824,ODDS!$A$2:$C$13,3,0),"")</f>
        <v/>
      </c>
      <c r="AH824" s="570" t="str">
        <f t="shared" si="177"/>
        <v xml:space="preserve"> </v>
      </c>
      <c r="AI824" s="571" t="str">
        <f t="shared" si="172"/>
        <v xml:space="preserve"> </v>
      </c>
      <c r="AJ824" s="593"/>
      <c r="AK824" s="593"/>
    </row>
    <row r="825" spans="1:37" s="376" customFormat="1" ht="40.5" outlineLevel="2" x14ac:dyDescent="0.3">
      <c r="A825" s="447">
        <f t="shared" si="181"/>
        <v>68</v>
      </c>
      <c r="B825" s="557"/>
      <c r="C825" s="558"/>
      <c r="D825" s="587"/>
      <c r="E825" s="587"/>
      <c r="F825" s="560"/>
      <c r="G825" s="558"/>
      <c r="H825" s="588"/>
      <c r="I825" s="546"/>
      <c r="J825" s="589"/>
      <c r="K825" s="563" t="str">
        <f>IF(G825&lt;&gt;0,VLOOKUP(G825,'gia dat'!$A$1:$F$144,5,0)," ")</f>
        <v xml:space="preserve"> </v>
      </c>
      <c r="L825" s="563" t="str">
        <f>IF(G825&lt;&gt;0,VLOOKUP(G825,'gia dat'!$A$1:$F$144,6,0)," ")</f>
        <v xml:space="preserve"> </v>
      </c>
      <c r="M825" s="564" t="str">
        <f t="shared" si="173"/>
        <v xml:space="preserve"> </v>
      </c>
      <c r="N825" s="564" t="str">
        <f t="shared" si="174"/>
        <v xml:space="preserve"> </v>
      </c>
      <c r="O825" s="558"/>
      <c r="P825" s="590"/>
      <c r="Q825" s="564" t="str">
        <f>IF(O825&lt;&gt;0,VLOOKUP(O825,'Cây trong'!$A$2:$C$246,3,0)," ")</f>
        <v xml:space="preserve"> </v>
      </c>
      <c r="R825" s="564" t="str">
        <f t="shared" si="176"/>
        <v xml:space="preserve"> </v>
      </c>
      <c r="S825" s="566" t="s">
        <v>1880</v>
      </c>
      <c r="T825" s="639" t="s">
        <v>78</v>
      </c>
      <c r="U825" s="591">
        <v>7.0000000000000007E-2</v>
      </c>
      <c r="V825" s="589"/>
      <c r="W825" s="564">
        <f>IF(S825&lt;&gt;0,VLOOKUP(S825,VKT!$A$2:$G$415,7,0),"")</f>
        <v>0</v>
      </c>
      <c r="X825" s="564">
        <f t="shared" si="169"/>
        <v>0</v>
      </c>
      <c r="Y825" s="589"/>
      <c r="Z825" s="592"/>
      <c r="AA825" s="592"/>
      <c r="AB825" s="568"/>
      <c r="AC825" s="592"/>
      <c r="AD825" s="592"/>
      <c r="AE825" s="592"/>
      <c r="AF825" s="590"/>
      <c r="AG825" s="570" t="str">
        <f>IF(AE825&lt;&gt;0,VLOOKUP(AE825,ODDS!$A$2:$C$13,3,0),"")</f>
        <v/>
      </c>
      <c r="AH825" s="570" t="str">
        <f t="shared" si="177"/>
        <v xml:space="preserve"> </v>
      </c>
      <c r="AI825" s="571" t="str">
        <f t="shared" si="172"/>
        <v xml:space="preserve"> </v>
      </c>
      <c r="AJ825" s="593"/>
      <c r="AK825" s="593"/>
    </row>
    <row r="826" spans="1:37" s="376" customFormat="1" ht="60.75" outlineLevel="2" x14ac:dyDescent="0.3">
      <c r="A826" s="447">
        <f t="shared" si="181"/>
        <v>68</v>
      </c>
      <c r="B826" s="557"/>
      <c r="C826" s="636"/>
      <c r="D826" s="587"/>
      <c r="E826" s="587"/>
      <c r="F826" s="560"/>
      <c r="G826" s="558"/>
      <c r="H826" s="588"/>
      <c r="I826" s="546"/>
      <c r="J826" s="589"/>
      <c r="K826" s="563" t="str">
        <f>IF(G826&lt;&gt;0,VLOOKUP(G826,'gia dat'!$A$1:$F$144,5,0)," ")</f>
        <v xml:space="preserve"> </v>
      </c>
      <c r="L826" s="563" t="str">
        <f>IF(G826&lt;&gt;0,VLOOKUP(G826,'gia dat'!$A$1:$F$144,6,0)," ")</f>
        <v xml:space="preserve"> </v>
      </c>
      <c r="M826" s="564" t="str">
        <f t="shared" si="173"/>
        <v xml:space="preserve"> </v>
      </c>
      <c r="N826" s="564" t="str">
        <f t="shared" si="174"/>
        <v xml:space="preserve"> </v>
      </c>
      <c r="O826" s="558"/>
      <c r="P826" s="590"/>
      <c r="Q826" s="564" t="str">
        <f>IF(O826&lt;&gt;0,VLOOKUP(O826,'Cây trong'!$A$2:$C$246,3,0)," ")</f>
        <v xml:space="preserve"> </v>
      </c>
      <c r="R826" s="564" t="str">
        <f t="shared" si="176"/>
        <v xml:space="preserve"> </v>
      </c>
      <c r="S826" s="566" t="s">
        <v>1847</v>
      </c>
      <c r="T826" s="639" t="s">
        <v>53</v>
      </c>
      <c r="U826" s="591">
        <v>1.38</v>
      </c>
      <c r="V826" s="589"/>
      <c r="W826" s="564">
        <f>IF(S826&lt;&gt;0,VLOOKUP(S826,VKT!$A$2:$G$415,7,0),"")</f>
        <v>1854271</v>
      </c>
      <c r="X826" s="564">
        <f t="shared" si="169"/>
        <v>2559000</v>
      </c>
      <c r="Y826" s="589"/>
      <c r="Z826" s="592"/>
      <c r="AA826" s="592"/>
      <c r="AB826" s="568"/>
      <c r="AC826" s="592"/>
      <c r="AD826" s="592"/>
      <c r="AE826" s="592"/>
      <c r="AF826" s="590"/>
      <c r="AG826" s="570" t="str">
        <f>IF(AE826&lt;&gt;0,VLOOKUP(AE826,ODDS!$A$2:$C$13,3,0),"")</f>
        <v/>
      </c>
      <c r="AH826" s="570" t="str">
        <f t="shared" si="177"/>
        <v xml:space="preserve"> </v>
      </c>
      <c r="AI826" s="571" t="str">
        <f t="shared" si="172"/>
        <v xml:space="preserve"> </v>
      </c>
      <c r="AJ826" s="593"/>
      <c r="AK826" s="593"/>
    </row>
    <row r="827" spans="1:37" s="376" customFormat="1" ht="40.5" outlineLevel="2" x14ac:dyDescent="0.3">
      <c r="A827" s="447">
        <f t="shared" si="181"/>
        <v>68</v>
      </c>
      <c r="B827" s="557"/>
      <c r="C827" s="637"/>
      <c r="D827" s="587"/>
      <c r="E827" s="587"/>
      <c r="F827" s="560"/>
      <c r="G827" s="558"/>
      <c r="H827" s="588"/>
      <c r="I827" s="546"/>
      <c r="J827" s="589"/>
      <c r="K827" s="563" t="str">
        <f>IF(G827&lt;&gt;0,VLOOKUP(G827,'gia dat'!$A$1:$F$144,5,0)," ")</f>
        <v xml:space="preserve"> </v>
      </c>
      <c r="L827" s="563" t="str">
        <f>IF(G827&lt;&gt;0,VLOOKUP(G827,'gia dat'!$A$1:$F$144,6,0)," ")</f>
        <v xml:space="preserve"> </v>
      </c>
      <c r="M827" s="564" t="str">
        <f t="shared" si="173"/>
        <v xml:space="preserve"> </v>
      </c>
      <c r="N827" s="564" t="str">
        <f t="shared" si="174"/>
        <v xml:space="preserve"> </v>
      </c>
      <c r="O827" s="558"/>
      <c r="P827" s="590"/>
      <c r="Q827" s="564" t="str">
        <f>IF(O827&lt;&gt;0,VLOOKUP(O827,'Cây trong'!$A$2:$C$246,3,0)," ")</f>
        <v xml:space="preserve"> </v>
      </c>
      <c r="R827" s="564" t="str">
        <f t="shared" si="176"/>
        <v xml:space="preserve"> </v>
      </c>
      <c r="S827" s="566" t="s">
        <v>1881</v>
      </c>
      <c r="T827" s="639" t="s">
        <v>53</v>
      </c>
      <c r="U827" s="591">
        <v>2.04</v>
      </c>
      <c r="V827" s="589"/>
      <c r="W827" s="564">
        <f>IF(S827&lt;&gt;0,VLOOKUP(S827,VKT!$A$2:$G$415,7,0),"")</f>
        <v>286855</v>
      </c>
      <c r="X827" s="564">
        <f t="shared" si="169"/>
        <v>585000</v>
      </c>
      <c r="Y827" s="589"/>
      <c r="Z827" s="592"/>
      <c r="AA827" s="592"/>
      <c r="AB827" s="568"/>
      <c r="AC827" s="592"/>
      <c r="AD827" s="592"/>
      <c r="AE827" s="592"/>
      <c r="AF827" s="590"/>
      <c r="AG827" s="570" t="str">
        <f>IF(AE827&lt;&gt;0,VLOOKUP(AE827,ODDS!$A$2:$C$13,3,0),"")</f>
        <v/>
      </c>
      <c r="AH827" s="570" t="str">
        <f t="shared" si="177"/>
        <v xml:space="preserve"> </v>
      </c>
      <c r="AI827" s="571" t="str">
        <f t="shared" si="172"/>
        <v xml:space="preserve"> </v>
      </c>
      <c r="AJ827" s="593"/>
      <c r="AK827" s="593"/>
    </row>
    <row r="828" spans="1:37" s="376" customFormat="1" ht="60.75" outlineLevel="2" x14ac:dyDescent="0.3">
      <c r="A828" s="447">
        <f t="shared" si="181"/>
        <v>68</v>
      </c>
      <c r="B828" s="557"/>
      <c r="C828" s="636"/>
      <c r="D828" s="587"/>
      <c r="E828" s="587"/>
      <c r="F828" s="560"/>
      <c r="G828" s="558"/>
      <c r="H828" s="588"/>
      <c r="I828" s="546"/>
      <c r="J828" s="589"/>
      <c r="K828" s="563" t="str">
        <f>IF(G828&lt;&gt;0,VLOOKUP(G828,'gia dat'!$A$1:$F$144,5,0)," ")</f>
        <v xml:space="preserve"> </v>
      </c>
      <c r="L828" s="563" t="str">
        <f>IF(G828&lt;&gt;0,VLOOKUP(G828,'gia dat'!$A$1:$F$144,6,0)," ")</f>
        <v xml:space="preserve"> </v>
      </c>
      <c r="M828" s="564" t="str">
        <f t="shared" si="173"/>
        <v xml:space="preserve"> </v>
      </c>
      <c r="N828" s="564" t="str">
        <f t="shared" si="174"/>
        <v xml:space="preserve"> </v>
      </c>
      <c r="O828" s="558"/>
      <c r="P828" s="590"/>
      <c r="Q828" s="564" t="str">
        <f>IF(O828&lt;&gt;0,VLOOKUP(O828,'Cây trong'!$A$2:$C$246,3,0)," ")</f>
        <v xml:space="preserve"> </v>
      </c>
      <c r="R828" s="564" t="str">
        <f t="shared" si="176"/>
        <v xml:space="preserve"> </v>
      </c>
      <c r="S828" s="566" t="s">
        <v>1882</v>
      </c>
      <c r="T828" s="639" t="s">
        <v>53</v>
      </c>
      <c r="U828" s="591">
        <v>0.42</v>
      </c>
      <c r="V828" s="589"/>
      <c r="W828" s="564">
        <f>IF(S828&lt;&gt;0,VLOOKUP(S828,VKT!$A$2:$G$415,7,0),"")</f>
        <v>348773</v>
      </c>
      <c r="X828" s="564">
        <f t="shared" si="169"/>
        <v>146000</v>
      </c>
      <c r="Y828" s="589"/>
      <c r="Z828" s="592"/>
      <c r="AA828" s="592"/>
      <c r="AB828" s="568"/>
      <c r="AC828" s="592"/>
      <c r="AD828" s="592"/>
      <c r="AE828" s="592"/>
      <c r="AF828" s="590"/>
      <c r="AG828" s="570" t="str">
        <f>IF(AE828&lt;&gt;0,VLOOKUP(AE828,ODDS!$A$2:$C$13,3,0),"")</f>
        <v/>
      </c>
      <c r="AH828" s="570" t="str">
        <f t="shared" si="177"/>
        <v xml:space="preserve"> </v>
      </c>
      <c r="AI828" s="571" t="str">
        <f t="shared" si="172"/>
        <v xml:space="preserve"> </v>
      </c>
      <c r="AJ828" s="593"/>
      <c r="AK828" s="593"/>
    </row>
    <row r="829" spans="1:37" s="376" customFormat="1" ht="60.75" outlineLevel="2" x14ac:dyDescent="0.3">
      <c r="A829" s="447">
        <f t="shared" si="181"/>
        <v>68</v>
      </c>
      <c r="B829" s="557"/>
      <c r="C829" s="558"/>
      <c r="D829" s="587"/>
      <c r="E829" s="587"/>
      <c r="F829" s="560"/>
      <c r="G829" s="558"/>
      <c r="H829" s="588"/>
      <c r="I829" s="546"/>
      <c r="J829" s="589"/>
      <c r="K829" s="563" t="str">
        <f>IF(G829&lt;&gt;0,VLOOKUP(G829,'gia dat'!$A$1:$F$144,5,0)," ")</f>
        <v xml:space="preserve"> </v>
      </c>
      <c r="L829" s="563" t="str">
        <f>IF(G829&lt;&gt;0,VLOOKUP(G829,'gia dat'!$A$1:$F$144,6,0)," ")</f>
        <v xml:space="preserve"> </v>
      </c>
      <c r="M829" s="564" t="str">
        <f t="shared" si="173"/>
        <v xml:space="preserve"> </v>
      </c>
      <c r="N829" s="564" t="str">
        <f t="shared" si="174"/>
        <v xml:space="preserve"> </v>
      </c>
      <c r="O829" s="558"/>
      <c r="P829" s="590"/>
      <c r="Q829" s="564" t="str">
        <f>IF(O829&lt;&gt;0,VLOOKUP(O829,'Cây trong'!$A$2:$C$246,3,0)," ")</f>
        <v xml:space="preserve"> </v>
      </c>
      <c r="R829" s="564" t="str">
        <f t="shared" si="176"/>
        <v xml:space="preserve"> </v>
      </c>
      <c r="S829" s="566" t="s">
        <v>1883</v>
      </c>
      <c r="T829" s="639" t="s">
        <v>53</v>
      </c>
      <c r="U829" s="591">
        <v>0.42</v>
      </c>
      <c r="V829" s="589"/>
      <c r="W829" s="564">
        <f>IF(S829&lt;&gt;0,VLOOKUP(S829,VKT!$A$2:$G$415,7,0),"")</f>
        <v>532230</v>
      </c>
      <c r="X829" s="564">
        <f t="shared" si="169"/>
        <v>224000</v>
      </c>
      <c r="Y829" s="589"/>
      <c r="Z829" s="592"/>
      <c r="AA829" s="592"/>
      <c r="AB829" s="568"/>
      <c r="AC829" s="592"/>
      <c r="AD829" s="592"/>
      <c r="AE829" s="592"/>
      <c r="AF829" s="590"/>
      <c r="AG829" s="570" t="str">
        <f>IF(AE829&lt;&gt;0,VLOOKUP(AE829,ODDS!$A$2:$C$13,3,0),"")</f>
        <v/>
      </c>
      <c r="AH829" s="570" t="str">
        <f t="shared" si="177"/>
        <v xml:space="preserve"> </v>
      </c>
      <c r="AI829" s="571" t="str">
        <f t="shared" si="172"/>
        <v xml:space="preserve"> </v>
      </c>
      <c r="AJ829" s="593"/>
      <c r="AK829" s="593"/>
    </row>
    <row r="830" spans="1:37" s="376" customFormat="1" ht="20.25" outlineLevel="2" x14ac:dyDescent="0.3">
      <c r="A830" s="447">
        <f t="shared" si="181"/>
        <v>68</v>
      </c>
      <c r="B830" s="557"/>
      <c r="C830" s="558"/>
      <c r="D830" s="587"/>
      <c r="E830" s="587"/>
      <c r="F830" s="560"/>
      <c r="G830" s="558"/>
      <c r="H830" s="588"/>
      <c r="I830" s="546"/>
      <c r="J830" s="589"/>
      <c r="K830" s="563" t="str">
        <f>IF(G830&lt;&gt;0,VLOOKUP(G830,'gia dat'!$A$1:$F$144,5,0)," ")</f>
        <v xml:space="preserve"> </v>
      </c>
      <c r="L830" s="563" t="str">
        <f>IF(G830&lt;&gt;0,VLOOKUP(G830,'gia dat'!$A$1:$F$144,6,0)," ")</f>
        <v xml:space="preserve"> </v>
      </c>
      <c r="M830" s="564" t="str">
        <f t="shared" si="173"/>
        <v xml:space="preserve"> </v>
      </c>
      <c r="N830" s="564" t="str">
        <f t="shared" si="174"/>
        <v xml:space="preserve"> </v>
      </c>
      <c r="O830" s="558"/>
      <c r="P830" s="590"/>
      <c r="Q830" s="564" t="str">
        <f>IF(O830&lt;&gt;0,VLOOKUP(O830,'Cây trong'!$A$2:$C$246,3,0)," ")</f>
        <v xml:space="preserve"> </v>
      </c>
      <c r="R830" s="564" t="str">
        <f t="shared" si="176"/>
        <v xml:space="preserve"> </v>
      </c>
      <c r="S830" s="593"/>
      <c r="T830" s="593"/>
      <c r="U830" s="617"/>
      <c r="V830" s="589"/>
      <c r="W830" s="564" t="str">
        <f>IF(S830&lt;&gt;0,VLOOKUP(S830,VKT!$A$2:$G$415,7,0),"")</f>
        <v/>
      </c>
      <c r="X830" s="564" t="str">
        <f t="shared" si="169"/>
        <v xml:space="preserve"> </v>
      </c>
      <c r="Y830" s="589"/>
      <c r="Z830" s="592"/>
      <c r="AA830" s="592"/>
      <c r="AB830" s="568"/>
      <c r="AC830" s="592"/>
      <c r="AD830" s="592"/>
      <c r="AE830" s="592"/>
      <c r="AF830" s="590"/>
      <c r="AG830" s="570" t="str">
        <f>IF(AE830&lt;&gt;0,VLOOKUP(AE830,ODDS!$A$2:$C$13,3,0),"")</f>
        <v/>
      </c>
      <c r="AH830" s="570" t="str">
        <f t="shared" si="177"/>
        <v xml:space="preserve"> </v>
      </c>
      <c r="AI830" s="571" t="str">
        <f t="shared" si="172"/>
        <v xml:space="preserve"> </v>
      </c>
      <c r="AJ830" s="593"/>
      <c r="AK830" s="593"/>
    </row>
    <row r="831" spans="1:37" s="376" customFormat="1" ht="20.25" outlineLevel="2" x14ac:dyDescent="0.3">
      <c r="A831" s="447">
        <f t="shared" si="181"/>
        <v>68</v>
      </c>
      <c r="B831" s="557"/>
      <c r="C831" s="636"/>
      <c r="D831" s="587"/>
      <c r="E831" s="587"/>
      <c r="F831" s="560"/>
      <c r="G831" s="558"/>
      <c r="H831" s="588"/>
      <c r="I831" s="546"/>
      <c r="J831" s="589"/>
      <c r="K831" s="563" t="str">
        <f>IF(G831&lt;&gt;0,VLOOKUP(G831,'gia dat'!$A$1:$F$144,5,0)," ")</f>
        <v xml:space="preserve"> </v>
      </c>
      <c r="L831" s="563" t="str">
        <f>IF(G831&lt;&gt;0,VLOOKUP(G831,'gia dat'!$A$1:$F$144,6,0)," ")</f>
        <v xml:space="preserve"> </v>
      </c>
      <c r="M831" s="564" t="str">
        <f t="shared" si="173"/>
        <v xml:space="preserve"> </v>
      </c>
      <c r="N831" s="564" t="str">
        <f t="shared" si="174"/>
        <v xml:space="preserve"> </v>
      </c>
      <c r="O831" s="558"/>
      <c r="P831" s="590"/>
      <c r="Q831" s="564" t="str">
        <f>IF(O831&lt;&gt;0,VLOOKUP(O831,'Cây trong'!$A$2:$C$246,3,0)," ")</f>
        <v xml:space="preserve"> </v>
      </c>
      <c r="R831" s="564" t="str">
        <f t="shared" si="176"/>
        <v xml:space="preserve"> </v>
      </c>
      <c r="S831" s="593"/>
      <c r="T831" s="593"/>
      <c r="U831" s="617"/>
      <c r="V831" s="589"/>
      <c r="W831" s="564" t="str">
        <f>IF(S831&lt;&gt;0,VLOOKUP(S831,VKT!$A$2:$G$415,7,0),"")</f>
        <v/>
      </c>
      <c r="X831" s="564" t="str">
        <f t="shared" si="169"/>
        <v xml:space="preserve"> </v>
      </c>
      <c r="Y831" s="589"/>
      <c r="Z831" s="592"/>
      <c r="AA831" s="592"/>
      <c r="AB831" s="568"/>
      <c r="AC831" s="592"/>
      <c r="AD831" s="592"/>
      <c r="AE831" s="592"/>
      <c r="AF831" s="590"/>
      <c r="AG831" s="570" t="str">
        <f>IF(AE831&lt;&gt;0,VLOOKUP(AE831,ODDS!$A$2:$C$13,3,0),"")</f>
        <v/>
      </c>
      <c r="AH831" s="570" t="str">
        <f t="shared" si="177"/>
        <v xml:space="preserve"> </v>
      </c>
      <c r="AI831" s="571" t="str">
        <f t="shared" si="172"/>
        <v xml:space="preserve"> </v>
      </c>
      <c r="AJ831" s="593"/>
      <c r="AK831" s="593"/>
    </row>
    <row r="832" spans="1:37" s="376" customFormat="1" ht="20.25" outlineLevel="2" x14ac:dyDescent="0.3">
      <c r="A832" s="447">
        <f t="shared" si="181"/>
        <v>68</v>
      </c>
      <c r="B832" s="557"/>
      <c r="C832" s="637"/>
      <c r="D832" s="587"/>
      <c r="E832" s="587"/>
      <c r="F832" s="615"/>
      <c r="G832" s="558"/>
      <c r="H832" s="604"/>
      <c r="I832" s="546"/>
      <c r="J832" s="593"/>
      <c r="K832" s="563" t="str">
        <f>IF(G832&lt;&gt;0,VLOOKUP(G832,'gia dat'!$A$1:$F$144,5,0)," ")</f>
        <v xml:space="preserve"> </v>
      </c>
      <c r="L832" s="563" t="str">
        <f>IF(G832&lt;&gt;0,VLOOKUP(G832,'gia dat'!$A$1:$F$144,6,0)," ")</f>
        <v xml:space="preserve"> </v>
      </c>
      <c r="M832" s="564" t="str">
        <f t="shared" si="173"/>
        <v xml:space="preserve"> </v>
      </c>
      <c r="N832" s="564" t="str">
        <f t="shared" si="174"/>
        <v xml:space="preserve"> </v>
      </c>
      <c r="O832" s="593"/>
      <c r="P832" s="616"/>
      <c r="Q832" s="564" t="str">
        <f>IF(O832&lt;&gt;0,VLOOKUP(O832,'Cây trong'!$A$2:$C$246,3,0)," ")</f>
        <v xml:space="preserve"> </v>
      </c>
      <c r="R832" s="564" t="str">
        <f t="shared" si="176"/>
        <v xml:space="preserve"> </v>
      </c>
      <c r="S832" s="593"/>
      <c r="T832" s="593"/>
      <c r="U832" s="617"/>
      <c r="V832" s="589"/>
      <c r="W832" s="564" t="str">
        <f>IF(S832&lt;&gt;0,VLOOKUP(S832,VKT!$A$2:$G$415,7,0),"")</f>
        <v/>
      </c>
      <c r="X832" s="564" t="str">
        <f t="shared" si="169"/>
        <v xml:space="preserve"> </v>
      </c>
      <c r="Y832" s="589"/>
      <c r="Z832" s="589"/>
      <c r="AA832" s="589"/>
      <c r="AB832" s="562"/>
      <c r="AC832" s="589"/>
      <c r="AD832" s="589"/>
      <c r="AE832" s="589"/>
      <c r="AF832" s="629"/>
      <c r="AG832" s="570" t="str">
        <f>IF(AE832&lt;&gt;0,VLOOKUP(AE832,ODDS!$A$2:$C$13,3,0),"")</f>
        <v/>
      </c>
      <c r="AH832" s="570" t="str">
        <f t="shared" si="177"/>
        <v xml:space="preserve"> </v>
      </c>
      <c r="AI832" s="571" t="str">
        <f t="shared" si="172"/>
        <v xml:space="preserve"> </v>
      </c>
      <c r="AJ832" s="593"/>
      <c r="AK832" s="593"/>
    </row>
    <row r="833" spans="1:37" s="376" customFormat="1" ht="20.25" outlineLevel="2" x14ac:dyDescent="0.3">
      <c r="A833" s="447">
        <f t="shared" si="181"/>
        <v>68</v>
      </c>
      <c r="B833" s="557"/>
      <c r="C833" s="637"/>
      <c r="D833" s="587"/>
      <c r="E833" s="587"/>
      <c r="F833" s="560"/>
      <c r="G833" s="558"/>
      <c r="H833" s="588"/>
      <c r="I833" s="546"/>
      <c r="J833" s="589"/>
      <c r="K833" s="563" t="str">
        <f>IF(G833&lt;&gt;0,VLOOKUP(G833,'gia dat'!$A$1:$F$144,5,0)," ")</f>
        <v xml:space="preserve"> </v>
      </c>
      <c r="L833" s="563" t="str">
        <f>IF(G833&lt;&gt;0,VLOOKUP(G833,'gia dat'!$A$1:$F$144,6,0)," ")</f>
        <v xml:space="preserve"> </v>
      </c>
      <c r="M833" s="564" t="str">
        <f t="shared" si="173"/>
        <v xml:space="preserve"> </v>
      </c>
      <c r="N833" s="564" t="str">
        <f t="shared" si="174"/>
        <v xml:space="preserve"> </v>
      </c>
      <c r="O833" s="558"/>
      <c r="P833" s="590"/>
      <c r="Q833" s="564" t="str">
        <f>IF(O833&lt;&gt;0,VLOOKUP(O833,'Cây trong'!$A$2:$C$246,3,0)," ")</f>
        <v xml:space="preserve"> </v>
      </c>
      <c r="R833" s="564" t="str">
        <f t="shared" si="176"/>
        <v xml:space="preserve"> </v>
      </c>
      <c r="S833" s="638"/>
      <c r="T833" s="639"/>
      <c r="U833" s="591"/>
      <c r="V833" s="589"/>
      <c r="W833" s="564" t="str">
        <f>IF(S833&lt;&gt;0,VLOOKUP(S833,VKT!$A$2:$G$415,7,0),"")</f>
        <v/>
      </c>
      <c r="X833" s="564" t="str">
        <f t="shared" si="169"/>
        <v xml:space="preserve"> </v>
      </c>
      <c r="Y833" s="589"/>
      <c r="Z833" s="592"/>
      <c r="AA833" s="592"/>
      <c r="AB833" s="568"/>
      <c r="AC833" s="592"/>
      <c r="AD833" s="592"/>
      <c r="AE833" s="592"/>
      <c r="AF833" s="590"/>
      <c r="AG833" s="570" t="str">
        <f>IF(AE833&lt;&gt;0,VLOOKUP(AE833,ODDS!$A$2:$C$13,3,0),"")</f>
        <v/>
      </c>
      <c r="AH833" s="570" t="str">
        <f t="shared" si="177"/>
        <v xml:space="preserve"> </v>
      </c>
      <c r="AI833" s="571" t="str">
        <f t="shared" si="172"/>
        <v xml:space="preserve"> </v>
      </c>
      <c r="AJ833" s="593"/>
      <c r="AK833" s="593"/>
    </row>
    <row r="834" spans="1:37" s="376" customFormat="1" ht="20.25" outlineLevel="2" x14ac:dyDescent="0.3">
      <c r="A834" s="447">
        <f t="shared" si="181"/>
        <v>68</v>
      </c>
      <c r="B834" s="557"/>
      <c r="C834" s="558"/>
      <c r="D834" s="587"/>
      <c r="E834" s="587"/>
      <c r="F834" s="560"/>
      <c r="G834" s="558"/>
      <c r="H834" s="588"/>
      <c r="I834" s="546"/>
      <c r="J834" s="589"/>
      <c r="K834" s="563" t="str">
        <f>IF(G834&lt;&gt;0,VLOOKUP(G834,'gia dat'!$A$1:$F$144,5,0)," ")</f>
        <v xml:space="preserve"> </v>
      </c>
      <c r="L834" s="563" t="str">
        <f>IF(G834&lt;&gt;0,VLOOKUP(G834,'gia dat'!$A$1:$F$144,6,0)," ")</f>
        <v xml:space="preserve"> </v>
      </c>
      <c r="M834" s="564" t="str">
        <f t="shared" si="173"/>
        <v xml:space="preserve"> </v>
      </c>
      <c r="N834" s="564" t="str">
        <f t="shared" si="174"/>
        <v xml:space="preserve"> </v>
      </c>
      <c r="O834" s="558"/>
      <c r="P834" s="590"/>
      <c r="Q834" s="564" t="str">
        <f>IF(O834&lt;&gt;0,VLOOKUP(O834,'Cây trong'!$A$2:$C$246,3,0)," ")</f>
        <v xml:space="preserve"> </v>
      </c>
      <c r="R834" s="564" t="str">
        <f t="shared" si="176"/>
        <v xml:space="preserve"> </v>
      </c>
      <c r="S834" s="566"/>
      <c r="T834" s="589"/>
      <c r="U834" s="591"/>
      <c r="V834" s="589"/>
      <c r="W834" s="564" t="str">
        <f>IF(S834&lt;&gt;0,VLOOKUP(S834,VKT!$A$2:$G$415,7,0),"")</f>
        <v/>
      </c>
      <c r="X834" s="564" t="str">
        <f t="shared" ref="X834:X901" si="182">IF(S834&lt;&gt;0,ROUND(U834*W834,-3)," ")</f>
        <v xml:space="preserve"> </v>
      </c>
      <c r="Y834" s="589"/>
      <c r="Z834" s="592"/>
      <c r="AA834" s="592"/>
      <c r="AB834" s="568"/>
      <c r="AC834" s="592"/>
      <c r="AD834" s="592"/>
      <c r="AE834" s="592"/>
      <c r="AF834" s="590"/>
      <c r="AG834" s="570" t="str">
        <f>IF(AE834&lt;&gt;0,VLOOKUP(AE834,ODDS!$A$2:$C$13,3,0),"")</f>
        <v/>
      </c>
      <c r="AH834" s="570" t="str">
        <f t="shared" si="177"/>
        <v xml:space="preserve"> </v>
      </c>
      <c r="AI834" s="571" t="str">
        <f t="shared" si="172"/>
        <v xml:space="preserve"> </v>
      </c>
      <c r="AJ834" s="593"/>
      <c r="AK834" s="593"/>
    </row>
    <row r="835" spans="1:37" s="376" customFormat="1" ht="20.25" outlineLevel="2" x14ac:dyDescent="0.3">
      <c r="A835" s="447">
        <f t="shared" si="181"/>
        <v>68</v>
      </c>
      <c r="B835" s="557"/>
      <c r="C835" s="636"/>
      <c r="D835" s="587"/>
      <c r="E835" s="587"/>
      <c r="F835" s="560"/>
      <c r="G835" s="558"/>
      <c r="H835" s="588"/>
      <c r="I835" s="546"/>
      <c r="J835" s="589"/>
      <c r="K835" s="563" t="str">
        <f>IF(G835&lt;&gt;0,VLOOKUP(G835,'gia dat'!$A$1:$F$144,5,0)," ")</f>
        <v xml:space="preserve"> </v>
      </c>
      <c r="L835" s="563" t="str">
        <f>IF(G835&lt;&gt;0,VLOOKUP(G835,'gia dat'!$A$1:$F$144,6,0)," ")</f>
        <v xml:space="preserve"> </v>
      </c>
      <c r="M835" s="564" t="str">
        <f t="shared" si="173"/>
        <v xml:space="preserve"> </v>
      </c>
      <c r="N835" s="564" t="str">
        <f t="shared" si="174"/>
        <v xml:space="preserve"> </v>
      </c>
      <c r="O835" s="558"/>
      <c r="P835" s="590"/>
      <c r="Q835" s="564" t="str">
        <f>IF(O835&lt;&gt;0,VLOOKUP(O835,'Cây trong'!$A$2:$C$246,3,0)," ")</f>
        <v xml:space="preserve"> </v>
      </c>
      <c r="R835" s="564" t="str">
        <f t="shared" si="176"/>
        <v xml:space="preserve"> </v>
      </c>
      <c r="S835" s="566"/>
      <c r="T835" s="589"/>
      <c r="U835" s="591"/>
      <c r="V835" s="589"/>
      <c r="W835" s="564" t="str">
        <f>IF(S835&lt;&gt;0,VLOOKUP(S835,VKT!$A$2:$G$415,7,0),"")</f>
        <v/>
      </c>
      <c r="X835" s="564" t="str">
        <f t="shared" si="182"/>
        <v xml:space="preserve"> </v>
      </c>
      <c r="Y835" s="589"/>
      <c r="Z835" s="592"/>
      <c r="AA835" s="592"/>
      <c r="AB835" s="568"/>
      <c r="AC835" s="592"/>
      <c r="AD835" s="592"/>
      <c r="AE835" s="592"/>
      <c r="AF835" s="590"/>
      <c r="AG835" s="570" t="str">
        <f>IF(AE835&lt;&gt;0,VLOOKUP(AE835,ODDS!$A$2:$C$13,3,0),"")</f>
        <v/>
      </c>
      <c r="AH835" s="570" t="str">
        <f t="shared" si="177"/>
        <v xml:space="preserve"> </v>
      </c>
      <c r="AI835" s="571" t="str">
        <f t="shared" si="172"/>
        <v xml:space="preserve"> </v>
      </c>
      <c r="AJ835" s="593"/>
      <c r="AK835" s="593"/>
    </row>
    <row r="836" spans="1:37" s="376" customFormat="1" ht="40.5" outlineLevel="1" x14ac:dyDescent="0.25">
      <c r="A836" s="467" t="s">
        <v>2641</v>
      </c>
      <c r="B836" s="576">
        <v>69</v>
      </c>
      <c r="C836" s="636" t="s">
        <v>251</v>
      </c>
      <c r="D836" s="595"/>
      <c r="E836" s="595"/>
      <c r="F836" s="577"/>
      <c r="G836" s="574"/>
      <c r="H836" s="618">
        <f>SUBTOTAL(9,H837:H851)</f>
        <v>51.599999999999994</v>
      </c>
      <c r="I836" s="579">
        <f>SUBTOTAL(9,I837:I842)</f>
        <v>22.4</v>
      </c>
      <c r="J836" s="597"/>
      <c r="K836" s="581"/>
      <c r="L836" s="581"/>
      <c r="M836" s="571">
        <f>SUBTOTAL(9,M837:M851)</f>
        <v>28608000</v>
      </c>
      <c r="N836" s="571">
        <f>SUBTOTAL(9,N837:N851)</f>
        <v>37256000</v>
      </c>
      <c r="O836" s="574"/>
      <c r="P836" s="599">
        <f>SUBTOTAL(9,P837:P851)</f>
        <v>22</v>
      </c>
      <c r="Q836" s="571"/>
      <c r="R836" s="571">
        <f>SUBTOTAL(9,R837:R851)</f>
        <v>8810000</v>
      </c>
      <c r="S836" s="678"/>
      <c r="T836" s="674"/>
      <c r="U836" s="600">
        <f>SUBTOTAL(9,U837:U851)</f>
        <v>0</v>
      </c>
      <c r="V836" s="597"/>
      <c r="W836" s="571"/>
      <c r="X836" s="571">
        <f>SUBTOTAL(9,X837:X851)</f>
        <v>0</v>
      </c>
      <c r="Y836" s="589"/>
      <c r="Z836" s="592"/>
      <c r="AA836" s="592"/>
      <c r="AB836" s="568"/>
      <c r="AC836" s="592"/>
      <c r="AD836" s="592"/>
      <c r="AE836" s="634"/>
      <c r="AF836" s="599">
        <f>SUBTOTAL(9,AF837:AF851)</f>
        <v>0</v>
      </c>
      <c r="AG836" s="585"/>
      <c r="AH836" s="585">
        <f>SUBTOTAL(9,AH837:AH851)</f>
        <v>0</v>
      </c>
      <c r="AI836" s="571">
        <f t="shared" si="172"/>
        <v>74674000</v>
      </c>
      <c r="AJ836" s="574"/>
      <c r="AK836" s="578"/>
    </row>
    <row r="837" spans="1:37" s="376" customFormat="1" ht="121.5" outlineLevel="2" x14ac:dyDescent="0.3">
      <c r="A837" s="447">
        <f>IF(B836&lt;&gt;0,B836,A835)</f>
        <v>69</v>
      </c>
      <c r="B837" s="557"/>
      <c r="C837" s="637" t="s">
        <v>252</v>
      </c>
      <c r="D837" s="587">
        <v>3</v>
      </c>
      <c r="E837" s="587">
        <v>86</v>
      </c>
      <c r="F837" s="560">
        <v>87</v>
      </c>
      <c r="G837" s="558" t="s">
        <v>2059</v>
      </c>
      <c r="H837" s="588">
        <f>39.8-H840</f>
        <v>17.399999999999999</v>
      </c>
      <c r="I837" s="546" t="str">
        <f t="shared" ref="I837:I840" si="183">IF(N837&gt;0,H837,"")</f>
        <v/>
      </c>
      <c r="J837" s="589"/>
      <c r="K837" s="563">
        <f>IF(G837&lt;&gt;0,VLOOKUP(G837,'gia dat'!$A$1:$F$144,5,0)," ")</f>
        <v>554400</v>
      </c>
      <c r="L837" s="563">
        <f>IF(G837&lt;&gt;0,VLOOKUP(G837,'gia dat'!$A$1:$F$144,6,0)," ")</f>
        <v>0</v>
      </c>
      <c r="M837" s="564">
        <f t="shared" si="173"/>
        <v>9647000</v>
      </c>
      <c r="N837" s="564">
        <f t="shared" si="174"/>
        <v>0</v>
      </c>
      <c r="O837" s="558" t="s">
        <v>72</v>
      </c>
      <c r="P837" s="590">
        <v>1</v>
      </c>
      <c r="Q837" s="564">
        <f>IF(O837&lt;&gt;0,VLOOKUP(O837,'Cây trong'!$A$2:$C$246,3,0)," ")</f>
        <v>132000</v>
      </c>
      <c r="R837" s="564">
        <f t="shared" si="176"/>
        <v>132000</v>
      </c>
      <c r="S837" s="640"/>
      <c r="T837" s="639"/>
      <c r="U837" s="591"/>
      <c r="V837" s="589"/>
      <c r="W837" s="564" t="str">
        <f>IF(S837&lt;&gt;0,VLOOKUP(S837,VKT!$A$2:$G$415,7,0),"")</f>
        <v/>
      </c>
      <c r="X837" s="564" t="str">
        <f t="shared" si="182"/>
        <v xml:space="preserve"> </v>
      </c>
      <c r="Y837" s="589"/>
      <c r="Z837" s="592"/>
      <c r="AA837" s="592"/>
      <c r="AB837" s="568"/>
      <c r="AC837" s="592"/>
      <c r="AD837" s="592"/>
      <c r="AE837" s="606"/>
      <c r="AF837" s="590"/>
      <c r="AG837" s="570" t="str">
        <f>IF(AE837&lt;&gt;0,VLOOKUP(AE837,ODDS!$A$2:$C$13,3,0),"")</f>
        <v/>
      </c>
      <c r="AH837" s="570"/>
      <c r="AI837" s="571" t="str">
        <f t="shared" si="172"/>
        <v xml:space="preserve"> </v>
      </c>
      <c r="AJ837" s="558" t="s">
        <v>253</v>
      </c>
      <c r="AK837" s="586" t="s">
        <v>2771</v>
      </c>
    </row>
    <row r="838" spans="1:37" s="376" customFormat="1" ht="101.25" outlineLevel="2" x14ac:dyDescent="0.3">
      <c r="A838" s="447">
        <f t="shared" ref="A838:A851" si="184">IF(B837&lt;&gt;0,B837,A837)</f>
        <v>69</v>
      </c>
      <c r="B838" s="557"/>
      <c r="C838" s="637" t="s">
        <v>589</v>
      </c>
      <c r="D838" s="587"/>
      <c r="E838" s="587"/>
      <c r="F838" s="560"/>
      <c r="G838" s="558" t="s">
        <v>2060</v>
      </c>
      <c r="H838" s="588">
        <v>5</v>
      </c>
      <c r="I838" s="546" t="str">
        <f t="shared" si="183"/>
        <v/>
      </c>
      <c r="J838" s="589"/>
      <c r="K838" s="563">
        <f>IF(G838&lt;&gt;0,VLOOKUP(G838,'gia dat'!$A$1:$F$144,5,0)," ")</f>
        <v>554400</v>
      </c>
      <c r="L838" s="563">
        <f>IF(G838&lt;&gt;0,VLOOKUP(G838,'gia dat'!$A$1:$F$144,6,0)," ")</f>
        <v>0</v>
      </c>
      <c r="M838" s="564">
        <f t="shared" si="173"/>
        <v>2772000</v>
      </c>
      <c r="N838" s="564">
        <f t="shared" si="174"/>
        <v>0</v>
      </c>
      <c r="O838" s="558" t="s">
        <v>73</v>
      </c>
      <c r="P838" s="590">
        <v>3</v>
      </c>
      <c r="Q838" s="564">
        <f>IF(O838&lt;&gt;0,VLOOKUP(O838,'Cây trong'!$A$2:$C$246,3,0)," ")</f>
        <v>76000</v>
      </c>
      <c r="R838" s="564">
        <f t="shared" si="176"/>
        <v>228000</v>
      </c>
      <c r="S838" s="566"/>
      <c r="T838" s="589"/>
      <c r="U838" s="591"/>
      <c r="V838" s="589"/>
      <c r="W838" s="564" t="str">
        <f>IF(S838&lt;&gt;0,VLOOKUP(S838,VKT!$A$2:$G$415,7,0),"")</f>
        <v/>
      </c>
      <c r="X838" s="564" t="str">
        <f t="shared" si="182"/>
        <v xml:space="preserve"> </v>
      </c>
      <c r="Y838" s="589"/>
      <c r="Z838" s="592"/>
      <c r="AA838" s="592"/>
      <c r="AB838" s="568"/>
      <c r="AC838" s="592"/>
      <c r="AD838" s="592"/>
      <c r="AE838" s="592"/>
      <c r="AF838" s="590"/>
      <c r="AG838" s="570" t="str">
        <f>IF(AE838&lt;&gt;0,VLOOKUP(AE838,ODDS!$A$2:$C$13,3,0),"")</f>
        <v/>
      </c>
      <c r="AH838" s="570" t="str">
        <f t="shared" si="177"/>
        <v xml:space="preserve"> </v>
      </c>
      <c r="AI838" s="571" t="str">
        <f t="shared" si="172"/>
        <v xml:space="preserve"> </v>
      </c>
      <c r="AJ838" s="558" t="s">
        <v>588</v>
      </c>
      <c r="AK838" s="558" t="s">
        <v>2448</v>
      </c>
    </row>
    <row r="839" spans="1:37" s="376" customFormat="1" ht="101.25" outlineLevel="2" x14ac:dyDescent="0.3">
      <c r="A839" s="447">
        <f t="shared" si="184"/>
        <v>69</v>
      </c>
      <c r="B839" s="557"/>
      <c r="C839" s="574" t="s">
        <v>254</v>
      </c>
      <c r="D839" s="587"/>
      <c r="E839" s="587"/>
      <c r="F839" s="560"/>
      <c r="G839" s="558" t="s">
        <v>2064</v>
      </c>
      <c r="H839" s="588">
        <v>6.8</v>
      </c>
      <c r="I839" s="546" t="str">
        <f t="shared" si="183"/>
        <v/>
      </c>
      <c r="J839" s="589"/>
      <c r="K839" s="563">
        <f>IF(G839&lt;&gt;0,VLOOKUP(G839,'gia dat'!$A$1:$F$144,5,0)," ")</f>
        <v>554400</v>
      </c>
      <c r="L839" s="563">
        <f>IF(G839&lt;&gt;0,VLOOKUP(G839,'gia dat'!$A$1:$F$144,6,0)," ")</f>
        <v>0</v>
      </c>
      <c r="M839" s="564">
        <f t="shared" si="173"/>
        <v>3770000</v>
      </c>
      <c r="N839" s="564">
        <f t="shared" si="174"/>
        <v>0</v>
      </c>
      <c r="O839" s="558" t="s">
        <v>75</v>
      </c>
      <c r="P839" s="590">
        <v>4</v>
      </c>
      <c r="Q839" s="564">
        <f>IF(O839&lt;&gt;0,VLOOKUP(O839,'Cây trong'!$A$2:$C$246,3,0)," ")</f>
        <v>34000</v>
      </c>
      <c r="R839" s="564">
        <f t="shared" si="176"/>
        <v>136000</v>
      </c>
      <c r="S839" s="566"/>
      <c r="T839" s="589"/>
      <c r="U839" s="591"/>
      <c r="V839" s="589"/>
      <c r="W839" s="564" t="str">
        <f>IF(S839&lt;&gt;0,VLOOKUP(S839,VKT!$A$2:$G$415,7,0),"")</f>
        <v/>
      </c>
      <c r="X839" s="564" t="str">
        <f t="shared" si="182"/>
        <v xml:space="preserve"> </v>
      </c>
      <c r="Y839" s="589"/>
      <c r="Z839" s="592"/>
      <c r="AA839" s="592"/>
      <c r="AB839" s="568"/>
      <c r="AC839" s="592"/>
      <c r="AD839" s="592"/>
      <c r="AE839" s="592"/>
      <c r="AF839" s="590"/>
      <c r="AG839" s="570" t="str">
        <f>IF(AE839&lt;&gt;0,VLOOKUP(AE839,ODDS!$A$2:$C$13,3,0),"")</f>
        <v/>
      </c>
      <c r="AH839" s="570" t="str">
        <f t="shared" si="177"/>
        <v xml:space="preserve"> </v>
      </c>
      <c r="AI839" s="571" t="str">
        <f t="shared" si="172"/>
        <v xml:space="preserve"> </v>
      </c>
      <c r="AJ839" s="608" t="s">
        <v>111</v>
      </c>
      <c r="AK839" s="558" t="s">
        <v>2449</v>
      </c>
    </row>
    <row r="840" spans="1:37" s="376" customFormat="1" ht="101.25" outlineLevel="2" x14ac:dyDescent="0.3">
      <c r="A840" s="447">
        <f t="shared" si="184"/>
        <v>69</v>
      </c>
      <c r="B840" s="557"/>
      <c r="C840" s="637" t="s">
        <v>255</v>
      </c>
      <c r="D840" s="587"/>
      <c r="E840" s="587"/>
      <c r="F840" s="560"/>
      <c r="G840" s="558" t="s">
        <v>2217</v>
      </c>
      <c r="H840" s="588">
        <v>22.4</v>
      </c>
      <c r="I840" s="546">
        <f t="shared" si="183"/>
        <v>22.4</v>
      </c>
      <c r="J840" s="589"/>
      <c r="K840" s="563">
        <f>IF(G840&lt;&gt;0,VLOOKUP(G840,'gia dat'!$A$1:$F$144,5,0)," ")</f>
        <v>554400</v>
      </c>
      <c r="L840" s="563">
        <f>IF(G840&lt;&gt;0,VLOOKUP(G840,'gia dat'!$A$1:$F$144,6,0)," ")</f>
        <v>1663200</v>
      </c>
      <c r="M840" s="564">
        <f t="shared" si="173"/>
        <v>12419000</v>
      </c>
      <c r="N840" s="564">
        <f t="shared" si="174"/>
        <v>37256000</v>
      </c>
      <c r="O840" s="558" t="s">
        <v>2101</v>
      </c>
      <c r="P840" s="590">
        <v>1</v>
      </c>
      <c r="Q840" s="564">
        <f>IF(O840&lt;&gt;0,VLOOKUP(O840,'Cây trong'!$A$2:$C$246,3,0)," ")</f>
        <v>308000</v>
      </c>
      <c r="R840" s="564">
        <f t="shared" si="176"/>
        <v>308000</v>
      </c>
      <c r="S840" s="566"/>
      <c r="T840" s="589"/>
      <c r="U840" s="591"/>
      <c r="V840" s="589"/>
      <c r="W840" s="564" t="str">
        <f>IF(S840&lt;&gt;0,VLOOKUP(S840,VKT!$A$2:$G$415,7,0),"")</f>
        <v/>
      </c>
      <c r="X840" s="564" t="str">
        <f t="shared" si="182"/>
        <v xml:space="preserve"> </v>
      </c>
      <c r="Y840" s="589"/>
      <c r="Z840" s="592"/>
      <c r="AA840" s="592"/>
      <c r="AB840" s="568"/>
      <c r="AC840" s="592"/>
      <c r="AD840" s="592"/>
      <c r="AE840" s="592"/>
      <c r="AF840" s="590"/>
      <c r="AG840" s="570" t="str">
        <f>IF(AE840&lt;&gt;0,VLOOKUP(AE840,ODDS!$A$2:$C$13,3,0),"")</f>
        <v/>
      </c>
      <c r="AH840" s="570" t="str">
        <f t="shared" si="177"/>
        <v xml:space="preserve"> </v>
      </c>
      <c r="AI840" s="571" t="str">
        <f t="shared" si="172"/>
        <v xml:space="preserve"> </v>
      </c>
      <c r="AJ840" s="558" t="s">
        <v>591</v>
      </c>
      <c r="AK840" s="593"/>
    </row>
    <row r="841" spans="1:37" s="376" customFormat="1" ht="81" outlineLevel="2" x14ac:dyDescent="0.3">
      <c r="A841" s="447">
        <f t="shared" si="184"/>
        <v>69</v>
      </c>
      <c r="B841" s="557"/>
      <c r="C841" s="637" t="s">
        <v>703</v>
      </c>
      <c r="D841" s="587"/>
      <c r="E841" s="587"/>
      <c r="F841" s="560"/>
      <c r="G841" s="558"/>
      <c r="H841" s="588"/>
      <c r="I841" s="546"/>
      <c r="J841" s="589"/>
      <c r="K841" s="563" t="str">
        <f>IF(G841&lt;&gt;0,VLOOKUP(G841,'gia dat'!$A$1:$F$144,5,0)," ")</f>
        <v xml:space="preserve"> </v>
      </c>
      <c r="L841" s="563" t="str">
        <f>IF(G841&lt;&gt;0,VLOOKUP(G841,'gia dat'!$A$1:$F$144,6,0)," ")</f>
        <v xml:space="preserve"> </v>
      </c>
      <c r="M841" s="564" t="str">
        <f t="shared" si="173"/>
        <v xml:space="preserve"> </v>
      </c>
      <c r="N841" s="564" t="str">
        <f t="shared" si="174"/>
        <v xml:space="preserve"> </v>
      </c>
      <c r="O841" s="558" t="s">
        <v>257</v>
      </c>
      <c r="P841" s="590">
        <v>2</v>
      </c>
      <c r="Q841" s="564">
        <f>IF(O841&lt;&gt;0,VLOOKUP(O841,'Cây trong'!$A$2:$C$246,3,0)," ")</f>
        <v>2870000</v>
      </c>
      <c r="R841" s="564">
        <f t="shared" si="176"/>
        <v>5740000</v>
      </c>
      <c r="S841" s="640"/>
      <c r="T841" s="639"/>
      <c r="U841" s="591"/>
      <c r="V841" s="589"/>
      <c r="W841" s="564" t="str">
        <f>IF(S841&lt;&gt;0,VLOOKUP(S841,VKT!$A$2:$G$415,7,0),"")</f>
        <v/>
      </c>
      <c r="X841" s="564" t="str">
        <f t="shared" si="182"/>
        <v xml:space="preserve"> </v>
      </c>
      <c r="Y841" s="589"/>
      <c r="Z841" s="592"/>
      <c r="AA841" s="592"/>
      <c r="AB841" s="568"/>
      <c r="AC841" s="592"/>
      <c r="AD841" s="592"/>
      <c r="AE841" s="592"/>
      <c r="AF841" s="590"/>
      <c r="AG841" s="570" t="str">
        <f>IF(AE841&lt;&gt;0,VLOOKUP(AE841,ODDS!$A$2:$C$13,3,0),"")</f>
        <v/>
      </c>
      <c r="AH841" s="570" t="str">
        <f t="shared" si="177"/>
        <v xml:space="preserve"> </v>
      </c>
      <c r="AI841" s="571" t="str">
        <f t="shared" ref="AI841:AI904" si="185">IF(B841&lt;&gt;0,M841+N841+R841+X841+AH841," ")</f>
        <v xml:space="preserve"> </v>
      </c>
      <c r="AJ841" s="558" t="s">
        <v>2216</v>
      </c>
      <c r="AK841" s="558"/>
    </row>
    <row r="842" spans="1:37" s="376" customFormat="1" ht="20.25" outlineLevel="2" x14ac:dyDescent="0.3">
      <c r="A842" s="447">
        <f t="shared" si="184"/>
        <v>69</v>
      </c>
      <c r="B842" s="557"/>
      <c r="C842" s="637"/>
      <c r="D842" s="587"/>
      <c r="E842" s="587"/>
      <c r="F842" s="560"/>
      <c r="G842" s="558"/>
      <c r="H842" s="588"/>
      <c r="I842" s="546"/>
      <c r="J842" s="589"/>
      <c r="K842" s="563" t="str">
        <f>IF(G842&lt;&gt;0,VLOOKUP(G842,'gia dat'!$A$1:$F$144,5,0)," ")</f>
        <v xml:space="preserve"> </v>
      </c>
      <c r="L842" s="563" t="str">
        <f>IF(G842&lt;&gt;0,VLOOKUP(G842,'gia dat'!$A$1:$F$144,6,0)," ")</f>
        <v xml:space="preserve"> </v>
      </c>
      <c r="M842" s="564" t="str">
        <f t="shared" si="173"/>
        <v xml:space="preserve"> </v>
      </c>
      <c r="N842" s="564" t="str">
        <f t="shared" si="174"/>
        <v xml:space="preserve"> </v>
      </c>
      <c r="O842" s="558" t="s">
        <v>258</v>
      </c>
      <c r="P842" s="590">
        <v>1</v>
      </c>
      <c r="Q842" s="564">
        <f>IF(O842&lt;&gt;0,VLOOKUP(O842,'Cây trong'!$A$2:$C$246,3,0)," ")</f>
        <v>1630000</v>
      </c>
      <c r="R842" s="564">
        <f t="shared" si="176"/>
        <v>1630000</v>
      </c>
      <c r="S842" s="566"/>
      <c r="T842" s="589"/>
      <c r="U842" s="591"/>
      <c r="V842" s="589"/>
      <c r="W842" s="564" t="str">
        <f>IF(S842&lt;&gt;0,VLOOKUP(S842,VKT!$A$2:$G$415,7,0),"")</f>
        <v/>
      </c>
      <c r="X842" s="564" t="str">
        <f t="shared" si="182"/>
        <v xml:space="preserve"> </v>
      </c>
      <c r="Y842" s="589"/>
      <c r="Z842" s="592"/>
      <c r="AA842" s="592"/>
      <c r="AB842" s="568"/>
      <c r="AC842" s="592"/>
      <c r="AD842" s="592"/>
      <c r="AE842" s="592"/>
      <c r="AF842" s="590"/>
      <c r="AG842" s="570" t="str">
        <f>IF(AE842&lt;&gt;0,VLOOKUP(AE842,ODDS!$A$2:$C$13,3,0),"")</f>
        <v/>
      </c>
      <c r="AH842" s="570" t="str">
        <f t="shared" si="177"/>
        <v xml:space="preserve"> </v>
      </c>
      <c r="AI842" s="571" t="str">
        <f t="shared" si="185"/>
        <v xml:space="preserve"> </v>
      </c>
      <c r="AJ842" s="575"/>
      <c r="AK842" s="593"/>
    </row>
    <row r="843" spans="1:37" s="376" customFormat="1" ht="40.5" outlineLevel="2" x14ac:dyDescent="0.3">
      <c r="A843" s="447">
        <f t="shared" si="184"/>
        <v>69</v>
      </c>
      <c r="B843" s="557"/>
      <c r="C843" s="558"/>
      <c r="D843" s="587"/>
      <c r="E843" s="587"/>
      <c r="F843" s="560"/>
      <c r="G843" s="558"/>
      <c r="H843" s="588"/>
      <c r="I843" s="546"/>
      <c r="J843" s="589"/>
      <c r="K843" s="563" t="str">
        <f>IF(G843&lt;&gt;0,VLOOKUP(G843,'gia dat'!$A$1:$F$144,5,0)," ")</f>
        <v xml:space="preserve"> </v>
      </c>
      <c r="L843" s="563" t="str">
        <f>IF(G843&lt;&gt;0,VLOOKUP(G843,'gia dat'!$A$1:$F$144,6,0)," ")</f>
        <v xml:space="preserve"> </v>
      </c>
      <c r="M843" s="564" t="str">
        <f t="shared" si="173"/>
        <v xml:space="preserve"> </v>
      </c>
      <c r="N843" s="564" t="str">
        <f t="shared" si="174"/>
        <v xml:space="preserve"> </v>
      </c>
      <c r="O843" s="558" t="s">
        <v>757</v>
      </c>
      <c r="P843" s="590">
        <v>1</v>
      </c>
      <c r="Q843" s="564">
        <f>IF(O843&lt;&gt;0,VLOOKUP(O843,'Cây trong'!$A$2:$C$246,3,0)," ")</f>
        <v>360000</v>
      </c>
      <c r="R843" s="564">
        <f t="shared" si="176"/>
        <v>360000</v>
      </c>
      <c r="S843" s="566"/>
      <c r="T843" s="589"/>
      <c r="U843" s="591"/>
      <c r="V843" s="589"/>
      <c r="W843" s="564" t="str">
        <f>IF(S843&lt;&gt;0,VLOOKUP(S843,VKT!$A$2:$G$415,7,0),"")</f>
        <v/>
      </c>
      <c r="X843" s="564" t="str">
        <f t="shared" si="182"/>
        <v xml:space="preserve"> </v>
      </c>
      <c r="Y843" s="589"/>
      <c r="Z843" s="592"/>
      <c r="AA843" s="592"/>
      <c r="AB843" s="568"/>
      <c r="AC843" s="592"/>
      <c r="AD843" s="592"/>
      <c r="AE843" s="592"/>
      <c r="AF843" s="590"/>
      <c r="AG843" s="570" t="str">
        <f>IF(AE843&lt;&gt;0,VLOOKUP(AE843,ODDS!$A$2:$C$13,3,0),"")</f>
        <v/>
      </c>
      <c r="AH843" s="570" t="str">
        <f t="shared" si="177"/>
        <v xml:space="preserve"> </v>
      </c>
      <c r="AI843" s="571" t="str">
        <f t="shared" si="185"/>
        <v xml:space="preserve"> </v>
      </c>
      <c r="AJ843" s="593"/>
      <c r="AK843" s="593"/>
    </row>
    <row r="844" spans="1:37" s="376" customFormat="1" ht="40.5" outlineLevel="2" x14ac:dyDescent="0.3">
      <c r="A844" s="447">
        <f t="shared" si="184"/>
        <v>69</v>
      </c>
      <c r="B844" s="557"/>
      <c r="C844" s="636"/>
      <c r="D844" s="587"/>
      <c r="E844" s="587"/>
      <c r="F844" s="560"/>
      <c r="G844" s="558"/>
      <c r="H844" s="588"/>
      <c r="I844" s="546"/>
      <c r="J844" s="589"/>
      <c r="K844" s="563" t="str">
        <f>IF(G844&lt;&gt;0,VLOOKUP(G844,'gia dat'!$A$1:$F$144,5,0)," ")</f>
        <v xml:space="preserve"> </v>
      </c>
      <c r="L844" s="563" t="str">
        <f>IF(G844&lt;&gt;0,VLOOKUP(G844,'gia dat'!$A$1:$F$144,6,0)," ")</f>
        <v xml:space="preserve"> </v>
      </c>
      <c r="M844" s="564" t="str">
        <f t="shared" si="173"/>
        <v xml:space="preserve"> </v>
      </c>
      <c r="N844" s="564" t="str">
        <f t="shared" si="174"/>
        <v xml:space="preserve"> </v>
      </c>
      <c r="O844" s="558" t="s">
        <v>758</v>
      </c>
      <c r="P844" s="590">
        <v>1</v>
      </c>
      <c r="Q844" s="564">
        <f>IF(O844&lt;&gt;0,VLOOKUP(O844,'Cây trong'!$A$2:$C$246,3,0)," ")</f>
        <v>60000</v>
      </c>
      <c r="R844" s="564">
        <f t="shared" si="176"/>
        <v>60000</v>
      </c>
      <c r="S844" s="566"/>
      <c r="T844" s="589"/>
      <c r="U844" s="591"/>
      <c r="V844" s="589"/>
      <c r="W844" s="564" t="str">
        <f>IF(S844&lt;&gt;0,VLOOKUP(S844,VKT!$A$2:$G$415,7,0),"")</f>
        <v/>
      </c>
      <c r="X844" s="564" t="str">
        <f t="shared" si="182"/>
        <v xml:space="preserve"> </v>
      </c>
      <c r="Y844" s="589"/>
      <c r="Z844" s="592"/>
      <c r="AA844" s="592"/>
      <c r="AB844" s="568"/>
      <c r="AC844" s="592"/>
      <c r="AD844" s="592"/>
      <c r="AE844" s="592"/>
      <c r="AF844" s="590"/>
      <c r="AG844" s="570" t="str">
        <f>IF(AE844&lt;&gt;0,VLOOKUP(AE844,ODDS!$A$2:$C$13,3,0),"")</f>
        <v/>
      </c>
      <c r="AH844" s="570" t="str">
        <f t="shared" si="177"/>
        <v xml:space="preserve"> </v>
      </c>
      <c r="AI844" s="571" t="str">
        <f t="shared" si="185"/>
        <v xml:space="preserve"> </v>
      </c>
      <c r="AJ844" s="593"/>
      <c r="AK844" s="593"/>
    </row>
    <row r="845" spans="1:37" s="376" customFormat="1" ht="60.75" outlineLevel="2" x14ac:dyDescent="0.3">
      <c r="A845" s="447">
        <f t="shared" si="184"/>
        <v>69</v>
      </c>
      <c r="B845" s="557"/>
      <c r="C845" s="637"/>
      <c r="D845" s="587"/>
      <c r="E845" s="587"/>
      <c r="F845" s="560"/>
      <c r="G845" s="558"/>
      <c r="H845" s="588"/>
      <c r="I845" s="546"/>
      <c r="J845" s="589"/>
      <c r="K845" s="563" t="str">
        <f>IF(G845&lt;&gt;0,VLOOKUP(G845,'gia dat'!$A$1:$F$144,5,0)," ")</f>
        <v xml:space="preserve"> </v>
      </c>
      <c r="L845" s="563" t="str">
        <f>IF(G845&lt;&gt;0,VLOOKUP(G845,'gia dat'!$A$1:$F$144,6,0)," ")</f>
        <v xml:space="preserve"> </v>
      </c>
      <c r="M845" s="564" t="str">
        <f t="shared" si="173"/>
        <v xml:space="preserve"> </v>
      </c>
      <c r="N845" s="564" t="str">
        <f t="shared" si="174"/>
        <v xml:space="preserve"> </v>
      </c>
      <c r="O845" s="558" t="s">
        <v>429</v>
      </c>
      <c r="P845" s="590">
        <v>6</v>
      </c>
      <c r="Q845" s="564">
        <f>IF(O845&lt;&gt;0,VLOOKUP(O845,'Cây trong'!$A$2:$C$246,3,0)," ")</f>
        <v>12000</v>
      </c>
      <c r="R845" s="564">
        <f t="shared" si="176"/>
        <v>72000</v>
      </c>
      <c r="S845" s="640"/>
      <c r="T845" s="639"/>
      <c r="U845" s="591"/>
      <c r="V845" s="589"/>
      <c r="W845" s="564" t="str">
        <f>IF(S845&lt;&gt;0,VLOOKUP(S845,VKT!$A$2:$G$415,7,0),"")</f>
        <v/>
      </c>
      <c r="X845" s="564" t="str">
        <f t="shared" si="182"/>
        <v xml:space="preserve"> </v>
      </c>
      <c r="Y845" s="589"/>
      <c r="Z845" s="592"/>
      <c r="AA845" s="592"/>
      <c r="AB845" s="568"/>
      <c r="AC845" s="592"/>
      <c r="AD845" s="592"/>
      <c r="AE845" s="592"/>
      <c r="AF845" s="590"/>
      <c r="AG845" s="570" t="str">
        <f>IF(AE845&lt;&gt;0,VLOOKUP(AE845,ODDS!$A$2:$C$13,3,0),"")</f>
        <v/>
      </c>
      <c r="AH845" s="570" t="str">
        <f t="shared" si="177"/>
        <v xml:space="preserve"> </v>
      </c>
      <c r="AI845" s="571" t="str">
        <f t="shared" si="185"/>
        <v xml:space="preserve"> </v>
      </c>
      <c r="AJ845" s="593"/>
      <c r="AK845" s="593"/>
    </row>
    <row r="846" spans="1:37" s="376" customFormat="1" ht="40.5" outlineLevel="2" x14ac:dyDescent="0.3">
      <c r="A846" s="447">
        <f t="shared" si="184"/>
        <v>69</v>
      </c>
      <c r="B846" s="557"/>
      <c r="C846" s="637"/>
      <c r="D846" s="587"/>
      <c r="E846" s="587"/>
      <c r="F846" s="560"/>
      <c r="G846" s="558"/>
      <c r="H846" s="588"/>
      <c r="I846" s="546"/>
      <c r="J846" s="589"/>
      <c r="K846" s="563" t="str">
        <f>IF(G846&lt;&gt;0,VLOOKUP(G846,'gia dat'!$A$1:$F$144,5,0)," ")</f>
        <v xml:space="preserve"> </v>
      </c>
      <c r="L846" s="563" t="str">
        <f>IF(G846&lt;&gt;0,VLOOKUP(G846,'gia dat'!$A$1:$F$144,6,0)," ")</f>
        <v xml:space="preserve"> </v>
      </c>
      <c r="M846" s="564" t="str">
        <f t="shared" ref="M846:M912" si="186">IF(H846&lt;&gt;0,ROUND(H846*K846,-3)," ")</f>
        <v xml:space="preserve"> </v>
      </c>
      <c r="N846" s="564" t="str">
        <f t="shared" ref="N846:N912" si="187">IF(H846&lt;&gt;0,ROUND(H846*L846,-3)," ")</f>
        <v xml:space="preserve"> </v>
      </c>
      <c r="O846" s="558" t="s">
        <v>759</v>
      </c>
      <c r="P846" s="590">
        <v>2</v>
      </c>
      <c r="Q846" s="564">
        <f>IF(O846&lt;&gt;0,VLOOKUP(O846,'Cây trong'!$A$2:$C$246,3,0)," ")</f>
        <v>72000</v>
      </c>
      <c r="R846" s="564">
        <f t="shared" si="176"/>
        <v>144000</v>
      </c>
      <c r="S846" s="566"/>
      <c r="T846" s="589"/>
      <c r="U846" s="591"/>
      <c r="V846" s="589"/>
      <c r="W846" s="564" t="str">
        <f>IF(S846&lt;&gt;0,VLOOKUP(S846,VKT!$A$2:$G$415,7,0),"")</f>
        <v/>
      </c>
      <c r="X846" s="564" t="str">
        <f t="shared" si="182"/>
        <v xml:space="preserve"> </v>
      </c>
      <c r="Y846" s="589"/>
      <c r="Z846" s="592"/>
      <c r="AA846" s="592"/>
      <c r="AB846" s="568"/>
      <c r="AC846" s="592"/>
      <c r="AD846" s="592"/>
      <c r="AE846" s="592"/>
      <c r="AF846" s="590"/>
      <c r="AG846" s="570" t="str">
        <f>IF(AE846&lt;&gt;0,VLOOKUP(AE846,ODDS!$A$2:$C$13,3,0),"")</f>
        <v/>
      </c>
      <c r="AH846" s="570" t="str">
        <f t="shared" si="177"/>
        <v xml:space="preserve"> </v>
      </c>
      <c r="AI846" s="571" t="str">
        <f t="shared" si="185"/>
        <v xml:space="preserve"> </v>
      </c>
      <c r="AJ846" s="593"/>
      <c r="AK846" s="593"/>
    </row>
    <row r="847" spans="1:37" s="376" customFormat="1" ht="20.25" outlineLevel="2" x14ac:dyDescent="0.3">
      <c r="A847" s="447">
        <f t="shared" si="184"/>
        <v>69</v>
      </c>
      <c r="B847" s="557"/>
      <c r="C847" s="648"/>
      <c r="D847" s="587"/>
      <c r="E847" s="587"/>
      <c r="F847" s="615"/>
      <c r="G847" s="558"/>
      <c r="H847" s="604"/>
      <c r="I847" s="546"/>
      <c r="J847" s="593"/>
      <c r="K847" s="563" t="str">
        <f>IF(G847&lt;&gt;0,VLOOKUP(G847,'gia dat'!$A$1:$F$144,5,0)," ")</f>
        <v xml:space="preserve"> </v>
      </c>
      <c r="L847" s="563" t="str">
        <f>IF(G847&lt;&gt;0,VLOOKUP(G847,'gia dat'!$A$1:$F$144,6,0)," ")</f>
        <v xml:space="preserve"> </v>
      </c>
      <c r="M847" s="564" t="str">
        <f t="shared" si="186"/>
        <v xml:space="preserve"> </v>
      </c>
      <c r="N847" s="564" t="str">
        <f t="shared" si="187"/>
        <v xml:space="preserve"> </v>
      </c>
      <c r="O847" s="593"/>
      <c r="P847" s="616"/>
      <c r="Q847" s="564" t="str">
        <f>IF(O847&lt;&gt;0,VLOOKUP(O847,'Cây trong'!$A$2:$C$246,3,0)," ")</f>
        <v xml:space="preserve"> </v>
      </c>
      <c r="R847" s="564" t="str">
        <f t="shared" si="176"/>
        <v xml:space="preserve"> </v>
      </c>
      <c r="S847" s="593"/>
      <c r="T847" s="593"/>
      <c r="U847" s="617"/>
      <c r="V847" s="589"/>
      <c r="W847" s="564" t="str">
        <f>IF(S847&lt;&gt;0,VLOOKUP(S847,VKT!$A$2:$G$415,7,0),"")</f>
        <v/>
      </c>
      <c r="X847" s="564" t="str">
        <f t="shared" si="182"/>
        <v xml:space="preserve"> </v>
      </c>
      <c r="Y847" s="589"/>
      <c r="Z847" s="589"/>
      <c r="AA847" s="589"/>
      <c r="AB847" s="562"/>
      <c r="AC847" s="589"/>
      <c r="AD847" s="589"/>
      <c r="AE847" s="589"/>
      <c r="AF847" s="629"/>
      <c r="AG847" s="570" t="str">
        <f>IF(AE847&lt;&gt;0,VLOOKUP(AE847,ODDS!$A$2:$C$13,3,0),"")</f>
        <v/>
      </c>
      <c r="AH847" s="570" t="str">
        <f t="shared" si="177"/>
        <v xml:space="preserve"> </v>
      </c>
      <c r="AI847" s="571" t="str">
        <f t="shared" si="185"/>
        <v xml:space="preserve"> </v>
      </c>
      <c r="AJ847" s="593"/>
      <c r="AK847" s="593"/>
    </row>
    <row r="848" spans="1:37" s="376" customFormat="1" ht="20.25" outlineLevel="2" x14ac:dyDescent="0.3">
      <c r="A848" s="447">
        <f t="shared" si="184"/>
        <v>69</v>
      </c>
      <c r="B848" s="557"/>
      <c r="C848" s="558"/>
      <c r="D848" s="587"/>
      <c r="E848" s="587"/>
      <c r="F848" s="560"/>
      <c r="G848" s="558"/>
      <c r="H848" s="588"/>
      <c r="I848" s="546"/>
      <c r="J848" s="589"/>
      <c r="K848" s="563" t="str">
        <f>IF(G848&lt;&gt;0,VLOOKUP(G848,'gia dat'!$A$1:$F$144,5,0)," ")</f>
        <v xml:space="preserve"> </v>
      </c>
      <c r="L848" s="563" t="str">
        <f>IF(G848&lt;&gt;0,VLOOKUP(G848,'gia dat'!$A$1:$F$144,6,0)," ")</f>
        <v xml:space="preserve"> </v>
      </c>
      <c r="M848" s="564" t="str">
        <f t="shared" si="186"/>
        <v xml:space="preserve"> </v>
      </c>
      <c r="N848" s="564" t="str">
        <f t="shared" si="187"/>
        <v xml:space="preserve"> </v>
      </c>
      <c r="O848" s="646"/>
      <c r="P848" s="658"/>
      <c r="Q848" s="564" t="str">
        <f>IF(O848&lt;&gt;0,VLOOKUP(O848,'Cây trong'!$A$2:$C$246,3,0)," ")</f>
        <v xml:space="preserve"> </v>
      </c>
      <c r="R848" s="564" t="str">
        <f t="shared" si="176"/>
        <v xml:space="preserve"> </v>
      </c>
      <c r="S848" s="646"/>
      <c r="T848" s="647"/>
      <c r="U848" s="591"/>
      <c r="V848" s="589"/>
      <c r="W848" s="564" t="str">
        <f>IF(S848&lt;&gt;0,VLOOKUP(S848,VKT!$A$2:$G$415,7,0),"")</f>
        <v/>
      </c>
      <c r="X848" s="564" t="str">
        <f t="shared" si="182"/>
        <v xml:space="preserve"> </v>
      </c>
      <c r="Y848" s="589"/>
      <c r="Z848" s="592"/>
      <c r="AA848" s="592"/>
      <c r="AB848" s="568"/>
      <c r="AC848" s="592"/>
      <c r="AD848" s="592"/>
      <c r="AE848" s="592"/>
      <c r="AF848" s="590"/>
      <c r="AG848" s="570" t="str">
        <f>IF(AE848&lt;&gt;0,VLOOKUP(AE848,ODDS!$A$2:$C$13,3,0),"")</f>
        <v/>
      </c>
      <c r="AH848" s="570" t="str">
        <f t="shared" si="177"/>
        <v xml:space="preserve"> </v>
      </c>
      <c r="AI848" s="571" t="str">
        <f t="shared" si="185"/>
        <v xml:space="preserve"> </v>
      </c>
      <c r="AJ848" s="593"/>
      <c r="AK848" s="593"/>
    </row>
    <row r="849" spans="1:39" s="376" customFormat="1" ht="20.25" outlineLevel="2" x14ac:dyDescent="0.3">
      <c r="A849" s="447">
        <f t="shared" si="184"/>
        <v>69</v>
      </c>
      <c r="B849" s="557"/>
      <c r="C849" s="574"/>
      <c r="D849" s="587"/>
      <c r="E849" s="587"/>
      <c r="F849" s="560"/>
      <c r="G849" s="558"/>
      <c r="H849" s="588"/>
      <c r="I849" s="546"/>
      <c r="J849" s="589"/>
      <c r="K849" s="563" t="str">
        <f>IF(G849&lt;&gt;0,VLOOKUP(G849,'gia dat'!$A$1:$F$144,5,0)," ")</f>
        <v xml:space="preserve"> </v>
      </c>
      <c r="L849" s="563" t="str">
        <f>IF(G849&lt;&gt;0,VLOOKUP(G849,'gia dat'!$A$1:$F$144,6,0)," ")</f>
        <v xml:space="preserve"> </v>
      </c>
      <c r="M849" s="564" t="str">
        <f t="shared" si="186"/>
        <v xml:space="preserve"> </v>
      </c>
      <c r="N849" s="564" t="str">
        <f t="shared" si="187"/>
        <v xml:space="preserve"> </v>
      </c>
      <c r="O849" s="646"/>
      <c r="P849" s="658"/>
      <c r="Q849" s="564" t="str">
        <f>IF(O849&lt;&gt;0,VLOOKUP(O849,'Cây trong'!$A$2:$C$246,3,0)," ")</f>
        <v xml:space="preserve"> </v>
      </c>
      <c r="R849" s="564" t="str">
        <f t="shared" si="176"/>
        <v xml:space="preserve"> </v>
      </c>
      <c r="S849" s="646"/>
      <c r="T849" s="647"/>
      <c r="U849" s="591"/>
      <c r="V849" s="589"/>
      <c r="W849" s="564" t="str">
        <f>IF(S849&lt;&gt;0,VLOOKUP(S849,VKT!$A$2:$G$415,7,0),"")</f>
        <v/>
      </c>
      <c r="X849" s="564" t="str">
        <f t="shared" si="182"/>
        <v xml:space="preserve"> </v>
      </c>
      <c r="Y849" s="589"/>
      <c r="Z849" s="592"/>
      <c r="AA849" s="592"/>
      <c r="AB849" s="568"/>
      <c r="AC849" s="592"/>
      <c r="AD849" s="592"/>
      <c r="AE849" s="592"/>
      <c r="AF849" s="590"/>
      <c r="AG849" s="570" t="str">
        <f>IF(AE849&lt;&gt;0,VLOOKUP(AE849,ODDS!$A$2:$C$13,3,0),"")</f>
        <v/>
      </c>
      <c r="AH849" s="570" t="str">
        <f t="shared" si="177"/>
        <v xml:space="preserve"> </v>
      </c>
      <c r="AI849" s="571" t="str">
        <f t="shared" si="185"/>
        <v xml:space="preserve"> </v>
      </c>
      <c r="AJ849" s="593"/>
      <c r="AK849" s="593"/>
    </row>
    <row r="850" spans="1:39" s="376" customFormat="1" ht="20.25" outlineLevel="2" x14ac:dyDescent="0.3">
      <c r="A850" s="447">
        <f t="shared" si="184"/>
        <v>69</v>
      </c>
      <c r="B850" s="557"/>
      <c r="C850" s="558"/>
      <c r="D850" s="587"/>
      <c r="E850" s="587"/>
      <c r="F850" s="560"/>
      <c r="G850" s="558"/>
      <c r="H850" s="588"/>
      <c r="I850" s="546"/>
      <c r="J850" s="589"/>
      <c r="K850" s="563" t="str">
        <f>IF(G850&lt;&gt;0,VLOOKUP(G850,'gia dat'!$A$1:$F$144,5,0)," ")</f>
        <v xml:space="preserve"> </v>
      </c>
      <c r="L850" s="563" t="str">
        <f>IF(G850&lt;&gt;0,VLOOKUP(G850,'gia dat'!$A$1:$F$144,6,0)," ")</f>
        <v xml:space="preserve"> </v>
      </c>
      <c r="M850" s="564" t="str">
        <f t="shared" si="186"/>
        <v xml:space="preserve"> </v>
      </c>
      <c r="N850" s="564" t="str">
        <f t="shared" si="187"/>
        <v xml:space="preserve"> </v>
      </c>
      <c r="O850" s="646"/>
      <c r="P850" s="658"/>
      <c r="Q850" s="564" t="str">
        <f>IF(O850&lt;&gt;0,VLOOKUP(O850,'Cây trong'!$A$2:$C$246,3,0)," ")</f>
        <v xml:space="preserve"> </v>
      </c>
      <c r="R850" s="564" t="str">
        <f t="shared" si="176"/>
        <v xml:space="preserve"> </v>
      </c>
      <c r="S850" s="646"/>
      <c r="T850" s="647"/>
      <c r="U850" s="591"/>
      <c r="V850" s="589"/>
      <c r="W850" s="564" t="str">
        <f>IF(S850&lt;&gt;0,VLOOKUP(S850,VKT!$A$2:$G$415,7,0),"")</f>
        <v/>
      </c>
      <c r="X850" s="564" t="str">
        <f t="shared" si="182"/>
        <v xml:space="preserve"> </v>
      </c>
      <c r="Y850" s="589"/>
      <c r="Z850" s="592"/>
      <c r="AA850" s="592"/>
      <c r="AB850" s="568"/>
      <c r="AC850" s="592"/>
      <c r="AD850" s="592"/>
      <c r="AE850" s="592"/>
      <c r="AF850" s="590"/>
      <c r="AG850" s="570" t="str">
        <f>IF(AE850&lt;&gt;0,VLOOKUP(AE850,ODDS!$A$2:$C$13,3,0),"")</f>
        <v/>
      </c>
      <c r="AH850" s="570" t="str">
        <f t="shared" si="177"/>
        <v xml:space="preserve"> </v>
      </c>
      <c r="AI850" s="571" t="str">
        <f t="shared" si="185"/>
        <v xml:space="preserve"> </v>
      </c>
      <c r="AJ850" s="593"/>
      <c r="AK850" s="593"/>
    </row>
    <row r="851" spans="1:39" s="376" customFormat="1" ht="20.25" outlineLevel="2" x14ac:dyDescent="0.3">
      <c r="A851" s="447">
        <f t="shared" si="184"/>
        <v>69</v>
      </c>
      <c r="B851" s="557"/>
      <c r="C851" s="636"/>
      <c r="D851" s="587"/>
      <c r="E851" s="587"/>
      <c r="F851" s="560"/>
      <c r="G851" s="558"/>
      <c r="H851" s="588"/>
      <c r="I851" s="546"/>
      <c r="J851" s="589"/>
      <c r="K851" s="563" t="str">
        <f>IF(G851&lt;&gt;0,VLOOKUP(G851,'gia dat'!$A$1:$F$144,5,0)," ")</f>
        <v xml:space="preserve"> </v>
      </c>
      <c r="L851" s="563" t="str">
        <f>IF(G851&lt;&gt;0,VLOOKUP(G851,'gia dat'!$A$1:$F$144,6,0)," ")</f>
        <v xml:space="preserve"> </v>
      </c>
      <c r="M851" s="564" t="str">
        <f t="shared" si="186"/>
        <v xml:space="preserve"> </v>
      </c>
      <c r="N851" s="564" t="str">
        <f t="shared" si="187"/>
        <v xml:space="preserve"> </v>
      </c>
      <c r="O851" s="646"/>
      <c r="P851" s="658"/>
      <c r="Q851" s="564" t="str">
        <f>IF(O851&lt;&gt;0,VLOOKUP(O851,'Cây trong'!$A$2:$C$246,3,0)," ")</f>
        <v xml:space="preserve"> </v>
      </c>
      <c r="R851" s="564" t="str">
        <f t="shared" si="176"/>
        <v xml:space="preserve"> </v>
      </c>
      <c r="S851" s="646"/>
      <c r="T851" s="647"/>
      <c r="U851" s="591"/>
      <c r="V851" s="589"/>
      <c r="W851" s="564" t="str">
        <f>IF(S851&lt;&gt;0,VLOOKUP(S851,VKT!$A$2:$G$415,7,0),"")</f>
        <v/>
      </c>
      <c r="X851" s="564" t="str">
        <f t="shared" si="182"/>
        <v xml:space="preserve"> </v>
      </c>
      <c r="Y851" s="589"/>
      <c r="Z851" s="592"/>
      <c r="AA851" s="592"/>
      <c r="AB851" s="568"/>
      <c r="AC851" s="592"/>
      <c r="AD851" s="592"/>
      <c r="AE851" s="592"/>
      <c r="AF851" s="590"/>
      <c r="AG851" s="570" t="str">
        <f>IF(AE851&lt;&gt;0,VLOOKUP(AE851,ODDS!$A$2:$C$13,3,0),"")</f>
        <v/>
      </c>
      <c r="AH851" s="570" t="str">
        <f t="shared" si="177"/>
        <v xml:space="preserve"> </v>
      </c>
      <c r="AI851" s="571" t="str">
        <f t="shared" si="185"/>
        <v xml:space="preserve"> </v>
      </c>
      <c r="AJ851" s="558"/>
      <c r="AK851" s="558"/>
    </row>
    <row r="852" spans="1:39" s="376" customFormat="1" ht="20.25" outlineLevel="1" x14ac:dyDescent="0.25">
      <c r="A852" s="467" t="s">
        <v>2640</v>
      </c>
      <c r="B852" s="576">
        <v>70</v>
      </c>
      <c r="C852" s="636" t="s">
        <v>259</v>
      </c>
      <c r="D852" s="595"/>
      <c r="E852" s="595"/>
      <c r="F852" s="577"/>
      <c r="G852" s="574"/>
      <c r="H852" s="618">
        <f>SUBTOTAL(9,H853:H859)</f>
        <v>0</v>
      </c>
      <c r="I852" s="579">
        <f>SUBTOTAL(9,I853:I858)</f>
        <v>0</v>
      </c>
      <c r="J852" s="597"/>
      <c r="K852" s="581"/>
      <c r="L852" s="581"/>
      <c r="M852" s="571">
        <f>SUBTOTAL(9,M853:M859)</f>
        <v>0</v>
      </c>
      <c r="N852" s="571">
        <f>SUBTOTAL(9,N853:N859)</f>
        <v>0</v>
      </c>
      <c r="O852" s="574"/>
      <c r="P852" s="599">
        <f>SUBTOTAL(9,P853:P859)</f>
        <v>0</v>
      </c>
      <c r="Q852" s="571"/>
      <c r="R852" s="571">
        <f>SUBTOTAL(9,R853:R859)</f>
        <v>0</v>
      </c>
      <c r="S852" s="582"/>
      <c r="T852" s="597"/>
      <c r="U852" s="600">
        <f>SUBTOTAL(9,U853:U859)</f>
        <v>12.8</v>
      </c>
      <c r="V852" s="597"/>
      <c r="W852" s="571"/>
      <c r="X852" s="571">
        <f>SUBTOTAL(9,X853:X859)</f>
        <v>6693000</v>
      </c>
      <c r="Y852" s="589"/>
      <c r="Z852" s="592"/>
      <c r="AA852" s="592"/>
      <c r="AB852" s="568"/>
      <c r="AC852" s="592"/>
      <c r="AD852" s="592"/>
      <c r="AE852" s="601"/>
      <c r="AF852" s="599">
        <f>SUBTOTAL(9,AF853:AF859)</f>
        <v>0</v>
      </c>
      <c r="AG852" s="585"/>
      <c r="AH852" s="585">
        <f>SUBTOTAL(9,AH853:AH859)</f>
        <v>0</v>
      </c>
      <c r="AI852" s="571">
        <f t="shared" si="185"/>
        <v>6693000</v>
      </c>
      <c r="AJ852" s="574"/>
      <c r="AK852" s="574"/>
      <c r="AM852" s="473"/>
    </row>
    <row r="853" spans="1:39" s="376" customFormat="1" ht="121.5" outlineLevel="2" x14ac:dyDescent="0.3">
      <c r="A853" s="447">
        <f>IF(B852&lt;&gt;0,B852,A851)</f>
        <v>70</v>
      </c>
      <c r="B853" s="557"/>
      <c r="C853" s="558" t="s">
        <v>260</v>
      </c>
      <c r="D853" s="587"/>
      <c r="E853" s="587"/>
      <c r="F853" s="560"/>
      <c r="G853" s="558"/>
      <c r="H853" s="588"/>
      <c r="I853" s="546"/>
      <c r="J853" s="589"/>
      <c r="K853" s="563" t="str">
        <f>IF(G853&lt;&gt;0,VLOOKUP(G853,'gia dat'!$A$1:$F$144,5,0)," ")</f>
        <v xml:space="preserve"> </v>
      </c>
      <c r="L853" s="563" t="str">
        <f>IF(G853&lt;&gt;0,VLOOKUP(G853,'gia dat'!$A$1:$F$144,6,0)," ")</f>
        <v xml:space="preserve"> </v>
      </c>
      <c r="M853" s="564" t="str">
        <f t="shared" si="186"/>
        <v xml:space="preserve"> </v>
      </c>
      <c r="N853" s="564" t="str">
        <f t="shared" si="187"/>
        <v xml:space="preserve"> </v>
      </c>
      <c r="O853" s="558"/>
      <c r="P853" s="590"/>
      <c r="Q853" s="564" t="str">
        <f>IF(O853&lt;&gt;0,VLOOKUP(O853,'Cây trong'!$A$2:$C$246,3,0)," ")</f>
        <v xml:space="preserve"> </v>
      </c>
      <c r="R853" s="564" t="str">
        <f t="shared" si="176"/>
        <v xml:space="preserve"> </v>
      </c>
      <c r="S853" s="566" t="s">
        <v>1884</v>
      </c>
      <c r="T853" s="589" t="s">
        <v>53</v>
      </c>
      <c r="U853" s="591">
        <v>6.8</v>
      </c>
      <c r="V853" s="589">
        <v>40.200000000000003</v>
      </c>
      <c r="W853" s="564">
        <f>IF(S853&lt;&gt;0,VLOOKUP(S853,VKT!$A$2:$G$415,7,0),"")</f>
        <v>984277</v>
      </c>
      <c r="X853" s="564">
        <f t="shared" si="182"/>
        <v>6693000</v>
      </c>
      <c r="Y853" s="589"/>
      <c r="Z853" s="592" t="s">
        <v>55</v>
      </c>
      <c r="AA853" s="592" t="s">
        <v>87</v>
      </c>
      <c r="AB853" s="568" t="s">
        <v>55</v>
      </c>
      <c r="AC853" s="592" t="s">
        <v>66</v>
      </c>
      <c r="AD853" s="592"/>
      <c r="AE853" s="592"/>
      <c r="AF853" s="590"/>
      <c r="AG853" s="570" t="str">
        <f>IF(AE853&lt;&gt;0,VLOOKUP(AE853,ODDS!$A$2:$C$13,3,0),"")</f>
        <v/>
      </c>
      <c r="AH853" s="570" t="str">
        <f t="shared" si="177"/>
        <v xml:space="preserve"> </v>
      </c>
      <c r="AI853" s="571" t="str">
        <f t="shared" si="185"/>
        <v xml:space="preserve"> </v>
      </c>
      <c r="AJ853" s="558" t="s">
        <v>261</v>
      </c>
      <c r="AK853" s="558" t="s">
        <v>2450</v>
      </c>
      <c r="AM853" s="378" t="s">
        <v>592</v>
      </c>
    </row>
    <row r="854" spans="1:39" s="376" customFormat="1" ht="101.25" outlineLevel="2" x14ac:dyDescent="0.3">
      <c r="A854" s="447">
        <f t="shared" ref="A854:A859" si="188">IF(B853&lt;&gt;0,B853,A853)</f>
        <v>70</v>
      </c>
      <c r="B854" s="557"/>
      <c r="C854" s="637" t="s">
        <v>704</v>
      </c>
      <c r="D854" s="587"/>
      <c r="E854" s="587"/>
      <c r="F854" s="560"/>
      <c r="G854" s="558"/>
      <c r="H854" s="588"/>
      <c r="I854" s="546"/>
      <c r="J854" s="589"/>
      <c r="K854" s="563" t="str">
        <f>IF(G854&lt;&gt;0,VLOOKUP(G854,'gia dat'!$A$1:$F$144,5,0)," ")</f>
        <v xml:space="preserve"> </v>
      </c>
      <c r="L854" s="563" t="str">
        <f>IF(G854&lt;&gt;0,VLOOKUP(G854,'gia dat'!$A$1:$F$144,6,0)," ")</f>
        <v xml:space="preserve"> </v>
      </c>
      <c r="M854" s="564" t="str">
        <f t="shared" si="186"/>
        <v xml:space="preserve"> </v>
      </c>
      <c r="N854" s="564" t="str">
        <f t="shared" si="187"/>
        <v xml:space="preserve"> </v>
      </c>
      <c r="O854" s="558"/>
      <c r="P854" s="590"/>
      <c r="Q854" s="564" t="str">
        <f>IF(O854&lt;&gt;0,VLOOKUP(O854,'Cây trong'!$A$2:$C$246,3,0)," ")</f>
        <v xml:space="preserve"> </v>
      </c>
      <c r="R854" s="564" t="str">
        <f t="shared" si="176"/>
        <v xml:space="preserve"> </v>
      </c>
      <c r="S854" s="586" t="s">
        <v>1748</v>
      </c>
      <c r="T854" s="589" t="s">
        <v>53</v>
      </c>
      <c r="U854" s="591">
        <v>6</v>
      </c>
      <c r="V854" s="589"/>
      <c r="W854" s="564">
        <f>IF(S854&lt;&gt;0,VLOOKUP(S854,VKT!$A$2:$G$415,7,0),"")</f>
        <v>0</v>
      </c>
      <c r="X854" s="564">
        <f t="shared" si="182"/>
        <v>0</v>
      </c>
      <c r="Y854" s="589"/>
      <c r="Z854" s="592"/>
      <c r="AA854" s="592"/>
      <c r="AB854" s="568"/>
      <c r="AC854" s="592"/>
      <c r="AD854" s="592"/>
      <c r="AE854" s="592"/>
      <c r="AF854" s="590"/>
      <c r="AG854" s="570" t="str">
        <f>IF(AE854&lt;&gt;0,VLOOKUP(AE854,ODDS!$A$2:$C$13,3,0),"")</f>
        <v/>
      </c>
      <c r="AH854" s="570" t="str">
        <f t="shared" si="177"/>
        <v xml:space="preserve"> </v>
      </c>
      <c r="AI854" s="571" t="str">
        <f t="shared" si="185"/>
        <v xml:space="preserve"> </v>
      </c>
      <c r="AJ854" s="575"/>
      <c r="AK854" s="558" t="s">
        <v>2800</v>
      </c>
    </row>
    <row r="855" spans="1:39" s="376" customFormat="1" ht="40.5" outlineLevel="2" x14ac:dyDescent="0.3">
      <c r="A855" s="447">
        <f t="shared" si="188"/>
        <v>70</v>
      </c>
      <c r="B855" s="557"/>
      <c r="C855" s="558" t="s">
        <v>337</v>
      </c>
      <c r="D855" s="587"/>
      <c r="E855" s="587"/>
      <c r="F855" s="560"/>
      <c r="G855" s="558"/>
      <c r="H855" s="588"/>
      <c r="I855" s="546"/>
      <c r="J855" s="589"/>
      <c r="K855" s="563" t="str">
        <f>IF(G855&lt;&gt;0,VLOOKUP(G855,'gia dat'!$A$1:$F$144,5,0)," ")</f>
        <v xml:space="preserve"> </v>
      </c>
      <c r="L855" s="563" t="str">
        <f>IF(G855&lt;&gt;0,VLOOKUP(G855,'gia dat'!$A$1:$F$144,6,0)," ")</f>
        <v xml:space="preserve"> </v>
      </c>
      <c r="M855" s="564" t="str">
        <f t="shared" si="186"/>
        <v xml:space="preserve"> </v>
      </c>
      <c r="N855" s="564" t="str">
        <f t="shared" si="187"/>
        <v xml:space="preserve"> </v>
      </c>
      <c r="O855" s="558"/>
      <c r="P855" s="590"/>
      <c r="Q855" s="564" t="str">
        <f>IF(O855&lt;&gt;0,VLOOKUP(O855,'Cây trong'!$A$2:$C$246,3,0)," ")</f>
        <v xml:space="preserve"> </v>
      </c>
      <c r="R855" s="564" t="str">
        <f t="shared" si="176"/>
        <v xml:space="preserve"> </v>
      </c>
      <c r="S855" s="593"/>
      <c r="T855" s="593"/>
      <c r="U855" s="617"/>
      <c r="V855" s="589"/>
      <c r="W855" s="564" t="str">
        <f>IF(S855&lt;&gt;0,VLOOKUP(S855,VKT!$A$2:$G$415,7,0),"")</f>
        <v/>
      </c>
      <c r="X855" s="564" t="str">
        <f t="shared" si="182"/>
        <v xml:space="preserve"> </v>
      </c>
      <c r="Y855" s="589"/>
      <c r="Z855" s="589"/>
      <c r="AA855" s="589"/>
      <c r="AB855" s="562"/>
      <c r="AC855" s="589"/>
      <c r="AD855" s="589"/>
      <c r="AE855" s="589"/>
      <c r="AF855" s="629"/>
      <c r="AG855" s="570" t="str">
        <f>IF(AE855&lt;&gt;0,VLOOKUP(AE855,ODDS!$A$2:$C$13,3,0),"")</f>
        <v/>
      </c>
      <c r="AH855" s="570" t="str">
        <f t="shared" si="177"/>
        <v xml:space="preserve"> </v>
      </c>
      <c r="AI855" s="571" t="str">
        <f t="shared" si="185"/>
        <v xml:space="preserve"> </v>
      </c>
      <c r="AJ855" s="593"/>
      <c r="AK855" s="593"/>
    </row>
    <row r="856" spans="1:39" s="376" customFormat="1" ht="20.25" outlineLevel="2" x14ac:dyDescent="0.3">
      <c r="A856" s="447">
        <f t="shared" si="188"/>
        <v>70</v>
      </c>
      <c r="B856" s="557"/>
      <c r="C856" s="558"/>
      <c r="D856" s="587"/>
      <c r="E856" s="587"/>
      <c r="F856" s="560"/>
      <c r="G856" s="558"/>
      <c r="H856" s="588"/>
      <c r="I856" s="546"/>
      <c r="J856" s="589"/>
      <c r="K856" s="563" t="str">
        <f>IF(G856&lt;&gt;0,VLOOKUP(G856,'gia dat'!$A$1:$F$144,5,0)," ")</f>
        <v xml:space="preserve"> </v>
      </c>
      <c r="L856" s="563" t="str">
        <f>IF(G856&lt;&gt;0,VLOOKUP(G856,'gia dat'!$A$1:$F$144,6,0)," ")</f>
        <v xml:space="preserve"> </v>
      </c>
      <c r="M856" s="564" t="str">
        <f t="shared" si="186"/>
        <v xml:space="preserve"> </v>
      </c>
      <c r="N856" s="564" t="str">
        <f t="shared" si="187"/>
        <v xml:space="preserve"> </v>
      </c>
      <c r="O856" s="558"/>
      <c r="P856" s="590"/>
      <c r="Q856" s="564" t="str">
        <f>IF(O856&lt;&gt;0,VLOOKUP(O856,'Cây trong'!$A$2:$C$246,3,0)," ")</f>
        <v xml:space="preserve"> </v>
      </c>
      <c r="R856" s="564" t="str">
        <f t="shared" si="176"/>
        <v xml:space="preserve"> </v>
      </c>
      <c r="S856" s="566"/>
      <c r="T856" s="589"/>
      <c r="U856" s="591"/>
      <c r="V856" s="589"/>
      <c r="W856" s="564" t="str">
        <f>IF(S856&lt;&gt;0,VLOOKUP(S856,VKT!$A$2:$G$415,7,0),"")</f>
        <v/>
      </c>
      <c r="X856" s="564" t="str">
        <f t="shared" si="182"/>
        <v xml:space="preserve"> </v>
      </c>
      <c r="Y856" s="589"/>
      <c r="Z856" s="592"/>
      <c r="AA856" s="592"/>
      <c r="AB856" s="568"/>
      <c r="AC856" s="592"/>
      <c r="AD856" s="592"/>
      <c r="AE856" s="592"/>
      <c r="AF856" s="590"/>
      <c r="AG856" s="570" t="str">
        <f>IF(AE856&lt;&gt;0,VLOOKUP(AE856,ODDS!$A$2:$C$13,3,0),"")</f>
        <v/>
      </c>
      <c r="AH856" s="570" t="str">
        <f t="shared" si="177"/>
        <v xml:space="preserve"> </v>
      </c>
      <c r="AI856" s="571" t="str">
        <f t="shared" si="185"/>
        <v xml:space="preserve"> </v>
      </c>
      <c r="AJ856" s="593"/>
      <c r="AK856" s="593"/>
    </row>
    <row r="857" spans="1:39" s="376" customFormat="1" ht="20.25" outlineLevel="2" x14ac:dyDescent="0.3">
      <c r="A857" s="447">
        <f t="shared" si="188"/>
        <v>70</v>
      </c>
      <c r="B857" s="557"/>
      <c r="C857" s="648"/>
      <c r="D857" s="587"/>
      <c r="E857" s="587"/>
      <c r="F857" s="560"/>
      <c r="G857" s="558"/>
      <c r="H857" s="588"/>
      <c r="I857" s="546"/>
      <c r="J857" s="589"/>
      <c r="K857" s="563" t="str">
        <f>IF(G857&lt;&gt;0,VLOOKUP(G857,'gia dat'!$A$1:$F$144,5,0)," ")</f>
        <v xml:space="preserve"> </v>
      </c>
      <c r="L857" s="563" t="str">
        <f>IF(G857&lt;&gt;0,VLOOKUP(G857,'gia dat'!$A$1:$F$144,6,0)," ")</f>
        <v xml:space="preserve"> </v>
      </c>
      <c r="M857" s="564" t="str">
        <f t="shared" si="186"/>
        <v xml:space="preserve"> </v>
      </c>
      <c r="N857" s="564" t="str">
        <f t="shared" si="187"/>
        <v xml:space="preserve"> </v>
      </c>
      <c r="O857" s="558"/>
      <c r="P857" s="590"/>
      <c r="Q857" s="564" t="str">
        <f>IF(O857&lt;&gt;0,VLOOKUP(O857,'Cây trong'!$A$2:$C$246,3,0)," ")</f>
        <v xml:space="preserve"> </v>
      </c>
      <c r="R857" s="564" t="str">
        <f t="shared" si="176"/>
        <v xml:space="preserve"> </v>
      </c>
      <c r="S857" s="566"/>
      <c r="T857" s="589"/>
      <c r="U857" s="591"/>
      <c r="V857" s="589"/>
      <c r="W857" s="564" t="str">
        <f>IF(S857&lt;&gt;0,VLOOKUP(S857,VKT!$A$2:$G$415,7,0),"")</f>
        <v/>
      </c>
      <c r="X857" s="564" t="str">
        <f t="shared" si="182"/>
        <v xml:space="preserve"> </v>
      </c>
      <c r="Y857" s="589"/>
      <c r="Z857" s="592"/>
      <c r="AA857" s="592"/>
      <c r="AB857" s="568"/>
      <c r="AC857" s="592"/>
      <c r="AD857" s="592"/>
      <c r="AE857" s="592"/>
      <c r="AF857" s="590"/>
      <c r="AG857" s="570" t="str">
        <f>IF(AE857&lt;&gt;0,VLOOKUP(AE857,ODDS!$A$2:$C$13,3,0),"")</f>
        <v/>
      </c>
      <c r="AH857" s="570" t="str">
        <f t="shared" si="177"/>
        <v xml:space="preserve"> </v>
      </c>
      <c r="AI857" s="571" t="str">
        <f t="shared" si="185"/>
        <v xml:space="preserve"> </v>
      </c>
      <c r="AJ857" s="558"/>
      <c r="AK857" s="558"/>
    </row>
    <row r="858" spans="1:39" s="376" customFormat="1" ht="20.25" outlineLevel="2" x14ac:dyDescent="0.3">
      <c r="A858" s="447">
        <f t="shared" si="188"/>
        <v>70</v>
      </c>
      <c r="B858" s="557"/>
      <c r="C858" s="648"/>
      <c r="D858" s="587"/>
      <c r="E858" s="587"/>
      <c r="F858" s="560"/>
      <c r="G858" s="558"/>
      <c r="H858" s="588"/>
      <c r="I858" s="546"/>
      <c r="J858" s="589"/>
      <c r="K858" s="563" t="str">
        <f>IF(G858&lt;&gt;0,VLOOKUP(G858,'gia dat'!$A$1:$F$144,5,0)," ")</f>
        <v xml:space="preserve"> </v>
      </c>
      <c r="L858" s="563" t="str">
        <f>IF(G858&lt;&gt;0,VLOOKUP(G858,'gia dat'!$A$1:$F$144,6,0)," ")</f>
        <v xml:space="preserve"> </v>
      </c>
      <c r="M858" s="564" t="str">
        <f t="shared" si="186"/>
        <v xml:space="preserve"> </v>
      </c>
      <c r="N858" s="564" t="str">
        <f t="shared" si="187"/>
        <v xml:space="preserve"> </v>
      </c>
      <c r="O858" s="558"/>
      <c r="P858" s="590"/>
      <c r="Q858" s="564" t="str">
        <f>IF(O858&lt;&gt;0,VLOOKUP(O858,'Cây trong'!$A$2:$C$246,3,0)," ")</f>
        <v xml:space="preserve"> </v>
      </c>
      <c r="R858" s="564" t="str">
        <f t="shared" si="176"/>
        <v xml:space="preserve"> </v>
      </c>
      <c r="S858" s="646"/>
      <c r="T858" s="662"/>
      <c r="U858" s="591"/>
      <c r="V858" s="589"/>
      <c r="W858" s="564" t="str">
        <f>IF(S858&lt;&gt;0,VLOOKUP(S858,VKT!$A$2:$G$415,7,0),"")</f>
        <v/>
      </c>
      <c r="X858" s="564" t="str">
        <f t="shared" si="182"/>
        <v xml:space="preserve"> </v>
      </c>
      <c r="Y858" s="589"/>
      <c r="Z858" s="592"/>
      <c r="AA858" s="592"/>
      <c r="AB858" s="568"/>
      <c r="AC858" s="592"/>
      <c r="AD858" s="592"/>
      <c r="AE858" s="592"/>
      <c r="AF858" s="590"/>
      <c r="AG858" s="570" t="str">
        <f>IF(AE858&lt;&gt;0,VLOOKUP(AE858,ODDS!$A$2:$C$13,3,0),"")</f>
        <v/>
      </c>
      <c r="AH858" s="570" t="str">
        <f t="shared" si="177"/>
        <v xml:space="preserve"> </v>
      </c>
      <c r="AI858" s="571" t="str">
        <f t="shared" si="185"/>
        <v xml:space="preserve"> </v>
      </c>
      <c r="AJ858" s="558"/>
      <c r="AK858" s="558"/>
    </row>
    <row r="859" spans="1:39" s="376" customFormat="1" ht="20.25" outlineLevel="2" x14ac:dyDescent="0.3">
      <c r="A859" s="447">
        <f t="shared" si="188"/>
        <v>70</v>
      </c>
      <c r="B859" s="557"/>
      <c r="C859" s="574"/>
      <c r="D859" s="587"/>
      <c r="E859" s="587"/>
      <c r="F859" s="560"/>
      <c r="G859" s="558"/>
      <c r="H859" s="588"/>
      <c r="I859" s="546"/>
      <c r="J859" s="589"/>
      <c r="K859" s="563" t="str">
        <f>IF(G859&lt;&gt;0,VLOOKUP(G859,'gia dat'!$A$1:$F$144,5,0)," ")</f>
        <v xml:space="preserve"> </v>
      </c>
      <c r="L859" s="563" t="str">
        <f>IF(G859&lt;&gt;0,VLOOKUP(G859,'gia dat'!$A$1:$F$144,6,0)," ")</f>
        <v xml:space="preserve"> </v>
      </c>
      <c r="M859" s="564" t="str">
        <f t="shared" si="186"/>
        <v xml:space="preserve"> </v>
      </c>
      <c r="N859" s="564" t="str">
        <f t="shared" si="187"/>
        <v xml:space="preserve"> </v>
      </c>
      <c r="O859" s="558"/>
      <c r="P859" s="590"/>
      <c r="Q859" s="564" t="str">
        <f>IF(O859&lt;&gt;0,VLOOKUP(O859,'Cây trong'!$A$2:$C$246,3,0)," ")</f>
        <v xml:space="preserve"> </v>
      </c>
      <c r="R859" s="564" t="str">
        <f t="shared" ref="R859:R924" si="189">IF(O859&lt;&gt;0,ROUND(P859*Q859,-2)," ")</f>
        <v xml:space="preserve"> </v>
      </c>
      <c r="S859" s="566"/>
      <c r="T859" s="589"/>
      <c r="U859" s="591"/>
      <c r="V859" s="589"/>
      <c r="W859" s="564" t="str">
        <f>IF(S859&lt;&gt;0,VLOOKUP(S859,VKT!$A$2:$G$415,7,0),"")</f>
        <v/>
      </c>
      <c r="X859" s="564" t="str">
        <f t="shared" si="182"/>
        <v xml:space="preserve"> </v>
      </c>
      <c r="Y859" s="589"/>
      <c r="Z859" s="592"/>
      <c r="AA859" s="592"/>
      <c r="AB859" s="568"/>
      <c r="AC859" s="592"/>
      <c r="AD859" s="592"/>
      <c r="AE859" s="592"/>
      <c r="AF859" s="590"/>
      <c r="AG859" s="570" t="str">
        <f>IF(AE859&lt;&gt;0,VLOOKUP(AE859,ODDS!$A$2:$C$13,3,0),"")</f>
        <v/>
      </c>
      <c r="AH859" s="570" t="str">
        <f t="shared" ref="AH859:AH924" si="190">IF(AE859&lt;&gt;0,ROUND(AF859*AG859,-2)," ")</f>
        <v xml:space="preserve"> </v>
      </c>
      <c r="AI859" s="571" t="str">
        <f t="shared" si="185"/>
        <v xml:space="preserve"> </v>
      </c>
      <c r="AJ859" s="593"/>
      <c r="AK859" s="593"/>
    </row>
    <row r="860" spans="1:39" s="376" customFormat="1" ht="60.75" outlineLevel="1" x14ac:dyDescent="0.25">
      <c r="A860" s="467" t="s">
        <v>2639</v>
      </c>
      <c r="B860" s="576">
        <v>71</v>
      </c>
      <c r="C860" s="574" t="s">
        <v>594</v>
      </c>
      <c r="D860" s="595"/>
      <c r="E860" s="595"/>
      <c r="F860" s="577"/>
      <c r="G860" s="574"/>
      <c r="H860" s="618">
        <f>SUBTOTAL(9,H861:H869)</f>
        <v>6.4</v>
      </c>
      <c r="I860" s="579">
        <f>SUBTOTAL(9,I861:I866)</f>
        <v>0</v>
      </c>
      <c r="J860" s="597"/>
      <c r="K860" s="581"/>
      <c r="L860" s="581"/>
      <c r="M860" s="571">
        <f>SUBTOTAL(9,M861:M869)</f>
        <v>0</v>
      </c>
      <c r="N860" s="571">
        <f>SUBTOTAL(9,N861:N869)</f>
        <v>0</v>
      </c>
      <c r="O860" s="574"/>
      <c r="P860" s="599">
        <f>SUBTOTAL(9,P861:P869)</f>
        <v>0</v>
      </c>
      <c r="Q860" s="571"/>
      <c r="R860" s="571">
        <f>SUBTOTAL(9,R861:R869)</f>
        <v>0</v>
      </c>
      <c r="S860" s="582"/>
      <c r="T860" s="597"/>
      <c r="U860" s="600">
        <f>SUBTOTAL(9,U861:U869)</f>
        <v>60.769999999999996</v>
      </c>
      <c r="V860" s="597"/>
      <c r="W860" s="571"/>
      <c r="X860" s="571">
        <f>SUBTOTAL(9,X861:X869)</f>
        <v>63739000</v>
      </c>
      <c r="Y860" s="589"/>
      <c r="Z860" s="592"/>
      <c r="AA860" s="592"/>
      <c r="AB860" s="568"/>
      <c r="AC860" s="592"/>
      <c r="AD860" s="592"/>
      <c r="AE860" s="601"/>
      <c r="AF860" s="599">
        <f>SUBTOTAL(9,AF861:AF869)</f>
        <v>0</v>
      </c>
      <c r="AG860" s="585"/>
      <c r="AH860" s="585">
        <f>SUBTOTAL(9,AH861:AH869)</f>
        <v>0</v>
      </c>
      <c r="AI860" s="571">
        <f t="shared" si="185"/>
        <v>63739000</v>
      </c>
      <c r="AJ860" s="608"/>
      <c r="AK860" s="608"/>
    </row>
    <row r="861" spans="1:39" s="376" customFormat="1" ht="101.25" outlineLevel="2" x14ac:dyDescent="0.3">
      <c r="A861" s="447">
        <f>IF(B860&lt;&gt;0,B860,A859)</f>
        <v>71</v>
      </c>
      <c r="B861" s="557"/>
      <c r="C861" s="628" t="s">
        <v>589</v>
      </c>
      <c r="D861" s="587"/>
      <c r="E861" s="587"/>
      <c r="F861" s="560"/>
      <c r="G861" s="558" t="s">
        <v>2145</v>
      </c>
      <c r="H861" s="588">
        <v>6.4</v>
      </c>
      <c r="I861" s="546" t="str">
        <f t="shared" ref="I861" si="191">IF(N861&gt;0,H861,"")</f>
        <v/>
      </c>
      <c r="J861" s="589"/>
      <c r="K861" s="563">
        <f>IF(G861&lt;&gt;0,VLOOKUP(G861,'gia dat'!$A$1:$F$144,5,0)," ")</f>
        <v>0</v>
      </c>
      <c r="L861" s="563">
        <f>IF(G861&lt;&gt;0,VLOOKUP(G861,'gia dat'!$A$1:$F$144,6,0)," ")</f>
        <v>0</v>
      </c>
      <c r="M861" s="564">
        <f t="shared" si="186"/>
        <v>0</v>
      </c>
      <c r="N861" s="564">
        <f t="shared" si="187"/>
        <v>0</v>
      </c>
      <c r="O861" s="558"/>
      <c r="P861" s="590"/>
      <c r="Q861" s="564" t="str">
        <f>IF(O861&lt;&gt;0,VLOOKUP(O861,'Cây trong'!$A$2:$C$246,3,0)," ")</f>
        <v xml:space="preserve"> </v>
      </c>
      <c r="R861" s="564" t="str">
        <f t="shared" si="189"/>
        <v xml:space="preserve"> </v>
      </c>
      <c r="S861" s="566" t="s">
        <v>386</v>
      </c>
      <c r="T861" s="589" t="s">
        <v>53</v>
      </c>
      <c r="U861" s="591">
        <v>7.65</v>
      </c>
      <c r="V861" s="589"/>
      <c r="W861" s="564">
        <f>IF(S861&lt;&gt;0,VLOOKUP(S861,VKT!$A$2:$G$415,7,0),"")</f>
        <v>551834</v>
      </c>
      <c r="X861" s="564">
        <f t="shared" si="182"/>
        <v>4222000</v>
      </c>
      <c r="Y861" s="589"/>
      <c r="Z861" s="592"/>
      <c r="AA861" s="592"/>
      <c r="AB861" s="568"/>
      <c r="AC861" s="592"/>
      <c r="AD861" s="592"/>
      <c r="AE861" s="592"/>
      <c r="AF861" s="590"/>
      <c r="AG861" s="570" t="str">
        <f>IF(AE861&lt;&gt;0,VLOOKUP(AE861,ODDS!$A$2:$C$13,3,0),"")</f>
        <v/>
      </c>
      <c r="AH861" s="570" t="str">
        <f t="shared" si="190"/>
        <v xml:space="preserve"> </v>
      </c>
      <c r="AI861" s="571" t="str">
        <f t="shared" si="185"/>
        <v xml:space="preserve"> </v>
      </c>
      <c r="AJ861" s="593"/>
      <c r="AK861" s="593"/>
    </row>
    <row r="862" spans="1:39" s="376" customFormat="1" ht="60.75" outlineLevel="2" x14ac:dyDescent="0.3">
      <c r="A862" s="447">
        <f t="shared" ref="A862:A869" si="192">IF(B861&lt;&gt;0,B861,A861)</f>
        <v>71</v>
      </c>
      <c r="B862" s="557"/>
      <c r="C862" s="628"/>
      <c r="D862" s="587"/>
      <c r="E862" s="587"/>
      <c r="F862" s="560"/>
      <c r="G862" s="558"/>
      <c r="H862" s="588"/>
      <c r="I862" s="546"/>
      <c r="J862" s="589"/>
      <c r="K862" s="563" t="str">
        <f>IF(G862&lt;&gt;0,VLOOKUP(G862,'gia dat'!$A$1:$F$144,5,0)," ")</f>
        <v xml:space="preserve"> </v>
      </c>
      <c r="L862" s="563" t="str">
        <f>IF(G862&lt;&gt;0,VLOOKUP(G862,'gia dat'!$A$1:$F$144,6,0)," ")</f>
        <v xml:space="preserve"> </v>
      </c>
      <c r="M862" s="564" t="str">
        <f t="shared" si="186"/>
        <v xml:space="preserve"> </v>
      </c>
      <c r="N862" s="564" t="str">
        <f t="shared" si="187"/>
        <v xml:space="preserve"> </v>
      </c>
      <c r="O862" s="558"/>
      <c r="P862" s="590"/>
      <c r="Q862" s="564" t="str">
        <f>IF(O862&lt;&gt;0,VLOOKUP(O862,'Cây trong'!$A$2:$C$246,3,0)," ")</f>
        <v xml:space="preserve"> </v>
      </c>
      <c r="R862" s="564" t="str">
        <f t="shared" si="189"/>
        <v xml:space="preserve"> </v>
      </c>
      <c r="S862" s="566" t="s">
        <v>478</v>
      </c>
      <c r="T862" s="589" t="s">
        <v>53</v>
      </c>
      <c r="U862" s="591">
        <v>33.32</v>
      </c>
      <c r="V862" s="589"/>
      <c r="W862" s="564">
        <f>IF(S862&lt;&gt;0,VLOOKUP(S862,VKT!$A$2:$G$415,7,0),"")</f>
        <v>1240031</v>
      </c>
      <c r="X862" s="564">
        <f t="shared" si="182"/>
        <v>41318000</v>
      </c>
      <c r="Y862" s="589"/>
      <c r="Z862" s="592"/>
      <c r="AA862" s="592"/>
      <c r="AB862" s="568"/>
      <c r="AC862" s="592"/>
      <c r="AD862" s="592"/>
      <c r="AE862" s="592"/>
      <c r="AF862" s="590"/>
      <c r="AG862" s="570" t="str">
        <f>IF(AE862&lt;&gt;0,VLOOKUP(AE862,ODDS!$A$2:$C$13,3,0),"")</f>
        <v/>
      </c>
      <c r="AH862" s="570" t="str">
        <f t="shared" si="190"/>
        <v xml:space="preserve"> </v>
      </c>
      <c r="AI862" s="571" t="str">
        <f t="shared" si="185"/>
        <v xml:space="preserve"> </v>
      </c>
      <c r="AJ862" s="593"/>
      <c r="AK862" s="593"/>
    </row>
    <row r="863" spans="1:39" s="376" customFormat="1" ht="40.5" outlineLevel="2" x14ac:dyDescent="0.3">
      <c r="A863" s="447">
        <f t="shared" si="192"/>
        <v>71</v>
      </c>
      <c r="B863" s="557"/>
      <c r="C863" s="574"/>
      <c r="D863" s="587"/>
      <c r="E863" s="587"/>
      <c r="F863" s="560"/>
      <c r="G863" s="558"/>
      <c r="H863" s="588"/>
      <c r="I863" s="546"/>
      <c r="J863" s="589"/>
      <c r="K863" s="563" t="str">
        <f>IF(G863&lt;&gt;0,VLOOKUP(G863,'gia dat'!$A$1:$F$144,5,0)," ")</f>
        <v xml:space="preserve"> </v>
      </c>
      <c r="L863" s="563" t="str">
        <f>IF(G863&lt;&gt;0,VLOOKUP(G863,'gia dat'!$A$1:$F$144,6,0)," ")</f>
        <v xml:space="preserve"> </v>
      </c>
      <c r="M863" s="564" t="str">
        <f t="shared" si="186"/>
        <v xml:space="preserve"> </v>
      </c>
      <c r="N863" s="564" t="str">
        <f t="shared" si="187"/>
        <v xml:space="preserve"> </v>
      </c>
      <c r="O863" s="558"/>
      <c r="P863" s="590"/>
      <c r="Q863" s="564" t="str">
        <f>IF(O863&lt;&gt;0,VLOOKUP(O863,'Cây trong'!$A$2:$C$246,3,0)," ")</f>
        <v xml:space="preserve"> </v>
      </c>
      <c r="R863" s="564" t="str">
        <f t="shared" si="189"/>
        <v xml:space="preserve"> </v>
      </c>
      <c r="S863" s="566" t="s">
        <v>374</v>
      </c>
      <c r="T863" s="589" t="s">
        <v>53</v>
      </c>
      <c r="U863" s="591">
        <v>6.5</v>
      </c>
      <c r="V863" s="589"/>
      <c r="W863" s="564">
        <f>IF(S863&lt;&gt;0,VLOOKUP(S863,VKT!$A$2:$G$415,7,0),"")</f>
        <v>371943</v>
      </c>
      <c r="X863" s="564">
        <f t="shared" si="182"/>
        <v>2418000</v>
      </c>
      <c r="Y863" s="589"/>
      <c r="Z863" s="592"/>
      <c r="AA863" s="592"/>
      <c r="AB863" s="568"/>
      <c r="AC863" s="592"/>
      <c r="AD863" s="592"/>
      <c r="AE863" s="592"/>
      <c r="AF863" s="590"/>
      <c r="AG863" s="570" t="str">
        <f>IF(AE863&lt;&gt;0,VLOOKUP(AE863,ODDS!$A$2:$C$13,3,0),"")</f>
        <v/>
      </c>
      <c r="AH863" s="570" t="str">
        <f t="shared" si="190"/>
        <v xml:space="preserve"> </v>
      </c>
      <c r="AI863" s="571" t="str">
        <f t="shared" si="185"/>
        <v xml:space="preserve"> </v>
      </c>
      <c r="AJ863" s="593"/>
      <c r="AK863" s="593"/>
    </row>
    <row r="864" spans="1:39" s="376" customFormat="1" ht="60.75" outlineLevel="2" x14ac:dyDescent="0.3">
      <c r="A864" s="447">
        <f t="shared" si="192"/>
        <v>71</v>
      </c>
      <c r="B864" s="557"/>
      <c r="C864" s="574"/>
      <c r="D864" s="587"/>
      <c r="E864" s="587"/>
      <c r="F864" s="560"/>
      <c r="G864" s="558"/>
      <c r="H864" s="588"/>
      <c r="I864" s="546"/>
      <c r="J864" s="589"/>
      <c r="K864" s="563" t="str">
        <f>IF(G864&lt;&gt;0,VLOOKUP(G864,'gia dat'!$A$1:$F$144,5,0)," ")</f>
        <v xml:space="preserve"> </v>
      </c>
      <c r="L864" s="563" t="str">
        <f>IF(G864&lt;&gt;0,VLOOKUP(G864,'gia dat'!$A$1:$F$144,6,0)," ")</f>
        <v xml:space="preserve"> </v>
      </c>
      <c r="M864" s="564" t="str">
        <f t="shared" si="186"/>
        <v xml:space="preserve"> </v>
      </c>
      <c r="N864" s="564" t="str">
        <f t="shared" si="187"/>
        <v xml:space="preserve"> </v>
      </c>
      <c r="O864" s="558"/>
      <c r="P864" s="590"/>
      <c r="Q864" s="564" t="str">
        <f>IF(O864&lt;&gt;0,VLOOKUP(O864,'Cây trong'!$A$2:$C$246,3,0)," ")</f>
        <v xml:space="preserve"> </v>
      </c>
      <c r="R864" s="564" t="str">
        <f t="shared" si="189"/>
        <v xml:space="preserve"> </v>
      </c>
      <c r="S864" s="566" t="s">
        <v>596</v>
      </c>
      <c r="T864" s="589" t="s">
        <v>53</v>
      </c>
      <c r="U864" s="591">
        <v>13.3</v>
      </c>
      <c r="V864" s="589"/>
      <c r="W864" s="564">
        <f>IF(S864&lt;&gt;0,VLOOKUP(S864,VKT!$A$2:$G$415,7,0),"")</f>
        <v>1186572</v>
      </c>
      <c r="X864" s="564">
        <f t="shared" si="182"/>
        <v>15781000</v>
      </c>
      <c r="Y864" s="589"/>
      <c r="Z864" s="592"/>
      <c r="AA864" s="592"/>
      <c r="AB864" s="568"/>
      <c r="AC864" s="592"/>
      <c r="AD864" s="592"/>
      <c r="AE864" s="592"/>
      <c r="AF864" s="590"/>
      <c r="AG864" s="570" t="str">
        <f>IF(AE864&lt;&gt;0,VLOOKUP(AE864,ODDS!$A$2:$C$13,3,0),"")</f>
        <v/>
      </c>
      <c r="AH864" s="570" t="str">
        <f t="shared" si="190"/>
        <v xml:space="preserve"> </v>
      </c>
      <c r="AI864" s="571" t="str">
        <f t="shared" si="185"/>
        <v xml:space="preserve"> </v>
      </c>
      <c r="AJ864" s="593"/>
      <c r="AK864" s="593"/>
    </row>
    <row r="865" spans="1:37" s="376" customFormat="1" ht="20.25" outlineLevel="2" x14ac:dyDescent="0.3">
      <c r="A865" s="447">
        <f t="shared" si="192"/>
        <v>71</v>
      </c>
      <c r="B865" s="557"/>
      <c r="C865" s="574"/>
      <c r="D865" s="587"/>
      <c r="E865" s="587"/>
      <c r="F865" s="560"/>
      <c r="G865" s="558"/>
      <c r="H865" s="588"/>
      <c r="I865" s="546"/>
      <c r="J865" s="589"/>
      <c r="K865" s="563" t="str">
        <f>IF(G865&lt;&gt;0,VLOOKUP(G865,'gia dat'!$A$1:$F$144,5,0)," ")</f>
        <v xml:space="preserve"> </v>
      </c>
      <c r="L865" s="563" t="str">
        <f>IF(G865&lt;&gt;0,VLOOKUP(G865,'gia dat'!$A$1:$F$144,6,0)," ")</f>
        <v xml:space="preserve"> </v>
      </c>
      <c r="M865" s="564" t="str">
        <f t="shared" si="186"/>
        <v xml:space="preserve"> </v>
      </c>
      <c r="N865" s="564" t="str">
        <f t="shared" si="187"/>
        <v xml:space="preserve"> </v>
      </c>
      <c r="O865" s="558"/>
      <c r="P865" s="590"/>
      <c r="Q865" s="564" t="str">
        <f>IF(O865&lt;&gt;0,VLOOKUP(O865,'Cây trong'!$A$2:$C$246,3,0)," ")</f>
        <v xml:space="preserve"> </v>
      </c>
      <c r="R865" s="564" t="str">
        <f t="shared" si="189"/>
        <v xml:space="preserve"> </v>
      </c>
      <c r="S865" s="593"/>
      <c r="T865" s="593"/>
      <c r="U865" s="617"/>
      <c r="V865" s="589"/>
      <c r="W865" s="564" t="str">
        <f>IF(S865&lt;&gt;0,VLOOKUP(S865,VKT!$A$2:$G$415,7,0),"")</f>
        <v/>
      </c>
      <c r="X865" s="564" t="str">
        <f t="shared" si="182"/>
        <v xml:space="preserve"> </v>
      </c>
      <c r="Y865" s="589"/>
      <c r="Z865" s="592"/>
      <c r="AA865" s="592"/>
      <c r="AB865" s="568"/>
      <c r="AC865" s="592"/>
      <c r="AD865" s="592"/>
      <c r="AE865" s="592"/>
      <c r="AF865" s="590"/>
      <c r="AG865" s="570" t="str">
        <f>IF(AE865&lt;&gt;0,VLOOKUP(AE865,ODDS!$A$2:$C$13,3,0),"")</f>
        <v/>
      </c>
      <c r="AH865" s="570" t="str">
        <f t="shared" si="190"/>
        <v xml:space="preserve"> </v>
      </c>
      <c r="AI865" s="571" t="str">
        <f t="shared" si="185"/>
        <v xml:space="preserve"> </v>
      </c>
      <c r="AJ865" s="593"/>
      <c r="AK865" s="593"/>
    </row>
    <row r="866" spans="1:37" s="376" customFormat="1" ht="20.25" outlineLevel="2" x14ac:dyDescent="0.3">
      <c r="A866" s="447">
        <f t="shared" si="192"/>
        <v>71</v>
      </c>
      <c r="B866" s="557"/>
      <c r="C866" s="643"/>
      <c r="D866" s="587"/>
      <c r="E866" s="587"/>
      <c r="F866" s="560"/>
      <c r="G866" s="558"/>
      <c r="H866" s="588"/>
      <c r="I866" s="546"/>
      <c r="J866" s="589"/>
      <c r="K866" s="563" t="str">
        <f>IF(G866&lt;&gt;0,VLOOKUP(G866,'gia dat'!$A$1:$F$144,5,0)," ")</f>
        <v xml:space="preserve"> </v>
      </c>
      <c r="L866" s="563" t="str">
        <f>IF(G866&lt;&gt;0,VLOOKUP(G866,'gia dat'!$A$1:$F$144,6,0)," ")</f>
        <v xml:space="preserve"> </v>
      </c>
      <c r="M866" s="564" t="str">
        <f t="shared" si="186"/>
        <v xml:space="preserve"> </v>
      </c>
      <c r="N866" s="564" t="str">
        <f t="shared" si="187"/>
        <v xml:space="preserve"> </v>
      </c>
      <c r="O866" s="558"/>
      <c r="P866" s="590"/>
      <c r="Q866" s="564" t="str">
        <f>IF(O866&lt;&gt;0,VLOOKUP(O866,'Cây trong'!$A$2:$C$246,3,0)," ")</f>
        <v xml:space="preserve"> </v>
      </c>
      <c r="R866" s="564" t="str">
        <f t="shared" si="189"/>
        <v xml:space="preserve"> </v>
      </c>
      <c r="S866" s="566"/>
      <c r="T866" s="589"/>
      <c r="U866" s="591"/>
      <c r="V866" s="589"/>
      <c r="W866" s="564" t="str">
        <f>IF(S866&lt;&gt;0,VLOOKUP(S866,VKT!$A$2:$G$415,7,0),"")</f>
        <v/>
      </c>
      <c r="X866" s="564" t="str">
        <f t="shared" si="182"/>
        <v xml:space="preserve"> </v>
      </c>
      <c r="Y866" s="589"/>
      <c r="Z866" s="592"/>
      <c r="AA866" s="592"/>
      <c r="AB866" s="568"/>
      <c r="AC866" s="592"/>
      <c r="AD866" s="592"/>
      <c r="AE866" s="592"/>
      <c r="AF866" s="590"/>
      <c r="AG866" s="570" t="str">
        <f>IF(AE866&lt;&gt;0,VLOOKUP(AE866,ODDS!$A$2:$C$13,3,0),"")</f>
        <v/>
      </c>
      <c r="AH866" s="570" t="str">
        <f t="shared" si="190"/>
        <v xml:space="preserve"> </v>
      </c>
      <c r="AI866" s="571" t="str">
        <f t="shared" si="185"/>
        <v xml:space="preserve"> </v>
      </c>
      <c r="AJ866" s="593"/>
      <c r="AK866" s="593"/>
    </row>
    <row r="867" spans="1:37" s="376" customFormat="1" ht="20.25" outlineLevel="2" x14ac:dyDescent="0.3">
      <c r="A867" s="447">
        <f t="shared" si="192"/>
        <v>71</v>
      </c>
      <c r="B867" s="557"/>
      <c r="C867" s="574"/>
      <c r="D867" s="587"/>
      <c r="E867" s="587"/>
      <c r="F867" s="560"/>
      <c r="G867" s="558"/>
      <c r="H867" s="588"/>
      <c r="I867" s="546"/>
      <c r="J867" s="589"/>
      <c r="K867" s="563" t="str">
        <f>IF(G867&lt;&gt;0,VLOOKUP(G867,'gia dat'!$A$1:$F$144,5,0)," ")</f>
        <v xml:space="preserve"> </v>
      </c>
      <c r="L867" s="563" t="str">
        <f>IF(G867&lt;&gt;0,VLOOKUP(G867,'gia dat'!$A$1:$F$144,6,0)," ")</f>
        <v xml:space="preserve"> </v>
      </c>
      <c r="M867" s="564" t="str">
        <f t="shared" si="186"/>
        <v xml:space="preserve"> </v>
      </c>
      <c r="N867" s="564" t="str">
        <f t="shared" si="187"/>
        <v xml:space="preserve"> </v>
      </c>
      <c r="O867" s="558"/>
      <c r="P867" s="590"/>
      <c r="Q867" s="564" t="str">
        <f>IF(O867&lt;&gt;0,VLOOKUP(O867,'Cây trong'!$A$2:$C$246,3,0)," ")</f>
        <v xml:space="preserve"> </v>
      </c>
      <c r="R867" s="564" t="str">
        <f t="shared" si="189"/>
        <v xml:space="preserve"> </v>
      </c>
      <c r="S867" s="566"/>
      <c r="T867" s="589"/>
      <c r="U867" s="591"/>
      <c r="V867" s="589"/>
      <c r="W867" s="564" t="str">
        <f>IF(S867&lt;&gt;0,VLOOKUP(S867,VKT!$A$2:$G$415,7,0),"")</f>
        <v/>
      </c>
      <c r="X867" s="564" t="str">
        <f t="shared" si="182"/>
        <v xml:space="preserve"> </v>
      </c>
      <c r="Y867" s="589"/>
      <c r="Z867" s="592"/>
      <c r="AA867" s="592"/>
      <c r="AB867" s="568"/>
      <c r="AC867" s="592"/>
      <c r="AD867" s="592"/>
      <c r="AE867" s="592"/>
      <c r="AF867" s="590"/>
      <c r="AG867" s="570" t="str">
        <f>IF(AE867&lt;&gt;0,VLOOKUP(AE867,ODDS!$A$2:$C$13,3,0),"")</f>
        <v/>
      </c>
      <c r="AH867" s="570" t="str">
        <f t="shared" si="190"/>
        <v xml:space="preserve"> </v>
      </c>
      <c r="AI867" s="571" t="str">
        <f t="shared" si="185"/>
        <v xml:space="preserve"> </v>
      </c>
      <c r="AJ867" s="593"/>
      <c r="AK867" s="593"/>
    </row>
    <row r="868" spans="1:37" s="376" customFormat="1" ht="20.25" outlineLevel="2" x14ac:dyDescent="0.3">
      <c r="A868" s="447">
        <f t="shared" si="192"/>
        <v>71</v>
      </c>
      <c r="B868" s="557"/>
      <c r="C868" s="558"/>
      <c r="D868" s="587"/>
      <c r="E868" s="587"/>
      <c r="F868" s="560"/>
      <c r="G868" s="558"/>
      <c r="H868" s="588"/>
      <c r="I868" s="546"/>
      <c r="J868" s="617"/>
      <c r="K868" s="563" t="str">
        <f>IF(G868&lt;&gt;0,VLOOKUP(G868,'gia dat'!$A$1:$F$144,5,0)," ")</f>
        <v xml:space="preserve"> </v>
      </c>
      <c r="L868" s="563" t="str">
        <f>IF(G868&lt;&gt;0,VLOOKUP(G868,'gia dat'!$A$1:$F$144,6,0)," ")</f>
        <v xml:space="preserve"> </v>
      </c>
      <c r="M868" s="564" t="str">
        <f t="shared" si="186"/>
        <v xml:space="preserve"> </v>
      </c>
      <c r="N868" s="564" t="str">
        <f t="shared" si="187"/>
        <v xml:space="preserve"> </v>
      </c>
      <c r="O868" s="686"/>
      <c r="P868" s="590"/>
      <c r="Q868" s="564" t="str">
        <f>IF(O868&lt;&gt;0,VLOOKUP(O868,'Cây trong'!$A$2:$C$246,3,0)," ")</f>
        <v xml:space="preserve"> </v>
      </c>
      <c r="R868" s="564" t="str">
        <f t="shared" si="189"/>
        <v xml:space="preserve"> </v>
      </c>
      <c r="S868" s="646"/>
      <c r="T868" s="662"/>
      <c r="U868" s="591"/>
      <c r="V868" s="589"/>
      <c r="W868" s="564" t="str">
        <f>IF(S868&lt;&gt;0,VLOOKUP(S868,VKT!$A$2:$G$415,7,0),"")</f>
        <v/>
      </c>
      <c r="X868" s="564" t="str">
        <f t="shared" si="182"/>
        <v xml:space="preserve"> </v>
      </c>
      <c r="Y868" s="589"/>
      <c r="Z868" s="592"/>
      <c r="AA868" s="592"/>
      <c r="AB868" s="568"/>
      <c r="AC868" s="592"/>
      <c r="AD868" s="592"/>
      <c r="AE868" s="592"/>
      <c r="AF868" s="590"/>
      <c r="AG868" s="570" t="str">
        <f>IF(AE868&lt;&gt;0,VLOOKUP(AE868,ODDS!$A$2:$C$13,3,0),"")</f>
        <v/>
      </c>
      <c r="AH868" s="570" t="str">
        <f t="shared" si="190"/>
        <v xml:space="preserve"> </v>
      </c>
      <c r="AI868" s="571" t="str">
        <f t="shared" si="185"/>
        <v xml:space="preserve"> </v>
      </c>
      <c r="AJ868" s="593"/>
      <c r="AK868" s="593"/>
    </row>
    <row r="869" spans="1:37" s="376" customFormat="1" ht="20.25" outlineLevel="2" x14ac:dyDescent="0.3">
      <c r="A869" s="447">
        <f t="shared" si="192"/>
        <v>71</v>
      </c>
      <c r="B869" s="557"/>
      <c r="C869" s="574"/>
      <c r="D869" s="587"/>
      <c r="E869" s="587"/>
      <c r="F869" s="560"/>
      <c r="G869" s="558"/>
      <c r="H869" s="588"/>
      <c r="I869" s="546"/>
      <c r="J869" s="589"/>
      <c r="K869" s="563" t="str">
        <f>IF(G869&lt;&gt;0,VLOOKUP(G869,'gia dat'!$A$1:$F$144,5,0)," ")</f>
        <v xml:space="preserve"> </v>
      </c>
      <c r="L869" s="563" t="str">
        <f>IF(G869&lt;&gt;0,VLOOKUP(G869,'gia dat'!$A$1:$F$144,6,0)," ")</f>
        <v xml:space="preserve"> </v>
      </c>
      <c r="M869" s="564" t="str">
        <f t="shared" si="186"/>
        <v xml:space="preserve"> </v>
      </c>
      <c r="N869" s="564" t="str">
        <f t="shared" si="187"/>
        <v xml:space="preserve"> </v>
      </c>
      <c r="O869" s="558"/>
      <c r="P869" s="590"/>
      <c r="Q869" s="564" t="str">
        <f>IF(O869&lt;&gt;0,VLOOKUP(O869,'Cây trong'!$A$2:$C$246,3,0)," ")</f>
        <v xml:space="preserve"> </v>
      </c>
      <c r="R869" s="564" t="str">
        <f t="shared" si="189"/>
        <v xml:space="preserve"> </v>
      </c>
      <c r="S869" s="566"/>
      <c r="T869" s="589"/>
      <c r="U869" s="591"/>
      <c r="V869" s="589"/>
      <c r="W869" s="564" t="str">
        <f>IF(S869&lt;&gt;0,VLOOKUP(S869,VKT!$A$2:$G$415,7,0),"")</f>
        <v/>
      </c>
      <c r="X869" s="564" t="str">
        <f t="shared" si="182"/>
        <v xml:space="preserve"> </v>
      </c>
      <c r="Y869" s="589"/>
      <c r="Z869" s="592"/>
      <c r="AA869" s="592"/>
      <c r="AB869" s="568"/>
      <c r="AC869" s="592"/>
      <c r="AD869" s="592"/>
      <c r="AE869" s="592"/>
      <c r="AF869" s="590"/>
      <c r="AG869" s="570" t="str">
        <f>IF(AE869&lt;&gt;0,VLOOKUP(AE869,ODDS!$A$2:$C$13,3,0),"")</f>
        <v/>
      </c>
      <c r="AH869" s="570" t="str">
        <f t="shared" si="190"/>
        <v xml:space="preserve"> </v>
      </c>
      <c r="AI869" s="571" t="str">
        <f t="shared" si="185"/>
        <v xml:space="preserve"> </v>
      </c>
      <c r="AJ869" s="558"/>
      <c r="AK869" s="558"/>
    </row>
    <row r="870" spans="1:37" s="376" customFormat="1" ht="20.25" outlineLevel="1" x14ac:dyDescent="0.25">
      <c r="A870" s="467" t="s">
        <v>2638</v>
      </c>
      <c r="B870" s="576">
        <v>72</v>
      </c>
      <c r="C870" s="574" t="s">
        <v>46</v>
      </c>
      <c r="D870" s="595"/>
      <c r="E870" s="595"/>
      <c r="F870" s="577"/>
      <c r="G870" s="574"/>
      <c r="H870" s="618">
        <f>SUBTOTAL(9,H871:H937)</f>
        <v>2192.1999999999998</v>
      </c>
      <c r="I870" s="579">
        <f>SUBTOTAL(9,I871:I876)</f>
        <v>1825.4999999999998</v>
      </c>
      <c r="J870" s="597"/>
      <c r="K870" s="581"/>
      <c r="L870" s="581"/>
      <c r="M870" s="571">
        <f>SUBTOTAL(9,M871:M937)</f>
        <v>1215355000</v>
      </c>
      <c r="N870" s="571">
        <f>SUBTOTAL(9,N871:N937)</f>
        <v>3036172000</v>
      </c>
      <c r="O870" s="673"/>
      <c r="P870" s="599">
        <f>SUBTOTAL(9,P871:P937)</f>
        <v>1332.3</v>
      </c>
      <c r="Q870" s="571"/>
      <c r="R870" s="571">
        <f>SUBTOTAL(9,R871:R937)</f>
        <v>145375900</v>
      </c>
      <c r="S870" s="673"/>
      <c r="T870" s="674"/>
      <c r="U870" s="600">
        <f>SUBTOTAL(9,U871:U937)</f>
        <v>948.52</v>
      </c>
      <c r="V870" s="682"/>
      <c r="W870" s="571"/>
      <c r="X870" s="571">
        <f>SUBTOTAL(9,X871:X937)</f>
        <v>745686000</v>
      </c>
      <c r="Y870" s="589"/>
      <c r="Z870" s="592"/>
      <c r="AA870" s="592"/>
      <c r="AB870" s="568"/>
      <c r="AC870" s="592"/>
      <c r="AD870" s="568"/>
      <c r="AE870" s="602"/>
      <c r="AF870" s="581">
        <f>SUBTOTAL(9,AF871:AF937)</f>
        <v>1</v>
      </c>
      <c r="AG870" s="585"/>
      <c r="AH870" s="585">
        <f>SUBTOTAL(9,AH871:AH937)</f>
        <v>17000000</v>
      </c>
      <c r="AI870" s="571">
        <f t="shared" si="185"/>
        <v>5159588900</v>
      </c>
      <c r="AJ870" s="574"/>
      <c r="AK870" s="578"/>
    </row>
    <row r="871" spans="1:37" s="376" customFormat="1" ht="121.5" outlineLevel="2" x14ac:dyDescent="0.3">
      <c r="A871" s="447">
        <f>IF(B870&lt;&gt;0,B870,A869)</f>
        <v>72</v>
      </c>
      <c r="B871" s="557"/>
      <c r="C871" s="558" t="s">
        <v>262</v>
      </c>
      <c r="D871" s="587">
        <v>2</v>
      </c>
      <c r="E871" s="587">
        <v>86</v>
      </c>
      <c r="F871" s="560" t="s">
        <v>263</v>
      </c>
      <c r="G871" s="558" t="s">
        <v>2487</v>
      </c>
      <c r="H871" s="588">
        <f>2192.2-H872</f>
        <v>1825.4999999999998</v>
      </c>
      <c r="I871" s="546">
        <f t="shared" ref="I871:I872" si="193">IF(N871&gt;0,H871,"")</f>
        <v>1825.4999999999998</v>
      </c>
      <c r="J871" s="589"/>
      <c r="K871" s="563">
        <f>IF(G871&lt;&gt;0,VLOOKUP(G871,'gia dat'!$A$1:$F$144,5,0)," ")</f>
        <v>554400</v>
      </c>
      <c r="L871" s="563">
        <f>IF(G871&lt;&gt;0,VLOOKUP(G871,'gia dat'!$A$1:$F$144,6,0)," ")</f>
        <v>1663200</v>
      </c>
      <c r="M871" s="564">
        <f t="shared" si="186"/>
        <v>1012057000</v>
      </c>
      <c r="N871" s="564">
        <f t="shared" si="187"/>
        <v>3036172000</v>
      </c>
      <c r="O871" s="638" t="s">
        <v>760</v>
      </c>
      <c r="P871" s="590">
        <v>1</v>
      </c>
      <c r="Q871" s="564">
        <f>IF(O871&lt;&gt;0,VLOOKUP(O871,'Cây trong'!$A$2:$C$246,3,0)," ")</f>
        <v>70000</v>
      </c>
      <c r="R871" s="564">
        <f t="shared" si="189"/>
        <v>70000</v>
      </c>
      <c r="S871" s="638" t="s">
        <v>1763</v>
      </c>
      <c r="T871" s="639" t="s">
        <v>53</v>
      </c>
      <c r="U871" s="591">
        <v>34.92</v>
      </c>
      <c r="V871" s="680"/>
      <c r="W871" s="564">
        <f>IF(S871&lt;&gt;0,VLOOKUP(S871,VKT!$A$2:$G$415,7,0),"")</f>
        <v>3550600</v>
      </c>
      <c r="X871" s="564">
        <f t="shared" si="182"/>
        <v>123987000</v>
      </c>
      <c r="Y871" s="589" t="s">
        <v>63</v>
      </c>
      <c r="Z871" s="592" t="s">
        <v>55</v>
      </c>
      <c r="AA871" s="592" t="s">
        <v>56</v>
      </c>
      <c r="AB871" s="568" t="s">
        <v>57</v>
      </c>
      <c r="AC871" s="592" t="s">
        <v>63</v>
      </c>
      <c r="AD871" s="568" t="s">
        <v>430</v>
      </c>
      <c r="AE871" s="569"/>
      <c r="AF871" s="563"/>
      <c r="AG871" s="570"/>
      <c r="AH871" s="570"/>
      <c r="AI871" s="571" t="str">
        <f t="shared" si="185"/>
        <v xml:space="preserve"> </v>
      </c>
      <c r="AJ871" s="558" t="s">
        <v>705</v>
      </c>
      <c r="AK871" s="586" t="s">
        <v>2771</v>
      </c>
    </row>
    <row r="872" spans="1:37" s="376" customFormat="1" ht="101.25" outlineLevel="2" x14ac:dyDescent="0.3">
      <c r="A872" s="447">
        <f t="shared" ref="A872:A935" si="194">IF(B871&lt;&gt;0,B871,A871)</f>
        <v>72</v>
      </c>
      <c r="B872" s="557"/>
      <c r="C872" s="628" t="s">
        <v>706</v>
      </c>
      <c r="D872" s="587"/>
      <c r="E872" s="587"/>
      <c r="F872" s="560"/>
      <c r="G872" s="558" t="s">
        <v>2483</v>
      </c>
      <c r="H872" s="588">
        <v>366.7</v>
      </c>
      <c r="I872" s="546" t="str">
        <f t="shared" si="193"/>
        <v/>
      </c>
      <c r="J872" s="589"/>
      <c r="K872" s="563">
        <f>IF(G872&lt;&gt;0,VLOOKUP(G872,'gia dat'!$A$1:$F$144,5,0)," ")</f>
        <v>554400</v>
      </c>
      <c r="L872" s="563">
        <f>IF(G872&lt;&gt;0,VLOOKUP(G872,'gia dat'!$A$1:$F$144,6,0)," ")</f>
        <v>0</v>
      </c>
      <c r="M872" s="564">
        <f t="shared" si="186"/>
        <v>203298000</v>
      </c>
      <c r="N872" s="564">
        <f t="shared" si="187"/>
        <v>0</v>
      </c>
      <c r="O872" s="638" t="s">
        <v>761</v>
      </c>
      <c r="P872" s="590">
        <v>1</v>
      </c>
      <c r="Q872" s="564">
        <f>IF(O872&lt;&gt;0,VLOOKUP(O872,'Cây trong'!$A$2:$C$246,3,0)," ")</f>
        <v>390000</v>
      </c>
      <c r="R872" s="564">
        <f t="shared" si="189"/>
        <v>390000</v>
      </c>
      <c r="S872" s="638" t="s">
        <v>1763</v>
      </c>
      <c r="T872" s="639" t="s">
        <v>53</v>
      </c>
      <c r="U872" s="591">
        <v>11.04</v>
      </c>
      <c r="V872" s="680"/>
      <c r="W872" s="564">
        <f>IF(S872&lt;&gt;0,VLOOKUP(S872,VKT!$A$2:$G$415,7,0),"")</f>
        <v>3550600</v>
      </c>
      <c r="X872" s="564">
        <f t="shared" si="182"/>
        <v>39199000</v>
      </c>
      <c r="Y872" s="589" t="s">
        <v>54</v>
      </c>
      <c r="Z872" s="592" t="s">
        <v>55</v>
      </c>
      <c r="AA872" s="592" t="s">
        <v>56</v>
      </c>
      <c r="AB872" s="568" t="s">
        <v>57</v>
      </c>
      <c r="AC872" s="592" t="s">
        <v>139</v>
      </c>
      <c r="AD872" s="592"/>
      <c r="AE872" s="569" t="s">
        <v>2791</v>
      </c>
      <c r="AF872" s="590">
        <v>1</v>
      </c>
      <c r="AG872" s="570">
        <f>IF(AE872&lt;&gt;0,VLOOKUP(AE872,ODDS!$A$2:$C$13,3,0),"")</f>
        <v>17000000</v>
      </c>
      <c r="AH872" s="570">
        <f t="shared" si="190"/>
        <v>17000000</v>
      </c>
      <c r="AI872" s="571" t="str">
        <f t="shared" si="185"/>
        <v xml:space="preserve"> </v>
      </c>
      <c r="AJ872" s="558" t="s">
        <v>597</v>
      </c>
      <c r="AK872" s="558" t="s">
        <v>2448</v>
      </c>
    </row>
    <row r="873" spans="1:37" s="376" customFormat="1" ht="121.5" outlineLevel="2" x14ac:dyDescent="0.3">
      <c r="A873" s="447">
        <f t="shared" si="194"/>
        <v>72</v>
      </c>
      <c r="B873" s="557"/>
      <c r="C873" s="628"/>
      <c r="D873" s="587"/>
      <c r="E873" s="587"/>
      <c r="F873" s="560"/>
      <c r="G873" s="558"/>
      <c r="H873" s="588"/>
      <c r="I873" s="546"/>
      <c r="J873" s="589"/>
      <c r="K873" s="563" t="str">
        <f>IF(G873&lt;&gt;0,VLOOKUP(G873,'gia dat'!$A$1:$F$144,5,0)," ")</f>
        <v xml:space="preserve"> </v>
      </c>
      <c r="L873" s="563" t="str">
        <f>IF(G873&lt;&gt;0,VLOOKUP(G873,'gia dat'!$A$1:$F$144,6,0)," ")</f>
        <v xml:space="preserve"> </v>
      </c>
      <c r="M873" s="564" t="str">
        <f t="shared" si="186"/>
        <v xml:space="preserve"> </v>
      </c>
      <c r="N873" s="564" t="str">
        <f t="shared" si="187"/>
        <v xml:space="preserve"> </v>
      </c>
      <c r="O873" s="638" t="s">
        <v>762</v>
      </c>
      <c r="P873" s="590">
        <v>1</v>
      </c>
      <c r="Q873" s="564">
        <f>IF(O873&lt;&gt;0,VLOOKUP(O873,'Cây trong'!$A$2:$C$246,3,0)," ")</f>
        <v>150000</v>
      </c>
      <c r="R873" s="564">
        <f t="shared" si="189"/>
        <v>150000</v>
      </c>
      <c r="S873" s="638" t="s">
        <v>1885</v>
      </c>
      <c r="T873" s="639" t="s">
        <v>53</v>
      </c>
      <c r="U873" s="591">
        <v>9.6</v>
      </c>
      <c r="V873" s="680"/>
      <c r="W873" s="564">
        <f>IF(S873&lt;&gt;0,VLOOKUP(S873,VKT!$A$2:$G$415,7,0),"")</f>
        <v>3460013</v>
      </c>
      <c r="X873" s="564">
        <f t="shared" si="182"/>
        <v>33216000</v>
      </c>
      <c r="Y873" s="589" t="s">
        <v>54</v>
      </c>
      <c r="Z873" s="592" t="s">
        <v>55</v>
      </c>
      <c r="AA873" s="592" t="s">
        <v>141</v>
      </c>
      <c r="AB873" s="568" t="s">
        <v>57</v>
      </c>
      <c r="AC873" s="592" t="s">
        <v>139</v>
      </c>
      <c r="AD873" s="592"/>
      <c r="AE873" s="606"/>
      <c r="AF873" s="590"/>
      <c r="AG873" s="570" t="str">
        <f>IF(AE873&lt;&gt;0,VLOOKUP(AE873,ODDS!$A$2:$C$13,3,0),"")</f>
        <v/>
      </c>
      <c r="AH873" s="570" t="str">
        <f t="shared" si="190"/>
        <v xml:space="preserve"> </v>
      </c>
      <c r="AI873" s="571" t="str">
        <f t="shared" si="185"/>
        <v xml:space="preserve"> </v>
      </c>
      <c r="AJ873" s="593" t="s">
        <v>264</v>
      </c>
      <c r="AK873" s="558" t="s">
        <v>2450</v>
      </c>
    </row>
    <row r="874" spans="1:37" s="376" customFormat="1" ht="101.25" outlineLevel="2" x14ac:dyDescent="0.3">
      <c r="A874" s="447">
        <f t="shared" si="194"/>
        <v>72</v>
      </c>
      <c r="B874" s="557"/>
      <c r="C874" s="558"/>
      <c r="D874" s="587"/>
      <c r="E874" s="587"/>
      <c r="F874" s="560"/>
      <c r="G874" s="558"/>
      <c r="H874" s="588"/>
      <c r="I874" s="546"/>
      <c r="J874" s="589"/>
      <c r="K874" s="563" t="str">
        <f>IF(G874&lt;&gt;0,VLOOKUP(G874,'gia dat'!$A$1:$F$144,5,0)," ")</f>
        <v xml:space="preserve"> </v>
      </c>
      <c r="L874" s="563" t="str">
        <f>IF(G874&lt;&gt;0,VLOOKUP(G874,'gia dat'!$A$1:$F$144,6,0)," ")</f>
        <v xml:space="preserve"> </v>
      </c>
      <c r="M874" s="564" t="str">
        <f t="shared" si="186"/>
        <v xml:space="preserve"> </v>
      </c>
      <c r="N874" s="564" t="str">
        <f t="shared" si="187"/>
        <v xml:space="preserve"> </v>
      </c>
      <c r="O874" s="638" t="s">
        <v>763</v>
      </c>
      <c r="P874" s="590">
        <v>1</v>
      </c>
      <c r="Q874" s="564">
        <f>IF(O874&lt;&gt;0,VLOOKUP(O874,'Cây trong'!$A$2:$C$246,3,0)," ")</f>
        <v>150000</v>
      </c>
      <c r="R874" s="564">
        <f t="shared" si="189"/>
        <v>150000</v>
      </c>
      <c r="S874" s="638" t="s">
        <v>1886</v>
      </c>
      <c r="T874" s="639" t="s">
        <v>53</v>
      </c>
      <c r="U874" s="591">
        <v>2.99</v>
      </c>
      <c r="V874" s="680"/>
      <c r="W874" s="564">
        <f>IF(S874&lt;&gt;0,VLOOKUP(S874,VKT!$A$2:$G$415,7,0),"")</f>
        <v>9347414</v>
      </c>
      <c r="X874" s="564">
        <f t="shared" si="182"/>
        <v>27949000</v>
      </c>
      <c r="Y874" s="589"/>
      <c r="Z874" s="592"/>
      <c r="AA874" s="592" t="s">
        <v>56</v>
      </c>
      <c r="AB874" s="568" t="s">
        <v>57</v>
      </c>
      <c r="AC874" s="592" t="s">
        <v>139</v>
      </c>
      <c r="AD874" s="592"/>
      <c r="AE874" s="592"/>
      <c r="AF874" s="590"/>
      <c r="AG874" s="570" t="str">
        <f>IF(AE874&lt;&gt;0,VLOOKUP(AE874,ODDS!$A$2:$C$13,3,0),"")</f>
        <v/>
      </c>
      <c r="AH874" s="570" t="str">
        <f t="shared" si="190"/>
        <v xml:space="preserve"> </v>
      </c>
      <c r="AI874" s="571" t="str">
        <f t="shared" si="185"/>
        <v xml:space="preserve"> </v>
      </c>
      <c r="AJ874" s="558" t="s">
        <v>2074</v>
      </c>
      <c r="AK874" s="558" t="s">
        <v>2449</v>
      </c>
    </row>
    <row r="875" spans="1:37" s="376" customFormat="1" ht="81" outlineLevel="2" x14ac:dyDescent="0.3">
      <c r="A875" s="447">
        <f t="shared" si="194"/>
        <v>72</v>
      </c>
      <c r="B875" s="557"/>
      <c r="C875" s="558"/>
      <c r="D875" s="587"/>
      <c r="E875" s="587"/>
      <c r="F875" s="560"/>
      <c r="G875" s="558"/>
      <c r="H875" s="588"/>
      <c r="I875" s="546"/>
      <c r="J875" s="589"/>
      <c r="K875" s="563" t="str">
        <f>IF(G875&lt;&gt;0,VLOOKUP(G875,'gia dat'!$A$1:$F$144,5,0)," ")</f>
        <v xml:space="preserve"> </v>
      </c>
      <c r="L875" s="563" t="str">
        <f>IF(G875&lt;&gt;0,VLOOKUP(G875,'gia dat'!$A$1:$F$144,6,0)," ")</f>
        <v xml:space="preserve"> </v>
      </c>
      <c r="M875" s="564" t="str">
        <f t="shared" si="186"/>
        <v xml:space="preserve"> </v>
      </c>
      <c r="N875" s="564" t="str">
        <f t="shared" si="187"/>
        <v xml:space="preserve"> </v>
      </c>
      <c r="O875" s="638" t="s">
        <v>409</v>
      </c>
      <c r="P875" s="590">
        <v>6</v>
      </c>
      <c r="Q875" s="564">
        <f>IF(O875&lt;&gt;0,VLOOKUP(O875,'Cây trong'!$A$2:$C$246,3,0)," ")</f>
        <v>72000</v>
      </c>
      <c r="R875" s="564">
        <f t="shared" si="189"/>
        <v>432000</v>
      </c>
      <c r="S875" s="638" t="s">
        <v>1887</v>
      </c>
      <c r="T875" s="639" t="s">
        <v>53</v>
      </c>
      <c r="U875" s="591">
        <v>1.69</v>
      </c>
      <c r="V875" s="680"/>
      <c r="W875" s="564">
        <f>IF(S875&lt;&gt;0,VLOOKUP(S875,VKT!$A$2:$G$415,7,0),"")</f>
        <v>9028527</v>
      </c>
      <c r="X875" s="564">
        <f t="shared" si="182"/>
        <v>15258000</v>
      </c>
      <c r="Y875" s="589"/>
      <c r="Z875" s="592"/>
      <c r="AA875" s="592" t="s">
        <v>56</v>
      </c>
      <c r="AB875" s="568" t="s">
        <v>57</v>
      </c>
      <c r="AC875" s="592" t="s">
        <v>139</v>
      </c>
      <c r="AD875" s="592"/>
      <c r="AE875" s="592"/>
      <c r="AF875" s="590"/>
      <c r="AG875" s="570" t="str">
        <f>IF(AE875&lt;&gt;0,VLOOKUP(AE875,ODDS!$A$2:$C$13,3,0),"")</f>
        <v/>
      </c>
      <c r="AH875" s="570" t="str">
        <f t="shared" si="190"/>
        <v xml:space="preserve"> </v>
      </c>
      <c r="AI875" s="571" t="str">
        <f t="shared" si="185"/>
        <v xml:space="preserve"> </v>
      </c>
      <c r="AJ875" s="575"/>
      <c r="AK875" s="558" t="s">
        <v>2451</v>
      </c>
    </row>
    <row r="876" spans="1:37" s="376" customFormat="1" ht="101.25" outlineLevel="2" x14ac:dyDescent="0.3">
      <c r="A876" s="447">
        <f t="shared" si="194"/>
        <v>72</v>
      </c>
      <c r="B876" s="557"/>
      <c r="C876" s="558"/>
      <c r="D876" s="587"/>
      <c r="E876" s="587"/>
      <c r="F876" s="560"/>
      <c r="G876" s="558"/>
      <c r="H876" s="588"/>
      <c r="I876" s="546"/>
      <c r="J876" s="589"/>
      <c r="K876" s="563" t="str">
        <f>IF(G876&lt;&gt;0,VLOOKUP(G876,'gia dat'!$A$1:$F$144,5,0)," ")</f>
        <v xml:space="preserve"> </v>
      </c>
      <c r="L876" s="563" t="str">
        <f>IF(G876&lt;&gt;0,VLOOKUP(G876,'gia dat'!$A$1:$F$144,6,0)," ")</f>
        <v xml:space="preserve"> </v>
      </c>
      <c r="M876" s="564" t="str">
        <f t="shared" si="186"/>
        <v xml:space="preserve"> </v>
      </c>
      <c r="N876" s="564" t="str">
        <f t="shared" si="187"/>
        <v xml:space="preserve"> </v>
      </c>
      <c r="O876" s="638" t="s">
        <v>764</v>
      </c>
      <c r="P876" s="590">
        <v>2</v>
      </c>
      <c r="Q876" s="564">
        <f>IF(O876&lt;&gt;0,VLOOKUP(O876,'Cây trong'!$A$2:$C$246,3,0)," ")</f>
        <v>150000</v>
      </c>
      <c r="R876" s="564">
        <f t="shared" si="189"/>
        <v>300000</v>
      </c>
      <c r="S876" s="638" t="s">
        <v>1844</v>
      </c>
      <c r="T876" s="639" t="s">
        <v>53</v>
      </c>
      <c r="U876" s="591">
        <v>30</v>
      </c>
      <c r="V876" s="680"/>
      <c r="W876" s="564">
        <f>IF(S876&lt;&gt;0,VLOOKUP(S876,VKT!$A$2:$G$415,7,0),"")</f>
        <v>770070</v>
      </c>
      <c r="X876" s="564">
        <f t="shared" si="182"/>
        <v>23102000</v>
      </c>
      <c r="Y876" s="589"/>
      <c r="Z876" s="592" t="s">
        <v>55</v>
      </c>
      <c r="AA876" s="592" t="s">
        <v>56</v>
      </c>
      <c r="AB876" s="568"/>
      <c r="AC876" s="592" t="s">
        <v>66</v>
      </c>
      <c r="AD876" s="592"/>
      <c r="AE876" s="592"/>
      <c r="AF876" s="590"/>
      <c r="AG876" s="570" t="str">
        <f>IF(AE876&lt;&gt;0,VLOOKUP(AE876,ODDS!$A$2:$C$13,3,0),"")</f>
        <v/>
      </c>
      <c r="AH876" s="570" t="str">
        <f t="shared" si="190"/>
        <v xml:space="preserve"> </v>
      </c>
      <c r="AI876" s="571" t="str">
        <f t="shared" si="185"/>
        <v xml:space="preserve"> </v>
      </c>
      <c r="AJ876" s="593"/>
      <c r="AK876" s="558" t="s">
        <v>2800</v>
      </c>
    </row>
    <row r="877" spans="1:37" s="376" customFormat="1" ht="40.5" outlineLevel="2" x14ac:dyDescent="0.3">
      <c r="A877" s="447">
        <f t="shared" si="194"/>
        <v>72</v>
      </c>
      <c r="B877" s="557"/>
      <c r="C877" s="558"/>
      <c r="D877" s="587"/>
      <c r="E877" s="587"/>
      <c r="F877" s="560"/>
      <c r="G877" s="558"/>
      <c r="H877" s="588"/>
      <c r="I877" s="546"/>
      <c r="J877" s="589"/>
      <c r="K877" s="563" t="str">
        <f>IF(G877&lt;&gt;0,VLOOKUP(G877,'gia dat'!$A$1:$F$144,5,0)," ")</f>
        <v xml:space="preserve"> </v>
      </c>
      <c r="L877" s="563" t="str">
        <f>IF(G877&lt;&gt;0,VLOOKUP(G877,'gia dat'!$A$1:$F$144,6,0)," ")</f>
        <v xml:space="preserve"> </v>
      </c>
      <c r="M877" s="564" t="str">
        <f t="shared" si="186"/>
        <v xml:space="preserve"> </v>
      </c>
      <c r="N877" s="564" t="str">
        <f t="shared" si="187"/>
        <v xml:space="preserve"> </v>
      </c>
      <c r="O877" s="638" t="s">
        <v>765</v>
      </c>
      <c r="P877" s="590">
        <v>3</v>
      </c>
      <c r="Q877" s="564">
        <f>IF(O877&lt;&gt;0,VLOOKUP(O877,'Cây trong'!$A$2:$C$246,3,0)," ")</f>
        <v>72000</v>
      </c>
      <c r="R877" s="564">
        <f t="shared" si="189"/>
        <v>216000</v>
      </c>
      <c r="S877" s="638" t="s">
        <v>1888</v>
      </c>
      <c r="T877" s="639" t="s">
        <v>53</v>
      </c>
      <c r="U877" s="591">
        <v>3.96</v>
      </c>
      <c r="V877" s="680"/>
      <c r="W877" s="564">
        <f>IF(S877&lt;&gt;0,VLOOKUP(S877,VKT!$A$2:$G$415,7,0),"")</f>
        <v>1574011</v>
      </c>
      <c r="X877" s="564">
        <f t="shared" si="182"/>
        <v>6233000</v>
      </c>
      <c r="Y877" s="589"/>
      <c r="Z877" s="592" t="s">
        <v>55</v>
      </c>
      <c r="AA877" s="592" t="s">
        <v>141</v>
      </c>
      <c r="AB877" s="568" t="s">
        <v>266</v>
      </c>
      <c r="AC877" s="592" t="s">
        <v>267</v>
      </c>
      <c r="AD877" s="592"/>
      <c r="AE877" s="592"/>
      <c r="AF877" s="590"/>
      <c r="AG877" s="570" t="str">
        <f>IF(AE877&lt;&gt;0,VLOOKUP(AE877,ODDS!$A$2:$C$13,3,0),"")</f>
        <v/>
      </c>
      <c r="AH877" s="570" t="str">
        <f t="shared" si="190"/>
        <v xml:space="preserve"> </v>
      </c>
      <c r="AI877" s="571" t="str">
        <f t="shared" si="185"/>
        <v xml:space="preserve"> </v>
      </c>
      <c r="AJ877" s="593"/>
      <c r="AK877" s="593"/>
    </row>
    <row r="878" spans="1:37" s="376" customFormat="1" ht="40.5" outlineLevel="2" x14ac:dyDescent="0.3">
      <c r="A878" s="447">
        <f t="shared" si="194"/>
        <v>72</v>
      </c>
      <c r="B878" s="557"/>
      <c r="C878" s="558"/>
      <c r="D878" s="587"/>
      <c r="E878" s="587"/>
      <c r="F878" s="560"/>
      <c r="G878" s="558"/>
      <c r="H878" s="588"/>
      <c r="I878" s="546"/>
      <c r="J878" s="589"/>
      <c r="K878" s="563" t="str">
        <f>IF(G878&lt;&gt;0,VLOOKUP(G878,'gia dat'!$A$1:$F$144,5,0)," ")</f>
        <v xml:space="preserve"> </v>
      </c>
      <c r="L878" s="563" t="str">
        <f>IF(G878&lt;&gt;0,VLOOKUP(G878,'gia dat'!$A$1:$F$144,6,0)," ")</f>
        <v xml:space="preserve"> </v>
      </c>
      <c r="M878" s="564" t="str">
        <f t="shared" si="186"/>
        <v xml:space="preserve"> </v>
      </c>
      <c r="N878" s="564" t="str">
        <f t="shared" si="187"/>
        <v xml:space="preserve"> </v>
      </c>
      <c r="O878" s="558" t="s">
        <v>766</v>
      </c>
      <c r="P878" s="590">
        <v>1</v>
      </c>
      <c r="Q878" s="564">
        <f>IF(O878&lt;&gt;0,VLOOKUP(O878,'Cây trong'!$A$2:$C$246,3,0)," ")</f>
        <v>150000</v>
      </c>
      <c r="R878" s="564">
        <f t="shared" si="189"/>
        <v>150000</v>
      </c>
      <c r="S878" s="638" t="s">
        <v>1844</v>
      </c>
      <c r="T878" s="639" t="s">
        <v>53</v>
      </c>
      <c r="U878" s="591">
        <v>32.4</v>
      </c>
      <c r="V878" s="680"/>
      <c r="W878" s="564">
        <f>IF(S878&lt;&gt;0,VLOOKUP(S878,VKT!$A$2:$G$415,7,0),"")</f>
        <v>770070</v>
      </c>
      <c r="X878" s="564">
        <f t="shared" si="182"/>
        <v>24950000</v>
      </c>
      <c r="Y878" s="589"/>
      <c r="Z878" s="592" t="s">
        <v>55</v>
      </c>
      <c r="AA878" s="592" t="s">
        <v>56</v>
      </c>
      <c r="AB878" s="568"/>
      <c r="AC878" s="592" t="s">
        <v>267</v>
      </c>
      <c r="AD878" s="592"/>
      <c r="AE878" s="592"/>
      <c r="AF878" s="590"/>
      <c r="AG878" s="570" t="str">
        <f>IF(AE878&lt;&gt;0,VLOOKUP(AE878,ODDS!$A$2:$C$13,3,0),"")</f>
        <v/>
      </c>
      <c r="AH878" s="570" t="str">
        <f t="shared" si="190"/>
        <v xml:space="preserve"> </v>
      </c>
      <c r="AI878" s="571" t="str">
        <f t="shared" si="185"/>
        <v xml:space="preserve"> </v>
      </c>
      <c r="AJ878" s="593"/>
      <c r="AK878" s="593"/>
    </row>
    <row r="879" spans="1:37" s="376" customFormat="1" ht="40.5" outlineLevel="2" x14ac:dyDescent="0.3">
      <c r="A879" s="447">
        <f t="shared" si="194"/>
        <v>72</v>
      </c>
      <c r="B879" s="557"/>
      <c r="C879" s="558"/>
      <c r="D879" s="587"/>
      <c r="E879" s="587"/>
      <c r="F879" s="560"/>
      <c r="G879" s="558"/>
      <c r="H879" s="588"/>
      <c r="I879" s="546"/>
      <c r="J879" s="589"/>
      <c r="K879" s="563" t="str">
        <f>IF(G879&lt;&gt;0,VLOOKUP(G879,'gia dat'!$A$1:$F$144,5,0)," ")</f>
        <v xml:space="preserve"> </v>
      </c>
      <c r="L879" s="563" t="str">
        <f>IF(G879&lt;&gt;0,VLOOKUP(G879,'gia dat'!$A$1:$F$144,6,0)," ")</f>
        <v xml:space="preserve"> </v>
      </c>
      <c r="M879" s="564" t="str">
        <f t="shared" si="186"/>
        <v xml:space="preserve"> </v>
      </c>
      <c r="N879" s="564" t="str">
        <f t="shared" si="187"/>
        <v xml:space="preserve"> </v>
      </c>
      <c r="O879" s="558" t="s">
        <v>767</v>
      </c>
      <c r="P879" s="590">
        <v>78</v>
      </c>
      <c r="Q879" s="564">
        <f>IF(O879&lt;&gt;0,VLOOKUP(O879,'Cây trong'!$A$2:$C$246,3,0)," ")</f>
        <v>72000</v>
      </c>
      <c r="R879" s="564">
        <f t="shared" si="189"/>
        <v>5616000</v>
      </c>
      <c r="S879" s="638" t="s">
        <v>1840</v>
      </c>
      <c r="T879" s="639" t="s">
        <v>53</v>
      </c>
      <c r="U879" s="591">
        <v>74.2</v>
      </c>
      <c r="V879" s="680"/>
      <c r="W879" s="564">
        <f>IF(S879&lt;&gt;0,VLOOKUP(S879,VKT!$A$2:$G$415,7,0),"")</f>
        <v>1676884</v>
      </c>
      <c r="X879" s="564">
        <f t="shared" si="182"/>
        <v>124425000</v>
      </c>
      <c r="Y879" s="589"/>
      <c r="Z879" s="592" t="s">
        <v>55</v>
      </c>
      <c r="AA879" s="592" t="s">
        <v>56</v>
      </c>
      <c r="AB879" s="568" t="s">
        <v>57</v>
      </c>
      <c r="AC879" s="592" t="s">
        <v>267</v>
      </c>
      <c r="AD879" s="592"/>
      <c r="AE879" s="592"/>
      <c r="AF879" s="590"/>
      <c r="AG879" s="570" t="str">
        <f>IF(AE879&lt;&gt;0,VLOOKUP(AE879,ODDS!$A$2:$C$13,3,0),"")</f>
        <v/>
      </c>
      <c r="AH879" s="570" t="str">
        <f t="shared" si="190"/>
        <v xml:space="preserve"> </v>
      </c>
      <c r="AI879" s="571" t="str">
        <f t="shared" si="185"/>
        <v xml:space="preserve"> </v>
      </c>
      <c r="AJ879" s="593"/>
      <c r="AK879" s="593"/>
    </row>
    <row r="880" spans="1:37" s="376" customFormat="1" ht="40.5" outlineLevel="2" x14ac:dyDescent="0.3">
      <c r="A880" s="447">
        <f t="shared" si="194"/>
        <v>72</v>
      </c>
      <c r="B880" s="557"/>
      <c r="C880" s="558"/>
      <c r="D880" s="587"/>
      <c r="E880" s="587"/>
      <c r="F880" s="560"/>
      <c r="G880" s="558"/>
      <c r="H880" s="588"/>
      <c r="I880" s="546"/>
      <c r="J880" s="589"/>
      <c r="K880" s="563" t="str">
        <f>IF(G880&lt;&gt;0,VLOOKUP(G880,'gia dat'!$A$1:$F$144,5,0)," ")</f>
        <v xml:space="preserve"> </v>
      </c>
      <c r="L880" s="563" t="str">
        <f>IF(G880&lt;&gt;0,VLOOKUP(G880,'gia dat'!$A$1:$F$144,6,0)," ")</f>
        <v xml:space="preserve"> </v>
      </c>
      <c r="M880" s="564" t="str">
        <f t="shared" si="186"/>
        <v xml:space="preserve"> </v>
      </c>
      <c r="N880" s="564" t="str">
        <f t="shared" si="187"/>
        <v xml:space="preserve"> </v>
      </c>
      <c r="O880" s="638" t="s">
        <v>768</v>
      </c>
      <c r="P880" s="590">
        <v>1</v>
      </c>
      <c r="Q880" s="564">
        <f>IF(O880&lt;&gt;0,VLOOKUP(O880,'Cây trong'!$A$2:$C$246,3,0)," ")</f>
        <v>150000</v>
      </c>
      <c r="R880" s="564">
        <f t="shared" si="189"/>
        <v>150000</v>
      </c>
      <c r="S880" s="566" t="s">
        <v>1844</v>
      </c>
      <c r="T880" s="639" t="s">
        <v>53</v>
      </c>
      <c r="U880" s="591">
        <v>74.400000000000006</v>
      </c>
      <c r="V880" s="589"/>
      <c r="W880" s="564">
        <f>IF(S880&lt;&gt;0,VLOOKUP(S880,VKT!$A$2:$G$415,7,0),"")</f>
        <v>770070</v>
      </c>
      <c r="X880" s="564">
        <f t="shared" si="182"/>
        <v>57293000</v>
      </c>
      <c r="Y880" s="589"/>
      <c r="Z880" s="592" t="s">
        <v>55</v>
      </c>
      <c r="AA880" s="592" t="s">
        <v>141</v>
      </c>
      <c r="AB880" s="568"/>
      <c r="AC880" s="592" t="s">
        <v>267</v>
      </c>
      <c r="AD880" s="592"/>
      <c r="AE880" s="592"/>
      <c r="AF880" s="590"/>
      <c r="AG880" s="570" t="str">
        <f>IF(AE880&lt;&gt;0,VLOOKUP(AE880,ODDS!$A$2:$C$13,3,0),"")</f>
        <v/>
      </c>
      <c r="AH880" s="570" t="str">
        <f t="shared" si="190"/>
        <v xml:space="preserve"> </v>
      </c>
      <c r="AI880" s="571" t="str">
        <f t="shared" si="185"/>
        <v xml:space="preserve"> </v>
      </c>
      <c r="AJ880" s="593"/>
      <c r="AK880" s="593"/>
    </row>
    <row r="881" spans="1:37" s="376" customFormat="1" ht="60.75" outlineLevel="2" x14ac:dyDescent="0.3">
      <c r="A881" s="447">
        <f t="shared" si="194"/>
        <v>72</v>
      </c>
      <c r="B881" s="557"/>
      <c r="C881" s="636"/>
      <c r="D881" s="587"/>
      <c r="E881" s="587"/>
      <c r="F881" s="560"/>
      <c r="G881" s="558"/>
      <c r="H881" s="588"/>
      <c r="I881" s="546"/>
      <c r="J881" s="589"/>
      <c r="K881" s="563" t="str">
        <f>IF(G881&lt;&gt;0,VLOOKUP(G881,'gia dat'!$A$1:$F$144,5,0)," ")</f>
        <v xml:space="preserve"> </v>
      </c>
      <c r="L881" s="563" t="str">
        <f>IF(G881&lt;&gt;0,VLOOKUP(G881,'gia dat'!$A$1:$F$144,6,0)," ")</f>
        <v xml:space="preserve"> </v>
      </c>
      <c r="M881" s="564" t="str">
        <f t="shared" si="186"/>
        <v xml:space="preserve"> </v>
      </c>
      <c r="N881" s="564" t="str">
        <f t="shared" si="187"/>
        <v xml:space="preserve"> </v>
      </c>
      <c r="O881" s="638" t="s">
        <v>769</v>
      </c>
      <c r="P881" s="590">
        <v>3</v>
      </c>
      <c r="Q881" s="564">
        <f>IF(O881&lt;&gt;0,VLOOKUP(O881,'Cây trong'!$A$2:$C$246,3,0)," ")</f>
        <v>120000</v>
      </c>
      <c r="R881" s="564">
        <f t="shared" si="189"/>
        <v>360000</v>
      </c>
      <c r="S881" s="566" t="s">
        <v>1889</v>
      </c>
      <c r="T881" s="639" t="s">
        <v>53</v>
      </c>
      <c r="U881" s="591">
        <v>8.26</v>
      </c>
      <c r="V881" s="589"/>
      <c r="W881" s="564">
        <f>IF(S881&lt;&gt;0,VLOOKUP(S881,VKT!$A$2:$G$415,7,0),"")</f>
        <v>2354806</v>
      </c>
      <c r="X881" s="564">
        <f t="shared" si="182"/>
        <v>19451000</v>
      </c>
      <c r="Y881" s="589"/>
      <c r="Z881" s="592" t="s">
        <v>55</v>
      </c>
      <c r="AA881" s="592" t="s">
        <v>141</v>
      </c>
      <c r="AB881" s="568" t="s">
        <v>57</v>
      </c>
      <c r="AC881" s="592" t="s">
        <v>139</v>
      </c>
      <c r="AD881" s="592"/>
      <c r="AE881" s="592"/>
      <c r="AF881" s="590"/>
      <c r="AG881" s="570" t="str">
        <f>IF(AE881&lt;&gt;0,VLOOKUP(AE881,ODDS!$A$2:$C$13,3,0),"")</f>
        <v/>
      </c>
      <c r="AH881" s="570" t="str">
        <f t="shared" si="190"/>
        <v xml:space="preserve"> </v>
      </c>
      <c r="AI881" s="571" t="str">
        <f t="shared" si="185"/>
        <v xml:space="preserve"> </v>
      </c>
      <c r="AJ881" s="593"/>
      <c r="AK881" s="593"/>
    </row>
    <row r="882" spans="1:37" s="376" customFormat="1" ht="40.5" outlineLevel="2" x14ac:dyDescent="0.3">
      <c r="A882" s="447">
        <f t="shared" si="194"/>
        <v>72</v>
      </c>
      <c r="B882" s="557"/>
      <c r="C882" s="637"/>
      <c r="D882" s="587"/>
      <c r="E882" s="587"/>
      <c r="F882" s="560"/>
      <c r="G882" s="558"/>
      <c r="H882" s="588"/>
      <c r="I882" s="546"/>
      <c r="J882" s="589"/>
      <c r="K882" s="563" t="str">
        <f>IF(G882&lt;&gt;0,VLOOKUP(G882,'gia dat'!$A$1:$F$144,5,0)," ")</f>
        <v xml:space="preserve"> </v>
      </c>
      <c r="L882" s="563" t="str">
        <f>IF(G882&lt;&gt;0,VLOOKUP(G882,'gia dat'!$A$1:$F$144,6,0)," ")</f>
        <v xml:space="preserve"> </v>
      </c>
      <c r="M882" s="564" t="str">
        <f t="shared" si="186"/>
        <v xml:space="preserve"> </v>
      </c>
      <c r="N882" s="564" t="str">
        <f t="shared" si="187"/>
        <v xml:space="preserve"> </v>
      </c>
      <c r="O882" s="638" t="s">
        <v>770</v>
      </c>
      <c r="P882" s="590">
        <v>2</v>
      </c>
      <c r="Q882" s="564">
        <f>IF(O882&lt;&gt;0,VLOOKUP(O882,'Cây trong'!$A$2:$C$246,3,0)," ")</f>
        <v>60000</v>
      </c>
      <c r="R882" s="564">
        <f t="shared" si="189"/>
        <v>120000</v>
      </c>
      <c r="S882" s="638" t="s">
        <v>1890</v>
      </c>
      <c r="T882" s="639" t="s">
        <v>53</v>
      </c>
      <c r="U882" s="591">
        <v>28</v>
      </c>
      <c r="V882" s="680"/>
      <c r="W882" s="564">
        <f>IF(S882&lt;&gt;0,VLOOKUP(S882,VKT!$A$2:$G$415,7,0),"")</f>
        <v>1574011</v>
      </c>
      <c r="X882" s="564">
        <f t="shared" si="182"/>
        <v>44072000</v>
      </c>
      <c r="Y882" s="589"/>
      <c r="Z882" s="592" t="s">
        <v>55</v>
      </c>
      <c r="AA882" s="592" t="s">
        <v>141</v>
      </c>
      <c r="AB882" s="568" t="s">
        <v>266</v>
      </c>
      <c r="AC882" s="592" t="s">
        <v>267</v>
      </c>
      <c r="AD882" s="592"/>
      <c r="AE882" s="592"/>
      <c r="AF882" s="590"/>
      <c r="AG882" s="570" t="str">
        <f>IF(AE882&lt;&gt;0,VLOOKUP(AE882,ODDS!$A$2:$C$13,3,0),"")</f>
        <v/>
      </c>
      <c r="AH882" s="570" t="str">
        <f t="shared" si="190"/>
        <v xml:space="preserve"> </v>
      </c>
      <c r="AI882" s="571" t="str">
        <f t="shared" si="185"/>
        <v xml:space="preserve"> </v>
      </c>
      <c r="AJ882" s="593"/>
      <c r="AK882" s="593"/>
    </row>
    <row r="883" spans="1:37" s="376" customFormat="1" ht="60.75" outlineLevel="2" x14ac:dyDescent="0.3">
      <c r="A883" s="447">
        <f t="shared" si="194"/>
        <v>72</v>
      </c>
      <c r="B883" s="557"/>
      <c r="C883" s="637"/>
      <c r="D883" s="587"/>
      <c r="E883" s="587"/>
      <c r="F883" s="560"/>
      <c r="G883" s="558"/>
      <c r="H883" s="588"/>
      <c r="I883" s="546"/>
      <c r="J883" s="589"/>
      <c r="K883" s="563" t="str">
        <f>IF(G883&lt;&gt;0,VLOOKUP(G883,'gia dat'!$A$1:$F$144,5,0)," ")</f>
        <v xml:space="preserve"> </v>
      </c>
      <c r="L883" s="563" t="str">
        <f>IF(G883&lt;&gt;0,VLOOKUP(G883,'gia dat'!$A$1:$F$144,6,0)," ")</f>
        <v xml:space="preserve"> </v>
      </c>
      <c r="M883" s="564" t="str">
        <f t="shared" si="186"/>
        <v xml:space="preserve"> </v>
      </c>
      <c r="N883" s="564" t="str">
        <f t="shared" si="187"/>
        <v xml:space="preserve"> </v>
      </c>
      <c r="O883" s="638" t="s">
        <v>756</v>
      </c>
      <c r="P883" s="590">
        <v>3</v>
      </c>
      <c r="Q883" s="564">
        <f>IF(O883&lt;&gt;0,VLOOKUP(O883,'Cây trong'!$A$2:$C$246,3,0)," ")</f>
        <v>150000</v>
      </c>
      <c r="R883" s="564">
        <f t="shared" si="189"/>
        <v>450000</v>
      </c>
      <c r="S883" s="638" t="s">
        <v>1889</v>
      </c>
      <c r="T883" s="639" t="s">
        <v>53</v>
      </c>
      <c r="U883" s="591">
        <v>2.86</v>
      </c>
      <c r="V883" s="680"/>
      <c r="W883" s="564">
        <f>IF(S883&lt;&gt;0,VLOOKUP(S883,VKT!$A$2:$G$415,7,0),"")</f>
        <v>2354806</v>
      </c>
      <c r="X883" s="564">
        <f t="shared" si="182"/>
        <v>6735000</v>
      </c>
      <c r="Y883" s="589"/>
      <c r="Z883" s="592" t="s">
        <v>268</v>
      </c>
      <c r="AA883" s="592" t="s">
        <v>141</v>
      </c>
      <c r="AB883" s="568" t="s">
        <v>269</v>
      </c>
      <c r="AC883" s="592" t="s">
        <v>139</v>
      </c>
      <c r="AD883" s="592"/>
      <c r="AE883" s="592"/>
      <c r="AF883" s="590"/>
      <c r="AG883" s="570" t="str">
        <f>IF(AE883&lt;&gt;0,VLOOKUP(AE883,ODDS!$A$2:$C$13,3,0),"")</f>
        <v/>
      </c>
      <c r="AH883" s="570" t="str">
        <f t="shared" si="190"/>
        <v xml:space="preserve"> </v>
      </c>
      <c r="AI883" s="571" t="str">
        <f t="shared" si="185"/>
        <v xml:space="preserve"> </v>
      </c>
      <c r="AJ883" s="593"/>
      <c r="AK883" s="593"/>
    </row>
    <row r="884" spans="1:37" s="376" customFormat="1" ht="40.5" outlineLevel="2" x14ac:dyDescent="0.3">
      <c r="A884" s="447">
        <f t="shared" si="194"/>
        <v>72</v>
      </c>
      <c r="B884" s="557"/>
      <c r="C884" s="558"/>
      <c r="D884" s="587"/>
      <c r="E884" s="587"/>
      <c r="F884" s="560"/>
      <c r="G884" s="558"/>
      <c r="H884" s="588"/>
      <c r="I884" s="546"/>
      <c r="J884" s="589"/>
      <c r="K884" s="563" t="str">
        <f>IF(G884&lt;&gt;0,VLOOKUP(G884,'gia dat'!$A$1:$F$144,5,0)," ")</f>
        <v xml:space="preserve"> </v>
      </c>
      <c r="L884" s="563" t="str">
        <f>IF(G884&lt;&gt;0,VLOOKUP(G884,'gia dat'!$A$1:$F$144,6,0)," ")</f>
        <v xml:space="preserve"> </v>
      </c>
      <c r="M884" s="564" t="str">
        <f t="shared" si="186"/>
        <v xml:space="preserve"> </v>
      </c>
      <c r="N884" s="564" t="str">
        <f t="shared" si="187"/>
        <v xml:space="preserve"> </v>
      </c>
      <c r="O884" s="638" t="s">
        <v>405</v>
      </c>
      <c r="P884" s="590">
        <v>10</v>
      </c>
      <c r="Q884" s="564">
        <f>IF(O884&lt;&gt;0,VLOOKUP(O884,'Cây trong'!$A$2:$C$246,3,0)," ")</f>
        <v>72000</v>
      </c>
      <c r="R884" s="564">
        <f t="shared" si="189"/>
        <v>720000</v>
      </c>
      <c r="S884" s="638" t="s">
        <v>1844</v>
      </c>
      <c r="T884" s="680" t="s">
        <v>53</v>
      </c>
      <c r="U884" s="591">
        <v>26.01</v>
      </c>
      <c r="V884" s="680"/>
      <c r="W884" s="564">
        <f>IF(S884&lt;&gt;0,VLOOKUP(S884,VKT!$A$2:$G$415,7,0),"")</f>
        <v>770070</v>
      </c>
      <c r="X884" s="564">
        <f t="shared" si="182"/>
        <v>20030000</v>
      </c>
      <c r="Y884" s="589"/>
      <c r="Z884" s="592" t="s">
        <v>55</v>
      </c>
      <c r="AA884" s="592" t="s">
        <v>270</v>
      </c>
      <c r="AB884" s="568"/>
      <c r="AC884" s="592" t="s">
        <v>66</v>
      </c>
      <c r="AD884" s="592"/>
      <c r="AE884" s="592"/>
      <c r="AF884" s="590"/>
      <c r="AG884" s="570" t="str">
        <f>IF(AE884&lt;&gt;0,VLOOKUP(AE884,ODDS!$A$2:$C$13,3,0),"")</f>
        <v/>
      </c>
      <c r="AH884" s="570" t="str">
        <f t="shared" si="190"/>
        <v xml:space="preserve"> </v>
      </c>
      <c r="AI884" s="571" t="str">
        <f t="shared" si="185"/>
        <v xml:space="preserve"> </v>
      </c>
      <c r="AJ884" s="593"/>
      <c r="AK884" s="593"/>
    </row>
    <row r="885" spans="1:37" s="376" customFormat="1" ht="81" outlineLevel="2" x14ac:dyDescent="0.3">
      <c r="A885" s="447">
        <f t="shared" si="194"/>
        <v>72</v>
      </c>
      <c r="B885" s="557"/>
      <c r="C885" s="558"/>
      <c r="D885" s="587"/>
      <c r="E885" s="587"/>
      <c r="F885" s="560"/>
      <c r="G885" s="558"/>
      <c r="H885" s="588"/>
      <c r="I885" s="546"/>
      <c r="J885" s="589"/>
      <c r="K885" s="563" t="str">
        <f>IF(G885&lt;&gt;0,VLOOKUP(G885,'gia dat'!$A$1:$F$144,5,0)," ")</f>
        <v xml:space="preserve"> </v>
      </c>
      <c r="L885" s="563" t="str">
        <f>IF(G885&lt;&gt;0,VLOOKUP(G885,'gia dat'!$A$1:$F$144,6,0)," ")</f>
        <v xml:space="preserve"> </v>
      </c>
      <c r="M885" s="564" t="str">
        <f t="shared" si="186"/>
        <v xml:space="preserve"> </v>
      </c>
      <c r="N885" s="564" t="str">
        <f t="shared" si="187"/>
        <v xml:space="preserve"> </v>
      </c>
      <c r="O885" s="638" t="s">
        <v>771</v>
      </c>
      <c r="P885" s="590">
        <v>1</v>
      </c>
      <c r="Q885" s="564">
        <f>IF(O885&lt;&gt;0,VLOOKUP(O885,'Cây trong'!$A$2:$C$246,3,0)," ")</f>
        <v>150000</v>
      </c>
      <c r="R885" s="564">
        <f t="shared" si="189"/>
        <v>150000</v>
      </c>
      <c r="S885" s="638" t="s">
        <v>1891</v>
      </c>
      <c r="T885" s="680" t="s">
        <v>53</v>
      </c>
      <c r="U885" s="591">
        <v>13.8</v>
      </c>
      <c r="V885" s="680"/>
      <c r="W885" s="564">
        <f>IF(S885&lt;&gt;0,VLOOKUP(S885,VKT!$A$2:$G$415,7,0),"")</f>
        <v>805811</v>
      </c>
      <c r="X885" s="564">
        <f t="shared" si="182"/>
        <v>11120000</v>
      </c>
      <c r="Y885" s="589"/>
      <c r="Z885" s="592"/>
      <c r="AA885" s="592"/>
      <c r="AB885" s="568"/>
      <c r="AC885" s="592"/>
      <c r="AD885" s="592"/>
      <c r="AE885" s="592"/>
      <c r="AF885" s="590"/>
      <c r="AG885" s="570" t="str">
        <f>IF(AE885&lt;&gt;0,VLOOKUP(AE885,ODDS!$A$2:$C$13,3,0),"")</f>
        <v/>
      </c>
      <c r="AH885" s="570" t="str">
        <f t="shared" si="190"/>
        <v xml:space="preserve"> </v>
      </c>
      <c r="AI885" s="571" t="str">
        <f t="shared" si="185"/>
        <v xml:space="preserve"> </v>
      </c>
      <c r="AJ885" s="593"/>
      <c r="AK885" s="593"/>
    </row>
    <row r="886" spans="1:37" s="376" customFormat="1" ht="81" outlineLevel="2" x14ac:dyDescent="0.3">
      <c r="A886" s="447">
        <f t="shared" si="194"/>
        <v>72</v>
      </c>
      <c r="B886" s="557"/>
      <c r="C886" s="558"/>
      <c r="D886" s="587"/>
      <c r="E886" s="587"/>
      <c r="F886" s="560"/>
      <c r="G886" s="558"/>
      <c r="H886" s="588"/>
      <c r="I886" s="546"/>
      <c r="J886" s="589"/>
      <c r="K886" s="563" t="str">
        <f>IF(G886&lt;&gt;0,VLOOKUP(G886,'gia dat'!$A$1:$F$144,5,0)," ")</f>
        <v xml:space="preserve"> </v>
      </c>
      <c r="L886" s="563" t="str">
        <f>IF(G886&lt;&gt;0,VLOOKUP(G886,'gia dat'!$A$1:$F$144,6,0)," ")</f>
        <v xml:space="preserve"> </v>
      </c>
      <c r="M886" s="564" t="str">
        <f t="shared" si="186"/>
        <v xml:space="preserve"> </v>
      </c>
      <c r="N886" s="564" t="str">
        <f t="shared" si="187"/>
        <v xml:space="preserve"> </v>
      </c>
      <c r="O886" s="638" t="s">
        <v>772</v>
      </c>
      <c r="P886" s="590">
        <v>3</v>
      </c>
      <c r="Q886" s="564">
        <f>IF(O886&lt;&gt;0,VLOOKUP(O886,'Cây trong'!$A$2:$C$246,3,0)," ")</f>
        <v>72000</v>
      </c>
      <c r="R886" s="564">
        <f t="shared" si="189"/>
        <v>216000</v>
      </c>
      <c r="S886" s="638" t="s">
        <v>1862</v>
      </c>
      <c r="T886" s="680" t="s">
        <v>53</v>
      </c>
      <c r="U886" s="591">
        <v>38.42</v>
      </c>
      <c r="V886" s="680"/>
      <c r="W886" s="564">
        <f>IF(S886&lt;&gt;0,VLOOKUP(S886,VKT!$A$2:$G$415,7,0),"")</f>
        <v>496651</v>
      </c>
      <c r="X886" s="564">
        <f t="shared" si="182"/>
        <v>19081000</v>
      </c>
      <c r="Y886" s="589"/>
      <c r="Z886" s="592"/>
      <c r="AA886" s="592"/>
      <c r="AB886" s="568"/>
      <c r="AC886" s="592"/>
      <c r="AD886" s="592"/>
      <c r="AE886" s="592"/>
      <c r="AF886" s="590"/>
      <c r="AG886" s="570" t="str">
        <f>IF(AE886&lt;&gt;0,VLOOKUP(AE886,ODDS!$A$2:$C$13,3,0),"")</f>
        <v/>
      </c>
      <c r="AH886" s="570" t="str">
        <f t="shared" si="190"/>
        <v xml:space="preserve"> </v>
      </c>
      <c r="AI886" s="571" t="str">
        <f t="shared" si="185"/>
        <v xml:space="preserve"> </v>
      </c>
      <c r="AJ886" s="593"/>
      <c r="AK886" s="593"/>
    </row>
    <row r="887" spans="1:37" s="376" customFormat="1" ht="81" outlineLevel="2" x14ac:dyDescent="0.3">
      <c r="A887" s="447">
        <f t="shared" si="194"/>
        <v>72</v>
      </c>
      <c r="B887" s="557"/>
      <c r="C887" s="558"/>
      <c r="D887" s="587"/>
      <c r="E887" s="587"/>
      <c r="F887" s="560"/>
      <c r="G887" s="558"/>
      <c r="H887" s="588"/>
      <c r="I887" s="546"/>
      <c r="J887" s="589"/>
      <c r="K887" s="563" t="str">
        <f>IF(G887&lt;&gt;0,VLOOKUP(G887,'gia dat'!$A$1:$F$144,5,0)," ")</f>
        <v xml:space="preserve"> </v>
      </c>
      <c r="L887" s="563" t="str">
        <f>IF(G887&lt;&gt;0,VLOOKUP(G887,'gia dat'!$A$1:$F$144,6,0)," ")</f>
        <v xml:space="preserve"> </v>
      </c>
      <c r="M887" s="564" t="str">
        <f t="shared" si="186"/>
        <v xml:space="preserve"> </v>
      </c>
      <c r="N887" s="564" t="str">
        <f t="shared" si="187"/>
        <v xml:space="preserve"> </v>
      </c>
      <c r="O887" s="638" t="s">
        <v>774</v>
      </c>
      <c r="P887" s="590">
        <v>2</v>
      </c>
      <c r="Q887" s="564">
        <f>IF(O887&lt;&gt;0,VLOOKUP(O887,'Cây trong'!$A$2:$C$246,3,0)," ")</f>
        <v>150000</v>
      </c>
      <c r="R887" s="564">
        <f t="shared" si="189"/>
        <v>300000</v>
      </c>
      <c r="S887" s="638" t="s">
        <v>1892</v>
      </c>
      <c r="T887" s="680" t="s">
        <v>53</v>
      </c>
      <c r="U887" s="591">
        <v>47.26</v>
      </c>
      <c r="V887" s="680"/>
      <c r="W887" s="564">
        <f>IF(S887&lt;&gt;0,VLOOKUP(S887,VKT!$A$2:$G$415,7,0),"")</f>
        <v>890132</v>
      </c>
      <c r="X887" s="564">
        <f t="shared" si="182"/>
        <v>42068000</v>
      </c>
      <c r="Y887" s="589"/>
      <c r="Z887" s="592"/>
      <c r="AA887" s="592"/>
      <c r="AB887" s="568"/>
      <c r="AC887" s="592"/>
      <c r="AD887" s="592"/>
      <c r="AE887" s="592"/>
      <c r="AF887" s="590"/>
      <c r="AG887" s="570" t="str">
        <f>IF(AE887&lt;&gt;0,VLOOKUP(AE887,ODDS!$A$2:$C$13,3,0),"")</f>
        <v/>
      </c>
      <c r="AH887" s="570" t="str">
        <f t="shared" si="190"/>
        <v xml:space="preserve"> </v>
      </c>
      <c r="AI887" s="571" t="str">
        <f t="shared" si="185"/>
        <v xml:space="preserve"> </v>
      </c>
      <c r="AJ887" s="593"/>
      <c r="AK887" s="593"/>
    </row>
    <row r="888" spans="1:37" s="376" customFormat="1" ht="40.5" outlineLevel="2" x14ac:dyDescent="0.3">
      <c r="A888" s="447">
        <f t="shared" si="194"/>
        <v>72</v>
      </c>
      <c r="B888" s="557"/>
      <c r="C888" s="558"/>
      <c r="D888" s="587"/>
      <c r="E888" s="587"/>
      <c r="F888" s="560"/>
      <c r="G888" s="558"/>
      <c r="H888" s="588"/>
      <c r="I888" s="546"/>
      <c r="J888" s="589"/>
      <c r="K888" s="563" t="str">
        <f>IF(G888&lt;&gt;0,VLOOKUP(G888,'gia dat'!$A$1:$F$144,5,0)," ")</f>
        <v xml:space="preserve"> </v>
      </c>
      <c r="L888" s="563" t="str">
        <f>IF(G888&lt;&gt;0,VLOOKUP(G888,'gia dat'!$A$1:$F$144,6,0)," ")</f>
        <v xml:space="preserve"> </v>
      </c>
      <c r="M888" s="564" t="str">
        <f t="shared" si="186"/>
        <v xml:space="preserve"> </v>
      </c>
      <c r="N888" s="564" t="str">
        <f t="shared" si="187"/>
        <v xml:space="preserve"> </v>
      </c>
      <c r="O888" s="638" t="s">
        <v>773</v>
      </c>
      <c r="P888" s="590">
        <v>9</v>
      </c>
      <c r="Q888" s="564">
        <f>IF(O888&lt;&gt;0,VLOOKUP(O888,'Cây trong'!$A$2:$C$246,3,0)," ")</f>
        <v>72000</v>
      </c>
      <c r="R888" s="564">
        <f t="shared" si="189"/>
        <v>648000</v>
      </c>
      <c r="S888" s="638" t="s">
        <v>1893</v>
      </c>
      <c r="T888" s="680" t="s">
        <v>53</v>
      </c>
      <c r="U888" s="591">
        <v>237.93</v>
      </c>
      <c r="V888" s="680"/>
      <c r="W888" s="564">
        <f>IF(S888&lt;&gt;0,VLOOKUP(S888,VKT!$A$2:$G$415,7,0),"")</f>
        <v>121350</v>
      </c>
      <c r="X888" s="564">
        <f t="shared" si="182"/>
        <v>28873000</v>
      </c>
      <c r="Y888" s="589"/>
      <c r="Z888" s="592"/>
      <c r="AA888" s="592"/>
      <c r="AB888" s="568"/>
      <c r="AC888" s="592"/>
      <c r="AD888" s="592"/>
      <c r="AE888" s="592"/>
      <c r="AF888" s="590"/>
      <c r="AG888" s="570" t="str">
        <f>IF(AE888&lt;&gt;0,VLOOKUP(AE888,ODDS!$A$2:$C$13,3,0),"")</f>
        <v/>
      </c>
      <c r="AH888" s="570" t="str">
        <f t="shared" si="190"/>
        <v xml:space="preserve"> </v>
      </c>
      <c r="AI888" s="571" t="str">
        <f t="shared" si="185"/>
        <v xml:space="preserve"> </v>
      </c>
      <c r="AJ888" s="593"/>
      <c r="AK888" s="593"/>
    </row>
    <row r="889" spans="1:37" s="376" customFormat="1" ht="40.5" outlineLevel="2" x14ac:dyDescent="0.3">
      <c r="A889" s="447">
        <f t="shared" si="194"/>
        <v>72</v>
      </c>
      <c r="B889" s="557"/>
      <c r="C889" s="558"/>
      <c r="D889" s="587"/>
      <c r="E889" s="587"/>
      <c r="F889" s="560"/>
      <c r="G889" s="558"/>
      <c r="H889" s="588"/>
      <c r="I889" s="546"/>
      <c r="J889" s="589"/>
      <c r="K889" s="563" t="str">
        <f>IF(G889&lt;&gt;0,VLOOKUP(G889,'gia dat'!$A$1:$F$144,5,0)," ")</f>
        <v xml:space="preserve"> </v>
      </c>
      <c r="L889" s="563" t="str">
        <f>IF(G889&lt;&gt;0,VLOOKUP(G889,'gia dat'!$A$1:$F$144,6,0)," ")</f>
        <v xml:space="preserve"> </v>
      </c>
      <c r="M889" s="564" t="str">
        <f t="shared" si="186"/>
        <v xml:space="preserve"> </v>
      </c>
      <c r="N889" s="564" t="str">
        <f t="shared" si="187"/>
        <v xml:space="preserve"> </v>
      </c>
      <c r="O889" s="638" t="s">
        <v>183</v>
      </c>
      <c r="P889" s="590">
        <v>2</v>
      </c>
      <c r="Q889" s="564">
        <f>IF(O889&lt;&gt;0,VLOOKUP(O889,'Cây trong'!$A$2:$C$246,3,0)," ")</f>
        <v>2236000</v>
      </c>
      <c r="R889" s="564">
        <f t="shared" si="189"/>
        <v>4472000</v>
      </c>
      <c r="S889" s="638" t="s">
        <v>1880</v>
      </c>
      <c r="T889" s="680" t="s">
        <v>78</v>
      </c>
      <c r="U889" s="591">
        <v>0.12</v>
      </c>
      <c r="V889" s="680"/>
      <c r="W889" s="564">
        <f>IF(S889&lt;&gt;0,VLOOKUP(S889,VKT!$A$2:$G$415,7,0),"")</f>
        <v>0</v>
      </c>
      <c r="X889" s="564">
        <f t="shared" si="182"/>
        <v>0</v>
      </c>
      <c r="Y889" s="589"/>
      <c r="Z889" s="592"/>
      <c r="AA889" s="592"/>
      <c r="AB889" s="568"/>
      <c r="AC889" s="592"/>
      <c r="AD889" s="592"/>
      <c r="AE889" s="592"/>
      <c r="AF889" s="590"/>
      <c r="AG889" s="570" t="str">
        <f>IF(AE889&lt;&gt;0,VLOOKUP(AE889,ODDS!$A$2:$C$13,3,0),"")</f>
        <v/>
      </c>
      <c r="AH889" s="570" t="str">
        <f t="shared" si="190"/>
        <v xml:space="preserve"> </v>
      </c>
      <c r="AI889" s="571" t="str">
        <f t="shared" si="185"/>
        <v xml:space="preserve"> </v>
      </c>
      <c r="AJ889" s="593"/>
      <c r="AK889" s="593"/>
    </row>
    <row r="890" spans="1:37" s="376" customFormat="1" ht="40.5" outlineLevel="2" x14ac:dyDescent="0.3">
      <c r="A890" s="447">
        <f t="shared" si="194"/>
        <v>72</v>
      </c>
      <c r="B890" s="557"/>
      <c r="C890" s="558"/>
      <c r="D890" s="587"/>
      <c r="E890" s="587"/>
      <c r="F890" s="560"/>
      <c r="G890" s="558"/>
      <c r="H890" s="588"/>
      <c r="I890" s="546"/>
      <c r="J890" s="589"/>
      <c r="K890" s="563" t="str">
        <f>IF(G890&lt;&gt;0,VLOOKUP(G890,'gia dat'!$A$1:$F$144,5,0)," ")</f>
        <v xml:space="preserve"> </v>
      </c>
      <c r="L890" s="563" t="str">
        <f>IF(G890&lt;&gt;0,VLOOKUP(G890,'gia dat'!$A$1:$F$144,6,0)," ")</f>
        <v xml:space="preserve"> </v>
      </c>
      <c r="M890" s="564" t="str">
        <f t="shared" si="186"/>
        <v xml:space="preserve"> </v>
      </c>
      <c r="N890" s="564" t="str">
        <f t="shared" si="187"/>
        <v xml:space="preserve"> </v>
      </c>
      <c r="O890" s="638" t="s">
        <v>70</v>
      </c>
      <c r="P890" s="590">
        <v>3</v>
      </c>
      <c r="Q890" s="564">
        <f>IF(O890&lt;&gt;0,VLOOKUP(O890,'Cây trong'!$A$2:$C$246,3,0)," ")</f>
        <v>1632000</v>
      </c>
      <c r="R890" s="564">
        <f t="shared" si="189"/>
        <v>4896000</v>
      </c>
      <c r="S890" s="586" t="s">
        <v>1767</v>
      </c>
      <c r="T890" s="680" t="s">
        <v>53</v>
      </c>
      <c r="U890" s="591">
        <v>20.11</v>
      </c>
      <c r="V890" s="680"/>
      <c r="W890" s="564">
        <f>IF(S890&lt;&gt;0,VLOOKUP(S890,VKT!$A$2:$G$415,7,0),"")</f>
        <v>0</v>
      </c>
      <c r="X890" s="564">
        <f t="shared" si="182"/>
        <v>0</v>
      </c>
      <c r="Y890" s="589"/>
      <c r="Z890" s="592"/>
      <c r="AA890" s="592"/>
      <c r="AB890" s="568"/>
      <c r="AC890" s="592"/>
      <c r="AD890" s="592"/>
      <c r="AE890" s="592"/>
      <c r="AF890" s="590"/>
      <c r="AG890" s="570" t="str">
        <f>IF(AE890&lt;&gt;0,VLOOKUP(AE890,ODDS!$A$2:$C$13,3,0),"")</f>
        <v/>
      </c>
      <c r="AH890" s="570" t="str">
        <f t="shared" si="190"/>
        <v xml:space="preserve"> </v>
      </c>
      <c r="AI890" s="571" t="str">
        <f t="shared" si="185"/>
        <v xml:space="preserve"> </v>
      </c>
      <c r="AJ890" s="593"/>
      <c r="AK890" s="593"/>
    </row>
    <row r="891" spans="1:37" s="376" customFormat="1" ht="60.75" outlineLevel="2" x14ac:dyDescent="0.3">
      <c r="A891" s="447">
        <f t="shared" si="194"/>
        <v>72</v>
      </c>
      <c r="B891" s="557"/>
      <c r="C891" s="558"/>
      <c r="D891" s="587"/>
      <c r="E891" s="587"/>
      <c r="F891" s="560"/>
      <c r="G891" s="558"/>
      <c r="H891" s="588"/>
      <c r="I891" s="546"/>
      <c r="J891" s="589"/>
      <c r="K891" s="563" t="str">
        <f>IF(G891&lt;&gt;0,VLOOKUP(G891,'gia dat'!$A$1:$F$144,5,0)," ")</f>
        <v xml:space="preserve"> </v>
      </c>
      <c r="L891" s="563" t="str">
        <f>IF(G891&lt;&gt;0,VLOOKUP(G891,'gia dat'!$A$1:$F$144,6,0)," ")</f>
        <v xml:space="preserve"> </v>
      </c>
      <c r="M891" s="564" t="str">
        <f t="shared" si="186"/>
        <v xml:space="preserve"> </v>
      </c>
      <c r="N891" s="564" t="str">
        <f t="shared" si="187"/>
        <v xml:space="preserve"> </v>
      </c>
      <c r="O891" s="638" t="s">
        <v>145</v>
      </c>
      <c r="P891" s="590">
        <v>2</v>
      </c>
      <c r="Q891" s="564">
        <f>IF(O891&lt;&gt;0,VLOOKUP(O891,'Cây trong'!$A$2:$C$246,3,0)," ")</f>
        <v>4240000</v>
      </c>
      <c r="R891" s="564">
        <f t="shared" si="189"/>
        <v>8480000</v>
      </c>
      <c r="S891" s="638" t="s">
        <v>1771</v>
      </c>
      <c r="T891" s="680" t="s">
        <v>53</v>
      </c>
      <c r="U891" s="591">
        <v>0.4</v>
      </c>
      <c r="V891" s="680"/>
      <c r="W891" s="564">
        <f>IF(S891&lt;&gt;0,VLOOKUP(S891,VKT!$A$2:$G$415,7,0),"")</f>
        <v>348773</v>
      </c>
      <c r="X891" s="564">
        <f t="shared" si="182"/>
        <v>140000</v>
      </c>
      <c r="Y891" s="589"/>
      <c r="Z891" s="592"/>
      <c r="AA891" s="592"/>
      <c r="AB891" s="568"/>
      <c r="AC891" s="592"/>
      <c r="AD891" s="592"/>
      <c r="AE891" s="592"/>
      <c r="AF891" s="590"/>
      <c r="AG891" s="570" t="str">
        <f>IF(AE891&lt;&gt;0,VLOOKUP(AE891,ODDS!$A$2:$C$13,3,0),"")</f>
        <v/>
      </c>
      <c r="AH891" s="570" t="str">
        <f t="shared" si="190"/>
        <v xml:space="preserve"> </v>
      </c>
      <c r="AI891" s="571" t="str">
        <f t="shared" si="185"/>
        <v xml:space="preserve"> </v>
      </c>
      <c r="AJ891" s="593"/>
      <c r="AK891" s="593"/>
    </row>
    <row r="892" spans="1:37" s="376" customFormat="1" ht="60.75" outlineLevel="2" x14ac:dyDescent="0.3">
      <c r="A892" s="447">
        <f t="shared" si="194"/>
        <v>72</v>
      </c>
      <c r="B892" s="557"/>
      <c r="C892" s="558"/>
      <c r="D892" s="587"/>
      <c r="E892" s="587"/>
      <c r="F892" s="560"/>
      <c r="G892" s="558"/>
      <c r="H892" s="588"/>
      <c r="I892" s="546"/>
      <c r="J892" s="589"/>
      <c r="K892" s="563" t="str">
        <f>IF(G892&lt;&gt;0,VLOOKUP(G892,'gia dat'!$A$1:$F$144,5,0)," ")</f>
        <v xml:space="preserve"> </v>
      </c>
      <c r="L892" s="563" t="str">
        <f>IF(G892&lt;&gt;0,VLOOKUP(G892,'gia dat'!$A$1:$F$144,6,0)," ")</f>
        <v xml:space="preserve"> </v>
      </c>
      <c r="M892" s="564" t="str">
        <f t="shared" si="186"/>
        <v xml:space="preserve"> </v>
      </c>
      <c r="N892" s="564" t="str">
        <f t="shared" si="187"/>
        <v xml:space="preserve"> </v>
      </c>
      <c r="O892" s="638" t="s">
        <v>77</v>
      </c>
      <c r="P892" s="590">
        <v>4</v>
      </c>
      <c r="Q892" s="564">
        <f>IF(O892&lt;&gt;0,VLOOKUP(O892,'Cây trong'!$A$2:$C$246,3,0)," ")</f>
        <v>3064000</v>
      </c>
      <c r="R892" s="564">
        <f t="shared" si="189"/>
        <v>12256000</v>
      </c>
      <c r="S892" s="638" t="s">
        <v>1774</v>
      </c>
      <c r="T892" s="680" t="s">
        <v>53</v>
      </c>
      <c r="U892" s="591">
        <v>3</v>
      </c>
      <c r="V892" s="680"/>
      <c r="W892" s="564">
        <f>IF(S892&lt;&gt;0,VLOOKUP(S892,VKT!$A$2:$G$415,7,0),"")</f>
        <v>286855</v>
      </c>
      <c r="X892" s="564">
        <f t="shared" si="182"/>
        <v>861000</v>
      </c>
      <c r="Y892" s="589"/>
      <c r="Z892" s="592"/>
      <c r="AA892" s="592"/>
      <c r="AB892" s="568"/>
      <c r="AC892" s="592"/>
      <c r="AD892" s="592"/>
      <c r="AE892" s="592"/>
      <c r="AF892" s="590"/>
      <c r="AG892" s="570" t="str">
        <f>IF(AE892&lt;&gt;0,VLOOKUP(AE892,ODDS!$A$2:$C$13,3,0),"")</f>
        <v/>
      </c>
      <c r="AH892" s="570" t="str">
        <f t="shared" si="190"/>
        <v xml:space="preserve"> </v>
      </c>
      <c r="AI892" s="571" t="str">
        <f t="shared" si="185"/>
        <v xml:space="preserve"> </v>
      </c>
      <c r="AJ892" s="593"/>
      <c r="AK892" s="593"/>
    </row>
    <row r="893" spans="1:37" s="376" customFormat="1" ht="60.75" outlineLevel="2" x14ac:dyDescent="0.3">
      <c r="A893" s="447">
        <f t="shared" si="194"/>
        <v>72</v>
      </c>
      <c r="B893" s="557"/>
      <c r="C893" s="558"/>
      <c r="D893" s="587"/>
      <c r="E893" s="587"/>
      <c r="F893" s="560"/>
      <c r="G893" s="558"/>
      <c r="H893" s="588"/>
      <c r="I893" s="546"/>
      <c r="J893" s="589"/>
      <c r="K893" s="563" t="str">
        <f>IF(G893&lt;&gt;0,VLOOKUP(G893,'gia dat'!$A$1:$F$144,5,0)," ")</f>
        <v xml:space="preserve"> </v>
      </c>
      <c r="L893" s="563" t="str">
        <f>IF(G893&lt;&gt;0,VLOOKUP(G893,'gia dat'!$A$1:$F$144,6,0)," ")</f>
        <v xml:space="preserve"> </v>
      </c>
      <c r="M893" s="564" t="str">
        <f t="shared" si="186"/>
        <v xml:space="preserve"> </v>
      </c>
      <c r="N893" s="564" t="str">
        <f t="shared" si="187"/>
        <v xml:space="preserve"> </v>
      </c>
      <c r="O893" s="638" t="s">
        <v>775</v>
      </c>
      <c r="P893" s="590">
        <v>1</v>
      </c>
      <c r="Q893" s="564">
        <f>IF(O893&lt;&gt;0,VLOOKUP(O893,'Cây trong'!$A$2:$C$246,3,0)," ")</f>
        <v>360000</v>
      </c>
      <c r="R893" s="564">
        <f t="shared" si="189"/>
        <v>360000</v>
      </c>
      <c r="S893" s="638" t="s">
        <v>1768</v>
      </c>
      <c r="T893" s="680" t="s">
        <v>53</v>
      </c>
      <c r="U893" s="591">
        <v>14.04</v>
      </c>
      <c r="V893" s="680"/>
      <c r="W893" s="564">
        <f>IF(S893&lt;&gt;0,VLOOKUP(S893,VKT!$A$2:$G$415,7,0),"")</f>
        <v>238288</v>
      </c>
      <c r="X893" s="564">
        <f t="shared" si="182"/>
        <v>3346000</v>
      </c>
      <c r="Y893" s="589"/>
      <c r="Z893" s="592"/>
      <c r="AA893" s="592"/>
      <c r="AB893" s="568"/>
      <c r="AC893" s="592"/>
      <c r="AD893" s="592"/>
      <c r="AE893" s="592"/>
      <c r="AF893" s="590"/>
      <c r="AG893" s="570" t="str">
        <f>IF(AE893&lt;&gt;0,VLOOKUP(AE893,ODDS!$A$2:$C$13,3,0),"")</f>
        <v/>
      </c>
      <c r="AH893" s="570" t="str">
        <f t="shared" si="190"/>
        <v xml:space="preserve"> </v>
      </c>
      <c r="AI893" s="571" t="str">
        <f t="shared" si="185"/>
        <v xml:space="preserve"> </v>
      </c>
      <c r="AJ893" s="593"/>
      <c r="AK893" s="593"/>
    </row>
    <row r="894" spans="1:37" s="376" customFormat="1" ht="60.75" outlineLevel="2" x14ac:dyDescent="0.3">
      <c r="A894" s="447">
        <f t="shared" si="194"/>
        <v>72</v>
      </c>
      <c r="B894" s="557"/>
      <c r="C894" s="558"/>
      <c r="D894" s="587"/>
      <c r="E894" s="587"/>
      <c r="F894" s="560"/>
      <c r="G894" s="558"/>
      <c r="H894" s="588"/>
      <c r="I894" s="546"/>
      <c r="J894" s="589"/>
      <c r="K894" s="563" t="str">
        <f>IF(G894&lt;&gt;0,VLOOKUP(G894,'gia dat'!$A$1:$F$144,5,0)," ")</f>
        <v xml:space="preserve"> </v>
      </c>
      <c r="L894" s="563" t="str">
        <f>IF(G894&lt;&gt;0,VLOOKUP(G894,'gia dat'!$A$1:$F$144,6,0)," ")</f>
        <v xml:space="preserve"> </v>
      </c>
      <c r="M894" s="564" t="str">
        <f t="shared" si="186"/>
        <v xml:space="preserve"> </v>
      </c>
      <c r="N894" s="564" t="str">
        <f t="shared" si="187"/>
        <v xml:space="preserve"> </v>
      </c>
      <c r="O894" s="638" t="s">
        <v>271</v>
      </c>
      <c r="P894" s="590">
        <v>1</v>
      </c>
      <c r="Q894" s="564">
        <f>IF(O894&lt;&gt;0,VLOOKUP(O894,'Cây trong'!$A$2:$C$246,3,0)," ")</f>
        <v>667000</v>
      </c>
      <c r="R894" s="564">
        <f t="shared" si="189"/>
        <v>667000</v>
      </c>
      <c r="S894" s="638" t="s">
        <v>1894</v>
      </c>
      <c r="T894" s="680" t="s">
        <v>53</v>
      </c>
      <c r="U894" s="591">
        <v>16.14</v>
      </c>
      <c r="V894" s="680"/>
      <c r="W894" s="564">
        <f>IF(S894&lt;&gt;0,VLOOKUP(S894,VKT!$A$2:$G$415,7,0),"")</f>
        <v>348773</v>
      </c>
      <c r="X894" s="564">
        <f t="shared" si="182"/>
        <v>5629000</v>
      </c>
      <c r="Y894" s="589"/>
      <c r="Z894" s="592"/>
      <c r="AA894" s="592"/>
      <c r="AB894" s="568"/>
      <c r="AC894" s="592"/>
      <c r="AD894" s="592"/>
      <c r="AE894" s="592"/>
      <c r="AF894" s="590"/>
      <c r="AG894" s="570" t="str">
        <f>IF(AE894&lt;&gt;0,VLOOKUP(AE894,ODDS!$A$2:$C$13,3,0),"")</f>
        <v/>
      </c>
      <c r="AH894" s="570" t="str">
        <f t="shared" si="190"/>
        <v xml:space="preserve"> </v>
      </c>
      <c r="AI894" s="571" t="str">
        <f t="shared" si="185"/>
        <v xml:space="preserve"> </v>
      </c>
      <c r="AJ894" s="593"/>
      <c r="AK894" s="593"/>
    </row>
    <row r="895" spans="1:37" s="376" customFormat="1" ht="60.75" outlineLevel="2" x14ac:dyDescent="0.3">
      <c r="A895" s="447">
        <f t="shared" si="194"/>
        <v>72</v>
      </c>
      <c r="B895" s="557"/>
      <c r="C895" s="558"/>
      <c r="D895" s="587"/>
      <c r="E895" s="587"/>
      <c r="F895" s="560"/>
      <c r="G895" s="558"/>
      <c r="H895" s="588"/>
      <c r="I895" s="546"/>
      <c r="J895" s="589"/>
      <c r="K895" s="563" t="str">
        <f>IF(G895&lt;&gt;0,VLOOKUP(G895,'gia dat'!$A$1:$F$144,5,0)," ")</f>
        <v xml:space="preserve"> </v>
      </c>
      <c r="L895" s="563" t="str">
        <f>IF(G895&lt;&gt;0,VLOOKUP(G895,'gia dat'!$A$1:$F$144,6,0)," ")</f>
        <v xml:space="preserve"> </v>
      </c>
      <c r="M895" s="564" t="str">
        <f t="shared" si="186"/>
        <v xml:space="preserve"> </v>
      </c>
      <c r="N895" s="564" t="str">
        <f t="shared" si="187"/>
        <v xml:space="preserve"> </v>
      </c>
      <c r="O895" s="638" t="s">
        <v>135</v>
      </c>
      <c r="P895" s="590">
        <v>1</v>
      </c>
      <c r="Q895" s="564">
        <f>IF(O895&lt;&gt;0,VLOOKUP(O895,'Cây trong'!$A$2:$C$246,3,0)," ")</f>
        <v>228000</v>
      </c>
      <c r="R895" s="564">
        <f t="shared" si="189"/>
        <v>228000</v>
      </c>
      <c r="S895" s="638" t="s">
        <v>1895</v>
      </c>
      <c r="T895" s="680" t="s">
        <v>53</v>
      </c>
      <c r="U895" s="591">
        <v>16.059999999999999</v>
      </c>
      <c r="V895" s="680"/>
      <c r="W895" s="564">
        <f>IF(S895&lt;&gt;0,VLOOKUP(S895,VKT!$A$2:$G$415,7,0),"")</f>
        <v>496651</v>
      </c>
      <c r="X895" s="564">
        <f t="shared" si="182"/>
        <v>7976000</v>
      </c>
      <c r="Y895" s="589"/>
      <c r="Z895" s="592"/>
      <c r="AA895" s="592"/>
      <c r="AB895" s="568"/>
      <c r="AC895" s="592"/>
      <c r="AD895" s="592"/>
      <c r="AE895" s="592"/>
      <c r="AF895" s="590"/>
      <c r="AG895" s="570" t="str">
        <f>IF(AE895&lt;&gt;0,VLOOKUP(AE895,ODDS!$A$2:$C$13,3,0),"")</f>
        <v/>
      </c>
      <c r="AH895" s="570" t="str">
        <f t="shared" si="190"/>
        <v xml:space="preserve"> </v>
      </c>
      <c r="AI895" s="571" t="str">
        <f t="shared" si="185"/>
        <v xml:space="preserve"> </v>
      </c>
      <c r="AJ895" s="593"/>
      <c r="AK895" s="593"/>
    </row>
    <row r="896" spans="1:37" s="376" customFormat="1" ht="81" outlineLevel="2" x14ac:dyDescent="0.3">
      <c r="A896" s="447">
        <f t="shared" si="194"/>
        <v>72</v>
      </c>
      <c r="B896" s="557"/>
      <c r="C896" s="558"/>
      <c r="D896" s="587"/>
      <c r="E896" s="587"/>
      <c r="F896" s="560"/>
      <c r="G896" s="558"/>
      <c r="H896" s="588"/>
      <c r="I896" s="546"/>
      <c r="J896" s="589"/>
      <c r="K896" s="563" t="str">
        <f>IF(G896&lt;&gt;0,VLOOKUP(G896,'gia dat'!$A$1:$F$144,5,0)," ")</f>
        <v xml:space="preserve"> </v>
      </c>
      <c r="L896" s="563" t="str">
        <f>IF(G896&lt;&gt;0,VLOOKUP(G896,'gia dat'!$A$1:$F$144,6,0)," ")</f>
        <v xml:space="preserve"> </v>
      </c>
      <c r="M896" s="564" t="str">
        <f t="shared" si="186"/>
        <v xml:space="preserve"> </v>
      </c>
      <c r="N896" s="564" t="str">
        <f t="shared" si="187"/>
        <v xml:space="preserve"> </v>
      </c>
      <c r="O896" s="638" t="s">
        <v>272</v>
      </c>
      <c r="P896" s="590">
        <v>13.5</v>
      </c>
      <c r="Q896" s="564">
        <f>IF(O896&lt;&gt;0,VLOOKUP(O896,'Cây trong'!$A$2:$C$246,3,0)," ")</f>
        <v>5000</v>
      </c>
      <c r="R896" s="564">
        <f t="shared" si="189"/>
        <v>67500</v>
      </c>
      <c r="S896" s="638" t="s">
        <v>1896</v>
      </c>
      <c r="T896" s="680" t="s">
        <v>53</v>
      </c>
      <c r="U896" s="591">
        <v>9.4499999999999993</v>
      </c>
      <c r="V896" s="680"/>
      <c r="W896" s="564">
        <f>IF(S896&lt;&gt;0,VLOOKUP(S896,VKT!$A$2:$G$415,7,0),"")</f>
        <v>496651</v>
      </c>
      <c r="X896" s="564">
        <f t="shared" si="182"/>
        <v>4693000</v>
      </c>
      <c r="Y896" s="589"/>
      <c r="Z896" s="592"/>
      <c r="AA896" s="592"/>
      <c r="AB896" s="568"/>
      <c r="AC896" s="592"/>
      <c r="AD896" s="592"/>
      <c r="AE896" s="592"/>
      <c r="AF896" s="590"/>
      <c r="AG896" s="570" t="str">
        <f>IF(AE896&lt;&gt;0,VLOOKUP(AE896,ODDS!$A$2:$C$13,3,0),"")</f>
        <v/>
      </c>
      <c r="AH896" s="570" t="str">
        <f t="shared" si="190"/>
        <v xml:space="preserve"> </v>
      </c>
      <c r="AI896" s="571" t="str">
        <f t="shared" si="185"/>
        <v xml:space="preserve"> </v>
      </c>
      <c r="AJ896" s="593"/>
      <c r="AK896" s="593"/>
    </row>
    <row r="897" spans="1:37" s="376" customFormat="1" ht="60.75" outlineLevel="2" x14ac:dyDescent="0.3">
      <c r="A897" s="447">
        <f t="shared" si="194"/>
        <v>72</v>
      </c>
      <c r="B897" s="557"/>
      <c r="C897" s="558"/>
      <c r="D897" s="587"/>
      <c r="E897" s="587"/>
      <c r="F897" s="560"/>
      <c r="G897" s="558"/>
      <c r="H897" s="588"/>
      <c r="I897" s="546"/>
      <c r="J897" s="589"/>
      <c r="K897" s="563" t="str">
        <f>IF(G897&lt;&gt;0,VLOOKUP(G897,'gia dat'!$A$1:$F$144,5,0)," ")</f>
        <v xml:space="preserve"> </v>
      </c>
      <c r="L897" s="563" t="str">
        <f>IF(G897&lt;&gt;0,VLOOKUP(G897,'gia dat'!$A$1:$F$144,6,0)," ")</f>
        <v xml:space="preserve"> </v>
      </c>
      <c r="M897" s="564" t="str">
        <f t="shared" si="186"/>
        <v xml:space="preserve"> </v>
      </c>
      <c r="N897" s="564" t="str">
        <f t="shared" si="187"/>
        <v xml:space="preserve"> </v>
      </c>
      <c r="O897" s="638" t="s">
        <v>733</v>
      </c>
      <c r="P897" s="590">
        <v>6</v>
      </c>
      <c r="Q897" s="564">
        <f>IF(O897&lt;&gt;0,VLOOKUP(O897,'Cây trong'!$A$2:$C$246,3,0)," ")</f>
        <v>150000</v>
      </c>
      <c r="R897" s="564">
        <f t="shared" si="189"/>
        <v>900000</v>
      </c>
      <c r="S897" s="638" t="s">
        <v>1880</v>
      </c>
      <c r="T897" s="680" t="s">
        <v>78</v>
      </c>
      <c r="U897" s="591">
        <v>1.44</v>
      </c>
      <c r="V897" s="680"/>
      <c r="W897" s="564">
        <f>IF(S897&lt;&gt;0,VLOOKUP(S897,VKT!$A$2:$G$415,7,0),"")</f>
        <v>0</v>
      </c>
      <c r="X897" s="564">
        <f t="shared" si="182"/>
        <v>0</v>
      </c>
      <c r="Y897" s="589"/>
      <c r="Z897" s="592"/>
      <c r="AA897" s="592"/>
      <c r="AB897" s="568"/>
      <c r="AC897" s="592"/>
      <c r="AD897" s="592"/>
      <c r="AE897" s="592"/>
      <c r="AF897" s="590"/>
      <c r="AG897" s="570" t="str">
        <f>IF(AE897&lt;&gt;0,VLOOKUP(AE897,ODDS!$A$2:$C$13,3,0),"")</f>
        <v/>
      </c>
      <c r="AH897" s="570" t="str">
        <f t="shared" si="190"/>
        <v xml:space="preserve"> </v>
      </c>
      <c r="AI897" s="571" t="str">
        <f t="shared" si="185"/>
        <v xml:space="preserve"> </v>
      </c>
      <c r="AJ897" s="593"/>
      <c r="AK897" s="593"/>
    </row>
    <row r="898" spans="1:37" s="376" customFormat="1" ht="81" outlineLevel="2" x14ac:dyDescent="0.3">
      <c r="A898" s="447">
        <f t="shared" si="194"/>
        <v>72</v>
      </c>
      <c r="B898" s="557"/>
      <c r="C898" s="558"/>
      <c r="D898" s="587"/>
      <c r="E898" s="587"/>
      <c r="F898" s="560"/>
      <c r="G898" s="558"/>
      <c r="H898" s="588"/>
      <c r="I898" s="546"/>
      <c r="J898" s="589"/>
      <c r="K898" s="563" t="str">
        <f>IF(G898&lt;&gt;0,VLOOKUP(G898,'gia dat'!$A$1:$F$144,5,0)," ")</f>
        <v xml:space="preserve"> </v>
      </c>
      <c r="L898" s="563" t="str">
        <f>IF(G898&lt;&gt;0,VLOOKUP(G898,'gia dat'!$A$1:$F$144,6,0)," ")</f>
        <v xml:space="preserve"> </v>
      </c>
      <c r="M898" s="564" t="str">
        <f t="shared" si="186"/>
        <v xml:space="preserve"> </v>
      </c>
      <c r="N898" s="564" t="str">
        <f t="shared" si="187"/>
        <v xml:space="preserve"> </v>
      </c>
      <c r="O898" s="638" t="s">
        <v>273</v>
      </c>
      <c r="P898" s="590">
        <v>5.8</v>
      </c>
      <c r="Q898" s="564">
        <f>IF(O898&lt;&gt;0,VLOOKUP(O898,'Cây trong'!$A$2:$C$246,3,0)," ")</f>
        <v>3000</v>
      </c>
      <c r="R898" s="564">
        <f t="shared" si="189"/>
        <v>17400</v>
      </c>
      <c r="S898" s="638" t="s">
        <v>1768</v>
      </c>
      <c r="T898" s="680" t="s">
        <v>53</v>
      </c>
      <c r="U898" s="591">
        <v>58.78</v>
      </c>
      <c r="V898" s="680"/>
      <c r="W898" s="564">
        <f>IF(S898&lt;&gt;0,VLOOKUP(S898,VKT!$A$2:$G$415,7,0),"")</f>
        <v>238288</v>
      </c>
      <c r="X898" s="564">
        <f t="shared" si="182"/>
        <v>14007000</v>
      </c>
      <c r="Y898" s="589"/>
      <c r="Z898" s="592"/>
      <c r="AA898" s="592"/>
      <c r="AB898" s="568"/>
      <c r="AC898" s="592"/>
      <c r="AD898" s="592"/>
      <c r="AE898" s="592"/>
      <c r="AF898" s="590"/>
      <c r="AG898" s="570" t="str">
        <f>IF(AE898&lt;&gt;0,VLOOKUP(AE898,ODDS!$A$2:$C$13,3,0),"")</f>
        <v/>
      </c>
      <c r="AH898" s="570" t="str">
        <f t="shared" si="190"/>
        <v xml:space="preserve"> </v>
      </c>
      <c r="AI898" s="571" t="str">
        <f t="shared" si="185"/>
        <v xml:space="preserve"> </v>
      </c>
      <c r="AJ898" s="593"/>
      <c r="AK898" s="593"/>
    </row>
    <row r="899" spans="1:37" s="376" customFormat="1" ht="40.5" outlineLevel="2" x14ac:dyDescent="0.3">
      <c r="A899" s="447">
        <f t="shared" si="194"/>
        <v>72</v>
      </c>
      <c r="B899" s="557"/>
      <c r="C899" s="558"/>
      <c r="D899" s="587"/>
      <c r="E899" s="587"/>
      <c r="F899" s="560"/>
      <c r="G899" s="558"/>
      <c r="H899" s="588"/>
      <c r="I899" s="546"/>
      <c r="J899" s="589"/>
      <c r="K899" s="563" t="str">
        <f>IF(G899&lt;&gt;0,VLOOKUP(G899,'gia dat'!$A$1:$F$144,5,0)," ")</f>
        <v xml:space="preserve"> </v>
      </c>
      <c r="L899" s="563" t="str">
        <f>IF(G899&lt;&gt;0,VLOOKUP(G899,'gia dat'!$A$1:$F$144,6,0)," ")</f>
        <v xml:space="preserve"> </v>
      </c>
      <c r="M899" s="564" t="str">
        <f t="shared" si="186"/>
        <v xml:space="preserve"> </v>
      </c>
      <c r="N899" s="564" t="str">
        <f t="shared" si="187"/>
        <v xml:space="preserve"> </v>
      </c>
      <c r="O899" s="638" t="s">
        <v>274</v>
      </c>
      <c r="P899" s="590">
        <v>2</v>
      </c>
      <c r="Q899" s="564">
        <f>IF(O899&lt;&gt;0,VLOOKUP(O899,'Cây trong'!$A$2:$C$246,3,0)," ")</f>
        <v>517000</v>
      </c>
      <c r="R899" s="564">
        <f t="shared" si="189"/>
        <v>1034000</v>
      </c>
      <c r="S899" s="586" t="s">
        <v>1844</v>
      </c>
      <c r="T899" s="680" t="s">
        <v>53</v>
      </c>
      <c r="U899" s="591">
        <v>26.32</v>
      </c>
      <c r="V899" s="680"/>
      <c r="W899" s="564">
        <f>IF(S899&lt;&gt;0,VLOOKUP(S899,VKT!$A$2:$G$415,7,0),"")</f>
        <v>770070</v>
      </c>
      <c r="X899" s="564">
        <f t="shared" si="182"/>
        <v>20268000</v>
      </c>
      <c r="Y899" s="589"/>
      <c r="Z899" s="592"/>
      <c r="AA899" s="592"/>
      <c r="AB899" s="568"/>
      <c r="AC899" s="592"/>
      <c r="AD899" s="592"/>
      <c r="AE899" s="592"/>
      <c r="AF899" s="590"/>
      <c r="AG899" s="570" t="str">
        <f>IF(AE899&lt;&gt;0,VLOOKUP(AE899,ODDS!$A$2:$C$13,3,0),"")</f>
        <v/>
      </c>
      <c r="AH899" s="570" t="str">
        <f t="shared" si="190"/>
        <v xml:space="preserve"> </v>
      </c>
      <c r="AI899" s="571" t="str">
        <f t="shared" si="185"/>
        <v xml:space="preserve"> </v>
      </c>
      <c r="AJ899" s="593"/>
      <c r="AK899" s="593"/>
    </row>
    <row r="900" spans="1:37" s="376" customFormat="1" ht="40.5" outlineLevel="2" x14ac:dyDescent="0.3">
      <c r="A900" s="447">
        <f t="shared" si="194"/>
        <v>72</v>
      </c>
      <c r="B900" s="557"/>
      <c r="C900" s="558"/>
      <c r="D900" s="587"/>
      <c r="E900" s="587"/>
      <c r="F900" s="560"/>
      <c r="G900" s="558"/>
      <c r="H900" s="588"/>
      <c r="I900" s="546"/>
      <c r="J900" s="589"/>
      <c r="K900" s="563" t="str">
        <f>IF(G900&lt;&gt;0,VLOOKUP(G900,'gia dat'!$A$1:$F$144,5,0)," ")</f>
        <v xml:space="preserve"> </v>
      </c>
      <c r="L900" s="563" t="str">
        <f>IF(G900&lt;&gt;0,VLOOKUP(G900,'gia dat'!$A$1:$F$144,6,0)," ")</f>
        <v xml:space="preserve"> </v>
      </c>
      <c r="M900" s="564" t="str">
        <f t="shared" si="186"/>
        <v xml:space="preserve"> </v>
      </c>
      <c r="N900" s="564" t="str">
        <f t="shared" si="187"/>
        <v xml:space="preserve"> </v>
      </c>
      <c r="O900" s="638" t="s">
        <v>154</v>
      </c>
      <c r="P900" s="590">
        <v>1</v>
      </c>
      <c r="Q900" s="564">
        <f>IF(O900&lt;&gt;0,VLOOKUP(O900,'Cây trong'!$A$2:$C$246,3,0)," ")</f>
        <v>248000</v>
      </c>
      <c r="R900" s="564">
        <f t="shared" si="189"/>
        <v>248000</v>
      </c>
      <c r="S900" s="638" t="s">
        <v>1893</v>
      </c>
      <c r="T900" s="680" t="s">
        <v>53</v>
      </c>
      <c r="U900" s="591">
        <v>37.520000000000003</v>
      </c>
      <c r="V900" s="680"/>
      <c r="W900" s="564">
        <f>IF(S900&lt;&gt;0,VLOOKUP(S900,VKT!$A$2:$G$415,7,0),"")</f>
        <v>121350</v>
      </c>
      <c r="X900" s="564">
        <f t="shared" si="182"/>
        <v>4553000</v>
      </c>
      <c r="Y900" s="589"/>
      <c r="Z900" s="592"/>
      <c r="AA900" s="592"/>
      <c r="AB900" s="568"/>
      <c r="AC900" s="592"/>
      <c r="AD900" s="592"/>
      <c r="AE900" s="592"/>
      <c r="AF900" s="590"/>
      <c r="AG900" s="570" t="str">
        <f>IF(AE900&lt;&gt;0,VLOOKUP(AE900,ODDS!$A$2:$C$13,3,0),"")</f>
        <v/>
      </c>
      <c r="AH900" s="570" t="str">
        <f t="shared" si="190"/>
        <v xml:space="preserve"> </v>
      </c>
      <c r="AI900" s="571" t="str">
        <f t="shared" si="185"/>
        <v xml:space="preserve"> </v>
      </c>
      <c r="AJ900" s="593"/>
      <c r="AK900" s="593"/>
    </row>
    <row r="901" spans="1:37" s="376" customFormat="1" ht="40.5" outlineLevel="2" x14ac:dyDescent="0.3">
      <c r="A901" s="447">
        <f t="shared" si="194"/>
        <v>72</v>
      </c>
      <c r="B901" s="557"/>
      <c r="C901" s="558"/>
      <c r="D901" s="587"/>
      <c r="E901" s="587"/>
      <c r="F901" s="560"/>
      <c r="G901" s="558"/>
      <c r="H901" s="588"/>
      <c r="I901" s="546"/>
      <c r="J901" s="589"/>
      <c r="K901" s="563" t="str">
        <f>IF(G901&lt;&gt;0,VLOOKUP(G901,'gia dat'!$A$1:$F$144,5,0)," ")</f>
        <v xml:space="preserve"> </v>
      </c>
      <c r="L901" s="563" t="str">
        <f>IF(G901&lt;&gt;0,VLOOKUP(G901,'gia dat'!$A$1:$F$144,6,0)," ")</f>
        <v xml:space="preserve"> </v>
      </c>
      <c r="M901" s="564" t="str">
        <f t="shared" si="186"/>
        <v xml:space="preserve"> </v>
      </c>
      <c r="N901" s="564" t="str">
        <f t="shared" si="187"/>
        <v xml:space="preserve"> </v>
      </c>
      <c r="O901" s="638" t="s">
        <v>76</v>
      </c>
      <c r="P901" s="590">
        <v>3</v>
      </c>
      <c r="Q901" s="564">
        <f>IF(O901&lt;&gt;0,VLOOKUP(O901,'Cây trong'!$A$2:$C$246,3,0)," ")</f>
        <v>45000</v>
      </c>
      <c r="R901" s="564">
        <f t="shared" si="189"/>
        <v>135000</v>
      </c>
      <c r="S901" s="638" t="s">
        <v>1799</v>
      </c>
      <c r="T901" s="680" t="s">
        <v>53</v>
      </c>
      <c r="U901" s="591">
        <v>30</v>
      </c>
      <c r="V901" s="680"/>
      <c r="W901" s="564">
        <f>IF(S901&lt;&gt;0,VLOOKUP(S901,VKT!$A$2:$G$415,7,0),"")</f>
        <v>275180</v>
      </c>
      <c r="X901" s="564">
        <f t="shared" si="182"/>
        <v>8255000</v>
      </c>
      <c r="Y901" s="589"/>
      <c r="Z901" s="592"/>
      <c r="AA901" s="592"/>
      <c r="AB901" s="568"/>
      <c r="AC901" s="592"/>
      <c r="AD901" s="592"/>
      <c r="AE901" s="592"/>
      <c r="AF901" s="590"/>
      <c r="AG901" s="570" t="str">
        <f>IF(AE901&lt;&gt;0,VLOOKUP(AE901,ODDS!$A$2:$C$13,3,0),"")</f>
        <v/>
      </c>
      <c r="AH901" s="570" t="str">
        <f t="shared" si="190"/>
        <v xml:space="preserve"> </v>
      </c>
      <c r="AI901" s="571" t="str">
        <f t="shared" si="185"/>
        <v xml:space="preserve"> </v>
      </c>
      <c r="AJ901" s="593"/>
      <c r="AK901" s="593"/>
    </row>
    <row r="902" spans="1:37" s="376" customFormat="1" ht="40.5" outlineLevel="2" x14ac:dyDescent="0.3">
      <c r="A902" s="447">
        <f t="shared" si="194"/>
        <v>72</v>
      </c>
      <c r="B902" s="557"/>
      <c r="C902" s="558"/>
      <c r="D902" s="587"/>
      <c r="E902" s="587"/>
      <c r="F902" s="560"/>
      <c r="G902" s="558"/>
      <c r="H902" s="588"/>
      <c r="I902" s="546"/>
      <c r="J902" s="589"/>
      <c r="K902" s="563" t="str">
        <f>IF(G902&lt;&gt;0,VLOOKUP(G902,'gia dat'!$A$1:$F$144,5,0)," ")</f>
        <v xml:space="preserve"> </v>
      </c>
      <c r="L902" s="563" t="str">
        <f>IF(G902&lt;&gt;0,VLOOKUP(G902,'gia dat'!$A$1:$F$144,6,0)," ")</f>
        <v xml:space="preserve"> </v>
      </c>
      <c r="M902" s="564" t="str">
        <f t="shared" si="186"/>
        <v xml:space="preserve"> </v>
      </c>
      <c r="N902" s="564" t="str">
        <f t="shared" si="187"/>
        <v xml:space="preserve"> </v>
      </c>
      <c r="O902" s="638" t="s">
        <v>776</v>
      </c>
      <c r="P902" s="590">
        <v>1</v>
      </c>
      <c r="Q902" s="564">
        <f>IF(O902&lt;&gt;0,VLOOKUP(O902,'Cây trong'!$A$2:$C$246,3,0)," ")</f>
        <v>600000</v>
      </c>
      <c r="R902" s="564">
        <f t="shared" si="189"/>
        <v>600000</v>
      </c>
      <c r="S902" s="638" t="s">
        <v>1799</v>
      </c>
      <c r="T902" s="680" t="s">
        <v>53</v>
      </c>
      <c r="U902" s="591">
        <v>32.4</v>
      </c>
      <c r="V902" s="680"/>
      <c r="W902" s="564">
        <f>IF(S902&lt;&gt;0,VLOOKUP(S902,VKT!$A$2:$G$415,7,0),"")</f>
        <v>275180</v>
      </c>
      <c r="X902" s="564">
        <f t="shared" ref="X902:X970" si="195">IF(S902&lt;&gt;0,ROUND(U902*W902,-3)," ")</f>
        <v>8916000</v>
      </c>
      <c r="Y902" s="589"/>
      <c r="Z902" s="592"/>
      <c r="AA902" s="592"/>
      <c r="AB902" s="568"/>
      <c r="AC902" s="592"/>
      <c r="AD902" s="592"/>
      <c r="AE902" s="592"/>
      <c r="AF902" s="590"/>
      <c r="AG902" s="570" t="str">
        <f>IF(AE902&lt;&gt;0,VLOOKUP(AE902,ODDS!$A$2:$C$13,3,0),"")</f>
        <v/>
      </c>
      <c r="AH902" s="570" t="str">
        <f t="shared" si="190"/>
        <v xml:space="preserve"> </v>
      </c>
      <c r="AI902" s="571" t="str">
        <f t="shared" si="185"/>
        <v xml:space="preserve"> </v>
      </c>
      <c r="AJ902" s="593"/>
      <c r="AK902" s="593"/>
    </row>
    <row r="903" spans="1:37" s="376" customFormat="1" ht="40.5" outlineLevel="2" x14ac:dyDescent="0.3">
      <c r="A903" s="447">
        <f t="shared" si="194"/>
        <v>72</v>
      </c>
      <c r="B903" s="557"/>
      <c r="C903" s="558"/>
      <c r="D903" s="587"/>
      <c r="E903" s="587"/>
      <c r="F903" s="560"/>
      <c r="G903" s="558"/>
      <c r="H903" s="588"/>
      <c r="I903" s="546"/>
      <c r="J903" s="589"/>
      <c r="K903" s="563" t="str">
        <f>IF(G903&lt;&gt;0,VLOOKUP(G903,'gia dat'!$A$1:$F$144,5,0)," ")</f>
        <v xml:space="preserve"> </v>
      </c>
      <c r="L903" s="563" t="str">
        <f>IF(G903&lt;&gt;0,VLOOKUP(G903,'gia dat'!$A$1:$F$144,6,0)," ")</f>
        <v xml:space="preserve"> </v>
      </c>
      <c r="M903" s="564" t="str">
        <f t="shared" si="186"/>
        <v xml:space="preserve"> </v>
      </c>
      <c r="N903" s="564" t="str">
        <f t="shared" si="187"/>
        <v xml:space="preserve"> </v>
      </c>
      <c r="O903" s="638" t="s">
        <v>275</v>
      </c>
      <c r="P903" s="590">
        <v>3</v>
      </c>
      <c r="Q903" s="564">
        <f>IF(O903&lt;&gt;0,VLOOKUP(O903,'Cây trong'!$A$2:$C$246,3,0)," ")</f>
        <v>360000</v>
      </c>
      <c r="R903" s="564">
        <f t="shared" si="189"/>
        <v>1080000</v>
      </c>
      <c r="S903" s="638" t="s">
        <v>1897</v>
      </c>
      <c r="T903" s="640" t="s">
        <v>53</v>
      </c>
      <c r="U903" s="591">
        <v>5</v>
      </c>
      <c r="V903" s="680"/>
      <c r="W903" s="564">
        <f>IF(S903&lt;&gt;0,VLOOKUP(S903,VKT!$A$2:$G$415,7,0),"")</f>
        <v>0</v>
      </c>
      <c r="X903" s="564">
        <f t="shared" si="195"/>
        <v>0</v>
      </c>
      <c r="Y903" s="589"/>
      <c r="Z903" s="592"/>
      <c r="AA903" s="592"/>
      <c r="AB903" s="568"/>
      <c r="AC903" s="592"/>
      <c r="AD903" s="592"/>
      <c r="AE903" s="592"/>
      <c r="AF903" s="590"/>
      <c r="AG903" s="570" t="str">
        <f>IF(AE903&lt;&gt;0,VLOOKUP(AE903,ODDS!$A$2:$C$13,3,0),"")</f>
        <v/>
      </c>
      <c r="AH903" s="570" t="str">
        <f t="shared" si="190"/>
        <v xml:space="preserve"> </v>
      </c>
      <c r="AI903" s="571" t="str">
        <f t="shared" si="185"/>
        <v xml:space="preserve"> </v>
      </c>
      <c r="AJ903" s="593"/>
      <c r="AK903" s="593"/>
    </row>
    <row r="904" spans="1:37" s="376" customFormat="1" ht="40.5" outlineLevel="2" x14ac:dyDescent="0.3">
      <c r="A904" s="447">
        <f t="shared" si="194"/>
        <v>72</v>
      </c>
      <c r="B904" s="557"/>
      <c r="C904" s="558"/>
      <c r="D904" s="587"/>
      <c r="E904" s="587"/>
      <c r="F904" s="560"/>
      <c r="G904" s="558"/>
      <c r="H904" s="588"/>
      <c r="I904" s="546"/>
      <c r="J904" s="589"/>
      <c r="K904" s="563" t="str">
        <f>IF(G904&lt;&gt;0,VLOOKUP(G904,'gia dat'!$A$1:$F$144,5,0)," ")</f>
        <v xml:space="preserve"> </v>
      </c>
      <c r="L904" s="563" t="str">
        <f>IF(G904&lt;&gt;0,VLOOKUP(G904,'gia dat'!$A$1:$F$144,6,0)," ")</f>
        <v xml:space="preserve"> </v>
      </c>
      <c r="M904" s="564" t="str">
        <f t="shared" si="186"/>
        <v xml:space="preserve"> </v>
      </c>
      <c r="N904" s="564" t="str">
        <f t="shared" si="187"/>
        <v xml:space="preserve"> </v>
      </c>
      <c r="O904" s="638" t="s">
        <v>276</v>
      </c>
      <c r="P904" s="590">
        <v>1</v>
      </c>
      <c r="Q904" s="564">
        <f>IF(O904&lt;&gt;0,VLOOKUP(O904,'Cây trong'!$A$2:$C$246,3,0)," ")</f>
        <v>228000</v>
      </c>
      <c r="R904" s="564">
        <f t="shared" si="189"/>
        <v>228000</v>
      </c>
      <c r="S904" s="638"/>
      <c r="T904" s="640"/>
      <c r="U904" s="591"/>
      <c r="V904" s="680"/>
      <c r="W904" s="564" t="str">
        <f>IF(S904&lt;&gt;0,VLOOKUP(S904,VKT!$A$2:$G$415,7,0),"")</f>
        <v/>
      </c>
      <c r="X904" s="564" t="str">
        <f t="shared" si="195"/>
        <v xml:space="preserve"> </v>
      </c>
      <c r="Y904" s="589"/>
      <c r="Z904" s="592"/>
      <c r="AA904" s="592"/>
      <c r="AB904" s="568"/>
      <c r="AC904" s="592"/>
      <c r="AD904" s="592"/>
      <c r="AE904" s="592"/>
      <c r="AF904" s="590"/>
      <c r="AG904" s="570" t="str">
        <f>IF(AE904&lt;&gt;0,VLOOKUP(AE904,ODDS!$A$2:$C$13,3,0),"")</f>
        <v/>
      </c>
      <c r="AH904" s="570" t="str">
        <f t="shared" si="190"/>
        <v xml:space="preserve"> </v>
      </c>
      <c r="AI904" s="571" t="str">
        <f t="shared" si="185"/>
        <v xml:space="preserve"> </v>
      </c>
      <c r="AJ904" s="593"/>
      <c r="AK904" s="593"/>
    </row>
    <row r="905" spans="1:37" s="376" customFormat="1" ht="20.25" outlineLevel="2" x14ac:dyDescent="0.3">
      <c r="A905" s="447">
        <f t="shared" si="194"/>
        <v>72</v>
      </c>
      <c r="B905" s="557"/>
      <c r="C905" s="558"/>
      <c r="D905" s="587"/>
      <c r="E905" s="587"/>
      <c r="F905" s="560"/>
      <c r="G905" s="558"/>
      <c r="H905" s="588"/>
      <c r="I905" s="546"/>
      <c r="J905" s="589"/>
      <c r="K905" s="563" t="str">
        <f>IF(G905&lt;&gt;0,VLOOKUP(G905,'gia dat'!$A$1:$F$144,5,0)," ")</f>
        <v xml:space="preserve"> </v>
      </c>
      <c r="L905" s="563" t="str">
        <f>IF(G905&lt;&gt;0,VLOOKUP(G905,'gia dat'!$A$1:$F$144,6,0)," ")</f>
        <v xml:space="preserve"> </v>
      </c>
      <c r="M905" s="564" t="str">
        <f t="shared" si="186"/>
        <v xml:space="preserve"> </v>
      </c>
      <c r="N905" s="564" t="str">
        <f t="shared" si="187"/>
        <v xml:space="preserve"> </v>
      </c>
      <c r="O905" s="638" t="s">
        <v>728</v>
      </c>
      <c r="P905" s="590">
        <v>1</v>
      </c>
      <c r="Q905" s="564">
        <f>IF(O905&lt;&gt;0,VLOOKUP(O905,'Cây trong'!$A$2:$C$246,3,0)," ")</f>
        <v>60000</v>
      </c>
      <c r="R905" s="564">
        <f t="shared" si="189"/>
        <v>60000</v>
      </c>
      <c r="S905" s="638"/>
      <c r="T905" s="640"/>
      <c r="U905" s="591"/>
      <c r="V905" s="680"/>
      <c r="W905" s="564" t="str">
        <f>IF(S905&lt;&gt;0,VLOOKUP(S905,VKT!$A$2:$G$415,7,0),"")</f>
        <v/>
      </c>
      <c r="X905" s="564" t="str">
        <f t="shared" si="195"/>
        <v xml:space="preserve"> </v>
      </c>
      <c r="Y905" s="589"/>
      <c r="Z905" s="592"/>
      <c r="AA905" s="592"/>
      <c r="AB905" s="568"/>
      <c r="AC905" s="592"/>
      <c r="AD905" s="592"/>
      <c r="AE905" s="592"/>
      <c r="AF905" s="590"/>
      <c r="AG905" s="570" t="str">
        <f>IF(AE905&lt;&gt;0,VLOOKUP(AE905,ODDS!$A$2:$C$13,3,0),"")</f>
        <v/>
      </c>
      <c r="AH905" s="570" t="str">
        <f t="shared" si="190"/>
        <v xml:space="preserve"> </v>
      </c>
      <c r="AI905" s="571" t="str">
        <f t="shared" ref="AI905:AI968" si="196">IF(B905&lt;&gt;0,M905+N905+R905+X905+AH905," ")</f>
        <v xml:space="preserve"> </v>
      </c>
      <c r="AJ905" s="593"/>
      <c r="AK905" s="593"/>
    </row>
    <row r="906" spans="1:37" s="376" customFormat="1" ht="20.25" outlineLevel="2" x14ac:dyDescent="0.3">
      <c r="A906" s="447">
        <f t="shared" si="194"/>
        <v>72</v>
      </c>
      <c r="B906" s="557"/>
      <c r="C906" s="558"/>
      <c r="D906" s="587"/>
      <c r="E906" s="587"/>
      <c r="F906" s="560"/>
      <c r="G906" s="558"/>
      <c r="H906" s="588"/>
      <c r="I906" s="546"/>
      <c r="J906" s="589"/>
      <c r="K906" s="563" t="str">
        <f>IF(G906&lt;&gt;0,VLOOKUP(G906,'gia dat'!$A$1:$F$144,5,0)," ")</f>
        <v xml:space="preserve"> </v>
      </c>
      <c r="L906" s="563" t="str">
        <f>IF(G906&lt;&gt;0,VLOOKUP(G906,'gia dat'!$A$1:$F$144,6,0)," ")</f>
        <v xml:space="preserve"> </v>
      </c>
      <c r="M906" s="564" t="str">
        <f t="shared" si="186"/>
        <v xml:space="preserve"> </v>
      </c>
      <c r="N906" s="564" t="str">
        <f t="shared" si="187"/>
        <v xml:space="preserve"> </v>
      </c>
      <c r="O906" s="638" t="s">
        <v>736</v>
      </c>
      <c r="P906" s="590">
        <v>8</v>
      </c>
      <c r="Q906" s="564">
        <f>IF(O906&lt;&gt;0,VLOOKUP(O906,'Cây trong'!$A$2:$C$246,3,0)," ")</f>
        <v>32000</v>
      </c>
      <c r="R906" s="564">
        <f t="shared" si="189"/>
        <v>256000</v>
      </c>
      <c r="S906" s="638"/>
      <c r="T906" s="640"/>
      <c r="U906" s="591"/>
      <c r="V906" s="680"/>
      <c r="W906" s="564" t="str">
        <f>IF(S906&lt;&gt;0,VLOOKUP(S906,VKT!$A$2:$G$415,7,0),"")</f>
        <v/>
      </c>
      <c r="X906" s="564" t="str">
        <f t="shared" si="195"/>
        <v xml:space="preserve"> </v>
      </c>
      <c r="Y906" s="589"/>
      <c r="Z906" s="592"/>
      <c r="AA906" s="592"/>
      <c r="AB906" s="568"/>
      <c r="AC906" s="592"/>
      <c r="AD906" s="592"/>
      <c r="AE906" s="592"/>
      <c r="AF906" s="590"/>
      <c r="AG906" s="570" t="str">
        <f>IF(AE906&lt;&gt;0,VLOOKUP(AE906,ODDS!$A$2:$C$13,3,0),"")</f>
        <v/>
      </c>
      <c r="AH906" s="570" t="str">
        <f t="shared" si="190"/>
        <v xml:space="preserve"> </v>
      </c>
      <c r="AI906" s="571" t="str">
        <f t="shared" si="196"/>
        <v xml:space="preserve"> </v>
      </c>
      <c r="AJ906" s="593"/>
      <c r="AK906" s="593"/>
    </row>
    <row r="907" spans="1:37" s="376" customFormat="1" ht="20.25" outlineLevel="2" x14ac:dyDescent="0.3">
      <c r="A907" s="447">
        <f t="shared" si="194"/>
        <v>72</v>
      </c>
      <c r="B907" s="557"/>
      <c r="C907" s="558"/>
      <c r="D907" s="587"/>
      <c r="E907" s="587"/>
      <c r="F907" s="560"/>
      <c r="G907" s="558"/>
      <c r="H907" s="588"/>
      <c r="I907" s="546"/>
      <c r="J907" s="589"/>
      <c r="K907" s="563" t="str">
        <f>IF(G907&lt;&gt;0,VLOOKUP(G907,'gia dat'!$A$1:$F$144,5,0)," ")</f>
        <v xml:space="preserve"> </v>
      </c>
      <c r="L907" s="563" t="str">
        <f>IF(G907&lt;&gt;0,VLOOKUP(G907,'gia dat'!$A$1:$F$144,6,0)," ")</f>
        <v xml:space="preserve"> </v>
      </c>
      <c r="M907" s="564" t="str">
        <f t="shared" si="186"/>
        <v xml:space="preserve"> </v>
      </c>
      <c r="N907" s="564" t="str">
        <f t="shared" si="187"/>
        <v xml:space="preserve"> </v>
      </c>
      <c r="O907" s="638" t="s">
        <v>777</v>
      </c>
      <c r="P907" s="590">
        <v>1</v>
      </c>
      <c r="Q907" s="564">
        <f>IF(O907&lt;&gt;0,VLOOKUP(O907,'Cây trong'!$A$2:$C$246,3,0)," ")</f>
        <v>32000</v>
      </c>
      <c r="R907" s="564">
        <f t="shared" si="189"/>
        <v>32000</v>
      </c>
      <c r="S907" s="638"/>
      <c r="T907" s="640"/>
      <c r="U907" s="591"/>
      <c r="V907" s="680"/>
      <c r="W907" s="564" t="str">
        <f>IF(S907&lt;&gt;0,VLOOKUP(S907,VKT!$A$2:$G$415,7,0),"")</f>
        <v/>
      </c>
      <c r="X907" s="564" t="str">
        <f t="shared" si="195"/>
        <v xml:space="preserve"> </v>
      </c>
      <c r="Y907" s="589"/>
      <c r="Z907" s="592"/>
      <c r="AA907" s="592"/>
      <c r="AB907" s="568"/>
      <c r="AC907" s="592"/>
      <c r="AD907" s="592"/>
      <c r="AE907" s="592"/>
      <c r="AF907" s="590"/>
      <c r="AG907" s="570" t="str">
        <f>IF(AE907&lt;&gt;0,VLOOKUP(AE907,ODDS!$A$2:$C$13,3,0),"")</f>
        <v/>
      </c>
      <c r="AH907" s="570" t="str">
        <f t="shared" si="190"/>
        <v xml:space="preserve"> </v>
      </c>
      <c r="AI907" s="571" t="str">
        <f t="shared" si="196"/>
        <v xml:space="preserve"> </v>
      </c>
      <c r="AJ907" s="593"/>
      <c r="AK907" s="593"/>
    </row>
    <row r="908" spans="1:37" s="376" customFormat="1" ht="20.25" outlineLevel="2" x14ac:dyDescent="0.3">
      <c r="A908" s="447">
        <f t="shared" si="194"/>
        <v>72</v>
      </c>
      <c r="B908" s="557"/>
      <c r="C908" s="558"/>
      <c r="D908" s="587"/>
      <c r="E908" s="587"/>
      <c r="F908" s="560"/>
      <c r="G908" s="558"/>
      <c r="H908" s="588"/>
      <c r="I908" s="546"/>
      <c r="J908" s="589"/>
      <c r="K908" s="563" t="str">
        <f>IF(G908&lt;&gt;0,VLOOKUP(G908,'gia dat'!$A$1:$F$144,5,0)," ")</f>
        <v xml:space="preserve"> </v>
      </c>
      <c r="L908" s="563" t="str">
        <f>IF(G908&lt;&gt;0,VLOOKUP(G908,'gia dat'!$A$1:$F$144,6,0)," ")</f>
        <v xml:space="preserve"> </v>
      </c>
      <c r="M908" s="564" t="str">
        <f t="shared" si="186"/>
        <v xml:space="preserve"> </v>
      </c>
      <c r="N908" s="564" t="str">
        <f t="shared" si="187"/>
        <v xml:space="preserve"> </v>
      </c>
      <c r="O908" s="638" t="s">
        <v>352</v>
      </c>
      <c r="P908" s="590">
        <v>1</v>
      </c>
      <c r="Q908" s="564">
        <f>IF(O908&lt;&gt;0,VLOOKUP(O908,'Cây trong'!$A$2:$C$246,3,0)," ")</f>
        <v>60000</v>
      </c>
      <c r="R908" s="564">
        <f t="shared" si="189"/>
        <v>60000</v>
      </c>
      <c r="S908" s="638"/>
      <c r="T908" s="640"/>
      <c r="U908" s="591"/>
      <c r="V908" s="680"/>
      <c r="W908" s="564" t="str">
        <f>IF(S908&lt;&gt;0,VLOOKUP(S908,VKT!$A$2:$G$415,7,0),"")</f>
        <v/>
      </c>
      <c r="X908" s="564" t="str">
        <f t="shared" si="195"/>
        <v xml:space="preserve"> </v>
      </c>
      <c r="Y908" s="589"/>
      <c r="Z908" s="592"/>
      <c r="AA908" s="592"/>
      <c r="AB908" s="568"/>
      <c r="AC908" s="592"/>
      <c r="AD908" s="592"/>
      <c r="AE908" s="592"/>
      <c r="AF908" s="590"/>
      <c r="AG908" s="570" t="str">
        <f>IF(AE908&lt;&gt;0,VLOOKUP(AE908,ODDS!$A$2:$C$13,3,0),"")</f>
        <v/>
      </c>
      <c r="AH908" s="570" t="str">
        <f t="shared" si="190"/>
        <v xml:space="preserve"> </v>
      </c>
      <c r="AI908" s="571" t="str">
        <f t="shared" si="196"/>
        <v xml:space="preserve"> </v>
      </c>
      <c r="AJ908" s="593"/>
      <c r="AK908" s="593"/>
    </row>
    <row r="909" spans="1:37" s="376" customFormat="1" ht="20.25" outlineLevel="2" x14ac:dyDescent="0.3">
      <c r="A909" s="447">
        <f t="shared" si="194"/>
        <v>72</v>
      </c>
      <c r="B909" s="557"/>
      <c r="C909" s="558"/>
      <c r="D909" s="587"/>
      <c r="E909" s="587"/>
      <c r="F909" s="560"/>
      <c r="G909" s="558"/>
      <c r="H909" s="588"/>
      <c r="I909" s="546"/>
      <c r="J909" s="589"/>
      <c r="K909" s="563" t="str">
        <f>IF(G909&lt;&gt;0,VLOOKUP(G909,'gia dat'!$A$1:$F$144,5,0)," ")</f>
        <v xml:space="preserve"> </v>
      </c>
      <c r="L909" s="563" t="str">
        <f>IF(G909&lt;&gt;0,VLOOKUP(G909,'gia dat'!$A$1:$F$144,6,0)," ")</f>
        <v xml:space="preserve"> </v>
      </c>
      <c r="M909" s="564" t="str">
        <f t="shared" si="186"/>
        <v xml:space="preserve"> </v>
      </c>
      <c r="N909" s="564" t="str">
        <f t="shared" si="187"/>
        <v xml:space="preserve"> </v>
      </c>
      <c r="O909" s="638" t="s">
        <v>89</v>
      </c>
      <c r="P909" s="590">
        <v>2</v>
      </c>
      <c r="Q909" s="564">
        <f>IF(O909&lt;&gt;0,VLOOKUP(O909,'Cây trong'!$A$2:$C$246,3,0)," ")</f>
        <v>283000</v>
      </c>
      <c r="R909" s="564">
        <f t="shared" si="189"/>
        <v>566000</v>
      </c>
      <c r="S909" s="638"/>
      <c r="T909" s="640"/>
      <c r="U909" s="591"/>
      <c r="V909" s="680"/>
      <c r="W909" s="564" t="str">
        <f>IF(S909&lt;&gt;0,VLOOKUP(S909,VKT!$A$2:$G$415,7,0),"")</f>
        <v/>
      </c>
      <c r="X909" s="564" t="str">
        <f t="shared" si="195"/>
        <v xml:space="preserve"> </v>
      </c>
      <c r="Y909" s="589"/>
      <c r="Z909" s="592"/>
      <c r="AA909" s="592"/>
      <c r="AB909" s="568"/>
      <c r="AC909" s="592"/>
      <c r="AD909" s="592"/>
      <c r="AE909" s="592"/>
      <c r="AF909" s="590"/>
      <c r="AG909" s="570" t="str">
        <f>IF(AE909&lt;&gt;0,VLOOKUP(AE909,ODDS!$A$2:$C$13,3,0),"")</f>
        <v/>
      </c>
      <c r="AH909" s="570" t="str">
        <f t="shared" si="190"/>
        <v xml:space="preserve"> </v>
      </c>
      <c r="AI909" s="571" t="str">
        <f t="shared" si="196"/>
        <v xml:space="preserve"> </v>
      </c>
      <c r="AJ909" s="593"/>
      <c r="AK909" s="593"/>
    </row>
    <row r="910" spans="1:37" s="376" customFormat="1" ht="40.5" outlineLevel="2" x14ac:dyDescent="0.3">
      <c r="A910" s="447">
        <f t="shared" si="194"/>
        <v>72</v>
      </c>
      <c r="B910" s="557"/>
      <c r="C910" s="558"/>
      <c r="D910" s="587"/>
      <c r="E910" s="587"/>
      <c r="F910" s="560"/>
      <c r="G910" s="558"/>
      <c r="H910" s="588"/>
      <c r="I910" s="546"/>
      <c r="J910" s="589"/>
      <c r="K910" s="563" t="str">
        <f>IF(G910&lt;&gt;0,VLOOKUP(G910,'gia dat'!$A$1:$F$144,5,0)," ")</f>
        <v xml:space="preserve"> </v>
      </c>
      <c r="L910" s="563" t="str">
        <f>IF(G910&lt;&gt;0,VLOOKUP(G910,'gia dat'!$A$1:$F$144,6,0)," ")</f>
        <v xml:space="preserve"> </v>
      </c>
      <c r="M910" s="564" t="str">
        <f t="shared" si="186"/>
        <v xml:space="preserve"> </v>
      </c>
      <c r="N910" s="564" t="str">
        <f t="shared" si="187"/>
        <v xml:space="preserve"> </v>
      </c>
      <c r="O910" s="638" t="s">
        <v>732</v>
      </c>
      <c r="P910" s="590">
        <v>2</v>
      </c>
      <c r="Q910" s="564">
        <f>IF(O910&lt;&gt;0,VLOOKUP(O910,'Cây trong'!$A$2:$C$246,3,0)," ")</f>
        <v>72000</v>
      </c>
      <c r="R910" s="564">
        <f t="shared" si="189"/>
        <v>144000</v>
      </c>
      <c r="S910" s="638"/>
      <c r="T910" s="640"/>
      <c r="U910" s="591"/>
      <c r="V910" s="680"/>
      <c r="W910" s="564" t="str">
        <f>IF(S910&lt;&gt;0,VLOOKUP(S910,VKT!$A$2:$G$415,7,0),"")</f>
        <v/>
      </c>
      <c r="X910" s="564" t="str">
        <f t="shared" si="195"/>
        <v xml:space="preserve"> </v>
      </c>
      <c r="Y910" s="589"/>
      <c r="Z910" s="592"/>
      <c r="AA910" s="592"/>
      <c r="AB910" s="568"/>
      <c r="AC910" s="592"/>
      <c r="AD910" s="592"/>
      <c r="AE910" s="592"/>
      <c r="AF910" s="590"/>
      <c r="AG910" s="570" t="str">
        <f>IF(AE910&lt;&gt;0,VLOOKUP(AE910,ODDS!$A$2:$C$13,3,0),"")</f>
        <v/>
      </c>
      <c r="AH910" s="570" t="str">
        <f t="shared" si="190"/>
        <v xml:space="preserve"> </v>
      </c>
      <c r="AI910" s="571" t="str">
        <f t="shared" si="196"/>
        <v xml:space="preserve"> </v>
      </c>
      <c r="AJ910" s="593"/>
      <c r="AK910" s="593"/>
    </row>
    <row r="911" spans="1:37" s="376" customFormat="1" ht="20.25" outlineLevel="2" x14ac:dyDescent="0.3">
      <c r="A911" s="447">
        <f t="shared" si="194"/>
        <v>72</v>
      </c>
      <c r="B911" s="557"/>
      <c r="C911" s="558"/>
      <c r="D911" s="587"/>
      <c r="E911" s="587"/>
      <c r="F911" s="560"/>
      <c r="G911" s="558"/>
      <c r="H911" s="588"/>
      <c r="I911" s="546"/>
      <c r="J911" s="589"/>
      <c r="K911" s="563" t="str">
        <f>IF(G911&lt;&gt;0,VLOOKUP(G911,'gia dat'!$A$1:$F$144,5,0)," ")</f>
        <v xml:space="preserve"> </v>
      </c>
      <c r="L911" s="563" t="str">
        <f>IF(G911&lt;&gt;0,VLOOKUP(G911,'gia dat'!$A$1:$F$144,6,0)," ")</f>
        <v xml:space="preserve"> </v>
      </c>
      <c r="M911" s="564" t="str">
        <f t="shared" si="186"/>
        <v xml:space="preserve"> </v>
      </c>
      <c r="N911" s="564" t="str">
        <f t="shared" si="187"/>
        <v xml:space="preserve"> </v>
      </c>
      <c r="O911" s="638" t="s">
        <v>61</v>
      </c>
      <c r="P911" s="590">
        <v>9</v>
      </c>
      <c r="Q911" s="564">
        <f>IF(O911&lt;&gt;0,VLOOKUP(O911,'Cây trong'!$A$2:$C$246,3,0)," ")</f>
        <v>1708000</v>
      </c>
      <c r="R911" s="564">
        <f t="shared" si="189"/>
        <v>15372000</v>
      </c>
      <c r="S911" s="638"/>
      <c r="T911" s="640"/>
      <c r="U911" s="591"/>
      <c r="V911" s="680"/>
      <c r="W911" s="564" t="str">
        <f>IF(S911&lt;&gt;0,VLOOKUP(S911,VKT!$A$2:$G$415,7,0),"")</f>
        <v/>
      </c>
      <c r="X911" s="564" t="str">
        <f t="shared" si="195"/>
        <v xml:space="preserve"> </v>
      </c>
      <c r="Y911" s="589"/>
      <c r="Z911" s="592"/>
      <c r="AA911" s="592"/>
      <c r="AB911" s="568"/>
      <c r="AC911" s="592"/>
      <c r="AD911" s="592"/>
      <c r="AE911" s="592"/>
      <c r="AF911" s="590"/>
      <c r="AG911" s="570" t="str">
        <f>IF(AE911&lt;&gt;0,VLOOKUP(AE911,ODDS!$A$2:$C$13,3,0),"")</f>
        <v/>
      </c>
      <c r="AH911" s="570" t="str">
        <f t="shared" si="190"/>
        <v xml:space="preserve"> </v>
      </c>
      <c r="AI911" s="571" t="str">
        <f t="shared" si="196"/>
        <v xml:space="preserve"> </v>
      </c>
      <c r="AJ911" s="593"/>
      <c r="AK911" s="593"/>
    </row>
    <row r="912" spans="1:37" s="376" customFormat="1" ht="20.25" outlineLevel="2" x14ac:dyDescent="0.3">
      <c r="A912" s="447">
        <f t="shared" si="194"/>
        <v>72</v>
      </c>
      <c r="B912" s="557"/>
      <c r="C912" s="558"/>
      <c r="D912" s="587"/>
      <c r="E912" s="587"/>
      <c r="F912" s="560"/>
      <c r="G912" s="558"/>
      <c r="H912" s="588"/>
      <c r="I912" s="546"/>
      <c r="J912" s="589"/>
      <c r="K912" s="563" t="str">
        <f>IF(G912&lt;&gt;0,VLOOKUP(G912,'gia dat'!$A$1:$F$144,5,0)," ")</f>
        <v xml:space="preserve"> </v>
      </c>
      <c r="L912" s="563" t="str">
        <f>IF(G912&lt;&gt;0,VLOOKUP(G912,'gia dat'!$A$1:$F$144,6,0)," ")</f>
        <v xml:space="preserve"> </v>
      </c>
      <c r="M912" s="564" t="str">
        <f t="shared" si="186"/>
        <v xml:space="preserve"> </v>
      </c>
      <c r="N912" s="564" t="str">
        <f t="shared" si="187"/>
        <v xml:space="preserve"> </v>
      </c>
      <c r="O912" s="638" t="s">
        <v>64</v>
      </c>
      <c r="P912" s="590">
        <v>11</v>
      </c>
      <c r="Q912" s="564">
        <f>IF(O912&lt;&gt;0,VLOOKUP(O912,'Cây trong'!$A$2:$C$246,3,0)," ")</f>
        <v>1122000</v>
      </c>
      <c r="R912" s="564">
        <f t="shared" si="189"/>
        <v>12342000</v>
      </c>
      <c r="S912" s="638"/>
      <c r="T912" s="640"/>
      <c r="U912" s="591"/>
      <c r="V912" s="680"/>
      <c r="W912" s="564" t="str">
        <f>IF(S912&lt;&gt;0,VLOOKUP(S912,VKT!$A$2:$G$415,7,0),"")</f>
        <v/>
      </c>
      <c r="X912" s="564" t="str">
        <f t="shared" si="195"/>
        <v xml:space="preserve"> </v>
      </c>
      <c r="Y912" s="589"/>
      <c r="Z912" s="592"/>
      <c r="AA912" s="592"/>
      <c r="AB912" s="568"/>
      <c r="AC912" s="592"/>
      <c r="AD912" s="592"/>
      <c r="AE912" s="592"/>
      <c r="AF912" s="590"/>
      <c r="AG912" s="570" t="str">
        <f>IF(AE912&lt;&gt;0,VLOOKUP(AE912,ODDS!$A$2:$C$13,3,0),"")</f>
        <v/>
      </c>
      <c r="AH912" s="570" t="str">
        <f t="shared" si="190"/>
        <v xml:space="preserve"> </v>
      </c>
      <c r="AI912" s="571" t="str">
        <f t="shared" si="196"/>
        <v xml:space="preserve"> </v>
      </c>
      <c r="AJ912" s="593"/>
      <c r="AK912" s="593"/>
    </row>
    <row r="913" spans="1:37" s="376" customFormat="1" ht="20.25" outlineLevel="2" x14ac:dyDescent="0.3">
      <c r="A913" s="447">
        <f t="shared" si="194"/>
        <v>72</v>
      </c>
      <c r="B913" s="557"/>
      <c r="C913" s="558"/>
      <c r="D913" s="587"/>
      <c r="E913" s="587"/>
      <c r="F913" s="560"/>
      <c r="G913" s="558"/>
      <c r="H913" s="588"/>
      <c r="I913" s="546"/>
      <c r="J913" s="589"/>
      <c r="K913" s="563" t="str">
        <f>IF(G913&lt;&gt;0,VLOOKUP(G913,'gia dat'!$A$1:$F$144,5,0)," ")</f>
        <v xml:space="preserve"> </v>
      </c>
      <c r="L913" s="563" t="str">
        <f>IF(G913&lt;&gt;0,VLOOKUP(G913,'gia dat'!$A$1:$F$144,6,0)," ")</f>
        <v xml:space="preserve"> </v>
      </c>
      <c r="M913" s="564" t="str">
        <f t="shared" ref="M913:M982" si="197">IF(H913&lt;&gt;0,ROUND(H913*K913,-3)," ")</f>
        <v xml:space="preserve"> </v>
      </c>
      <c r="N913" s="564" t="str">
        <f t="shared" ref="N913:N982" si="198">IF(H913&lt;&gt;0,ROUND(H913*L913,-3)," ")</f>
        <v xml:space="preserve"> </v>
      </c>
      <c r="O913" s="638" t="s">
        <v>67</v>
      </c>
      <c r="P913" s="590">
        <v>38</v>
      </c>
      <c r="Q913" s="564">
        <f>IF(O913&lt;&gt;0,VLOOKUP(O913,'Cây trong'!$A$2:$C$246,3,0)," ")</f>
        <v>494000</v>
      </c>
      <c r="R913" s="564">
        <f t="shared" si="189"/>
        <v>18772000</v>
      </c>
      <c r="S913" s="638"/>
      <c r="T913" s="640"/>
      <c r="U913" s="591"/>
      <c r="V913" s="680"/>
      <c r="W913" s="564" t="str">
        <f>IF(S913&lt;&gt;0,VLOOKUP(S913,VKT!$A$2:$G$415,7,0),"")</f>
        <v/>
      </c>
      <c r="X913" s="564" t="str">
        <f t="shared" si="195"/>
        <v xml:space="preserve"> </v>
      </c>
      <c r="Y913" s="589"/>
      <c r="Z913" s="592"/>
      <c r="AA913" s="592"/>
      <c r="AB913" s="568"/>
      <c r="AC913" s="592"/>
      <c r="AD913" s="592"/>
      <c r="AE913" s="592"/>
      <c r="AF913" s="590"/>
      <c r="AG913" s="570" t="str">
        <f>IF(AE913&lt;&gt;0,VLOOKUP(AE913,ODDS!$A$2:$C$13,3,0),"")</f>
        <v/>
      </c>
      <c r="AH913" s="570" t="str">
        <f t="shared" si="190"/>
        <v xml:space="preserve"> </v>
      </c>
      <c r="AI913" s="571" t="str">
        <f t="shared" si="196"/>
        <v xml:space="preserve"> </v>
      </c>
      <c r="AJ913" s="593"/>
      <c r="AK913" s="593"/>
    </row>
    <row r="914" spans="1:37" s="376" customFormat="1" ht="20.25" outlineLevel="2" x14ac:dyDescent="0.3">
      <c r="A914" s="447">
        <f t="shared" si="194"/>
        <v>72</v>
      </c>
      <c r="B914" s="557"/>
      <c r="C914" s="558"/>
      <c r="D914" s="587"/>
      <c r="E914" s="587"/>
      <c r="F914" s="560"/>
      <c r="G914" s="558"/>
      <c r="H914" s="588"/>
      <c r="I914" s="546"/>
      <c r="J914" s="589"/>
      <c r="K914" s="563" t="str">
        <f>IF(G914&lt;&gt;0,VLOOKUP(G914,'gia dat'!$A$1:$F$144,5,0)," ")</f>
        <v xml:space="preserve"> </v>
      </c>
      <c r="L914" s="563" t="str">
        <f>IF(G914&lt;&gt;0,VLOOKUP(G914,'gia dat'!$A$1:$F$144,6,0)," ")</f>
        <v xml:space="preserve"> </v>
      </c>
      <c r="M914" s="564" t="str">
        <f t="shared" si="197"/>
        <v xml:space="preserve"> </v>
      </c>
      <c r="N914" s="564" t="str">
        <f t="shared" si="198"/>
        <v xml:space="preserve"> </v>
      </c>
      <c r="O914" s="638" t="s">
        <v>69</v>
      </c>
      <c r="P914" s="590">
        <v>11</v>
      </c>
      <c r="Q914" s="564">
        <f>IF(O914&lt;&gt;0,VLOOKUP(O914,'Cây trong'!$A$2:$C$246,3,0)," ")</f>
        <v>211000</v>
      </c>
      <c r="R914" s="564">
        <f t="shared" si="189"/>
        <v>2321000</v>
      </c>
      <c r="S914" s="638"/>
      <c r="T914" s="640"/>
      <c r="U914" s="591"/>
      <c r="V914" s="680"/>
      <c r="W914" s="564" t="str">
        <f>IF(S914&lt;&gt;0,VLOOKUP(S914,VKT!$A$2:$G$415,7,0),"")</f>
        <v/>
      </c>
      <c r="X914" s="564" t="str">
        <f t="shared" si="195"/>
        <v xml:space="preserve"> </v>
      </c>
      <c r="Y914" s="589"/>
      <c r="Z914" s="592"/>
      <c r="AA914" s="592"/>
      <c r="AB914" s="568"/>
      <c r="AC914" s="592"/>
      <c r="AD914" s="592"/>
      <c r="AE914" s="592"/>
      <c r="AF914" s="590"/>
      <c r="AG914" s="570" t="str">
        <f>IF(AE914&lt;&gt;0,VLOOKUP(AE914,ODDS!$A$2:$C$13,3,0),"")</f>
        <v/>
      </c>
      <c r="AH914" s="570" t="str">
        <f t="shared" si="190"/>
        <v xml:space="preserve"> </v>
      </c>
      <c r="AI914" s="571" t="str">
        <f t="shared" si="196"/>
        <v xml:space="preserve"> </v>
      </c>
      <c r="AJ914" s="593"/>
      <c r="AK914" s="593"/>
    </row>
    <row r="915" spans="1:37" s="376" customFormat="1" ht="20.25" outlineLevel="2" x14ac:dyDescent="0.3">
      <c r="A915" s="447">
        <f t="shared" si="194"/>
        <v>72</v>
      </c>
      <c r="B915" s="557"/>
      <c r="C915" s="558"/>
      <c r="D915" s="587"/>
      <c r="E915" s="587"/>
      <c r="F915" s="560"/>
      <c r="G915" s="558"/>
      <c r="H915" s="588"/>
      <c r="I915" s="546"/>
      <c r="J915" s="589"/>
      <c r="K915" s="563" t="str">
        <f>IF(G915&lt;&gt;0,VLOOKUP(G915,'gia dat'!$A$1:$F$144,5,0)," ")</f>
        <v xml:space="preserve"> </v>
      </c>
      <c r="L915" s="563" t="str">
        <f>IF(G915&lt;&gt;0,VLOOKUP(G915,'gia dat'!$A$1:$F$144,6,0)," ")</f>
        <v xml:space="preserve"> </v>
      </c>
      <c r="M915" s="564" t="str">
        <f t="shared" si="197"/>
        <v xml:space="preserve"> </v>
      </c>
      <c r="N915" s="564" t="str">
        <f t="shared" si="198"/>
        <v xml:space="preserve"> </v>
      </c>
      <c r="O915" s="638" t="s">
        <v>72</v>
      </c>
      <c r="P915" s="590">
        <v>36</v>
      </c>
      <c r="Q915" s="564">
        <f>IF(O915&lt;&gt;0,VLOOKUP(O915,'Cây trong'!$A$2:$C$246,3,0)," ")</f>
        <v>132000</v>
      </c>
      <c r="R915" s="564">
        <f t="shared" si="189"/>
        <v>4752000</v>
      </c>
      <c r="S915" s="638"/>
      <c r="T915" s="640"/>
      <c r="U915" s="591"/>
      <c r="V915" s="680"/>
      <c r="W915" s="564" t="str">
        <f>IF(S915&lt;&gt;0,VLOOKUP(S915,VKT!$A$2:$G$415,7,0),"")</f>
        <v/>
      </c>
      <c r="X915" s="564" t="str">
        <f t="shared" si="195"/>
        <v xml:space="preserve"> </v>
      </c>
      <c r="Y915" s="589"/>
      <c r="Z915" s="592"/>
      <c r="AA915" s="592"/>
      <c r="AB915" s="568"/>
      <c r="AC915" s="592"/>
      <c r="AD915" s="592"/>
      <c r="AE915" s="592"/>
      <c r="AF915" s="590"/>
      <c r="AG915" s="570" t="str">
        <f>IF(AE915&lt;&gt;0,VLOOKUP(AE915,ODDS!$A$2:$C$13,3,0),"")</f>
        <v/>
      </c>
      <c r="AH915" s="570" t="str">
        <f t="shared" si="190"/>
        <v xml:space="preserve"> </v>
      </c>
      <c r="AI915" s="571" t="str">
        <f t="shared" si="196"/>
        <v xml:space="preserve"> </v>
      </c>
      <c r="AJ915" s="593"/>
      <c r="AK915" s="593"/>
    </row>
    <row r="916" spans="1:37" s="376" customFormat="1" ht="20.25" outlineLevel="2" x14ac:dyDescent="0.3">
      <c r="A916" s="447">
        <f t="shared" si="194"/>
        <v>72</v>
      </c>
      <c r="B916" s="557"/>
      <c r="C916" s="558"/>
      <c r="D916" s="587"/>
      <c r="E916" s="587"/>
      <c r="F916" s="560"/>
      <c r="G916" s="558"/>
      <c r="H916" s="588"/>
      <c r="I916" s="546"/>
      <c r="J916" s="589"/>
      <c r="K916" s="563" t="str">
        <f>IF(G916&lt;&gt;0,VLOOKUP(G916,'gia dat'!$A$1:$F$144,5,0)," ")</f>
        <v xml:space="preserve"> </v>
      </c>
      <c r="L916" s="563" t="str">
        <f>IF(G916&lt;&gt;0,VLOOKUP(G916,'gia dat'!$A$1:$F$144,6,0)," ")</f>
        <v xml:space="preserve"> </v>
      </c>
      <c r="M916" s="564" t="str">
        <f t="shared" si="197"/>
        <v xml:space="preserve"> </v>
      </c>
      <c r="N916" s="564" t="str">
        <f t="shared" si="198"/>
        <v xml:space="preserve"> </v>
      </c>
      <c r="O916" s="638" t="s">
        <v>73</v>
      </c>
      <c r="P916" s="590">
        <v>39</v>
      </c>
      <c r="Q916" s="564">
        <f>IF(O916&lt;&gt;0,VLOOKUP(O916,'Cây trong'!$A$2:$C$246,3,0)," ")</f>
        <v>76000</v>
      </c>
      <c r="R916" s="564">
        <f t="shared" si="189"/>
        <v>2964000</v>
      </c>
      <c r="S916" s="638"/>
      <c r="T916" s="640"/>
      <c r="U916" s="591"/>
      <c r="V916" s="680"/>
      <c r="W916" s="564" t="str">
        <f>IF(S916&lt;&gt;0,VLOOKUP(S916,VKT!$A$2:$G$415,7,0),"")</f>
        <v/>
      </c>
      <c r="X916" s="564" t="str">
        <f t="shared" si="195"/>
        <v xml:space="preserve"> </v>
      </c>
      <c r="Y916" s="589"/>
      <c r="Z916" s="592"/>
      <c r="AA916" s="592"/>
      <c r="AB916" s="568"/>
      <c r="AC916" s="592"/>
      <c r="AD916" s="592"/>
      <c r="AE916" s="592"/>
      <c r="AF916" s="590"/>
      <c r="AG916" s="570" t="str">
        <f>IF(AE916&lt;&gt;0,VLOOKUP(AE916,ODDS!$A$2:$C$13,3,0),"")</f>
        <v/>
      </c>
      <c r="AH916" s="570" t="str">
        <f t="shared" si="190"/>
        <v xml:space="preserve"> </v>
      </c>
      <c r="AI916" s="571" t="str">
        <f t="shared" si="196"/>
        <v xml:space="preserve"> </v>
      </c>
      <c r="AJ916" s="593"/>
      <c r="AK916" s="593"/>
    </row>
    <row r="917" spans="1:37" s="376" customFormat="1" ht="20.25" outlineLevel="2" x14ac:dyDescent="0.3">
      <c r="A917" s="447">
        <f t="shared" si="194"/>
        <v>72</v>
      </c>
      <c r="B917" s="557"/>
      <c r="C917" s="558"/>
      <c r="D917" s="587"/>
      <c r="E917" s="587"/>
      <c r="F917" s="560"/>
      <c r="G917" s="558"/>
      <c r="H917" s="588"/>
      <c r="I917" s="546"/>
      <c r="J917" s="589"/>
      <c r="K917" s="563" t="str">
        <f>IF(G917&lt;&gt;0,VLOOKUP(G917,'gia dat'!$A$1:$F$144,5,0)," ")</f>
        <v xml:space="preserve"> </v>
      </c>
      <c r="L917" s="563" t="str">
        <f>IF(G917&lt;&gt;0,VLOOKUP(G917,'gia dat'!$A$1:$F$144,6,0)," ")</f>
        <v xml:space="preserve"> </v>
      </c>
      <c r="M917" s="564" t="str">
        <f t="shared" si="197"/>
        <v xml:space="preserve"> </v>
      </c>
      <c r="N917" s="564" t="str">
        <f t="shared" si="198"/>
        <v xml:space="preserve"> </v>
      </c>
      <c r="O917" s="638" t="s">
        <v>75</v>
      </c>
      <c r="P917" s="590">
        <v>52</v>
      </c>
      <c r="Q917" s="564">
        <f>IF(O917&lt;&gt;0,VLOOKUP(O917,'Cây trong'!$A$2:$C$246,3,0)," ")</f>
        <v>34000</v>
      </c>
      <c r="R917" s="564">
        <f t="shared" si="189"/>
        <v>1768000</v>
      </c>
      <c r="S917" s="638"/>
      <c r="T917" s="640"/>
      <c r="U917" s="591"/>
      <c r="V917" s="680"/>
      <c r="W917" s="564" t="str">
        <f>IF(S917&lt;&gt;0,VLOOKUP(S917,VKT!$A$2:$G$415,7,0),"")</f>
        <v/>
      </c>
      <c r="X917" s="564" t="str">
        <f t="shared" si="195"/>
        <v xml:space="preserve"> </v>
      </c>
      <c r="Y917" s="589"/>
      <c r="Z917" s="592"/>
      <c r="AA917" s="592"/>
      <c r="AB917" s="568"/>
      <c r="AC917" s="592"/>
      <c r="AD917" s="592"/>
      <c r="AE917" s="592"/>
      <c r="AF917" s="590"/>
      <c r="AG917" s="570" t="str">
        <f>IF(AE917&lt;&gt;0,VLOOKUP(AE917,ODDS!$A$2:$C$13,3,0),"")</f>
        <v/>
      </c>
      <c r="AH917" s="570" t="str">
        <f t="shared" si="190"/>
        <v xml:space="preserve"> </v>
      </c>
      <c r="AI917" s="571" t="str">
        <f t="shared" si="196"/>
        <v xml:space="preserve"> </v>
      </c>
      <c r="AJ917" s="593"/>
      <c r="AK917" s="593"/>
    </row>
    <row r="918" spans="1:37" s="376" customFormat="1" ht="40.5" outlineLevel="2" x14ac:dyDescent="0.3">
      <c r="A918" s="447">
        <f t="shared" si="194"/>
        <v>72</v>
      </c>
      <c r="B918" s="557"/>
      <c r="C918" s="558"/>
      <c r="D918" s="587"/>
      <c r="E918" s="587"/>
      <c r="F918" s="560"/>
      <c r="G918" s="558"/>
      <c r="H918" s="588"/>
      <c r="I918" s="546"/>
      <c r="J918" s="589"/>
      <c r="K918" s="563" t="str">
        <f>IF(G918&lt;&gt;0,VLOOKUP(G918,'gia dat'!$A$1:$F$144,5,0)," ")</f>
        <v xml:space="preserve"> </v>
      </c>
      <c r="L918" s="563" t="str">
        <f>IF(G918&lt;&gt;0,VLOOKUP(G918,'gia dat'!$A$1:$F$144,6,0)," ")</f>
        <v xml:space="preserve"> </v>
      </c>
      <c r="M918" s="564" t="str">
        <f t="shared" si="197"/>
        <v xml:space="preserve"> </v>
      </c>
      <c r="N918" s="564" t="str">
        <f t="shared" si="198"/>
        <v xml:space="preserve"> </v>
      </c>
      <c r="O918" s="638" t="s">
        <v>242</v>
      </c>
      <c r="P918" s="590">
        <v>3</v>
      </c>
      <c r="Q918" s="564">
        <f>IF(O918&lt;&gt;0,VLOOKUP(O918,'Cây trong'!$A$2:$C$246,3,0)," ")</f>
        <v>6000</v>
      </c>
      <c r="R918" s="564">
        <f t="shared" si="189"/>
        <v>18000</v>
      </c>
      <c r="S918" s="638"/>
      <c r="T918" s="640"/>
      <c r="U918" s="591"/>
      <c r="V918" s="680"/>
      <c r="W918" s="564" t="str">
        <f>IF(S918&lt;&gt;0,VLOOKUP(S918,VKT!$A$2:$G$415,7,0),"")</f>
        <v/>
      </c>
      <c r="X918" s="564" t="str">
        <f t="shared" si="195"/>
        <v xml:space="preserve"> </v>
      </c>
      <c r="Y918" s="589"/>
      <c r="Z918" s="592"/>
      <c r="AA918" s="592"/>
      <c r="AB918" s="568"/>
      <c r="AC918" s="592"/>
      <c r="AD918" s="592"/>
      <c r="AE918" s="592"/>
      <c r="AF918" s="590"/>
      <c r="AG918" s="570" t="str">
        <f>IF(AE918&lt;&gt;0,VLOOKUP(AE918,ODDS!$A$2:$C$13,3,0),"")</f>
        <v/>
      </c>
      <c r="AH918" s="570" t="str">
        <f t="shared" si="190"/>
        <v xml:space="preserve"> </v>
      </c>
      <c r="AI918" s="571" t="str">
        <f t="shared" si="196"/>
        <v xml:space="preserve"> </v>
      </c>
      <c r="AJ918" s="593"/>
      <c r="AK918" s="593"/>
    </row>
    <row r="919" spans="1:37" s="376" customFormat="1" ht="20.25" outlineLevel="2" x14ac:dyDescent="0.3">
      <c r="A919" s="447">
        <f t="shared" si="194"/>
        <v>72</v>
      </c>
      <c r="B919" s="557"/>
      <c r="C919" s="558"/>
      <c r="D919" s="587"/>
      <c r="E919" s="587"/>
      <c r="F919" s="560"/>
      <c r="G919" s="558"/>
      <c r="H919" s="588"/>
      <c r="I919" s="546"/>
      <c r="J919" s="589"/>
      <c r="K919" s="563" t="str">
        <f>IF(G919&lt;&gt;0,VLOOKUP(G919,'gia dat'!$A$1:$F$144,5,0)," ")</f>
        <v xml:space="preserve"> </v>
      </c>
      <c r="L919" s="563" t="str">
        <f>IF(G919&lt;&gt;0,VLOOKUP(G919,'gia dat'!$A$1:$F$144,6,0)," ")</f>
        <v xml:space="preserve"> </v>
      </c>
      <c r="M919" s="564" t="str">
        <f t="shared" si="197"/>
        <v xml:space="preserve"> </v>
      </c>
      <c r="N919" s="564" t="str">
        <f t="shared" si="198"/>
        <v xml:space="preserve"> </v>
      </c>
      <c r="O919" s="638" t="s">
        <v>750</v>
      </c>
      <c r="P919" s="590">
        <v>2</v>
      </c>
      <c r="Q919" s="564">
        <f>IF(O919&lt;&gt;0,VLOOKUP(O919,'Cây trong'!$A$2:$C$246,3,0)," ")</f>
        <v>0</v>
      </c>
      <c r="R919" s="564">
        <f t="shared" si="189"/>
        <v>0</v>
      </c>
      <c r="S919" s="638"/>
      <c r="T919" s="640"/>
      <c r="U919" s="591"/>
      <c r="V919" s="680"/>
      <c r="W919" s="564" t="str">
        <f>IF(S919&lt;&gt;0,VLOOKUP(S919,VKT!$A$2:$G$415,7,0),"")</f>
        <v/>
      </c>
      <c r="X919" s="564" t="str">
        <f t="shared" si="195"/>
        <v xml:space="preserve"> </v>
      </c>
      <c r="Y919" s="589"/>
      <c r="Z919" s="592"/>
      <c r="AA919" s="592"/>
      <c r="AB919" s="568"/>
      <c r="AC919" s="592"/>
      <c r="AD919" s="592"/>
      <c r="AE919" s="592"/>
      <c r="AF919" s="590"/>
      <c r="AG919" s="570" t="str">
        <f>IF(AE919&lt;&gt;0,VLOOKUP(AE919,ODDS!$A$2:$C$13,3,0),"")</f>
        <v/>
      </c>
      <c r="AH919" s="570" t="str">
        <f t="shared" si="190"/>
        <v xml:space="preserve"> </v>
      </c>
      <c r="AI919" s="571" t="str">
        <f t="shared" si="196"/>
        <v xml:space="preserve"> </v>
      </c>
      <c r="AJ919" s="593"/>
      <c r="AK919" s="593"/>
    </row>
    <row r="920" spans="1:37" s="376" customFormat="1" ht="40.5" outlineLevel="2" x14ac:dyDescent="0.3">
      <c r="A920" s="447">
        <f t="shared" si="194"/>
        <v>72</v>
      </c>
      <c r="B920" s="557"/>
      <c r="C920" s="558"/>
      <c r="D920" s="587"/>
      <c r="E920" s="587"/>
      <c r="F920" s="560"/>
      <c r="G920" s="558"/>
      <c r="H920" s="588"/>
      <c r="I920" s="546"/>
      <c r="J920" s="589"/>
      <c r="K920" s="563" t="str">
        <f>IF(G920&lt;&gt;0,VLOOKUP(G920,'gia dat'!$A$1:$F$144,5,0)," ")</f>
        <v xml:space="preserve"> </v>
      </c>
      <c r="L920" s="563" t="str">
        <f>IF(G920&lt;&gt;0,VLOOKUP(G920,'gia dat'!$A$1:$F$144,6,0)," ")</f>
        <v xml:space="preserve"> </v>
      </c>
      <c r="M920" s="564" t="str">
        <f t="shared" si="197"/>
        <v xml:space="preserve"> </v>
      </c>
      <c r="N920" s="564" t="str">
        <f t="shared" si="198"/>
        <v xml:space="preserve"> </v>
      </c>
      <c r="O920" s="638" t="s">
        <v>778</v>
      </c>
      <c r="P920" s="590">
        <v>4</v>
      </c>
      <c r="Q920" s="564">
        <f>IF(O920&lt;&gt;0,VLOOKUP(O920,'Cây trong'!$A$2:$C$246,3,0)," ")</f>
        <v>150000</v>
      </c>
      <c r="R920" s="564">
        <f t="shared" si="189"/>
        <v>600000</v>
      </c>
      <c r="S920" s="638"/>
      <c r="T920" s="640"/>
      <c r="U920" s="591"/>
      <c r="V920" s="680"/>
      <c r="W920" s="564" t="str">
        <f>IF(S920&lt;&gt;0,VLOOKUP(S920,VKT!$A$2:$G$415,7,0),"")</f>
        <v/>
      </c>
      <c r="X920" s="564" t="str">
        <f t="shared" si="195"/>
        <v xml:space="preserve"> </v>
      </c>
      <c r="Y920" s="589"/>
      <c r="Z920" s="592"/>
      <c r="AA920" s="592"/>
      <c r="AB920" s="568"/>
      <c r="AC920" s="592"/>
      <c r="AD920" s="592"/>
      <c r="AE920" s="592"/>
      <c r="AF920" s="590"/>
      <c r="AG920" s="570" t="str">
        <f>IF(AE920&lt;&gt;0,VLOOKUP(AE920,ODDS!$A$2:$C$13,3,0),"")</f>
        <v/>
      </c>
      <c r="AH920" s="570" t="str">
        <f t="shared" si="190"/>
        <v xml:space="preserve"> </v>
      </c>
      <c r="AI920" s="571" t="str">
        <f t="shared" si="196"/>
        <v xml:space="preserve"> </v>
      </c>
      <c r="AJ920" s="593"/>
      <c r="AK920" s="593"/>
    </row>
    <row r="921" spans="1:37" s="376" customFormat="1" ht="40.5" outlineLevel="2" x14ac:dyDescent="0.3">
      <c r="A921" s="447">
        <f t="shared" si="194"/>
        <v>72</v>
      </c>
      <c r="B921" s="557"/>
      <c r="C921" s="558"/>
      <c r="D921" s="587"/>
      <c r="E921" s="587"/>
      <c r="F921" s="560"/>
      <c r="G921" s="558"/>
      <c r="H921" s="588"/>
      <c r="I921" s="546"/>
      <c r="J921" s="589"/>
      <c r="K921" s="563" t="str">
        <f>IF(G921&lt;&gt;0,VLOOKUP(G921,'gia dat'!$A$1:$F$144,5,0)," ")</f>
        <v xml:space="preserve"> </v>
      </c>
      <c r="L921" s="563" t="str">
        <f>IF(G921&lt;&gt;0,VLOOKUP(G921,'gia dat'!$A$1:$F$144,6,0)," ")</f>
        <v xml:space="preserve"> </v>
      </c>
      <c r="M921" s="564" t="str">
        <f t="shared" si="197"/>
        <v xml:space="preserve"> </v>
      </c>
      <c r="N921" s="564" t="str">
        <f t="shared" si="198"/>
        <v xml:space="preserve"> </v>
      </c>
      <c r="O921" s="638" t="s">
        <v>779</v>
      </c>
      <c r="P921" s="590">
        <v>3</v>
      </c>
      <c r="Q921" s="564">
        <f>IF(O921&lt;&gt;0,VLOOKUP(O921,'Cây trong'!$A$2:$C$246,3,0)," ")</f>
        <v>72000</v>
      </c>
      <c r="R921" s="564">
        <f t="shared" si="189"/>
        <v>216000</v>
      </c>
      <c r="S921" s="638"/>
      <c r="T921" s="640"/>
      <c r="U921" s="591"/>
      <c r="V921" s="680"/>
      <c r="W921" s="564" t="str">
        <f>IF(S921&lt;&gt;0,VLOOKUP(S921,VKT!$A$2:$G$415,7,0),"")</f>
        <v/>
      </c>
      <c r="X921" s="564" t="str">
        <f t="shared" si="195"/>
        <v xml:space="preserve"> </v>
      </c>
      <c r="Y921" s="589"/>
      <c r="Z921" s="592"/>
      <c r="AA921" s="592"/>
      <c r="AB921" s="568"/>
      <c r="AC921" s="592"/>
      <c r="AD921" s="592"/>
      <c r="AE921" s="592"/>
      <c r="AF921" s="590"/>
      <c r="AG921" s="570" t="str">
        <f>IF(AE921&lt;&gt;0,VLOOKUP(AE921,ODDS!$A$2:$C$13,3,0),"")</f>
        <v/>
      </c>
      <c r="AH921" s="570" t="str">
        <f t="shared" si="190"/>
        <v xml:space="preserve"> </v>
      </c>
      <c r="AI921" s="571" t="str">
        <f t="shared" si="196"/>
        <v xml:space="preserve"> </v>
      </c>
      <c r="AJ921" s="593"/>
      <c r="AK921" s="593"/>
    </row>
    <row r="922" spans="1:37" s="376" customFormat="1" ht="40.5" outlineLevel="2" x14ac:dyDescent="0.3">
      <c r="A922" s="447">
        <f t="shared" si="194"/>
        <v>72</v>
      </c>
      <c r="B922" s="557"/>
      <c r="C922" s="558"/>
      <c r="D922" s="587"/>
      <c r="E922" s="587"/>
      <c r="F922" s="560"/>
      <c r="G922" s="558"/>
      <c r="H922" s="588"/>
      <c r="I922" s="546"/>
      <c r="J922" s="589"/>
      <c r="K922" s="563" t="str">
        <f>IF(G922&lt;&gt;0,VLOOKUP(G922,'gia dat'!$A$1:$F$144,5,0)," ")</f>
        <v xml:space="preserve"> </v>
      </c>
      <c r="L922" s="563" t="str">
        <f>IF(G922&lt;&gt;0,VLOOKUP(G922,'gia dat'!$A$1:$F$144,6,0)," ")</f>
        <v xml:space="preserve"> </v>
      </c>
      <c r="M922" s="564" t="str">
        <f t="shared" si="197"/>
        <v xml:space="preserve"> </v>
      </c>
      <c r="N922" s="564" t="str">
        <f t="shared" si="198"/>
        <v xml:space="preserve"> </v>
      </c>
      <c r="O922" s="638" t="s">
        <v>2103</v>
      </c>
      <c r="P922" s="590">
        <v>11</v>
      </c>
      <c r="Q922" s="564">
        <f>IF(O922&lt;&gt;0,VLOOKUP(O922,'Cây trong'!$A$2:$C$246,3,0)," ")</f>
        <v>32000</v>
      </c>
      <c r="R922" s="564">
        <f t="shared" si="189"/>
        <v>352000</v>
      </c>
      <c r="S922" s="638"/>
      <c r="T922" s="640"/>
      <c r="U922" s="591"/>
      <c r="V922" s="680"/>
      <c r="W922" s="564" t="str">
        <f>IF(S922&lt;&gt;0,VLOOKUP(S922,VKT!$A$2:$G$415,7,0),"")</f>
        <v/>
      </c>
      <c r="X922" s="564" t="str">
        <f t="shared" si="195"/>
        <v xml:space="preserve"> </v>
      </c>
      <c r="Y922" s="589"/>
      <c r="Z922" s="592"/>
      <c r="AA922" s="592"/>
      <c r="AB922" s="568"/>
      <c r="AC922" s="592"/>
      <c r="AD922" s="592"/>
      <c r="AE922" s="592"/>
      <c r="AF922" s="590"/>
      <c r="AG922" s="570" t="str">
        <f>IF(AE922&lt;&gt;0,VLOOKUP(AE922,ODDS!$A$2:$C$13,3,0),"")</f>
        <v/>
      </c>
      <c r="AH922" s="570" t="str">
        <f t="shared" si="190"/>
        <v xml:space="preserve"> </v>
      </c>
      <c r="AI922" s="571" t="str">
        <f t="shared" si="196"/>
        <v xml:space="preserve"> </v>
      </c>
      <c r="AJ922" s="593"/>
      <c r="AK922" s="593"/>
    </row>
    <row r="923" spans="1:37" s="376" customFormat="1" ht="20.25" outlineLevel="2" x14ac:dyDescent="0.3">
      <c r="A923" s="447">
        <f t="shared" si="194"/>
        <v>72</v>
      </c>
      <c r="B923" s="557"/>
      <c r="C923" s="558"/>
      <c r="D923" s="587"/>
      <c r="E923" s="587"/>
      <c r="F923" s="560"/>
      <c r="G923" s="558"/>
      <c r="H923" s="588"/>
      <c r="I923" s="546"/>
      <c r="J923" s="589"/>
      <c r="K923" s="563" t="str">
        <f>IF(G923&lt;&gt;0,VLOOKUP(G923,'gia dat'!$A$1:$F$144,5,0)," ")</f>
        <v xml:space="preserve"> </v>
      </c>
      <c r="L923" s="563" t="str">
        <f>IF(G923&lt;&gt;0,VLOOKUP(G923,'gia dat'!$A$1:$F$144,6,0)," ")</f>
        <v xml:space="preserve"> </v>
      </c>
      <c r="M923" s="564" t="str">
        <f t="shared" si="197"/>
        <v xml:space="preserve"> </v>
      </c>
      <c r="N923" s="564" t="str">
        <f t="shared" si="198"/>
        <v xml:space="preserve"> </v>
      </c>
      <c r="O923" s="638" t="s">
        <v>781</v>
      </c>
      <c r="P923" s="590">
        <v>1</v>
      </c>
      <c r="Q923" s="564">
        <f>IF(O923&lt;&gt;0,VLOOKUP(O923,'Cây trong'!$A$2:$C$246,3,0)," ")</f>
        <v>120000</v>
      </c>
      <c r="R923" s="564">
        <f t="shared" si="189"/>
        <v>120000</v>
      </c>
      <c r="S923" s="638"/>
      <c r="T923" s="640"/>
      <c r="U923" s="591"/>
      <c r="V923" s="680"/>
      <c r="W923" s="564" t="str">
        <f>IF(S923&lt;&gt;0,VLOOKUP(S923,VKT!$A$2:$G$415,7,0),"")</f>
        <v/>
      </c>
      <c r="X923" s="564" t="str">
        <f t="shared" si="195"/>
        <v xml:space="preserve"> </v>
      </c>
      <c r="Y923" s="589"/>
      <c r="Z923" s="592"/>
      <c r="AA923" s="592"/>
      <c r="AB923" s="568"/>
      <c r="AC923" s="592"/>
      <c r="AD923" s="592"/>
      <c r="AE923" s="592"/>
      <c r="AF923" s="590"/>
      <c r="AG923" s="570" t="str">
        <f>IF(AE923&lt;&gt;0,VLOOKUP(AE923,ODDS!$A$2:$C$13,3,0),"")</f>
        <v/>
      </c>
      <c r="AH923" s="570" t="str">
        <f t="shared" si="190"/>
        <v xml:space="preserve"> </v>
      </c>
      <c r="AI923" s="571" t="str">
        <f t="shared" si="196"/>
        <v xml:space="preserve"> </v>
      </c>
      <c r="AJ923" s="593"/>
      <c r="AK923" s="593"/>
    </row>
    <row r="924" spans="1:37" s="376" customFormat="1" ht="20.25" outlineLevel="2" x14ac:dyDescent="0.3">
      <c r="A924" s="447">
        <f t="shared" si="194"/>
        <v>72</v>
      </c>
      <c r="B924" s="557"/>
      <c r="C924" s="558"/>
      <c r="D924" s="587"/>
      <c r="E924" s="587"/>
      <c r="F924" s="560"/>
      <c r="G924" s="558"/>
      <c r="H924" s="588"/>
      <c r="I924" s="546"/>
      <c r="J924" s="589"/>
      <c r="K924" s="563" t="str">
        <f>IF(G924&lt;&gt;0,VLOOKUP(G924,'gia dat'!$A$1:$F$144,5,0)," ")</f>
        <v xml:space="preserve"> </v>
      </c>
      <c r="L924" s="563" t="str">
        <f>IF(G924&lt;&gt;0,VLOOKUP(G924,'gia dat'!$A$1:$F$144,6,0)," ")</f>
        <v xml:space="preserve"> </v>
      </c>
      <c r="M924" s="564" t="str">
        <f t="shared" si="197"/>
        <v xml:space="preserve"> </v>
      </c>
      <c r="N924" s="564" t="str">
        <f t="shared" si="198"/>
        <v xml:space="preserve"> </v>
      </c>
      <c r="O924" s="638" t="s">
        <v>782</v>
      </c>
      <c r="P924" s="590">
        <v>20</v>
      </c>
      <c r="Q924" s="564">
        <f>IF(O924&lt;&gt;0,VLOOKUP(O924,'Cây trong'!$A$2:$C$246,3,0)," ")</f>
        <v>60000</v>
      </c>
      <c r="R924" s="564">
        <f t="shared" si="189"/>
        <v>1200000</v>
      </c>
      <c r="S924" s="638"/>
      <c r="T924" s="640"/>
      <c r="U924" s="591"/>
      <c r="V924" s="680"/>
      <c r="W924" s="564" t="str">
        <f>IF(S924&lt;&gt;0,VLOOKUP(S924,VKT!$A$2:$G$415,7,0),"")</f>
        <v/>
      </c>
      <c r="X924" s="564" t="str">
        <f t="shared" si="195"/>
        <v xml:space="preserve"> </v>
      </c>
      <c r="Y924" s="589"/>
      <c r="Z924" s="592"/>
      <c r="AA924" s="592"/>
      <c r="AB924" s="568"/>
      <c r="AC924" s="592"/>
      <c r="AD924" s="592"/>
      <c r="AE924" s="592"/>
      <c r="AF924" s="590"/>
      <c r="AG924" s="570" t="str">
        <f>IF(AE924&lt;&gt;0,VLOOKUP(AE924,ODDS!$A$2:$C$13,3,0),"")</f>
        <v/>
      </c>
      <c r="AH924" s="570" t="str">
        <f t="shared" si="190"/>
        <v xml:space="preserve"> </v>
      </c>
      <c r="AI924" s="571" t="str">
        <f t="shared" si="196"/>
        <v xml:space="preserve"> </v>
      </c>
      <c r="AJ924" s="593"/>
      <c r="AK924" s="593"/>
    </row>
    <row r="925" spans="1:37" s="376" customFormat="1" ht="20.25" outlineLevel="2" x14ac:dyDescent="0.3">
      <c r="A925" s="447">
        <f t="shared" si="194"/>
        <v>72</v>
      </c>
      <c r="B925" s="557"/>
      <c r="C925" s="558"/>
      <c r="D925" s="587"/>
      <c r="E925" s="587"/>
      <c r="F925" s="560"/>
      <c r="G925" s="558"/>
      <c r="H925" s="588"/>
      <c r="I925" s="546"/>
      <c r="J925" s="589"/>
      <c r="K925" s="563" t="str">
        <f>IF(G925&lt;&gt;0,VLOOKUP(G925,'gia dat'!$A$1:$F$144,5,0)," ")</f>
        <v xml:space="preserve"> </v>
      </c>
      <c r="L925" s="563" t="str">
        <f>IF(G925&lt;&gt;0,VLOOKUP(G925,'gia dat'!$A$1:$F$144,6,0)," ")</f>
        <v xml:space="preserve"> </v>
      </c>
      <c r="M925" s="564" t="str">
        <f t="shared" si="197"/>
        <v xml:space="preserve"> </v>
      </c>
      <c r="N925" s="564" t="str">
        <f t="shared" si="198"/>
        <v xml:space="preserve"> </v>
      </c>
      <c r="O925" s="638" t="s">
        <v>277</v>
      </c>
      <c r="P925" s="590">
        <v>2</v>
      </c>
      <c r="Q925" s="564">
        <f>IF(O925&lt;&gt;0,VLOOKUP(O925,'Cây trong'!$A$2:$C$246,3,0)," ")</f>
        <v>807000</v>
      </c>
      <c r="R925" s="564">
        <f t="shared" ref="R925:R994" si="199">IF(O925&lt;&gt;0,ROUND(P925*Q925,-2)," ")</f>
        <v>1614000</v>
      </c>
      <c r="S925" s="638"/>
      <c r="T925" s="640"/>
      <c r="U925" s="591"/>
      <c r="V925" s="680"/>
      <c r="W925" s="564" t="str">
        <f>IF(S925&lt;&gt;0,VLOOKUP(S925,VKT!$A$2:$G$415,7,0),"")</f>
        <v/>
      </c>
      <c r="X925" s="564" t="str">
        <f t="shared" si="195"/>
        <v xml:space="preserve"> </v>
      </c>
      <c r="Y925" s="589"/>
      <c r="Z925" s="592"/>
      <c r="AA925" s="592"/>
      <c r="AB925" s="568"/>
      <c r="AC925" s="592"/>
      <c r="AD925" s="592"/>
      <c r="AE925" s="592"/>
      <c r="AF925" s="590"/>
      <c r="AG925" s="570" t="str">
        <f>IF(AE925&lt;&gt;0,VLOOKUP(AE925,ODDS!$A$2:$C$13,3,0),"")</f>
        <v/>
      </c>
      <c r="AH925" s="570" t="str">
        <f t="shared" ref="AH925:AH994" si="200">IF(AE925&lt;&gt;0,ROUND(AF925*AG925,-2)," ")</f>
        <v xml:space="preserve"> </v>
      </c>
      <c r="AI925" s="571" t="str">
        <f t="shared" si="196"/>
        <v xml:space="preserve"> </v>
      </c>
      <c r="AJ925" s="593"/>
      <c r="AK925" s="593"/>
    </row>
    <row r="926" spans="1:37" s="376" customFormat="1" ht="20.25" outlineLevel="2" x14ac:dyDescent="0.3">
      <c r="A926" s="447">
        <f t="shared" si="194"/>
        <v>72</v>
      </c>
      <c r="B926" s="557"/>
      <c r="C926" s="558"/>
      <c r="D926" s="587"/>
      <c r="E926" s="587"/>
      <c r="F926" s="560"/>
      <c r="G926" s="558"/>
      <c r="H926" s="588"/>
      <c r="I926" s="546"/>
      <c r="J926" s="589"/>
      <c r="K926" s="563" t="str">
        <f>IF(G926&lt;&gt;0,VLOOKUP(G926,'gia dat'!$A$1:$F$144,5,0)," ")</f>
        <v xml:space="preserve"> </v>
      </c>
      <c r="L926" s="563" t="str">
        <f>IF(G926&lt;&gt;0,VLOOKUP(G926,'gia dat'!$A$1:$F$144,6,0)," ")</f>
        <v xml:space="preserve"> </v>
      </c>
      <c r="M926" s="564" t="str">
        <f t="shared" si="197"/>
        <v xml:space="preserve"> </v>
      </c>
      <c r="N926" s="564" t="str">
        <f t="shared" si="198"/>
        <v xml:space="preserve"> </v>
      </c>
      <c r="O926" s="638" t="s">
        <v>738</v>
      </c>
      <c r="P926" s="590">
        <v>3</v>
      </c>
      <c r="Q926" s="564">
        <f>IF(O926&lt;&gt;0,VLOOKUP(O926,'Cây trong'!$A$2:$C$246,3,0)," ")</f>
        <v>0</v>
      </c>
      <c r="R926" s="564">
        <f t="shared" si="199"/>
        <v>0</v>
      </c>
      <c r="S926" s="638"/>
      <c r="T926" s="640"/>
      <c r="U926" s="591"/>
      <c r="V926" s="680"/>
      <c r="W926" s="564" t="str">
        <f>IF(S926&lt;&gt;0,VLOOKUP(S926,VKT!$A$2:$G$415,7,0),"")</f>
        <v/>
      </c>
      <c r="X926" s="564" t="str">
        <f t="shared" si="195"/>
        <v xml:space="preserve"> </v>
      </c>
      <c r="Y926" s="589"/>
      <c r="Z926" s="592"/>
      <c r="AA926" s="592"/>
      <c r="AB926" s="568"/>
      <c r="AC926" s="592"/>
      <c r="AD926" s="592"/>
      <c r="AE926" s="592"/>
      <c r="AF926" s="590"/>
      <c r="AG926" s="570" t="str">
        <f>IF(AE926&lt;&gt;0,VLOOKUP(AE926,ODDS!$A$2:$C$13,3,0),"")</f>
        <v/>
      </c>
      <c r="AH926" s="570" t="str">
        <f t="shared" si="200"/>
        <v xml:space="preserve"> </v>
      </c>
      <c r="AI926" s="571" t="str">
        <f t="shared" si="196"/>
        <v xml:space="preserve"> </v>
      </c>
      <c r="AJ926" s="593"/>
      <c r="AK926" s="593"/>
    </row>
    <row r="927" spans="1:37" s="376" customFormat="1" ht="20.25" outlineLevel="2" x14ac:dyDescent="0.3">
      <c r="A927" s="447">
        <f t="shared" si="194"/>
        <v>72</v>
      </c>
      <c r="B927" s="557"/>
      <c r="C927" s="558"/>
      <c r="D927" s="587"/>
      <c r="E927" s="587"/>
      <c r="F927" s="560"/>
      <c r="G927" s="558"/>
      <c r="H927" s="588"/>
      <c r="I927" s="546"/>
      <c r="J927" s="589"/>
      <c r="K927" s="563" t="str">
        <f>IF(G927&lt;&gt;0,VLOOKUP(G927,'gia dat'!$A$1:$F$144,5,0)," ")</f>
        <v xml:space="preserve"> </v>
      </c>
      <c r="L927" s="563" t="str">
        <f>IF(G927&lt;&gt;0,VLOOKUP(G927,'gia dat'!$A$1:$F$144,6,0)," ")</f>
        <v xml:space="preserve"> </v>
      </c>
      <c r="M927" s="564" t="str">
        <f t="shared" si="197"/>
        <v xml:space="preserve"> </v>
      </c>
      <c r="N927" s="564" t="str">
        <f t="shared" si="198"/>
        <v xml:space="preserve"> </v>
      </c>
      <c r="O927" s="638" t="s">
        <v>783</v>
      </c>
      <c r="P927" s="590">
        <v>1</v>
      </c>
      <c r="Q927" s="564">
        <f>IF(O927&lt;&gt;0,VLOOKUP(O927,'Cây trong'!$A$2:$C$246,3,0)," ")</f>
        <v>60000</v>
      </c>
      <c r="R927" s="564">
        <f t="shared" si="199"/>
        <v>60000</v>
      </c>
      <c r="S927" s="638"/>
      <c r="T927" s="640"/>
      <c r="U927" s="591"/>
      <c r="V927" s="680"/>
      <c r="W927" s="564" t="str">
        <f>IF(S927&lt;&gt;0,VLOOKUP(S927,VKT!$A$2:$G$415,7,0),"")</f>
        <v/>
      </c>
      <c r="X927" s="564" t="str">
        <f t="shared" si="195"/>
        <v xml:space="preserve"> </v>
      </c>
      <c r="Y927" s="589"/>
      <c r="Z927" s="592"/>
      <c r="AA927" s="592"/>
      <c r="AB927" s="568"/>
      <c r="AC927" s="592"/>
      <c r="AD927" s="592"/>
      <c r="AE927" s="592"/>
      <c r="AF927" s="590"/>
      <c r="AG927" s="570" t="str">
        <f>IF(AE927&lt;&gt;0,VLOOKUP(AE927,ODDS!$A$2:$C$13,3,0),"")</f>
        <v/>
      </c>
      <c r="AH927" s="570" t="str">
        <f t="shared" si="200"/>
        <v xml:space="preserve"> </v>
      </c>
      <c r="AI927" s="571" t="str">
        <f t="shared" si="196"/>
        <v xml:space="preserve"> </v>
      </c>
      <c r="AJ927" s="593"/>
      <c r="AK927" s="593"/>
    </row>
    <row r="928" spans="1:37" s="376" customFormat="1" ht="20.25" outlineLevel="2" x14ac:dyDescent="0.3">
      <c r="A928" s="447">
        <f t="shared" si="194"/>
        <v>72</v>
      </c>
      <c r="B928" s="557"/>
      <c r="C928" s="558"/>
      <c r="D928" s="587"/>
      <c r="E928" s="587"/>
      <c r="F928" s="560"/>
      <c r="G928" s="558"/>
      <c r="H928" s="588"/>
      <c r="I928" s="546"/>
      <c r="J928" s="589"/>
      <c r="K928" s="563" t="str">
        <f>IF(G928&lt;&gt;0,VLOOKUP(G928,'gia dat'!$A$1:$F$144,5,0)," ")</f>
        <v xml:space="preserve"> </v>
      </c>
      <c r="L928" s="563" t="str">
        <f>IF(G928&lt;&gt;0,VLOOKUP(G928,'gia dat'!$A$1:$F$144,6,0)," ")</f>
        <v xml:space="preserve"> </v>
      </c>
      <c r="M928" s="564" t="str">
        <f t="shared" si="197"/>
        <v xml:space="preserve"> </v>
      </c>
      <c r="N928" s="564" t="str">
        <f t="shared" si="198"/>
        <v xml:space="preserve"> </v>
      </c>
      <c r="O928" s="638" t="s">
        <v>168</v>
      </c>
      <c r="P928" s="590">
        <v>5</v>
      </c>
      <c r="Q928" s="564">
        <f>IF(O928&lt;&gt;0,VLOOKUP(O928,'Cây trong'!$A$2:$C$246,3,0)," ")</f>
        <v>580000</v>
      </c>
      <c r="R928" s="564">
        <f t="shared" si="199"/>
        <v>2900000</v>
      </c>
      <c r="S928" s="638"/>
      <c r="T928" s="640"/>
      <c r="U928" s="591"/>
      <c r="V928" s="680"/>
      <c r="W928" s="564" t="str">
        <f>IF(S928&lt;&gt;0,VLOOKUP(S928,VKT!$A$2:$G$415,7,0),"")</f>
        <v/>
      </c>
      <c r="X928" s="564" t="str">
        <f t="shared" si="195"/>
        <v xml:space="preserve"> </v>
      </c>
      <c r="Y928" s="589"/>
      <c r="Z928" s="592"/>
      <c r="AA928" s="592"/>
      <c r="AB928" s="568"/>
      <c r="AC928" s="592"/>
      <c r="AD928" s="592"/>
      <c r="AE928" s="592"/>
      <c r="AF928" s="590"/>
      <c r="AG928" s="570" t="str">
        <f>IF(AE928&lt;&gt;0,VLOOKUP(AE928,ODDS!$A$2:$C$13,3,0),"")</f>
        <v/>
      </c>
      <c r="AH928" s="570" t="str">
        <f t="shared" si="200"/>
        <v xml:space="preserve"> </v>
      </c>
      <c r="AI928" s="571" t="str">
        <f t="shared" si="196"/>
        <v xml:space="preserve"> </v>
      </c>
      <c r="AJ928" s="593"/>
      <c r="AK928" s="593"/>
    </row>
    <row r="929" spans="1:37" s="376" customFormat="1" ht="40.5" outlineLevel="2" x14ac:dyDescent="0.3">
      <c r="A929" s="447">
        <f t="shared" si="194"/>
        <v>72</v>
      </c>
      <c r="B929" s="557"/>
      <c r="C929" s="558"/>
      <c r="D929" s="587"/>
      <c r="E929" s="587"/>
      <c r="F929" s="560"/>
      <c r="G929" s="558"/>
      <c r="H929" s="588"/>
      <c r="I929" s="546"/>
      <c r="J929" s="589"/>
      <c r="K929" s="563" t="str">
        <f>IF(G929&lt;&gt;0,VLOOKUP(G929,'gia dat'!$A$1:$F$144,5,0)," ")</f>
        <v xml:space="preserve"> </v>
      </c>
      <c r="L929" s="563" t="str">
        <f>IF(G929&lt;&gt;0,VLOOKUP(G929,'gia dat'!$A$1:$F$144,6,0)," ")</f>
        <v xml:space="preserve"> </v>
      </c>
      <c r="M929" s="564" t="str">
        <f t="shared" si="197"/>
        <v xml:space="preserve"> </v>
      </c>
      <c r="N929" s="564" t="str">
        <f t="shared" si="198"/>
        <v xml:space="preserve"> </v>
      </c>
      <c r="O929" s="638" t="s">
        <v>278</v>
      </c>
      <c r="P929" s="590">
        <v>1</v>
      </c>
      <c r="Q929" s="564">
        <f>IF(O929&lt;&gt;0,VLOOKUP(O929,'Cây trong'!$A$2:$C$246,3,0)," ")</f>
        <v>554000</v>
      </c>
      <c r="R929" s="564">
        <f t="shared" si="199"/>
        <v>554000</v>
      </c>
      <c r="S929" s="638"/>
      <c r="T929" s="640"/>
      <c r="U929" s="591"/>
      <c r="V929" s="680"/>
      <c r="W929" s="564" t="str">
        <f>IF(S929&lt;&gt;0,VLOOKUP(S929,VKT!$A$2:$G$415,7,0),"")</f>
        <v/>
      </c>
      <c r="X929" s="564" t="str">
        <f t="shared" si="195"/>
        <v xml:space="preserve"> </v>
      </c>
      <c r="Y929" s="589"/>
      <c r="Z929" s="592"/>
      <c r="AA929" s="592"/>
      <c r="AB929" s="568"/>
      <c r="AC929" s="592"/>
      <c r="AD929" s="592"/>
      <c r="AE929" s="592"/>
      <c r="AF929" s="590"/>
      <c r="AG929" s="570" t="str">
        <f>IF(AE929&lt;&gt;0,VLOOKUP(AE929,ODDS!$A$2:$C$13,3,0),"")</f>
        <v/>
      </c>
      <c r="AH929" s="570" t="str">
        <f t="shared" si="200"/>
        <v xml:space="preserve"> </v>
      </c>
      <c r="AI929" s="571" t="str">
        <f t="shared" si="196"/>
        <v xml:space="preserve"> </v>
      </c>
      <c r="AJ929" s="593"/>
      <c r="AK929" s="593"/>
    </row>
    <row r="930" spans="1:37" s="376" customFormat="1" ht="20.25" outlineLevel="2" x14ac:dyDescent="0.3">
      <c r="A930" s="447">
        <f t="shared" si="194"/>
        <v>72</v>
      </c>
      <c r="B930" s="557"/>
      <c r="C930" s="558"/>
      <c r="D930" s="587"/>
      <c r="E930" s="587"/>
      <c r="F930" s="560"/>
      <c r="G930" s="558"/>
      <c r="H930" s="588"/>
      <c r="I930" s="546"/>
      <c r="J930" s="589"/>
      <c r="K930" s="563" t="str">
        <f>IF(G930&lt;&gt;0,VLOOKUP(G930,'gia dat'!$A$1:$F$144,5,0)," ")</f>
        <v xml:space="preserve"> </v>
      </c>
      <c r="L930" s="563" t="str">
        <f>IF(G930&lt;&gt;0,VLOOKUP(G930,'gia dat'!$A$1:$F$144,6,0)," ")</f>
        <v xml:space="preserve"> </v>
      </c>
      <c r="M930" s="564" t="str">
        <f t="shared" si="197"/>
        <v xml:space="preserve"> </v>
      </c>
      <c r="N930" s="564" t="str">
        <f t="shared" si="198"/>
        <v xml:space="preserve"> </v>
      </c>
      <c r="O930" s="638" t="s">
        <v>726</v>
      </c>
      <c r="P930" s="590">
        <v>1</v>
      </c>
      <c r="Q930" s="564">
        <f>IF(O930&lt;&gt;0,VLOOKUP(O930,'Cây trong'!$A$2:$C$246,3,0)," ")</f>
        <v>60000</v>
      </c>
      <c r="R930" s="564">
        <f t="shared" si="199"/>
        <v>60000</v>
      </c>
      <c r="S930" s="638"/>
      <c r="T930" s="640"/>
      <c r="U930" s="591"/>
      <c r="V930" s="680"/>
      <c r="W930" s="564" t="str">
        <f>IF(S930&lt;&gt;0,VLOOKUP(S930,VKT!$A$2:$G$415,7,0),"")</f>
        <v/>
      </c>
      <c r="X930" s="564" t="str">
        <f t="shared" si="195"/>
        <v xml:space="preserve"> </v>
      </c>
      <c r="Y930" s="589"/>
      <c r="Z930" s="592"/>
      <c r="AA930" s="592"/>
      <c r="AB930" s="568"/>
      <c r="AC930" s="592"/>
      <c r="AD930" s="592"/>
      <c r="AE930" s="592"/>
      <c r="AF930" s="590"/>
      <c r="AG930" s="570" t="str">
        <f>IF(AE930&lt;&gt;0,VLOOKUP(AE930,ODDS!$A$2:$C$13,3,0),"")</f>
        <v/>
      </c>
      <c r="AH930" s="570" t="str">
        <f t="shared" si="200"/>
        <v xml:space="preserve"> </v>
      </c>
      <c r="AI930" s="571" t="str">
        <f t="shared" si="196"/>
        <v xml:space="preserve"> </v>
      </c>
      <c r="AJ930" s="593"/>
      <c r="AK930" s="593"/>
    </row>
    <row r="931" spans="1:37" s="376" customFormat="1" ht="81" outlineLevel="2" x14ac:dyDescent="0.3">
      <c r="A931" s="447">
        <f t="shared" si="194"/>
        <v>72</v>
      </c>
      <c r="B931" s="557"/>
      <c r="C931" s="558"/>
      <c r="D931" s="587"/>
      <c r="E931" s="587"/>
      <c r="F931" s="560"/>
      <c r="G931" s="558"/>
      <c r="H931" s="588"/>
      <c r="I931" s="546"/>
      <c r="J931" s="589"/>
      <c r="K931" s="563" t="str">
        <f>IF(G931&lt;&gt;0,VLOOKUP(G931,'gia dat'!$A$1:$F$144,5,0)," ")</f>
        <v xml:space="preserve"> </v>
      </c>
      <c r="L931" s="563" t="str">
        <f>IF(G931&lt;&gt;0,VLOOKUP(G931,'gia dat'!$A$1:$F$144,6,0)," ")</f>
        <v xml:space="preserve"> </v>
      </c>
      <c r="M931" s="564" t="str">
        <f t="shared" si="197"/>
        <v xml:space="preserve"> </v>
      </c>
      <c r="N931" s="564" t="str">
        <f t="shared" si="198"/>
        <v xml:space="preserve"> </v>
      </c>
      <c r="O931" s="638" t="s">
        <v>788</v>
      </c>
      <c r="P931" s="590">
        <v>172</v>
      </c>
      <c r="Q931" s="564">
        <f>IF(O931&lt;&gt;0,VLOOKUP(O931,'Cây trong'!$A$2:$C$246,3,0)," ")</f>
        <v>120000</v>
      </c>
      <c r="R931" s="564">
        <f t="shared" si="199"/>
        <v>20640000</v>
      </c>
      <c r="S931" s="638"/>
      <c r="T931" s="640"/>
      <c r="U931" s="591"/>
      <c r="V931" s="680"/>
      <c r="W931" s="564" t="str">
        <f>IF(S931&lt;&gt;0,VLOOKUP(S931,VKT!$A$2:$G$415,7,0),"")</f>
        <v/>
      </c>
      <c r="X931" s="564" t="str">
        <f t="shared" si="195"/>
        <v xml:space="preserve"> </v>
      </c>
      <c r="Y931" s="589"/>
      <c r="Z931" s="592"/>
      <c r="AA931" s="592"/>
      <c r="AB931" s="568"/>
      <c r="AC931" s="592"/>
      <c r="AD931" s="592"/>
      <c r="AE931" s="592"/>
      <c r="AF931" s="590"/>
      <c r="AG931" s="570" t="str">
        <f>IF(AE931&lt;&gt;0,VLOOKUP(AE931,ODDS!$A$2:$C$13,3,0),"")</f>
        <v/>
      </c>
      <c r="AH931" s="570" t="str">
        <f t="shared" si="200"/>
        <v xml:space="preserve"> </v>
      </c>
      <c r="AI931" s="571" t="str">
        <f t="shared" si="196"/>
        <v xml:space="preserve"> </v>
      </c>
      <c r="AJ931" s="593"/>
      <c r="AK931" s="593"/>
    </row>
    <row r="932" spans="1:37" s="376" customFormat="1" ht="81" outlineLevel="2" x14ac:dyDescent="0.3">
      <c r="A932" s="447">
        <f t="shared" si="194"/>
        <v>72</v>
      </c>
      <c r="B932" s="557"/>
      <c r="C932" s="558"/>
      <c r="D932" s="587"/>
      <c r="E932" s="587"/>
      <c r="F932" s="560"/>
      <c r="G932" s="558"/>
      <c r="H932" s="588"/>
      <c r="I932" s="546"/>
      <c r="J932" s="589"/>
      <c r="K932" s="563" t="str">
        <f>IF(G932&lt;&gt;0,VLOOKUP(G932,'gia dat'!$A$1:$F$144,5,0)," ")</f>
        <v xml:space="preserve"> </v>
      </c>
      <c r="L932" s="563" t="str">
        <f>IF(G932&lt;&gt;0,VLOOKUP(G932,'gia dat'!$A$1:$F$144,6,0)," ")</f>
        <v xml:space="preserve"> </v>
      </c>
      <c r="M932" s="564" t="str">
        <f t="shared" si="197"/>
        <v xml:space="preserve"> </v>
      </c>
      <c r="N932" s="564" t="str">
        <f t="shared" si="198"/>
        <v xml:space="preserve"> </v>
      </c>
      <c r="O932" s="638" t="s">
        <v>789</v>
      </c>
      <c r="P932" s="590">
        <v>39</v>
      </c>
      <c r="Q932" s="564">
        <f>IF(O932&lt;&gt;0,VLOOKUP(O932,'Cây trong'!$A$2:$C$246,3,0)," ")</f>
        <v>84000</v>
      </c>
      <c r="R932" s="564">
        <f t="shared" si="199"/>
        <v>3276000</v>
      </c>
      <c r="S932" s="638"/>
      <c r="T932" s="640"/>
      <c r="U932" s="591"/>
      <c r="V932" s="680"/>
      <c r="W932" s="564" t="str">
        <f>IF(S932&lt;&gt;0,VLOOKUP(S932,VKT!$A$2:$G$415,7,0),"")</f>
        <v/>
      </c>
      <c r="X932" s="564" t="str">
        <f t="shared" si="195"/>
        <v xml:space="preserve"> </v>
      </c>
      <c r="Y932" s="589"/>
      <c r="Z932" s="592"/>
      <c r="AA932" s="592"/>
      <c r="AB932" s="568"/>
      <c r="AC932" s="592"/>
      <c r="AD932" s="592"/>
      <c r="AE932" s="592"/>
      <c r="AF932" s="590"/>
      <c r="AG932" s="570" t="str">
        <f>IF(AE932&lt;&gt;0,VLOOKUP(AE932,ODDS!$A$2:$C$13,3,0),"")</f>
        <v/>
      </c>
      <c r="AH932" s="570" t="str">
        <f t="shared" si="200"/>
        <v xml:space="preserve"> </v>
      </c>
      <c r="AI932" s="571" t="str">
        <f t="shared" si="196"/>
        <v xml:space="preserve"> </v>
      </c>
      <c r="AJ932" s="593"/>
      <c r="AK932" s="593"/>
    </row>
    <row r="933" spans="1:37" s="376" customFormat="1" ht="40.5" outlineLevel="2" x14ac:dyDescent="0.3">
      <c r="A933" s="447">
        <f t="shared" si="194"/>
        <v>72</v>
      </c>
      <c r="B933" s="557"/>
      <c r="C933" s="558"/>
      <c r="D933" s="587"/>
      <c r="E933" s="587"/>
      <c r="F933" s="560"/>
      <c r="G933" s="558"/>
      <c r="H933" s="588"/>
      <c r="I933" s="546"/>
      <c r="J933" s="589"/>
      <c r="K933" s="563" t="str">
        <f>IF(G933&lt;&gt;0,VLOOKUP(G933,'gia dat'!$A$1:$F$144,5,0)," ")</f>
        <v xml:space="preserve"> </v>
      </c>
      <c r="L933" s="563" t="str">
        <f>IF(G933&lt;&gt;0,VLOOKUP(G933,'gia dat'!$A$1:$F$144,6,0)," ")</f>
        <v xml:space="preserve"> </v>
      </c>
      <c r="M933" s="564" t="str">
        <f t="shared" si="197"/>
        <v xml:space="preserve"> </v>
      </c>
      <c r="N933" s="564" t="str">
        <f t="shared" si="198"/>
        <v xml:space="preserve"> </v>
      </c>
      <c r="O933" s="638" t="s">
        <v>347</v>
      </c>
      <c r="P933" s="590">
        <v>675</v>
      </c>
      <c r="Q933" s="564">
        <f>IF(O933&lt;&gt;0,VLOOKUP(O933,'Cây trong'!$A$2:$C$246,3,0)," ")</f>
        <v>12000</v>
      </c>
      <c r="R933" s="564">
        <f>IF(O933&lt;&gt;0,ROUND(P933*Q933,-2)," ")</f>
        <v>8100000</v>
      </c>
      <c r="S933" s="638"/>
      <c r="T933" s="640"/>
      <c r="U933" s="591"/>
      <c r="V933" s="680"/>
      <c r="W933" s="564" t="str">
        <f>IF(S933&lt;&gt;0,VLOOKUP(S933,VKT!$A$2:$G$415,7,0),"")</f>
        <v/>
      </c>
      <c r="X933" s="564" t="str">
        <f t="shared" si="195"/>
        <v xml:space="preserve"> </v>
      </c>
      <c r="Y933" s="589"/>
      <c r="Z933" s="592"/>
      <c r="AA933" s="592"/>
      <c r="AB933" s="568"/>
      <c r="AC933" s="592"/>
      <c r="AD933" s="592"/>
      <c r="AE933" s="592"/>
      <c r="AF933" s="590"/>
      <c r="AG933" s="570" t="str">
        <f>IF(AE933&lt;&gt;0,VLOOKUP(AE933,ODDS!$A$2:$C$13,3,0),"")</f>
        <v/>
      </c>
      <c r="AH933" s="570" t="str">
        <f t="shared" si="200"/>
        <v xml:space="preserve"> </v>
      </c>
      <c r="AI933" s="571" t="str">
        <f t="shared" si="196"/>
        <v xml:space="preserve"> </v>
      </c>
      <c r="AJ933" s="593"/>
      <c r="AK933" s="593"/>
    </row>
    <row r="934" spans="1:37" s="376" customFormat="1" ht="20.25" outlineLevel="2" x14ac:dyDescent="0.3">
      <c r="A934" s="447">
        <f t="shared" si="194"/>
        <v>72</v>
      </c>
      <c r="B934" s="557"/>
      <c r="C934" s="558"/>
      <c r="D934" s="587"/>
      <c r="E934" s="587"/>
      <c r="F934" s="560"/>
      <c r="G934" s="558"/>
      <c r="H934" s="588"/>
      <c r="I934" s="546"/>
      <c r="J934" s="589"/>
      <c r="K934" s="563" t="str">
        <f>IF(G934&lt;&gt;0,VLOOKUP(G934,'gia dat'!$A$1:$F$144,5,0)," ")</f>
        <v xml:space="preserve"> </v>
      </c>
      <c r="L934" s="563" t="str">
        <f>IF(G934&lt;&gt;0,VLOOKUP(G934,'gia dat'!$A$1:$F$144,6,0)," ")</f>
        <v xml:space="preserve"> </v>
      </c>
      <c r="M934" s="564" t="str">
        <f t="shared" si="197"/>
        <v xml:space="preserve"> </v>
      </c>
      <c r="N934" s="564" t="str">
        <f t="shared" si="198"/>
        <v xml:space="preserve"> </v>
      </c>
      <c r="O934" s="593"/>
      <c r="P934" s="616"/>
      <c r="Q934" s="564" t="str">
        <f>IF(O934&lt;&gt;0,VLOOKUP(O934,'Cây trong'!$A$2:$C$246,3,0)," ")</f>
        <v xml:space="preserve"> </v>
      </c>
      <c r="R934" s="564" t="str">
        <f t="shared" si="199"/>
        <v xml:space="preserve"> </v>
      </c>
      <c r="S934" s="638"/>
      <c r="T934" s="640"/>
      <c r="U934" s="591"/>
      <c r="V934" s="680"/>
      <c r="W934" s="564" t="str">
        <f>IF(S934&lt;&gt;0,VLOOKUP(S934,VKT!$A$2:$G$415,7,0),"")</f>
        <v/>
      </c>
      <c r="X934" s="564" t="str">
        <f t="shared" si="195"/>
        <v xml:space="preserve"> </v>
      </c>
      <c r="Y934" s="589"/>
      <c r="Z934" s="592"/>
      <c r="AA934" s="592"/>
      <c r="AB934" s="568"/>
      <c r="AC934" s="592"/>
      <c r="AD934" s="592"/>
      <c r="AE934" s="592"/>
      <c r="AF934" s="590"/>
      <c r="AG934" s="570" t="str">
        <f>IF(AE934&lt;&gt;0,VLOOKUP(AE934,ODDS!$A$2:$C$13,3,0),"")</f>
        <v/>
      </c>
      <c r="AH934" s="570" t="str">
        <f t="shared" si="200"/>
        <v xml:space="preserve"> </v>
      </c>
      <c r="AI934" s="571" t="str">
        <f t="shared" si="196"/>
        <v xml:space="preserve"> </v>
      </c>
      <c r="AJ934" s="593"/>
      <c r="AK934" s="593"/>
    </row>
    <row r="935" spans="1:37" s="376" customFormat="1" ht="20.25" outlineLevel="2" x14ac:dyDescent="0.3">
      <c r="A935" s="447">
        <f t="shared" si="194"/>
        <v>72</v>
      </c>
      <c r="B935" s="557"/>
      <c r="C935" s="558"/>
      <c r="D935" s="587"/>
      <c r="E935" s="587"/>
      <c r="F935" s="560"/>
      <c r="G935" s="558"/>
      <c r="H935" s="588"/>
      <c r="I935" s="546"/>
      <c r="J935" s="589"/>
      <c r="K935" s="563" t="str">
        <f>IF(G935&lt;&gt;0,VLOOKUP(G935,'gia dat'!$A$1:$F$144,5,0)," ")</f>
        <v xml:space="preserve"> </v>
      </c>
      <c r="L935" s="563" t="str">
        <f>IF(G935&lt;&gt;0,VLOOKUP(G935,'gia dat'!$A$1:$F$144,6,0)," ")</f>
        <v xml:space="preserve"> </v>
      </c>
      <c r="M935" s="564" t="str">
        <f t="shared" si="197"/>
        <v xml:space="preserve"> </v>
      </c>
      <c r="N935" s="564" t="str">
        <f t="shared" si="198"/>
        <v xml:space="preserve"> </v>
      </c>
      <c r="O935" s="593"/>
      <c r="P935" s="616"/>
      <c r="Q935" s="564" t="str">
        <f>IF(O935&lt;&gt;0,VLOOKUP(O935,'Cây trong'!$A$2:$C$246,3,0)," ")</f>
        <v xml:space="preserve"> </v>
      </c>
      <c r="R935" s="564" t="str">
        <f t="shared" si="199"/>
        <v xml:space="preserve"> </v>
      </c>
      <c r="S935" s="638"/>
      <c r="T935" s="640"/>
      <c r="U935" s="591"/>
      <c r="V935" s="680"/>
      <c r="W935" s="564" t="str">
        <f>IF(S935&lt;&gt;0,VLOOKUP(S935,VKT!$A$2:$G$415,7,0),"")</f>
        <v/>
      </c>
      <c r="X935" s="564" t="str">
        <f t="shared" si="195"/>
        <v xml:space="preserve"> </v>
      </c>
      <c r="Y935" s="589"/>
      <c r="Z935" s="592"/>
      <c r="AA935" s="592"/>
      <c r="AB935" s="568"/>
      <c r="AC935" s="592"/>
      <c r="AD935" s="592"/>
      <c r="AE935" s="592"/>
      <c r="AF935" s="590"/>
      <c r="AG935" s="570" t="str">
        <f>IF(AE935&lt;&gt;0,VLOOKUP(AE935,ODDS!$A$2:$C$13,3,0),"")</f>
        <v/>
      </c>
      <c r="AH935" s="570" t="str">
        <f t="shared" si="200"/>
        <v xml:space="preserve"> </v>
      </c>
      <c r="AI935" s="571" t="str">
        <f t="shared" si="196"/>
        <v xml:space="preserve"> </v>
      </c>
      <c r="AJ935" s="593"/>
      <c r="AK935" s="593"/>
    </row>
    <row r="936" spans="1:37" s="376" customFormat="1" ht="20.25" outlineLevel="2" x14ac:dyDescent="0.3">
      <c r="A936" s="447">
        <f t="shared" ref="A936:A937" si="201">IF(B935&lt;&gt;0,B935,A935)</f>
        <v>72</v>
      </c>
      <c r="B936" s="557"/>
      <c r="C936" s="558"/>
      <c r="D936" s="587"/>
      <c r="E936" s="587"/>
      <c r="F936" s="615"/>
      <c r="G936" s="558"/>
      <c r="H936" s="604"/>
      <c r="I936" s="546"/>
      <c r="J936" s="593"/>
      <c r="K936" s="563" t="str">
        <f>IF(G936&lt;&gt;0,VLOOKUP(G936,'gia dat'!$A$1:$F$144,5,0)," ")</f>
        <v xml:space="preserve"> </v>
      </c>
      <c r="L936" s="563" t="str">
        <f>IF(G936&lt;&gt;0,VLOOKUP(G936,'gia dat'!$A$1:$F$144,6,0)," ")</f>
        <v xml:space="preserve"> </v>
      </c>
      <c r="M936" s="564" t="str">
        <f t="shared" si="197"/>
        <v xml:space="preserve"> </v>
      </c>
      <c r="N936" s="564" t="str">
        <f t="shared" si="198"/>
        <v xml:space="preserve"> </v>
      </c>
      <c r="O936" s="593"/>
      <c r="P936" s="616"/>
      <c r="Q936" s="564" t="str">
        <f>IF(O936&lt;&gt;0,VLOOKUP(O936,'Cây trong'!$A$2:$C$246,3,0)," ")</f>
        <v xml:space="preserve"> </v>
      </c>
      <c r="R936" s="564" t="str">
        <f t="shared" si="199"/>
        <v xml:space="preserve"> </v>
      </c>
      <c r="S936" s="593"/>
      <c r="T936" s="593"/>
      <c r="U936" s="617"/>
      <c r="V936" s="589"/>
      <c r="W936" s="564" t="str">
        <f>IF(S936&lt;&gt;0,VLOOKUP(S936,VKT!$A$2:$G$415,7,0),"")</f>
        <v/>
      </c>
      <c r="X936" s="564" t="str">
        <f t="shared" si="195"/>
        <v xml:space="preserve"> </v>
      </c>
      <c r="Y936" s="589"/>
      <c r="Z936" s="589"/>
      <c r="AA936" s="589"/>
      <c r="AB936" s="562"/>
      <c r="AC936" s="589"/>
      <c r="AD936" s="589"/>
      <c r="AE936" s="589"/>
      <c r="AF936" s="629"/>
      <c r="AG936" s="570" t="str">
        <f>IF(AE936&lt;&gt;0,VLOOKUP(AE936,ODDS!$A$2:$C$13,3,0),"")</f>
        <v/>
      </c>
      <c r="AH936" s="570" t="str">
        <f t="shared" si="200"/>
        <v xml:space="preserve"> </v>
      </c>
      <c r="AI936" s="571" t="str">
        <f t="shared" si="196"/>
        <v xml:space="preserve"> </v>
      </c>
      <c r="AJ936" s="593"/>
      <c r="AK936" s="593"/>
    </row>
    <row r="937" spans="1:37" s="376" customFormat="1" ht="20.25" outlineLevel="2" x14ac:dyDescent="0.3">
      <c r="A937" s="447">
        <f t="shared" si="201"/>
        <v>72</v>
      </c>
      <c r="B937" s="557"/>
      <c r="C937" s="574"/>
      <c r="D937" s="587"/>
      <c r="E937" s="587"/>
      <c r="F937" s="560"/>
      <c r="G937" s="558"/>
      <c r="H937" s="588"/>
      <c r="I937" s="546"/>
      <c r="J937" s="589"/>
      <c r="K937" s="563" t="str">
        <f>IF(G937&lt;&gt;0,VLOOKUP(G937,'gia dat'!$A$1:$F$144,5,0)," ")</f>
        <v xml:space="preserve"> </v>
      </c>
      <c r="L937" s="563" t="str">
        <f>IF(G937&lt;&gt;0,VLOOKUP(G937,'gia dat'!$A$1:$F$144,6,0)," ")</f>
        <v xml:space="preserve"> </v>
      </c>
      <c r="M937" s="564" t="str">
        <f t="shared" si="197"/>
        <v xml:space="preserve"> </v>
      </c>
      <c r="N937" s="564" t="str">
        <f t="shared" si="198"/>
        <v xml:space="preserve"> </v>
      </c>
      <c r="O937" s="638"/>
      <c r="P937" s="590"/>
      <c r="Q937" s="564" t="str">
        <f>IF(O937&lt;&gt;0,VLOOKUP(O937,'Cây trong'!$A$2:$C$246,3,0)," ")</f>
        <v xml:space="preserve"> </v>
      </c>
      <c r="R937" s="564" t="str">
        <f t="shared" si="199"/>
        <v xml:space="preserve"> </v>
      </c>
      <c r="S937" s="638"/>
      <c r="T937" s="640"/>
      <c r="U937" s="591"/>
      <c r="V937" s="680"/>
      <c r="W937" s="564" t="str">
        <f>IF(S937&lt;&gt;0,VLOOKUP(S937,VKT!$A$2:$G$415,7,0),"")</f>
        <v/>
      </c>
      <c r="X937" s="564" t="str">
        <f t="shared" si="195"/>
        <v xml:space="preserve"> </v>
      </c>
      <c r="Y937" s="589"/>
      <c r="Z937" s="592"/>
      <c r="AA937" s="592"/>
      <c r="AB937" s="568"/>
      <c r="AC937" s="592"/>
      <c r="AD937" s="592"/>
      <c r="AE937" s="592"/>
      <c r="AF937" s="590"/>
      <c r="AG937" s="570" t="str">
        <f>IF(AE937&lt;&gt;0,VLOOKUP(AE937,ODDS!$A$2:$C$13,3,0),"")</f>
        <v/>
      </c>
      <c r="AH937" s="570" t="str">
        <f t="shared" si="200"/>
        <v xml:space="preserve"> </v>
      </c>
      <c r="AI937" s="571" t="str">
        <f t="shared" si="196"/>
        <v xml:space="preserve"> </v>
      </c>
      <c r="AJ937" s="593"/>
      <c r="AK937" s="593"/>
    </row>
    <row r="938" spans="1:37" s="376" customFormat="1" ht="40.5" outlineLevel="1" x14ac:dyDescent="0.25">
      <c r="A938" s="467" t="s">
        <v>2637</v>
      </c>
      <c r="B938" s="576">
        <v>73</v>
      </c>
      <c r="C938" s="574" t="s">
        <v>47</v>
      </c>
      <c r="D938" s="595"/>
      <c r="E938" s="595"/>
      <c r="F938" s="577"/>
      <c r="G938" s="574"/>
      <c r="H938" s="618">
        <f>SUBTOTAL(9,H939:H944)</f>
        <v>652.6</v>
      </c>
      <c r="I938" s="579">
        <f>SUBTOTAL(9,I939:I944)</f>
        <v>0</v>
      </c>
      <c r="J938" s="597"/>
      <c r="K938" s="581"/>
      <c r="L938" s="581"/>
      <c r="M938" s="571">
        <f>SUBTOTAL(9,M939:M944)</f>
        <v>361801000</v>
      </c>
      <c r="N938" s="571">
        <f>SUBTOTAL(9,N939:N944)</f>
        <v>0</v>
      </c>
      <c r="O938" s="673"/>
      <c r="P938" s="599">
        <f>SUBTOTAL(9,P939:P944)</f>
        <v>0</v>
      </c>
      <c r="Q938" s="571"/>
      <c r="R938" s="571">
        <f>SUBTOTAL(9,R939:R944)</f>
        <v>0</v>
      </c>
      <c r="S938" s="673"/>
      <c r="T938" s="678"/>
      <c r="U938" s="600">
        <f>SUBTOTAL(9,U939:U944)</f>
        <v>0</v>
      </c>
      <c r="V938" s="682"/>
      <c r="W938" s="571"/>
      <c r="X938" s="571">
        <f>SUBTOTAL(9,X939:X944)</f>
        <v>0</v>
      </c>
      <c r="Y938" s="589"/>
      <c r="Z938" s="592"/>
      <c r="AA938" s="592"/>
      <c r="AB938" s="568"/>
      <c r="AC938" s="592"/>
      <c r="AD938" s="592"/>
      <c r="AE938" s="601"/>
      <c r="AF938" s="599">
        <f>SUBTOTAL(9,AF939:AF944)</f>
        <v>0</v>
      </c>
      <c r="AG938" s="585"/>
      <c r="AH938" s="585">
        <f>SUBTOTAL(9,AH939:AH944)</f>
        <v>0</v>
      </c>
      <c r="AI938" s="571">
        <f t="shared" si="196"/>
        <v>361801000</v>
      </c>
      <c r="AJ938" s="574"/>
      <c r="AK938" s="578"/>
    </row>
    <row r="939" spans="1:37" s="376" customFormat="1" ht="121.5" outlineLevel="2" x14ac:dyDescent="0.3">
      <c r="A939" s="447">
        <f>IF(B938&lt;&gt;0,B938,A937)</f>
        <v>73</v>
      </c>
      <c r="B939" s="557"/>
      <c r="C939" s="558" t="s">
        <v>279</v>
      </c>
      <c r="D939" s="587">
        <v>2</v>
      </c>
      <c r="E939" s="587">
        <v>86</v>
      </c>
      <c r="F939" s="560">
        <v>346</v>
      </c>
      <c r="G939" s="558" t="s">
        <v>2884</v>
      </c>
      <c r="H939" s="588">
        <v>652.6</v>
      </c>
      <c r="I939" s="546" t="str">
        <f t="shared" ref="I939" si="202">IF(N939&gt;0,H939,"")</f>
        <v/>
      </c>
      <c r="J939" s="589"/>
      <c r="K939" s="563">
        <f>IF(G939&lt;&gt;0,VLOOKUP(G939,'gia dat'!$A$1:$F$144,5,0)," ")</f>
        <v>554400</v>
      </c>
      <c r="L939" s="563">
        <f>IF(G939&lt;&gt;0,VLOOKUP(G939,'gia dat'!$A$1:$F$144,6,0)," ")</f>
        <v>0</v>
      </c>
      <c r="M939" s="564">
        <f t="shared" si="197"/>
        <v>361801000</v>
      </c>
      <c r="N939" s="564">
        <f t="shared" si="198"/>
        <v>0</v>
      </c>
      <c r="O939" s="638"/>
      <c r="P939" s="590"/>
      <c r="Q939" s="564" t="str">
        <f>IF(O939&lt;&gt;0,VLOOKUP(O939,'Cây trong'!$A$2:$C$246,3,0)," ")</f>
        <v xml:space="preserve"> </v>
      </c>
      <c r="R939" s="564" t="str">
        <f t="shared" si="199"/>
        <v xml:space="preserve"> </v>
      </c>
      <c r="S939" s="638"/>
      <c r="T939" s="640"/>
      <c r="U939" s="591"/>
      <c r="V939" s="680"/>
      <c r="W939" s="564" t="str">
        <f>IF(S939&lt;&gt;0,VLOOKUP(S939,VKT!$A$2:$G$415,7,0),"")</f>
        <v/>
      </c>
      <c r="X939" s="564" t="str">
        <f t="shared" si="195"/>
        <v xml:space="preserve"> </v>
      </c>
      <c r="Y939" s="589"/>
      <c r="Z939" s="592"/>
      <c r="AA939" s="592"/>
      <c r="AB939" s="568"/>
      <c r="AC939" s="592"/>
      <c r="AD939" s="592"/>
      <c r="AE939" s="592"/>
      <c r="AF939" s="590"/>
      <c r="AG939" s="570" t="str">
        <f>IF(AE939&lt;&gt;0,VLOOKUP(AE939,ODDS!$A$2:$C$13,3,0),"")</f>
        <v/>
      </c>
      <c r="AH939" s="570"/>
      <c r="AI939" s="571" t="str">
        <f t="shared" si="196"/>
        <v xml:space="preserve"> </v>
      </c>
      <c r="AJ939" s="558" t="s">
        <v>598</v>
      </c>
      <c r="AK939" s="586" t="s">
        <v>2771</v>
      </c>
    </row>
    <row r="940" spans="1:37" s="376" customFormat="1" ht="60.75" outlineLevel="2" x14ac:dyDescent="0.3">
      <c r="A940" s="447">
        <f>IF(B939&lt;&gt;0,B939,A939)</f>
        <v>73</v>
      </c>
      <c r="B940" s="557"/>
      <c r="C940" s="628" t="s">
        <v>707</v>
      </c>
      <c r="D940" s="587"/>
      <c r="E940" s="587"/>
      <c r="F940" s="560"/>
      <c r="G940" s="558"/>
      <c r="H940" s="588"/>
      <c r="I940" s="546"/>
      <c r="J940" s="589"/>
      <c r="K940" s="563" t="str">
        <f>IF(G940&lt;&gt;0,VLOOKUP(G940,'gia dat'!$A$1:$F$144,5,0)," ")</f>
        <v xml:space="preserve"> </v>
      </c>
      <c r="L940" s="563" t="str">
        <f>IF(G940&lt;&gt;0,VLOOKUP(G940,'gia dat'!$A$1:$F$144,6,0)," ")</f>
        <v xml:space="preserve"> </v>
      </c>
      <c r="M940" s="564" t="str">
        <f t="shared" si="197"/>
        <v xml:space="preserve"> </v>
      </c>
      <c r="N940" s="564" t="str">
        <f t="shared" si="198"/>
        <v xml:space="preserve"> </v>
      </c>
      <c r="O940" s="646"/>
      <c r="P940" s="658"/>
      <c r="Q940" s="564" t="str">
        <f>IF(O940&lt;&gt;0,VLOOKUP(O940,'Cây trong'!$A$2:$C$246,3,0)," ")</f>
        <v xml:space="preserve"> </v>
      </c>
      <c r="R940" s="564" t="str">
        <f t="shared" si="199"/>
        <v xml:space="preserve"> </v>
      </c>
      <c r="S940" s="646"/>
      <c r="T940" s="647"/>
      <c r="U940" s="591"/>
      <c r="V940" s="649"/>
      <c r="W940" s="564" t="str">
        <f>IF(S940&lt;&gt;0,VLOOKUP(S940,VKT!$A$2:$G$415,7,0),"")</f>
        <v/>
      </c>
      <c r="X940" s="564" t="str">
        <f t="shared" si="195"/>
        <v xml:space="preserve"> </v>
      </c>
      <c r="Y940" s="589"/>
      <c r="Z940" s="592"/>
      <c r="AA940" s="592"/>
      <c r="AB940" s="568"/>
      <c r="AC940" s="592"/>
      <c r="AD940" s="592"/>
      <c r="AE940" s="592"/>
      <c r="AF940" s="590"/>
      <c r="AG940" s="570" t="str">
        <f>IF(AE940&lt;&gt;0,VLOOKUP(AE940,ODDS!$A$2:$C$13,3,0),"")</f>
        <v/>
      </c>
      <c r="AH940" s="570" t="str">
        <f t="shared" si="200"/>
        <v xml:space="preserve"> </v>
      </c>
      <c r="AI940" s="571" t="str">
        <f t="shared" si="196"/>
        <v xml:space="preserve"> </v>
      </c>
      <c r="AJ940" s="558" t="s">
        <v>599</v>
      </c>
      <c r="AK940" s="558"/>
    </row>
    <row r="941" spans="1:37" s="376" customFormat="1" ht="40.5" outlineLevel="2" x14ac:dyDescent="0.3">
      <c r="A941" s="447">
        <f>IF(B940&lt;&gt;0,B940,A940)</f>
        <v>73</v>
      </c>
      <c r="B941" s="557"/>
      <c r="C941" s="648" t="s">
        <v>317</v>
      </c>
      <c r="D941" s="587"/>
      <c r="E941" s="587"/>
      <c r="F941" s="560"/>
      <c r="G941" s="558"/>
      <c r="H941" s="588"/>
      <c r="I941" s="546"/>
      <c r="J941" s="589"/>
      <c r="K941" s="563" t="str">
        <f>IF(G941&lt;&gt;0,VLOOKUP(G941,'gia dat'!$A$1:$F$144,5,0)," ")</f>
        <v xml:space="preserve"> </v>
      </c>
      <c r="L941" s="563" t="str">
        <f>IF(G941&lt;&gt;0,VLOOKUP(G941,'gia dat'!$A$1:$F$144,6,0)," ")</f>
        <v xml:space="preserve"> </v>
      </c>
      <c r="M941" s="564" t="str">
        <f t="shared" si="197"/>
        <v xml:space="preserve"> </v>
      </c>
      <c r="N941" s="564" t="str">
        <f t="shared" si="198"/>
        <v xml:space="preserve"> </v>
      </c>
      <c r="O941" s="646"/>
      <c r="P941" s="658"/>
      <c r="Q941" s="564" t="str">
        <f>IF(O941&lt;&gt;0,VLOOKUP(O941,'Cây trong'!$A$2:$C$246,3,0)," ")</f>
        <v xml:space="preserve"> </v>
      </c>
      <c r="R941" s="564" t="str">
        <f t="shared" si="199"/>
        <v xml:space="preserve"> </v>
      </c>
      <c r="S941" s="646"/>
      <c r="T941" s="647"/>
      <c r="U941" s="591"/>
      <c r="V941" s="649"/>
      <c r="W941" s="564" t="str">
        <f>IF(S941&lt;&gt;0,VLOOKUP(S941,VKT!$A$2:$G$415,7,0),"")</f>
        <v/>
      </c>
      <c r="X941" s="564" t="str">
        <f t="shared" si="195"/>
        <v xml:space="preserve"> </v>
      </c>
      <c r="Y941" s="589"/>
      <c r="Z941" s="592"/>
      <c r="AA941" s="592"/>
      <c r="AB941" s="568"/>
      <c r="AC941" s="592"/>
      <c r="AD941" s="592"/>
      <c r="AE941" s="592"/>
      <c r="AF941" s="590"/>
      <c r="AG941" s="570" t="str">
        <f>IF(AE941&lt;&gt;0,VLOOKUP(AE941,ODDS!$A$2:$C$13,3,0),"")</f>
        <v/>
      </c>
      <c r="AH941" s="570" t="str">
        <f t="shared" si="200"/>
        <v xml:space="preserve"> </v>
      </c>
      <c r="AI941" s="571" t="str">
        <f t="shared" si="196"/>
        <v xml:space="preserve"> </v>
      </c>
      <c r="AJ941" s="574"/>
      <c r="AK941" s="593"/>
    </row>
    <row r="942" spans="1:37" s="376" customFormat="1" ht="20.25" outlineLevel="2" x14ac:dyDescent="0.3">
      <c r="A942" s="447">
        <f>IF(B941&lt;&gt;0,B941,A941)</f>
        <v>73</v>
      </c>
      <c r="B942" s="557"/>
      <c r="C942" s="648"/>
      <c r="D942" s="587"/>
      <c r="E942" s="587"/>
      <c r="F942" s="615"/>
      <c r="G942" s="558"/>
      <c r="H942" s="604"/>
      <c r="I942" s="546"/>
      <c r="J942" s="593"/>
      <c r="K942" s="563" t="str">
        <f>IF(G942&lt;&gt;0,VLOOKUP(G942,'gia dat'!$A$1:$F$144,5,0)," ")</f>
        <v xml:space="preserve"> </v>
      </c>
      <c r="L942" s="563" t="str">
        <f>IF(G942&lt;&gt;0,VLOOKUP(G942,'gia dat'!$A$1:$F$144,6,0)," ")</f>
        <v xml:space="preserve"> </v>
      </c>
      <c r="M942" s="564" t="str">
        <f t="shared" si="197"/>
        <v xml:space="preserve"> </v>
      </c>
      <c r="N942" s="564" t="str">
        <f t="shared" si="198"/>
        <v xml:space="preserve"> </v>
      </c>
      <c r="O942" s="593"/>
      <c r="P942" s="616"/>
      <c r="Q942" s="564" t="str">
        <f>IF(O942&lt;&gt;0,VLOOKUP(O942,'Cây trong'!$A$2:$C$246,3,0)," ")</f>
        <v xml:space="preserve"> </v>
      </c>
      <c r="R942" s="564" t="str">
        <f t="shared" si="199"/>
        <v xml:space="preserve"> </v>
      </c>
      <c r="S942" s="593"/>
      <c r="T942" s="593"/>
      <c r="U942" s="617"/>
      <c r="V942" s="589"/>
      <c r="W942" s="564" t="str">
        <f>IF(S942&lt;&gt;0,VLOOKUP(S942,VKT!$A$2:$G$415,7,0),"")</f>
        <v/>
      </c>
      <c r="X942" s="564" t="str">
        <f t="shared" si="195"/>
        <v xml:space="preserve"> </v>
      </c>
      <c r="Y942" s="589"/>
      <c r="Z942" s="589"/>
      <c r="AA942" s="589"/>
      <c r="AB942" s="562"/>
      <c r="AC942" s="589"/>
      <c r="AD942" s="589"/>
      <c r="AE942" s="589"/>
      <c r="AF942" s="629"/>
      <c r="AG942" s="570" t="str">
        <f>IF(AE942&lt;&gt;0,VLOOKUP(AE942,ODDS!$A$2:$C$13,3,0),"")</f>
        <v/>
      </c>
      <c r="AH942" s="570" t="str">
        <f t="shared" si="200"/>
        <v xml:space="preserve"> </v>
      </c>
      <c r="AI942" s="571" t="str">
        <f t="shared" si="196"/>
        <v xml:space="preserve"> </v>
      </c>
      <c r="AJ942" s="558"/>
      <c r="AK942" s="558"/>
    </row>
    <row r="943" spans="1:37" s="376" customFormat="1" ht="20.25" outlineLevel="2" x14ac:dyDescent="0.3">
      <c r="A943" s="447">
        <f>IF(B942&lt;&gt;0,B942,A942)</f>
        <v>73</v>
      </c>
      <c r="B943" s="557"/>
      <c r="C943" s="558"/>
      <c r="D943" s="587"/>
      <c r="E943" s="587"/>
      <c r="F943" s="615"/>
      <c r="G943" s="558"/>
      <c r="H943" s="604"/>
      <c r="I943" s="546"/>
      <c r="J943" s="593"/>
      <c r="K943" s="563" t="str">
        <f>IF(G943&lt;&gt;0,VLOOKUP(G943,'gia dat'!$A$1:$F$144,5,0)," ")</f>
        <v xml:space="preserve"> </v>
      </c>
      <c r="L943" s="563" t="str">
        <f>IF(G943&lt;&gt;0,VLOOKUP(G943,'gia dat'!$A$1:$F$144,6,0)," ")</f>
        <v xml:space="preserve"> </v>
      </c>
      <c r="M943" s="564" t="str">
        <f t="shared" si="197"/>
        <v xml:space="preserve"> </v>
      </c>
      <c r="N943" s="564" t="str">
        <f t="shared" si="198"/>
        <v xml:space="preserve"> </v>
      </c>
      <c r="O943" s="593"/>
      <c r="P943" s="616"/>
      <c r="Q943" s="564" t="str">
        <f>IF(O943&lt;&gt;0,VLOOKUP(O943,'Cây trong'!$A$2:$C$246,3,0)," ")</f>
        <v xml:space="preserve"> </v>
      </c>
      <c r="R943" s="564" t="str">
        <f t="shared" si="199"/>
        <v xml:space="preserve"> </v>
      </c>
      <c r="S943" s="593"/>
      <c r="T943" s="593"/>
      <c r="U943" s="617"/>
      <c r="V943" s="589"/>
      <c r="W943" s="564" t="str">
        <f>IF(S943&lt;&gt;0,VLOOKUP(S943,VKT!$A$2:$G$415,7,0),"")</f>
        <v/>
      </c>
      <c r="X943" s="564" t="str">
        <f t="shared" si="195"/>
        <v xml:space="preserve"> </v>
      </c>
      <c r="Y943" s="589"/>
      <c r="Z943" s="589"/>
      <c r="AA943" s="589"/>
      <c r="AB943" s="562"/>
      <c r="AC943" s="589"/>
      <c r="AD943" s="589"/>
      <c r="AE943" s="589"/>
      <c r="AF943" s="629"/>
      <c r="AG943" s="570" t="str">
        <f>IF(AE943&lt;&gt;0,VLOOKUP(AE943,ODDS!$A$2:$C$13,3,0),"")</f>
        <v/>
      </c>
      <c r="AH943" s="570" t="str">
        <f t="shared" si="200"/>
        <v xml:space="preserve"> </v>
      </c>
      <c r="AI943" s="571" t="str">
        <f t="shared" si="196"/>
        <v xml:space="preserve"> </v>
      </c>
      <c r="AJ943" s="558"/>
      <c r="AK943" s="558"/>
    </row>
    <row r="944" spans="1:37" s="376" customFormat="1" ht="20.25" outlineLevel="2" x14ac:dyDescent="0.3">
      <c r="A944" s="447">
        <f>IF(B943&lt;&gt;0,B943,A943)</f>
        <v>73</v>
      </c>
      <c r="B944" s="557"/>
      <c r="C944" s="574"/>
      <c r="D944" s="587"/>
      <c r="E944" s="587"/>
      <c r="F944" s="560"/>
      <c r="G944" s="558"/>
      <c r="H944" s="588"/>
      <c r="I944" s="546"/>
      <c r="J944" s="589"/>
      <c r="K944" s="563" t="str">
        <f>IF(G944&lt;&gt;0,VLOOKUP(G944,'gia dat'!$A$1:$F$144,5,0)," ")</f>
        <v xml:space="preserve"> </v>
      </c>
      <c r="L944" s="563" t="str">
        <f>IF(G944&lt;&gt;0,VLOOKUP(G944,'gia dat'!$A$1:$F$144,6,0)," ")</f>
        <v xml:space="preserve"> </v>
      </c>
      <c r="M944" s="564" t="str">
        <f t="shared" si="197"/>
        <v xml:space="preserve"> </v>
      </c>
      <c r="N944" s="564" t="str">
        <f t="shared" si="198"/>
        <v xml:space="preserve"> </v>
      </c>
      <c r="O944" s="646"/>
      <c r="P944" s="658"/>
      <c r="Q944" s="564" t="str">
        <f>IF(O944&lt;&gt;0,VLOOKUP(O944,'Cây trong'!$A$2:$C$246,3,0)," ")</f>
        <v xml:space="preserve"> </v>
      </c>
      <c r="R944" s="564" t="str">
        <f t="shared" si="199"/>
        <v xml:space="preserve"> </v>
      </c>
      <c r="S944" s="646"/>
      <c r="T944" s="647"/>
      <c r="U944" s="591"/>
      <c r="V944" s="649"/>
      <c r="W944" s="564" t="str">
        <f>IF(S944&lt;&gt;0,VLOOKUP(S944,VKT!$A$2:$G$415,7,0),"")</f>
        <v/>
      </c>
      <c r="X944" s="564" t="str">
        <f t="shared" si="195"/>
        <v xml:space="preserve"> </v>
      </c>
      <c r="Y944" s="589"/>
      <c r="Z944" s="592"/>
      <c r="AA944" s="592"/>
      <c r="AB944" s="568"/>
      <c r="AC944" s="592"/>
      <c r="AD944" s="592"/>
      <c r="AE944" s="592"/>
      <c r="AF944" s="590"/>
      <c r="AG944" s="570" t="str">
        <f>IF(AE944&lt;&gt;0,VLOOKUP(AE944,ODDS!$A$2:$C$13,3,0),"")</f>
        <v/>
      </c>
      <c r="AH944" s="570" t="str">
        <f t="shared" si="200"/>
        <v xml:space="preserve"> </v>
      </c>
      <c r="AI944" s="571" t="str">
        <f t="shared" si="196"/>
        <v xml:space="preserve"> </v>
      </c>
      <c r="AJ944" s="593"/>
      <c r="AK944" s="593"/>
    </row>
    <row r="945" spans="1:37" s="376" customFormat="1" ht="40.5" outlineLevel="1" x14ac:dyDescent="0.25">
      <c r="A945" s="467" t="s">
        <v>2636</v>
      </c>
      <c r="B945" s="576">
        <v>74</v>
      </c>
      <c r="C945" s="574" t="s">
        <v>47</v>
      </c>
      <c r="D945" s="595"/>
      <c r="E945" s="595"/>
      <c r="F945" s="577"/>
      <c r="G945" s="574"/>
      <c r="H945" s="618">
        <f>SUBTOTAL(9,H946:H952)</f>
        <v>673.3</v>
      </c>
      <c r="I945" s="579">
        <f>SUBTOTAL(9,I946:I951)</f>
        <v>0</v>
      </c>
      <c r="J945" s="597"/>
      <c r="K945" s="581"/>
      <c r="L945" s="581"/>
      <c r="M945" s="571">
        <f>SUBTOTAL(9,M946:M952)</f>
        <v>373278000</v>
      </c>
      <c r="N945" s="571">
        <f>SUBTOTAL(9,N946:N952)</f>
        <v>0</v>
      </c>
      <c r="O945" s="574"/>
      <c r="P945" s="599">
        <f>SUBTOTAL(9,P946:P952)</f>
        <v>0</v>
      </c>
      <c r="Q945" s="571"/>
      <c r="R945" s="571">
        <f>SUBTOTAL(9,R946:R952)</f>
        <v>0</v>
      </c>
      <c r="S945" s="582"/>
      <c r="T945" s="597"/>
      <c r="U945" s="600">
        <f>SUBTOTAL(9,U946:U952)</f>
        <v>0</v>
      </c>
      <c r="V945" s="597"/>
      <c r="W945" s="571"/>
      <c r="X945" s="571">
        <f>SUBTOTAL(9,X946:X952)</f>
        <v>0</v>
      </c>
      <c r="Y945" s="589"/>
      <c r="Z945" s="592"/>
      <c r="AA945" s="592"/>
      <c r="AB945" s="568"/>
      <c r="AC945" s="592"/>
      <c r="AD945" s="592"/>
      <c r="AE945" s="601"/>
      <c r="AF945" s="599">
        <f>SUBTOTAL(9,AF946:AF952)</f>
        <v>0</v>
      </c>
      <c r="AG945" s="585"/>
      <c r="AH945" s="585">
        <f>SUBTOTAL(9,AH946:AH952)</f>
        <v>0</v>
      </c>
      <c r="AI945" s="571">
        <f t="shared" si="196"/>
        <v>373278000</v>
      </c>
      <c r="AJ945" s="574"/>
      <c r="AK945" s="578"/>
    </row>
    <row r="946" spans="1:37" s="376" customFormat="1" ht="121.5" outlineLevel="2" x14ac:dyDescent="0.3">
      <c r="A946" s="447">
        <f>IF(B945&lt;&gt;0,B945,A944)</f>
        <v>74</v>
      </c>
      <c r="B946" s="557"/>
      <c r="C946" s="558" t="s">
        <v>279</v>
      </c>
      <c r="D946" s="587"/>
      <c r="E946" s="587">
        <v>86</v>
      </c>
      <c r="F946" s="560">
        <v>344</v>
      </c>
      <c r="G946" s="558" t="s">
        <v>2884</v>
      </c>
      <c r="H946" s="588">
        <v>673.3</v>
      </c>
      <c r="I946" s="546" t="str">
        <f t="shared" ref="I946" si="203">IF(N946&gt;0,H946,"")</f>
        <v/>
      </c>
      <c r="J946" s="589"/>
      <c r="K946" s="563">
        <f>IF(G946&lt;&gt;0,VLOOKUP(G946,'gia dat'!$A$1:$F$144,5,0)," ")</f>
        <v>554400</v>
      </c>
      <c r="L946" s="563">
        <f>IF(G946&lt;&gt;0,VLOOKUP(G946,'gia dat'!$A$1:$F$144,6,0)," ")</f>
        <v>0</v>
      </c>
      <c r="M946" s="564">
        <f t="shared" si="197"/>
        <v>373278000</v>
      </c>
      <c r="N946" s="564">
        <f t="shared" si="198"/>
        <v>0</v>
      </c>
      <c r="O946" s="558"/>
      <c r="P946" s="590"/>
      <c r="Q946" s="564" t="str">
        <f>IF(O946&lt;&gt;0,VLOOKUP(O946,'Cây trong'!$A$2:$C$246,3,0)," ")</f>
        <v xml:space="preserve"> </v>
      </c>
      <c r="R946" s="564" t="str">
        <f t="shared" si="199"/>
        <v xml:space="preserve"> </v>
      </c>
      <c r="S946" s="566"/>
      <c r="T946" s="589"/>
      <c r="U946" s="591"/>
      <c r="V946" s="589"/>
      <c r="W946" s="564" t="str">
        <f>IF(S946&lt;&gt;0,VLOOKUP(S946,VKT!$A$2:$G$415,7,0),"")</f>
        <v/>
      </c>
      <c r="X946" s="564" t="str">
        <f t="shared" si="195"/>
        <v xml:space="preserve"> </v>
      </c>
      <c r="Y946" s="589"/>
      <c r="Z946" s="592"/>
      <c r="AA946" s="592"/>
      <c r="AB946" s="568"/>
      <c r="AC946" s="592"/>
      <c r="AD946" s="592"/>
      <c r="AE946" s="592"/>
      <c r="AF946" s="590"/>
      <c r="AG946" s="570" t="str">
        <f>IF(AE946&lt;&gt;0,VLOOKUP(AE946,ODDS!$A$2:$C$13,3,0),"")</f>
        <v/>
      </c>
      <c r="AH946" s="570" t="str">
        <f t="shared" si="200"/>
        <v xml:space="preserve"> </v>
      </c>
      <c r="AI946" s="571" t="str">
        <f t="shared" si="196"/>
        <v xml:space="preserve"> </v>
      </c>
      <c r="AJ946" s="558" t="s">
        <v>708</v>
      </c>
      <c r="AK946" s="586" t="s">
        <v>2771</v>
      </c>
    </row>
    <row r="947" spans="1:37" s="376" customFormat="1" ht="60.75" outlineLevel="2" x14ac:dyDescent="0.3">
      <c r="A947" s="447">
        <f t="shared" ref="A947:A952" si="204">IF(B946&lt;&gt;0,B946,A946)</f>
        <v>74</v>
      </c>
      <c r="B947" s="557"/>
      <c r="C947" s="628" t="s">
        <v>707</v>
      </c>
      <c r="D947" s="587"/>
      <c r="E947" s="587"/>
      <c r="F947" s="560"/>
      <c r="G947" s="558"/>
      <c r="H947" s="588"/>
      <c r="I947" s="546"/>
      <c r="J947" s="589"/>
      <c r="K947" s="563" t="str">
        <f>IF(G947&lt;&gt;0,VLOOKUP(G947,'gia dat'!$A$1:$F$144,5,0)," ")</f>
        <v xml:space="preserve"> </v>
      </c>
      <c r="L947" s="563" t="str">
        <f>IF(G947&lt;&gt;0,VLOOKUP(G947,'gia dat'!$A$1:$F$144,6,0)," ")</f>
        <v xml:space="preserve"> </v>
      </c>
      <c r="M947" s="564" t="str">
        <f t="shared" si="197"/>
        <v xml:space="preserve"> </v>
      </c>
      <c r="N947" s="564" t="str">
        <f t="shared" si="198"/>
        <v xml:space="preserve"> </v>
      </c>
      <c r="O947" s="646"/>
      <c r="P947" s="590"/>
      <c r="Q947" s="564" t="str">
        <f>IF(O947&lt;&gt;0,VLOOKUP(O947,'Cây trong'!$A$2:$C$246,3,0)," ")</f>
        <v xml:space="preserve"> </v>
      </c>
      <c r="R947" s="564" t="str">
        <f t="shared" si="199"/>
        <v xml:space="preserve"> </v>
      </c>
      <c r="S947" s="646"/>
      <c r="T947" s="662"/>
      <c r="U947" s="591"/>
      <c r="V947" s="589"/>
      <c r="W947" s="564" t="str">
        <f>IF(S947&lt;&gt;0,VLOOKUP(S947,VKT!$A$2:$G$415,7,0),"")</f>
        <v/>
      </c>
      <c r="X947" s="564" t="str">
        <f t="shared" si="195"/>
        <v xml:space="preserve"> </v>
      </c>
      <c r="Y947" s="589"/>
      <c r="Z947" s="592"/>
      <c r="AA947" s="592"/>
      <c r="AB947" s="568"/>
      <c r="AC947" s="592"/>
      <c r="AD947" s="592"/>
      <c r="AE947" s="592"/>
      <c r="AF947" s="590"/>
      <c r="AG947" s="570" t="str">
        <f>IF(AE947&lt;&gt;0,VLOOKUP(AE947,ODDS!$A$2:$C$13,3,0),"")</f>
        <v/>
      </c>
      <c r="AH947" s="570" t="str">
        <f t="shared" si="200"/>
        <v xml:space="preserve"> </v>
      </c>
      <c r="AI947" s="571" t="str">
        <f t="shared" si="196"/>
        <v xml:space="preserve"> </v>
      </c>
      <c r="AJ947" s="558" t="s">
        <v>601</v>
      </c>
      <c r="AK947" s="558"/>
    </row>
    <row r="948" spans="1:37" s="376" customFormat="1" ht="40.5" outlineLevel="2" x14ac:dyDescent="0.3">
      <c r="A948" s="447">
        <f t="shared" si="204"/>
        <v>74</v>
      </c>
      <c r="B948" s="557"/>
      <c r="C948" s="648" t="s">
        <v>317</v>
      </c>
      <c r="D948" s="587"/>
      <c r="E948" s="587"/>
      <c r="F948" s="560"/>
      <c r="G948" s="558"/>
      <c r="H948" s="588"/>
      <c r="I948" s="546"/>
      <c r="J948" s="589"/>
      <c r="K948" s="563" t="str">
        <f>IF(G948&lt;&gt;0,VLOOKUP(G948,'gia dat'!$A$1:$F$144,5,0)," ")</f>
        <v xml:space="preserve"> </v>
      </c>
      <c r="L948" s="563" t="str">
        <f>IF(G948&lt;&gt;0,VLOOKUP(G948,'gia dat'!$A$1:$F$144,6,0)," ")</f>
        <v xml:space="preserve"> </v>
      </c>
      <c r="M948" s="564" t="str">
        <f t="shared" si="197"/>
        <v xml:space="preserve"> </v>
      </c>
      <c r="N948" s="564" t="str">
        <f t="shared" si="198"/>
        <v xml:space="preserve"> </v>
      </c>
      <c r="O948" s="646"/>
      <c r="P948" s="590"/>
      <c r="Q948" s="564" t="str">
        <f>IF(O948&lt;&gt;0,VLOOKUP(O948,'Cây trong'!$A$2:$C$246,3,0)," ")</f>
        <v xml:space="preserve"> </v>
      </c>
      <c r="R948" s="564" t="str">
        <f t="shared" si="199"/>
        <v xml:space="preserve"> </v>
      </c>
      <c r="S948" s="646"/>
      <c r="T948" s="647"/>
      <c r="U948" s="591"/>
      <c r="V948" s="589"/>
      <c r="W948" s="564" t="str">
        <f>IF(S948&lt;&gt;0,VLOOKUP(S948,VKT!$A$2:$G$415,7,0),"")</f>
        <v/>
      </c>
      <c r="X948" s="564" t="str">
        <f t="shared" si="195"/>
        <v xml:space="preserve"> </v>
      </c>
      <c r="Y948" s="589"/>
      <c r="Z948" s="592"/>
      <c r="AA948" s="592"/>
      <c r="AB948" s="568"/>
      <c r="AC948" s="592"/>
      <c r="AD948" s="592"/>
      <c r="AE948" s="592"/>
      <c r="AF948" s="590"/>
      <c r="AG948" s="570" t="str">
        <f>IF(AE948&lt;&gt;0,VLOOKUP(AE948,ODDS!$A$2:$C$13,3,0),"")</f>
        <v/>
      </c>
      <c r="AH948" s="570" t="str">
        <f t="shared" si="200"/>
        <v xml:space="preserve"> </v>
      </c>
      <c r="AI948" s="571" t="str">
        <f t="shared" si="196"/>
        <v xml:space="preserve"> </v>
      </c>
      <c r="AJ948" s="558" t="s">
        <v>2139</v>
      </c>
      <c r="AK948" s="558"/>
    </row>
    <row r="949" spans="1:37" s="376" customFormat="1" ht="20.25" outlineLevel="2" x14ac:dyDescent="0.3">
      <c r="A949" s="447">
        <f t="shared" si="204"/>
        <v>74</v>
      </c>
      <c r="B949" s="557"/>
      <c r="C949" s="648"/>
      <c r="D949" s="587"/>
      <c r="E949" s="587"/>
      <c r="F949" s="615"/>
      <c r="G949" s="558"/>
      <c r="H949" s="604"/>
      <c r="I949" s="546"/>
      <c r="J949" s="593"/>
      <c r="K949" s="563" t="str">
        <f>IF(G949&lt;&gt;0,VLOOKUP(G949,'gia dat'!$A$1:$F$144,5,0)," ")</f>
        <v xml:space="preserve"> </v>
      </c>
      <c r="L949" s="563" t="str">
        <f>IF(G949&lt;&gt;0,VLOOKUP(G949,'gia dat'!$A$1:$F$144,6,0)," ")</f>
        <v xml:space="preserve"> </v>
      </c>
      <c r="M949" s="564" t="str">
        <f t="shared" si="197"/>
        <v xml:space="preserve"> </v>
      </c>
      <c r="N949" s="564" t="str">
        <f t="shared" si="198"/>
        <v xml:space="preserve"> </v>
      </c>
      <c r="O949" s="593"/>
      <c r="P949" s="616"/>
      <c r="Q949" s="564" t="str">
        <f>IF(O949&lt;&gt;0,VLOOKUP(O949,'Cây trong'!$A$2:$C$246,3,0)," ")</f>
        <v xml:space="preserve"> </v>
      </c>
      <c r="R949" s="564" t="str">
        <f t="shared" si="199"/>
        <v xml:space="preserve"> </v>
      </c>
      <c r="S949" s="593"/>
      <c r="T949" s="593"/>
      <c r="U949" s="617"/>
      <c r="V949" s="589"/>
      <c r="W949" s="564" t="str">
        <f>IF(S949&lt;&gt;0,VLOOKUP(S949,VKT!$A$2:$G$415,7,0),"")</f>
        <v/>
      </c>
      <c r="X949" s="564" t="str">
        <f t="shared" si="195"/>
        <v xml:space="preserve"> </v>
      </c>
      <c r="Y949" s="589"/>
      <c r="Z949" s="589"/>
      <c r="AA949" s="589"/>
      <c r="AB949" s="562"/>
      <c r="AC949" s="589"/>
      <c r="AD949" s="589"/>
      <c r="AE949" s="589"/>
      <c r="AF949" s="629"/>
      <c r="AG949" s="570" t="str">
        <f>IF(AE949&lt;&gt;0,VLOOKUP(AE949,ODDS!$A$2:$C$13,3,0),"")</f>
        <v/>
      </c>
      <c r="AH949" s="570" t="str">
        <f t="shared" si="200"/>
        <v xml:space="preserve"> </v>
      </c>
      <c r="AI949" s="571" t="str">
        <f t="shared" si="196"/>
        <v xml:space="preserve"> </v>
      </c>
      <c r="AJ949" s="575"/>
      <c r="AK949" s="558"/>
    </row>
    <row r="950" spans="1:37" s="376" customFormat="1" ht="20.25" outlineLevel="2" x14ac:dyDescent="0.3">
      <c r="A950" s="447">
        <f t="shared" si="204"/>
        <v>74</v>
      </c>
      <c r="B950" s="557"/>
      <c r="C950" s="648"/>
      <c r="D950" s="587"/>
      <c r="E950" s="587"/>
      <c r="F950" s="615"/>
      <c r="G950" s="558"/>
      <c r="H950" s="604"/>
      <c r="I950" s="546"/>
      <c r="J950" s="593"/>
      <c r="K950" s="563" t="str">
        <f>IF(G950&lt;&gt;0,VLOOKUP(G950,'gia dat'!$A$1:$F$144,5,0)," ")</f>
        <v xml:space="preserve"> </v>
      </c>
      <c r="L950" s="563" t="str">
        <f>IF(G950&lt;&gt;0,VLOOKUP(G950,'gia dat'!$A$1:$F$144,6,0)," ")</f>
        <v xml:space="preserve"> </v>
      </c>
      <c r="M950" s="564" t="str">
        <f t="shared" si="197"/>
        <v xml:space="preserve"> </v>
      </c>
      <c r="N950" s="564" t="str">
        <f t="shared" si="198"/>
        <v xml:space="preserve"> </v>
      </c>
      <c r="O950" s="593"/>
      <c r="P950" s="616"/>
      <c r="Q950" s="564" t="str">
        <f>IF(O950&lt;&gt;0,VLOOKUP(O950,'Cây trong'!$A$2:$C$246,3,0)," ")</f>
        <v xml:space="preserve"> </v>
      </c>
      <c r="R950" s="564" t="str">
        <f t="shared" si="199"/>
        <v xml:space="preserve"> </v>
      </c>
      <c r="S950" s="593"/>
      <c r="T950" s="593"/>
      <c r="U950" s="617"/>
      <c r="V950" s="589"/>
      <c r="W950" s="564" t="str">
        <f>IF(S950&lt;&gt;0,VLOOKUP(S950,VKT!$A$2:$G$415,7,0),"")</f>
        <v/>
      </c>
      <c r="X950" s="564" t="str">
        <f t="shared" si="195"/>
        <v xml:space="preserve"> </v>
      </c>
      <c r="Y950" s="589"/>
      <c r="Z950" s="589"/>
      <c r="AA950" s="589"/>
      <c r="AB950" s="562"/>
      <c r="AC950" s="589"/>
      <c r="AD950" s="589"/>
      <c r="AE950" s="589"/>
      <c r="AF950" s="629"/>
      <c r="AG950" s="570" t="str">
        <f>IF(AE950&lt;&gt;0,VLOOKUP(AE950,ODDS!$A$2:$C$13,3,0),"")</f>
        <v/>
      </c>
      <c r="AH950" s="570" t="str">
        <f t="shared" si="200"/>
        <v xml:space="preserve"> </v>
      </c>
      <c r="AI950" s="571" t="str">
        <f t="shared" si="196"/>
        <v xml:space="preserve"> </v>
      </c>
      <c r="AJ950" s="558"/>
      <c r="AK950" s="558"/>
    </row>
    <row r="951" spans="1:37" s="376" customFormat="1" ht="20.25" outlineLevel="2" x14ac:dyDescent="0.3">
      <c r="A951" s="447">
        <f t="shared" si="204"/>
        <v>74</v>
      </c>
      <c r="B951" s="557"/>
      <c r="C951" s="558"/>
      <c r="D951" s="587"/>
      <c r="E951" s="587"/>
      <c r="F951" s="615"/>
      <c r="G951" s="558"/>
      <c r="H951" s="604"/>
      <c r="I951" s="546"/>
      <c r="J951" s="593"/>
      <c r="K951" s="563" t="str">
        <f>IF(G951&lt;&gt;0,VLOOKUP(G951,'gia dat'!$A$1:$F$144,5,0)," ")</f>
        <v xml:space="preserve"> </v>
      </c>
      <c r="L951" s="563" t="str">
        <f>IF(G951&lt;&gt;0,VLOOKUP(G951,'gia dat'!$A$1:$F$144,6,0)," ")</f>
        <v xml:space="preserve"> </v>
      </c>
      <c r="M951" s="564" t="str">
        <f t="shared" si="197"/>
        <v xml:space="preserve"> </v>
      </c>
      <c r="N951" s="564" t="str">
        <f t="shared" si="198"/>
        <v xml:space="preserve"> </v>
      </c>
      <c r="O951" s="593"/>
      <c r="P951" s="616"/>
      <c r="Q951" s="564" t="str">
        <f>IF(O951&lt;&gt;0,VLOOKUP(O951,'Cây trong'!$A$2:$C$246,3,0)," ")</f>
        <v xml:space="preserve"> </v>
      </c>
      <c r="R951" s="564" t="str">
        <f t="shared" si="199"/>
        <v xml:space="preserve"> </v>
      </c>
      <c r="S951" s="593"/>
      <c r="T951" s="593"/>
      <c r="U951" s="617"/>
      <c r="V951" s="589"/>
      <c r="W951" s="564" t="str">
        <f>IF(S951&lt;&gt;0,VLOOKUP(S951,VKT!$A$2:$G$415,7,0),"")</f>
        <v/>
      </c>
      <c r="X951" s="564" t="str">
        <f t="shared" si="195"/>
        <v xml:space="preserve"> </v>
      </c>
      <c r="Y951" s="589"/>
      <c r="Z951" s="589"/>
      <c r="AA951" s="589"/>
      <c r="AB951" s="562"/>
      <c r="AC951" s="589"/>
      <c r="AD951" s="589"/>
      <c r="AE951" s="589"/>
      <c r="AF951" s="629"/>
      <c r="AG951" s="570" t="str">
        <f>IF(AE951&lt;&gt;0,VLOOKUP(AE951,ODDS!$A$2:$C$13,3,0),"")</f>
        <v/>
      </c>
      <c r="AH951" s="570" t="str">
        <f t="shared" si="200"/>
        <v xml:space="preserve"> </v>
      </c>
      <c r="AI951" s="571" t="str">
        <f t="shared" si="196"/>
        <v xml:space="preserve"> </v>
      </c>
      <c r="AJ951" s="558"/>
      <c r="AK951" s="558"/>
    </row>
    <row r="952" spans="1:37" s="376" customFormat="1" ht="20.25" outlineLevel="2" x14ac:dyDescent="0.3">
      <c r="A952" s="447">
        <f t="shared" si="204"/>
        <v>74</v>
      </c>
      <c r="B952" s="557"/>
      <c r="C952" s="574"/>
      <c r="D952" s="587"/>
      <c r="E952" s="587"/>
      <c r="F952" s="560"/>
      <c r="G952" s="558"/>
      <c r="H952" s="588"/>
      <c r="I952" s="546"/>
      <c r="J952" s="589"/>
      <c r="K952" s="563" t="str">
        <f>IF(G952&lt;&gt;0,VLOOKUP(G952,'gia dat'!$A$1:$F$144,5,0)," ")</f>
        <v xml:space="preserve"> </v>
      </c>
      <c r="L952" s="563" t="str">
        <f>IF(G952&lt;&gt;0,VLOOKUP(G952,'gia dat'!$A$1:$F$144,6,0)," ")</f>
        <v xml:space="preserve"> </v>
      </c>
      <c r="M952" s="564" t="str">
        <f t="shared" si="197"/>
        <v xml:space="preserve"> </v>
      </c>
      <c r="N952" s="564" t="str">
        <f t="shared" si="198"/>
        <v xml:space="preserve"> </v>
      </c>
      <c r="O952" s="646"/>
      <c r="P952" s="590"/>
      <c r="Q952" s="564" t="str">
        <f>IF(O952&lt;&gt;0,VLOOKUP(O952,'Cây trong'!$A$2:$C$246,3,0)," ")</f>
        <v xml:space="preserve"> </v>
      </c>
      <c r="R952" s="564" t="str">
        <f t="shared" si="199"/>
        <v xml:space="preserve"> </v>
      </c>
      <c r="S952" s="646"/>
      <c r="T952" s="647"/>
      <c r="U952" s="591"/>
      <c r="V952" s="589"/>
      <c r="W952" s="564" t="str">
        <f>IF(S952&lt;&gt;0,VLOOKUP(S952,VKT!$A$2:$G$415,7,0),"")</f>
        <v/>
      </c>
      <c r="X952" s="564" t="str">
        <f t="shared" si="195"/>
        <v xml:space="preserve"> </v>
      </c>
      <c r="Y952" s="589"/>
      <c r="Z952" s="592"/>
      <c r="AA952" s="592"/>
      <c r="AB952" s="568"/>
      <c r="AC952" s="592"/>
      <c r="AD952" s="592"/>
      <c r="AE952" s="592"/>
      <c r="AF952" s="590"/>
      <c r="AG952" s="570" t="str">
        <f>IF(AE952&lt;&gt;0,VLOOKUP(AE952,ODDS!$A$2:$C$13,3,0),"")</f>
        <v/>
      </c>
      <c r="AH952" s="570" t="str">
        <f t="shared" si="200"/>
        <v xml:space="preserve"> </v>
      </c>
      <c r="AI952" s="571" t="str">
        <f t="shared" si="196"/>
        <v xml:space="preserve"> </v>
      </c>
      <c r="AJ952" s="593"/>
      <c r="AK952" s="593"/>
    </row>
    <row r="953" spans="1:37" s="376" customFormat="1" ht="40.5" outlineLevel="1" x14ac:dyDescent="0.25">
      <c r="A953" s="467" t="s">
        <v>2635</v>
      </c>
      <c r="B953" s="576">
        <v>75</v>
      </c>
      <c r="C953" s="574" t="s">
        <v>47</v>
      </c>
      <c r="D953" s="595"/>
      <c r="E953" s="595"/>
      <c r="F953" s="577"/>
      <c r="G953" s="574"/>
      <c r="H953" s="618">
        <f>SUBTOTAL(9,H954:H960)</f>
        <v>660.9</v>
      </c>
      <c r="I953" s="579">
        <f>SUBTOTAL(9,I954:I959)</f>
        <v>0</v>
      </c>
      <c r="J953" s="597"/>
      <c r="K953" s="581"/>
      <c r="L953" s="581"/>
      <c r="M953" s="571">
        <f>SUBTOTAL(9,M954:M960)</f>
        <v>366403000</v>
      </c>
      <c r="N953" s="571">
        <f>SUBTOTAL(9,N954:N960)</f>
        <v>0</v>
      </c>
      <c r="O953" s="644"/>
      <c r="P953" s="599">
        <f>SUBTOTAL(9,P954:P960)</f>
        <v>0</v>
      </c>
      <c r="Q953" s="571"/>
      <c r="R953" s="571">
        <f>SUBTOTAL(9,R954:R960)</f>
        <v>0</v>
      </c>
      <c r="S953" s="644"/>
      <c r="T953" s="645"/>
      <c r="U953" s="600">
        <f>SUBTOTAL(9,U954:U960)</f>
        <v>0</v>
      </c>
      <c r="V953" s="597"/>
      <c r="W953" s="571"/>
      <c r="X953" s="571">
        <f>SUBTOTAL(9,X954:X960)</f>
        <v>0</v>
      </c>
      <c r="Y953" s="589"/>
      <c r="Z953" s="592"/>
      <c r="AA953" s="592"/>
      <c r="AB953" s="568"/>
      <c r="AC953" s="592"/>
      <c r="AD953" s="592"/>
      <c r="AE953" s="601"/>
      <c r="AF953" s="599">
        <f>SUBTOTAL(9,AF954:AF960)</f>
        <v>0</v>
      </c>
      <c r="AG953" s="585"/>
      <c r="AH953" s="585">
        <f>SUBTOTAL(9,AH954:AH960)</f>
        <v>0</v>
      </c>
      <c r="AI953" s="571">
        <f t="shared" si="196"/>
        <v>366403000</v>
      </c>
      <c r="AJ953" s="574"/>
      <c r="AK953" s="578"/>
    </row>
    <row r="954" spans="1:37" s="376" customFormat="1" ht="121.5" outlineLevel="2" x14ac:dyDescent="0.3">
      <c r="A954" s="447">
        <f>IF(B953&lt;&gt;0,B953,A952)</f>
        <v>75</v>
      </c>
      <c r="B954" s="557"/>
      <c r="C954" s="558" t="s">
        <v>279</v>
      </c>
      <c r="D954" s="587"/>
      <c r="E954" s="587">
        <v>86</v>
      </c>
      <c r="F954" s="560">
        <v>343</v>
      </c>
      <c r="G954" s="558" t="s">
        <v>2884</v>
      </c>
      <c r="H954" s="588">
        <v>660.9</v>
      </c>
      <c r="I954" s="546" t="str">
        <f t="shared" ref="I954" si="205">IF(N954&gt;0,H954,"")</f>
        <v/>
      </c>
      <c r="J954" s="589"/>
      <c r="K954" s="563">
        <f>IF(G954&lt;&gt;0,VLOOKUP(G954,'gia dat'!$A$1:$F$144,5,0)," ")</f>
        <v>554400</v>
      </c>
      <c r="L954" s="563">
        <f>IF(G954&lt;&gt;0,VLOOKUP(G954,'gia dat'!$A$1:$F$144,6,0)," ")</f>
        <v>0</v>
      </c>
      <c r="M954" s="564">
        <f t="shared" si="197"/>
        <v>366403000</v>
      </c>
      <c r="N954" s="564">
        <f t="shared" si="198"/>
        <v>0</v>
      </c>
      <c r="O954" s="646"/>
      <c r="P954" s="590"/>
      <c r="Q954" s="564" t="str">
        <f>IF(O954&lt;&gt;0,VLOOKUP(O954,'Cây trong'!$A$2:$C$246,3,0)," ")</f>
        <v xml:space="preserve"> </v>
      </c>
      <c r="R954" s="564" t="str">
        <f t="shared" si="199"/>
        <v xml:space="preserve"> </v>
      </c>
      <c r="S954" s="646"/>
      <c r="T954" s="647"/>
      <c r="U954" s="591"/>
      <c r="V954" s="589"/>
      <c r="W954" s="564" t="str">
        <f>IF(S954&lt;&gt;0,VLOOKUP(S954,VKT!$A$2:$G$415,7,0),"")</f>
        <v/>
      </c>
      <c r="X954" s="564" t="str">
        <f t="shared" si="195"/>
        <v xml:space="preserve"> </v>
      </c>
      <c r="Y954" s="589"/>
      <c r="Z954" s="592"/>
      <c r="AA954" s="592"/>
      <c r="AB954" s="568"/>
      <c r="AC954" s="592"/>
      <c r="AD954" s="592"/>
      <c r="AE954" s="592"/>
      <c r="AF954" s="590"/>
      <c r="AG954" s="570" t="str">
        <f>IF(AE954&lt;&gt;0,VLOOKUP(AE954,ODDS!$A$2:$C$13,3,0),"")</f>
        <v/>
      </c>
      <c r="AH954" s="570" t="str">
        <f t="shared" si="200"/>
        <v xml:space="preserve"> </v>
      </c>
      <c r="AI954" s="571" t="str">
        <f t="shared" si="196"/>
        <v xml:space="preserve"> </v>
      </c>
      <c r="AJ954" s="558" t="s">
        <v>709</v>
      </c>
      <c r="AK954" s="586" t="s">
        <v>2771</v>
      </c>
    </row>
    <row r="955" spans="1:37" s="376" customFormat="1" ht="60.75" outlineLevel="2" x14ac:dyDescent="0.3">
      <c r="A955" s="447">
        <f t="shared" ref="A955:A960" si="206">IF(B954&lt;&gt;0,B954,A954)</f>
        <v>75</v>
      </c>
      <c r="B955" s="557"/>
      <c r="C955" s="628" t="s">
        <v>707</v>
      </c>
      <c r="D955" s="587"/>
      <c r="E955" s="587"/>
      <c r="F955" s="560"/>
      <c r="G955" s="558"/>
      <c r="H955" s="588"/>
      <c r="I955" s="546"/>
      <c r="J955" s="589"/>
      <c r="K955" s="563" t="str">
        <f>IF(G955&lt;&gt;0,VLOOKUP(G955,'gia dat'!$A$1:$F$144,5,0)," ")</f>
        <v xml:space="preserve"> </v>
      </c>
      <c r="L955" s="563" t="str">
        <f>IF(G955&lt;&gt;0,VLOOKUP(G955,'gia dat'!$A$1:$F$144,6,0)," ")</f>
        <v xml:space="preserve"> </v>
      </c>
      <c r="M955" s="564" t="str">
        <f t="shared" si="197"/>
        <v xml:space="preserve"> </v>
      </c>
      <c r="N955" s="564" t="str">
        <f t="shared" si="198"/>
        <v xml:space="preserve"> </v>
      </c>
      <c r="O955" s="646"/>
      <c r="P955" s="590"/>
      <c r="Q955" s="564" t="str">
        <f>IF(O955&lt;&gt;0,VLOOKUP(O955,'Cây trong'!$A$2:$C$246,3,0)," ")</f>
        <v xml:space="preserve"> </v>
      </c>
      <c r="R955" s="564" t="str">
        <f t="shared" si="199"/>
        <v xml:space="preserve"> </v>
      </c>
      <c r="S955" s="646"/>
      <c r="T955" s="647"/>
      <c r="U955" s="591"/>
      <c r="V955" s="589"/>
      <c r="W955" s="564" t="str">
        <f>IF(S955&lt;&gt;0,VLOOKUP(S955,VKT!$A$2:$G$415,7,0),"")</f>
        <v/>
      </c>
      <c r="X955" s="564" t="str">
        <f t="shared" si="195"/>
        <v xml:space="preserve"> </v>
      </c>
      <c r="Y955" s="589"/>
      <c r="Z955" s="592"/>
      <c r="AA955" s="592"/>
      <c r="AB955" s="568"/>
      <c r="AC955" s="592"/>
      <c r="AD955" s="592"/>
      <c r="AE955" s="592"/>
      <c r="AF955" s="590"/>
      <c r="AG955" s="570" t="str">
        <f>IF(AE955&lt;&gt;0,VLOOKUP(AE955,ODDS!$A$2:$C$13,3,0),"")</f>
        <v/>
      </c>
      <c r="AH955" s="570" t="str">
        <f t="shared" si="200"/>
        <v xml:space="preserve"> </v>
      </c>
      <c r="AI955" s="571" t="str">
        <f t="shared" si="196"/>
        <v xml:space="preserve"> </v>
      </c>
      <c r="AJ955" s="558" t="s">
        <v>603</v>
      </c>
      <c r="AK955" s="558"/>
    </row>
    <row r="956" spans="1:37" s="376" customFormat="1" ht="40.5" outlineLevel="2" x14ac:dyDescent="0.3">
      <c r="A956" s="447">
        <f t="shared" si="206"/>
        <v>75</v>
      </c>
      <c r="B956" s="557"/>
      <c r="C956" s="648" t="s">
        <v>317</v>
      </c>
      <c r="D956" s="587"/>
      <c r="E956" s="587"/>
      <c r="F956" s="560"/>
      <c r="G956" s="558"/>
      <c r="H956" s="588"/>
      <c r="I956" s="546"/>
      <c r="J956" s="589"/>
      <c r="K956" s="563" t="str">
        <f>IF(G956&lt;&gt;0,VLOOKUP(G956,'gia dat'!$A$1:$F$144,5,0)," ")</f>
        <v xml:space="preserve"> </v>
      </c>
      <c r="L956" s="563" t="str">
        <f>IF(G956&lt;&gt;0,VLOOKUP(G956,'gia dat'!$A$1:$F$144,6,0)," ")</f>
        <v xml:space="preserve"> </v>
      </c>
      <c r="M956" s="564" t="str">
        <f t="shared" si="197"/>
        <v xml:space="preserve"> </v>
      </c>
      <c r="N956" s="564" t="str">
        <f t="shared" si="198"/>
        <v xml:space="preserve"> </v>
      </c>
      <c r="O956" s="646"/>
      <c r="P956" s="590"/>
      <c r="Q956" s="564" t="str">
        <f>IF(O956&lt;&gt;0,VLOOKUP(O956,'Cây trong'!$A$2:$C$246,3,0)," ")</f>
        <v xml:space="preserve"> </v>
      </c>
      <c r="R956" s="564" t="str">
        <f t="shared" si="199"/>
        <v xml:space="preserve"> </v>
      </c>
      <c r="S956" s="646"/>
      <c r="T956" s="647"/>
      <c r="U956" s="591"/>
      <c r="V956" s="589"/>
      <c r="W956" s="564" t="str">
        <f>IF(S956&lt;&gt;0,VLOOKUP(S956,VKT!$A$2:$G$415,7,0),"")</f>
        <v/>
      </c>
      <c r="X956" s="564" t="str">
        <f t="shared" si="195"/>
        <v xml:space="preserve"> </v>
      </c>
      <c r="Y956" s="589"/>
      <c r="Z956" s="592"/>
      <c r="AA956" s="592"/>
      <c r="AB956" s="568"/>
      <c r="AC956" s="592"/>
      <c r="AD956" s="592"/>
      <c r="AE956" s="592"/>
      <c r="AF956" s="590"/>
      <c r="AG956" s="570" t="str">
        <f>IF(AE956&lt;&gt;0,VLOOKUP(AE956,ODDS!$A$2:$C$13,3,0),"")</f>
        <v/>
      </c>
      <c r="AH956" s="570" t="str">
        <f t="shared" si="200"/>
        <v xml:space="preserve"> </v>
      </c>
      <c r="AI956" s="571" t="str">
        <f t="shared" si="196"/>
        <v xml:space="preserve"> </v>
      </c>
      <c r="AJ956" s="558" t="s">
        <v>2139</v>
      </c>
      <c r="AK956" s="558"/>
    </row>
    <row r="957" spans="1:37" s="376" customFormat="1" ht="20.25" outlineLevel="2" x14ac:dyDescent="0.3">
      <c r="A957" s="447">
        <f t="shared" si="206"/>
        <v>75</v>
      </c>
      <c r="B957" s="557"/>
      <c r="C957" s="648"/>
      <c r="D957" s="587"/>
      <c r="E957" s="587"/>
      <c r="F957" s="615"/>
      <c r="G957" s="558"/>
      <c r="H957" s="604"/>
      <c r="I957" s="546"/>
      <c r="J957" s="593"/>
      <c r="K957" s="563" t="str">
        <f>IF(G957&lt;&gt;0,VLOOKUP(G957,'gia dat'!$A$1:$F$144,5,0)," ")</f>
        <v xml:space="preserve"> </v>
      </c>
      <c r="L957" s="563" t="str">
        <f>IF(G957&lt;&gt;0,VLOOKUP(G957,'gia dat'!$A$1:$F$144,6,0)," ")</f>
        <v xml:space="preserve"> </v>
      </c>
      <c r="M957" s="564" t="str">
        <f t="shared" si="197"/>
        <v xml:space="preserve"> </v>
      </c>
      <c r="N957" s="564" t="str">
        <f t="shared" si="198"/>
        <v xml:space="preserve"> </v>
      </c>
      <c r="O957" s="593"/>
      <c r="P957" s="616"/>
      <c r="Q957" s="564" t="str">
        <f>IF(O957&lt;&gt;0,VLOOKUP(O957,'Cây trong'!$A$2:$C$246,3,0)," ")</f>
        <v xml:space="preserve"> </v>
      </c>
      <c r="R957" s="564" t="str">
        <f t="shared" si="199"/>
        <v xml:space="preserve"> </v>
      </c>
      <c r="S957" s="593"/>
      <c r="T957" s="593"/>
      <c r="U957" s="617"/>
      <c r="V957" s="589"/>
      <c r="W957" s="564" t="str">
        <f>IF(S957&lt;&gt;0,VLOOKUP(S957,VKT!$A$2:$G$415,7,0),"")</f>
        <v/>
      </c>
      <c r="X957" s="564" t="str">
        <f t="shared" si="195"/>
        <v xml:space="preserve"> </v>
      </c>
      <c r="Y957" s="589"/>
      <c r="Z957" s="589"/>
      <c r="AA957" s="589"/>
      <c r="AB957" s="562"/>
      <c r="AC957" s="589"/>
      <c r="AD957" s="589"/>
      <c r="AE957" s="589"/>
      <c r="AF957" s="629"/>
      <c r="AG957" s="570" t="str">
        <f>IF(AE957&lt;&gt;0,VLOOKUP(AE957,ODDS!$A$2:$C$13,3,0),"")</f>
        <v/>
      </c>
      <c r="AH957" s="570" t="str">
        <f t="shared" si="200"/>
        <v xml:space="preserve"> </v>
      </c>
      <c r="AI957" s="571" t="str">
        <f t="shared" si="196"/>
        <v xml:space="preserve"> </v>
      </c>
      <c r="AJ957" s="575"/>
      <c r="AK957" s="558"/>
    </row>
    <row r="958" spans="1:37" s="376" customFormat="1" ht="20.25" outlineLevel="2" x14ac:dyDescent="0.3">
      <c r="A958" s="447">
        <f t="shared" si="206"/>
        <v>75</v>
      </c>
      <c r="B958" s="557"/>
      <c r="C958" s="648"/>
      <c r="D958" s="587"/>
      <c r="E958" s="587"/>
      <c r="F958" s="615"/>
      <c r="G958" s="558"/>
      <c r="H958" s="604"/>
      <c r="I958" s="546"/>
      <c r="J958" s="593"/>
      <c r="K958" s="563" t="str">
        <f>IF(G958&lt;&gt;0,VLOOKUP(G958,'gia dat'!$A$1:$F$144,5,0)," ")</f>
        <v xml:space="preserve"> </v>
      </c>
      <c r="L958" s="563" t="str">
        <f>IF(G958&lt;&gt;0,VLOOKUP(G958,'gia dat'!$A$1:$F$144,6,0)," ")</f>
        <v xml:space="preserve"> </v>
      </c>
      <c r="M958" s="564" t="str">
        <f t="shared" si="197"/>
        <v xml:space="preserve"> </v>
      </c>
      <c r="N958" s="564" t="str">
        <f t="shared" si="198"/>
        <v xml:space="preserve"> </v>
      </c>
      <c r="O958" s="593"/>
      <c r="P958" s="616"/>
      <c r="Q958" s="564" t="str">
        <f>IF(O958&lt;&gt;0,VLOOKUP(O958,'Cây trong'!$A$2:$C$246,3,0)," ")</f>
        <v xml:space="preserve"> </v>
      </c>
      <c r="R958" s="564" t="str">
        <f t="shared" si="199"/>
        <v xml:space="preserve"> </v>
      </c>
      <c r="S958" s="593"/>
      <c r="T958" s="593"/>
      <c r="U958" s="617"/>
      <c r="V958" s="589"/>
      <c r="W958" s="564" t="str">
        <f>IF(S958&lt;&gt;0,VLOOKUP(S958,VKT!$A$2:$G$415,7,0),"")</f>
        <v/>
      </c>
      <c r="X958" s="564" t="str">
        <f t="shared" si="195"/>
        <v xml:space="preserve"> </v>
      </c>
      <c r="Y958" s="589"/>
      <c r="Z958" s="589"/>
      <c r="AA958" s="589"/>
      <c r="AB958" s="562"/>
      <c r="AC958" s="589"/>
      <c r="AD958" s="589"/>
      <c r="AE958" s="589"/>
      <c r="AF958" s="629"/>
      <c r="AG958" s="570" t="str">
        <f>IF(AE958&lt;&gt;0,VLOOKUP(AE958,ODDS!$A$2:$C$13,3,0),"")</f>
        <v/>
      </c>
      <c r="AH958" s="570" t="str">
        <f t="shared" si="200"/>
        <v xml:space="preserve"> </v>
      </c>
      <c r="AI958" s="571" t="str">
        <f t="shared" si="196"/>
        <v xml:space="preserve"> </v>
      </c>
      <c r="AJ958" s="558"/>
      <c r="AK958" s="558"/>
    </row>
    <row r="959" spans="1:37" s="376" customFormat="1" ht="20.25" outlineLevel="2" x14ac:dyDescent="0.3">
      <c r="A959" s="447">
        <f t="shared" si="206"/>
        <v>75</v>
      </c>
      <c r="B959" s="557"/>
      <c r="C959" s="558"/>
      <c r="D959" s="587"/>
      <c r="E959" s="587"/>
      <c r="F959" s="615"/>
      <c r="G959" s="558"/>
      <c r="H959" s="604"/>
      <c r="I959" s="546"/>
      <c r="J959" s="593"/>
      <c r="K959" s="563" t="str">
        <f>IF(G959&lt;&gt;0,VLOOKUP(G959,'gia dat'!$A$1:$F$144,5,0)," ")</f>
        <v xml:space="preserve"> </v>
      </c>
      <c r="L959" s="563" t="str">
        <f>IF(G959&lt;&gt;0,VLOOKUP(G959,'gia dat'!$A$1:$F$144,6,0)," ")</f>
        <v xml:space="preserve"> </v>
      </c>
      <c r="M959" s="564" t="str">
        <f t="shared" si="197"/>
        <v xml:space="preserve"> </v>
      </c>
      <c r="N959" s="564" t="str">
        <f t="shared" si="198"/>
        <v xml:space="preserve"> </v>
      </c>
      <c r="O959" s="593"/>
      <c r="P959" s="616"/>
      <c r="Q959" s="564" t="str">
        <f>IF(O959&lt;&gt;0,VLOOKUP(O959,'Cây trong'!$A$2:$C$246,3,0)," ")</f>
        <v xml:space="preserve"> </v>
      </c>
      <c r="R959" s="564" t="str">
        <f t="shared" si="199"/>
        <v xml:space="preserve"> </v>
      </c>
      <c r="S959" s="593"/>
      <c r="T959" s="593"/>
      <c r="U959" s="617"/>
      <c r="V959" s="589"/>
      <c r="W959" s="564" t="str">
        <f>IF(S959&lt;&gt;0,VLOOKUP(S959,VKT!$A$2:$G$415,7,0),"")</f>
        <v/>
      </c>
      <c r="X959" s="564" t="str">
        <f t="shared" si="195"/>
        <v xml:space="preserve"> </v>
      </c>
      <c r="Y959" s="589"/>
      <c r="Z959" s="589"/>
      <c r="AA959" s="589"/>
      <c r="AB959" s="562"/>
      <c r="AC959" s="589"/>
      <c r="AD959" s="589"/>
      <c r="AE959" s="589"/>
      <c r="AF959" s="629"/>
      <c r="AG959" s="570" t="str">
        <f>IF(AE959&lt;&gt;0,VLOOKUP(AE959,ODDS!$A$2:$C$13,3,0),"")</f>
        <v/>
      </c>
      <c r="AH959" s="570" t="str">
        <f t="shared" si="200"/>
        <v xml:space="preserve"> </v>
      </c>
      <c r="AI959" s="571" t="str">
        <f t="shared" si="196"/>
        <v xml:space="preserve"> </v>
      </c>
      <c r="AJ959" s="558"/>
      <c r="AK959" s="558"/>
    </row>
    <row r="960" spans="1:37" s="376" customFormat="1" ht="20.25" outlineLevel="2" x14ac:dyDescent="0.3">
      <c r="A960" s="447">
        <f t="shared" si="206"/>
        <v>75</v>
      </c>
      <c r="B960" s="557"/>
      <c r="C960" s="574"/>
      <c r="D960" s="587"/>
      <c r="E960" s="587"/>
      <c r="F960" s="560"/>
      <c r="G960" s="558"/>
      <c r="H960" s="588"/>
      <c r="I960" s="546"/>
      <c r="J960" s="589"/>
      <c r="K960" s="563" t="str">
        <f>IF(G960&lt;&gt;0,VLOOKUP(G960,'gia dat'!$A$1:$F$144,5,0)," ")</f>
        <v xml:space="preserve"> </v>
      </c>
      <c r="L960" s="563" t="str">
        <f>IF(G960&lt;&gt;0,VLOOKUP(G960,'gia dat'!$A$1:$F$144,6,0)," ")</f>
        <v xml:space="preserve"> </v>
      </c>
      <c r="M960" s="564" t="str">
        <f t="shared" si="197"/>
        <v xml:space="preserve"> </v>
      </c>
      <c r="N960" s="564" t="str">
        <f t="shared" si="198"/>
        <v xml:space="preserve"> </v>
      </c>
      <c r="O960" s="646"/>
      <c r="P960" s="590"/>
      <c r="Q960" s="564" t="str">
        <f>IF(O960&lt;&gt;0,VLOOKUP(O960,'Cây trong'!$A$2:$C$246,3,0)," ")</f>
        <v xml:space="preserve"> </v>
      </c>
      <c r="R960" s="564" t="str">
        <f t="shared" si="199"/>
        <v xml:space="preserve"> </v>
      </c>
      <c r="S960" s="646"/>
      <c r="T960" s="647"/>
      <c r="U960" s="591"/>
      <c r="V960" s="589"/>
      <c r="W960" s="564" t="str">
        <f>IF(S960&lt;&gt;0,VLOOKUP(S960,VKT!$A$2:$G$415,7,0),"")</f>
        <v/>
      </c>
      <c r="X960" s="564" t="str">
        <f t="shared" si="195"/>
        <v xml:space="preserve"> </v>
      </c>
      <c r="Y960" s="589"/>
      <c r="Z960" s="592"/>
      <c r="AA960" s="592"/>
      <c r="AB960" s="568"/>
      <c r="AC960" s="592"/>
      <c r="AD960" s="592"/>
      <c r="AE960" s="592"/>
      <c r="AF960" s="590"/>
      <c r="AG960" s="570" t="str">
        <f>IF(AE960&lt;&gt;0,VLOOKUP(AE960,ODDS!$A$2:$C$13,3,0),"")</f>
        <v/>
      </c>
      <c r="AH960" s="570" t="str">
        <f t="shared" si="200"/>
        <v xml:space="preserve"> </v>
      </c>
      <c r="AI960" s="571" t="str">
        <f t="shared" si="196"/>
        <v xml:space="preserve"> </v>
      </c>
      <c r="AJ960" s="593"/>
      <c r="AK960" s="593"/>
    </row>
    <row r="961" spans="1:37" s="376" customFormat="1" ht="40.5" outlineLevel="1" x14ac:dyDescent="0.25">
      <c r="A961" s="467" t="s">
        <v>2634</v>
      </c>
      <c r="B961" s="576">
        <v>76</v>
      </c>
      <c r="C961" s="574" t="s">
        <v>47</v>
      </c>
      <c r="D961" s="595"/>
      <c r="E961" s="595"/>
      <c r="F961" s="577"/>
      <c r="G961" s="574"/>
      <c r="H961" s="618">
        <f>SUBTOTAL(9,H962:H968)</f>
        <v>398.3</v>
      </c>
      <c r="I961" s="579">
        <f>SUBTOTAL(9,I962:I967)</f>
        <v>0</v>
      </c>
      <c r="J961" s="597"/>
      <c r="K961" s="581"/>
      <c r="L961" s="581"/>
      <c r="M961" s="571">
        <f>SUBTOTAL(9,M962:M968)</f>
        <v>220818000</v>
      </c>
      <c r="N961" s="571">
        <f>SUBTOTAL(9,N962:N968)</f>
        <v>0</v>
      </c>
      <c r="O961" s="574"/>
      <c r="P961" s="599">
        <f>SUBTOTAL(9,P962:P968)</f>
        <v>0</v>
      </c>
      <c r="Q961" s="571"/>
      <c r="R961" s="571">
        <f>SUBTOTAL(9,R962:R968)</f>
        <v>0</v>
      </c>
      <c r="S961" s="582"/>
      <c r="T961" s="597"/>
      <c r="U961" s="600">
        <f>SUBTOTAL(9,U962:U968)</f>
        <v>0</v>
      </c>
      <c r="V961" s="597"/>
      <c r="W961" s="571"/>
      <c r="X961" s="571">
        <f>SUBTOTAL(9,X962:X968)</f>
        <v>0</v>
      </c>
      <c r="Y961" s="589"/>
      <c r="Z961" s="592"/>
      <c r="AA961" s="592"/>
      <c r="AB961" s="568"/>
      <c r="AC961" s="592"/>
      <c r="AD961" s="592"/>
      <c r="AE961" s="601"/>
      <c r="AF961" s="599">
        <f>SUBTOTAL(9,AF962:AF968)</f>
        <v>0</v>
      </c>
      <c r="AG961" s="585"/>
      <c r="AH961" s="585">
        <f>SUBTOTAL(9,AH962:AH968)</f>
        <v>0</v>
      </c>
      <c r="AI961" s="571">
        <f t="shared" si="196"/>
        <v>220818000</v>
      </c>
      <c r="AJ961" s="574"/>
      <c r="AK961" s="578"/>
    </row>
    <row r="962" spans="1:37" s="376" customFormat="1" ht="121.5" outlineLevel="2" x14ac:dyDescent="0.3">
      <c r="A962" s="447">
        <f>IF(B961&lt;&gt;0,B961,A960)</f>
        <v>76</v>
      </c>
      <c r="B962" s="557"/>
      <c r="C962" s="558" t="s">
        <v>279</v>
      </c>
      <c r="D962" s="587"/>
      <c r="E962" s="587">
        <v>86</v>
      </c>
      <c r="F962" s="560">
        <v>347</v>
      </c>
      <c r="G962" s="558" t="s">
        <v>2884</v>
      </c>
      <c r="H962" s="588">
        <v>398.3</v>
      </c>
      <c r="I962" s="546" t="str">
        <f t="shared" ref="I962" si="207">IF(N962&gt;0,H962,"")</f>
        <v/>
      </c>
      <c r="J962" s="589"/>
      <c r="K962" s="563">
        <f>IF(G962&lt;&gt;0,VLOOKUP(G962,'gia dat'!$A$1:$F$144,5,0)," ")</f>
        <v>554400</v>
      </c>
      <c r="L962" s="563">
        <f>IF(G962&lt;&gt;0,VLOOKUP(G962,'gia dat'!$A$1:$F$144,6,0)," ")</f>
        <v>0</v>
      </c>
      <c r="M962" s="564">
        <f t="shared" si="197"/>
        <v>220818000</v>
      </c>
      <c r="N962" s="564">
        <f t="shared" si="198"/>
        <v>0</v>
      </c>
      <c r="O962" s="558"/>
      <c r="P962" s="590"/>
      <c r="Q962" s="564" t="str">
        <f>IF(O962&lt;&gt;0,VLOOKUP(O962,'Cây trong'!$A$2:$C$246,3,0)," ")</f>
        <v xml:space="preserve"> </v>
      </c>
      <c r="R962" s="564" t="str">
        <f t="shared" si="199"/>
        <v xml:space="preserve"> </v>
      </c>
      <c r="S962" s="566"/>
      <c r="T962" s="589"/>
      <c r="U962" s="591"/>
      <c r="V962" s="589"/>
      <c r="W962" s="564" t="str">
        <f>IF(S962&lt;&gt;0,VLOOKUP(S962,VKT!$A$2:$G$415,7,0),"")</f>
        <v/>
      </c>
      <c r="X962" s="564" t="str">
        <f t="shared" si="195"/>
        <v xml:space="preserve"> </v>
      </c>
      <c r="Y962" s="589"/>
      <c r="Z962" s="592"/>
      <c r="AA962" s="592"/>
      <c r="AB962" s="568"/>
      <c r="AC962" s="592"/>
      <c r="AD962" s="592"/>
      <c r="AE962" s="592"/>
      <c r="AF962" s="590"/>
      <c r="AG962" s="570" t="str">
        <f>IF(AE962&lt;&gt;0,VLOOKUP(AE962,ODDS!$A$2:$C$13,3,0),"")</f>
        <v/>
      </c>
      <c r="AH962" s="570" t="str">
        <f t="shared" si="200"/>
        <v xml:space="preserve"> </v>
      </c>
      <c r="AI962" s="571" t="str">
        <f t="shared" si="196"/>
        <v xml:space="preserve"> </v>
      </c>
      <c r="AJ962" s="558" t="s">
        <v>710</v>
      </c>
      <c r="AK962" s="586" t="s">
        <v>2771</v>
      </c>
    </row>
    <row r="963" spans="1:37" s="376" customFormat="1" ht="60.75" outlineLevel="2" x14ac:dyDescent="0.3">
      <c r="A963" s="447">
        <f t="shared" ref="A963:A968" si="208">IF(B962&lt;&gt;0,B962,A962)</f>
        <v>76</v>
      </c>
      <c r="B963" s="557"/>
      <c r="C963" s="628" t="s">
        <v>707</v>
      </c>
      <c r="D963" s="587"/>
      <c r="E963" s="587"/>
      <c r="F963" s="560"/>
      <c r="G963" s="558"/>
      <c r="H963" s="588"/>
      <c r="I963" s="546"/>
      <c r="J963" s="589"/>
      <c r="K963" s="563" t="str">
        <f>IF(G963&lt;&gt;0,VLOOKUP(G963,'gia dat'!$A$1:$F$144,5,0)," ")</f>
        <v xml:space="preserve"> </v>
      </c>
      <c r="L963" s="563" t="str">
        <f>IF(G963&lt;&gt;0,VLOOKUP(G963,'gia dat'!$A$1:$F$144,6,0)," ")</f>
        <v xml:space="preserve"> </v>
      </c>
      <c r="M963" s="564" t="str">
        <f t="shared" si="197"/>
        <v xml:space="preserve"> </v>
      </c>
      <c r="N963" s="564" t="str">
        <f t="shared" si="198"/>
        <v xml:space="preserve"> </v>
      </c>
      <c r="O963" s="558"/>
      <c r="P963" s="590"/>
      <c r="Q963" s="564" t="str">
        <f>IF(O963&lt;&gt;0,VLOOKUP(O963,'Cây trong'!$A$2:$C$246,3,0)," ")</f>
        <v xml:space="preserve"> </v>
      </c>
      <c r="R963" s="564" t="str">
        <f t="shared" si="199"/>
        <v xml:space="preserve"> </v>
      </c>
      <c r="S963" s="646"/>
      <c r="T963" s="662"/>
      <c r="U963" s="591"/>
      <c r="V963" s="589"/>
      <c r="W963" s="564" t="str">
        <f>IF(S963&lt;&gt;0,VLOOKUP(S963,VKT!$A$2:$G$415,7,0),"")</f>
        <v/>
      </c>
      <c r="X963" s="564" t="str">
        <f t="shared" si="195"/>
        <v xml:space="preserve"> </v>
      </c>
      <c r="Y963" s="589"/>
      <c r="Z963" s="592"/>
      <c r="AA963" s="592"/>
      <c r="AB963" s="568"/>
      <c r="AC963" s="592"/>
      <c r="AD963" s="592"/>
      <c r="AE963" s="592"/>
      <c r="AF963" s="590"/>
      <c r="AG963" s="570" t="str">
        <f>IF(AE963&lt;&gt;0,VLOOKUP(AE963,ODDS!$A$2:$C$13,3,0),"")</f>
        <v/>
      </c>
      <c r="AH963" s="570" t="str">
        <f t="shared" si="200"/>
        <v xml:space="preserve"> </v>
      </c>
      <c r="AI963" s="571" t="str">
        <f t="shared" si="196"/>
        <v xml:space="preserve"> </v>
      </c>
      <c r="AJ963" s="558" t="s">
        <v>605</v>
      </c>
      <c r="AK963" s="558"/>
    </row>
    <row r="964" spans="1:37" s="376" customFormat="1" ht="40.5" outlineLevel="2" x14ac:dyDescent="0.3">
      <c r="A964" s="447">
        <f t="shared" si="208"/>
        <v>76</v>
      </c>
      <c r="B964" s="557"/>
      <c r="C964" s="648" t="s">
        <v>317</v>
      </c>
      <c r="D964" s="587"/>
      <c r="E964" s="587"/>
      <c r="F964" s="560"/>
      <c r="G964" s="558"/>
      <c r="H964" s="588"/>
      <c r="I964" s="546"/>
      <c r="J964" s="589"/>
      <c r="K964" s="563" t="str">
        <f>IF(G964&lt;&gt;0,VLOOKUP(G964,'gia dat'!$A$1:$F$144,5,0)," ")</f>
        <v xml:space="preserve"> </v>
      </c>
      <c r="L964" s="563" t="str">
        <f>IF(G964&lt;&gt;0,VLOOKUP(G964,'gia dat'!$A$1:$F$144,6,0)," ")</f>
        <v xml:space="preserve"> </v>
      </c>
      <c r="M964" s="564" t="str">
        <f t="shared" si="197"/>
        <v xml:space="preserve"> </v>
      </c>
      <c r="N964" s="564" t="str">
        <f t="shared" si="198"/>
        <v xml:space="preserve"> </v>
      </c>
      <c r="O964" s="558"/>
      <c r="P964" s="590"/>
      <c r="Q964" s="564" t="str">
        <f>IF(O964&lt;&gt;0,VLOOKUP(O964,'Cây trong'!$A$2:$C$246,3,0)," ")</f>
        <v xml:space="preserve"> </v>
      </c>
      <c r="R964" s="564" t="str">
        <f t="shared" si="199"/>
        <v xml:space="preserve"> </v>
      </c>
      <c r="S964" s="566"/>
      <c r="T964" s="589"/>
      <c r="U964" s="591"/>
      <c r="V964" s="589"/>
      <c r="W964" s="564" t="str">
        <f>IF(S964&lt;&gt;0,VLOOKUP(S964,VKT!$A$2:$G$415,7,0),"")</f>
        <v/>
      </c>
      <c r="X964" s="564" t="str">
        <f t="shared" si="195"/>
        <v xml:space="preserve"> </v>
      </c>
      <c r="Y964" s="589"/>
      <c r="Z964" s="592"/>
      <c r="AA964" s="592"/>
      <c r="AB964" s="568"/>
      <c r="AC964" s="592"/>
      <c r="AD964" s="592"/>
      <c r="AE964" s="592"/>
      <c r="AF964" s="590"/>
      <c r="AG964" s="570" t="str">
        <f>IF(AE964&lt;&gt;0,VLOOKUP(AE964,ODDS!$A$2:$C$13,3,0),"")</f>
        <v/>
      </c>
      <c r="AH964" s="570" t="str">
        <f t="shared" si="200"/>
        <v xml:space="preserve"> </v>
      </c>
      <c r="AI964" s="571" t="str">
        <f t="shared" si="196"/>
        <v xml:space="preserve"> </v>
      </c>
      <c r="AJ964" s="558" t="s">
        <v>2139</v>
      </c>
      <c r="AK964" s="558"/>
    </row>
    <row r="965" spans="1:37" s="376" customFormat="1" ht="20.25" outlineLevel="2" x14ac:dyDescent="0.3">
      <c r="A965" s="447">
        <f t="shared" si="208"/>
        <v>76</v>
      </c>
      <c r="B965" s="557"/>
      <c r="C965" s="648"/>
      <c r="D965" s="587"/>
      <c r="E965" s="587"/>
      <c r="F965" s="615"/>
      <c r="G965" s="558"/>
      <c r="H965" s="604"/>
      <c r="I965" s="546"/>
      <c r="J965" s="593"/>
      <c r="K965" s="563" t="str">
        <f>IF(G965&lt;&gt;0,VLOOKUP(G965,'gia dat'!$A$1:$F$144,5,0)," ")</f>
        <v xml:space="preserve"> </v>
      </c>
      <c r="L965" s="563" t="str">
        <f>IF(G965&lt;&gt;0,VLOOKUP(G965,'gia dat'!$A$1:$F$144,6,0)," ")</f>
        <v xml:space="preserve"> </v>
      </c>
      <c r="M965" s="564" t="str">
        <f t="shared" si="197"/>
        <v xml:space="preserve"> </v>
      </c>
      <c r="N965" s="564" t="str">
        <f t="shared" si="198"/>
        <v xml:space="preserve"> </v>
      </c>
      <c r="O965" s="593"/>
      <c r="P965" s="616"/>
      <c r="Q965" s="564" t="str">
        <f>IF(O965&lt;&gt;0,VLOOKUP(O965,'Cây trong'!$A$2:$C$246,3,0)," ")</f>
        <v xml:space="preserve"> </v>
      </c>
      <c r="R965" s="564" t="str">
        <f t="shared" si="199"/>
        <v xml:space="preserve"> </v>
      </c>
      <c r="S965" s="593"/>
      <c r="T965" s="593"/>
      <c r="U965" s="617"/>
      <c r="V965" s="589"/>
      <c r="W965" s="564" t="str">
        <f>IF(S965&lt;&gt;0,VLOOKUP(S965,VKT!$A$2:$G$415,7,0),"")</f>
        <v/>
      </c>
      <c r="X965" s="564" t="str">
        <f t="shared" si="195"/>
        <v xml:space="preserve"> </v>
      </c>
      <c r="Y965" s="589"/>
      <c r="Z965" s="589"/>
      <c r="AA965" s="589"/>
      <c r="AB965" s="562"/>
      <c r="AC965" s="589"/>
      <c r="AD965" s="589"/>
      <c r="AE965" s="589"/>
      <c r="AF965" s="629"/>
      <c r="AG965" s="570" t="str">
        <f>IF(AE965&lt;&gt;0,VLOOKUP(AE965,ODDS!$A$2:$C$13,3,0),"")</f>
        <v/>
      </c>
      <c r="AH965" s="570" t="str">
        <f t="shared" si="200"/>
        <v xml:space="preserve"> </v>
      </c>
      <c r="AI965" s="571" t="str">
        <f t="shared" si="196"/>
        <v xml:space="preserve"> </v>
      </c>
      <c r="AJ965" s="575"/>
      <c r="AK965" s="558"/>
    </row>
    <row r="966" spans="1:37" s="376" customFormat="1" ht="20.25" outlineLevel="2" x14ac:dyDescent="0.3">
      <c r="A966" s="447">
        <f t="shared" si="208"/>
        <v>76</v>
      </c>
      <c r="B966" s="557"/>
      <c r="C966" s="558"/>
      <c r="D966" s="587"/>
      <c r="E966" s="587"/>
      <c r="F966" s="615"/>
      <c r="G966" s="558"/>
      <c r="H966" s="604"/>
      <c r="I966" s="546"/>
      <c r="J966" s="593"/>
      <c r="K966" s="563" t="str">
        <f>IF(G966&lt;&gt;0,VLOOKUP(G966,'gia dat'!$A$1:$F$144,5,0)," ")</f>
        <v xml:space="preserve"> </v>
      </c>
      <c r="L966" s="563" t="str">
        <f>IF(G966&lt;&gt;0,VLOOKUP(G966,'gia dat'!$A$1:$F$144,6,0)," ")</f>
        <v xml:space="preserve"> </v>
      </c>
      <c r="M966" s="564" t="str">
        <f t="shared" si="197"/>
        <v xml:space="preserve"> </v>
      </c>
      <c r="N966" s="564" t="str">
        <f t="shared" si="198"/>
        <v xml:space="preserve"> </v>
      </c>
      <c r="O966" s="593"/>
      <c r="P966" s="616"/>
      <c r="Q966" s="564" t="str">
        <f>IF(O966&lt;&gt;0,VLOOKUP(O966,'Cây trong'!$A$2:$C$246,3,0)," ")</f>
        <v xml:space="preserve"> </v>
      </c>
      <c r="R966" s="564" t="str">
        <f t="shared" si="199"/>
        <v xml:space="preserve"> </v>
      </c>
      <c r="S966" s="593"/>
      <c r="T966" s="593"/>
      <c r="U966" s="617"/>
      <c r="V966" s="589"/>
      <c r="W966" s="564" t="str">
        <f>IF(S966&lt;&gt;0,VLOOKUP(S966,VKT!$A$2:$G$415,7,0),"")</f>
        <v/>
      </c>
      <c r="X966" s="564" t="str">
        <f t="shared" si="195"/>
        <v xml:space="preserve"> </v>
      </c>
      <c r="Y966" s="589"/>
      <c r="Z966" s="589"/>
      <c r="AA966" s="589"/>
      <c r="AB966" s="562"/>
      <c r="AC966" s="589"/>
      <c r="AD966" s="589"/>
      <c r="AE966" s="589"/>
      <c r="AF966" s="629"/>
      <c r="AG966" s="570" t="str">
        <f>IF(AE966&lt;&gt;0,VLOOKUP(AE966,ODDS!$A$2:$C$13,3,0),"")</f>
        <v/>
      </c>
      <c r="AH966" s="570" t="str">
        <f t="shared" si="200"/>
        <v xml:space="preserve"> </v>
      </c>
      <c r="AI966" s="571" t="str">
        <f t="shared" si="196"/>
        <v xml:space="preserve"> </v>
      </c>
      <c r="AJ966" s="558"/>
      <c r="AK966" s="558"/>
    </row>
    <row r="967" spans="1:37" s="376" customFormat="1" ht="20.25" outlineLevel="2" x14ac:dyDescent="0.3">
      <c r="A967" s="447">
        <f t="shared" si="208"/>
        <v>76</v>
      </c>
      <c r="B967" s="557"/>
      <c r="C967" s="643"/>
      <c r="D967" s="587"/>
      <c r="E967" s="587"/>
      <c r="F967" s="560"/>
      <c r="G967" s="558"/>
      <c r="H967" s="588"/>
      <c r="I967" s="546"/>
      <c r="J967" s="589"/>
      <c r="K967" s="563" t="str">
        <f>IF(G967&lt;&gt;0,VLOOKUP(G967,'gia dat'!$A$1:$F$144,5,0)," ")</f>
        <v xml:space="preserve"> </v>
      </c>
      <c r="L967" s="563" t="str">
        <f>IF(G967&lt;&gt;0,VLOOKUP(G967,'gia dat'!$A$1:$F$144,6,0)," ")</f>
        <v xml:space="preserve"> </v>
      </c>
      <c r="M967" s="564" t="str">
        <f t="shared" si="197"/>
        <v xml:space="preserve"> </v>
      </c>
      <c r="N967" s="564" t="str">
        <f t="shared" si="198"/>
        <v xml:space="preserve"> </v>
      </c>
      <c r="O967" s="558"/>
      <c r="P967" s="590"/>
      <c r="Q967" s="564" t="str">
        <f>IF(O967&lt;&gt;0,VLOOKUP(O967,'Cây trong'!$A$2:$C$246,3,0)," ")</f>
        <v xml:space="preserve"> </v>
      </c>
      <c r="R967" s="564" t="str">
        <f t="shared" si="199"/>
        <v xml:space="preserve"> </v>
      </c>
      <c r="S967" s="566"/>
      <c r="T967" s="589"/>
      <c r="U967" s="591"/>
      <c r="V967" s="589"/>
      <c r="W967" s="564" t="str">
        <f>IF(S967&lt;&gt;0,VLOOKUP(S967,VKT!$A$2:$G$415,7,0),"")</f>
        <v/>
      </c>
      <c r="X967" s="564" t="str">
        <f t="shared" si="195"/>
        <v xml:space="preserve"> </v>
      </c>
      <c r="Y967" s="589"/>
      <c r="Z967" s="592"/>
      <c r="AA967" s="592"/>
      <c r="AB967" s="568"/>
      <c r="AC967" s="592"/>
      <c r="AD967" s="592"/>
      <c r="AE967" s="592"/>
      <c r="AF967" s="590"/>
      <c r="AG967" s="570" t="str">
        <f>IF(AE967&lt;&gt;0,VLOOKUP(AE967,ODDS!$A$2:$C$13,3,0),"")</f>
        <v/>
      </c>
      <c r="AH967" s="570" t="str">
        <f t="shared" si="200"/>
        <v xml:space="preserve"> </v>
      </c>
      <c r="AI967" s="571" t="str">
        <f t="shared" si="196"/>
        <v xml:space="preserve"> </v>
      </c>
      <c r="AJ967" s="593"/>
      <c r="AK967" s="593"/>
    </row>
    <row r="968" spans="1:37" s="376" customFormat="1" ht="20.25" outlineLevel="2" x14ac:dyDescent="0.3">
      <c r="A968" s="447">
        <f t="shared" si="208"/>
        <v>76</v>
      </c>
      <c r="B968" s="557"/>
      <c r="C968" s="574"/>
      <c r="D968" s="587"/>
      <c r="E968" s="587"/>
      <c r="F968" s="560"/>
      <c r="G968" s="558"/>
      <c r="H968" s="588"/>
      <c r="I968" s="546"/>
      <c r="J968" s="589"/>
      <c r="K968" s="563" t="str">
        <f>IF(G968&lt;&gt;0,VLOOKUP(G968,'gia dat'!$A$1:$F$144,5,0)," ")</f>
        <v xml:space="preserve"> </v>
      </c>
      <c r="L968" s="563" t="str">
        <f>IF(G968&lt;&gt;0,VLOOKUP(G968,'gia dat'!$A$1:$F$144,6,0)," ")</f>
        <v xml:space="preserve"> </v>
      </c>
      <c r="M968" s="564" t="str">
        <f t="shared" si="197"/>
        <v xml:space="preserve"> </v>
      </c>
      <c r="N968" s="564" t="str">
        <f t="shared" si="198"/>
        <v xml:space="preserve"> </v>
      </c>
      <c r="O968" s="558"/>
      <c r="P968" s="590"/>
      <c r="Q968" s="564" t="str">
        <f>IF(O968&lt;&gt;0,VLOOKUP(O968,'Cây trong'!$A$2:$C$246,3,0)," ")</f>
        <v xml:space="preserve"> </v>
      </c>
      <c r="R968" s="564" t="str">
        <f t="shared" si="199"/>
        <v xml:space="preserve"> </v>
      </c>
      <c r="S968" s="566"/>
      <c r="T968" s="589"/>
      <c r="U968" s="591"/>
      <c r="V968" s="589"/>
      <c r="W968" s="564" t="str">
        <f>IF(S968&lt;&gt;0,VLOOKUP(S968,VKT!$A$2:$G$415,7,0),"")</f>
        <v/>
      </c>
      <c r="X968" s="564" t="str">
        <f t="shared" si="195"/>
        <v xml:space="preserve"> </v>
      </c>
      <c r="Y968" s="589"/>
      <c r="Z968" s="592"/>
      <c r="AA968" s="592"/>
      <c r="AB968" s="568"/>
      <c r="AC968" s="592"/>
      <c r="AD968" s="592"/>
      <c r="AE968" s="592"/>
      <c r="AF968" s="590"/>
      <c r="AG968" s="570" t="str">
        <f>IF(AE968&lt;&gt;0,VLOOKUP(AE968,ODDS!$A$2:$C$13,3,0),"")</f>
        <v/>
      </c>
      <c r="AH968" s="570" t="str">
        <f t="shared" si="200"/>
        <v xml:space="preserve"> </v>
      </c>
      <c r="AI968" s="571" t="str">
        <f t="shared" si="196"/>
        <v xml:space="preserve"> </v>
      </c>
      <c r="AJ968" s="593"/>
      <c r="AK968" s="593"/>
    </row>
    <row r="969" spans="1:37" s="376" customFormat="1" ht="40.5" outlineLevel="1" x14ac:dyDescent="0.25">
      <c r="A969" s="467" t="s">
        <v>2633</v>
      </c>
      <c r="B969" s="576">
        <v>77</v>
      </c>
      <c r="C969" s="574" t="s">
        <v>47</v>
      </c>
      <c r="D969" s="595"/>
      <c r="E969" s="595"/>
      <c r="F969" s="577"/>
      <c r="G969" s="574"/>
      <c r="H969" s="618">
        <f>SUBTOTAL(9,H970:H976)</f>
        <v>266.60000000000002</v>
      </c>
      <c r="I969" s="579">
        <f>SUBTOTAL(9,I970:I975)</f>
        <v>0</v>
      </c>
      <c r="J969" s="597"/>
      <c r="K969" s="581"/>
      <c r="L969" s="581"/>
      <c r="M969" s="571">
        <f>SUBTOTAL(9,M970:M976)</f>
        <v>147803000</v>
      </c>
      <c r="N969" s="571">
        <f>SUBTOTAL(9,N970:N976)</f>
        <v>0</v>
      </c>
      <c r="O969" s="574"/>
      <c r="P969" s="599">
        <f>SUBTOTAL(9,P970:P976)</f>
        <v>0</v>
      </c>
      <c r="Q969" s="571"/>
      <c r="R969" s="571">
        <f>SUBTOTAL(9,R970:R976)</f>
        <v>0</v>
      </c>
      <c r="S969" s="582"/>
      <c r="T969" s="597"/>
      <c r="U969" s="600">
        <f>SUBTOTAL(9,U970:U976)</f>
        <v>0</v>
      </c>
      <c r="V969" s="597"/>
      <c r="W969" s="571"/>
      <c r="X969" s="571">
        <f>SUBTOTAL(9,X970:X976)</f>
        <v>0</v>
      </c>
      <c r="Y969" s="589"/>
      <c r="Z969" s="592"/>
      <c r="AA969" s="592"/>
      <c r="AB969" s="568"/>
      <c r="AC969" s="592"/>
      <c r="AD969" s="592"/>
      <c r="AE969" s="601"/>
      <c r="AF969" s="599">
        <f>SUBTOTAL(9,AF970:AF976)</f>
        <v>0</v>
      </c>
      <c r="AG969" s="585"/>
      <c r="AH969" s="585">
        <f>SUBTOTAL(9,AH970:AH976)</f>
        <v>0</v>
      </c>
      <c r="AI969" s="571">
        <f t="shared" ref="AI969:AI1032" si="209">IF(B969&lt;&gt;0,M969+N969+R969+X969+AH969," ")</f>
        <v>147803000</v>
      </c>
      <c r="AJ969" s="574"/>
      <c r="AK969" s="578"/>
    </row>
    <row r="970" spans="1:37" s="376" customFormat="1" ht="121.5" outlineLevel="2" x14ac:dyDescent="0.3">
      <c r="A970" s="447">
        <f>IF(B969&lt;&gt;0,B969,A968)</f>
        <v>77</v>
      </c>
      <c r="B970" s="557"/>
      <c r="C970" s="558" t="s">
        <v>279</v>
      </c>
      <c r="D970" s="587"/>
      <c r="E970" s="587">
        <v>86</v>
      </c>
      <c r="F970" s="560">
        <v>401</v>
      </c>
      <c r="G970" s="558" t="s">
        <v>2884</v>
      </c>
      <c r="H970" s="588">
        <f>266.6</f>
        <v>266.60000000000002</v>
      </c>
      <c r="I970" s="546" t="str">
        <f t="shared" ref="I970" si="210">IF(N970&gt;0,H970,"")</f>
        <v/>
      </c>
      <c r="J970" s="589"/>
      <c r="K970" s="563">
        <f>IF(G970&lt;&gt;0,VLOOKUP(G970,'gia dat'!$A$1:$F$144,5,0)," ")</f>
        <v>554400</v>
      </c>
      <c r="L970" s="563">
        <f>IF(G970&lt;&gt;0,VLOOKUP(G970,'gia dat'!$A$1:$F$144,6,0)," ")</f>
        <v>0</v>
      </c>
      <c r="M970" s="564">
        <f t="shared" si="197"/>
        <v>147803000</v>
      </c>
      <c r="N970" s="564">
        <f t="shared" si="198"/>
        <v>0</v>
      </c>
      <c r="O970" s="558"/>
      <c r="P970" s="590"/>
      <c r="Q970" s="564" t="str">
        <f>IF(O970&lt;&gt;0,VLOOKUP(O970,'Cây trong'!$A$2:$C$246,3,0)," ")</f>
        <v xml:space="preserve"> </v>
      </c>
      <c r="R970" s="564" t="str">
        <f t="shared" si="199"/>
        <v xml:space="preserve"> </v>
      </c>
      <c r="S970" s="566"/>
      <c r="T970" s="589"/>
      <c r="U970" s="591"/>
      <c r="V970" s="589"/>
      <c r="W970" s="564" t="str">
        <f>IF(S970&lt;&gt;0,VLOOKUP(S970,VKT!$A$2:$G$415,7,0),"")</f>
        <v/>
      </c>
      <c r="X970" s="564" t="str">
        <f t="shared" si="195"/>
        <v xml:space="preserve"> </v>
      </c>
      <c r="Y970" s="589"/>
      <c r="Z970" s="592"/>
      <c r="AA970" s="592"/>
      <c r="AB970" s="568"/>
      <c r="AC970" s="592"/>
      <c r="AD970" s="592"/>
      <c r="AE970" s="592"/>
      <c r="AF970" s="590"/>
      <c r="AG970" s="570" t="str">
        <f>IF(AE970&lt;&gt;0,VLOOKUP(AE970,ODDS!$A$2:$C$13,3,0),"")</f>
        <v/>
      </c>
      <c r="AH970" s="570" t="str">
        <f t="shared" si="200"/>
        <v xml:space="preserve"> </v>
      </c>
      <c r="AI970" s="571" t="str">
        <f t="shared" si="209"/>
        <v xml:space="preserve"> </v>
      </c>
      <c r="AJ970" s="558" t="s">
        <v>1717</v>
      </c>
      <c r="AK970" s="586" t="s">
        <v>2771</v>
      </c>
    </row>
    <row r="971" spans="1:37" s="376" customFormat="1" ht="60.75" outlineLevel="2" x14ac:dyDescent="0.3">
      <c r="A971" s="447">
        <f t="shared" ref="A971:A976" si="211">IF(B970&lt;&gt;0,B970,A970)</f>
        <v>77</v>
      </c>
      <c r="B971" s="557"/>
      <c r="C971" s="628" t="s">
        <v>707</v>
      </c>
      <c r="D971" s="587"/>
      <c r="E971" s="587"/>
      <c r="F971" s="560"/>
      <c r="G971" s="575"/>
      <c r="H971" s="561"/>
      <c r="I971" s="546"/>
      <c r="J971" s="589"/>
      <c r="K971" s="563" t="str">
        <f>IF(G971&lt;&gt;0,VLOOKUP(G971,'gia dat'!$A$1:$F$144,5,0)," ")</f>
        <v xml:space="preserve"> </v>
      </c>
      <c r="L971" s="563" t="str">
        <f>IF(G971&lt;&gt;0,VLOOKUP(G971,'gia dat'!$A$1:$F$144,6,0)," ")</f>
        <v xml:space="preserve"> </v>
      </c>
      <c r="M971" s="564" t="str">
        <f t="shared" si="197"/>
        <v xml:space="preserve"> </v>
      </c>
      <c r="N971" s="564" t="str">
        <f t="shared" si="198"/>
        <v xml:space="preserve"> </v>
      </c>
      <c r="O971" s="558"/>
      <c r="P971" s="590"/>
      <c r="Q971" s="564" t="str">
        <f>IF(O971&lt;&gt;0,VLOOKUP(O971,'Cây trong'!$A$2:$C$246,3,0)," ")</f>
        <v xml:space="preserve"> </v>
      </c>
      <c r="R971" s="564" t="str">
        <f t="shared" si="199"/>
        <v xml:space="preserve"> </v>
      </c>
      <c r="S971" s="566"/>
      <c r="T971" s="589"/>
      <c r="U971" s="591"/>
      <c r="V971" s="589"/>
      <c r="W971" s="564" t="str">
        <f>IF(S971&lt;&gt;0,VLOOKUP(S971,VKT!$A$2:$G$415,7,0),"")</f>
        <v/>
      </c>
      <c r="X971" s="564" t="str">
        <f t="shared" ref="X971:X1037" si="212">IF(S971&lt;&gt;0,ROUND(U971*W971,-3)," ")</f>
        <v xml:space="preserve"> </v>
      </c>
      <c r="Y971" s="589"/>
      <c r="Z971" s="592"/>
      <c r="AA971" s="592"/>
      <c r="AB971" s="568"/>
      <c r="AC971" s="592"/>
      <c r="AD971" s="592"/>
      <c r="AE971" s="592"/>
      <c r="AF971" s="590"/>
      <c r="AG971" s="570" t="str">
        <f>IF(AE971&lt;&gt;0,VLOOKUP(AE971,ODDS!$A$2:$C$13,3,0),"")</f>
        <v/>
      </c>
      <c r="AH971" s="570" t="str">
        <f t="shared" si="200"/>
        <v xml:space="preserve"> </v>
      </c>
      <c r="AI971" s="571" t="str">
        <f t="shared" si="209"/>
        <v xml:space="preserve"> </v>
      </c>
      <c r="AJ971" s="558" t="s">
        <v>607</v>
      </c>
      <c r="AK971" s="558"/>
    </row>
    <row r="972" spans="1:37" s="376" customFormat="1" ht="40.5" outlineLevel="2" x14ac:dyDescent="0.3">
      <c r="A972" s="447">
        <f t="shared" si="211"/>
        <v>77</v>
      </c>
      <c r="B972" s="557"/>
      <c r="C972" s="648" t="s">
        <v>317</v>
      </c>
      <c r="D972" s="587"/>
      <c r="E972" s="587"/>
      <c r="F972" s="560"/>
      <c r="G972" s="558"/>
      <c r="H972" s="604"/>
      <c r="I972" s="546"/>
      <c r="J972" s="589"/>
      <c r="K972" s="563" t="str">
        <f>IF(G972&lt;&gt;0,VLOOKUP(G972,'gia dat'!$A$1:$F$144,5,0)," ")</f>
        <v xml:space="preserve"> </v>
      </c>
      <c r="L972" s="563" t="str">
        <f>IF(G972&lt;&gt;0,VLOOKUP(G972,'gia dat'!$A$1:$F$144,6,0)," ")</f>
        <v xml:space="preserve"> </v>
      </c>
      <c r="M972" s="564" t="str">
        <f t="shared" si="197"/>
        <v xml:space="preserve"> </v>
      </c>
      <c r="N972" s="564" t="str">
        <f t="shared" si="198"/>
        <v xml:space="preserve"> </v>
      </c>
      <c r="O972" s="558"/>
      <c r="P972" s="590"/>
      <c r="Q972" s="564" t="str">
        <f>IF(O972&lt;&gt;0,VLOOKUP(O972,'Cây trong'!$A$2:$C$246,3,0)," ")</f>
        <v xml:space="preserve"> </v>
      </c>
      <c r="R972" s="564" t="str">
        <f t="shared" si="199"/>
        <v xml:space="preserve"> </v>
      </c>
      <c r="S972" s="566"/>
      <c r="T972" s="589"/>
      <c r="U972" s="591"/>
      <c r="V972" s="589"/>
      <c r="W972" s="564" t="str">
        <f>IF(S972&lt;&gt;0,VLOOKUP(S972,VKT!$A$2:$G$415,7,0),"")</f>
        <v/>
      </c>
      <c r="X972" s="564" t="str">
        <f t="shared" si="212"/>
        <v xml:space="preserve"> </v>
      </c>
      <c r="Y972" s="589"/>
      <c r="Z972" s="592"/>
      <c r="AA972" s="592"/>
      <c r="AB972" s="568"/>
      <c r="AC972" s="592"/>
      <c r="AD972" s="592"/>
      <c r="AE972" s="592"/>
      <c r="AF972" s="590"/>
      <c r="AG972" s="570" t="str">
        <f>IF(AE972&lt;&gt;0,VLOOKUP(AE972,ODDS!$A$2:$C$13,3,0),"")</f>
        <v/>
      </c>
      <c r="AH972" s="570" t="str">
        <f t="shared" si="200"/>
        <v xml:space="preserve"> </v>
      </c>
      <c r="AI972" s="571" t="str">
        <f t="shared" si="209"/>
        <v xml:space="preserve"> </v>
      </c>
      <c r="AJ972" s="558" t="s">
        <v>2139</v>
      </c>
      <c r="AK972" s="558"/>
    </row>
    <row r="973" spans="1:37" s="376" customFormat="1" ht="20.25" outlineLevel="2" x14ac:dyDescent="0.3">
      <c r="A973" s="447">
        <f t="shared" si="211"/>
        <v>77</v>
      </c>
      <c r="B973" s="557"/>
      <c r="C973" s="648"/>
      <c r="D973" s="587"/>
      <c r="E973" s="587"/>
      <c r="F973" s="615"/>
      <c r="G973" s="558"/>
      <c r="H973" s="604"/>
      <c r="I973" s="546"/>
      <c r="J973" s="593"/>
      <c r="K973" s="563" t="str">
        <f>IF(G973&lt;&gt;0,VLOOKUP(G973,'gia dat'!$A$1:$F$144,5,0)," ")</f>
        <v xml:space="preserve"> </v>
      </c>
      <c r="L973" s="563" t="str">
        <f>IF(G973&lt;&gt;0,VLOOKUP(G973,'gia dat'!$A$1:$F$144,6,0)," ")</f>
        <v xml:space="preserve"> </v>
      </c>
      <c r="M973" s="564" t="str">
        <f t="shared" si="197"/>
        <v xml:space="preserve"> </v>
      </c>
      <c r="N973" s="564" t="str">
        <f t="shared" si="198"/>
        <v xml:space="preserve"> </v>
      </c>
      <c r="O973" s="593"/>
      <c r="P973" s="616"/>
      <c r="Q973" s="564" t="str">
        <f>IF(O973&lt;&gt;0,VLOOKUP(O973,'Cây trong'!$A$2:$C$246,3,0)," ")</f>
        <v xml:space="preserve"> </v>
      </c>
      <c r="R973" s="564" t="str">
        <f t="shared" si="199"/>
        <v xml:space="preserve"> </v>
      </c>
      <c r="S973" s="593"/>
      <c r="T973" s="593"/>
      <c r="U973" s="617"/>
      <c r="V973" s="589"/>
      <c r="W973" s="564" t="str">
        <f>IF(S973&lt;&gt;0,VLOOKUP(S973,VKT!$A$2:$G$415,7,0),"")</f>
        <v/>
      </c>
      <c r="X973" s="564" t="str">
        <f t="shared" si="212"/>
        <v xml:space="preserve"> </v>
      </c>
      <c r="Y973" s="589"/>
      <c r="Z973" s="589"/>
      <c r="AA973" s="589"/>
      <c r="AB973" s="562"/>
      <c r="AC973" s="589"/>
      <c r="AD973" s="589"/>
      <c r="AE973" s="589"/>
      <c r="AF973" s="629"/>
      <c r="AG973" s="570" t="str">
        <f>IF(AE973&lt;&gt;0,VLOOKUP(AE973,ODDS!$A$2:$C$13,3,0),"")</f>
        <v/>
      </c>
      <c r="AH973" s="570" t="str">
        <f t="shared" si="200"/>
        <v xml:space="preserve"> </v>
      </c>
      <c r="AI973" s="571" t="str">
        <f t="shared" si="209"/>
        <v xml:space="preserve"> </v>
      </c>
      <c r="AJ973" s="575"/>
      <c r="AK973" s="558"/>
    </row>
    <row r="974" spans="1:37" s="376" customFormat="1" ht="20.25" outlineLevel="2" x14ac:dyDescent="0.3">
      <c r="A974" s="447">
        <f t="shared" si="211"/>
        <v>77</v>
      </c>
      <c r="B974" s="557"/>
      <c r="C974" s="648"/>
      <c r="D974" s="587"/>
      <c r="E974" s="587"/>
      <c r="F974" s="615"/>
      <c r="G974" s="558"/>
      <c r="H974" s="604"/>
      <c r="I974" s="546"/>
      <c r="J974" s="593"/>
      <c r="K974" s="563" t="str">
        <f>IF(G974&lt;&gt;0,VLOOKUP(G974,'gia dat'!$A$1:$F$144,5,0)," ")</f>
        <v xml:space="preserve"> </v>
      </c>
      <c r="L974" s="563" t="str">
        <f>IF(G974&lt;&gt;0,VLOOKUP(G974,'gia dat'!$A$1:$F$144,6,0)," ")</f>
        <v xml:space="preserve"> </v>
      </c>
      <c r="M974" s="564" t="str">
        <f t="shared" si="197"/>
        <v xml:space="preserve"> </v>
      </c>
      <c r="N974" s="564" t="str">
        <f t="shared" si="198"/>
        <v xml:space="preserve"> </v>
      </c>
      <c r="O974" s="593"/>
      <c r="P974" s="616"/>
      <c r="Q974" s="564" t="str">
        <f>IF(O974&lt;&gt;0,VLOOKUP(O974,'Cây trong'!$A$2:$C$246,3,0)," ")</f>
        <v xml:space="preserve"> </v>
      </c>
      <c r="R974" s="564" t="str">
        <f t="shared" si="199"/>
        <v xml:space="preserve"> </v>
      </c>
      <c r="S974" s="593"/>
      <c r="T974" s="593"/>
      <c r="U974" s="617"/>
      <c r="V974" s="589"/>
      <c r="W974" s="564" t="str">
        <f>IF(S974&lt;&gt;0,VLOOKUP(S974,VKT!$A$2:$G$415,7,0),"")</f>
        <v/>
      </c>
      <c r="X974" s="564" t="str">
        <f t="shared" si="212"/>
        <v xml:space="preserve"> </v>
      </c>
      <c r="Y974" s="589"/>
      <c r="Z974" s="589"/>
      <c r="AA974" s="589"/>
      <c r="AB974" s="562"/>
      <c r="AC974" s="589"/>
      <c r="AD974" s="589"/>
      <c r="AE974" s="589"/>
      <c r="AF974" s="629"/>
      <c r="AG974" s="570" t="str">
        <f>IF(AE974&lt;&gt;0,VLOOKUP(AE974,ODDS!$A$2:$C$13,3,0),"")</f>
        <v/>
      </c>
      <c r="AH974" s="570" t="str">
        <f t="shared" si="200"/>
        <v xml:space="preserve"> </v>
      </c>
      <c r="AI974" s="571" t="str">
        <f t="shared" si="209"/>
        <v xml:space="preserve"> </v>
      </c>
      <c r="AJ974" s="558"/>
      <c r="AK974" s="558"/>
    </row>
    <row r="975" spans="1:37" s="376" customFormat="1" ht="20.25" outlineLevel="2" x14ac:dyDescent="0.3">
      <c r="A975" s="447">
        <f t="shared" si="211"/>
        <v>77</v>
      </c>
      <c r="B975" s="557"/>
      <c r="C975" s="648"/>
      <c r="D975" s="587"/>
      <c r="E975" s="587"/>
      <c r="F975" s="560"/>
      <c r="G975" s="558"/>
      <c r="H975" s="588"/>
      <c r="I975" s="546"/>
      <c r="J975" s="589"/>
      <c r="K975" s="563" t="str">
        <f>IF(G975&lt;&gt;0,VLOOKUP(G975,'gia dat'!$A$1:$F$144,5,0)," ")</f>
        <v xml:space="preserve"> </v>
      </c>
      <c r="L975" s="563" t="str">
        <f>IF(G975&lt;&gt;0,VLOOKUP(G975,'gia dat'!$A$1:$F$144,6,0)," ")</f>
        <v xml:space="preserve"> </v>
      </c>
      <c r="M975" s="564" t="str">
        <f t="shared" si="197"/>
        <v xml:space="preserve"> </v>
      </c>
      <c r="N975" s="564" t="str">
        <f t="shared" si="198"/>
        <v xml:space="preserve"> </v>
      </c>
      <c r="O975" s="558"/>
      <c r="P975" s="590"/>
      <c r="Q975" s="564" t="str">
        <f>IF(O975&lt;&gt;0,VLOOKUP(O975,'Cây trong'!$A$2:$C$246,3,0)," ")</f>
        <v xml:space="preserve"> </v>
      </c>
      <c r="R975" s="564" t="str">
        <f t="shared" si="199"/>
        <v xml:space="preserve"> </v>
      </c>
      <c r="S975" s="646"/>
      <c r="T975" s="662"/>
      <c r="U975" s="591"/>
      <c r="V975" s="589"/>
      <c r="W975" s="564" t="str">
        <f>IF(S975&lt;&gt;0,VLOOKUP(S975,VKT!$A$2:$G$415,7,0),"")</f>
        <v/>
      </c>
      <c r="X975" s="564" t="str">
        <f t="shared" si="212"/>
        <v xml:space="preserve"> </v>
      </c>
      <c r="Y975" s="589"/>
      <c r="Z975" s="592"/>
      <c r="AA975" s="592"/>
      <c r="AB975" s="568"/>
      <c r="AC975" s="592"/>
      <c r="AD975" s="592"/>
      <c r="AE975" s="592"/>
      <c r="AF975" s="590"/>
      <c r="AG975" s="570" t="str">
        <f>IF(AE975&lt;&gt;0,VLOOKUP(AE975,ODDS!$A$2:$C$13,3,0),"")</f>
        <v/>
      </c>
      <c r="AH975" s="570" t="str">
        <f t="shared" si="200"/>
        <v xml:space="preserve"> </v>
      </c>
      <c r="AI975" s="571" t="str">
        <f t="shared" si="209"/>
        <v xml:space="preserve"> </v>
      </c>
      <c r="AJ975" s="593"/>
      <c r="AK975" s="593"/>
    </row>
    <row r="976" spans="1:37" s="376" customFormat="1" ht="20.25" outlineLevel="2" x14ac:dyDescent="0.3">
      <c r="A976" s="447">
        <f t="shared" si="211"/>
        <v>77</v>
      </c>
      <c r="B976" s="557"/>
      <c r="C976" s="574"/>
      <c r="D976" s="587"/>
      <c r="E976" s="587"/>
      <c r="F976" s="560"/>
      <c r="G976" s="558"/>
      <c r="H976" s="588"/>
      <c r="I976" s="546"/>
      <c r="J976" s="589"/>
      <c r="K976" s="563" t="str">
        <f>IF(G976&lt;&gt;0,VLOOKUP(G976,'gia dat'!$A$1:$F$144,5,0)," ")</f>
        <v xml:space="preserve"> </v>
      </c>
      <c r="L976" s="563" t="str">
        <f>IF(G976&lt;&gt;0,VLOOKUP(G976,'gia dat'!$A$1:$F$144,6,0)," ")</f>
        <v xml:space="preserve"> </v>
      </c>
      <c r="M976" s="564" t="str">
        <f t="shared" si="197"/>
        <v xml:space="preserve"> </v>
      </c>
      <c r="N976" s="564" t="str">
        <f t="shared" si="198"/>
        <v xml:space="preserve"> </v>
      </c>
      <c r="O976" s="558"/>
      <c r="P976" s="590"/>
      <c r="Q976" s="564" t="str">
        <f>IF(O976&lt;&gt;0,VLOOKUP(O976,'Cây trong'!$A$2:$C$246,3,0)," ")</f>
        <v xml:space="preserve"> </v>
      </c>
      <c r="R976" s="564" t="str">
        <f t="shared" si="199"/>
        <v xml:space="preserve"> </v>
      </c>
      <c r="S976" s="566"/>
      <c r="T976" s="589"/>
      <c r="U976" s="591"/>
      <c r="V976" s="589"/>
      <c r="W976" s="564" t="str">
        <f>IF(S976&lt;&gt;0,VLOOKUP(S976,VKT!$A$2:$G$415,7,0),"")</f>
        <v/>
      </c>
      <c r="X976" s="564" t="str">
        <f t="shared" si="212"/>
        <v xml:space="preserve"> </v>
      </c>
      <c r="Y976" s="589"/>
      <c r="Z976" s="592"/>
      <c r="AA976" s="592"/>
      <c r="AB976" s="568"/>
      <c r="AC976" s="592"/>
      <c r="AD976" s="592"/>
      <c r="AE976" s="592"/>
      <c r="AF976" s="590"/>
      <c r="AG976" s="570" t="str">
        <f>IF(AE976&lt;&gt;0,VLOOKUP(AE976,ODDS!$A$2:$C$13,3,0),"")</f>
        <v/>
      </c>
      <c r="AH976" s="570" t="str">
        <f t="shared" si="200"/>
        <v xml:space="preserve"> </v>
      </c>
      <c r="AI976" s="571" t="str">
        <f t="shared" si="209"/>
        <v xml:space="preserve"> </v>
      </c>
      <c r="AJ976" s="593"/>
      <c r="AK976" s="593"/>
    </row>
    <row r="977" spans="1:37" s="376" customFormat="1" ht="40.5" outlineLevel="1" x14ac:dyDescent="0.25">
      <c r="A977" s="467" t="s">
        <v>2632</v>
      </c>
      <c r="B977" s="576">
        <v>78</v>
      </c>
      <c r="C977" s="574" t="s">
        <v>47</v>
      </c>
      <c r="D977" s="595"/>
      <c r="E977" s="595"/>
      <c r="F977" s="577"/>
      <c r="G977" s="574"/>
      <c r="H977" s="618">
        <f>SUBTOTAL(9,H978:H1008)</f>
        <v>552</v>
      </c>
      <c r="I977" s="579">
        <f>SUBTOTAL(9,I978:I983)</f>
        <v>0</v>
      </c>
      <c r="J977" s="597"/>
      <c r="K977" s="581"/>
      <c r="L977" s="581"/>
      <c r="M977" s="571">
        <f>SUBTOTAL(9,M978:M1008)</f>
        <v>306029000</v>
      </c>
      <c r="N977" s="571">
        <f>SUBTOTAL(9,N978:N1008)</f>
        <v>0</v>
      </c>
      <c r="O977" s="574"/>
      <c r="P977" s="599">
        <f>SUBTOTAL(9,P978:P1008)</f>
        <v>830.2</v>
      </c>
      <c r="Q977" s="571"/>
      <c r="R977" s="571">
        <f>SUBTOTAL(9,R978:R1008)</f>
        <v>63680600</v>
      </c>
      <c r="S977" s="578"/>
      <c r="T977" s="597"/>
      <c r="U977" s="600">
        <f>SUBTOTAL(9,U978:U1008)</f>
        <v>89.97</v>
      </c>
      <c r="V977" s="597"/>
      <c r="W977" s="571"/>
      <c r="X977" s="571">
        <f>SUBTOTAL(9,X978:X1008)</f>
        <v>40454000</v>
      </c>
      <c r="Y977" s="589"/>
      <c r="Z977" s="592"/>
      <c r="AA977" s="592"/>
      <c r="AB977" s="568"/>
      <c r="AC977" s="592"/>
      <c r="AD977" s="592"/>
      <c r="AE977" s="601"/>
      <c r="AF977" s="599">
        <f>SUBTOTAL(9,AF978:AF1008)</f>
        <v>0</v>
      </c>
      <c r="AG977" s="585"/>
      <c r="AH977" s="585">
        <f>SUBTOTAL(9,AH978:AH1008)</f>
        <v>0</v>
      </c>
      <c r="AI977" s="571">
        <f t="shared" si="209"/>
        <v>410163600</v>
      </c>
      <c r="AJ977" s="574"/>
      <c r="AK977" s="578"/>
    </row>
    <row r="978" spans="1:37" s="376" customFormat="1" ht="121.5" outlineLevel="2" x14ac:dyDescent="0.3">
      <c r="A978" s="447">
        <f>IF(B977&lt;&gt;0,B977,A976)</f>
        <v>78</v>
      </c>
      <c r="B978" s="557"/>
      <c r="C978" s="558" t="s">
        <v>279</v>
      </c>
      <c r="D978" s="587"/>
      <c r="E978" s="587">
        <v>86</v>
      </c>
      <c r="F978" s="560">
        <v>137</v>
      </c>
      <c r="G978" s="558" t="s">
        <v>2884</v>
      </c>
      <c r="H978" s="588">
        <f>552-H979</f>
        <v>516.4</v>
      </c>
      <c r="I978" s="546" t="str">
        <f t="shared" ref="I978:I979" si="213">IF(N978&gt;0,H978,"")</f>
        <v/>
      </c>
      <c r="J978" s="589"/>
      <c r="K978" s="563">
        <f>IF(G978&lt;&gt;0,VLOOKUP(G978,'gia dat'!$A$1:$F$144,5,0)," ")</f>
        <v>554400</v>
      </c>
      <c r="L978" s="563">
        <f>IF(G978&lt;&gt;0,VLOOKUP(G978,'gia dat'!$A$1:$F$144,6,0)," ")</f>
        <v>0</v>
      </c>
      <c r="M978" s="564">
        <f t="shared" si="197"/>
        <v>286292000</v>
      </c>
      <c r="N978" s="564">
        <f t="shared" si="198"/>
        <v>0</v>
      </c>
      <c r="O978" s="558" t="s">
        <v>347</v>
      </c>
      <c r="P978" s="590">
        <v>529.20000000000005</v>
      </c>
      <c r="Q978" s="564">
        <f>IF(O978&lt;&gt;0,VLOOKUP(O978,'Cây trong'!$A$2:$C$246,3,0)," ")</f>
        <v>12000</v>
      </c>
      <c r="R978" s="564">
        <f>IF(O978&lt;&gt;0,ROUND(P978*Q978,-2)," ")</f>
        <v>6350400</v>
      </c>
      <c r="S978" s="586" t="s">
        <v>1767</v>
      </c>
      <c r="T978" s="589" t="s">
        <v>53</v>
      </c>
      <c r="U978" s="591">
        <v>8.8000000000000007</v>
      </c>
      <c r="V978" s="589"/>
      <c r="W978" s="564">
        <f>IF(S978&lt;&gt;0,VLOOKUP(S978,VKT!$A$2:$G$415,7,0),"")</f>
        <v>0</v>
      </c>
      <c r="X978" s="564">
        <f t="shared" si="212"/>
        <v>0</v>
      </c>
      <c r="Y978" s="589"/>
      <c r="Z978" s="592"/>
      <c r="AA978" s="592"/>
      <c r="AB978" s="568"/>
      <c r="AC978" s="592"/>
      <c r="AD978" s="592"/>
      <c r="AE978" s="592"/>
      <c r="AF978" s="590"/>
      <c r="AG978" s="570" t="str">
        <f>IF(AE978&lt;&gt;0,VLOOKUP(AE978,ODDS!$A$2:$C$13,3,0),"")</f>
        <v/>
      </c>
      <c r="AH978" s="570" t="str">
        <f t="shared" si="200"/>
        <v xml:space="preserve"> </v>
      </c>
      <c r="AI978" s="571" t="str">
        <f t="shared" si="209"/>
        <v xml:space="preserve"> </v>
      </c>
      <c r="AJ978" s="558" t="s">
        <v>711</v>
      </c>
      <c r="AK978" s="586" t="s">
        <v>2771</v>
      </c>
    </row>
    <row r="979" spans="1:37" s="376" customFormat="1" ht="121.5" outlineLevel="2" x14ac:dyDescent="0.3">
      <c r="A979" s="447">
        <f t="shared" ref="A979:A1008" si="214">IF(B978&lt;&gt;0,B978,A978)</f>
        <v>78</v>
      </c>
      <c r="B979" s="557"/>
      <c r="C979" s="628" t="s">
        <v>707</v>
      </c>
      <c r="D979" s="587"/>
      <c r="E979" s="587"/>
      <c r="F979" s="560"/>
      <c r="G979" s="558" t="s">
        <v>2887</v>
      </c>
      <c r="H979" s="588">
        <v>35.6</v>
      </c>
      <c r="I979" s="546" t="str">
        <f t="shared" si="213"/>
        <v/>
      </c>
      <c r="J979" s="589"/>
      <c r="K979" s="563">
        <f>IF(G979&lt;&gt;0,VLOOKUP(G979,'gia dat'!$A$1:$F$144,5,0)," ")</f>
        <v>554400</v>
      </c>
      <c r="L979" s="563">
        <f>IF(G979&lt;&gt;0,VLOOKUP(G979,'gia dat'!$A$1:$F$144,6,0)," ")</f>
        <v>0</v>
      </c>
      <c r="M979" s="564">
        <f t="shared" si="197"/>
        <v>19737000</v>
      </c>
      <c r="N979" s="564">
        <f t="shared" si="198"/>
        <v>0</v>
      </c>
      <c r="O979" s="558" t="s">
        <v>64</v>
      </c>
      <c r="P979" s="590">
        <v>19</v>
      </c>
      <c r="Q979" s="564">
        <f>IF(O979&lt;&gt;0,VLOOKUP(O979,'Cây trong'!$A$2:$C$246,3,0)," ")</f>
        <v>1122000</v>
      </c>
      <c r="R979" s="564">
        <f t="shared" si="199"/>
        <v>21318000</v>
      </c>
      <c r="S979" s="646" t="s">
        <v>1863</v>
      </c>
      <c r="T979" s="649" t="s">
        <v>53</v>
      </c>
      <c r="U979" s="591">
        <v>21.12</v>
      </c>
      <c r="V979" s="589"/>
      <c r="W979" s="564">
        <f>IF(S979&lt;&gt;0,VLOOKUP(S979,VKT!$A$2:$G$415,7,0),"")</f>
        <v>1107311</v>
      </c>
      <c r="X979" s="564">
        <f t="shared" si="212"/>
        <v>23386000</v>
      </c>
      <c r="Y979" s="589"/>
      <c r="Z979" s="592" t="s">
        <v>55</v>
      </c>
      <c r="AA979" s="592" t="s">
        <v>87</v>
      </c>
      <c r="AB979" s="568" t="s">
        <v>171</v>
      </c>
      <c r="AC979" s="592" t="s">
        <v>88</v>
      </c>
      <c r="AD979" s="592"/>
      <c r="AE979" s="592"/>
      <c r="AF979" s="590"/>
      <c r="AG979" s="570" t="str">
        <f>IF(AE979&lt;&gt;0,VLOOKUP(AE979,ODDS!$A$2:$C$13,3,0),"")</f>
        <v/>
      </c>
      <c r="AH979" s="570" t="str">
        <f t="shared" si="200"/>
        <v xml:space="preserve"> </v>
      </c>
      <c r="AI979" s="571" t="str">
        <f t="shared" si="209"/>
        <v xml:space="preserve"> </v>
      </c>
      <c r="AJ979" s="558" t="s">
        <v>608</v>
      </c>
      <c r="AK979" s="558" t="s">
        <v>2450</v>
      </c>
    </row>
    <row r="980" spans="1:37" s="376" customFormat="1" ht="101.25" outlineLevel="2" x14ac:dyDescent="0.3">
      <c r="A980" s="447">
        <f t="shared" si="214"/>
        <v>78</v>
      </c>
      <c r="B980" s="557"/>
      <c r="C980" s="648" t="s">
        <v>317</v>
      </c>
      <c r="D980" s="587"/>
      <c r="E980" s="587"/>
      <c r="F980" s="560"/>
      <c r="G980" s="558"/>
      <c r="H980" s="588"/>
      <c r="I980" s="546"/>
      <c r="J980" s="589"/>
      <c r="K980" s="563" t="str">
        <f>IF(G980&lt;&gt;0,VLOOKUP(G980,'gia dat'!$A$1:$F$144,5,0)," ")</f>
        <v xml:space="preserve"> </v>
      </c>
      <c r="L980" s="563" t="str">
        <f>IF(G980&lt;&gt;0,VLOOKUP(G980,'gia dat'!$A$1:$F$144,6,0)," ")</f>
        <v xml:space="preserve"> </v>
      </c>
      <c r="M980" s="564" t="str">
        <f t="shared" si="197"/>
        <v xml:space="preserve"> </v>
      </c>
      <c r="N980" s="564" t="str">
        <f t="shared" si="198"/>
        <v xml:space="preserve"> </v>
      </c>
      <c r="O980" s="558" t="s">
        <v>67</v>
      </c>
      <c r="P980" s="590">
        <v>10</v>
      </c>
      <c r="Q980" s="564">
        <f>IF(O980&lt;&gt;0,VLOOKUP(O980,'Cây trong'!$A$2:$C$246,3,0)," ")</f>
        <v>494000</v>
      </c>
      <c r="R980" s="564">
        <f t="shared" si="199"/>
        <v>4940000</v>
      </c>
      <c r="S980" s="566" t="s">
        <v>1898</v>
      </c>
      <c r="T980" s="589" t="s">
        <v>53</v>
      </c>
      <c r="U980" s="591">
        <v>14.52</v>
      </c>
      <c r="V980" s="589"/>
      <c r="W980" s="564">
        <f>IF(S980&lt;&gt;0,VLOOKUP(S980,VKT!$A$2:$G$415,7,0),"")</f>
        <v>1175490</v>
      </c>
      <c r="X980" s="564">
        <f t="shared" si="212"/>
        <v>17068000</v>
      </c>
      <c r="Y980" s="589"/>
      <c r="Z980" s="592" t="s">
        <v>55</v>
      </c>
      <c r="AA980" s="592" t="s">
        <v>87</v>
      </c>
      <c r="AB980" s="568" t="s">
        <v>171</v>
      </c>
      <c r="AC980" s="592" t="s">
        <v>88</v>
      </c>
      <c r="AD980" s="592"/>
      <c r="AE980" s="592"/>
      <c r="AF980" s="590"/>
      <c r="AG980" s="570" t="str">
        <f>IF(AE980&lt;&gt;0,VLOOKUP(AE980,ODDS!$A$2:$C$13,3,0),"")</f>
        <v/>
      </c>
      <c r="AH980" s="570" t="str">
        <f t="shared" si="200"/>
        <v xml:space="preserve"> </v>
      </c>
      <c r="AI980" s="571" t="str">
        <f t="shared" si="209"/>
        <v xml:space="preserve"> </v>
      </c>
      <c r="AJ980" s="593" t="s">
        <v>609</v>
      </c>
      <c r="AK980" s="558" t="s">
        <v>2449</v>
      </c>
    </row>
    <row r="981" spans="1:37" s="376" customFormat="1" ht="101.25" outlineLevel="2" x14ac:dyDescent="0.3">
      <c r="A981" s="447">
        <f t="shared" si="214"/>
        <v>78</v>
      </c>
      <c r="B981" s="557"/>
      <c r="C981" s="648"/>
      <c r="D981" s="587"/>
      <c r="E981" s="587"/>
      <c r="F981" s="560"/>
      <c r="G981" s="558"/>
      <c r="H981" s="588"/>
      <c r="I981" s="546"/>
      <c r="J981" s="589"/>
      <c r="K981" s="563" t="str">
        <f>IF(G981&lt;&gt;0,VLOOKUP(G981,'gia dat'!$A$1:$F$144,5,0)," ")</f>
        <v xml:space="preserve"> </v>
      </c>
      <c r="L981" s="563" t="str">
        <f>IF(G981&lt;&gt;0,VLOOKUP(G981,'gia dat'!$A$1:$F$144,6,0)," ")</f>
        <v xml:space="preserve"> </v>
      </c>
      <c r="M981" s="564" t="str">
        <f t="shared" si="197"/>
        <v xml:space="preserve"> </v>
      </c>
      <c r="N981" s="564" t="str">
        <f t="shared" si="198"/>
        <v xml:space="preserve"> </v>
      </c>
      <c r="O981" s="558" t="s">
        <v>145</v>
      </c>
      <c r="P981" s="590">
        <v>1</v>
      </c>
      <c r="Q981" s="564">
        <f>IF(O981&lt;&gt;0,VLOOKUP(O981,'Cây trong'!$A$2:$C$246,3,0)," ")</f>
        <v>4240000</v>
      </c>
      <c r="R981" s="564">
        <f t="shared" si="199"/>
        <v>4240000</v>
      </c>
      <c r="S981" s="566" t="s">
        <v>1767</v>
      </c>
      <c r="T981" s="589" t="s">
        <v>53</v>
      </c>
      <c r="U981" s="591">
        <v>4.4000000000000004</v>
      </c>
      <c r="V981" s="589"/>
      <c r="W981" s="564">
        <f>IF(S981&lt;&gt;0,VLOOKUP(S981,VKT!$A$2:$G$415,7,0),"")</f>
        <v>0</v>
      </c>
      <c r="X981" s="564">
        <f t="shared" si="212"/>
        <v>0</v>
      </c>
      <c r="Y981" s="589"/>
      <c r="Z981" s="592"/>
      <c r="AA981" s="592"/>
      <c r="AB981" s="568"/>
      <c r="AC981" s="592"/>
      <c r="AD981" s="592"/>
      <c r="AE981" s="592"/>
      <c r="AF981" s="590"/>
      <c r="AG981" s="570" t="str">
        <f>IF(AE981&lt;&gt;0,VLOOKUP(AE981,ODDS!$A$2:$C$13,3,0),"")</f>
        <v/>
      </c>
      <c r="AH981" s="570" t="str">
        <f t="shared" si="200"/>
        <v xml:space="preserve"> </v>
      </c>
      <c r="AI981" s="571" t="str">
        <f t="shared" si="209"/>
        <v xml:space="preserve"> </v>
      </c>
      <c r="AJ981" s="558"/>
      <c r="AK981" s="558" t="s">
        <v>2800</v>
      </c>
    </row>
    <row r="982" spans="1:37" s="376" customFormat="1" ht="40.5" outlineLevel="2" x14ac:dyDescent="0.3">
      <c r="A982" s="447">
        <f t="shared" si="214"/>
        <v>78</v>
      </c>
      <c r="B982" s="557"/>
      <c r="C982" s="648"/>
      <c r="D982" s="587"/>
      <c r="E982" s="587"/>
      <c r="F982" s="560"/>
      <c r="G982" s="558"/>
      <c r="H982" s="588"/>
      <c r="I982" s="546"/>
      <c r="J982" s="589"/>
      <c r="K982" s="563" t="str">
        <f>IF(G982&lt;&gt;0,VLOOKUP(G982,'gia dat'!$A$1:$F$144,5,0)," ")</f>
        <v xml:space="preserve"> </v>
      </c>
      <c r="L982" s="563" t="str">
        <f>IF(G982&lt;&gt;0,VLOOKUP(G982,'gia dat'!$A$1:$F$144,6,0)," ")</f>
        <v xml:space="preserve"> </v>
      </c>
      <c r="M982" s="564" t="str">
        <f t="shared" si="197"/>
        <v xml:space="preserve"> </v>
      </c>
      <c r="N982" s="564" t="str">
        <f t="shared" si="198"/>
        <v xml:space="preserve"> </v>
      </c>
      <c r="O982" s="558" t="s">
        <v>725</v>
      </c>
      <c r="P982" s="590">
        <v>38</v>
      </c>
      <c r="Q982" s="564">
        <f>IF(O982&lt;&gt;0,VLOOKUP(O982,'Cây trong'!$A$2:$C$246,3,0)," ")</f>
        <v>360000</v>
      </c>
      <c r="R982" s="564">
        <f t="shared" si="199"/>
        <v>13680000</v>
      </c>
      <c r="S982" s="566" t="s">
        <v>1899</v>
      </c>
      <c r="T982" s="589" t="s">
        <v>53</v>
      </c>
      <c r="U982" s="591">
        <v>4.75</v>
      </c>
      <c r="V982" s="589"/>
      <c r="W982" s="564">
        <f>IF(S982&lt;&gt;0,VLOOKUP(S982,VKT!$A$2:$G$415,7,0),"")</f>
        <v>0</v>
      </c>
      <c r="X982" s="564">
        <f t="shared" si="212"/>
        <v>0</v>
      </c>
      <c r="Y982" s="589"/>
      <c r="Z982" s="592" t="s">
        <v>55</v>
      </c>
      <c r="AA982" s="592" t="s">
        <v>87</v>
      </c>
      <c r="AB982" s="568" t="s">
        <v>357</v>
      </c>
      <c r="AC982" s="592" t="s">
        <v>88</v>
      </c>
      <c r="AD982" s="592"/>
      <c r="AE982" s="592"/>
      <c r="AF982" s="590"/>
      <c r="AG982" s="570" t="str">
        <f>IF(AE982&lt;&gt;0,VLOOKUP(AE982,ODDS!$A$2:$C$13,3,0),"")</f>
        <v/>
      </c>
      <c r="AH982" s="570" t="str">
        <f t="shared" si="200"/>
        <v xml:space="preserve"> </v>
      </c>
      <c r="AI982" s="571" t="str">
        <f t="shared" si="209"/>
        <v xml:space="preserve"> </v>
      </c>
      <c r="AJ982" s="575"/>
      <c r="AK982" s="558"/>
    </row>
    <row r="983" spans="1:37" s="376" customFormat="1" ht="40.5" outlineLevel="2" x14ac:dyDescent="0.3">
      <c r="A983" s="447">
        <f t="shared" si="214"/>
        <v>78</v>
      </c>
      <c r="B983" s="557"/>
      <c r="C983" s="648"/>
      <c r="D983" s="587"/>
      <c r="E983" s="587"/>
      <c r="F983" s="560"/>
      <c r="G983" s="558"/>
      <c r="H983" s="588"/>
      <c r="I983" s="546"/>
      <c r="J983" s="589"/>
      <c r="K983" s="563" t="str">
        <f>IF(G983&lt;&gt;0,VLOOKUP(G983,'gia dat'!$A$1:$F$144,5,0)," ")</f>
        <v xml:space="preserve"> </v>
      </c>
      <c r="L983" s="563" t="str">
        <f>IF(G983&lt;&gt;0,VLOOKUP(G983,'gia dat'!$A$1:$F$144,6,0)," ")</f>
        <v xml:space="preserve"> </v>
      </c>
      <c r="M983" s="564" t="str">
        <f t="shared" ref="M983:M1049" si="215">IF(H983&lt;&gt;0,ROUND(H983*K983,-3)," ")</f>
        <v xml:space="preserve"> </v>
      </c>
      <c r="N983" s="564" t="str">
        <f t="shared" ref="N983:N1049" si="216">IF(H983&lt;&gt;0,ROUND(H983*L983,-3)," ")</f>
        <v xml:space="preserve"> </v>
      </c>
      <c r="O983" s="558" t="s">
        <v>744</v>
      </c>
      <c r="P983" s="590">
        <v>1</v>
      </c>
      <c r="Q983" s="564">
        <f>IF(O983&lt;&gt;0,VLOOKUP(O983,'Cây trong'!$A$2:$C$246,3,0)," ")</f>
        <v>0</v>
      </c>
      <c r="R983" s="564">
        <f t="shared" si="199"/>
        <v>0</v>
      </c>
      <c r="S983" s="566" t="s">
        <v>1899</v>
      </c>
      <c r="T983" s="589" t="s">
        <v>53</v>
      </c>
      <c r="U983" s="591">
        <v>6.3</v>
      </c>
      <c r="V983" s="589"/>
      <c r="W983" s="564">
        <f>IF(S983&lt;&gt;0,VLOOKUP(S983,VKT!$A$2:$G$415,7,0),"")</f>
        <v>0</v>
      </c>
      <c r="X983" s="564">
        <f t="shared" si="212"/>
        <v>0</v>
      </c>
      <c r="Y983" s="589"/>
      <c r="Z983" s="592" t="s">
        <v>55</v>
      </c>
      <c r="AA983" s="592" t="s">
        <v>87</v>
      </c>
      <c r="AB983" s="568" t="s">
        <v>358</v>
      </c>
      <c r="AC983" s="592" t="s">
        <v>88</v>
      </c>
      <c r="AD983" s="592"/>
      <c r="AE983" s="592"/>
      <c r="AF983" s="590"/>
      <c r="AG983" s="570" t="str">
        <f>IF(AE983&lt;&gt;0,VLOOKUP(AE983,ODDS!$A$2:$C$13,3,0),"")</f>
        <v/>
      </c>
      <c r="AH983" s="570" t="str">
        <f t="shared" si="200"/>
        <v xml:space="preserve"> </v>
      </c>
      <c r="AI983" s="571" t="str">
        <f t="shared" si="209"/>
        <v xml:space="preserve"> </v>
      </c>
      <c r="AJ983" s="593"/>
      <c r="AK983" s="593"/>
    </row>
    <row r="984" spans="1:37" s="376" customFormat="1" ht="40.5" outlineLevel="2" x14ac:dyDescent="0.3">
      <c r="A984" s="447">
        <f t="shared" si="214"/>
        <v>78</v>
      </c>
      <c r="B984" s="557"/>
      <c r="C984" s="648"/>
      <c r="D984" s="587"/>
      <c r="E984" s="587"/>
      <c r="F984" s="560"/>
      <c r="G984" s="558"/>
      <c r="H984" s="588"/>
      <c r="I984" s="546"/>
      <c r="J984" s="589"/>
      <c r="K984" s="563" t="str">
        <f>IF(G984&lt;&gt;0,VLOOKUP(G984,'gia dat'!$A$1:$F$144,5,0)," ")</f>
        <v xml:space="preserve"> </v>
      </c>
      <c r="L984" s="563" t="str">
        <f>IF(G984&lt;&gt;0,VLOOKUP(G984,'gia dat'!$A$1:$F$144,6,0)," ")</f>
        <v xml:space="preserve"> </v>
      </c>
      <c r="M984" s="564" t="str">
        <f t="shared" si="215"/>
        <v xml:space="preserve"> </v>
      </c>
      <c r="N984" s="564" t="str">
        <f t="shared" si="216"/>
        <v xml:space="preserve"> </v>
      </c>
      <c r="O984" s="558" t="s">
        <v>738</v>
      </c>
      <c r="P984" s="590">
        <v>2</v>
      </c>
      <c r="Q984" s="564">
        <f>IF(O984&lt;&gt;0,VLOOKUP(O984,'Cây trong'!$A$2:$C$246,3,0)," ")</f>
        <v>0</v>
      </c>
      <c r="R984" s="564">
        <f t="shared" si="199"/>
        <v>0</v>
      </c>
      <c r="S984" s="566" t="s">
        <v>1900</v>
      </c>
      <c r="T984" s="589" t="s">
        <v>53</v>
      </c>
      <c r="U984" s="591">
        <v>4.08</v>
      </c>
      <c r="V984" s="589"/>
      <c r="W984" s="564">
        <f>IF(S984&lt;&gt;0,VLOOKUP(S984,VKT!$A$2:$G$415,7,0),"")</f>
        <v>0</v>
      </c>
      <c r="X984" s="564">
        <f t="shared" si="212"/>
        <v>0</v>
      </c>
      <c r="Y984" s="589"/>
      <c r="Z984" s="592"/>
      <c r="AA984" s="592"/>
      <c r="AB984" s="568"/>
      <c r="AC984" s="592"/>
      <c r="AD984" s="592"/>
      <c r="AE984" s="592"/>
      <c r="AF984" s="590"/>
      <c r="AG984" s="570" t="str">
        <f>IF(AE984&lt;&gt;0,VLOOKUP(AE984,ODDS!$A$2:$C$13,3,0),"")</f>
        <v/>
      </c>
      <c r="AH984" s="570" t="str">
        <f t="shared" si="200"/>
        <v xml:space="preserve"> </v>
      </c>
      <c r="AI984" s="571" t="str">
        <f t="shared" si="209"/>
        <v xml:space="preserve"> </v>
      </c>
      <c r="AJ984" s="593"/>
      <c r="AK984" s="593"/>
    </row>
    <row r="985" spans="1:37" s="376" customFormat="1" ht="40.5" outlineLevel="2" x14ac:dyDescent="0.3">
      <c r="A985" s="447">
        <f t="shared" si="214"/>
        <v>78</v>
      </c>
      <c r="B985" s="557"/>
      <c r="C985" s="648"/>
      <c r="D985" s="587"/>
      <c r="E985" s="587"/>
      <c r="F985" s="560"/>
      <c r="G985" s="558"/>
      <c r="H985" s="588"/>
      <c r="I985" s="546"/>
      <c r="J985" s="589"/>
      <c r="K985" s="563" t="str">
        <f>IF(G985&lt;&gt;0,VLOOKUP(G985,'gia dat'!$A$1:$F$144,5,0)," ")</f>
        <v xml:space="preserve"> </v>
      </c>
      <c r="L985" s="563" t="str">
        <f>IF(G985&lt;&gt;0,VLOOKUP(G985,'gia dat'!$A$1:$F$144,6,0)," ")</f>
        <v xml:space="preserve"> </v>
      </c>
      <c r="M985" s="564" t="str">
        <f t="shared" si="215"/>
        <v xml:space="preserve"> </v>
      </c>
      <c r="N985" s="564" t="str">
        <f t="shared" si="216"/>
        <v xml:space="preserve"> </v>
      </c>
      <c r="O985" s="558" t="s">
        <v>352</v>
      </c>
      <c r="P985" s="590">
        <v>1</v>
      </c>
      <c r="Q985" s="564">
        <f>IF(O985&lt;&gt;0,VLOOKUP(O985,'Cây trong'!$A$2:$C$246,3,0)," ")</f>
        <v>60000</v>
      </c>
      <c r="R985" s="564">
        <f t="shared" si="199"/>
        <v>60000</v>
      </c>
      <c r="S985" s="586" t="s">
        <v>1767</v>
      </c>
      <c r="T985" s="589" t="s">
        <v>53</v>
      </c>
      <c r="U985" s="591">
        <v>17.28</v>
      </c>
      <c r="V985" s="589"/>
      <c r="W985" s="564">
        <f>IF(S985&lt;&gt;0,VLOOKUP(S985,VKT!$A$2:$G$415,7,0),"")</f>
        <v>0</v>
      </c>
      <c r="X985" s="564">
        <f t="shared" si="212"/>
        <v>0</v>
      </c>
      <c r="Y985" s="589"/>
      <c r="Z985" s="592"/>
      <c r="AA985" s="592"/>
      <c r="AB985" s="568"/>
      <c r="AC985" s="592"/>
      <c r="AD985" s="592"/>
      <c r="AE985" s="592"/>
      <c r="AF985" s="590"/>
      <c r="AG985" s="570" t="str">
        <f>IF(AE985&lt;&gt;0,VLOOKUP(AE985,ODDS!$A$2:$C$13,3,0),"")</f>
        <v/>
      </c>
      <c r="AH985" s="570" t="str">
        <f t="shared" si="200"/>
        <v xml:space="preserve"> </v>
      </c>
      <c r="AI985" s="571" t="str">
        <f t="shared" si="209"/>
        <v xml:space="preserve"> </v>
      </c>
      <c r="AJ985" s="593"/>
      <c r="AK985" s="593"/>
    </row>
    <row r="986" spans="1:37" s="376" customFormat="1" ht="40.5" outlineLevel="2" x14ac:dyDescent="0.3">
      <c r="A986" s="447">
        <f t="shared" si="214"/>
        <v>78</v>
      </c>
      <c r="B986" s="557"/>
      <c r="C986" s="648"/>
      <c r="D986" s="587"/>
      <c r="E986" s="587"/>
      <c r="F986" s="560"/>
      <c r="G986" s="558"/>
      <c r="H986" s="588"/>
      <c r="I986" s="546"/>
      <c r="J986" s="589"/>
      <c r="K986" s="563" t="str">
        <f>IF(G986&lt;&gt;0,VLOOKUP(G986,'gia dat'!$A$1:$F$144,5,0)," ")</f>
        <v xml:space="preserve"> </v>
      </c>
      <c r="L986" s="563" t="str">
        <f>IF(G986&lt;&gt;0,VLOOKUP(G986,'gia dat'!$A$1:$F$144,6,0)," ")</f>
        <v xml:space="preserve"> </v>
      </c>
      <c r="M986" s="564" t="str">
        <f t="shared" si="215"/>
        <v xml:space="preserve"> </v>
      </c>
      <c r="N986" s="564" t="str">
        <f t="shared" si="216"/>
        <v xml:space="preserve"> </v>
      </c>
      <c r="O986" s="558" t="s">
        <v>72</v>
      </c>
      <c r="P986" s="590">
        <v>18</v>
      </c>
      <c r="Q986" s="564">
        <f>IF(O986&lt;&gt;0,VLOOKUP(O986,'Cây trong'!$A$2:$C$246,3,0)," ")</f>
        <v>132000</v>
      </c>
      <c r="R986" s="564">
        <f t="shared" si="199"/>
        <v>2376000</v>
      </c>
      <c r="S986" s="566" t="s">
        <v>1767</v>
      </c>
      <c r="T986" s="589" t="s">
        <v>53</v>
      </c>
      <c r="U986" s="591">
        <v>3.36</v>
      </c>
      <c r="V986" s="589"/>
      <c r="W986" s="564">
        <f>IF(S986&lt;&gt;0,VLOOKUP(S986,VKT!$A$2:$G$415,7,0),"")</f>
        <v>0</v>
      </c>
      <c r="X986" s="564">
        <f t="shared" si="212"/>
        <v>0</v>
      </c>
      <c r="Y986" s="589"/>
      <c r="Z986" s="592"/>
      <c r="AA986" s="592"/>
      <c r="AB986" s="568"/>
      <c r="AC986" s="592"/>
      <c r="AD986" s="592"/>
      <c r="AE986" s="592"/>
      <c r="AF986" s="590"/>
      <c r="AG986" s="570" t="str">
        <f>IF(AE986&lt;&gt;0,VLOOKUP(AE986,ODDS!$A$2:$C$13,3,0),"")</f>
        <v/>
      </c>
      <c r="AH986" s="570" t="str">
        <f t="shared" si="200"/>
        <v xml:space="preserve"> </v>
      </c>
      <c r="AI986" s="571" t="str">
        <f t="shared" si="209"/>
        <v xml:space="preserve"> </v>
      </c>
      <c r="AJ986" s="593"/>
      <c r="AK986" s="593"/>
    </row>
    <row r="987" spans="1:37" s="376" customFormat="1" ht="40.5" outlineLevel="2" x14ac:dyDescent="0.3">
      <c r="A987" s="447">
        <f t="shared" si="214"/>
        <v>78</v>
      </c>
      <c r="B987" s="557"/>
      <c r="C987" s="648"/>
      <c r="D987" s="587"/>
      <c r="E987" s="587"/>
      <c r="F987" s="560"/>
      <c r="G987" s="558"/>
      <c r="H987" s="588"/>
      <c r="I987" s="546"/>
      <c r="J987" s="589"/>
      <c r="K987" s="563" t="str">
        <f>IF(G987&lt;&gt;0,VLOOKUP(G987,'gia dat'!$A$1:$F$144,5,0)," ")</f>
        <v xml:space="preserve"> </v>
      </c>
      <c r="L987" s="563" t="str">
        <f>IF(G987&lt;&gt;0,VLOOKUP(G987,'gia dat'!$A$1:$F$144,6,0)," ")</f>
        <v xml:space="preserve"> </v>
      </c>
      <c r="M987" s="564" t="str">
        <f t="shared" si="215"/>
        <v xml:space="preserve"> </v>
      </c>
      <c r="N987" s="564" t="str">
        <f t="shared" si="216"/>
        <v xml:space="preserve"> </v>
      </c>
      <c r="O987" s="558" t="s">
        <v>73</v>
      </c>
      <c r="P987" s="590">
        <v>76</v>
      </c>
      <c r="Q987" s="564">
        <f>IF(O987&lt;&gt;0,VLOOKUP(O987,'Cây trong'!$A$2:$C$246,3,0)," ")</f>
        <v>76000</v>
      </c>
      <c r="R987" s="564">
        <f t="shared" si="199"/>
        <v>5776000</v>
      </c>
      <c r="S987" s="566" t="s">
        <v>1818</v>
      </c>
      <c r="T987" s="589" t="s">
        <v>53</v>
      </c>
      <c r="U987" s="591">
        <v>5.36</v>
      </c>
      <c r="V987" s="589"/>
      <c r="W987" s="564">
        <f>IF(S987&lt;&gt;0,VLOOKUP(S987,VKT!$A$2:$G$415,7,0),"")</f>
        <v>0</v>
      </c>
      <c r="X987" s="564">
        <f t="shared" si="212"/>
        <v>0</v>
      </c>
      <c r="Y987" s="589"/>
      <c r="Z987" s="592"/>
      <c r="AA987" s="592"/>
      <c r="AB987" s="568"/>
      <c r="AC987" s="592"/>
      <c r="AD987" s="592"/>
      <c r="AE987" s="592"/>
      <c r="AF987" s="590"/>
      <c r="AG987" s="570" t="str">
        <f>IF(AE987&lt;&gt;0,VLOOKUP(AE987,ODDS!$A$2:$C$13,3,0),"")</f>
        <v/>
      </c>
      <c r="AH987" s="570" t="str">
        <f t="shared" si="200"/>
        <v xml:space="preserve"> </v>
      </c>
      <c r="AI987" s="571" t="str">
        <f t="shared" si="209"/>
        <v xml:space="preserve"> </v>
      </c>
      <c r="AJ987" s="593"/>
      <c r="AK987" s="593"/>
    </row>
    <row r="988" spans="1:37" s="376" customFormat="1" ht="20.25" outlineLevel="2" x14ac:dyDescent="0.3">
      <c r="A988" s="447">
        <f t="shared" si="214"/>
        <v>78</v>
      </c>
      <c r="B988" s="557"/>
      <c r="C988" s="648"/>
      <c r="D988" s="587"/>
      <c r="E988" s="587"/>
      <c r="F988" s="560"/>
      <c r="G988" s="558"/>
      <c r="H988" s="588"/>
      <c r="I988" s="546"/>
      <c r="J988" s="589"/>
      <c r="K988" s="563" t="str">
        <f>IF(G988&lt;&gt;0,VLOOKUP(G988,'gia dat'!$A$1:$F$144,5,0)," ")</f>
        <v xml:space="preserve"> </v>
      </c>
      <c r="L988" s="563" t="str">
        <f>IF(G988&lt;&gt;0,VLOOKUP(G988,'gia dat'!$A$1:$F$144,6,0)," ")</f>
        <v xml:space="preserve"> </v>
      </c>
      <c r="M988" s="564" t="str">
        <f t="shared" si="215"/>
        <v xml:space="preserve"> </v>
      </c>
      <c r="N988" s="564" t="str">
        <f t="shared" si="216"/>
        <v xml:space="preserve"> </v>
      </c>
      <c r="O988" s="558" t="s">
        <v>75</v>
      </c>
      <c r="P988" s="590">
        <v>66</v>
      </c>
      <c r="Q988" s="564">
        <f>IF(O988&lt;&gt;0,VLOOKUP(O988,'Cây trong'!$A$2:$C$246,3,0)," ")</f>
        <v>34000</v>
      </c>
      <c r="R988" s="564">
        <f t="shared" si="199"/>
        <v>2244000</v>
      </c>
      <c r="S988" s="566"/>
      <c r="T988" s="589"/>
      <c r="U988" s="591"/>
      <c r="V988" s="589"/>
      <c r="W988" s="564" t="str">
        <f>IF(S988&lt;&gt;0,VLOOKUP(S988,VKT!$A$2:$G$415,7,0),"")</f>
        <v/>
      </c>
      <c r="X988" s="564" t="str">
        <f t="shared" si="212"/>
        <v xml:space="preserve"> </v>
      </c>
      <c r="Y988" s="589"/>
      <c r="Z988" s="592"/>
      <c r="AA988" s="592"/>
      <c r="AB988" s="568"/>
      <c r="AC988" s="592"/>
      <c r="AD988" s="592"/>
      <c r="AE988" s="592"/>
      <c r="AF988" s="590"/>
      <c r="AG988" s="570" t="str">
        <f>IF(AE988&lt;&gt;0,VLOOKUP(AE988,ODDS!$A$2:$C$13,3,0),"")</f>
        <v/>
      </c>
      <c r="AH988" s="570" t="str">
        <f t="shared" si="200"/>
        <v xml:space="preserve"> </v>
      </c>
      <c r="AI988" s="571" t="str">
        <f t="shared" si="209"/>
        <v xml:space="preserve"> </v>
      </c>
      <c r="AJ988" s="593"/>
      <c r="AK988" s="593"/>
    </row>
    <row r="989" spans="1:37" s="376" customFormat="1" ht="40.5" outlineLevel="2" x14ac:dyDescent="0.3">
      <c r="A989" s="447">
        <f t="shared" si="214"/>
        <v>78</v>
      </c>
      <c r="B989" s="557"/>
      <c r="C989" s="648"/>
      <c r="D989" s="587"/>
      <c r="E989" s="587"/>
      <c r="F989" s="560"/>
      <c r="G989" s="558"/>
      <c r="H989" s="588"/>
      <c r="I989" s="546"/>
      <c r="J989" s="589"/>
      <c r="K989" s="563" t="str">
        <f>IF(G989&lt;&gt;0,VLOOKUP(G989,'gia dat'!$A$1:$F$144,5,0)," ")</f>
        <v xml:space="preserve"> </v>
      </c>
      <c r="L989" s="563" t="str">
        <f>IF(G989&lt;&gt;0,VLOOKUP(G989,'gia dat'!$A$1:$F$144,6,0)," ")</f>
        <v xml:space="preserve"> </v>
      </c>
      <c r="M989" s="564" t="str">
        <f t="shared" si="215"/>
        <v xml:space="preserve"> </v>
      </c>
      <c r="N989" s="564" t="str">
        <f t="shared" si="216"/>
        <v xml:space="preserve"> </v>
      </c>
      <c r="O989" s="558" t="s">
        <v>784</v>
      </c>
      <c r="P989" s="590">
        <v>23</v>
      </c>
      <c r="Q989" s="564">
        <f>IF(O989&lt;&gt;0,VLOOKUP(O989,'Cây trong'!$A$2:$C$246,3,0)," ")</f>
        <v>8400</v>
      </c>
      <c r="R989" s="564">
        <f t="shared" si="199"/>
        <v>193200</v>
      </c>
      <c r="S989" s="566"/>
      <c r="T989" s="589"/>
      <c r="U989" s="591"/>
      <c r="V989" s="589"/>
      <c r="W989" s="564" t="str">
        <f>IF(S989&lt;&gt;0,VLOOKUP(S989,VKT!$A$2:$G$415,7,0),"")</f>
        <v/>
      </c>
      <c r="X989" s="564" t="str">
        <f t="shared" si="212"/>
        <v xml:space="preserve"> </v>
      </c>
      <c r="Y989" s="589"/>
      <c r="Z989" s="592"/>
      <c r="AA989" s="592"/>
      <c r="AB989" s="568"/>
      <c r="AC989" s="592"/>
      <c r="AD989" s="592"/>
      <c r="AE989" s="592"/>
      <c r="AF989" s="590"/>
      <c r="AG989" s="570" t="str">
        <f>IF(AE989&lt;&gt;0,VLOOKUP(AE989,ODDS!$A$2:$C$13,3,0),"")</f>
        <v/>
      </c>
      <c r="AH989" s="570" t="str">
        <f t="shared" si="200"/>
        <v xml:space="preserve"> </v>
      </c>
      <c r="AI989" s="571" t="str">
        <f t="shared" si="209"/>
        <v xml:space="preserve"> </v>
      </c>
      <c r="AJ989" s="593"/>
      <c r="AK989" s="593"/>
    </row>
    <row r="990" spans="1:37" s="376" customFormat="1" ht="40.5" outlineLevel="2" x14ac:dyDescent="0.3">
      <c r="A990" s="447">
        <f t="shared" si="214"/>
        <v>78</v>
      </c>
      <c r="B990" s="557"/>
      <c r="C990" s="648"/>
      <c r="D990" s="587"/>
      <c r="E990" s="587"/>
      <c r="F990" s="560"/>
      <c r="G990" s="558"/>
      <c r="H990" s="588"/>
      <c r="I990" s="546"/>
      <c r="J990" s="589"/>
      <c r="K990" s="563" t="str">
        <f>IF(G990&lt;&gt;0,VLOOKUP(G990,'gia dat'!$A$1:$F$144,5,0)," ")</f>
        <v xml:space="preserve"> </v>
      </c>
      <c r="L990" s="563" t="str">
        <f>IF(G990&lt;&gt;0,VLOOKUP(G990,'gia dat'!$A$1:$F$144,6,0)," ")</f>
        <v xml:space="preserve"> </v>
      </c>
      <c r="M990" s="564" t="str">
        <f t="shared" si="215"/>
        <v xml:space="preserve"> </v>
      </c>
      <c r="N990" s="564" t="str">
        <f t="shared" si="216"/>
        <v xml:space="preserve"> </v>
      </c>
      <c r="O990" s="558" t="s">
        <v>785</v>
      </c>
      <c r="P990" s="590">
        <v>5</v>
      </c>
      <c r="Q990" s="564">
        <f>IF(O990&lt;&gt;0,VLOOKUP(O990,'Cây trong'!$A$2:$C$246,3,0)," ")</f>
        <v>6000</v>
      </c>
      <c r="R990" s="564">
        <f t="shared" si="199"/>
        <v>30000</v>
      </c>
      <c r="S990" s="566"/>
      <c r="T990" s="589"/>
      <c r="U990" s="591"/>
      <c r="V990" s="589"/>
      <c r="W990" s="564" t="str">
        <f>IF(S990&lt;&gt;0,VLOOKUP(S990,VKT!$A$2:$G$415,7,0),"")</f>
        <v/>
      </c>
      <c r="X990" s="564" t="str">
        <f t="shared" si="212"/>
        <v xml:space="preserve"> </v>
      </c>
      <c r="Y990" s="589"/>
      <c r="Z990" s="592"/>
      <c r="AA990" s="592"/>
      <c r="AB990" s="568"/>
      <c r="AC990" s="592"/>
      <c r="AD990" s="592"/>
      <c r="AE990" s="592"/>
      <c r="AF990" s="590"/>
      <c r="AG990" s="570" t="str">
        <f>IF(AE990&lt;&gt;0,VLOOKUP(AE990,ODDS!$A$2:$C$13,3,0),"")</f>
        <v/>
      </c>
      <c r="AH990" s="570" t="str">
        <f t="shared" si="200"/>
        <v xml:space="preserve"> </v>
      </c>
      <c r="AI990" s="571" t="str">
        <f t="shared" si="209"/>
        <v xml:space="preserve"> </v>
      </c>
      <c r="AJ990" s="593"/>
      <c r="AK990" s="593"/>
    </row>
    <row r="991" spans="1:37" s="376" customFormat="1" ht="20.25" outlineLevel="2" x14ac:dyDescent="0.3">
      <c r="A991" s="447">
        <f t="shared" si="214"/>
        <v>78</v>
      </c>
      <c r="B991" s="557"/>
      <c r="C991" s="648"/>
      <c r="D991" s="587"/>
      <c r="E991" s="587"/>
      <c r="F991" s="560"/>
      <c r="G991" s="558"/>
      <c r="H991" s="588"/>
      <c r="I991" s="546"/>
      <c r="J991" s="589"/>
      <c r="K991" s="563" t="str">
        <f>IF(G991&lt;&gt;0,VLOOKUP(G991,'gia dat'!$A$1:$F$144,5,0)," ")</f>
        <v xml:space="preserve"> </v>
      </c>
      <c r="L991" s="563" t="str">
        <f>IF(G991&lt;&gt;0,VLOOKUP(G991,'gia dat'!$A$1:$F$144,6,0)," ")</f>
        <v xml:space="preserve"> </v>
      </c>
      <c r="M991" s="564" t="str">
        <f t="shared" si="215"/>
        <v xml:space="preserve"> </v>
      </c>
      <c r="N991" s="564" t="str">
        <f t="shared" si="216"/>
        <v xml:space="preserve"> </v>
      </c>
      <c r="O991" s="558" t="s">
        <v>248</v>
      </c>
      <c r="P991" s="590">
        <v>5</v>
      </c>
      <c r="Q991" s="564">
        <f>IF(O991&lt;&gt;0,VLOOKUP(O991,'Cây trong'!$A$2:$C$246,3,0)," ")</f>
        <v>12000</v>
      </c>
      <c r="R991" s="564">
        <f t="shared" si="199"/>
        <v>60000</v>
      </c>
      <c r="S991" s="566"/>
      <c r="T991" s="589"/>
      <c r="U991" s="591"/>
      <c r="V991" s="589"/>
      <c r="W991" s="564" t="str">
        <f>IF(S991&lt;&gt;0,VLOOKUP(S991,VKT!$A$2:$G$415,7,0),"")</f>
        <v/>
      </c>
      <c r="X991" s="564" t="str">
        <f t="shared" si="212"/>
        <v xml:space="preserve"> </v>
      </c>
      <c r="Y991" s="589"/>
      <c r="Z991" s="592"/>
      <c r="AA991" s="592"/>
      <c r="AB991" s="568"/>
      <c r="AC991" s="592"/>
      <c r="AD991" s="592"/>
      <c r="AE991" s="592"/>
      <c r="AF991" s="590"/>
      <c r="AG991" s="570" t="str">
        <f>IF(AE991&lt;&gt;0,VLOOKUP(AE991,ODDS!$A$2:$C$13,3,0),"")</f>
        <v/>
      </c>
      <c r="AH991" s="570" t="str">
        <f t="shared" si="200"/>
        <v xml:space="preserve"> </v>
      </c>
      <c r="AI991" s="571" t="str">
        <f t="shared" si="209"/>
        <v xml:space="preserve"> </v>
      </c>
      <c r="AJ991" s="593"/>
      <c r="AK991" s="593"/>
    </row>
    <row r="992" spans="1:37" s="376" customFormat="1" ht="40.5" outlineLevel="2" x14ac:dyDescent="0.3">
      <c r="A992" s="447">
        <f t="shared" si="214"/>
        <v>78</v>
      </c>
      <c r="B992" s="557"/>
      <c r="C992" s="648"/>
      <c r="D992" s="587"/>
      <c r="E992" s="587"/>
      <c r="F992" s="560"/>
      <c r="G992" s="558"/>
      <c r="H992" s="588"/>
      <c r="I992" s="546"/>
      <c r="J992" s="589"/>
      <c r="K992" s="563" t="str">
        <f>IF(G992&lt;&gt;0,VLOOKUP(G992,'gia dat'!$A$1:$F$144,5,0)," ")</f>
        <v xml:space="preserve"> </v>
      </c>
      <c r="L992" s="563" t="str">
        <f>IF(G992&lt;&gt;0,VLOOKUP(G992,'gia dat'!$A$1:$F$144,6,0)," ")</f>
        <v xml:space="preserve"> </v>
      </c>
      <c r="M992" s="564" t="str">
        <f t="shared" si="215"/>
        <v xml:space="preserve"> </v>
      </c>
      <c r="N992" s="564" t="str">
        <f t="shared" si="216"/>
        <v xml:space="preserve"> </v>
      </c>
      <c r="O992" s="558" t="s">
        <v>354</v>
      </c>
      <c r="P992" s="590">
        <v>15</v>
      </c>
      <c r="Q992" s="564">
        <f>IF(O992&lt;&gt;0,VLOOKUP(O992,'Cây trong'!$A$2:$C$246,3,0)," ")</f>
        <v>12000</v>
      </c>
      <c r="R992" s="564">
        <f t="shared" si="199"/>
        <v>180000</v>
      </c>
      <c r="S992" s="566"/>
      <c r="T992" s="589"/>
      <c r="U992" s="591"/>
      <c r="V992" s="589"/>
      <c r="W992" s="564" t="str">
        <f>IF(S992&lt;&gt;0,VLOOKUP(S992,VKT!$A$2:$G$415,7,0),"")</f>
        <v/>
      </c>
      <c r="X992" s="564" t="str">
        <f t="shared" si="212"/>
        <v xml:space="preserve"> </v>
      </c>
      <c r="Y992" s="589"/>
      <c r="Z992" s="592"/>
      <c r="AA992" s="592"/>
      <c r="AB992" s="568"/>
      <c r="AC992" s="592"/>
      <c r="AD992" s="592"/>
      <c r="AE992" s="592"/>
      <c r="AF992" s="590"/>
      <c r="AG992" s="570" t="str">
        <f>IF(AE992&lt;&gt;0,VLOOKUP(AE992,ODDS!$A$2:$C$13,3,0),"")</f>
        <v/>
      </c>
      <c r="AH992" s="570" t="str">
        <f t="shared" si="200"/>
        <v xml:space="preserve"> </v>
      </c>
      <c r="AI992" s="571" t="str">
        <f t="shared" si="209"/>
        <v xml:space="preserve"> </v>
      </c>
      <c r="AJ992" s="593"/>
      <c r="AK992" s="593"/>
    </row>
    <row r="993" spans="1:37" s="376" customFormat="1" ht="40.5" outlineLevel="2" x14ac:dyDescent="0.3">
      <c r="A993" s="447">
        <f t="shared" si="214"/>
        <v>78</v>
      </c>
      <c r="B993" s="557"/>
      <c r="C993" s="648"/>
      <c r="D993" s="587"/>
      <c r="E993" s="587"/>
      <c r="F993" s="560"/>
      <c r="G993" s="558"/>
      <c r="H993" s="588"/>
      <c r="I993" s="546"/>
      <c r="J993" s="589"/>
      <c r="K993" s="563" t="str">
        <f>IF(G993&lt;&gt;0,VLOOKUP(G993,'gia dat'!$A$1:$F$144,5,0)," ")</f>
        <v xml:space="preserve"> </v>
      </c>
      <c r="L993" s="563" t="str">
        <f>IF(G993&lt;&gt;0,VLOOKUP(G993,'gia dat'!$A$1:$F$144,6,0)," ")</f>
        <v xml:space="preserve"> </v>
      </c>
      <c r="M993" s="564" t="str">
        <f t="shared" si="215"/>
        <v xml:space="preserve"> </v>
      </c>
      <c r="N993" s="564" t="str">
        <f t="shared" si="216"/>
        <v xml:space="preserve"> </v>
      </c>
      <c r="O993" s="558" t="s">
        <v>786</v>
      </c>
      <c r="P993" s="590">
        <v>1</v>
      </c>
      <c r="Q993" s="564">
        <f>IF(O993&lt;&gt;0,VLOOKUP(O993,'Cây trong'!$A$2:$C$246,3,0)," ")</f>
        <v>0</v>
      </c>
      <c r="R993" s="564">
        <f t="shared" si="199"/>
        <v>0</v>
      </c>
      <c r="S993" s="566"/>
      <c r="T993" s="589"/>
      <c r="U993" s="591"/>
      <c r="V993" s="589"/>
      <c r="W993" s="564" t="str">
        <f>IF(S993&lt;&gt;0,VLOOKUP(S993,VKT!$A$2:$G$415,7,0),"")</f>
        <v/>
      </c>
      <c r="X993" s="564" t="str">
        <f t="shared" si="212"/>
        <v xml:space="preserve"> </v>
      </c>
      <c r="Y993" s="589"/>
      <c r="Z993" s="592"/>
      <c r="AA993" s="592"/>
      <c r="AB993" s="568"/>
      <c r="AC993" s="592"/>
      <c r="AD993" s="592"/>
      <c r="AE993" s="592"/>
      <c r="AF993" s="590"/>
      <c r="AG993" s="570" t="str">
        <f>IF(AE993&lt;&gt;0,VLOOKUP(AE993,ODDS!$A$2:$C$13,3,0),"")</f>
        <v/>
      </c>
      <c r="AH993" s="570" t="str">
        <f t="shared" si="200"/>
        <v xml:space="preserve"> </v>
      </c>
      <c r="AI993" s="571" t="str">
        <f t="shared" si="209"/>
        <v xml:space="preserve"> </v>
      </c>
      <c r="AJ993" s="593"/>
      <c r="AK993" s="593"/>
    </row>
    <row r="994" spans="1:37" s="376" customFormat="1" ht="40.5" outlineLevel="2" x14ac:dyDescent="0.3">
      <c r="A994" s="447">
        <f t="shared" si="214"/>
        <v>78</v>
      </c>
      <c r="B994" s="557"/>
      <c r="C994" s="648"/>
      <c r="D994" s="587"/>
      <c r="E994" s="587"/>
      <c r="F994" s="560"/>
      <c r="G994" s="558"/>
      <c r="H994" s="588"/>
      <c r="I994" s="546"/>
      <c r="J994" s="589"/>
      <c r="K994" s="563" t="str">
        <f>IF(G994&lt;&gt;0,VLOOKUP(G994,'gia dat'!$A$1:$F$144,5,0)," ")</f>
        <v xml:space="preserve"> </v>
      </c>
      <c r="L994" s="563" t="str">
        <f>IF(G994&lt;&gt;0,VLOOKUP(G994,'gia dat'!$A$1:$F$144,6,0)," ")</f>
        <v xml:space="preserve"> </v>
      </c>
      <c r="M994" s="564" t="str">
        <f t="shared" si="215"/>
        <v xml:space="preserve"> </v>
      </c>
      <c r="N994" s="564" t="str">
        <f t="shared" si="216"/>
        <v xml:space="preserve"> </v>
      </c>
      <c r="O994" s="558" t="s">
        <v>355</v>
      </c>
      <c r="P994" s="590">
        <v>1</v>
      </c>
      <c r="Q994" s="564">
        <f>IF(O994&lt;&gt;0,VLOOKUP(O994,'Cây trong'!$A$2:$C$246,3,0)," ")</f>
        <v>979000</v>
      </c>
      <c r="R994" s="564">
        <f t="shared" si="199"/>
        <v>979000</v>
      </c>
      <c r="S994" s="566"/>
      <c r="T994" s="589"/>
      <c r="U994" s="591"/>
      <c r="V994" s="589"/>
      <c r="W994" s="564" t="str">
        <f>IF(S994&lt;&gt;0,VLOOKUP(S994,VKT!$A$2:$G$415,7,0),"")</f>
        <v/>
      </c>
      <c r="X994" s="564" t="str">
        <f t="shared" si="212"/>
        <v xml:space="preserve"> </v>
      </c>
      <c r="Y994" s="589"/>
      <c r="Z994" s="592"/>
      <c r="AA994" s="592"/>
      <c r="AB994" s="568"/>
      <c r="AC994" s="592"/>
      <c r="AD994" s="592"/>
      <c r="AE994" s="592"/>
      <c r="AF994" s="590"/>
      <c r="AG994" s="570" t="str">
        <f>IF(AE994&lt;&gt;0,VLOOKUP(AE994,ODDS!$A$2:$C$13,3,0),"")</f>
        <v/>
      </c>
      <c r="AH994" s="570" t="str">
        <f t="shared" si="200"/>
        <v xml:space="preserve"> </v>
      </c>
      <c r="AI994" s="571" t="str">
        <f t="shared" si="209"/>
        <v xml:space="preserve"> </v>
      </c>
      <c r="AJ994" s="593"/>
      <c r="AK994" s="593"/>
    </row>
    <row r="995" spans="1:37" s="376" customFormat="1" ht="20.25" outlineLevel="2" x14ac:dyDescent="0.3">
      <c r="A995" s="447">
        <f t="shared" si="214"/>
        <v>78</v>
      </c>
      <c r="B995" s="557"/>
      <c r="C995" s="648"/>
      <c r="D995" s="587"/>
      <c r="E995" s="587"/>
      <c r="F995" s="560"/>
      <c r="G995" s="558"/>
      <c r="H995" s="588"/>
      <c r="I995" s="546"/>
      <c r="J995" s="589"/>
      <c r="K995" s="563" t="str">
        <f>IF(G995&lt;&gt;0,VLOOKUP(G995,'gia dat'!$A$1:$F$144,5,0)," ")</f>
        <v xml:space="preserve"> </v>
      </c>
      <c r="L995" s="563" t="str">
        <f>IF(G995&lt;&gt;0,VLOOKUP(G995,'gia dat'!$A$1:$F$144,6,0)," ")</f>
        <v xml:space="preserve"> </v>
      </c>
      <c r="M995" s="564" t="str">
        <f t="shared" si="215"/>
        <v xml:space="preserve"> </v>
      </c>
      <c r="N995" s="564" t="str">
        <f t="shared" si="216"/>
        <v xml:space="preserve"> </v>
      </c>
      <c r="O995" s="558" t="s">
        <v>154</v>
      </c>
      <c r="P995" s="590">
        <v>2</v>
      </c>
      <c r="Q995" s="564">
        <f>IF(O995&lt;&gt;0,VLOOKUP(O995,'Cây trong'!$A$2:$C$246,3,0)," ")</f>
        <v>248000</v>
      </c>
      <c r="R995" s="564">
        <f t="shared" ref="R995:R1062" si="217">IF(O995&lt;&gt;0,ROUND(P995*Q995,-2)," ")</f>
        <v>496000</v>
      </c>
      <c r="S995" s="566"/>
      <c r="T995" s="589"/>
      <c r="U995" s="591"/>
      <c r="V995" s="589"/>
      <c r="W995" s="564" t="str">
        <f>IF(S995&lt;&gt;0,VLOOKUP(S995,VKT!$A$2:$G$415,7,0),"")</f>
        <v/>
      </c>
      <c r="X995" s="564" t="str">
        <f t="shared" si="212"/>
        <v xml:space="preserve"> </v>
      </c>
      <c r="Y995" s="589"/>
      <c r="Z995" s="592"/>
      <c r="AA995" s="592"/>
      <c r="AB995" s="568"/>
      <c r="AC995" s="592"/>
      <c r="AD995" s="592"/>
      <c r="AE995" s="592"/>
      <c r="AF995" s="590"/>
      <c r="AG995" s="570" t="str">
        <f>IF(AE995&lt;&gt;0,VLOOKUP(AE995,ODDS!$A$2:$C$13,3,0),"")</f>
        <v/>
      </c>
      <c r="AH995" s="570" t="str">
        <f t="shared" ref="AH995:AH1062" si="218">IF(AE995&lt;&gt;0,ROUND(AF995*AG995,-2)," ")</f>
        <v xml:space="preserve"> </v>
      </c>
      <c r="AI995" s="571" t="str">
        <f t="shared" si="209"/>
        <v xml:space="preserve"> </v>
      </c>
      <c r="AJ995" s="593"/>
      <c r="AK995" s="593"/>
    </row>
    <row r="996" spans="1:37" s="376" customFormat="1" ht="20.25" outlineLevel="2" x14ac:dyDescent="0.3">
      <c r="A996" s="447">
        <f t="shared" si="214"/>
        <v>78</v>
      </c>
      <c r="B996" s="557"/>
      <c r="C996" s="648"/>
      <c r="D996" s="587"/>
      <c r="E996" s="587"/>
      <c r="F996" s="560"/>
      <c r="G996" s="558"/>
      <c r="H996" s="588"/>
      <c r="I996" s="546"/>
      <c r="J996" s="589"/>
      <c r="K996" s="563" t="str">
        <f>IF(G996&lt;&gt;0,VLOOKUP(G996,'gia dat'!$A$1:$F$144,5,0)," ")</f>
        <v xml:space="preserve"> </v>
      </c>
      <c r="L996" s="563" t="str">
        <f>IF(G996&lt;&gt;0,VLOOKUP(G996,'gia dat'!$A$1:$F$144,6,0)," ")</f>
        <v xml:space="preserve"> </v>
      </c>
      <c r="M996" s="564" t="str">
        <f t="shared" si="215"/>
        <v xml:space="preserve"> </v>
      </c>
      <c r="N996" s="564" t="str">
        <f t="shared" si="216"/>
        <v xml:space="preserve"> </v>
      </c>
      <c r="O996" s="558" t="s">
        <v>178</v>
      </c>
      <c r="P996" s="590">
        <v>1</v>
      </c>
      <c r="Q996" s="564">
        <f>IF(O996&lt;&gt;0,VLOOKUP(O996,'Cây trong'!$A$2:$C$246,3,0)," ")</f>
        <v>554000</v>
      </c>
      <c r="R996" s="564">
        <f t="shared" si="217"/>
        <v>554000</v>
      </c>
      <c r="S996" s="566"/>
      <c r="T996" s="589"/>
      <c r="U996" s="591"/>
      <c r="V996" s="589"/>
      <c r="W996" s="564" t="str">
        <f>IF(S996&lt;&gt;0,VLOOKUP(S996,VKT!$A$2:$G$415,7,0),"")</f>
        <v/>
      </c>
      <c r="X996" s="564" t="str">
        <f t="shared" si="212"/>
        <v xml:space="preserve"> </v>
      </c>
      <c r="Y996" s="589"/>
      <c r="Z996" s="592"/>
      <c r="AA996" s="592"/>
      <c r="AB996" s="568"/>
      <c r="AC996" s="592"/>
      <c r="AD996" s="592"/>
      <c r="AE996" s="592"/>
      <c r="AF996" s="590"/>
      <c r="AG996" s="570" t="str">
        <f>IF(AE996&lt;&gt;0,VLOOKUP(AE996,ODDS!$A$2:$C$13,3,0),"")</f>
        <v/>
      </c>
      <c r="AH996" s="570" t="str">
        <f t="shared" si="218"/>
        <v xml:space="preserve"> </v>
      </c>
      <c r="AI996" s="571" t="str">
        <f t="shared" si="209"/>
        <v xml:space="preserve"> </v>
      </c>
      <c r="AJ996" s="593"/>
      <c r="AK996" s="593"/>
    </row>
    <row r="997" spans="1:37" s="376" customFormat="1" ht="60.75" outlineLevel="2" x14ac:dyDescent="0.3">
      <c r="A997" s="447">
        <f t="shared" si="214"/>
        <v>78</v>
      </c>
      <c r="B997" s="557"/>
      <c r="C997" s="648"/>
      <c r="D997" s="587"/>
      <c r="E997" s="587"/>
      <c r="F997" s="560"/>
      <c r="G997" s="558"/>
      <c r="H997" s="588"/>
      <c r="I997" s="546"/>
      <c r="J997" s="589"/>
      <c r="K997" s="563" t="str">
        <f>IF(G997&lt;&gt;0,VLOOKUP(G997,'gia dat'!$A$1:$F$144,5,0)," ")</f>
        <v xml:space="preserve"> </v>
      </c>
      <c r="L997" s="563" t="str">
        <f>IF(G997&lt;&gt;0,VLOOKUP(G997,'gia dat'!$A$1:$F$144,6,0)," ")</f>
        <v xml:space="preserve"> </v>
      </c>
      <c r="M997" s="564" t="str">
        <f t="shared" si="215"/>
        <v xml:space="preserve"> </v>
      </c>
      <c r="N997" s="564" t="str">
        <f t="shared" si="216"/>
        <v xml:space="preserve"> </v>
      </c>
      <c r="O997" s="558" t="s">
        <v>406</v>
      </c>
      <c r="P997" s="590">
        <v>1</v>
      </c>
      <c r="Q997" s="564">
        <f>IF(O997&lt;&gt;0,VLOOKUP(O997,'Cây trong'!$A$2:$C$246,3,0)," ")</f>
        <v>180000</v>
      </c>
      <c r="R997" s="564">
        <f t="shared" si="217"/>
        <v>180000</v>
      </c>
      <c r="S997" s="566"/>
      <c r="T997" s="589"/>
      <c r="U997" s="591"/>
      <c r="V997" s="589"/>
      <c r="W997" s="564" t="str">
        <f>IF(S997&lt;&gt;0,VLOOKUP(S997,VKT!$A$2:$G$415,7,0),"")</f>
        <v/>
      </c>
      <c r="X997" s="564" t="str">
        <f t="shared" si="212"/>
        <v xml:space="preserve"> </v>
      </c>
      <c r="Y997" s="589"/>
      <c r="Z997" s="592"/>
      <c r="AA997" s="592"/>
      <c r="AB997" s="568"/>
      <c r="AC997" s="592"/>
      <c r="AD997" s="592"/>
      <c r="AE997" s="592"/>
      <c r="AF997" s="590"/>
      <c r="AG997" s="570" t="str">
        <f>IF(AE997&lt;&gt;0,VLOOKUP(AE997,ODDS!$A$2:$C$13,3,0),"")</f>
        <v/>
      </c>
      <c r="AH997" s="570" t="str">
        <f t="shared" si="218"/>
        <v xml:space="preserve"> </v>
      </c>
      <c r="AI997" s="571" t="str">
        <f t="shared" si="209"/>
        <v xml:space="preserve"> </v>
      </c>
      <c r="AJ997" s="593"/>
      <c r="AK997" s="593"/>
    </row>
    <row r="998" spans="1:37" s="376" customFormat="1" ht="40.5" outlineLevel="2" x14ac:dyDescent="0.3">
      <c r="A998" s="447">
        <f t="shared" si="214"/>
        <v>78</v>
      </c>
      <c r="B998" s="557"/>
      <c r="C998" s="648"/>
      <c r="D998" s="587"/>
      <c r="E998" s="587"/>
      <c r="F998" s="560"/>
      <c r="G998" s="558"/>
      <c r="H998" s="588"/>
      <c r="I998" s="546"/>
      <c r="J998" s="589"/>
      <c r="K998" s="563" t="str">
        <f>IF(G998&lt;&gt;0,VLOOKUP(G998,'gia dat'!$A$1:$F$144,5,0)," ")</f>
        <v xml:space="preserve"> </v>
      </c>
      <c r="L998" s="563" t="str">
        <f>IF(G998&lt;&gt;0,VLOOKUP(G998,'gia dat'!$A$1:$F$144,6,0)," ")</f>
        <v xml:space="preserve"> </v>
      </c>
      <c r="M998" s="564" t="str">
        <f t="shared" si="215"/>
        <v xml:space="preserve"> </v>
      </c>
      <c r="N998" s="564" t="str">
        <f t="shared" si="216"/>
        <v xml:space="preserve"> </v>
      </c>
      <c r="O998" s="558" t="s">
        <v>787</v>
      </c>
      <c r="P998" s="590">
        <v>12</v>
      </c>
      <c r="Q998" s="564">
        <f>IF(O998&lt;&gt;0,VLOOKUP(O998,'Cây trong'!$A$2:$C$246,3,0)," ")</f>
        <v>0</v>
      </c>
      <c r="R998" s="564">
        <f t="shared" si="217"/>
        <v>0</v>
      </c>
      <c r="S998" s="566"/>
      <c r="T998" s="589"/>
      <c r="U998" s="591"/>
      <c r="V998" s="589"/>
      <c r="W998" s="564" t="str">
        <f>IF(S998&lt;&gt;0,VLOOKUP(S998,VKT!$A$2:$G$415,7,0),"")</f>
        <v/>
      </c>
      <c r="X998" s="564" t="str">
        <f t="shared" si="212"/>
        <v xml:space="preserve"> </v>
      </c>
      <c r="Y998" s="589"/>
      <c r="Z998" s="592"/>
      <c r="AA998" s="592"/>
      <c r="AB998" s="568"/>
      <c r="AC998" s="592"/>
      <c r="AD998" s="592"/>
      <c r="AE998" s="592"/>
      <c r="AF998" s="590"/>
      <c r="AG998" s="570" t="str">
        <f>IF(AE998&lt;&gt;0,VLOOKUP(AE998,ODDS!$A$2:$C$13,3,0),"")</f>
        <v/>
      </c>
      <c r="AH998" s="570" t="str">
        <f t="shared" si="218"/>
        <v xml:space="preserve"> </v>
      </c>
      <c r="AI998" s="571" t="str">
        <f t="shared" si="209"/>
        <v xml:space="preserve"> </v>
      </c>
      <c r="AJ998" s="593"/>
      <c r="AK998" s="593"/>
    </row>
    <row r="999" spans="1:37" s="376" customFormat="1" ht="40.5" outlineLevel="2" x14ac:dyDescent="0.3">
      <c r="A999" s="447">
        <f t="shared" si="214"/>
        <v>78</v>
      </c>
      <c r="B999" s="557"/>
      <c r="C999" s="648"/>
      <c r="D999" s="587"/>
      <c r="E999" s="587"/>
      <c r="F999" s="560"/>
      <c r="G999" s="558"/>
      <c r="H999" s="588"/>
      <c r="I999" s="546"/>
      <c r="J999" s="589"/>
      <c r="K999" s="563" t="str">
        <f>IF(G999&lt;&gt;0,VLOOKUP(G999,'gia dat'!$A$1:$F$144,5,0)," ")</f>
        <v xml:space="preserve"> </v>
      </c>
      <c r="L999" s="563" t="str">
        <f>IF(G999&lt;&gt;0,VLOOKUP(G999,'gia dat'!$A$1:$F$144,6,0)," ")</f>
        <v xml:space="preserve"> </v>
      </c>
      <c r="M999" s="564" t="str">
        <f t="shared" si="215"/>
        <v xml:space="preserve"> </v>
      </c>
      <c r="N999" s="564" t="str">
        <f t="shared" si="216"/>
        <v xml:space="preserve"> </v>
      </c>
      <c r="O999" s="558" t="s">
        <v>356</v>
      </c>
      <c r="P999" s="590">
        <v>3</v>
      </c>
      <c r="Q999" s="564">
        <f>IF(O999&lt;&gt;0,VLOOKUP(O999,'Cây trong'!$A$2:$C$246,3,0)," ")</f>
        <v>8000</v>
      </c>
      <c r="R999" s="564">
        <f t="shared" si="217"/>
        <v>24000</v>
      </c>
      <c r="S999" s="566"/>
      <c r="T999" s="589"/>
      <c r="U999" s="591"/>
      <c r="V999" s="589"/>
      <c r="W999" s="564" t="str">
        <f>IF(S999&lt;&gt;0,VLOOKUP(S999,VKT!$A$2:$G$415,7,0),"")</f>
        <v/>
      </c>
      <c r="X999" s="564" t="str">
        <f t="shared" si="212"/>
        <v xml:space="preserve"> </v>
      </c>
      <c r="Y999" s="589"/>
      <c r="Z999" s="592"/>
      <c r="AA999" s="592"/>
      <c r="AB999" s="568"/>
      <c r="AC999" s="592"/>
      <c r="AD999" s="592"/>
      <c r="AE999" s="592"/>
      <c r="AF999" s="590"/>
      <c r="AG999" s="570" t="str">
        <f>IF(AE999&lt;&gt;0,VLOOKUP(AE999,ODDS!$A$2:$C$13,3,0),"")</f>
        <v/>
      </c>
      <c r="AH999" s="570" t="str">
        <f t="shared" si="218"/>
        <v xml:space="preserve"> </v>
      </c>
      <c r="AI999" s="571" t="str">
        <f t="shared" si="209"/>
        <v xml:space="preserve"> </v>
      </c>
      <c r="AJ999" s="593"/>
      <c r="AK999" s="593"/>
    </row>
    <row r="1000" spans="1:37" s="376" customFormat="1" ht="20.25" outlineLevel="2" x14ac:dyDescent="0.3">
      <c r="A1000" s="447">
        <f t="shared" si="214"/>
        <v>78</v>
      </c>
      <c r="B1000" s="557"/>
      <c r="C1000" s="648"/>
      <c r="D1000" s="587"/>
      <c r="E1000" s="587"/>
      <c r="F1000" s="560"/>
      <c r="G1000" s="558"/>
      <c r="H1000" s="588"/>
      <c r="I1000" s="546"/>
      <c r="J1000" s="589"/>
      <c r="K1000" s="563" t="str">
        <f>IF(G1000&lt;&gt;0,VLOOKUP(G1000,'gia dat'!$A$1:$F$144,5,0)," ")</f>
        <v xml:space="preserve"> </v>
      </c>
      <c r="L1000" s="563" t="str">
        <f>IF(G1000&lt;&gt;0,VLOOKUP(G1000,'gia dat'!$A$1:$F$144,6,0)," ")</f>
        <v xml:space="preserve"> </v>
      </c>
      <c r="M1000" s="564" t="str">
        <f t="shared" si="215"/>
        <v xml:space="preserve"> </v>
      </c>
      <c r="N1000" s="564" t="str">
        <f t="shared" si="216"/>
        <v xml:space="preserve"> </v>
      </c>
      <c r="O1000" s="593"/>
      <c r="P1000" s="616"/>
      <c r="Q1000" s="564" t="str">
        <f>IF(O1000&lt;&gt;0,VLOOKUP(O1000,'Cây trong'!$A$2:$C$246,3,0)," ")</f>
        <v xml:space="preserve"> </v>
      </c>
      <c r="R1000" s="564" t="str">
        <f t="shared" si="217"/>
        <v xml:space="preserve"> </v>
      </c>
      <c r="S1000" s="566"/>
      <c r="T1000" s="589"/>
      <c r="U1000" s="591"/>
      <c r="V1000" s="589"/>
      <c r="W1000" s="564" t="str">
        <f>IF(S1000&lt;&gt;0,VLOOKUP(S1000,VKT!$A$2:$G$415,7,0),"")</f>
        <v/>
      </c>
      <c r="X1000" s="564" t="str">
        <f t="shared" si="212"/>
        <v xml:space="preserve"> </v>
      </c>
      <c r="Y1000" s="589"/>
      <c r="Z1000" s="592"/>
      <c r="AA1000" s="592"/>
      <c r="AB1000" s="568"/>
      <c r="AC1000" s="592"/>
      <c r="AD1000" s="592"/>
      <c r="AE1000" s="592"/>
      <c r="AF1000" s="590"/>
      <c r="AG1000" s="570" t="str">
        <f>IF(AE1000&lt;&gt;0,VLOOKUP(AE1000,ODDS!$A$2:$C$13,3,0),"")</f>
        <v/>
      </c>
      <c r="AH1000" s="570" t="str">
        <f t="shared" si="218"/>
        <v xml:space="preserve"> </v>
      </c>
      <c r="AI1000" s="571" t="str">
        <f t="shared" si="209"/>
        <v xml:space="preserve"> </v>
      </c>
      <c r="AJ1000" s="593"/>
      <c r="AK1000" s="593"/>
    </row>
    <row r="1001" spans="1:37" s="376" customFormat="1" ht="20.25" outlineLevel="2" x14ac:dyDescent="0.3">
      <c r="A1001" s="447">
        <f t="shared" si="214"/>
        <v>78</v>
      </c>
      <c r="B1001" s="557"/>
      <c r="C1001" s="648"/>
      <c r="D1001" s="587"/>
      <c r="E1001" s="587"/>
      <c r="F1001" s="560"/>
      <c r="G1001" s="558"/>
      <c r="H1001" s="588"/>
      <c r="I1001" s="546"/>
      <c r="J1001" s="589"/>
      <c r="K1001" s="563" t="str">
        <f>IF(G1001&lt;&gt;0,VLOOKUP(G1001,'gia dat'!$A$1:$F$144,5,0)," ")</f>
        <v xml:space="preserve"> </v>
      </c>
      <c r="L1001" s="563" t="str">
        <f>IF(G1001&lt;&gt;0,VLOOKUP(G1001,'gia dat'!$A$1:$F$144,6,0)," ")</f>
        <v xml:space="preserve"> </v>
      </c>
      <c r="M1001" s="564" t="str">
        <f t="shared" si="215"/>
        <v xml:space="preserve"> </v>
      </c>
      <c r="N1001" s="564" t="str">
        <f t="shared" si="216"/>
        <v xml:space="preserve"> </v>
      </c>
      <c r="O1001" s="593"/>
      <c r="P1001" s="616"/>
      <c r="Q1001" s="564" t="str">
        <f>IF(O1001&lt;&gt;0,VLOOKUP(O1001,'Cây trong'!$A$2:$C$246,3,0)," ")</f>
        <v xml:space="preserve"> </v>
      </c>
      <c r="R1001" s="564" t="str">
        <f t="shared" si="217"/>
        <v xml:space="preserve"> </v>
      </c>
      <c r="S1001" s="566"/>
      <c r="T1001" s="589"/>
      <c r="U1001" s="591"/>
      <c r="V1001" s="589"/>
      <c r="W1001" s="564" t="str">
        <f>IF(S1001&lt;&gt;0,VLOOKUP(S1001,VKT!$A$2:$G$415,7,0),"")</f>
        <v/>
      </c>
      <c r="X1001" s="564" t="str">
        <f t="shared" si="212"/>
        <v xml:space="preserve"> </v>
      </c>
      <c r="Y1001" s="589"/>
      <c r="Z1001" s="592"/>
      <c r="AA1001" s="592"/>
      <c r="AB1001" s="568"/>
      <c r="AC1001" s="592"/>
      <c r="AD1001" s="592"/>
      <c r="AE1001" s="592"/>
      <c r="AF1001" s="590"/>
      <c r="AG1001" s="570" t="str">
        <f>IF(AE1001&lt;&gt;0,VLOOKUP(AE1001,ODDS!$A$2:$C$13,3,0),"")</f>
        <v/>
      </c>
      <c r="AH1001" s="570" t="str">
        <f t="shared" si="218"/>
        <v xml:space="preserve"> </v>
      </c>
      <c r="AI1001" s="571" t="str">
        <f t="shared" si="209"/>
        <v xml:space="preserve"> </v>
      </c>
      <c r="AJ1001" s="593"/>
      <c r="AK1001" s="593"/>
    </row>
    <row r="1002" spans="1:37" s="376" customFormat="1" ht="20.25" outlineLevel="2" x14ac:dyDescent="0.3">
      <c r="A1002" s="447">
        <f t="shared" si="214"/>
        <v>78</v>
      </c>
      <c r="B1002" s="557"/>
      <c r="C1002" s="648"/>
      <c r="D1002" s="587"/>
      <c r="E1002" s="587"/>
      <c r="F1002" s="560"/>
      <c r="G1002" s="558"/>
      <c r="H1002" s="588"/>
      <c r="I1002" s="546"/>
      <c r="J1002" s="589"/>
      <c r="K1002" s="563" t="str">
        <f>IF(G1002&lt;&gt;0,VLOOKUP(G1002,'gia dat'!$A$1:$F$144,5,0)," ")</f>
        <v xml:space="preserve"> </v>
      </c>
      <c r="L1002" s="563" t="str">
        <f>IF(G1002&lt;&gt;0,VLOOKUP(G1002,'gia dat'!$A$1:$F$144,6,0)," ")</f>
        <v xml:space="preserve"> </v>
      </c>
      <c r="M1002" s="564" t="str">
        <f t="shared" si="215"/>
        <v xml:space="preserve"> </v>
      </c>
      <c r="N1002" s="564" t="str">
        <f t="shared" si="216"/>
        <v xml:space="preserve"> </v>
      </c>
      <c r="O1002" s="593"/>
      <c r="P1002" s="616"/>
      <c r="Q1002" s="564" t="str">
        <f>IF(O1002&lt;&gt;0,VLOOKUP(O1002,'Cây trong'!$A$2:$C$246,3,0)," ")</f>
        <v xml:space="preserve"> </v>
      </c>
      <c r="R1002" s="564" t="str">
        <f t="shared" si="217"/>
        <v xml:space="preserve"> </v>
      </c>
      <c r="S1002" s="566"/>
      <c r="T1002" s="589"/>
      <c r="U1002" s="591"/>
      <c r="V1002" s="589"/>
      <c r="W1002" s="564" t="str">
        <f>IF(S1002&lt;&gt;0,VLOOKUP(S1002,VKT!$A$2:$G$415,7,0),"")</f>
        <v/>
      </c>
      <c r="X1002" s="564" t="str">
        <f t="shared" si="212"/>
        <v xml:space="preserve"> </v>
      </c>
      <c r="Y1002" s="589"/>
      <c r="Z1002" s="592"/>
      <c r="AA1002" s="592"/>
      <c r="AB1002" s="568"/>
      <c r="AC1002" s="592"/>
      <c r="AD1002" s="592"/>
      <c r="AE1002" s="592"/>
      <c r="AF1002" s="590"/>
      <c r="AG1002" s="570" t="str">
        <f>IF(AE1002&lt;&gt;0,VLOOKUP(AE1002,ODDS!$A$2:$C$13,3,0),"")</f>
        <v/>
      </c>
      <c r="AH1002" s="570" t="str">
        <f t="shared" si="218"/>
        <v xml:space="preserve"> </v>
      </c>
      <c r="AI1002" s="571" t="str">
        <f t="shared" si="209"/>
        <v xml:space="preserve"> </v>
      </c>
      <c r="AJ1002" s="593"/>
      <c r="AK1002" s="593"/>
    </row>
    <row r="1003" spans="1:37" s="376" customFormat="1" ht="20.25" outlineLevel="2" x14ac:dyDescent="0.3">
      <c r="A1003" s="447">
        <f t="shared" si="214"/>
        <v>78</v>
      </c>
      <c r="B1003" s="557"/>
      <c r="C1003" s="648"/>
      <c r="D1003" s="587"/>
      <c r="E1003" s="587"/>
      <c r="F1003" s="560"/>
      <c r="G1003" s="558"/>
      <c r="H1003" s="588"/>
      <c r="I1003" s="546"/>
      <c r="J1003" s="589"/>
      <c r="K1003" s="563" t="str">
        <f>IF(G1003&lt;&gt;0,VLOOKUP(G1003,'gia dat'!$A$1:$F$144,5,0)," ")</f>
        <v xml:space="preserve"> </v>
      </c>
      <c r="L1003" s="563" t="str">
        <f>IF(G1003&lt;&gt;0,VLOOKUP(G1003,'gia dat'!$A$1:$F$144,6,0)," ")</f>
        <v xml:space="preserve"> </v>
      </c>
      <c r="M1003" s="564" t="str">
        <f t="shared" si="215"/>
        <v xml:space="preserve"> </v>
      </c>
      <c r="N1003" s="564" t="str">
        <f t="shared" si="216"/>
        <v xml:space="preserve"> </v>
      </c>
      <c r="O1003" s="593"/>
      <c r="P1003" s="616"/>
      <c r="Q1003" s="564" t="str">
        <f>IF(O1003&lt;&gt;0,VLOOKUP(O1003,'Cây trong'!$A$2:$C$246,3,0)," ")</f>
        <v xml:space="preserve"> </v>
      </c>
      <c r="R1003" s="564" t="str">
        <f t="shared" si="217"/>
        <v xml:space="preserve"> </v>
      </c>
      <c r="S1003" s="566"/>
      <c r="T1003" s="589"/>
      <c r="U1003" s="591"/>
      <c r="V1003" s="589"/>
      <c r="W1003" s="564" t="str">
        <f>IF(S1003&lt;&gt;0,VLOOKUP(S1003,VKT!$A$2:$G$415,7,0),"")</f>
        <v/>
      </c>
      <c r="X1003" s="564" t="str">
        <f t="shared" si="212"/>
        <v xml:space="preserve"> </v>
      </c>
      <c r="Y1003" s="589"/>
      <c r="Z1003" s="592"/>
      <c r="AA1003" s="592"/>
      <c r="AB1003" s="568"/>
      <c r="AC1003" s="592"/>
      <c r="AD1003" s="592"/>
      <c r="AE1003" s="592"/>
      <c r="AF1003" s="590"/>
      <c r="AG1003" s="570" t="str">
        <f>IF(AE1003&lt;&gt;0,VLOOKUP(AE1003,ODDS!$A$2:$C$13,3,0),"")</f>
        <v/>
      </c>
      <c r="AH1003" s="570" t="str">
        <f t="shared" si="218"/>
        <v xml:space="preserve"> </v>
      </c>
      <c r="AI1003" s="571" t="str">
        <f t="shared" si="209"/>
        <v xml:space="preserve"> </v>
      </c>
      <c r="AJ1003" s="593"/>
      <c r="AK1003" s="593"/>
    </row>
    <row r="1004" spans="1:37" s="376" customFormat="1" ht="20.25" outlineLevel="2" x14ac:dyDescent="0.3">
      <c r="A1004" s="447">
        <f t="shared" si="214"/>
        <v>78</v>
      </c>
      <c r="B1004" s="557"/>
      <c r="C1004" s="648"/>
      <c r="D1004" s="587"/>
      <c r="E1004" s="587"/>
      <c r="F1004" s="615"/>
      <c r="G1004" s="558"/>
      <c r="H1004" s="604"/>
      <c r="I1004" s="546"/>
      <c r="J1004" s="593"/>
      <c r="K1004" s="563" t="str">
        <f>IF(G1004&lt;&gt;0,VLOOKUP(G1004,'gia dat'!$A$1:$F$144,5,0)," ")</f>
        <v xml:space="preserve"> </v>
      </c>
      <c r="L1004" s="563" t="str">
        <f>IF(G1004&lt;&gt;0,VLOOKUP(G1004,'gia dat'!$A$1:$F$144,6,0)," ")</f>
        <v xml:space="preserve"> </v>
      </c>
      <c r="M1004" s="564" t="str">
        <f t="shared" si="215"/>
        <v xml:space="preserve"> </v>
      </c>
      <c r="N1004" s="564" t="str">
        <f t="shared" si="216"/>
        <v xml:space="preserve"> </v>
      </c>
      <c r="O1004" s="593"/>
      <c r="P1004" s="616"/>
      <c r="Q1004" s="564" t="str">
        <f>IF(O1004&lt;&gt;0,VLOOKUP(O1004,'Cây trong'!$A$2:$C$246,3,0)," ")</f>
        <v xml:space="preserve"> </v>
      </c>
      <c r="R1004" s="564" t="str">
        <f t="shared" si="217"/>
        <v xml:space="preserve"> </v>
      </c>
      <c r="S1004" s="593"/>
      <c r="T1004" s="593"/>
      <c r="U1004" s="617"/>
      <c r="V1004" s="589"/>
      <c r="W1004" s="564" t="str">
        <f>IF(S1004&lt;&gt;0,VLOOKUP(S1004,VKT!$A$2:$G$415,7,0),"")</f>
        <v/>
      </c>
      <c r="X1004" s="564" t="str">
        <f t="shared" si="212"/>
        <v xml:space="preserve"> </v>
      </c>
      <c r="Y1004" s="589"/>
      <c r="Z1004" s="589"/>
      <c r="AA1004" s="589"/>
      <c r="AB1004" s="562"/>
      <c r="AC1004" s="589"/>
      <c r="AD1004" s="589"/>
      <c r="AE1004" s="589"/>
      <c r="AF1004" s="629"/>
      <c r="AG1004" s="570" t="str">
        <f>IF(AE1004&lt;&gt;0,VLOOKUP(AE1004,ODDS!$A$2:$C$13,3,0),"")</f>
        <v/>
      </c>
      <c r="AH1004" s="570" t="str">
        <f t="shared" si="218"/>
        <v xml:space="preserve"> </v>
      </c>
      <c r="AI1004" s="571" t="str">
        <f t="shared" si="209"/>
        <v xml:space="preserve"> </v>
      </c>
      <c r="AJ1004" s="593"/>
      <c r="AK1004" s="593"/>
    </row>
    <row r="1005" spans="1:37" s="376" customFormat="1" ht="20.25" outlineLevel="2" x14ac:dyDescent="0.3">
      <c r="A1005" s="447">
        <f t="shared" si="214"/>
        <v>78</v>
      </c>
      <c r="B1005" s="557"/>
      <c r="C1005" s="648"/>
      <c r="D1005" s="587"/>
      <c r="E1005" s="587"/>
      <c r="F1005" s="560"/>
      <c r="G1005" s="558"/>
      <c r="H1005" s="588"/>
      <c r="I1005" s="546"/>
      <c r="J1005" s="589"/>
      <c r="K1005" s="563" t="str">
        <f>IF(G1005&lt;&gt;0,VLOOKUP(G1005,'gia dat'!$A$1:$F$144,5,0)," ")</f>
        <v xml:space="preserve"> </v>
      </c>
      <c r="L1005" s="563" t="str">
        <f>IF(G1005&lt;&gt;0,VLOOKUP(G1005,'gia dat'!$A$1:$F$144,6,0)," ")</f>
        <v xml:space="preserve"> </v>
      </c>
      <c r="M1005" s="564" t="str">
        <f t="shared" si="215"/>
        <v xml:space="preserve"> </v>
      </c>
      <c r="N1005" s="564" t="str">
        <f t="shared" si="216"/>
        <v xml:space="preserve"> </v>
      </c>
      <c r="O1005" s="558"/>
      <c r="P1005" s="590"/>
      <c r="Q1005" s="564" t="str">
        <f>IF(O1005&lt;&gt;0,VLOOKUP(O1005,'Cây trong'!$A$2:$C$246,3,0)," ")</f>
        <v xml:space="preserve"> </v>
      </c>
      <c r="R1005" s="564" t="str">
        <f t="shared" si="217"/>
        <v xml:space="preserve"> </v>
      </c>
      <c r="S1005" s="566"/>
      <c r="T1005" s="589"/>
      <c r="U1005" s="591"/>
      <c r="V1005" s="589"/>
      <c r="W1005" s="564" t="str">
        <f>IF(S1005&lt;&gt;0,VLOOKUP(S1005,VKT!$A$2:$G$415,7,0),"")</f>
        <v/>
      </c>
      <c r="X1005" s="564" t="str">
        <f t="shared" si="212"/>
        <v xml:space="preserve"> </v>
      </c>
      <c r="Y1005" s="589"/>
      <c r="Z1005" s="592"/>
      <c r="AA1005" s="592"/>
      <c r="AB1005" s="568"/>
      <c r="AC1005" s="592"/>
      <c r="AD1005" s="592"/>
      <c r="AE1005" s="592"/>
      <c r="AF1005" s="590"/>
      <c r="AG1005" s="570" t="str">
        <f>IF(AE1005&lt;&gt;0,VLOOKUP(AE1005,ODDS!$A$2:$C$13,3,0),"")</f>
        <v/>
      </c>
      <c r="AH1005" s="570" t="str">
        <f t="shared" si="218"/>
        <v xml:space="preserve"> </v>
      </c>
      <c r="AI1005" s="571" t="str">
        <f t="shared" si="209"/>
        <v xml:space="preserve"> </v>
      </c>
      <c r="AJ1005" s="593"/>
      <c r="AK1005" s="593"/>
    </row>
    <row r="1006" spans="1:37" s="376" customFormat="1" ht="20.25" outlineLevel="2" x14ac:dyDescent="0.3">
      <c r="A1006" s="447">
        <f t="shared" si="214"/>
        <v>78</v>
      </c>
      <c r="B1006" s="557"/>
      <c r="C1006" s="648"/>
      <c r="D1006" s="587"/>
      <c r="E1006" s="587"/>
      <c r="F1006" s="560"/>
      <c r="G1006" s="558"/>
      <c r="H1006" s="588"/>
      <c r="I1006" s="546"/>
      <c r="J1006" s="589"/>
      <c r="K1006" s="563" t="str">
        <f>IF(G1006&lt;&gt;0,VLOOKUP(G1006,'gia dat'!$A$1:$F$144,5,0)," ")</f>
        <v xml:space="preserve"> </v>
      </c>
      <c r="L1006" s="563" t="str">
        <f>IF(G1006&lt;&gt;0,VLOOKUP(G1006,'gia dat'!$A$1:$F$144,6,0)," ")</f>
        <v xml:space="preserve"> </v>
      </c>
      <c r="M1006" s="564" t="str">
        <f t="shared" si="215"/>
        <v xml:space="preserve"> </v>
      </c>
      <c r="N1006" s="564" t="str">
        <f t="shared" si="216"/>
        <v xml:space="preserve"> </v>
      </c>
      <c r="O1006" s="558"/>
      <c r="P1006" s="590"/>
      <c r="Q1006" s="564" t="str">
        <f>IF(O1006&lt;&gt;0,VLOOKUP(O1006,'Cây trong'!$A$2:$C$246,3,0)," ")</f>
        <v xml:space="preserve"> </v>
      </c>
      <c r="R1006" s="564" t="str">
        <f t="shared" si="217"/>
        <v xml:space="preserve"> </v>
      </c>
      <c r="S1006" s="566"/>
      <c r="T1006" s="589"/>
      <c r="U1006" s="591"/>
      <c r="V1006" s="589"/>
      <c r="W1006" s="564" t="str">
        <f>IF(S1006&lt;&gt;0,VLOOKUP(S1006,VKT!$A$2:$G$415,7,0),"")</f>
        <v/>
      </c>
      <c r="X1006" s="564" t="str">
        <f t="shared" si="212"/>
        <v xml:space="preserve"> </v>
      </c>
      <c r="Y1006" s="589"/>
      <c r="Z1006" s="592"/>
      <c r="AA1006" s="592"/>
      <c r="AB1006" s="568"/>
      <c r="AC1006" s="592"/>
      <c r="AD1006" s="592"/>
      <c r="AE1006" s="592"/>
      <c r="AF1006" s="590"/>
      <c r="AG1006" s="570" t="str">
        <f>IF(AE1006&lt;&gt;0,VLOOKUP(AE1006,ODDS!$A$2:$C$13,3,0),"")</f>
        <v/>
      </c>
      <c r="AH1006" s="570" t="str">
        <f t="shared" si="218"/>
        <v xml:space="preserve"> </v>
      </c>
      <c r="AI1006" s="571" t="str">
        <f t="shared" si="209"/>
        <v xml:space="preserve"> </v>
      </c>
      <c r="AJ1006" s="593"/>
      <c r="AK1006" s="593"/>
    </row>
    <row r="1007" spans="1:37" s="376" customFormat="1" ht="20.25" outlineLevel="2" x14ac:dyDescent="0.3">
      <c r="A1007" s="447">
        <f t="shared" si="214"/>
        <v>78</v>
      </c>
      <c r="B1007" s="557"/>
      <c r="C1007" s="558"/>
      <c r="D1007" s="587"/>
      <c r="E1007" s="587"/>
      <c r="F1007" s="560"/>
      <c r="G1007" s="558"/>
      <c r="H1007" s="588"/>
      <c r="I1007" s="546"/>
      <c r="J1007" s="589"/>
      <c r="K1007" s="563" t="str">
        <f>IF(G1007&lt;&gt;0,VLOOKUP(G1007,'gia dat'!$A$1:$F$144,5,0)," ")</f>
        <v xml:space="preserve"> </v>
      </c>
      <c r="L1007" s="563" t="str">
        <f>IF(G1007&lt;&gt;0,VLOOKUP(G1007,'gia dat'!$A$1:$F$144,6,0)," ")</f>
        <v xml:space="preserve"> </v>
      </c>
      <c r="M1007" s="564" t="str">
        <f t="shared" si="215"/>
        <v xml:space="preserve"> </v>
      </c>
      <c r="N1007" s="564" t="str">
        <f t="shared" si="216"/>
        <v xml:space="preserve"> </v>
      </c>
      <c r="O1007" s="558"/>
      <c r="P1007" s="590"/>
      <c r="Q1007" s="564" t="str">
        <f>IF(O1007&lt;&gt;0,VLOOKUP(O1007,'Cây trong'!$A$2:$C$246,3,0)," ")</f>
        <v xml:space="preserve"> </v>
      </c>
      <c r="R1007" s="564" t="str">
        <f t="shared" si="217"/>
        <v xml:space="preserve"> </v>
      </c>
      <c r="S1007" s="566"/>
      <c r="T1007" s="589"/>
      <c r="U1007" s="591"/>
      <c r="V1007" s="589"/>
      <c r="W1007" s="564" t="str">
        <f>IF(S1007&lt;&gt;0,VLOOKUP(S1007,VKT!$A$2:$G$415,7,0),"")</f>
        <v/>
      </c>
      <c r="X1007" s="564" t="str">
        <f t="shared" si="212"/>
        <v xml:space="preserve"> </v>
      </c>
      <c r="Y1007" s="589"/>
      <c r="Z1007" s="592"/>
      <c r="AA1007" s="592"/>
      <c r="AB1007" s="568"/>
      <c r="AC1007" s="592"/>
      <c r="AD1007" s="592"/>
      <c r="AE1007" s="592"/>
      <c r="AF1007" s="590"/>
      <c r="AG1007" s="570" t="str">
        <f>IF(AE1007&lt;&gt;0,VLOOKUP(AE1007,ODDS!$A$2:$C$13,3,0),"")</f>
        <v/>
      </c>
      <c r="AH1007" s="570" t="str">
        <f t="shared" si="218"/>
        <v xml:space="preserve"> </v>
      </c>
      <c r="AI1007" s="571" t="str">
        <f t="shared" si="209"/>
        <v xml:space="preserve"> </v>
      </c>
      <c r="AJ1007" s="593"/>
      <c r="AK1007" s="593"/>
    </row>
    <row r="1008" spans="1:37" s="376" customFormat="1" ht="20.25" outlineLevel="2" x14ac:dyDescent="0.3">
      <c r="A1008" s="447">
        <f t="shared" si="214"/>
        <v>78</v>
      </c>
      <c r="B1008" s="557"/>
      <c r="C1008" s="574"/>
      <c r="D1008" s="587"/>
      <c r="E1008" s="587"/>
      <c r="F1008" s="560"/>
      <c r="G1008" s="558"/>
      <c r="H1008" s="588"/>
      <c r="I1008" s="546"/>
      <c r="J1008" s="589"/>
      <c r="K1008" s="563" t="str">
        <f>IF(G1008&lt;&gt;0,VLOOKUP(G1008,'gia dat'!$A$1:$F$144,5,0)," ")</f>
        <v xml:space="preserve"> </v>
      </c>
      <c r="L1008" s="563" t="str">
        <f>IF(G1008&lt;&gt;0,VLOOKUP(G1008,'gia dat'!$A$1:$F$144,6,0)," ")</f>
        <v xml:space="preserve"> </v>
      </c>
      <c r="M1008" s="564" t="str">
        <f t="shared" si="215"/>
        <v xml:space="preserve"> </v>
      </c>
      <c r="N1008" s="564" t="str">
        <f t="shared" si="216"/>
        <v xml:space="preserve"> </v>
      </c>
      <c r="O1008" s="558"/>
      <c r="P1008" s="590"/>
      <c r="Q1008" s="564" t="str">
        <f>IF(O1008&lt;&gt;0,VLOOKUP(O1008,'Cây trong'!$A$2:$C$246,3,0)," ")</f>
        <v xml:space="preserve"> </v>
      </c>
      <c r="R1008" s="564" t="str">
        <f t="shared" si="217"/>
        <v xml:space="preserve"> </v>
      </c>
      <c r="S1008" s="566"/>
      <c r="T1008" s="589"/>
      <c r="U1008" s="591"/>
      <c r="V1008" s="589"/>
      <c r="W1008" s="564" t="str">
        <f>IF(S1008&lt;&gt;0,VLOOKUP(S1008,VKT!$A$2:$G$415,7,0),"")</f>
        <v/>
      </c>
      <c r="X1008" s="564" t="str">
        <f t="shared" si="212"/>
        <v xml:space="preserve"> </v>
      </c>
      <c r="Y1008" s="589"/>
      <c r="Z1008" s="592"/>
      <c r="AA1008" s="592"/>
      <c r="AB1008" s="568"/>
      <c r="AC1008" s="592"/>
      <c r="AD1008" s="592"/>
      <c r="AE1008" s="592"/>
      <c r="AF1008" s="590"/>
      <c r="AG1008" s="570" t="str">
        <f>IF(AE1008&lt;&gt;0,VLOOKUP(AE1008,ODDS!$A$2:$C$13,3,0),"")</f>
        <v/>
      </c>
      <c r="AH1008" s="570" t="str">
        <f t="shared" si="218"/>
        <v xml:space="preserve"> </v>
      </c>
      <c r="AI1008" s="571" t="str">
        <f t="shared" si="209"/>
        <v xml:space="preserve"> </v>
      </c>
      <c r="AJ1008" s="593"/>
      <c r="AK1008" s="593"/>
    </row>
    <row r="1009" spans="1:37" s="376" customFormat="1" ht="40.5" outlineLevel="1" x14ac:dyDescent="0.25">
      <c r="A1009" s="467" t="s">
        <v>2631</v>
      </c>
      <c r="B1009" s="576">
        <v>79</v>
      </c>
      <c r="C1009" s="574" t="s">
        <v>48</v>
      </c>
      <c r="D1009" s="595"/>
      <c r="E1009" s="595"/>
      <c r="F1009" s="577"/>
      <c r="G1009" s="574"/>
      <c r="H1009" s="618">
        <f>SUBTOTAL(9,H1010:H1025)</f>
        <v>1077.0999999999999</v>
      </c>
      <c r="I1009" s="579">
        <f>SUBTOTAL(9,I1010:I1015)</f>
        <v>1050.6999999999998</v>
      </c>
      <c r="J1009" s="597"/>
      <c r="K1009" s="581"/>
      <c r="L1009" s="581"/>
      <c r="M1009" s="571">
        <f>SUBTOTAL(9,M1010:M1025)</f>
        <v>501498000</v>
      </c>
      <c r="N1009" s="571">
        <f>SUBTOTAL(9,N1010:N1025)</f>
        <v>1467618000</v>
      </c>
      <c r="O1009" s="673"/>
      <c r="P1009" s="599">
        <f>SUBTOTAL(9,P1010:P1025)</f>
        <v>554</v>
      </c>
      <c r="Q1009" s="571"/>
      <c r="R1009" s="571">
        <f>SUBTOTAL(9,R1010:R1025)</f>
        <v>49581000</v>
      </c>
      <c r="S1009" s="582"/>
      <c r="T1009" s="597"/>
      <c r="U1009" s="600">
        <f>SUBTOTAL(9,U1010:U1025)</f>
        <v>83.82</v>
      </c>
      <c r="V1009" s="597"/>
      <c r="W1009" s="571"/>
      <c r="X1009" s="571">
        <f>SUBTOTAL(9,X1010:X1025)</f>
        <v>48155000</v>
      </c>
      <c r="Y1009" s="589"/>
      <c r="Z1009" s="592"/>
      <c r="AA1009" s="592"/>
      <c r="AB1009" s="568"/>
      <c r="AC1009" s="592"/>
      <c r="AD1009" s="592"/>
      <c r="AE1009" s="601"/>
      <c r="AF1009" s="599">
        <f>SUBTOTAL(9,AF1010:AF1025)</f>
        <v>0</v>
      </c>
      <c r="AG1009" s="585"/>
      <c r="AH1009" s="585">
        <f>SUBTOTAL(9,AH1010:AH1025)</f>
        <v>0</v>
      </c>
      <c r="AI1009" s="571">
        <f t="shared" si="209"/>
        <v>2066852000</v>
      </c>
      <c r="AJ1009" s="574"/>
      <c r="AK1009" s="578"/>
    </row>
    <row r="1010" spans="1:37" s="376" customFormat="1" ht="121.5" outlineLevel="2" x14ac:dyDescent="0.3">
      <c r="A1010" s="447">
        <f>IF(B1009&lt;&gt;0,B1009,A1008)</f>
        <v>79</v>
      </c>
      <c r="B1010" s="557"/>
      <c r="C1010" s="558" t="s">
        <v>280</v>
      </c>
      <c r="D1010" s="587">
        <v>1</v>
      </c>
      <c r="E1010" s="587">
        <v>86</v>
      </c>
      <c r="F1010" s="560">
        <v>62</v>
      </c>
      <c r="G1010" s="558" t="s">
        <v>2435</v>
      </c>
      <c r="H1010" s="588">
        <f>1077.1-H1011</f>
        <v>1050.6999999999998</v>
      </c>
      <c r="I1010" s="546">
        <f t="shared" ref="I1010:I1011" si="219">IF(N1010&gt;0,H1010,"")</f>
        <v>1050.6999999999998</v>
      </c>
      <c r="J1010" s="589"/>
      <c r="K1010" s="563">
        <f>IF(G1010&lt;&gt;0,VLOOKUP(G1010,'gia dat'!$A$1:$F$144,5,0)," ")</f>
        <v>465600</v>
      </c>
      <c r="L1010" s="563">
        <f>IF(G1010&lt;&gt;0,VLOOKUP(G1010,'gia dat'!$A$1:$F$144,6,0)," ")</f>
        <v>1396800</v>
      </c>
      <c r="M1010" s="564">
        <f t="shared" si="215"/>
        <v>489206000</v>
      </c>
      <c r="N1010" s="564">
        <f t="shared" si="216"/>
        <v>1467618000</v>
      </c>
      <c r="O1010" s="638" t="s">
        <v>145</v>
      </c>
      <c r="P1010" s="590">
        <v>2</v>
      </c>
      <c r="Q1010" s="564">
        <f>IF(O1010&lt;&gt;0,VLOOKUP(O1010,'Cây trong'!$A$2:$C$246,3,0)," ")</f>
        <v>4240000</v>
      </c>
      <c r="R1010" s="564">
        <f t="shared" si="217"/>
        <v>8480000</v>
      </c>
      <c r="S1010" s="566" t="s">
        <v>1884</v>
      </c>
      <c r="T1010" s="589" t="s">
        <v>53</v>
      </c>
      <c r="U1010" s="591">
        <v>26.4</v>
      </c>
      <c r="V1010" s="589"/>
      <c r="W1010" s="564">
        <f>IF(S1010&lt;&gt;0,VLOOKUP(S1010,VKT!$A$2:$G$415,7,0),"")</f>
        <v>984277</v>
      </c>
      <c r="X1010" s="564">
        <f t="shared" si="212"/>
        <v>25985000</v>
      </c>
      <c r="Y1010" s="589"/>
      <c r="Z1010" s="592" t="s">
        <v>55</v>
      </c>
      <c r="AA1010" s="592" t="s">
        <v>141</v>
      </c>
      <c r="AB1010" s="568" t="s">
        <v>171</v>
      </c>
      <c r="AC1010" s="592" t="s">
        <v>66</v>
      </c>
      <c r="AD1010" s="592"/>
      <c r="AE1010" s="592"/>
      <c r="AF1010" s="590"/>
      <c r="AG1010" s="570" t="str">
        <f>IF(AE1010&lt;&gt;0,VLOOKUP(AE1010,ODDS!$A$2:$C$13,3,0),"")</f>
        <v/>
      </c>
      <c r="AH1010" s="570" t="str">
        <f t="shared" si="218"/>
        <v xml:space="preserve"> </v>
      </c>
      <c r="AI1010" s="571" t="str">
        <f t="shared" si="209"/>
        <v xml:space="preserve"> </v>
      </c>
      <c r="AJ1010" s="558" t="s">
        <v>712</v>
      </c>
      <c r="AK1010" s="586" t="s">
        <v>2771</v>
      </c>
    </row>
    <row r="1011" spans="1:37" s="376" customFormat="1" ht="101.25" outlineLevel="2" x14ac:dyDescent="0.3">
      <c r="A1011" s="447">
        <f t="shared" ref="A1011:A1025" si="220">IF(B1010&lt;&gt;0,B1010,A1010)</f>
        <v>79</v>
      </c>
      <c r="B1011" s="557"/>
      <c r="C1011" s="638" t="s">
        <v>713</v>
      </c>
      <c r="D1011" s="587"/>
      <c r="E1011" s="587"/>
      <c r="F1011" s="560"/>
      <c r="G1011" s="558" t="s">
        <v>2434</v>
      </c>
      <c r="H1011" s="588">
        <v>26.4</v>
      </c>
      <c r="I1011" s="546" t="str">
        <f t="shared" si="219"/>
        <v/>
      </c>
      <c r="J1011" s="589"/>
      <c r="K1011" s="563">
        <f>IF(G1011&lt;&gt;0,VLOOKUP(G1011,'gia dat'!$A$1:$F$144,5,0)," ")</f>
        <v>465600</v>
      </c>
      <c r="L1011" s="563">
        <f>IF(G1011&lt;&gt;0,VLOOKUP(G1011,'gia dat'!$A$1:$F$144,6,0)," ")</f>
        <v>0</v>
      </c>
      <c r="M1011" s="564">
        <f t="shared" si="215"/>
        <v>12292000</v>
      </c>
      <c r="N1011" s="564">
        <f t="shared" si="216"/>
        <v>0</v>
      </c>
      <c r="O1011" s="638" t="s">
        <v>77</v>
      </c>
      <c r="P1011" s="590">
        <v>2</v>
      </c>
      <c r="Q1011" s="564">
        <f>IF(O1011&lt;&gt;0,VLOOKUP(O1011,'Cây trong'!$A$2:$C$246,3,0)," ")</f>
        <v>3064000</v>
      </c>
      <c r="R1011" s="564">
        <f t="shared" si="217"/>
        <v>6128000</v>
      </c>
      <c r="S1011" s="566" t="s">
        <v>1748</v>
      </c>
      <c r="T1011" s="589" t="s">
        <v>53</v>
      </c>
      <c r="U1011" s="591">
        <v>7.2</v>
      </c>
      <c r="V1011" s="589"/>
      <c r="W1011" s="564">
        <f>IF(S1011&lt;&gt;0,VLOOKUP(S1011,VKT!$A$2:$G$415,7,0),"")</f>
        <v>0</v>
      </c>
      <c r="X1011" s="564">
        <f t="shared" si="212"/>
        <v>0</v>
      </c>
      <c r="Y1011" s="589"/>
      <c r="Z1011" s="592"/>
      <c r="AA1011" s="592"/>
      <c r="AB1011" s="568"/>
      <c r="AC1011" s="592"/>
      <c r="AD1011" s="592"/>
      <c r="AE1011" s="592"/>
      <c r="AF1011" s="590"/>
      <c r="AG1011" s="570" t="str">
        <f>IF(AE1011&lt;&gt;0,VLOOKUP(AE1011,ODDS!$A$2:$C$13,3,0),"")</f>
        <v/>
      </c>
      <c r="AH1011" s="570" t="str">
        <f t="shared" si="218"/>
        <v xml:space="preserve"> </v>
      </c>
      <c r="AI1011" s="571" t="str">
        <f t="shared" si="209"/>
        <v xml:space="preserve"> </v>
      </c>
      <c r="AJ1011" s="558" t="s">
        <v>611</v>
      </c>
      <c r="AK1011" s="558" t="s">
        <v>2448</v>
      </c>
    </row>
    <row r="1012" spans="1:37" s="376" customFormat="1" ht="121.5" outlineLevel="2" x14ac:dyDescent="0.3">
      <c r="A1012" s="447">
        <f t="shared" si="220"/>
        <v>79</v>
      </c>
      <c r="B1012" s="557"/>
      <c r="C1012" s="558"/>
      <c r="D1012" s="587"/>
      <c r="E1012" s="587"/>
      <c r="F1012" s="560"/>
      <c r="G1012" s="558"/>
      <c r="H1012" s="588"/>
      <c r="I1012" s="546"/>
      <c r="J1012" s="589"/>
      <c r="K1012" s="563" t="str">
        <f>IF(G1012&lt;&gt;0,VLOOKUP(G1012,'gia dat'!$A$1:$F$144,5,0)," ")</f>
        <v xml:space="preserve"> </v>
      </c>
      <c r="L1012" s="563" t="str">
        <f>IF(G1012&lt;&gt;0,VLOOKUP(G1012,'gia dat'!$A$1:$F$144,6,0)," ")</f>
        <v xml:space="preserve"> </v>
      </c>
      <c r="M1012" s="564" t="str">
        <f t="shared" si="215"/>
        <v xml:space="preserve"> </v>
      </c>
      <c r="N1012" s="564" t="str">
        <f t="shared" si="216"/>
        <v xml:space="preserve"> </v>
      </c>
      <c r="O1012" s="638" t="s">
        <v>79</v>
      </c>
      <c r="P1012" s="590">
        <v>1</v>
      </c>
      <c r="Q1012" s="564">
        <f>IF(O1012&lt;&gt;0,VLOOKUP(O1012,'Cây trong'!$A$2:$C$246,3,0)," ")</f>
        <v>1035000</v>
      </c>
      <c r="R1012" s="564">
        <f t="shared" si="217"/>
        <v>1035000</v>
      </c>
      <c r="S1012" s="566" t="s">
        <v>1901</v>
      </c>
      <c r="T1012" s="589" t="s">
        <v>53</v>
      </c>
      <c r="U1012" s="591">
        <v>50.22</v>
      </c>
      <c r="V1012" s="589"/>
      <c r="W1012" s="564">
        <f>IF(S1012&lt;&gt;0,VLOOKUP(S1012,VKT!$A$2:$G$415,7,0),"")</f>
        <v>441467</v>
      </c>
      <c r="X1012" s="564">
        <f t="shared" si="212"/>
        <v>22170000</v>
      </c>
      <c r="Y1012" s="589"/>
      <c r="Z1012" s="592"/>
      <c r="AA1012" s="592"/>
      <c r="AB1012" s="568"/>
      <c r="AC1012" s="592"/>
      <c r="AD1012" s="592"/>
      <c r="AE1012" s="592"/>
      <c r="AF1012" s="590"/>
      <c r="AG1012" s="570" t="str">
        <f>IF(AE1012&lt;&gt;0,VLOOKUP(AE1012,ODDS!$A$2:$C$13,3,0),"")</f>
        <v/>
      </c>
      <c r="AH1012" s="570" t="str">
        <f t="shared" si="218"/>
        <v xml:space="preserve"> </v>
      </c>
      <c r="AI1012" s="571" t="str">
        <f t="shared" si="209"/>
        <v xml:space="preserve"> </v>
      </c>
      <c r="AJ1012" s="593" t="s">
        <v>398</v>
      </c>
      <c r="AK1012" s="558" t="s">
        <v>2450</v>
      </c>
    </row>
    <row r="1013" spans="1:37" s="376" customFormat="1" ht="101.25" outlineLevel="2" x14ac:dyDescent="0.3">
      <c r="A1013" s="447">
        <f t="shared" si="220"/>
        <v>79</v>
      </c>
      <c r="B1013" s="557"/>
      <c r="C1013" s="558"/>
      <c r="D1013" s="587"/>
      <c r="E1013" s="612"/>
      <c r="F1013" s="612"/>
      <c r="G1013" s="586"/>
      <c r="H1013" s="588"/>
      <c r="I1013" s="546"/>
      <c r="J1013" s="589"/>
      <c r="K1013" s="563" t="str">
        <f>IF(G1013&lt;&gt;0,VLOOKUP(G1013,'gia dat'!$A$1:$F$144,5,0)," ")</f>
        <v xml:space="preserve"> </v>
      </c>
      <c r="L1013" s="563" t="str">
        <f>IF(G1013&lt;&gt;0,VLOOKUP(G1013,'gia dat'!$A$1:$F$144,6,0)," ")</f>
        <v xml:space="preserve"> </v>
      </c>
      <c r="M1013" s="564" t="str">
        <f t="shared" si="215"/>
        <v xml:space="preserve"> </v>
      </c>
      <c r="N1013" s="564" t="str">
        <f t="shared" si="216"/>
        <v xml:space="preserve"> </v>
      </c>
      <c r="O1013" s="572" t="s">
        <v>67</v>
      </c>
      <c r="P1013" s="687">
        <v>1</v>
      </c>
      <c r="Q1013" s="564">
        <f>IF(O1013&lt;&gt;0,VLOOKUP(O1013,'Cây trong'!$A$2:$C$246,3,0)," ")</f>
        <v>494000</v>
      </c>
      <c r="R1013" s="564">
        <f t="shared" si="217"/>
        <v>494000</v>
      </c>
      <c r="S1013" s="572"/>
      <c r="T1013" s="609"/>
      <c r="U1013" s="591"/>
      <c r="V1013" s="589"/>
      <c r="W1013" s="564" t="str">
        <f>IF(S1013&lt;&gt;0,VLOOKUP(S1013,VKT!$A$2:$G$415,7,0),"")</f>
        <v/>
      </c>
      <c r="X1013" s="564" t="str">
        <f t="shared" si="212"/>
        <v xml:space="preserve"> </v>
      </c>
      <c r="Y1013" s="589"/>
      <c r="Z1013" s="592"/>
      <c r="AA1013" s="592"/>
      <c r="AB1013" s="568"/>
      <c r="AC1013" s="592"/>
      <c r="AD1013" s="592"/>
      <c r="AE1013" s="592"/>
      <c r="AF1013" s="590"/>
      <c r="AG1013" s="570" t="str">
        <f>IF(AE1013&lt;&gt;0,VLOOKUP(AE1013,ODDS!$A$2:$C$13,3,0),"")</f>
        <v/>
      </c>
      <c r="AH1013" s="570" t="str">
        <f t="shared" si="218"/>
        <v xml:space="preserve"> </v>
      </c>
      <c r="AI1013" s="571" t="str">
        <f t="shared" si="209"/>
        <v xml:space="preserve"> </v>
      </c>
      <c r="AJ1013" s="558" t="s">
        <v>2074</v>
      </c>
      <c r="AK1013" s="558" t="s">
        <v>2449</v>
      </c>
    </row>
    <row r="1014" spans="1:37" s="376" customFormat="1" ht="101.25" outlineLevel="2" x14ac:dyDescent="0.3">
      <c r="A1014" s="447">
        <f t="shared" si="220"/>
        <v>79</v>
      </c>
      <c r="B1014" s="557"/>
      <c r="C1014" s="558"/>
      <c r="D1014" s="587"/>
      <c r="E1014" s="587"/>
      <c r="F1014" s="560"/>
      <c r="G1014" s="558"/>
      <c r="H1014" s="588"/>
      <c r="I1014" s="546"/>
      <c r="J1014" s="589"/>
      <c r="K1014" s="563" t="str">
        <f>IF(G1014&lt;&gt;0,VLOOKUP(G1014,'gia dat'!$A$1:$F$144,5,0)," ")</f>
        <v xml:space="preserve"> </v>
      </c>
      <c r="L1014" s="563" t="str">
        <f>IF(G1014&lt;&gt;0,VLOOKUP(G1014,'gia dat'!$A$1:$F$144,6,0)," ")</f>
        <v xml:space="preserve"> </v>
      </c>
      <c r="M1014" s="564" t="str">
        <f t="shared" si="215"/>
        <v xml:space="preserve"> </v>
      </c>
      <c r="N1014" s="564" t="str">
        <f t="shared" si="216"/>
        <v xml:space="preserve"> </v>
      </c>
      <c r="O1014" s="558" t="s">
        <v>738</v>
      </c>
      <c r="P1014" s="590">
        <v>2</v>
      </c>
      <c r="Q1014" s="564">
        <f>IF(O1014&lt;&gt;0,VLOOKUP(O1014,'Cây trong'!$A$2:$C$246,3,0)," ")</f>
        <v>0</v>
      </c>
      <c r="R1014" s="564">
        <f t="shared" si="217"/>
        <v>0</v>
      </c>
      <c r="S1014" s="566"/>
      <c r="T1014" s="589"/>
      <c r="U1014" s="591"/>
      <c r="V1014" s="589"/>
      <c r="W1014" s="564" t="str">
        <f>IF(S1014&lt;&gt;0,VLOOKUP(S1014,VKT!$A$2:$G$415,7,0),"")</f>
        <v/>
      </c>
      <c r="X1014" s="564" t="str">
        <f t="shared" si="212"/>
        <v xml:space="preserve"> </v>
      </c>
      <c r="Y1014" s="589"/>
      <c r="Z1014" s="592"/>
      <c r="AA1014" s="592"/>
      <c r="AB1014" s="568"/>
      <c r="AC1014" s="592"/>
      <c r="AD1014" s="592"/>
      <c r="AE1014" s="592"/>
      <c r="AF1014" s="590"/>
      <c r="AG1014" s="570" t="str">
        <f>IF(AE1014&lt;&gt;0,VLOOKUP(AE1014,ODDS!$A$2:$C$13,3,0),"")</f>
        <v/>
      </c>
      <c r="AH1014" s="570" t="str">
        <f t="shared" si="218"/>
        <v xml:space="preserve"> </v>
      </c>
      <c r="AI1014" s="571" t="str">
        <f t="shared" si="209"/>
        <v xml:space="preserve"> </v>
      </c>
      <c r="AJ1014" s="558"/>
      <c r="AK1014" s="558" t="s">
        <v>2800</v>
      </c>
    </row>
    <row r="1015" spans="1:37" s="376" customFormat="1" ht="40.5" outlineLevel="2" x14ac:dyDescent="0.3">
      <c r="A1015" s="447">
        <f t="shared" si="220"/>
        <v>79</v>
      </c>
      <c r="B1015" s="557"/>
      <c r="C1015" s="607"/>
      <c r="D1015" s="587"/>
      <c r="E1015" s="587"/>
      <c r="F1015" s="560"/>
      <c r="G1015" s="558"/>
      <c r="H1015" s="588"/>
      <c r="I1015" s="546"/>
      <c r="J1015" s="589"/>
      <c r="K1015" s="563" t="str">
        <f>IF(G1015&lt;&gt;0,VLOOKUP(G1015,'gia dat'!$A$1:$F$144,5,0)," ")</f>
        <v xml:space="preserve"> </v>
      </c>
      <c r="L1015" s="563" t="str">
        <f>IF(G1015&lt;&gt;0,VLOOKUP(G1015,'gia dat'!$A$1:$F$144,6,0)," ")</f>
        <v xml:space="preserve"> </v>
      </c>
      <c r="M1015" s="564" t="str">
        <f t="shared" si="215"/>
        <v xml:space="preserve"> </v>
      </c>
      <c r="N1015" s="564" t="str">
        <f t="shared" si="216"/>
        <v xml:space="preserve"> </v>
      </c>
      <c r="O1015" s="558" t="s">
        <v>401</v>
      </c>
      <c r="P1015" s="590">
        <v>39</v>
      </c>
      <c r="Q1015" s="564">
        <f>IF(O1015&lt;&gt;0,VLOOKUP(O1015,'Cây trong'!$A$2:$C$246,3,0)," ")</f>
        <v>80000</v>
      </c>
      <c r="R1015" s="564">
        <f t="shared" si="217"/>
        <v>3120000</v>
      </c>
      <c r="S1015" s="566"/>
      <c r="T1015" s="589"/>
      <c r="U1015" s="591"/>
      <c r="V1015" s="589"/>
      <c r="W1015" s="564" t="str">
        <f>IF(S1015&lt;&gt;0,VLOOKUP(S1015,VKT!$A$2:$G$415,7,0),"")</f>
        <v/>
      </c>
      <c r="X1015" s="564" t="str">
        <f t="shared" si="212"/>
        <v xml:space="preserve"> </v>
      </c>
      <c r="Y1015" s="589"/>
      <c r="Z1015" s="592"/>
      <c r="AA1015" s="592"/>
      <c r="AB1015" s="568"/>
      <c r="AC1015" s="592"/>
      <c r="AD1015" s="592"/>
      <c r="AE1015" s="592"/>
      <c r="AF1015" s="590"/>
      <c r="AG1015" s="570" t="str">
        <f>IF(AE1015&lt;&gt;0,VLOOKUP(AE1015,ODDS!$A$2:$C$13,3,0),"")</f>
        <v/>
      </c>
      <c r="AH1015" s="570" t="str">
        <f t="shared" si="218"/>
        <v xml:space="preserve"> </v>
      </c>
      <c r="AI1015" s="571" t="str">
        <f t="shared" si="209"/>
        <v xml:space="preserve"> </v>
      </c>
      <c r="AJ1015" s="593"/>
      <c r="AK1015" s="593"/>
    </row>
    <row r="1016" spans="1:37" s="376" customFormat="1" ht="20.25" outlineLevel="2" x14ac:dyDescent="0.3">
      <c r="A1016" s="447">
        <f t="shared" si="220"/>
        <v>79</v>
      </c>
      <c r="B1016" s="557"/>
      <c r="C1016" s="572"/>
      <c r="D1016" s="587"/>
      <c r="E1016" s="612"/>
      <c r="F1016" s="612"/>
      <c r="G1016" s="586"/>
      <c r="H1016" s="588"/>
      <c r="I1016" s="546"/>
      <c r="J1016" s="589"/>
      <c r="K1016" s="563" t="str">
        <f>IF(G1016&lt;&gt;0,VLOOKUP(G1016,'gia dat'!$A$1:$F$144,5,0)," ")</f>
        <v xml:space="preserve"> </v>
      </c>
      <c r="L1016" s="563" t="str">
        <f>IF(G1016&lt;&gt;0,VLOOKUP(G1016,'gia dat'!$A$1:$F$144,6,0)," ")</f>
        <v xml:space="preserve"> </v>
      </c>
      <c r="M1016" s="564" t="str">
        <f t="shared" si="215"/>
        <v xml:space="preserve"> </v>
      </c>
      <c r="N1016" s="564" t="str">
        <f t="shared" si="216"/>
        <v xml:space="preserve"> </v>
      </c>
      <c r="O1016" s="572" t="s">
        <v>72</v>
      </c>
      <c r="P1016" s="687">
        <v>19</v>
      </c>
      <c r="Q1016" s="564">
        <f>IF(O1016&lt;&gt;0,VLOOKUP(O1016,'Cây trong'!$A$2:$C$246,3,0)," ")</f>
        <v>132000</v>
      </c>
      <c r="R1016" s="564">
        <f t="shared" si="217"/>
        <v>2508000</v>
      </c>
      <c r="S1016" s="566"/>
      <c r="T1016" s="609"/>
      <c r="U1016" s="591"/>
      <c r="V1016" s="589"/>
      <c r="W1016" s="564" t="str">
        <f>IF(S1016&lt;&gt;0,VLOOKUP(S1016,VKT!$A$2:$G$415,7,0),"")</f>
        <v/>
      </c>
      <c r="X1016" s="564" t="str">
        <f t="shared" si="212"/>
        <v xml:space="preserve"> </v>
      </c>
      <c r="Y1016" s="589"/>
      <c r="Z1016" s="592"/>
      <c r="AA1016" s="592"/>
      <c r="AB1016" s="568"/>
      <c r="AC1016" s="592"/>
      <c r="AD1016" s="592"/>
      <c r="AE1016" s="592"/>
      <c r="AF1016" s="590"/>
      <c r="AG1016" s="570" t="str">
        <f>IF(AE1016&lt;&gt;0,VLOOKUP(AE1016,ODDS!$A$2:$C$13,3,0),"")</f>
        <v/>
      </c>
      <c r="AH1016" s="570" t="str">
        <f t="shared" si="218"/>
        <v xml:space="preserve"> </v>
      </c>
      <c r="AI1016" s="571" t="str">
        <f t="shared" si="209"/>
        <v xml:space="preserve"> </v>
      </c>
      <c r="AJ1016" s="593"/>
      <c r="AK1016" s="593"/>
    </row>
    <row r="1017" spans="1:37" s="376" customFormat="1" ht="20.25" outlineLevel="2" x14ac:dyDescent="0.3">
      <c r="A1017" s="447">
        <f t="shared" si="220"/>
        <v>79</v>
      </c>
      <c r="B1017" s="557"/>
      <c r="C1017" s="572"/>
      <c r="D1017" s="587"/>
      <c r="E1017" s="612"/>
      <c r="F1017" s="612"/>
      <c r="G1017" s="586"/>
      <c r="H1017" s="588"/>
      <c r="I1017" s="546"/>
      <c r="J1017" s="589"/>
      <c r="K1017" s="563" t="str">
        <f>IF(G1017&lt;&gt;0,VLOOKUP(G1017,'gia dat'!$A$1:$F$144,5,0)," ")</f>
        <v xml:space="preserve"> </v>
      </c>
      <c r="L1017" s="563" t="str">
        <f>IF(G1017&lt;&gt;0,VLOOKUP(G1017,'gia dat'!$A$1:$F$144,6,0)," ")</f>
        <v xml:space="preserve"> </v>
      </c>
      <c r="M1017" s="564" t="str">
        <f t="shared" si="215"/>
        <v xml:space="preserve"> </v>
      </c>
      <c r="N1017" s="564" t="str">
        <f t="shared" si="216"/>
        <v xml:space="preserve"> </v>
      </c>
      <c r="O1017" s="572" t="s">
        <v>75</v>
      </c>
      <c r="P1017" s="687">
        <v>15</v>
      </c>
      <c r="Q1017" s="564">
        <f>IF(O1017&lt;&gt;0,VLOOKUP(O1017,'Cây trong'!$A$2:$C$246,3,0)," ")</f>
        <v>34000</v>
      </c>
      <c r="R1017" s="564">
        <f t="shared" si="217"/>
        <v>510000</v>
      </c>
      <c r="S1017" s="566"/>
      <c r="T1017" s="609"/>
      <c r="U1017" s="591"/>
      <c r="V1017" s="589"/>
      <c r="W1017" s="564" t="str">
        <f>IF(S1017&lt;&gt;0,VLOOKUP(S1017,VKT!$A$2:$G$415,7,0),"")</f>
        <v/>
      </c>
      <c r="X1017" s="564" t="str">
        <f t="shared" si="212"/>
        <v xml:space="preserve"> </v>
      </c>
      <c r="Y1017" s="589"/>
      <c r="Z1017" s="592"/>
      <c r="AA1017" s="592"/>
      <c r="AB1017" s="568"/>
      <c r="AC1017" s="592"/>
      <c r="AD1017" s="592"/>
      <c r="AE1017" s="592"/>
      <c r="AF1017" s="590"/>
      <c r="AG1017" s="570" t="str">
        <f>IF(AE1017&lt;&gt;0,VLOOKUP(AE1017,ODDS!$A$2:$C$13,3,0),"")</f>
        <v/>
      </c>
      <c r="AH1017" s="570" t="str">
        <f t="shared" si="218"/>
        <v xml:space="preserve"> </v>
      </c>
      <c r="AI1017" s="571" t="str">
        <f t="shared" si="209"/>
        <v xml:space="preserve"> </v>
      </c>
      <c r="AJ1017" s="593"/>
      <c r="AK1017" s="593"/>
    </row>
    <row r="1018" spans="1:37" s="376" customFormat="1" ht="40.5" outlineLevel="2" x14ac:dyDescent="0.3">
      <c r="A1018" s="447">
        <f t="shared" si="220"/>
        <v>79</v>
      </c>
      <c r="B1018" s="557"/>
      <c r="C1018" s="558"/>
      <c r="D1018" s="587"/>
      <c r="E1018" s="612"/>
      <c r="F1018" s="612"/>
      <c r="G1018" s="586"/>
      <c r="H1018" s="588"/>
      <c r="I1018" s="546"/>
      <c r="J1018" s="589"/>
      <c r="K1018" s="563" t="str">
        <f>IF(G1018&lt;&gt;0,VLOOKUP(G1018,'gia dat'!$A$1:$F$144,5,0)," ")</f>
        <v xml:space="preserve"> </v>
      </c>
      <c r="L1018" s="563" t="str">
        <f>IF(G1018&lt;&gt;0,VLOOKUP(G1018,'gia dat'!$A$1:$F$144,6,0)," ")</f>
        <v xml:space="preserve"> </v>
      </c>
      <c r="M1018" s="564" t="str">
        <f t="shared" si="215"/>
        <v xml:space="preserve"> </v>
      </c>
      <c r="N1018" s="564" t="str">
        <f t="shared" si="216"/>
        <v xml:space="preserve"> </v>
      </c>
      <c r="O1018" s="572" t="s">
        <v>187</v>
      </c>
      <c r="P1018" s="687">
        <v>97</v>
      </c>
      <c r="Q1018" s="564">
        <f>IF(O1018&lt;&gt;0,VLOOKUP(O1018,'Cây trong'!$A$2:$C$246,3,0)," ")</f>
        <v>120000</v>
      </c>
      <c r="R1018" s="564">
        <f t="shared" si="217"/>
        <v>11640000</v>
      </c>
      <c r="S1018" s="566"/>
      <c r="T1018" s="609"/>
      <c r="U1018" s="591"/>
      <c r="V1018" s="589"/>
      <c r="W1018" s="564" t="str">
        <f>IF(S1018&lt;&gt;0,VLOOKUP(S1018,VKT!$A$2:$G$415,7,0),"")</f>
        <v/>
      </c>
      <c r="X1018" s="564" t="str">
        <f t="shared" si="212"/>
        <v xml:space="preserve"> </v>
      </c>
      <c r="Y1018" s="589"/>
      <c r="Z1018" s="592"/>
      <c r="AA1018" s="592"/>
      <c r="AB1018" s="568"/>
      <c r="AC1018" s="592"/>
      <c r="AD1018" s="592"/>
      <c r="AE1018" s="592"/>
      <c r="AF1018" s="590"/>
      <c r="AG1018" s="570" t="str">
        <f>IF(AE1018&lt;&gt;0,VLOOKUP(AE1018,ODDS!$A$2:$C$13,3,0),"")</f>
        <v/>
      </c>
      <c r="AH1018" s="570" t="str">
        <f t="shared" si="218"/>
        <v xml:space="preserve"> </v>
      </c>
      <c r="AI1018" s="571" t="str">
        <f t="shared" si="209"/>
        <v xml:space="preserve"> </v>
      </c>
      <c r="AJ1018" s="593"/>
      <c r="AK1018" s="593"/>
    </row>
    <row r="1019" spans="1:37" s="376" customFormat="1" ht="40.5" outlineLevel="2" x14ac:dyDescent="0.3">
      <c r="A1019" s="447">
        <f t="shared" si="220"/>
        <v>79</v>
      </c>
      <c r="B1019" s="557"/>
      <c r="C1019" s="558"/>
      <c r="D1019" s="587"/>
      <c r="E1019" s="612"/>
      <c r="F1019" s="612"/>
      <c r="G1019" s="586"/>
      <c r="H1019" s="588"/>
      <c r="I1019" s="546"/>
      <c r="J1019" s="589"/>
      <c r="K1019" s="563" t="str">
        <f>IF(G1019&lt;&gt;0,VLOOKUP(G1019,'gia dat'!$A$1:$F$144,5,0)," ")</f>
        <v xml:space="preserve"> </v>
      </c>
      <c r="L1019" s="563" t="str">
        <f>IF(G1019&lt;&gt;0,VLOOKUP(G1019,'gia dat'!$A$1:$F$144,6,0)," ")</f>
        <v xml:space="preserve"> </v>
      </c>
      <c r="M1019" s="564" t="str">
        <f t="shared" si="215"/>
        <v xml:space="preserve"> </v>
      </c>
      <c r="N1019" s="564" t="str">
        <f t="shared" si="216"/>
        <v xml:space="preserve"> </v>
      </c>
      <c r="O1019" s="572" t="s">
        <v>353</v>
      </c>
      <c r="P1019" s="687">
        <v>149</v>
      </c>
      <c r="Q1019" s="564">
        <f>IF(O1019&lt;&gt;0,VLOOKUP(O1019,'Cây trong'!$A$2:$C$246,3,0)," ")</f>
        <v>96000</v>
      </c>
      <c r="R1019" s="564">
        <f t="shared" si="217"/>
        <v>14304000</v>
      </c>
      <c r="S1019" s="566"/>
      <c r="T1019" s="609"/>
      <c r="U1019" s="591"/>
      <c r="V1019" s="589"/>
      <c r="W1019" s="564" t="str">
        <f>IF(S1019&lt;&gt;0,VLOOKUP(S1019,VKT!$A$2:$G$415,7,0),"")</f>
        <v/>
      </c>
      <c r="X1019" s="564" t="str">
        <f t="shared" si="212"/>
        <v xml:space="preserve"> </v>
      </c>
      <c r="Y1019" s="589"/>
      <c r="Z1019" s="592"/>
      <c r="AA1019" s="592"/>
      <c r="AB1019" s="568"/>
      <c r="AC1019" s="592"/>
      <c r="AD1019" s="592"/>
      <c r="AE1019" s="592"/>
      <c r="AF1019" s="590"/>
      <c r="AG1019" s="570" t="str">
        <f>IF(AE1019&lt;&gt;0,VLOOKUP(AE1019,ODDS!$A$2:$C$13,3,0),"")</f>
        <v/>
      </c>
      <c r="AH1019" s="570" t="str">
        <f t="shared" si="218"/>
        <v xml:space="preserve"> </v>
      </c>
      <c r="AI1019" s="571" t="str">
        <f t="shared" si="209"/>
        <v xml:space="preserve"> </v>
      </c>
      <c r="AJ1019" s="593"/>
      <c r="AK1019" s="593"/>
    </row>
    <row r="1020" spans="1:37" s="376" customFormat="1" ht="40.5" outlineLevel="2" x14ac:dyDescent="0.3">
      <c r="A1020" s="447">
        <f t="shared" si="220"/>
        <v>79</v>
      </c>
      <c r="B1020" s="557"/>
      <c r="C1020" s="558"/>
      <c r="D1020" s="587"/>
      <c r="E1020" s="587"/>
      <c r="F1020" s="560"/>
      <c r="G1020" s="558"/>
      <c r="H1020" s="588"/>
      <c r="I1020" s="546"/>
      <c r="J1020" s="589"/>
      <c r="K1020" s="563" t="str">
        <f>IF(G1020&lt;&gt;0,VLOOKUP(G1020,'gia dat'!$A$1:$F$144,5,0)," ")</f>
        <v xml:space="preserve"> </v>
      </c>
      <c r="L1020" s="563" t="str">
        <f>IF(G1020&lt;&gt;0,VLOOKUP(G1020,'gia dat'!$A$1:$F$144,6,0)," ")</f>
        <v xml:space="preserve"> </v>
      </c>
      <c r="M1020" s="564" t="str">
        <f t="shared" si="215"/>
        <v xml:space="preserve"> </v>
      </c>
      <c r="N1020" s="564" t="str">
        <f t="shared" si="216"/>
        <v xml:space="preserve"> </v>
      </c>
      <c r="O1020" s="558" t="s">
        <v>785</v>
      </c>
      <c r="P1020" s="688">
        <v>227</v>
      </c>
      <c r="Q1020" s="564">
        <f>IF(O1020&lt;&gt;0,VLOOKUP(O1020,'Cây trong'!$A$2:$C$246,3,0)," ")</f>
        <v>6000</v>
      </c>
      <c r="R1020" s="564">
        <f t="shared" si="217"/>
        <v>1362000</v>
      </c>
      <c r="S1020" s="566"/>
      <c r="T1020" s="589"/>
      <c r="U1020" s="591"/>
      <c r="V1020" s="589"/>
      <c r="W1020" s="564" t="str">
        <f>IF(S1020&lt;&gt;0,VLOOKUP(S1020,VKT!$A$2:$G$415,7,0),"")</f>
        <v/>
      </c>
      <c r="X1020" s="564" t="str">
        <f t="shared" si="212"/>
        <v xml:space="preserve"> </v>
      </c>
      <c r="Y1020" s="589"/>
      <c r="Z1020" s="592"/>
      <c r="AA1020" s="592"/>
      <c r="AB1020" s="568"/>
      <c r="AC1020" s="592"/>
      <c r="AD1020" s="592"/>
      <c r="AE1020" s="592"/>
      <c r="AF1020" s="590"/>
      <c r="AG1020" s="570" t="str">
        <f>IF(AE1020&lt;&gt;0,VLOOKUP(AE1020,ODDS!$A$2:$C$13,3,0),"")</f>
        <v/>
      </c>
      <c r="AH1020" s="570" t="str">
        <f t="shared" si="218"/>
        <v xml:space="preserve"> </v>
      </c>
      <c r="AI1020" s="571" t="str">
        <f t="shared" si="209"/>
        <v xml:space="preserve"> </v>
      </c>
      <c r="AJ1020" s="593"/>
      <c r="AK1020" s="593"/>
    </row>
    <row r="1021" spans="1:37" s="376" customFormat="1" ht="20.25" outlineLevel="2" x14ac:dyDescent="0.3">
      <c r="A1021" s="447">
        <f t="shared" si="220"/>
        <v>79</v>
      </c>
      <c r="B1021" s="557"/>
      <c r="C1021" s="607"/>
      <c r="D1021" s="587"/>
      <c r="E1021" s="587"/>
      <c r="F1021" s="615"/>
      <c r="G1021" s="558"/>
      <c r="H1021" s="604"/>
      <c r="I1021" s="546"/>
      <c r="J1021" s="593"/>
      <c r="K1021" s="563" t="str">
        <f>IF(G1021&lt;&gt;0,VLOOKUP(G1021,'gia dat'!$A$1:$F$144,5,0)," ")</f>
        <v xml:space="preserve"> </v>
      </c>
      <c r="L1021" s="563" t="str">
        <f>IF(G1021&lt;&gt;0,VLOOKUP(G1021,'gia dat'!$A$1:$F$144,6,0)," ")</f>
        <v xml:space="preserve"> </v>
      </c>
      <c r="M1021" s="564" t="str">
        <f t="shared" si="215"/>
        <v xml:space="preserve"> </v>
      </c>
      <c r="N1021" s="564" t="str">
        <f t="shared" si="216"/>
        <v xml:space="preserve"> </v>
      </c>
      <c r="O1021" s="593"/>
      <c r="P1021" s="616"/>
      <c r="Q1021" s="564" t="str">
        <f>IF(O1021&lt;&gt;0,VLOOKUP(O1021,'Cây trong'!$A$2:$C$246,3,0)," ")</f>
        <v xml:space="preserve"> </v>
      </c>
      <c r="R1021" s="564" t="str">
        <f t="shared" si="217"/>
        <v xml:space="preserve"> </v>
      </c>
      <c r="S1021" s="593"/>
      <c r="T1021" s="593"/>
      <c r="U1021" s="617"/>
      <c r="V1021" s="589"/>
      <c r="W1021" s="564" t="str">
        <f>IF(S1021&lt;&gt;0,VLOOKUP(S1021,VKT!$A$2:$G$415,7,0),"")</f>
        <v/>
      </c>
      <c r="X1021" s="564" t="str">
        <f t="shared" si="212"/>
        <v xml:space="preserve"> </v>
      </c>
      <c r="Y1021" s="589"/>
      <c r="Z1021" s="589"/>
      <c r="AA1021" s="589"/>
      <c r="AB1021" s="562"/>
      <c r="AC1021" s="589"/>
      <c r="AD1021" s="589"/>
      <c r="AE1021" s="589"/>
      <c r="AF1021" s="629"/>
      <c r="AG1021" s="570" t="str">
        <f>IF(AE1021&lt;&gt;0,VLOOKUP(AE1021,ODDS!$A$2:$C$13,3,0),"")</f>
        <v/>
      </c>
      <c r="AH1021" s="570" t="str">
        <f t="shared" si="218"/>
        <v xml:space="preserve"> </v>
      </c>
      <c r="AI1021" s="571" t="str">
        <f t="shared" si="209"/>
        <v xml:space="preserve"> </v>
      </c>
      <c r="AJ1021" s="593"/>
      <c r="AK1021" s="593"/>
    </row>
    <row r="1022" spans="1:37" s="376" customFormat="1" ht="20.25" outlineLevel="2" x14ac:dyDescent="0.3">
      <c r="A1022" s="447">
        <f t="shared" si="220"/>
        <v>79</v>
      </c>
      <c r="B1022" s="557"/>
      <c r="C1022" s="572"/>
      <c r="D1022" s="587"/>
      <c r="E1022" s="587"/>
      <c r="F1022" s="560"/>
      <c r="G1022" s="558"/>
      <c r="H1022" s="588"/>
      <c r="I1022" s="546"/>
      <c r="J1022" s="589"/>
      <c r="K1022" s="563" t="str">
        <f>IF(G1022&lt;&gt;0,VLOOKUP(G1022,'gia dat'!$A$1:$F$144,5,0)," ")</f>
        <v xml:space="preserve"> </v>
      </c>
      <c r="L1022" s="563" t="str">
        <f>IF(G1022&lt;&gt;0,VLOOKUP(G1022,'gia dat'!$A$1:$F$144,6,0)," ")</f>
        <v xml:space="preserve"> </v>
      </c>
      <c r="M1022" s="564" t="str">
        <f t="shared" si="215"/>
        <v xml:space="preserve"> </v>
      </c>
      <c r="N1022" s="564" t="str">
        <f t="shared" si="216"/>
        <v xml:space="preserve"> </v>
      </c>
      <c r="O1022" s="558"/>
      <c r="P1022" s="590"/>
      <c r="Q1022" s="564" t="str">
        <f>IF(O1022&lt;&gt;0,VLOOKUP(O1022,'Cây trong'!$A$2:$C$246,3,0)," ")</f>
        <v xml:space="preserve"> </v>
      </c>
      <c r="R1022" s="564" t="str">
        <f t="shared" si="217"/>
        <v xml:space="preserve"> </v>
      </c>
      <c r="S1022" s="566"/>
      <c r="T1022" s="589"/>
      <c r="U1022" s="591"/>
      <c r="V1022" s="589"/>
      <c r="W1022" s="564" t="str">
        <f>IF(S1022&lt;&gt;0,VLOOKUP(S1022,VKT!$A$2:$G$415,7,0),"")</f>
        <v/>
      </c>
      <c r="X1022" s="564" t="str">
        <f t="shared" si="212"/>
        <v xml:space="preserve"> </v>
      </c>
      <c r="Y1022" s="589"/>
      <c r="Z1022" s="592"/>
      <c r="AA1022" s="592"/>
      <c r="AB1022" s="568"/>
      <c r="AC1022" s="592"/>
      <c r="AD1022" s="592"/>
      <c r="AE1022" s="592"/>
      <c r="AF1022" s="590"/>
      <c r="AG1022" s="570" t="str">
        <f>IF(AE1022&lt;&gt;0,VLOOKUP(AE1022,ODDS!$A$2:$C$13,3,0),"")</f>
        <v/>
      </c>
      <c r="AH1022" s="570" t="str">
        <f t="shared" si="218"/>
        <v xml:space="preserve"> </v>
      </c>
      <c r="AI1022" s="571" t="str">
        <f t="shared" si="209"/>
        <v xml:space="preserve"> </v>
      </c>
      <c r="AJ1022" s="593"/>
      <c r="AK1022" s="593"/>
    </row>
    <row r="1023" spans="1:37" s="376" customFormat="1" ht="20.25" outlineLevel="2" x14ac:dyDescent="0.3">
      <c r="A1023" s="447">
        <f t="shared" si="220"/>
        <v>79</v>
      </c>
      <c r="B1023" s="557"/>
      <c r="C1023" s="572"/>
      <c r="D1023" s="587"/>
      <c r="E1023" s="612"/>
      <c r="F1023" s="612"/>
      <c r="G1023" s="586"/>
      <c r="H1023" s="588"/>
      <c r="I1023" s="546"/>
      <c r="J1023" s="589"/>
      <c r="K1023" s="563" t="str">
        <f>IF(G1023&lt;&gt;0,VLOOKUP(G1023,'gia dat'!$A$1:$F$144,5,0)," ")</f>
        <v xml:space="preserve"> </v>
      </c>
      <c r="L1023" s="563" t="str">
        <f>IF(G1023&lt;&gt;0,VLOOKUP(G1023,'gia dat'!$A$1:$F$144,6,0)," ")</f>
        <v xml:space="preserve"> </v>
      </c>
      <c r="M1023" s="564" t="str">
        <f t="shared" si="215"/>
        <v xml:space="preserve"> </v>
      </c>
      <c r="N1023" s="564" t="str">
        <f t="shared" si="216"/>
        <v xml:space="preserve"> </v>
      </c>
      <c r="O1023" s="572"/>
      <c r="P1023" s="689"/>
      <c r="Q1023" s="564" t="str">
        <f>IF(O1023&lt;&gt;0,VLOOKUP(O1023,'Cây trong'!$A$2:$C$246,3,0)," ")</f>
        <v xml:space="preserve"> </v>
      </c>
      <c r="R1023" s="564" t="str">
        <f t="shared" si="217"/>
        <v xml:space="preserve"> </v>
      </c>
      <c r="S1023" s="566"/>
      <c r="T1023" s="609"/>
      <c r="U1023" s="591"/>
      <c r="V1023" s="611"/>
      <c r="W1023" s="564" t="str">
        <f>IF(S1023&lt;&gt;0,VLOOKUP(S1023,VKT!$A$2:$G$415,7,0),"")</f>
        <v/>
      </c>
      <c r="X1023" s="564" t="str">
        <f t="shared" si="212"/>
        <v xml:space="preserve"> </v>
      </c>
      <c r="Y1023" s="589"/>
      <c r="Z1023" s="592"/>
      <c r="AA1023" s="592"/>
      <c r="AB1023" s="568"/>
      <c r="AC1023" s="592"/>
      <c r="AD1023" s="592"/>
      <c r="AE1023" s="592"/>
      <c r="AF1023" s="590"/>
      <c r="AG1023" s="570" t="str">
        <f>IF(AE1023&lt;&gt;0,VLOOKUP(AE1023,ODDS!$A$2:$C$13,3,0),"")</f>
        <v/>
      </c>
      <c r="AH1023" s="570" t="str">
        <f t="shared" si="218"/>
        <v xml:space="preserve"> </v>
      </c>
      <c r="AI1023" s="571" t="str">
        <f t="shared" si="209"/>
        <v xml:space="preserve"> </v>
      </c>
      <c r="AJ1023" s="593"/>
      <c r="AK1023" s="593"/>
    </row>
    <row r="1024" spans="1:37" s="376" customFormat="1" ht="20.25" outlineLevel="2" x14ac:dyDescent="0.3">
      <c r="A1024" s="447">
        <f t="shared" si="220"/>
        <v>79</v>
      </c>
      <c r="B1024" s="557"/>
      <c r="C1024" s="558"/>
      <c r="D1024" s="587"/>
      <c r="E1024" s="612"/>
      <c r="F1024" s="612"/>
      <c r="G1024" s="566"/>
      <c r="H1024" s="588"/>
      <c r="I1024" s="546"/>
      <c r="J1024" s="589"/>
      <c r="K1024" s="563" t="str">
        <f>IF(G1024&lt;&gt;0,VLOOKUP(G1024,'gia dat'!$A$1:$F$144,5,0)," ")</f>
        <v xml:space="preserve"> </v>
      </c>
      <c r="L1024" s="563" t="str">
        <f>IF(G1024&lt;&gt;0,VLOOKUP(G1024,'gia dat'!$A$1:$F$144,6,0)," ")</f>
        <v xml:space="preserve"> </v>
      </c>
      <c r="M1024" s="564" t="str">
        <f t="shared" si="215"/>
        <v xml:space="preserve"> </v>
      </c>
      <c r="N1024" s="564" t="str">
        <f t="shared" si="216"/>
        <v xml:space="preserve"> </v>
      </c>
      <c r="O1024" s="572"/>
      <c r="P1024" s="689"/>
      <c r="Q1024" s="564" t="str">
        <f>IF(O1024&lt;&gt;0,VLOOKUP(O1024,'Cây trong'!$A$2:$C$246,3,0)," ")</f>
        <v xml:space="preserve"> </v>
      </c>
      <c r="R1024" s="564" t="str">
        <f t="shared" si="217"/>
        <v xml:space="preserve"> </v>
      </c>
      <c r="S1024" s="566"/>
      <c r="T1024" s="609"/>
      <c r="U1024" s="591"/>
      <c r="V1024" s="611"/>
      <c r="W1024" s="564" t="str">
        <f>IF(S1024&lt;&gt;0,VLOOKUP(S1024,VKT!$A$2:$G$415,7,0),"")</f>
        <v/>
      </c>
      <c r="X1024" s="564" t="str">
        <f t="shared" si="212"/>
        <v xml:space="preserve"> </v>
      </c>
      <c r="Y1024" s="589"/>
      <c r="Z1024" s="592"/>
      <c r="AA1024" s="592"/>
      <c r="AB1024" s="568"/>
      <c r="AC1024" s="592"/>
      <c r="AD1024" s="592"/>
      <c r="AE1024" s="592"/>
      <c r="AF1024" s="590"/>
      <c r="AG1024" s="570" t="str">
        <f>IF(AE1024&lt;&gt;0,VLOOKUP(AE1024,ODDS!$A$2:$C$13,3,0),"")</f>
        <v/>
      </c>
      <c r="AH1024" s="570" t="str">
        <f t="shared" si="218"/>
        <v xml:space="preserve"> </v>
      </c>
      <c r="AI1024" s="571" t="str">
        <f t="shared" si="209"/>
        <v xml:space="preserve"> </v>
      </c>
      <c r="AJ1024" s="593"/>
      <c r="AK1024" s="593"/>
    </row>
    <row r="1025" spans="1:37" s="376" customFormat="1" ht="20.25" outlineLevel="2" x14ac:dyDescent="0.3">
      <c r="A1025" s="447">
        <f t="shared" si="220"/>
        <v>79</v>
      </c>
      <c r="B1025" s="557"/>
      <c r="C1025" s="574"/>
      <c r="D1025" s="587"/>
      <c r="E1025" s="612"/>
      <c r="F1025" s="612"/>
      <c r="G1025" s="586"/>
      <c r="H1025" s="588"/>
      <c r="I1025" s="546"/>
      <c r="J1025" s="589"/>
      <c r="K1025" s="563" t="str">
        <f>IF(G1025&lt;&gt;0,VLOOKUP(G1025,'gia dat'!$A$1:$F$144,5,0)," ")</f>
        <v xml:space="preserve"> </v>
      </c>
      <c r="L1025" s="563" t="str">
        <f>IF(G1025&lt;&gt;0,VLOOKUP(G1025,'gia dat'!$A$1:$F$144,6,0)," ")</f>
        <v xml:space="preserve"> </v>
      </c>
      <c r="M1025" s="564" t="str">
        <f t="shared" si="215"/>
        <v xml:space="preserve"> </v>
      </c>
      <c r="N1025" s="564" t="str">
        <f t="shared" si="216"/>
        <v xml:space="preserve"> </v>
      </c>
      <c r="O1025" s="572"/>
      <c r="P1025" s="689"/>
      <c r="Q1025" s="564" t="str">
        <f>IF(O1025&lt;&gt;0,VLOOKUP(O1025,'Cây trong'!$A$2:$C$246,3,0)," ")</f>
        <v xml:space="preserve"> </v>
      </c>
      <c r="R1025" s="564" t="str">
        <f t="shared" si="217"/>
        <v xml:space="preserve"> </v>
      </c>
      <c r="S1025" s="566"/>
      <c r="T1025" s="609"/>
      <c r="U1025" s="591"/>
      <c r="V1025" s="611"/>
      <c r="W1025" s="564" t="str">
        <f>IF(S1025&lt;&gt;0,VLOOKUP(S1025,VKT!$A$2:$G$415,7,0),"")</f>
        <v/>
      </c>
      <c r="X1025" s="564" t="str">
        <f t="shared" si="212"/>
        <v xml:space="preserve"> </v>
      </c>
      <c r="Y1025" s="589"/>
      <c r="Z1025" s="592"/>
      <c r="AA1025" s="592"/>
      <c r="AB1025" s="568"/>
      <c r="AC1025" s="592"/>
      <c r="AD1025" s="592"/>
      <c r="AE1025" s="592"/>
      <c r="AF1025" s="590"/>
      <c r="AG1025" s="570" t="str">
        <f>IF(AE1025&lt;&gt;0,VLOOKUP(AE1025,ODDS!$A$2:$C$13,3,0),"")</f>
        <v/>
      </c>
      <c r="AH1025" s="570" t="str">
        <f t="shared" si="218"/>
        <v xml:space="preserve"> </v>
      </c>
      <c r="AI1025" s="571" t="str">
        <f t="shared" si="209"/>
        <v xml:space="preserve"> </v>
      </c>
      <c r="AJ1025" s="593"/>
      <c r="AK1025" s="593"/>
    </row>
    <row r="1026" spans="1:37" s="376" customFormat="1" ht="40.5" outlineLevel="1" x14ac:dyDescent="0.25">
      <c r="A1026" s="467" t="s">
        <v>2630</v>
      </c>
      <c r="B1026" s="576">
        <v>80</v>
      </c>
      <c r="C1026" s="574" t="s">
        <v>49</v>
      </c>
      <c r="D1026" s="595"/>
      <c r="E1026" s="595"/>
      <c r="F1026" s="577"/>
      <c r="G1026" s="574"/>
      <c r="H1026" s="618">
        <f>SUBTOTAL(9,H1027:H1040)</f>
        <v>500.7</v>
      </c>
      <c r="I1026" s="579">
        <f>SUBTOTAL(9,I1027:I1032)</f>
        <v>474.3</v>
      </c>
      <c r="J1026" s="597"/>
      <c r="K1026" s="581"/>
      <c r="L1026" s="581"/>
      <c r="M1026" s="571">
        <f>SUBTOTAL(9,M1027:M1040)</f>
        <v>277588000</v>
      </c>
      <c r="N1026" s="571">
        <f>SUBTOTAL(9,N1027:N1040)</f>
        <v>788856000</v>
      </c>
      <c r="O1026" s="574"/>
      <c r="P1026" s="599">
        <f>SUBTOTAL(9,P1027:P1040)</f>
        <v>0</v>
      </c>
      <c r="Q1026" s="571"/>
      <c r="R1026" s="571">
        <f>SUBTOTAL(9,R1027:R1040)</f>
        <v>0</v>
      </c>
      <c r="S1026" s="582"/>
      <c r="T1026" s="597"/>
      <c r="U1026" s="600">
        <f>SUBTOTAL(9,U1027:U1040)</f>
        <v>128.64000000000001</v>
      </c>
      <c r="V1026" s="597"/>
      <c r="W1026" s="571"/>
      <c r="X1026" s="571">
        <f>SUBTOTAL(9,X1027:X1040)</f>
        <v>67942000</v>
      </c>
      <c r="Y1026" s="589"/>
      <c r="Z1026" s="592"/>
      <c r="AA1026" s="592"/>
      <c r="AB1026" s="568"/>
      <c r="AC1026" s="592"/>
      <c r="AD1026" s="592"/>
      <c r="AE1026" s="601"/>
      <c r="AF1026" s="599">
        <f>SUBTOTAL(9,AF1027:AF1040)</f>
        <v>0</v>
      </c>
      <c r="AG1026" s="585"/>
      <c r="AH1026" s="585">
        <f>SUBTOTAL(9,AH1027:AH1040)</f>
        <v>0</v>
      </c>
      <c r="AI1026" s="571">
        <f t="shared" si="209"/>
        <v>1134386000</v>
      </c>
      <c r="AJ1026" s="574"/>
      <c r="AK1026" s="578"/>
    </row>
    <row r="1027" spans="1:37" s="376" customFormat="1" ht="121.5" outlineLevel="2" x14ac:dyDescent="0.3">
      <c r="A1027" s="447">
        <f>IF(B1026&lt;&gt;0,B1026,A1025)</f>
        <v>80</v>
      </c>
      <c r="B1027" s="557"/>
      <c r="C1027" s="637" t="s">
        <v>281</v>
      </c>
      <c r="D1027" s="587">
        <v>1</v>
      </c>
      <c r="E1027" s="587">
        <v>86</v>
      </c>
      <c r="F1027" s="560">
        <v>633</v>
      </c>
      <c r="G1027" s="558" t="s">
        <v>2886</v>
      </c>
      <c r="H1027" s="588">
        <f>500.7-H1028</f>
        <v>474.3</v>
      </c>
      <c r="I1027" s="546">
        <f t="shared" ref="I1027:I1028" si="221">IF(N1027&gt;0,H1027,"")</f>
        <v>474.3</v>
      </c>
      <c r="J1027" s="589"/>
      <c r="K1027" s="563">
        <f>IF(G1027&lt;&gt;0,VLOOKUP(G1027,'gia dat'!$A$1:$F$144,5,0)," ")</f>
        <v>554400</v>
      </c>
      <c r="L1027" s="563">
        <f>IF(G1027&lt;&gt;0,VLOOKUP(G1027,'gia dat'!$A$1:$F$144,6,0)," ")</f>
        <v>1663200</v>
      </c>
      <c r="M1027" s="564">
        <f t="shared" si="215"/>
        <v>262952000</v>
      </c>
      <c r="N1027" s="564">
        <f t="shared" si="216"/>
        <v>788856000</v>
      </c>
      <c r="O1027" s="558"/>
      <c r="P1027" s="590"/>
      <c r="Q1027" s="564" t="str">
        <f>IF(O1027&lt;&gt;0,VLOOKUP(O1027,'Cây trong'!$A$2:$C$246,3,0)," ")</f>
        <v xml:space="preserve"> </v>
      </c>
      <c r="R1027" s="564" t="str">
        <f t="shared" si="217"/>
        <v xml:space="preserve"> </v>
      </c>
      <c r="S1027" s="566" t="s">
        <v>1884</v>
      </c>
      <c r="T1027" s="589" t="s">
        <v>53</v>
      </c>
      <c r="U1027" s="591">
        <v>26.4</v>
      </c>
      <c r="V1027" s="589"/>
      <c r="W1027" s="564">
        <f>IF(S1027&lt;&gt;0,VLOOKUP(S1027,VKT!$A$2:$G$415,7,0),"")</f>
        <v>984277</v>
      </c>
      <c r="X1027" s="564">
        <f t="shared" si="212"/>
        <v>25985000</v>
      </c>
      <c r="Y1027" s="589"/>
      <c r="Z1027" s="592" t="s">
        <v>55</v>
      </c>
      <c r="AA1027" s="592" t="s">
        <v>141</v>
      </c>
      <c r="AB1027" s="568" t="s">
        <v>171</v>
      </c>
      <c r="AC1027" s="592" t="s">
        <v>66</v>
      </c>
      <c r="AD1027" s="592"/>
      <c r="AE1027" s="592"/>
      <c r="AF1027" s="590"/>
      <c r="AG1027" s="570" t="str">
        <f>IF(AE1027&lt;&gt;0,VLOOKUP(AE1027,ODDS!$A$2:$C$13,3,0),"")</f>
        <v/>
      </c>
      <c r="AH1027" s="570"/>
      <c r="AI1027" s="571" t="str">
        <f t="shared" si="209"/>
        <v xml:space="preserve"> </v>
      </c>
      <c r="AJ1027" s="558" t="s">
        <v>1719</v>
      </c>
      <c r="AK1027" s="586" t="s">
        <v>2771</v>
      </c>
    </row>
    <row r="1028" spans="1:37" s="376" customFormat="1" ht="101.25" outlineLevel="2" x14ac:dyDescent="0.3">
      <c r="A1028" s="447">
        <f t="shared" ref="A1028:A1040" si="222">IF(B1027&lt;&gt;0,B1027,A1027)</f>
        <v>80</v>
      </c>
      <c r="B1028" s="557"/>
      <c r="C1028" s="638" t="s">
        <v>714</v>
      </c>
      <c r="D1028" s="587"/>
      <c r="E1028" s="587"/>
      <c r="F1028" s="560"/>
      <c r="G1028" s="558" t="s">
        <v>2887</v>
      </c>
      <c r="H1028" s="588">
        <v>26.4</v>
      </c>
      <c r="I1028" s="546" t="str">
        <f t="shared" si="221"/>
        <v/>
      </c>
      <c r="J1028" s="589"/>
      <c r="K1028" s="563">
        <f>IF(G1028&lt;&gt;0,VLOOKUP(G1028,'gia dat'!$A$1:$F$144,5,0)," ")</f>
        <v>554400</v>
      </c>
      <c r="L1028" s="563">
        <f>IF(G1028&lt;&gt;0,VLOOKUP(G1028,'gia dat'!$A$1:$F$144,6,0)," ")</f>
        <v>0</v>
      </c>
      <c r="M1028" s="564">
        <f t="shared" si="215"/>
        <v>14636000</v>
      </c>
      <c r="N1028" s="564">
        <f t="shared" si="216"/>
        <v>0</v>
      </c>
      <c r="O1028" s="638"/>
      <c r="P1028" s="590"/>
      <c r="Q1028" s="564" t="str">
        <f>IF(O1028&lt;&gt;0,VLOOKUP(O1028,'Cây trong'!$A$2:$C$246,3,0)," ")</f>
        <v xml:space="preserve"> </v>
      </c>
      <c r="R1028" s="564" t="str">
        <f t="shared" si="217"/>
        <v xml:space="preserve"> </v>
      </c>
      <c r="S1028" s="566" t="s">
        <v>1748</v>
      </c>
      <c r="T1028" s="639" t="s">
        <v>53</v>
      </c>
      <c r="U1028" s="591">
        <v>7.2</v>
      </c>
      <c r="V1028" s="589"/>
      <c r="W1028" s="564">
        <f>IF(S1028&lt;&gt;0,VLOOKUP(S1028,VKT!$A$2:$G$415,7,0),"")</f>
        <v>0</v>
      </c>
      <c r="X1028" s="564">
        <f t="shared" si="212"/>
        <v>0</v>
      </c>
      <c r="Y1028" s="589"/>
      <c r="Z1028" s="592"/>
      <c r="AA1028" s="592"/>
      <c r="AB1028" s="568"/>
      <c r="AC1028" s="592"/>
      <c r="AD1028" s="592"/>
      <c r="AE1028" s="592"/>
      <c r="AF1028" s="590"/>
      <c r="AG1028" s="570" t="str">
        <f>IF(AE1028&lt;&gt;0,VLOOKUP(AE1028,ODDS!$A$2:$C$13,3,0),"")</f>
        <v/>
      </c>
      <c r="AH1028" s="570" t="str">
        <f t="shared" si="218"/>
        <v xml:space="preserve"> </v>
      </c>
      <c r="AI1028" s="571" t="str">
        <f t="shared" si="209"/>
        <v xml:space="preserve"> </v>
      </c>
      <c r="AJ1028" s="558" t="s">
        <v>612</v>
      </c>
      <c r="AK1028" s="558" t="s">
        <v>2448</v>
      </c>
    </row>
    <row r="1029" spans="1:37" s="376" customFormat="1" ht="121.5" outlineLevel="2" x14ac:dyDescent="0.3">
      <c r="A1029" s="447">
        <f t="shared" si="222"/>
        <v>80</v>
      </c>
      <c r="B1029" s="557"/>
      <c r="C1029" s="637"/>
      <c r="D1029" s="587"/>
      <c r="E1029" s="587"/>
      <c r="F1029" s="560"/>
      <c r="G1029" s="558"/>
      <c r="H1029" s="588"/>
      <c r="I1029" s="546"/>
      <c r="J1029" s="589"/>
      <c r="K1029" s="563" t="str">
        <f>IF(G1029&lt;&gt;0,VLOOKUP(G1029,'gia dat'!$A$1:$F$144,5,0)," ")</f>
        <v xml:space="preserve"> </v>
      </c>
      <c r="L1029" s="563" t="str">
        <f>IF(G1029&lt;&gt;0,VLOOKUP(G1029,'gia dat'!$A$1:$F$144,6,0)," ")</f>
        <v xml:space="preserve"> </v>
      </c>
      <c r="M1029" s="564" t="str">
        <f t="shared" si="215"/>
        <v xml:space="preserve"> </v>
      </c>
      <c r="N1029" s="564" t="str">
        <f t="shared" si="216"/>
        <v xml:space="preserve"> </v>
      </c>
      <c r="O1029" s="638"/>
      <c r="P1029" s="590"/>
      <c r="Q1029" s="564" t="str">
        <f>IF(O1029&lt;&gt;0,VLOOKUP(O1029,'Cây trong'!$A$2:$C$246,3,0)," ")</f>
        <v xml:space="preserve"> </v>
      </c>
      <c r="R1029" s="564" t="str">
        <f t="shared" si="217"/>
        <v xml:space="preserve"> </v>
      </c>
      <c r="S1029" s="638" t="s">
        <v>1901</v>
      </c>
      <c r="T1029" s="639" t="s">
        <v>53</v>
      </c>
      <c r="U1029" s="591">
        <v>95.04</v>
      </c>
      <c r="V1029" s="589"/>
      <c r="W1029" s="564">
        <f>IF(S1029&lt;&gt;0,VLOOKUP(S1029,VKT!$A$2:$G$415,7,0),"")</f>
        <v>441467</v>
      </c>
      <c r="X1029" s="564">
        <f t="shared" si="212"/>
        <v>41957000</v>
      </c>
      <c r="Y1029" s="589"/>
      <c r="Z1029" s="592"/>
      <c r="AA1029" s="592"/>
      <c r="AB1029" s="568"/>
      <c r="AC1029" s="592"/>
      <c r="AD1029" s="592"/>
      <c r="AE1029" s="592"/>
      <c r="AF1029" s="590"/>
      <c r="AG1029" s="570" t="str">
        <f>IF(AE1029&lt;&gt;0,VLOOKUP(AE1029,ODDS!$A$2:$C$13,3,0),"")</f>
        <v/>
      </c>
      <c r="AH1029" s="570" t="str">
        <f t="shared" si="218"/>
        <v xml:space="preserve"> </v>
      </c>
      <c r="AI1029" s="571" t="str">
        <f t="shared" si="209"/>
        <v xml:space="preserve"> </v>
      </c>
      <c r="AJ1029" s="593" t="s">
        <v>398</v>
      </c>
      <c r="AK1029" s="558" t="s">
        <v>2450</v>
      </c>
    </row>
    <row r="1030" spans="1:37" s="376" customFormat="1" ht="101.25" outlineLevel="2" x14ac:dyDescent="0.3">
      <c r="A1030" s="447">
        <f t="shared" si="222"/>
        <v>80</v>
      </c>
      <c r="B1030" s="557"/>
      <c r="C1030" s="558"/>
      <c r="D1030" s="587"/>
      <c r="E1030" s="612"/>
      <c r="F1030" s="612"/>
      <c r="G1030" s="586"/>
      <c r="H1030" s="588"/>
      <c r="I1030" s="546"/>
      <c r="J1030" s="608"/>
      <c r="K1030" s="563" t="str">
        <f>IF(G1030&lt;&gt;0,VLOOKUP(G1030,'gia dat'!$A$1:$F$144,5,0)," ")</f>
        <v xml:space="preserve"> </v>
      </c>
      <c r="L1030" s="563" t="str">
        <f>IF(G1030&lt;&gt;0,VLOOKUP(G1030,'gia dat'!$A$1:$F$144,6,0)," ")</f>
        <v xml:space="preserve"> </v>
      </c>
      <c r="M1030" s="564" t="str">
        <f t="shared" si="215"/>
        <v xml:space="preserve"> </v>
      </c>
      <c r="N1030" s="564" t="str">
        <f t="shared" si="216"/>
        <v xml:space="preserve"> </v>
      </c>
      <c r="O1030" s="572"/>
      <c r="P1030" s="689"/>
      <c r="Q1030" s="564" t="str">
        <f>IF(O1030&lt;&gt;0,VLOOKUP(O1030,'Cây trong'!$A$2:$C$246,3,0)," ")</f>
        <v xml:space="preserve"> </v>
      </c>
      <c r="R1030" s="564" t="str">
        <f t="shared" si="217"/>
        <v xml:space="preserve"> </v>
      </c>
      <c r="S1030" s="566"/>
      <c r="T1030" s="609"/>
      <c r="U1030" s="591"/>
      <c r="V1030" s="611"/>
      <c r="W1030" s="564" t="str">
        <f>IF(S1030&lt;&gt;0,VLOOKUP(S1030,VKT!$A$2:$G$415,7,0),"")</f>
        <v/>
      </c>
      <c r="X1030" s="564" t="str">
        <f t="shared" si="212"/>
        <v xml:space="preserve"> </v>
      </c>
      <c r="Y1030" s="589"/>
      <c r="Z1030" s="592"/>
      <c r="AA1030" s="592"/>
      <c r="AB1030" s="568"/>
      <c r="AC1030" s="592"/>
      <c r="AD1030" s="592"/>
      <c r="AE1030" s="592"/>
      <c r="AF1030" s="590"/>
      <c r="AG1030" s="570" t="str">
        <f>IF(AE1030&lt;&gt;0,VLOOKUP(AE1030,ODDS!$A$2:$C$13,3,0),"")</f>
        <v/>
      </c>
      <c r="AH1030" s="570" t="str">
        <f t="shared" si="218"/>
        <v xml:space="preserve"> </v>
      </c>
      <c r="AI1030" s="571" t="str">
        <f t="shared" si="209"/>
        <v xml:space="preserve"> </v>
      </c>
      <c r="AJ1030" s="558" t="s">
        <v>2074</v>
      </c>
      <c r="AK1030" s="558" t="s">
        <v>2800</v>
      </c>
    </row>
    <row r="1031" spans="1:37" s="376" customFormat="1" ht="20.25" outlineLevel="2" x14ac:dyDescent="0.3">
      <c r="A1031" s="447">
        <f t="shared" si="222"/>
        <v>80</v>
      </c>
      <c r="B1031" s="557"/>
      <c r="C1031" s="558"/>
      <c r="D1031" s="587"/>
      <c r="E1031" s="587"/>
      <c r="F1031" s="615"/>
      <c r="G1031" s="558"/>
      <c r="H1031" s="604"/>
      <c r="I1031" s="546"/>
      <c r="J1031" s="593"/>
      <c r="K1031" s="563" t="str">
        <f>IF(G1031&lt;&gt;0,VLOOKUP(G1031,'gia dat'!$A$1:$F$144,5,0)," ")</f>
        <v xml:space="preserve"> </v>
      </c>
      <c r="L1031" s="563" t="str">
        <f>IF(G1031&lt;&gt;0,VLOOKUP(G1031,'gia dat'!$A$1:$F$144,6,0)," ")</f>
        <v xml:space="preserve"> </v>
      </c>
      <c r="M1031" s="564" t="str">
        <f t="shared" si="215"/>
        <v xml:space="preserve"> </v>
      </c>
      <c r="N1031" s="564" t="str">
        <f t="shared" si="216"/>
        <v xml:space="preserve"> </v>
      </c>
      <c r="O1031" s="593"/>
      <c r="P1031" s="616"/>
      <c r="Q1031" s="564" t="str">
        <f>IF(O1031&lt;&gt;0,VLOOKUP(O1031,'Cây trong'!$A$2:$C$246,3,0)," ")</f>
        <v xml:space="preserve"> </v>
      </c>
      <c r="R1031" s="564" t="str">
        <f t="shared" si="217"/>
        <v xml:space="preserve"> </v>
      </c>
      <c r="S1031" s="593"/>
      <c r="T1031" s="593"/>
      <c r="U1031" s="617"/>
      <c r="V1031" s="589"/>
      <c r="W1031" s="564" t="str">
        <f>IF(S1031&lt;&gt;0,VLOOKUP(S1031,VKT!$A$2:$G$415,7,0),"")</f>
        <v/>
      </c>
      <c r="X1031" s="564" t="str">
        <f t="shared" si="212"/>
        <v xml:space="preserve"> </v>
      </c>
      <c r="Y1031" s="589"/>
      <c r="Z1031" s="589"/>
      <c r="AA1031" s="589"/>
      <c r="AB1031" s="562"/>
      <c r="AC1031" s="589"/>
      <c r="AD1031" s="589"/>
      <c r="AE1031" s="589"/>
      <c r="AF1031" s="629"/>
      <c r="AG1031" s="570" t="str">
        <f>IF(AE1031&lt;&gt;0,VLOOKUP(AE1031,ODDS!$A$2:$C$13,3,0),"")</f>
        <v/>
      </c>
      <c r="AH1031" s="570" t="str">
        <f t="shared" si="218"/>
        <v xml:space="preserve"> </v>
      </c>
      <c r="AI1031" s="571" t="str">
        <f t="shared" si="209"/>
        <v xml:space="preserve"> </v>
      </c>
      <c r="AJ1031" s="575"/>
      <c r="AK1031" s="593"/>
    </row>
    <row r="1032" spans="1:37" s="376" customFormat="1" ht="20.25" outlineLevel="2" x14ac:dyDescent="0.3">
      <c r="A1032" s="447">
        <f t="shared" si="222"/>
        <v>80</v>
      </c>
      <c r="B1032" s="557"/>
      <c r="C1032" s="558"/>
      <c r="D1032" s="587"/>
      <c r="E1032" s="612"/>
      <c r="F1032" s="612"/>
      <c r="G1032" s="586"/>
      <c r="H1032" s="588"/>
      <c r="I1032" s="546"/>
      <c r="J1032" s="608"/>
      <c r="K1032" s="563" t="str">
        <f>IF(G1032&lt;&gt;0,VLOOKUP(G1032,'gia dat'!$A$1:$F$144,5,0)," ")</f>
        <v xml:space="preserve"> </v>
      </c>
      <c r="L1032" s="563" t="str">
        <f>IF(G1032&lt;&gt;0,VLOOKUP(G1032,'gia dat'!$A$1:$F$144,6,0)," ")</f>
        <v xml:space="preserve"> </v>
      </c>
      <c r="M1032" s="564" t="str">
        <f t="shared" si="215"/>
        <v xml:space="preserve"> </v>
      </c>
      <c r="N1032" s="564" t="str">
        <f t="shared" si="216"/>
        <v xml:space="preserve"> </v>
      </c>
      <c r="O1032" s="572"/>
      <c r="P1032" s="689"/>
      <c r="Q1032" s="564" t="str">
        <f>IF(O1032&lt;&gt;0,VLOOKUP(O1032,'Cây trong'!$A$2:$C$246,3,0)," ")</f>
        <v xml:space="preserve"> </v>
      </c>
      <c r="R1032" s="564" t="str">
        <f t="shared" si="217"/>
        <v xml:space="preserve"> </v>
      </c>
      <c r="S1032" s="566"/>
      <c r="T1032" s="609"/>
      <c r="U1032" s="591"/>
      <c r="V1032" s="611"/>
      <c r="W1032" s="564" t="str">
        <f>IF(S1032&lt;&gt;0,VLOOKUP(S1032,VKT!$A$2:$G$415,7,0),"")</f>
        <v/>
      </c>
      <c r="X1032" s="564" t="str">
        <f t="shared" si="212"/>
        <v xml:space="preserve"> </v>
      </c>
      <c r="Y1032" s="589"/>
      <c r="Z1032" s="592"/>
      <c r="AA1032" s="592"/>
      <c r="AB1032" s="568"/>
      <c r="AC1032" s="592"/>
      <c r="AD1032" s="592"/>
      <c r="AE1032" s="592"/>
      <c r="AF1032" s="590"/>
      <c r="AG1032" s="570" t="str">
        <f>IF(AE1032&lt;&gt;0,VLOOKUP(AE1032,ODDS!$A$2:$C$13,3,0),"")</f>
        <v/>
      </c>
      <c r="AH1032" s="570" t="str">
        <f t="shared" si="218"/>
        <v xml:space="preserve"> </v>
      </c>
      <c r="AI1032" s="571" t="str">
        <f t="shared" si="209"/>
        <v xml:space="preserve"> </v>
      </c>
      <c r="AJ1032" s="593"/>
      <c r="AK1032" s="593"/>
    </row>
    <row r="1033" spans="1:37" s="376" customFormat="1" ht="20.25" outlineLevel="2" x14ac:dyDescent="0.3">
      <c r="A1033" s="447">
        <f t="shared" si="222"/>
        <v>80</v>
      </c>
      <c r="B1033" s="557"/>
      <c r="C1033" s="558"/>
      <c r="D1033" s="587"/>
      <c r="E1033" s="612"/>
      <c r="F1033" s="612"/>
      <c r="G1033" s="586"/>
      <c r="H1033" s="588"/>
      <c r="I1033" s="546"/>
      <c r="J1033" s="608"/>
      <c r="K1033" s="563" t="str">
        <f>IF(G1033&lt;&gt;0,VLOOKUP(G1033,'gia dat'!$A$1:$F$144,5,0)," ")</f>
        <v xml:space="preserve"> </v>
      </c>
      <c r="L1033" s="563" t="str">
        <f>IF(G1033&lt;&gt;0,VLOOKUP(G1033,'gia dat'!$A$1:$F$144,6,0)," ")</f>
        <v xml:space="preserve"> </v>
      </c>
      <c r="M1033" s="564" t="str">
        <f t="shared" si="215"/>
        <v xml:space="preserve"> </v>
      </c>
      <c r="N1033" s="564" t="str">
        <f t="shared" si="216"/>
        <v xml:space="preserve"> </v>
      </c>
      <c r="O1033" s="572"/>
      <c r="P1033" s="689"/>
      <c r="Q1033" s="564" t="str">
        <f>IF(O1033&lt;&gt;0,VLOOKUP(O1033,'Cây trong'!$A$2:$C$246,3,0)," ")</f>
        <v xml:space="preserve"> </v>
      </c>
      <c r="R1033" s="564" t="str">
        <f t="shared" si="217"/>
        <v xml:space="preserve"> </v>
      </c>
      <c r="S1033" s="566"/>
      <c r="T1033" s="609"/>
      <c r="U1033" s="591"/>
      <c r="V1033" s="611"/>
      <c r="W1033" s="564" t="str">
        <f>IF(S1033&lt;&gt;0,VLOOKUP(S1033,VKT!$A$2:$G$415,7,0),"")</f>
        <v/>
      </c>
      <c r="X1033" s="564" t="str">
        <f t="shared" si="212"/>
        <v xml:space="preserve"> </v>
      </c>
      <c r="Y1033" s="589"/>
      <c r="Z1033" s="592"/>
      <c r="AA1033" s="592"/>
      <c r="AB1033" s="568"/>
      <c r="AC1033" s="592"/>
      <c r="AD1033" s="592"/>
      <c r="AE1033" s="592"/>
      <c r="AF1033" s="590"/>
      <c r="AG1033" s="570" t="str">
        <f>IF(AE1033&lt;&gt;0,VLOOKUP(AE1033,ODDS!$A$2:$C$13,3,0),"")</f>
        <v/>
      </c>
      <c r="AH1033" s="570" t="str">
        <f t="shared" si="218"/>
        <v xml:space="preserve"> </v>
      </c>
      <c r="AI1033" s="571" t="str">
        <f t="shared" ref="AI1033:AI1096" si="223">IF(B1033&lt;&gt;0,M1033+N1033+R1033+X1033+AH1033," ")</f>
        <v xml:space="preserve"> </v>
      </c>
      <c r="AJ1033" s="593"/>
      <c r="AK1033" s="593"/>
    </row>
    <row r="1034" spans="1:37" s="376" customFormat="1" ht="20.25" outlineLevel="2" x14ac:dyDescent="0.3">
      <c r="A1034" s="447">
        <f t="shared" si="222"/>
        <v>80</v>
      </c>
      <c r="B1034" s="557"/>
      <c r="C1034" s="558"/>
      <c r="D1034" s="587"/>
      <c r="E1034" s="612"/>
      <c r="F1034" s="612"/>
      <c r="G1034" s="586"/>
      <c r="H1034" s="588"/>
      <c r="I1034" s="546"/>
      <c r="J1034" s="608"/>
      <c r="K1034" s="563" t="str">
        <f>IF(G1034&lt;&gt;0,VLOOKUP(G1034,'gia dat'!$A$1:$F$144,5,0)," ")</f>
        <v xml:space="preserve"> </v>
      </c>
      <c r="L1034" s="563" t="str">
        <f>IF(G1034&lt;&gt;0,VLOOKUP(G1034,'gia dat'!$A$1:$F$144,6,0)," ")</f>
        <v xml:space="preserve"> </v>
      </c>
      <c r="M1034" s="564" t="str">
        <f t="shared" si="215"/>
        <v xml:space="preserve"> </v>
      </c>
      <c r="N1034" s="564" t="str">
        <f t="shared" si="216"/>
        <v xml:space="preserve"> </v>
      </c>
      <c r="O1034" s="572"/>
      <c r="P1034" s="689"/>
      <c r="Q1034" s="564" t="str">
        <f>IF(O1034&lt;&gt;0,VLOOKUP(O1034,'Cây trong'!$A$2:$C$246,3,0)," ")</f>
        <v xml:space="preserve"> </v>
      </c>
      <c r="R1034" s="564" t="str">
        <f t="shared" si="217"/>
        <v xml:space="preserve"> </v>
      </c>
      <c r="S1034" s="566"/>
      <c r="T1034" s="609"/>
      <c r="U1034" s="591"/>
      <c r="V1034" s="611"/>
      <c r="W1034" s="564" t="str">
        <f>IF(S1034&lt;&gt;0,VLOOKUP(S1034,VKT!$A$2:$G$415,7,0),"")</f>
        <v/>
      </c>
      <c r="X1034" s="564" t="str">
        <f t="shared" si="212"/>
        <v xml:space="preserve"> </v>
      </c>
      <c r="Y1034" s="589"/>
      <c r="Z1034" s="592"/>
      <c r="AA1034" s="592"/>
      <c r="AB1034" s="568"/>
      <c r="AC1034" s="592"/>
      <c r="AD1034" s="592"/>
      <c r="AE1034" s="592"/>
      <c r="AF1034" s="590"/>
      <c r="AG1034" s="570" t="str">
        <f>IF(AE1034&lt;&gt;0,VLOOKUP(AE1034,ODDS!$A$2:$C$13,3,0),"")</f>
        <v/>
      </c>
      <c r="AH1034" s="570" t="str">
        <f t="shared" si="218"/>
        <v xml:space="preserve"> </v>
      </c>
      <c r="AI1034" s="571" t="str">
        <f t="shared" si="223"/>
        <v xml:space="preserve"> </v>
      </c>
      <c r="AJ1034" s="593"/>
      <c r="AK1034" s="593"/>
    </row>
    <row r="1035" spans="1:37" s="376" customFormat="1" ht="20.25" outlineLevel="2" x14ac:dyDescent="0.3">
      <c r="A1035" s="447">
        <f t="shared" si="222"/>
        <v>80</v>
      </c>
      <c r="B1035" s="557"/>
      <c r="C1035" s="607"/>
      <c r="D1035" s="587"/>
      <c r="E1035" s="587"/>
      <c r="F1035" s="560"/>
      <c r="G1035" s="558"/>
      <c r="H1035" s="588"/>
      <c r="I1035" s="546"/>
      <c r="J1035" s="589"/>
      <c r="K1035" s="563" t="str">
        <f>IF(G1035&lt;&gt;0,VLOOKUP(G1035,'gia dat'!$A$1:$F$144,5,0)," ")</f>
        <v xml:space="preserve"> </v>
      </c>
      <c r="L1035" s="563" t="str">
        <f>IF(G1035&lt;&gt;0,VLOOKUP(G1035,'gia dat'!$A$1:$F$144,6,0)," ")</f>
        <v xml:space="preserve"> </v>
      </c>
      <c r="M1035" s="564" t="str">
        <f t="shared" si="215"/>
        <v xml:space="preserve"> </v>
      </c>
      <c r="N1035" s="564" t="str">
        <f t="shared" si="216"/>
        <v xml:space="preserve"> </v>
      </c>
      <c r="O1035" s="558"/>
      <c r="P1035" s="590"/>
      <c r="Q1035" s="564" t="str">
        <f>IF(O1035&lt;&gt;0,VLOOKUP(O1035,'Cây trong'!$A$2:$C$246,3,0)," ")</f>
        <v xml:space="preserve"> </v>
      </c>
      <c r="R1035" s="564" t="str">
        <f t="shared" si="217"/>
        <v xml:space="preserve"> </v>
      </c>
      <c r="S1035" s="566"/>
      <c r="T1035" s="589"/>
      <c r="U1035" s="591"/>
      <c r="V1035" s="589"/>
      <c r="W1035" s="564" t="str">
        <f>IF(S1035&lt;&gt;0,VLOOKUP(S1035,VKT!$A$2:$G$415,7,0),"")</f>
        <v/>
      </c>
      <c r="X1035" s="564" t="str">
        <f t="shared" si="212"/>
        <v xml:space="preserve"> </v>
      </c>
      <c r="Y1035" s="589"/>
      <c r="Z1035" s="592"/>
      <c r="AA1035" s="592"/>
      <c r="AB1035" s="568"/>
      <c r="AC1035" s="592"/>
      <c r="AD1035" s="592"/>
      <c r="AE1035" s="592"/>
      <c r="AF1035" s="590"/>
      <c r="AG1035" s="570" t="str">
        <f>IF(AE1035&lt;&gt;0,VLOOKUP(AE1035,ODDS!$A$2:$C$13,3,0),"")</f>
        <v/>
      </c>
      <c r="AH1035" s="570" t="str">
        <f t="shared" si="218"/>
        <v xml:space="preserve"> </v>
      </c>
      <c r="AI1035" s="571" t="str">
        <f t="shared" si="223"/>
        <v xml:space="preserve"> </v>
      </c>
      <c r="AJ1035" s="593"/>
      <c r="AK1035" s="593"/>
    </row>
    <row r="1036" spans="1:37" s="376" customFormat="1" ht="20.25" outlineLevel="2" x14ac:dyDescent="0.3">
      <c r="A1036" s="447">
        <f t="shared" si="222"/>
        <v>80</v>
      </c>
      <c r="B1036" s="557"/>
      <c r="C1036" s="572"/>
      <c r="D1036" s="587"/>
      <c r="E1036" s="587"/>
      <c r="F1036" s="560"/>
      <c r="G1036" s="558"/>
      <c r="H1036" s="588"/>
      <c r="I1036" s="546"/>
      <c r="J1036" s="589"/>
      <c r="K1036" s="563" t="str">
        <f>IF(G1036&lt;&gt;0,VLOOKUP(G1036,'gia dat'!$A$1:$F$144,5,0)," ")</f>
        <v xml:space="preserve"> </v>
      </c>
      <c r="L1036" s="563" t="str">
        <f>IF(G1036&lt;&gt;0,VLOOKUP(G1036,'gia dat'!$A$1:$F$144,6,0)," ")</f>
        <v xml:space="preserve"> </v>
      </c>
      <c r="M1036" s="564" t="str">
        <f t="shared" si="215"/>
        <v xml:space="preserve"> </v>
      </c>
      <c r="N1036" s="564" t="str">
        <f t="shared" si="216"/>
        <v xml:space="preserve"> </v>
      </c>
      <c r="O1036" s="558"/>
      <c r="P1036" s="590"/>
      <c r="Q1036" s="564" t="str">
        <f>IF(O1036&lt;&gt;0,VLOOKUP(O1036,'Cây trong'!$A$2:$C$246,3,0)," ")</f>
        <v xml:space="preserve"> </v>
      </c>
      <c r="R1036" s="564" t="str">
        <f t="shared" si="217"/>
        <v xml:space="preserve"> </v>
      </c>
      <c r="S1036" s="566"/>
      <c r="T1036" s="589"/>
      <c r="U1036" s="591"/>
      <c r="V1036" s="589"/>
      <c r="W1036" s="564" t="str">
        <f>IF(S1036&lt;&gt;0,VLOOKUP(S1036,VKT!$A$2:$G$415,7,0),"")</f>
        <v/>
      </c>
      <c r="X1036" s="564" t="str">
        <f t="shared" si="212"/>
        <v xml:space="preserve"> </v>
      </c>
      <c r="Y1036" s="589"/>
      <c r="Z1036" s="592"/>
      <c r="AA1036" s="592"/>
      <c r="AB1036" s="568"/>
      <c r="AC1036" s="592"/>
      <c r="AD1036" s="592"/>
      <c r="AE1036" s="592"/>
      <c r="AF1036" s="590"/>
      <c r="AG1036" s="570" t="str">
        <f>IF(AE1036&lt;&gt;0,VLOOKUP(AE1036,ODDS!$A$2:$C$13,3,0),"")</f>
        <v/>
      </c>
      <c r="AH1036" s="570" t="str">
        <f t="shared" si="218"/>
        <v xml:space="preserve"> </v>
      </c>
      <c r="AI1036" s="571" t="str">
        <f t="shared" si="223"/>
        <v xml:space="preserve"> </v>
      </c>
      <c r="AJ1036" s="593"/>
      <c r="AK1036" s="593"/>
    </row>
    <row r="1037" spans="1:37" s="376" customFormat="1" ht="20.25" outlineLevel="2" x14ac:dyDescent="0.3">
      <c r="A1037" s="447">
        <f t="shared" si="222"/>
        <v>80</v>
      </c>
      <c r="B1037" s="557"/>
      <c r="C1037" s="572"/>
      <c r="D1037" s="587"/>
      <c r="E1037" s="612"/>
      <c r="F1037" s="612"/>
      <c r="G1037" s="586"/>
      <c r="H1037" s="588"/>
      <c r="I1037" s="546"/>
      <c r="J1037" s="608"/>
      <c r="K1037" s="563" t="str">
        <f>IF(G1037&lt;&gt;0,VLOOKUP(G1037,'gia dat'!$A$1:$F$144,5,0)," ")</f>
        <v xml:space="preserve"> </v>
      </c>
      <c r="L1037" s="563" t="str">
        <f>IF(G1037&lt;&gt;0,VLOOKUP(G1037,'gia dat'!$A$1:$F$144,6,0)," ")</f>
        <v xml:space="preserve"> </v>
      </c>
      <c r="M1037" s="564" t="str">
        <f t="shared" si="215"/>
        <v xml:space="preserve"> </v>
      </c>
      <c r="N1037" s="564" t="str">
        <f t="shared" si="216"/>
        <v xml:space="preserve"> </v>
      </c>
      <c r="O1037" s="572"/>
      <c r="P1037" s="689"/>
      <c r="Q1037" s="564" t="str">
        <f>IF(O1037&lt;&gt;0,VLOOKUP(O1037,'Cây trong'!$A$2:$C$246,3,0)," ")</f>
        <v xml:space="preserve"> </v>
      </c>
      <c r="R1037" s="564" t="str">
        <f t="shared" si="217"/>
        <v xml:space="preserve"> </v>
      </c>
      <c r="S1037" s="566"/>
      <c r="T1037" s="609"/>
      <c r="U1037" s="591"/>
      <c r="V1037" s="589"/>
      <c r="W1037" s="564" t="str">
        <f>IF(S1037&lt;&gt;0,VLOOKUP(S1037,VKT!$A$2:$G$415,7,0),"")</f>
        <v/>
      </c>
      <c r="X1037" s="564" t="str">
        <f t="shared" si="212"/>
        <v xml:space="preserve"> </v>
      </c>
      <c r="Y1037" s="589"/>
      <c r="Z1037" s="592"/>
      <c r="AA1037" s="592"/>
      <c r="AB1037" s="568"/>
      <c r="AC1037" s="592"/>
      <c r="AD1037" s="592"/>
      <c r="AE1037" s="592"/>
      <c r="AF1037" s="590"/>
      <c r="AG1037" s="570" t="str">
        <f>IF(AE1037&lt;&gt;0,VLOOKUP(AE1037,ODDS!$A$2:$C$13,3,0),"")</f>
        <v/>
      </c>
      <c r="AH1037" s="570" t="str">
        <f t="shared" si="218"/>
        <v xml:space="preserve"> </v>
      </c>
      <c r="AI1037" s="571" t="str">
        <f t="shared" si="223"/>
        <v xml:space="preserve"> </v>
      </c>
      <c r="AJ1037" s="593"/>
      <c r="AK1037" s="593"/>
    </row>
    <row r="1038" spans="1:37" s="376" customFormat="1" ht="20.25" outlineLevel="2" x14ac:dyDescent="0.3">
      <c r="A1038" s="447">
        <f t="shared" si="222"/>
        <v>80</v>
      </c>
      <c r="B1038" s="557"/>
      <c r="C1038" s="558"/>
      <c r="D1038" s="587"/>
      <c r="E1038" s="587"/>
      <c r="F1038" s="560"/>
      <c r="G1038" s="586"/>
      <c r="H1038" s="588"/>
      <c r="I1038" s="546"/>
      <c r="J1038" s="608"/>
      <c r="K1038" s="563" t="str">
        <f>IF(G1038&lt;&gt;0,VLOOKUP(G1038,'gia dat'!$A$1:$F$144,5,0)," ")</f>
        <v xml:space="preserve"> </v>
      </c>
      <c r="L1038" s="563" t="str">
        <f>IF(G1038&lt;&gt;0,VLOOKUP(G1038,'gia dat'!$A$1:$F$144,6,0)," ")</f>
        <v xml:space="preserve"> </v>
      </c>
      <c r="M1038" s="564" t="str">
        <f t="shared" si="215"/>
        <v xml:space="preserve"> </v>
      </c>
      <c r="N1038" s="564" t="str">
        <f t="shared" si="216"/>
        <v xml:space="preserve"> </v>
      </c>
      <c r="O1038" s="572"/>
      <c r="P1038" s="689"/>
      <c r="Q1038" s="564" t="str">
        <f>IF(O1038&lt;&gt;0,VLOOKUP(O1038,'Cây trong'!$A$2:$C$246,3,0)," ")</f>
        <v xml:space="preserve"> </v>
      </c>
      <c r="R1038" s="564" t="str">
        <f t="shared" si="217"/>
        <v xml:space="preserve"> </v>
      </c>
      <c r="S1038" s="566"/>
      <c r="T1038" s="609"/>
      <c r="U1038" s="591"/>
      <c r="V1038" s="589"/>
      <c r="W1038" s="564" t="str">
        <f>IF(S1038&lt;&gt;0,VLOOKUP(S1038,VKT!$A$2:$G$415,7,0),"")</f>
        <v/>
      </c>
      <c r="X1038" s="564" t="str">
        <f t="shared" ref="X1038:X1106" si="224">IF(S1038&lt;&gt;0,ROUND(U1038*W1038,-3)," ")</f>
        <v xml:space="preserve"> </v>
      </c>
      <c r="Y1038" s="589"/>
      <c r="Z1038" s="592"/>
      <c r="AA1038" s="592"/>
      <c r="AB1038" s="568"/>
      <c r="AC1038" s="592"/>
      <c r="AD1038" s="592"/>
      <c r="AE1038" s="592"/>
      <c r="AF1038" s="590"/>
      <c r="AG1038" s="570" t="str">
        <f>IF(AE1038&lt;&gt;0,VLOOKUP(AE1038,ODDS!$A$2:$C$13,3,0),"")</f>
        <v/>
      </c>
      <c r="AH1038" s="570" t="str">
        <f t="shared" si="218"/>
        <v xml:space="preserve"> </v>
      </c>
      <c r="AI1038" s="571" t="str">
        <f t="shared" si="223"/>
        <v xml:space="preserve"> </v>
      </c>
      <c r="AJ1038" s="593"/>
      <c r="AK1038" s="593"/>
    </row>
    <row r="1039" spans="1:37" s="376" customFormat="1" ht="20.25" outlineLevel="2" x14ac:dyDescent="0.3">
      <c r="A1039" s="447">
        <f t="shared" si="222"/>
        <v>80</v>
      </c>
      <c r="B1039" s="557"/>
      <c r="C1039" s="558"/>
      <c r="D1039" s="587"/>
      <c r="E1039" s="587"/>
      <c r="F1039" s="560"/>
      <c r="G1039" s="586"/>
      <c r="H1039" s="588"/>
      <c r="I1039" s="546"/>
      <c r="J1039" s="608"/>
      <c r="K1039" s="563" t="str">
        <f>IF(G1039&lt;&gt;0,VLOOKUP(G1039,'gia dat'!$A$1:$F$144,5,0)," ")</f>
        <v xml:space="preserve"> </v>
      </c>
      <c r="L1039" s="563" t="str">
        <f>IF(G1039&lt;&gt;0,VLOOKUP(G1039,'gia dat'!$A$1:$F$144,6,0)," ")</f>
        <v xml:space="preserve"> </v>
      </c>
      <c r="M1039" s="564" t="str">
        <f t="shared" si="215"/>
        <v xml:space="preserve"> </v>
      </c>
      <c r="N1039" s="564" t="str">
        <f t="shared" si="216"/>
        <v xml:space="preserve"> </v>
      </c>
      <c r="O1039" s="572"/>
      <c r="P1039" s="689"/>
      <c r="Q1039" s="564" t="str">
        <f>IF(O1039&lt;&gt;0,VLOOKUP(O1039,'Cây trong'!$A$2:$C$246,3,0)," ")</f>
        <v xml:space="preserve"> </v>
      </c>
      <c r="R1039" s="564" t="str">
        <f t="shared" si="217"/>
        <v xml:space="preserve"> </v>
      </c>
      <c r="S1039" s="572"/>
      <c r="T1039" s="609"/>
      <c r="U1039" s="591"/>
      <c r="V1039" s="589"/>
      <c r="W1039" s="564" t="str">
        <f>IF(S1039&lt;&gt;0,VLOOKUP(S1039,VKT!$A$2:$G$415,7,0),"")</f>
        <v/>
      </c>
      <c r="X1039" s="564" t="str">
        <f t="shared" si="224"/>
        <v xml:space="preserve"> </v>
      </c>
      <c r="Y1039" s="609"/>
      <c r="Z1039" s="609"/>
      <c r="AA1039" s="609"/>
      <c r="AB1039" s="609"/>
      <c r="AC1039" s="609"/>
      <c r="AD1039" s="592"/>
      <c r="AE1039" s="592"/>
      <c r="AF1039" s="590"/>
      <c r="AG1039" s="570" t="str">
        <f>IF(AE1039&lt;&gt;0,VLOOKUP(AE1039,ODDS!$A$2:$C$13,3,0),"")</f>
        <v/>
      </c>
      <c r="AH1039" s="570" t="str">
        <f t="shared" si="218"/>
        <v xml:space="preserve"> </v>
      </c>
      <c r="AI1039" s="571" t="str">
        <f t="shared" si="223"/>
        <v xml:space="preserve"> </v>
      </c>
      <c r="AJ1039" s="593"/>
      <c r="AK1039" s="593"/>
    </row>
    <row r="1040" spans="1:37" s="376" customFormat="1" ht="20.25" outlineLevel="2" x14ac:dyDescent="0.3">
      <c r="A1040" s="447">
        <f t="shared" si="222"/>
        <v>80</v>
      </c>
      <c r="B1040" s="557"/>
      <c r="C1040" s="574"/>
      <c r="D1040" s="587"/>
      <c r="E1040" s="587"/>
      <c r="F1040" s="560"/>
      <c r="G1040" s="586"/>
      <c r="H1040" s="588"/>
      <c r="I1040" s="546"/>
      <c r="J1040" s="608"/>
      <c r="K1040" s="563" t="str">
        <f>IF(G1040&lt;&gt;0,VLOOKUP(G1040,'gia dat'!$A$1:$F$144,5,0)," ")</f>
        <v xml:space="preserve"> </v>
      </c>
      <c r="L1040" s="563" t="str">
        <f>IF(G1040&lt;&gt;0,VLOOKUP(G1040,'gia dat'!$A$1:$F$144,6,0)," ")</f>
        <v xml:space="preserve"> </v>
      </c>
      <c r="M1040" s="564" t="str">
        <f t="shared" si="215"/>
        <v xml:space="preserve"> </v>
      </c>
      <c r="N1040" s="564" t="str">
        <f t="shared" si="216"/>
        <v xml:space="preserve"> </v>
      </c>
      <c r="O1040" s="572"/>
      <c r="P1040" s="689"/>
      <c r="Q1040" s="564" t="str">
        <f>IF(O1040&lt;&gt;0,VLOOKUP(O1040,'Cây trong'!$A$2:$C$246,3,0)," ")</f>
        <v xml:space="preserve"> </v>
      </c>
      <c r="R1040" s="564" t="str">
        <f t="shared" si="217"/>
        <v xml:space="preserve"> </v>
      </c>
      <c r="S1040" s="572"/>
      <c r="T1040" s="609"/>
      <c r="U1040" s="591"/>
      <c r="V1040" s="611"/>
      <c r="W1040" s="564" t="str">
        <f>IF(S1040&lt;&gt;0,VLOOKUP(S1040,VKT!$A$2:$G$415,7,0),"")</f>
        <v/>
      </c>
      <c r="X1040" s="564" t="str">
        <f t="shared" si="224"/>
        <v xml:space="preserve"> </v>
      </c>
      <c r="Y1040" s="609"/>
      <c r="Z1040" s="609"/>
      <c r="AA1040" s="609"/>
      <c r="AB1040" s="609"/>
      <c r="AC1040" s="609"/>
      <c r="AD1040" s="592"/>
      <c r="AE1040" s="592"/>
      <c r="AF1040" s="590"/>
      <c r="AG1040" s="570" t="str">
        <f>IF(AE1040&lt;&gt;0,VLOOKUP(AE1040,ODDS!$A$2:$C$13,3,0),"")</f>
        <v/>
      </c>
      <c r="AH1040" s="570" t="str">
        <f t="shared" si="218"/>
        <v xml:space="preserve"> </v>
      </c>
      <c r="AI1040" s="571" t="str">
        <f t="shared" si="223"/>
        <v xml:space="preserve"> </v>
      </c>
      <c r="AJ1040" s="593"/>
      <c r="AK1040" s="593"/>
    </row>
    <row r="1041" spans="1:39" s="376" customFormat="1" ht="20.25" outlineLevel="1" x14ac:dyDescent="0.25">
      <c r="A1041" s="467" t="s">
        <v>2629</v>
      </c>
      <c r="B1041" s="576">
        <v>81</v>
      </c>
      <c r="C1041" s="574" t="s">
        <v>50</v>
      </c>
      <c r="D1041" s="595"/>
      <c r="E1041" s="595"/>
      <c r="F1041" s="577"/>
      <c r="G1041" s="574"/>
      <c r="H1041" s="618">
        <f>SUBTOTAL(9,H1042:H1057)</f>
        <v>228.8</v>
      </c>
      <c r="I1041" s="579">
        <f>SUBTOTAL(9,I1042:I1047)</f>
        <v>228.8</v>
      </c>
      <c r="J1041" s="597"/>
      <c r="K1041" s="581"/>
      <c r="L1041" s="581"/>
      <c r="M1041" s="571">
        <f>SUBTOTAL(9,M1042:M1057)</f>
        <v>126847000</v>
      </c>
      <c r="N1041" s="571">
        <f>SUBTOTAL(9,N1042:N1057)</f>
        <v>380540000</v>
      </c>
      <c r="O1041" s="673"/>
      <c r="P1041" s="599">
        <f>SUBTOTAL(9,P1042:P1057)</f>
        <v>964</v>
      </c>
      <c r="Q1041" s="571"/>
      <c r="R1041" s="571">
        <f>SUBTOTAL(9,R1042:R1057)</f>
        <v>53612000</v>
      </c>
      <c r="S1041" s="673"/>
      <c r="T1041" s="674"/>
      <c r="U1041" s="600">
        <f>SUBTOTAL(9,U1042:U1057)</f>
        <v>41.1</v>
      </c>
      <c r="V1041" s="597"/>
      <c r="W1041" s="571"/>
      <c r="X1041" s="571">
        <f>SUBTOTAL(9,X1042:X1057)</f>
        <v>12888000</v>
      </c>
      <c r="Y1041" s="589"/>
      <c r="Z1041" s="592"/>
      <c r="AA1041" s="592"/>
      <c r="AB1041" s="568"/>
      <c r="AC1041" s="592"/>
      <c r="AD1041" s="592"/>
      <c r="AE1041" s="601"/>
      <c r="AF1041" s="599">
        <f>SUBTOTAL(9,AF1042:AF1057)</f>
        <v>0</v>
      </c>
      <c r="AG1041" s="585"/>
      <c r="AH1041" s="585">
        <f>SUBTOTAL(9,AH1042:AH1057)</f>
        <v>0</v>
      </c>
      <c r="AI1041" s="571">
        <f t="shared" si="223"/>
        <v>573887000</v>
      </c>
      <c r="AJ1041" s="574"/>
      <c r="AK1041" s="578"/>
      <c r="AM1041" s="473"/>
    </row>
    <row r="1042" spans="1:39" s="376" customFormat="1" ht="121.5" outlineLevel="2" x14ac:dyDescent="0.3">
      <c r="A1042" s="447">
        <f>IF(B1041&lt;&gt;0,B1041,A1040)</f>
        <v>81</v>
      </c>
      <c r="B1042" s="557"/>
      <c r="C1042" s="558" t="s">
        <v>112</v>
      </c>
      <c r="D1042" s="587"/>
      <c r="E1042" s="587">
        <v>86</v>
      </c>
      <c r="F1042" s="560">
        <v>71</v>
      </c>
      <c r="G1042" s="558" t="s">
        <v>2886</v>
      </c>
      <c r="H1042" s="588">
        <v>224</v>
      </c>
      <c r="I1042" s="546">
        <f t="shared" ref="I1042:I1043" si="225">IF(N1042&gt;0,H1042,"")</f>
        <v>224</v>
      </c>
      <c r="J1042" s="589"/>
      <c r="K1042" s="563">
        <f>IF(G1042&lt;&gt;0,VLOOKUP(G1042,'gia dat'!$A$1:$F$144,5,0)," ")</f>
        <v>554400</v>
      </c>
      <c r="L1042" s="563">
        <f>IF(G1042&lt;&gt;0,VLOOKUP(G1042,'gia dat'!$A$1:$F$144,6,0)," ")</f>
        <v>1663200</v>
      </c>
      <c r="M1042" s="564">
        <f t="shared" si="215"/>
        <v>124186000</v>
      </c>
      <c r="N1042" s="564">
        <f t="shared" si="216"/>
        <v>372557000</v>
      </c>
      <c r="O1042" s="638" t="s">
        <v>187</v>
      </c>
      <c r="P1042" s="590">
        <v>12</v>
      </c>
      <c r="Q1042" s="564">
        <f>IF(O1042&lt;&gt;0,VLOOKUP(O1042,'Cây trong'!$A$2:$C$246,3,0)," ")</f>
        <v>120000</v>
      </c>
      <c r="R1042" s="564">
        <f t="shared" si="217"/>
        <v>1440000</v>
      </c>
      <c r="S1042" s="638" t="s">
        <v>1749</v>
      </c>
      <c r="T1042" s="639" t="s">
        <v>53</v>
      </c>
      <c r="U1042" s="591">
        <v>37.1</v>
      </c>
      <c r="V1042" s="589"/>
      <c r="W1042" s="564">
        <f>IF(S1042&lt;&gt;0,VLOOKUP(S1042,VKT!$A$2:$G$415,7,0),"")</f>
        <v>211811</v>
      </c>
      <c r="X1042" s="564">
        <f t="shared" si="224"/>
        <v>7858000</v>
      </c>
      <c r="Y1042" s="589"/>
      <c r="Z1042" s="592"/>
      <c r="AA1042" s="592"/>
      <c r="AB1042" s="568"/>
      <c r="AC1042" s="592"/>
      <c r="AD1042" s="592"/>
      <c r="AE1042" s="592"/>
      <c r="AF1042" s="590"/>
      <c r="AG1042" s="570" t="str">
        <f>IF(AE1042&lt;&gt;0,VLOOKUP(AE1042,ODDS!$A$2:$C$13,3,0),"")</f>
        <v/>
      </c>
      <c r="AH1042" s="570" t="str">
        <f t="shared" si="218"/>
        <v xml:space="preserve"> </v>
      </c>
      <c r="AI1042" s="571" t="str">
        <f t="shared" si="223"/>
        <v xml:space="preserve"> </v>
      </c>
      <c r="AJ1042" s="558" t="s">
        <v>715</v>
      </c>
      <c r="AK1042" s="586" t="s">
        <v>2771</v>
      </c>
      <c r="AM1042" s="378" t="s">
        <v>2156</v>
      </c>
    </row>
    <row r="1043" spans="1:39" s="376" customFormat="1" ht="101.25" outlineLevel="2" x14ac:dyDescent="0.3">
      <c r="A1043" s="447">
        <f t="shared" ref="A1043:A1057" si="226">IF(B1042&lt;&gt;0,B1042,A1042)</f>
        <v>81</v>
      </c>
      <c r="B1043" s="557"/>
      <c r="C1043" s="558" t="s">
        <v>642</v>
      </c>
      <c r="D1043" s="587"/>
      <c r="E1043" s="587"/>
      <c r="F1043" s="560"/>
      <c r="G1043" s="558" t="s">
        <v>2881</v>
      </c>
      <c r="H1043" s="588">
        <v>4.8</v>
      </c>
      <c r="I1043" s="546">
        <f t="shared" si="225"/>
        <v>4.8</v>
      </c>
      <c r="J1043" s="589"/>
      <c r="K1043" s="563">
        <f>IF(G1043&lt;&gt;0,VLOOKUP(G1043,'gia dat'!$A$1:$F$144,5,0)," ")</f>
        <v>554400</v>
      </c>
      <c r="L1043" s="563">
        <f>IF(G1043&lt;&gt;0,VLOOKUP(G1043,'gia dat'!$A$1:$F$144,6,0)," ")</f>
        <v>1663200</v>
      </c>
      <c r="M1043" s="564">
        <f t="shared" si="215"/>
        <v>2661000</v>
      </c>
      <c r="N1043" s="564">
        <f t="shared" si="216"/>
        <v>7983000</v>
      </c>
      <c r="O1043" s="638" t="s">
        <v>350</v>
      </c>
      <c r="P1043" s="590">
        <v>115</v>
      </c>
      <c r="Q1043" s="564">
        <f>IF(O1043&lt;&gt;0,VLOOKUP(O1043,'Cây trong'!$A$2:$C$246,3,0)," ")</f>
        <v>72000</v>
      </c>
      <c r="R1043" s="564">
        <f t="shared" si="217"/>
        <v>8280000</v>
      </c>
      <c r="S1043" s="638" t="s">
        <v>2348</v>
      </c>
      <c r="T1043" s="639" t="s">
        <v>101</v>
      </c>
      <c r="U1043" s="591">
        <v>4</v>
      </c>
      <c r="V1043" s="589"/>
      <c r="W1043" s="564">
        <f>IF(S1043&lt;&gt;0,VLOOKUP(S1043,VKT!$A$2:$G$415,7,0),"")</f>
        <v>1257396</v>
      </c>
      <c r="X1043" s="564">
        <f t="shared" si="224"/>
        <v>5030000</v>
      </c>
      <c r="Y1043" s="589"/>
      <c r="Z1043" s="592"/>
      <c r="AA1043" s="592"/>
      <c r="AB1043" s="568"/>
      <c r="AC1043" s="592"/>
      <c r="AD1043" s="592"/>
      <c r="AE1043" s="592"/>
      <c r="AF1043" s="590"/>
      <c r="AG1043" s="570" t="str">
        <f>IF(AE1043&lt;&gt;0,VLOOKUP(AE1043,ODDS!$A$2:$C$13,3,0),"")</f>
        <v/>
      </c>
      <c r="AH1043" s="570" t="str">
        <f t="shared" si="218"/>
        <v xml:space="preserve"> </v>
      </c>
      <c r="AI1043" s="571" t="str">
        <f t="shared" si="223"/>
        <v xml:space="preserve"> </v>
      </c>
      <c r="AJ1043" s="558" t="s">
        <v>614</v>
      </c>
      <c r="AK1043" s="558" t="s">
        <v>2448</v>
      </c>
    </row>
    <row r="1044" spans="1:39" s="376" customFormat="1" ht="121.5" outlineLevel="2" x14ac:dyDescent="0.3">
      <c r="A1044" s="447">
        <f t="shared" si="226"/>
        <v>81</v>
      </c>
      <c r="B1044" s="557"/>
      <c r="C1044" s="558"/>
      <c r="D1044" s="587"/>
      <c r="E1044" s="587"/>
      <c r="F1044" s="560"/>
      <c r="G1044" s="558"/>
      <c r="H1044" s="588"/>
      <c r="I1044" s="546"/>
      <c r="J1044" s="589"/>
      <c r="K1044" s="563" t="str">
        <f>IF(G1044&lt;&gt;0,VLOOKUP(G1044,'gia dat'!$A$1:$F$144,5,0)," ")</f>
        <v xml:space="preserve"> </v>
      </c>
      <c r="L1044" s="563" t="str">
        <f>IF(G1044&lt;&gt;0,VLOOKUP(G1044,'gia dat'!$A$1:$F$144,6,0)," ")</f>
        <v xml:space="preserve"> </v>
      </c>
      <c r="M1044" s="564" t="str">
        <f t="shared" si="215"/>
        <v xml:space="preserve"> </v>
      </c>
      <c r="N1044" s="564" t="str">
        <f t="shared" si="216"/>
        <v xml:space="preserve"> </v>
      </c>
      <c r="O1044" s="638" t="s">
        <v>785</v>
      </c>
      <c r="P1044" s="590">
        <v>486</v>
      </c>
      <c r="Q1044" s="564">
        <f>IF(O1044&lt;&gt;0,VLOOKUP(O1044,'Cây trong'!$A$2:$C$246,3,0)," ")</f>
        <v>6000</v>
      </c>
      <c r="R1044" s="564">
        <f t="shared" si="217"/>
        <v>2916000</v>
      </c>
      <c r="S1044" s="638"/>
      <c r="T1044" s="639"/>
      <c r="U1044" s="591"/>
      <c r="V1044" s="589"/>
      <c r="W1044" s="564" t="str">
        <f>IF(S1044&lt;&gt;0,VLOOKUP(S1044,VKT!$A$2:$G$415,7,0),"")</f>
        <v/>
      </c>
      <c r="X1044" s="564" t="str">
        <f t="shared" si="224"/>
        <v xml:space="preserve"> </v>
      </c>
      <c r="Y1044" s="589"/>
      <c r="Z1044" s="592"/>
      <c r="AA1044" s="592"/>
      <c r="AB1044" s="568"/>
      <c r="AC1044" s="592"/>
      <c r="AD1044" s="592"/>
      <c r="AE1044" s="592"/>
      <c r="AF1044" s="590"/>
      <c r="AG1044" s="570" t="str">
        <f>IF(AE1044&lt;&gt;0,VLOOKUP(AE1044,ODDS!$A$2:$C$13,3,0),"")</f>
        <v/>
      </c>
      <c r="AH1044" s="570" t="str">
        <f t="shared" si="218"/>
        <v xml:space="preserve"> </v>
      </c>
      <c r="AI1044" s="571" t="str">
        <f t="shared" si="223"/>
        <v xml:space="preserve"> </v>
      </c>
      <c r="AJ1044" s="558" t="s">
        <v>716</v>
      </c>
      <c r="AK1044" s="558" t="s">
        <v>2450</v>
      </c>
    </row>
    <row r="1045" spans="1:39" s="376" customFormat="1" ht="101.25" outlineLevel="2" x14ac:dyDescent="0.3">
      <c r="A1045" s="447">
        <f t="shared" si="226"/>
        <v>81</v>
      </c>
      <c r="B1045" s="557"/>
      <c r="C1045" s="558"/>
      <c r="D1045" s="587"/>
      <c r="E1045" s="587"/>
      <c r="F1045" s="560"/>
      <c r="G1045" s="558"/>
      <c r="H1045" s="588"/>
      <c r="I1045" s="546"/>
      <c r="J1045" s="589"/>
      <c r="K1045" s="563" t="str">
        <f>IF(G1045&lt;&gt;0,VLOOKUP(G1045,'gia dat'!$A$1:$F$144,5,0)," ")</f>
        <v xml:space="preserve"> </v>
      </c>
      <c r="L1045" s="563" t="str">
        <f>IF(G1045&lt;&gt;0,VLOOKUP(G1045,'gia dat'!$A$1:$F$144,6,0)," ")</f>
        <v xml:space="preserve"> </v>
      </c>
      <c r="M1045" s="564" t="str">
        <f t="shared" si="215"/>
        <v xml:space="preserve"> </v>
      </c>
      <c r="N1045" s="564" t="str">
        <f t="shared" si="216"/>
        <v xml:space="preserve"> </v>
      </c>
      <c r="O1045" s="638" t="s">
        <v>401</v>
      </c>
      <c r="P1045" s="590">
        <v>65</v>
      </c>
      <c r="Q1045" s="564">
        <f>IF(O1045&lt;&gt;0,VLOOKUP(O1045,'Cây trong'!$A$2:$C$246,3,0)," ")</f>
        <v>80000</v>
      </c>
      <c r="R1045" s="564">
        <f t="shared" si="217"/>
        <v>5200000</v>
      </c>
      <c r="S1045" s="638"/>
      <c r="T1045" s="639"/>
      <c r="U1045" s="591"/>
      <c r="V1045" s="589"/>
      <c r="W1045" s="564" t="str">
        <f>IF(S1045&lt;&gt;0,VLOOKUP(S1045,VKT!$A$2:$G$415,7,0),"")</f>
        <v/>
      </c>
      <c r="X1045" s="564" t="str">
        <f t="shared" si="224"/>
        <v xml:space="preserve"> </v>
      </c>
      <c r="Y1045" s="589"/>
      <c r="Z1045" s="592"/>
      <c r="AA1045" s="592"/>
      <c r="AB1045" s="568"/>
      <c r="AC1045" s="592"/>
      <c r="AD1045" s="592"/>
      <c r="AE1045" s="592"/>
      <c r="AF1045" s="590"/>
      <c r="AG1045" s="570" t="str">
        <f>IF(AE1045&lt;&gt;0,VLOOKUP(AE1045,ODDS!$A$2:$C$13,3,0),"")</f>
        <v/>
      </c>
      <c r="AH1045" s="570" t="str">
        <f t="shared" si="218"/>
        <v xml:space="preserve"> </v>
      </c>
      <c r="AI1045" s="571" t="str">
        <f t="shared" si="223"/>
        <v xml:space="preserve"> </v>
      </c>
      <c r="AJ1045" s="558" t="s">
        <v>2074</v>
      </c>
      <c r="AK1045" s="558" t="s">
        <v>2449</v>
      </c>
    </row>
    <row r="1046" spans="1:39" s="376" customFormat="1" ht="101.25" outlineLevel="2" x14ac:dyDescent="0.3">
      <c r="A1046" s="447">
        <f t="shared" si="226"/>
        <v>81</v>
      </c>
      <c r="B1046" s="557"/>
      <c r="C1046" s="558"/>
      <c r="D1046" s="587"/>
      <c r="E1046" s="587"/>
      <c r="F1046" s="560"/>
      <c r="G1046" s="558"/>
      <c r="H1046" s="588"/>
      <c r="I1046" s="546"/>
      <c r="J1046" s="589"/>
      <c r="K1046" s="563" t="str">
        <f>IF(G1046&lt;&gt;0,VLOOKUP(G1046,'gia dat'!$A$1:$F$144,5,0)," ")</f>
        <v xml:space="preserve"> </v>
      </c>
      <c r="L1046" s="563" t="str">
        <f>IF(G1046&lt;&gt;0,VLOOKUP(G1046,'gia dat'!$A$1:$F$144,6,0)," ")</f>
        <v xml:space="preserve"> </v>
      </c>
      <c r="M1046" s="564" t="str">
        <f t="shared" si="215"/>
        <v xml:space="preserve"> </v>
      </c>
      <c r="N1046" s="564" t="str">
        <f t="shared" si="216"/>
        <v xml:space="preserve"> </v>
      </c>
      <c r="O1046" s="638" t="s">
        <v>72</v>
      </c>
      <c r="P1046" s="590">
        <v>125</v>
      </c>
      <c r="Q1046" s="564">
        <f>IF(O1046&lt;&gt;0,VLOOKUP(O1046,'Cây trong'!$A$2:$C$246,3,0)," ")</f>
        <v>132000</v>
      </c>
      <c r="R1046" s="564">
        <f t="shared" si="217"/>
        <v>16500000</v>
      </c>
      <c r="S1046" s="638"/>
      <c r="T1046" s="639"/>
      <c r="U1046" s="591"/>
      <c r="V1046" s="589"/>
      <c r="W1046" s="564" t="str">
        <f>IF(S1046&lt;&gt;0,VLOOKUP(S1046,VKT!$A$2:$G$415,7,0),"")</f>
        <v/>
      </c>
      <c r="X1046" s="564" t="str">
        <f t="shared" si="224"/>
        <v xml:space="preserve"> </v>
      </c>
      <c r="Y1046" s="589"/>
      <c r="Z1046" s="592"/>
      <c r="AA1046" s="592"/>
      <c r="AB1046" s="568"/>
      <c r="AC1046" s="592"/>
      <c r="AD1046" s="592"/>
      <c r="AE1046" s="592"/>
      <c r="AF1046" s="590"/>
      <c r="AG1046" s="570" t="str">
        <f>IF(AE1046&lt;&gt;0,VLOOKUP(AE1046,ODDS!$A$2:$C$13,3,0),"")</f>
        <v/>
      </c>
      <c r="AH1046" s="570" t="str">
        <f t="shared" si="218"/>
        <v xml:space="preserve"> </v>
      </c>
      <c r="AI1046" s="571" t="str">
        <f t="shared" si="223"/>
        <v xml:space="preserve"> </v>
      </c>
      <c r="AJ1046" s="575"/>
      <c r="AK1046" s="558" t="s">
        <v>2800</v>
      </c>
    </row>
    <row r="1047" spans="1:39" s="376" customFormat="1" ht="20.25" outlineLevel="2" x14ac:dyDescent="0.3">
      <c r="A1047" s="447">
        <f t="shared" si="226"/>
        <v>81</v>
      </c>
      <c r="B1047" s="557"/>
      <c r="C1047" s="558"/>
      <c r="D1047" s="587"/>
      <c r="E1047" s="587"/>
      <c r="F1047" s="560"/>
      <c r="G1047" s="558"/>
      <c r="H1047" s="588"/>
      <c r="I1047" s="546"/>
      <c r="J1047" s="589"/>
      <c r="K1047" s="563" t="str">
        <f>IF(G1047&lt;&gt;0,VLOOKUP(G1047,'gia dat'!$A$1:$F$144,5,0)," ")</f>
        <v xml:space="preserve"> </v>
      </c>
      <c r="L1047" s="563" t="str">
        <f>IF(G1047&lt;&gt;0,VLOOKUP(G1047,'gia dat'!$A$1:$F$144,6,0)," ")</f>
        <v xml:space="preserve"> </v>
      </c>
      <c r="M1047" s="564" t="str">
        <f t="shared" si="215"/>
        <v xml:space="preserve"> </v>
      </c>
      <c r="N1047" s="564" t="str">
        <f t="shared" si="216"/>
        <v xml:space="preserve"> </v>
      </c>
      <c r="O1047" s="638" t="s">
        <v>73</v>
      </c>
      <c r="P1047" s="590">
        <v>95</v>
      </c>
      <c r="Q1047" s="564">
        <f>IF(O1047&lt;&gt;0,VLOOKUP(O1047,'Cây trong'!$A$2:$C$246,3,0)," ")</f>
        <v>76000</v>
      </c>
      <c r="R1047" s="564">
        <f t="shared" si="217"/>
        <v>7220000</v>
      </c>
      <c r="S1047" s="638"/>
      <c r="T1047" s="639"/>
      <c r="U1047" s="591"/>
      <c r="V1047" s="589"/>
      <c r="W1047" s="564" t="str">
        <f>IF(S1047&lt;&gt;0,VLOOKUP(S1047,VKT!$A$2:$G$415,7,0),"")</f>
        <v/>
      </c>
      <c r="X1047" s="564" t="str">
        <f t="shared" si="224"/>
        <v xml:space="preserve"> </v>
      </c>
      <c r="Y1047" s="589"/>
      <c r="Z1047" s="592"/>
      <c r="AA1047" s="592"/>
      <c r="AB1047" s="568"/>
      <c r="AC1047" s="592"/>
      <c r="AD1047" s="592"/>
      <c r="AE1047" s="592"/>
      <c r="AF1047" s="590"/>
      <c r="AG1047" s="570" t="str">
        <f>IF(AE1047&lt;&gt;0,VLOOKUP(AE1047,ODDS!$A$2:$C$13,3,0),"")</f>
        <v/>
      </c>
      <c r="AH1047" s="570" t="str">
        <f t="shared" si="218"/>
        <v xml:space="preserve"> </v>
      </c>
      <c r="AI1047" s="571" t="str">
        <f t="shared" si="223"/>
        <v xml:space="preserve"> </v>
      </c>
      <c r="AJ1047" s="575"/>
      <c r="AK1047" s="593"/>
    </row>
    <row r="1048" spans="1:39" s="376" customFormat="1" ht="20.25" outlineLevel="2" x14ac:dyDescent="0.3">
      <c r="A1048" s="447">
        <f t="shared" si="226"/>
        <v>81</v>
      </c>
      <c r="B1048" s="557"/>
      <c r="C1048" s="558"/>
      <c r="D1048" s="587"/>
      <c r="E1048" s="587"/>
      <c r="F1048" s="560"/>
      <c r="G1048" s="558"/>
      <c r="H1048" s="588"/>
      <c r="I1048" s="546"/>
      <c r="J1048" s="589"/>
      <c r="K1048" s="563" t="str">
        <f>IF(G1048&lt;&gt;0,VLOOKUP(G1048,'gia dat'!$A$1:$F$144,5,0)," ")</f>
        <v xml:space="preserve"> </v>
      </c>
      <c r="L1048" s="563" t="str">
        <f>IF(G1048&lt;&gt;0,VLOOKUP(G1048,'gia dat'!$A$1:$F$144,6,0)," ")</f>
        <v xml:space="preserve"> </v>
      </c>
      <c r="M1048" s="564" t="str">
        <f t="shared" si="215"/>
        <v xml:space="preserve"> </v>
      </c>
      <c r="N1048" s="564" t="str">
        <f t="shared" si="216"/>
        <v xml:space="preserve"> </v>
      </c>
      <c r="O1048" s="638" t="s">
        <v>75</v>
      </c>
      <c r="P1048" s="590">
        <v>31</v>
      </c>
      <c r="Q1048" s="564">
        <f>IF(O1048&lt;&gt;0,VLOOKUP(O1048,'Cây trong'!$A$2:$C$246,3,0)," ")</f>
        <v>34000</v>
      </c>
      <c r="R1048" s="564">
        <f t="shared" si="217"/>
        <v>1054000</v>
      </c>
      <c r="S1048" s="638"/>
      <c r="T1048" s="639"/>
      <c r="U1048" s="591"/>
      <c r="V1048" s="589"/>
      <c r="W1048" s="564" t="str">
        <f>IF(S1048&lt;&gt;0,VLOOKUP(S1048,VKT!$A$2:$G$415,7,0),"")</f>
        <v/>
      </c>
      <c r="X1048" s="564" t="str">
        <f t="shared" si="224"/>
        <v xml:space="preserve"> </v>
      </c>
      <c r="Y1048" s="589"/>
      <c r="Z1048" s="592"/>
      <c r="AA1048" s="592"/>
      <c r="AB1048" s="568"/>
      <c r="AC1048" s="592"/>
      <c r="AD1048" s="592"/>
      <c r="AE1048" s="592"/>
      <c r="AF1048" s="590"/>
      <c r="AG1048" s="570" t="str">
        <f>IF(AE1048&lt;&gt;0,VLOOKUP(AE1048,ODDS!$A$2:$C$13,3,0),"")</f>
        <v/>
      </c>
      <c r="AH1048" s="570" t="str">
        <f t="shared" si="218"/>
        <v xml:space="preserve"> </v>
      </c>
      <c r="AI1048" s="571" t="str">
        <f t="shared" si="223"/>
        <v xml:space="preserve"> </v>
      </c>
      <c r="AJ1048" s="593"/>
      <c r="AK1048" s="593"/>
    </row>
    <row r="1049" spans="1:39" s="376" customFormat="1" ht="40.5" outlineLevel="2" x14ac:dyDescent="0.3">
      <c r="A1049" s="447">
        <f t="shared" si="226"/>
        <v>81</v>
      </c>
      <c r="B1049" s="557"/>
      <c r="C1049" s="558"/>
      <c r="D1049" s="587"/>
      <c r="E1049" s="587"/>
      <c r="F1049" s="560"/>
      <c r="G1049" s="558"/>
      <c r="H1049" s="588"/>
      <c r="I1049" s="546"/>
      <c r="J1049" s="589"/>
      <c r="K1049" s="563" t="str">
        <f>IF(G1049&lt;&gt;0,VLOOKUP(G1049,'gia dat'!$A$1:$F$144,5,0)," ")</f>
        <v xml:space="preserve"> </v>
      </c>
      <c r="L1049" s="563" t="str">
        <f>IF(G1049&lt;&gt;0,VLOOKUP(G1049,'gia dat'!$A$1:$F$144,6,0)," ")</f>
        <v xml:space="preserve"> </v>
      </c>
      <c r="M1049" s="564" t="str">
        <f t="shared" si="215"/>
        <v xml:space="preserve"> </v>
      </c>
      <c r="N1049" s="564" t="str">
        <f t="shared" si="216"/>
        <v xml:space="preserve"> </v>
      </c>
      <c r="O1049" s="638" t="s">
        <v>786</v>
      </c>
      <c r="P1049" s="590">
        <v>14</v>
      </c>
      <c r="Q1049" s="564">
        <f>IF(O1049&lt;&gt;0,VLOOKUP(O1049,'Cây trong'!$A$2:$C$246,3,0)," ")</f>
        <v>0</v>
      </c>
      <c r="R1049" s="564">
        <f t="shared" si="217"/>
        <v>0</v>
      </c>
      <c r="S1049" s="638"/>
      <c r="T1049" s="639"/>
      <c r="U1049" s="591"/>
      <c r="V1049" s="589"/>
      <c r="W1049" s="564" t="str">
        <f>IF(S1049&lt;&gt;0,VLOOKUP(S1049,VKT!$A$2:$G$415,7,0),"")</f>
        <v/>
      </c>
      <c r="X1049" s="564" t="str">
        <f t="shared" si="224"/>
        <v xml:space="preserve"> </v>
      </c>
      <c r="Y1049" s="589"/>
      <c r="Z1049" s="592"/>
      <c r="AA1049" s="592"/>
      <c r="AB1049" s="568"/>
      <c r="AC1049" s="592"/>
      <c r="AD1049" s="592"/>
      <c r="AE1049" s="592"/>
      <c r="AF1049" s="590"/>
      <c r="AG1049" s="570" t="str">
        <f>IF(AE1049&lt;&gt;0,VLOOKUP(AE1049,ODDS!$A$2:$C$13,3,0),"")</f>
        <v/>
      </c>
      <c r="AH1049" s="570" t="str">
        <f t="shared" si="218"/>
        <v xml:space="preserve"> </v>
      </c>
      <c r="AI1049" s="571" t="str">
        <f t="shared" si="223"/>
        <v xml:space="preserve"> </v>
      </c>
      <c r="AJ1049" s="593"/>
      <c r="AK1049" s="593"/>
    </row>
    <row r="1050" spans="1:39" s="376" customFormat="1" ht="20.25" outlineLevel="2" x14ac:dyDescent="0.3">
      <c r="A1050" s="447">
        <f t="shared" si="226"/>
        <v>81</v>
      </c>
      <c r="B1050" s="557"/>
      <c r="C1050" s="558"/>
      <c r="D1050" s="587"/>
      <c r="E1050" s="587"/>
      <c r="F1050" s="560"/>
      <c r="G1050" s="558"/>
      <c r="H1050" s="588"/>
      <c r="I1050" s="546"/>
      <c r="J1050" s="589"/>
      <c r="K1050" s="563" t="str">
        <f>IF(G1050&lt;&gt;0,VLOOKUP(G1050,'gia dat'!$A$1:$F$144,5,0)," ")</f>
        <v xml:space="preserve"> </v>
      </c>
      <c r="L1050" s="563" t="str">
        <f>IF(G1050&lt;&gt;0,VLOOKUP(G1050,'gia dat'!$A$1:$F$144,6,0)," ")</f>
        <v xml:space="preserve"> </v>
      </c>
      <c r="M1050" s="564" t="str">
        <f t="shared" ref="M1050:M1118" si="227">IF(H1050&lt;&gt;0,ROUND(H1050*K1050,-3)," ")</f>
        <v xml:space="preserve"> </v>
      </c>
      <c r="N1050" s="564" t="str">
        <f t="shared" ref="N1050:N1118" si="228">IF(H1050&lt;&gt;0,ROUND(H1050*L1050,-3)," ")</f>
        <v xml:space="preserve"> </v>
      </c>
      <c r="O1050" s="638" t="s">
        <v>64</v>
      </c>
      <c r="P1050" s="590">
        <v>2</v>
      </c>
      <c r="Q1050" s="564">
        <f>IF(O1050&lt;&gt;0,VLOOKUP(O1050,'Cây trong'!$A$2:$C$246,3,0)," ")</f>
        <v>1122000</v>
      </c>
      <c r="R1050" s="564">
        <f t="shared" si="217"/>
        <v>2244000</v>
      </c>
      <c r="S1050" s="640"/>
      <c r="T1050" s="639"/>
      <c r="U1050" s="591"/>
      <c r="V1050" s="589"/>
      <c r="W1050" s="564" t="str">
        <f>IF(S1050&lt;&gt;0,VLOOKUP(S1050,VKT!$A$2:$G$415,7,0),"")</f>
        <v/>
      </c>
      <c r="X1050" s="564" t="str">
        <f t="shared" si="224"/>
        <v xml:space="preserve"> </v>
      </c>
      <c r="Y1050" s="589"/>
      <c r="Z1050" s="592"/>
      <c r="AA1050" s="592"/>
      <c r="AB1050" s="568"/>
      <c r="AC1050" s="592"/>
      <c r="AD1050" s="592"/>
      <c r="AE1050" s="592"/>
      <c r="AF1050" s="590"/>
      <c r="AG1050" s="570" t="str">
        <f>IF(AE1050&lt;&gt;0,VLOOKUP(AE1050,ODDS!$A$2:$C$13,3,0),"")</f>
        <v/>
      </c>
      <c r="AH1050" s="570" t="str">
        <f t="shared" si="218"/>
        <v xml:space="preserve"> </v>
      </c>
      <c r="AI1050" s="571" t="str">
        <f t="shared" si="223"/>
        <v xml:space="preserve"> </v>
      </c>
      <c r="AJ1050" s="593"/>
      <c r="AK1050" s="593"/>
    </row>
    <row r="1051" spans="1:39" s="376" customFormat="1" ht="20.25" outlineLevel="2" x14ac:dyDescent="0.3">
      <c r="A1051" s="447">
        <f t="shared" si="226"/>
        <v>81</v>
      </c>
      <c r="B1051" s="557"/>
      <c r="C1051" s="558"/>
      <c r="D1051" s="587"/>
      <c r="E1051" s="587"/>
      <c r="F1051" s="560"/>
      <c r="G1051" s="558"/>
      <c r="H1051" s="588"/>
      <c r="I1051" s="546"/>
      <c r="J1051" s="589"/>
      <c r="K1051" s="563" t="str">
        <f>IF(G1051&lt;&gt;0,VLOOKUP(G1051,'gia dat'!$A$1:$F$144,5,0)," ")</f>
        <v xml:space="preserve"> </v>
      </c>
      <c r="L1051" s="563" t="str">
        <f>IF(G1051&lt;&gt;0,VLOOKUP(G1051,'gia dat'!$A$1:$F$144,6,0)," ")</f>
        <v xml:space="preserve"> </v>
      </c>
      <c r="M1051" s="564" t="str">
        <f t="shared" si="227"/>
        <v xml:space="preserve"> </v>
      </c>
      <c r="N1051" s="564" t="str">
        <f t="shared" si="228"/>
        <v xml:space="preserve"> </v>
      </c>
      <c r="O1051" s="638" t="s">
        <v>67</v>
      </c>
      <c r="P1051" s="590">
        <v>1</v>
      </c>
      <c r="Q1051" s="564">
        <f>IF(O1051&lt;&gt;0,VLOOKUP(O1051,'Cây trong'!$A$2:$C$246,3,0)," ")</f>
        <v>494000</v>
      </c>
      <c r="R1051" s="564">
        <f t="shared" si="217"/>
        <v>494000</v>
      </c>
      <c r="S1051" s="638"/>
      <c r="T1051" s="639"/>
      <c r="U1051" s="591"/>
      <c r="V1051" s="589"/>
      <c r="W1051" s="564" t="str">
        <f>IF(S1051&lt;&gt;0,VLOOKUP(S1051,VKT!$A$2:$G$415,7,0),"")</f>
        <v/>
      </c>
      <c r="X1051" s="564" t="str">
        <f t="shared" si="224"/>
        <v xml:space="preserve"> </v>
      </c>
      <c r="Y1051" s="589"/>
      <c r="Z1051" s="592"/>
      <c r="AA1051" s="592"/>
      <c r="AB1051" s="568"/>
      <c r="AC1051" s="592"/>
      <c r="AD1051" s="592"/>
      <c r="AE1051" s="592"/>
      <c r="AF1051" s="590"/>
      <c r="AG1051" s="570" t="str">
        <f>IF(AE1051&lt;&gt;0,VLOOKUP(AE1051,ODDS!$A$2:$C$13,3,0),"")</f>
        <v/>
      </c>
      <c r="AH1051" s="570" t="str">
        <f t="shared" si="218"/>
        <v xml:space="preserve"> </v>
      </c>
      <c r="AI1051" s="571" t="str">
        <f t="shared" si="223"/>
        <v xml:space="preserve"> </v>
      </c>
      <c r="AJ1051" s="593"/>
      <c r="AK1051" s="593"/>
    </row>
    <row r="1052" spans="1:39" s="376" customFormat="1" ht="20.25" outlineLevel="2" x14ac:dyDescent="0.3">
      <c r="A1052" s="447">
        <f t="shared" si="226"/>
        <v>81</v>
      </c>
      <c r="B1052" s="557"/>
      <c r="C1052" s="558"/>
      <c r="D1052" s="587"/>
      <c r="E1052" s="587"/>
      <c r="F1052" s="560"/>
      <c r="G1052" s="558"/>
      <c r="H1052" s="588"/>
      <c r="I1052" s="546"/>
      <c r="J1052" s="589"/>
      <c r="K1052" s="563" t="str">
        <f>IF(G1052&lt;&gt;0,VLOOKUP(G1052,'gia dat'!$A$1:$F$144,5,0)," ")</f>
        <v xml:space="preserve"> </v>
      </c>
      <c r="L1052" s="563" t="str">
        <f>IF(G1052&lt;&gt;0,VLOOKUP(G1052,'gia dat'!$A$1:$F$144,6,0)," ")</f>
        <v xml:space="preserve"> </v>
      </c>
      <c r="M1052" s="564" t="str">
        <f t="shared" si="227"/>
        <v xml:space="preserve"> </v>
      </c>
      <c r="N1052" s="564" t="str">
        <f t="shared" si="228"/>
        <v xml:space="preserve"> </v>
      </c>
      <c r="O1052" s="638" t="s">
        <v>145</v>
      </c>
      <c r="P1052" s="590">
        <v>1</v>
      </c>
      <c r="Q1052" s="564">
        <f>IF(O1052&lt;&gt;0,VLOOKUP(O1052,'Cây trong'!$A$2:$C$246,3,0)," ")</f>
        <v>4240000</v>
      </c>
      <c r="R1052" s="564">
        <f t="shared" si="217"/>
        <v>4240000</v>
      </c>
      <c r="S1052" s="638"/>
      <c r="T1052" s="639"/>
      <c r="U1052" s="591"/>
      <c r="V1052" s="589"/>
      <c r="W1052" s="564" t="str">
        <f>IF(S1052&lt;&gt;0,VLOOKUP(S1052,VKT!$A$2:$G$415,7,0),"")</f>
        <v/>
      </c>
      <c r="X1052" s="564" t="str">
        <f t="shared" si="224"/>
        <v xml:space="preserve"> </v>
      </c>
      <c r="Y1052" s="589"/>
      <c r="Z1052" s="592"/>
      <c r="AA1052" s="592"/>
      <c r="AB1052" s="568"/>
      <c r="AC1052" s="592"/>
      <c r="AD1052" s="592"/>
      <c r="AE1052" s="592"/>
      <c r="AF1052" s="590"/>
      <c r="AG1052" s="570" t="str">
        <f>IF(AE1052&lt;&gt;0,VLOOKUP(AE1052,ODDS!$A$2:$C$13,3,0),"")</f>
        <v/>
      </c>
      <c r="AH1052" s="570" t="str">
        <f t="shared" si="218"/>
        <v xml:space="preserve"> </v>
      </c>
      <c r="AI1052" s="571" t="str">
        <f t="shared" si="223"/>
        <v xml:space="preserve"> </v>
      </c>
      <c r="AJ1052" s="593"/>
      <c r="AK1052" s="593"/>
    </row>
    <row r="1053" spans="1:39" s="376" customFormat="1" ht="20.25" outlineLevel="2" x14ac:dyDescent="0.3">
      <c r="A1053" s="447">
        <f t="shared" si="226"/>
        <v>81</v>
      </c>
      <c r="B1053" s="557"/>
      <c r="C1053" s="558"/>
      <c r="D1053" s="587"/>
      <c r="E1053" s="587"/>
      <c r="F1053" s="560"/>
      <c r="G1053" s="558"/>
      <c r="H1053" s="588"/>
      <c r="I1053" s="546"/>
      <c r="J1053" s="589"/>
      <c r="K1053" s="563" t="str">
        <f>IF(G1053&lt;&gt;0,VLOOKUP(G1053,'gia dat'!$A$1:$F$144,5,0)," ")</f>
        <v xml:space="preserve"> </v>
      </c>
      <c r="L1053" s="563" t="str">
        <f>IF(G1053&lt;&gt;0,VLOOKUP(G1053,'gia dat'!$A$1:$F$144,6,0)," ")</f>
        <v xml:space="preserve"> </v>
      </c>
      <c r="M1053" s="564" t="str">
        <f t="shared" si="227"/>
        <v xml:space="preserve"> </v>
      </c>
      <c r="N1053" s="564" t="str">
        <f t="shared" si="228"/>
        <v xml:space="preserve"> </v>
      </c>
      <c r="O1053" s="638" t="s">
        <v>77</v>
      </c>
      <c r="P1053" s="590">
        <v>1</v>
      </c>
      <c r="Q1053" s="564">
        <f>IF(O1053&lt;&gt;0,VLOOKUP(O1053,'Cây trong'!$A$2:$C$246,3,0)," ")</f>
        <v>3064000</v>
      </c>
      <c r="R1053" s="564">
        <f t="shared" si="217"/>
        <v>3064000</v>
      </c>
      <c r="S1053" s="638"/>
      <c r="T1053" s="639"/>
      <c r="U1053" s="591"/>
      <c r="V1053" s="589"/>
      <c r="W1053" s="564" t="str">
        <f>IF(S1053&lt;&gt;0,VLOOKUP(S1053,VKT!$A$2:$G$415,7,0),"")</f>
        <v/>
      </c>
      <c r="X1053" s="564" t="str">
        <f t="shared" si="224"/>
        <v xml:space="preserve"> </v>
      </c>
      <c r="Y1053" s="589"/>
      <c r="Z1053" s="592"/>
      <c r="AA1053" s="592"/>
      <c r="AB1053" s="568"/>
      <c r="AC1053" s="592"/>
      <c r="AD1053" s="592"/>
      <c r="AE1053" s="592"/>
      <c r="AF1053" s="590"/>
      <c r="AG1053" s="570" t="str">
        <f>IF(AE1053&lt;&gt;0,VLOOKUP(AE1053,ODDS!$A$2:$C$13,3,0),"")</f>
        <v/>
      </c>
      <c r="AH1053" s="570" t="str">
        <f t="shared" si="218"/>
        <v xml:space="preserve"> </v>
      </c>
      <c r="AI1053" s="571" t="str">
        <f t="shared" si="223"/>
        <v xml:space="preserve"> </v>
      </c>
      <c r="AJ1053" s="593"/>
      <c r="AK1053" s="593"/>
    </row>
    <row r="1054" spans="1:39" s="376" customFormat="1" ht="20.25" outlineLevel="2" x14ac:dyDescent="0.3">
      <c r="A1054" s="447">
        <f t="shared" si="226"/>
        <v>81</v>
      </c>
      <c r="B1054" s="557"/>
      <c r="C1054" s="558"/>
      <c r="D1054" s="587"/>
      <c r="E1054" s="587"/>
      <c r="F1054" s="560"/>
      <c r="G1054" s="558"/>
      <c r="H1054" s="588"/>
      <c r="I1054" s="546"/>
      <c r="J1054" s="589"/>
      <c r="K1054" s="563" t="str">
        <f>IF(G1054&lt;&gt;0,VLOOKUP(G1054,'gia dat'!$A$1:$F$144,5,0)," ")</f>
        <v xml:space="preserve"> </v>
      </c>
      <c r="L1054" s="563" t="str">
        <f>IF(G1054&lt;&gt;0,VLOOKUP(G1054,'gia dat'!$A$1:$F$144,6,0)," ")</f>
        <v xml:space="preserve"> </v>
      </c>
      <c r="M1054" s="564" t="str">
        <f t="shared" si="227"/>
        <v xml:space="preserve"> </v>
      </c>
      <c r="N1054" s="564" t="str">
        <f t="shared" si="228"/>
        <v xml:space="preserve"> </v>
      </c>
      <c r="O1054" s="638" t="s">
        <v>352</v>
      </c>
      <c r="P1054" s="590">
        <v>16</v>
      </c>
      <c r="Q1054" s="564">
        <f>IF(O1054&lt;&gt;0,VLOOKUP(O1054,'Cây trong'!$A$2:$C$246,3,0)," ")</f>
        <v>60000</v>
      </c>
      <c r="R1054" s="564">
        <f t="shared" si="217"/>
        <v>960000</v>
      </c>
      <c r="S1054" s="638"/>
      <c r="T1054" s="639"/>
      <c r="U1054" s="591"/>
      <c r="V1054" s="589"/>
      <c r="W1054" s="564" t="str">
        <f>IF(S1054&lt;&gt;0,VLOOKUP(S1054,VKT!$A$2:$G$415,7,0),"")</f>
        <v/>
      </c>
      <c r="X1054" s="564" t="str">
        <f t="shared" si="224"/>
        <v xml:space="preserve"> </v>
      </c>
      <c r="Y1054" s="589"/>
      <c r="Z1054" s="592"/>
      <c r="AA1054" s="592"/>
      <c r="AB1054" s="568"/>
      <c r="AC1054" s="592"/>
      <c r="AD1054" s="592"/>
      <c r="AE1054" s="592"/>
      <c r="AF1054" s="590"/>
      <c r="AG1054" s="570" t="str">
        <f>IF(AE1054&lt;&gt;0,VLOOKUP(AE1054,ODDS!$A$2:$C$13,3,0),"")</f>
        <v/>
      </c>
      <c r="AH1054" s="570" t="str">
        <f t="shared" si="218"/>
        <v xml:space="preserve"> </v>
      </c>
      <c r="AI1054" s="571" t="str">
        <f t="shared" si="223"/>
        <v xml:space="preserve"> </v>
      </c>
      <c r="AJ1054" s="593"/>
      <c r="AK1054" s="593"/>
    </row>
    <row r="1055" spans="1:39" s="376" customFormat="1" ht="20.25" outlineLevel="2" x14ac:dyDescent="0.3">
      <c r="A1055" s="447">
        <f t="shared" si="226"/>
        <v>81</v>
      </c>
      <c r="B1055" s="557"/>
      <c r="C1055" s="558"/>
      <c r="D1055" s="587"/>
      <c r="E1055" s="587"/>
      <c r="F1055" s="560"/>
      <c r="G1055" s="558"/>
      <c r="H1055" s="588"/>
      <c r="I1055" s="546"/>
      <c r="J1055" s="589"/>
      <c r="K1055" s="563" t="str">
        <f>IF(G1055&lt;&gt;0,VLOOKUP(G1055,'gia dat'!$A$1:$F$144,5,0)," ")</f>
        <v xml:space="preserve"> </v>
      </c>
      <c r="L1055" s="563" t="str">
        <f>IF(G1055&lt;&gt;0,VLOOKUP(G1055,'gia dat'!$A$1:$F$144,6,0)," ")</f>
        <v xml:space="preserve"> </v>
      </c>
      <c r="M1055" s="564" t="str">
        <f t="shared" si="227"/>
        <v xml:space="preserve"> </v>
      </c>
      <c r="N1055" s="564" t="str">
        <f t="shared" si="228"/>
        <v xml:space="preserve"> </v>
      </c>
      <c r="O1055" s="638"/>
      <c r="P1055" s="590"/>
      <c r="Q1055" s="564" t="str">
        <f>IF(O1055&lt;&gt;0,VLOOKUP(O1055,'Cây trong'!$A$2:$C$246,3,0)," ")</f>
        <v xml:space="preserve"> </v>
      </c>
      <c r="R1055" s="564" t="str">
        <f t="shared" si="217"/>
        <v xml:space="preserve"> </v>
      </c>
      <c r="S1055" s="638"/>
      <c r="T1055" s="639"/>
      <c r="U1055" s="591"/>
      <c r="V1055" s="589"/>
      <c r="W1055" s="564" t="str">
        <f>IF(S1055&lt;&gt;0,VLOOKUP(S1055,VKT!$A$2:$G$415,7,0),"")</f>
        <v/>
      </c>
      <c r="X1055" s="564" t="str">
        <f t="shared" si="224"/>
        <v xml:space="preserve"> </v>
      </c>
      <c r="Y1055" s="589"/>
      <c r="Z1055" s="592"/>
      <c r="AA1055" s="592"/>
      <c r="AB1055" s="568"/>
      <c r="AC1055" s="592"/>
      <c r="AD1055" s="592"/>
      <c r="AE1055" s="592"/>
      <c r="AF1055" s="590"/>
      <c r="AG1055" s="570" t="str">
        <f>IF(AE1055&lt;&gt;0,VLOOKUP(AE1055,ODDS!$A$2:$C$13,3,0),"")</f>
        <v/>
      </c>
      <c r="AH1055" s="570" t="str">
        <f t="shared" si="218"/>
        <v xml:space="preserve"> </v>
      </c>
      <c r="AI1055" s="571" t="str">
        <f t="shared" si="223"/>
        <v xml:space="preserve"> </v>
      </c>
      <c r="AJ1055" s="593"/>
      <c r="AK1055" s="593"/>
    </row>
    <row r="1056" spans="1:39" s="376" customFormat="1" ht="20.25" outlineLevel="2" x14ac:dyDescent="0.3">
      <c r="A1056" s="447">
        <f t="shared" si="226"/>
        <v>81</v>
      </c>
      <c r="B1056" s="557"/>
      <c r="C1056" s="558"/>
      <c r="D1056" s="587"/>
      <c r="E1056" s="587"/>
      <c r="F1056" s="615"/>
      <c r="G1056" s="558"/>
      <c r="H1056" s="604"/>
      <c r="I1056" s="546"/>
      <c r="J1056" s="593"/>
      <c r="K1056" s="563" t="str">
        <f>IF(G1056&lt;&gt;0,VLOOKUP(G1056,'gia dat'!$A$1:$F$144,5,0)," ")</f>
        <v xml:space="preserve"> </v>
      </c>
      <c r="L1056" s="563" t="str">
        <f>IF(G1056&lt;&gt;0,VLOOKUP(G1056,'gia dat'!$A$1:$F$144,6,0)," ")</f>
        <v xml:space="preserve"> </v>
      </c>
      <c r="M1056" s="564" t="str">
        <f t="shared" si="227"/>
        <v xml:space="preserve"> </v>
      </c>
      <c r="N1056" s="564" t="str">
        <f t="shared" si="228"/>
        <v xml:space="preserve"> </v>
      </c>
      <c r="O1056" s="593"/>
      <c r="P1056" s="616"/>
      <c r="Q1056" s="564" t="str">
        <f>IF(O1056&lt;&gt;0,VLOOKUP(O1056,'Cây trong'!$A$2:$C$246,3,0)," ")</f>
        <v xml:space="preserve"> </v>
      </c>
      <c r="R1056" s="564" t="str">
        <f t="shared" si="217"/>
        <v xml:space="preserve"> </v>
      </c>
      <c r="S1056" s="593"/>
      <c r="T1056" s="593"/>
      <c r="U1056" s="617"/>
      <c r="V1056" s="589"/>
      <c r="W1056" s="564" t="str">
        <f>IF(S1056&lt;&gt;0,VLOOKUP(S1056,VKT!$A$2:$G$415,7,0),"")</f>
        <v/>
      </c>
      <c r="X1056" s="564" t="str">
        <f t="shared" si="224"/>
        <v xml:space="preserve"> </v>
      </c>
      <c r="Y1056" s="589"/>
      <c r="Z1056" s="589"/>
      <c r="AA1056" s="589"/>
      <c r="AB1056" s="562"/>
      <c r="AC1056" s="589"/>
      <c r="AD1056" s="589"/>
      <c r="AE1056" s="589"/>
      <c r="AF1056" s="629"/>
      <c r="AG1056" s="570" t="str">
        <f>IF(AE1056&lt;&gt;0,VLOOKUP(AE1056,ODDS!$A$2:$C$13,3,0),"")</f>
        <v/>
      </c>
      <c r="AH1056" s="570" t="str">
        <f t="shared" si="218"/>
        <v xml:space="preserve"> </v>
      </c>
      <c r="AI1056" s="571" t="str">
        <f t="shared" si="223"/>
        <v xml:space="preserve"> </v>
      </c>
      <c r="AJ1056" s="593"/>
      <c r="AK1056" s="593"/>
    </row>
    <row r="1057" spans="1:39" s="376" customFormat="1" ht="20.25" outlineLevel="2" x14ac:dyDescent="0.3">
      <c r="A1057" s="447">
        <f t="shared" si="226"/>
        <v>81</v>
      </c>
      <c r="B1057" s="557"/>
      <c r="C1057" s="574"/>
      <c r="D1057" s="587"/>
      <c r="E1057" s="587"/>
      <c r="F1057" s="560"/>
      <c r="G1057" s="558"/>
      <c r="H1057" s="588"/>
      <c r="I1057" s="546"/>
      <c r="J1057" s="589"/>
      <c r="K1057" s="563" t="str">
        <f>IF(G1057&lt;&gt;0,VLOOKUP(G1057,'gia dat'!$A$1:$F$144,5,0)," ")</f>
        <v xml:space="preserve"> </v>
      </c>
      <c r="L1057" s="563" t="str">
        <f>IF(G1057&lt;&gt;0,VLOOKUP(G1057,'gia dat'!$A$1:$F$144,6,0)," ")</f>
        <v xml:space="preserve"> </v>
      </c>
      <c r="M1057" s="564" t="str">
        <f t="shared" si="227"/>
        <v xml:space="preserve"> </v>
      </c>
      <c r="N1057" s="564" t="str">
        <f t="shared" si="228"/>
        <v xml:space="preserve"> </v>
      </c>
      <c r="O1057" s="638"/>
      <c r="P1057" s="590"/>
      <c r="Q1057" s="564" t="str">
        <f>IF(O1057&lt;&gt;0,VLOOKUP(O1057,'Cây trong'!$A$2:$C$246,3,0)," ")</f>
        <v xml:space="preserve"> </v>
      </c>
      <c r="R1057" s="564" t="str">
        <f t="shared" si="217"/>
        <v xml:space="preserve"> </v>
      </c>
      <c r="S1057" s="638"/>
      <c r="T1057" s="639"/>
      <c r="U1057" s="591"/>
      <c r="V1057" s="589"/>
      <c r="W1057" s="564" t="str">
        <f>IF(S1057&lt;&gt;0,VLOOKUP(S1057,VKT!$A$2:$G$415,7,0),"")</f>
        <v/>
      </c>
      <c r="X1057" s="564" t="str">
        <f t="shared" si="224"/>
        <v xml:space="preserve"> </v>
      </c>
      <c r="Y1057" s="589"/>
      <c r="Z1057" s="592"/>
      <c r="AA1057" s="592"/>
      <c r="AB1057" s="568"/>
      <c r="AC1057" s="592"/>
      <c r="AD1057" s="592"/>
      <c r="AE1057" s="592"/>
      <c r="AF1057" s="590"/>
      <c r="AG1057" s="570" t="str">
        <f>IF(AE1057&lt;&gt;0,VLOOKUP(AE1057,ODDS!$A$2:$C$13,3,0),"")</f>
        <v/>
      </c>
      <c r="AH1057" s="570" t="str">
        <f t="shared" si="218"/>
        <v xml:space="preserve"> </v>
      </c>
      <c r="AI1057" s="571" t="str">
        <f t="shared" si="223"/>
        <v xml:space="preserve"> </v>
      </c>
      <c r="AJ1057" s="593"/>
      <c r="AK1057" s="593"/>
    </row>
    <row r="1058" spans="1:39" s="376" customFormat="1" ht="20.25" outlineLevel="1" x14ac:dyDescent="0.25">
      <c r="A1058" s="467" t="s">
        <v>2628</v>
      </c>
      <c r="B1058" s="576">
        <v>82</v>
      </c>
      <c r="C1058" s="574" t="s">
        <v>50</v>
      </c>
      <c r="D1058" s="595"/>
      <c r="E1058" s="595"/>
      <c r="F1058" s="577"/>
      <c r="G1058" s="574"/>
      <c r="H1058" s="618">
        <f>SUBTOTAL(9,H1059:H1067)</f>
        <v>173.8</v>
      </c>
      <c r="I1058" s="579">
        <f>SUBTOTAL(9,I1059:I1064)</f>
        <v>173.8</v>
      </c>
      <c r="J1058" s="597"/>
      <c r="K1058" s="581"/>
      <c r="L1058" s="581"/>
      <c r="M1058" s="571">
        <f>SUBTOTAL(9,M1059:M1067)</f>
        <v>96355000</v>
      </c>
      <c r="N1058" s="571">
        <f>SUBTOTAL(9,N1059:N1067)</f>
        <v>289064000</v>
      </c>
      <c r="O1058" s="673"/>
      <c r="P1058" s="599">
        <f>SUBTOTAL(9,P1059:P1067)</f>
        <v>0</v>
      </c>
      <c r="Q1058" s="571"/>
      <c r="R1058" s="571">
        <f>SUBTOTAL(9,R1059:R1067)</f>
        <v>0</v>
      </c>
      <c r="S1058" s="673"/>
      <c r="T1058" s="674"/>
      <c r="U1058" s="600">
        <f>SUBTOTAL(9,U1059:U1067)</f>
        <v>43.74</v>
      </c>
      <c r="V1058" s="597"/>
      <c r="W1058" s="571"/>
      <c r="X1058" s="571">
        <f>SUBTOTAL(9,X1059:X1067)</f>
        <v>0</v>
      </c>
      <c r="Y1058" s="589"/>
      <c r="Z1058" s="592"/>
      <c r="AA1058" s="592"/>
      <c r="AB1058" s="568"/>
      <c r="AC1058" s="592"/>
      <c r="AD1058" s="592"/>
      <c r="AE1058" s="601"/>
      <c r="AF1058" s="599">
        <f>SUBTOTAL(9,AF1059:AF1067)</f>
        <v>0</v>
      </c>
      <c r="AG1058" s="585"/>
      <c r="AH1058" s="585">
        <f>SUBTOTAL(9,AH1059:AH1067)</f>
        <v>0</v>
      </c>
      <c r="AI1058" s="571">
        <f t="shared" si="223"/>
        <v>385419000</v>
      </c>
      <c r="AJ1058" s="574"/>
      <c r="AK1058" s="578"/>
      <c r="AM1058" s="473"/>
    </row>
    <row r="1059" spans="1:39" s="376" customFormat="1" ht="121.5" outlineLevel="2" x14ac:dyDescent="0.3">
      <c r="A1059" s="447">
        <f>IF(B1058&lt;&gt;0,B1058,A1057)</f>
        <v>82</v>
      </c>
      <c r="B1059" s="557"/>
      <c r="C1059" s="558" t="s">
        <v>112</v>
      </c>
      <c r="D1059" s="587"/>
      <c r="E1059" s="587">
        <v>86</v>
      </c>
      <c r="F1059" s="560">
        <v>313</v>
      </c>
      <c r="G1059" s="558" t="s">
        <v>2886</v>
      </c>
      <c r="H1059" s="588">
        <v>173.8</v>
      </c>
      <c r="I1059" s="546">
        <f t="shared" ref="I1059" si="229">IF(N1059&gt;0,H1059,"")</f>
        <v>173.8</v>
      </c>
      <c r="J1059" s="589"/>
      <c r="K1059" s="563">
        <f>IF(G1059&lt;&gt;0,VLOOKUP(G1059,'gia dat'!$A$1:$F$144,5,0)," ")</f>
        <v>554400</v>
      </c>
      <c r="L1059" s="563">
        <f>IF(G1059&lt;&gt;0,VLOOKUP(G1059,'gia dat'!$A$1:$F$144,6,0)," ")</f>
        <v>1663200</v>
      </c>
      <c r="M1059" s="564">
        <f t="shared" si="227"/>
        <v>96355000</v>
      </c>
      <c r="N1059" s="564">
        <f t="shared" si="228"/>
        <v>289064000</v>
      </c>
      <c r="O1059" s="638"/>
      <c r="P1059" s="590"/>
      <c r="Q1059" s="564" t="str">
        <f>IF(O1059&lt;&gt;0,VLOOKUP(O1059,'Cây trong'!$A$2:$C$246,3,0)," ")</f>
        <v xml:space="preserve"> </v>
      </c>
      <c r="R1059" s="564" t="str">
        <f t="shared" si="217"/>
        <v xml:space="preserve"> </v>
      </c>
      <c r="S1059" s="638" t="s">
        <v>2349</v>
      </c>
      <c r="T1059" s="639" t="s">
        <v>53</v>
      </c>
      <c r="U1059" s="591">
        <v>43.74</v>
      </c>
      <c r="V1059" s="589"/>
      <c r="W1059" s="564">
        <f>IF(S1059&lt;&gt;0,VLOOKUP(S1059,VKT!$A$2:$G$415,7,0),"")</f>
        <v>0</v>
      </c>
      <c r="X1059" s="564">
        <f t="shared" si="224"/>
        <v>0</v>
      </c>
      <c r="Y1059" s="589"/>
      <c r="Z1059" s="592" t="s">
        <v>55</v>
      </c>
      <c r="AA1059" s="592" t="s">
        <v>141</v>
      </c>
      <c r="AB1059" s="568" t="s">
        <v>171</v>
      </c>
      <c r="AC1059" s="592" t="s">
        <v>88</v>
      </c>
      <c r="AD1059" s="592"/>
      <c r="AE1059" s="592"/>
      <c r="AF1059" s="590"/>
      <c r="AG1059" s="570" t="str">
        <f>IF(AE1059&lt;&gt;0,VLOOKUP(AE1059,ODDS!$A$2:$C$13,3,0),"")</f>
        <v/>
      </c>
      <c r="AH1059" s="570" t="str">
        <f t="shared" si="218"/>
        <v xml:space="preserve"> </v>
      </c>
      <c r="AI1059" s="571" t="str">
        <f t="shared" si="223"/>
        <v xml:space="preserve"> </v>
      </c>
      <c r="AJ1059" s="558" t="s">
        <v>717</v>
      </c>
      <c r="AK1059" s="586" t="s">
        <v>2771</v>
      </c>
      <c r="AM1059" s="378" t="s">
        <v>2156</v>
      </c>
    </row>
    <row r="1060" spans="1:39" s="376" customFormat="1" ht="101.25" outlineLevel="2" x14ac:dyDescent="0.3">
      <c r="A1060" s="447">
        <f t="shared" ref="A1060:A1067" si="230">IF(B1059&lt;&gt;0,B1059,A1059)</f>
        <v>82</v>
      </c>
      <c r="B1060" s="557"/>
      <c r="C1060" s="558" t="s">
        <v>642</v>
      </c>
      <c r="D1060" s="587"/>
      <c r="E1060" s="587"/>
      <c r="F1060" s="560"/>
      <c r="G1060" s="558"/>
      <c r="H1060" s="588"/>
      <c r="I1060" s="546"/>
      <c r="J1060" s="589"/>
      <c r="K1060" s="563" t="str">
        <f>IF(G1060&lt;&gt;0,VLOOKUP(G1060,'gia dat'!$A$1:$F$144,5,0)," ")</f>
        <v xml:space="preserve"> </v>
      </c>
      <c r="L1060" s="563" t="str">
        <f>IF(G1060&lt;&gt;0,VLOOKUP(G1060,'gia dat'!$A$1:$F$144,6,0)," ")</f>
        <v xml:space="preserve"> </v>
      </c>
      <c r="M1060" s="564" t="str">
        <f t="shared" si="227"/>
        <v xml:space="preserve"> </v>
      </c>
      <c r="N1060" s="564" t="str">
        <f t="shared" si="228"/>
        <v xml:space="preserve"> </v>
      </c>
      <c r="O1060" s="638"/>
      <c r="P1060" s="590"/>
      <c r="Q1060" s="564" t="str">
        <f>IF(O1060&lt;&gt;0,VLOOKUP(O1060,'Cây trong'!$A$2:$C$246,3,0)," ")</f>
        <v xml:space="preserve"> </v>
      </c>
      <c r="R1060" s="564" t="str">
        <f t="shared" si="217"/>
        <v xml:space="preserve"> </v>
      </c>
      <c r="S1060" s="638"/>
      <c r="T1060" s="639"/>
      <c r="U1060" s="591"/>
      <c r="V1060" s="589"/>
      <c r="W1060" s="564" t="str">
        <f>IF(S1060&lt;&gt;0,VLOOKUP(S1060,VKT!$A$2:$G$415,7,0),"")</f>
        <v/>
      </c>
      <c r="X1060" s="564" t="str">
        <f t="shared" si="224"/>
        <v xml:space="preserve"> </v>
      </c>
      <c r="Y1060" s="589"/>
      <c r="Z1060" s="592"/>
      <c r="AA1060" s="592"/>
      <c r="AB1060" s="568"/>
      <c r="AC1060" s="592"/>
      <c r="AD1060" s="592"/>
      <c r="AE1060" s="592"/>
      <c r="AF1060" s="590"/>
      <c r="AG1060" s="570" t="str">
        <f>IF(AE1060&lt;&gt;0,VLOOKUP(AE1060,ODDS!$A$2:$C$13,3,0),"")</f>
        <v/>
      </c>
      <c r="AH1060" s="570" t="str">
        <f t="shared" si="218"/>
        <v xml:space="preserve"> </v>
      </c>
      <c r="AI1060" s="571" t="str">
        <f t="shared" si="223"/>
        <v xml:space="preserve"> </v>
      </c>
      <c r="AJ1060" s="558" t="s">
        <v>615</v>
      </c>
      <c r="AK1060" s="558" t="s">
        <v>2448</v>
      </c>
    </row>
    <row r="1061" spans="1:39" s="376" customFormat="1" ht="121.5" outlineLevel="2" x14ac:dyDescent="0.3">
      <c r="A1061" s="447">
        <f t="shared" si="230"/>
        <v>82</v>
      </c>
      <c r="B1061" s="557"/>
      <c r="C1061" s="558"/>
      <c r="D1061" s="587"/>
      <c r="E1061" s="587"/>
      <c r="F1061" s="560"/>
      <c r="G1061" s="558"/>
      <c r="H1061" s="588"/>
      <c r="I1061" s="546"/>
      <c r="J1061" s="589"/>
      <c r="K1061" s="563" t="str">
        <f>IF(G1061&lt;&gt;0,VLOOKUP(G1061,'gia dat'!$A$1:$F$144,5,0)," ")</f>
        <v xml:space="preserve"> </v>
      </c>
      <c r="L1061" s="563" t="str">
        <f>IF(G1061&lt;&gt;0,VLOOKUP(G1061,'gia dat'!$A$1:$F$144,6,0)," ")</f>
        <v xml:space="preserve"> </v>
      </c>
      <c r="M1061" s="564" t="str">
        <f t="shared" si="227"/>
        <v xml:space="preserve"> </v>
      </c>
      <c r="N1061" s="564" t="str">
        <f t="shared" si="228"/>
        <v xml:space="preserve"> </v>
      </c>
      <c r="O1061" s="638"/>
      <c r="P1061" s="590"/>
      <c r="Q1061" s="564" t="str">
        <f>IF(O1061&lt;&gt;0,VLOOKUP(O1061,'Cây trong'!$A$2:$C$246,3,0)," ")</f>
        <v xml:space="preserve"> </v>
      </c>
      <c r="R1061" s="564" t="str">
        <f t="shared" si="217"/>
        <v xml:space="preserve"> </v>
      </c>
      <c r="S1061" s="638"/>
      <c r="T1061" s="639"/>
      <c r="U1061" s="591"/>
      <c r="V1061" s="589"/>
      <c r="W1061" s="564" t="str">
        <f>IF(S1061&lt;&gt;0,VLOOKUP(S1061,VKT!$A$2:$G$415,7,0),"")</f>
        <v/>
      </c>
      <c r="X1061" s="564" t="str">
        <f t="shared" si="224"/>
        <v xml:space="preserve"> </v>
      </c>
      <c r="Y1061" s="589"/>
      <c r="Z1061" s="592"/>
      <c r="AA1061" s="592"/>
      <c r="AB1061" s="568"/>
      <c r="AC1061" s="592"/>
      <c r="AD1061" s="592"/>
      <c r="AE1061" s="592"/>
      <c r="AF1061" s="590"/>
      <c r="AG1061" s="570" t="str">
        <f>IF(AE1061&lt;&gt;0,VLOOKUP(AE1061,ODDS!$A$2:$C$13,3,0),"")</f>
        <v/>
      </c>
      <c r="AH1061" s="570" t="str">
        <f t="shared" si="218"/>
        <v xml:space="preserve"> </v>
      </c>
      <c r="AI1061" s="571" t="str">
        <f t="shared" si="223"/>
        <v xml:space="preserve"> </v>
      </c>
      <c r="AJ1061" s="558" t="s">
        <v>2074</v>
      </c>
      <c r="AK1061" s="558" t="s">
        <v>2450</v>
      </c>
    </row>
    <row r="1062" spans="1:39" s="376" customFormat="1" ht="20.25" outlineLevel="2" x14ac:dyDescent="0.3">
      <c r="A1062" s="447">
        <f t="shared" si="230"/>
        <v>82</v>
      </c>
      <c r="B1062" s="557"/>
      <c r="C1062" s="558"/>
      <c r="D1062" s="587"/>
      <c r="E1062" s="587"/>
      <c r="F1062" s="615"/>
      <c r="G1062" s="558"/>
      <c r="H1062" s="604"/>
      <c r="I1062" s="546"/>
      <c r="J1062" s="593"/>
      <c r="K1062" s="563" t="str">
        <f>IF(G1062&lt;&gt;0,VLOOKUP(G1062,'gia dat'!$A$1:$F$144,5,0)," ")</f>
        <v xml:space="preserve"> </v>
      </c>
      <c r="L1062" s="563" t="str">
        <f>IF(G1062&lt;&gt;0,VLOOKUP(G1062,'gia dat'!$A$1:$F$144,6,0)," ")</f>
        <v xml:space="preserve"> </v>
      </c>
      <c r="M1062" s="564" t="str">
        <f t="shared" si="227"/>
        <v xml:space="preserve"> </v>
      </c>
      <c r="N1062" s="564" t="str">
        <f t="shared" si="228"/>
        <v xml:space="preserve"> </v>
      </c>
      <c r="O1062" s="593"/>
      <c r="P1062" s="616"/>
      <c r="Q1062" s="564" t="str">
        <f>IF(O1062&lt;&gt;0,VLOOKUP(O1062,'Cây trong'!$A$2:$C$246,3,0)," ")</f>
        <v xml:space="preserve"> </v>
      </c>
      <c r="R1062" s="564" t="str">
        <f t="shared" si="217"/>
        <v xml:space="preserve"> </v>
      </c>
      <c r="S1062" s="593"/>
      <c r="T1062" s="593"/>
      <c r="U1062" s="617"/>
      <c r="V1062" s="589"/>
      <c r="W1062" s="564" t="str">
        <f>IF(S1062&lt;&gt;0,VLOOKUP(S1062,VKT!$A$2:$G$415,7,0),"")</f>
        <v/>
      </c>
      <c r="X1062" s="564" t="str">
        <f t="shared" si="224"/>
        <v xml:space="preserve"> </v>
      </c>
      <c r="Y1062" s="589"/>
      <c r="Z1062" s="589"/>
      <c r="AA1062" s="589"/>
      <c r="AB1062" s="562"/>
      <c r="AC1062" s="589"/>
      <c r="AD1062" s="589"/>
      <c r="AE1062" s="589"/>
      <c r="AF1062" s="629"/>
      <c r="AG1062" s="570" t="str">
        <f>IF(AE1062&lt;&gt;0,VLOOKUP(AE1062,ODDS!$A$2:$C$13,3,0),"")</f>
        <v/>
      </c>
      <c r="AH1062" s="570" t="str">
        <f t="shared" si="218"/>
        <v xml:space="preserve"> </v>
      </c>
      <c r="AI1062" s="571" t="str">
        <f t="shared" si="223"/>
        <v xml:space="preserve"> </v>
      </c>
      <c r="AJ1062" s="575"/>
      <c r="AK1062" s="558"/>
    </row>
    <row r="1063" spans="1:39" s="376" customFormat="1" ht="20.25" outlineLevel="2" x14ac:dyDescent="0.3">
      <c r="A1063" s="447">
        <f t="shared" si="230"/>
        <v>82</v>
      </c>
      <c r="B1063" s="557"/>
      <c r="C1063" s="558"/>
      <c r="D1063" s="587"/>
      <c r="E1063" s="587"/>
      <c r="F1063" s="560"/>
      <c r="G1063" s="558"/>
      <c r="H1063" s="588"/>
      <c r="I1063" s="546"/>
      <c r="J1063" s="589"/>
      <c r="K1063" s="563" t="str">
        <f>IF(G1063&lt;&gt;0,VLOOKUP(G1063,'gia dat'!$A$1:$F$144,5,0)," ")</f>
        <v xml:space="preserve"> </v>
      </c>
      <c r="L1063" s="563" t="str">
        <f>IF(G1063&lt;&gt;0,VLOOKUP(G1063,'gia dat'!$A$1:$F$144,6,0)," ")</f>
        <v xml:space="preserve"> </v>
      </c>
      <c r="M1063" s="564" t="str">
        <f t="shared" si="227"/>
        <v xml:space="preserve"> </v>
      </c>
      <c r="N1063" s="564" t="str">
        <f t="shared" si="228"/>
        <v xml:space="preserve"> </v>
      </c>
      <c r="O1063" s="638"/>
      <c r="P1063" s="590"/>
      <c r="Q1063" s="564" t="str">
        <f>IF(O1063&lt;&gt;0,VLOOKUP(O1063,'Cây trong'!$A$2:$C$246,3,0)," ")</f>
        <v xml:space="preserve"> </v>
      </c>
      <c r="R1063" s="564" t="str">
        <f t="shared" ref="R1063:R1130" si="231">IF(O1063&lt;&gt;0,ROUND(P1063*Q1063,-2)," ")</f>
        <v xml:space="preserve"> </v>
      </c>
      <c r="S1063" s="640"/>
      <c r="T1063" s="639"/>
      <c r="U1063" s="591"/>
      <c r="V1063" s="589"/>
      <c r="W1063" s="564" t="str">
        <f>IF(S1063&lt;&gt;0,VLOOKUP(S1063,VKT!$A$2:$G$415,7,0),"")</f>
        <v/>
      </c>
      <c r="X1063" s="564" t="str">
        <f t="shared" si="224"/>
        <v xml:space="preserve"> </v>
      </c>
      <c r="Y1063" s="589"/>
      <c r="Z1063" s="592"/>
      <c r="AA1063" s="592"/>
      <c r="AB1063" s="568"/>
      <c r="AC1063" s="592"/>
      <c r="AD1063" s="592"/>
      <c r="AE1063" s="592"/>
      <c r="AF1063" s="590"/>
      <c r="AG1063" s="570" t="str">
        <f>IF(AE1063&lt;&gt;0,VLOOKUP(AE1063,ODDS!$A$2:$C$13,3,0),"")</f>
        <v/>
      </c>
      <c r="AH1063" s="570" t="str">
        <f t="shared" ref="AH1063:AH1130" si="232">IF(AE1063&lt;&gt;0,ROUND(AF1063*AG1063,-2)," ")</f>
        <v xml:space="preserve"> </v>
      </c>
      <c r="AI1063" s="571" t="str">
        <f t="shared" si="223"/>
        <v xml:space="preserve"> </v>
      </c>
      <c r="AJ1063" s="575"/>
      <c r="AK1063" s="593"/>
    </row>
    <row r="1064" spans="1:39" s="376" customFormat="1" ht="20.25" outlineLevel="2" x14ac:dyDescent="0.3">
      <c r="A1064" s="447">
        <f t="shared" si="230"/>
        <v>82</v>
      </c>
      <c r="B1064" s="557"/>
      <c r="C1064" s="558"/>
      <c r="D1064" s="587"/>
      <c r="E1064" s="587"/>
      <c r="F1064" s="560"/>
      <c r="G1064" s="558"/>
      <c r="H1064" s="588"/>
      <c r="I1064" s="546"/>
      <c r="J1064" s="589"/>
      <c r="K1064" s="563" t="str">
        <f>IF(G1064&lt;&gt;0,VLOOKUP(G1064,'gia dat'!$A$1:$F$144,5,0)," ")</f>
        <v xml:space="preserve"> </v>
      </c>
      <c r="L1064" s="563" t="str">
        <f>IF(G1064&lt;&gt;0,VLOOKUP(G1064,'gia dat'!$A$1:$F$144,6,0)," ")</f>
        <v xml:space="preserve"> </v>
      </c>
      <c r="M1064" s="564" t="str">
        <f t="shared" si="227"/>
        <v xml:space="preserve"> </v>
      </c>
      <c r="N1064" s="564" t="str">
        <f t="shared" si="228"/>
        <v xml:space="preserve"> </v>
      </c>
      <c r="O1064" s="638"/>
      <c r="P1064" s="590"/>
      <c r="Q1064" s="564" t="str">
        <f>IF(O1064&lt;&gt;0,VLOOKUP(O1064,'Cây trong'!$A$2:$C$246,3,0)," ")</f>
        <v xml:space="preserve"> </v>
      </c>
      <c r="R1064" s="564" t="str">
        <f t="shared" si="231"/>
        <v xml:space="preserve"> </v>
      </c>
      <c r="S1064" s="640"/>
      <c r="T1064" s="639"/>
      <c r="U1064" s="591"/>
      <c r="V1064" s="589"/>
      <c r="W1064" s="564" t="str">
        <f>IF(S1064&lt;&gt;0,VLOOKUP(S1064,VKT!$A$2:$G$415,7,0),"")</f>
        <v/>
      </c>
      <c r="X1064" s="564" t="str">
        <f t="shared" si="224"/>
        <v xml:space="preserve"> </v>
      </c>
      <c r="Y1064" s="589"/>
      <c r="Z1064" s="592"/>
      <c r="AA1064" s="592"/>
      <c r="AB1064" s="568"/>
      <c r="AC1064" s="592"/>
      <c r="AD1064" s="592"/>
      <c r="AE1064" s="592"/>
      <c r="AF1064" s="590"/>
      <c r="AG1064" s="570" t="str">
        <f>IF(AE1064&lt;&gt;0,VLOOKUP(AE1064,ODDS!$A$2:$C$13,3,0),"")</f>
        <v/>
      </c>
      <c r="AH1064" s="570" t="str">
        <f t="shared" si="232"/>
        <v xml:space="preserve"> </v>
      </c>
      <c r="AI1064" s="571" t="str">
        <f t="shared" si="223"/>
        <v xml:space="preserve"> </v>
      </c>
      <c r="AJ1064" s="593"/>
      <c r="AK1064" s="593"/>
    </row>
    <row r="1065" spans="1:39" s="376" customFormat="1" ht="20.25" outlineLevel="2" x14ac:dyDescent="0.3">
      <c r="A1065" s="447">
        <f t="shared" si="230"/>
        <v>82</v>
      </c>
      <c r="B1065" s="557"/>
      <c r="C1065" s="558"/>
      <c r="D1065" s="587"/>
      <c r="E1065" s="587"/>
      <c r="F1065" s="560"/>
      <c r="G1065" s="558"/>
      <c r="H1065" s="588"/>
      <c r="I1065" s="546"/>
      <c r="J1065" s="589"/>
      <c r="K1065" s="563" t="str">
        <f>IF(G1065&lt;&gt;0,VLOOKUP(G1065,'gia dat'!$A$1:$F$144,5,0)," ")</f>
        <v xml:space="preserve"> </v>
      </c>
      <c r="L1065" s="563" t="str">
        <f>IF(G1065&lt;&gt;0,VLOOKUP(G1065,'gia dat'!$A$1:$F$144,6,0)," ")</f>
        <v xml:space="preserve"> </v>
      </c>
      <c r="M1065" s="564" t="str">
        <f t="shared" si="227"/>
        <v xml:space="preserve"> </v>
      </c>
      <c r="N1065" s="564" t="str">
        <f t="shared" si="228"/>
        <v xml:space="preserve"> </v>
      </c>
      <c r="O1065" s="638"/>
      <c r="P1065" s="590"/>
      <c r="Q1065" s="564" t="str">
        <f>IF(O1065&lt;&gt;0,VLOOKUP(O1065,'Cây trong'!$A$2:$C$246,3,0)," ")</f>
        <v xml:space="preserve"> </v>
      </c>
      <c r="R1065" s="564" t="str">
        <f t="shared" si="231"/>
        <v xml:space="preserve"> </v>
      </c>
      <c r="S1065" s="640"/>
      <c r="T1065" s="639"/>
      <c r="U1065" s="591"/>
      <c r="V1065" s="589"/>
      <c r="W1065" s="564" t="str">
        <f>IF(S1065&lt;&gt;0,VLOOKUP(S1065,VKT!$A$2:$G$415,7,0),"")</f>
        <v/>
      </c>
      <c r="X1065" s="564" t="str">
        <f t="shared" si="224"/>
        <v xml:space="preserve"> </v>
      </c>
      <c r="Y1065" s="589"/>
      <c r="Z1065" s="592"/>
      <c r="AA1065" s="592"/>
      <c r="AB1065" s="568"/>
      <c r="AC1065" s="592"/>
      <c r="AD1065" s="592"/>
      <c r="AE1065" s="592"/>
      <c r="AF1065" s="590"/>
      <c r="AG1065" s="570" t="str">
        <f>IF(AE1065&lt;&gt;0,VLOOKUP(AE1065,ODDS!$A$2:$C$13,3,0),"")</f>
        <v/>
      </c>
      <c r="AH1065" s="570" t="str">
        <f t="shared" si="232"/>
        <v xml:space="preserve"> </v>
      </c>
      <c r="AI1065" s="571" t="str">
        <f t="shared" si="223"/>
        <v xml:space="preserve"> </v>
      </c>
      <c r="AJ1065" s="593"/>
      <c r="AK1065" s="593"/>
    </row>
    <row r="1066" spans="1:39" s="376" customFormat="1" ht="20.25" outlineLevel="2" x14ac:dyDescent="0.3">
      <c r="A1066" s="447">
        <f t="shared" si="230"/>
        <v>82</v>
      </c>
      <c r="B1066" s="557"/>
      <c r="C1066" s="558"/>
      <c r="D1066" s="587"/>
      <c r="E1066" s="587"/>
      <c r="F1066" s="560"/>
      <c r="G1066" s="558"/>
      <c r="H1066" s="588"/>
      <c r="I1066" s="546"/>
      <c r="J1066" s="589"/>
      <c r="K1066" s="563" t="str">
        <f>IF(G1066&lt;&gt;0,VLOOKUP(G1066,'gia dat'!$A$1:$F$144,5,0)," ")</f>
        <v xml:space="preserve"> </v>
      </c>
      <c r="L1066" s="563" t="str">
        <f>IF(G1066&lt;&gt;0,VLOOKUP(G1066,'gia dat'!$A$1:$F$144,6,0)," ")</f>
        <v xml:space="preserve"> </v>
      </c>
      <c r="M1066" s="564" t="str">
        <f t="shared" si="227"/>
        <v xml:space="preserve"> </v>
      </c>
      <c r="N1066" s="564" t="str">
        <f t="shared" si="228"/>
        <v xml:space="preserve"> </v>
      </c>
      <c r="O1066" s="638"/>
      <c r="P1066" s="590"/>
      <c r="Q1066" s="564" t="str">
        <f>IF(O1066&lt;&gt;0,VLOOKUP(O1066,'Cây trong'!$A$2:$C$246,3,0)," ")</f>
        <v xml:space="preserve"> </v>
      </c>
      <c r="R1066" s="564" t="str">
        <f t="shared" si="231"/>
        <v xml:space="preserve"> </v>
      </c>
      <c r="S1066" s="638"/>
      <c r="T1066" s="639"/>
      <c r="U1066" s="591"/>
      <c r="V1066" s="589"/>
      <c r="W1066" s="564" t="str">
        <f>IF(S1066&lt;&gt;0,VLOOKUP(S1066,VKT!$A$2:$G$415,7,0),"")</f>
        <v/>
      </c>
      <c r="X1066" s="564" t="str">
        <f t="shared" si="224"/>
        <v xml:space="preserve"> </v>
      </c>
      <c r="Y1066" s="589"/>
      <c r="Z1066" s="592"/>
      <c r="AA1066" s="592"/>
      <c r="AB1066" s="568"/>
      <c r="AC1066" s="592"/>
      <c r="AD1066" s="592"/>
      <c r="AE1066" s="592"/>
      <c r="AF1066" s="590"/>
      <c r="AG1066" s="570" t="str">
        <f>IF(AE1066&lt;&gt;0,VLOOKUP(AE1066,ODDS!$A$2:$C$13,3,0),"")</f>
        <v/>
      </c>
      <c r="AH1066" s="570" t="str">
        <f t="shared" si="232"/>
        <v xml:space="preserve"> </v>
      </c>
      <c r="AI1066" s="571" t="str">
        <f t="shared" si="223"/>
        <v xml:space="preserve"> </v>
      </c>
      <c r="AJ1066" s="593"/>
      <c r="AK1066" s="593"/>
    </row>
    <row r="1067" spans="1:39" s="376" customFormat="1" ht="20.25" outlineLevel="2" x14ac:dyDescent="0.3">
      <c r="A1067" s="447">
        <f t="shared" si="230"/>
        <v>82</v>
      </c>
      <c r="B1067" s="557"/>
      <c r="C1067" s="574"/>
      <c r="D1067" s="587"/>
      <c r="E1067" s="587"/>
      <c r="F1067" s="560"/>
      <c r="G1067" s="558"/>
      <c r="H1067" s="588"/>
      <c r="I1067" s="546"/>
      <c r="J1067" s="589"/>
      <c r="K1067" s="563" t="str">
        <f>IF(G1067&lt;&gt;0,VLOOKUP(G1067,'gia dat'!$A$1:$F$144,5,0)," ")</f>
        <v xml:space="preserve"> </v>
      </c>
      <c r="L1067" s="563" t="str">
        <f>IF(G1067&lt;&gt;0,VLOOKUP(G1067,'gia dat'!$A$1:$F$144,6,0)," ")</f>
        <v xml:space="preserve"> </v>
      </c>
      <c r="M1067" s="564" t="str">
        <f t="shared" si="227"/>
        <v xml:space="preserve"> </v>
      </c>
      <c r="N1067" s="564" t="str">
        <f t="shared" si="228"/>
        <v xml:space="preserve"> </v>
      </c>
      <c r="O1067" s="558"/>
      <c r="P1067" s="590"/>
      <c r="Q1067" s="564" t="str">
        <f>IF(O1067&lt;&gt;0,VLOOKUP(O1067,'Cây trong'!$A$2:$C$246,3,0)," ")</f>
        <v xml:space="preserve"> </v>
      </c>
      <c r="R1067" s="564" t="str">
        <f t="shared" si="231"/>
        <v xml:space="preserve"> </v>
      </c>
      <c r="S1067" s="566"/>
      <c r="T1067" s="589"/>
      <c r="U1067" s="591"/>
      <c r="V1067" s="589"/>
      <c r="W1067" s="564" t="str">
        <f>IF(S1067&lt;&gt;0,VLOOKUP(S1067,VKT!$A$2:$G$415,7,0),"")</f>
        <v/>
      </c>
      <c r="X1067" s="564" t="str">
        <f t="shared" si="224"/>
        <v xml:space="preserve"> </v>
      </c>
      <c r="Y1067" s="589"/>
      <c r="Z1067" s="592"/>
      <c r="AA1067" s="592"/>
      <c r="AB1067" s="568"/>
      <c r="AC1067" s="592"/>
      <c r="AD1067" s="592"/>
      <c r="AE1067" s="592"/>
      <c r="AF1067" s="590"/>
      <c r="AG1067" s="570" t="str">
        <f>IF(AE1067&lt;&gt;0,VLOOKUP(AE1067,ODDS!$A$2:$C$13,3,0),"")</f>
        <v/>
      </c>
      <c r="AH1067" s="570" t="str">
        <f t="shared" si="232"/>
        <v xml:space="preserve"> </v>
      </c>
      <c r="AI1067" s="571" t="str">
        <f t="shared" si="223"/>
        <v xml:space="preserve"> </v>
      </c>
      <c r="AJ1067" s="593"/>
      <c r="AK1067" s="593"/>
    </row>
    <row r="1068" spans="1:39" s="376" customFormat="1" ht="20.25" outlineLevel="1" x14ac:dyDescent="0.25">
      <c r="A1068" s="467" t="s">
        <v>2627</v>
      </c>
      <c r="B1068" s="576">
        <v>83</v>
      </c>
      <c r="C1068" s="574" t="s">
        <v>50</v>
      </c>
      <c r="D1068" s="595"/>
      <c r="E1068" s="595"/>
      <c r="F1068" s="577"/>
      <c r="G1068" s="574"/>
      <c r="H1068" s="618">
        <f>SUBTOTAL(9,H1069:H1076)</f>
        <v>52.9</v>
      </c>
      <c r="I1068" s="579">
        <f>SUBTOTAL(9,I1069:I1074)</f>
        <v>52.9</v>
      </c>
      <c r="J1068" s="597"/>
      <c r="K1068" s="581"/>
      <c r="L1068" s="581"/>
      <c r="M1068" s="571">
        <f>SUBTOTAL(9,M1069:M1076)</f>
        <v>29328000</v>
      </c>
      <c r="N1068" s="571">
        <f>SUBTOTAL(9,N1069:N1076)</f>
        <v>87983000</v>
      </c>
      <c r="O1068" s="574"/>
      <c r="P1068" s="599">
        <f>SUBTOTAL(9,P1069:P1076)</f>
        <v>0</v>
      </c>
      <c r="Q1068" s="571"/>
      <c r="R1068" s="571">
        <f>SUBTOTAL(9,R1069:R1076)</f>
        <v>0</v>
      </c>
      <c r="S1068" s="673"/>
      <c r="T1068" s="674"/>
      <c r="U1068" s="600">
        <f>SUBTOTAL(9,U1069:U1076)</f>
        <v>0</v>
      </c>
      <c r="V1068" s="597"/>
      <c r="W1068" s="571"/>
      <c r="X1068" s="571">
        <f>SUBTOTAL(9,X1069:X1076)</f>
        <v>0</v>
      </c>
      <c r="Y1068" s="589"/>
      <c r="Z1068" s="592"/>
      <c r="AA1068" s="592"/>
      <c r="AB1068" s="568"/>
      <c r="AC1068" s="592"/>
      <c r="AD1068" s="592"/>
      <c r="AE1068" s="601"/>
      <c r="AF1068" s="599">
        <f>SUBTOTAL(9,AF1069:AF1076)</f>
        <v>0</v>
      </c>
      <c r="AG1068" s="585"/>
      <c r="AH1068" s="585">
        <f>SUBTOTAL(9,AH1069:AH1076)</f>
        <v>0</v>
      </c>
      <c r="AI1068" s="571">
        <f t="shared" si="223"/>
        <v>117311000</v>
      </c>
      <c r="AJ1068" s="574"/>
      <c r="AK1068" s="578"/>
    </row>
    <row r="1069" spans="1:39" s="376" customFormat="1" ht="121.5" outlineLevel="2" x14ac:dyDescent="0.3">
      <c r="A1069" s="447">
        <f>IF(B1068&lt;&gt;0,B1068,A1067)</f>
        <v>83</v>
      </c>
      <c r="B1069" s="557"/>
      <c r="C1069" s="558" t="s">
        <v>112</v>
      </c>
      <c r="D1069" s="587"/>
      <c r="E1069" s="587">
        <v>86</v>
      </c>
      <c r="F1069" s="560">
        <v>312</v>
      </c>
      <c r="G1069" s="558" t="s">
        <v>2885</v>
      </c>
      <c r="H1069" s="588">
        <v>52.9</v>
      </c>
      <c r="I1069" s="546">
        <f t="shared" ref="I1069" si="233">IF(N1069&gt;0,H1069,"")</f>
        <v>52.9</v>
      </c>
      <c r="J1069" s="589"/>
      <c r="K1069" s="563">
        <f>IF(G1069&lt;&gt;0,VLOOKUP(G1069,'gia dat'!$A$1:$F$144,5,0)," ")</f>
        <v>554400</v>
      </c>
      <c r="L1069" s="563">
        <f>IF(G1069&lt;&gt;0,VLOOKUP(G1069,'gia dat'!$A$1:$F$144,6,0)," ")</f>
        <v>1663200</v>
      </c>
      <c r="M1069" s="564">
        <f t="shared" si="227"/>
        <v>29328000</v>
      </c>
      <c r="N1069" s="564">
        <f t="shared" si="228"/>
        <v>87983000</v>
      </c>
      <c r="O1069" s="558"/>
      <c r="P1069" s="590"/>
      <c r="Q1069" s="564" t="str">
        <f>IF(O1069&lt;&gt;0,VLOOKUP(O1069,'Cây trong'!$A$2:$C$246,3,0)," ")</f>
        <v xml:space="preserve"> </v>
      </c>
      <c r="R1069" s="564" t="str">
        <f t="shared" si="231"/>
        <v xml:space="preserve"> </v>
      </c>
      <c r="S1069" s="638"/>
      <c r="T1069" s="639"/>
      <c r="U1069" s="591"/>
      <c r="V1069" s="589"/>
      <c r="W1069" s="564" t="str">
        <f>IF(S1069&lt;&gt;0,VLOOKUP(S1069,VKT!$A$2:$G$415,7,0),"")</f>
        <v/>
      </c>
      <c r="X1069" s="564" t="str">
        <f t="shared" si="224"/>
        <v xml:space="preserve"> </v>
      </c>
      <c r="Y1069" s="589"/>
      <c r="Z1069" s="592"/>
      <c r="AA1069" s="592"/>
      <c r="AB1069" s="568"/>
      <c r="AC1069" s="592"/>
      <c r="AD1069" s="592"/>
      <c r="AE1069" s="592"/>
      <c r="AF1069" s="590"/>
      <c r="AG1069" s="570" t="str">
        <f>IF(AE1069&lt;&gt;0,VLOOKUP(AE1069,ODDS!$A$2:$C$13,3,0),"")</f>
        <v/>
      </c>
      <c r="AH1069" s="570" t="str">
        <f t="shared" si="232"/>
        <v xml:space="preserve"> </v>
      </c>
      <c r="AI1069" s="571" t="str">
        <f t="shared" si="223"/>
        <v xml:space="preserve"> </v>
      </c>
      <c r="AJ1069" s="558" t="s">
        <v>718</v>
      </c>
      <c r="AK1069" s="586" t="s">
        <v>2771</v>
      </c>
    </row>
    <row r="1070" spans="1:39" s="376" customFormat="1" ht="101.25" outlineLevel="2" x14ac:dyDescent="0.3">
      <c r="A1070" s="447">
        <f t="shared" ref="A1070:A1076" si="234">IF(B1069&lt;&gt;0,B1069,A1069)</f>
        <v>83</v>
      </c>
      <c r="B1070" s="557"/>
      <c r="C1070" s="558" t="s">
        <v>642</v>
      </c>
      <c r="D1070" s="587"/>
      <c r="E1070" s="587"/>
      <c r="F1070" s="560"/>
      <c r="G1070" s="558"/>
      <c r="H1070" s="588"/>
      <c r="I1070" s="546"/>
      <c r="J1070" s="589"/>
      <c r="K1070" s="563" t="str">
        <f>IF(G1070&lt;&gt;0,VLOOKUP(G1070,'gia dat'!$A$1:$F$144,5,0)," ")</f>
        <v xml:space="preserve"> </v>
      </c>
      <c r="L1070" s="563" t="str">
        <f>IF(G1070&lt;&gt;0,VLOOKUP(G1070,'gia dat'!$A$1:$F$144,6,0)," ")</f>
        <v xml:space="preserve"> </v>
      </c>
      <c r="M1070" s="564" t="str">
        <f t="shared" si="227"/>
        <v xml:space="preserve"> </v>
      </c>
      <c r="N1070" s="564" t="str">
        <f t="shared" si="228"/>
        <v xml:space="preserve"> </v>
      </c>
      <c r="O1070" s="558"/>
      <c r="P1070" s="590"/>
      <c r="Q1070" s="564" t="str">
        <f>IF(O1070&lt;&gt;0,VLOOKUP(O1070,'Cây trong'!$A$2:$C$246,3,0)," ")</f>
        <v xml:space="preserve"> </v>
      </c>
      <c r="R1070" s="564" t="str">
        <f t="shared" si="231"/>
        <v xml:space="preserve"> </v>
      </c>
      <c r="S1070" s="566"/>
      <c r="T1070" s="589"/>
      <c r="U1070" s="591"/>
      <c r="V1070" s="589"/>
      <c r="W1070" s="564" t="str">
        <f>IF(S1070&lt;&gt;0,VLOOKUP(S1070,VKT!$A$2:$G$415,7,0),"")</f>
        <v/>
      </c>
      <c r="X1070" s="564" t="str">
        <f t="shared" si="224"/>
        <v xml:space="preserve"> </v>
      </c>
      <c r="Y1070" s="589"/>
      <c r="Z1070" s="592"/>
      <c r="AA1070" s="592"/>
      <c r="AB1070" s="568"/>
      <c r="AC1070" s="592"/>
      <c r="AD1070" s="592"/>
      <c r="AE1070" s="592"/>
      <c r="AF1070" s="590"/>
      <c r="AG1070" s="570" t="str">
        <f>IF(AE1070&lt;&gt;0,VLOOKUP(AE1070,ODDS!$A$2:$C$13,3,0),"")</f>
        <v/>
      </c>
      <c r="AH1070" s="570" t="str">
        <f t="shared" si="232"/>
        <v xml:space="preserve"> </v>
      </c>
      <c r="AI1070" s="571" t="str">
        <f t="shared" si="223"/>
        <v xml:space="preserve"> </v>
      </c>
      <c r="AJ1070" s="558" t="s">
        <v>616</v>
      </c>
      <c r="AK1070" s="558" t="s">
        <v>2448</v>
      </c>
    </row>
    <row r="1071" spans="1:39" s="376" customFormat="1" ht="60.75" outlineLevel="2" x14ac:dyDescent="0.3">
      <c r="A1071" s="447">
        <f t="shared" si="234"/>
        <v>83</v>
      </c>
      <c r="B1071" s="557"/>
      <c r="C1071" s="558"/>
      <c r="D1071" s="587"/>
      <c r="E1071" s="587"/>
      <c r="F1071" s="560"/>
      <c r="G1071" s="558"/>
      <c r="H1071" s="588"/>
      <c r="I1071" s="546"/>
      <c r="J1071" s="589"/>
      <c r="K1071" s="563" t="str">
        <f>IF(G1071&lt;&gt;0,VLOOKUP(G1071,'gia dat'!$A$1:$F$144,5,0)," ")</f>
        <v xml:space="preserve"> </v>
      </c>
      <c r="L1071" s="563" t="str">
        <f>IF(G1071&lt;&gt;0,VLOOKUP(G1071,'gia dat'!$A$1:$F$144,6,0)," ")</f>
        <v xml:space="preserve"> </v>
      </c>
      <c r="M1071" s="564" t="str">
        <f t="shared" si="227"/>
        <v xml:space="preserve"> </v>
      </c>
      <c r="N1071" s="564" t="str">
        <f t="shared" si="228"/>
        <v xml:space="preserve"> </v>
      </c>
      <c r="O1071" s="558"/>
      <c r="P1071" s="590"/>
      <c r="Q1071" s="564" t="str">
        <f>IF(O1071&lt;&gt;0,VLOOKUP(O1071,'Cây trong'!$A$2:$C$246,3,0)," ")</f>
        <v xml:space="preserve"> </v>
      </c>
      <c r="R1071" s="564" t="str">
        <f t="shared" si="231"/>
        <v xml:space="preserve"> </v>
      </c>
      <c r="S1071" s="566"/>
      <c r="T1071" s="589"/>
      <c r="U1071" s="591"/>
      <c r="V1071" s="589"/>
      <c r="W1071" s="564" t="str">
        <f>IF(S1071&lt;&gt;0,VLOOKUP(S1071,VKT!$A$2:$G$415,7,0),"")</f>
        <v/>
      </c>
      <c r="X1071" s="564" t="str">
        <f t="shared" si="224"/>
        <v xml:space="preserve"> </v>
      </c>
      <c r="Y1071" s="589"/>
      <c r="Z1071" s="592"/>
      <c r="AA1071" s="592"/>
      <c r="AB1071" s="568"/>
      <c r="AC1071" s="592"/>
      <c r="AD1071" s="592"/>
      <c r="AE1071" s="592"/>
      <c r="AF1071" s="590"/>
      <c r="AG1071" s="570" t="str">
        <f>IF(AE1071&lt;&gt;0,VLOOKUP(AE1071,ODDS!$A$2:$C$13,3,0),"")</f>
        <v/>
      </c>
      <c r="AH1071" s="570" t="str">
        <f t="shared" si="232"/>
        <v xml:space="preserve"> </v>
      </c>
      <c r="AI1071" s="571" t="str">
        <f t="shared" si="223"/>
        <v xml:space="preserve"> </v>
      </c>
      <c r="AJ1071" s="558" t="s">
        <v>2074</v>
      </c>
      <c r="AK1071" s="593"/>
    </row>
    <row r="1072" spans="1:39" s="376" customFormat="1" ht="20.25" outlineLevel="2" x14ac:dyDescent="0.3">
      <c r="A1072" s="447">
        <f t="shared" si="234"/>
        <v>83</v>
      </c>
      <c r="B1072" s="557"/>
      <c r="C1072" s="558"/>
      <c r="D1072" s="587"/>
      <c r="E1072" s="587"/>
      <c r="F1072" s="560"/>
      <c r="G1072" s="558"/>
      <c r="H1072" s="588"/>
      <c r="I1072" s="546"/>
      <c r="J1072" s="589"/>
      <c r="K1072" s="563" t="str">
        <f>IF(G1072&lt;&gt;0,VLOOKUP(G1072,'gia dat'!$A$1:$F$144,5,0)," ")</f>
        <v xml:space="preserve"> </v>
      </c>
      <c r="L1072" s="563" t="str">
        <f>IF(G1072&lt;&gt;0,VLOOKUP(G1072,'gia dat'!$A$1:$F$144,6,0)," ")</f>
        <v xml:space="preserve"> </v>
      </c>
      <c r="M1072" s="564" t="str">
        <f t="shared" si="227"/>
        <v xml:space="preserve"> </v>
      </c>
      <c r="N1072" s="564" t="str">
        <f t="shared" si="228"/>
        <v xml:space="preserve"> </v>
      </c>
      <c r="O1072" s="558"/>
      <c r="P1072" s="590"/>
      <c r="Q1072" s="564" t="str">
        <f>IF(O1072&lt;&gt;0,VLOOKUP(O1072,'Cây trong'!$A$2:$C$246,3,0)," ")</f>
        <v xml:space="preserve"> </v>
      </c>
      <c r="R1072" s="564" t="str">
        <f t="shared" si="231"/>
        <v xml:space="preserve"> </v>
      </c>
      <c r="S1072" s="566"/>
      <c r="T1072" s="589"/>
      <c r="U1072" s="591"/>
      <c r="V1072" s="589"/>
      <c r="W1072" s="564" t="str">
        <f>IF(S1072&lt;&gt;0,VLOOKUP(S1072,VKT!$A$2:$G$415,7,0),"")</f>
        <v/>
      </c>
      <c r="X1072" s="564" t="str">
        <f t="shared" si="224"/>
        <v xml:space="preserve"> </v>
      </c>
      <c r="Y1072" s="589"/>
      <c r="Z1072" s="592"/>
      <c r="AA1072" s="592"/>
      <c r="AB1072" s="568"/>
      <c r="AC1072" s="592"/>
      <c r="AD1072" s="592"/>
      <c r="AE1072" s="592"/>
      <c r="AF1072" s="590"/>
      <c r="AG1072" s="570" t="str">
        <f>IF(AE1072&lt;&gt;0,VLOOKUP(AE1072,ODDS!$A$2:$C$13,3,0),"")</f>
        <v/>
      </c>
      <c r="AH1072" s="570" t="str">
        <f t="shared" si="232"/>
        <v xml:space="preserve"> </v>
      </c>
      <c r="AI1072" s="571" t="str">
        <f t="shared" si="223"/>
        <v xml:space="preserve"> </v>
      </c>
      <c r="AJ1072" s="575"/>
      <c r="AK1072" s="593"/>
    </row>
    <row r="1073" spans="1:39" s="376" customFormat="1" ht="20.25" outlineLevel="2" x14ac:dyDescent="0.3">
      <c r="A1073" s="447">
        <f t="shared" si="234"/>
        <v>83</v>
      </c>
      <c r="B1073" s="557"/>
      <c r="C1073" s="558"/>
      <c r="D1073" s="587"/>
      <c r="E1073" s="587"/>
      <c r="F1073" s="560"/>
      <c r="G1073" s="558"/>
      <c r="H1073" s="588"/>
      <c r="I1073" s="546"/>
      <c r="J1073" s="589"/>
      <c r="K1073" s="563" t="str">
        <f>IF(G1073&lt;&gt;0,VLOOKUP(G1073,'gia dat'!$A$1:$F$144,5,0)," ")</f>
        <v xml:space="preserve"> </v>
      </c>
      <c r="L1073" s="563" t="str">
        <f>IF(G1073&lt;&gt;0,VLOOKUP(G1073,'gia dat'!$A$1:$F$144,6,0)," ")</f>
        <v xml:space="preserve"> </v>
      </c>
      <c r="M1073" s="564" t="str">
        <f t="shared" si="227"/>
        <v xml:space="preserve"> </v>
      </c>
      <c r="N1073" s="564" t="str">
        <f t="shared" si="228"/>
        <v xml:space="preserve"> </v>
      </c>
      <c r="O1073" s="558"/>
      <c r="P1073" s="590"/>
      <c r="Q1073" s="564" t="str">
        <f>IF(O1073&lt;&gt;0,VLOOKUP(O1073,'Cây trong'!$A$2:$C$246,3,0)," ")</f>
        <v xml:space="preserve"> </v>
      </c>
      <c r="R1073" s="564" t="str">
        <f t="shared" si="231"/>
        <v xml:space="preserve"> </v>
      </c>
      <c r="S1073" s="566"/>
      <c r="T1073" s="589"/>
      <c r="U1073" s="591"/>
      <c r="V1073" s="589"/>
      <c r="W1073" s="564" t="str">
        <f>IF(S1073&lt;&gt;0,VLOOKUP(S1073,VKT!$A$2:$G$415,7,0),"")</f>
        <v/>
      </c>
      <c r="X1073" s="564" t="str">
        <f t="shared" si="224"/>
        <v xml:space="preserve"> </v>
      </c>
      <c r="Y1073" s="589"/>
      <c r="Z1073" s="592"/>
      <c r="AA1073" s="592"/>
      <c r="AB1073" s="568"/>
      <c r="AC1073" s="592"/>
      <c r="AD1073" s="592"/>
      <c r="AE1073" s="592"/>
      <c r="AF1073" s="590"/>
      <c r="AG1073" s="570" t="str">
        <f>IF(AE1073&lt;&gt;0,VLOOKUP(AE1073,ODDS!$A$2:$C$13,3,0),"")</f>
        <v/>
      </c>
      <c r="AH1073" s="570" t="str">
        <f t="shared" si="232"/>
        <v xml:space="preserve"> </v>
      </c>
      <c r="AI1073" s="571" t="str">
        <f t="shared" si="223"/>
        <v xml:space="preserve"> </v>
      </c>
      <c r="AJ1073" s="593"/>
      <c r="AK1073" s="593"/>
    </row>
    <row r="1074" spans="1:39" s="376" customFormat="1" ht="20.25" outlineLevel="2" x14ac:dyDescent="0.3">
      <c r="A1074" s="447">
        <f t="shared" si="234"/>
        <v>83</v>
      </c>
      <c r="B1074" s="557"/>
      <c r="C1074" s="558"/>
      <c r="D1074" s="587"/>
      <c r="E1074" s="587"/>
      <c r="F1074" s="560"/>
      <c r="G1074" s="558"/>
      <c r="H1074" s="588"/>
      <c r="I1074" s="546"/>
      <c r="J1074" s="589"/>
      <c r="K1074" s="563" t="str">
        <f>IF(G1074&lt;&gt;0,VLOOKUP(G1074,'gia dat'!$A$1:$F$144,5,0)," ")</f>
        <v xml:space="preserve"> </v>
      </c>
      <c r="L1074" s="563" t="str">
        <f>IF(G1074&lt;&gt;0,VLOOKUP(G1074,'gia dat'!$A$1:$F$144,6,0)," ")</f>
        <v xml:space="preserve"> </v>
      </c>
      <c r="M1074" s="564" t="str">
        <f t="shared" si="227"/>
        <v xml:space="preserve"> </v>
      </c>
      <c r="N1074" s="564" t="str">
        <f t="shared" si="228"/>
        <v xml:space="preserve"> </v>
      </c>
      <c r="O1074" s="558"/>
      <c r="P1074" s="590"/>
      <c r="Q1074" s="564" t="str">
        <f>IF(O1074&lt;&gt;0,VLOOKUP(O1074,'Cây trong'!$A$2:$C$246,3,0)," ")</f>
        <v xml:space="preserve"> </v>
      </c>
      <c r="R1074" s="564" t="str">
        <f t="shared" si="231"/>
        <v xml:space="preserve"> </v>
      </c>
      <c r="S1074" s="566"/>
      <c r="T1074" s="589"/>
      <c r="U1074" s="591"/>
      <c r="V1074" s="589"/>
      <c r="W1074" s="564" t="str">
        <f>IF(S1074&lt;&gt;0,VLOOKUP(S1074,VKT!$A$2:$G$415,7,0),"")</f>
        <v/>
      </c>
      <c r="X1074" s="564" t="str">
        <f t="shared" si="224"/>
        <v xml:space="preserve"> </v>
      </c>
      <c r="Y1074" s="589"/>
      <c r="Z1074" s="592"/>
      <c r="AA1074" s="592"/>
      <c r="AB1074" s="568"/>
      <c r="AC1074" s="592"/>
      <c r="AD1074" s="592"/>
      <c r="AE1074" s="592"/>
      <c r="AF1074" s="590"/>
      <c r="AG1074" s="570" t="str">
        <f>IF(AE1074&lt;&gt;0,VLOOKUP(AE1074,ODDS!$A$2:$C$13,3,0),"")</f>
        <v/>
      </c>
      <c r="AH1074" s="570" t="str">
        <f t="shared" si="232"/>
        <v xml:space="preserve"> </v>
      </c>
      <c r="AI1074" s="571" t="str">
        <f t="shared" si="223"/>
        <v xml:space="preserve"> </v>
      </c>
      <c r="AJ1074" s="593"/>
      <c r="AK1074" s="593"/>
    </row>
    <row r="1075" spans="1:39" s="376" customFormat="1" ht="20.25" outlineLevel="2" x14ac:dyDescent="0.3">
      <c r="A1075" s="447">
        <f t="shared" si="234"/>
        <v>83</v>
      </c>
      <c r="B1075" s="557"/>
      <c r="C1075" s="637"/>
      <c r="D1075" s="587"/>
      <c r="E1075" s="587"/>
      <c r="F1075" s="560"/>
      <c r="G1075" s="558"/>
      <c r="H1075" s="588"/>
      <c r="I1075" s="546"/>
      <c r="J1075" s="589"/>
      <c r="K1075" s="563" t="str">
        <f>IF(G1075&lt;&gt;0,VLOOKUP(G1075,'gia dat'!$A$1:$F$144,5,0)," ")</f>
        <v xml:space="preserve"> </v>
      </c>
      <c r="L1075" s="563" t="str">
        <f>IF(G1075&lt;&gt;0,VLOOKUP(G1075,'gia dat'!$A$1:$F$144,6,0)," ")</f>
        <v xml:space="preserve"> </v>
      </c>
      <c r="M1075" s="564" t="str">
        <f t="shared" si="227"/>
        <v xml:space="preserve"> </v>
      </c>
      <c r="N1075" s="564" t="str">
        <f t="shared" si="228"/>
        <v xml:space="preserve"> </v>
      </c>
      <c r="O1075" s="558"/>
      <c r="P1075" s="590"/>
      <c r="Q1075" s="564" t="str">
        <f>IF(O1075&lt;&gt;0,VLOOKUP(O1075,'Cây trong'!$A$2:$C$246,3,0)," ")</f>
        <v xml:space="preserve"> </v>
      </c>
      <c r="R1075" s="564" t="str">
        <f t="shared" si="231"/>
        <v xml:space="preserve"> </v>
      </c>
      <c r="S1075" s="566"/>
      <c r="T1075" s="589"/>
      <c r="U1075" s="591"/>
      <c r="V1075" s="589"/>
      <c r="W1075" s="564" t="str">
        <f>IF(S1075&lt;&gt;0,VLOOKUP(S1075,VKT!$A$2:$G$415,7,0),"")</f>
        <v/>
      </c>
      <c r="X1075" s="564" t="str">
        <f t="shared" si="224"/>
        <v xml:space="preserve"> </v>
      </c>
      <c r="Y1075" s="589"/>
      <c r="Z1075" s="592"/>
      <c r="AA1075" s="592"/>
      <c r="AB1075" s="568"/>
      <c r="AC1075" s="592"/>
      <c r="AD1075" s="592"/>
      <c r="AE1075" s="592"/>
      <c r="AF1075" s="590"/>
      <c r="AG1075" s="570" t="str">
        <f>IF(AE1075&lt;&gt;0,VLOOKUP(AE1075,ODDS!$A$2:$C$13,3,0),"")</f>
        <v/>
      </c>
      <c r="AH1075" s="570" t="str">
        <f t="shared" si="232"/>
        <v xml:space="preserve"> </v>
      </c>
      <c r="AI1075" s="571" t="str">
        <f t="shared" si="223"/>
        <v xml:space="preserve"> </v>
      </c>
      <c r="AJ1075" s="593"/>
      <c r="AK1075" s="593"/>
    </row>
    <row r="1076" spans="1:39" s="376" customFormat="1" ht="20.25" outlineLevel="2" x14ac:dyDescent="0.3">
      <c r="A1076" s="447">
        <f t="shared" si="234"/>
        <v>83</v>
      </c>
      <c r="B1076" s="557"/>
      <c r="C1076" s="578"/>
      <c r="D1076" s="587"/>
      <c r="E1076" s="587"/>
      <c r="F1076" s="615"/>
      <c r="G1076" s="558"/>
      <c r="H1076" s="604"/>
      <c r="I1076" s="546"/>
      <c r="J1076" s="593"/>
      <c r="K1076" s="563" t="str">
        <f>IF(G1076&lt;&gt;0,VLOOKUP(G1076,'gia dat'!$A$1:$F$144,5,0)," ")</f>
        <v xml:space="preserve"> </v>
      </c>
      <c r="L1076" s="563" t="str">
        <f>IF(G1076&lt;&gt;0,VLOOKUP(G1076,'gia dat'!$A$1:$F$144,6,0)," ")</f>
        <v xml:space="preserve"> </v>
      </c>
      <c r="M1076" s="564" t="str">
        <f t="shared" si="227"/>
        <v xml:space="preserve"> </v>
      </c>
      <c r="N1076" s="564" t="str">
        <f t="shared" si="228"/>
        <v xml:space="preserve"> </v>
      </c>
      <c r="O1076" s="593"/>
      <c r="P1076" s="616"/>
      <c r="Q1076" s="564" t="str">
        <f>IF(O1076&lt;&gt;0,VLOOKUP(O1076,'Cây trong'!$A$2:$C$246,3,0)," ")</f>
        <v xml:space="preserve"> </v>
      </c>
      <c r="R1076" s="564" t="str">
        <f t="shared" si="231"/>
        <v xml:space="preserve"> </v>
      </c>
      <c r="S1076" s="593"/>
      <c r="T1076" s="593"/>
      <c r="U1076" s="617"/>
      <c r="V1076" s="589"/>
      <c r="W1076" s="564" t="str">
        <f>IF(S1076&lt;&gt;0,VLOOKUP(S1076,VKT!$A$2:$G$415,7,0),"")</f>
        <v/>
      </c>
      <c r="X1076" s="564" t="str">
        <f t="shared" si="224"/>
        <v xml:space="preserve"> </v>
      </c>
      <c r="Y1076" s="562"/>
      <c r="Z1076" s="562"/>
      <c r="AA1076" s="562"/>
      <c r="AB1076" s="562"/>
      <c r="AC1076" s="562"/>
      <c r="AD1076" s="562"/>
      <c r="AE1076" s="562"/>
      <c r="AF1076" s="690"/>
      <c r="AG1076" s="570" t="str">
        <f>IF(AE1076&lt;&gt;0,VLOOKUP(AE1076,ODDS!$A$2:$C$13,3,0),"")</f>
        <v/>
      </c>
      <c r="AH1076" s="570" t="str">
        <f t="shared" si="232"/>
        <v xml:space="preserve"> </v>
      </c>
      <c r="AI1076" s="571" t="str">
        <f t="shared" si="223"/>
        <v xml:space="preserve"> </v>
      </c>
      <c r="AJ1076" s="593"/>
      <c r="AK1076" s="593"/>
    </row>
    <row r="1077" spans="1:39" s="385" customFormat="1" ht="40.5" outlineLevel="1" x14ac:dyDescent="0.25">
      <c r="A1077" s="467" t="s">
        <v>2626</v>
      </c>
      <c r="B1077" s="576">
        <v>84</v>
      </c>
      <c r="C1077" s="578" t="s">
        <v>790</v>
      </c>
      <c r="D1077" s="691"/>
      <c r="E1077" s="691"/>
      <c r="F1077" s="691"/>
      <c r="G1077" s="578"/>
      <c r="H1077" s="692">
        <f>SUBTOTAL(9,H1078:H1100)</f>
        <v>303.3</v>
      </c>
      <c r="I1077" s="579">
        <f>SUBTOTAL(9,I1078:I1083)</f>
        <v>0</v>
      </c>
      <c r="J1077" s="693"/>
      <c r="K1077" s="581"/>
      <c r="L1077" s="581"/>
      <c r="M1077" s="571">
        <f>SUBTOTAL(9,M1078:M1100)</f>
        <v>114284000</v>
      </c>
      <c r="N1077" s="571">
        <f>SUBTOTAL(9,N1078:N1100)</f>
        <v>0</v>
      </c>
      <c r="O1077" s="598"/>
      <c r="P1077" s="633">
        <f>SUBTOTAL(9,P1078:P1100)</f>
        <v>20</v>
      </c>
      <c r="Q1077" s="571"/>
      <c r="R1077" s="571">
        <f>SUBTOTAL(9,R1078:R1100)</f>
        <v>10390000</v>
      </c>
      <c r="S1077" s="578"/>
      <c r="T1077" s="597"/>
      <c r="U1077" s="600">
        <f>SUBTOTAL(9,U1078:U1100)</f>
        <v>664.18</v>
      </c>
      <c r="V1077" s="608"/>
      <c r="W1077" s="571"/>
      <c r="X1077" s="571">
        <f>SUBTOTAL(9,X1078:X1100)</f>
        <v>0</v>
      </c>
      <c r="Y1077" s="683"/>
      <c r="Z1077" s="683"/>
      <c r="AA1077" s="683"/>
      <c r="AB1077" s="694"/>
      <c r="AC1077" s="683"/>
      <c r="AD1077" s="683"/>
      <c r="AE1077" s="695"/>
      <c r="AF1077" s="599">
        <f>SUBTOTAL(9,AF1078:AF1100)</f>
        <v>0</v>
      </c>
      <c r="AG1077" s="585"/>
      <c r="AH1077" s="585">
        <f>SUBTOTAL(9,AH1078:AH1100)</f>
        <v>0</v>
      </c>
      <c r="AI1077" s="571">
        <f t="shared" si="223"/>
        <v>124674000</v>
      </c>
      <c r="AJ1077" s="574"/>
      <c r="AK1077" s="578"/>
      <c r="AL1077" s="472"/>
    </row>
    <row r="1078" spans="1:39" s="385" customFormat="1" ht="121.5" outlineLevel="2" x14ac:dyDescent="0.3">
      <c r="A1078" s="447">
        <f>IF(B1077&lt;&gt;0,B1077,A1076)</f>
        <v>84</v>
      </c>
      <c r="B1078" s="557"/>
      <c r="C1078" s="586" t="s">
        <v>796</v>
      </c>
      <c r="D1078" s="696">
        <v>3</v>
      </c>
      <c r="E1078" s="696">
        <v>86</v>
      </c>
      <c r="F1078" s="696">
        <v>203</v>
      </c>
      <c r="G1078" s="586" t="s">
        <v>2427</v>
      </c>
      <c r="H1078" s="697">
        <v>287</v>
      </c>
      <c r="I1078" s="546" t="str">
        <f t="shared" ref="I1078:I1080" si="235">IF(N1078&gt;0,H1078,"")</f>
        <v/>
      </c>
      <c r="J1078" s="698"/>
      <c r="K1078" s="563">
        <f>IF(G1078&lt;&gt;0,VLOOKUP(G1078,'gia dat'!$A$1:$F$144,5,0)," ")</f>
        <v>376800</v>
      </c>
      <c r="L1078" s="563">
        <f>IF(G1078&lt;&gt;0,VLOOKUP(G1078,'gia dat'!$A$1:$F$144,6,0)," ")</f>
        <v>0</v>
      </c>
      <c r="M1078" s="564">
        <f t="shared" si="227"/>
        <v>108142000</v>
      </c>
      <c r="N1078" s="564">
        <f t="shared" si="228"/>
        <v>0</v>
      </c>
      <c r="O1078" s="565" t="s">
        <v>792</v>
      </c>
      <c r="P1078" s="630">
        <v>1</v>
      </c>
      <c r="Q1078" s="564">
        <f>IF(O1078&lt;&gt;0,VLOOKUP(O1078,'Cây trong'!$A$2:$C$246,3,0)," ")</f>
        <v>60000</v>
      </c>
      <c r="R1078" s="564">
        <f>IF(O1078&lt;&gt;0,ROUND(P1078*Q1078,-2)," ")</f>
        <v>60000</v>
      </c>
      <c r="S1078" s="586" t="s">
        <v>1748</v>
      </c>
      <c r="T1078" s="589" t="s">
        <v>2804</v>
      </c>
      <c r="U1078" s="591">
        <v>16.25</v>
      </c>
      <c r="V1078" s="593"/>
      <c r="W1078" s="564"/>
      <c r="X1078" s="564">
        <f t="shared" si="224"/>
        <v>0</v>
      </c>
      <c r="Y1078" s="683"/>
      <c r="Z1078" s="683"/>
      <c r="AA1078" s="683"/>
      <c r="AB1078" s="694"/>
      <c r="AC1078" s="683"/>
      <c r="AD1078" s="683"/>
      <c r="AE1078" s="694"/>
      <c r="AF1078" s="590"/>
      <c r="AG1078" s="570" t="str">
        <f>IF(AE1078&lt;&gt;0,VLOOKUP(AE1078,ODDS!$A$2:$C$13,3,0),"")</f>
        <v/>
      </c>
      <c r="AH1078" s="570"/>
      <c r="AI1078" s="571" t="str">
        <f t="shared" si="223"/>
        <v xml:space="preserve"> </v>
      </c>
      <c r="AJ1078" s="558" t="s">
        <v>794</v>
      </c>
      <c r="AK1078" s="586" t="s">
        <v>2771</v>
      </c>
      <c r="AL1078" s="436" t="s">
        <v>811</v>
      </c>
      <c r="AM1078" s="385" t="s">
        <v>2138</v>
      </c>
    </row>
    <row r="1079" spans="1:39" s="385" customFormat="1" ht="121.5" outlineLevel="2" x14ac:dyDescent="0.3">
      <c r="A1079" s="447">
        <f t="shared" ref="A1079:A1100" si="236">IF(B1078&lt;&gt;0,B1078,A1078)</f>
        <v>84</v>
      </c>
      <c r="B1079" s="557"/>
      <c r="C1079" s="586" t="s">
        <v>1653</v>
      </c>
      <c r="D1079" s="696"/>
      <c r="E1079" s="696">
        <v>86</v>
      </c>
      <c r="F1079" s="696">
        <v>203</v>
      </c>
      <c r="G1079" s="586" t="s">
        <v>2428</v>
      </c>
      <c r="H1079" s="697">
        <v>14.200000000000001</v>
      </c>
      <c r="I1079" s="546" t="str">
        <f t="shared" si="235"/>
        <v/>
      </c>
      <c r="J1079" s="698"/>
      <c r="K1079" s="563">
        <f>IF(G1079&lt;&gt;0,VLOOKUP(G1079,'gia dat'!$A$1:$F$144,5,0)," ")</f>
        <v>376800</v>
      </c>
      <c r="L1079" s="563">
        <f>IF(G1079&lt;&gt;0,VLOOKUP(G1079,'gia dat'!$A$1:$F$144,6,0)," ")</f>
        <v>0</v>
      </c>
      <c r="M1079" s="564">
        <f t="shared" si="227"/>
        <v>5351000</v>
      </c>
      <c r="N1079" s="564">
        <f t="shared" si="228"/>
        <v>0</v>
      </c>
      <c r="O1079" s="586" t="s">
        <v>798</v>
      </c>
      <c r="P1079" s="630">
        <v>1</v>
      </c>
      <c r="Q1079" s="564">
        <f>IF(O1079&lt;&gt;0,VLOOKUP(O1079,'Cây trong'!$A$2:$C$246,3,0)," ")</f>
        <v>32000</v>
      </c>
      <c r="R1079" s="564">
        <f t="shared" si="231"/>
        <v>32000</v>
      </c>
      <c r="S1079" s="566" t="s">
        <v>1749</v>
      </c>
      <c r="T1079" s="589" t="s">
        <v>2804</v>
      </c>
      <c r="U1079" s="591">
        <v>16.25</v>
      </c>
      <c r="V1079" s="593"/>
      <c r="W1079" s="564"/>
      <c r="X1079" s="564">
        <f t="shared" si="224"/>
        <v>0</v>
      </c>
      <c r="Y1079" s="683"/>
      <c r="Z1079" s="683"/>
      <c r="AA1079" s="683"/>
      <c r="AB1079" s="694"/>
      <c r="AC1079" s="683"/>
      <c r="AD1079" s="683"/>
      <c r="AE1079" s="683"/>
      <c r="AF1079" s="590"/>
      <c r="AG1079" s="570" t="str">
        <f>IF(AE1079&lt;&gt;0,VLOOKUP(AE1079,ODDS!$A$2:$C$13,3,0),"")</f>
        <v/>
      </c>
      <c r="AH1079" s="570" t="str">
        <f t="shared" si="232"/>
        <v xml:space="preserve"> </v>
      </c>
      <c r="AI1079" s="571" t="str">
        <f t="shared" si="223"/>
        <v xml:space="preserve"> </v>
      </c>
      <c r="AJ1079" s="558" t="s">
        <v>2805</v>
      </c>
      <c r="AK1079" s="558" t="s">
        <v>2450</v>
      </c>
    </row>
    <row r="1080" spans="1:39" s="385" customFormat="1" ht="101.25" outlineLevel="2" x14ac:dyDescent="0.3">
      <c r="A1080" s="447">
        <f t="shared" si="236"/>
        <v>84</v>
      </c>
      <c r="B1080" s="557"/>
      <c r="C1080" s="593" t="s">
        <v>807</v>
      </c>
      <c r="D1080" s="696"/>
      <c r="E1080" s="696"/>
      <c r="F1080" s="696"/>
      <c r="G1080" s="586" t="s">
        <v>2429</v>
      </c>
      <c r="H1080" s="699">
        <v>2.1</v>
      </c>
      <c r="I1080" s="546" t="str">
        <f t="shared" si="235"/>
        <v/>
      </c>
      <c r="J1080" s="698"/>
      <c r="K1080" s="563">
        <f>IF(G1080&lt;&gt;0,VLOOKUP(G1080,'gia dat'!$A$1:$F$144,5,0)," ")</f>
        <v>376800</v>
      </c>
      <c r="L1080" s="563">
        <f>IF(G1080&lt;&gt;0,VLOOKUP(G1080,'gia dat'!$A$1:$F$144,6,0)," ")</f>
        <v>0</v>
      </c>
      <c r="M1080" s="564">
        <f t="shared" si="227"/>
        <v>791000</v>
      </c>
      <c r="N1080" s="564">
        <f t="shared" si="228"/>
        <v>0</v>
      </c>
      <c r="O1080" s="558" t="s">
        <v>802</v>
      </c>
      <c r="P1080" s="630">
        <v>1</v>
      </c>
      <c r="Q1080" s="564">
        <f>IF(O1080&lt;&gt;0,VLOOKUP(O1080,'Cây trong'!$A$2:$C$246,3,0)," ")</f>
        <v>60000</v>
      </c>
      <c r="R1080" s="564">
        <f t="shared" si="231"/>
        <v>60000</v>
      </c>
      <c r="S1080" s="566" t="s">
        <v>1750</v>
      </c>
      <c r="T1080" s="589" t="s">
        <v>2804</v>
      </c>
      <c r="U1080" s="591">
        <v>42.25</v>
      </c>
      <c r="V1080" s="593"/>
      <c r="W1080" s="564"/>
      <c r="X1080" s="564">
        <f t="shared" si="224"/>
        <v>0</v>
      </c>
      <c r="Y1080" s="683"/>
      <c r="Z1080" s="683"/>
      <c r="AA1080" s="683"/>
      <c r="AB1080" s="694"/>
      <c r="AC1080" s="683"/>
      <c r="AD1080" s="683"/>
      <c r="AE1080" s="683"/>
      <c r="AF1080" s="590"/>
      <c r="AG1080" s="570" t="str">
        <f>IF(AE1080&lt;&gt;0,VLOOKUP(AE1080,ODDS!$A$2:$C$13,3,0),"")</f>
        <v/>
      </c>
      <c r="AH1080" s="570" t="str">
        <f t="shared" si="232"/>
        <v xml:space="preserve"> </v>
      </c>
      <c r="AI1080" s="571" t="str">
        <f t="shared" si="223"/>
        <v xml:space="preserve"> </v>
      </c>
      <c r="AJ1080" s="593" t="s">
        <v>398</v>
      </c>
      <c r="AK1080" s="558" t="s">
        <v>2449</v>
      </c>
    </row>
    <row r="1081" spans="1:39" s="385" customFormat="1" ht="125.25" outlineLevel="2" x14ac:dyDescent="0.3">
      <c r="A1081" s="447">
        <f t="shared" si="236"/>
        <v>84</v>
      </c>
      <c r="B1081" s="557"/>
      <c r="C1081" s="558"/>
      <c r="D1081" s="615"/>
      <c r="E1081" s="615"/>
      <c r="F1081" s="700"/>
      <c r="G1081" s="586"/>
      <c r="H1081" s="701"/>
      <c r="I1081" s="546"/>
      <c r="J1081" s="593"/>
      <c r="K1081" s="563" t="str">
        <f>IF(G1081&lt;&gt;0,VLOOKUP(G1081,'gia dat'!$A$1:$F$144,5,0)," ")</f>
        <v xml:space="preserve"> </v>
      </c>
      <c r="L1081" s="563" t="str">
        <f>IF(G1081&lt;&gt;0,VLOOKUP(G1081,'gia dat'!$A$1:$F$144,6,0)," ")</f>
        <v xml:space="preserve"> </v>
      </c>
      <c r="M1081" s="564" t="str">
        <f t="shared" si="227"/>
        <v xml:space="preserve"> </v>
      </c>
      <c r="N1081" s="564" t="str">
        <f t="shared" si="228"/>
        <v xml:space="preserve"> </v>
      </c>
      <c r="O1081" s="558" t="s">
        <v>806</v>
      </c>
      <c r="P1081" s="630">
        <v>1</v>
      </c>
      <c r="Q1081" s="564">
        <f>IF(O1081&lt;&gt;0,VLOOKUP(O1081,'Cây trong'!$A$2:$C$246,3,0)," ")</f>
        <v>360000</v>
      </c>
      <c r="R1081" s="564">
        <f t="shared" si="231"/>
        <v>360000</v>
      </c>
      <c r="S1081" s="586" t="s">
        <v>1748</v>
      </c>
      <c r="T1081" s="589" t="s">
        <v>2804</v>
      </c>
      <c r="U1081" s="591">
        <v>8.1999999999999993</v>
      </c>
      <c r="V1081" s="593"/>
      <c r="W1081" s="564"/>
      <c r="X1081" s="564">
        <f t="shared" si="224"/>
        <v>0</v>
      </c>
      <c r="Y1081" s="683"/>
      <c r="Z1081" s="683"/>
      <c r="AA1081" s="683"/>
      <c r="AB1081" s="694"/>
      <c r="AC1081" s="683"/>
      <c r="AD1081" s="683"/>
      <c r="AE1081" s="683"/>
      <c r="AF1081" s="590"/>
      <c r="AG1081" s="570" t="str">
        <f>IF(AE1081&lt;&gt;0,VLOOKUP(AE1081,ODDS!$A$2:$C$13,3,0),"")</f>
        <v/>
      </c>
      <c r="AH1081" s="570" t="str">
        <f t="shared" si="232"/>
        <v xml:space="preserve"> </v>
      </c>
      <c r="AI1081" s="571" t="str">
        <f t="shared" si="223"/>
        <v xml:space="preserve"> </v>
      </c>
      <c r="AJ1081" s="558" t="s">
        <v>2806</v>
      </c>
      <c r="AK1081" s="566" t="s">
        <v>2800</v>
      </c>
    </row>
    <row r="1082" spans="1:39" s="385" customFormat="1" ht="101.25" outlineLevel="2" x14ac:dyDescent="0.3">
      <c r="A1082" s="447">
        <f t="shared" si="236"/>
        <v>84</v>
      </c>
      <c r="B1082" s="557"/>
      <c r="C1082" s="558"/>
      <c r="D1082" s="615"/>
      <c r="E1082" s="615"/>
      <c r="F1082" s="700"/>
      <c r="G1082" s="558"/>
      <c r="H1082" s="702"/>
      <c r="I1082" s="546"/>
      <c r="J1082" s="589"/>
      <c r="K1082" s="563" t="str">
        <f>IF(G1082&lt;&gt;0,VLOOKUP(G1082,'gia dat'!$A$1:$F$144,5,0)," ")</f>
        <v xml:space="preserve"> </v>
      </c>
      <c r="L1082" s="563" t="str">
        <f>IF(G1082&lt;&gt;0,VLOOKUP(G1082,'gia dat'!$A$1:$F$144,6,0)," ")</f>
        <v xml:space="preserve"> </v>
      </c>
      <c r="M1082" s="564" t="str">
        <f t="shared" si="227"/>
        <v xml:space="preserve"> </v>
      </c>
      <c r="N1082" s="564" t="str">
        <f t="shared" si="228"/>
        <v xml:space="preserve"> </v>
      </c>
      <c r="O1082" s="558" t="s">
        <v>757</v>
      </c>
      <c r="P1082" s="630">
        <v>1</v>
      </c>
      <c r="Q1082" s="564">
        <f>IF(O1082&lt;&gt;0,VLOOKUP(O1082,'Cây trong'!$A$2:$C$246,3,0)," ")</f>
        <v>360000</v>
      </c>
      <c r="R1082" s="564">
        <f t="shared" si="231"/>
        <v>360000</v>
      </c>
      <c r="S1082" s="566" t="s">
        <v>1749</v>
      </c>
      <c r="T1082" s="589" t="s">
        <v>2804</v>
      </c>
      <c r="U1082" s="591">
        <v>8.1999999999999993</v>
      </c>
      <c r="V1082" s="593"/>
      <c r="W1082" s="564"/>
      <c r="X1082" s="564">
        <f t="shared" si="224"/>
        <v>0</v>
      </c>
      <c r="Y1082" s="683"/>
      <c r="Z1082" s="683"/>
      <c r="AA1082" s="683"/>
      <c r="AB1082" s="694"/>
      <c r="AC1082" s="683"/>
      <c r="AD1082" s="683"/>
      <c r="AE1082" s="683"/>
      <c r="AF1082" s="590"/>
      <c r="AG1082" s="570" t="str">
        <f>IF(AE1082&lt;&gt;0,VLOOKUP(AE1082,ODDS!$A$2:$C$13,3,0),"")</f>
        <v/>
      </c>
      <c r="AH1082" s="570" t="str">
        <f t="shared" si="232"/>
        <v xml:space="preserve"> </v>
      </c>
      <c r="AI1082" s="571" t="str">
        <f t="shared" si="223"/>
        <v xml:space="preserve"> </v>
      </c>
      <c r="AJ1082" s="558" t="s">
        <v>2218</v>
      </c>
      <c r="AK1082" s="566"/>
    </row>
    <row r="1083" spans="1:39" s="385" customFormat="1" ht="60.75" outlineLevel="2" x14ac:dyDescent="0.3">
      <c r="A1083" s="447">
        <f t="shared" si="236"/>
        <v>84</v>
      </c>
      <c r="B1083" s="557"/>
      <c r="C1083" s="558"/>
      <c r="D1083" s="703"/>
      <c r="E1083" s="615"/>
      <c r="F1083" s="700"/>
      <c r="G1083" s="558"/>
      <c r="H1083" s="702"/>
      <c r="I1083" s="546"/>
      <c r="J1083" s="698"/>
      <c r="K1083" s="563" t="str">
        <f>IF(G1083&lt;&gt;0,VLOOKUP(G1083,'gia dat'!$A$1:$F$144,5,0)," ")</f>
        <v xml:space="preserve"> </v>
      </c>
      <c r="L1083" s="563" t="str">
        <f>IF(G1083&lt;&gt;0,VLOOKUP(G1083,'gia dat'!$A$1:$F$144,6,0)," ")</f>
        <v xml:space="preserve"> </v>
      </c>
      <c r="M1083" s="564" t="str">
        <f t="shared" si="227"/>
        <v xml:space="preserve"> </v>
      </c>
      <c r="N1083" s="564" t="str">
        <f t="shared" si="228"/>
        <v xml:space="preserve"> </v>
      </c>
      <c r="O1083" s="558" t="s">
        <v>757</v>
      </c>
      <c r="P1083" s="630">
        <v>2</v>
      </c>
      <c r="Q1083" s="564">
        <f>IF(O1083&lt;&gt;0,VLOOKUP(O1083,'Cây trong'!$A$2:$C$246,3,0)," ")</f>
        <v>360000</v>
      </c>
      <c r="R1083" s="564">
        <f t="shared" si="231"/>
        <v>720000</v>
      </c>
      <c r="S1083" s="566" t="s">
        <v>1750</v>
      </c>
      <c r="T1083" s="589" t="s">
        <v>2804</v>
      </c>
      <c r="U1083" s="591">
        <v>52.89</v>
      </c>
      <c r="V1083" s="593"/>
      <c r="W1083" s="564"/>
      <c r="X1083" s="564">
        <f t="shared" si="224"/>
        <v>0</v>
      </c>
      <c r="Y1083" s="683"/>
      <c r="Z1083" s="683"/>
      <c r="AA1083" s="683"/>
      <c r="AB1083" s="694"/>
      <c r="AC1083" s="683"/>
      <c r="AD1083" s="683"/>
      <c r="AE1083" s="683"/>
      <c r="AF1083" s="590"/>
      <c r="AG1083" s="570" t="str">
        <f>IF(AE1083&lt;&gt;0,VLOOKUP(AE1083,ODDS!$A$2:$C$13,3,0),"")</f>
        <v/>
      </c>
      <c r="AH1083" s="570" t="str">
        <f t="shared" si="232"/>
        <v xml:space="preserve"> </v>
      </c>
      <c r="AI1083" s="571" t="str">
        <f t="shared" si="223"/>
        <v xml:space="preserve"> </v>
      </c>
      <c r="AJ1083" s="704"/>
      <c r="AK1083" s="566"/>
    </row>
    <row r="1084" spans="1:39" s="385" customFormat="1" ht="60.75" outlineLevel="2" x14ac:dyDescent="0.3">
      <c r="A1084" s="447">
        <f t="shared" si="236"/>
        <v>84</v>
      </c>
      <c r="B1084" s="557"/>
      <c r="C1084" s="572"/>
      <c r="D1084" s="703"/>
      <c r="E1084" s="615"/>
      <c r="F1084" s="700"/>
      <c r="G1084" s="586"/>
      <c r="H1084" s="702"/>
      <c r="I1084" s="546"/>
      <c r="J1084" s="698"/>
      <c r="K1084" s="563" t="str">
        <f>IF(G1084&lt;&gt;0,VLOOKUP(G1084,'gia dat'!$A$1:$F$144,5,0)," ")</f>
        <v xml:space="preserve"> </v>
      </c>
      <c r="L1084" s="563" t="str">
        <f>IF(G1084&lt;&gt;0,VLOOKUP(G1084,'gia dat'!$A$1:$F$144,6,0)," ")</f>
        <v xml:space="preserve"> </v>
      </c>
      <c r="M1084" s="564" t="str">
        <f t="shared" si="227"/>
        <v xml:space="preserve"> </v>
      </c>
      <c r="N1084" s="564" t="str">
        <f t="shared" si="228"/>
        <v xml:space="preserve"> </v>
      </c>
      <c r="O1084" s="565" t="s">
        <v>67</v>
      </c>
      <c r="P1084" s="630">
        <v>2</v>
      </c>
      <c r="Q1084" s="564">
        <f>IF(O1084&lt;&gt;0,VLOOKUP(O1084,'Cây trong'!$A$2:$C$246,3,0)," ")</f>
        <v>494000</v>
      </c>
      <c r="R1084" s="564">
        <f t="shared" si="231"/>
        <v>988000</v>
      </c>
      <c r="S1084" s="566" t="s">
        <v>1750</v>
      </c>
      <c r="T1084" s="589" t="s">
        <v>2804</v>
      </c>
      <c r="U1084" s="591">
        <v>91.4</v>
      </c>
      <c r="V1084" s="593"/>
      <c r="W1084" s="564"/>
      <c r="X1084" s="564">
        <f t="shared" si="224"/>
        <v>0</v>
      </c>
      <c r="Y1084" s="683"/>
      <c r="Z1084" s="683"/>
      <c r="AA1084" s="683"/>
      <c r="AB1084" s="694"/>
      <c r="AC1084" s="683"/>
      <c r="AD1084" s="683"/>
      <c r="AE1084" s="683"/>
      <c r="AF1084" s="590"/>
      <c r="AG1084" s="570" t="str">
        <f>IF(AE1084&lt;&gt;0,VLOOKUP(AE1084,ODDS!$A$2:$C$13,3,0),"")</f>
        <v/>
      </c>
      <c r="AH1084" s="570" t="str">
        <f t="shared" si="232"/>
        <v xml:space="preserve"> </v>
      </c>
      <c r="AI1084" s="571" t="str">
        <f t="shared" si="223"/>
        <v xml:space="preserve"> </v>
      </c>
      <c r="AJ1084" s="704"/>
      <c r="AK1084" s="593"/>
    </row>
    <row r="1085" spans="1:39" s="385" customFormat="1" ht="60.75" outlineLevel="2" x14ac:dyDescent="0.3">
      <c r="A1085" s="447">
        <f t="shared" si="236"/>
        <v>84</v>
      </c>
      <c r="B1085" s="557"/>
      <c r="C1085" s="558"/>
      <c r="D1085" s="615"/>
      <c r="E1085" s="615"/>
      <c r="F1085" s="700"/>
      <c r="G1085" s="558"/>
      <c r="H1085" s="702"/>
      <c r="I1085" s="546"/>
      <c r="J1085" s="698"/>
      <c r="K1085" s="563" t="str">
        <f>IF(G1085&lt;&gt;0,VLOOKUP(G1085,'gia dat'!$A$1:$F$144,5,0)," ")</f>
        <v xml:space="preserve"> </v>
      </c>
      <c r="L1085" s="563" t="str">
        <f>IF(G1085&lt;&gt;0,VLOOKUP(G1085,'gia dat'!$A$1:$F$144,6,0)," ")</f>
        <v xml:space="preserve"> </v>
      </c>
      <c r="M1085" s="564" t="str">
        <f t="shared" si="227"/>
        <v xml:space="preserve"> </v>
      </c>
      <c r="N1085" s="564" t="str">
        <f t="shared" si="228"/>
        <v xml:space="preserve"> </v>
      </c>
      <c r="O1085" s="558" t="s">
        <v>145</v>
      </c>
      <c r="P1085" s="630">
        <v>1</v>
      </c>
      <c r="Q1085" s="564">
        <f>IF(O1085&lt;&gt;0,VLOOKUP(O1085,'Cây trong'!$A$2:$C$246,3,0)," ")</f>
        <v>4240000</v>
      </c>
      <c r="R1085" s="564">
        <f t="shared" si="231"/>
        <v>4240000</v>
      </c>
      <c r="S1085" s="566" t="s">
        <v>1751</v>
      </c>
      <c r="T1085" s="589" t="s">
        <v>2804</v>
      </c>
      <c r="U1085" s="591">
        <v>9.6</v>
      </c>
      <c r="V1085" s="593"/>
      <c r="W1085" s="564"/>
      <c r="X1085" s="564">
        <f t="shared" si="224"/>
        <v>0</v>
      </c>
      <c r="Y1085" s="683"/>
      <c r="Z1085" s="683"/>
      <c r="AA1085" s="683"/>
      <c r="AB1085" s="694"/>
      <c r="AC1085" s="683"/>
      <c r="AD1085" s="683"/>
      <c r="AE1085" s="683"/>
      <c r="AF1085" s="590"/>
      <c r="AG1085" s="570" t="str">
        <f>IF(AE1085&lt;&gt;0,VLOOKUP(AE1085,ODDS!$A$2:$C$13,3,0),"")</f>
        <v/>
      </c>
      <c r="AH1085" s="570" t="str">
        <f t="shared" si="232"/>
        <v xml:space="preserve"> </v>
      </c>
      <c r="AI1085" s="571" t="str">
        <f t="shared" si="223"/>
        <v xml:space="preserve"> </v>
      </c>
      <c r="AJ1085" s="586"/>
      <c r="AK1085" s="586"/>
    </row>
    <row r="1086" spans="1:39" s="385" customFormat="1" ht="40.5" outlineLevel="2" x14ac:dyDescent="0.3">
      <c r="A1086" s="447">
        <f t="shared" si="236"/>
        <v>84</v>
      </c>
      <c r="B1086" s="557"/>
      <c r="C1086" s="558"/>
      <c r="D1086" s="615"/>
      <c r="E1086" s="615"/>
      <c r="F1086" s="700"/>
      <c r="G1086" s="558"/>
      <c r="H1086" s="702"/>
      <c r="I1086" s="546"/>
      <c r="J1086" s="698"/>
      <c r="K1086" s="563" t="str">
        <f>IF(G1086&lt;&gt;0,VLOOKUP(G1086,'gia dat'!$A$1:$F$144,5,0)," ")</f>
        <v xml:space="preserve"> </v>
      </c>
      <c r="L1086" s="563" t="str">
        <f>IF(G1086&lt;&gt;0,VLOOKUP(G1086,'gia dat'!$A$1:$F$144,6,0)," ")</f>
        <v xml:space="preserve"> </v>
      </c>
      <c r="M1086" s="564" t="str">
        <f t="shared" si="227"/>
        <v xml:space="preserve"> </v>
      </c>
      <c r="N1086" s="564" t="str">
        <f t="shared" si="228"/>
        <v xml:space="preserve"> </v>
      </c>
      <c r="O1086" s="558" t="s">
        <v>77</v>
      </c>
      <c r="P1086" s="630">
        <v>1</v>
      </c>
      <c r="Q1086" s="564">
        <f>IF(O1086&lt;&gt;0,VLOOKUP(O1086,'Cây trong'!$A$2:$C$246,3,0)," ")</f>
        <v>3064000</v>
      </c>
      <c r="R1086" s="564">
        <f t="shared" si="231"/>
        <v>3064000</v>
      </c>
      <c r="S1086" s="566" t="s">
        <v>1752</v>
      </c>
      <c r="T1086" s="589" t="s">
        <v>2804</v>
      </c>
      <c r="U1086" s="591">
        <v>117.6</v>
      </c>
      <c r="V1086" s="593"/>
      <c r="W1086" s="564"/>
      <c r="X1086" s="564">
        <f t="shared" si="224"/>
        <v>0</v>
      </c>
      <c r="Y1086" s="683"/>
      <c r="Z1086" s="683"/>
      <c r="AA1086" s="683"/>
      <c r="AB1086" s="694"/>
      <c r="AC1086" s="683"/>
      <c r="AD1086" s="683"/>
      <c r="AE1086" s="683"/>
      <c r="AF1086" s="590"/>
      <c r="AG1086" s="570" t="str">
        <f>IF(AE1086&lt;&gt;0,VLOOKUP(AE1086,ODDS!$A$2:$C$13,3,0),"")</f>
        <v/>
      </c>
      <c r="AH1086" s="570" t="str">
        <f t="shared" si="232"/>
        <v xml:space="preserve"> </v>
      </c>
      <c r="AI1086" s="571" t="str">
        <f t="shared" si="223"/>
        <v xml:space="preserve"> </v>
      </c>
      <c r="AJ1086" s="593"/>
      <c r="AK1086" s="593"/>
    </row>
    <row r="1087" spans="1:39" s="385" customFormat="1" ht="60.75" outlineLevel="2" x14ac:dyDescent="0.3">
      <c r="A1087" s="447">
        <f t="shared" si="236"/>
        <v>84</v>
      </c>
      <c r="B1087" s="557"/>
      <c r="C1087" s="572"/>
      <c r="D1087" s="615"/>
      <c r="E1087" s="615"/>
      <c r="F1087" s="700"/>
      <c r="G1087" s="558"/>
      <c r="H1087" s="702"/>
      <c r="I1087" s="546"/>
      <c r="J1087" s="589"/>
      <c r="K1087" s="563" t="str">
        <f>IF(G1087&lt;&gt;0,VLOOKUP(G1087,'gia dat'!$A$1:$F$144,5,0)," ")</f>
        <v xml:space="preserve"> </v>
      </c>
      <c r="L1087" s="563" t="str">
        <f>IF(G1087&lt;&gt;0,VLOOKUP(G1087,'gia dat'!$A$1:$F$144,6,0)," ")</f>
        <v xml:space="preserve"> </v>
      </c>
      <c r="M1087" s="564" t="str">
        <f t="shared" si="227"/>
        <v xml:space="preserve"> </v>
      </c>
      <c r="N1087" s="564" t="str">
        <f t="shared" si="228"/>
        <v xml:space="preserve"> </v>
      </c>
      <c r="O1087" s="565" t="s">
        <v>148</v>
      </c>
      <c r="P1087" s="630">
        <v>1</v>
      </c>
      <c r="Q1087" s="564">
        <f>IF(O1087&lt;&gt;0,VLOOKUP(O1087,'Cây trong'!$A$2:$C$246,3,0)," ")</f>
        <v>70000</v>
      </c>
      <c r="R1087" s="564">
        <f t="shared" si="231"/>
        <v>70000</v>
      </c>
      <c r="S1087" s="566" t="s">
        <v>1753</v>
      </c>
      <c r="T1087" s="589" t="s">
        <v>2804</v>
      </c>
      <c r="U1087" s="591">
        <v>2.8</v>
      </c>
      <c r="V1087" s="593"/>
      <c r="W1087" s="564"/>
      <c r="X1087" s="564">
        <f t="shared" si="224"/>
        <v>0</v>
      </c>
      <c r="Y1087" s="683"/>
      <c r="Z1087" s="683"/>
      <c r="AA1087" s="683"/>
      <c r="AB1087" s="694"/>
      <c r="AC1087" s="683"/>
      <c r="AD1087" s="683"/>
      <c r="AE1087" s="683"/>
      <c r="AF1087" s="590"/>
      <c r="AG1087" s="570" t="str">
        <f>IF(AE1087&lt;&gt;0,VLOOKUP(AE1087,ODDS!$A$2:$C$13,3,0),"")</f>
        <v/>
      </c>
      <c r="AH1087" s="570" t="str">
        <f t="shared" si="232"/>
        <v xml:space="preserve"> </v>
      </c>
      <c r="AI1087" s="571" t="str">
        <f t="shared" si="223"/>
        <v xml:space="preserve"> </v>
      </c>
      <c r="AJ1087" s="593"/>
      <c r="AK1087" s="593"/>
    </row>
    <row r="1088" spans="1:39" s="385" customFormat="1" ht="60.75" outlineLevel="2" x14ac:dyDescent="0.3">
      <c r="A1088" s="447">
        <f t="shared" si="236"/>
        <v>84</v>
      </c>
      <c r="B1088" s="557"/>
      <c r="C1088" s="558"/>
      <c r="D1088" s="703"/>
      <c r="E1088" s="615"/>
      <c r="F1088" s="700"/>
      <c r="G1088" s="558"/>
      <c r="H1088" s="702"/>
      <c r="I1088" s="546"/>
      <c r="J1088" s="698"/>
      <c r="K1088" s="563" t="str">
        <f>IF(G1088&lt;&gt;0,VLOOKUP(G1088,'gia dat'!$A$1:$F$144,5,0)," ")</f>
        <v xml:space="preserve"> </v>
      </c>
      <c r="L1088" s="563" t="str">
        <f>IF(G1088&lt;&gt;0,VLOOKUP(G1088,'gia dat'!$A$1:$F$144,6,0)," ")</f>
        <v xml:space="preserve"> </v>
      </c>
      <c r="M1088" s="564" t="str">
        <f t="shared" si="227"/>
        <v xml:space="preserve"> </v>
      </c>
      <c r="N1088" s="564" t="str">
        <f t="shared" si="228"/>
        <v xml:space="preserve"> </v>
      </c>
      <c r="O1088" s="586" t="s">
        <v>352</v>
      </c>
      <c r="P1088" s="630">
        <v>1</v>
      </c>
      <c r="Q1088" s="564">
        <f>IF(O1088&lt;&gt;0,VLOOKUP(O1088,'Cây trong'!$A$2:$C$246,3,0)," ")</f>
        <v>60000</v>
      </c>
      <c r="R1088" s="564">
        <f t="shared" si="231"/>
        <v>60000</v>
      </c>
      <c r="S1088" s="566" t="s">
        <v>1753</v>
      </c>
      <c r="T1088" s="589" t="s">
        <v>2804</v>
      </c>
      <c r="U1088" s="591">
        <v>4.4800000000000004</v>
      </c>
      <c r="V1088" s="593"/>
      <c r="W1088" s="564"/>
      <c r="X1088" s="564">
        <f t="shared" si="224"/>
        <v>0</v>
      </c>
      <c r="Y1088" s="683"/>
      <c r="Z1088" s="683"/>
      <c r="AA1088" s="683"/>
      <c r="AB1088" s="694"/>
      <c r="AC1088" s="683"/>
      <c r="AD1088" s="683"/>
      <c r="AE1088" s="683"/>
      <c r="AF1088" s="590"/>
      <c r="AG1088" s="570" t="str">
        <f>IF(AE1088&lt;&gt;0,VLOOKUP(AE1088,ODDS!$A$2:$C$13,3,0),"")</f>
        <v/>
      </c>
      <c r="AH1088" s="570" t="str">
        <f t="shared" si="232"/>
        <v xml:space="preserve"> </v>
      </c>
      <c r="AI1088" s="571" t="str">
        <f t="shared" si="223"/>
        <v xml:space="preserve"> </v>
      </c>
      <c r="AJ1088" s="593"/>
      <c r="AK1088" s="593"/>
    </row>
    <row r="1089" spans="1:37" s="385" customFormat="1" ht="60.75" outlineLevel="2" x14ac:dyDescent="0.3">
      <c r="A1089" s="447">
        <f t="shared" si="236"/>
        <v>84</v>
      </c>
      <c r="B1089" s="557"/>
      <c r="C1089" s="572"/>
      <c r="D1089" s="703"/>
      <c r="E1089" s="615"/>
      <c r="F1089" s="700"/>
      <c r="G1089" s="586"/>
      <c r="H1089" s="702"/>
      <c r="I1089" s="546"/>
      <c r="J1089" s="698"/>
      <c r="K1089" s="563" t="str">
        <f>IF(G1089&lt;&gt;0,VLOOKUP(G1089,'gia dat'!$A$1:$F$144,5,0)," ")</f>
        <v xml:space="preserve"> </v>
      </c>
      <c r="L1089" s="563" t="str">
        <f>IF(G1089&lt;&gt;0,VLOOKUP(G1089,'gia dat'!$A$1:$F$144,6,0)," ")</f>
        <v xml:space="preserve"> </v>
      </c>
      <c r="M1089" s="564" t="str">
        <f t="shared" si="227"/>
        <v xml:space="preserve"> </v>
      </c>
      <c r="N1089" s="564" t="str">
        <f t="shared" si="228"/>
        <v xml:space="preserve"> </v>
      </c>
      <c r="O1089" s="565" t="s">
        <v>812</v>
      </c>
      <c r="P1089" s="630">
        <v>1</v>
      </c>
      <c r="Q1089" s="564">
        <f>IF(O1089&lt;&gt;0,VLOOKUP(O1089,'Cây trong'!$A$2:$C$246,3,0)," ")</f>
        <v>72000</v>
      </c>
      <c r="R1089" s="564">
        <f t="shared" si="231"/>
        <v>72000</v>
      </c>
      <c r="S1089" s="566" t="s">
        <v>1753</v>
      </c>
      <c r="T1089" s="589" t="s">
        <v>2804</v>
      </c>
      <c r="U1089" s="591">
        <v>5.4</v>
      </c>
      <c r="V1089" s="593"/>
      <c r="W1089" s="564"/>
      <c r="X1089" s="564">
        <f t="shared" si="224"/>
        <v>0</v>
      </c>
      <c r="Y1089" s="683"/>
      <c r="Z1089" s="683"/>
      <c r="AA1089" s="683"/>
      <c r="AB1089" s="694"/>
      <c r="AC1089" s="683"/>
      <c r="AD1089" s="683"/>
      <c r="AE1089" s="683"/>
      <c r="AF1089" s="590"/>
      <c r="AG1089" s="570" t="str">
        <f>IF(AE1089&lt;&gt;0,VLOOKUP(AE1089,ODDS!$A$2:$C$13,3,0),"")</f>
        <v/>
      </c>
      <c r="AH1089" s="570" t="str">
        <f t="shared" si="232"/>
        <v xml:space="preserve"> </v>
      </c>
      <c r="AI1089" s="571" t="str">
        <f t="shared" si="223"/>
        <v xml:space="preserve"> </v>
      </c>
      <c r="AJ1089" s="586"/>
      <c r="AK1089" s="586"/>
    </row>
    <row r="1090" spans="1:37" s="385" customFormat="1" ht="60.75" outlineLevel="2" x14ac:dyDescent="0.3">
      <c r="A1090" s="447">
        <f t="shared" si="236"/>
        <v>84</v>
      </c>
      <c r="B1090" s="557"/>
      <c r="C1090" s="558"/>
      <c r="D1090" s="615"/>
      <c r="E1090" s="615"/>
      <c r="F1090" s="700"/>
      <c r="G1090" s="586"/>
      <c r="H1090" s="702"/>
      <c r="I1090" s="546"/>
      <c r="J1090" s="698"/>
      <c r="K1090" s="563" t="str">
        <f>IF(G1090&lt;&gt;0,VLOOKUP(G1090,'gia dat'!$A$1:$F$144,5,0)," ")</f>
        <v xml:space="preserve"> </v>
      </c>
      <c r="L1090" s="563" t="str">
        <f>IF(G1090&lt;&gt;0,VLOOKUP(G1090,'gia dat'!$A$1:$F$144,6,0)," ")</f>
        <v xml:space="preserve"> </v>
      </c>
      <c r="M1090" s="564" t="str">
        <f t="shared" si="227"/>
        <v xml:space="preserve"> </v>
      </c>
      <c r="N1090" s="564" t="str">
        <f t="shared" si="228"/>
        <v xml:space="preserve"> </v>
      </c>
      <c r="O1090" s="558" t="s">
        <v>813</v>
      </c>
      <c r="P1090" s="630">
        <v>1</v>
      </c>
      <c r="Q1090" s="564">
        <f>IF(O1090&lt;&gt;0,VLOOKUP(O1090,'Cây trong'!$A$2:$C$246,3,0)," ")</f>
        <v>72000</v>
      </c>
      <c r="R1090" s="564">
        <f t="shared" si="231"/>
        <v>72000</v>
      </c>
      <c r="S1090" s="566" t="s">
        <v>1750</v>
      </c>
      <c r="T1090" s="589" t="s">
        <v>2804</v>
      </c>
      <c r="U1090" s="591">
        <v>26.18</v>
      </c>
      <c r="V1090" s="593"/>
      <c r="W1090" s="564"/>
      <c r="X1090" s="564">
        <f t="shared" si="224"/>
        <v>0</v>
      </c>
      <c r="Y1090" s="683"/>
      <c r="Z1090" s="683"/>
      <c r="AA1090" s="683"/>
      <c r="AB1090" s="694"/>
      <c r="AC1090" s="683"/>
      <c r="AD1090" s="683"/>
      <c r="AE1090" s="683"/>
      <c r="AF1090" s="590"/>
      <c r="AG1090" s="570" t="str">
        <f>IF(AE1090&lt;&gt;0,VLOOKUP(AE1090,ODDS!$A$2:$C$13,3,0),"")</f>
        <v/>
      </c>
      <c r="AH1090" s="570" t="str">
        <f t="shared" si="232"/>
        <v xml:space="preserve"> </v>
      </c>
      <c r="AI1090" s="571" t="str">
        <f t="shared" si="223"/>
        <v xml:space="preserve"> </v>
      </c>
      <c r="AJ1090" s="593"/>
      <c r="AK1090" s="593"/>
    </row>
    <row r="1091" spans="1:37" s="385" customFormat="1" ht="40.5" outlineLevel="2" x14ac:dyDescent="0.3">
      <c r="A1091" s="447">
        <f t="shared" si="236"/>
        <v>84</v>
      </c>
      <c r="B1091" s="557"/>
      <c r="C1091" s="558"/>
      <c r="D1091" s="615"/>
      <c r="E1091" s="615"/>
      <c r="F1091" s="700"/>
      <c r="G1091" s="558"/>
      <c r="H1091" s="702"/>
      <c r="I1091" s="546"/>
      <c r="J1091" s="589"/>
      <c r="K1091" s="563" t="str">
        <f>IF(G1091&lt;&gt;0,VLOOKUP(G1091,'gia dat'!$A$1:$F$144,5,0)," ")</f>
        <v xml:space="preserve"> </v>
      </c>
      <c r="L1091" s="563" t="str">
        <f>IF(G1091&lt;&gt;0,VLOOKUP(G1091,'gia dat'!$A$1:$F$144,6,0)," ")</f>
        <v xml:space="preserve"> </v>
      </c>
      <c r="M1091" s="564" t="str">
        <f t="shared" si="227"/>
        <v xml:space="preserve"> </v>
      </c>
      <c r="N1091" s="564" t="str">
        <f t="shared" si="228"/>
        <v xml:space="preserve"> </v>
      </c>
      <c r="O1091" s="565" t="s">
        <v>814</v>
      </c>
      <c r="P1091" s="630">
        <v>1</v>
      </c>
      <c r="Q1091" s="564">
        <f>IF(O1091&lt;&gt;0,VLOOKUP(O1091,'Cây trong'!$A$2:$C$246,3,0)," ")</f>
        <v>150000</v>
      </c>
      <c r="R1091" s="564">
        <f t="shared" si="231"/>
        <v>150000</v>
      </c>
      <c r="S1091" s="566" t="s">
        <v>1754</v>
      </c>
      <c r="T1091" s="589" t="s">
        <v>2804</v>
      </c>
      <c r="U1091" s="591">
        <v>16.25</v>
      </c>
      <c r="V1091" s="593"/>
      <c r="W1091" s="564"/>
      <c r="X1091" s="564">
        <f t="shared" si="224"/>
        <v>0</v>
      </c>
      <c r="Y1091" s="683"/>
      <c r="Z1091" s="683"/>
      <c r="AA1091" s="683"/>
      <c r="AB1091" s="694"/>
      <c r="AC1091" s="683"/>
      <c r="AD1091" s="683"/>
      <c r="AE1091" s="683"/>
      <c r="AF1091" s="590"/>
      <c r="AG1091" s="570" t="str">
        <f>IF(AE1091&lt;&gt;0,VLOOKUP(AE1091,ODDS!$A$2:$C$13,3,0),"")</f>
        <v/>
      </c>
      <c r="AH1091" s="570" t="str">
        <f t="shared" si="232"/>
        <v xml:space="preserve"> </v>
      </c>
      <c r="AI1091" s="571" t="str">
        <f t="shared" si="223"/>
        <v xml:space="preserve"> </v>
      </c>
      <c r="AJ1091" s="593"/>
      <c r="AK1091" s="593"/>
    </row>
    <row r="1092" spans="1:37" s="385" customFormat="1" ht="60.75" outlineLevel="2" x14ac:dyDescent="0.3">
      <c r="A1092" s="447">
        <f t="shared" si="236"/>
        <v>84</v>
      </c>
      <c r="B1092" s="557"/>
      <c r="C1092" s="558"/>
      <c r="D1092" s="615"/>
      <c r="E1092" s="615"/>
      <c r="F1092" s="700"/>
      <c r="G1092" s="558"/>
      <c r="H1092" s="702"/>
      <c r="I1092" s="546"/>
      <c r="J1092" s="589"/>
      <c r="K1092" s="563" t="str">
        <f>IF(G1092&lt;&gt;0,VLOOKUP(G1092,'gia dat'!$A$1:$F$144,5,0)," ")</f>
        <v xml:space="preserve"> </v>
      </c>
      <c r="L1092" s="563" t="str">
        <f>IF(G1092&lt;&gt;0,VLOOKUP(G1092,'gia dat'!$A$1:$F$144,6,0)," ")</f>
        <v xml:space="preserve"> </v>
      </c>
      <c r="M1092" s="564" t="str">
        <f t="shared" si="227"/>
        <v xml:space="preserve"> </v>
      </c>
      <c r="N1092" s="564" t="str">
        <f t="shared" si="228"/>
        <v xml:space="preserve"> </v>
      </c>
      <c r="O1092" s="558" t="s">
        <v>815</v>
      </c>
      <c r="P1092" s="630">
        <v>1</v>
      </c>
      <c r="Q1092" s="564">
        <f>IF(O1092&lt;&gt;0,VLOOKUP(O1092,'Cây trong'!$A$2:$C$246,3,0)," ")</f>
        <v>70000</v>
      </c>
      <c r="R1092" s="564">
        <f t="shared" si="231"/>
        <v>70000</v>
      </c>
      <c r="S1092" s="566" t="s">
        <v>1755</v>
      </c>
      <c r="T1092" s="589" t="s">
        <v>2804</v>
      </c>
      <c r="U1092" s="591">
        <v>8.16</v>
      </c>
      <c r="V1092" s="593"/>
      <c r="W1092" s="564"/>
      <c r="X1092" s="564">
        <f t="shared" si="224"/>
        <v>0</v>
      </c>
      <c r="Y1092" s="683"/>
      <c r="Z1092" s="683"/>
      <c r="AA1092" s="683"/>
      <c r="AB1092" s="694"/>
      <c r="AC1092" s="683"/>
      <c r="AD1092" s="683"/>
      <c r="AE1092" s="683"/>
      <c r="AF1092" s="590"/>
      <c r="AG1092" s="570" t="str">
        <f>IF(AE1092&lt;&gt;0,VLOOKUP(AE1092,ODDS!$A$2:$C$13,3,0),"")</f>
        <v/>
      </c>
      <c r="AH1092" s="570" t="str">
        <f t="shared" si="232"/>
        <v xml:space="preserve"> </v>
      </c>
      <c r="AI1092" s="571" t="str">
        <f t="shared" si="223"/>
        <v xml:space="preserve"> </v>
      </c>
      <c r="AJ1092" s="593"/>
      <c r="AK1092" s="593"/>
    </row>
    <row r="1093" spans="1:37" s="385" customFormat="1" ht="60.75" outlineLevel="2" x14ac:dyDescent="0.3">
      <c r="A1093" s="447">
        <f t="shared" si="236"/>
        <v>84</v>
      </c>
      <c r="B1093" s="557"/>
      <c r="C1093" s="572"/>
      <c r="D1093" s="615"/>
      <c r="E1093" s="615"/>
      <c r="F1093" s="700"/>
      <c r="G1093" s="558"/>
      <c r="H1093" s="702"/>
      <c r="I1093" s="546"/>
      <c r="J1093" s="589"/>
      <c r="K1093" s="563" t="str">
        <f>IF(G1093&lt;&gt;0,VLOOKUP(G1093,'gia dat'!$A$1:$F$144,5,0)," ")</f>
        <v xml:space="preserve"> </v>
      </c>
      <c r="L1093" s="563" t="str">
        <f>IF(G1093&lt;&gt;0,VLOOKUP(G1093,'gia dat'!$A$1:$F$144,6,0)," ")</f>
        <v xml:space="preserve"> </v>
      </c>
      <c r="M1093" s="564" t="str">
        <f t="shared" si="227"/>
        <v xml:space="preserve"> </v>
      </c>
      <c r="N1093" s="564" t="str">
        <f t="shared" si="228"/>
        <v xml:space="preserve"> </v>
      </c>
      <c r="O1093" s="558" t="s">
        <v>816</v>
      </c>
      <c r="P1093" s="630">
        <v>1</v>
      </c>
      <c r="Q1093" s="564">
        <f>IF(O1093&lt;&gt;0,VLOOKUP(O1093,'Cây trong'!$A$2:$C$246,3,0)," ")</f>
        <v>0</v>
      </c>
      <c r="R1093" s="564">
        <f t="shared" si="231"/>
        <v>0</v>
      </c>
      <c r="S1093" s="566" t="s">
        <v>1755</v>
      </c>
      <c r="T1093" s="589" t="s">
        <v>2804</v>
      </c>
      <c r="U1093" s="591">
        <v>2.89</v>
      </c>
      <c r="V1093" s="593"/>
      <c r="W1093" s="564"/>
      <c r="X1093" s="564">
        <f t="shared" si="224"/>
        <v>0</v>
      </c>
      <c r="Y1093" s="683"/>
      <c r="Z1093" s="683"/>
      <c r="AA1093" s="683"/>
      <c r="AB1093" s="694"/>
      <c r="AC1093" s="683"/>
      <c r="AD1093" s="683"/>
      <c r="AE1093" s="683"/>
      <c r="AF1093" s="590"/>
      <c r="AG1093" s="570" t="str">
        <f>IF(AE1093&lt;&gt;0,VLOOKUP(AE1093,ODDS!$A$2:$C$13,3,0),"")</f>
        <v/>
      </c>
      <c r="AH1093" s="570" t="str">
        <f t="shared" si="232"/>
        <v xml:space="preserve"> </v>
      </c>
      <c r="AI1093" s="571" t="str">
        <f t="shared" si="223"/>
        <v xml:space="preserve"> </v>
      </c>
      <c r="AJ1093" s="593"/>
      <c r="AK1093" s="593"/>
    </row>
    <row r="1094" spans="1:37" s="385" customFormat="1" ht="60.75" outlineLevel="2" x14ac:dyDescent="0.3">
      <c r="A1094" s="447">
        <f t="shared" si="236"/>
        <v>84</v>
      </c>
      <c r="B1094" s="557"/>
      <c r="C1094" s="572"/>
      <c r="D1094" s="703"/>
      <c r="E1094" s="615"/>
      <c r="F1094" s="700"/>
      <c r="G1094" s="558"/>
      <c r="H1094" s="702"/>
      <c r="I1094" s="546"/>
      <c r="J1094" s="698"/>
      <c r="K1094" s="563" t="str">
        <f>IF(G1094&lt;&gt;0,VLOOKUP(G1094,'gia dat'!$A$1:$F$144,5,0)," ")</f>
        <v xml:space="preserve"> </v>
      </c>
      <c r="L1094" s="563" t="str">
        <f>IF(G1094&lt;&gt;0,VLOOKUP(G1094,'gia dat'!$A$1:$F$144,6,0)," ")</f>
        <v xml:space="preserve"> </v>
      </c>
      <c r="M1094" s="564" t="str">
        <f t="shared" si="227"/>
        <v xml:space="preserve"> </v>
      </c>
      <c r="N1094" s="564" t="str">
        <f t="shared" si="228"/>
        <v xml:space="preserve"> </v>
      </c>
      <c r="O1094" s="565" t="s">
        <v>817</v>
      </c>
      <c r="P1094" s="630">
        <v>2</v>
      </c>
      <c r="Q1094" s="564">
        <f>IF(O1094&lt;&gt;0,VLOOKUP(O1094,'Cây trong'!$A$2:$C$246,3,0)," ")</f>
        <v>6000</v>
      </c>
      <c r="R1094" s="564">
        <f t="shared" si="231"/>
        <v>12000</v>
      </c>
      <c r="S1094" s="566" t="s">
        <v>1755</v>
      </c>
      <c r="T1094" s="589" t="s">
        <v>2804</v>
      </c>
      <c r="U1094" s="591">
        <v>1.53</v>
      </c>
      <c r="V1094" s="593"/>
      <c r="W1094" s="564"/>
      <c r="X1094" s="564">
        <f t="shared" si="224"/>
        <v>0</v>
      </c>
      <c r="Y1094" s="683"/>
      <c r="Z1094" s="683"/>
      <c r="AA1094" s="683"/>
      <c r="AB1094" s="694"/>
      <c r="AC1094" s="683"/>
      <c r="AD1094" s="683"/>
      <c r="AE1094" s="683"/>
      <c r="AF1094" s="590"/>
      <c r="AG1094" s="570" t="str">
        <f>IF(AE1094&lt;&gt;0,VLOOKUP(AE1094,ODDS!$A$2:$C$13,3,0),"")</f>
        <v/>
      </c>
      <c r="AH1094" s="570" t="str">
        <f t="shared" si="232"/>
        <v xml:space="preserve"> </v>
      </c>
      <c r="AI1094" s="571" t="str">
        <f t="shared" si="223"/>
        <v xml:space="preserve"> </v>
      </c>
      <c r="AJ1094" s="593"/>
      <c r="AK1094" s="593"/>
    </row>
    <row r="1095" spans="1:37" s="385" customFormat="1" ht="81" outlineLevel="2" x14ac:dyDescent="0.3">
      <c r="A1095" s="447">
        <f t="shared" si="236"/>
        <v>84</v>
      </c>
      <c r="B1095" s="557"/>
      <c r="C1095" s="572"/>
      <c r="D1095" s="703"/>
      <c r="E1095" s="615"/>
      <c r="F1095" s="700"/>
      <c r="G1095" s="558"/>
      <c r="H1095" s="702"/>
      <c r="I1095" s="546"/>
      <c r="J1095" s="698"/>
      <c r="K1095" s="563" t="str">
        <f>IF(G1095&lt;&gt;0,VLOOKUP(G1095,'gia dat'!$A$1:$F$144,5,0)," ")</f>
        <v xml:space="preserve"> </v>
      </c>
      <c r="L1095" s="563" t="str">
        <f>IF(G1095&lt;&gt;0,VLOOKUP(G1095,'gia dat'!$A$1:$F$144,6,0)," ")</f>
        <v xml:space="preserve"> </v>
      </c>
      <c r="M1095" s="564" t="str">
        <f t="shared" si="227"/>
        <v xml:space="preserve"> </v>
      </c>
      <c r="N1095" s="564" t="str">
        <f t="shared" si="228"/>
        <v xml:space="preserve"> </v>
      </c>
      <c r="O1095" s="565"/>
      <c r="P1095" s="630"/>
      <c r="Q1095" s="564" t="str">
        <f>IF(O1095&lt;&gt;0,VLOOKUP(O1095,'Cây trong'!$A$2:$C$246,3,0)," ")</f>
        <v xml:space="preserve"> </v>
      </c>
      <c r="R1095" s="564" t="str">
        <f t="shared" si="231"/>
        <v xml:space="preserve"> </v>
      </c>
      <c r="S1095" s="566" t="s">
        <v>1756</v>
      </c>
      <c r="T1095" s="589" t="s">
        <v>2804</v>
      </c>
      <c r="U1095" s="591">
        <v>88.56</v>
      </c>
      <c r="V1095" s="593"/>
      <c r="W1095" s="564"/>
      <c r="X1095" s="564">
        <f t="shared" si="224"/>
        <v>0</v>
      </c>
      <c r="Y1095" s="683"/>
      <c r="Z1095" s="683"/>
      <c r="AA1095" s="683"/>
      <c r="AB1095" s="694"/>
      <c r="AC1095" s="683"/>
      <c r="AD1095" s="683"/>
      <c r="AE1095" s="683"/>
      <c r="AF1095" s="590"/>
      <c r="AG1095" s="570" t="str">
        <f>IF(AE1095&lt;&gt;0,VLOOKUP(AE1095,ODDS!$A$2:$C$13,3,0),"")</f>
        <v/>
      </c>
      <c r="AH1095" s="570" t="str">
        <f t="shared" si="232"/>
        <v xml:space="preserve"> </v>
      </c>
      <c r="AI1095" s="571" t="str">
        <f t="shared" si="223"/>
        <v xml:space="preserve"> </v>
      </c>
      <c r="AJ1095" s="593"/>
      <c r="AK1095" s="593"/>
    </row>
    <row r="1096" spans="1:37" s="385" customFormat="1" ht="40.5" outlineLevel="2" x14ac:dyDescent="0.3">
      <c r="A1096" s="447">
        <f t="shared" si="236"/>
        <v>84</v>
      </c>
      <c r="B1096" s="557"/>
      <c r="C1096" s="572"/>
      <c r="D1096" s="703"/>
      <c r="E1096" s="615"/>
      <c r="F1096" s="700"/>
      <c r="G1096" s="558"/>
      <c r="H1096" s="702"/>
      <c r="I1096" s="546"/>
      <c r="J1096" s="698"/>
      <c r="K1096" s="563" t="str">
        <f>IF(G1096&lt;&gt;0,VLOOKUP(G1096,'gia dat'!$A$1:$F$144,5,0)," ")</f>
        <v xml:space="preserve"> </v>
      </c>
      <c r="L1096" s="563" t="str">
        <f>IF(G1096&lt;&gt;0,VLOOKUP(G1096,'gia dat'!$A$1:$F$144,6,0)," ")</f>
        <v xml:space="preserve"> </v>
      </c>
      <c r="M1096" s="564" t="str">
        <f t="shared" si="227"/>
        <v xml:space="preserve"> </v>
      </c>
      <c r="N1096" s="564" t="str">
        <f t="shared" si="228"/>
        <v xml:space="preserve"> </v>
      </c>
      <c r="O1096" s="565"/>
      <c r="P1096" s="630"/>
      <c r="Q1096" s="564" t="str">
        <f>IF(O1096&lt;&gt;0,VLOOKUP(O1096,'Cây trong'!$A$2:$C$246,3,0)," ")</f>
        <v xml:space="preserve"> </v>
      </c>
      <c r="R1096" s="564" t="str">
        <f t="shared" si="231"/>
        <v xml:space="preserve"> </v>
      </c>
      <c r="S1096" s="586" t="s">
        <v>1757</v>
      </c>
      <c r="T1096" s="589" t="s">
        <v>2804</v>
      </c>
      <c r="U1096" s="591">
        <v>52.89</v>
      </c>
      <c r="V1096" s="593"/>
      <c r="W1096" s="564"/>
      <c r="X1096" s="564">
        <f t="shared" si="224"/>
        <v>0</v>
      </c>
      <c r="Y1096" s="683"/>
      <c r="Z1096" s="683"/>
      <c r="AA1096" s="683"/>
      <c r="AB1096" s="694"/>
      <c r="AC1096" s="683"/>
      <c r="AD1096" s="683"/>
      <c r="AE1096" s="683"/>
      <c r="AF1096" s="590"/>
      <c r="AG1096" s="570" t="str">
        <f>IF(AE1096&lt;&gt;0,VLOOKUP(AE1096,ODDS!$A$2:$C$13,3,0),"")</f>
        <v/>
      </c>
      <c r="AH1096" s="570" t="str">
        <f t="shared" si="232"/>
        <v xml:space="preserve"> </v>
      </c>
      <c r="AI1096" s="571" t="str">
        <f t="shared" si="223"/>
        <v xml:space="preserve"> </v>
      </c>
      <c r="AJ1096" s="593"/>
      <c r="AK1096" s="593"/>
    </row>
    <row r="1097" spans="1:37" s="385" customFormat="1" ht="40.5" outlineLevel="2" x14ac:dyDescent="0.3">
      <c r="A1097" s="447">
        <f t="shared" si="236"/>
        <v>84</v>
      </c>
      <c r="B1097" s="557"/>
      <c r="C1097" s="572"/>
      <c r="D1097" s="703"/>
      <c r="E1097" s="615"/>
      <c r="F1097" s="700"/>
      <c r="G1097" s="558"/>
      <c r="H1097" s="702"/>
      <c r="I1097" s="546"/>
      <c r="J1097" s="698"/>
      <c r="K1097" s="563" t="str">
        <f>IF(G1097&lt;&gt;0,VLOOKUP(G1097,'gia dat'!$A$1:$F$144,5,0)," ")</f>
        <v xml:space="preserve"> </v>
      </c>
      <c r="L1097" s="563" t="str">
        <f>IF(G1097&lt;&gt;0,VLOOKUP(G1097,'gia dat'!$A$1:$F$144,6,0)," ")</f>
        <v xml:space="preserve"> </v>
      </c>
      <c r="M1097" s="564" t="str">
        <f t="shared" si="227"/>
        <v xml:space="preserve"> </v>
      </c>
      <c r="N1097" s="564" t="str">
        <f t="shared" si="228"/>
        <v xml:space="preserve"> </v>
      </c>
      <c r="O1097" s="565"/>
      <c r="P1097" s="630"/>
      <c r="Q1097" s="564" t="str">
        <f>IF(O1097&lt;&gt;0,VLOOKUP(O1097,'Cây trong'!$A$2:$C$246,3,0)," ")</f>
        <v xml:space="preserve"> </v>
      </c>
      <c r="R1097" s="564" t="str">
        <f t="shared" si="231"/>
        <v xml:space="preserve"> </v>
      </c>
      <c r="S1097" s="586" t="s">
        <v>1757</v>
      </c>
      <c r="T1097" s="589" t="s">
        <v>2804</v>
      </c>
      <c r="U1097" s="591">
        <v>91.4</v>
      </c>
      <c r="V1097" s="593"/>
      <c r="W1097" s="564"/>
      <c r="X1097" s="564">
        <f t="shared" si="224"/>
        <v>0</v>
      </c>
      <c r="Y1097" s="683"/>
      <c r="Z1097" s="683"/>
      <c r="AA1097" s="683"/>
      <c r="AB1097" s="694"/>
      <c r="AC1097" s="683"/>
      <c r="AD1097" s="683"/>
      <c r="AE1097" s="683"/>
      <c r="AF1097" s="590"/>
      <c r="AG1097" s="570" t="str">
        <f>IF(AE1097&lt;&gt;0,VLOOKUP(AE1097,ODDS!$A$2:$C$13,3,0),"")</f>
        <v/>
      </c>
      <c r="AH1097" s="570" t="str">
        <f t="shared" si="232"/>
        <v xml:space="preserve"> </v>
      </c>
      <c r="AI1097" s="571" t="str">
        <f t="shared" ref="AI1097:AI1160" si="237">IF(B1097&lt;&gt;0,M1097+N1097+R1097+X1097+AH1097," ")</f>
        <v xml:space="preserve"> </v>
      </c>
      <c r="AJ1097" s="593"/>
      <c r="AK1097" s="593"/>
    </row>
    <row r="1098" spans="1:37" s="385" customFormat="1" ht="60.75" outlineLevel="2" x14ac:dyDescent="0.3">
      <c r="A1098" s="447">
        <f t="shared" si="236"/>
        <v>84</v>
      </c>
      <c r="B1098" s="557"/>
      <c r="C1098" s="572"/>
      <c r="D1098" s="703"/>
      <c r="E1098" s="615"/>
      <c r="F1098" s="700"/>
      <c r="G1098" s="558"/>
      <c r="H1098" s="702"/>
      <c r="I1098" s="546"/>
      <c r="J1098" s="698"/>
      <c r="K1098" s="563" t="str">
        <f>IF(G1098&lt;&gt;0,VLOOKUP(G1098,'gia dat'!$A$1:$F$144,5,0)," ")</f>
        <v xml:space="preserve"> </v>
      </c>
      <c r="L1098" s="563" t="str">
        <f>IF(G1098&lt;&gt;0,VLOOKUP(G1098,'gia dat'!$A$1:$F$144,6,0)," ")</f>
        <v xml:space="preserve"> </v>
      </c>
      <c r="M1098" s="564" t="str">
        <f t="shared" si="227"/>
        <v xml:space="preserve"> </v>
      </c>
      <c r="N1098" s="564" t="str">
        <f t="shared" si="228"/>
        <v xml:space="preserve"> </v>
      </c>
      <c r="O1098" s="565"/>
      <c r="P1098" s="630"/>
      <c r="Q1098" s="564" t="str">
        <f>IF(O1098&lt;&gt;0,VLOOKUP(O1098,'Cây trong'!$A$2:$C$246,3,0)," ")</f>
        <v xml:space="preserve"> </v>
      </c>
      <c r="R1098" s="564" t="str">
        <f t="shared" si="231"/>
        <v xml:space="preserve"> </v>
      </c>
      <c r="S1098" s="566" t="s">
        <v>1758</v>
      </c>
      <c r="T1098" s="589" t="s">
        <v>93</v>
      </c>
      <c r="U1098" s="591">
        <v>1</v>
      </c>
      <c r="V1098" s="593"/>
      <c r="W1098" s="564"/>
      <c r="X1098" s="564">
        <f t="shared" si="224"/>
        <v>0</v>
      </c>
      <c r="Y1098" s="683"/>
      <c r="Z1098" s="683"/>
      <c r="AA1098" s="683"/>
      <c r="AB1098" s="694"/>
      <c r="AC1098" s="683"/>
      <c r="AD1098" s="683"/>
      <c r="AE1098" s="683"/>
      <c r="AF1098" s="590"/>
      <c r="AG1098" s="570" t="str">
        <f>IF(AE1098&lt;&gt;0,VLOOKUP(AE1098,ODDS!$A$2:$C$13,3,0),"")</f>
        <v/>
      </c>
      <c r="AH1098" s="570" t="str">
        <f t="shared" si="232"/>
        <v xml:space="preserve"> </v>
      </c>
      <c r="AI1098" s="571" t="str">
        <f t="shared" si="237"/>
        <v xml:space="preserve"> </v>
      </c>
      <c r="AJ1098" s="593"/>
      <c r="AK1098" s="593"/>
    </row>
    <row r="1099" spans="1:37" s="385" customFormat="1" ht="20.25" outlineLevel="2" x14ac:dyDescent="0.3">
      <c r="A1099" s="447">
        <f t="shared" si="236"/>
        <v>84</v>
      </c>
      <c r="B1099" s="557"/>
      <c r="C1099" s="572"/>
      <c r="D1099" s="703"/>
      <c r="E1099" s="615"/>
      <c r="F1099" s="700"/>
      <c r="G1099" s="558"/>
      <c r="H1099" s="702"/>
      <c r="I1099" s="546"/>
      <c r="J1099" s="698"/>
      <c r="K1099" s="563" t="str">
        <f>IF(G1099&lt;&gt;0,VLOOKUP(G1099,'gia dat'!$A$1:$F$144,5,0)," ")</f>
        <v xml:space="preserve"> </v>
      </c>
      <c r="L1099" s="563" t="str">
        <f>IF(G1099&lt;&gt;0,VLOOKUP(G1099,'gia dat'!$A$1:$F$144,6,0)," ")</f>
        <v xml:space="preserve"> </v>
      </c>
      <c r="M1099" s="564" t="str">
        <f t="shared" si="227"/>
        <v xml:space="preserve"> </v>
      </c>
      <c r="N1099" s="564" t="str">
        <f t="shared" si="228"/>
        <v xml:space="preserve"> </v>
      </c>
      <c r="O1099" s="565"/>
      <c r="P1099" s="630"/>
      <c r="Q1099" s="564" t="str">
        <f>IF(O1099&lt;&gt;0,VLOOKUP(O1099,'Cây trong'!$A$2:$C$246,3,0)," ")</f>
        <v xml:space="preserve"> </v>
      </c>
      <c r="R1099" s="564" t="str">
        <f t="shared" si="231"/>
        <v xml:space="preserve"> </v>
      </c>
      <c r="S1099" s="566"/>
      <c r="T1099" s="589"/>
      <c r="U1099" s="591"/>
      <c r="V1099" s="593"/>
      <c r="W1099" s="564" t="str">
        <f>IF(S1099&lt;&gt;0,VLOOKUP(S1099,VKT!$A$2:$G$415,7,0),"")</f>
        <v/>
      </c>
      <c r="X1099" s="564" t="str">
        <f t="shared" si="224"/>
        <v xml:space="preserve"> </v>
      </c>
      <c r="Y1099" s="683"/>
      <c r="Z1099" s="683"/>
      <c r="AA1099" s="683"/>
      <c r="AB1099" s="694"/>
      <c r="AC1099" s="683"/>
      <c r="AD1099" s="683"/>
      <c r="AE1099" s="683"/>
      <c r="AF1099" s="590"/>
      <c r="AG1099" s="570" t="str">
        <f>IF(AE1099&lt;&gt;0,VLOOKUP(AE1099,ODDS!$A$2:$C$13,3,0),"")</f>
        <v/>
      </c>
      <c r="AH1099" s="570" t="str">
        <f t="shared" si="232"/>
        <v xml:space="preserve"> </v>
      </c>
      <c r="AI1099" s="571" t="str">
        <f t="shared" si="237"/>
        <v xml:space="preserve"> </v>
      </c>
      <c r="AJ1099" s="593"/>
      <c r="AK1099" s="593"/>
    </row>
    <row r="1100" spans="1:37" s="385" customFormat="1" ht="20.25" outlineLevel="2" x14ac:dyDescent="0.3">
      <c r="A1100" s="447">
        <f t="shared" si="236"/>
        <v>84</v>
      </c>
      <c r="B1100" s="557"/>
      <c r="C1100" s="607"/>
      <c r="D1100" s="703"/>
      <c r="E1100" s="615"/>
      <c r="F1100" s="700"/>
      <c r="G1100" s="558"/>
      <c r="H1100" s="702"/>
      <c r="I1100" s="546"/>
      <c r="J1100" s="698"/>
      <c r="K1100" s="563" t="str">
        <f>IF(G1100&lt;&gt;0,VLOOKUP(G1100,'gia dat'!$A$1:$F$144,5,0)," ")</f>
        <v xml:space="preserve"> </v>
      </c>
      <c r="L1100" s="563" t="str">
        <f>IF(G1100&lt;&gt;0,VLOOKUP(G1100,'gia dat'!$A$1:$F$144,6,0)," ")</f>
        <v xml:space="preserve"> </v>
      </c>
      <c r="M1100" s="564" t="str">
        <f t="shared" si="227"/>
        <v xml:space="preserve"> </v>
      </c>
      <c r="N1100" s="564" t="str">
        <f t="shared" si="228"/>
        <v xml:space="preserve"> </v>
      </c>
      <c r="O1100" s="565"/>
      <c r="P1100" s="630"/>
      <c r="Q1100" s="564" t="str">
        <f>IF(O1100&lt;&gt;0,VLOOKUP(O1100,'Cây trong'!$A$2:$C$246,3,0)," ")</f>
        <v xml:space="preserve"> </v>
      </c>
      <c r="R1100" s="564" t="str">
        <f t="shared" si="231"/>
        <v xml:space="preserve"> </v>
      </c>
      <c r="S1100" s="566"/>
      <c r="T1100" s="589"/>
      <c r="U1100" s="591"/>
      <c r="V1100" s="593"/>
      <c r="W1100" s="564" t="str">
        <f>IF(S1100&lt;&gt;0,VLOOKUP(S1100,VKT!$A$2:$G$415,7,0),"")</f>
        <v/>
      </c>
      <c r="X1100" s="564" t="str">
        <f t="shared" si="224"/>
        <v xml:space="preserve"> </v>
      </c>
      <c r="Y1100" s="683"/>
      <c r="Z1100" s="683"/>
      <c r="AA1100" s="683"/>
      <c r="AB1100" s="694"/>
      <c r="AC1100" s="683"/>
      <c r="AD1100" s="683"/>
      <c r="AE1100" s="683"/>
      <c r="AF1100" s="590"/>
      <c r="AG1100" s="570" t="str">
        <f>IF(AE1100&lt;&gt;0,VLOOKUP(AE1100,ODDS!$A$2:$C$13,3,0),"")</f>
        <v/>
      </c>
      <c r="AH1100" s="570" t="str">
        <f t="shared" si="232"/>
        <v xml:space="preserve"> </v>
      </c>
      <c r="AI1100" s="571" t="str">
        <f t="shared" si="237"/>
        <v xml:space="preserve"> </v>
      </c>
      <c r="AJ1100" s="593"/>
      <c r="AK1100" s="593"/>
    </row>
    <row r="1101" spans="1:37" s="386" customFormat="1" ht="20.25" outlineLevel="1" x14ac:dyDescent="0.25">
      <c r="A1101" s="467" t="s">
        <v>2625</v>
      </c>
      <c r="B1101" s="576">
        <v>85</v>
      </c>
      <c r="C1101" s="607" t="s">
        <v>818</v>
      </c>
      <c r="D1101" s="705"/>
      <c r="E1101" s="705"/>
      <c r="F1101" s="706"/>
      <c r="G1101" s="578"/>
      <c r="H1101" s="707">
        <f>SUBTOTAL(9,H1102:H1111)</f>
        <v>377.5</v>
      </c>
      <c r="I1101" s="579">
        <f>SUBTOTAL(9,I1102:I1107)</f>
        <v>92.899999999999991</v>
      </c>
      <c r="J1101" s="693"/>
      <c r="K1101" s="581"/>
      <c r="L1101" s="581"/>
      <c r="M1101" s="571">
        <f>SUBTOTAL(9,M1102:M1111)</f>
        <v>142242000</v>
      </c>
      <c r="N1101" s="571">
        <f>SUBTOTAL(9,N1102:N1111)</f>
        <v>105014000</v>
      </c>
      <c r="O1101" s="574"/>
      <c r="P1101" s="633">
        <f>SUBTOTAL(9,P1102:P1111)</f>
        <v>0</v>
      </c>
      <c r="Q1101" s="571"/>
      <c r="R1101" s="571">
        <f>SUBTOTAL(9,R1102:R1111)</f>
        <v>0</v>
      </c>
      <c r="S1101" s="582"/>
      <c r="T1101" s="597"/>
      <c r="U1101" s="708">
        <f>SUBTOTAL(9,U1102:U1111)</f>
        <v>334.6</v>
      </c>
      <c r="V1101" s="608"/>
      <c r="W1101" s="571"/>
      <c r="X1101" s="571">
        <f>SUBTOTAL(9,X1102:X1111)</f>
        <v>0</v>
      </c>
      <c r="Y1101" s="683"/>
      <c r="Z1101" s="683"/>
      <c r="AA1101" s="683"/>
      <c r="AB1101" s="694"/>
      <c r="AC1101" s="683"/>
      <c r="AD1101" s="683"/>
      <c r="AE1101" s="650"/>
      <c r="AF1101" s="599">
        <f>SUBTOTAL(9,AF1102:AF1111)</f>
        <v>0</v>
      </c>
      <c r="AG1101" s="585"/>
      <c r="AH1101" s="585">
        <f>SUBTOTAL(9,AH1102:AH1111)</f>
        <v>0</v>
      </c>
      <c r="AI1101" s="571">
        <f t="shared" si="237"/>
        <v>247256000</v>
      </c>
      <c r="AJ1101" s="574"/>
      <c r="AK1101" s="578"/>
    </row>
    <row r="1102" spans="1:37" s="386" customFormat="1" ht="121.5" outlineLevel="2" x14ac:dyDescent="0.3">
      <c r="A1102" s="447">
        <f>IF(B1101&lt;&gt;0,B1101,A1100)</f>
        <v>85</v>
      </c>
      <c r="B1102" s="557"/>
      <c r="C1102" s="558" t="s">
        <v>821</v>
      </c>
      <c r="D1102" s="615">
        <v>1</v>
      </c>
      <c r="E1102" s="615">
        <v>86</v>
      </c>
      <c r="F1102" s="700">
        <v>280</v>
      </c>
      <c r="G1102" s="586" t="s">
        <v>2427</v>
      </c>
      <c r="H1102" s="709">
        <f>377.5-H1103</f>
        <v>284.60000000000002</v>
      </c>
      <c r="I1102" s="546" t="str">
        <f t="shared" ref="I1102:I1103" si="238">IF(N1102&gt;0,H1102,"")</f>
        <v/>
      </c>
      <c r="J1102" s="698"/>
      <c r="K1102" s="563">
        <f>IF(G1102&lt;&gt;0,VLOOKUP(G1102,'gia dat'!$A$1:$F$144,5,0)," ")</f>
        <v>376800</v>
      </c>
      <c r="L1102" s="563">
        <f>IF(G1102&lt;&gt;0,VLOOKUP(G1102,'gia dat'!$A$1:$F$144,6,0)," ")</f>
        <v>0</v>
      </c>
      <c r="M1102" s="564">
        <f t="shared" si="227"/>
        <v>107237000</v>
      </c>
      <c r="N1102" s="564">
        <f t="shared" si="228"/>
        <v>0</v>
      </c>
      <c r="O1102" s="558"/>
      <c r="P1102" s="630"/>
      <c r="Q1102" s="564" t="str">
        <f>IF(O1102&lt;&gt;0,VLOOKUP(O1102,'Cây trong'!$A$2:$C$246,3,0)," ")</f>
        <v xml:space="preserve"> </v>
      </c>
      <c r="R1102" s="564" t="str">
        <f t="shared" si="231"/>
        <v xml:space="preserve"> </v>
      </c>
      <c r="S1102" s="566" t="s">
        <v>1749</v>
      </c>
      <c r="T1102" s="589" t="s">
        <v>2804</v>
      </c>
      <c r="U1102" s="710">
        <v>17.100000000000001</v>
      </c>
      <c r="V1102" s="593"/>
      <c r="W1102" s="564"/>
      <c r="X1102" s="564">
        <f t="shared" si="224"/>
        <v>0</v>
      </c>
      <c r="Y1102" s="683"/>
      <c r="Z1102" s="683"/>
      <c r="AA1102" s="683"/>
      <c r="AB1102" s="694"/>
      <c r="AC1102" s="683"/>
      <c r="AD1102" s="683"/>
      <c r="AE1102" s="683"/>
      <c r="AF1102" s="590"/>
      <c r="AG1102" s="570" t="str">
        <f>IF(AE1102&lt;&gt;0,VLOOKUP(AE1102,ODDS!$A$2:$C$13,3,0),"")</f>
        <v/>
      </c>
      <c r="AH1102" s="570"/>
      <c r="AI1102" s="571" t="str">
        <f t="shared" si="237"/>
        <v xml:space="preserve"> </v>
      </c>
      <c r="AJ1102" s="558" t="s">
        <v>820</v>
      </c>
      <c r="AK1102" s="586" t="s">
        <v>2771</v>
      </c>
    </row>
    <row r="1103" spans="1:37" s="386" customFormat="1" ht="121.5" outlineLevel="2" x14ac:dyDescent="0.3">
      <c r="A1103" s="447">
        <f t="shared" ref="A1103:A1111" si="239">IF(B1102&lt;&gt;0,B1102,A1102)</f>
        <v>85</v>
      </c>
      <c r="B1103" s="557"/>
      <c r="C1103" s="566" t="s">
        <v>1653</v>
      </c>
      <c r="D1103" s="615"/>
      <c r="E1103" s="615">
        <v>86</v>
      </c>
      <c r="F1103" s="700">
        <v>280</v>
      </c>
      <c r="G1103" s="586" t="s">
        <v>2430</v>
      </c>
      <c r="H1103" s="709">
        <f>27.3+65.6</f>
        <v>92.899999999999991</v>
      </c>
      <c r="I1103" s="546">
        <f t="shared" si="238"/>
        <v>92.899999999999991</v>
      </c>
      <c r="J1103" s="698"/>
      <c r="K1103" s="563">
        <f>IF(G1103&lt;&gt;0,VLOOKUP(G1103,'gia dat'!$A$1:$F$144,5,0)," ")</f>
        <v>376800</v>
      </c>
      <c r="L1103" s="563">
        <f>IF(G1103&lt;&gt;0,VLOOKUP(G1103,'gia dat'!$A$1:$F$144,6,0)," ")</f>
        <v>1130400</v>
      </c>
      <c r="M1103" s="564">
        <f t="shared" si="227"/>
        <v>35005000</v>
      </c>
      <c r="N1103" s="564">
        <f t="shared" si="228"/>
        <v>105014000</v>
      </c>
      <c r="O1103" s="558"/>
      <c r="P1103" s="630"/>
      <c r="Q1103" s="564" t="str">
        <f>IF(O1103&lt;&gt;0,VLOOKUP(O1103,'Cây trong'!$A$2:$C$246,3,0)," ")</f>
        <v xml:space="preserve"> </v>
      </c>
      <c r="R1103" s="564" t="str">
        <f t="shared" si="231"/>
        <v xml:space="preserve"> </v>
      </c>
      <c r="S1103" s="586" t="s">
        <v>1748</v>
      </c>
      <c r="T1103" s="589" t="s">
        <v>2804</v>
      </c>
      <c r="U1103" s="710">
        <v>11</v>
      </c>
      <c r="V1103" s="593"/>
      <c r="W1103" s="564"/>
      <c r="X1103" s="564">
        <f t="shared" si="224"/>
        <v>0</v>
      </c>
      <c r="Y1103" s="683"/>
      <c r="Z1103" s="683"/>
      <c r="AA1103" s="683"/>
      <c r="AB1103" s="694"/>
      <c r="AC1103" s="683"/>
      <c r="AD1103" s="683"/>
      <c r="AE1103" s="683"/>
      <c r="AF1103" s="590"/>
      <c r="AG1103" s="570" t="str">
        <f>IF(AE1103&lt;&gt;0,VLOOKUP(AE1103,ODDS!$A$2:$C$13,3,0),"")</f>
        <v/>
      </c>
      <c r="AH1103" s="570" t="str">
        <f t="shared" si="232"/>
        <v xml:space="preserve"> </v>
      </c>
      <c r="AI1103" s="571" t="str">
        <f t="shared" si="237"/>
        <v xml:space="preserve"> </v>
      </c>
      <c r="AJ1103" s="558" t="s">
        <v>2807</v>
      </c>
      <c r="AK1103" s="558" t="s">
        <v>2448</v>
      </c>
    </row>
    <row r="1104" spans="1:37" s="385" customFormat="1" ht="121.5" outlineLevel="2" x14ac:dyDescent="0.3">
      <c r="A1104" s="447">
        <f t="shared" si="239"/>
        <v>85</v>
      </c>
      <c r="B1104" s="557"/>
      <c r="C1104" s="593" t="s">
        <v>824</v>
      </c>
      <c r="D1104" s="615"/>
      <c r="E1104" s="615"/>
      <c r="F1104" s="700"/>
      <c r="G1104" s="558"/>
      <c r="H1104" s="709"/>
      <c r="I1104" s="546"/>
      <c r="J1104" s="698"/>
      <c r="K1104" s="563" t="str">
        <f>IF(G1104&lt;&gt;0,VLOOKUP(G1104,'gia dat'!$A$1:$F$144,5,0)," ")</f>
        <v xml:space="preserve"> </v>
      </c>
      <c r="L1104" s="563" t="str">
        <f>IF(G1104&lt;&gt;0,VLOOKUP(G1104,'gia dat'!$A$1:$F$144,6,0)," ")</f>
        <v xml:space="preserve"> </v>
      </c>
      <c r="M1104" s="564" t="str">
        <f t="shared" si="227"/>
        <v xml:space="preserve"> </v>
      </c>
      <c r="N1104" s="564" t="str">
        <f t="shared" si="228"/>
        <v xml:space="preserve"> </v>
      </c>
      <c r="O1104" s="558"/>
      <c r="P1104" s="630"/>
      <c r="Q1104" s="564" t="str">
        <f>IF(O1104&lt;&gt;0,VLOOKUP(O1104,'Cây trong'!$A$2:$C$246,3,0)," ")</f>
        <v xml:space="preserve"> </v>
      </c>
      <c r="R1104" s="564" t="str">
        <f t="shared" si="231"/>
        <v xml:space="preserve"> </v>
      </c>
      <c r="S1104" s="566" t="s">
        <v>1749</v>
      </c>
      <c r="T1104" s="589" t="s">
        <v>2804</v>
      </c>
      <c r="U1104" s="710">
        <v>11</v>
      </c>
      <c r="V1104" s="593"/>
      <c r="W1104" s="564"/>
      <c r="X1104" s="564">
        <f t="shared" si="224"/>
        <v>0</v>
      </c>
      <c r="Y1104" s="683"/>
      <c r="Z1104" s="683"/>
      <c r="AA1104" s="683"/>
      <c r="AB1104" s="694"/>
      <c r="AC1104" s="683"/>
      <c r="AD1104" s="683"/>
      <c r="AE1104" s="683"/>
      <c r="AF1104" s="590"/>
      <c r="AG1104" s="570" t="str">
        <f>IF(AE1104&lt;&gt;0,VLOOKUP(AE1104,ODDS!$A$2:$C$13,3,0),"")</f>
        <v/>
      </c>
      <c r="AH1104" s="570" t="str">
        <f t="shared" si="232"/>
        <v xml:space="preserve"> </v>
      </c>
      <c r="AI1104" s="571" t="str">
        <f t="shared" si="237"/>
        <v xml:space="preserve"> </v>
      </c>
      <c r="AJ1104" s="593" t="s">
        <v>398</v>
      </c>
      <c r="AK1104" s="558" t="s">
        <v>2450</v>
      </c>
    </row>
    <row r="1105" spans="1:38" s="385" customFormat="1" ht="101.25" outlineLevel="2" x14ac:dyDescent="0.3">
      <c r="A1105" s="447">
        <f t="shared" si="239"/>
        <v>85</v>
      </c>
      <c r="B1105" s="557"/>
      <c r="C1105" s="586"/>
      <c r="D1105" s="615"/>
      <c r="E1105" s="615"/>
      <c r="F1105" s="700"/>
      <c r="G1105" s="558"/>
      <c r="H1105" s="709"/>
      <c r="I1105" s="546"/>
      <c r="J1105" s="698"/>
      <c r="K1105" s="563" t="str">
        <f>IF(G1105&lt;&gt;0,VLOOKUP(G1105,'gia dat'!$A$1:$F$144,5,0)," ")</f>
        <v xml:space="preserve"> </v>
      </c>
      <c r="L1105" s="563" t="str">
        <f>IF(G1105&lt;&gt;0,VLOOKUP(G1105,'gia dat'!$A$1:$F$144,6,0)," ")</f>
        <v xml:space="preserve"> </v>
      </c>
      <c r="M1105" s="564" t="str">
        <f t="shared" si="227"/>
        <v xml:space="preserve"> </v>
      </c>
      <c r="N1105" s="564" t="str">
        <f t="shared" si="228"/>
        <v xml:space="preserve"> </v>
      </c>
      <c r="O1105" s="558"/>
      <c r="P1105" s="630"/>
      <c r="Q1105" s="564" t="str">
        <f>IF(O1105&lt;&gt;0,VLOOKUP(O1105,'Cây trong'!$A$2:$C$246,3,0)," ")</f>
        <v xml:space="preserve"> </v>
      </c>
      <c r="R1105" s="564" t="str">
        <f t="shared" si="231"/>
        <v xml:space="preserve"> </v>
      </c>
      <c r="S1105" s="566" t="s">
        <v>1750</v>
      </c>
      <c r="T1105" s="589" t="s">
        <v>2804</v>
      </c>
      <c r="U1105" s="710">
        <v>61.5</v>
      </c>
      <c r="V1105" s="593"/>
      <c r="W1105" s="564"/>
      <c r="X1105" s="564">
        <f t="shared" si="224"/>
        <v>0</v>
      </c>
      <c r="Y1105" s="683"/>
      <c r="Z1105" s="683"/>
      <c r="AA1105" s="683"/>
      <c r="AB1105" s="694"/>
      <c r="AC1105" s="683"/>
      <c r="AD1105" s="683"/>
      <c r="AE1105" s="683"/>
      <c r="AF1105" s="590"/>
      <c r="AG1105" s="570" t="str">
        <f>IF(AE1105&lt;&gt;0,VLOOKUP(AE1105,ODDS!$A$2:$C$13,3,0),"")</f>
        <v/>
      </c>
      <c r="AH1105" s="570" t="str">
        <f t="shared" si="232"/>
        <v xml:space="preserve"> </v>
      </c>
      <c r="AI1105" s="571" t="str">
        <f t="shared" si="237"/>
        <v xml:space="preserve"> </v>
      </c>
      <c r="AJ1105" s="558" t="s">
        <v>2074</v>
      </c>
      <c r="AK1105" s="558" t="s">
        <v>2800</v>
      </c>
    </row>
    <row r="1106" spans="1:38" s="385" customFormat="1" ht="60.75" outlineLevel="2" x14ac:dyDescent="0.3">
      <c r="A1106" s="447">
        <f t="shared" si="239"/>
        <v>85</v>
      </c>
      <c r="B1106" s="557"/>
      <c r="C1106" s="586"/>
      <c r="D1106" s="615"/>
      <c r="E1106" s="615"/>
      <c r="F1106" s="700"/>
      <c r="G1106" s="558"/>
      <c r="H1106" s="709"/>
      <c r="I1106" s="546"/>
      <c r="J1106" s="698"/>
      <c r="K1106" s="563" t="str">
        <f>IF(G1106&lt;&gt;0,VLOOKUP(G1106,'gia dat'!$A$1:$F$144,5,0)," ")</f>
        <v xml:space="preserve"> </v>
      </c>
      <c r="L1106" s="563" t="str">
        <f>IF(G1106&lt;&gt;0,VLOOKUP(G1106,'gia dat'!$A$1:$F$144,6,0)," ")</f>
        <v xml:space="preserve"> </v>
      </c>
      <c r="M1106" s="564" t="str">
        <f t="shared" si="227"/>
        <v xml:space="preserve"> </v>
      </c>
      <c r="N1106" s="564" t="str">
        <f t="shared" si="228"/>
        <v xml:space="preserve"> </v>
      </c>
      <c r="O1106" s="558"/>
      <c r="P1106" s="630"/>
      <c r="Q1106" s="564" t="str">
        <f>IF(O1106&lt;&gt;0,VLOOKUP(O1106,'Cây trong'!$A$2:$C$246,3,0)," ")</f>
        <v xml:space="preserve"> </v>
      </c>
      <c r="R1106" s="564" t="str">
        <f t="shared" si="231"/>
        <v xml:space="preserve"> </v>
      </c>
      <c r="S1106" s="566" t="s">
        <v>1750</v>
      </c>
      <c r="T1106" s="589" t="s">
        <v>2804</v>
      </c>
      <c r="U1106" s="710">
        <v>84.5</v>
      </c>
      <c r="V1106" s="593"/>
      <c r="W1106" s="564"/>
      <c r="X1106" s="564">
        <f t="shared" si="224"/>
        <v>0</v>
      </c>
      <c r="Y1106" s="683"/>
      <c r="Z1106" s="683"/>
      <c r="AA1106" s="683"/>
      <c r="AB1106" s="694"/>
      <c r="AC1106" s="683"/>
      <c r="AD1106" s="683"/>
      <c r="AE1106" s="683"/>
      <c r="AF1106" s="590"/>
      <c r="AG1106" s="570" t="str">
        <f>IF(AE1106&lt;&gt;0,VLOOKUP(AE1106,ODDS!$A$2:$C$13,3,0),"")</f>
        <v/>
      </c>
      <c r="AH1106" s="570" t="str">
        <f t="shared" si="232"/>
        <v xml:space="preserve"> </v>
      </c>
      <c r="AI1106" s="571" t="str">
        <f t="shared" si="237"/>
        <v xml:space="preserve"> </v>
      </c>
      <c r="AJ1106" s="704"/>
      <c r="AK1106" s="593"/>
    </row>
    <row r="1107" spans="1:38" s="385" customFormat="1" ht="60.75" outlineLevel="2" x14ac:dyDescent="0.3">
      <c r="A1107" s="447">
        <f t="shared" si="239"/>
        <v>85</v>
      </c>
      <c r="B1107" s="557"/>
      <c r="C1107" s="586"/>
      <c r="D1107" s="615"/>
      <c r="E1107" s="615"/>
      <c r="F1107" s="700"/>
      <c r="G1107" s="558"/>
      <c r="H1107" s="709"/>
      <c r="I1107" s="546"/>
      <c r="J1107" s="698"/>
      <c r="K1107" s="563" t="str">
        <f>IF(G1107&lt;&gt;0,VLOOKUP(G1107,'gia dat'!$A$1:$F$144,5,0)," ")</f>
        <v xml:space="preserve"> </v>
      </c>
      <c r="L1107" s="563" t="str">
        <f>IF(G1107&lt;&gt;0,VLOOKUP(G1107,'gia dat'!$A$1:$F$144,6,0)," ")</f>
        <v xml:space="preserve"> </v>
      </c>
      <c r="M1107" s="564" t="str">
        <f t="shared" si="227"/>
        <v xml:space="preserve"> </v>
      </c>
      <c r="N1107" s="564" t="str">
        <f t="shared" si="228"/>
        <v xml:space="preserve"> </v>
      </c>
      <c r="O1107" s="558"/>
      <c r="P1107" s="630"/>
      <c r="Q1107" s="564" t="str">
        <f>IF(O1107&lt;&gt;0,VLOOKUP(O1107,'Cây trong'!$A$2:$C$246,3,0)," ")</f>
        <v xml:space="preserve"> </v>
      </c>
      <c r="R1107" s="564" t="str">
        <f t="shared" si="231"/>
        <v xml:space="preserve"> </v>
      </c>
      <c r="S1107" s="566" t="s">
        <v>1759</v>
      </c>
      <c r="T1107" s="589" t="s">
        <v>2804</v>
      </c>
      <c r="U1107" s="710">
        <v>3.5</v>
      </c>
      <c r="V1107" s="593"/>
      <c r="W1107" s="564"/>
      <c r="X1107" s="564">
        <f t="shared" ref="X1107:X1177" si="240">IF(S1107&lt;&gt;0,ROUND(U1107*W1107,-3)," ")</f>
        <v>0</v>
      </c>
      <c r="Y1107" s="683"/>
      <c r="Z1107" s="683"/>
      <c r="AA1107" s="683"/>
      <c r="AB1107" s="694"/>
      <c r="AC1107" s="683"/>
      <c r="AD1107" s="683"/>
      <c r="AE1107" s="683"/>
      <c r="AF1107" s="590"/>
      <c r="AG1107" s="570" t="str">
        <f>IF(AE1107&lt;&gt;0,VLOOKUP(AE1107,ODDS!$A$2:$C$13,3,0),"")</f>
        <v/>
      </c>
      <c r="AH1107" s="570" t="str">
        <f t="shared" si="232"/>
        <v xml:space="preserve"> </v>
      </c>
      <c r="AI1107" s="571" t="str">
        <f t="shared" si="237"/>
        <v xml:space="preserve"> </v>
      </c>
      <c r="AJ1107" s="593"/>
      <c r="AK1107" s="593"/>
    </row>
    <row r="1108" spans="1:38" s="385" customFormat="1" ht="40.5" outlineLevel="2" x14ac:dyDescent="0.3">
      <c r="A1108" s="447">
        <f t="shared" si="239"/>
        <v>85</v>
      </c>
      <c r="B1108" s="557"/>
      <c r="C1108" s="586"/>
      <c r="D1108" s="615"/>
      <c r="E1108" s="615"/>
      <c r="F1108" s="700"/>
      <c r="G1108" s="558"/>
      <c r="H1108" s="709"/>
      <c r="I1108" s="546"/>
      <c r="J1108" s="698"/>
      <c r="K1108" s="563" t="str">
        <f>IF(G1108&lt;&gt;0,VLOOKUP(G1108,'gia dat'!$A$1:$F$144,5,0)," ")</f>
        <v xml:space="preserve"> </v>
      </c>
      <c r="L1108" s="563" t="str">
        <f>IF(G1108&lt;&gt;0,VLOOKUP(G1108,'gia dat'!$A$1:$F$144,6,0)," ")</f>
        <v xml:space="preserve"> </v>
      </c>
      <c r="M1108" s="564" t="str">
        <f t="shared" si="227"/>
        <v xml:space="preserve"> </v>
      </c>
      <c r="N1108" s="564" t="str">
        <f t="shared" si="228"/>
        <v xml:space="preserve"> </v>
      </c>
      <c r="O1108" s="558"/>
      <c r="P1108" s="630"/>
      <c r="Q1108" s="564" t="str">
        <f>IF(O1108&lt;&gt;0,VLOOKUP(O1108,'Cây trong'!$A$2:$C$246,3,0)," ")</f>
        <v xml:space="preserve"> </v>
      </c>
      <c r="R1108" s="564" t="str">
        <f t="shared" si="231"/>
        <v xml:space="preserve"> </v>
      </c>
      <c r="S1108" s="586" t="s">
        <v>1757</v>
      </c>
      <c r="T1108" s="589" t="s">
        <v>2804</v>
      </c>
      <c r="U1108" s="710">
        <v>61.5</v>
      </c>
      <c r="V1108" s="593"/>
      <c r="W1108" s="564"/>
      <c r="X1108" s="564">
        <f t="shared" si="240"/>
        <v>0</v>
      </c>
      <c r="Y1108" s="683"/>
      <c r="Z1108" s="683"/>
      <c r="AA1108" s="683"/>
      <c r="AB1108" s="694"/>
      <c r="AC1108" s="683"/>
      <c r="AD1108" s="683"/>
      <c r="AE1108" s="683"/>
      <c r="AF1108" s="590"/>
      <c r="AG1108" s="570" t="str">
        <f>IF(AE1108&lt;&gt;0,VLOOKUP(AE1108,ODDS!$A$2:$C$13,3,0),"")</f>
        <v/>
      </c>
      <c r="AH1108" s="570" t="str">
        <f t="shared" si="232"/>
        <v xml:space="preserve"> </v>
      </c>
      <c r="AI1108" s="571" t="str">
        <f t="shared" si="237"/>
        <v xml:space="preserve"> </v>
      </c>
      <c r="AJ1108" s="593"/>
      <c r="AK1108" s="593"/>
    </row>
    <row r="1109" spans="1:38" s="385" customFormat="1" ht="40.5" outlineLevel="2" x14ac:dyDescent="0.3">
      <c r="A1109" s="447">
        <f t="shared" si="239"/>
        <v>85</v>
      </c>
      <c r="B1109" s="557"/>
      <c r="C1109" s="586"/>
      <c r="D1109" s="615"/>
      <c r="E1109" s="615"/>
      <c r="F1109" s="700"/>
      <c r="G1109" s="558"/>
      <c r="H1109" s="709"/>
      <c r="I1109" s="546"/>
      <c r="J1109" s="698"/>
      <c r="K1109" s="563" t="str">
        <f>IF(G1109&lt;&gt;0,VLOOKUP(G1109,'gia dat'!$A$1:$F$144,5,0)," ")</f>
        <v xml:space="preserve"> </v>
      </c>
      <c r="L1109" s="563" t="str">
        <f>IF(G1109&lt;&gt;0,VLOOKUP(G1109,'gia dat'!$A$1:$F$144,6,0)," ")</f>
        <v xml:space="preserve"> </v>
      </c>
      <c r="M1109" s="564" t="str">
        <f t="shared" si="227"/>
        <v xml:space="preserve"> </v>
      </c>
      <c r="N1109" s="564" t="str">
        <f t="shared" si="228"/>
        <v xml:space="preserve"> </v>
      </c>
      <c r="O1109" s="558"/>
      <c r="P1109" s="630"/>
      <c r="Q1109" s="564" t="str">
        <f>IF(O1109&lt;&gt;0,VLOOKUP(O1109,'Cây trong'!$A$2:$C$246,3,0)," ")</f>
        <v xml:space="preserve"> </v>
      </c>
      <c r="R1109" s="564" t="str">
        <f t="shared" si="231"/>
        <v xml:space="preserve"> </v>
      </c>
      <c r="S1109" s="586" t="s">
        <v>1757</v>
      </c>
      <c r="T1109" s="589" t="s">
        <v>2804</v>
      </c>
      <c r="U1109" s="710">
        <v>84.5</v>
      </c>
      <c r="V1109" s="593"/>
      <c r="W1109" s="564"/>
      <c r="X1109" s="564">
        <f t="shared" si="240"/>
        <v>0</v>
      </c>
      <c r="Y1109" s="683"/>
      <c r="Z1109" s="683"/>
      <c r="AA1109" s="683"/>
      <c r="AB1109" s="694"/>
      <c r="AC1109" s="683"/>
      <c r="AD1109" s="683"/>
      <c r="AE1109" s="683"/>
      <c r="AF1109" s="590"/>
      <c r="AG1109" s="570" t="str">
        <f>IF(AE1109&lt;&gt;0,VLOOKUP(AE1109,ODDS!$A$2:$C$13,3,0),"")</f>
        <v/>
      </c>
      <c r="AH1109" s="570" t="str">
        <f t="shared" si="232"/>
        <v xml:space="preserve"> </v>
      </c>
      <c r="AI1109" s="571" t="str">
        <f t="shared" si="237"/>
        <v xml:space="preserve"> </v>
      </c>
      <c r="AJ1109" s="593"/>
      <c r="AK1109" s="593"/>
    </row>
    <row r="1110" spans="1:38" s="385" customFormat="1" ht="20.25" outlineLevel="2" x14ac:dyDescent="0.3">
      <c r="A1110" s="447">
        <f t="shared" si="239"/>
        <v>85</v>
      </c>
      <c r="B1110" s="557"/>
      <c r="C1110" s="558"/>
      <c r="D1110" s="615"/>
      <c r="E1110" s="615"/>
      <c r="F1110" s="700"/>
      <c r="G1110" s="558"/>
      <c r="H1110" s="709"/>
      <c r="I1110" s="546"/>
      <c r="J1110" s="698"/>
      <c r="K1110" s="563" t="str">
        <f>IF(G1110&lt;&gt;0,VLOOKUP(G1110,'gia dat'!$A$1:$F$144,5,0)," ")</f>
        <v xml:space="preserve"> </v>
      </c>
      <c r="L1110" s="563" t="str">
        <f>IF(G1110&lt;&gt;0,VLOOKUP(G1110,'gia dat'!$A$1:$F$144,6,0)," ")</f>
        <v xml:space="preserve"> </v>
      </c>
      <c r="M1110" s="564" t="str">
        <f t="shared" si="227"/>
        <v xml:space="preserve"> </v>
      </c>
      <c r="N1110" s="564" t="str">
        <f t="shared" si="228"/>
        <v xml:space="preserve"> </v>
      </c>
      <c r="O1110" s="558"/>
      <c r="P1110" s="630"/>
      <c r="Q1110" s="564" t="str">
        <f>IF(O1110&lt;&gt;0,VLOOKUP(O1110,'Cây trong'!$A$2:$C$246,3,0)," ")</f>
        <v xml:space="preserve"> </v>
      </c>
      <c r="R1110" s="564" t="str">
        <f t="shared" si="231"/>
        <v xml:space="preserve"> </v>
      </c>
      <c r="S1110" s="566"/>
      <c r="T1110" s="589"/>
      <c r="U1110" s="710"/>
      <c r="V1110" s="593"/>
      <c r="W1110" s="564" t="str">
        <f>IF(S1110&lt;&gt;0,VLOOKUP(S1110,VKT!$A$2:$G$415,7,0),"")</f>
        <v/>
      </c>
      <c r="X1110" s="564" t="str">
        <f t="shared" si="240"/>
        <v xml:space="preserve"> </v>
      </c>
      <c r="Y1110" s="683"/>
      <c r="Z1110" s="683"/>
      <c r="AA1110" s="683"/>
      <c r="AB1110" s="694"/>
      <c r="AC1110" s="683"/>
      <c r="AD1110" s="683"/>
      <c r="AE1110" s="683"/>
      <c r="AF1110" s="590"/>
      <c r="AG1110" s="570" t="str">
        <f>IF(AE1110&lt;&gt;0,VLOOKUP(AE1110,ODDS!$A$2:$C$13,3,0),"")</f>
        <v/>
      </c>
      <c r="AH1110" s="570" t="str">
        <f t="shared" si="232"/>
        <v xml:space="preserve"> </v>
      </c>
      <c r="AI1110" s="571" t="str">
        <f t="shared" si="237"/>
        <v xml:space="preserve"> </v>
      </c>
      <c r="AJ1110" s="593"/>
      <c r="AK1110" s="593"/>
    </row>
    <row r="1111" spans="1:38" s="385" customFormat="1" ht="20.25" outlineLevel="2" x14ac:dyDescent="0.3">
      <c r="A1111" s="447">
        <f t="shared" si="239"/>
        <v>85</v>
      </c>
      <c r="B1111" s="557"/>
      <c r="C1111" s="607"/>
      <c r="D1111" s="615"/>
      <c r="E1111" s="615"/>
      <c r="F1111" s="700"/>
      <c r="G1111" s="558"/>
      <c r="H1111" s="709"/>
      <c r="I1111" s="546"/>
      <c r="J1111" s="698"/>
      <c r="K1111" s="563" t="str">
        <f>IF(G1111&lt;&gt;0,VLOOKUP(G1111,'gia dat'!$A$1:$F$144,5,0)," ")</f>
        <v xml:space="preserve"> </v>
      </c>
      <c r="L1111" s="563" t="str">
        <f>IF(G1111&lt;&gt;0,VLOOKUP(G1111,'gia dat'!$A$1:$F$144,6,0)," ")</f>
        <v xml:space="preserve"> </v>
      </c>
      <c r="M1111" s="564" t="str">
        <f t="shared" si="227"/>
        <v xml:space="preserve"> </v>
      </c>
      <c r="N1111" s="564" t="str">
        <f t="shared" si="228"/>
        <v xml:space="preserve"> </v>
      </c>
      <c r="O1111" s="558"/>
      <c r="P1111" s="630"/>
      <c r="Q1111" s="564" t="str">
        <f>IF(O1111&lt;&gt;0,VLOOKUP(O1111,'Cây trong'!$A$2:$C$246,3,0)," ")</f>
        <v xml:space="preserve"> </v>
      </c>
      <c r="R1111" s="564" t="str">
        <f t="shared" si="231"/>
        <v xml:space="preserve"> </v>
      </c>
      <c r="S1111" s="566"/>
      <c r="T1111" s="589"/>
      <c r="U1111" s="710"/>
      <c r="V1111" s="593"/>
      <c r="W1111" s="564" t="str">
        <f>IF(S1111&lt;&gt;0,VLOOKUP(S1111,VKT!$A$2:$G$415,7,0),"")</f>
        <v/>
      </c>
      <c r="X1111" s="564" t="str">
        <f t="shared" si="240"/>
        <v xml:space="preserve"> </v>
      </c>
      <c r="Y1111" s="683"/>
      <c r="Z1111" s="683"/>
      <c r="AA1111" s="683"/>
      <c r="AB1111" s="694"/>
      <c r="AC1111" s="683"/>
      <c r="AD1111" s="683"/>
      <c r="AE1111" s="683"/>
      <c r="AF1111" s="590"/>
      <c r="AG1111" s="570" t="str">
        <f>IF(AE1111&lt;&gt;0,VLOOKUP(AE1111,ODDS!$A$2:$C$13,3,0),"")</f>
        <v/>
      </c>
      <c r="AH1111" s="570" t="str">
        <f t="shared" si="232"/>
        <v xml:space="preserve"> </v>
      </c>
      <c r="AI1111" s="571" t="str">
        <f t="shared" si="237"/>
        <v xml:space="preserve"> </v>
      </c>
      <c r="AJ1111" s="593"/>
      <c r="AK1111" s="593"/>
    </row>
    <row r="1112" spans="1:38" s="386" customFormat="1" ht="20.25" outlineLevel="1" x14ac:dyDescent="0.25">
      <c r="A1112" s="467" t="s">
        <v>2624</v>
      </c>
      <c r="B1112" s="576">
        <v>86</v>
      </c>
      <c r="C1112" s="607" t="s">
        <v>825</v>
      </c>
      <c r="D1112" s="711"/>
      <c r="E1112" s="705"/>
      <c r="F1112" s="706"/>
      <c r="G1112" s="578"/>
      <c r="H1112" s="707">
        <f>SUBTOTAL(9,H1113:H1136)</f>
        <v>1459.6</v>
      </c>
      <c r="I1112" s="579">
        <f>SUBTOTAL(9,I1113:I1118)</f>
        <v>0</v>
      </c>
      <c r="J1112" s="708"/>
      <c r="K1112" s="581"/>
      <c r="L1112" s="581"/>
      <c r="M1112" s="571">
        <f>SUBTOTAL(9,M1113:M1136)</f>
        <v>679590000</v>
      </c>
      <c r="N1112" s="571">
        <f>SUBTOTAL(9,N1113:N1136)</f>
        <v>0</v>
      </c>
      <c r="O1112" s="578"/>
      <c r="P1112" s="712">
        <f>SUBTOTAL(9,P1113:P1136)</f>
        <v>163</v>
      </c>
      <c r="Q1112" s="571"/>
      <c r="R1112" s="571">
        <f>SUBTOTAL(9,R1113:R1136)</f>
        <v>13484000</v>
      </c>
      <c r="S1112" s="578"/>
      <c r="T1112" s="597"/>
      <c r="U1112" s="708">
        <f>SUBTOTAL(9,U1113:U1136)</f>
        <v>130.70000000000002</v>
      </c>
      <c r="V1112" s="713"/>
      <c r="W1112" s="571"/>
      <c r="X1112" s="571">
        <f>SUBTOTAL(9,X1113:X1136)</f>
        <v>42477000</v>
      </c>
      <c r="Y1112" s="683"/>
      <c r="Z1112" s="683"/>
      <c r="AA1112" s="683"/>
      <c r="AB1112" s="694"/>
      <c r="AC1112" s="683"/>
      <c r="AD1112" s="683"/>
      <c r="AE1112" s="650"/>
      <c r="AF1112" s="599">
        <f>SUBTOTAL(9,AF1113:AF1136)</f>
        <v>0</v>
      </c>
      <c r="AG1112" s="585"/>
      <c r="AH1112" s="585">
        <f>SUBTOTAL(9,AH1113:AH1136)</f>
        <v>0</v>
      </c>
      <c r="AI1112" s="571">
        <f t="shared" si="237"/>
        <v>735551000</v>
      </c>
      <c r="AJ1112" s="574"/>
      <c r="AK1112" s="578"/>
      <c r="AL1112" s="387"/>
    </row>
    <row r="1113" spans="1:38" s="386" customFormat="1" ht="121.5" outlineLevel="2" x14ac:dyDescent="0.3">
      <c r="A1113" s="447">
        <f>IF(B1112&lt;&gt;0,B1112,A1111)</f>
        <v>86</v>
      </c>
      <c r="B1113" s="557"/>
      <c r="C1113" s="572" t="s">
        <v>829</v>
      </c>
      <c r="D1113" s="703">
        <v>5</v>
      </c>
      <c r="E1113" s="615">
        <v>86</v>
      </c>
      <c r="F1113" s="700">
        <v>248</v>
      </c>
      <c r="G1113" s="586" t="s">
        <v>2875</v>
      </c>
      <c r="H1113" s="709">
        <f>1358.6-H1115</f>
        <v>1358.6</v>
      </c>
      <c r="I1113" s="546" t="str">
        <f t="shared" ref="I1113:I1114" si="241">IF(N1113&gt;0,H1113,"")</f>
        <v/>
      </c>
      <c r="J1113" s="710"/>
      <c r="K1113" s="563">
        <f>IF(G1113&lt;&gt;0,VLOOKUP(G1113,'gia dat'!$A$1:$F$144,5,0)," ")</f>
        <v>465600</v>
      </c>
      <c r="L1113" s="563">
        <f>IF(G1113&lt;&gt;0,VLOOKUP(G1113,'gia dat'!$A$1:$F$144,6,0)," ")</f>
        <v>0</v>
      </c>
      <c r="M1113" s="564">
        <f t="shared" si="227"/>
        <v>632564000</v>
      </c>
      <c r="N1113" s="564">
        <f t="shared" si="228"/>
        <v>0</v>
      </c>
      <c r="O1113" s="586" t="s">
        <v>827</v>
      </c>
      <c r="P1113" s="714">
        <v>2</v>
      </c>
      <c r="Q1113" s="564">
        <f>IF(O1113&lt;&gt;0,VLOOKUP(O1113,'Cây trong'!$A$2:$C$246,3,0)," ")</f>
        <v>72000</v>
      </c>
      <c r="R1113" s="564">
        <f t="shared" si="231"/>
        <v>144000</v>
      </c>
      <c r="S1113" s="586" t="s">
        <v>1748</v>
      </c>
      <c r="T1113" s="589" t="s">
        <v>2804</v>
      </c>
      <c r="U1113" s="710">
        <v>11.25</v>
      </c>
      <c r="V1113" s="715"/>
      <c r="W1113" s="564">
        <f>IF(S1113&lt;&gt;0,VLOOKUP(S1113,VKT!$A$2:$G$415,7,0),"")</f>
        <v>0</v>
      </c>
      <c r="X1113" s="564">
        <f t="shared" si="240"/>
        <v>0</v>
      </c>
      <c r="Y1113" s="683"/>
      <c r="Z1113" s="683"/>
      <c r="AA1113" s="683"/>
      <c r="AB1113" s="694"/>
      <c r="AC1113" s="683"/>
      <c r="AD1113" s="683"/>
      <c r="AE1113" s="683"/>
      <c r="AF1113" s="590"/>
      <c r="AG1113" s="570" t="str">
        <f>IF(AE1113&lt;&gt;0,VLOOKUP(AE1113,ODDS!$A$2:$C$13,3,0),"")</f>
        <v/>
      </c>
      <c r="AH1113" s="570"/>
      <c r="AI1113" s="571" t="str">
        <f t="shared" si="237"/>
        <v xml:space="preserve"> </v>
      </c>
      <c r="AJ1113" s="558" t="s">
        <v>828</v>
      </c>
      <c r="AK1113" s="586" t="s">
        <v>2771</v>
      </c>
      <c r="AL1113" s="387"/>
    </row>
    <row r="1114" spans="1:38" s="386" customFormat="1" ht="121.5" outlineLevel="2" x14ac:dyDescent="0.3">
      <c r="A1114" s="447">
        <f t="shared" ref="A1114:A1136" si="242">IF(B1113&lt;&gt;0,B1113,A1113)</f>
        <v>86</v>
      </c>
      <c r="B1114" s="557"/>
      <c r="C1114" s="586" t="s">
        <v>1654</v>
      </c>
      <c r="D1114" s="703"/>
      <c r="E1114" s="615">
        <v>86</v>
      </c>
      <c r="F1114" s="700">
        <v>248</v>
      </c>
      <c r="G1114" s="586" t="s">
        <v>2865</v>
      </c>
      <c r="H1114" s="709">
        <v>101</v>
      </c>
      <c r="I1114" s="546" t="str">
        <f t="shared" si="241"/>
        <v/>
      </c>
      <c r="J1114" s="710"/>
      <c r="K1114" s="563">
        <f>IF(G1114&lt;&gt;0,VLOOKUP(G1114,'gia dat'!$A$1:$F$144,5,0)," ")</f>
        <v>465600</v>
      </c>
      <c r="L1114" s="563">
        <f>IF(G1114&lt;&gt;0,VLOOKUP(G1114,'gia dat'!$A$1:$F$144,6,0)," ")</f>
        <v>0</v>
      </c>
      <c r="M1114" s="564">
        <f t="shared" si="227"/>
        <v>47026000</v>
      </c>
      <c r="N1114" s="564">
        <f t="shared" si="228"/>
        <v>0</v>
      </c>
      <c r="O1114" s="586" t="s">
        <v>401</v>
      </c>
      <c r="P1114" s="714">
        <v>19</v>
      </c>
      <c r="Q1114" s="564">
        <f>IF(O1114&lt;&gt;0,VLOOKUP(O1114,'Cây trong'!$A$2:$C$246,3,0)," ")</f>
        <v>80000</v>
      </c>
      <c r="R1114" s="564">
        <f t="shared" si="231"/>
        <v>1520000</v>
      </c>
      <c r="S1114" s="566" t="s">
        <v>1749</v>
      </c>
      <c r="T1114" s="589" t="s">
        <v>2804</v>
      </c>
      <c r="U1114" s="710">
        <v>11.25</v>
      </c>
      <c r="V1114" s="661"/>
      <c r="W1114" s="564">
        <f>IF(S1114&lt;&gt;0,VLOOKUP(S1114,VKT!$A$2:$G$415,7,0),"")</f>
        <v>211811</v>
      </c>
      <c r="X1114" s="564">
        <f t="shared" si="240"/>
        <v>2383000</v>
      </c>
      <c r="Y1114" s="683"/>
      <c r="Z1114" s="683"/>
      <c r="AA1114" s="683"/>
      <c r="AB1114" s="694"/>
      <c r="AC1114" s="683"/>
      <c r="AD1114" s="683"/>
      <c r="AE1114" s="683"/>
      <c r="AF1114" s="590"/>
      <c r="AG1114" s="570" t="str">
        <f>IF(AE1114&lt;&gt;0,VLOOKUP(AE1114,ODDS!$A$2:$C$13,3,0),"")</f>
        <v/>
      </c>
      <c r="AH1114" s="570" t="str">
        <f t="shared" si="232"/>
        <v xml:space="preserve"> </v>
      </c>
      <c r="AI1114" s="571" t="str">
        <f t="shared" si="237"/>
        <v xml:space="preserve"> </v>
      </c>
      <c r="AJ1114" s="558" t="s">
        <v>2808</v>
      </c>
      <c r="AK1114" s="558" t="s">
        <v>2450</v>
      </c>
      <c r="AL1114" s="387"/>
    </row>
    <row r="1115" spans="1:38" s="386" customFormat="1" ht="101.25" outlineLevel="2" x14ac:dyDescent="0.3">
      <c r="A1115" s="447">
        <f t="shared" si="242"/>
        <v>86</v>
      </c>
      <c r="B1115" s="557"/>
      <c r="C1115" s="558"/>
      <c r="D1115" s="615"/>
      <c r="E1115" s="615"/>
      <c r="F1115" s="700"/>
      <c r="G1115" s="586"/>
      <c r="H1115" s="709"/>
      <c r="I1115" s="546"/>
      <c r="J1115" s="710"/>
      <c r="K1115" s="563" t="str">
        <f>IF(G1115&lt;&gt;0,VLOOKUP(G1115,'gia dat'!$A$1:$F$144,5,0)," ")</f>
        <v xml:space="preserve"> </v>
      </c>
      <c r="L1115" s="563" t="str">
        <f>IF(G1115&lt;&gt;0,VLOOKUP(G1115,'gia dat'!$A$1:$F$144,6,0)," ")</f>
        <v xml:space="preserve"> </v>
      </c>
      <c r="M1115" s="564" t="str">
        <f t="shared" si="227"/>
        <v xml:space="preserve"> </v>
      </c>
      <c r="N1115" s="564" t="str">
        <f t="shared" si="228"/>
        <v xml:space="preserve"> </v>
      </c>
      <c r="O1115" s="586" t="s">
        <v>832</v>
      </c>
      <c r="P1115" s="714">
        <v>2</v>
      </c>
      <c r="Q1115" s="564">
        <f>IF(O1115&lt;&gt;0,VLOOKUP(O1115,'Cây trong'!$A$2:$C$246,3,0)," ")</f>
        <v>60000</v>
      </c>
      <c r="R1115" s="564">
        <f t="shared" si="231"/>
        <v>120000</v>
      </c>
      <c r="S1115" s="566" t="s">
        <v>1750</v>
      </c>
      <c r="T1115" s="589" t="s">
        <v>2804</v>
      </c>
      <c r="U1115" s="710">
        <v>36</v>
      </c>
      <c r="V1115" s="661"/>
      <c r="W1115" s="564">
        <f>IF(S1115&lt;&gt;0,VLOOKUP(S1115,VKT!$A$2:$G$415,7,0),"")</f>
        <v>984277</v>
      </c>
      <c r="X1115" s="564">
        <f t="shared" si="240"/>
        <v>35434000</v>
      </c>
      <c r="Y1115" s="683"/>
      <c r="Z1115" s="683"/>
      <c r="AA1115" s="683"/>
      <c r="AB1115" s="694"/>
      <c r="AC1115" s="683"/>
      <c r="AD1115" s="683"/>
      <c r="AE1115" s="683"/>
      <c r="AF1115" s="590"/>
      <c r="AG1115" s="570" t="str">
        <f>IF(AE1115&lt;&gt;0,VLOOKUP(AE1115,ODDS!$A$2:$C$13,3,0),"")</f>
        <v/>
      </c>
      <c r="AH1115" s="570" t="str">
        <f t="shared" si="232"/>
        <v xml:space="preserve"> </v>
      </c>
      <c r="AI1115" s="571" t="str">
        <f t="shared" si="237"/>
        <v xml:space="preserve"> </v>
      </c>
      <c r="AJ1115" s="716" t="s">
        <v>1760</v>
      </c>
      <c r="AK1115" s="558" t="s">
        <v>2449</v>
      </c>
      <c r="AL1115" s="388"/>
    </row>
    <row r="1116" spans="1:38" s="385" customFormat="1" ht="101.25" outlineLevel="2" x14ac:dyDescent="0.3">
      <c r="A1116" s="447">
        <f t="shared" si="242"/>
        <v>86</v>
      </c>
      <c r="B1116" s="557"/>
      <c r="C1116" s="558"/>
      <c r="D1116" s="615"/>
      <c r="E1116" s="615"/>
      <c r="F1116" s="700"/>
      <c r="G1116" s="586"/>
      <c r="H1116" s="709"/>
      <c r="I1116" s="546"/>
      <c r="J1116" s="710"/>
      <c r="K1116" s="563" t="str">
        <f>IF(G1116&lt;&gt;0,VLOOKUP(G1116,'gia dat'!$A$1:$F$144,5,0)," ")</f>
        <v xml:space="preserve"> </v>
      </c>
      <c r="L1116" s="563" t="str">
        <f>IF(G1116&lt;&gt;0,VLOOKUP(G1116,'gia dat'!$A$1:$F$144,6,0)," ")</f>
        <v xml:space="preserve"> </v>
      </c>
      <c r="M1116" s="564" t="str">
        <f t="shared" si="227"/>
        <v xml:space="preserve"> </v>
      </c>
      <c r="N1116" s="564" t="str">
        <f t="shared" si="228"/>
        <v xml:space="preserve"> </v>
      </c>
      <c r="O1116" s="586" t="s">
        <v>832</v>
      </c>
      <c r="P1116" s="714">
        <v>2</v>
      </c>
      <c r="Q1116" s="564">
        <f>IF(O1116&lt;&gt;0,VLOOKUP(O1116,'Cây trong'!$A$2:$C$246,3,0)," ")</f>
        <v>60000</v>
      </c>
      <c r="R1116" s="564">
        <f t="shared" si="231"/>
        <v>120000</v>
      </c>
      <c r="S1116" s="586" t="s">
        <v>1748</v>
      </c>
      <c r="T1116" s="589" t="s">
        <v>2804</v>
      </c>
      <c r="U1116" s="710">
        <v>3.6</v>
      </c>
      <c r="V1116" s="661"/>
      <c r="W1116" s="564">
        <f>IF(S1116&lt;&gt;0,VLOOKUP(S1116,VKT!$A$2:$G$415,7,0),"")</f>
        <v>0</v>
      </c>
      <c r="X1116" s="564">
        <f t="shared" si="240"/>
        <v>0</v>
      </c>
      <c r="Y1116" s="683"/>
      <c r="Z1116" s="683"/>
      <c r="AA1116" s="683"/>
      <c r="AB1116" s="694"/>
      <c r="AC1116" s="683"/>
      <c r="AD1116" s="683"/>
      <c r="AE1116" s="683"/>
      <c r="AF1116" s="590"/>
      <c r="AG1116" s="570" t="str">
        <f>IF(AE1116&lt;&gt;0,VLOOKUP(AE1116,ODDS!$A$2:$C$13,3,0),"")</f>
        <v/>
      </c>
      <c r="AH1116" s="570" t="str">
        <f t="shared" si="232"/>
        <v xml:space="preserve"> </v>
      </c>
      <c r="AI1116" s="571" t="str">
        <f t="shared" si="237"/>
        <v xml:space="preserve"> </v>
      </c>
      <c r="AJ1116" s="558" t="s">
        <v>2219</v>
      </c>
      <c r="AK1116" s="586" t="s">
        <v>2800</v>
      </c>
      <c r="AL1116" s="389"/>
    </row>
    <row r="1117" spans="1:38" s="385" customFormat="1" ht="40.5" outlineLevel="2" x14ac:dyDescent="0.3">
      <c r="A1117" s="447">
        <f t="shared" si="242"/>
        <v>86</v>
      </c>
      <c r="B1117" s="557"/>
      <c r="C1117" s="558"/>
      <c r="D1117" s="615"/>
      <c r="E1117" s="615"/>
      <c r="F1117" s="700"/>
      <c r="G1117" s="558"/>
      <c r="H1117" s="709"/>
      <c r="I1117" s="546"/>
      <c r="J1117" s="710"/>
      <c r="K1117" s="563" t="str">
        <f>IF(G1117&lt;&gt;0,VLOOKUP(G1117,'gia dat'!$A$1:$F$144,5,0)," ")</f>
        <v xml:space="preserve"> </v>
      </c>
      <c r="L1117" s="563" t="str">
        <f>IF(G1117&lt;&gt;0,VLOOKUP(G1117,'gia dat'!$A$1:$F$144,6,0)," ")</f>
        <v xml:space="preserve"> </v>
      </c>
      <c r="M1117" s="564" t="str">
        <f t="shared" si="227"/>
        <v xml:space="preserve"> </v>
      </c>
      <c r="N1117" s="564" t="str">
        <f t="shared" si="228"/>
        <v xml:space="preserve"> </v>
      </c>
      <c r="O1117" s="586" t="s">
        <v>798</v>
      </c>
      <c r="P1117" s="714">
        <v>1</v>
      </c>
      <c r="Q1117" s="564">
        <f>IF(O1117&lt;&gt;0,VLOOKUP(O1117,'Cây trong'!$A$2:$C$246,3,0)," ")</f>
        <v>32000</v>
      </c>
      <c r="R1117" s="564">
        <f t="shared" si="231"/>
        <v>32000</v>
      </c>
      <c r="S1117" s="586" t="s">
        <v>1748</v>
      </c>
      <c r="T1117" s="589" t="s">
        <v>2804</v>
      </c>
      <c r="U1117" s="710">
        <v>12.16</v>
      </c>
      <c r="V1117" s="661"/>
      <c r="W1117" s="564">
        <f>IF(S1117&lt;&gt;0,VLOOKUP(S1117,VKT!$A$2:$G$415,7,0),"")</f>
        <v>0</v>
      </c>
      <c r="X1117" s="564">
        <f t="shared" si="240"/>
        <v>0</v>
      </c>
      <c r="Y1117" s="683"/>
      <c r="Z1117" s="683"/>
      <c r="AA1117" s="683"/>
      <c r="AB1117" s="694"/>
      <c r="AC1117" s="683"/>
      <c r="AD1117" s="683"/>
      <c r="AE1117" s="683"/>
      <c r="AF1117" s="590"/>
      <c r="AG1117" s="570" t="str">
        <f>IF(AE1117&lt;&gt;0,VLOOKUP(AE1117,ODDS!$A$2:$C$13,3,0),"")</f>
        <v/>
      </c>
      <c r="AH1117" s="570" t="str">
        <f t="shared" si="232"/>
        <v xml:space="preserve"> </v>
      </c>
      <c r="AI1117" s="571" t="str">
        <f t="shared" si="237"/>
        <v xml:space="preserve"> </v>
      </c>
      <c r="AJ1117" s="704"/>
      <c r="AK1117" s="566"/>
    </row>
    <row r="1118" spans="1:38" s="385" customFormat="1" ht="60.75" outlineLevel="2" x14ac:dyDescent="0.3">
      <c r="A1118" s="447">
        <f t="shared" si="242"/>
        <v>86</v>
      </c>
      <c r="B1118" s="557"/>
      <c r="C1118" s="558"/>
      <c r="D1118" s="615"/>
      <c r="E1118" s="615"/>
      <c r="F1118" s="700"/>
      <c r="G1118" s="558"/>
      <c r="H1118" s="709"/>
      <c r="I1118" s="546"/>
      <c r="J1118" s="710"/>
      <c r="K1118" s="563" t="str">
        <f>IF(G1118&lt;&gt;0,VLOOKUP(G1118,'gia dat'!$A$1:$F$144,5,0)," ")</f>
        <v xml:space="preserve"> </v>
      </c>
      <c r="L1118" s="563" t="str">
        <f>IF(G1118&lt;&gt;0,VLOOKUP(G1118,'gia dat'!$A$1:$F$144,6,0)," ")</f>
        <v xml:space="preserve"> </v>
      </c>
      <c r="M1118" s="564" t="str">
        <f t="shared" si="227"/>
        <v xml:space="preserve"> </v>
      </c>
      <c r="N1118" s="564" t="str">
        <f t="shared" si="228"/>
        <v xml:space="preserve"> </v>
      </c>
      <c r="O1118" s="586" t="s">
        <v>798</v>
      </c>
      <c r="P1118" s="714">
        <v>62</v>
      </c>
      <c r="Q1118" s="564">
        <f>IF(O1118&lt;&gt;0,VLOOKUP(O1118,'Cây trong'!$A$2:$C$246,3,0)," ")</f>
        <v>32000</v>
      </c>
      <c r="R1118" s="564">
        <f t="shared" si="231"/>
        <v>1984000</v>
      </c>
      <c r="S1118" s="566" t="s">
        <v>1749</v>
      </c>
      <c r="T1118" s="589" t="s">
        <v>2804</v>
      </c>
      <c r="U1118" s="710">
        <v>12.16</v>
      </c>
      <c r="V1118" s="661"/>
      <c r="W1118" s="564">
        <f>IF(S1118&lt;&gt;0,VLOOKUP(S1118,VKT!$A$2:$G$415,7,0),"")</f>
        <v>211811</v>
      </c>
      <c r="X1118" s="564">
        <f t="shared" si="240"/>
        <v>2576000</v>
      </c>
      <c r="Y1118" s="683"/>
      <c r="Z1118" s="683"/>
      <c r="AA1118" s="683"/>
      <c r="AB1118" s="694"/>
      <c r="AC1118" s="683"/>
      <c r="AD1118" s="683"/>
      <c r="AE1118" s="683"/>
      <c r="AF1118" s="590"/>
      <c r="AG1118" s="570" t="str">
        <f>IF(AE1118&lt;&gt;0,VLOOKUP(AE1118,ODDS!$A$2:$C$13,3,0),"")</f>
        <v/>
      </c>
      <c r="AH1118" s="570" t="str">
        <f t="shared" si="232"/>
        <v xml:space="preserve"> </v>
      </c>
      <c r="AI1118" s="571" t="str">
        <f t="shared" si="237"/>
        <v xml:space="preserve"> </v>
      </c>
      <c r="AJ1118" s="704"/>
      <c r="AK1118" s="593"/>
    </row>
    <row r="1119" spans="1:38" s="385" customFormat="1" ht="40.5" outlineLevel="2" x14ac:dyDescent="0.3">
      <c r="A1119" s="447">
        <f t="shared" si="242"/>
        <v>86</v>
      </c>
      <c r="B1119" s="557"/>
      <c r="C1119" s="558"/>
      <c r="D1119" s="615"/>
      <c r="E1119" s="615"/>
      <c r="F1119" s="700"/>
      <c r="G1119" s="558"/>
      <c r="H1119" s="709"/>
      <c r="I1119" s="546"/>
      <c r="J1119" s="710"/>
      <c r="K1119" s="563" t="str">
        <f>IF(G1119&lt;&gt;0,VLOOKUP(G1119,'gia dat'!$A$1:$F$144,5,0)," ")</f>
        <v xml:space="preserve"> </v>
      </c>
      <c r="L1119" s="563" t="str">
        <f>IF(G1119&lt;&gt;0,VLOOKUP(G1119,'gia dat'!$A$1:$F$144,6,0)," ")</f>
        <v xml:space="preserve"> </v>
      </c>
      <c r="M1119" s="564" t="str">
        <f t="shared" ref="M1119:M1189" si="243">IF(H1119&lt;&gt;0,ROUND(H1119*K1119,-3)," ")</f>
        <v xml:space="preserve"> </v>
      </c>
      <c r="N1119" s="564" t="str">
        <f t="shared" ref="N1119:N1189" si="244">IF(H1119&lt;&gt;0,ROUND(H1119*L1119,-3)," ")</f>
        <v xml:space="preserve"> </v>
      </c>
      <c r="O1119" s="586" t="s">
        <v>783</v>
      </c>
      <c r="P1119" s="714">
        <v>1</v>
      </c>
      <c r="Q1119" s="564">
        <f>IF(O1119&lt;&gt;0,VLOOKUP(O1119,'Cây trong'!$A$2:$C$246,3,0)," ")</f>
        <v>60000</v>
      </c>
      <c r="R1119" s="564">
        <f t="shared" si="231"/>
        <v>60000</v>
      </c>
      <c r="S1119" s="586" t="s">
        <v>1748</v>
      </c>
      <c r="T1119" s="589" t="s">
        <v>2804</v>
      </c>
      <c r="U1119" s="710">
        <v>9.84</v>
      </c>
      <c r="V1119" s="661"/>
      <c r="W1119" s="564">
        <f>IF(S1119&lt;&gt;0,VLOOKUP(S1119,VKT!$A$2:$G$415,7,0),"")</f>
        <v>0</v>
      </c>
      <c r="X1119" s="564">
        <f t="shared" si="240"/>
        <v>0</v>
      </c>
      <c r="Y1119" s="683"/>
      <c r="Z1119" s="683"/>
      <c r="AA1119" s="683"/>
      <c r="AB1119" s="694"/>
      <c r="AC1119" s="683"/>
      <c r="AD1119" s="683"/>
      <c r="AE1119" s="683"/>
      <c r="AF1119" s="590"/>
      <c r="AG1119" s="570" t="str">
        <f>IF(AE1119&lt;&gt;0,VLOOKUP(AE1119,ODDS!$A$2:$C$13,3,0),"")</f>
        <v/>
      </c>
      <c r="AH1119" s="570" t="str">
        <f t="shared" si="232"/>
        <v xml:space="preserve"> </v>
      </c>
      <c r="AI1119" s="571" t="str">
        <f t="shared" si="237"/>
        <v xml:space="preserve"> </v>
      </c>
      <c r="AJ1119" s="593"/>
      <c r="AK1119" s="593"/>
    </row>
    <row r="1120" spans="1:38" s="385" customFormat="1" ht="81" outlineLevel="2" x14ac:dyDescent="0.3">
      <c r="A1120" s="447">
        <f t="shared" si="242"/>
        <v>86</v>
      </c>
      <c r="B1120" s="557"/>
      <c r="C1120" s="558"/>
      <c r="D1120" s="615"/>
      <c r="E1120" s="615"/>
      <c r="F1120" s="700"/>
      <c r="G1120" s="558"/>
      <c r="H1120" s="709"/>
      <c r="I1120" s="546"/>
      <c r="J1120" s="710"/>
      <c r="K1120" s="563" t="str">
        <f>IF(G1120&lt;&gt;0,VLOOKUP(G1120,'gia dat'!$A$1:$F$144,5,0)," ")</f>
        <v xml:space="preserve"> </v>
      </c>
      <c r="L1120" s="563" t="str">
        <f>IF(G1120&lt;&gt;0,VLOOKUP(G1120,'gia dat'!$A$1:$F$144,6,0)," ")</f>
        <v xml:space="preserve"> </v>
      </c>
      <c r="M1120" s="564" t="str">
        <f t="shared" si="243"/>
        <v xml:space="preserve"> </v>
      </c>
      <c r="N1120" s="564" t="str">
        <f t="shared" si="244"/>
        <v xml:space="preserve"> </v>
      </c>
      <c r="O1120" s="586" t="s">
        <v>834</v>
      </c>
      <c r="P1120" s="714">
        <v>1</v>
      </c>
      <c r="Q1120" s="564">
        <f>IF(O1120&lt;&gt;0,VLOOKUP(O1120,'Cây trong'!$A$2:$C$246,3,0)," ")</f>
        <v>240000</v>
      </c>
      <c r="R1120" s="564">
        <f t="shared" si="231"/>
        <v>240000</v>
      </c>
      <c r="S1120" s="586" t="s">
        <v>1749</v>
      </c>
      <c r="T1120" s="589" t="s">
        <v>2804</v>
      </c>
      <c r="U1120" s="710">
        <v>9.84</v>
      </c>
      <c r="V1120" s="661"/>
      <c r="W1120" s="564">
        <f>IF(S1120&lt;&gt;0,VLOOKUP(S1120,VKT!$A$2:$G$415,7,0),"")</f>
        <v>211811</v>
      </c>
      <c r="X1120" s="564">
        <f t="shared" si="240"/>
        <v>2084000</v>
      </c>
      <c r="Y1120" s="683"/>
      <c r="Z1120" s="683"/>
      <c r="AA1120" s="683"/>
      <c r="AB1120" s="694"/>
      <c r="AC1120" s="683"/>
      <c r="AD1120" s="683"/>
      <c r="AE1120" s="683"/>
      <c r="AF1120" s="590"/>
      <c r="AG1120" s="570" t="str">
        <f>IF(AE1120&lt;&gt;0,VLOOKUP(AE1120,ODDS!$A$2:$C$13,3,0),"")</f>
        <v/>
      </c>
      <c r="AH1120" s="570" t="str">
        <f t="shared" si="232"/>
        <v xml:space="preserve"> </v>
      </c>
      <c r="AI1120" s="571" t="str">
        <f t="shared" si="237"/>
        <v xml:space="preserve"> </v>
      </c>
      <c r="AJ1120" s="593"/>
      <c r="AK1120" s="593"/>
    </row>
    <row r="1121" spans="1:37" s="385" customFormat="1" ht="40.5" outlineLevel="2" x14ac:dyDescent="0.3">
      <c r="A1121" s="447">
        <f t="shared" si="242"/>
        <v>86</v>
      </c>
      <c r="B1121" s="557"/>
      <c r="C1121" s="558"/>
      <c r="D1121" s="615"/>
      <c r="E1121" s="615"/>
      <c r="F1121" s="700"/>
      <c r="G1121" s="558"/>
      <c r="H1121" s="709"/>
      <c r="I1121" s="546"/>
      <c r="J1121" s="710"/>
      <c r="K1121" s="563" t="str">
        <f>IF(G1121&lt;&gt;0,VLOOKUP(G1121,'gia dat'!$A$1:$F$144,5,0)," ")</f>
        <v xml:space="preserve"> </v>
      </c>
      <c r="L1121" s="563" t="str">
        <f>IF(G1121&lt;&gt;0,VLOOKUP(G1121,'gia dat'!$A$1:$F$144,6,0)," ")</f>
        <v xml:space="preserve"> </v>
      </c>
      <c r="M1121" s="564" t="str">
        <f t="shared" si="243"/>
        <v xml:space="preserve"> </v>
      </c>
      <c r="N1121" s="564" t="str">
        <f t="shared" si="244"/>
        <v xml:space="preserve"> </v>
      </c>
      <c r="O1121" s="586" t="s">
        <v>64</v>
      </c>
      <c r="P1121" s="714">
        <v>4</v>
      </c>
      <c r="Q1121" s="564">
        <f>IF(O1121&lt;&gt;0,VLOOKUP(O1121,'Cây trong'!$A$2:$C$246,3,0)," ")</f>
        <v>1122000</v>
      </c>
      <c r="R1121" s="564">
        <f t="shared" si="231"/>
        <v>4488000</v>
      </c>
      <c r="S1121" s="586" t="s">
        <v>1761</v>
      </c>
      <c r="T1121" s="589" t="s">
        <v>2804</v>
      </c>
      <c r="U1121" s="710">
        <v>24.6</v>
      </c>
      <c r="V1121" s="661"/>
      <c r="W1121" s="564">
        <f>IF(S1121&lt;&gt;0,VLOOKUP(S1121,VKT!$A$2:$G$415,7,0),"")</f>
        <v>0</v>
      </c>
      <c r="X1121" s="564">
        <f t="shared" si="240"/>
        <v>0</v>
      </c>
      <c r="Y1121" s="683"/>
      <c r="Z1121" s="683"/>
      <c r="AA1121" s="683"/>
      <c r="AB1121" s="694"/>
      <c r="AC1121" s="683"/>
      <c r="AD1121" s="683"/>
      <c r="AE1121" s="683"/>
      <c r="AF1121" s="590"/>
      <c r="AG1121" s="570" t="str">
        <f>IF(AE1121&lt;&gt;0,VLOOKUP(AE1121,ODDS!$A$2:$C$13,3,0),"")</f>
        <v/>
      </c>
      <c r="AH1121" s="570" t="str">
        <f t="shared" si="232"/>
        <v xml:space="preserve"> </v>
      </c>
      <c r="AI1121" s="571" t="str">
        <f t="shared" si="237"/>
        <v xml:space="preserve"> </v>
      </c>
      <c r="AJ1121" s="593"/>
      <c r="AK1121" s="593"/>
    </row>
    <row r="1122" spans="1:37" s="385" customFormat="1" ht="20.25" outlineLevel="2" x14ac:dyDescent="0.3">
      <c r="A1122" s="447">
        <f t="shared" si="242"/>
        <v>86</v>
      </c>
      <c r="B1122" s="557"/>
      <c r="C1122" s="558"/>
      <c r="D1122" s="615"/>
      <c r="E1122" s="615"/>
      <c r="F1122" s="700"/>
      <c r="G1122" s="558"/>
      <c r="H1122" s="709"/>
      <c r="I1122" s="546"/>
      <c r="J1122" s="710"/>
      <c r="K1122" s="563" t="str">
        <f>IF(G1122&lt;&gt;0,VLOOKUP(G1122,'gia dat'!$A$1:$F$144,5,0)," ")</f>
        <v xml:space="preserve"> </v>
      </c>
      <c r="L1122" s="563" t="str">
        <f>IF(G1122&lt;&gt;0,VLOOKUP(G1122,'gia dat'!$A$1:$F$144,6,0)," ")</f>
        <v xml:space="preserve"> </v>
      </c>
      <c r="M1122" s="564" t="str">
        <f t="shared" si="243"/>
        <v xml:space="preserve"> </v>
      </c>
      <c r="N1122" s="564" t="str">
        <f t="shared" si="244"/>
        <v xml:space="preserve"> </v>
      </c>
      <c r="O1122" s="586" t="s">
        <v>67</v>
      </c>
      <c r="P1122" s="714">
        <v>4</v>
      </c>
      <c r="Q1122" s="564">
        <f>IF(O1122&lt;&gt;0,VLOOKUP(O1122,'Cây trong'!$A$2:$C$246,3,0)," ")</f>
        <v>494000</v>
      </c>
      <c r="R1122" s="564">
        <f t="shared" si="231"/>
        <v>1976000</v>
      </c>
      <c r="S1122" s="586"/>
      <c r="T1122" s="609"/>
      <c r="U1122" s="710"/>
      <c r="V1122" s="661"/>
      <c r="W1122" s="564" t="str">
        <f>IF(S1122&lt;&gt;0,VLOOKUP(S1122,VKT!$A$2:$G$415,7,0),"")</f>
        <v/>
      </c>
      <c r="X1122" s="564" t="str">
        <f t="shared" si="240"/>
        <v xml:space="preserve"> </v>
      </c>
      <c r="Y1122" s="683"/>
      <c r="Z1122" s="683"/>
      <c r="AA1122" s="683"/>
      <c r="AB1122" s="694"/>
      <c r="AC1122" s="683"/>
      <c r="AD1122" s="683"/>
      <c r="AE1122" s="683"/>
      <c r="AF1122" s="590"/>
      <c r="AG1122" s="570" t="str">
        <f>IF(AE1122&lt;&gt;0,VLOOKUP(AE1122,ODDS!$A$2:$C$13,3,0),"")</f>
        <v/>
      </c>
      <c r="AH1122" s="570" t="str">
        <f t="shared" si="232"/>
        <v xml:space="preserve"> </v>
      </c>
      <c r="AI1122" s="571" t="str">
        <f t="shared" si="237"/>
        <v xml:space="preserve"> </v>
      </c>
      <c r="AJ1122" s="593"/>
      <c r="AK1122" s="593"/>
    </row>
    <row r="1123" spans="1:37" s="385" customFormat="1" ht="20.25" outlineLevel="2" x14ac:dyDescent="0.3">
      <c r="A1123" s="447">
        <f t="shared" si="242"/>
        <v>86</v>
      </c>
      <c r="B1123" s="557"/>
      <c r="C1123" s="558"/>
      <c r="D1123" s="615"/>
      <c r="E1123" s="615"/>
      <c r="F1123" s="700"/>
      <c r="G1123" s="558"/>
      <c r="H1123" s="709"/>
      <c r="I1123" s="546"/>
      <c r="J1123" s="710"/>
      <c r="K1123" s="563" t="str">
        <f>IF(G1123&lt;&gt;0,VLOOKUP(G1123,'gia dat'!$A$1:$F$144,5,0)," ")</f>
        <v xml:space="preserve"> </v>
      </c>
      <c r="L1123" s="563" t="str">
        <f>IF(G1123&lt;&gt;0,VLOOKUP(G1123,'gia dat'!$A$1:$F$144,6,0)," ")</f>
        <v xml:space="preserve"> </v>
      </c>
      <c r="M1123" s="564" t="str">
        <f t="shared" si="243"/>
        <v xml:space="preserve"> </v>
      </c>
      <c r="N1123" s="564" t="str">
        <f t="shared" si="244"/>
        <v xml:space="preserve"> </v>
      </c>
      <c r="O1123" s="586" t="s">
        <v>835</v>
      </c>
      <c r="P1123" s="714">
        <v>3</v>
      </c>
      <c r="Q1123" s="564">
        <f>IF(O1123&lt;&gt;0,VLOOKUP(O1123,'Cây trong'!$A$2:$C$246,3,0)," ")</f>
        <v>60000</v>
      </c>
      <c r="R1123" s="564">
        <f t="shared" si="231"/>
        <v>180000</v>
      </c>
      <c r="S1123" s="586"/>
      <c r="T1123" s="609"/>
      <c r="U1123" s="710"/>
      <c r="V1123" s="661"/>
      <c r="W1123" s="564" t="str">
        <f>IF(S1123&lt;&gt;0,VLOOKUP(S1123,VKT!$A$2:$G$415,7,0),"")</f>
        <v/>
      </c>
      <c r="X1123" s="564" t="str">
        <f t="shared" si="240"/>
        <v xml:space="preserve"> </v>
      </c>
      <c r="Y1123" s="683"/>
      <c r="Z1123" s="683"/>
      <c r="AA1123" s="683"/>
      <c r="AB1123" s="694"/>
      <c r="AC1123" s="683"/>
      <c r="AD1123" s="683"/>
      <c r="AE1123" s="683"/>
      <c r="AF1123" s="590"/>
      <c r="AG1123" s="570" t="str">
        <f>IF(AE1123&lt;&gt;0,VLOOKUP(AE1123,ODDS!$A$2:$C$13,3,0),"")</f>
        <v/>
      </c>
      <c r="AH1123" s="570" t="str">
        <f t="shared" si="232"/>
        <v xml:space="preserve"> </v>
      </c>
      <c r="AI1123" s="571" t="str">
        <f t="shared" si="237"/>
        <v xml:space="preserve"> </v>
      </c>
      <c r="AJ1123" s="593"/>
      <c r="AK1123" s="593"/>
    </row>
    <row r="1124" spans="1:37" s="385" customFormat="1" ht="20.25" outlineLevel="2" x14ac:dyDescent="0.3">
      <c r="A1124" s="447">
        <f t="shared" si="242"/>
        <v>86</v>
      </c>
      <c r="B1124" s="557"/>
      <c r="C1124" s="558"/>
      <c r="D1124" s="615"/>
      <c r="E1124" s="615"/>
      <c r="F1124" s="700"/>
      <c r="G1124" s="558"/>
      <c r="H1124" s="709"/>
      <c r="I1124" s="546"/>
      <c r="J1124" s="710"/>
      <c r="K1124" s="563" t="str">
        <f>IF(G1124&lt;&gt;0,VLOOKUP(G1124,'gia dat'!$A$1:$F$144,5,0)," ")</f>
        <v xml:space="preserve"> </v>
      </c>
      <c r="L1124" s="563" t="str">
        <f>IF(G1124&lt;&gt;0,VLOOKUP(G1124,'gia dat'!$A$1:$F$144,6,0)," ")</f>
        <v xml:space="preserve"> </v>
      </c>
      <c r="M1124" s="564" t="str">
        <f t="shared" si="243"/>
        <v xml:space="preserve"> </v>
      </c>
      <c r="N1124" s="564" t="str">
        <f t="shared" si="244"/>
        <v xml:space="preserve"> </v>
      </c>
      <c r="O1124" s="586" t="s">
        <v>777</v>
      </c>
      <c r="P1124" s="714">
        <v>2</v>
      </c>
      <c r="Q1124" s="564">
        <f>IF(O1124&lt;&gt;0,VLOOKUP(O1124,'Cây trong'!$A$2:$C$246,3,0)," ")</f>
        <v>32000</v>
      </c>
      <c r="R1124" s="564">
        <f t="shared" si="231"/>
        <v>64000</v>
      </c>
      <c r="S1124" s="586"/>
      <c r="T1124" s="609"/>
      <c r="U1124" s="710"/>
      <c r="V1124" s="661"/>
      <c r="W1124" s="564" t="str">
        <f>IF(S1124&lt;&gt;0,VLOOKUP(S1124,VKT!$A$2:$G$415,7,0),"")</f>
        <v/>
      </c>
      <c r="X1124" s="564" t="str">
        <f t="shared" si="240"/>
        <v xml:space="preserve"> </v>
      </c>
      <c r="Y1124" s="683"/>
      <c r="Z1124" s="683"/>
      <c r="AA1124" s="683"/>
      <c r="AB1124" s="694"/>
      <c r="AC1124" s="683"/>
      <c r="AD1124" s="683"/>
      <c r="AE1124" s="683"/>
      <c r="AF1124" s="590"/>
      <c r="AG1124" s="570" t="str">
        <f>IF(AE1124&lt;&gt;0,VLOOKUP(AE1124,ODDS!$A$2:$C$13,3,0),"")</f>
        <v/>
      </c>
      <c r="AH1124" s="570" t="str">
        <f t="shared" si="232"/>
        <v xml:space="preserve"> </v>
      </c>
      <c r="AI1124" s="571" t="str">
        <f t="shared" si="237"/>
        <v xml:space="preserve"> </v>
      </c>
      <c r="AJ1124" s="593"/>
      <c r="AK1124" s="593"/>
    </row>
    <row r="1125" spans="1:37" s="385" customFormat="1" ht="20.25" outlineLevel="2" x14ac:dyDescent="0.3">
      <c r="A1125" s="447">
        <f t="shared" si="242"/>
        <v>86</v>
      </c>
      <c r="B1125" s="557"/>
      <c r="C1125" s="572"/>
      <c r="D1125" s="615"/>
      <c r="E1125" s="615"/>
      <c r="F1125" s="700"/>
      <c r="G1125" s="558"/>
      <c r="H1125" s="709"/>
      <c r="I1125" s="546"/>
      <c r="J1125" s="710"/>
      <c r="K1125" s="563" t="str">
        <f>IF(G1125&lt;&gt;0,VLOOKUP(G1125,'gia dat'!$A$1:$F$144,5,0)," ")</f>
        <v xml:space="preserve"> </v>
      </c>
      <c r="L1125" s="563" t="str">
        <f>IF(G1125&lt;&gt;0,VLOOKUP(G1125,'gia dat'!$A$1:$F$144,6,0)," ")</f>
        <v xml:space="preserve"> </v>
      </c>
      <c r="M1125" s="564" t="str">
        <f t="shared" si="243"/>
        <v xml:space="preserve"> </v>
      </c>
      <c r="N1125" s="564" t="str">
        <f t="shared" si="244"/>
        <v xml:space="preserve"> </v>
      </c>
      <c r="O1125" s="586" t="s">
        <v>2122</v>
      </c>
      <c r="P1125" s="714">
        <v>2</v>
      </c>
      <c r="Q1125" s="564">
        <f>IF(O1125&lt;&gt;0,VLOOKUP(O1125,'Cây trong'!$A$2:$C$246,3,0)," ")</f>
        <v>60000</v>
      </c>
      <c r="R1125" s="564">
        <f t="shared" si="231"/>
        <v>120000</v>
      </c>
      <c r="S1125" s="586"/>
      <c r="T1125" s="609"/>
      <c r="U1125" s="710"/>
      <c r="V1125" s="661"/>
      <c r="W1125" s="564" t="str">
        <f>IF(S1125&lt;&gt;0,VLOOKUP(S1125,VKT!$A$2:$G$415,7,0),"")</f>
        <v/>
      </c>
      <c r="X1125" s="564" t="str">
        <f t="shared" si="240"/>
        <v xml:space="preserve"> </v>
      </c>
      <c r="Y1125" s="683"/>
      <c r="Z1125" s="683"/>
      <c r="AA1125" s="683"/>
      <c r="AB1125" s="694"/>
      <c r="AC1125" s="683"/>
      <c r="AD1125" s="683"/>
      <c r="AE1125" s="683"/>
      <c r="AF1125" s="590"/>
      <c r="AG1125" s="570" t="str">
        <f>IF(AE1125&lt;&gt;0,VLOOKUP(AE1125,ODDS!$A$2:$C$13,3,0),"")</f>
        <v/>
      </c>
      <c r="AH1125" s="570" t="str">
        <f t="shared" si="232"/>
        <v xml:space="preserve"> </v>
      </c>
      <c r="AI1125" s="571" t="str">
        <f t="shared" si="237"/>
        <v xml:space="preserve"> </v>
      </c>
      <c r="AJ1125" s="593"/>
      <c r="AK1125" s="593"/>
    </row>
    <row r="1126" spans="1:37" s="385" customFormat="1" ht="20.25" outlineLevel="2" x14ac:dyDescent="0.3">
      <c r="A1126" s="447">
        <f t="shared" si="242"/>
        <v>86</v>
      </c>
      <c r="B1126" s="557"/>
      <c r="C1126" s="572"/>
      <c r="D1126" s="703"/>
      <c r="E1126" s="615"/>
      <c r="F1126" s="700"/>
      <c r="G1126" s="558"/>
      <c r="H1126" s="709"/>
      <c r="I1126" s="546"/>
      <c r="J1126" s="710"/>
      <c r="K1126" s="563" t="str">
        <f>IF(G1126&lt;&gt;0,VLOOKUP(G1126,'gia dat'!$A$1:$F$144,5,0)," ")</f>
        <v xml:space="preserve"> </v>
      </c>
      <c r="L1126" s="563" t="str">
        <f>IF(G1126&lt;&gt;0,VLOOKUP(G1126,'gia dat'!$A$1:$F$144,6,0)," ")</f>
        <v xml:space="preserve"> </v>
      </c>
      <c r="M1126" s="564" t="str">
        <f t="shared" si="243"/>
        <v xml:space="preserve"> </v>
      </c>
      <c r="N1126" s="564" t="str">
        <f t="shared" si="244"/>
        <v xml:space="preserve"> </v>
      </c>
      <c r="O1126" s="586" t="s">
        <v>76</v>
      </c>
      <c r="P1126" s="714">
        <v>5</v>
      </c>
      <c r="Q1126" s="564">
        <f>IF(O1126&lt;&gt;0,VLOOKUP(O1126,'Cây trong'!$A$2:$C$246,3,0)," ")</f>
        <v>45000</v>
      </c>
      <c r="R1126" s="564">
        <f t="shared" si="231"/>
        <v>225000</v>
      </c>
      <c r="S1126" s="586"/>
      <c r="T1126" s="609"/>
      <c r="U1126" s="710"/>
      <c r="V1126" s="661"/>
      <c r="W1126" s="564" t="str">
        <f>IF(S1126&lt;&gt;0,VLOOKUP(S1126,VKT!$A$2:$G$415,7,0),"")</f>
        <v/>
      </c>
      <c r="X1126" s="564" t="str">
        <f t="shared" si="240"/>
        <v xml:space="preserve"> </v>
      </c>
      <c r="Y1126" s="683"/>
      <c r="Z1126" s="683"/>
      <c r="AA1126" s="683"/>
      <c r="AB1126" s="694"/>
      <c r="AC1126" s="683"/>
      <c r="AD1126" s="683"/>
      <c r="AE1126" s="683"/>
      <c r="AF1126" s="590"/>
      <c r="AG1126" s="570" t="str">
        <f>IF(AE1126&lt;&gt;0,VLOOKUP(AE1126,ODDS!$A$2:$C$13,3,0),"")</f>
        <v/>
      </c>
      <c r="AH1126" s="570" t="str">
        <f t="shared" si="232"/>
        <v xml:space="preserve"> </v>
      </c>
      <c r="AI1126" s="571" t="str">
        <f t="shared" si="237"/>
        <v xml:space="preserve"> </v>
      </c>
      <c r="AJ1126" s="593"/>
      <c r="AK1126" s="593"/>
    </row>
    <row r="1127" spans="1:37" s="385" customFormat="1" ht="20.25" outlineLevel="2" x14ac:dyDescent="0.3">
      <c r="A1127" s="447">
        <f t="shared" si="242"/>
        <v>86</v>
      </c>
      <c r="B1127" s="557"/>
      <c r="C1127" s="572"/>
      <c r="D1127" s="703"/>
      <c r="E1127" s="615"/>
      <c r="F1127" s="700"/>
      <c r="G1127" s="558"/>
      <c r="H1127" s="709"/>
      <c r="I1127" s="546"/>
      <c r="J1127" s="710"/>
      <c r="K1127" s="563" t="str">
        <f>IF(G1127&lt;&gt;0,VLOOKUP(G1127,'gia dat'!$A$1:$F$144,5,0)," ")</f>
        <v xml:space="preserve"> </v>
      </c>
      <c r="L1127" s="563" t="str">
        <f>IF(G1127&lt;&gt;0,VLOOKUP(G1127,'gia dat'!$A$1:$F$144,6,0)," ")</f>
        <v xml:space="preserve"> </v>
      </c>
      <c r="M1127" s="564" t="str">
        <f t="shared" si="243"/>
        <v xml:space="preserve"> </v>
      </c>
      <c r="N1127" s="564" t="str">
        <f t="shared" si="244"/>
        <v xml:space="preserve"> </v>
      </c>
      <c r="O1127" s="586" t="s">
        <v>73</v>
      </c>
      <c r="P1127" s="714">
        <v>10</v>
      </c>
      <c r="Q1127" s="564">
        <f>IF(O1127&lt;&gt;0,VLOOKUP(O1127,'Cây trong'!$A$2:$C$246,3,0)," ")</f>
        <v>76000</v>
      </c>
      <c r="R1127" s="564">
        <f t="shared" si="231"/>
        <v>760000</v>
      </c>
      <c r="S1127" s="586"/>
      <c r="T1127" s="609"/>
      <c r="U1127" s="710"/>
      <c r="V1127" s="661"/>
      <c r="W1127" s="564" t="str">
        <f>IF(S1127&lt;&gt;0,VLOOKUP(S1127,VKT!$A$2:$G$415,7,0),"")</f>
        <v/>
      </c>
      <c r="X1127" s="564" t="str">
        <f t="shared" si="240"/>
        <v xml:space="preserve"> </v>
      </c>
      <c r="Y1127" s="683"/>
      <c r="Z1127" s="683"/>
      <c r="AA1127" s="683"/>
      <c r="AB1127" s="694"/>
      <c r="AC1127" s="683"/>
      <c r="AD1127" s="683"/>
      <c r="AE1127" s="683"/>
      <c r="AF1127" s="590"/>
      <c r="AG1127" s="570" t="str">
        <f>IF(AE1127&lt;&gt;0,VLOOKUP(AE1127,ODDS!$A$2:$C$13,3,0),"")</f>
        <v/>
      </c>
      <c r="AH1127" s="570" t="str">
        <f t="shared" si="232"/>
        <v xml:space="preserve"> </v>
      </c>
      <c r="AI1127" s="571" t="str">
        <f t="shared" si="237"/>
        <v xml:space="preserve"> </v>
      </c>
      <c r="AJ1127" s="593"/>
      <c r="AK1127" s="593"/>
    </row>
    <row r="1128" spans="1:37" s="385" customFormat="1" ht="20.25" outlineLevel="2" x14ac:dyDescent="0.3">
      <c r="A1128" s="447">
        <f t="shared" si="242"/>
        <v>86</v>
      </c>
      <c r="B1128" s="557"/>
      <c r="C1128" s="572"/>
      <c r="D1128" s="703"/>
      <c r="E1128" s="612"/>
      <c r="F1128" s="612"/>
      <c r="G1128" s="586"/>
      <c r="H1128" s="709"/>
      <c r="I1128" s="546"/>
      <c r="J1128" s="710"/>
      <c r="K1128" s="563" t="str">
        <f>IF(G1128&lt;&gt;0,VLOOKUP(G1128,'gia dat'!$A$1:$F$144,5,0)," ")</f>
        <v xml:space="preserve"> </v>
      </c>
      <c r="L1128" s="563" t="str">
        <f>IF(G1128&lt;&gt;0,VLOOKUP(G1128,'gia dat'!$A$1:$F$144,6,0)," ")</f>
        <v xml:space="preserve"> </v>
      </c>
      <c r="M1128" s="564" t="str">
        <f t="shared" si="243"/>
        <v xml:space="preserve"> </v>
      </c>
      <c r="N1128" s="564" t="str">
        <f t="shared" si="244"/>
        <v xml:space="preserve"> </v>
      </c>
      <c r="O1128" s="586" t="s">
        <v>75</v>
      </c>
      <c r="P1128" s="714">
        <v>12</v>
      </c>
      <c r="Q1128" s="564">
        <f>IF(O1128&lt;&gt;0,VLOOKUP(O1128,'Cây trong'!$A$2:$C$246,3,0)," ")</f>
        <v>34000</v>
      </c>
      <c r="R1128" s="564">
        <f t="shared" si="231"/>
        <v>408000</v>
      </c>
      <c r="S1128" s="586"/>
      <c r="T1128" s="609"/>
      <c r="U1128" s="710"/>
      <c r="V1128" s="661"/>
      <c r="W1128" s="564" t="str">
        <f>IF(S1128&lt;&gt;0,VLOOKUP(S1128,VKT!$A$2:$G$415,7,0),"")</f>
        <v/>
      </c>
      <c r="X1128" s="564" t="str">
        <f t="shared" si="240"/>
        <v xml:space="preserve"> </v>
      </c>
      <c r="Y1128" s="683"/>
      <c r="Z1128" s="683"/>
      <c r="AA1128" s="683"/>
      <c r="AB1128" s="694"/>
      <c r="AC1128" s="683"/>
      <c r="AD1128" s="683"/>
      <c r="AE1128" s="683"/>
      <c r="AF1128" s="590"/>
      <c r="AG1128" s="570" t="str">
        <f>IF(AE1128&lt;&gt;0,VLOOKUP(AE1128,ODDS!$A$2:$C$13,3,0),"")</f>
        <v/>
      </c>
      <c r="AH1128" s="570" t="str">
        <f t="shared" si="232"/>
        <v xml:space="preserve"> </v>
      </c>
      <c r="AI1128" s="571" t="str">
        <f t="shared" si="237"/>
        <v xml:space="preserve"> </v>
      </c>
      <c r="AJ1128" s="593"/>
      <c r="AK1128" s="593"/>
    </row>
    <row r="1129" spans="1:37" s="385" customFormat="1" ht="20.25" outlineLevel="2" x14ac:dyDescent="0.3">
      <c r="A1129" s="447">
        <f t="shared" si="242"/>
        <v>86</v>
      </c>
      <c r="B1129" s="557"/>
      <c r="C1129" s="572"/>
      <c r="D1129" s="703"/>
      <c r="E1129" s="612"/>
      <c r="F1129" s="612"/>
      <c r="G1129" s="586"/>
      <c r="H1129" s="709"/>
      <c r="I1129" s="546"/>
      <c r="J1129" s="710"/>
      <c r="K1129" s="563" t="str">
        <f>IF(G1129&lt;&gt;0,VLOOKUP(G1129,'gia dat'!$A$1:$F$144,5,0)," ")</f>
        <v xml:space="preserve"> </v>
      </c>
      <c r="L1129" s="563" t="str">
        <f>IF(G1129&lt;&gt;0,VLOOKUP(G1129,'gia dat'!$A$1:$F$144,6,0)," ")</f>
        <v xml:space="preserve"> </v>
      </c>
      <c r="M1129" s="564" t="str">
        <f t="shared" si="243"/>
        <v xml:space="preserve"> </v>
      </c>
      <c r="N1129" s="564" t="str">
        <f t="shared" si="244"/>
        <v xml:space="preserve"> </v>
      </c>
      <c r="O1129" s="586" t="s">
        <v>736</v>
      </c>
      <c r="P1129" s="714">
        <v>2</v>
      </c>
      <c r="Q1129" s="564">
        <f>IF(O1129&lt;&gt;0,VLOOKUP(O1129,'Cây trong'!$A$2:$C$246,3,0)," ")</f>
        <v>32000</v>
      </c>
      <c r="R1129" s="564">
        <f t="shared" si="231"/>
        <v>64000</v>
      </c>
      <c r="S1129" s="586"/>
      <c r="T1129" s="609"/>
      <c r="U1129" s="710"/>
      <c r="V1129" s="661"/>
      <c r="W1129" s="564" t="str">
        <f>IF(S1129&lt;&gt;0,VLOOKUP(S1129,VKT!$A$2:$G$415,7,0),"")</f>
        <v/>
      </c>
      <c r="X1129" s="564" t="str">
        <f t="shared" si="240"/>
        <v xml:space="preserve"> </v>
      </c>
      <c r="Y1129" s="683"/>
      <c r="Z1129" s="683"/>
      <c r="AA1129" s="683"/>
      <c r="AB1129" s="694"/>
      <c r="AC1129" s="683"/>
      <c r="AD1129" s="683"/>
      <c r="AE1129" s="683"/>
      <c r="AF1129" s="590"/>
      <c r="AG1129" s="570" t="str">
        <f>IF(AE1129&lt;&gt;0,VLOOKUP(AE1129,ODDS!$A$2:$C$13,3,0),"")</f>
        <v/>
      </c>
      <c r="AH1129" s="570" t="str">
        <f t="shared" si="232"/>
        <v xml:space="preserve"> </v>
      </c>
      <c r="AI1129" s="571" t="str">
        <f t="shared" si="237"/>
        <v xml:space="preserve"> </v>
      </c>
      <c r="AJ1129" s="593"/>
      <c r="AK1129" s="593"/>
    </row>
    <row r="1130" spans="1:37" s="385" customFormat="1" ht="20.25" outlineLevel="2" x14ac:dyDescent="0.3">
      <c r="A1130" s="447">
        <f t="shared" si="242"/>
        <v>86</v>
      </c>
      <c r="B1130" s="557"/>
      <c r="C1130" s="572"/>
      <c r="D1130" s="615"/>
      <c r="E1130" s="615"/>
      <c r="F1130" s="700"/>
      <c r="G1130" s="558"/>
      <c r="H1130" s="709"/>
      <c r="I1130" s="546"/>
      <c r="J1130" s="710"/>
      <c r="K1130" s="563" t="str">
        <f>IF(G1130&lt;&gt;0,VLOOKUP(G1130,'gia dat'!$A$1:$F$144,5,0)," ")</f>
        <v xml:space="preserve"> </v>
      </c>
      <c r="L1130" s="563" t="str">
        <f>IF(G1130&lt;&gt;0,VLOOKUP(G1130,'gia dat'!$A$1:$F$144,6,0)," ")</f>
        <v xml:space="preserve"> </v>
      </c>
      <c r="M1130" s="564" t="str">
        <f t="shared" si="243"/>
        <v xml:space="preserve"> </v>
      </c>
      <c r="N1130" s="564" t="str">
        <f t="shared" si="244"/>
        <v xml:space="preserve"> </v>
      </c>
      <c r="O1130" s="586" t="s">
        <v>736</v>
      </c>
      <c r="P1130" s="714">
        <v>2</v>
      </c>
      <c r="Q1130" s="564">
        <f>IF(O1130&lt;&gt;0,VLOOKUP(O1130,'Cây trong'!$A$2:$C$246,3,0)," ")</f>
        <v>32000</v>
      </c>
      <c r="R1130" s="564">
        <f t="shared" si="231"/>
        <v>64000</v>
      </c>
      <c r="S1130" s="586"/>
      <c r="T1130" s="609"/>
      <c r="U1130" s="710"/>
      <c r="V1130" s="661"/>
      <c r="W1130" s="564" t="str">
        <f>IF(S1130&lt;&gt;0,VLOOKUP(S1130,VKT!$A$2:$G$415,7,0),"")</f>
        <v/>
      </c>
      <c r="X1130" s="564" t="str">
        <f t="shared" si="240"/>
        <v xml:space="preserve"> </v>
      </c>
      <c r="Y1130" s="683"/>
      <c r="Z1130" s="683"/>
      <c r="AA1130" s="683"/>
      <c r="AB1130" s="694"/>
      <c r="AC1130" s="683"/>
      <c r="AD1130" s="683"/>
      <c r="AE1130" s="683"/>
      <c r="AF1130" s="590"/>
      <c r="AG1130" s="570" t="str">
        <f>IF(AE1130&lt;&gt;0,VLOOKUP(AE1130,ODDS!$A$2:$C$13,3,0),"")</f>
        <v/>
      </c>
      <c r="AH1130" s="570" t="str">
        <f t="shared" si="232"/>
        <v xml:space="preserve"> </v>
      </c>
      <c r="AI1130" s="571" t="str">
        <f t="shared" si="237"/>
        <v xml:space="preserve"> </v>
      </c>
      <c r="AJ1130" s="593"/>
      <c r="AK1130" s="593"/>
    </row>
    <row r="1131" spans="1:37" s="385" customFormat="1" ht="40.5" outlineLevel="2" x14ac:dyDescent="0.3">
      <c r="A1131" s="447">
        <f t="shared" si="242"/>
        <v>86</v>
      </c>
      <c r="B1131" s="557"/>
      <c r="C1131" s="558"/>
      <c r="D1131" s="615"/>
      <c r="E1131" s="615"/>
      <c r="F1131" s="700"/>
      <c r="G1131" s="558"/>
      <c r="H1131" s="709"/>
      <c r="I1131" s="546"/>
      <c r="J1131" s="710"/>
      <c r="K1131" s="563" t="str">
        <f>IF(G1131&lt;&gt;0,VLOOKUP(G1131,'gia dat'!$A$1:$F$144,5,0)," ")</f>
        <v xml:space="preserve"> </v>
      </c>
      <c r="L1131" s="563" t="str">
        <f>IF(G1131&lt;&gt;0,VLOOKUP(G1131,'gia dat'!$A$1:$F$144,6,0)," ")</f>
        <v xml:space="preserve"> </v>
      </c>
      <c r="M1131" s="564" t="str">
        <f t="shared" si="243"/>
        <v xml:space="preserve"> </v>
      </c>
      <c r="N1131" s="564" t="str">
        <f t="shared" si="244"/>
        <v xml:space="preserve"> </v>
      </c>
      <c r="O1131" s="586" t="s">
        <v>405</v>
      </c>
      <c r="P1131" s="714">
        <v>1</v>
      </c>
      <c r="Q1131" s="564">
        <f>IF(O1131&lt;&gt;0,VLOOKUP(O1131,'Cây trong'!$A$2:$C$246,3,0)," ")</f>
        <v>72000</v>
      </c>
      <c r="R1131" s="564">
        <f t="shared" ref="R1131:R1202" si="245">IF(O1131&lt;&gt;0,ROUND(P1131*Q1131,-2)," ")</f>
        <v>72000</v>
      </c>
      <c r="S1131" s="586"/>
      <c r="T1131" s="609"/>
      <c r="U1131" s="710"/>
      <c r="V1131" s="661"/>
      <c r="W1131" s="564" t="str">
        <f>IF(S1131&lt;&gt;0,VLOOKUP(S1131,VKT!$A$2:$G$415,7,0),"")</f>
        <v/>
      </c>
      <c r="X1131" s="564" t="str">
        <f t="shared" si="240"/>
        <v xml:space="preserve"> </v>
      </c>
      <c r="Y1131" s="683"/>
      <c r="Z1131" s="683"/>
      <c r="AA1131" s="683"/>
      <c r="AB1131" s="694"/>
      <c r="AC1131" s="683"/>
      <c r="AD1131" s="683"/>
      <c r="AE1131" s="683"/>
      <c r="AF1131" s="590"/>
      <c r="AG1131" s="570" t="str">
        <f>IF(AE1131&lt;&gt;0,VLOOKUP(AE1131,ODDS!$A$2:$C$13,3,0),"")</f>
        <v/>
      </c>
      <c r="AH1131" s="570" t="str">
        <f t="shared" ref="AH1131:AH1202" si="246">IF(AE1131&lt;&gt;0,ROUND(AF1131*AG1131,-2)," ")</f>
        <v xml:space="preserve"> </v>
      </c>
      <c r="AI1131" s="571" t="str">
        <f t="shared" si="237"/>
        <v xml:space="preserve"> </v>
      </c>
      <c r="AJ1131" s="593"/>
      <c r="AK1131" s="593"/>
    </row>
    <row r="1132" spans="1:37" s="385" customFormat="1" ht="40.5" outlineLevel="2" x14ac:dyDescent="0.3">
      <c r="A1132" s="447">
        <f t="shared" si="242"/>
        <v>86</v>
      </c>
      <c r="B1132" s="557"/>
      <c r="C1132" s="558"/>
      <c r="D1132" s="615"/>
      <c r="E1132" s="615"/>
      <c r="F1132" s="700"/>
      <c r="G1132" s="558"/>
      <c r="H1132" s="709"/>
      <c r="I1132" s="546"/>
      <c r="J1132" s="589"/>
      <c r="K1132" s="563" t="str">
        <f>IF(G1132&lt;&gt;0,VLOOKUP(G1132,'gia dat'!$A$1:$F$144,5,0)," ")</f>
        <v xml:space="preserve"> </v>
      </c>
      <c r="L1132" s="563" t="str">
        <f>IF(G1132&lt;&gt;0,VLOOKUP(G1132,'gia dat'!$A$1:$F$144,6,0)," ")</f>
        <v xml:space="preserve"> </v>
      </c>
      <c r="M1132" s="564" t="str">
        <f t="shared" si="243"/>
        <v xml:space="preserve"> </v>
      </c>
      <c r="N1132" s="564" t="str">
        <f t="shared" si="244"/>
        <v xml:space="preserve"> </v>
      </c>
      <c r="O1132" s="558" t="s">
        <v>837</v>
      </c>
      <c r="P1132" s="714">
        <v>7</v>
      </c>
      <c r="Q1132" s="564">
        <f>IF(O1132&lt;&gt;0,VLOOKUP(O1132,'Cây trong'!$A$2:$C$246,3,0)," ")</f>
        <v>60000</v>
      </c>
      <c r="R1132" s="564">
        <f t="shared" si="245"/>
        <v>420000</v>
      </c>
      <c r="S1132" s="566"/>
      <c r="T1132" s="589"/>
      <c r="U1132" s="710"/>
      <c r="V1132" s="593"/>
      <c r="W1132" s="564" t="str">
        <f>IF(S1132&lt;&gt;0,VLOOKUP(S1132,VKT!$A$2:$G$415,7,0),"")</f>
        <v/>
      </c>
      <c r="X1132" s="564" t="str">
        <f t="shared" si="240"/>
        <v xml:space="preserve"> </v>
      </c>
      <c r="Y1132" s="683"/>
      <c r="Z1132" s="683"/>
      <c r="AA1132" s="683"/>
      <c r="AB1132" s="694"/>
      <c r="AC1132" s="683"/>
      <c r="AD1132" s="683"/>
      <c r="AE1132" s="683"/>
      <c r="AF1132" s="590"/>
      <c r="AG1132" s="570" t="str">
        <f>IF(AE1132&lt;&gt;0,VLOOKUP(AE1132,ODDS!$A$2:$C$13,3,0),"")</f>
        <v/>
      </c>
      <c r="AH1132" s="570" t="str">
        <f t="shared" si="246"/>
        <v xml:space="preserve"> </v>
      </c>
      <c r="AI1132" s="571" t="str">
        <f t="shared" si="237"/>
        <v xml:space="preserve"> </v>
      </c>
      <c r="AJ1132" s="593"/>
      <c r="AK1132" s="593"/>
    </row>
    <row r="1133" spans="1:37" s="385" customFormat="1" ht="64.5" outlineLevel="2" x14ac:dyDescent="0.3">
      <c r="A1133" s="447">
        <f t="shared" si="242"/>
        <v>86</v>
      </c>
      <c r="B1133" s="557"/>
      <c r="C1133" s="558"/>
      <c r="D1133" s="615"/>
      <c r="E1133" s="615"/>
      <c r="F1133" s="700"/>
      <c r="G1133" s="558"/>
      <c r="H1133" s="709"/>
      <c r="I1133" s="546"/>
      <c r="J1133" s="589"/>
      <c r="K1133" s="563" t="str">
        <f>IF(G1133&lt;&gt;0,VLOOKUP(G1133,'gia dat'!$A$1:$F$144,5,0)," ")</f>
        <v xml:space="preserve"> </v>
      </c>
      <c r="L1133" s="563" t="str">
        <f>IF(G1133&lt;&gt;0,VLOOKUP(G1133,'gia dat'!$A$1:$F$144,6,0)," ")</f>
        <v xml:space="preserve"> </v>
      </c>
      <c r="M1133" s="564" t="str">
        <f t="shared" si="243"/>
        <v xml:space="preserve"> </v>
      </c>
      <c r="N1133" s="564" t="str">
        <f t="shared" si="244"/>
        <v xml:space="preserve"> </v>
      </c>
      <c r="O1133" s="558" t="s">
        <v>2809</v>
      </c>
      <c r="P1133" s="714">
        <v>15</v>
      </c>
      <c r="Q1133" s="564">
        <f>IF(O1133&lt;&gt;0,VLOOKUP(O1133,'Cây trong'!$A$2:$C$246,3,0)," ")</f>
        <v>25000</v>
      </c>
      <c r="R1133" s="564">
        <f t="shared" si="245"/>
        <v>375000</v>
      </c>
      <c r="S1133" s="566"/>
      <c r="T1133" s="589"/>
      <c r="U1133" s="710"/>
      <c r="V1133" s="593"/>
      <c r="W1133" s="564" t="str">
        <f>IF(S1133&lt;&gt;0,VLOOKUP(S1133,VKT!$A$2:$G$415,7,0),"")</f>
        <v/>
      </c>
      <c r="X1133" s="564" t="str">
        <f t="shared" si="240"/>
        <v xml:space="preserve"> </v>
      </c>
      <c r="Y1133" s="683"/>
      <c r="Z1133" s="683"/>
      <c r="AA1133" s="683"/>
      <c r="AB1133" s="694"/>
      <c r="AC1133" s="683"/>
      <c r="AD1133" s="683"/>
      <c r="AE1133" s="683"/>
      <c r="AF1133" s="590"/>
      <c r="AG1133" s="570" t="str">
        <f>IF(AE1133&lt;&gt;0,VLOOKUP(AE1133,ODDS!$A$2:$C$13,3,0),"")</f>
        <v/>
      </c>
      <c r="AH1133" s="570" t="str">
        <f t="shared" si="246"/>
        <v xml:space="preserve"> </v>
      </c>
      <c r="AI1133" s="571" t="str">
        <f t="shared" si="237"/>
        <v xml:space="preserve"> </v>
      </c>
      <c r="AJ1133" s="593"/>
      <c r="AK1133" s="593"/>
    </row>
    <row r="1134" spans="1:37" s="385" customFormat="1" ht="44.25" outlineLevel="2" x14ac:dyDescent="0.3">
      <c r="A1134" s="447">
        <f t="shared" si="242"/>
        <v>86</v>
      </c>
      <c r="B1134" s="557"/>
      <c r="C1134" s="558"/>
      <c r="D1134" s="615"/>
      <c r="E1134" s="615"/>
      <c r="F1134" s="700"/>
      <c r="G1134" s="558"/>
      <c r="H1134" s="709"/>
      <c r="I1134" s="546"/>
      <c r="J1134" s="589"/>
      <c r="K1134" s="563" t="str">
        <f>IF(G1134&lt;&gt;0,VLOOKUP(G1134,'gia dat'!$A$1:$F$144,5,0)," ")</f>
        <v xml:space="preserve"> </v>
      </c>
      <c r="L1134" s="563" t="str">
        <f>IF(G1134&lt;&gt;0,VLOOKUP(G1134,'gia dat'!$A$1:$F$144,6,0)," ")</f>
        <v xml:space="preserve"> </v>
      </c>
      <c r="M1134" s="564" t="str">
        <f t="shared" si="243"/>
        <v xml:space="preserve"> </v>
      </c>
      <c r="N1134" s="564" t="str">
        <f t="shared" si="244"/>
        <v xml:space="preserve"> </v>
      </c>
      <c r="O1134" s="558" t="s">
        <v>2810</v>
      </c>
      <c r="P1134" s="714">
        <v>4</v>
      </c>
      <c r="Q1134" s="564">
        <f>IF(O1134&lt;&gt;0,VLOOKUP(O1134,'Cây trong'!$A$2:$C$246,3,0)," ")</f>
        <v>12000</v>
      </c>
      <c r="R1134" s="564">
        <f t="shared" si="245"/>
        <v>48000</v>
      </c>
      <c r="S1134" s="566"/>
      <c r="T1134" s="589"/>
      <c r="U1134" s="710"/>
      <c r="V1134" s="593"/>
      <c r="W1134" s="564" t="str">
        <f>IF(S1134&lt;&gt;0,VLOOKUP(S1134,VKT!$A$2:$G$415,7,0),"")</f>
        <v/>
      </c>
      <c r="X1134" s="564" t="str">
        <f t="shared" si="240"/>
        <v xml:space="preserve"> </v>
      </c>
      <c r="Y1134" s="683"/>
      <c r="Z1134" s="683"/>
      <c r="AA1134" s="683"/>
      <c r="AB1134" s="694"/>
      <c r="AC1134" s="683"/>
      <c r="AD1134" s="683"/>
      <c r="AE1134" s="683"/>
      <c r="AF1134" s="590"/>
      <c r="AG1134" s="570" t="str">
        <f>IF(AE1134&lt;&gt;0,VLOOKUP(AE1134,ODDS!$A$2:$C$13,3,0),"")</f>
        <v/>
      </c>
      <c r="AH1134" s="570" t="str">
        <f t="shared" si="246"/>
        <v xml:space="preserve"> </v>
      </c>
      <c r="AI1134" s="571" t="str">
        <f t="shared" si="237"/>
        <v xml:space="preserve"> </v>
      </c>
      <c r="AJ1134" s="593"/>
      <c r="AK1134" s="593"/>
    </row>
    <row r="1135" spans="1:37" s="385" customFormat="1" ht="20.25" outlineLevel="2" x14ac:dyDescent="0.3">
      <c r="A1135" s="447">
        <f t="shared" si="242"/>
        <v>86</v>
      </c>
      <c r="B1135" s="557"/>
      <c r="C1135" s="558"/>
      <c r="D1135" s="615"/>
      <c r="E1135" s="615"/>
      <c r="F1135" s="700"/>
      <c r="G1135" s="558"/>
      <c r="H1135" s="709"/>
      <c r="I1135" s="546"/>
      <c r="J1135" s="589"/>
      <c r="K1135" s="563" t="str">
        <f>IF(G1135&lt;&gt;0,VLOOKUP(G1135,'gia dat'!$A$1:$F$144,5,0)," ")</f>
        <v xml:space="preserve"> </v>
      </c>
      <c r="L1135" s="563" t="str">
        <f>IF(G1135&lt;&gt;0,VLOOKUP(G1135,'gia dat'!$A$1:$F$144,6,0)," ")</f>
        <v xml:space="preserve"> </v>
      </c>
      <c r="M1135" s="564" t="str">
        <f t="shared" si="243"/>
        <v xml:space="preserve"> </v>
      </c>
      <c r="N1135" s="564" t="str">
        <f t="shared" si="244"/>
        <v xml:space="preserve"> </v>
      </c>
      <c r="O1135" s="558"/>
      <c r="P1135" s="714"/>
      <c r="Q1135" s="564" t="str">
        <f>IF(O1135&lt;&gt;0,VLOOKUP(O1135,'Cây trong'!$A$2:$C$246,3,0)," ")</f>
        <v xml:space="preserve"> </v>
      </c>
      <c r="R1135" s="564" t="str">
        <f t="shared" si="245"/>
        <v xml:space="preserve"> </v>
      </c>
      <c r="S1135" s="566"/>
      <c r="T1135" s="589"/>
      <c r="U1135" s="710"/>
      <c r="V1135" s="593"/>
      <c r="W1135" s="564" t="str">
        <f>IF(S1135&lt;&gt;0,VLOOKUP(S1135,VKT!$A$2:$G$415,7,0),"")</f>
        <v/>
      </c>
      <c r="X1135" s="564" t="str">
        <f t="shared" si="240"/>
        <v xml:space="preserve"> </v>
      </c>
      <c r="Y1135" s="683"/>
      <c r="Z1135" s="683"/>
      <c r="AA1135" s="683"/>
      <c r="AB1135" s="694"/>
      <c r="AC1135" s="683"/>
      <c r="AD1135" s="683"/>
      <c r="AE1135" s="683"/>
      <c r="AF1135" s="590"/>
      <c r="AG1135" s="570" t="str">
        <f>IF(AE1135&lt;&gt;0,VLOOKUP(AE1135,ODDS!$A$2:$C$13,3,0),"")</f>
        <v/>
      </c>
      <c r="AH1135" s="570" t="str">
        <f t="shared" si="246"/>
        <v xml:space="preserve"> </v>
      </c>
      <c r="AI1135" s="571" t="str">
        <f t="shared" si="237"/>
        <v xml:space="preserve"> </v>
      </c>
      <c r="AJ1135" s="593"/>
      <c r="AK1135" s="593"/>
    </row>
    <row r="1136" spans="1:37" s="385" customFormat="1" ht="20.25" outlineLevel="2" x14ac:dyDescent="0.3">
      <c r="A1136" s="447">
        <f t="shared" si="242"/>
        <v>86</v>
      </c>
      <c r="B1136" s="557"/>
      <c r="C1136" s="574"/>
      <c r="D1136" s="615"/>
      <c r="E1136" s="615"/>
      <c r="F1136" s="700"/>
      <c r="G1136" s="558"/>
      <c r="H1136" s="709"/>
      <c r="I1136" s="546"/>
      <c r="J1136" s="589"/>
      <c r="K1136" s="563" t="str">
        <f>IF(G1136&lt;&gt;0,VLOOKUP(G1136,'gia dat'!$A$1:$F$144,5,0)," ")</f>
        <v xml:space="preserve"> </v>
      </c>
      <c r="L1136" s="563" t="str">
        <f>IF(G1136&lt;&gt;0,VLOOKUP(G1136,'gia dat'!$A$1:$F$144,6,0)," ")</f>
        <v xml:space="preserve"> </v>
      </c>
      <c r="M1136" s="564" t="str">
        <f t="shared" si="243"/>
        <v xml:space="preserve"> </v>
      </c>
      <c r="N1136" s="564" t="str">
        <f t="shared" si="244"/>
        <v xml:space="preserve"> </v>
      </c>
      <c r="O1136" s="558"/>
      <c r="P1136" s="714"/>
      <c r="Q1136" s="564" t="str">
        <f>IF(O1136&lt;&gt;0,VLOOKUP(O1136,'Cây trong'!$A$2:$C$246,3,0)," ")</f>
        <v xml:space="preserve"> </v>
      </c>
      <c r="R1136" s="564" t="str">
        <f t="shared" si="245"/>
        <v xml:space="preserve"> </v>
      </c>
      <c r="S1136" s="566"/>
      <c r="T1136" s="589"/>
      <c r="U1136" s="710"/>
      <c r="V1136" s="593"/>
      <c r="W1136" s="564" t="str">
        <f>IF(S1136&lt;&gt;0,VLOOKUP(S1136,VKT!$A$2:$G$415,7,0),"")</f>
        <v/>
      </c>
      <c r="X1136" s="564" t="str">
        <f t="shared" si="240"/>
        <v xml:space="preserve"> </v>
      </c>
      <c r="Y1136" s="683"/>
      <c r="Z1136" s="683"/>
      <c r="AA1136" s="683"/>
      <c r="AB1136" s="694"/>
      <c r="AC1136" s="683"/>
      <c r="AD1136" s="683"/>
      <c r="AE1136" s="683"/>
      <c r="AF1136" s="590"/>
      <c r="AG1136" s="570" t="str">
        <f>IF(AE1136&lt;&gt;0,VLOOKUP(AE1136,ODDS!$A$2:$C$13,3,0),"")</f>
        <v/>
      </c>
      <c r="AH1136" s="570" t="str">
        <f t="shared" si="246"/>
        <v xml:space="preserve"> </v>
      </c>
      <c r="AI1136" s="571" t="str">
        <f t="shared" si="237"/>
        <v xml:space="preserve"> </v>
      </c>
      <c r="AJ1136" s="593"/>
      <c r="AK1136" s="593"/>
    </row>
    <row r="1137" spans="1:37" s="385" customFormat="1" ht="20.25" outlineLevel="1" x14ac:dyDescent="0.25">
      <c r="A1137" s="467" t="s">
        <v>2623</v>
      </c>
      <c r="B1137" s="576">
        <v>87</v>
      </c>
      <c r="C1137" s="574" t="s">
        <v>840</v>
      </c>
      <c r="D1137" s="705"/>
      <c r="E1137" s="705"/>
      <c r="F1137" s="706"/>
      <c r="G1137" s="574"/>
      <c r="H1137" s="707">
        <f>SUBTOTAL(9,H1138:H1145)</f>
        <v>2046.5</v>
      </c>
      <c r="I1137" s="579">
        <f>SUBTOTAL(9,I1138:I1143)</f>
        <v>2046.5</v>
      </c>
      <c r="J1137" s="597"/>
      <c r="K1137" s="581"/>
      <c r="L1137" s="581"/>
      <c r="M1137" s="571">
        <f>SUBTOTAL(9,M1138:M1145)</f>
        <v>952850000</v>
      </c>
      <c r="N1137" s="571">
        <f>SUBTOTAL(9,N1138:N1145)</f>
        <v>2858551000</v>
      </c>
      <c r="O1137" s="574"/>
      <c r="P1137" s="712">
        <f>SUBTOTAL(9,P1138:P1145)</f>
        <v>0</v>
      </c>
      <c r="Q1137" s="571"/>
      <c r="R1137" s="571">
        <f>SUBTOTAL(9,R1138:R1145)</f>
        <v>0</v>
      </c>
      <c r="S1137" s="582"/>
      <c r="T1137" s="597"/>
      <c r="U1137" s="708">
        <f>SUBTOTAL(9,U1138:U1145)</f>
        <v>0</v>
      </c>
      <c r="V1137" s="608"/>
      <c r="W1137" s="571"/>
      <c r="X1137" s="571">
        <f>SUBTOTAL(9,X1138:X1145)</f>
        <v>0</v>
      </c>
      <c r="Y1137" s="683"/>
      <c r="Z1137" s="683"/>
      <c r="AA1137" s="683"/>
      <c r="AB1137" s="694"/>
      <c r="AC1137" s="683"/>
      <c r="AD1137" s="683"/>
      <c r="AE1137" s="650"/>
      <c r="AF1137" s="599">
        <f>SUBTOTAL(9,AF1138:AF1145)</f>
        <v>0</v>
      </c>
      <c r="AG1137" s="585"/>
      <c r="AH1137" s="585">
        <f>SUBTOTAL(9,AH1138:AH1145)</f>
        <v>0</v>
      </c>
      <c r="AI1137" s="571">
        <f t="shared" si="237"/>
        <v>3811401000</v>
      </c>
      <c r="AJ1137" s="574"/>
      <c r="AK1137" s="578"/>
    </row>
    <row r="1138" spans="1:37" s="385" customFormat="1" ht="121.5" outlineLevel="2" x14ac:dyDescent="0.3">
      <c r="A1138" s="447">
        <f>IF(B1137&lt;&gt;0,B1137,A1136)</f>
        <v>87</v>
      </c>
      <c r="B1138" s="557"/>
      <c r="C1138" s="558" t="s">
        <v>843</v>
      </c>
      <c r="D1138" s="615">
        <v>1</v>
      </c>
      <c r="E1138" s="615">
        <v>86</v>
      </c>
      <c r="F1138" s="700">
        <v>332</v>
      </c>
      <c r="G1138" s="558" t="s">
        <v>2864</v>
      </c>
      <c r="H1138" s="709">
        <v>2046.5</v>
      </c>
      <c r="I1138" s="546">
        <f t="shared" ref="I1138" si="247">IF(N1138&gt;0,H1138,"")</f>
        <v>2046.5</v>
      </c>
      <c r="J1138" s="589"/>
      <c r="K1138" s="563">
        <f>IF(G1138&lt;&gt;0,VLOOKUP(G1138,'gia dat'!$A$1:$F$144,5,0)," ")</f>
        <v>465600</v>
      </c>
      <c r="L1138" s="563">
        <f>IF(G1138&lt;&gt;0,VLOOKUP(G1138,'gia dat'!$A$1:$F$144,6,0)," ")</f>
        <v>1396800</v>
      </c>
      <c r="M1138" s="564">
        <f t="shared" si="243"/>
        <v>952850000</v>
      </c>
      <c r="N1138" s="564">
        <f t="shared" si="244"/>
        <v>2858551000</v>
      </c>
      <c r="O1138" s="558"/>
      <c r="P1138" s="714"/>
      <c r="Q1138" s="564" t="str">
        <f>IF(O1138&lt;&gt;0,VLOOKUP(O1138,'Cây trong'!$A$2:$C$246,3,0)," ")</f>
        <v xml:space="preserve"> </v>
      </c>
      <c r="R1138" s="564" t="str">
        <f t="shared" si="245"/>
        <v xml:space="preserve"> </v>
      </c>
      <c r="S1138" s="566"/>
      <c r="T1138" s="589"/>
      <c r="U1138" s="710"/>
      <c r="V1138" s="593"/>
      <c r="W1138" s="564" t="str">
        <f>IF(S1138&lt;&gt;0,VLOOKUP(S1138,VKT!$A$2:$G$415,7,0),"")</f>
        <v/>
      </c>
      <c r="X1138" s="564" t="str">
        <f t="shared" si="240"/>
        <v xml:space="preserve"> </v>
      </c>
      <c r="Y1138" s="683"/>
      <c r="Z1138" s="683"/>
      <c r="AA1138" s="683"/>
      <c r="AB1138" s="694"/>
      <c r="AC1138" s="683"/>
      <c r="AD1138" s="683"/>
      <c r="AE1138" s="683"/>
      <c r="AF1138" s="590"/>
      <c r="AG1138" s="570" t="str">
        <f>IF(AE1138&lt;&gt;0,VLOOKUP(AE1138,ODDS!$A$2:$C$13,3,0),"")</f>
        <v/>
      </c>
      <c r="AH1138" s="570"/>
      <c r="AI1138" s="571" t="str">
        <f t="shared" si="237"/>
        <v xml:space="preserve"> </v>
      </c>
      <c r="AJ1138" s="558" t="s">
        <v>842</v>
      </c>
      <c r="AK1138" s="586" t="s">
        <v>2771</v>
      </c>
    </row>
    <row r="1139" spans="1:37" s="385" customFormat="1" ht="101.25" outlineLevel="2" x14ac:dyDescent="0.3">
      <c r="A1139" s="447">
        <f t="shared" ref="A1139:A1145" si="248">IF(B1138&lt;&gt;0,B1138,A1138)</f>
        <v>87</v>
      </c>
      <c r="B1139" s="557"/>
      <c r="C1139" s="586" t="s">
        <v>846</v>
      </c>
      <c r="D1139" s="615"/>
      <c r="E1139" s="615"/>
      <c r="F1139" s="700"/>
      <c r="G1139" s="586"/>
      <c r="H1139" s="709"/>
      <c r="I1139" s="546"/>
      <c r="J1139" s="589"/>
      <c r="K1139" s="563" t="str">
        <f>IF(G1139&lt;&gt;0,VLOOKUP(G1139,'gia dat'!$A$1:$F$144,5,0)," ")</f>
        <v xml:space="preserve"> </v>
      </c>
      <c r="L1139" s="563" t="str">
        <f>IF(G1139&lt;&gt;0,VLOOKUP(G1139,'gia dat'!$A$1:$F$144,6,0)," ")</f>
        <v xml:space="preserve"> </v>
      </c>
      <c r="M1139" s="564" t="str">
        <f t="shared" si="243"/>
        <v xml:space="preserve"> </v>
      </c>
      <c r="N1139" s="564" t="str">
        <f t="shared" si="244"/>
        <v xml:space="preserve"> </v>
      </c>
      <c r="O1139" s="558"/>
      <c r="P1139" s="714"/>
      <c r="Q1139" s="564" t="str">
        <f>IF(O1139&lt;&gt;0,VLOOKUP(O1139,'Cây trong'!$A$2:$C$246,3,0)," ")</f>
        <v xml:space="preserve"> </v>
      </c>
      <c r="R1139" s="564" t="str">
        <f t="shared" si="245"/>
        <v xml:space="preserve"> </v>
      </c>
      <c r="S1139" s="566"/>
      <c r="T1139" s="589"/>
      <c r="U1139" s="710"/>
      <c r="V1139" s="593"/>
      <c r="W1139" s="564" t="str">
        <f>IF(S1139&lt;&gt;0,VLOOKUP(S1139,VKT!$A$2:$G$415,7,0),"")</f>
        <v/>
      </c>
      <c r="X1139" s="564" t="str">
        <f t="shared" si="240"/>
        <v xml:space="preserve"> </v>
      </c>
      <c r="Y1139" s="683"/>
      <c r="Z1139" s="683"/>
      <c r="AA1139" s="683"/>
      <c r="AB1139" s="694"/>
      <c r="AC1139" s="683"/>
      <c r="AD1139" s="683"/>
      <c r="AE1139" s="683"/>
      <c r="AF1139" s="590"/>
      <c r="AG1139" s="570" t="str">
        <f>IF(AE1139&lt;&gt;0,VLOOKUP(AE1139,ODDS!$A$2:$C$13,3,0),"")</f>
        <v/>
      </c>
      <c r="AH1139" s="570" t="str">
        <f t="shared" si="246"/>
        <v xml:space="preserve"> </v>
      </c>
      <c r="AI1139" s="571" t="str">
        <f t="shared" si="237"/>
        <v xml:space="preserve"> </v>
      </c>
      <c r="AJ1139" s="558" t="s">
        <v>2811</v>
      </c>
      <c r="AK1139" s="558" t="s">
        <v>2448</v>
      </c>
    </row>
    <row r="1140" spans="1:37" s="385" customFormat="1" ht="20.25" outlineLevel="2" x14ac:dyDescent="0.3">
      <c r="A1140" s="447">
        <f t="shared" si="248"/>
        <v>87</v>
      </c>
      <c r="B1140" s="557"/>
      <c r="C1140" s="586"/>
      <c r="D1140" s="615"/>
      <c r="E1140" s="615"/>
      <c r="F1140" s="700"/>
      <c r="G1140" s="558"/>
      <c r="H1140" s="709"/>
      <c r="I1140" s="546"/>
      <c r="J1140" s="589"/>
      <c r="K1140" s="563" t="str">
        <f>IF(G1140&lt;&gt;0,VLOOKUP(G1140,'gia dat'!$A$1:$F$144,5,0)," ")</f>
        <v xml:space="preserve"> </v>
      </c>
      <c r="L1140" s="563" t="str">
        <f>IF(G1140&lt;&gt;0,VLOOKUP(G1140,'gia dat'!$A$1:$F$144,6,0)," ")</f>
        <v xml:space="preserve"> </v>
      </c>
      <c r="M1140" s="564" t="str">
        <f t="shared" si="243"/>
        <v xml:space="preserve"> </v>
      </c>
      <c r="N1140" s="564" t="str">
        <f t="shared" si="244"/>
        <v xml:space="preserve"> </v>
      </c>
      <c r="O1140" s="558"/>
      <c r="P1140" s="714"/>
      <c r="Q1140" s="564" t="str">
        <f>IF(O1140&lt;&gt;0,VLOOKUP(O1140,'Cây trong'!$A$2:$C$246,3,0)," ")</f>
        <v xml:space="preserve"> </v>
      </c>
      <c r="R1140" s="564" t="str">
        <f t="shared" si="245"/>
        <v xml:space="preserve"> </v>
      </c>
      <c r="S1140" s="566"/>
      <c r="T1140" s="589"/>
      <c r="U1140" s="710"/>
      <c r="V1140" s="593"/>
      <c r="W1140" s="564" t="str">
        <f>IF(S1140&lt;&gt;0,VLOOKUP(S1140,VKT!$A$2:$G$415,7,0),"")</f>
        <v/>
      </c>
      <c r="X1140" s="564" t="str">
        <f t="shared" si="240"/>
        <v xml:space="preserve"> </v>
      </c>
      <c r="Y1140" s="683"/>
      <c r="Z1140" s="683"/>
      <c r="AA1140" s="683"/>
      <c r="AB1140" s="694"/>
      <c r="AC1140" s="683"/>
      <c r="AD1140" s="683"/>
      <c r="AE1140" s="683"/>
      <c r="AF1140" s="590"/>
      <c r="AG1140" s="570" t="str">
        <f>IF(AE1140&lt;&gt;0,VLOOKUP(AE1140,ODDS!$A$2:$C$13,3,0),"")</f>
        <v/>
      </c>
      <c r="AH1140" s="570" t="str">
        <f t="shared" si="246"/>
        <v xml:space="preserve"> </v>
      </c>
      <c r="AI1140" s="571" t="str">
        <f t="shared" si="237"/>
        <v xml:space="preserve"> </v>
      </c>
      <c r="AJ1140" s="593" t="s">
        <v>847</v>
      </c>
      <c r="AK1140" s="566"/>
    </row>
    <row r="1141" spans="1:37" s="385" customFormat="1" ht="60.75" outlineLevel="2" x14ac:dyDescent="0.3">
      <c r="A1141" s="447">
        <f t="shared" si="248"/>
        <v>87</v>
      </c>
      <c r="B1141" s="557"/>
      <c r="C1141" s="558"/>
      <c r="D1141" s="615"/>
      <c r="E1141" s="615"/>
      <c r="F1141" s="700"/>
      <c r="G1141" s="558"/>
      <c r="H1141" s="709"/>
      <c r="I1141" s="546"/>
      <c r="J1141" s="589"/>
      <c r="K1141" s="563" t="str">
        <f>IF(G1141&lt;&gt;0,VLOOKUP(G1141,'gia dat'!$A$1:$F$144,5,0)," ")</f>
        <v xml:space="preserve"> </v>
      </c>
      <c r="L1141" s="563" t="str">
        <f>IF(G1141&lt;&gt;0,VLOOKUP(G1141,'gia dat'!$A$1:$F$144,6,0)," ")</f>
        <v xml:space="preserve"> </v>
      </c>
      <c r="M1141" s="564" t="str">
        <f t="shared" si="243"/>
        <v xml:space="preserve"> </v>
      </c>
      <c r="N1141" s="564" t="str">
        <f t="shared" si="244"/>
        <v xml:space="preserve"> </v>
      </c>
      <c r="O1141" s="558"/>
      <c r="P1141" s="714"/>
      <c r="Q1141" s="564" t="str">
        <f>IF(O1141&lt;&gt;0,VLOOKUP(O1141,'Cây trong'!$A$2:$C$246,3,0)," ")</f>
        <v xml:space="preserve"> </v>
      </c>
      <c r="R1141" s="564" t="str">
        <f t="shared" si="245"/>
        <v xml:space="preserve"> </v>
      </c>
      <c r="S1141" s="566"/>
      <c r="T1141" s="589"/>
      <c r="U1141" s="710"/>
      <c r="V1141" s="593"/>
      <c r="W1141" s="564" t="str">
        <f>IF(S1141&lt;&gt;0,VLOOKUP(S1141,VKT!$A$2:$G$415,7,0),"")</f>
        <v/>
      </c>
      <c r="X1141" s="564" t="str">
        <f t="shared" si="240"/>
        <v xml:space="preserve"> </v>
      </c>
      <c r="Y1141" s="683"/>
      <c r="Z1141" s="683"/>
      <c r="AA1141" s="683"/>
      <c r="AB1141" s="694"/>
      <c r="AC1141" s="683"/>
      <c r="AD1141" s="683"/>
      <c r="AE1141" s="683"/>
      <c r="AF1141" s="590"/>
      <c r="AG1141" s="570" t="str">
        <f>IF(AE1141&lt;&gt;0,VLOOKUP(AE1141,ODDS!$A$2:$C$13,3,0),"")</f>
        <v/>
      </c>
      <c r="AH1141" s="570" t="str">
        <f t="shared" si="246"/>
        <v xml:space="preserve"> </v>
      </c>
      <c r="AI1141" s="571" t="str">
        <f t="shared" si="237"/>
        <v xml:space="preserve"> </v>
      </c>
      <c r="AJ1141" s="558" t="s">
        <v>2074</v>
      </c>
      <c r="AK1141" s="593"/>
    </row>
    <row r="1142" spans="1:37" s="385" customFormat="1" ht="20.25" outlineLevel="2" x14ac:dyDescent="0.3">
      <c r="A1142" s="447">
        <f t="shared" si="248"/>
        <v>87</v>
      </c>
      <c r="B1142" s="557"/>
      <c r="C1142" s="558"/>
      <c r="D1142" s="615"/>
      <c r="E1142" s="615"/>
      <c r="F1142" s="700"/>
      <c r="G1142" s="558"/>
      <c r="H1142" s="709"/>
      <c r="I1142" s="546"/>
      <c r="J1142" s="589"/>
      <c r="K1142" s="563" t="str">
        <f>IF(G1142&lt;&gt;0,VLOOKUP(G1142,'gia dat'!$A$1:$F$144,5,0)," ")</f>
        <v xml:space="preserve"> </v>
      </c>
      <c r="L1142" s="563" t="str">
        <f>IF(G1142&lt;&gt;0,VLOOKUP(G1142,'gia dat'!$A$1:$F$144,6,0)," ")</f>
        <v xml:space="preserve"> </v>
      </c>
      <c r="M1142" s="564" t="str">
        <f t="shared" si="243"/>
        <v xml:space="preserve"> </v>
      </c>
      <c r="N1142" s="564" t="str">
        <f t="shared" si="244"/>
        <v xml:space="preserve"> </v>
      </c>
      <c r="O1142" s="558"/>
      <c r="P1142" s="714"/>
      <c r="Q1142" s="564" t="str">
        <f>IF(O1142&lt;&gt;0,VLOOKUP(O1142,'Cây trong'!$A$2:$C$246,3,0)," ")</f>
        <v xml:space="preserve"> </v>
      </c>
      <c r="R1142" s="564" t="str">
        <f t="shared" si="245"/>
        <v xml:space="preserve"> </v>
      </c>
      <c r="S1142" s="566"/>
      <c r="T1142" s="589"/>
      <c r="U1142" s="710"/>
      <c r="V1142" s="593"/>
      <c r="W1142" s="564" t="str">
        <f>IF(S1142&lt;&gt;0,VLOOKUP(S1142,VKT!$A$2:$G$415,7,0),"")</f>
        <v/>
      </c>
      <c r="X1142" s="564" t="str">
        <f t="shared" si="240"/>
        <v xml:space="preserve"> </v>
      </c>
      <c r="Y1142" s="683"/>
      <c r="Z1142" s="683"/>
      <c r="AA1142" s="683"/>
      <c r="AB1142" s="694"/>
      <c r="AC1142" s="683"/>
      <c r="AD1142" s="683"/>
      <c r="AE1142" s="683"/>
      <c r="AF1142" s="590"/>
      <c r="AG1142" s="570" t="str">
        <f>IF(AE1142&lt;&gt;0,VLOOKUP(AE1142,ODDS!$A$2:$C$13,3,0),"")</f>
        <v/>
      </c>
      <c r="AH1142" s="570" t="str">
        <f t="shared" si="246"/>
        <v xml:space="preserve"> </v>
      </c>
      <c r="AI1142" s="571" t="str">
        <f t="shared" si="237"/>
        <v xml:space="preserve"> </v>
      </c>
      <c r="AJ1142" s="704"/>
      <c r="AK1142" s="593"/>
    </row>
    <row r="1143" spans="1:37" s="385" customFormat="1" ht="20.25" outlineLevel="2" x14ac:dyDescent="0.3">
      <c r="A1143" s="447">
        <f t="shared" si="248"/>
        <v>87</v>
      </c>
      <c r="B1143" s="557"/>
      <c r="C1143" s="558"/>
      <c r="D1143" s="615"/>
      <c r="E1143" s="615"/>
      <c r="F1143" s="700"/>
      <c r="G1143" s="558"/>
      <c r="H1143" s="709"/>
      <c r="I1143" s="546"/>
      <c r="J1143" s="589"/>
      <c r="K1143" s="563" t="str">
        <f>IF(G1143&lt;&gt;0,VLOOKUP(G1143,'gia dat'!$A$1:$F$144,5,0)," ")</f>
        <v xml:space="preserve"> </v>
      </c>
      <c r="L1143" s="563" t="str">
        <f>IF(G1143&lt;&gt;0,VLOOKUP(G1143,'gia dat'!$A$1:$F$144,6,0)," ")</f>
        <v xml:space="preserve"> </v>
      </c>
      <c r="M1143" s="564" t="str">
        <f t="shared" si="243"/>
        <v xml:space="preserve"> </v>
      </c>
      <c r="N1143" s="564" t="str">
        <f t="shared" si="244"/>
        <v xml:space="preserve"> </v>
      </c>
      <c r="O1143" s="558"/>
      <c r="P1143" s="714"/>
      <c r="Q1143" s="564" t="str">
        <f>IF(O1143&lt;&gt;0,VLOOKUP(O1143,'Cây trong'!$A$2:$C$246,3,0)," ")</f>
        <v xml:space="preserve"> </v>
      </c>
      <c r="R1143" s="564" t="str">
        <f t="shared" si="245"/>
        <v xml:space="preserve"> </v>
      </c>
      <c r="S1143" s="566"/>
      <c r="T1143" s="589"/>
      <c r="U1143" s="710"/>
      <c r="V1143" s="593"/>
      <c r="W1143" s="564" t="str">
        <f>IF(S1143&lt;&gt;0,VLOOKUP(S1143,VKT!$A$2:$G$415,7,0),"")</f>
        <v/>
      </c>
      <c r="X1143" s="564" t="str">
        <f t="shared" si="240"/>
        <v xml:space="preserve"> </v>
      </c>
      <c r="Y1143" s="683"/>
      <c r="Z1143" s="683"/>
      <c r="AA1143" s="683"/>
      <c r="AB1143" s="694"/>
      <c r="AC1143" s="683"/>
      <c r="AD1143" s="683"/>
      <c r="AE1143" s="683"/>
      <c r="AF1143" s="590"/>
      <c r="AG1143" s="570" t="str">
        <f>IF(AE1143&lt;&gt;0,VLOOKUP(AE1143,ODDS!$A$2:$C$13,3,0),"")</f>
        <v/>
      </c>
      <c r="AH1143" s="570" t="str">
        <f t="shared" si="246"/>
        <v xml:space="preserve"> </v>
      </c>
      <c r="AI1143" s="571" t="str">
        <f t="shared" si="237"/>
        <v xml:space="preserve"> </v>
      </c>
      <c r="AJ1143" s="704"/>
      <c r="AK1143" s="593"/>
    </row>
    <row r="1144" spans="1:37" s="385" customFormat="1" ht="20.25" outlineLevel="2" x14ac:dyDescent="0.3">
      <c r="A1144" s="447">
        <f t="shared" si="248"/>
        <v>87</v>
      </c>
      <c r="B1144" s="557"/>
      <c r="C1144" s="558"/>
      <c r="D1144" s="615"/>
      <c r="E1144" s="615"/>
      <c r="F1144" s="700"/>
      <c r="G1144" s="558"/>
      <c r="H1144" s="709"/>
      <c r="I1144" s="546"/>
      <c r="J1144" s="589"/>
      <c r="K1144" s="563" t="str">
        <f>IF(G1144&lt;&gt;0,VLOOKUP(G1144,'gia dat'!$A$1:$F$144,5,0)," ")</f>
        <v xml:space="preserve"> </v>
      </c>
      <c r="L1144" s="563" t="str">
        <f>IF(G1144&lt;&gt;0,VLOOKUP(G1144,'gia dat'!$A$1:$F$144,6,0)," ")</f>
        <v xml:space="preserve"> </v>
      </c>
      <c r="M1144" s="564" t="str">
        <f t="shared" si="243"/>
        <v xml:space="preserve"> </v>
      </c>
      <c r="N1144" s="564" t="str">
        <f t="shared" si="244"/>
        <v xml:space="preserve"> </v>
      </c>
      <c r="O1144" s="558"/>
      <c r="P1144" s="714"/>
      <c r="Q1144" s="564" t="str">
        <f>IF(O1144&lt;&gt;0,VLOOKUP(O1144,'Cây trong'!$A$2:$C$246,3,0)," ")</f>
        <v xml:space="preserve"> </v>
      </c>
      <c r="R1144" s="564" t="str">
        <f t="shared" si="245"/>
        <v xml:space="preserve"> </v>
      </c>
      <c r="S1144" s="566"/>
      <c r="T1144" s="589"/>
      <c r="U1144" s="710"/>
      <c r="V1144" s="593"/>
      <c r="W1144" s="564" t="str">
        <f>IF(S1144&lt;&gt;0,VLOOKUP(S1144,VKT!$A$2:$G$415,7,0),"")</f>
        <v/>
      </c>
      <c r="X1144" s="564" t="str">
        <f t="shared" si="240"/>
        <v xml:space="preserve"> </v>
      </c>
      <c r="Y1144" s="683"/>
      <c r="Z1144" s="683"/>
      <c r="AA1144" s="683"/>
      <c r="AB1144" s="694"/>
      <c r="AC1144" s="683"/>
      <c r="AD1144" s="683"/>
      <c r="AE1144" s="683"/>
      <c r="AF1144" s="590"/>
      <c r="AG1144" s="570" t="str">
        <f>IF(AE1144&lt;&gt;0,VLOOKUP(AE1144,ODDS!$A$2:$C$13,3,0),"")</f>
        <v/>
      </c>
      <c r="AH1144" s="570" t="str">
        <f t="shared" si="246"/>
        <v xml:space="preserve"> </v>
      </c>
      <c r="AI1144" s="571" t="str">
        <f t="shared" si="237"/>
        <v xml:space="preserve"> </v>
      </c>
      <c r="AJ1144" s="704"/>
      <c r="AK1144" s="593"/>
    </row>
    <row r="1145" spans="1:37" s="385" customFormat="1" ht="20.25" outlineLevel="2" x14ac:dyDescent="0.3">
      <c r="A1145" s="447">
        <f t="shared" si="248"/>
        <v>87</v>
      </c>
      <c r="B1145" s="557"/>
      <c r="C1145" s="574"/>
      <c r="D1145" s="615"/>
      <c r="E1145" s="615"/>
      <c r="F1145" s="700"/>
      <c r="G1145" s="558"/>
      <c r="H1145" s="709"/>
      <c r="I1145" s="546"/>
      <c r="J1145" s="589"/>
      <c r="K1145" s="563" t="str">
        <f>IF(G1145&lt;&gt;0,VLOOKUP(G1145,'gia dat'!$A$1:$F$144,5,0)," ")</f>
        <v xml:space="preserve"> </v>
      </c>
      <c r="L1145" s="563" t="str">
        <f>IF(G1145&lt;&gt;0,VLOOKUP(G1145,'gia dat'!$A$1:$F$144,6,0)," ")</f>
        <v xml:space="preserve"> </v>
      </c>
      <c r="M1145" s="564" t="str">
        <f t="shared" si="243"/>
        <v xml:space="preserve"> </v>
      </c>
      <c r="N1145" s="564" t="str">
        <f t="shared" si="244"/>
        <v xml:space="preserve"> </v>
      </c>
      <c r="O1145" s="558"/>
      <c r="P1145" s="714"/>
      <c r="Q1145" s="564" t="str">
        <f>IF(O1145&lt;&gt;0,VLOOKUP(O1145,'Cây trong'!$A$2:$C$246,3,0)," ")</f>
        <v xml:space="preserve"> </v>
      </c>
      <c r="R1145" s="564" t="str">
        <f t="shared" si="245"/>
        <v xml:space="preserve"> </v>
      </c>
      <c r="S1145" s="566"/>
      <c r="T1145" s="589"/>
      <c r="U1145" s="710"/>
      <c r="V1145" s="593"/>
      <c r="W1145" s="564" t="str">
        <f>IF(S1145&lt;&gt;0,VLOOKUP(S1145,VKT!$A$2:$G$415,7,0),"")</f>
        <v/>
      </c>
      <c r="X1145" s="564" t="str">
        <f t="shared" si="240"/>
        <v xml:space="preserve"> </v>
      </c>
      <c r="Y1145" s="683"/>
      <c r="Z1145" s="683"/>
      <c r="AA1145" s="683"/>
      <c r="AB1145" s="694"/>
      <c r="AC1145" s="683"/>
      <c r="AD1145" s="683"/>
      <c r="AE1145" s="683"/>
      <c r="AF1145" s="590"/>
      <c r="AG1145" s="570" t="str">
        <f>IF(AE1145&lt;&gt;0,VLOOKUP(AE1145,ODDS!$A$2:$C$13,3,0),"")</f>
        <v/>
      </c>
      <c r="AH1145" s="570" t="str">
        <f t="shared" si="246"/>
        <v xml:space="preserve"> </v>
      </c>
      <c r="AI1145" s="571" t="str">
        <f t="shared" si="237"/>
        <v xml:space="preserve"> </v>
      </c>
      <c r="AJ1145" s="558"/>
      <c r="AK1145" s="593"/>
    </row>
    <row r="1146" spans="1:37" s="385" customFormat="1" ht="40.5" outlineLevel="1" x14ac:dyDescent="0.25">
      <c r="A1146" s="467" t="s">
        <v>2622</v>
      </c>
      <c r="B1146" s="576">
        <v>88</v>
      </c>
      <c r="C1146" s="574" t="s">
        <v>849</v>
      </c>
      <c r="D1146" s="705"/>
      <c r="E1146" s="705"/>
      <c r="F1146" s="706"/>
      <c r="G1146" s="574"/>
      <c r="H1146" s="707">
        <f>SUBTOTAL(9,H1147:H1153)</f>
        <v>1919.9</v>
      </c>
      <c r="I1146" s="579">
        <f>SUBTOTAL(9,I1147:I1152)</f>
        <v>0</v>
      </c>
      <c r="J1146" s="597"/>
      <c r="K1146" s="581"/>
      <c r="L1146" s="581"/>
      <c r="M1146" s="571">
        <f>SUBTOTAL(9,M1147:M1153)</f>
        <v>723418000</v>
      </c>
      <c r="N1146" s="571">
        <f>SUBTOTAL(9,N1147:N1153)</f>
        <v>0</v>
      </c>
      <c r="O1146" s="578"/>
      <c r="P1146" s="712">
        <f>SUBTOTAL(9,P1147:P1153)</f>
        <v>21</v>
      </c>
      <c r="Q1146" s="571"/>
      <c r="R1146" s="571">
        <f>SUBTOTAL(9,R1147:R1153)</f>
        <v>2568000</v>
      </c>
      <c r="S1146" s="582"/>
      <c r="T1146" s="597"/>
      <c r="U1146" s="708">
        <f>SUBTOTAL(9,U1147:U1153)</f>
        <v>0</v>
      </c>
      <c r="V1146" s="608"/>
      <c r="W1146" s="571"/>
      <c r="X1146" s="571">
        <f>SUBTOTAL(9,X1147:X1153)</f>
        <v>0</v>
      </c>
      <c r="Y1146" s="683"/>
      <c r="Z1146" s="683"/>
      <c r="AA1146" s="683"/>
      <c r="AB1146" s="694"/>
      <c r="AC1146" s="683"/>
      <c r="AD1146" s="683"/>
      <c r="AE1146" s="650"/>
      <c r="AF1146" s="599">
        <f>SUBTOTAL(9,AF1147:AF1153)</f>
        <v>0</v>
      </c>
      <c r="AG1146" s="585"/>
      <c r="AH1146" s="585">
        <f>SUBTOTAL(9,AH1147:AH1153)</f>
        <v>0</v>
      </c>
      <c r="AI1146" s="571">
        <f t="shared" si="237"/>
        <v>725986000</v>
      </c>
      <c r="AJ1146" s="574"/>
      <c r="AK1146" s="578"/>
    </row>
    <row r="1147" spans="1:37" s="385" customFormat="1" ht="121.5" outlineLevel="2" x14ac:dyDescent="0.3">
      <c r="A1147" s="447">
        <f>IF(B1146&lt;&gt;0,B1146,A1145)</f>
        <v>88</v>
      </c>
      <c r="B1147" s="557"/>
      <c r="C1147" s="558" t="s">
        <v>851</v>
      </c>
      <c r="D1147" s="615">
        <v>6</v>
      </c>
      <c r="E1147" s="615">
        <v>86</v>
      </c>
      <c r="F1147" s="700">
        <v>32</v>
      </c>
      <c r="G1147" s="558" t="s">
        <v>2432</v>
      </c>
      <c r="H1147" s="709">
        <f>1919.9-H1148</f>
        <v>1919.9</v>
      </c>
      <c r="I1147" s="546" t="str">
        <f t="shared" ref="I1147" si="249">IF(N1147&gt;0,H1147,"")</f>
        <v/>
      </c>
      <c r="J1147" s="589"/>
      <c r="K1147" s="563">
        <f>IF(G1147&lt;&gt;0,VLOOKUP(G1147,'gia dat'!$A$1:$F$144,5,0)," ")</f>
        <v>376800</v>
      </c>
      <c r="L1147" s="563">
        <f>IF(G1147&lt;&gt;0,VLOOKUP(G1147,'gia dat'!$A$1:$F$144,6,0)," ")</f>
        <v>0</v>
      </c>
      <c r="M1147" s="564">
        <f t="shared" si="243"/>
        <v>723418000</v>
      </c>
      <c r="N1147" s="564">
        <f t="shared" si="244"/>
        <v>0</v>
      </c>
      <c r="O1147" s="586" t="s">
        <v>400</v>
      </c>
      <c r="P1147" s="714">
        <v>6</v>
      </c>
      <c r="Q1147" s="564">
        <f>IF(O1147&lt;&gt;0,VLOOKUP(O1147,'Cây trong'!$A$2:$C$246,3,0)," ")</f>
        <v>228000</v>
      </c>
      <c r="R1147" s="564">
        <f t="shared" si="245"/>
        <v>1368000</v>
      </c>
      <c r="S1147" s="566"/>
      <c r="T1147" s="589"/>
      <c r="U1147" s="710"/>
      <c r="V1147" s="593"/>
      <c r="W1147" s="564" t="str">
        <f>IF(S1147&lt;&gt;0,VLOOKUP(S1147,VKT!$A$2:$G$415,7,0),"")</f>
        <v/>
      </c>
      <c r="X1147" s="564" t="str">
        <f t="shared" si="240"/>
        <v xml:space="preserve"> </v>
      </c>
      <c r="Y1147" s="683"/>
      <c r="Z1147" s="683"/>
      <c r="AA1147" s="683"/>
      <c r="AB1147" s="694"/>
      <c r="AC1147" s="683"/>
      <c r="AD1147" s="683"/>
      <c r="AE1147" s="683"/>
      <c r="AF1147" s="590"/>
      <c r="AG1147" s="570" t="str">
        <f>IF(AE1147&lt;&gt;0,VLOOKUP(AE1147,ODDS!$A$2:$C$13,3,0),"")</f>
        <v/>
      </c>
      <c r="AH1147" s="570"/>
      <c r="AI1147" s="571" t="str">
        <f t="shared" si="237"/>
        <v xml:space="preserve"> </v>
      </c>
      <c r="AJ1147" s="558" t="s">
        <v>850</v>
      </c>
      <c r="AK1147" s="586" t="s">
        <v>2771</v>
      </c>
    </row>
    <row r="1148" spans="1:37" s="385" customFormat="1" ht="121.5" outlineLevel="2" x14ac:dyDescent="0.3">
      <c r="A1148" s="447">
        <f t="shared" ref="A1148:A1153" si="250">IF(B1147&lt;&gt;0,B1147,A1147)</f>
        <v>88</v>
      </c>
      <c r="B1148" s="557"/>
      <c r="C1148" s="558" t="s">
        <v>1570</v>
      </c>
      <c r="D1148" s="615"/>
      <c r="E1148" s="615"/>
      <c r="F1148" s="700"/>
      <c r="G1148" s="558"/>
      <c r="H1148" s="709"/>
      <c r="I1148" s="546"/>
      <c r="J1148" s="589"/>
      <c r="K1148" s="563" t="str">
        <f>IF(G1148&lt;&gt;0,VLOOKUP(G1148,'gia dat'!$A$1:$F$144,5,0)," ")</f>
        <v xml:space="preserve"> </v>
      </c>
      <c r="L1148" s="563" t="str">
        <f>IF(G1148&lt;&gt;0,VLOOKUP(G1148,'gia dat'!$A$1:$F$144,6,0)," ")</f>
        <v xml:space="preserve"> </v>
      </c>
      <c r="M1148" s="564" t="str">
        <f t="shared" si="243"/>
        <v xml:space="preserve"> </v>
      </c>
      <c r="N1148" s="564" t="str">
        <f t="shared" si="244"/>
        <v xml:space="preserve"> </v>
      </c>
      <c r="O1148" s="586" t="s">
        <v>401</v>
      </c>
      <c r="P1148" s="714">
        <v>10</v>
      </c>
      <c r="Q1148" s="564">
        <f>IF(O1148&lt;&gt;0,VLOOKUP(O1148,'Cây trong'!$A$2:$C$246,3,0)," ")</f>
        <v>80000</v>
      </c>
      <c r="R1148" s="564">
        <f t="shared" si="245"/>
        <v>800000</v>
      </c>
      <c r="S1148" s="566"/>
      <c r="T1148" s="589"/>
      <c r="U1148" s="710"/>
      <c r="V1148" s="593"/>
      <c r="W1148" s="564" t="str">
        <f>IF(S1148&lt;&gt;0,VLOOKUP(S1148,VKT!$A$2:$G$415,7,0),"")</f>
        <v/>
      </c>
      <c r="X1148" s="564" t="str">
        <f t="shared" si="240"/>
        <v xml:space="preserve"> </v>
      </c>
      <c r="Y1148" s="683"/>
      <c r="Z1148" s="683"/>
      <c r="AA1148" s="683"/>
      <c r="AB1148" s="694"/>
      <c r="AC1148" s="683"/>
      <c r="AD1148" s="683"/>
      <c r="AE1148" s="683"/>
      <c r="AF1148" s="590"/>
      <c r="AG1148" s="570" t="str">
        <f>IF(AE1148&lt;&gt;0,VLOOKUP(AE1148,ODDS!$A$2:$C$13,3,0),"")</f>
        <v/>
      </c>
      <c r="AH1148" s="570" t="str">
        <f t="shared" si="246"/>
        <v xml:space="preserve"> </v>
      </c>
      <c r="AI1148" s="571" t="str">
        <f t="shared" si="237"/>
        <v xml:space="preserve"> </v>
      </c>
      <c r="AJ1148" s="558" t="s">
        <v>2812</v>
      </c>
      <c r="AK1148" s="558" t="s">
        <v>2449</v>
      </c>
    </row>
    <row r="1149" spans="1:37" s="385" customFormat="1" ht="40.5" outlineLevel="2" x14ac:dyDescent="0.3">
      <c r="A1149" s="447">
        <f t="shared" si="250"/>
        <v>88</v>
      </c>
      <c r="B1149" s="557"/>
      <c r="C1149" s="586"/>
      <c r="D1149" s="615"/>
      <c r="E1149" s="615"/>
      <c r="F1149" s="700"/>
      <c r="G1149" s="558"/>
      <c r="H1149" s="709"/>
      <c r="I1149" s="546"/>
      <c r="J1149" s="589"/>
      <c r="K1149" s="563" t="str">
        <f>IF(G1149&lt;&gt;0,VLOOKUP(G1149,'gia dat'!$A$1:$F$144,5,0)," ")</f>
        <v xml:space="preserve"> </v>
      </c>
      <c r="L1149" s="563" t="str">
        <f>IF(G1149&lt;&gt;0,VLOOKUP(G1149,'gia dat'!$A$1:$F$144,6,0)," ")</f>
        <v xml:space="preserve"> </v>
      </c>
      <c r="M1149" s="564" t="str">
        <f t="shared" si="243"/>
        <v xml:space="preserve"> </v>
      </c>
      <c r="N1149" s="564" t="str">
        <f t="shared" si="244"/>
        <v xml:space="preserve"> </v>
      </c>
      <c r="O1149" s="586" t="s">
        <v>401</v>
      </c>
      <c r="P1149" s="714">
        <v>5</v>
      </c>
      <c r="Q1149" s="564">
        <f>IF(O1149&lt;&gt;0,VLOOKUP(O1149,'Cây trong'!$A$2:$C$246,3,0)," ")</f>
        <v>80000</v>
      </c>
      <c r="R1149" s="564">
        <f t="shared" si="245"/>
        <v>400000</v>
      </c>
      <c r="S1149" s="566"/>
      <c r="T1149" s="589"/>
      <c r="U1149" s="710"/>
      <c r="V1149" s="593"/>
      <c r="W1149" s="564" t="str">
        <f>IF(S1149&lt;&gt;0,VLOOKUP(S1149,VKT!$A$2:$G$415,7,0),"")</f>
        <v/>
      </c>
      <c r="X1149" s="564" t="str">
        <f t="shared" si="240"/>
        <v xml:space="preserve"> </v>
      </c>
      <c r="Y1149" s="683"/>
      <c r="Z1149" s="683"/>
      <c r="AA1149" s="683"/>
      <c r="AB1149" s="694"/>
      <c r="AC1149" s="683"/>
      <c r="AD1149" s="683"/>
      <c r="AE1149" s="683"/>
      <c r="AF1149" s="590"/>
      <c r="AG1149" s="570" t="str">
        <f>IF(AE1149&lt;&gt;0,VLOOKUP(AE1149,ODDS!$A$2:$C$13,3,0),"")</f>
        <v/>
      </c>
      <c r="AH1149" s="570" t="str">
        <f t="shared" si="246"/>
        <v xml:space="preserve"> </v>
      </c>
      <c r="AI1149" s="571" t="str">
        <f t="shared" si="237"/>
        <v xml:space="preserve"> </v>
      </c>
      <c r="AJ1149" s="593" t="s">
        <v>854</v>
      </c>
      <c r="AK1149" s="661"/>
    </row>
    <row r="1150" spans="1:37" s="385" customFormat="1" ht="101.25" outlineLevel="2" x14ac:dyDescent="0.3">
      <c r="A1150" s="447">
        <f t="shared" si="250"/>
        <v>88</v>
      </c>
      <c r="B1150" s="557"/>
      <c r="C1150" s="586"/>
      <c r="D1150" s="615"/>
      <c r="E1150" s="615"/>
      <c r="F1150" s="700"/>
      <c r="G1150" s="558"/>
      <c r="H1150" s="709"/>
      <c r="I1150" s="546"/>
      <c r="J1150" s="589"/>
      <c r="K1150" s="563" t="str">
        <f>IF(G1150&lt;&gt;0,VLOOKUP(G1150,'gia dat'!$A$1:$F$144,5,0)," ")</f>
        <v xml:space="preserve"> </v>
      </c>
      <c r="L1150" s="563" t="str">
        <f>IF(G1150&lt;&gt;0,VLOOKUP(G1150,'gia dat'!$A$1:$F$144,6,0)," ")</f>
        <v xml:space="preserve"> </v>
      </c>
      <c r="M1150" s="564" t="str">
        <f t="shared" si="243"/>
        <v xml:space="preserve"> </v>
      </c>
      <c r="N1150" s="564" t="str">
        <f t="shared" si="244"/>
        <v xml:space="preserve"> </v>
      </c>
      <c r="O1150" s="558"/>
      <c r="P1150" s="714"/>
      <c r="Q1150" s="564" t="str">
        <f>IF(O1150&lt;&gt;0,VLOOKUP(O1150,'Cây trong'!$A$2:$C$246,3,0)," ")</f>
        <v xml:space="preserve"> </v>
      </c>
      <c r="R1150" s="564" t="str">
        <f t="shared" si="245"/>
        <v xml:space="preserve"> </v>
      </c>
      <c r="S1150" s="566"/>
      <c r="T1150" s="589"/>
      <c r="U1150" s="710"/>
      <c r="V1150" s="593"/>
      <c r="W1150" s="564" t="str">
        <f>IF(S1150&lt;&gt;0,VLOOKUP(S1150,VKT!$A$2:$G$415,7,0),"")</f>
        <v/>
      </c>
      <c r="X1150" s="564" t="str">
        <f t="shared" si="240"/>
        <v xml:space="preserve"> </v>
      </c>
      <c r="Y1150" s="683"/>
      <c r="Z1150" s="683"/>
      <c r="AA1150" s="683"/>
      <c r="AB1150" s="694"/>
      <c r="AC1150" s="683"/>
      <c r="AD1150" s="683"/>
      <c r="AE1150" s="683"/>
      <c r="AF1150" s="590"/>
      <c r="AG1150" s="570" t="str">
        <f>IF(AE1150&lt;&gt;0,VLOOKUP(AE1150,ODDS!$A$2:$C$13,3,0),"")</f>
        <v/>
      </c>
      <c r="AH1150" s="570" t="str">
        <f t="shared" si="246"/>
        <v xml:space="preserve"> </v>
      </c>
      <c r="AI1150" s="571" t="str">
        <f t="shared" si="237"/>
        <v xml:space="preserve"> </v>
      </c>
      <c r="AJ1150" s="558" t="s">
        <v>2220</v>
      </c>
      <c r="AK1150" s="566"/>
    </row>
    <row r="1151" spans="1:37" s="385" customFormat="1" ht="20.25" outlineLevel="2" x14ac:dyDescent="0.3">
      <c r="A1151" s="447">
        <f t="shared" si="250"/>
        <v>88</v>
      </c>
      <c r="B1151" s="557"/>
      <c r="C1151" s="586"/>
      <c r="D1151" s="615"/>
      <c r="E1151" s="615"/>
      <c r="F1151" s="700"/>
      <c r="G1151" s="558"/>
      <c r="H1151" s="709"/>
      <c r="I1151" s="546"/>
      <c r="J1151" s="589"/>
      <c r="K1151" s="563" t="str">
        <f>IF(G1151&lt;&gt;0,VLOOKUP(G1151,'gia dat'!$A$1:$F$144,5,0)," ")</f>
        <v xml:space="preserve"> </v>
      </c>
      <c r="L1151" s="563" t="str">
        <f>IF(G1151&lt;&gt;0,VLOOKUP(G1151,'gia dat'!$A$1:$F$144,6,0)," ")</f>
        <v xml:space="preserve"> </v>
      </c>
      <c r="M1151" s="564" t="str">
        <f t="shared" si="243"/>
        <v xml:space="preserve"> </v>
      </c>
      <c r="N1151" s="564" t="str">
        <f t="shared" si="244"/>
        <v xml:space="preserve"> </v>
      </c>
      <c r="O1151" s="558"/>
      <c r="P1151" s="714"/>
      <c r="Q1151" s="564" t="str">
        <f>IF(O1151&lt;&gt;0,VLOOKUP(O1151,'Cây trong'!$A$2:$C$246,3,0)," ")</f>
        <v xml:space="preserve"> </v>
      </c>
      <c r="R1151" s="564" t="str">
        <f t="shared" si="245"/>
        <v xml:space="preserve"> </v>
      </c>
      <c r="S1151" s="566"/>
      <c r="T1151" s="589"/>
      <c r="U1151" s="710"/>
      <c r="V1151" s="593"/>
      <c r="W1151" s="564" t="str">
        <f>IF(S1151&lt;&gt;0,VLOOKUP(S1151,VKT!$A$2:$G$415,7,0),"")</f>
        <v/>
      </c>
      <c r="X1151" s="564" t="str">
        <f t="shared" si="240"/>
        <v xml:space="preserve"> </v>
      </c>
      <c r="Y1151" s="683"/>
      <c r="Z1151" s="683"/>
      <c r="AA1151" s="683"/>
      <c r="AB1151" s="694"/>
      <c r="AC1151" s="683"/>
      <c r="AD1151" s="683"/>
      <c r="AE1151" s="683"/>
      <c r="AF1151" s="590"/>
      <c r="AG1151" s="570" t="str">
        <f>IF(AE1151&lt;&gt;0,VLOOKUP(AE1151,ODDS!$A$2:$C$13,3,0),"")</f>
        <v/>
      </c>
      <c r="AH1151" s="570" t="str">
        <f t="shared" si="246"/>
        <v xml:space="preserve"> </v>
      </c>
      <c r="AI1151" s="571" t="str">
        <f t="shared" si="237"/>
        <v xml:space="preserve"> </v>
      </c>
      <c r="AJ1151" s="704"/>
      <c r="AK1151" s="566"/>
    </row>
    <row r="1152" spans="1:37" s="385" customFormat="1" ht="20.25" outlineLevel="2" x14ac:dyDescent="0.3">
      <c r="A1152" s="447">
        <f t="shared" si="250"/>
        <v>88</v>
      </c>
      <c r="B1152" s="557"/>
      <c r="C1152" s="586"/>
      <c r="D1152" s="615"/>
      <c r="E1152" s="615"/>
      <c r="F1152" s="700"/>
      <c r="G1152" s="558"/>
      <c r="H1152" s="709"/>
      <c r="I1152" s="546"/>
      <c r="J1152" s="589"/>
      <c r="K1152" s="563" t="str">
        <f>IF(G1152&lt;&gt;0,VLOOKUP(G1152,'gia dat'!$A$1:$F$144,5,0)," ")</f>
        <v xml:space="preserve"> </v>
      </c>
      <c r="L1152" s="563" t="str">
        <f>IF(G1152&lt;&gt;0,VLOOKUP(G1152,'gia dat'!$A$1:$F$144,6,0)," ")</f>
        <v xml:space="preserve"> </v>
      </c>
      <c r="M1152" s="564" t="str">
        <f t="shared" si="243"/>
        <v xml:space="preserve"> </v>
      </c>
      <c r="N1152" s="564" t="str">
        <f t="shared" si="244"/>
        <v xml:space="preserve"> </v>
      </c>
      <c r="O1152" s="558"/>
      <c r="P1152" s="714"/>
      <c r="Q1152" s="564" t="str">
        <f>IF(O1152&lt;&gt;0,VLOOKUP(O1152,'Cây trong'!$A$2:$C$246,3,0)," ")</f>
        <v xml:space="preserve"> </v>
      </c>
      <c r="R1152" s="564" t="str">
        <f t="shared" si="245"/>
        <v xml:space="preserve"> </v>
      </c>
      <c r="S1152" s="566"/>
      <c r="T1152" s="589"/>
      <c r="U1152" s="710"/>
      <c r="V1152" s="593"/>
      <c r="W1152" s="564" t="str">
        <f>IF(S1152&lt;&gt;0,VLOOKUP(S1152,VKT!$A$2:$G$415,7,0),"")</f>
        <v/>
      </c>
      <c r="X1152" s="564" t="str">
        <f t="shared" si="240"/>
        <v xml:space="preserve"> </v>
      </c>
      <c r="Y1152" s="683"/>
      <c r="Z1152" s="683"/>
      <c r="AA1152" s="683"/>
      <c r="AB1152" s="694"/>
      <c r="AC1152" s="683"/>
      <c r="AD1152" s="683"/>
      <c r="AE1152" s="683"/>
      <c r="AF1152" s="590"/>
      <c r="AG1152" s="570" t="str">
        <f>IF(AE1152&lt;&gt;0,VLOOKUP(AE1152,ODDS!$A$2:$C$13,3,0),"")</f>
        <v/>
      </c>
      <c r="AH1152" s="570" t="str">
        <f t="shared" si="246"/>
        <v xml:space="preserve"> </v>
      </c>
      <c r="AI1152" s="571" t="str">
        <f t="shared" si="237"/>
        <v xml:space="preserve"> </v>
      </c>
      <c r="AJ1152" s="593"/>
      <c r="AK1152" s="566"/>
    </row>
    <row r="1153" spans="1:38" s="385" customFormat="1" ht="20.25" outlineLevel="2" x14ac:dyDescent="0.3">
      <c r="A1153" s="447">
        <f t="shared" si="250"/>
        <v>88</v>
      </c>
      <c r="B1153" s="557"/>
      <c r="C1153" s="574"/>
      <c r="D1153" s="615"/>
      <c r="E1153" s="615"/>
      <c r="F1153" s="700"/>
      <c r="G1153" s="558"/>
      <c r="H1153" s="709"/>
      <c r="I1153" s="546"/>
      <c r="J1153" s="589"/>
      <c r="K1153" s="563" t="str">
        <f>IF(G1153&lt;&gt;0,VLOOKUP(G1153,'gia dat'!$A$1:$F$144,5,0)," ")</f>
        <v xml:space="preserve"> </v>
      </c>
      <c r="L1153" s="563" t="str">
        <f>IF(G1153&lt;&gt;0,VLOOKUP(G1153,'gia dat'!$A$1:$F$144,6,0)," ")</f>
        <v xml:space="preserve"> </v>
      </c>
      <c r="M1153" s="564" t="str">
        <f t="shared" si="243"/>
        <v xml:space="preserve"> </v>
      </c>
      <c r="N1153" s="564" t="str">
        <f t="shared" si="244"/>
        <v xml:space="preserve"> </v>
      </c>
      <c r="O1153" s="558"/>
      <c r="P1153" s="714"/>
      <c r="Q1153" s="564" t="str">
        <f>IF(O1153&lt;&gt;0,VLOOKUP(O1153,'Cây trong'!$A$2:$C$246,3,0)," ")</f>
        <v xml:space="preserve"> </v>
      </c>
      <c r="R1153" s="564" t="str">
        <f t="shared" si="245"/>
        <v xml:space="preserve"> </v>
      </c>
      <c r="S1153" s="566"/>
      <c r="T1153" s="589"/>
      <c r="U1153" s="710"/>
      <c r="V1153" s="593"/>
      <c r="W1153" s="564" t="str">
        <f>IF(S1153&lt;&gt;0,VLOOKUP(S1153,VKT!$A$2:$G$415,7,0),"")</f>
        <v/>
      </c>
      <c r="X1153" s="564" t="str">
        <f t="shared" si="240"/>
        <v xml:space="preserve"> </v>
      </c>
      <c r="Y1153" s="683"/>
      <c r="Z1153" s="683"/>
      <c r="AA1153" s="683"/>
      <c r="AB1153" s="694"/>
      <c r="AC1153" s="683"/>
      <c r="AD1153" s="683"/>
      <c r="AE1153" s="683"/>
      <c r="AF1153" s="590"/>
      <c r="AG1153" s="570" t="str">
        <f>IF(AE1153&lt;&gt;0,VLOOKUP(AE1153,ODDS!$A$2:$C$13,3,0),"")</f>
        <v/>
      </c>
      <c r="AH1153" s="570" t="str">
        <f t="shared" si="246"/>
        <v xml:space="preserve"> </v>
      </c>
      <c r="AI1153" s="571" t="str">
        <f t="shared" si="237"/>
        <v xml:space="preserve"> </v>
      </c>
      <c r="AJ1153" s="593"/>
      <c r="AK1153" s="566"/>
    </row>
    <row r="1154" spans="1:38" s="385" customFormat="1" ht="40.5" outlineLevel="1" x14ac:dyDescent="0.25">
      <c r="A1154" s="467" t="s">
        <v>2621</v>
      </c>
      <c r="B1154" s="576">
        <v>89</v>
      </c>
      <c r="C1154" s="574" t="s">
        <v>48</v>
      </c>
      <c r="D1154" s="705"/>
      <c r="E1154" s="705"/>
      <c r="F1154" s="706"/>
      <c r="G1154" s="574"/>
      <c r="H1154" s="707">
        <f>SUBTOTAL(9,H1155:H1160)</f>
        <v>2234.6999999999998</v>
      </c>
      <c r="I1154" s="579">
        <f>SUBTOTAL(9,I1155:I1160)</f>
        <v>2234.6999999999998</v>
      </c>
      <c r="J1154" s="597"/>
      <c r="K1154" s="581"/>
      <c r="L1154" s="581"/>
      <c r="M1154" s="571">
        <f>SUBTOTAL(9,M1155:M1160)</f>
        <v>1040476000</v>
      </c>
      <c r="N1154" s="571">
        <f>SUBTOTAL(9,N1155:N1160)</f>
        <v>3121429000</v>
      </c>
      <c r="O1154" s="574"/>
      <c r="P1154" s="712">
        <f>SUBTOTAL(9,P1155:P1160)</f>
        <v>0</v>
      </c>
      <c r="Q1154" s="571"/>
      <c r="R1154" s="571">
        <f>SUBTOTAL(9,R1155:R1160)</f>
        <v>0</v>
      </c>
      <c r="S1154" s="582"/>
      <c r="T1154" s="597"/>
      <c r="U1154" s="708">
        <f>SUBTOTAL(9,U1155:U1160)</f>
        <v>0</v>
      </c>
      <c r="V1154" s="608"/>
      <c r="W1154" s="571"/>
      <c r="X1154" s="571">
        <f>SUBTOTAL(9,X1155:X1160)</f>
        <v>0</v>
      </c>
      <c r="Y1154" s="683"/>
      <c r="Z1154" s="683"/>
      <c r="AA1154" s="683"/>
      <c r="AB1154" s="694"/>
      <c r="AC1154" s="683"/>
      <c r="AD1154" s="683"/>
      <c r="AE1154" s="650"/>
      <c r="AF1154" s="599">
        <f>SUBTOTAL(9,AF1155:AF1160)</f>
        <v>0</v>
      </c>
      <c r="AG1154" s="585"/>
      <c r="AH1154" s="585">
        <f>SUBTOTAL(9,AH1155:AH1160)</f>
        <v>0</v>
      </c>
      <c r="AI1154" s="571">
        <f t="shared" si="237"/>
        <v>4161905000</v>
      </c>
      <c r="AJ1154" s="574"/>
      <c r="AK1154" s="578"/>
    </row>
    <row r="1155" spans="1:38" s="385" customFormat="1" ht="121.5" outlineLevel="2" x14ac:dyDescent="0.3">
      <c r="A1155" s="447">
        <f>IF(B1154&lt;&gt;0,B1154,A1153)</f>
        <v>89</v>
      </c>
      <c r="B1155" s="557"/>
      <c r="C1155" s="558" t="s">
        <v>280</v>
      </c>
      <c r="D1155" s="615">
        <v>1</v>
      </c>
      <c r="E1155" s="615">
        <v>86</v>
      </c>
      <c r="F1155" s="700">
        <v>33</v>
      </c>
      <c r="G1155" s="558" t="s">
        <v>2864</v>
      </c>
      <c r="H1155" s="717">
        <v>2234.6999999999998</v>
      </c>
      <c r="I1155" s="546">
        <f t="shared" ref="I1155" si="251">IF(N1155&gt;0,H1155,"")</f>
        <v>2234.6999999999998</v>
      </c>
      <c r="J1155" s="589"/>
      <c r="K1155" s="563">
        <f>IF(G1155&lt;&gt;0,VLOOKUP(G1155,'gia dat'!$A$1:$F$144,5,0)," ")</f>
        <v>465600</v>
      </c>
      <c r="L1155" s="563">
        <f>IF(G1155&lt;&gt;0,VLOOKUP(G1155,'gia dat'!$A$1:$F$144,6,0)," ")</f>
        <v>1396800</v>
      </c>
      <c r="M1155" s="564">
        <f t="shared" si="243"/>
        <v>1040476000</v>
      </c>
      <c r="N1155" s="564">
        <f t="shared" si="244"/>
        <v>3121429000</v>
      </c>
      <c r="O1155" s="558"/>
      <c r="P1155" s="714"/>
      <c r="Q1155" s="564" t="str">
        <f>IF(O1155&lt;&gt;0,VLOOKUP(O1155,'Cây trong'!$A$2:$C$246,3,0)," ")</f>
        <v xml:space="preserve"> </v>
      </c>
      <c r="R1155" s="564" t="str">
        <f t="shared" si="245"/>
        <v xml:space="preserve"> </v>
      </c>
      <c r="S1155" s="566"/>
      <c r="T1155" s="589"/>
      <c r="U1155" s="710"/>
      <c r="V1155" s="593"/>
      <c r="W1155" s="564" t="str">
        <f>IF(S1155&lt;&gt;0,VLOOKUP(S1155,VKT!$A$2:$G$415,7,0),"")</f>
        <v/>
      </c>
      <c r="X1155" s="564" t="str">
        <f t="shared" si="240"/>
        <v xml:space="preserve"> </v>
      </c>
      <c r="Y1155" s="683"/>
      <c r="Z1155" s="683"/>
      <c r="AA1155" s="683"/>
      <c r="AB1155" s="694"/>
      <c r="AC1155" s="683"/>
      <c r="AD1155" s="683"/>
      <c r="AE1155" s="683"/>
      <c r="AF1155" s="590"/>
      <c r="AG1155" s="570" t="str">
        <f>IF(AE1155&lt;&gt;0,VLOOKUP(AE1155,ODDS!$A$2:$C$13,3,0),"")</f>
        <v/>
      </c>
      <c r="AH1155" s="570"/>
      <c r="AI1155" s="571" t="str">
        <f t="shared" si="237"/>
        <v xml:space="preserve"> </v>
      </c>
      <c r="AJ1155" s="558" t="s">
        <v>856</v>
      </c>
      <c r="AK1155" s="586" t="s">
        <v>2771</v>
      </c>
      <c r="AL1155" s="385" t="s">
        <v>2221</v>
      </c>
    </row>
    <row r="1156" spans="1:38" s="385" customFormat="1" ht="121.5" outlineLevel="2" x14ac:dyDescent="0.3">
      <c r="A1156" s="447">
        <f>IF(B1155&lt;&gt;0,B1155,A1155)</f>
        <v>89</v>
      </c>
      <c r="B1156" s="557"/>
      <c r="C1156" s="586" t="s">
        <v>858</v>
      </c>
      <c r="D1156" s="615"/>
      <c r="E1156" s="615"/>
      <c r="F1156" s="700"/>
      <c r="G1156" s="558"/>
      <c r="H1156" s="709"/>
      <c r="I1156" s="546"/>
      <c r="J1156" s="589"/>
      <c r="K1156" s="563" t="str">
        <f>IF(G1156&lt;&gt;0,VLOOKUP(G1156,'gia dat'!$A$1:$F$144,5,0)," ")</f>
        <v xml:space="preserve"> </v>
      </c>
      <c r="L1156" s="563" t="str">
        <f>IF(G1156&lt;&gt;0,VLOOKUP(G1156,'gia dat'!$A$1:$F$144,6,0)," ")</f>
        <v xml:space="preserve"> </v>
      </c>
      <c r="M1156" s="564" t="str">
        <f t="shared" si="243"/>
        <v xml:space="preserve"> </v>
      </c>
      <c r="N1156" s="564" t="str">
        <f t="shared" si="244"/>
        <v xml:space="preserve"> </v>
      </c>
      <c r="O1156" s="558"/>
      <c r="P1156" s="714"/>
      <c r="Q1156" s="564" t="str">
        <f>IF(O1156&lt;&gt;0,VLOOKUP(O1156,'Cây trong'!$A$2:$C$246,3,0)," ")</f>
        <v xml:space="preserve"> </v>
      </c>
      <c r="R1156" s="564" t="str">
        <f t="shared" si="245"/>
        <v xml:space="preserve"> </v>
      </c>
      <c r="S1156" s="566"/>
      <c r="T1156" s="589"/>
      <c r="U1156" s="710"/>
      <c r="V1156" s="593"/>
      <c r="W1156" s="564" t="str">
        <f>IF(S1156&lt;&gt;0,VLOOKUP(S1156,VKT!$A$2:$G$415,7,0),"")</f>
        <v/>
      </c>
      <c r="X1156" s="564" t="str">
        <f t="shared" si="240"/>
        <v xml:space="preserve"> </v>
      </c>
      <c r="Y1156" s="683"/>
      <c r="Z1156" s="683"/>
      <c r="AA1156" s="683"/>
      <c r="AB1156" s="694"/>
      <c r="AC1156" s="683"/>
      <c r="AD1156" s="683"/>
      <c r="AE1156" s="683"/>
      <c r="AF1156" s="590"/>
      <c r="AG1156" s="570" t="str">
        <f>IF(AE1156&lt;&gt;0,VLOOKUP(AE1156,ODDS!$A$2:$C$13,3,0),"")</f>
        <v/>
      </c>
      <c r="AH1156" s="570" t="str">
        <f t="shared" si="246"/>
        <v xml:space="preserve"> </v>
      </c>
      <c r="AI1156" s="571" t="str">
        <f t="shared" si="237"/>
        <v xml:space="preserve"> </v>
      </c>
      <c r="AJ1156" s="558" t="s">
        <v>2813</v>
      </c>
      <c r="AK1156" s="558" t="s">
        <v>2448</v>
      </c>
    </row>
    <row r="1157" spans="1:38" s="385" customFormat="1" ht="20.25" outlineLevel="2" x14ac:dyDescent="0.3">
      <c r="A1157" s="447">
        <f>IF(B1156&lt;&gt;0,B1156,A1156)</f>
        <v>89</v>
      </c>
      <c r="B1157" s="557"/>
      <c r="C1157" s="558"/>
      <c r="D1157" s="615"/>
      <c r="E1157" s="615"/>
      <c r="F1157" s="700"/>
      <c r="G1157" s="558"/>
      <c r="H1157" s="709"/>
      <c r="I1157" s="546"/>
      <c r="J1157" s="589"/>
      <c r="K1157" s="563" t="str">
        <f>IF(G1157&lt;&gt;0,VLOOKUP(G1157,'gia dat'!$A$1:$F$144,5,0)," ")</f>
        <v xml:space="preserve"> </v>
      </c>
      <c r="L1157" s="563" t="str">
        <f>IF(G1157&lt;&gt;0,VLOOKUP(G1157,'gia dat'!$A$1:$F$144,6,0)," ")</f>
        <v xml:space="preserve"> </v>
      </c>
      <c r="M1157" s="564" t="str">
        <f t="shared" si="243"/>
        <v xml:space="preserve"> </v>
      </c>
      <c r="N1157" s="564" t="str">
        <f t="shared" si="244"/>
        <v xml:space="preserve"> </v>
      </c>
      <c r="O1157" s="558"/>
      <c r="P1157" s="714"/>
      <c r="Q1157" s="564" t="str">
        <f>IF(O1157&lt;&gt;0,VLOOKUP(O1157,'Cây trong'!$A$2:$C$246,3,0)," ")</f>
        <v xml:space="preserve"> </v>
      </c>
      <c r="R1157" s="564" t="str">
        <f t="shared" si="245"/>
        <v xml:space="preserve"> </v>
      </c>
      <c r="S1157" s="566"/>
      <c r="T1157" s="589"/>
      <c r="U1157" s="710"/>
      <c r="V1157" s="593"/>
      <c r="W1157" s="564" t="str">
        <f>IF(S1157&lt;&gt;0,VLOOKUP(S1157,VKT!$A$2:$G$415,7,0),"")</f>
        <v/>
      </c>
      <c r="X1157" s="564" t="str">
        <f t="shared" si="240"/>
        <v xml:space="preserve"> </v>
      </c>
      <c r="Y1157" s="683"/>
      <c r="Z1157" s="683"/>
      <c r="AA1157" s="683"/>
      <c r="AB1157" s="694"/>
      <c r="AC1157" s="683"/>
      <c r="AD1157" s="683"/>
      <c r="AE1157" s="683"/>
      <c r="AF1157" s="590"/>
      <c r="AG1157" s="570" t="str">
        <f>IF(AE1157&lt;&gt;0,VLOOKUP(AE1157,ODDS!$A$2:$C$13,3,0),"")</f>
        <v/>
      </c>
      <c r="AH1157" s="570" t="str">
        <f t="shared" si="246"/>
        <v xml:space="preserve"> </v>
      </c>
      <c r="AI1157" s="571" t="str">
        <f t="shared" si="237"/>
        <v xml:space="preserve"> </v>
      </c>
      <c r="AJ1157" s="593" t="s">
        <v>859</v>
      </c>
      <c r="AK1157" s="566"/>
    </row>
    <row r="1158" spans="1:38" s="385" customFormat="1" ht="60.75" outlineLevel="2" x14ac:dyDescent="0.3">
      <c r="A1158" s="447">
        <f>IF(B1157&lt;&gt;0,B1157,A1157)</f>
        <v>89</v>
      </c>
      <c r="B1158" s="557"/>
      <c r="C1158" s="574"/>
      <c r="D1158" s="615"/>
      <c r="E1158" s="615"/>
      <c r="F1158" s="700"/>
      <c r="G1158" s="558"/>
      <c r="H1158" s="709"/>
      <c r="I1158" s="546"/>
      <c r="J1158" s="589"/>
      <c r="K1158" s="563" t="str">
        <f>IF(G1158&lt;&gt;0,VLOOKUP(G1158,'gia dat'!$A$1:$F$144,5,0)," ")</f>
        <v xml:space="preserve"> </v>
      </c>
      <c r="L1158" s="563" t="str">
        <f>IF(G1158&lt;&gt;0,VLOOKUP(G1158,'gia dat'!$A$1:$F$144,6,0)," ")</f>
        <v xml:space="preserve"> </v>
      </c>
      <c r="M1158" s="564" t="str">
        <f t="shared" si="243"/>
        <v xml:space="preserve"> </v>
      </c>
      <c r="N1158" s="564" t="str">
        <f t="shared" si="244"/>
        <v xml:space="preserve"> </v>
      </c>
      <c r="O1158" s="558"/>
      <c r="P1158" s="714"/>
      <c r="Q1158" s="564" t="str">
        <f>IF(O1158&lt;&gt;0,VLOOKUP(O1158,'Cây trong'!$A$2:$C$246,3,0)," ")</f>
        <v xml:space="preserve"> </v>
      </c>
      <c r="R1158" s="564" t="str">
        <f t="shared" si="245"/>
        <v xml:space="preserve"> </v>
      </c>
      <c r="S1158" s="566"/>
      <c r="T1158" s="589"/>
      <c r="U1158" s="710"/>
      <c r="V1158" s="593"/>
      <c r="W1158" s="564" t="str">
        <f>IF(S1158&lt;&gt;0,VLOOKUP(S1158,VKT!$A$2:$G$415,7,0),"")</f>
        <v/>
      </c>
      <c r="X1158" s="564" t="str">
        <f t="shared" si="240"/>
        <v xml:space="preserve"> </v>
      </c>
      <c r="Y1158" s="683"/>
      <c r="Z1158" s="683"/>
      <c r="AA1158" s="683"/>
      <c r="AB1158" s="694"/>
      <c r="AC1158" s="683"/>
      <c r="AD1158" s="683"/>
      <c r="AE1158" s="683"/>
      <c r="AF1158" s="590"/>
      <c r="AG1158" s="570" t="str">
        <f>IF(AE1158&lt;&gt;0,VLOOKUP(AE1158,ODDS!$A$2:$C$13,3,0),"")</f>
        <v/>
      </c>
      <c r="AH1158" s="570" t="str">
        <f t="shared" si="246"/>
        <v xml:space="preserve"> </v>
      </c>
      <c r="AI1158" s="571" t="str">
        <f t="shared" si="237"/>
        <v xml:space="preserve"> </v>
      </c>
      <c r="AJ1158" s="558" t="s">
        <v>2074</v>
      </c>
      <c r="AK1158" s="593"/>
    </row>
    <row r="1159" spans="1:38" s="385" customFormat="1" ht="20.25" outlineLevel="2" x14ac:dyDescent="0.3">
      <c r="A1159" s="447">
        <f>IF(B1158&lt;&gt;0,B1158,A1158)</f>
        <v>89</v>
      </c>
      <c r="B1159" s="557"/>
      <c r="C1159" s="574"/>
      <c r="D1159" s="615"/>
      <c r="E1159" s="615"/>
      <c r="F1159" s="700"/>
      <c r="G1159" s="558"/>
      <c r="H1159" s="709"/>
      <c r="I1159" s="546"/>
      <c r="J1159" s="589"/>
      <c r="K1159" s="563" t="str">
        <f>IF(G1159&lt;&gt;0,VLOOKUP(G1159,'gia dat'!$A$1:$F$144,5,0)," ")</f>
        <v xml:space="preserve"> </v>
      </c>
      <c r="L1159" s="563" t="str">
        <f>IF(G1159&lt;&gt;0,VLOOKUP(G1159,'gia dat'!$A$1:$F$144,6,0)," ")</f>
        <v xml:space="preserve"> </v>
      </c>
      <c r="M1159" s="564" t="str">
        <f t="shared" si="243"/>
        <v xml:space="preserve"> </v>
      </c>
      <c r="N1159" s="564" t="str">
        <f t="shared" si="244"/>
        <v xml:space="preserve"> </v>
      </c>
      <c r="O1159" s="558"/>
      <c r="P1159" s="714"/>
      <c r="Q1159" s="564" t="str">
        <f>IF(O1159&lt;&gt;0,VLOOKUP(O1159,'Cây trong'!$A$2:$C$246,3,0)," ")</f>
        <v xml:space="preserve"> </v>
      </c>
      <c r="R1159" s="564" t="str">
        <f t="shared" si="245"/>
        <v xml:space="preserve"> </v>
      </c>
      <c r="S1159" s="566"/>
      <c r="T1159" s="589"/>
      <c r="U1159" s="710"/>
      <c r="V1159" s="593"/>
      <c r="W1159" s="564" t="str">
        <f>IF(S1159&lt;&gt;0,VLOOKUP(S1159,VKT!$A$2:$G$415,7,0),"")</f>
        <v/>
      </c>
      <c r="X1159" s="564" t="str">
        <f t="shared" si="240"/>
        <v xml:space="preserve"> </v>
      </c>
      <c r="Y1159" s="683"/>
      <c r="Z1159" s="683"/>
      <c r="AA1159" s="683"/>
      <c r="AB1159" s="694"/>
      <c r="AC1159" s="683"/>
      <c r="AD1159" s="683"/>
      <c r="AE1159" s="683"/>
      <c r="AF1159" s="590"/>
      <c r="AG1159" s="570" t="str">
        <f>IF(AE1159&lt;&gt;0,VLOOKUP(AE1159,ODDS!$A$2:$C$13,3,0),"")</f>
        <v/>
      </c>
      <c r="AH1159" s="570" t="str">
        <f t="shared" si="246"/>
        <v xml:space="preserve"> </v>
      </c>
      <c r="AI1159" s="571" t="str">
        <f t="shared" si="237"/>
        <v xml:space="preserve"> </v>
      </c>
      <c r="AJ1159" s="704"/>
      <c r="AK1159" s="593"/>
    </row>
    <row r="1160" spans="1:38" s="385" customFormat="1" ht="20.25" outlineLevel="2" x14ac:dyDescent="0.3">
      <c r="A1160" s="447">
        <f>IF(B1159&lt;&gt;0,B1159,A1159)</f>
        <v>89</v>
      </c>
      <c r="B1160" s="557"/>
      <c r="C1160" s="574"/>
      <c r="D1160" s="615"/>
      <c r="E1160" s="615"/>
      <c r="F1160" s="700"/>
      <c r="G1160" s="558"/>
      <c r="H1160" s="709"/>
      <c r="I1160" s="546"/>
      <c r="J1160" s="589"/>
      <c r="K1160" s="563" t="str">
        <f>IF(G1160&lt;&gt;0,VLOOKUP(G1160,'gia dat'!$A$1:$F$144,5,0)," ")</f>
        <v xml:space="preserve"> </v>
      </c>
      <c r="L1160" s="563" t="str">
        <f>IF(G1160&lt;&gt;0,VLOOKUP(G1160,'gia dat'!$A$1:$F$144,6,0)," ")</f>
        <v xml:space="preserve"> </v>
      </c>
      <c r="M1160" s="564" t="str">
        <f t="shared" si="243"/>
        <v xml:space="preserve"> </v>
      </c>
      <c r="N1160" s="564" t="str">
        <f t="shared" si="244"/>
        <v xml:space="preserve"> </v>
      </c>
      <c r="O1160" s="558"/>
      <c r="P1160" s="714"/>
      <c r="Q1160" s="564" t="str">
        <f>IF(O1160&lt;&gt;0,VLOOKUP(O1160,'Cây trong'!$A$2:$C$246,3,0)," ")</f>
        <v xml:space="preserve"> </v>
      </c>
      <c r="R1160" s="564" t="str">
        <f t="shared" si="245"/>
        <v xml:space="preserve"> </v>
      </c>
      <c r="S1160" s="566"/>
      <c r="T1160" s="589"/>
      <c r="U1160" s="710"/>
      <c r="V1160" s="593"/>
      <c r="W1160" s="564" t="str">
        <f>IF(S1160&lt;&gt;0,VLOOKUP(S1160,VKT!$A$2:$G$415,7,0),"")</f>
        <v/>
      </c>
      <c r="X1160" s="564" t="str">
        <f t="shared" si="240"/>
        <v xml:space="preserve"> </v>
      </c>
      <c r="Y1160" s="683"/>
      <c r="Z1160" s="683"/>
      <c r="AA1160" s="683"/>
      <c r="AB1160" s="694"/>
      <c r="AC1160" s="683"/>
      <c r="AD1160" s="683"/>
      <c r="AE1160" s="683"/>
      <c r="AF1160" s="590"/>
      <c r="AG1160" s="570" t="str">
        <f>IF(AE1160&lt;&gt;0,VLOOKUP(AE1160,ODDS!$A$2:$C$13,3,0),"")</f>
        <v/>
      </c>
      <c r="AH1160" s="570" t="str">
        <f t="shared" si="246"/>
        <v xml:space="preserve"> </v>
      </c>
      <c r="AI1160" s="571" t="str">
        <f t="shared" si="237"/>
        <v xml:space="preserve"> </v>
      </c>
      <c r="AJ1160" s="593"/>
      <c r="AK1160" s="593"/>
    </row>
    <row r="1161" spans="1:38" s="385" customFormat="1" ht="20.25" outlineLevel="1" x14ac:dyDescent="0.25">
      <c r="A1161" s="467" t="s">
        <v>2620</v>
      </c>
      <c r="B1161" s="576">
        <v>90</v>
      </c>
      <c r="C1161" s="574" t="s">
        <v>860</v>
      </c>
      <c r="D1161" s="705"/>
      <c r="E1161" s="705"/>
      <c r="F1161" s="706"/>
      <c r="G1161" s="574"/>
      <c r="H1161" s="707">
        <f>SUBTOTAL(9,H1162:H1167)</f>
        <v>536</v>
      </c>
      <c r="I1161" s="579">
        <f>SUBTOTAL(9,I1162:I1167)</f>
        <v>536</v>
      </c>
      <c r="J1161" s="597"/>
      <c r="K1161" s="581"/>
      <c r="L1161" s="581"/>
      <c r="M1161" s="571">
        <f>SUBTOTAL(9,M1162:M1167)</f>
        <v>297158000</v>
      </c>
      <c r="N1161" s="571">
        <f>SUBTOTAL(9,N1162:N1167)</f>
        <v>891475000</v>
      </c>
      <c r="O1161" s="574"/>
      <c r="P1161" s="712">
        <f>SUBTOTAL(9,P1162:P1167)</f>
        <v>0</v>
      </c>
      <c r="Q1161" s="571"/>
      <c r="R1161" s="571">
        <f>SUBTOTAL(9,R1162:R1167)</f>
        <v>0</v>
      </c>
      <c r="S1161" s="582"/>
      <c r="T1161" s="597"/>
      <c r="U1161" s="708">
        <f>SUBTOTAL(9,U1162:U1167)</f>
        <v>0</v>
      </c>
      <c r="V1161" s="608"/>
      <c r="W1161" s="571"/>
      <c r="X1161" s="571">
        <f>SUBTOTAL(9,X1162:X1167)</f>
        <v>0</v>
      </c>
      <c r="Y1161" s="683"/>
      <c r="Z1161" s="683"/>
      <c r="AA1161" s="683"/>
      <c r="AB1161" s="694"/>
      <c r="AC1161" s="683"/>
      <c r="AD1161" s="683"/>
      <c r="AE1161" s="650"/>
      <c r="AF1161" s="599">
        <f>SUBTOTAL(9,AF1162:AF1167)</f>
        <v>0</v>
      </c>
      <c r="AG1161" s="585"/>
      <c r="AH1161" s="585">
        <f>SUBTOTAL(9,AH1162:AH1167)</f>
        <v>0</v>
      </c>
      <c r="AI1161" s="571">
        <f t="shared" ref="AI1161:AI1224" si="252">IF(B1161&lt;&gt;0,M1161+N1161+R1161+X1161+AH1161," ")</f>
        <v>1188633000</v>
      </c>
      <c r="AJ1161" s="574"/>
      <c r="AK1161" s="578"/>
    </row>
    <row r="1162" spans="1:38" s="385" customFormat="1" ht="121.5" outlineLevel="2" x14ac:dyDescent="0.3">
      <c r="A1162" s="447">
        <f>IF(B1161&lt;&gt;0,B1161,A1160)</f>
        <v>90</v>
      </c>
      <c r="B1162" s="557"/>
      <c r="C1162" s="558" t="s">
        <v>863</v>
      </c>
      <c r="D1162" s="615">
        <v>5</v>
      </c>
      <c r="E1162" s="615">
        <v>86</v>
      </c>
      <c r="F1162" s="700">
        <v>277</v>
      </c>
      <c r="G1162" s="558" t="s">
        <v>2888</v>
      </c>
      <c r="H1162" s="709">
        <v>536</v>
      </c>
      <c r="I1162" s="546">
        <f t="shared" ref="I1162" si="253">IF(N1162&gt;0,H1162,"")</f>
        <v>536</v>
      </c>
      <c r="J1162" s="589"/>
      <c r="K1162" s="563">
        <f>IF(G1162&lt;&gt;0,VLOOKUP(G1162,'gia dat'!$A$1:$F$144,5,0)," ")</f>
        <v>554400</v>
      </c>
      <c r="L1162" s="563">
        <f>IF(G1162&lt;&gt;0,VLOOKUP(G1162,'gia dat'!$A$1:$F$144,6,0)," ")</f>
        <v>1663200</v>
      </c>
      <c r="M1162" s="564">
        <f t="shared" si="243"/>
        <v>297158000</v>
      </c>
      <c r="N1162" s="564">
        <f t="shared" si="244"/>
        <v>891475000</v>
      </c>
      <c r="O1162" s="558"/>
      <c r="P1162" s="714"/>
      <c r="Q1162" s="564" t="str">
        <f>IF(O1162&lt;&gt;0,VLOOKUP(O1162,'Cây trong'!$A$2:$C$246,3,0)," ")</f>
        <v xml:space="preserve"> </v>
      </c>
      <c r="R1162" s="564" t="str">
        <f t="shared" si="245"/>
        <v xml:space="preserve"> </v>
      </c>
      <c r="S1162" s="566"/>
      <c r="T1162" s="589"/>
      <c r="U1162" s="710"/>
      <c r="V1162" s="593"/>
      <c r="W1162" s="564" t="str">
        <f>IF(S1162&lt;&gt;0,VLOOKUP(S1162,VKT!$A$2:$G$415,7,0),"")</f>
        <v/>
      </c>
      <c r="X1162" s="564" t="str">
        <f t="shared" si="240"/>
        <v xml:space="preserve"> </v>
      </c>
      <c r="Y1162" s="683"/>
      <c r="Z1162" s="683"/>
      <c r="AA1162" s="683"/>
      <c r="AB1162" s="694"/>
      <c r="AC1162" s="683"/>
      <c r="AD1162" s="683"/>
      <c r="AE1162" s="683"/>
      <c r="AF1162" s="590"/>
      <c r="AG1162" s="570" t="str">
        <f>IF(AE1162&lt;&gt;0,VLOOKUP(AE1162,ODDS!$A$2:$C$13,3,0),"")</f>
        <v/>
      </c>
      <c r="AH1162" s="570"/>
      <c r="AI1162" s="571" t="str">
        <f t="shared" si="252"/>
        <v xml:space="preserve"> </v>
      </c>
      <c r="AJ1162" s="558" t="s">
        <v>862</v>
      </c>
      <c r="AK1162" s="586" t="s">
        <v>2771</v>
      </c>
    </row>
    <row r="1163" spans="1:38" s="385" customFormat="1" ht="101.25" outlineLevel="2" x14ac:dyDescent="0.3">
      <c r="A1163" s="447">
        <f>IF(B1162&lt;&gt;0,B1162,A1162)</f>
        <v>90</v>
      </c>
      <c r="B1163" s="557"/>
      <c r="C1163" s="586" t="s">
        <v>865</v>
      </c>
      <c r="D1163" s="615"/>
      <c r="E1163" s="615"/>
      <c r="F1163" s="700"/>
      <c r="G1163" s="586"/>
      <c r="H1163" s="709"/>
      <c r="I1163" s="546"/>
      <c r="J1163" s="589"/>
      <c r="K1163" s="563" t="str">
        <f>IF(G1163&lt;&gt;0,VLOOKUP(G1163,'gia dat'!$A$1:$F$144,5,0)," ")</f>
        <v xml:space="preserve"> </v>
      </c>
      <c r="L1163" s="563" t="str">
        <f>IF(G1163&lt;&gt;0,VLOOKUP(G1163,'gia dat'!$A$1:$F$144,6,0)," ")</f>
        <v xml:space="preserve"> </v>
      </c>
      <c r="M1163" s="564" t="str">
        <f t="shared" si="243"/>
        <v xml:space="preserve"> </v>
      </c>
      <c r="N1163" s="564" t="str">
        <f t="shared" si="244"/>
        <v xml:space="preserve"> </v>
      </c>
      <c r="O1163" s="558"/>
      <c r="P1163" s="714"/>
      <c r="Q1163" s="564" t="str">
        <f>IF(O1163&lt;&gt;0,VLOOKUP(O1163,'Cây trong'!$A$2:$C$246,3,0)," ")</f>
        <v xml:space="preserve"> </v>
      </c>
      <c r="R1163" s="564" t="str">
        <f t="shared" si="245"/>
        <v xml:space="preserve"> </v>
      </c>
      <c r="S1163" s="566"/>
      <c r="T1163" s="589"/>
      <c r="U1163" s="710"/>
      <c r="V1163" s="593"/>
      <c r="W1163" s="564" t="str">
        <f>IF(S1163&lt;&gt;0,VLOOKUP(S1163,VKT!$A$2:$G$415,7,0),"")</f>
        <v/>
      </c>
      <c r="X1163" s="564" t="str">
        <f t="shared" si="240"/>
        <v xml:space="preserve"> </v>
      </c>
      <c r="Y1163" s="683"/>
      <c r="Z1163" s="683"/>
      <c r="AA1163" s="683"/>
      <c r="AB1163" s="694"/>
      <c r="AC1163" s="683"/>
      <c r="AD1163" s="683"/>
      <c r="AE1163" s="683"/>
      <c r="AF1163" s="590"/>
      <c r="AG1163" s="570" t="str">
        <f>IF(AE1163&lt;&gt;0,VLOOKUP(AE1163,ODDS!$A$2:$C$13,3,0),"")</f>
        <v/>
      </c>
      <c r="AH1163" s="570" t="str">
        <f t="shared" si="246"/>
        <v xml:space="preserve"> </v>
      </c>
      <c r="AI1163" s="571" t="str">
        <f t="shared" si="252"/>
        <v xml:space="preserve"> </v>
      </c>
      <c r="AJ1163" s="558" t="s">
        <v>2814</v>
      </c>
      <c r="AK1163" s="558" t="s">
        <v>2448</v>
      </c>
    </row>
    <row r="1164" spans="1:38" s="385" customFormat="1" ht="60.75" outlineLevel="2" x14ac:dyDescent="0.3">
      <c r="A1164" s="447">
        <f>IF(B1163&lt;&gt;0,B1163,A1163)</f>
        <v>90</v>
      </c>
      <c r="B1164" s="557"/>
      <c r="C1164" s="586"/>
      <c r="D1164" s="615"/>
      <c r="E1164" s="615"/>
      <c r="F1164" s="700"/>
      <c r="G1164" s="558"/>
      <c r="H1164" s="709"/>
      <c r="I1164" s="546"/>
      <c r="J1164" s="589"/>
      <c r="K1164" s="563" t="str">
        <f>IF(G1164&lt;&gt;0,VLOOKUP(G1164,'gia dat'!$A$1:$F$144,5,0)," ")</f>
        <v xml:space="preserve"> </v>
      </c>
      <c r="L1164" s="563" t="str">
        <f>IF(G1164&lt;&gt;0,VLOOKUP(G1164,'gia dat'!$A$1:$F$144,6,0)," ")</f>
        <v xml:space="preserve"> </v>
      </c>
      <c r="M1164" s="564" t="str">
        <f t="shared" si="243"/>
        <v xml:space="preserve"> </v>
      </c>
      <c r="N1164" s="564" t="str">
        <f t="shared" si="244"/>
        <v xml:space="preserve"> </v>
      </c>
      <c r="O1164" s="558"/>
      <c r="P1164" s="714"/>
      <c r="Q1164" s="564" t="str">
        <f>IF(O1164&lt;&gt;0,VLOOKUP(O1164,'Cây trong'!$A$2:$C$246,3,0)," ")</f>
        <v xml:space="preserve"> </v>
      </c>
      <c r="R1164" s="564" t="str">
        <f t="shared" si="245"/>
        <v xml:space="preserve"> </v>
      </c>
      <c r="S1164" s="566"/>
      <c r="T1164" s="589"/>
      <c r="U1164" s="710"/>
      <c r="V1164" s="593"/>
      <c r="W1164" s="564" t="str">
        <f>IF(S1164&lt;&gt;0,VLOOKUP(S1164,VKT!$A$2:$G$415,7,0),"")</f>
        <v/>
      </c>
      <c r="X1164" s="564" t="str">
        <f t="shared" si="240"/>
        <v xml:space="preserve"> </v>
      </c>
      <c r="Y1164" s="683"/>
      <c r="Z1164" s="683"/>
      <c r="AA1164" s="683"/>
      <c r="AB1164" s="694"/>
      <c r="AC1164" s="683"/>
      <c r="AD1164" s="683"/>
      <c r="AE1164" s="683"/>
      <c r="AF1164" s="590"/>
      <c r="AG1164" s="570" t="str">
        <f>IF(AE1164&lt;&gt;0,VLOOKUP(AE1164,ODDS!$A$2:$C$13,3,0),"")</f>
        <v/>
      </c>
      <c r="AH1164" s="570" t="str">
        <f t="shared" si="246"/>
        <v xml:space="preserve"> </v>
      </c>
      <c r="AI1164" s="571" t="str">
        <f t="shared" si="252"/>
        <v xml:space="preserve"> </v>
      </c>
      <c r="AJ1164" s="558" t="s">
        <v>2074</v>
      </c>
      <c r="AK1164" s="566"/>
    </row>
    <row r="1165" spans="1:38" s="385" customFormat="1" ht="20.25" outlineLevel="2" x14ac:dyDescent="0.3">
      <c r="A1165" s="447">
        <f>IF(B1164&lt;&gt;0,B1164,A1164)</f>
        <v>90</v>
      </c>
      <c r="B1165" s="557"/>
      <c r="C1165" s="586"/>
      <c r="D1165" s="615"/>
      <c r="E1165" s="615"/>
      <c r="F1165" s="700"/>
      <c r="G1165" s="558"/>
      <c r="H1165" s="709"/>
      <c r="I1165" s="546"/>
      <c r="J1165" s="589"/>
      <c r="K1165" s="563" t="str">
        <f>IF(G1165&lt;&gt;0,VLOOKUP(G1165,'gia dat'!$A$1:$F$144,5,0)," ")</f>
        <v xml:space="preserve"> </v>
      </c>
      <c r="L1165" s="563" t="str">
        <f>IF(G1165&lt;&gt;0,VLOOKUP(G1165,'gia dat'!$A$1:$F$144,6,0)," ")</f>
        <v xml:space="preserve"> </v>
      </c>
      <c r="M1165" s="564" t="str">
        <f t="shared" si="243"/>
        <v xml:space="preserve"> </v>
      </c>
      <c r="N1165" s="564" t="str">
        <f t="shared" si="244"/>
        <v xml:space="preserve"> </v>
      </c>
      <c r="O1165" s="558"/>
      <c r="P1165" s="714"/>
      <c r="Q1165" s="564" t="str">
        <f>IF(O1165&lt;&gt;0,VLOOKUP(O1165,'Cây trong'!$A$2:$C$246,3,0)," ")</f>
        <v xml:space="preserve"> </v>
      </c>
      <c r="R1165" s="564" t="str">
        <f t="shared" si="245"/>
        <v xml:space="preserve"> </v>
      </c>
      <c r="S1165" s="566"/>
      <c r="T1165" s="589"/>
      <c r="U1165" s="710"/>
      <c r="V1165" s="593"/>
      <c r="W1165" s="564" t="str">
        <f>IF(S1165&lt;&gt;0,VLOOKUP(S1165,VKT!$A$2:$G$415,7,0),"")</f>
        <v/>
      </c>
      <c r="X1165" s="564" t="str">
        <f t="shared" si="240"/>
        <v xml:space="preserve"> </v>
      </c>
      <c r="Y1165" s="683"/>
      <c r="Z1165" s="683"/>
      <c r="AA1165" s="683"/>
      <c r="AB1165" s="694"/>
      <c r="AC1165" s="683"/>
      <c r="AD1165" s="683"/>
      <c r="AE1165" s="683"/>
      <c r="AF1165" s="590"/>
      <c r="AG1165" s="570" t="str">
        <f>IF(AE1165&lt;&gt;0,VLOOKUP(AE1165,ODDS!$A$2:$C$13,3,0),"")</f>
        <v/>
      </c>
      <c r="AH1165" s="570" t="str">
        <f t="shared" si="246"/>
        <v xml:space="preserve"> </v>
      </c>
      <c r="AI1165" s="571" t="str">
        <f t="shared" si="252"/>
        <v xml:space="preserve"> </v>
      </c>
      <c r="AJ1165" s="704"/>
      <c r="AK1165" s="593"/>
    </row>
    <row r="1166" spans="1:38" s="385" customFormat="1" ht="20.25" outlineLevel="2" x14ac:dyDescent="0.3">
      <c r="A1166" s="447">
        <f>IF(B1165&lt;&gt;0,B1165,A1165)</f>
        <v>90</v>
      </c>
      <c r="B1166" s="557"/>
      <c r="C1166" s="558"/>
      <c r="D1166" s="615"/>
      <c r="E1166" s="615"/>
      <c r="F1166" s="700"/>
      <c r="G1166" s="558"/>
      <c r="H1166" s="709"/>
      <c r="I1166" s="546"/>
      <c r="J1166" s="589"/>
      <c r="K1166" s="563" t="str">
        <f>IF(G1166&lt;&gt;0,VLOOKUP(G1166,'gia dat'!$A$1:$F$144,5,0)," ")</f>
        <v xml:space="preserve"> </v>
      </c>
      <c r="L1166" s="563" t="str">
        <f>IF(G1166&lt;&gt;0,VLOOKUP(G1166,'gia dat'!$A$1:$F$144,6,0)," ")</f>
        <v xml:space="preserve"> </v>
      </c>
      <c r="M1166" s="564" t="str">
        <f t="shared" si="243"/>
        <v xml:space="preserve"> </v>
      </c>
      <c r="N1166" s="564" t="str">
        <f t="shared" si="244"/>
        <v xml:space="preserve"> </v>
      </c>
      <c r="O1166" s="558"/>
      <c r="P1166" s="714"/>
      <c r="Q1166" s="564" t="str">
        <f>IF(O1166&lt;&gt;0,VLOOKUP(O1166,'Cây trong'!$A$2:$C$246,3,0)," ")</f>
        <v xml:space="preserve"> </v>
      </c>
      <c r="R1166" s="564" t="str">
        <f t="shared" si="245"/>
        <v xml:space="preserve"> </v>
      </c>
      <c r="S1166" s="566"/>
      <c r="T1166" s="589"/>
      <c r="U1166" s="710"/>
      <c r="V1166" s="593"/>
      <c r="W1166" s="564" t="str">
        <f>IF(S1166&lt;&gt;0,VLOOKUP(S1166,VKT!$A$2:$G$415,7,0),"")</f>
        <v/>
      </c>
      <c r="X1166" s="564" t="str">
        <f t="shared" si="240"/>
        <v xml:space="preserve"> </v>
      </c>
      <c r="Y1166" s="683"/>
      <c r="Z1166" s="683"/>
      <c r="AA1166" s="683"/>
      <c r="AB1166" s="694"/>
      <c r="AC1166" s="683"/>
      <c r="AD1166" s="683"/>
      <c r="AE1166" s="683"/>
      <c r="AF1166" s="590"/>
      <c r="AG1166" s="570" t="str">
        <f>IF(AE1166&lt;&gt;0,VLOOKUP(AE1166,ODDS!$A$2:$C$13,3,0),"")</f>
        <v/>
      </c>
      <c r="AH1166" s="570" t="str">
        <f t="shared" si="246"/>
        <v xml:space="preserve"> </v>
      </c>
      <c r="AI1166" s="571" t="str">
        <f t="shared" si="252"/>
        <v xml:space="preserve"> </v>
      </c>
      <c r="AJ1166" s="704"/>
      <c r="AK1166" s="593"/>
    </row>
    <row r="1167" spans="1:38" s="385" customFormat="1" ht="20.25" outlineLevel="2" x14ac:dyDescent="0.3">
      <c r="A1167" s="447">
        <f>IF(B1166&lt;&gt;0,B1166,A1166)</f>
        <v>90</v>
      </c>
      <c r="B1167" s="557"/>
      <c r="C1167" s="574"/>
      <c r="D1167" s="615"/>
      <c r="E1167" s="615"/>
      <c r="F1167" s="700"/>
      <c r="G1167" s="558"/>
      <c r="H1167" s="709"/>
      <c r="I1167" s="546"/>
      <c r="J1167" s="589"/>
      <c r="K1167" s="563" t="str">
        <f>IF(G1167&lt;&gt;0,VLOOKUP(G1167,'gia dat'!$A$1:$F$144,5,0)," ")</f>
        <v xml:space="preserve"> </v>
      </c>
      <c r="L1167" s="563" t="str">
        <f>IF(G1167&lt;&gt;0,VLOOKUP(G1167,'gia dat'!$A$1:$F$144,6,0)," ")</f>
        <v xml:space="preserve"> </v>
      </c>
      <c r="M1167" s="564" t="str">
        <f t="shared" si="243"/>
        <v xml:space="preserve"> </v>
      </c>
      <c r="N1167" s="564" t="str">
        <f t="shared" si="244"/>
        <v xml:space="preserve"> </v>
      </c>
      <c r="O1167" s="558"/>
      <c r="P1167" s="714"/>
      <c r="Q1167" s="564" t="str">
        <f>IF(O1167&lt;&gt;0,VLOOKUP(O1167,'Cây trong'!$A$2:$C$246,3,0)," ")</f>
        <v xml:space="preserve"> </v>
      </c>
      <c r="R1167" s="564" t="str">
        <f t="shared" si="245"/>
        <v xml:space="preserve"> </v>
      </c>
      <c r="S1167" s="566"/>
      <c r="T1167" s="589"/>
      <c r="U1167" s="710"/>
      <c r="V1167" s="593"/>
      <c r="W1167" s="564" t="str">
        <f>IF(S1167&lt;&gt;0,VLOOKUP(S1167,VKT!$A$2:$G$415,7,0),"")</f>
        <v/>
      </c>
      <c r="X1167" s="564" t="str">
        <f t="shared" si="240"/>
        <v xml:space="preserve"> </v>
      </c>
      <c r="Y1167" s="683"/>
      <c r="Z1167" s="683"/>
      <c r="AA1167" s="683"/>
      <c r="AB1167" s="694"/>
      <c r="AC1167" s="683"/>
      <c r="AD1167" s="683"/>
      <c r="AE1167" s="683"/>
      <c r="AF1167" s="590"/>
      <c r="AG1167" s="570" t="str">
        <f>IF(AE1167&lt;&gt;0,VLOOKUP(AE1167,ODDS!$A$2:$C$13,3,0),"")</f>
        <v/>
      </c>
      <c r="AH1167" s="570" t="str">
        <f t="shared" si="246"/>
        <v xml:space="preserve"> </v>
      </c>
      <c r="AI1167" s="571" t="str">
        <f t="shared" si="252"/>
        <v xml:space="preserve"> </v>
      </c>
      <c r="AJ1167" s="593"/>
      <c r="AK1167" s="593"/>
    </row>
    <row r="1168" spans="1:38" s="385" customFormat="1" ht="40.5" outlineLevel="1" x14ac:dyDescent="0.25">
      <c r="A1168" s="467" t="s">
        <v>2619</v>
      </c>
      <c r="B1168" s="576">
        <v>91</v>
      </c>
      <c r="C1168" s="574" t="s">
        <v>866</v>
      </c>
      <c r="D1168" s="705"/>
      <c r="E1168" s="705"/>
      <c r="F1168" s="706"/>
      <c r="G1168" s="574"/>
      <c r="H1168" s="707">
        <f>SUBTOTAL(9,H1169:H1175)</f>
        <v>1600</v>
      </c>
      <c r="I1168" s="579">
        <f>SUBTOTAL(9,I1169:I1174)</f>
        <v>0</v>
      </c>
      <c r="J1168" s="597"/>
      <c r="K1168" s="581"/>
      <c r="L1168" s="581"/>
      <c r="M1168" s="571">
        <f>SUBTOTAL(9,M1169:M1175)</f>
        <v>887040000</v>
      </c>
      <c r="N1168" s="571">
        <f>SUBTOTAL(9,N1169:N1175)</f>
        <v>0</v>
      </c>
      <c r="O1168" s="574"/>
      <c r="P1168" s="712">
        <f>SUBTOTAL(9,P1169:P1175)</f>
        <v>36</v>
      </c>
      <c r="Q1168" s="571"/>
      <c r="R1168" s="571">
        <f>SUBTOTAL(9,R1169:R1175)</f>
        <v>110304000</v>
      </c>
      <c r="S1168" s="582"/>
      <c r="T1168" s="597"/>
      <c r="U1168" s="708">
        <f>SUBTOTAL(9,U1169:U1175)</f>
        <v>0</v>
      </c>
      <c r="V1168" s="608"/>
      <c r="W1168" s="571"/>
      <c r="X1168" s="571">
        <f>SUBTOTAL(9,X1169:X1175)</f>
        <v>0</v>
      </c>
      <c r="Y1168" s="683"/>
      <c r="Z1168" s="683"/>
      <c r="AA1168" s="683"/>
      <c r="AB1168" s="694"/>
      <c r="AC1168" s="683"/>
      <c r="AD1168" s="683"/>
      <c r="AE1168" s="650"/>
      <c r="AF1168" s="599">
        <f>SUBTOTAL(9,AF1169:AF1175)</f>
        <v>0</v>
      </c>
      <c r="AG1168" s="585"/>
      <c r="AH1168" s="585">
        <f>SUBTOTAL(9,AH1169:AH1175)</f>
        <v>0</v>
      </c>
      <c r="AI1168" s="571">
        <f t="shared" si="252"/>
        <v>997344000</v>
      </c>
      <c r="AJ1168" s="574"/>
      <c r="AK1168" s="578"/>
    </row>
    <row r="1169" spans="1:37" s="385" customFormat="1" ht="121.5" outlineLevel="2" x14ac:dyDescent="0.3">
      <c r="A1169" s="447">
        <f>IF(B1168&lt;&gt;0,B1168,A1167)</f>
        <v>91</v>
      </c>
      <c r="B1169" s="557"/>
      <c r="C1169" s="558" t="s">
        <v>869</v>
      </c>
      <c r="D1169" s="615">
        <v>5</v>
      </c>
      <c r="E1169" s="615">
        <v>86</v>
      </c>
      <c r="F1169" s="700">
        <v>44</v>
      </c>
      <c r="G1169" s="558" t="s">
        <v>2884</v>
      </c>
      <c r="H1169" s="709">
        <v>1600</v>
      </c>
      <c r="I1169" s="546" t="str">
        <f t="shared" ref="I1169" si="254">IF(N1169&gt;0,H1169,"")</f>
        <v/>
      </c>
      <c r="J1169" s="589"/>
      <c r="K1169" s="563">
        <f>IF(G1169&lt;&gt;0,VLOOKUP(G1169,'gia dat'!$A$1:$F$144,5,0)," ")</f>
        <v>554400</v>
      </c>
      <c r="L1169" s="563">
        <f>IF(G1169&lt;&gt;0,VLOOKUP(G1169,'gia dat'!$A$1:$F$144,6,0)," ")</f>
        <v>0</v>
      </c>
      <c r="M1169" s="564">
        <f t="shared" si="243"/>
        <v>887040000</v>
      </c>
      <c r="N1169" s="564">
        <f t="shared" si="244"/>
        <v>0</v>
      </c>
      <c r="O1169" s="558" t="s">
        <v>77</v>
      </c>
      <c r="P1169" s="714">
        <v>36</v>
      </c>
      <c r="Q1169" s="564">
        <f>IF(O1169&lt;&gt;0,VLOOKUP(O1169,'Cây trong'!$A$2:$C$246,3,0)," ")</f>
        <v>3064000</v>
      </c>
      <c r="R1169" s="564">
        <f t="shared" si="245"/>
        <v>110304000</v>
      </c>
      <c r="S1169" s="566"/>
      <c r="T1169" s="589"/>
      <c r="U1169" s="710"/>
      <c r="V1169" s="593"/>
      <c r="W1169" s="564" t="str">
        <f>IF(S1169&lt;&gt;0,VLOOKUP(S1169,VKT!$A$2:$G$415,7,0),"")</f>
        <v/>
      </c>
      <c r="X1169" s="564" t="str">
        <f t="shared" si="240"/>
        <v xml:space="preserve"> </v>
      </c>
      <c r="Y1169" s="683"/>
      <c r="Z1169" s="683"/>
      <c r="AA1169" s="683"/>
      <c r="AB1169" s="694"/>
      <c r="AC1169" s="683"/>
      <c r="AD1169" s="683"/>
      <c r="AE1169" s="683"/>
      <c r="AF1169" s="590"/>
      <c r="AG1169" s="570" t="str">
        <f>IF(AE1169&lt;&gt;0,VLOOKUP(AE1169,ODDS!$A$2:$C$13,3,0),"")</f>
        <v/>
      </c>
      <c r="AH1169" s="570"/>
      <c r="AI1169" s="571" t="str">
        <f t="shared" si="252"/>
        <v xml:space="preserve"> </v>
      </c>
      <c r="AJ1169" s="558" t="s">
        <v>868</v>
      </c>
      <c r="AK1169" s="586" t="s">
        <v>2771</v>
      </c>
    </row>
    <row r="1170" spans="1:37" s="385" customFormat="1" ht="81" outlineLevel="2" x14ac:dyDescent="0.3">
      <c r="A1170" s="447">
        <f t="shared" ref="A1170:A1175" si="255">IF(B1169&lt;&gt;0,B1169,A1169)</f>
        <v>91</v>
      </c>
      <c r="B1170" s="557"/>
      <c r="C1170" s="558" t="s">
        <v>1571</v>
      </c>
      <c r="D1170" s="615"/>
      <c r="E1170" s="615"/>
      <c r="F1170" s="700"/>
      <c r="G1170" s="586"/>
      <c r="H1170" s="709"/>
      <c r="I1170" s="546"/>
      <c r="J1170" s="589"/>
      <c r="K1170" s="563" t="str">
        <f>IF(G1170&lt;&gt;0,VLOOKUP(G1170,'gia dat'!$A$1:$F$144,5,0)," ")</f>
        <v xml:space="preserve"> </v>
      </c>
      <c r="L1170" s="563" t="str">
        <f>IF(G1170&lt;&gt;0,VLOOKUP(G1170,'gia dat'!$A$1:$F$144,6,0)," ")</f>
        <v xml:space="preserve"> </v>
      </c>
      <c r="M1170" s="564" t="str">
        <f t="shared" si="243"/>
        <v xml:space="preserve"> </v>
      </c>
      <c r="N1170" s="564" t="str">
        <f t="shared" si="244"/>
        <v xml:space="preserve"> </v>
      </c>
      <c r="O1170" s="558"/>
      <c r="P1170" s="714"/>
      <c r="Q1170" s="564" t="str">
        <f>IF(O1170&lt;&gt;0,VLOOKUP(O1170,'Cây trong'!$A$2:$C$246,3,0)," ")</f>
        <v xml:space="preserve"> </v>
      </c>
      <c r="R1170" s="564" t="str">
        <f t="shared" si="245"/>
        <v xml:space="preserve"> </v>
      </c>
      <c r="S1170" s="566"/>
      <c r="T1170" s="589"/>
      <c r="U1170" s="710"/>
      <c r="V1170" s="593"/>
      <c r="W1170" s="564" t="str">
        <f>IF(S1170&lt;&gt;0,VLOOKUP(S1170,VKT!$A$2:$G$415,7,0),"")</f>
        <v/>
      </c>
      <c r="X1170" s="564" t="str">
        <f t="shared" si="240"/>
        <v xml:space="preserve"> </v>
      </c>
      <c r="Y1170" s="683"/>
      <c r="Z1170" s="683"/>
      <c r="AA1170" s="683"/>
      <c r="AB1170" s="694"/>
      <c r="AC1170" s="683"/>
      <c r="AD1170" s="683"/>
      <c r="AE1170" s="683"/>
      <c r="AF1170" s="590"/>
      <c r="AG1170" s="570" t="str">
        <f>IF(AE1170&lt;&gt;0,VLOOKUP(AE1170,ODDS!$A$2:$C$13,3,0),"")</f>
        <v/>
      </c>
      <c r="AH1170" s="570" t="str">
        <f t="shared" si="246"/>
        <v xml:space="preserve"> </v>
      </c>
      <c r="AI1170" s="571" t="str">
        <f t="shared" si="252"/>
        <v xml:space="preserve"> </v>
      </c>
      <c r="AJ1170" s="558" t="s">
        <v>2815</v>
      </c>
      <c r="AK1170" s="566"/>
    </row>
    <row r="1171" spans="1:37" s="385" customFormat="1" ht="20.25" outlineLevel="2" x14ac:dyDescent="0.3">
      <c r="A1171" s="447">
        <f t="shared" si="255"/>
        <v>91</v>
      </c>
      <c r="B1171" s="557"/>
      <c r="C1171" s="572"/>
      <c r="D1171" s="703"/>
      <c r="E1171" s="615"/>
      <c r="F1171" s="700"/>
      <c r="G1171" s="558"/>
      <c r="H1171" s="709"/>
      <c r="I1171" s="546"/>
      <c r="J1171" s="710"/>
      <c r="K1171" s="563" t="str">
        <f>IF(G1171&lt;&gt;0,VLOOKUP(G1171,'gia dat'!$A$1:$F$144,5,0)," ")</f>
        <v xml:space="preserve"> </v>
      </c>
      <c r="L1171" s="563" t="str">
        <f>IF(G1171&lt;&gt;0,VLOOKUP(G1171,'gia dat'!$A$1:$F$144,6,0)," ")</f>
        <v xml:space="preserve"> </v>
      </c>
      <c r="M1171" s="564" t="str">
        <f t="shared" si="243"/>
        <v xml:space="preserve"> </v>
      </c>
      <c r="N1171" s="564" t="str">
        <f t="shared" si="244"/>
        <v xml:space="preserve"> </v>
      </c>
      <c r="O1171" s="586"/>
      <c r="P1171" s="714"/>
      <c r="Q1171" s="564" t="str">
        <f>IF(O1171&lt;&gt;0,VLOOKUP(O1171,'Cây trong'!$A$2:$C$246,3,0)," ")</f>
        <v xml:space="preserve"> </v>
      </c>
      <c r="R1171" s="564" t="str">
        <f t="shared" si="245"/>
        <v xml:space="preserve"> </v>
      </c>
      <c r="S1171" s="586"/>
      <c r="T1171" s="609"/>
      <c r="U1171" s="710"/>
      <c r="V1171" s="593"/>
      <c r="W1171" s="564" t="str">
        <f>IF(S1171&lt;&gt;0,VLOOKUP(S1171,VKT!$A$2:$G$415,7,0),"")</f>
        <v/>
      </c>
      <c r="X1171" s="564" t="str">
        <f t="shared" si="240"/>
        <v xml:space="preserve"> </v>
      </c>
      <c r="Y1171" s="683"/>
      <c r="Z1171" s="683"/>
      <c r="AA1171" s="683"/>
      <c r="AB1171" s="694"/>
      <c r="AC1171" s="683"/>
      <c r="AD1171" s="683"/>
      <c r="AE1171" s="683"/>
      <c r="AF1171" s="590"/>
      <c r="AG1171" s="570" t="str">
        <f>IF(AE1171&lt;&gt;0,VLOOKUP(AE1171,ODDS!$A$2:$C$13,3,0),"")</f>
        <v/>
      </c>
      <c r="AH1171" s="570" t="str">
        <f t="shared" si="246"/>
        <v xml:space="preserve"> </v>
      </c>
      <c r="AI1171" s="571" t="str">
        <f t="shared" si="252"/>
        <v xml:space="preserve"> </v>
      </c>
      <c r="AJ1171" s="593" t="s">
        <v>872</v>
      </c>
      <c r="AK1171" s="566"/>
    </row>
    <row r="1172" spans="1:37" s="385" customFormat="1" ht="20.25" outlineLevel="2" x14ac:dyDescent="0.3">
      <c r="A1172" s="447">
        <f t="shared" si="255"/>
        <v>91</v>
      </c>
      <c r="B1172" s="557"/>
      <c r="C1172" s="572"/>
      <c r="D1172" s="703"/>
      <c r="E1172" s="615"/>
      <c r="F1172" s="700"/>
      <c r="G1172" s="558"/>
      <c r="H1172" s="709"/>
      <c r="I1172" s="546"/>
      <c r="J1172" s="710"/>
      <c r="K1172" s="563" t="str">
        <f>IF(G1172&lt;&gt;0,VLOOKUP(G1172,'gia dat'!$A$1:$F$144,5,0)," ")</f>
        <v xml:space="preserve"> </v>
      </c>
      <c r="L1172" s="563" t="str">
        <f>IF(G1172&lt;&gt;0,VLOOKUP(G1172,'gia dat'!$A$1:$F$144,6,0)," ")</f>
        <v xml:space="preserve"> </v>
      </c>
      <c r="M1172" s="564" t="str">
        <f t="shared" si="243"/>
        <v xml:space="preserve"> </v>
      </c>
      <c r="N1172" s="564" t="str">
        <f t="shared" si="244"/>
        <v xml:space="preserve"> </v>
      </c>
      <c r="O1172" s="586"/>
      <c r="P1172" s="714"/>
      <c r="Q1172" s="564" t="str">
        <f>IF(O1172&lt;&gt;0,VLOOKUP(O1172,'Cây trong'!$A$2:$C$246,3,0)," ")</f>
        <v xml:space="preserve"> </v>
      </c>
      <c r="R1172" s="564" t="str">
        <f t="shared" si="245"/>
        <v xml:space="preserve"> </v>
      </c>
      <c r="S1172" s="586"/>
      <c r="T1172" s="609"/>
      <c r="U1172" s="710"/>
      <c r="V1172" s="593"/>
      <c r="W1172" s="564" t="str">
        <f>IF(S1172&lt;&gt;0,VLOOKUP(S1172,VKT!$A$2:$G$415,7,0),"")</f>
        <v/>
      </c>
      <c r="X1172" s="564" t="str">
        <f t="shared" si="240"/>
        <v xml:space="preserve"> </v>
      </c>
      <c r="Y1172" s="683"/>
      <c r="Z1172" s="683"/>
      <c r="AA1172" s="683"/>
      <c r="AB1172" s="694"/>
      <c r="AC1172" s="683"/>
      <c r="AD1172" s="683"/>
      <c r="AE1172" s="683"/>
      <c r="AF1172" s="590"/>
      <c r="AG1172" s="570" t="str">
        <f>IF(AE1172&lt;&gt;0,VLOOKUP(AE1172,ODDS!$A$2:$C$13,3,0),"")</f>
        <v/>
      </c>
      <c r="AH1172" s="570" t="str">
        <f t="shared" si="246"/>
        <v xml:space="preserve"> </v>
      </c>
      <c r="AI1172" s="571" t="str">
        <f t="shared" si="252"/>
        <v xml:space="preserve"> </v>
      </c>
      <c r="AJ1172" s="593"/>
      <c r="AK1172" s="566"/>
    </row>
    <row r="1173" spans="1:37" s="385" customFormat="1" ht="20.25" outlineLevel="2" x14ac:dyDescent="0.3">
      <c r="A1173" s="447">
        <f t="shared" si="255"/>
        <v>91</v>
      </c>
      <c r="B1173" s="557"/>
      <c r="C1173" s="572"/>
      <c r="D1173" s="703"/>
      <c r="E1173" s="615"/>
      <c r="F1173" s="700"/>
      <c r="G1173" s="558"/>
      <c r="H1173" s="709"/>
      <c r="I1173" s="546"/>
      <c r="J1173" s="710"/>
      <c r="K1173" s="563" t="str">
        <f>IF(G1173&lt;&gt;0,VLOOKUP(G1173,'gia dat'!$A$1:$F$144,5,0)," ")</f>
        <v xml:space="preserve"> </v>
      </c>
      <c r="L1173" s="563" t="str">
        <f>IF(G1173&lt;&gt;0,VLOOKUP(G1173,'gia dat'!$A$1:$F$144,6,0)," ")</f>
        <v xml:space="preserve"> </v>
      </c>
      <c r="M1173" s="564" t="str">
        <f t="shared" si="243"/>
        <v xml:space="preserve"> </v>
      </c>
      <c r="N1173" s="564" t="str">
        <f t="shared" si="244"/>
        <v xml:space="preserve"> </v>
      </c>
      <c r="O1173" s="586"/>
      <c r="P1173" s="714"/>
      <c r="Q1173" s="564" t="str">
        <f>IF(O1173&lt;&gt;0,VLOOKUP(O1173,'Cây trong'!$A$2:$C$246,3,0)," ")</f>
        <v xml:space="preserve"> </v>
      </c>
      <c r="R1173" s="564" t="str">
        <f t="shared" si="245"/>
        <v xml:space="preserve"> </v>
      </c>
      <c r="S1173" s="586"/>
      <c r="T1173" s="609"/>
      <c r="U1173" s="710"/>
      <c r="V1173" s="593"/>
      <c r="W1173" s="564" t="str">
        <f>IF(S1173&lt;&gt;0,VLOOKUP(S1173,VKT!$A$2:$G$415,7,0),"")</f>
        <v/>
      </c>
      <c r="X1173" s="564" t="str">
        <f t="shared" si="240"/>
        <v xml:space="preserve"> </v>
      </c>
      <c r="Y1173" s="683"/>
      <c r="Z1173" s="683"/>
      <c r="AA1173" s="683"/>
      <c r="AB1173" s="694"/>
      <c r="AC1173" s="683"/>
      <c r="AD1173" s="683"/>
      <c r="AE1173" s="683"/>
      <c r="AF1173" s="590"/>
      <c r="AG1173" s="570" t="str">
        <f>IF(AE1173&lt;&gt;0,VLOOKUP(AE1173,ODDS!$A$2:$C$13,3,0),"")</f>
        <v/>
      </c>
      <c r="AH1173" s="570" t="str">
        <f t="shared" si="246"/>
        <v xml:space="preserve"> </v>
      </c>
      <c r="AI1173" s="571" t="str">
        <f t="shared" si="252"/>
        <v xml:space="preserve"> </v>
      </c>
      <c r="AJ1173" s="586"/>
      <c r="AK1173" s="566"/>
    </row>
    <row r="1174" spans="1:37" s="385" customFormat="1" ht="20.25" outlineLevel="2" x14ac:dyDescent="0.3">
      <c r="A1174" s="447">
        <f t="shared" si="255"/>
        <v>91</v>
      </c>
      <c r="B1174" s="557"/>
      <c r="C1174" s="572"/>
      <c r="D1174" s="703"/>
      <c r="E1174" s="615"/>
      <c r="F1174" s="700"/>
      <c r="G1174" s="558"/>
      <c r="H1174" s="709"/>
      <c r="I1174" s="546"/>
      <c r="J1174" s="710"/>
      <c r="K1174" s="563" t="str">
        <f>IF(G1174&lt;&gt;0,VLOOKUP(G1174,'gia dat'!$A$1:$F$144,5,0)," ")</f>
        <v xml:space="preserve"> </v>
      </c>
      <c r="L1174" s="563" t="str">
        <f>IF(G1174&lt;&gt;0,VLOOKUP(G1174,'gia dat'!$A$1:$F$144,6,0)," ")</f>
        <v xml:space="preserve"> </v>
      </c>
      <c r="M1174" s="564" t="str">
        <f t="shared" si="243"/>
        <v xml:space="preserve"> </v>
      </c>
      <c r="N1174" s="564" t="str">
        <f t="shared" si="244"/>
        <v xml:space="preserve"> </v>
      </c>
      <c r="O1174" s="586"/>
      <c r="P1174" s="714"/>
      <c r="Q1174" s="564" t="str">
        <f>IF(O1174&lt;&gt;0,VLOOKUP(O1174,'Cây trong'!$A$2:$C$246,3,0)," ")</f>
        <v xml:space="preserve"> </v>
      </c>
      <c r="R1174" s="564" t="str">
        <f t="shared" si="245"/>
        <v xml:space="preserve"> </v>
      </c>
      <c r="S1174" s="586"/>
      <c r="T1174" s="609"/>
      <c r="U1174" s="710"/>
      <c r="V1174" s="593"/>
      <c r="W1174" s="564" t="str">
        <f>IF(S1174&lt;&gt;0,VLOOKUP(S1174,VKT!$A$2:$G$415,7,0),"")</f>
        <v/>
      </c>
      <c r="X1174" s="564" t="str">
        <f t="shared" si="240"/>
        <v xml:space="preserve"> </v>
      </c>
      <c r="Y1174" s="683"/>
      <c r="Z1174" s="683"/>
      <c r="AA1174" s="683"/>
      <c r="AB1174" s="694"/>
      <c r="AC1174" s="683"/>
      <c r="AD1174" s="683"/>
      <c r="AE1174" s="683"/>
      <c r="AF1174" s="590"/>
      <c r="AG1174" s="570" t="str">
        <f>IF(AE1174&lt;&gt;0,VLOOKUP(AE1174,ODDS!$A$2:$C$13,3,0),"")</f>
        <v/>
      </c>
      <c r="AH1174" s="570" t="str">
        <f t="shared" si="246"/>
        <v xml:space="preserve"> </v>
      </c>
      <c r="AI1174" s="571" t="str">
        <f t="shared" si="252"/>
        <v xml:space="preserve"> </v>
      </c>
      <c r="AJ1174" s="593"/>
      <c r="AK1174" s="566"/>
    </row>
    <row r="1175" spans="1:37" s="385" customFormat="1" ht="20.25" outlineLevel="2" x14ac:dyDescent="0.3">
      <c r="A1175" s="447">
        <f t="shared" si="255"/>
        <v>91</v>
      </c>
      <c r="B1175" s="557"/>
      <c r="C1175" s="607"/>
      <c r="D1175" s="703"/>
      <c r="E1175" s="615"/>
      <c r="F1175" s="612"/>
      <c r="G1175" s="586"/>
      <c r="H1175" s="709"/>
      <c r="I1175" s="546"/>
      <c r="J1175" s="710"/>
      <c r="K1175" s="563" t="str">
        <f>IF(G1175&lt;&gt;0,VLOOKUP(G1175,'gia dat'!$A$1:$F$144,5,0)," ")</f>
        <v xml:space="preserve"> </v>
      </c>
      <c r="L1175" s="563" t="str">
        <f>IF(G1175&lt;&gt;0,VLOOKUP(G1175,'gia dat'!$A$1:$F$144,6,0)," ")</f>
        <v xml:space="preserve"> </v>
      </c>
      <c r="M1175" s="564" t="str">
        <f t="shared" si="243"/>
        <v xml:space="preserve"> </v>
      </c>
      <c r="N1175" s="564" t="str">
        <f t="shared" si="244"/>
        <v xml:space="preserve"> </v>
      </c>
      <c r="O1175" s="586"/>
      <c r="P1175" s="714"/>
      <c r="Q1175" s="564" t="str">
        <f>IF(O1175&lt;&gt;0,VLOOKUP(O1175,'Cây trong'!$A$2:$C$246,3,0)," ")</f>
        <v xml:space="preserve"> </v>
      </c>
      <c r="R1175" s="564" t="str">
        <f t="shared" si="245"/>
        <v xml:space="preserve"> </v>
      </c>
      <c r="S1175" s="586"/>
      <c r="T1175" s="609"/>
      <c r="U1175" s="710"/>
      <c r="V1175" s="593"/>
      <c r="W1175" s="564" t="str">
        <f>IF(S1175&lt;&gt;0,VLOOKUP(S1175,VKT!$A$2:$G$415,7,0),"")</f>
        <v/>
      </c>
      <c r="X1175" s="564" t="str">
        <f t="shared" si="240"/>
        <v xml:space="preserve"> </v>
      </c>
      <c r="Y1175" s="683"/>
      <c r="Z1175" s="683"/>
      <c r="AA1175" s="683"/>
      <c r="AB1175" s="694"/>
      <c r="AC1175" s="683"/>
      <c r="AD1175" s="683"/>
      <c r="AE1175" s="683"/>
      <c r="AF1175" s="590"/>
      <c r="AG1175" s="570" t="str">
        <f>IF(AE1175&lt;&gt;0,VLOOKUP(AE1175,ODDS!$A$2:$C$13,3,0),"")</f>
        <v/>
      </c>
      <c r="AH1175" s="570" t="str">
        <f t="shared" si="246"/>
        <v xml:space="preserve"> </v>
      </c>
      <c r="AI1175" s="571" t="str">
        <f t="shared" si="252"/>
        <v xml:space="preserve"> </v>
      </c>
      <c r="AJ1175" s="593"/>
      <c r="AK1175" s="593"/>
    </row>
    <row r="1176" spans="1:37" s="385" customFormat="1" ht="20.25" outlineLevel="1" x14ac:dyDescent="0.25">
      <c r="A1176" s="467" t="s">
        <v>2618</v>
      </c>
      <c r="B1176" s="576">
        <v>92</v>
      </c>
      <c r="C1176" s="607" t="s">
        <v>873</v>
      </c>
      <c r="D1176" s="705"/>
      <c r="E1176" s="705"/>
      <c r="F1176" s="706"/>
      <c r="G1176" s="578"/>
      <c r="H1176" s="707">
        <f>SUBTOTAL(9,H1177:H1185)</f>
        <v>839.4</v>
      </c>
      <c r="I1176" s="579">
        <f>SUBTOTAL(9,I1177:I1182)</f>
        <v>839.4</v>
      </c>
      <c r="J1176" s="708"/>
      <c r="K1176" s="581"/>
      <c r="L1176" s="581"/>
      <c r="M1176" s="571">
        <f>SUBTOTAL(9,M1177:M1185)</f>
        <v>390825000</v>
      </c>
      <c r="N1176" s="571">
        <f>SUBTOTAL(9,N1177:N1185)</f>
        <v>1172474000</v>
      </c>
      <c r="O1176" s="578"/>
      <c r="P1176" s="712">
        <f>SUBTOTAL(9,P1177:P1185)</f>
        <v>0</v>
      </c>
      <c r="Q1176" s="571"/>
      <c r="R1176" s="571">
        <f>SUBTOTAL(9,R1177:R1185)</f>
        <v>0</v>
      </c>
      <c r="S1176" s="578"/>
      <c r="T1176" s="621"/>
      <c r="U1176" s="708">
        <f>SUBTOTAL(9,U1177:U1185)</f>
        <v>0</v>
      </c>
      <c r="V1176" s="608"/>
      <c r="W1176" s="571"/>
      <c r="X1176" s="571">
        <f>SUBTOTAL(9,X1177:X1185)</f>
        <v>0</v>
      </c>
      <c r="Y1176" s="683"/>
      <c r="Z1176" s="683"/>
      <c r="AA1176" s="683"/>
      <c r="AB1176" s="694"/>
      <c r="AC1176" s="683"/>
      <c r="AD1176" s="683"/>
      <c r="AE1176" s="650"/>
      <c r="AF1176" s="599">
        <f>SUBTOTAL(9,AF1177:AF1185)</f>
        <v>0</v>
      </c>
      <c r="AG1176" s="585"/>
      <c r="AH1176" s="585">
        <f>SUBTOTAL(9,AH1177:AH1185)</f>
        <v>0</v>
      </c>
      <c r="AI1176" s="571">
        <f t="shared" si="252"/>
        <v>1563299000</v>
      </c>
      <c r="AJ1176" s="574"/>
      <c r="AK1176" s="578"/>
    </row>
    <row r="1177" spans="1:37" s="385" customFormat="1" ht="121.5" outlineLevel="2" x14ac:dyDescent="0.3">
      <c r="A1177" s="447">
        <f>IF(B1176&lt;&gt;0,B1176,A1175)</f>
        <v>92</v>
      </c>
      <c r="B1177" s="557"/>
      <c r="C1177" s="558" t="s">
        <v>876</v>
      </c>
      <c r="D1177" s="615">
        <v>4</v>
      </c>
      <c r="E1177" s="615">
        <v>86</v>
      </c>
      <c r="F1177" s="700">
        <v>194</v>
      </c>
      <c r="G1177" s="718" t="s">
        <v>2864</v>
      </c>
      <c r="H1177" s="709">
        <v>839.4</v>
      </c>
      <c r="I1177" s="546">
        <f t="shared" ref="I1177" si="256">IF(N1177&gt;0,H1177,"")</f>
        <v>839.4</v>
      </c>
      <c r="J1177" s="710"/>
      <c r="K1177" s="563">
        <f>IF(G1177&lt;&gt;0,VLOOKUP(G1177,'gia dat'!$A$1:$F$144,5,0)," ")</f>
        <v>465600</v>
      </c>
      <c r="L1177" s="563">
        <f>IF(G1177&lt;&gt;0,VLOOKUP(G1177,'gia dat'!$A$1:$F$144,6,0)," ")</f>
        <v>1396800</v>
      </c>
      <c r="M1177" s="564">
        <f t="shared" si="243"/>
        <v>390825000</v>
      </c>
      <c r="N1177" s="564">
        <f t="shared" si="244"/>
        <v>1172474000</v>
      </c>
      <c r="O1177" s="586"/>
      <c r="P1177" s="714"/>
      <c r="Q1177" s="564" t="str">
        <f>IF(O1177&lt;&gt;0,VLOOKUP(O1177,'Cây trong'!$A$2:$C$246,3,0)," ")</f>
        <v xml:space="preserve"> </v>
      </c>
      <c r="R1177" s="564" t="str">
        <f t="shared" si="245"/>
        <v xml:space="preserve"> </v>
      </c>
      <c r="S1177" s="586"/>
      <c r="T1177" s="609"/>
      <c r="U1177" s="710"/>
      <c r="V1177" s="593"/>
      <c r="W1177" s="564" t="str">
        <f>IF(S1177&lt;&gt;0,VLOOKUP(S1177,VKT!$A$2:$G$415,7,0),"")</f>
        <v/>
      </c>
      <c r="X1177" s="564" t="str">
        <f t="shared" si="240"/>
        <v xml:space="preserve"> </v>
      </c>
      <c r="Y1177" s="683"/>
      <c r="Z1177" s="683"/>
      <c r="AA1177" s="683"/>
      <c r="AB1177" s="694"/>
      <c r="AC1177" s="683"/>
      <c r="AD1177" s="683"/>
      <c r="AE1177" s="683"/>
      <c r="AF1177" s="590"/>
      <c r="AG1177" s="570" t="str">
        <f>IF(AE1177&lt;&gt;0,VLOOKUP(AE1177,ODDS!$A$2:$C$13,3,0),"")</f>
        <v/>
      </c>
      <c r="AH1177" s="570"/>
      <c r="AI1177" s="571" t="str">
        <f t="shared" si="252"/>
        <v xml:space="preserve"> </v>
      </c>
      <c r="AJ1177" s="558" t="s">
        <v>875</v>
      </c>
      <c r="AK1177" s="586" t="s">
        <v>2771</v>
      </c>
    </row>
    <row r="1178" spans="1:37" s="385" customFormat="1" ht="101.25" outlineLevel="2" x14ac:dyDescent="0.3">
      <c r="A1178" s="447">
        <f t="shared" ref="A1178:A1185" si="257">IF(B1177&lt;&gt;0,B1177,A1177)</f>
        <v>92</v>
      </c>
      <c r="B1178" s="557"/>
      <c r="C1178" s="586" t="s">
        <v>879</v>
      </c>
      <c r="D1178" s="615"/>
      <c r="E1178" s="615"/>
      <c r="F1178" s="700"/>
      <c r="G1178" s="586"/>
      <c r="H1178" s="709"/>
      <c r="I1178" s="546"/>
      <c r="J1178" s="710"/>
      <c r="K1178" s="563" t="str">
        <f>IF(G1178&lt;&gt;0,VLOOKUP(G1178,'gia dat'!$A$1:$F$144,5,0)," ")</f>
        <v xml:space="preserve"> </v>
      </c>
      <c r="L1178" s="563" t="str">
        <f>IF(G1178&lt;&gt;0,VLOOKUP(G1178,'gia dat'!$A$1:$F$144,6,0)," ")</f>
        <v xml:space="preserve"> </v>
      </c>
      <c r="M1178" s="564" t="str">
        <f t="shared" si="243"/>
        <v xml:space="preserve"> </v>
      </c>
      <c r="N1178" s="564" t="str">
        <f t="shared" si="244"/>
        <v xml:space="preserve"> </v>
      </c>
      <c r="O1178" s="586"/>
      <c r="P1178" s="714"/>
      <c r="Q1178" s="564" t="str">
        <f>IF(O1178&lt;&gt;0,VLOOKUP(O1178,'Cây trong'!$A$2:$C$246,3,0)," ")</f>
        <v xml:space="preserve"> </v>
      </c>
      <c r="R1178" s="564" t="str">
        <f t="shared" si="245"/>
        <v xml:space="preserve"> </v>
      </c>
      <c r="S1178" s="586"/>
      <c r="T1178" s="609"/>
      <c r="U1178" s="710"/>
      <c r="V1178" s="593"/>
      <c r="W1178" s="564" t="str">
        <f>IF(S1178&lt;&gt;0,VLOOKUP(S1178,VKT!$A$2:$G$415,7,0),"")</f>
        <v/>
      </c>
      <c r="X1178" s="564" t="str">
        <f t="shared" ref="X1178:X1248" si="258">IF(S1178&lt;&gt;0,ROUND(U1178*W1178,-3)," ")</f>
        <v xml:space="preserve"> </v>
      </c>
      <c r="Y1178" s="683"/>
      <c r="Z1178" s="683"/>
      <c r="AA1178" s="683"/>
      <c r="AB1178" s="694"/>
      <c r="AC1178" s="683"/>
      <c r="AD1178" s="683"/>
      <c r="AE1178" s="683"/>
      <c r="AF1178" s="590"/>
      <c r="AG1178" s="570" t="str">
        <f>IF(AE1178&lt;&gt;0,VLOOKUP(AE1178,ODDS!$A$2:$C$13,3,0),"")</f>
        <v/>
      </c>
      <c r="AH1178" s="570" t="str">
        <f t="shared" si="246"/>
        <v xml:space="preserve"> </v>
      </c>
      <c r="AI1178" s="571" t="str">
        <f t="shared" si="252"/>
        <v xml:space="preserve"> </v>
      </c>
      <c r="AJ1178" s="558" t="s">
        <v>2816</v>
      </c>
      <c r="AK1178" s="566"/>
    </row>
    <row r="1179" spans="1:37" s="385" customFormat="1" ht="20.25" outlineLevel="2" x14ac:dyDescent="0.3">
      <c r="A1179" s="447">
        <f t="shared" si="257"/>
        <v>92</v>
      </c>
      <c r="B1179" s="557"/>
      <c r="C1179" s="586"/>
      <c r="D1179" s="615"/>
      <c r="E1179" s="615"/>
      <c r="F1179" s="700"/>
      <c r="G1179" s="586"/>
      <c r="H1179" s="709"/>
      <c r="I1179" s="546"/>
      <c r="J1179" s="710"/>
      <c r="K1179" s="563" t="str">
        <f>IF(G1179&lt;&gt;0,VLOOKUP(G1179,'gia dat'!$A$1:$F$144,5,0)," ")</f>
        <v xml:space="preserve"> </v>
      </c>
      <c r="L1179" s="563" t="str">
        <f>IF(G1179&lt;&gt;0,VLOOKUP(G1179,'gia dat'!$A$1:$F$144,6,0)," ")</f>
        <v xml:space="preserve"> </v>
      </c>
      <c r="M1179" s="564" t="str">
        <f t="shared" si="243"/>
        <v xml:space="preserve"> </v>
      </c>
      <c r="N1179" s="564" t="str">
        <f t="shared" si="244"/>
        <v xml:space="preserve"> </v>
      </c>
      <c r="O1179" s="586"/>
      <c r="P1179" s="714"/>
      <c r="Q1179" s="564" t="str">
        <f>IF(O1179&lt;&gt;0,VLOOKUP(O1179,'Cây trong'!$A$2:$C$246,3,0)," ")</f>
        <v xml:space="preserve"> </v>
      </c>
      <c r="R1179" s="564" t="str">
        <f t="shared" si="245"/>
        <v xml:space="preserve"> </v>
      </c>
      <c r="S1179" s="586"/>
      <c r="T1179" s="609"/>
      <c r="U1179" s="710"/>
      <c r="V1179" s="593"/>
      <c r="W1179" s="564" t="str">
        <f>IF(S1179&lt;&gt;0,VLOOKUP(S1179,VKT!$A$2:$G$415,7,0),"")</f>
        <v/>
      </c>
      <c r="X1179" s="564" t="str">
        <f t="shared" si="258"/>
        <v xml:space="preserve"> </v>
      </c>
      <c r="Y1179" s="683"/>
      <c r="Z1179" s="683"/>
      <c r="AA1179" s="683"/>
      <c r="AB1179" s="694"/>
      <c r="AC1179" s="683"/>
      <c r="AD1179" s="683"/>
      <c r="AE1179" s="683"/>
      <c r="AF1179" s="590"/>
      <c r="AG1179" s="570" t="str">
        <f>IF(AE1179&lt;&gt;0,VLOOKUP(AE1179,ODDS!$A$2:$C$13,3,0),"")</f>
        <v/>
      </c>
      <c r="AH1179" s="570" t="str">
        <f t="shared" si="246"/>
        <v xml:space="preserve"> </v>
      </c>
      <c r="AI1179" s="571" t="str">
        <f t="shared" si="252"/>
        <v xml:space="preserve"> </v>
      </c>
      <c r="AJ1179" s="593" t="s">
        <v>881</v>
      </c>
      <c r="AK1179" s="566"/>
    </row>
    <row r="1180" spans="1:37" s="385" customFormat="1" ht="60.75" outlineLevel="2" x14ac:dyDescent="0.3">
      <c r="A1180" s="447">
        <f t="shared" si="257"/>
        <v>92</v>
      </c>
      <c r="B1180" s="557"/>
      <c r="C1180" s="558"/>
      <c r="D1180" s="615"/>
      <c r="E1180" s="615"/>
      <c r="F1180" s="700"/>
      <c r="G1180" s="558"/>
      <c r="H1180" s="709"/>
      <c r="I1180" s="546"/>
      <c r="J1180" s="710"/>
      <c r="K1180" s="563" t="str">
        <f>IF(G1180&lt;&gt;0,VLOOKUP(G1180,'gia dat'!$A$1:$F$144,5,0)," ")</f>
        <v xml:space="preserve"> </v>
      </c>
      <c r="L1180" s="563" t="str">
        <f>IF(G1180&lt;&gt;0,VLOOKUP(G1180,'gia dat'!$A$1:$F$144,6,0)," ")</f>
        <v xml:space="preserve"> </v>
      </c>
      <c r="M1180" s="564" t="str">
        <f t="shared" si="243"/>
        <v xml:space="preserve"> </v>
      </c>
      <c r="N1180" s="564" t="str">
        <f t="shared" si="244"/>
        <v xml:space="preserve"> </v>
      </c>
      <c r="O1180" s="586"/>
      <c r="P1180" s="714"/>
      <c r="Q1180" s="564" t="str">
        <f>IF(O1180&lt;&gt;0,VLOOKUP(O1180,'Cây trong'!$A$2:$C$246,3,0)," ")</f>
        <v xml:space="preserve"> </v>
      </c>
      <c r="R1180" s="564" t="str">
        <f t="shared" si="245"/>
        <v xml:space="preserve"> </v>
      </c>
      <c r="S1180" s="586"/>
      <c r="T1180" s="609"/>
      <c r="U1180" s="710"/>
      <c r="V1180" s="593"/>
      <c r="W1180" s="564" t="str">
        <f>IF(S1180&lt;&gt;0,VLOOKUP(S1180,VKT!$A$2:$G$415,7,0),"")</f>
        <v/>
      </c>
      <c r="X1180" s="564" t="str">
        <f t="shared" si="258"/>
        <v xml:space="preserve"> </v>
      </c>
      <c r="Y1180" s="683"/>
      <c r="Z1180" s="683"/>
      <c r="AA1180" s="683"/>
      <c r="AB1180" s="694"/>
      <c r="AC1180" s="683"/>
      <c r="AD1180" s="683"/>
      <c r="AE1180" s="683"/>
      <c r="AF1180" s="590"/>
      <c r="AG1180" s="570" t="str">
        <f>IF(AE1180&lt;&gt;0,VLOOKUP(AE1180,ODDS!$A$2:$C$13,3,0),"")</f>
        <v/>
      </c>
      <c r="AH1180" s="570" t="str">
        <f t="shared" si="246"/>
        <v xml:space="preserve"> </v>
      </c>
      <c r="AI1180" s="571" t="str">
        <f t="shared" si="252"/>
        <v xml:space="preserve"> </v>
      </c>
      <c r="AJ1180" s="558" t="s">
        <v>2074</v>
      </c>
      <c r="AK1180" s="593"/>
    </row>
    <row r="1181" spans="1:37" s="385" customFormat="1" ht="20.25" outlineLevel="2" x14ac:dyDescent="0.3">
      <c r="A1181" s="447">
        <f t="shared" si="257"/>
        <v>92</v>
      </c>
      <c r="B1181" s="557"/>
      <c r="C1181" s="558"/>
      <c r="D1181" s="615"/>
      <c r="E1181" s="615"/>
      <c r="F1181" s="700"/>
      <c r="G1181" s="558"/>
      <c r="H1181" s="709"/>
      <c r="I1181" s="546"/>
      <c r="J1181" s="710"/>
      <c r="K1181" s="563" t="str">
        <f>IF(G1181&lt;&gt;0,VLOOKUP(G1181,'gia dat'!$A$1:$F$144,5,0)," ")</f>
        <v xml:space="preserve"> </v>
      </c>
      <c r="L1181" s="563" t="str">
        <f>IF(G1181&lt;&gt;0,VLOOKUP(G1181,'gia dat'!$A$1:$F$144,6,0)," ")</f>
        <v xml:space="preserve"> </v>
      </c>
      <c r="M1181" s="564" t="str">
        <f t="shared" si="243"/>
        <v xml:space="preserve"> </v>
      </c>
      <c r="N1181" s="564" t="str">
        <f t="shared" si="244"/>
        <v xml:space="preserve"> </v>
      </c>
      <c r="O1181" s="586"/>
      <c r="P1181" s="714"/>
      <c r="Q1181" s="564" t="str">
        <f>IF(O1181&lt;&gt;0,VLOOKUP(O1181,'Cây trong'!$A$2:$C$246,3,0)," ")</f>
        <v xml:space="preserve"> </v>
      </c>
      <c r="R1181" s="564" t="str">
        <f t="shared" si="245"/>
        <v xml:space="preserve"> </v>
      </c>
      <c r="S1181" s="586"/>
      <c r="T1181" s="609"/>
      <c r="U1181" s="710"/>
      <c r="V1181" s="593"/>
      <c r="W1181" s="564" t="str">
        <f>IF(S1181&lt;&gt;0,VLOOKUP(S1181,VKT!$A$2:$G$415,7,0),"")</f>
        <v/>
      </c>
      <c r="X1181" s="564" t="str">
        <f t="shared" si="258"/>
        <v xml:space="preserve"> </v>
      </c>
      <c r="Y1181" s="683"/>
      <c r="Z1181" s="683"/>
      <c r="AA1181" s="683"/>
      <c r="AB1181" s="694"/>
      <c r="AC1181" s="683"/>
      <c r="AD1181" s="683"/>
      <c r="AE1181" s="683"/>
      <c r="AF1181" s="590"/>
      <c r="AG1181" s="570" t="str">
        <f>IF(AE1181&lt;&gt;0,VLOOKUP(AE1181,ODDS!$A$2:$C$13,3,0),"")</f>
        <v/>
      </c>
      <c r="AH1181" s="570" t="str">
        <f t="shared" si="246"/>
        <v xml:space="preserve"> </v>
      </c>
      <c r="AI1181" s="571" t="str">
        <f t="shared" si="252"/>
        <v xml:space="preserve"> </v>
      </c>
      <c r="AJ1181" s="704"/>
      <c r="AK1181" s="593"/>
    </row>
    <row r="1182" spans="1:37" s="385" customFormat="1" ht="20.25" outlineLevel="2" x14ac:dyDescent="0.3">
      <c r="A1182" s="447">
        <f t="shared" si="257"/>
        <v>92</v>
      </c>
      <c r="B1182" s="557"/>
      <c r="C1182" s="558"/>
      <c r="D1182" s="615"/>
      <c r="E1182" s="615"/>
      <c r="F1182" s="700"/>
      <c r="G1182" s="558"/>
      <c r="H1182" s="709"/>
      <c r="I1182" s="546"/>
      <c r="J1182" s="710"/>
      <c r="K1182" s="563" t="str">
        <f>IF(G1182&lt;&gt;0,VLOOKUP(G1182,'gia dat'!$A$1:$F$144,5,0)," ")</f>
        <v xml:space="preserve"> </v>
      </c>
      <c r="L1182" s="563" t="str">
        <f>IF(G1182&lt;&gt;0,VLOOKUP(G1182,'gia dat'!$A$1:$F$144,6,0)," ")</f>
        <v xml:space="preserve"> </v>
      </c>
      <c r="M1182" s="564" t="str">
        <f t="shared" si="243"/>
        <v xml:space="preserve"> </v>
      </c>
      <c r="N1182" s="564" t="str">
        <f t="shared" si="244"/>
        <v xml:space="preserve"> </v>
      </c>
      <c r="O1182" s="586"/>
      <c r="P1182" s="714"/>
      <c r="Q1182" s="564" t="str">
        <f>IF(O1182&lt;&gt;0,VLOOKUP(O1182,'Cây trong'!$A$2:$C$246,3,0)," ")</f>
        <v xml:space="preserve"> </v>
      </c>
      <c r="R1182" s="564" t="str">
        <f t="shared" si="245"/>
        <v xml:space="preserve"> </v>
      </c>
      <c r="S1182" s="586"/>
      <c r="T1182" s="609"/>
      <c r="U1182" s="710"/>
      <c r="V1182" s="593"/>
      <c r="W1182" s="564" t="str">
        <f>IF(S1182&lt;&gt;0,VLOOKUP(S1182,VKT!$A$2:$G$415,7,0),"")</f>
        <v/>
      </c>
      <c r="X1182" s="564" t="str">
        <f t="shared" si="258"/>
        <v xml:space="preserve"> </v>
      </c>
      <c r="Y1182" s="683"/>
      <c r="Z1182" s="683"/>
      <c r="AA1182" s="683"/>
      <c r="AB1182" s="694"/>
      <c r="AC1182" s="683"/>
      <c r="AD1182" s="683"/>
      <c r="AE1182" s="683"/>
      <c r="AF1182" s="590"/>
      <c r="AG1182" s="570" t="str">
        <f>IF(AE1182&lt;&gt;0,VLOOKUP(AE1182,ODDS!$A$2:$C$13,3,0),"")</f>
        <v/>
      </c>
      <c r="AH1182" s="570" t="str">
        <f t="shared" si="246"/>
        <v xml:space="preserve"> </v>
      </c>
      <c r="AI1182" s="571" t="str">
        <f t="shared" si="252"/>
        <v xml:space="preserve"> </v>
      </c>
      <c r="AJ1182" s="586"/>
      <c r="AK1182" s="593"/>
    </row>
    <row r="1183" spans="1:37" s="385" customFormat="1" ht="20.25" outlineLevel="2" x14ac:dyDescent="0.3">
      <c r="A1183" s="447">
        <f t="shared" si="257"/>
        <v>92</v>
      </c>
      <c r="B1183" s="557"/>
      <c r="C1183" s="558"/>
      <c r="D1183" s="615"/>
      <c r="E1183" s="615"/>
      <c r="F1183" s="700"/>
      <c r="G1183" s="558"/>
      <c r="H1183" s="709"/>
      <c r="I1183" s="546"/>
      <c r="J1183" s="710"/>
      <c r="K1183" s="563" t="str">
        <f>IF(G1183&lt;&gt;0,VLOOKUP(G1183,'gia dat'!$A$1:$F$144,5,0)," ")</f>
        <v xml:space="preserve"> </v>
      </c>
      <c r="L1183" s="563" t="str">
        <f>IF(G1183&lt;&gt;0,VLOOKUP(G1183,'gia dat'!$A$1:$F$144,6,0)," ")</f>
        <v xml:space="preserve"> </v>
      </c>
      <c r="M1183" s="564" t="str">
        <f t="shared" si="243"/>
        <v xml:space="preserve"> </v>
      </c>
      <c r="N1183" s="564" t="str">
        <f t="shared" si="244"/>
        <v xml:space="preserve"> </v>
      </c>
      <c r="O1183" s="586"/>
      <c r="P1183" s="714"/>
      <c r="Q1183" s="564" t="str">
        <f>IF(O1183&lt;&gt;0,VLOOKUP(O1183,'Cây trong'!$A$2:$C$246,3,0)," ")</f>
        <v xml:space="preserve"> </v>
      </c>
      <c r="R1183" s="564" t="str">
        <f t="shared" si="245"/>
        <v xml:space="preserve"> </v>
      </c>
      <c r="S1183" s="586"/>
      <c r="T1183" s="609"/>
      <c r="U1183" s="710"/>
      <c r="V1183" s="593"/>
      <c r="W1183" s="564" t="str">
        <f>IF(S1183&lt;&gt;0,VLOOKUP(S1183,VKT!$A$2:$G$415,7,0),"")</f>
        <v/>
      </c>
      <c r="X1183" s="564" t="str">
        <f t="shared" si="258"/>
        <v xml:space="preserve"> </v>
      </c>
      <c r="Y1183" s="683"/>
      <c r="Z1183" s="683"/>
      <c r="AA1183" s="683"/>
      <c r="AB1183" s="694"/>
      <c r="AC1183" s="683"/>
      <c r="AD1183" s="683"/>
      <c r="AE1183" s="683"/>
      <c r="AF1183" s="590"/>
      <c r="AG1183" s="570" t="str">
        <f>IF(AE1183&lt;&gt;0,VLOOKUP(AE1183,ODDS!$A$2:$C$13,3,0),"")</f>
        <v/>
      </c>
      <c r="AH1183" s="570" t="str">
        <f t="shared" si="246"/>
        <v xml:space="preserve"> </v>
      </c>
      <c r="AI1183" s="571" t="str">
        <f t="shared" si="252"/>
        <v xml:space="preserve"> </v>
      </c>
      <c r="AJ1183" s="704"/>
      <c r="AK1183" s="593"/>
    </row>
    <row r="1184" spans="1:37" s="385" customFormat="1" ht="20.25" outlineLevel="2" x14ac:dyDescent="0.3">
      <c r="A1184" s="447">
        <f t="shared" si="257"/>
        <v>92</v>
      </c>
      <c r="B1184" s="557"/>
      <c r="C1184" s="558"/>
      <c r="D1184" s="615"/>
      <c r="E1184" s="615"/>
      <c r="F1184" s="700"/>
      <c r="G1184" s="558"/>
      <c r="H1184" s="709"/>
      <c r="I1184" s="546"/>
      <c r="J1184" s="710"/>
      <c r="K1184" s="563" t="str">
        <f>IF(G1184&lt;&gt;0,VLOOKUP(G1184,'gia dat'!$A$1:$F$144,5,0)," ")</f>
        <v xml:space="preserve"> </v>
      </c>
      <c r="L1184" s="563" t="str">
        <f>IF(G1184&lt;&gt;0,VLOOKUP(G1184,'gia dat'!$A$1:$F$144,6,0)," ")</f>
        <v xml:space="preserve"> </v>
      </c>
      <c r="M1184" s="564" t="str">
        <f t="shared" si="243"/>
        <v xml:space="preserve"> </v>
      </c>
      <c r="N1184" s="564" t="str">
        <f t="shared" si="244"/>
        <v xml:space="preserve"> </v>
      </c>
      <c r="O1184" s="586"/>
      <c r="P1184" s="714"/>
      <c r="Q1184" s="564" t="str">
        <f>IF(O1184&lt;&gt;0,VLOOKUP(O1184,'Cây trong'!$A$2:$C$246,3,0)," ")</f>
        <v xml:space="preserve"> </v>
      </c>
      <c r="R1184" s="564" t="str">
        <f t="shared" si="245"/>
        <v xml:space="preserve"> </v>
      </c>
      <c r="S1184" s="586"/>
      <c r="T1184" s="609"/>
      <c r="U1184" s="710"/>
      <c r="V1184" s="593"/>
      <c r="W1184" s="564" t="str">
        <f>IF(S1184&lt;&gt;0,VLOOKUP(S1184,VKT!$A$2:$G$415,7,0),"")</f>
        <v/>
      </c>
      <c r="X1184" s="564" t="str">
        <f t="shared" si="258"/>
        <v xml:space="preserve"> </v>
      </c>
      <c r="Y1184" s="683"/>
      <c r="Z1184" s="683"/>
      <c r="AA1184" s="683"/>
      <c r="AB1184" s="694"/>
      <c r="AC1184" s="683"/>
      <c r="AD1184" s="683"/>
      <c r="AE1184" s="683"/>
      <c r="AF1184" s="590"/>
      <c r="AG1184" s="570" t="str">
        <f>IF(AE1184&lt;&gt;0,VLOOKUP(AE1184,ODDS!$A$2:$C$13,3,0),"")</f>
        <v/>
      </c>
      <c r="AH1184" s="570" t="str">
        <f t="shared" si="246"/>
        <v xml:space="preserve"> </v>
      </c>
      <c r="AI1184" s="571" t="str">
        <f t="shared" si="252"/>
        <v xml:space="preserve"> </v>
      </c>
      <c r="AJ1184" s="558"/>
      <c r="AK1184" s="593"/>
    </row>
    <row r="1185" spans="1:37" s="385" customFormat="1" ht="20.25" outlineLevel="2" x14ac:dyDescent="0.3">
      <c r="A1185" s="447">
        <f t="shared" si="257"/>
        <v>92</v>
      </c>
      <c r="B1185" s="557"/>
      <c r="C1185" s="574"/>
      <c r="D1185" s="615"/>
      <c r="E1185" s="615"/>
      <c r="F1185" s="700"/>
      <c r="G1185" s="558"/>
      <c r="H1185" s="709"/>
      <c r="I1185" s="546"/>
      <c r="J1185" s="710"/>
      <c r="K1185" s="563" t="str">
        <f>IF(G1185&lt;&gt;0,VLOOKUP(G1185,'gia dat'!$A$1:$F$144,5,0)," ")</f>
        <v xml:space="preserve"> </v>
      </c>
      <c r="L1185" s="563" t="str">
        <f>IF(G1185&lt;&gt;0,VLOOKUP(G1185,'gia dat'!$A$1:$F$144,6,0)," ")</f>
        <v xml:space="preserve"> </v>
      </c>
      <c r="M1185" s="564" t="str">
        <f t="shared" si="243"/>
        <v xml:space="preserve"> </v>
      </c>
      <c r="N1185" s="564" t="str">
        <f t="shared" si="244"/>
        <v xml:space="preserve"> </v>
      </c>
      <c r="O1185" s="586"/>
      <c r="P1185" s="714"/>
      <c r="Q1185" s="564" t="str">
        <f>IF(O1185&lt;&gt;0,VLOOKUP(O1185,'Cây trong'!$A$2:$C$246,3,0)," ")</f>
        <v xml:space="preserve"> </v>
      </c>
      <c r="R1185" s="564" t="str">
        <f t="shared" si="245"/>
        <v xml:space="preserve"> </v>
      </c>
      <c r="S1185" s="586"/>
      <c r="T1185" s="609"/>
      <c r="U1185" s="710"/>
      <c r="V1185" s="593"/>
      <c r="W1185" s="564" t="str">
        <f>IF(S1185&lt;&gt;0,VLOOKUP(S1185,VKT!$A$2:$G$415,7,0),"")</f>
        <v/>
      </c>
      <c r="X1185" s="564" t="str">
        <f t="shared" si="258"/>
        <v xml:space="preserve"> </v>
      </c>
      <c r="Y1185" s="683"/>
      <c r="Z1185" s="683"/>
      <c r="AA1185" s="683"/>
      <c r="AB1185" s="694"/>
      <c r="AC1185" s="683"/>
      <c r="AD1185" s="683"/>
      <c r="AE1185" s="683"/>
      <c r="AF1185" s="590"/>
      <c r="AG1185" s="570" t="str">
        <f>IF(AE1185&lt;&gt;0,VLOOKUP(AE1185,ODDS!$A$2:$C$13,3,0),"")</f>
        <v/>
      </c>
      <c r="AH1185" s="570" t="str">
        <f t="shared" si="246"/>
        <v xml:space="preserve"> </v>
      </c>
      <c r="AI1185" s="571" t="str">
        <f t="shared" si="252"/>
        <v xml:space="preserve"> </v>
      </c>
      <c r="AJ1185" s="661"/>
      <c r="AK1185" s="593"/>
    </row>
    <row r="1186" spans="1:37" s="385" customFormat="1" ht="40.5" outlineLevel="1" x14ac:dyDescent="0.25">
      <c r="A1186" s="467" t="s">
        <v>2617</v>
      </c>
      <c r="B1186" s="576">
        <v>93</v>
      </c>
      <c r="C1186" s="574" t="s">
        <v>883</v>
      </c>
      <c r="D1186" s="705"/>
      <c r="E1186" s="705"/>
      <c r="F1186" s="706"/>
      <c r="G1186" s="574"/>
      <c r="H1186" s="707">
        <f>SUBTOTAL(9,H1187:H1195)</f>
        <v>419.8</v>
      </c>
      <c r="I1186" s="579">
        <f>SUBTOTAL(9,I1187:I1192)</f>
        <v>0</v>
      </c>
      <c r="J1186" s="597"/>
      <c r="K1186" s="581"/>
      <c r="L1186" s="581"/>
      <c r="M1186" s="571">
        <f>SUBTOTAL(9,M1187:M1195)</f>
        <v>195459000</v>
      </c>
      <c r="N1186" s="571">
        <f>SUBTOTAL(9,N1187:N1195)</f>
        <v>0</v>
      </c>
      <c r="O1186" s="574"/>
      <c r="P1186" s="712">
        <f>SUBTOTAL(9,P1187:P1195)</f>
        <v>0</v>
      </c>
      <c r="Q1186" s="571"/>
      <c r="R1186" s="571">
        <f>SUBTOTAL(9,R1187:R1195)</f>
        <v>0</v>
      </c>
      <c r="S1186" s="582"/>
      <c r="T1186" s="597"/>
      <c r="U1186" s="708">
        <f>SUBTOTAL(9,U1187:U1195)</f>
        <v>0</v>
      </c>
      <c r="V1186" s="608"/>
      <c r="W1186" s="571"/>
      <c r="X1186" s="571">
        <f>SUBTOTAL(9,X1187:X1195)</f>
        <v>0</v>
      </c>
      <c r="Y1186" s="683"/>
      <c r="Z1186" s="683"/>
      <c r="AA1186" s="683"/>
      <c r="AB1186" s="694"/>
      <c r="AC1186" s="683"/>
      <c r="AD1186" s="683"/>
      <c r="AE1186" s="650"/>
      <c r="AF1186" s="599">
        <f>SUBTOTAL(9,AF1187:AF1195)</f>
        <v>0</v>
      </c>
      <c r="AG1186" s="585"/>
      <c r="AH1186" s="585">
        <f>SUBTOTAL(9,AH1187:AH1195)</f>
        <v>0</v>
      </c>
      <c r="AI1186" s="571">
        <f t="shared" si="252"/>
        <v>195459000</v>
      </c>
      <c r="AJ1186" s="574"/>
      <c r="AK1186" s="578"/>
    </row>
    <row r="1187" spans="1:37" s="385" customFormat="1" ht="121.5" outlineLevel="2" x14ac:dyDescent="0.3">
      <c r="A1187" s="447">
        <f>IF(B1186&lt;&gt;0,B1186,A1185)</f>
        <v>93</v>
      </c>
      <c r="B1187" s="557"/>
      <c r="C1187" s="572" t="s">
        <v>886</v>
      </c>
      <c r="D1187" s="615">
        <v>4</v>
      </c>
      <c r="E1187" s="615">
        <v>86</v>
      </c>
      <c r="F1187" s="700">
        <v>195</v>
      </c>
      <c r="G1187" s="558" t="s">
        <v>2862</v>
      </c>
      <c r="H1187" s="709">
        <v>419.8</v>
      </c>
      <c r="I1187" s="546" t="str">
        <f t="shared" ref="I1187" si="259">IF(N1187&gt;0,H1187,"")</f>
        <v/>
      </c>
      <c r="J1187" s="589"/>
      <c r="K1187" s="563">
        <f>IF(G1187&lt;&gt;0,VLOOKUP(G1187,'gia dat'!$A$1:$F$144,5,0)," ")</f>
        <v>465600</v>
      </c>
      <c r="L1187" s="563">
        <f>IF(G1187&lt;&gt;0,VLOOKUP(G1187,'gia dat'!$A$1:$F$144,6,0)," ")</f>
        <v>0</v>
      </c>
      <c r="M1187" s="564">
        <f t="shared" si="243"/>
        <v>195459000</v>
      </c>
      <c r="N1187" s="564">
        <f t="shared" si="244"/>
        <v>0</v>
      </c>
      <c r="O1187" s="558"/>
      <c r="P1187" s="714"/>
      <c r="Q1187" s="564" t="str">
        <f>IF(O1187&lt;&gt;0,VLOOKUP(O1187,'Cây trong'!$A$2:$C$246,3,0)," ")</f>
        <v xml:space="preserve"> </v>
      </c>
      <c r="R1187" s="564" t="str">
        <f t="shared" si="245"/>
        <v xml:space="preserve"> </v>
      </c>
      <c r="S1187" s="566"/>
      <c r="T1187" s="589"/>
      <c r="U1187" s="710"/>
      <c r="V1187" s="593"/>
      <c r="W1187" s="564" t="str">
        <f>IF(S1187&lt;&gt;0,VLOOKUP(S1187,VKT!$A$2:$G$415,7,0),"")</f>
        <v/>
      </c>
      <c r="X1187" s="564" t="str">
        <f t="shared" si="258"/>
        <v xml:space="preserve"> </v>
      </c>
      <c r="Y1187" s="683"/>
      <c r="Z1187" s="683"/>
      <c r="AA1187" s="683"/>
      <c r="AB1187" s="694"/>
      <c r="AC1187" s="683"/>
      <c r="AD1187" s="683"/>
      <c r="AE1187" s="683"/>
      <c r="AF1187" s="590"/>
      <c r="AG1187" s="570" t="str">
        <f>IF(AE1187&lt;&gt;0,VLOOKUP(AE1187,ODDS!$A$2:$C$13,3,0),"")</f>
        <v/>
      </c>
      <c r="AH1187" s="570"/>
      <c r="AI1187" s="571" t="str">
        <f t="shared" si="252"/>
        <v xml:space="preserve"> </v>
      </c>
      <c r="AJ1187" s="558" t="s">
        <v>885</v>
      </c>
      <c r="AK1187" s="586" t="s">
        <v>2771</v>
      </c>
    </row>
    <row r="1188" spans="1:37" s="385" customFormat="1" ht="101.25" outlineLevel="2" x14ac:dyDescent="0.3">
      <c r="A1188" s="447">
        <f t="shared" ref="A1188:A1195" si="260">IF(B1187&lt;&gt;0,B1187,A1187)</f>
        <v>93</v>
      </c>
      <c r="B1188" s="557"/>
      <c r="C1188" s="572" t="s">
        <v>888</v>
      </c>
      <c r="D1188" s="703"/>
      <c r="E1188" s="615"/>
      <c r="F1188" s="700"/>
      <c r="G1188" s="704"/>
      <c r="H1188" s="709"/>
      <c r="I1188" s="546"/>
      <c r="J1188" s="710"/>
      <c r="K1188" s="563" t="str">
        <f>IF(G1188&lt;&gt;0,VLOOKUP(G1188,'gia dat'!$A$1:$F$144,5,0)," ")</f>
        <v xml:space="preserve"> </v>
      </c>
      <c r="L1188" s="563" t="str">
        <f>IF(G1188&lt;&gt;0,VLOOKUP(G1188,'gia dat'!$A$1:$F$144,6,0)," ")</f>
        <v xml:space="preserve"> </v>
      </c>
      <c r="M1188" s="564" t="str">
        <f t="shared" si="243"/>
        <v xml:space="preserve"> </v>
      </c>
      <c r="N1188" s="564" t="str">
        <f t="shared" si="244"/>
        <v xml:space="preserve"> </v>
      </c>
      <c r="O1188" s="586"/>
      <c r="P1188" s="714"/>
      <c r="Q1188" s="564" t="str">
        <f>IF(O1188&lt;&gt;0,VLOOKUP(O1188,'Cây trong'!$A$2:$C$246,3,0)," ")</f>
        <v xml:space="preserve"> </v>
      </c>
      <c r="R1188" s="564" t="str">
        <f t="shared" si="245"/>
        <v xml:space="preserve"> </v>
      </c>
      <c r="S1188" s="661"/>
      <c r="T1188" s="661"/>
      <c r="U1188" s="710"/>
      <c r="V1188" s="593"/>
      <c r="W1188" s="564" t="str">
        <f>IF(S1188&lt;&gt;0,VLOOKUP(S1188,VKT!$A$2:$G$415,7,0),"")</f>
        <v/>
      </c>
      <c r="X1188" s="564" t="str">
        <f t="shared" si="258"/>
        <v xml:space="preserve"> </v>
      </c>
      <c r="Y1188" s="683"/>
      <c r="Z1188" s="683"/>
      <c r="AA1188" s="683"/>
      <c r="AB1188" s="694"/>
      <c r="AC1188" s="683"/>
      <c r="AD1188" s="683"/>
      <c r="AE1188" s="683"/>
      <c r="AF1188" s="590"/>
      <c r="AG1188" s="570" t="str">
        <f>IF(AE1188&lt;&gt;0,VLOOKUP(AE1188,ODDS!$A$2:$C$13,3,0),"")</f>
        <v/>
      </c>
      <c r="AH1188" s="570" t="str">
        <f t="shared" si="246"/>
        <v xml:space="preserve"> </v>
      </c>
      <c r="AI1188" s="571" t="str">
        <f t="shared" si="252"/>
        <v xml:space="preserve"> </v>
      </c>
      <c r="AJ1188" s="558" t="s">
        <v>2817</v>
      </c>
      <c r="AK1188" s="566"/>
    </row>
    <row r="1189" spans="1:37" s="385" customFormat="1" ht="20.25" outlineLevel="2" x14ac:dyDescent="0.3">
      <c r="A1189" s="447">
        <f t="shared" si="260"/>
        <v>93</v>
      </c>
      <c r="B1189" s="557"/>
      <c r="C1189" s="572"/>
      <c r="D1189" s="703"/>
      <c r="E1189" s="615"/>
      <c r="F1189" s="700"/>
      <c r="G1189" s="586"/>
      <c r="H1189" s="709"/>
      <c r="I1189" s="546"/>
      <c r="J1189" s="710"/>
      <c r="K1189" s="563" t="str">
        <f>IF(G1189&lt;&gt;0,VLOOKUP(G1189,'gia dat'!$A$1:$F$144,5,0)," ")</f>
        <v xml:space="preserve"> </v>
      </c>
      <c r="L1189" s="563" t="str">
        <f>IF(G1189&lt;&gt;0,VLOOKUP(G1189,'gia dat'!$A$1:$F$144,6,0)," ")</f>
        <v xml:space="preserve"> </v>
      </c>
      <c r="M1189" s="564" t="str">
        <f t="shared" si="243"/>
        <v xml:space="preserve"> </v>
      </c>
      <c r="N1189" s="564" t="str">
        <f t="shared" si="244"/>
        <v xml:space="preserve"> </v>
      </c>
      <c r="O1189" s="586"/>
      <c r="P1189" s="714"/>
      <c r="Q1189" s="564" t="str">
        <f>IF(O1189&lt;&gt;0,VLOOKUP(O1189,'Cây trong'!$A$2:$C$246,3,0)," ")</f>
        <v xml:space="preserve"> </v>
      </c>
      <c r="R1189" s="564" t="str">
        <f t="shared" si="245"/>
        <v xml:space="preserve"> </v>
      </c>
      <c r="S1189" s="661"/>
      <c r="T1189" s="661"/>
      <c r="U1189" s="710"/>
      <c r="V1189" s="593"/>
      <c r="W1189" s="564" t="str">
        <f>IF(S1189&lt;&gt;0,VLOOKUP(S1189,VKT!$A$2:$G$415,7,0),"")</f>
        <v/>
      </c>
      <c r="X1189" s="564" t="str">
        <f t="shared" si="258"/>
        <v xml:space="preserve"> </v>
      </c>
      <c r="Y1189" s="683"/>
      <c r="Z1189" s="683"/>
      <c r="AA1189" s="683"/>
      <c r="AB1189" s="694"/>
      <c r="AC1189" s="683"/>
      <c r="AD1189" s="683"/>
      <c r="AE1189" s="683"/>
      <c r="AF1189" s="590"/>
      <c r="AG1189" s="570" t="str">
        <f>IF(AE1189&lt;&gt;0,VLOOKUP(AE1189,ODDS!$A$2:$C$13,3,0),"")</f>
        <v/>
      </c>
      <c r="AH1189" s="570" t="str">
        <f t="shared" si="246"/>
        <v xml:space="preserve"> </v>
      </c>
      <c r="AI1189" s="571" t="str">
        <f t="shared" si="252"/>
        <v xml:space="preserve"> </v>
      </c>
      <c r="AJ1189" s="593" t="s">
        <v>889</v>
      </c>
      <c r="AK1189" s="566"/>
    </row>
    <row r="1190" spans="1:37" s="385" customFormat="1" ht="20.25" outlineLevel="2" x14ac:dyDescent="0.3">
      <c r="A1190" s="447">
        <f t="shared" si="260"/>
        <v>93</v>
      </c>
      <c r="B1190" s="557"/>
      <c r="C1190" s="572"/>
      <c r="D1190" s="703"/>
      <c r="E1190" s="615"/>
      <c r="F1190" s="700"/>
      <c r="G1190" s="558"/>
      <c r="H1190" s="709"/>
      <c r="I1190" s="546"/>
      <c r="J1190" s="710"/>
      <c r="K1190" s="563" t="str">
        <f>IF(G1190&lt;&gt;0,VLOOKUP(G1190,'gia dat'!$A$1:$F$144,5,0)," ")</f>
        <v xml:space="preserve"> </v>
      </c>
      <c r="L1190" s="563" t="str">
        <f>IF(G1190&lt;&gt;0,VLOOKUP(G1190,'gia dat'!$A$1:$F$144,6,0)," ")</f>
        <v xml:space="preserve"> </v>
      </c>
      <c r="M1190" s="564" t="str">
        <f t="shared" ref="M1190:M1260" si="261">IF(H1190&lt;&gt;0,ROUND(H1190*K1190,-3)," ")</f>
        <v xml:space="preserve"> </v>
      </c>
      <c r="N1190" s="564" t="str">
        <f t="shared" ref="N1190:N1260" si="262">IF(H1190&lt;&gt;0,ROUND(H1190*L1190,-3)," ")</f>
        <v xml:space="preserve"> </v>
      </c>
      <c r="O1190" s="586"/>
      <c r="P1190" s="714"/>
      <c r="Q1190" s="564" t="str">
        <f>IF(O1190&lt;&gt;0,VLOOKUP(O1190,'Cây trong'!$A$2:$C$246,3,0)," ")</f>
        <v xml:space="preserve"> </v>
      </c>
      <c r="R1190" s="564" t="str">
        <f t="shared" si="245"/>
        <v xml:space="preserve"> </v>
      </c>
      <c r="S1190" s="661"/>
      <c r="T1190" s="661"/>
      <c r="U1190" s="710"/>
      <c r="V1190" s="593"/>
      <c r="W1190" s="564" t="str">
        <f>IF(S1190&lt;&gt;0,VLOOKUP(S1190,VKT!$A$2:$G$415,7,0),"")</f>
        <v/>
      </c>
      <c r="X1190" s="564" t="str">
        <f t="shared" si="258"/>
        <v xml:space="preserve"> </v>
      </c>
      <c r="Y1190" s="683"/>
      <c r="Z1190" s="683"/>
      <c r="AA1190" s="683"/>
      <c r="AB1190" s="694"/>
      <c r="AC1190" s="683"/>
      <c r="AD1190" s="683"/>
      <c r="AE1190" s="683"/>
      <c r="AF1190" s="590"/>
      <c r="AG1190" s="570" t="str">
        <f>IF(AE1190&lt;&gt;0,VLOOKUP(AE1190,ODDS!$A$2:$C$13,3,0),"")</f>
        <v/>
      </c>
      <c r="AH1190" s="570" t="str">
        <f t="shared" si="246"/>
        <v xml:space="preserve"> </v>
      </c>
      <c r="AI1190" s="571" t="str">
        <f t="shared" si="252"/>
        <v xml:space="preserve"> </v>
      </c>
      <c r="AJ1190" s="593" t="s">
        <v>809</v>
      </c>
      <c r="AK1190" s="593"/>
    </row>
    <row r="1191" spans="1:37" s="385" customFormat="1" ht="101.25" outlineLevel="2" x14ac:dyDescent="0.3">
      <c r="A1191" s="447">
        <f t="shared" si="260"/>
        <v>93</v>
      </c>
      <c r="B1191" s="557"/>
      <c r="C1191" s="572"/>
      <c r="D1191" s="703"/>
      <c r="E1191" s="615"/>
      <c r="F1191" s="700"/>
      <c r="G1191" s="558"/>
      <c r="H1191" s="709"/>
      <c r="I1191" s="546"/>
      <c r="J1191" s="710"/>
      <c r="K1191" s="563" t="str">
        <f>IF(G1191&lt;&gt;0,VLOOKUP(G1191,'gia dat'!$A$1:$F$144,5,0)," ")</f>
        <v xml:space="preserve"> </v>
      </c>
      <c r="L1191" s="563" t="str">
        <f>IF(G1191&lt;&gt;0,VLOOKUP(G1191,'gia dat'!$A$1:$F$144,6,0)," ")</f>
        <v xml:space="preserve"> </v>
      </c>
      <c r="M1191" s="564" t="str">
        <f t="shared" si="261"/>
        <v xml:space="preserve"> </v>
      </c>
      <c r="N1191" s="564" t="str">
        <f t="shared" si="262"/>
        <v xml:space="preserve"> </v>
      </c>
      <c r="O1191" s="586"/>
      <c r="P1191" s="714"/>
      <c r="Q1191" s="564" t="str">
        <f>IF(O1191&lt;&gt;0,VLOOKUP(O1191,'Cây trong'!$A$2:$C$246,3,0)," ")</f>
        <v xml:space="preserve"> </v>
      </c>
      <c r="R1191" s="564" t="str">
        <f t="shared" si="245"/>
        <v xml:space="preserve"> </v>
      </c>
      <c r="S1191" s="661"/>
      <c r="T1191" s="661"/>
      <c r="U1191" s="710"/>
      <c r="V1191" s="593"/>
      <c r="W1191" s="564" t="str">
        <f>IF(S1191&lt;&gt;0,VLOOKUP(S1191,VKT!$A$2:$G$415,7,0),"")</f>
        <v/>
      </c>
      <c r="X1191" s="564" t="str">
        <f t="shared" si="258"/>
        <v xml:space="preserve"> </v>
      </c>
      <c r="Y1191" s="683"/>
      <c r="Z1191" s="683"/>
      <c r="AA1191" s="683"/>
      <c r="AB1191" s="694"/>
      <c r="AC1191" s="683"/>
      <c r="AD1191" s="683"/>
      <c r="AE1191" s="683"/>
      <c r="AF1191" s="590"/>
      <c r="AG1191" s="570" t="str">
        <f>IF(AE1191&lt;&gt;0,VLOOKUP(AE1191,ODDS!$A$2:$C$13,3,0),"")</f>
        <v/>
      </c>
      <c r="AH1191" s="570" t="str">
        <f t="shared" si="246"/>
        <v xml:space="preserve"> </v>
      </c>
      <c r="AI1191" s="571" t="str">
        <f t="shared" si="252"/>
        <v xml:space="preserve"> </v>
      </c>
      <c r="AJ1191" s="558" t="s">
        <v>2222</v>
      </c>
      <c r="AK1191" s="593"/>
    </row>
    <row r="1192" spans="1:37" s="385" customFormat="1" ht="20.25" outlineLevel="2" x14ac:dyDescent="0.3">
      <c r="A1192" s="447">
        <f t="shared" si="260"/>
        <v>93</v>
      </c>
      <c r="B1192" s="557"/>
      <c r="C1192" s="572"/>
      <c r="D1192" s="703"/>
      <c r="E1192" s="615"/>
      <c r="F1192" s="700"/>
      <c r="G1192" s="558"/>
      <c r="H1192" s="709"/>
      <c r="I1192" s="546"/>
      <c r="J1192" s="710"/>
      <c r="K1192" s="563" t="str">
        <f>IF(G1192&lt;&gt;0,VLOOKUP(G1192,'gia dat'!$A$1:$F$144,5,0)," ")</f>
        <v xml:space="preserve"> </v>
      </c>
      <c r="L1192" s="563" t="str">
        <f>IF(G1192&lt;&gt;0,VLOOKUP(G1192,'gia dat'!$A$1:$F$144,6,0)," ")</f>
        <v xml:space="preserve"> </v>
      </c>
      <c r="M1192" s="564" t="str">
        <f t="shared" si="261"/>
        <v xml:space="preserve"> </v>
      </c>
      <c r="N1192" s="564" t="str">
        <f t="shared" si="262"/>
        <v xml:space="preserve"> </v>
      </c>
      <c r="O1192" s="586"/>
      <c r="P1192" s="714"/>
      <c r="Q1192" s="564" t="str">
        <f>IF(O1192&lt;&gt;0,VLOOKUP(O1192,'Cây trong'!$A$2:$C$246,3,0)," ")</f>
        <v xml:space="preserve"> </v>
      </c>
      <c r="R1192" s="564" t="str">
        <f t="shared" si="245"/>
        <v xml:space="preserve"> </v>
      </c>
      <c r="S1192" s="661"/>
      <c r="T1192" s="661"/>
      <c r="U1192" s="710"/>
      <c r="V1192" s="593"/>
      <c r="W1192" s="564" t="str">
        <f>IF(S1192&lt;&gt;0,VLOOKUP(S1192,VKT!$A$2:$G$415,7,0),"")</f>
        <v/>
      </c>
      <c r="X1192" s="564" t="str">
        <f t="shared" si="258"/>
        <v xml:space="preserve"> </v>
      </c>
      <c r="Y1192" s="683"/>
      <c r="Z1192" s="683"/>
      <c r="AA1192" s="683"/>
      <c r="AB1192" s="694"/>
      <c r="AC1192" s="683"/>
      <c r="AD1192" s="683"/>
      <c r="AE1192" s="683"/>
      <c r="AF1192" s="590"/>
      <c r="AG1192" s="570" t="str">
        <f>IF(AE1192&lt;&gt;0,VLOOKUP(AE1192,ODDS!$A$2:$C$13,3,0),"")</f>
        <v/>
      </c>
      <c r="AH1192" s="570" t="str">
        <f t="shared" si="246"/>
        <v xml:space="preserve"> </v>
      </c>
      <c r="AI1192" s="571" t="str">
        <f t="shared" si="252"/>
        <v xml:space="preserve"> </v>
      </c>
      <c r="AJ1192" s="586"/>
      <c r="AK1192" s="593"/>
    </row>
    <row r="1193" spans="1:37" s="385" customFormat="1" ht="20.25" outlineLevel="2" x14ac:dyDescent="0.3">
      <c r="A1193" s="447">
        <f t="shared" si="260"/>
        <v>93</v>
      </c>
      <c r="B1193" s="557"/>
      <c r="C1193" s="572"/>
      <c r="D1193" s="703"/>
      <c r="E1193" s="615"/>
      <c r="F1193" s="700"/>
      <c r="G1193" s="558"/>
      <c r="H1193" s="709"/>
      <c r="I1193" s="546"/>
      <c r="J1193" s="710"/>
      <c r="K1193" s="563" t="str">
        <f>IF(G1193&lt;&gt;0,VLOOKUP(G1193,'gia dat'!$A$1:$F$144,5,0)," ")</f>
        <v xml:space="preserve"> </v>
      </c>
      <c r="L1193" s="563" t="str">
        <f>IF(G1193&lt;&gt;0,VLOOKUP(G1193,'gia dat'!$A$1:$F$144,6,0)," ")</f>
        <v xml:space="preserve"> </v>
      </c>
      <c r="M1193" s="564" t="str">
        <f t="shared" si="261"/>
        <v xml:space="preserve"> </v>
      </c>
      <c r="N1193" s="564" t="str">
        <f t="shared" si="262"/>
        <v xml:space="preserve"> </v>
      </c>
      <c r="O1193" s="586"/>
      <c r="P1193" s="714"/>
      <c r="Q1193" s="564" t="str">
        <f>IF(O1193&lt;&gt;0,VLOOKUP(O1193,'Cây trong'!$A$2:$C$246,3,0)," ")</f>
        <v xml:space="preserve"> </v>
      </c>
      <c r="R1193" s="564" t="str">
        <f t="shared" si="245"/>
        <v xml:space="preserve"> </v>
      </c>
      <c r="S1193" s="661"/>
      <c r="T1193" s="661"/>
      <c r="U1193" s="710"/>
      <c r="V1193" s="593"/>
      <c r="W1193" s="564" t="str">
        <f>IF(S1193&lt;&gt;0,VLOOKUP(S1193,VKT!$A$2:$G$415,7,0),"")</f>
        <v/>
      </c>
      <c r="X1193" s="564" t="str">
        <f t="shared" si="258"/>
        <v xml:space="preserve"> </v>
      </c>
      <c r="Y1193" s="683"/>
      <c r="Z1193" s="683"/>
      <c r="AA1193" s="683"/>
      <c r="AB1193" s="694"/>
      <c r="AC1193" s="683"/>
      <c r="AD1193" s="683"/>
      <c r="AE1193" s="683"/>
      <c r="AF1193" s="590"/>
      <c r="AG1193" s="570" t="str">
        <f>IF(AE1193&lt;&gt;0,VLOOKUP(AE1193,ODDS!$A$2:$C$13,3,0),"")</f>
        <v/>
      </c>
      <c r="AH1193" s="570" t="str">
        <f t="shared" si="246"/>
        <v xml:space="preserve"> </v>
      </c>
      <c r="AI1193" s="571" t="str">
        <f t="shared" si="252"/>
        <v xml:space="preserve"> </v>
      </c>
      <c r="AJ1193" s="704"/>
      <c r="AK1193" s="593"/>
    </row>
    <row r="1194" spans="1:37" s="385" customFormat="1" ht="20.25" outlineLevel="2" x14ac:dyDescent="0.3">
      <c r="A1194" s="447">
        <f t="shared" si="260"/>
        <v>93</v>
      </c>
      <c r="B1194" s="557"/>
      <c r="C1194" s="572"/>
      <c r="D1194" s="703"/>
      <c r="E1194" s="615"/>
      <c r="F1194" s="700"/>
      <c r="G1194" s="558"/>
      <c r="H1194" s="709"/>
      <c r="I1194" s="546"/>
      <c r="J1194" s="710"/>
      <c r="K1194" s="563" t="str">
        <f>IF(G1194&lt;&gt;0,VLOOKUP(G1194,'gia dat'!$A$1:$F$144,5,0)," ")</f>
        <v xml:space="preserve"> </v>
      </c>
      <c r="L1194" s="563" t="str">
        <f>IF(G1194&lt;&gt;0,VLOOKUP(G1194,'gia dat'!$A$1:$F$144,6,0)," ")</f>
        <v xml:space="preserve"> </v>
      </c>
      <c r="M1194" s="564" t="str">
        <f t="shared" si="261"/>
        <v xml:space="preserve"> </v>
      </c>
      <c r="N1194" s="564" t="str">
        <f t="shared" si="262"/>
        <v xml:space="preserve"> </v>
      </c>
      <c r="O1194" s="586"/>
      <c r="P1194" s="714"/>
      <c r="Q1194" s="564" t="str">
        <f>IF(O1194&lt;&gt;0,VLOOKUP(O1194,'Cây trong'!$A$2:$C$246,3,0)," ")</f>
        <v xml:space="preserve"> </v>
      </c>
      <c r="R1194" s="564" t="str">
        <f t="shared" si="245"/>
        <v xml:space="preserve"> </v>
      </c>
      <c r="S1194" s="661"/>
      <c r="T1194" s="661"/>
      <c r="U1194" s="710"/>
      <c r="V1194" s="593"/>
      <c r="W1194" s="564" t="str">
        <f>IF(S1194&lt;&gt;0,VLOOKUP(S1194,VKT!$A$2:$G$415,7,0),"")</f>
        <v/>
      </c>
      <c r="X1194" s="564" t="str">
        <f t="shared" si="258"/>
        <v xml:space="preserve"> </v>
      </c>
      <c r="Y1194" s="683"/>
      <c r="Z1194" s="683"/>
      <c r="AA1194" s="683"/>
      <c r="AB1194" s="694"/>
      <c r="AC1194" s="683"/>
      <c r="AD1194" s="683"/>
      <c r="AE1194" s="683"/>
      <c r="AF1194" s="590"/>
      <c r="AG1194" s="570" t="str">
        <f>IF(AE1194&lt;&gt;0,VLOOKUP(AE1194,ODDS!$A$2:$C$13,3,0),"")</f>
        <v/>
      </c>
      <c r="AH1194" s="570" t="str">
        <f t="shared" si="246"/>
        <v xml:space="preserve"> </v>
      </c>
      <c r="AI1194" s="571" t="str">
        <f t="shared" si="252"/>
        <v xml:space="preserve"> </v>
      </c>
      <c r="AJ1194" s="558"/>
      <c r="AK1194" s="593"/>
    </row>
    <row r="1195" spans="1:37" s="385" customFormat="1" ht="20.25" outlineLevel="2" x14ac:dyDescent="0.3">
      <c r="A1195" s="447">
        <f t="shared" si="260"/>
        <v>93</v>
      </c>
      <c r="B1195" s="557"/>
      <c r="C1195" s="607"/>
      <c r="D1195" s="615"/>
      <c r="E1195" s="612"/>
      <c r="F1195" s="612"/>
      <c r="G1195" s="586"/>
      <c r="H1195" s="709"/>
      <c r="I1195" s="546"/>
      <c r="J1195" s="710"/>
      <c r="K1195" s="563" t="str">
        <f>IF(G1195&lt;&gt;0,VLOOKUP(G1195,'gia dat'!$A$1:$F$144,5,0)," ")</f>
        <v xml:space="preserve"> </v>
      </c>
      <c r="L1195" s="563" t="str">
        <f>IF(G1195&lt;&gt;0,VLOOKUP(G1195,'gia dat'!$A$1:$F$144,6,0)," ")</f>
        <v xml:space="preserve"> </v>
      </c>
      <c r="M1195" s="564" t="str">
        <f t="shared" si="261"/>
        <v xml:space="preserve"> </v>
      </c>
      <c r="N1195" s="564" t="str">
        <f t="shared" si="262"/>
        <v xml:space="preserve"> </v>
      </c>
      <c r="O1195" s="586"/>
      <c r="P1195" s="714"/>
      <c r="Q1195" s="564" t="str">
        <f>IF(O1195&lt;&gt;0,VLOOKUP(O1195,'Cây trong'!$A$2:$C$246,3,0)," ")</f>
        <v xml:space="preserve"> </v>
      </c>
      <c r="R1195" s="564" t="str">
        <f t="shared" si="245"/>
        <v xml:space="preserve"> </v>
      </c>
      <c r="S1195" s="586"/>
      <c r="T1195" s="609"/>
      <c r="U1195" s="710"/>
      <c r="V1195" s="593"/>
      <c r="W1195" s="564" t="str">
        <f>IF(S1195&lt;&gt;0,VLOOKUP(S1195,VKT!$A$2:$G$415,7,0),"")</f>
        <v/>
      </c>
      <c r="X1195" s="564" t="str">
        <f t="shared" si="258"/>
        <v xml:space="preserve"> </v>
      </c>
      <c r="Y1195" s="683"/>
      <c r="Z1195" s="683"/>
      <c r="AA1195" s="683"/>
      <c r="AB1195" s="694"/>
      <c r="AC1195" s="683"/>
      <c r="AD1195" s="683"/>
      <c r="AE1195" s="683"/>
      <c r="AF1195" s="590"/>
      <c r="AG1195" s="570" t="str">
        <f>IF(AE1195&lt;&gt;0,VLOOKUP(AE1195,ODDS!$A$2:$C$13,3,0),"")</f>
        <v/>
      </c>
      <c r="AH1195" s="570" t="str">
        <f t="shared" si="246"/>
        <v xml:space="preserve"> </v>
      </c>
      <c r="AI1195" s="571" t="str">
        <f t="shared" si="252"/>
        <v xml:space="preserve"> </v>
      </c>
      <c r="AJ1195" s="593"/>
      <c r="AK1195" s="593"/>
    </row>
    <row r="1196" spans="1:37" s="385" customFormat="1" ht="40.5" outlineLevel="1" x14ac:dyDescent="0.25">
      <c r="A1196" s="467" t="s">
        <v>2616</v>
      </c>
      <c r="B1196" s="576">
        <v>94</v>
      </c>
      <c r="C1196" s="607" t="s">
        <v>891</v>
      </c>
      <c r="D1196" s="705"/>
      <c r="E1196" s="705"/>
      <c r="F1196" s="706"/>
      <c r="G1196" s="574"/>
      <c r="H1196" s="707">
        <f>SUBTOTAL(9,H1197:H1205)</f>
        <v>419.8</v>
      </c>
      <c r="I1196" s="579">
        <f>SUBTOTAL(9,I1197:I1202)</f>
        <v>419.8</v>
      </c>
      <c r="J1196" s="719"/>
      <c r="K1196" s="581"/>
      <c r="L1196" s="581"/>
      <c r="M1196" s="571">
        <f>SUBTOTAL(9,M1197:M1205)</f>
        <v>195459000</v>
      </c>
      <c r="N1196" s="571">
        <f>SUBTOTAL(9,N1197:N1205)</f>
        <v>586377000</v>
      </c>
      <c r="O1196" s="578"/>
      <c r="P1196" s="712">
        <f>SUBTOTAL(9,P1197:P1205)</f>
        <v>0</v>
      </c>
      <c r="Q1196" s="571"/>
      <c r="R1196" s="571">
        <f>SUBTOTAL(9,R1197:R1205)</f>
        <v>0</v>
      </c>
      <c r="S1196" s="578"/>
      <c r="T1196" s="621"/>
      <c r="U1196" s="708">
        <f>SUBTOTAL(9,U1197:U1205)</f>
        <v>0</v>
      </c>
      <c r="V1196" s="608"/>
      <c r="W1196" s="571"/>
      <c r="X1196" s="571">
        <f>SUBTOTAL(9,X1197:X1205)</f>
        <v>0</v>
      </c>
      <c r="Y1196" s="683"/>
      <c r="Z1196" s="683"/>
      <c r="AA1196" s="683"/>
      <c r="AB1196" s="694"/>
      <c r="AC1196" s="683"/>
      <c r="AD1196" s="683"/>
      <c r="AE1196" s="650"/>
      <c r="AF1196" s="599">
        <f>SUBTOTAL(9,AF1197:AF1205)</f>
        <v>0</v>
      </c>
      <c r="AG1196" s="585"/>
      <c r="AH1196" s="585">
        <f>SUBTOTAL(9,AH1197:AH1205)</f>
        <v>0</v>
      </c>
      <c r="AI1196" s="571">
        <f t="shared" si="252"/>
        <v>781836000</v>
      </c>
      <c r="AJ1196" s="574"/>
      <c r="AK1196" s="578"/>
    </row>
    <row r="1197" spans="1:37" s="385" customFormat="1" ht="121.5" outlineLevel="2" x14ac:dyDescent="0.3">
      <c r="A1197" s="447">
        <f>IF(B1196&lt;&gt;0,B1196,A1195)</f>
        <v>94</v>
      </c>
      <c r="B1197" s="557"/>
      <c r="C1197" s="558" t="s">
        <v>893</v>
      </c>
      <c r="D1197" s="615">
        <v>4</v>
      </c>
      <c r="E1197" s="615">
        <v>86</v>
      </c>
      <c r="F1197" s="700">
        <v>203</v>
      </c>
      <c r="G1197" s="558" t="s">
        <v>2864</v>
      </c>
      <c r="H1197" s="709">
        <f>419.8</f>
        <v>419.8</v>
      </c>
      <c r="I1197" s="546">
        <f t="shared" ref="I1197" si="263">IF(N1197&gt;0,H1197,"")</f>
        <v>419.8</v>
      </c>
      <c r="J1197" s="720"/>
      <c r="K1197" s="563">
        <f>IF(G1197&lt;&gt;0,VLOOKUP(G1197,'gia dat'!$A$1:$F$144,5,0)," ")</f>
        <v>465600</v>
      </c>
      <c r="L1197" s="563">
        <f>IF(G1197&lt;&gt;0,VLOOKUP(G1197,'gia dat'!$A$1:$F$144,6,0)," ")</f>
        <v>1396800</v>
      </c>
      <c r="M1197" s="564">
        <f t="shared" si="261"/>
        <v>195459000</v>
      </c>
      <c r="N1197" s="564">
        <f t="shared" si="262"/>
        <v>586377000</v>
      </c>
      <c r="O1197" s="586"/>
      <c r="P1197" s="714"/>
      <c r="Q1197" s="564" t="str">
        <f>IF(O1197&lt;&gt;0,VLOOKUP(O1197,'Cây trong'!$A$2:$C$246,3,0)," ")</f>
        <v xml:space="preserve"> </v>
      </c>
      <c r="R1197" s="564" t="str">
        <f t="shared" si="245"/>
        <v xml:space="preserve"> </v>
      </c>
      <c r="S1197" s="586"/>
      <c r="T1197" s="609"/>
      <c r="U1197" s="710"/>
      <c r="V1197" s="593"/>
      <c r="W1197" s="564" t="str">
        <f>IF(S1197&lt;&gt;0,VLOOKUP(S1197,VKT!$A$2:$G$415,7,0),"")</f>
        <v/>
      </c>
      <c r="X1197" s="564" t="str">
        <f t="shared" si="258"/>
        <v xml:space="preserve"> </v>
      </c>
      <c r="Y1197" s="683"/>
      <c r="Z1197" s="683"/>
      <c r="AA1197" s="683"/>
      <c r="AB1197" s="694"/>
      <c r="AC1197" s="683"/>
      <c r="AD1197" s="683"/>
      <c r="AE1197" s="683"/>
      <c r="AF1197" s="590"/>
      <c r="AG1197" s="570" t="str">
        <f>IF(AE1197&lt;&gt;0,VLOOKUP(AE1197,ODDS!$A$2:$C$13,3,0),"")</f>
        <v/>
      </c>
      <c r="AH1197" s="570"/>
      <c r="AI1197" s="571" t="str">
        <f t="shared" si="252"/>
        <v xml:space="preserve"> </v>
      </c>
      <c r="AJ1197" s="558" t="s">
        <v>892</v>
      </c>
      <c r="AK1197" s="586" t="s">
        <v>2771</v>
      </c>
    </row>
    <row r="1198" spans="1:37" s="385" customFormat="1" ht="101.25" outlineLevel="2" x14ac:dyDescent="0.3">
      <c r="A1198" s="447">
        <f t="shared" ref="A1198:A1205" si="264">IF(B1197&lt;&gt;0,B1197,A1197)</f>
        <v>94</v>
      </c>
      <c r="B1198" s="557"/>
      <c r="C1198" s="558" t="s">
        <v>895</v>
      </c>
      <c r="D1198" s="615"/>
      <c r="E1198" s="615"/>
      <c r="F1198" s="700"/>
      <c r="G1198" s="558"/>
      <c r="H1198" s="709"/>
      <c r="I1198" s="546"/>
      <c r="J1198" s="589"/>
      <c r="K1198" s="563" t="str">
        <f>IF(G1198&lt;&gt;0,VLOOKUP(G1198,'gia dat'!$A$1:$F$144,5,0)," ")</f>
        <v xml:space="preserve"> </v>
      </c>
      <c r="L1198" s="563" t="str">
        <f>IF(G1198&lt;&gt;0,VLOOKUP(G1198,'gia dat'!$A$1:$F$144,6,0)," ")</f>
        <v xml:space="preserve"> </v>
      </c>
      <c r="M1198" s="564" t="str">
        <f t="shared" si="261"/>
        <v xml:space="preserve"> </v>
      </c>
      <c r="N1198" s="564" t="str">
        <f t="shared" si="262"/>
        <v xml:space="preserve"> </v>
      </c>
      <c r="O1198" s="558"/>
      <c r="P1198" s="714"/>
      <c r="Q1198" s="564" t="str">
        <f>IF(O1198&lt;&gt;0,VLOOKUP(O1198,'Cây trong'!$A$2:$C$246,3,0)," ")</f>
        <v xml:space="preserve"> </v>
      </c>
      <c r="R1198" s="564" t="str">
        <f t="shared" si="245"/>
        <v xml:space="preserve"> </v>
      </c>
      <c r="S1198" s="566"/>
      <c r="T1198" s="589"/>
      <c r="U1198" s="710"/>
      <c r="V1198" s="593"/>
      <c r="W1198" s="564" t="str">
        <f>IF(S1198&lt;&gt;0,VLOOKUP(S1198,VKT!$A$2:$G$415,7,0),"")</f>
        <v/>
      </c>
      <c r="X1198" s="564" t="str">
        <f t="shared" si="258"/>
        <v xml:space="preserve"> </v>
      </c>
      <c r="Y1198" s="683"/>
      <c r="Z1198" s="683"/>
      <c r="AA1198" s="683"/>
      <c r="AB1198" s="694"/>
      <c r="AC1198" s="683"/>
      <c r="AD1198" s="683"/>
      <c r="AE1198" s="683"/>
      <c r="AF1198" s="590"/>
      <c r="AG1198" s="570" t="str">
        <f>IF(AE1198&lt;&gt;0,VLOOKUP(AE1198,ODDS!$A$2:$C$13,3,0),"")</f>
        <v/>
      </c>
      <c r="AH1198" s="570" t="str">
        <f t="shared" si="246"/>
        <v xml:space="preserve"> </v>
      </c>
      <c r="AI1198" s="571" t="str">
        <f t="shared" si="252"/>
        <v xml:space="preserve"> </v>
      </c>
      <c r="AJ1198" s="558" t="s">
        <v>2818</v>
      </c>
      <c r="AK1198" s="558" t="s">
        <v>2448</v>
      </c>
    </row>
    <row r="1199" spans="1:37" s="385" customFormat="1" ht="20.25" outlineLevel="2" x14ac:dyDescent="0.3">
      <c r="A1199" s="447">
        <f t="shared" si="264"/>
        <v>94</v>
      </c>
      <c r="B1199" s="557"/>
      <c r="C1199" s="558"/>
      <c r="D1199" s="615"/>
      <c r="E1199" s="615"/>
      <c r="F1199" s="700"/>
      <c r="G1199" s="586"/>
      <c r="H1199" s="709"/>
      <c r="I1199" s="546"/>
      <c r="J1199" s="589"/>
      <c r="K1199" s="563" t="str">
        <f>IF(G1199&lt;&gt;0,VLOOKUP(G1199,'gia dat'!$A$1:$F$144,5,0)," ")</f>
        <v xml:space="preserve"> </v>
      </c>
      <c r="L1199" s="563" t="str">
        <f>IF(G1199&lt;&gt;0,VLOOKUP(G1199,'gia dat'!$A$1:$F$144,6,0)," ")</f>
        <v xml:space="preserve"> </v>
      </c>
      <c r="M1199" s="564" t="str">
        <f t="shared" si="261"/>
        <v xml:space="preserve"> </v>
      </c>
      <c r="N1199" s="564" t="str">
        <f t="shared" si="262"/>
        <v xml:space="preserve"> </v>
      </c>
      <c r="O1199" s="558"/>
      <c r="P1199" s="714"/>
      <c r="Q1199" s="564" t="str">
        <f>IF(O1199&lt;&gt;0,VLOOKUP(O1199,'Cây trong'!$A$2:$C$246,3,0)," ")</f>
        <v xml:space="preserve"> </v>
      </c>
      <c r="R1199" s="564" t="str">
        <f t="shared" si="245"/>
        <v xml:space="preserve"> </v>
      </c>
      <c r="S1199" s="566"/>
      <c r="T1199" s="589"/>
      <c r="U1199" s="710"/>
      <c r="V1199" s="593"/>
      <c r="W1199" s="564" t="str">
        <f>IF(S1199&lt;&gt;0,VLOOKUP(S1199,VKT!$A$2:$G$415,7,0),"")</f>
        <v/>
      </c>
      <c r="X1199" s="564" t="str">
        <f t="shared" si="258"/>
        <v xml:space="preserve"> </v>
      </c>
      <c r="Y1199" s="683"/>
      <c r="Z1199" s="683"/>
      <c r="AA1199" s="683"/>
      <c r="AB1199" s="694"/>
      <c r="AC1199" s="683"/>
      <c r="AD1199" s="683"/>
      <c r="AE1199" s="683"/>
      <c r="AF1199" s="590"/>
      <c r="AG1199" s="570" t="str">
        <f>IF(AE1199&lt;&gt;0,VLOOKUP(AE1199,ODDS!$A$2:$C$13,3,0),"")</f>
        <v/>
      </c>
      <c r="AH1199" s="570" t="str">
        <f t="shared" si="246"/>
        <v xml:space="preserve"> </v>
      </c>
      <c r="AI1199" s="571" t="str">
        <f t="shared" si="252"/>
        <v xml:space="preserve"> </v>
      </c>
      <c r="AJ1199" s="593" t="s">
        <v>896</v>
      </c>
      <c r="AK1199" s="566"/>
    </row>
    <row r="1200" spans="1:37" s="385" customFormat="1" ht="60.75" outlineLevel="2" x14ac:dyDescent="0.3">
      <c r="A1200" s="447">
        <f t="shared" si="264"/>
        <v>94</v>
      </c>
      <c r="B1200" s="557"/>
      <c r="C1200" s="558"/>
      <c r="D1200" s="615"/>
      <c r="E1200" s="615"/>
      <c r="F1200" s="700"/>
      <c r="G1200" s="558"/>
      <c r="H1200" s="709"/>
      <c r="I1200" s="546"/>
      <c r="J1200" s="589"/>
      <c r="K1200" s="563" t="str">
        <f>IF(G1200&lt;&gt;0,VLOOKUP(G1200,'gia dat'!$A$1:$F$144,5,0)," ")</f>
        <v xml:space="preserve"> </v>
      </c>
      <c r="L1200" s="563" t="str">
        <f>IF(G1200&lt;&gt;0,VLOOKUP(G1200,'gia dat'!$A$1:$F$144,6,0)," ")</f>
        <v xml:space="preserve"> </v>
      </c>
      <c r="M1200" s="564" t="str">
        <f t="shared" si="261"/>
        <v xml:space="preserve"> </v>
      </c>
      <c r="N1200" s="564" t="str">
        <f t="shared" si="262"/>
        <v xml:space="preserve"> </v>
      </c>
      <c r="O1200" s="558"/>
      <c r="P1200" s="714"/>
      <c r="Q1200" s="564" t="str">
        <f>IF(O1200&lt;&gt;0,VLOOKUP(O1200,'Cây trong'!$A$2:$C$246,3,0)," ")</f>
        <v xml:space="preserve"> </v>
      </c>
      <c r="R1200" s="564" t="str">
        <f t="shared" si="245"/>
        <v xml:space="preserve"> </v>
      </c>
      <c r="S1200" s="566"/>
      <c r="T1200" s="589"/>
      <c r="U1200" s="710"/>
      <c r="V1200" s="593"/>
      <c r="W1200" s="564" t="str">
        <f>IF(S1200&lt;&gt;0,VLOOKUP(S1200,VKT!$A$2:$G$415,7,0),"")</f>
        <v/>
      </c>
      <c r="X1200" s="564" t="str">
        <f t="shared" si="258"/>
        <v xml:space="preserve"> </v>
      </c>
      <c r="Y1200" s="683"/>
      <c r="Z1200" s="683"/>
      <c r="AA1200" s="683"/>
      <c r="AB1200" s="694"/>
      <c r="AC1200" s="683"/>
      <c r="AD1200" s="683"/>
      <c r="AE1200" s="683"/>
      <c r="AF1200" s="590"/>
      <c r="AG1200" s="570" t="str">
        <f>IF(AE1200&lt;&gt;0,VLOOKUP(AE1200,ODDS!$A$2:$C$13,3,0),"")</f>
        <v/>
      </c>
      <c r="AH1200" s="570" t="str">
        <f t="shared" si="246"/>
        <v xml:space="preserve"> </v>
      </c>
      <c r="AI1200" s="571" t="str">
        <f t="shared" si="252"/>
        <v xml:space="preserve"> </v>
      </c>
      <c r="AJ1200" s="558" t="s">
        <v>2074</v>
      </c>
      <c r="AK1200" s="593"/>
    </row>
    <row r="1201" spans="1:37" s="385" customFormat="1" ht="20.25" outlineLevel="2" x14ac:dyDescent="0.3">
      <c r="A1201" s="447">
        <f t="shared" si="264"/>
        <v>94</v>
      </c>
      <c r="B1201" s="557"/>
      <c r="C1201" s="558"/>
      <c r="D1201" s="615"/>
      <c r="E1201" s="615"/>
      <c r="F1201" s="700"/>
      <c r="G1201" s="558"/>
      <c r="H1201" s="709"/>
      <c r="I1201" s="546"/>
      <c r="J1201" s="589"/>
      <c r="K1201" s="563" t="str">
        <f>IF(G1201&lt;&gt;0,VLOOKUP(G1201,'gia dat'!$A$1:$F$144,5,0)," ")</f>
        <v xml:space="preserve"> </v>
      </c>
      <c r="L1201" s="563" t="str">
        <f>IF(G1201&lt;&gt;0,VLOOKUP(G1201,'gia dat'!$A$1:$F$144,6,0)," ")</f>
        <v xml:space="preserve"> </v>
      </c>
      <c r="M1201" s="564" t="str">
        <f t="shared" si="261"/>
        <v xml:space="preserve"> </v>
      </c>
      <c r="N1201" s="564" t="str">
        <f t="shared" si="262"/>
        <v xml:space="preserve"> </v>
      </c>
      <c r="O1201" s="558"/>
      <c r="P1201" s="714"/>
      <c r="Q1201" s="564" t="str">
        <f>IF(O1201&lt;&gt;0,VLOOKUP(O1201,'Cây trong'!$A$2:$C$246,3,0)," ")</f>
        <v xml:space="preserve"> </v>
      </c>
      <c r="R1201" s="564" t="str">
        <f t="shared" si="245"/>
        <v xml:space="preserve"> </v>
      </c>
      <c r="S1201" s="566"/>
      <c r="T1201" s="589"/>
      <c r="U1201" s="710"/>
      <c r="V1201" s="593"/>
      <c r="W1201" s="564" t="str">
        <f>IF(S1201&lt;&gt;0,VLOOKUP(S1201,VKT!$A$2:$G$415,7,0),"")</f>
        <v/>
      </c>
      <c r="X1201" s="564" t="str">
        <f t="shared" si="258"/>
        <v xml:space="preserve"> </v>
      </c>
      <c r="Y1201" s="683"/>
      <c r="Z1201" s="683"/>
      <c r="AA1201" s="683"/>
      <c r="AB1201" s="694"/>
      <c r="AC1201" s="683"/>
      <c r="AD1201" s="683"/>
      <c r="AE1201" s="683"/>
      <c r="AF1201" s="590"/>
      <c r="AG1201" s="570" t="str">
        <f>IF(AE1201&lt;&gt;0,VLOOKUP(AE1201,ODDS!$A$2:$C$13,3,0),"")</f>
        <v/>
      </c>
      <c r="AH1201" s="570" t="str">
        <f t="shared" si="246"/>
        <v xml:space="preserve"> </v>
      </c>
      <c r="AI1201" s="571" t="str">
        <f t="shared" si="252"/>
        <v xml:space="preserve"> </v>
      </c>
      <c r="AJ1201" s="721"/>
      <c r="AK1201" s="593"/>
    </row>
    <row r="1202" spans="1:37" s="385" customFormat="1" ht="20.25" outlineLevel="2" x14ac:dyDescent="0.3">
      <c r="A1202" s="447">
        <f t="shared" si="264"/>
        <v>94</v>
      </c>
      <c r="B1202" s="557"/>
      <c r="C1202" s="558"/>
      <c r="D1202" s="615"/>
      <c r="E1202" s="615"/>
      <c r="F1202" s="700"/>
      <c r="G1202" s="558"/>
      <c r="H1202" s="709"/>
      <c r="I1202" s="546"/>
      <c r="J1202" s="589"/>
      <c r="K1202" s="563" t="str">
        <f>IF(G1202&lt;&gt;0,VLOOKUP(G1202,'gia dat'!$A$1:$F$144,5,0)," ")</f>
        <v xml:space="preserve"> </v>
      </c>
      <c r="L1202" s="563" t="str">
        <f>IF(G1202&lt;&gt;0,VLOOKUP(G1202,'gia dat'!$A$1:$F$144,6,0)," ")</f>
        <v xml:space="preserve"> </v>
      </c>
      <c r="M1202" s="564" t="str">
        <f t="shared" si="261"/>
        <v xml:space="preserve"> </v>
      </c>
      <c r="N1202" s="564" t="str">
        <f t="shared" si="262"/>
        <v xml:space="preserve"> </v>
      </c>
      <c r="O1202" s="558"/>
      <c r="P1202" s="714"/>
      <c r="Q1202" s="564" t="str">
        <f>IF(O1202&lt;&gt;0,VLOOKUP(O1202,'Cây trong'!$A$2:$C$246,3,0)," ")</f>
        <v xml:space="preserve"> </v>
      </c>
      <c r="R1202" s="564" t="str">
        <f t="shared" si="245"/>
        <v xml:space="preserve"> </v>
      </c>
      <c r="S1202" s="566"/>
      <c r="T1202" s="589"/>
      <c r="U1202" s="710"/>
      <c r="V1202" s="593"/>
      <c r="W1202" s="564" t="str">
        <f>IF(S1202&lt;&gt;0,VLOOKUP(S1202,VKT!$A$2:$G$415,7,0),"")</f>
        <v/>
      </c>
      <c r="X1202" s="564" t="str">
        <f t="shared" si="258"/>
        <v xml:space="preserve"> </v>
      </c>
      <c r="Y1202" s="683"/>
      <c r="Z1202" s="683"/>
      <c r="AA1202" s="683"/>
      <c r="AB1202" s="694"/>
      <c r="AC1202" s="683"/>
      <c r="AD1202" s="683"/>
      <c r="AE1202" s="683"/>
      <c r="AF1202" s="590"/>
      <c r="AG1202" s="570" t="str">
        <f>IF(AE1202&lt;&gt;0,VLOOKUP(AE1202,ODDS!$A$2:$C$13,3,0),"")</f>
        <v/>
      </c>
      <c r="AH1202" s="570" t="str">
        <f t="shared" si="246"/>
        <v xml:space="preserve"> </v>
      </c>
      <c r="AI1202" s="571" t="str">
        <f t="shared" si="252"/>
        <v xml:space="preserve"> </v>
      </c>
      <c r="AJ1202" s="586"/>
      <c r="AK1202" s="593"/>
    </row>
    <row r="1203" spans="1:37" s="385" customFormat="1" ht="20.25" outlineLevel="2" x14ac:dyDescent="0.3">
      <c r="A1203" s="447">
        <f t="shared" si="264"/>
        <v>94</v>
      </c>
      <c r="B1203" s="557"/>
      <c r="C1203" s="558"/>
      <c r="D1203" s="615"/>
      <c r="E1203" s="615"/>
      <c r="F1203" s="700"/>
      <c r="G1203" s="558"/>
      <c r="H1203" s="709"/>
      <c r="I1203" s="546"/>
      <c r="J1203" s="589"/>
      <c r="K1203" s="563" t="str">
        <f>IF(G1203&lt;&gt;0,VLOOKUP(G1203,'gia dat'!$A$1:$F$144,5,0)," ")</f>
        <v xml:space="preserve"> </v>
      </c>
      <c r="L1203" s="563" t="str">
        <f>IF(G1203&lt;&gt;0,VLOOKUP(G1203,'gia dat'!$A$1:$F$144,6,0)," ")</f>
        <v xml:space="preserve"> </v>
      </c>
      <c r="M1203" s="564" t="str">
        <f t="shared" si="261"/>
        <v xml:space="preserve"> </v>
      </c>
      <c r="N1203" s="564" t="str">
        <f t="shared" si="262"/>
        <v xml:space="preserve"> </v>
      </c>
      <c r="O1203" s="558"/>
      <c r="P1203" s="714"/>
      <c r="Q1203" s="564" t="str">
        <f>IF(O1203&lt;&gt;0,VLOOKUP(O1203,'Cây trong'!$A$2:$C$246,3,0)," ")</f>
        <v xml:space="preserve"> </v>
      </c>
      <c r="R1203" s="564" t="str">
        <f t="shared" ref="R1203:R1294" si="265">IF(O1203&lt;&gt;0,ROUND(P1203*Q1203,-2)," ")</f>
        <v xml:space="preserve"> </v>
      </c>
      <c r="S1203" s="566"/>
      <c r="T1203" s="589"/>
      <c r="U1203" s="710"/>
      <c r="V1203" s="593"/>
      <c r="W1203" s="564" t="str">
        <f>IF(S1203&lt;&gt;0,VLOOKUP(S1203,VKT!$A$2:$G$415,7,0),"")</f>
        <v/>
      </c>
      <c r="X1203" s="564" t="str">
        <f t="shared" si="258"/>
        <v xml:space="preserve"> </v>
      </c>
      <c r="Y1203" s="683"/>
      <c r="Z1203" s="683"/>
      <c r="AA1203" s="683"/>
      <c r="AB1203" s="694"/>
      <c r="AC1203" s="683"/>
      <c r="AD1203" s="683"/>
      <c r="AE1203" s="683"/>
      <c r="AF1203" s="590"/>
      <c r="AG1203" s="570" t="str">
        <f>IF(AE1203&lt;&gt;0,VLOOKUP(AE1203,ODDS!$A$2:$C$13,3,0),"")</f>
        <v/>
      </c>
      <c r="AH1203" s="570" t="str">
        <f t="shared" ref="AH1203:AH1294" si="266">IF(AE1203&lt;&gt;0,ROUND(AF1203*AG1203,-2)," ")</f>
        <v xml:space="preserve"> </v>
      </c>
      <c r="AI1203" s="571" t="str">
        <f t="shared" si="252"/>
        <v xml:space="preserve"> </v>
      </c>
      <c r="AJ1203" s="704"/>
      <c r="AK1203" s="593"/>
    </row>
    <row r="1204" spans="1:37" s="385" customFormat="1" ht="20.25" outlineLevel="2" x14ac:dyDescent="0.3">
      <c r="A1204" s="447">
        <f t="shared" si="264"/>
        <v>94</v>
      </c>
      <c r="B1204" s="557"/>
      <c r="C1204" s="558"/>
      <c r="D1204" s="615"/>
      <c r="E1204" s="615"/>
      <c r="F1204" s="700"/>
      <c r="G1204" s="558"/>
      <c r="H1204" s="709"/>
      <c r="I1204" s="546"/>
      <c r="J1204" s="589"/>
      <c r="K1204" s="563" t="str">
        <f>IF(G1204&lt;&gt;0,VLOOKUP(G1204,'gia dat'!$A$1:$F$144,5,0)," ")</f>
        <v xml:space="preserve"> </v>
      </c>
      <c r="L1204" s="563" t="str">
        <f>IF(G1204&lt;&gt;0,VLOOKUP(G1204,'gia dat'!$A$1:$F$144,6,0)," ")</f>
        <v xml:space="preserve"> </v>
      </c>
      <c r="M1204" s="564" t="str">
        <f t="shared" si="261"/>
        <v xml:space="preserve"> </v>
      </c>
      <c r="N1204" s="564" t="str">
        <f t="shared" si="262"/>
        <v xml:space="preserve"> </v>
      </c>
      <c r="O1204" s="558"/>
      <c r="P1204" s="714"/>
      <c r="Q1204" s="564" t="str">
        <f>IF(O1204&lt;&gt;0,VLOOKUP(O1204,'Cây trong'!$A$2:$C$246,3,0)," ")</f>
        <v xml:space="preserve"> </v>
      </c>
      <c r="R1204" s="564" t="str">
        <f t="shared" si="265"/>
        <v xml:space="preserve"> </v>
      </c>
      <c r="S1204" s="566"/>
      <c r="T1204" s="589"/>
      <c r="U1204" s="710"/>
      <c r="V1204" s="593"/>
      <c r="W1204" s="564" t="str">
        <f>IF(S1204&lt;&gt;0,VLOOKUP(S1204,VKT!$A$2:$G$415,7,0),"")</f>
        <v/>
      </c>
      <c r="X1204" s="564" t="str">
        <f t="shared" si="258"/>
        <v xml:space="preserve"> </v>
      </c>
      <c r="Y1204" s="683"/>
      <c r="Z1204" s="683"/>
      <c r="AA1204" s="683"/>
      <c r="AB1204" s="694"/>
      <c r="AC1204" s="683"/>
      <c r="AD1204" s="683"/>
      <c r="AE1204" s="683"/>
      <c r="AF1204" s="590"/>
      <c r="AG1204" s="570" t="str">
        <f>IF(AE1204&lt;&gt;0,VLOOKUP(AE1204,ODDS!$A$2:$C$13,3,0),"")</f>
        <v/>
      </c>
      <c r="AH1204" s="570" t="str">
        <f t="shared" si="266"/>
        <v xml:space="preserve"> </v>
      </c>
      <c r="AI1204" s="571" t="str">
        <f t="shared" si="252"/>
        <v xml:space="preserve"> </v>
      </c>
      <c r="AJ1204" s="593"/>
      <c r="AK1204" s="593"/>
    </row>
    <row r="1205" spans="1:37" s="385" customFormat="1" ht="20.25" outlineLevel="2" x14ac:dyDescent="0.3">
      <c r="A1205" s="447">
        <f t="shared" si="264"/>
        <v>94</v>
      </c>
      <c r="B1205" s="557"/>
      <c r="C1205" s="574"/>
      <c r="D1205" s="615"/>
      <c r="E1205" s="615"/>
      <c r="F1205" s="700"/>
      <c r="G1205" s="558"/>
      <c r="H1205" s="709"/>
      <c r="I1205" s="546"/>
      <c r="J1205" s="589"/>
      <c r="K1205" s="563" t="str">
        <f>IF(G1205&lt;&gt;0,VLOOKUP(G1205,'gia dat'!$A$1:$F$144,5,0)," ")</f>
        <v xml:space="preserve"> </v>
      </c>
      <c r="L1205" s="563" t="str">
        <f>IF(G1205&lt;&gt;0,VLOOKUP(G1205,'gia dat'!$A$1:$F$144,6,0)," ")</f>
        <v xml:space="preserve"> </v>
      </c>
      <c r="M1205" s="564" t="str">
        <f t="shared" si="261"/>
        <v xml:space="preserve"> </v>
      </c>
      <c r="N1205" s="564" t="str">
        <f t="shared" si="262"/>
        <v xml:space="preserve"> </v>
      </c>
      <c r="O1205" s="558"/>
      <c r="P1205" s="714"/>
      <c r="Q1205" s="564" t="str">
        <f>IF(O1205&lt;&gt;0,VLOOKUP(O1205,'Cây trong'!$A$2:$C$246,3,0)," ")</f>
        <v xml:space="preserve"> </v>
      </c>
      <c r="R1205" s="564" t="str">
        <f t="shared" si="265"/>
        <v xml:space="preserve"> </v>
      </c>
      <c r="S1205" s="566"/>
      <c r="T1205" s="589"/>
      <c r="U1205" s="710"/>
      <c r="V1205" s="593"/>
      <c r="W1205" s="564" t="str">
        <f>IF(S1205&lt;&gt;0,VLOOKUP(S1205,VKT!$A$2:$G$415,7,0),"")</f>
        <v/>
      </c>
      <c r="X1205" s="564" t="str">
        <f t="shared" si="258"/>
        <v xml:space="preserve"> </v>
      </c>
      <c r="Y1205" s="683"/>
      <c r="Z1205" s="683"/>
      <c r="AA1205" s="683"/>
      <c r="AB1205" s="694"/>
      <c r="AC1205" s="683"/>
      <c r="AD1205" s="683"/>
      <c r="AE1205" s="683"/>
      <c r="AF1205" s="590"/>
      <c r="AG1205" s="570" t="str">
        <f>IF(AE1205&lt;&gt;0,VLOOKUP(AE1205,ODDS!$A$2:$C$13,3,0),"")</f>
        <v/>
      </c>
      <c r="AH1205" s="570" t="str">
        <f t="shared" si="266"/>
        <v xml:space="preserve"> </v>
      </c>
      <c r="AI1205" s="571" t="str">
        <f t="shared" si="252"/>
        <v xml:space="preserve"> </v>
      </c>
      <c r="AJ1205" s="593"/>
      <c r="AK1205" s="593"/>
    </row>
    <row r="1206" spans="1:37" s="385" customFormat="1" ht="40.5" outlineLevel="1" x14ac:dyDescent="0.25">
      <c r="A1206" s="467" t="s">
        <v>2615</v>
      </c>
      <c r="B1206" s="576">
        <v>95</v>
      </c>
      <c r="C1206" s="574" t="s">
        <v>898</v>
      </c>
      <c r="D1206" s="705"/>
      <c r="E1206" s="705"/>
      <c r="F1206" s="706"/>
      <c r="G1206" s="574"/>
      <c r="H1206" s="707">
        <f>SUBTOTAL(9,H1207:H1212)</f>
        <v>416.70000000000005</v>
      </c>
      <c r="I1206" s="579">
        <f>SUBTOTAL(9,I1207:I1212)</f>
        <v>0</v>
      </c>
      <c r="J1206" s="597"/>
      <c r="K1206" s="581"/>
      <c r="L1206" s="581"/>
      <c r="M1206" s="571">
        <f>SUBTOTAL(9,M1207:M1212)</f>
        <v>194016000</v>
      </c>
      <c r="N1206" s="571">
        <f>SUBTOTAL(9,N1207:N1212)</f>
        <v>0</v>
      </c>
      <c r="O1206" s="574"/>
      <c r="P1206" s="712">
        <f>SUBTOTAL(9,P1207:P1212)</f>
        <v>0</v>
      </c>
      <c r="Q1206" s="571"/>
      <c r="R1206" s="571">
        <f>SUBTOTAL(9,R1207:R1212)</f>
        <v>0</v>
      </c>
      <c r="S1206" s="582"/>
      <c r="T1206" s="597"/>
      <c r="U1206" s="708">
        <f>SUBTOTAL(9,U1207:U1212)</f>
        <v>0</v>
      </c>
      <c r="V1206" s="608"/>
      <c r="W1206" s="571"/>
      <c r="X1206" s="571">
        <f>SUBTOTAL(9,X1207:X1212)</f>
        <v>0</v>
      </c>
      <c r="Y1206" s="683"/>
      <c r="Z1206" s="683"/>
      <c r="AA1206" s="683"/>
      <c r="AB1206" s="694"/>
      <c r="AC1206" s="683"/>
      <c r="AD1206" s="683"/>
      <c r="AE1206" s="650"/>
      <c r="AF1206" s="599">
        <f>SUBTOTAL(9,AF1207:AF1212)</f>
        <v>0</v>
      </c>
      <c r="AG1206" s="585"/>
      <c r="AH1206" s="585">
        <f>SUBTOTAL(9,AH1207:AH1212)</f>
        <v>0</v>
      </c>
      <c r="AI1206" s="571">
        <f t="shared" si="252"/>
        <v>194016000</v>
      </c>
      <c r="AJ1206" s="574"/>
      <c r="AK1206" s="578"/>
    </row>
    <row r="1207" spans="1:37" s="385" customFormat="1" ht="121.5" outlineLevel="2" x14ac:dyDescent="0.3">
      <c r="A1207" s="447">
        <f>IF(B1206&lt;&gt;0,B1206,A1205)</f>
        <v>95</v>
      </c>
      <c r="B1207" s="557"/>
      <c r="C1207" s="572" t="s">
        <v>900</v>
      </c>
      <c r="D1207" s="615">
        <v>3</v>
      </c>
      <c r="E1207" s="615">
        <v>86</v>
      </c>
      <c r="F1207" s="700">
        <v>60</v>
      </c>
      <c r="G1207" s="558" t="s">
        <v>2862</v>
      </c>
      <c r="H1207" s="717">
        <f>415.6+1.1</f>
        <v>416.70000000000005</v>
      </c>
      <c r="I1207" s="546" t="str">
        <f t="shared" ref="I1207" si="267">IF(N1207&gt;0,H1207,"")</f>
        <v/>
      </c>
      <c r="J1207" s="589"/>
      <c r="K1207" s="563">
        <f>IF(G1207&lt;&gt;0,VLOOKUP(G1207,'gia dat'!$A$1:$F$144,5,0)," ")</f>
        <v>465600</v>
      </c>
      <c r="L1207" s="563">
        <f>IF(G1207&lt;&gt;0,VLOOKUP(G1207,'gia dat'!$A$1:$F$144,6,0)," ")</f>
        <v>0</v>
      </c>
      <c r="M1207" s="564">
        <f t="shared" si="261"/>
        <v>194016000</v>
      </c>
      <c r="N1207" s="564">
        <f t="shared" si="262"/>
        <v>0</v>
      </c>
      <c r="O1207" s="558"/>
      <c r="P1207" s="714"/>
      <c r="Q1207" s="564" t="str">
        <f>IF(O1207&lt;&gt;0,VLOOKUP(O1207,'Cây trong'!$A$2:$C$246,3,0)," ")</f>
        <v xml:space="preserve"> </v>
      </c>
      <c r="R1207" s="564" t="str">
        <f t="shared" si="265"/>
        <v xml:space="preserve"> </v>
      </c>
      <c r="S1207" s="566"/>
      <c r="T1207" s="589"/>
      <c r="U1207" s="710"/>
      <c r="V1207" s="593"/>
      <c r="W1207" s="564" t="str">
        <f>IF(S1207&lt;&gt;0,VLOOKUP(S1207,VKT!$A$2:$G$415,7,0),"")</f>
        <v/>
      </c>
      <c r="X1207" s="564" t="str">
        <f t="shared" si="258"/>
        <v xml:space="preserve"> </v>
      </c>
      <c r="Y1207" s="683"/>
      <c r="Z1207" s="683"/>
      <c r="AA1207" s="683"/>
      <c r="AB1207" s="694"/>
      <c r="AC1207" s="683"/>
      <c r="AD1207" s="683"/>
      <c r="AE1207" s="683"/>
      <c r="AF1207" s="590"/>
      <c r="AG1207" s="570" t="str">
        <f>IF(AE1207&lt;&gt;0,VLOOKUP(AE1207,ODDS!$A$2:$C$13,3,0),"")</f>
        <v/>
      </c>
      <c r="AH1207" s="570"/>
      <c r="AI1207" s="571" t="str">
        <f t="shared" si="252"/>
        <v xml:space="preserve"> </v>
      </c>
      <c r="AJ1207" s="558" t="s">
        <v>2776</v>
      </c>
      <c r="AK1207" s="586" t="s">
        <v>2771</v>
      </c>
    </row>
    <row r="1208" spans="1:37" s="385" customFormat="1" ht="81" outlineLevel="2" x14ac:dyDescent="0.3">
      <c r="A1208" s="447">
        <f>IF(B1207&lt;&gt;0,B1207,A1207)</f>
        <v>95</v>
      </c>
      <c r="B1208" s="557"/>
      <c r="C1208" s="572" t="s">
        <v>902</v>
      </c>
      <c r="D1208" s="703"/>
      <c r="E1208" s="615"/>
      <c r="F1208" s="700"/>
      <c r="G1208" s="704"/>
      <c r="H1208" s="701"/>
      <c r="I1208" s="546"/>
      <c r="J1208" s="710"/>
      <c r="K1208" s="563" t="str">
        <f>IF(G1208&lt;&gt;0,VLOOKUP(G1208,'gia dat'!$A$1:$F$144,5,0)," ")</f>
        <v xml:space="preserve"> </v>
      </c>
      <c r="L1208" s="563" t="str">
        <f>IF(G1208&lt;&gt;0,VLOOKUP(G1208,'gia dat'!$A$1:$F$144,6,0)," ")</f>
        <v xml:space="preserve"> </v>
      </c>
      <c r="M1208" s="564" t="str">
        <f t="shared" si="261"/>
        <v xml:space="preserve"> </v>
      </c>
      <c r="N1208" s="564" t="str">
        <f t="shared" si="262"/>
        <v xml:space="preserve"> </v>
      </c>
      <c r="O1208" s="586"/>
      <c r="P1208" s="714"/>
      <c r="Q1208" s="564" t="str">
        <f>IF(O1208&lt;&gt;0,VLOOKUP(O1208,'Cây trong'!$A$2:$C$246,3,0)," ")</f>
        <v xml:space="preserve"> </v>
      </c>
      <c r="R1208" s="564" t="str">
        <f t="shared" si="265"/>
        <v xml:space="preserve"> </v>
      </c>
      <c r="S1208" s="586"/>
      <c r="T1208" s="609"/>
      <c r="U1208" s="710"/>
      <c r="V1208" s="593"/>
      <c r="W1208" s="564" t="str">
        <f>IF(S1208&lt;&gt;0,VLOOKUP(S1208,VKT!$A$2:$G$415,7,0),"")</f>
        <v/>
      </c>
      <c r="X1208" s="564" t="str">
        <f t="shared" si="258"/>
        <v xml:space="preserve"> </v>
      </c>
      <c r="Y1208" s="683"/>
      <c r="Z1208" s="683"/>
      <c r="AA1208" s="683"/>
      <c r="AB1208" s="694"/>
      <c r="AC1208" s="683"/>
      <c r="AD1208" s="683"/>
      <c r="AE1208" s="683"/>
      <c r="AF1208" s="590"/>
      <c r="AG1208" s="570" t="str">
        <f>IF(AE1208&lt;&gt;0,VLOOKUP(AE1208,ODDS!$A$2:$C$13,3,0),"")</f>
        <v/>
      </c>
      <c r="AH1208" s="570" t="str">
        <f t="shared" si="266"/>
        <v xml:space="preserve"> </v>
      </c>
      <c r="AI1208" s="571" t="str">
        <f t="shared" si="252"/>
        <v xml:space="preserve"> </v>
      </c>
      <c r="AJ1208" s="558" t="s">
        <v>2777</v>
      </c>
      <c r="AK1208" s="566"/>
    </row>
    <row r="1209" spans="1:37" s="385" customFormat="1" ht="20.25" outlineLevel="2" x14ac:dyDescent="0.3">
      <c r="A1209" s="447">
        <f>IF(B1208&lt;&gt;0,B1208,A1208)</f>
        <v>95</v>
      </c>
      <c r="B1209" s="557"/>
      <c r="C1209" s="572"/>
      <c r="D1209" s="703"/>
      <c r="E1209" s="615"/>
      <c r="F1209" s="700"/>
      <c r="G1209" s="558"/>
      <c r="H1209" s="709"/>
      <c r="I1209" s="546"/>
      <c r="J1209" s="710"/>
      <c r="K1209" s="563" t="str">
        <f>IF(G1209&lt;&gt;0,VLOOKUP(G1209,'gia dat'!$A$1:$F$144,5,0)," ")</f>
        <v xml:space="preserve"> </v>
      </c>
      <c r="L1209" s="563" t="str">
        <f>IF(G1209&lt;&gt;0,VLOOKUP(G1209,'gia dat'!$A$1:$F$144,6,0)," ")</f>
        <v xml:space="preserve"> </v>
      </c>
      <c r="M1209" s="564" t="str">
        <f t="shared" si="261"/>
        <v xml:space="preserve"> </v>
      </c>
      <c r="N1209" s="564" t="str">
        <f t="shared" si="262"/>
        <v xml:space="preserve"> </v>
      </c>
      <c r="O1209" s="586"/>
      <c r="P1209" s="714"/>
      <c r="Q1209" s="564" t="str">
        <f>IF(O1209&lt;&gt;0,VLOOKUP(O1209,'Cây trong'!$A$2:$C$246,3,0)," ")</f>
        <v xml:space="preserve"> </v>
      </c>
      <c r="R1209" s="564" t="str">
        <f t="shared" si="265"/>
        <v xml:space="preserve"> </v>
      </c>
      <c r="S1209" s="586"/>
      <c r="T1209" s="609"/>
      <c r="U1209" s="710"/>
      <c r="V1209" s="593"/>
      <c r="W1209" s="564" t="str">
        <f>IF(S1209&lt;&gt;0,VLOOKUP(S1209,VKT!$A$2:$G$415,7,0),"")</f>
        <v/>
      </c>
      <c r="X1209" s="564" t="str">
        <f t="shared" si="258"/>
        <v xml:space="preserve"> </v>
      </c>
      <c r="Y1209" s="683"/>
      <c r="Z1209" s="683"/>
      <c r="AA1209" s="683"/>
      <c r="AB1209" s="694"/>
      <c r="AC1209" s="683"/>
      <c r="AD1209" s="683"/>
      <c r="AE1209" s="683"/>
      <c r="AF1209" s="590"/>
      <c r="AG1209" s="570" t="str">
        <f>IF(AE1209&lt;&gt;0,VLOOKUP(AE1209,ODDS!$A$2:$C$13,3,0),"")</f>
        <v/>
      </c>
      <c r="AH1209" s="570" t="str">
        <f t="shared" si="266"/>
        <v xml:space="preserve"> </v>
      </c>
      <c r="AI1209" s="571" t="str">
        <f t="shared" si="252"/>
        <v xml:space="preserve"> </v>
      </c>
      <c r="AJ1209" s="593" t="s">
        <v>903</v>
      </c>
      <c r="AK1209" s="566"/>
    </row>
    <row r="1210" spans="1:37" s="385" customFormat="1" ht="101.25" outlineLevel="2" x14ac:dyDescent="0.3">
      <c r="A1210" s="447">
        <f>IF(B1209&lt;&gt;0,B1209,A1209)</f>
        <v>95</v>
      </c>
      <c r="B1210" s="557"/>
      <c r="C1210" s="572"/>
      <c r="D1210" s="703"/>
      <c r="E1210" s="615"/>
      <c r="F1210" s="700"/>
      <c r="G1210" s="558"/>
      <c r="H1210" s="709"/>
      <c r="I1210" s="546"/>
      <c r="J1210" s="710"/>
      <c r="K1210" s="563" t="str">
        <f>IF(G1210&lt;&gt;0,VLOOKUP(G1210,'gia dat'!$A$1:$F$144,5,0)," ")</f>
        <v xml:space="preserve"> </v>
      </c>
      <c r="L1210" s="563" t="str">
        <f>IF(G1210&lt;&gt;0,VLOOKUP(G1210,'gia dat'!$A$1:$F$144,6,0)," ")</f>
        <v xml:space="preserve"> </v>
      </c>
      <c r="M1210" s="564" t="str">
        <f t="shared" si="261"/>
        <v xml:space="preserve"> </v>
      </c>
      <c r="N1210" s="564" t="str">
        <f t="shared" si="262"/>
        <v xml:space="preserve"> </v>
      </c>
      <c r="O1210" s="586"/>
      <c r="P1210" s="714"/>
      <c r="Q1210" s="564" t="str">
        <f>IF(O1210&lt;&gt;0,VLOOKUP(O1210,'Cây trong'!$A$2:$C$246,3,0)," ")</f>
        <v xml:space="preserve"> </v>
      </c>
      <c r="R1210" s="564" t="str">
        <f t="shared" si="265"/>
        <v xml:space="preserve"> </v>
      </c>
      <c r="S1210" s="586"/>
      <c r="T1210" s="609"/>
      <c r="U1210" s="710"/>
      <c r="V1210" s="593"/>
      <c r="W1210" s="564" t="str">
        <f>IF(S1210&lt;&gt;0,VLOOKUP(S1210,VKT!$A$2:$G$415,7,0),"")</f>
        <v/>
      </c>
      <c r="X1210" s="564" t="str">
        <f t="shared" si="258"/>
        <v xml:space="preserve"> </v>
      </c>
      <c r="Y1210" s="683"/>
      <c r="Z1210" s="683"/>
      <c r="AA1210" s="683"/>
      <c r="AB1210" s="694"/>
      <c r="AC1210" s="683"/>
      <c r="AD1210" s="683"/>
      <c r="AE1210" s="683"/>
      <c r="AF1210" s="590"/>
      <c r="AG1210" s="570" t="str">
        <f>IF(AE1210&lt;&gt;0,VLOOKUP(AE1210,ODDS!$A$2:$C$13,3,0),"")</f>
        <v/>
      </c>
      <c r="AH1210" s="570" t="str">
        <f t="shared" si="266"/>
        <v xml:space="preserve"> </v>
      </c>
      <c r="AI1210" s="571" t="str">
        <f t="shared" si="252"/>
        <v xml:space="preserve"> </v>
      </c>
      <c r="AJ1210" s="558" t="s">
        <v>2223</v>
      </c>
      <c r="AK1210" s="593"/>
    </row>
    <row r="1211" spans="1:37" s="385" customFormat="1" ht="20.25" outlineLevel="2" x14ac:dyDescent="0.3">
      <c r="A1211" s="447">
        <f>IF(B1210&lt;&gt;0,B1210,A1210)</f>
        <v>95</v>
      </c>
      <c r="B1211" s="557"/>
      <c r="C1211" s="572"/>
      <c r="D1211" s="703"/>
      <c r="E1211" s="615"/>
      <c r="F1211" s="700"/>
      <c r="G1211" s="558"/>
      <c r="H1211" s="709"/>
      <c r="I1211" s="546"/>
      <c r="J1211" s="710"/>
      <c r="K1211" s="563" t="str">
        <f>IF(G1211&lt;&gt;0,VLOOKUP(G1211,'gia dat'!$A$1:$F$144,5,0)," ")</f>
        <v xml:space="preserve"> </v>
      </c>
      <c r="L1211" s="563" t="str">
        <f>IF(G1211&lt;&gt;0,VLOOKUP(G1211,'gia dat'!$A$1:$F$144,6,0)," ")</f>
        <v xml:space="preserve"> </v>
      </c>
      <c r="M1211" s="564" t="str">
        <f t="shared" si="261"/>
        <v xml:space="preserve"> </v>
      </c>
      <c r="N1211" s="564" t="str">
        <f t="shared" si="262"/>
        <v xml:space="preserve"> </v>
      </c>
      <c r="O1211" s="586"/>
      <c r="P1211" s="714"/>
      <c r="Q1211" s="564" t="str">
        <f>IF(O1211&lt;&gt;0,VLOOKUP(O1211,'Cây trong'!$A$2:$C$246,3,0)," ")</f>
        <v xml:space="preserve"> </v>
      </c>
      <c r="R1211" s="564" t="str">
        <f t="shared" si="265"/>
        <v xml:space="preserve"> </v>
      </c>
      <c r="S1211" s="586"/>
      <c r="T1211" s="609"/>
      <c r="U1211" s="710"/>
      <c r="V1211" s="593"/>
      <c r="W1211" s="564" t="str">
        <f>IF(S1211&lt;&gt;0,VLOOKUP(S1211,VKT!$A$2:$G$415,7,0),"")</f>
        <v/>
      </c>
      <c r="X1211" s="564" t="str">
        <f t="shared" si="258"/>
        <v xml:space="preserve"> </v>
      </c>
      <c r="Y1211" s="683"/>
      <c r="Z1211" s="683"/>
      <c r="AA1211" s="683"/>
      <c r="AB1211" s="694"/>
      <c r="AC1211" s="683"/>
      <c r="AD1211" s="683"/>
      <c r="AE1211" s="683"/>
      <c r="AF1211" s="590"/>
      <c r="AG1211" s="570" t="str">
        <f>IF(AE1211&lt;&gt;0,VLOOKUP(AE1211,ODDS!$A$2:$C$13,3,0),"")</f>
        <v/>
      </c>
      <c r="AH1211" s="570" t="str">
        <f t="shared" si="266"/>
        <v xml:space="preserve"> </v>
      </c>
      <c r="AI1211" s="571" t="str">
        <f t="shared" si="252"/>
        <v xml:space="preserve"> </v>
      </c>
      <c r="AJ1211" s="704"/>
      <c r="AK1211" s="593"/>
    </row>
    <row r="1212" spans="1:37" s="385" customFormat="1" ht="20.25" outlineLevel="2" x14ac:dyDescent="0.3">
      <c r="A1212" s="447">
        <f>IF(B1211&lt;&gt;0,B1211,A1211)</f>
        <v>95</v>
      </c>
      <c r="B1212" s="557"/>
      <c r="C1212" s="607"/>
      <c r="D1212" s="615"/>
      <c r="E1212" s="612"/>
      <c r="F1212" s="612"/>
      <c r="G1212" s="586"/>
      <c r="H1212" s="709"/>
      <c r="I1212" s="546"/>
      <c r="J1212" s="710"/>
      <c r="K1212" s="563" t="str">
        <f>IF(G1212&lt;&gt;0,VLOOKUP(G1212,'gia dat'!$A$1:$F$144,5,0)," ")</f>
        <v xml:space="preserve"> </v>
      </c>
      <c r="L1212" s="563" t="str">
        <f>IF(G1212&lt;&gt;0,VLOOKUP(G1212,'gia dat'!$A$1:$F$144,6,0)," ")</f>
        <v xml:space="preserve"> </v>
      </c>
      <c r="M1212" s="564" t="str">
        <f t="shared" si="261"/>
        <v xml:space="preserve"> </v>
      </c>
      <c r="N1212" s="564" t="str">
        <f t="shared" si="262"/>
        <v xml:space="preserve"> </v>
      </c>
      <c r="O1212" s="586"/>
      <c r="P1212" s="714"/>
      <c r="Q1212" s="564" t="str">
        <f>IF(O1212&lt;&gt;0,VLOOKUP(O1212,'Cây trong'!$A$2:$C$246,3,0)," ")</f>
        <v xml:space="preserve"> </v>
      </c>
      <c r="R1212" s="564" t="str">
        <f t="shared" si="265"/>
        <v xml:space="preserve"> </v>
      </c>
      <c r="S1212" s="586"/>
      <c r="T1212" s="609"/>
      <c r="U1212" s="710"/>
      <c r="V1212" s="593"/>
      <c r="W1212" s="564" t="str">
        <f>IF(S1212&lt;&gt;0,VLOOKUP(S1212,VKT!$A$2:$G$415,7,0),"")</f>
        <v/>
      </c>
      <c r="X1212" s="564" t="str">
        <f t="shared" si="258"/>
        <v xml:space="preserve"> </v>
      </c>
      <c r="Y1212" s="683"/>
      <c r="Z1212" s="683"/>
      <c r="AA1212" s="683"/>
      <c r="AB1212" s="694"/>
      <c r="AC1212" s="683"/>
      <c r="AD1212" s="683"/>
      <c r="AE1212" s="683"/>
      <c r="AF1212" s="590"/>
      <c r="AG1212" s="570" t="str">
        <f>IF(AE1212&lt;&gt;0,VLOOKUP(AE1212,ODDS!$A$2:$C$13,3,0),"")</f>
        <v/>
      </c>
      <c r="AH1212" s="570" t="str">
        <f t="shared" si="266"/>
        <v xml:space="preserve"> </v>
      </c>
      <c r="AI1212" s="571" t="str">
        <f t="shared" si="252"/>
        <v xml:space="preserve"> </v>
      </c>
      <c r="AJ1212" s="593"/>
      <c r="AK1212" s="593"/>
    </row>
    <row r="1213" spans="1:37" s="385" customFormat="1" ht="20.25" outlineLevel="1" x14ac:dyDescent="0.25">
      <c r="A1213" s="467" t="s">
        <v>2614</v>
      </c>
      <c r="B1213" s="576">
        <v>96</v>
      </c>
      <c r="C1213" s="607" t="s">
        <v>904</v>
      </c>
      <c r="D1213" s="705"/>
      <c r="E1213" s="705"/>
      <c r="F1213" s="706"/>
      <c r="G1213" s="574"/>
      <c r="H1213" s="707">
        <f>SUBTOTAL(9,H1214:H1219)</f>
        <v>416.59999999999997</v>
      </c>
      <c r="I1213" s="579">
        <f>SUBTOTAL(9,I1214:I1219)</f>
        <v>0</v>
      </c>
      <c r="J1213" s="708"/>
      <c r="K1213" s="581"/>
      <c r="L1213" s="581"/>
      <c r="M1213" s="571">
        <f>SUBTOTAL(9,M1214:M1219)</f>
        <v>193969000</v>
      </c>
      <c r="N1213" s="571">
        <f>SUBTOTAL(9,N1214:N1219)</f>
        <v>0</v>
      </c>
      <c r="O1213" s="578"/>
      <c r="P1213" s="712">
        <f>SUBTOTAL(9,P1214:P1219)</f>
        <v>0</v>
      </c>
      <c r="Q1213" s="571"/>
      <c r="R1213" s="571">
        <f>SUBTOTAL(9,R1214:R1219)</f>
        <v>0</v>
      </c>
      <c r="S1213" s="578"/>
      <c r="T1213" s="621"/>
      <c r="U1213" s="708">
        <f>SUBTOTAL(9,U1214:U1219)</f>
        <v>0</v>
      </c>
      <c r="V1213" s="608"/>
      <c r="W1213" s="571"/>
      <c r="X1213" s="571">
        <f>SUBTOTAL(9,X1214:X1219)</f>
        <v>0</v>
      </c>
      <c r="Y1213" s="683"/>
      <c r="Z1213" s="683"/>
      <c r="AA1213" s="683"/>
      <c r="AB1213" s="694"/>
      <c r="AC1213" s="683"/>
      <c r="AD1213" s="683"/>
      <c r="AE1213" s="650"/>
      <c r="AF1213" s="599">
        <f>SUBTOTAL(9,AF1214:AF1219)</f>
        <v>0</v>
      </c>
      <c r="AG1213" s="585"/>
      <c r="AH1213" s="585">
        <f>SUBTOTAL(9,AH1214:AH1219)</f>
        <v>0</v>
      </c>
      <c r="AI1213" s="571">
        <f t="shared" si="252"/>
        <v>193969000</v>
      </c>
      <c r="AJ1213" s="574"/>
      <c r="AK1213" s="578"/>
    </row>
    <row r="1214" spans="1:37" s="385" customFormat="1" ht="121.5" outlineLevel="2" x14ac:dyDescent="0.3">
      <c r="A1214" s="447">
        <f>IF(B1213&lt;&gt;0,B1213,A1212)</f>
        <v>96</v>
      </c>
      <c r="B1214" s="557"/>
      <c r="C1214" s="558" t="s">
        <v>906</v>
      </c>
      <c r="D1214" s="615">
        <v>3</v>
      </c>
      <c r="E1214" s="615">
        <v>86</v>
      </c>
      <c r="F1214" s="700">
        <v>226</v>
      </c>
      <c r="G1214" s="558" t="s">
        <v>2862</v>
      </c>
      <c r="H1214" s="717">
        <f>415.4+1.2</f>
        <v>416.59999999999997</v>
      </c>
      <c r="I1214" s="546" t="str">
        <f t="shared" ref="I1214" si="268">IF(N1214&gt;0,H1214,"")</f>
        <v/>
      </c>
      <c r="J1214" s="710"/>
      <c r="K1214" s="563">
        <f>IF(G1214&lt;&gt;0,VLOOKUP(G1214,'gia dat'!$A$1:$F$144,5,0)," ")</f>
        <v>465600</v>
      </c>
      <c r="L1214" s="563">
        <f>IF(G1214&lt;&gt;0,VLOOKUP(G1214,'gia dat'!$A$1:$F$144,6,0)," ")</f>
        <v>0</v>
      </c>
      <c r="M1214" s="564">
        <f t="shared" si="261"/>
        <v>193969000</v>
      </c>
      <c r="N1214" s="564">
        <f t="shared" si="262"/>
        <v>0</v>
      </c>
      <c r="O1214" s="586"/>
      <c r="P1214" s="714"/>
      <c r="Q1214" s="564" t="str">
        <f>IF(O1214&lt;&gt;0,VLOOKUP(O1214,'Cây trong'!$A$2:$C$246,3,0)," ")</f>
        <v xml:space="preserve"> </v>
      </c>
      <c r="R1214" s="564" t="str">
        <f t="shared" si="265"/>
        <v xml:space="preserve"> </v>
      </c>
      <c r="S1214" s="586"/>
      <c r="T1214" s="609"/>
      <c r="U1214" s="710"/>
      <c r="V1214" s="593"/>
      <c r="W1214" s="564" t="str">
        <f>IF(S1214&lt;&gt;0,VLOOKUP(S1214,VKT!$A$2:$G$415,7,0),"")</f>
        <v/>
      </c>
      <c r="X1214" s="564" t="str">
        <f t="shared" si="258"/>
        <v xml:space="preserve"> </v>
      </c>
      <c r="Y1214" s="683"/>
      <c r="Z1214" s="683"/>
      <c r="AA1214" s="683"/>
      <c r="AB1214" s="694"/>
      <c r="AC1214" s="683"/>
      <c r="AD1214" s="683"/>
      <c r="AE1214" s="683"/>
      <c r="AF1214" s="590"/>
      <c r="AG1214" s="570" t="str">
        <f>IF(AE1214&lt;&gt;0,VLOOKUP(AE1214,ODDS!$A$2:$C$13,3,0),"")</f>
        <v/>
      </c>
      <c r="AH1214" s="570"/>
      <c r="AI1214" s="571" t="str">
        <f t="shared" si="252"/>
        <v xml:space="preserve"> </v>
      </c>
      <c r="AJ1214" s="558" t="s">
        <v>905</v>
      </c>
      <c r="AK1214" s="586" t="s">
        <v>2771</v>
      </c>
    </row>
    <row r="1215" spans="1:37" s="385" customFormat="1" ht="60.75" outlineLevel="2" x14ac:dyDescent="0.3">
      <c r="A1215" s="447">
        <f>IF(B1214&lt;&gt;0,B1214,A1214)</f>
        <v>96</v>
      </c>
      <c r="B1215" s="557"/>
      <c r="C1215" s="558" t="s">
        <v>908</v>
      </c>
      <c r="D1215" s="615"/>
      <c r="E1215" s="615"/>
      <c r="F1215" s="700"/>
      <c r="G1215" s="558"/>
      <c r="H1215" s="709"/>
      <c r="I1215" s="546"/>
      <c r="J1215" s="589"/>
      <c r="K1215" s="563" t="str">
        <f>IF(G1215&lt;&gt;0,VLOOKUP(G1215,'gia dat'!$A$1:$F$144,5,0)," ")</f>
        <v xml:space="preserve"> </v>
      </c>
      <c r="L1215" s="563" t="str">
        <f>IF(G1215&lt;&gt;0,VLOOKUP(G1215,'gia dat'!$A$1:$F$144,6,0)," ")</f>
        <v xml:space="preserve"> </v>
      </c>
      <c r="M1215" s="564" t="str">
        <f t="shared" si="261"/>
        <v xml:space="preserve"> </v>
      </c>
      <c r="N1215" s="564" t="str">
        <f t="shared" si="262"/>
        <v xml:space="preserve"> </v>
      </c>
      <c r="O1215" s="565"/>
      <c r="P1215" s="714"/>
      <c r="Q1215" s="564" t="str">
        <f>IF(O1215&lt;&gt;0,VLOOKUP(O1215,'Cây trong'!$A$2:$C$246,3,0)," ")</f>
        <v xml:space="preserve"> </v>
      </c>
      <c r="R1215" s="564" t="str">
        <f t="shared" si="265"/>
        <v xml:space="preserve"> </v>
      </c>
      <c r="S1215" s="566"/>
      <c r="T1215" s="589"/>
      <c r="U1215" s="710"/>
      <c r="V1215" s="593"/>
      <c r="W1215" s="564" t="str">
        <f>IF(S1215&lt;&gt;0,VLOOKUP(S1215,VKT!$A$2:$G$415,7,0),"")</f>
        <v/>
      </c>
      <c r="X1215" s="564" t="str">
        <f t="shared" si="258"/>
        <v xml:space="preserve"> </v>
      </c>
      <c r="Y1215" s="683"/>
      <c r="Z1215" s="683"/>
      <c r="AA1215" s="683"/>
      <c r="AB1215" s="694"/>
      <c r="AC1215" s="683"/>
      <c r="AD1215" s="683"/>
      <c r="AE1215" s="683"/>
      <c r="AF1215" s="590"/>
      <c r="AG1215" s="570" t="str">
        <f>IF(AE1215&lt;&gt;0,VLOOKUP(AE1215,ODDS!$A$2:$C$13,3,0),"")</f>
        <v/>
      </c>
      <c r="AH1215" s="570" t="str">
        <f t="shared" si="266"/>
        <v xml:space="preserve"> </v>
      </c>
      <c r="AI1215" s="571" t="str">
        <f t="shared" si="252"/>
        <v xml:space="preserve"> </v>
      </c>
      <c r="AJ1215" s="558" t="s">
        <v>2819</v>
      </c>
      <c r="AK1215" s="566"/>
    </row>
    <row r="1216" spans="1:37" s="385" customFormat="1" ht="20.25" outlineLevel="2" x14ac:dyDescent="0.3">
      <c r="A1216" s="447">
        <f>IF(B1215&lt;&gt;0,B1215,A1215)</f>
        <v>96</v>
      </c>
      <c r="B1216" s="557"/>
      <c r="C1216" s="558"/>
      <c r="D1216" s="615"/>
      <c r="E1216" s="615"/>
      <c r="F1216" s="700"/>
      <c r="G1216" s="558"/>
      <c r="H1216" s="709"/>
      <c r="I1216" s="546"/>
      <c r="J1216" s="589"/>
      <c r="K1216" s="563" t="str">
        <f>IF(G1216&lt;&gt;0,VLOOKUP(G1216,'gia dat'!$A$1:$F$144,5,0)," ")</f>
        <v xml:space="preserve"> </v>
      </c>
      <c r="L1216" s="563" t="str">
        <f>IF(G1216&lt;&gt;0,VLOOKUP(G1216,'gia dat'!$A$1:$F$144,6,0)," ")</f>
        <v xml:space="preserve"> </v>
      </c>
      <c r="M1216" s="564" t="str">
        <f t="shared" si="261"/>
        <v xml:space="preserve"> </v>
      </c>
      <c r="N1216" s="564" t="str">
        <f t="shared" si="262"/>
        <v xml:space="preserve"> </v>
      </c>
      <c r="O1216" s="565"/>
      <c r="P1216" s="714"/>
      <c r="Q1216" s="564" t="str">
        <f>IF(O1216&lt;&gt;0,VLOOKUP(O1216,'Cây trong'!$A$2:$C$246,3,0)," ")</f>
        <v xml:space="preserve"> </v>
      </c>
      <c r="R1216" s="564" t="str">
        <f t="shared" si="265"/>
        <v xml:space="preserve"> </v>
      </c>
      <c r="S1216" s="566"/>
      <c r="T1216" s="589"/>
      <c r="U1216" s="710"/>
      <c r="V1216" s="593"/>
      <c r="W1216" s="564" t="str">
        <f>IF(S1216&lt;&gt;0,VLOOKUP(S1216,VKT!$A$2:$G$415,7,0),"")</f>
        <v/>
      </c>
      <c r="X1216" s="564" t="str">
        <f t="shared" si="258"/>
        <v xml:space="preserve"> </v>
      </c>
      <c r="Y1216" s="683"/>
      <c r="Z1216" s="683"/>
      <c r="AA1216" s="683"/>
      <c r="AB1216" s="694"/>
      <c r="AC1216" s="683"/>
      <c r="AD1216" s="683"/>
      <c r="AE1216" s="683"/>
      <c r="AF1216" s="590"/>
      <c r="AG1216" s="570" t="str">
        <f>IF(AE1216&lt;&gt;0,VLOOKUP(AE1216,ODDS!$A$2:$C$13,3,0),"")</f>
        <v/>
      </c>
      <c r="AH1216" s="570" t="str">
        <f t="shared" si="266"/>
        <v xml:space="preserve"> </v>
      </c>
      <c r="AI1216" s="571" t="str">
        <f t="shared" si="252"/>
        <v xml:space="preserve"> </v>
      </c>
      <c r="AJ1216" s="593" t="s">
        <v>909</v>
      </c>
      <c r="AK1216" s="566"/>
    </row>
    <row r="1217" spans="1:37" s="385" customFormat="1" ht="81" outlineLevel="2" x14ac:dyDescent="0.3">
      <c r="A1217" s="447">
        <f>IF(B1216&lt;&gt;0,B1216,A1216)</f>
        <v>96</v>
      </c>
      <c r="B1217" s="557"/>
      <c r="C1217" s="558"/>
      <c r="D1217" s="615"/>
      <c r="E1217" s="615"/>
      <c r="F1217" s="700"/>
      <c r="G1217" s="558"/>
      <c r="H1217" s="709"/>
      <c r="I1217" s="546"/>
      <c r="J1217" s="589"/>
      <c r="K1217" s="563" t="str">
        <f>IF(G1217&lt;&gt;0,VLOOKUP(G1217,'gia dat'!$A$1:$F$144,5,0)," ")</f>
        <v xml:space="preserve"> </v>
      </c>
      <c r="L1217" s="563" t="str">
        <f>IF(G1217&lt;&gt;0,VLOOKUP(G1217,'gia dat'!$A$1:$F$144,6,0)," ")</f>
        <v xml:space="preserve"> </v>
      </c>
      <c r="M1217" s="564" t="str">
        <f t="shared" si="261"/>
        <v xml:space="preserve"> </v>
      </c>
      <c r="N1217" s="564" t="str">
        <f t="shared" si="262"/>
        <v xml:space="preserve"> </v>
      </c>
      <c r="O1217" s="565"/>
      <c r="P1217" s="714"/>
      <c r="Q1217" s="564" t="str">
        <f>IF(O1217&lt;&gt;0,VLOOKUP(O1217,'Cây trong'!$A$2:$C$246,3,0)," ")</f>
        <v xml:space="preserve"> </v>
      </c>
      <c r="R1217" s="564" t="str">
        <f t="shared" si="265"/>
        <v xml:space="preserve"> </v>
      </c>
      <c r="S1217" s="566"/>
      <c r="T1217" s="589"/>
      <c r="U1217" s="710"/>
      <c r="V1217" s="593"/>
      <c r="W1217" s="564" t="str">
        <f>IF(S1217&lt;&gt;0,VLOOKUP(S1217,VKT!$A$2:$G$415,7,0),"")</f>
        <v/>
      </c>
      <c r="X1217" s="564" t="str">
        <f t="shared" si="258"/>
        <v xml:space="preserve"> </v>
      </c>
      <c r="Y1217" s="683"/>
      <c r="Z1217" s="683"/>
      <c r="AA1217" s="683"/>
      <c r="AB1217" s="694"/>
      <c r="AC1217" s="683"/>
      <c r="AD1217" s="683"/>
      <c r="AE1217" s="683"/>
      <c r="AF1217" s="590"/>
      <c r="AG1217" s="570" t="str">
        <f>IF(AE1217&lt;&gt;0,VLOOKUP(AE1217,ODDS!$A$2:$C$13,3,0),"")</f>
        <v/>
      </c>
      <c r="AH1217" s="570" t="str">
        <f t="shared" si="266"/>
        <v xml:space="preserve"> </v>
      </c>
      <c r="AI1217" s="571" t="str">
        <f t="shared" si="252"/>
        <v xml:space="preserve"> </v>
      </c>
      <c r="AJ1217" s="558" t="s">
        <v>2224</v>
      </c>
      <c r="AK1217" s="593"/>
    </row>
    <row r="1218" spans="1:37" s="385" customFormat="1" ht="20.25" outlineLevel="2" x14ac:dyDescent="0.3">
      <c r="A1218" s="447">
        <f>IF(B1217&lt;&gt;0,B1217,A1217)</f>
        <v>96</v>
      </c>
      <c r="B1218" s="557"/>
      <c r="C1218" s="572"/>
      <c r="D1218" s="615"/>
      <c r="E1218" s="615"/>
      <c r="F1218" s="700"/>
      <c r="G1218" s="558"/>
      <c r="H1218" s="709"/>
      <c r="I1218" s="546"/>
      <c r="J1218" s="589"/>
      <c r="K1218" s="563" t="str">
        <f>IF(G1218&lt;&gt;0,VLOOKUP(G1218,'gia dat'!$A$1:$F$144,5,0)," ")</f>
        <v xml:space="preserve"> </v>
      </c>
      <c r="L1218" s="563" t="str">
        <f>IF(G1218&lt;&gt;0,VLOOKUP(G1218,'gia dat'!$A$1:$F$144,6,0)," ")</f>
        <v xml:space="preserve"> </v>
      </c>
      <c r="M1218" s="564" t="str">
        <f t="shared" si="261"/>
        <v xml:space="preserve"> </v>
      </c>
      <c r="N1218" s="564" t="str">
        <f t="shared" si="262"/>
        <v xml:space="preserve"> </v>
      </c>
      <c r="O1218" s="565"/>
      <c r="P1218" s="714"/>
      <c r="Q1218" s="564" t="str">
        <f>IF(O1218&lt;&gt;0,VLOOKUP(O1218,'Cây trong'!$A$2:$C$246,3,0)," ")</f>
        <v xml:space="preserve"> </v>
      </c>
      <c r="R1218" s="564" t="str">
        <f t="shared" si="265"/>
        <v xml:space="preserve"> </v>
      </c>
      <c r="S1218" s="566"/>
      <c r="T1218" s="589"/>
      <c r="U1218" s="710"/>
      <c r="V1218" s="593"/>
      <c r="W1218" s="564" t="str">
        <f>IF(S1218&lt;&gt;0,VLOOKUP(S1218,VKT!$A$2:$G$415,7,0),"")</f>
        <v/>
      </c>
      <c r="X1218" s="564" t="str">
        <f t="shared" si="258"/>
        <v xml:space="preserve"> </v>
      </c>
      <c r="Y1218" s="683"/>
      <c r="Z1218" s="683"/>
      <c r="AA1218" s="683"/>
      <c r="AB1218" s="694"/>
      <c r="AC1218" s="683"/>
      <c r="AD1218" s="683"/>
      <c r="AE1218" s="683"/>
      <c r="AF1218" s="590"/>
      <c r="AG1218" s="570" t="str">
        <f>IF(AE1218&lt;&gt;0,VLOOKUP(AE1218,ODDS!$A$2:$C$13,3,0),"")</f>
        <v/>
      </c>
      <c r="AH1218" s="570" t="str">
        <f t="shared" si="266"/>
        <v xml:space="preserve"> </v>
      </c>
      <c r="AI1218" s="571" t="str">
        <f t="shared" si="252"/>
        <v xml:space="preserve"> </v>
      </c>
      <c r="AJ1218" s="704"/>
      <c r="AK1218" s="593"/>
    </row>
    <row r="1219" spans="1:37" s="385" customFormat="1" ht="20.25" outlineLevel="2" x14ac:dyDescent="0.3">
      <c r="A1219" s="447">
        <f>IF(B1218&lt;&gt;0,B1218,A1218)</f>
        <v>96</v>
      </c>
      <c r="B1219" s="557"/>
      <c r="C1219" s="607"/>
      <c r="D1219" s="703"/>
      <c r="E1219" s="615"/>
      <c r="F1219" s="700"/>
      <c r="G1219" s="558"/>
      <c r="H1219" s="709"/>
      <c r="I1219" s="546"/>
      <c r="J1219" s="710"/>
      <c r="K1219" s="563" t="str">
        <f>IF(G1219&lt;&gt;0,VLOOKUP(G1219,'gia dat'!$A$1:$F$144,5,0)," ")</f>
        <v xml:space="preserve"> </v>
      </c>
      <c r="L1219" s="563" t="str">
        <f>IF(G1219&lt;&gt;0,VLOOKUP(G1219,'gia dat'!$A$1:$F$144,6,0)," ")</f>
        <v xml:space="preserve"> </v>
      </c>
      <c r="M1219" s="564" t="str">
        <f t="shared" si="261"/>
        <v xml:space="preserve"> </v>
      </c>
      <c r="N1219" s="564" t="str">
        <f t="shared" si="262"/>
        <v xml:space="preserve"> </v>
      </c>
      <c r="O1219" s="586"/>
      <c r="P1219" s="714"/>
      <c r="Q1219" s="564" t="str">
        <f>IF(O1219&lt;&gt;0,VLOOKUP(O1219,'Cây trong'!$A$2:$C$246,3,0)," ")</f>
        <v xml:space="preserve"> </v>
      </c>
      <c r="R1219" s="564" t="str">
        <f t="shared" si="265"/>
        <v xml:space="preserve"> </v>
      </c>
      <c r="S1219" s="586"/>
      <c r="T1219" s="609"/>
      <c r="U1219" s="710"/>
      <c r="V1219" s="593"/>
      <c r="W1219" s="564" t="str">
        <f>IF(S1219&lt;&gt;0,VLOOKUP(S1219,VKT!$A$2:$G$415,7,0),"")</f>
        <v/>
      </c>
      <c r="X1219" s="564" t="str">
        <f t="shared" si="258"/>
        <v xml:space="preserve"> </v>
      </c>
      <c r="Y1219" s="683"/>
      <c r="Z1219" s="683"/>
      <c r="AA1219" s="683"/>
      <c r="AB1219" s="694"/>
      <c r="AC1219" s="683"/>
      <c r="AD1219" s="683"/>
      <c r="AE1219" s="683"/>
      <c r="AF1219" s="590"/>
      <c r="AG1219" s="570" t="str">
        <f>IF(AE1219&lt;&gt;0,VLOOKUP(AE1219,ODDS!$A$2:$C$13,3,0),"")</f>
        <v/>
      </c>
      <c r="AH1219" s="570" t="str">
        <f t="shared" si="266"/>
        <v xml:space="preserve"> </v>
      </c>
      <c r="AI1219" s="571" t="str">
        <f t="shared" si="252"/>
        <v xml:space="preserve"> </v>
      </c>
      <c r="AJ1219" s="593"/>
      <c r="AK1219" s="593"/>
    </row>
    <row r="1220" spans="1:37" s="385" customFormat="1" ht="20.25" outlineLevel="1" x14ac:dyDescent="0.25">
      <c r="A1220" s="467" t="s">
        <v>2613</v>
      </c>
      <c r="B1220" s="576">
        <v>97</v>
      </c>
      <c r="C1220" s="607" t="s">
        <v>910</v>
      </c>
      <c r="D1220" s="711"/>
      <c r="E1220" s="705"/>
      <c r="F1220" s="706"/>
      <c r="G1220" s="574"/>
      <c r="H1220" s="707">
        <f>SUBTOTAL(9,H1221:H1227)</f>
        <v>771.3</v>
      </c>
      <c r="I1220" s="579">
        <f>SUBTOTAL(9,I1221:I1226)</f>
        <v>771.3</v>
      </c>
      <c r="J1220" s="708"/>
      <c r="K1220" s="581"/>
      <c r="L1220" s="581"/>
      <c r="M1220" s="571">
        <f>SUBTOTAL(9,M1221:M1227)</f>
        <v>290626000</v>
      </c>
      <c r="N1220" s="571">
        <f>SUBTOTAL(9,N1221:N1227)</f>
        <v>871878000</v>
      </c>
      <c r="O1220" s="578"/>
      <c r="P1220" s="712">
        <f>SUBTOTAL(9,P1221:P1227)</f>
        <v>0</v>
      </c>
      <c r="Q1220" s="571"/>
      <c r="R1220" s="571">
        <f>SUBTOTAL(9,R1221:R1227)</f>
        <v>0</v>
      </c>
      <c r="S1220" s="578"/>
      <c r="T1220" s="621"/>
      <c r="U1220" s="708">
        <f>SUBTOTAL(9,U1221:U1227)</f>
        <v>0</v>
      </c>
      <c r="V1220" s="608"/>
      <c r="W1220" s="571"/>
      <c r="X1220" s="571">
        <f>SUBTOTAL(9,X1221:X1227)</f>
        <v>0</v>
      </c>
      <c r="Y1220" s="683"/>
      <c r="Z1220" s="683"/>
      <c r="AA1220" s="683"/>
      <c r="AB1220" s="694"/>
      <c r="AC1220" s="683"/>
      <c r="AD1220" s="683"/>
      <c r="AE1220" s="650"/>
      <c r="AF1220" s="599">
        <f>SUBTOTAL(9,AF1221:AF1227)</f>
        <v>0</v>
      </c>
      <c r="AG1220" s="585"/>
      <c r="AH1220" s="585">
        <f>SUBTOTAL(9,AH1221:AH1227)</f>
        <v>0</v>
      </c>
      <c r="AI1220" s="571">
        <f t="shared" si="252"/>
        <v>1162504000</v>
      </c>
      <c r="AJ1220" s="574"/>
      <c r="AK1220" s="578"/>
    </row>
    <row r="1221" spans="1:37" s="385" customFormat="1" ht="121.5" outlineLevel="2" x14ac:dyDescent="0.3">
      <c r="A1221" s="447">
        <f>IF(B1220&lt;&gt;0,B1220,A1219)</f>
        <v>97</v>
      </c>
      <c r="B1221" s="557"/>
      <c r="C1221" s="572" t="s">
        <v>912</v>
      </c>
      <c r="D1221" s="703">
        <v>1</v>
      </c>
      <c r="E1221" s="615">
        <v>86</v>
      </c>
      <c r="F1221" s="700">
        <v>208</v>
      </c>
      <c r="G1221" s="558" t="s">
        <v>2433</v>
      </c>
      <c r="H1221" s="709">
        <v>771.3</v>
      </c>
      <c r="I1221" s="546">
        <f t="shared" ref="I1221" si="269">IF(N1221&gt;0,H1221,"")</f>
        <v>771.3</v>
      </c>
      <c r="J1221" s="710"/>
      <c r="K1221" s="563">
        <f>IF(G1221&lt;&gt;0,VLOOKUP(G1221,'gia dat'!$A$1:$F$144,5,0)," ")</f>
        <v>376800</v>
      </c>
      <c r="L1221" s="563">
        <f>IF(G1221&lt;&gt;0,VLOOKUP(G1221,'gia dat'!$A$1:$F$144,6,0)," ")</f>
        <v>1130400</v>
      </c>
      <c r="M1221" s="564">
        <f t="shared" si="261"/>
        <v>290626000</v>
      </c>
      <c r="N1221" s="564">
        <f t="shared" si="262"/>
        <v>871878000</v>
      </c>
      <c r="O1221" s="586"/>
      <c r="P1221" s="714"/>
      <c r="Q1221" s="564" t="str">
        <f>IF(O1221&lt;&gt;0,VLOOKUP(O1221,'Cây trong'!$A$2:$C$246,3,0)," ")</f>
        <v xml:space="preserve"> </v>
      </c>
      <c r="R1221" s="564" t="str">
        <f t="shared" si="265"/>
        <v xml:space="preserve"> </v>
      </c>
      <c r="S1221" s="586"/>
      <c r="T1221" s="609"/>
      <c r="U1221" s="710"/>
      <c r="V1221" s="593"/>
      <c r="W1221" s="564" t="str">
        <f>IF(S1221&lt;&gt;0,VLOOKUP(S1221,VKT!$A$2:$G$415,7,0),"")</f>
        <v/>
      </c>
      <c r="X1221" s="564" t="str">
        <f t="shared" si="258"/>
        <v xml:space="preserve"> </v>
      </c>
      <c r="Y1221" s="683"/>
      <c r="Z1221" s="683"/>
      <c r="AA1221" s="683"/>
      <c r="AB1221" s="694"/>
      <c r="AC1221" s="683"/>
      <c r="AD1221" s="683"/>
      <c r="AE1221" s="683"/>
      <c r="AF1221" s="590"/>
      <c r="AG1221" s="570" t="str">
        <f>IF(AE1221&lt;&gt;0,VLOOKUP(AE1221,ODDS!$A$2:$C$13,3,0),"")</f>
        <v/>
      </c>
      <c r="AH1221" s="570"/>
      <c r="AI1221" s="571" t="str">
        <f t="shared" si="252"/>
        <v xml:space="preserve"> </v>
      </c>
      <c r="AJ1221" s="558" t="s">
        <v>911</v>
      </c>
      <c r="AK1221" s="586" t="s">
        <v>2771</v>
      </c>
    </row>
    <row r="1222" spans="1:37" s="385" customFormat="1" ht="101.25" outlineLevel="2" x14ac:dyDescent="0.3">
      <c r="A1222" s="447">
        <f t="shared" ref="A1222:A1227" si="270">IF(B1221&lt;&gt;0,B1221,A1221)</f>
        <v>97</v>
      </c>
      <c r="B1222" s="557"/>
      <c r="C1222" s="558" t="s">
        <v>914</v>
      </c>
      <c r="D1222" s="615"/>
      <c r="E1222" s="612"/>
      <c r="F1222" s="612"/>
      <c r="G1222" s="586"/>
      <c r="H1222" s="709"/>
      <c r="I1222" s="546"/>
      <c r="J1222" s="710"/>
      <c r="K1222" s="563" t="str">
        <f>IF(G1222&lt;&gt;0,VLOOKUP(G1222,'gia dat'!$A$1:$F$144,5,0)," ")</f>
        <v xml:space="preserve"> </v>
      </c>
      <c r="L1222" s="563" t="str">
        <f>IF(G1222&lt;&gt;0,VLOOKUP(G1222,'gia dat'!$A$1:$F$144,6,0)," ")</f>
        <v xml:space="preserve"> </v>
      </c>
      <c r="M1222" s="564" t="str">
        <f t="shared" si="261"/>
        <v xml:space="preserve"> </v>
      </c>
      <c r="N1222" s="564" t="str">
        <f t="shared" si="262"/>
        <v xml:space="preserve"> </v>
      </c>
      <c r="O1222" s="586"/>
      <c r="P1222" s="714"/>
      <c r="Q1222" s="564" t="str">
        <f>IF(O1222&lt;&gt;0,VLOOKUP(O1222,'Cây trong'!$A$2:$C$246,3,0)," ")</f>
        <v xml:space="preserve"> </v>
      </c>
      <c r="R1222" s="564" t="str">
        <f t="shared" si="265"/>
        <v xml:space="preserve"> </v>
      </c>
      <c r="S1222" s="586"/>
      <c r="T1222" s="609"/>
      <c r="U1222" s="710"/>
      <c r="V1222" s="593"/>
      <c r="W1222" s="564" t="str">
        <f>IF(S1222&lt;&gt;0,VLOOKUP(S1222,VKT!$A$2:$G$415,7,0),"")</f>
        <v/>
      </c>
      <c r="X1222" s="564" t="str">
        <f t="shared" si="258"/>
        <v xml:space="preserve"> </v>
      </c>
      <c r="Y1222" s="683"/>
      <c r="Z1222" s="683"/>
      <c r="AA1222" s="683"/>
      <c r="AB1222" s="694"/>
      <c r="AC1222" s="683"/>
      <c r="AD1222" s="683"/>
      <c r="AE1222" s="683"/>
      <c r="AF1222" s="590"/>
      <c r="AG1222" s="570" t="str">
        <f>IF(AE1222&lt;&gt;0,VLOOKUP(AE1222,ODDS!$A$2:$C$13,3,0),"")</f>
        <v/>
      </c>
      <c r="AH1222" s="570" t="str">
        <f t="shared" si="266"/>
        <v xml:space="preserve"> </v>
      </c>
      <c r="AI1222" s="571" t="str">
        <f t="shared" si="252"/>
        <v xml:space="preserve"> </v>
      </c>
      <c r="AJ1222" s="558" t="s">
        <v>2820</v>
      </c>
      <c r="AK1222" s="558" t="s">
        <v>2448</v>
      </c>
    </row>
    <row r="1223" spans="1:37" s="385" customFormat="1" ht="20.25" outlineLevel="2" x14ac:dyDescent="0.3">
      <c r="A1223" s="447">
        <f t="shared" si="270"/>
        <v>97</v>
      </c>
      <c r="B1223" s="557"/>
      <c r="C1223" s="558"/>
      <c r="D1223" s="615"/>
      <c r="E1223" s="615"/>
      <c r="F1223" s="700"/>
      <c r="G1223" s="558"/>
      <c r="H1223" s="709"/>
      <c r="I1223" s="546"/>
      <c r="J1223" s="589"/>
      <c r="K1223" s="563" t="str">
        <f>IF(G1223&lt;&gt;0,VLOOKUP(G1223,'gia dat'!$A$1:$F$144,5,0)," ")</f>
        <v xml:space="preserve"> </v>
      </c>
      <c r="L1223" s="563" t="str">
        <f>IF(G1223&lt;&gt;0,VLOOKUP(G1223,'gia dat'!$A$1:$F$144,6,0)," ")</f>
        <v xml:space="preserve"> </v>
      </c>
      <c r="M1223" s="564" t="str">
        <f t="shared" si="261"/>
        <v xml:space="preserve"> </v>
      </c>
      <c r="N1223" s="564" t="str">
        <f t="shared" si="262"/>
        <v xml:space="preserve"> </v>
      </c>
      <c r="O1223" s="565"/>
      <c r="P1223" s="714"/>
      <c r="Q1223" s="564" t="str">
        <f>IF(O1223&lt;&gt;0,VLOOKUP(O1223,'Cây trong'!$A$2:$C$246,3,0)," ")</f>
        <v xml:space="preserve"> </v>
      </c>
      <c r="R1223" s="564" t="str">
        <f t="shared" si="265"/>
        <v xml:space="preserve"> </v>
      </c>
      <c r="S1223" s="566"/>
      <c r="T1223" s="589"/>
      <c r="U1223" s="710"/>
      <c r="V1223" s="593"/>
      <c r="W1223" s="564" t="str">
        <f>IF(S1223&lt;&gt;0,VLOOKUP(S1223,VKT!$A$2:$G$415,7,0),"")</f>
        <v/>
      </c>
      <c r="X1223" s="564" t="str">
        <f t="shared" si="258"/>
        <v xml:space="preserve"> </v>
      </c>
      <c r="Y1223" s="683"/>
      <c r="Z1223" s="683"/>
      <c r="AA1223" s="683"/>
      <c r="AB1223" s="694"/>
      <c r="AC1223" s="683"/>
      <c r="AD1223" s="683"/>
      <c r="AE1223" s="683"/>
      <c r="AF1223" s="590"/>
      <c r="AG1223" s="570" t="str">
        <f>IF(AE1223&lt;&gt;0,VLOOKUP(AE1223,ODDS!$A$2:$C$13,3,0),"")</f>
        <v/>
      </c>
      <c r="AH1223" s="570" t="str">
        <f t="shared" si="266"/>
        <v xml:space="preserve"> </v>
      </c>
      <c r="AI1223" s="571" t="str">
        <f t="shared" si="252"/>
        <v xml:space="preserve"> </v>
      </c>
      <c r="AJ1223" s="558" t="s">
        <v>915</v>
      </c>
      <c r="AK1223" s="566"/>
    </row>
    <row r="1224" spans="1:37" s="385" customFormat="1" ht="20.25" outlineLevel="2" x14ac:dyDescent="0.3">
      <c r="A1224" s="447">
        <f t="shared" si="270"/>
        <v>97</v>
      </c>
      <c r="B1224" s="557"/>
      <c r="C1224" s="558"/>
      <c r="D1224" s="615"/>
      <c r="E1224" s="615"/>
      <c r="F1224" s="700"/>
      <c r="G1224" s="558"/>
      <c r="H1224" s="709"/>
      <c r="I1224" s="546"/>
      <c r="J1224" s="589"/>
      <c r="K1224" s="563" t="str">
        <f>IF(G1224&lt;&gt;0,VLOOKUP(G1224,'gia dat'!$A$1:$F$144,5,0)," ")</f>
        <v xml:space="preserve"> </v>
      </c>
      <c r="L1224" s="563" t="str">
        <f>IF(G1224&lt;&gt;0,VLOOKUP(G1224,'gia dat'!$A$1:$F$144,6,0)," ")</f>
        <v xml:space="preserve"> </v>
      </c>
      <c r="M1224" s="564" t="str">
        <f t="shared" si="261"/>
        <v xml:space="preserve"> </v>
      </c>
      <c r="N1224" s="564" t="str">
        <f t="shared" si="262"/>
        <v xml:space="preserve"> </v>
      </c>
      <c r="O1224" s="565"/>
      <c r="P1224" s="714"/>
      <c r="Q1224" s="564" t="str">
        <f>IF(O1224&lt;&gt;0,VLOOKUP(O1224,'Cây trong'!$A$2:$C$246,3,0)," ")</f>
        <v xml:space="preserve"> </v>
      </c>
      <c r="R1224" s="564" t="str">
        <f t="shared" si="265"/>
        <v xml:space="preserve"> </v>
      </c>
      <c r="S1224" s="566"/>
      <c r="T1224" s="589"/>
      <c r="U1224" s="710"/>
      <c r="V1224" s="593"/>
      <c r="W1224" s="564" t="str">
        <f>IF(S1224&lt;&gt;0,VLOOKUP(S1224,VKT!$A$2:$G$415,7,0),"")</f>
        <v/>
      </c>
      <c r="X1224" s="564" t="str">
        <f t="shared" si="258"/>
        <v xml:space="preserve"> </v>
      </c>
      <c r="Y1224" s="683"/>
      <c r="Z1224" s="683"/>
      <c r="AA1224" s="683"/>
      <c r="AB1224" s="694"/>
      <c r="AC1224" s="683"/>
      <c r="AD1224" s="683"/>
      <c r="AE1224" s="683"/>
      <c r="AF1224" s="590"/>
      <c r="AG1224" s="570" t="str">
        <f>IF(AE1224&lt;&gt;0,VLOOKUP(AE1224,ODDS!$A$2:$C$13,3,0),"")</f>
        <v/>
      </c>
      <c r="AH1224" s="570" t="str">
        <f t="shared" si="266"/>
        <v xml:space="preserve"> </v>
      </c>
      <c r="AI1224" s="571" t="str">
        <f t="shared" si="252"/>
        <v xml:space="preserve"> </v>
      </c>
      <c r="AJ1224" s="593" t="s">
        <v>809</v>
      </c>
      <c r="AK1224" s="593"/>
    </row>
    <row r="1225" spans="1:37" s="385" customFormat="1" ht="60.75" outlineLevel="2" x14ac:dyDescent="0.3">
      <c r="A1225" s="447">
        <f t="shared" si="270"/>
        <v>97</v>
      </c>
      <c r="B1225" s="557"/>
      <c r="C1225" s="558"/>
      <c r="D1225" s="615"/>
      <c r="E1225" s="615"/>
      <c r="F1225" s="700"/>
      <c r="G1225" s="558"/>
      <c r="H1225" s="709"/>
      <c r="I1225" s="546"/>
      <c r="J1225" s="589"/>
      <c r="K1225" s="563" t="str">
        <f>IF(G1225&lt;&gt;0,VLOOKUP(G1225,'gia dat'!$A$1:$F$144,5,0)," ")</f>
        <v xml:space="preserve"> </v>
      </c>
      <c r="L1225" s="563" t="str">
        <f>IF(G1225&lt;&gt;0,VLOOKUP(G1225,'gia dat'!$A$1:$F$144,6,0)," ")</f>
        <v xml:space="preserve"> </v>
      </c>
      <c r="M1225" s="564" t="str">
        <f t="shared" si="261"/>
        <v xml:space="preserve"> </v>
      </c>
      <c r="N1225" s="564" t="str">
        <f t="shared" si="262"/>
        <v xml:space="preserve"> </v>
      </c>
      <c r="O1225" s="565"/>
      <c r="P1225" s="714"/>
      <c r="Q1225" s="564" t="str">
        <f>IF(O1225&lt;&gt;0,VLOOKUP(O1225,'Cây trong'!$A$2:$C$246,3,0)," ")</f>
        <v xml:space="preserve"> </v>
      </c>
      <c r="R1225" s="564" t="str">
        <f t="shared" si="265"/>
        <v xml:space="preserve"> </v>
      </c>
      <c r="S1225" s="566"/>
      <c r="T1225" s="589"/>
      <c r="U1225" s="710"/>
      <c r="V1225" s="593"/>
      <c r="W1225" s="564" t="str">
        <f>IF(S1225&lt;&gt;0,VLOOKUP(S1225,VKT!$A$2:$G$415,7,0),"")</f>
        <v/>
      </c>
      <c r="X1225" s="564" t="str">
        <f t="shared" si="258"/>
        <v xml:space="preserve"> </v>
      </c>
      <c r="Y1225" s="683"/>
      <c r="Z1225" s="683"/>
      <c r="AA1225" s="683"/>
      <c r="AB1225" s="694"/>
      <c r="AC1225" s="683"/>
      <c r="AD1225" s="683"/>
      <c r="AE1225" s="683"/>
      <c r="AF1225" s="590"/>
      <c r="AG1225" s="570" t="str">
        <f>IF(AE1225&lt;&gt;0,VLOOKUP(AE1225,ODDS!$A$2:$C$13,3,0),"")</f>
        <v/>
      </c>
      <c r="AH1225" s="570" t="str">
        <f t="shared" si="266"/>
        <v xml:space="preserve"> </v>
      </c>
      <c r="AI1225" s="571" t="str">
        <f t="shared" ref="AI1225:AI1288" si="271">IF(B1225&lt;&gt;0,M1225+N1225+R1225+X1225+AH1225," ")</f>
        <v xml:space="preserve"> </v>
      </c>
      <c r="AJ1225" s="558" t="s">
        <v>2074</v>
      </c>
      <c r="AK1225" s="593"/>
    </row>
    <row r="1226" spans="1:37" s="385" customFormat="1" ht="20.25" outlineLevel="2" x14ac:dyDescent="0.3">
      <c r="A1226" s="447">
        <f t="shared" si="270"/>
        <v>97</v>
      </c>
      <c r="B1226" s="557"/>
      <c r="C1226" s="558"/>
      <c r="D1226" s="615"/>
      <c r="E1226" s="615"/>
      <c r="F1226" s="700"/>
      <c r="G1226" s="558"/>
      <c r="H1226" s="709"/>
      <c r="I1226" s="546"/>
      <c r="J1226" s="589"/>
      <c r="K1226" s="563" t="str">
        <f>IF(G1226&lt;&gt;0,VLOOKUP(G1226,'gia dat'!$A$1:$F$144,5,0)," ")</f>
        <v xml:space="preserve"> </v>
      </c>
      <c r="L1226" s="563" t="str">
        <f>IF(G1226&lt;&gt;0,VLOOKUP(G1226,'gia dat'!$A$1:$F$144,6,0)," ")</f>
        <v xml:space="preserve"> </v>
      </c>
      <c r="M1226" s="564" t="str">
        <f t="shared" si="261"/>
        <v xml:space="preserve"> </v>
      </c>
      <c r="N1226" s="564" t="str">
        <f t="shared" si="262"/>
        <v xml:space="preserve"> </v>
      </c>
      <c r="O1226" s="565"/>
      <c r="P1226" s="714"/>
      <c r="Q1226" s="564" t="str">
        <f>IF(O1226&lt;&gt;0,VLOOKUP(O1226,'Cây trong'!$A$2:$C$246,3,0)," ")</f>
        <v xml:space="preserve"> </v>
      </c>
      <c r="R1226" s="564" t="str">
        <f t="shared" si="265"/>
        <v xml:space="preserve"> </v>
      </c>
      <c r="S1226" s="566"/>
      <c r="T1226" s="589"/>
      <c r="U1226" s="710"/>
      <c r="V1226" s="593"/>
      <c r="W1226" s="564" t="str">
        <f>IF(S1226&lt;&gt;0,VLOOKUP(S1226,VKT!$A$2:$G$415,7,0),"")</f>
        <v/>
      </c>
      <c r="X1226" s="564" t="str">
        <f t="shared" si="258"/>
        <v xml:space="preserve"> </v>
      </c>
      <c r="Y1226" s="683"/>
      <c r="Z1226" s="683"/>
      <c r="AA1226" s="683"/>
      <c r="AB1226" s="694"/>
      <c r="AC1226" s="683"/>
      <c r="AD1226" s="683"/>
      <c r="AE1226" s="683"/>
      <c r="AF1226" s="590"/>
      <c r="AG1226" s="570" t="str">
        <f>IF(AE1226&lt;&gt;0,VLOOKUP(AE1226,ODDS!$A$2:$C$13,3,0),"")</f>
        <v/>
      </c>
      <c r="AH1226" s="570" t="str">
        <f t="shared" si="266"/>
        <v xml:space="preserve"> </v>
      </c>
      <c r="AI1226" s="571" t="str">
        <f t="shared" si="271"/>
        <v xml:space="preserve"> </v>
      </c>
      <c r="AJ1226" s="704"/>
      <c r="AK1226" s="593"/>
    </row>
    <row r="1227" spans="1:37" s="385" customFormat="1" ht="20.25" outlineLevel="2" x14ac:dyDescent="0.3">
      <c r="A1227" s="447">
        <f t="shared" si="270"/>
        <v>97</v>
      </c>
      <c r="B1227" s="557"/>
      <c r="C1227" s="574"/>
      <c r="D1227" s="615"/>
      <c r="E1227" s="615"/>
      <c r="F1227" s="700"/>
      <c r="G1227" s="558"/>
      <c r="H1227" s="709"/>
      <c r="I1227" s="546"/>
      <c r="J1227" s="589"/>
      <c r="K1227" s="563" t="str">
        <f>IF(G1227&lt;&gt;0,VLOOKUP(G1227,'gia dat'!$A$1:$F$144,5,0)," ")</f>
        <v xml:space="preserve"> </v>
      </c>
      <c r="L1227" s="563" t="str">
        <f>IF(G1227&lt;&gt;0,VLOOKUP(G1227,'gia dat'!$A$1:$F$144,6,0)," ")</f>
        <v xml:space="preserve"> </v>
      </c>
      <c r="M1227" s="564" t="str">
        <f t="shared" si="261"/>
        <v xml:space="preserve"> </v>
      </c>
      <c r="N1227" s="564" t="str">
        <f t="shared" si="262"/>
        <v xml:space="preserve"> </v>
      </c>
      <c r="O1227" s="565"/>
      <c r="P1227" s="714"/>
      <c r="Q1227" s="564" t="str">
        <f>IF(O1227&lt;&gt;0,VLOOKUP(O1227,'Cây trong'!$A$2:$C$246,3,0)," ")</f>
        <v xml:space="preserve"> </v>
      </c>
      <c r="R1227" s="564" t="str">
        <f t="shared" si="265"/>
        <v xml:space="preserve"> </v>
      </c>
      <c r="S1227" s="566"/>
      <c r="T1227" s="589"/>
      <c r="U1227" s="710"/>
      <c r="V1227" s="593"/>
      <c r="W1227" s="564" t="str">
        <f>IF(S1227&lt;&gt;0,VLOOKUP(S1227,VKT!$A$2:$G$415,7,0),"")</f>
        <v/>
      </c>
      <c r="X1227" s="564" t="str">
        <f t="shared" si="258"/>
        <v xml:space="preserve"> </v>
      </c>
      <c r="Y1227" s="683"/>
      <c r="Z1227" s="683"/>
      <c r="AA1227" s="683"/>
      <c r="AB1227" s="694"/>
      <c r="AC1227" s="683"/>
      <c r="AD1227" s="683"/>
      <c r="AE1227" s="683"/>
      <c r="AF1227" s="590"/>
      <c r="AG1227" s="570" t="str">
        <f>IF(AE1227&lt;&gt;0,VLOOKUP(AE1227,ODDS!$A$2:$C$13,3,0),"")</f>
        <v/>
      </c>
      <c r="AH1227" s="570" t="str">
        <f t="shared" si="266"/>
        <v xml:space="preserve"> </v>
      </c>
      <c r="AI1227" s="571" t="str">
        <f t="shared" si="271"/>
        <v xml:space="preserve"> </v>
      </c>
      <c r="AJ1227" s="593"/>
      <c r="AK1227" s="593"/>
    </row>
    <row r="1228" spans="1:37" s="385" customFormat="1" ht="20.25" outlineLevel="1" x14ac:dyDescent="0.25">
      <c r="A1228" s="467" t="s">
        <v>2612</v>
      </c>
      <c r="B1228" s="576">
        <v>98</v>
      </c>
      <c r="C1228" s="574" t="s">
        <v>916</v>
      </c>
      <c r="D1228" s="705"/>
      <c r="E1228" s="705"/>
      <c r="F1228" s="706"/>
      <c r="G1228" s="574"/>
      <c r="H1228" s="707">
        <f>SUBTOTAL(9,H1229:H1238)</f>
        <v>1762.5</v>
      </c>
      <c r="I1228" s="579">
        <f>SUBTOTAL(9,I1229:I1234)</f>
        <v>1762.5</v>
      </c>
      <c r="J1228" s="597"/>
      <c r="K1228" s="581"/>
      <c r="L1228" s="581"/>
      <c r="M1228" s="571">
        <f>SUBTOTAL(9,M1229:M1238)</f>
        <v>664110000</v>
      </c>
      <c r="N1228" s="571">
        <f>SUBTOTAL(9,N1229:N1238)</f>
        <v>1992330000</v>
      </c>
      <c r="O1228" s="598"/>
      <c r="P1228" s="712">
        <f>SUBTOTAL(9,P1229:P1238)</f>
        <v>85</v>
      </c>
      <c r="Q1228" s="571"/>
      <c r="R1228" s="571">
        <f>SUBTOTAL(9,R1229:R1238)</f>
        <v>6968000</v>
      </c>
      <c r="S1228" s="582"/>
      <c r="T1228" s="597"/>
      <c r="U1228" s="708">
        <f>SUBTOTAL(9,U1229:U1238)</f>
        <v>0</v>
      </c>
      <c r="V1228" s="608"/>
      <c r="W1228" s="571"/>
      <c r="X1228" s="571">
        <f>SUBTOTAL(9,X1229:X1238)</f>
        <v>0</v>
      </c>
      <c r="Y1228" s="683"/>
      <c r="Z1228" s="683"/>
      <c r="AA1228" s="683"/>
      <c r="AB1228" s="694"/>
      <c r="AC1228" s="683"/>
      <c r="AD1228" s="683"/>
      <c r="AE1228" s="650"/>
      <c r="AF1228" s="599">
        <f>SUBTOTAL(9,AF1229:AF1238)</f>
        <v>0</v>
      </c>
      <c r="AG1228" s="585"/>
      <c r="AH1228" s="585">
        <f>SUBTOTAL(9,AH1229:AH1238)</f>
        <v>0</v>
      </c>
      <c r="AI1228" s="571">
        <f t="shared" si="271"/>
        <v>2663408000</v>
      </c>
      <c r="AJ1228" s="574"/>
      <c r="AK1228" s="578"/>
    </row>
    <row r="1229" spans="1:37" s="385" customFormat="1" ht="121.5" outlineLevel="2" x14ac:dyDescent="0.3">
      <c r="A1229" s="447">
        <f>IF(B1228&lt;&gt;0,B1228,A1227)</f>
        <v>98</v>
      </c>
      <c r="B1229" s="557"/>
      <c r="C1229" s="558" t="s">
        <v>918</v>
      </c>
      <c r="D1229" s="615">
        <v>5</v>
      </c>
      <c r="E1229" s="615">
        <v>86</v>
      </c>
      <c r="F1229" s="700">
        <v>45</v>
      </c>
      <c r="G1229" s="558" t="s">
        <v>2433</v>
      </c>
      <c r="H1229" s="709">
        <v>1762.5</v>
      </c>
      <c r="I1229" s="546">
        <f t="shared" ref="I1229" si="272">IF(N1229&gt;0,H1229,"")</f>
        <v>1762.5</v>
      </c>
      <c r="J1229" s="589"/>
      <c r="K1229" s="563">
        <f>IF(G1229&lt;&gt;0,VLOOKUP(G1229,'gia dat'!$A$1:$F$144,5,0)," ")</f>
        <v>376800</v>
      </c>
      <c r="L1229" s="563">
        <f>IF(G1229&lt;&gt;0,VLOOKUP(G1229,'gia dat'!$A$1:$F$144,6,0)," ")</f>
        <v>1130400</v>
      </c>
      <c r="M1229" s="564">
        <f t="shared" si="261"/>
        <v>664110000</v>
      </c>
      <c r="N1229" s="564">
        <f t="shared" si="262"/>
        <v>1992330000</v>
      </c>
      <c r="O1229" s="565" t="s">
        <v>406</v>
      </c>
      <c r="P1229" s="714">
        <v>12</v>
      </c>
      <c r="Q1229" s="564">
        <f>IF(O1229&lt;&gt;0,VLOOKUP(O1229,'Cây trong'!$A$2:$C$246,3,0)," ")</f>
        <v>180000</v>
      </c>
      <c r="R1229" s="564">
        <f t="shared" si="265"/>
        <v>2160000</v>
      </c>
      <c r="S1229" s="566"/>
      <c r="T1229" s="589"/>
      <c r="U1229" s="710"/>
      <c r="V1229" s="593"/>
      <c r="W1229" s="564" t="str">
        <f>IF(S1229&lt;&gt;0,VLOOKUP(S1229,VKT!$A$2:$G$415,7,0),"")</f>
        <v/>
      </c>
      <c r="X1229" s="564" t="str">
        <f t="shared" si="258"/>
        <v xml:space="preserve"> </v>
      </c>
      <c r="Y1229" s="683"/>
      <c r="Z1229" s="683"/>
      <c r="AA1229" s="683"/>
      <c r="AB1229" s="694"/>
      <c r="AC1229" s="683"/>
      <c r="AD1229" s="683"/>
      <c r="AE1229" s="683"/>
      <c r="AF1229" s="590"/>
      <c r="AG1229" s="570" t="str">
        <f>IF(AE1229&lt;&gt;0,VLOOKUP(AE1229,ODDS!$A$2:$C$13,3,0),"")</f>
        <v/>
      </c>
      <c r="AH1229" s="570"/>
      <c r="AI1229" s="571" t="str">
        <f t="shared" si="271"/>
        <v xml:space="preserve"> </v>
      </c>
      <c r="AJ1229" s="558" t="s">
        <v>917</v>
      </c>
      <c r="AK1229" s="586" t="s">
        <v>2771</v>
      </c>
    </row>
    <row r="1230" spans="1:37" s="385" customFormat="1" ht="101.25" outlineLevel="2" x14ac:dyDescent="0.3">
      <c r="A1230" s="447">
        <f t="shared" ref="A1230:A1238" si="273">IF(B1229&lt;&gt;0,B1229,A1229)</f>
        <v>98</v>
      </c>
      <c r="B1230" s="557"/>
      <c r="C1230" s="558" t="s">
        <v>1572</v>
      </c>
      <c r="D1230" s="615"/>
      <c r="E1230" s="615"/>
      <c r="F1230" s="700"/>
      <c r="G1230" s="586"/>
      <c r="H1230" s="709"/>
      <c r="I1230" s="546"/>
      <c r="J1230" s="589"/>
      <c r="K1230" s="563" t="str">
        <f>IF(G1230&lt;&gt;0,VLOOKUP(G1230,'gia dat'!$A$1:$F$144,5,0)," ")</f>
        <v xml:space="preserve"> </v>
      </c>
      <c r="L1230" s="563" t="str">
        <f>IF(G1230&lt;&gt;0,VLOOKUP(G1230,'gia dat'!$A$1:$F$144,6,0)," ")</f>
        <v xml:space="preserve"> </v>
      </c>
      <c r="M1230" s="564" t="str">
        <f t="shared" si="261"/>
        <v xml:space="preserve"> </v>
      </c>
      <c r="N1230" s="564" t="str">
        <f t="shared" si="262"/>
        <v xml:space="preserve"> </v>
      </c>
      <c r="O1230" s="565" t="s">
        <v>919</v>
      </c>
      <c r="P1230" s="714">
        <v>18</v>
      </c>
      <c r="Q1230" s="564">
        <f>IF(O1230&lt;&gt;0,VLOOKUP(O1230,'Cây trong'!$A$2:$C$246,3,0)," ")</f>
        <v>36000</v>
      </c>
      <c r="R1230" s="564">
        <f t="shared" si="265"/>
        <v>648000</v>
      </c>
      <c r="S1230" s="566"/>
      <c r="T1230" s="589"/>
      <c r="U1230" s="710"/>
      <c r="V1230" s="593"/>
      <c r="W1230" s="564" t="str">
        <f>IF(S1230&lt;&gt;0,VLOOKUP(S1230,VKT!$A$2:$G$415,7,0),"")</f>
        <v/>
      </c>
      <c r="X1230" s="564" t="str">
        <f t="shared" si="258"/>
        <v xml:space="preserve"> </v>
      </c>
      <c r="Y1230" s="683"/>
      <c r="Z1230" s="683"/>
      <c r="AA1230" s="683"/>
      <c r="AB1230" s="694"/>
      <c r="AC1230" s="683"/>
      <c r="AD1230" s="683"/>
      <c r="AE1230" s="683"/>
      <c r="AF1230" s="590"/>
      <c r="AG1230" s="570" t="str">
        <f>IF(AE1230&lt;&gt;0,VLOOKUP(AE1230,ODDS!$A$2:$C$13,3,0),"")</f>
        <v/>
      </c>
      <c r="AH1230" s="570" t="str">
        <f t="shared" si="266"/>
        <v xml:space="preserve"> </v>
      </c>
      <c r="AI1230" s="571" t="str">
        <f t="shared" si="271"/>
        <v xml:space="preserve"> </v>
      </c>
      <c r="AJ1230" s="558" t="s">
        <v>2821</v>
      </c>
      <c r="AK1230" s="558" t="s">
        <v>2448</v>
      </c>
    </row>
    <row r="1231" spans="1:37" s="385" customFormat="1" ht="101.25" outlineLevel="2" x14ac:dyDescent="0.3">
      <c r="A1231" s="447">
        <f t="shared" si="273"/>
        <v>98</v>
      </c>
      <c r="B1231" s="557"/>
      <c r="C1231" s="558"/>
      <c r="D1231" s="615"/>
      <c r="E1231" s="615"/>
      <c r="F1231" s="700"/>
      <c r="G1231" s="558"/>
      <c r="H1231" s="709"/>
      <c r="I1231" s="546"/>
      <c r="J1231" s="589"/>
      <c r="K1231" s="563" t="str">
        <f>IF(G1231&lt;&gt;0,VLOOKUP(G1231,'gia dat'!$A$1:$F$144,5,0)," ")</f>
        <v xml:space="preserve"> </v>
      </c>
      <c r="L1231" s="563" t="str">
        <f>IF(G1231&lt;&gt;0,VLOOKUP(G1231,'gia dat'!$A$1:$F$144,6,0)," ")</f>
        <v xml:space="preserve"> </v>
      </c>
      <c r="M1231" s="564" t="str">
        <f t="shared" si="261"/>
        <v xml:space="preserve"> </v>
      </c>
      <c r="N1231" s="564" t="str">
        <f t="shared" si="262"/>
        <v xml:space="preserve"> </v>
      </c>
      <c r="O1231" s="558" t="s">
        <v>921</v>
      </c>
      <c r="P1231" s="714">
        <v>10</v>
      </c>
      <c r="Q1231" s="564">
        <f>IF(O1231&lt;&gt;0,VLOOKUP(O1231,'Cây trong'!$A$2:$C$246,3,0)," ")</f>
        <v>120000</v>
      </c>
      <c r="R1231" s="564">
        <f t="shared" si="265"/>
        <v>1200000</v>
      </c>
      <c r="S1231" s="566"/>
      <c r="T1231" s="589"/>
      <c r="U1231" s="710"/>
      <c r="V1231" s="593"/>
      <c r="W1231" s="564" t="str">
        <f>IF(S1231&lt;&gt;0,VLOOKUP(S1231,VKT!$A$2:$G$415,7,0),"")</f>
        <v/>
      </c>
      <c r="X1231" s="564" t="str">
        <f t="shared" si="258"/>
        <v xml:space="preserve"> </v>
      </c>
      <c r="Y1231" s="683"/>
      <c r="Z1231" s="683"/>
      <c r="AA1231" s="683"/>
      <c r="AB1231" s="694"/>
      <c r="AC1231" s="683"/>
      <c r="AD1231" s="683"/>
      <c r="AE1231" s="683"/>
      <c r="AF1231" s="590"/>
      <c r="AG1231" s="570" t="str">
        <f>IF(AE1231&lt;&gt;0,VLOOKUP(AE1231,ODDS!$A$2:$C$13,3,0),"")</f>
        <v/>
      </c>
      <c r="AH1231" s="570" t="str">
        <f t="shared" si="266"/>
        <v xml:space="preserve"> </v>
      </c>
      <c r="AI1231" s="571" t="str">
        <f t="shared" si="271"/>
        <v xml:space="preserve"> </v>
      </c>
      <c r="AJ1231" s="558" t="s">
        <v>922</v>
      </c>
      <c r="AK1231" s="558" t="s">
        <v>2449</v>
      </c>
    </row>
    <row r="1232" spans="1:37" s="385" customFormat="1" ht="60.75" outlineLevel="2" x14ac:dyDescent="0.3">
      <c r="A1232" s="447">
        <f t="shared" si="273"/>
        <v>98</v>
      </c>
      <c r="B1232" s="557"/>
      <c r="C1232" s="572"/>
      <c r="D1232" s="615"/>
      <c r="E1232" s="615"/>
      <c r="F1232" s="700"/>
      <c r="G1232" s="558"/>
      <c r="H1232" s="709"/>
      <c r="I1232" s="546"/>
      <c r="J1232" s="589"/>
      <c r="K1232" s="563" t="str">
        <f>IF(G1232&lt;&gt;0,VLOOKUP(G1232,'gia dat'!$A$1:$F$144,5,0)," ")</f>
        <v xml:space="preserve"> </v>
      </c>
      <c r="L1232" s="563" t="str">
        <f>IF(G1232&lt;&gt;0,VLOOKUP(G1232,'gia dat'!$A$1:$F$144,6,0)," ")</f>
        <v xml:space="preserve"> </v>
      </c>
      <c r="M1232" s="564" t="str">
        <f t="shared" si="261"/>
        <v xml:space="preserve"> </v>
      </c>
      <c r="N1232" s="564" t="str">
        <f t="shared" si="262"/>
        <v xml:space="preserve"> </v>
      </c>
      <c r="O1232" s="586" t="s">
        <v>832</v>
      </c>
      <c r="P1232" s="714">
        <v>12</v>
      </c>
      <c r="Q1232" s="564">
        <f>IF(O1232&lt;&gt;0,VLOOKUP(O1232,'Cây trong'!$A$2:$C$246,3,0)," ")</f>
        <v>60000</v>
      </c>
      <c r="R1232" s="564">
        <f t="shared" si="265"/>
        <v>720000</v>
      </c>
      <c r="S1232" s="566"/>
      <c r="T1232" s="589"/>
      <c r="U1232" s="710"/>
      <c r="V1232" s="593"/>
      <c r="W1232" s="564" t="str">
        <f>IF(S1232&lt;&gt;0,VLOOKUP(S1232,VKT!$A$2:$G$415,7,0),"")</f>
        <v/>
      </c>
      <c r="X1232" s="564" t="str">
        <f t="shared" si="258"/>
        <v xml:space="preserve"> </v>
      </c>
      <c r="Y1232" s="683"/>
      <c r="Z1232" s="683"/>
      <c r="AA1232" s="683"/>
      <c r="AB1232" s="694"/>
      <c r="AC1232" s="683"/>
      <c r="AD1232" s="683"/>
      <c r="AE1232" s="683"/>
      <c r="AF1232" s="590"/>
      <c r="AG1232" s="570" t="str">
        <f>IF(AE1232&lt;&gt;0,VLOOKUP(AE1232,ODDS!$A$2:$C$13,3,0),"")</f>
        <v/>
      </c>
      <c r="AH1232" s="570" t="str">
        <f t="shared" si="266"/>
        <v xml:space="preserve"> </v>
      </c>
      <c r="AI1232" s="571" t="str">
        <f t="shared" si="271"/>
        <v xml:space="preserve"> </v>
      </c>
      <c r="AJ1232" s="586" t="s">
        <v>2074</v>
      </c>
      <c r="AK1232" s="661"/>
    </row>
    <row r="1233" spans="1:37" s="385" customFormat="1" ht="40.5" outlineLevel="2" x14ac:dyDescent="0.3">
      <c r="A1233" s="447">
        <f t="shared" si="273"/>
        <v>98</v>
      </c>
      <c r="B1233" s="557"/>
      <c r="C1233" s="572"/>
      <c r="D1233" s="703"/>
      <c r="E1233" s="615"/>
      <c r="F1233" s="700"/>
      <c r="G1233" s="558"/>
      <c r="H1233" s="709"/>
      <c r="I1233" s="546"/>
      <c r="J1233" s="710"/>
      <c r="K1233" s="563" t="str">
        <f>IF(G1233&lt;&gt;0,VLOOKUP(G1233,'gia dat'!$A$1:$F$144,5,0)," ")</f>
        <v xml:space="preserve"> </v>
      </c>
      <c r="L1233" s="563" t="str">
        <f>IF(G1233&lt;&gt;0,VLOOKUP(G1233,'gia dat'!$A$1:$F$144,6,0)," ")</f>
        <v xml:space="preserve"> </v>
      </c>
      <c r="M1233" s="564" t="str">
        <f t="shared" si="261"/>
        <v xml:space="preserve"> </v>
      </c>
      <c r="N1233" s="564" t="str">
        <f t="shared" si="262"/>
        <v xml:space="preserve"> </v>
      </c>
      <c r="O1233" s="586" t="s">
        <v>832</v>
      </c>
      <c r="P1233" s="714">
        <v>8</v>
      </c>
      <c r="Q1233" s="564">
        <f>IF(O1233&lt;&gt;0,VLOOKUP(O1233,'Cây trong'!$A$2:$C$246,3,0)," ")</f>
        <v>60000</v>
      </c>
      <c r="R1233" s="564">
        <f t="shared" si="265"/>
        <v>480000</v>
      </c>
      <c r="S1233" s="586"/>
      <c r="T1233" s="609"/>
      <c r="U1233" s="710"/>
      <c r="V1233" s="593"/>
      <c r="W1233" s="564" t="str">
        <f>IF(S1233&lt;&gt;0,VLOOKUP(S1233,VKT!$A$2:$G$415,7,0),"")</f>
        <v/>
      </c>
      <c r="X1233" s="564" t="str">
        <f t="shared" si="258"/>
        <v xml:space="preserve"> </v>
      </c>
      <c r="Y1233" s="683"/>
      <c r="Z1233" s="683"/>
      <c r="AA1233" s="683"/>
      <c r="AB1233" s="694"/>
      <c r="AC1233" s="683"/>
      <c r="AD1233" s="683"/>
      <c r="AE1233" s="683"/>
      <c r="AF1233" s="590"/>
      <c r="AG1233" s="570" t="str">
        <f>IF(AE1233&lt;&gt;0,VLOOKUP(AE1233,ODDS!$A$2:$C$13,3,0),"")</f>
        <v/>
      </c>
      <c r="AH1233" s="570" t="str">
        <f t="shared" si="266"/>
        <v xml:space="preserve"> </v>
      </c>
      <c r="AI1233" s="571" t="str">
        <f t="shared" si="271"/>
        <v xml:space="preserve"> </v>
      </c>
      <c r="AJ1233" s="704"/>
      <c r="AK1233" s="593"/>
    </row>
    <row r="1234" spans="1:37" s="385" customFormat="1" ht="20.25" outlineLevel="2" x14ac:dyDescent="0.3">
      <c r="A1234" s="447">
        <f t="shared" si="273"/>
        <v>98</v>
      </c>
      <c r="B1234" s="557"/>
      <c r="C1234" s="572"/>
      <c r="D1234" s="703"/>
      <c r="E1234" s="615"/>
      <c r="F1234" s="700"/>
      <c r="G1234" s="558"/>
      <c r="H1234" s="709"/>
      <c r="I1234" s="546"/>
      <c r="J1234" s="710"/>
      <c r="K1234" s="563" t="str">
        <f>IF(G1234&lt;&gt;0,VLOOKUP(G1234,'gia dat'!$A$1:$F$144,5,0)," ")</f>
        <v xml:space="preserve"> </v>
      </c>
      <c r="L1234" s="563" t="str">
        <f>IF(G1234&lt;&gt;0,VLOOKUP(G1234,'gia dat'!$A$1:$F$144,6,0)," ")</f>
        <v xml:space="preserve"> </v>
      </c>
      <c r="M1234" s="564" t="str">
        <f t="shared" si="261"/>
        <v xml:space="preserve"> </v>
      </c>
      <c r="N1234" s="564" t="str">
        <f t="shared" si="262"/>
        <v xml:space="preserve"> </v>
      </c>
      <c r="O1234" s="586" t="s">
        <v>72</v>
      </c>
      <c r="P1234" s="714">
        <v>5</v>
      </c>
      <c r="Q1234" s="564">
        <f>IF(O1234&lt;&gt;0,VLOOKUP(O1234,'Cây trong'!$A$2:$C$246,3,0)," ")</f>
        <v>132000</v>
      </c>
      <c r="R1234" s="564">
        <f t="shared" si="265"/>
        <v>660000</v>
      </c>
      <c r="S1234" s="586"/>
      <c r="T1234" s="609"/>
      <c r="U1234" s="710"/>
      <c r="V1234" s="593"/>
      <c r="W1234" s="564" t="str">
        <f>IF(S1234&lt;&gt;0,VLOOKUP(S1234,VKT!$A$2:$G$415,7,0),"")</f>
        <v/>
      </c>
      <c r="X1234" s="564" t="str">
        <f t="shared" si="258"/>
        <v xml:space="preserve"> </v>
      </c>
      <c r="Y1234" s="683"/>
      <c r="Z1234" s="683"/>
      <c r="AA1234" s="683"/>
      <c r="AB1234" s="694"/>
      <c r="AC1234" s="683"/>
      <c r="AD1234" s="683"/>
      <c r="AE1234" s="683"/>
      <c r="AF1234" s="590"/>
      <c r="AG1234" s="570" t="str">
        <f>IF(AE1234&lt;&gt;0,VLOOKUP(AE1234,ODDS!$A$2:$C$13,3,0),"")</f>
        <v/>
      </c>
      <c r="AH1234" s="570" t="str">
        <f t="shared" si="266"/>
        <v xml:space="preserve"> </v>
      </c>
      <c r="AI1234" s="571" t="str">
        <f t="shared" si="271"/>
        <v xml:space="preserve"> </v>
      </c>
      <c r="AJ1234" s="704"/>
      <c r="AK1234" s="586"/>
    </row>
    <row r="1235" spans="1:37" s="385" customFormat="1" ht="20.25" outlineLevel="2" x14ac:dyDescent="0.3">
      <c r="A1235" s="447">
        <f t="shared" si="273"/>
        <v>98</v>
      </c>
      <c r="B1235" s="557"/>
      <c r="C1235" s="558"/>
      <c r="D1235" s="615"/>
      <c r="E1235" s="612"/>
      <c r="F1235" s="612"/>
      <c r="G1235" s="586"/>
      <c r="H1235" s="709"/>
      <c r="I1235" s="546"/>
      <c r="J1235" s="710"/>
      <c r="K1235" s="563" t="str">
        <f>IF(G1235&lt;&gt;0,VLOOKUP(G1235,'gia dat'!$A$1:$F$144,5,0)," ")</f>
        <v xml:space="preserve"> </v>
      </c>
      <c r="L1235" s="563" t="str">
        <f>IF(G1235&lt;&gt;0,VLOOKUP(G1235,'gia dat'!$A$1:$F$144,6,0)," ")</f>
        <v xml:space="preserve"> </v>
      </c>
      <c r="M1235" s="564" t="str">
        <f t="shared" si="261"/>
        <v xml:space="preserve"> </v>
      </c>
      <c r="N1235" s="564" t="str">
        <f t="shared" si="262"/>
        <v xml:space="preserve"> </v>
      </c>
      <c r="O1235" s="586" t="s">
        <v>73</v>
      </c>
      <c r="P1235" s="714">
        <v>10</v>
      </c>
      <c r="Q1235" s="564">
        <f>IF(O1235&lt;&gt;0,VLOOKUP(O1235,'Cây trong'!$A$2:$C$246,3,0)," ")</f>
        <v>76000</v>
      </c>
      <c r="R1235" s="564">
        <f t="shared" si="265"/>
        <v>760000</v>
      </c>
      <c r="S1235" s="586"/>
      <c r="T1235" s="609"/>
      <c r="U1235" s="710"/>
      <c r="V1235" s="593"/>
      <c r="W1235" s="564" t="str">
        <f>IF(S1235&lt;&gt;0,VLOOKUP(S1235,VKT!$A$2:$G$415,7,0),"")</f>
        <v/>
      </c>
      <c r="X1235" s="564" t="str">
        <f t="shared" si="258"/>
        <v xml:space="preserve"> </v>
      </c>
      <c r="Y1235" s="683"/>
      <c r="Z1235" s="683"/>
      <c r="AA1235" s="683"/>
      <c r="AB1235" s="694"/>
      <c r="AC1235" s="683"/>
      <c r="AD1235" s="683"/>
      <c r="AE1235" s="683"/>
      <c r="AF1235" s="590"/>
      <c r="AG1235" s="570" t="str">
        <f>IF(AE1235&lt;&gt;0,VLOOKUP(AE1235,ODDS!$A$2:$C$13,3,0),"")</f>
        <v/>
      </c>
      <c r="AH1235" s="570" t="str">
        <f t="shared" si="266"/>
        <v xml:space="preserve"> </v>
      </c>
      <c r="AI1235" s="571" t="str">
        <f t="shared" si="271"/>
        <v xml:space="preserve"> </v>
      </c>
      <c r="AJ1235" s="586"/>
      <c r="AK1235" s="586"/>
    </row>
    <row r="1236" spans="1:37" s="385" customFormat="1" ht="20.25" outlineLevel="2" x14ac:dyDescent="0.3">
      <c r="A1236" s="447">
        <f t="shared" si="273"/>
        <v>98</v>
      </c>
      <c r="B1236" s="557"/>
      <c r="C1236" s="558"/>
      <c r="D1236" s="615"/>
      <c r="E1236" s="615"/>
      <c r="F1236" s="700"/>
      <c r="G1236" s="558"/>
      <c r="H1236" s="709"/>
      <c r="I1236" s="546"/>
      <c r="J1236" s="720"/>
      <c r="K1236" s="563" t="str">
        <f>IF(G1236&lt;&gt;0,VLOOKUP(G1236,'gia dat'!$A$1:$F$144,5,0)," ")</f>
        <v xml:space="preserve"> </v>
      </c>
      <c r="L1236" s="563" t="str">
        <f>IF(G1236&lt;&gt;0,VLOOKUP(G1236,'gia dat'!$A$1:$F$144,6,0)," ")</f>
        <v xml:space="preserve"> </v>
      </c>
      <c r="M1236" s="564" t="str">
        <f t="shared" si="261"/>
        <v xml:space="preserve"> </v>
      </c>
      <c r="N1236" s="564" t="str">
        <f t="shared" si="262"/>
        <v xml:space="preserve"> </v>
      </c>
      <c r="O1236" s="586" t="s">
        <v>75</v>
      </c>
      <c r="P1236" s="714">
        <v>10</v>
      </c>
      <c r="Q1236" s="564">
        <f>IF(O1236&lt;&gt;0,VLOOKUP(O1236,'Cây trong'!$A$2:$C$246,3,0)," ")</f>
        <v>34000</v>
      </c>
      <c r="R1236" s="564">
        <f t="shared" si="265"/>
        <v>340000</v>
      </c>
      <c r="S1236" s="586"/>
      <c r="T1236" s="609"/>
      <c r="U1236" s="710"/>
      <c r="V1236" s="593"/>
      <c r="W1236" s="564" t="str">
        <f>IF(S1236&lt;&gt;0,VLOOKUP(S1236,VKT!$A$2:$G$415,7,0),"")</f>
        <v/>
      </c>
      <c r="X1236" s="564" t="str">
        <f t="shared" si="258"/>
        <v xml:space="preserve"> </v>
      </c>
      <c r="Y1236" s="683"/>
      <c r="Z1236" s="683"/>
      <c r="AA1236" s="683"/>
      <c r="AB1236" s="694"/>
      <c r="AC1236" s="683"/>
      <c r="AD1236" s="683"/>
      <c r="AE1236" s="683"/>
      <c r="AF1236" s="590"/>
      <c r="AG1236" s="570" t="str">
        <f>IF(AE1236&lt;&gt;0,VLOOKUP(AE1236,ODDS!$A$2:$C$13,3,0),"")</f>
        <v/>
      </c>
      <c r="AH1236" s="570" t="str">
        <f t="shared" si="266"/>
        <v xml:space="preserve"> </v>
      </c>
      <c r="AI1236" s="571" t="str">
        <f t="shared" si="271"/>
        <v xml:space="preserve"> </v>
      </c>
      <c r="AJ1236" s="586"/>
      <c r="AK1236" s="586"/>
    </row>
    <row r="1237" spans="1:37" s="385" customFormat="1" ht="20.25" outlineLevel="2" x14ac:dyDescent="0.3">
      <c r="A1237" s="447">
        <f t="shared" si="273"/>
        <v>98</v>
      </c>
      <c r="B1237" s="557"/>
      <c r="C1237" s="558"/>
      <c r="D1237" s="615"/>
      <c r="E1237" s="615"/>
      <c r="F1237" s="700"/>
      <c r="G1237" s="558"/>
      <c r="H1237" s="709"/>
      <c r="I1237" s="546"/>
      <c r="J1237" s="720"/>
      <c r="K1237" s="563" t="str">
        <f>IF(G1237&lt;&gt;0,VLOOKUP(G1237,'gia dat'!$A$1:$F$144,5,0)," ")</f>
        <v xml:space="preserve"> </v>
      </c>
      <c r="L1237" s="563" t="str">
        <f>IF(G1237&lt;&gt;0,VLOOKUP(G1237,'gia dat'!$A$1:$F$144,6,0)," ")</f>
        <v xml:space="preserve"> </v>
      </c>
      <c r="M1237" s="564" t="str">
        <f t="shared" si="261"/>
        <v xml:space="preserve"> </v>
      </c>
      <c r="N1237" s="564" t="str">
        <f t="shared" si="262"/>
        <v xml:space="preserve"> </v>
      </c>
      <c r="O1237" s="586"/>
      <c r="P1237" s="714"/>
      <c r="Q1237" s="564" t="str">
        <f>IF(O1237&lt;&gt;0,VLOOKUP(O1237,'Cây trong'!$A$2:$C$246,3,0)," ")</f>
        <v xml:space="preserve"> </v>
      </c>
      <c r="R1237" s="564" t="str">
        <f t="shared" si="265"/>
        <v xml:space="preserve"> </v>
      </c>
      <c r="S1237" s="586"/>
      <c r="T1237" s="609"/>
      <c r="U1237" s="710"/>
      <c r="V1237" s="593"/>
      <c r="W1237" s="564" t="str">
        <f>IF(S1237&lt;&gt;0,VLOOKUP(S1237,VKT!$A$2:$G$415,7,0),"")</f>
        <v/>
      </c>
      <c r="X1237" s="564" t="str">
        <f t="shared" si="258"/>
        <v xml:space="preserve"> </v>
      </c>
      <c r="Y1237" s="683"/>
      <c r="Z1237" s="683"/>
      <c r="AA1237" s="683"/>
      <c r="AB1237" s="694"/>
      <c r="AC1237" s="683"/>
      <c r="AD1237" s="683"/>
      <c r="AE1237" s="683"/>
      <c r="AF1237" s="590"/>
      <c r="AG1237" s="570" t="str">
        <f>IF(AE1237&lt;&gt;0,VLOOKUP(AE1237,ODDS!$A$2:$C$13,3,0),"")</f>
        <v/>
      </c>
      <c r="AH1237" s="570" t="str">
        <f t="shared" si="266"/>
        <v xml:space="preserve"> </v>
      </c>
      <c r="AI1237" s="571" t="str">
        <f t="shared" si="271"/>
        <v xml:space="preserve"> </v>
      </c>
      <c r="AJ1237" s="586"/>
      <c r="AK1237" s="586"/>
    </row>
    <row r="1238" spans="1:37" s="385" customFormat="1" ht="20.25" outlineLevel="2" x14ac:dyDescent="0.3">
      <c r="A1238" s="447">
        <f t="shared" si="273"/>
        <v>98</v>
      </c>
      <c r="B1238" s="557"/>
      <c r="C1238" s="574"/>
      <c r="D1238" s="615"/>
      <c r="E1238" s="615"/>
      <c r="F1238" s="700"/>
      <c r="G1238" s="558"/>
      <c r="H1238" s="709"/>
      <c r="I1238" s="546"/>
      <c r="J1238" s="589"/>
      <c r="K1238" s="563" t="str">
        <f>IF(G1238&lt;&gt;0,VLOOKUP(G1238,'gia dat'!$A$1:$F$144,5,0)," ")</f>
        <v xml:space="preserve"> </v>
      </c>
      <c r="L1238" s="563" t="str">
        <f>IF(G1238&lt;&gt;0,VLOOKUP(G1238,'gia dat'!$A$1:$F$144,6,0)," ")</f>
        <v xml:space="preserve"> </v>
      </c>
      <c r="M1238" s="564" t="str">
        <f t="shared" si="261"/>
        <v xml:space="preserve"> </v>
      </c>
      <c r="N1238" s="564" t="str">
        <f t="shared" si="262"/>
        <v xml:space="preserve"> </v>
      </c>
      <c r="O1238" s="558"/>
      <c r="P1238" s="714"/>
      <c r="Q1238" s="564" t="str">
        <f>IF(O1238&lt;&gt;0,VLOOKUP(O1238,'Cây trong'!$A$2:$C$246,3,0)," ")</f>
        <v xml:space="preserve"> </v>
      </c>
      <c r="R1238" s="564" t="str">
        <f t="shared" si="265"/>
        <v xml:space="preserve"> </v>
      </c>
      <c r="S1238" s="566"/>
      <c r="T1238" s="589"/>
      <c r="U1238" s="710"/>
      <c r="V1238" s="593"/>
      <c r="W1238" s="564" t="str">
        <f>IF(S1238&lt;&gt;0,VLOOKUP(S1238,VKT!$A$2:$G$415,7,0),"")</f>
        <v/>
      </c>
      <c r="X1238" s="564" t="str">
        <f t="shared" si="258"/>
        <v xml:space="preserve"> </v>
      </c>
      <c r="Y1238" s="683"/>
      <c r="Z1238" s="683"/>
      <c r="AA1238" s="683"/>
      <c r="AB1238" s="694"/>
      <c r="AC1238" s="683"/>
      <c r="AD1238" s="683"/>
      <c r="AE1238" s="683"/>
      <c r="AF1238" s="590"/>
      <c r="AG1238" s="570" t="str">
        <f>IF(AE1238&lt;&gt;0,VLOOKUP(AE1238,ODDS!$A$2:$C$13,3,0),"")</f>
        <v/>
      </c>
      <c r="AH1238" s="570" t="str">
        <f t="shared" si="266"/>
        <v xml:space="preserve"> </v>
      </c>
      <c r="AI1238" s="571" t="str">
        <f t="shared" si="271"/>
        <v xml:space="preserve"> </v>
      </c>
      <c r="AJ1238" s="586"/>
      <c r="AK1238" s="586"/>
    </row>
    <row r="1239" spans="1:37" s="385" customFormat="1" ht="40.5" outlineLevel="1" x14ac:dyDescent="0.25">
      <c r="A1239" s="467" t="s">
        <v>2611</v>
      </c>
      <c r="B1239" s="576">
        <v>99</v>
      </c>
      <c r="C1239" s="574" t="s">
        <v>923</v>
      </c>
      <c r="D1239" s="705"/>
      <c r="E1239" s="705"/>
      <c r="F1239" s="706"/>
      <c r="G1239" s="574"/>
      <c r="H1239" s="707">
        <f>SUBTOTAL(9,H1240:H1255)</f>
        <v>988.3</v>
      </c>
      <c r="I1239" s="579">
        <f>SUBTOTAL(9,I1240:I1245)</f>
        <v>0</v>
      </c>
      <c r="J1239" s="597"/>
      <c r="K1239" s="581"/>
      <c r="L1239" s="581"/>
      <c r="M1239" s="571">
        <f>SUBTOTAL(9,M1240:M1255)</f>
        <v>460152000</v>
      </c>
      <c r="N1239" s="571">
        <f>SUBTOTAL(9,N1240:N1255)</f>
        <v>0</v>
      </c>
      <c r="O1239" s="578"/>
      <c r="P1239" s="712">
        <f>SUBTOTAL(9,P1240:P1255)</f>
        <v>99</v>
      </c>
      <c r="Q1239" s="571"/>
      <c r="R1239" s="571">
        <f>SUBTOTAL(9,R1240:R1255)</f>
        <v>23932000</v>
      </c>
      <c r="S1239" s="582"/>
      <c r="T1239" s="597"/>
      <c r="U1239" s="708">
        <f>SUBTOTAL(9,U1240:U1255)</f>
        <v>0</v>
      </c>
      <c r="V1239" s="608"/>
      <c r="W1239" s="571"/>
      <c r="X1239" s="571">
        <f>SUBTOTAL(9,X1240:X1255)</f>
        <v>0</v>
      </c>
      <c r="Y1239" s="683"/>
      <c r="Z1239" s="683"/>
      <c r="AA1239" s="683"/>
      <c r="AB1239" s="694"/>
      <c r="AC1239" s="683"/>
      <c r="AD1239" s="683"/>
      <c r="AE1239" s="650"/>
      <c r="AF1239" s="599">
        <f>SUBTOTAL(9,AF1240:AF1255)</f>
        <v>0</v>
      </c>
      <c r="AG1239" s="585"/>
      <c r="AH1239" s="585">
        <f>SUBTOTAL(9,AH1240:AH1255)</f>
        <v>0</v>
      </c>
      <c r="AI1239" s="571">
        <f t="shared" si="271"/>
        <v>484084000</v>
      </c>
      <c r="AJ1239" s="574"/>
      <c r="AK1239" s="578"/>
    </row>
    <row r="1240" spans="1:37" s="385" customFormat="1" ht="121.5" outlineLevel="2" x14ac:dyDescent="0.3">
      <c r="A1240" s="447">
        <f>IF(B1239&lt;&gt;0,B1239,A1238)</f>
        <v>99</v>
      </c>
      <c r="B1240" s="557"/>
      <c r="C1240" s="558" t="s">
        <v>925</v>
      </c>
      <c r="D1240" s="615">
        <v>4</v>
      </c>
      <c r="E1240" s="615">
        <v>86</v>
      </c>
      <c r="F1240" s="700">
        <v>61</v>
      </c>
      <c r="G1240" s="558" t="s">
        <v>2870</v>
      </c>
      <c r="H1240" s="709">
        <f>988.3-H1241</f>
        <v>988.3</v>
      </c>
      <c r="I1240" s="546" t="str">
        <f t="shared" ref="I1240" si="274">IF(N1240&gt;0,H1240,"")</f>
        <v/>
      </c>
      <c r="J1240" s="589"/>
      <c r="K1240" s="563">
        <f>IF(G1240&lt;&gt;0,VLOOKUP(G1240,'gia dat'!$A$1:$F$144,5,0)," ")</f>
        <v>465600</v>
      </c>
      <c r="L1240" s="563">
        <f>IF(G1240&lt;&gt;0,VLOOKUP(G1240,'gia dat'!$A$1:$F$144,6,0)," ")</f>
        <v>0</v>
      </c>
      <c r="M1240" s="564">
        <f t="shared" si="261"/>
        <v>460152000</v>
      </c>
      <c r="N1240" s="564">
        <f t="shared" si="262"/>
        <v>0</v>
      </c>
      <c r="O1240" s="586" t="s">
        <v>400</v>
      </c>
      <c r="P1240" s="714">
        <v>12</v>
      </c>
      <c r="Q1240" s="564">
        <f>IF(O1240&lt;&gt;0,VLOOKUP(O1240,'Cây trong'!$A$2:$C$246,3,0)," ")</f>
        <v>228000</v>
      </c>
      <c r="R1240" s="564">
        <f t="shared" si="265"/>
        <v>2736000</v>
      </c>
      <c r="S1240" s="566"/>
      <c r="T1240" s="589"/>
      <c r="U1240" s="710"/>
      <c r="V1240" s="593"/>
      <c r="W1240" s="564" t="str">
        <f>IF(S1240&lt;&gt;0,VLOOKUP(S1240,VKT!$A$2:$G$415,7,0),"")</f>
        <v/>
      </c>
      <c r="X1240" s="564" t="str">
        <f t="shared" si="258"/>
        <v xml:space="preserve"> </v>
      </c>
      <c r="Y1240" s="683"/>
      <c r="Z1240" s="683"/>
      <c r="AA1240" s="683"/>
      <c r="AB1240" s="694"/>
      <c r="AC1240" s="683"/>
      <c r="AD1240" s="683"/>
      <c r="AE1240" s="683"/>
      <c r="AF1240" s="590"/>
      <c r="AG1240" s="570" t="str">
        <f>IF(AE1240&lt;&gt;0,VLOOKUP(AE1240,ODDS!$A$2:$C$13,3,0),"")</f>
        <v/>
      </c>
      <c r="AH1240" s="570"/>
      <c r="AI1240" s="571" t="str">
        <f t="shared" si="271"/>
        <v xml:space="preserve"> </v>
      </c>
      <c r="AJ1240" s="558" t="s">
        <v>924</v>
      </c>
      <c r="AK1240" s="586" t="s">
        <v>2771</v>
      </c>
    </row>
    <row r="1241" spans="1:37" s="385" customFormat="1" ht="101.25" outlineLevel="2" x14ac:dyDescent="0.3">
      <c r="A1241" s="447">
        <f t="shared" ref="A1241:A1255" si="275">IF(B1240&lt;&gt;0,B1240,A1240)</f>
        <v>99</v>
      </c>
      <c r="B1241" s="557"/>
      <c r="C1241" s="607" t="s">
        <v>928</v>
      </c>
      <c r="D1241" s="615"/>
      <c r="E1241" s="615"/>
      <c r="F1241" s="700"/>
      <c r="G1241" s="558"/>
      <c r="H1241" s="709"/>
      <c r="I1241" s="546"/>
      <c r="J1241" s="589"/>
      <c r="K1241" s="563" t="str">
        <f>IF(G1241&lt;&gt;0,VLOOKUP(G1241,'gia dat'!$A$1:$F$144,5,0)," ")</f>
        <v xml:space="preserve"> </v>
      </c>
      <c r="L1241" s="563" t="str">
        <f>IF(G1241&lt;&gt;0,VLOOKUP(G1241,'gia dat'!$A$1:$F$144,6,0)," ")</f>
        <v xml:space="preserve"> </v>
      </c>
      <c r="M1241" s="564" t="str">
        <f t="shared" si="261"/>
        <v xml:space="preserve"> </v>
      </c>
      <c r="N1241" s="564" t="str">
        <f t="shared" si="262"/>
        <v xml:space="preserve"> </v>
      </c>
      <c r="O1241" s="586" t="s">
        <v>401</v>
      </c>
      <c r="P1241" s="714">
        <v>10</v>
      </c>
      <c r="Q1241" s="564">
        <f>IF(O1241&lt;&gt;0,VLOOKUP(O1241,'Cây trong'!$A$2:$C$246,3,0)," ")</f>
        <v>80000</v>
      </c>
      <c r="R1241" s="564">
        <f t="shared" si="265"/>
        <v>800000</v>
      </c>
      <c r="S1241" s="566"/>
      <c r="T1241" s="589"/>
      <c r="U1241" s="710"/>
      <c r="V1241" s="593"/>
      <c r="W1241" s="564" t="str">
        <f>IF(S1241&lt;&gt;0,VLOOKUP(S1241,VKT!$A$2:$G$415,7,0),"")</f>
        <v/>
      </c>
      <c r="X1241" s="564" t="str">
        <f t="shared" si="258"/>
        <v xml:space="preserve"> </v>
      </c>
      <c r="Y1241" s="683"/>
      <c r="Z1241" s="683"/>
      <c r="AA1241" s="683"/>
      <c r="AB1241" s="694"/>
      <c r="AC1241" s="683"/>
      <c r="AD1241" s="683"/>
      <c r="AE1241" s="683"/>
      <c r="AF1241" s="590"/>
      <c r="AG1241" s="570" t="str">
        <f>IF(AE1241&lt;&gt;0,VLOOKUP(AE1241,ODDS!$A$2:$C$13,3,0),"")</f>
        <v/>
      </c>
      <c r="AH1241" s="570" t="str">
        <f t="shared" si="266"/>
        <v xml:space="preserve"> </v>
      </c>
      <c r="AI1241" s="571" t="str">
        <f t="shared" si="271"/>
        <v xml:space="preserve"> </v>
      </c>
      <c r="AJ1241" s="558" t="s">
        <v>2822</v>
      </c>
      <c r="AK1241" s="558" t="s">
        <v>2449</v>
      </c>
    </row>
    <row r="1242" spans="1:37" s="385" customFormat="1" ht="40.5" outlineLevel="2" x14ac:dyDescent="0.3">
      <c r="A1242" s="447">
        <f t="shared" si="275"/>
        <v>99</v>
      </c>
      <c r="B1242" s="557"/>
      <c r="C1242" s="572" t="s">
        <v>931</v>
      </c>
      <c r="D1242" s="615"/>
      <c r="E1242" s="615"/>
      <c r="F1242" s="700"/>
      <c r="G1242" s="704"/>
      <c r="H1242" s="701"/>
      <c r="I1242" s="546"/>
      <c r="J1242" s="589"/>
      <c r="K1242" s="563" t="str">
        <f>IF(G1242&lt;&gt;0,VLOOKUP(G1242,'gia dat'!$A$1:$F$144,5,0)," ")</f>
        <v xml:space="preserve"> </v>
      </c>
      <c r="L1242" s="563" t="str">
        <f>IF(G1242&lt;&gt;0,VLOOKUP(G1242,'gia dat'!$A$1:$F$144,6,0)," ")</f>
        <v xml:space="preserve"> </v>
      </c>
      <c r="M1242" s="564" t="str">
        <f t="shared" si="261"/>
        <v xml:space="preserve"> </v>
      </c>
      <c r="N1242" s="564" t="str">
        <f t="shared" si="262"/>
        <v xml:space="preserve"> </v>
      </c>
      <c r="O1242" s="586" t="s">
        <v>401</v>
      </c>
      <c r="P1242" s="714">
        <v>9</v>
      </c>
      <c r="Q1242" s="564">
        <f>IF(O1242&lt;&gt;0,VLOOKUP(O1242,'Cây trong'!$A$2:$C$246,3,0)," ")</f>
        <v>80000</v>
      </c>
      <c r="R1242" s="564">
        <f t="shared" si="265"/>
        <v>720000</v>
      </c>
      <c r="S1242" s="566"/>
      <c r="T1242" s="589"/>
      <c r="U1242" s="710"/>
      <c r="V1242" s="593"/>
      <c r="W1242" s="564" t="str">
        <f>IF(S1242&lt;&gt;0,VLOOKUP(S1242,VKT!$A$2:$G$415,7,0),"")</f>
        <v/>
      </c>
      <c r="X1242" s="564" t="str">
        <f t="shared" si="258"/>
        <v xml:space="preserve"> </v>
      </c>
      <c r="Y1242" s="683"/>
      <c r="Z1242" s="683"/>
      <c r="AA1242" s="683"/>
      <c r="AB1242" s="694"/>
      <c r="AC1242" s="683"/>
      <c r="AD1242" s="683"/>
      <c r="AE1242" s="683"/>
      <c r="AF1242" s="590"/>
      <c r="AG1242" s="570" t="str">
        <f>IF(AE1242&lt;&gt;0,VLOOKUP(AE1242,ODDS!$A$2:$C$13,3,0),"")</f>
        <v/>
      </c>
      <c r="AH1242" s="570" t="str">
        <f t="shared" si="266"/>
        <v xml:space="preserve"> </v>
      </c>
      <c r="AI1242" s="571" t="str">
        <f t="shared" si="271"/>
        <v xml:space="preserve"> </v>
      </c>
      <c r="AJ1242" s="558" t="s">
        <v>930</v>
      </c>
      <c r="AK1242" s="661"/>
    </row>
    <row r="1243" spans="1:37" s="385" customFormat="1" ht="121.5" outlineLevel="2" x14ac:dyDescent="0.3">
      <c r="A1243" s="447">
        <f t="shared" si="275"/>
        <v>99</v>
      </c>
      <c r="B1243" s="557"/>
      <c r="C1243" s="572" t="s">
        <v>1573</v>
      </c>
      <c r="D1243" s="703"/>
      <c r="E1243" s="615"/>
      <c r="F1243" s="700"/>
      <c r="G1243" s="558"/>
      <c r="H1243" s="709"/>
      <c r="I1243" s="546"/>
      <c r="J1243" s="710"/>
      <c r="K1243" s="563" t="str">
        <f>IF(G1243&lt;&gt;0,VLOOKUP(G1243,'gia dat'!$A$1:$F$144,5,0)," ")</f>
        <v xml:space="preserve"> </v>
      </c>
      <c r="L1243" s="563" t="str">
        <f>IF(G1243&lt;&gt;0,VLOOKUP(G1243,'gia dat'!$A$1:$F$144,6,0)," ")</f>
        <v xml:space="preserve"> </v>
      </c>
      <c r="M1243" s="564" t="str">
        <f t="shared" si="261"/>
        <v xml:space="preserve"> </v>
      </c>
      <c r="N1243" s="564" t="str">
        <f t="shared" si="262"/>
        <v xml:space="preserve"> </v>
      </c>
      <c r="O1243" s="558" t="s">
        <v>401</v>
      </c>
      <c r="P1243" s="714">
        <v>10</v>
      </c>
      <c r="Q1243" s="564">
        <f>IF(O1243&lt;&gt;0,VLOOKUP(O1243,'Cây trong'!$A$2:$C$246,3,0)," ")</f>
        <v>80000</v>
      </c>
      <c r="R1243" s="564">
        <f t="shared" si="265"/>
        <v>800000</v>
      </c>
      <c r="S1243" s="586"/>
      <c r="T1243" s="609"/>
      <c r="U1243" s="710"/>
      <c r="V1243" s="593"/>
      <c r="W1243" s="564" t="str">
        <f>IF(S1243&lt;&gt;0,VLOOKUP(S1243,VKT!$A$2:$G$415,7,0),"")</f>
        <v/>
      </c>
      <c r="X1243" s="564" t="str">
        <f t="shared" si="258"/>
        <v xml:space="preserve"> </v>
      </c>
      <c r="Y1243" s="683"/>
      <c r="Z1243" s="683"/>
      <c r="AA1243" s="683"/>
      <c r="AB1243" s="694"/>
      <c r="AC1243" s="683"/>
      <c r="AD1243" s="683"/>
      <c r="AE1243" s="683"/>
      <c r="AF1243" s="590"/>
      <c r="AG1243" s="570" t="str">
        <f>IF(AE1243&lt;&gt;0,VLOOKUP(AE1243,ODDS!$A$2:$C$13,3,0),"")</f>
        <v/>
      </c>
      <c r="AH1243" s="570" t="str">
        <f t="shared" si="266"/>
        <v xml:space="preserve"> </v>
      </c>
      <c r="AI1243" s="571" t="str">
        <f t="shared" si="271"/>
        <v xml:space="preserve"> </v>
      </c>
      <c r="AJ1243" s="558" t="s">
        <v>2778</v>
      </c>
      <c r="AK1243" s="566"/>
    </row>
    <row r="1244" spans="1:37" s="385" customFormat="1" ht="40.5" outlineLevel="2" x14ac:dyDescent="0.3">
      <c r="A1244" s="447">
        <f t="shared" si="275"/>
        <v>99</v>
      </c>
      <c r="B1244" s="557"/>
      <c r="C1244" s="572"/>
      <c r="D1244" s="703"/>
      <c r="E1244" s="615"/>
      <c r="F1244" s="700"/>
      <c r="G1244" s="558"/>
      <c r="H1244" s="709"/>
      <c r="I1244" s="546"/>
      <c r="J1244" s="710"/>
      <c r="K1244" s="563" t="str">
        <f>IF(G1244&lt;&gt;0,VLOOKUP(G1244,'gia dat'!$A$1:$F$144,5,0)," ")</f>
        <v xml:space="preserve"> </v>
      </c>
      <c r="L1244" s="563" t="str">
        <f>IF(G1244&lt;&gt;0,VLOOKUP(G1244,'gia dat'!$A$1:$F$144,6,0)," ")</f>
        <v xml:space="preserve"> </v>
      </c>
      <c r="M1244" s="564" t="str">
        <f t="shared" si="261"/>
        <v xml:space="preserve"> </v>
      </c>
      <c r="N1244" s="564" t="str">
        <f t="shared" si="262"/>
        <v xml:space="preserve"> </v>
      </c>
      <c r="O1244" s="558" t="s">
        <v>932</v>
      </c>
      <c r="P1244" s="714">
        <v>1</v>
      </c>
      <c r="Q1244" s="564">
        <f>IF(O1244&lt;&gt;0,VLOOKUP(O1244,'Cây trong'!$A$2:$C$246,3,0)," ")</f>
        <v>84000</v>
      </c>
      <c r="R1244" s="564">
        <f t="shared" si="265"/>
        <v>84000</v>
      </c>
      <c r="S1244" s="586"/>
      <c r="T1244" s="609"/>
      <c r="U1244" s="710"/>
      <c r="V1244" s="593"/>
      <c r="W1244" s="564" t="str">
        <f>IF(S1244&lt;&gt;0,VLOOKUP(S1244,VKT!$A$2:$G$415,7,0),"")</f>
        <v/>
      </c>
      <c r="X1244" s="564" t="str">
        <f t="shared" si="258"/>
        <v xml:space="preserve"> </v>
      </c>
      <c r="Y1244" s="683"/>
      <c r="Z1244" s="683"/>
      <c r="AA1244" s="683"/>
      <c r="AB1244" s="694"/>
      <c r="AC1244" s="683"/>
      <c r="AD1244" s="683"/>
      <c r="AE1244" s="683"/>
      <c r="AF1244" s="590"/>
      <c r="AG1244" s="570" t="str">
        <f>IF(AE1244&lt;&gt;0,VLOOKUP(AE1244,ODDS!$A$2:$C$13,3,0),"")</f>
        <v/>
      </c>
      <c r="AH1244" s="570" t="str">
        <f t="shared" si="266"/>
        <v xml:space="preserve"> </v>
      </c>
      <c r="AI1244" s="571" t="str">
        <f t="shared" si="271"/>
        <v xml:space="preserve"> </v>
      </c>
      <c r="AJ1244" s="704"/>
      <c r="AK1244" s="593"/>
    </row>
    <row r="1245" spans="1:37" s="385" customFormat="1" ht="40.5" outlineLevel="2" x14ac:dyDescent="0.3">
      <c r="A1245" s="447">
        <f t="shared" si="275"/>
        <v>99</v>
      </c>
      <c r="B1245" s="557"/>
      <c r="C1245" s="558"/>
      <c r="D1245" s="615"/>
      <c r="E1245" s="612"/>
      <c r="F1245" s="612"/>
      <c r="G1245" s="586"/>
      <c r="H1245" s="709"/>
      <c r="I1245" s="546"/>
      <c r="J1245" s="710"/>
      <c r="K1245" s="563" t="str">
        <f>IF(G1245&lt;&gt;0,VLOOKUP(G1245,'gia dat'!$A$1:$F$144,5,0)," ")</f>
        <v xml:space="preserve"> </v>
      </c>
      <c r="L1245" s="563" t="str">
        <f>IF(G1245&lt;&gt;0,VLOOKUP(G1245,'gia dat'!$A$1:$F$144,6,0)," ")</f>
        <v xml:space="preserve"> </v>
      </c>
      <c r="M1245" s="564" t="str">
        <f t="shared" si="261"/>
        <v xml:space="preserve"> </v>
      </c>
      <c r="N1245" s="564" t="str">
        <f t="shared" si="262"/>
        <v xml:space="preserve"> </v>
      </c>
      <c r="O1245" s="558" t="s">
        <v>350</v>
      </c>
      <c r="P1245" s="714">
        <v>6</v>
      </c>
      <c r="Q1245" s="564">
        <f>IF(O1245&lt;&gt;0,VLOOKUP(O1245,'Cây trong'!$A$2:$C$246,3,0)," ")</f>
        <v>72000</v>
      </c>
      <c r="R1245" s="564">
        <f t="shared" si="265"/>
        <v>432000</v>
      </c>
      <c r="S1245" s="586"/>
      <c r="T1245" s="609"/>
      <c r="U1245" s="710"/>
      <c r="V1245" s="593"/>
      <c r="W1245" s="564" t="str">
        <f>IF(S1245&lt;&gt;0,VLOOKUP(S1245,VKT!$A$2:$G$415,7,0),"")</f>
        <v/>
      </c>
      <c r="X1245" s="564" t="str">
        <f t="shared" si="258"/>
        <v xml:space="preserve"> </v>
      </c>
      <c r="Y1245" s="683"/>
      <c r="Z1245" s="683"/>
      <c r="AA1245" s="683"/>
      <c r="AB1245" s="694"/>
      <c r="AC1245" s="683"/>
      <c r="AD1245" s="683"/>
      <c r="AE1245" s="683"/>
      <c r="AF1245" s="590"/>
      <c r="AG1245" s="570" t="str">
        <f>IF(AE1245&lt;&gt;0,VLOOKUP(AE1245,ODDS!$A$2:$C$13,3,0),"")</f>
        <v/>
      </c>
      <c r="AH1245" s="570" t="str">
        <f t="shared" si="266"/>
        <v xml:space="preserve"> </v>
      </c>
      <c r="AI1245" s="571" t="str">
        <f t="shared" si="271"/>
        <v xml:space="preserve"> </v>
      </c>
      <c r="AJ1245" s="704"/>
      <c r="AK1245" s="593"/>
    </row>
    <row r="1246" spans="1:37" s="385" customFormat="1" ht="40.5" outlineLevel="2" x14ac:dyDescent="0.3">
      <c r="A1246" s="447">
        <f t="shared" si="275"/>
        <v>99</v>
      </c>
      <c r="B1246" s="557"/>
      <c r="C1246" s="558"/>
      <c r="D1246" s="615"/>
      <c r="E1246" s="615"/>
      <c r="F1246" s="700"/>
      <c r="G1246" s="558"/>
      <c r="H1246" s="709"/>
      <c r="I1246" s="546"/>
      <c r="J1246" s="710"/>
      <c r="K1246" s="563" t="str">
        <f>IF(G1246&lt;&gt;0,VLOOKUP(G1246,'gia dat'!$A$1:$F$144,5,0)," ")</f>
        <v xml:space="preserve"> </v>
      </c>
      <c r="L1246" s="563" t="str">
        <f>IF(G1246&lt;&gt;0,VLOOKUP(G1246,'gia dat'!$A$1:$F$144,6,0)," ")</f>
        <v xml:space="preserve"> </v>
      </c>
      <c r="M1246" s="564" t="str">
        <f t="shared" si="261"/>
        <v xml:space="preserve"> </v>
      </c>
      <c r="N1246" s="564" t="str">
        <f t="shared" si="262"/>
        <v xml:space="preserve"> </v>
      </c>
      <c r="O1246" s="586" t="s">
        <v>933</v>
      </c>
      <c r="P1246" s="714">
        <v>15</v>
      </c>
      <c r="Q1246" s="564">
        <f>IF(O1246&lt;&gt;0,VLOOKUP(O1246,'Cây trong'!$A$2:$C$246,3,0)," ")</f>
        <v>360000</v>
      </c>
      <c r="R1246" s="564">
        <f t="shared" si="265"/>
        <v>5400000</v>
      </c>
      <c r="S1246" s="586"/>
      <c r="T1246" s="609"/>
      <c r="U1246" s="710"/>
      <c r="V1246" s="593"/>
      <c r="W1246" s="564" t="str">
        <f>IF(S1246&lt;&gt;0,VLOOKUP(S1246,VKT!$A$2:$G$415,7,0),"")</f>
        <v/>
      </c>
      <c r="X1246" s="564" t="str">
        <f t="shared" si="258"/>
        <v xml:space="preserve"> </v>
      </c>
      <c r="Y1246" s="683"/>
      <c r="Z1246" s="683"/>
      <c r="AA1246" s="683"/>
      <c r="AB1246" s="694"/>
      <c r="AC1246" s="683"/>
      <c r="AD1246" s="683"/>
      <c r="AE1246" s="683"/>
      <c r="AF1246" s="590"/>
      <c r="AG1246" s="570" t="str">
        <f>IF(AE1246&lt;&gt;0,VLOOKUP(AE1246,ODDS!$A$2:$C$13,3,0),"")</f>
        <v/>
      </c>
      <c r="AH1246" s="570" t="str">
        <f t="shared" si="266"/>
        <v xml:space="preserve"> </v>
      </c>
      <c r="AI1246" s="571" t="str">
        <f t="shared" si="271"/>
        <v xml:space="preserve"> </v>
      </c>
      <c r="AJ1246" s="593"/>
      <c r="AK1246" s="593"/>
    </row>
    <row r="1247" spans="1:37" s="385" customFormat="1" ht="40.5" outlineLevel="2" x14ac:dyDescent="0.3">
      <c r="A1247" s="447">
        <f t="shared" si="275"/>
        <v>99</v>
      </c>
      <c r="B1247" s="557"/>
      <c r="C1247" s="558"/>
      <c r="D1247" s="615"/>
      <c r="E1247" s="615"/>
      <c r="F1247" s="700"/>
      <c r="G1247" s="558"/>
      <c r="H1247" s="709"/>
      <c r="I1247" s="546"/>
      <c r="J1247" s="589"/>
      <c r="K1247" s="563" t="str">
        <f>IF(G1247&lt;&gt;0,VLOOKUP(G1247,'gia dat'!$A$1:$F$144,5,0)," ")</f>
        <v xml:space="preserve"> </v>
      </c>
      <c r="L1247" s="563" t="str">
        <f>IF(G1247&lt;&gt;0,VLOOKUP(G1247,'gia dat'!$A$1:$F$144,6,0)," ")</f>
        <v xml:space="preserve"> </v>
      </c>
      <c r="M1247" s="564" t="str">
        <f t="shared" si="261"/>
        <v xml:space="preserve"> </v>
      </c>
      <c r="N1247" s="564" t="str">
        <f t="shared" si="262"/>
        <v xml:space="preserve"> </v>
      </c>
      <c r="O1247" s="586" t="s">
        <v>933</v>
      </c>
      <c r="P1247" s="714">
        <v>11</v>
      </c>
      <c r="Q1247" s="564">
        <f>IF(O1247&lt;&gt;0,VLOOKUP(O1247,'Cây trong'!$A$2:$C$246,3,0)," ")</f>
        <v>360000</v>
      </c>
      <c r="R1247" s="564">
        <f t="shared" si="265"/>
        <v>3960000</v>
      </c>
      <c r="S1247" s="566"/>
      <c r="T1247" s="589"/>
      <c r="U1247" s="710"/>
      <c r="V1247" s="593"/>
      <c r="W1247" s="564" t="str">
        <f>IF(S1247&lt;&gt;0,VLOOKUP(S1247,VKT!$A$2:$G$415,7,0),"")</f>
        <v/>
      </c>
      <c r="X1247" s="564" t="str">
        <f t="shared" si="258"/>
        <v xml:space="preserve"> </v>
      </c>
      <c r="Y1247" s="683"/>
      <c r="Z1247" s="683"/>
      <c r="AA1247" s="683"/>
      <c r="AB1247" s="694"/>
      <c r="AC1247" s="683"/>
      <c r="AD1247" s="683"/>
      <c r="AE1247" s="683"/>
      <c r="AF1247" s="590"/>
      <c r="AG1247" s="570" t="str">
        <f>IF(AE1247&lt;&gt;0,VLOOKUP(AE1247,ODDS!$A$2:$C$13,3,0),"")</f>
        <v/>
      </c>
      <c r="AH1247" s="570" t="str">
        <f t="shared" si="266"/>
        <v xml:space="preserve"> </v>
      </c>
      <c r="AI1247" s="571" t="str">
        <f t="shared" si="271"/>
        <v xml:space="preserve"> </v>
      </c>
      <c r="AJ1247" s="593"/>
      <c r="AK1247" s="593"/>
    </row>
    <row r="1248" spans="1:37" s="385" customFormat="1" ht="40.5" outlineLevel="2" x14ac:dyDescent="0.3">
      <c r="A1248" s="447">
        <f t="shared" si="275"/>
        <v>99</v>
      </c>
      <c r="B1248" s="557"/>
      <c r="C1248" s="572"/>
      <c r="D1248" s="615"/>
      <c r="E1248" s="615"/>
      <c r="F1248" s="700"/>
      <c r="G1248" s="558"/>
      <c r="H1248" s="709"/>
      <c r="I1248" s="546"/>
      <c r="J1248" s="589"/>
      <c r="K1248" s="563" t="str">
        <f>IF(G1248&lt;&gt;0,VLOOKUP(G1248,'gia dat'!$A$1:$F$144,5,0)," ")</f>
        <v xml:space="preserve"> </v>
      </c>
      <c r="L1248" s="563" t="str">
        <f>IF(G1248&lt;&gt;0,VLOOKUP(G1248,'gia dat'!$A$1:$F$144,6,0)," ")</f>
        <v xml:space="preserve"> </v>
      </c>
      <c r="M1248" s="564" t="str">
        <f t="shared" si="261"/>
        <v xml:space="preserve"> </v>
      </c>
      <c r="N1248" s="564" t="str">
        <f t="shared" si="262"/>
        <v xml:space="preserve"> </v>
      </c>
      <c r="O1248" s="586" t="s">
        <v>933</v>
      </c>
      <c r="P1248" s="714">
        <v>10</v>
      </c>
      <c r="Q1248" s="564">
        <f>IF(O1248&lt;&gt;0,VLOOKUP(O1248,'Cây trong'!$A$2:$C$246,3,0)," ")</f>
        <v>360000</v>
      </c>
      <c r="R1248" s="564">
        <f t="shared" si="265"/>
        <v>3600000</v>
      </c>
      <c r="S1248" s="566"/>
      <c r="T1248" s="589"/>
      <c r="U1248" s="710"/>
      <c r="V1248" s="593"/>
      <c r="W1248" s="564" t="str">
        <f>IF(S1248&lt;&gt;0,VLOOKUP(S1248,VKT!$A$2:$G$415,7,0),"")</f>
        <v/>
      </c>
      <c r="X1248" s="564" t="str">
        <f t="shared" si="258"/>
        <v xml:space="preserve"> </v>
      </c>
      <c r="Y1248" s="683"/>
      <c r="Z1248" s="683"/>
      <c r="AA1248" s="683"/>
      <c r="AB1248" s="694"/>
      <c r="AC1248" s="683"/>
      <c r="AD1248" s="683"/>
      <c r="AE1248" s="683"/>
      <c r="AF1248" s="590"/>
      <c r="AG1248" s="570" t="str">
        <f>IF(AE1248&lt;&gt;0,VLOOKUP(AE1248,ODDS!$A$2:$C$13,3,0),"")</f>
        <v/>
      </c>
      <c r="AH1248" s="570" t="str">
        <f t="shared" si="266"/>
        <v xml:space="preserve"> </v>
      </c>
      <c r="AI1248" s="571" t="str">
        <f t="shared" si="271"/>
        <v xml:space="preserve"> </v>
      </c>
      <c r="AJ1248" s="593"/>
      <c r="AK1248" s="593"/>
    </row>
    <row r="1249" spans="1:37" s="385" customFormat="1" ht="40.5" outlineLevel="2" x14ac:dyDescent="0.3">
      <c r="A1249" s="447">
        <f t="shared" si="275"/>
        <v>99</v>
      </c>
      <c r="B1249" s="557"/>
      <c r="C1249" s="572"/>
      <c r="D1249" s="703"/>
      <c r="E1249" s="615"/>
      <c r="F1249" s="700"/>
      <c r="G1249" s="558"/>
      <c r="H1249" s="709"/>
      <c r="I1249" s="546"/>
      <c r="J1249" s="710"/>
      <c r="K1249" s="563" t="str">
        <f>IF(G1249&lt;&gt;0,VLOOKUP(G1249,'gia dat'!$A$1:$F$144,5,0)," ")</f>
        <v xml:space="preserve"> </v>
      </c>
      <c r="L1249" s="563" t="str">
        <f>IF(G1249&lt;&gt;0,VLOOKUP(G1249,'gia dat'!$A$1:$F$144,6,0)," ")</f>
        <v xml:space="preserve"> </v>
      </c>
      <c r="M1249" s="564" t="str">
        <f t="shared" si="261"/>
        <v xml:space="preserve"> </v>
      </c>
      <c r="N1249" s="564" t="str">
        <f t="shared" si="262"/>
        <v xml:space="preserve"> </v>
      </c>
      <c r="O1249" s="586" t="s">
        <v>933</v>
      </c>
      <c r="P1249" s="714">
        <v>15</v>
      </c>
      <c r="Q1249" s="564">
        <f>IF(O1249&lt;&gt;0,VLOOKUP(O1249,'Cây trong'!$A$2:$C$246,3,0)," ")</f>
        <v>360000</v>
      </c>
      <c r="R1249" s="564">
        <f t="shared" si="265"/>
        <v>5400000</v>
      </c>
      <c r="S1249" s="586"/>
      <c r="T1249" s="609"/>
      <c r="U1249" s="710"/>
      <c r="V1249" s="593"/>
      <c r="W1249" s="564" t="str">
        <f>IF(S1249&lt;&gt;0,VLOOKUP(S1249,VKT!$A$2:$G$415,7,0),"")</f>
        <v/>
      </c>
      <c r="X1249" s="564" t="str">
        <f t="shared" ref="X1249:X1318" si="276">IF(S1249&lt;&gt;0,ROUND(U1249*W1249,-3)," ")</f>
        <v xml:space="preserve"> </v>
      </c>
      <c r="Y1249" s="683"/>
      <c r="Z1249" s="683"/>
      <c r="AA1249" s="683"/>
      <c r="AB1249" s="694"/>
      <c r="AC1249" s="683"/>
      <c r="AD1249" s="683"/>
      <c r="AE1249" s="683"/>
      <c r="AF1249" s="590"/>
      <c r="AG1249" s="570" t="str">
        <f>IF(AE1249&lt;&gt;0,VLOOKUP(AE1249,ODDS!$A$2:$C$13,3,0),"")</f>
        <v/>
      </c>
      <c r="AH1249" s="570" t="str">
        <f t="shared" si="266"/>
        <v xml:space="preserve"> </v>
      </c>
      <c r="AI1249" s="571" t="str">
        <f t="shared" si="271"/>
        <v xml:space="preserve"> </v>
      </c>
      <c r="AJ1249" s="593"/>
      <c r="AK1249" s="593"/>
    </row>
    <row r="1250" spans="1:37" s="385" customFormat="1" ht="20.25" outlineLevel="2" x14ac:dyDescent="0.3">
      <c r="A1250" s="447">
        <f t="shared" si="275"/>
        <v>99</v>
      </c>
      <c r="B1250" s="557"/>
      <c r="C1250" s="558"/>
      <c r="D1250" s="703"/>
      <c r="E1250" s="615"/>
      <c r="F1250" s="700"/>
      <c r="G1250" s="558"/>
      <c r="H1250" s="709"/>
      <c r="I1250" s="546"/>
      <c r="J1250" s="710"/>
      <c r="K1250" s="563" t="str">
        <f>IF(G1250&lt;&gt;0,VLOOKUP(G1250,'gia dat'!$A$1:$F$144,5,0)," ")</f>
        <v xml:space="preserve"> </v>
      </c>
      <c r="L1250" s="563" t="str">
        <f>IF(G1250&lt;&gt;0,VLOOKUP(G1250,'gia dat'!$A$1:$F$144,6,0)," ")</f>
        <v xml:space="preserve"> </v>
      </c>
      <c r="M1250" s="564" t="str">
        <f t="shared" si="261"/>
        <v xml:space="preserve"> </v>
      </c>
      <c r="N1250" s="564" t="str">
        <f t="shared" si="262"/>
        <v xml:space="preserve"> </v>
      </c>
      <c r="O1250" s="586"/>
      <c r="P1250" s="714"/>
      <c r="Q1250" s="564" t="str">
        <f>IF(O1250&lt;&gt;0,VLOOKUP(O1250,'Cây trong'!$A$2:$C$246,3,0)," ")</f>
        <v xml:space="preserve"> </v>
      </c>
      <c r="R1250" s="564" t="str">
        <f t="shared" si="265"/>
        <v xml:space="preserve"> </v>
      </c>
      <c r="S1250" s="586"/>
      <c r="T1250" s="609"/>
      <c r="U1250" s="710"/>
      <c r="V1250" s="593"/>
      <c r="W1250" s="564" t="str">
        <f>IF(S1250&lt;&gt;0,VLOOKUP(S1250,VKT!$A$2:$G$415,7,0),"")</f>
        <v/>
      </c>
      <c r="X1250" s="564" t="str">
        <f t="shared" si="276"/>
        <v xml:space="preserve"> </v>
      </c>
      <c r="Y1250" s="683"/>
      <c r="Z1250" s="683"/>
      <c r="AA1250" s="683"/>
      <c r="AB1250" s="694"/>
      <c r="AC1250" s="683"/>
      <c r="AD1250" s="683"/>
      <c r="AE1250" s="683"/>
      <c r="AF1250" s="590"/>
      <c r="AG1250" s="570" t="str">
        <f>IF(AE1250&lt;&gt;0,VLOOKUP(AE1250,ODDS!$A$2:$C$13,3,0),"")</f>
        <v/>
      </c>
      <c r="AH1250" s="570" t="str">
        <f t="shared" si="266"/>
        <v xml:space="preserve"> </v>
      </c>
      <c r="AI1250" s="571" t="str">
        <f t="shared" si="271"/>
        <v xml:space="preserve"> </v>
      </c>
      <c r="AJ1250" s="593"/>
      <c r="AK1250" s="593"/>
    </row>
    <row r="1251" spans="1:37" s="385" customFormat="1" ht="20.25" outlineLevel="2" x14ac:dyDescent="0.3">
      <c r="A1251" s="447">
        <f t="shared" si="275"/>
        <v>99</v>
      </c>
      <c r="B1251" s="557"/>
      <c r="C1251" s="558"/>
      <c r="D1251" s="615"/>
      <c r="E1251" s="615"/>
      <c r="F1251" s="700"/>
      <c r="G1251" s="558"/>
      <c r="H1251" s="709"/>
      <c r="I1251" s="546"/>
      <c r="J1251" s="589"/>
      <c r="K1251" s="563" t="str">
        <f>IF(G1251&lt;&gt;0,VLOOKUP(G1251,'gia dat'!$A$1:$F$144,5,0)," ")</f>
        <v xml:space="preserve"> </v>
      </c>
      <c r="L1251" s="563" t="str">
        <f>IF(G1251&lt;&gt;0,VLOOKUP(G1251,'gia dat'!$A$1:$F$144,6,0)," ")</f>
        <v xml:space="preserve"> </v>
      </c>
      <c r="M1251" s="564" t="str">
        <f t="shared" si="261"/>
        <v xml:space="preserve"> </v>
      </c>
      <c r="N1251" s="564" t="str">
        <f t="shared" si="262"/>
        <v xml:space="preserve"> </v>
      </c>
      <c r="O1251" s="558"/>
      <c r="P1251" s="714"/>
      <c r="Q1251" s="564" t="str">
        <f>IF(O1251&lt;&gt;0,VLOOKUP(O1251,'Cây trong'!$A$2:$C$246,3,0)," ")</f>
        <v xml:space="preserve"> </v>
      </c>
      <c r="R1251" s="564" t="str">
        <f t="shared" si="265"/>
        <v xml:space="preserve"> </v>
      </c>
      <c r="S1251" s="566"/>
      <c r="T1251" s="589"/>
      <c r="U1251" s="710"/>
      <c r="V1251" s="593"/>
      <c r="W1251" s="564" t="str">
        <f>IF(S1251&lt;&gt;0,VLOOKUP(S1251,VKT!$A$2:$G$415,7,0),"")</f>
        <v/>
      </c>
      <c r="X1251" s="564" t="str">
        <f t="shared" si="276"/>
        <v xml:space="preserve"> </v>
      </c>
      <c r="Y1251" s="683"/>
      <c r="Z1251" s="683"/>
      <c r="AA1251" s="683"/>
      <c r="AB1251" s="694"/>
      <c r="AC1251" s="683"/>
      <c r="AD1251" s="683"/>
      <c r="AE1251" s="683"/>
      <c r="AF1251" s="590"/>
      <c r="AG1251" s="570" t="str">
        <f>IF(AE1251&lt;&gt;0,VLOOKUP(AE1251,ODDS!$A$2:$C$13,3,0),"")</f>
        <v/>
      </c>
      <c r="AH1251" s="570" t="str">
        <f t="shared" si="266"/>
        <v xml:space="preserve"> </v>
      </c>
      <c r="AI1251" s="571" t="str">
        <f t="shared" si="271"/>
        <v xml:space="preserve"> </v>
      </c>
      <c r="AJ1251" s="593"/>
      <c r="AK1251" s="593"/>
    </row>
    <row r="1252" spans="1:37" s="385" customFormat="1" ht="20.25" outlineLevel="2" x14ac:dyDescent="0.3">
      <c r="A1252" s="447">
        <f t="shared" si="275"/>
        <v>99</v>
      </c>
      <c r="B1252" s="557"/>
      <c r="C1252" s="558"/>
      <c r="D1252" s="615"/>
      <c r="E1252" s="615"/>
      <c r="F1252" s="700"/>
      <c r="G1252" s="558"/>
      <c r="H1252" s="709"/>
      <c r="I1252" s="546"/>
      <c r="J1252" s="589"/>
      <c r="K1252" s="563" t="str">
        <f>IF(G1252&lt;&gt;0,VLOOKUP(G1252,'gia dat'!$A$1:$F$144,5,0)," ")</f>
        <v xml:space="preserve"> </v>
      </c>
      <c r="L1252" s="563" t="str">
        <f>IF(G1252&lt;&gt;0,VLOOKUP(G1252,'gia dat'!$A$1:$F$144,6,0)," ")</f>
        <v xml:space="preserve"> </v>
      </c>
      <c r="M1252" s="564" t="str">
        <f t="shared" si="261"/>
        <v xml:space="preserve"> </v>
      </c>
      <c r="N1252" s="564" t="str">
        <f t="shared" si="262"/>
        <v xml:space="preserve"> </v>
      </c>
      <c r="O1252" s="558"/>
      <c r="P1252" s="714"/>
      <c r="Q1252" s="564"/>
      <c r="R1252" s="564"/>
      <c r="S1252" s="566"/>
      <c r="T1252" s="589"/>
      <c r="U1252" s="710"/>
      <c r="V1252" s="593"/>
      <c r="W1252" s="564" t="str">
        <f>IF(S1252&lt;&gt;0,VLOOKUP(S1252,VKT!$A$2:$G$415,7,0),"")</f>
        <v/>
      </c>
      <c r="X1252" s="564" t="str">
        <f t="shared" si="276"/>
        <v xml:space="preserve"> </v>
      </c>
      <c r="Y1252" s="683"/>
      <c r="Z1252" s="683"/>
      <c r="AA1252" s="683"/>
      <c r="AB1252" s="694"/>
      <c r="AC1252" s="683"/>
      <c r="AD1252" s="683"/>
      <c r="AE1252" s="683"/>
      <c r="AF1252" s="590"/>
      <c r="AG1252" s="570" t="str">
        <f>IF(AE1252&lt;&gt;0,VLOOKUP(AE1252,ODDS!$A$2:$C$13,3,0),"")</f>
        <v/>
      </c>
      <c r="AH1252" s="570"/>
      <c r="AI1252" s="571" t="str">
        <f t="shared" si="271"/>
        <v xml:space="preserve"> </v>
      </c>
      <c r="AJ1252" s="593"/>
      <c r="AK1252" s="593"/>
    </row>
    <row r="1253" spans="1:37" s="385" customFormat="1" ht="20.25" outlineLevel="2" x14ac:dyDescent="0.3">
      <c r="A1253" s="447">
        <f t="shared" si="275"/>
        <v>99</v>
      </c>
      <c r="B1253" s="557"/>
      <c r="C1253" s="558"/>
      <c r="D1253" s="615"/>
      <c r="E1253" s="615"/>
      <c r="F1253" s="700"/>
      <c r="G1253" s="558"/>
      <c r="H1253" s="709"/>
      <c r="I1253" s="546"/>
      <c r="J1253" s="589"/>
      <c r="K1253" s="563" t="str">
        <f>IF(G1253&lt;&gt;0,VLOOKUP(G1253,'gia dat'!$A$1:$F$144,5,0)," ")</f>
        <v xml:space="preserve"> </v>
      </c>
      <c r="L1253" s="563" t="str">
        <f>IF(G1253&lt;&gt;0,VLOOKUP(G1253,'gia dat'!$A$1:$F$144,6,0)," ")</f>
        <v xml:space="preserve"> </v>
      </c>
      <c r="M1253" s="564" t="str">
        <f t="shared" si="261"/>
        <v xml:space="preserve"> </v>
      </c>
      <c r="N1253" s="564" t="str">
        <f t="shared" si="262"/>
        <v xml:space="preserve"> </v>
      </c>
      <c r="O1253" s="558"/>
      <c r="P1253" s="714"/>
      <c r="Q1253" s="564"/>
      <c r="R1253" s="564"/>
      <c r="S1253" s="566"/>
      <c r="T1253" s="589"/>
      <c r="U1253" s="710"/>
      <c r="V1253" s="593"/>
      <c r="W1253" s="564" t="str">
        <f>IF(S1253&lt;&gt;0,VLOOKUP(S1253,VKT!$A$2:$G$415,7,0),"")</f>
        <v/>
      </c>
      <c r="X1253" s="564" t="str">
        <f t="shared" si="276"/>
        <v xml:space="preserve"> </v>
      </c>
      <c r="Y1253" s="683"/>
      <c r="Z1253" s="683"/>
      <c r="AA1253" s="683"/>
      <c r="AB1253" s="694"/>
      <c r="AC1253" s="683"/>
      <c r="AD1253" s="683"/>
      <c r="AE1253" s="683"/>
      <c r="AF1253" s="590"/>
      <c r="AG1253" s="570" t="str">
        <f>IF(AE1253&lt;&gt;0,VLOOKUP(AE1253,ODDS!$A$2:$C$13,3,0),"")</f>
        <v/>
      </c>
      <c r="AH1253" s="570"/>
      <c r="AI1253" s="571" t="str">
        <f t="shared" si="271"/>
        <v xml:space="preserve"> </v>
      </c>
      <c r="AJ1253" s="593"/>
      <c r="AK1253" s="593"/>
    </row>
    <row r="1254" spans="1:37" s="385" customFormat="1" ht="20.25" outlineLevel="2" x14ac:dyDescent="0.3">
      <c r="A1254" s="447">
        <f t="shared" si="275"/>
        <v>99</v>
      </c>
      <c r="B1254" s="557"/>
      <c r="C1254" s="558"/>
      <c r="D1254" s="615"/>
      <c r="E1254" s="615"/>
      <c r="F1254" s="700"/>
      <c r="G1254" s="558"/>
      <c r="H1254" s="709"/>
      <c r="I1254" s="546"/>
      <c r="J1254" s="589"/>
      <c r="K1254" s="563" t="str">
        <f>IF(G1254&lt;&gt;0,VLOOKUP(G1254,'gia dat'!$A$1:$F$144,5,0)," ")</f>
        <v xml:space="preserve"> </v>
      </c>
      <c r="L1254" s="563" t="str">
        <f>IF(G1254&lt;&gt;0,VLOOKUP(G1254,'gia dat'!$A$1:$F$144,6,0)," ")</f>
        <v xml:space="preserve"> </v>
      </c>
      <c r="M1254" s="564" t="str">
        <f t="shared" si="261"/>
        <v xml:space="preserve"> </v>
      </c>
      <c r="N1254" s="564" t="str">
        <f t="shared" si="262"/>
        <v xml:space="preserve"> </v>
      </c>
      <c r="O1254" s="558"/>
      <c r="P1254" s="714"/>
      <c r="Q1254" s="564"/>
      <c r="R1254" s="564"/>
      <c r="S1254" s="566"/>
      <c r="T1254" s="589"/>
      <c r="U1254" s="710"/>
      <c r="V1254" s="593"/>
      <c r="W1254" s="564" t="str">
        <f>IF(S1254&lt;&gt;0,VLOOKUP(S1254,VKT!$A$2:$G$415,7,0),"")</f>
        <v/>
      </c>
      <c r="X1254" s="564" t="str">
        <f t="shared" si="276"/>
        <v xml:space="preserve"> </v>
      </c>
      <c r="Y1254" s="683"/>
      <c r="Z1254" s="683"/>
      <c r="AA1254" s="683"/>
      <c r="AB1254" s="694"/>
      <c r="AC1254" s="683"/>
      <c r="AD1254" s="683"/>
      <c r="AE1254" s="683"/>
      <c r="AF1254" s="590"/>
      <c r="AG1254" s="570" t="str">
        <f>IF(AE1254&lt;&gt;0,VLOOKUP(AE1254,ODDS!$A$2:$C$13,3,0),"")</f>
        <v/>
      </c>
      <c r="AH1254" s="570"/>
      <c r="AI1254" s="571" t="str">
        <f t="shared" si="271"/>
        <v xml:space="preserve"> </v>
      </c>
      <c r="AJ1254" s="593"/>
      <c r="AK1254" s="593"/>
    </row>
    <row r="1255" spans="1:37" s="385" customFormat="1" ht="20.25" outlineLevel="2" x14ac:dyDescent="0.3">
      <c r="A1255" s="447">
        <f t="shared" si="275"/>
        <v>99</v>
      </c>
      <c r="B1255" s="576"/>
      <c r="C1255" s="574"/>
      <c r="D1255" s="615"/>
      <c r="E1255" s="615"/>
      <c r="F1255" s="700"/>
      <c r="G1255" s="558"/>
      <c r="H1255" s="709"/>
      <c r="I1255" s="546"/>
      <c r="J1255" s="589"/>
      <c r="K1255" s="563" t="str">
        <f>IF(G1255&lt;&gt;0,VLOOKUP(G1255,'gia dat'!$A$1:$F$144,5,0)," ")</f>
        <v xml:space="preserve"> </v>
      </c>
      <c r="L1255" s="563" t="str">
        <f>IF(G1255&lt;&gt;0,VLOOKUP(G1255,'gia dat'!$A$1:$F$144,6,0)," ")</f>
        <v xml:space="preserve"> </v>
      </c>
      <c r="M1255" s="564" t="str">
        <f t="shared" si="261"/>
        <v xml:space="preserve"> </v>
      </c>
      <c r="N1255" s="564" t="str">
        <f t="shared" si="262"/>
        <v xml:space="preserve"> </v>
      </c>
      <c r="O1255" s="558"/>
      <c r="P1255" s="714"/>
      <c r="Q1255" s="564"/>
      <c r="R1255" s="564"/>
      <c r="S1255" s="566"/>
      <c r="T1255" s="589"/>
      <c r="U1255" s="710"/>
      <c r="V1255" s="593"/>
      <c r="W1255" s="564" t="str">
        <f>IF(S1255&lt;&gt;0,VLOOKUP(S1255,VKT!$A$2:$G$415,7,0),"")</f>
        <v/>
      </c>
      <c r="X1255" s="564" t="str">
        <f t="shared" si="276"/>
        <v xml:space="preserve"> </v>
      </c>
      <c r="Y1255" s="683"/>
      <c r="Z1255" s="683"/>
      <c r="AA1255" s="683"/>
      <c r="AB1255" s="694"/>
      <c r="AC1255" s="683"/>
      <c r="AD1255" s="683"/>
      <c r="AE1255" s="683"/>
      <c r="AF1255" s="590"/>
      <c r="AG1255" s="570" t="str">
        <f>IF(AE1255&lt;&gt;0,VLOOKUP(AE1255,ODDS!$A$2:$C$13,3,0),"")</f>
        <v/>
      </c>
      <c r="AH1255" s="570"/>
      <c r="AI1255" s="571" t="str">
        <f t="shared" si="271"/>
        <v xml:space="preserve"> </v>
      </c>
      <c r="AJ1255" s="593"/>
      <c r="AK1255" s="593"/>
    </row>
    <row r="1256" spans="1:37" s="402" customFormat="1" ht="40.5" outlineLevel="1" x14ac:dyDescent="0.25">
      <c r="A1256" s="467" t="s">
        <v>2610</v>
      </c>
      <c r="B1256" s="576">
        <v>100</v>
      </c>
      <c r="C1256" s="574" t="s">
        <v>959</v>
      </c>
      <c r="D1256" s="705"/>
      <c r="E1256" s="705"/>
      <c r="F1256" s="706"/>
      <c r="G1256" s="574"/>
      <c r="H1256" s="707">
        <f>SUBTOTAL(9,H1257:H1265)</f>
        <v>171.8</v>
      </c>
      <c r="I1256" s="579">
        <f>SUBTOTAL(9,I1257:I1262)</f>
        <v>0</v>
      </c>
      <c r="J1256" s="597"/>
      <c r="K1256" s="581"/>
      <c r="L1256" s="581"/>
      <c r="M1256" s="571">
        <f>SUBTOTAL(9,M1257:M1265)</f>
        <v>95246000</v>
      </c>
      <c r="N1256" s="571">
        <f>SUBTOTAL(9,N1257:N1265)</f>
        <v>0</v>
      </c>
      <c r="O1256" s="574"/>
      <c r="P1256" s="712">
        <f>SUBTOTAL(9,P1257:P1265)</f>
        <v>0</v>
      </c>
      <c r="Q1256" s="571"/>
      <c r="R1256" s="571">
        <f>SUBTOTAL(9,R1257:R1265)</f>
        <v>0</v>
      </c>
      <c r="S1256" s="582"/>
      <c r="T1256" s="597"/>
      <c r="U1256" s="708">
        <f>SUBTOTAL(9,U1257:U1265)</f>
        <v>0</v>
      </c>
      <c r="V1256" s="608"/>
      <c r="W1256" s="571"/>
      <c r="X1256" s="571">
        <f>SUBTOTAL(9,X1257:X1265)</f>
        <v>0</v>
      </c>
      <c r="Y1256" s="650"/>
      <c r="Z1256" s="650"/>
      <c r="AA1256" s="650"/>
      <c r="AB1256" s="695"/>
      <c r="AC1256" s="650"/>
      <c r="AD1256" s="650"/>
      <c r="AE1256" s="650"/>
      <c r="AF1256" s="599">
        <f>SUBTOTAL(9,AF1257:AF1265)</f>
        <v>0</v>
      </c>
      <c r="AG1256" s="585"/>
      <c r="AH1256" s="585">
        <f>SUBTOTAL(9,AH1257:AH1265)</f>
        <v>0</v>
      </c>
      <c r="AI1256" s="571">
        <f t="shared" si="271"/>
        <v>95246000</v>
      </c>
      <c r="AJ1256" s="574"/>
      <c r="AK1256" s="578"/>
    </row>
    <row r="1257" spans="1:37" s="402" customFormat="1" ht="222.75" outlineLevel="2" x14ac:dyDescent="0.3">
      <c r="A1257" s="447">
        <f>IF(B1256&lt;&gt;0,B1256,A1255)</f>
        <v>100</v>
      </c>
      <c r="B1257" s="557"/>
      <c r="C1257" s="558" t="s">
        <v>961</v>
      </c>
      <c r="D1257" s="705"/>
      <c r="E1257" s="615">
        <v>86</v>
      </c>
      <c r="F1257" s="700">
        <v>233</v>
      </c>
      <c r="G1257" s="558" t="s">
        <v>2880</v>
      </c>
      <c r="H1257" s="709">
        <f>171.8</f>
        <v>171.8</v>
      </c>
      <c r="I1257" s="546" t="str">
        <f t="shared" ref="I1257" si="277">IF(N1257&gt;0,H1257,"")</f>
        <v/>
      </c>
      <c r="J1257" s="597"/>
      <c r="K1257" s="563">
        <f>IF(G1257&lt;&gt;0,VLOOKUP(G1257,'gia dat'!$A$1:$F$144,5,0)," ")</f>
        <v>554400</v>
      </c>
      <c r="L1257" s="563">
        <f>IF(G1257&lt;&gt;0,VLOOKUP(G1257,'gia dat'!$A$1:$F$144,6,0)," ")</f>
        <v>0</v>
      </c>
      <c r="M1257" s="564">
        <f t="shared" si="261"/>
        <v>95246000</v>
      </c>
      <c r="N1257" s="564">
        <f t="shared" si="262"/>
        <v>0</v>
      </c>
      <c r="O1257" s="574"/>
      <c r="P1257" s="712"/>
      <c r="Q1257" s="571"/>
      <c r="R1257" s="571"/>
      <c r="S1257" s="582"/>
      <c r="T1257" s="597"/>
      <c r="U1257" s="708"/>
      <c r="V1257" s="608"/>
      <c r="W1257" s="564" t="str">
        <f>IF(S1257&lt;&gt;0,VLOOKUP(S1257,VKT!$A$2:$G$415,7,0),"")</f>
        <v/>
      </c>
      <c r="X1257" s="564" t="str">
        <f t="shared" si="276"/>
        <v xml:space="preserve"> </v>
      </c>
      <c r="Y1257" s="650"/>
      <c r="Z1257" s="650"/>
      <c r="AA1257" s="650"/>
      <c r="AB1257" s="695"/>
      <c r="AC1257" s="650"/>
      <c r="AD1257" s="650"/>
      <c r="AE1257" s="650"/>
      <c r="AF1257" s="599"/>
      <c r="AG1257" s="570" t="str">
        <f>IF(AE1257&lt;&gt;0,VLOOKUP(AE1257,ODDS!$A$2:$C$13,3,0),"")</f>
        <v/>
      </c>
      <c r="AH1257" s="585"/>
      <c r="AI1257" s="571" t="str">
        <f t="shared" si="271"/>
        <v xml:space="preserve"> </v>
      </c>
      <c r="AJ1257" s="558" t="s">
        <v>2779</v>
      </c>
      <c r="AK1257" s="586" t="s">
        <v>2771</v>
      </c>
    </row>
    <row r="1258" spans="1:37" s="385" customFormat="1" ht="81" outlineLevel="2" x14ac:dyDescent="0.3">
      <c r="A1258" s="447">
        <f t="shared" ref="A1258:A1265" si="278">IF(B1257&lt;&gt;0,B1257,A1257)</f>
        <v>100</v>
      </c>
      <c r="B1258" s="557"/>
      <c r="C1258" s="558" t="s">
        <v>1657</v>
      </c>
      <c r="D1258" s="615"/>
      <c r="E1258" s="615"/>
      <c r="F1258" s="700"/>
      <c r="G1258" s="558"/>
      <c r="H1258" s="709"/>
      <c r="I1258" s="546"/>
      <c r="J1258" s="589"/>
      <c r="K1258" s="563" t="str">
        <f>IF(G1258&lt;&gt;0,VLOOKUP(G1258,'gia dat'!$A$1:$F$144,5,0)," ")</f>
        <v xml:space="preserve"> </v>
      </c>
      <c r="L1258" s="563" t="str">
        <f>IF(G1258&lt;&gt;0,VLOOKUP(G1258,'gia dat'!$A$1:$F$144,6,0)," ")</f>
        <v xml:space="preserve"> </v>
      </c>
      <c r="M1258" s="564" t="str">
        <f t="shared" si="261"/>
        <v xml:space="preserve"> </v>
      </c>
      <c r="N1258" s="564" t="str">
        <f t="shared" si="262"/>
        <v xml:space="preserve"> </v>
      </c>
      <c r="O1258" s="558"/>
      <c r="P1258" s="714"/>
      <c r="Q1258" s="564"/>
      <c r="R1258" s="564"/>
      <c r="S1258" s="566"/>
      <c r="T1258" s="589"/>
      <c r="U1258" s="710"/>
      <c r="V1258" s="593"/>
      <c r="W1258" s="564" t="str">
        <f>IF(S1258&lt;&gt;0,VLOOKUP(S1258,VKT!$A$2:$G$415,7,0),"")</f>
        <v/>
      </c>
      <c r="X1258" s="564" t="str">
        <f t="shared" si="276"/>
        <v xml:space="preserve"> </v>
      </c>
      <c r="Y1258" s="683"/>
      <c r="Z1258" s="683"/>
      <c r="AA1258" s="683"/>
      <c r="AB1258" s="694"/>
      <c r="AC1258" s="683"/>
      <c r="AD1258" s="683"/>
      <c r="AE1258" s="683"/>
      <c r="AF1258" s="590"/>
      <c r="AG1258" s="570" t="str">
        <f>IF(AE1258&lt;&gt;0,VLOOKUP(AE1258,ODDS!$A$2:$C$13,3,0),"")</f>
        <v/>
      </c>
      <c r="AH1258" s="570"/>
      <c r="AI1258" s="571" t="str">
        <f t="shared" si="271"/>
        <v xml:space="preserve"> </v>
      </c>
      <c r="AJ1258" s="558"/>
      <c r="AK1258" s="593"/>
    </row>
    <row r="1259" spans="1:37" s="385" customFormat="1" ht="20.25" outlineLevel="2" x14ac:dyDescent="0.3">
      <c r="A1259" s="447">
        <f t="shared" si="278"/>
        <v>100</v>
      </c>
      <c r="B1259" s="557"/>
      <c r="C1259" s="558"/>
      <c r="D1259" s="615"/>
      <c r="E1259" s="615"/>
      <c r="F1259" s="700"/>
      <c r="G1259" s="558"/>
      <c r="H1259" s="709"/>
      <c r="I1259" s="546"/>
      <c r="J1259" s="589"/>
      <c r="K1259" s="563" t="str">
        <f>IF(G1259&lt;&gt;0,VLOOKUP(G1259,'gia dat'!$A$1:$F$144,5,0)," ")</f>
        <v xml:space="preserve"> </v>
      </c>
      <c r="L1259" s="563" t="str">
        <f>IF(G1259&lt;&gt;0,VLOOKUP(G1259,'gia dat'!$A$1:$F$144,6,0)," ")</f>
        <v xml:space="preserve"> </v>
      </c>
      <c r="M1259" s="564" t="str">
        <f t="shared" si="261"/>
        <v xml:space="preserve"> </v>
      </c>
      <c r="N1259" s="564" t="str">
        <f t="shared" si="262"/>
        <v xml:space="preserve"> </v>
      </c>
      <c r="O1259" s="558"/>
      <c r="P1259" s="714"/>
      <c r="Q1259" s="564"/>
      <c r="R1259" s="564"/>
      <c r="S1259" s="566"/>
      <c r="T1259" s="589"/>
      <c r="U1259" s="710"/>
      <c r="V1259" s="593"/>
      <c r="W1259" s="564" t="str">
        <f>IF(S1259&lt;&gt;0,VLOOKUP(S1259,VKT!$A$2:$G$415,7,0),"")</f>
        <v/>
      </c>
      <c r="X1259" s="564" t="str">
        <f t="shared" si="276"/>
        <v xml:space="preserve"> </v>
      </c>
      <c r="Y1259" s="683"/>
      <c r="Z1259" s="683"/>
      <c r="AA1259" s="683"/>
      <c r="AB1259" s="694"/>
      <c r="AC1259" s="683"/>
      <c r="AD1259" s="683"/>
      <c r="AE1259" s="683"/>
      <c r="AF1259" s="590"/>
      <c r="AG1259" s="570" t="str">
        <f>IF(AE1259&lt;&gt;0,VLOOKUP(AE1259,ODDS!$A$2:$C$13,3,0),"")</f>
        <v/>
      </c>
      <c r="AH1259" s="570"/>
      <c r="AI1259" s="571" t="str">
        <f t="shared" si="271"/>
        <v xml:space="preserve"> </v>
      </c>
      <c r="AJ1259" s="558"/>
      <c r="AK1259" s="593"/>
    </row>
    <row r="1260" spans="1:37" s="385" customFormat="1" ht="20.25" outlineLevel="2" x14ac:dyDescent="0.3">
      <c r="A1260" s="447">
        <f t="shared" si="278"/>
        <v>100</v>
      </c>
      <c r="B1260" s="557"/>
      <c r="C1260" s="558"/>
      <c r="D1260" s="615"/>
      <c r="E1260" s="615"/>
      <c r="F1260" s="700"/>
      <c r="G1260" s="558"/>
      <c r="H1260" s="709"/>
      <c r="I1260" s="546"/>
      <c r="J1260" s="589"/>
      <c r="K1260" s="563" t="str">
        <f>IF(G1260&lt;&gt;0,VLOOKUP(G1260,'gia dat'!$A$1:$F$144,5,0)," ")</f>
        <v xml:space="preserve"> </v>
      </c>
      <c r="L1260" s="563" t="str">
        <f>IF(G1260&lt;&gt;0,VLOOKUP(G1260,'gia dat'!$A$1:$F$144,6,0)," ")</f>
        <v xml:space="preserve"> </v>
      </c>
      <c r="M1260" s="564" t="str">
        <f t="shared" si="261"/>
        <v xml:space="preserve"> </v>
      </c>
      <c r="N1260" s="564" t="str">
        <f t="shared" si="262"/>
        <v xml:space="preserve"> </v>
      </c>
      <c r="O1260" s="558"/>
      <c r="P1260" s="714"/>
      <c r="Q1260" s="564"/>
      <c r="R1260" s="564"/>
      <c r="S1260" s="566"/>
      <c r="T1260" s="589"/>
      <c r="U1260" s="710"/>
      <c r="V1260" s="593"/>
      <c r="W1260" s="564" t="str">
        <f>IF(S1260&lt;&gt;0,VLOOKUP(S1260,VKT!$A$2:$G$415,7,0),"")</f>
        <v/>
      </c>
      <c r="X1260" s="564" t="str">
        <f t="shared" si="276"/>
        <v xml:space="preserve"> </v>
      </c>
      <c r="Y1260" s="683"/>
      <c r="Z1260" s="683"/>
      <c r="AA1260" s="683"/>
      <c r="AB1260" s="694"/>
      <c r="AC1260" s="683"/>
      <c r="AD1260" s="683"/>
      <c r="AE1260" s="683"/>
      <c r="AF1260" s="590"/>
      <c r="AG1260" s="570" t="str">
        <f>IF(AE1260&lt;&gt;0,VLOOKUP(AE1260,ODDS!$A$2:$C$13,3,0),"")</f>
        <v/>
      </c>
      <c r="AH1260" s="570"/>
      <c r="AI1260" s="571" t="str">
        <f t="shared" si="271"/>
        <v xml:space="preserve"> </v>
      </c>
      <c r="AJ1260" s="593"/>
      <c r="AK1260" s="593"/>
    </row>
    <row r="1261" spans="1:37" s="385" customFormat="1" ht="20.25" outlineLevel="2" x14ac:dyDescent="0.3">
      <c r="A1261" s="447">
        <f t="shared" si="278"/>
        <v>100</v>
      </c>
      <c r="B1261" s="557"/>
      <c r="C1261" s="558"/>
      <c r="D1261" s="615"/>
      <c r="E1261" s="615"/>
      <c r="F1261" s="700"/>
      <c r="G1261" s="558"/>
      <c r="H1261" s="709"/>
      <c r="I1261" s="546"/>
      <c r="J1261" s="589"/>
      <c r="K1261" s="563" t="str">
        <f>IF(G1261&lt;&gt;0,VLOOKUP(G1261,'gia dat'!$A$1:$F$144,5,0)," ")</f>
        <v xml:space="preserve"> </v>
      </c>
      <c r="L1261" s="563" t="str">
        <f>IF(G1261&lt;&gt;0,VLOOKUP(G1261,'gia dat'!$A$1:$F$144,6,0)," ")</f>
        <v xml:space="preserve"> </v>
      </c>
      <c r="M1261" s="564" t="str">
        <f t="shared" ref="M1261:M1329" si="279">IF(H1261&lt;&gt;0,ROUND(H1261*K1261,-3)," ")</f>
        <v xml:space="preserve"> </v>
      </c>
      <c r="N1261" s="564" t="str">
        <f t="shared" ref="N1261:N1329" si="280">IF(H1261&lt;&gt;0,ROUND(H1261*L1261,-3)," ")</f>
        <v xml:space="preserve"> </v>
      </c>
      <c r="O1261" s="558"/>
      <c r="P1261" s="714"/>
      <c r="Q1261" s="564"/>
      <c r="R1261" s="564"/>
      <c r="S1261" s="566"/>
      <c r="T1261" s="589"/>
      <c r="U1261" s="710"/>
      <c r="V1261" s="593"/>
      <c r="W1261" s="564" t="str">
        <f>IF(S1261&lt;&gt;0,VLOOKUP(S1261,VKT!$A$2:$G$415,7,0),"")</f>
        <v/>
      </c>
      <c r="X1261" s="564" t="str">
        <f t="shared" si="276"/>
        <v xml:space="preserve"> </v>
      </c>
      <c r="Y1261" s="683"/>
      <c r="Z1261" s="683"/>
      <c r="AA1261" s="683"/>
      <c r="AB1261" s="694"/>
      <c r="AC1261" s="683"/>
      <c r="AD1261" s="683"/>
      <c r="AE1261" s="683"/>
      <c r="AF1261" s="590"/>
      <c r="AG1261" s="570" t="str">
        <f>IF(AE1261&lt;&gt;0,VLOOKUP(AE1261,ODDS!$A$2:$C$13,3,0),"")</f>
        <v/>
      </c>
      <c r="AH1261" s="570"/>
      <c r="AI1261" s="571" t="str">
        <f t="shared" si="271"/>
        <v xml:space="preserve"> </v>
      </c>
      <c r="AJ1261" s="593"/>
      <c r="AK1261" s="593"/>
    </row>
    <row r="1262" spans="1:37" s="385" customFormat="1" ht="20.25" outlineLevel="2" x14ac:dyDescent="0.3">
      <c r="A1262" s="447">
        <f t="shared" si="278"/>
        <v>100</v>
      </c>
      <c r="B1262" s="557"/>
      <c r="C1262" s="558"/>
      <c r="D1262" s="615"/>
      <c r="E1262" s="615"/>
      <c r="F1262" s="700"/>
      <c r="G1262" s="558"/>
      <c r="H1262" s="709"/>
      <c r="I1262" s="546"/>
      <c r="J1262" s="589"/>
      <c r="K1262" s="563" t="str">
        <f>IF(G1262&lt;&gt;0,VLOOKUP(G1262,'gia dat'!$A$1:$F$144,5,0)," ")</f>
        <v xml:space="preserve"> </v>
      </c>
      <c r="L1262" s="563" t="str">
        <f>IF(G1262&lt;&gt;0,VLOOKUP(G1262,'gia dat'!$A$1:$F$144,6,0)," ")</f>
        <v xml:space="preserve"> </v>
      </c>
      <c r="M1262" s="564" t="str">
        <f t="shared" si="279"/>
        <v xml:space="preserve"> </v>
      </c>
      <c r="N1262" s="564" t="str">
        <f t="shared" si="280"/>
        <v xml:space="preserve"> </v>
      </c>
      <c r="O1262" s="558"/>
      <c r="P1262" s="714"/>
      <c r="Q1262" s="564"/>
      <c r="R1262" s="564"/>
      <c r="S1262" s="566"/>
      <c r="T1262" s="589"/>
      <c r="U1262" s="710"/>
      <c r="V1262" s="593"/>
      <c r="W1262" s="564" t="str">
        <f>IF(S1262&lt;&gt;0,VLOOKUP(S1262,VKT!$A$2:$G$415,7,0),"")</f>
        <v/>
      </c>
      <c r="X1262" s="564" t="str">
        <f t="shared" si="276"/>
        <v xml:space="preserve"> </v>
      </c>
      <c r="Y1262" s="683"/>
      <c r="Z1262" s="683"/>
      <c r="AA1262" s="683"/>
      <c r="AB1262" s="694"/>
      <c r="AC1262" s="683"/>
      <c r="AD1262" s="683"/>
      <c r="AE1262" s="683"/>
      <c r="AF1262" s="590"/>
      <c r="AG1262" s="570" t="str">
        <f>IF(AE1262&lt;&gt;0,VLOOKUP(AE1262,ODDS!$A$2:$C$13,3,0),"")</f>
        <v/>
      </c>
      <c r="AH1262" s="570"/>
      <c r="AI1262" s="571" t="str">
        <f t="shared" si="271"/>
        <v xml:space="preserve"> </v>
      </c>
      <c r="AJ1262" s="593"/>
      <c r="AK1262" s="593"/>
    </row>
    <row r="1263" spans="1:37" s="385" customFormat="1" ht="20.25" outlineLevel="2" x14ac:dyDescent="0.3">
      <c r="A1263" s="447">
        <f t="shared" si="278"/>
        <v>100</v>
      </c>
      <c r="B1263" s="557"/>
      <c r="C1263" s="558"/>
      <c r="D1263" s="615"/>
      <c r="E1263" s="615"/>
      <c r="F1263" s="700"/>
      <c r="G1263" s="558"/>
      <c r="H1263" s="709"/>
      <c r="I1263" s="546"/>
      <c r="J1263" s="589"/>
      <c r="K1263" s="563" t="str">
        <f>IF(G1263&lt;&gt;0,VLOOKUP(G1263,'gia dat'!$A$1:$F$144,5,0)," ")</f>
        <v xml:space="preserve"> </v>
      </c>
      <c r="L1263" s="563" t="str">
        <f>IF(G1263&lt;&gt;0,VLOOKUP(G1263,'gia dat'!$A$1:$F$144,6,0)," ")</f>
        <v xml:space="preserve"> </v>
      </c>
      <c r="M1263" s="564" t="str">
        <f t="shared" si="279"/>
        <v xml:space="preserve"> </v>
      </c>
      <c r="N1263" s="564" t="str">
        <f t="shared" si="280"/>
        <v xml:space="preserve"> </v>
      </c>
      <c r="O1263" s="558"/>
      <c r="P1263" s="714"/>
      <c r="Q1263" s="564"/>
      <c r="R1263" s="564"/>
      <c r="S1263" s="566"/>
      <c r="T1263" s="589"/>
      <c r="U1263" s="710"/>
      <c r="V1263" s="593"/>
      <c r="W1263" s="564" t="str">
        <f>IF(S1263&lt;&gt;0,VLOOKUP(S1263,VKT!$A$2:$G$415,7,0),"")</f>
        <v/>
      </c>
      <c r="X1263" s="564" t="str">
        <f t="shared" si="276"/>
        <v xml:space="preserve"> </v>
      </c>
      <c r="Y1263" s="683"/>
      <c r="Z1263" s="683"/>
      <c r="AA1263" s="683"/>
      <c r="AB1263" s="694"/>
      <c r="AC1263" s="683"/>
      <c r="AD1263" s="683"/>
      <c r="AE1263" s="683"/>
      <c r="AF1263" s="590"/>
      <c r="AG1263" s="570" t="str">
        <f>IF(AE1263&lt;&gt;0,VLOOKUP(AE1263,ODDS!$A$2:$C$13,3,0),"")</f>
        <v/>
      </c>
      <c r="AH1263" s="570"/>
      <c r="AI1263" s="571" t="str">
        <f t="shared" si="271"/>
        <v xml:space="preserve"> </v>
      </c>
      <c r="AJ1263" s="593"/>
      <c r="AK1263" s="593"/>
    </row>
    <row r="1264" spans="1:37" s="385" customFormat="1" ht="20.25" outlineLevel="2" x14ac:dyDescent="0.3">
      <c r="A1264" s="447">
        <f t="shared" si="278"/>
        <v>100</v>
      </c>
      <c r="B1264" s="557"/>
      <c r="C1264" s="558"/>
      <c r="D1264" s="615"/>
      <c r="E1264" s="615"/>
      <c r="F1264" s="700"/>
      <c r="G1264" s="558"/>
      <c r="H1264" s="709"/>
      <c r="I1264" s="546"/>
      <c r="J1264" s="589"/>
      <c r="K1264" s="563" t="str">
        <f>IF(G1264&lt;&gt;0,VLOOKUP(G1264,'gia dat'!$A$1:$F$144,5,0)," ")</f>
        <v xml:space="preserve"> </v>
      </c>
      <c r="L1264" s="563" t="str">
        <f>IF(G1264&lt;&gt;0,VLOOKUP(G1264,'gia dat'!$A$1:$F$144,6,0)," ")</f>
        <v xml:space="preserve"> </v>
      </c>
      <c r="M1264" s="564" t="str">
        <f t="shared" si="279"/>
        <v xml:space="preserve"> </v>
      </c>
      <c r="N1264" s="564" t="str">
        <f t="shared" si="280"/>
        <v xml:space="preserve"> </v>
      </c>
      <c r="O1264" s="558"/>
      <c r="P1264" s="714"/>
      <c r="Q1264" s="564"/>
      <c r="R1264" s="564"/>
      <c r="S1264" s="566"/>
      <c r="T1264" s="589"/>
      <c r="U1264" s="710"/>
      <c r="V1264" s="593"/>
      <c r="W1264" s="564" t="str">
        <f>IF(S1264&lt;&gt;0,VLOOKUP(S1264,VKT!$A$2:$G$415,7,0),"")</f>
        <v/>
      </c>
      <c r="X1264" s="564" t="str">
        <f t="shared" si="276"/>
        <v xml:space="preserve"> </v>
      </c>
      <c r="Y1264" s="683"/>
      <c r="Z1264" s="683"/>
      <c r="AA1264" s="683"/>
      <c r="AB1264" s="694"/>
      <c r="AC1264" s="683"/>
      <c r="AD1264" s="683"/>
      <c r="AE1264" s="683"/>
      <c r="AF1264" s="590"/>
      <c r="AG1264" s="570" t="str">
        <f>IF(AE1264&lt;&gt;0,VLOOKUP(AE1264,ODDS!$A$2:$C$13,3,0),"")</f>
        <v/>
      </c>
      <c r="AH1264" s="570"/>
      <c r="AI1264" s="571" t="str">
        <f t="shared" si="271"/>
        <v xml:space="preserve"> </v>
      </c>
      <c r="AJ1264" s="593"/>
      <c r="AK1264" s="593"/>
    </row>
    <row r="1265" spans="1:37" s="385" customFormat="1" ht="20.25" outlineLevel="2" x14ac:dyDescent="0.3">
      <c r="A1265" s="447">
        <f t="shared" si="278"/>
        <v>100</v>
      </c>
      <c r="B1265" s="576"/>
      <c r="C1265" s="574"/>
      <c r="D1265" s="615"/>
      <c r="E1265" s="615"/>
      <c r="F1265" s="700"/>
      <c r="G1265" s="558"/>
      <c r="H1265" s="709"/>
      <c r="I1265" s="546"/>
      <c r="J1265" s="589"/>
      <c r="K1265" s="563" t="str">
        <f>IF(G1265&lt;&gt;0,VLOOKUP(G1265,'gia dat'!$A$1:$F$144,5,0)," ")</f>
        <v xml:space="preserve"> </v>
      </c>
      <c r="L1265" s="563" t="str">
        <f>IF(G1265&lt;&gt;0,VLOOKUP(G1265,'gia dat'!$A$1:$F$144,6,0)," ")</f>
        <v xml:space="preserve"> </v>
      </c>
      <c r="M1265" s="564" t="str">
        <f t="shared" si="279"/>
        <v xml:space="preserve"> </v>
      </c>
      <c r="N1265" s="564" t="str">
        <f t="shared" si="280"/>
        <v xml:space="preserve"> </v>
      </c>
      <c r="O1265" s="558"/>
      <c r="P1265" s="714"/>
      <c r="Q1265" s="564"/>
      <c r="R1265" s="564"/>
      <c r="S1265" s="566"/>
      <c r="T1265" s="589"/>
      <c r="U1265" s="710"/>
      <c r="V1265" s="593"/>
      <c r="W1265" s="564" t="str">
        <f>IF(S1265&lt;&gt;0,VLOOKUP(S1265,VKT!$A$2:$G$415,7,0),"")</f>
        <v/>
      </c>
      <c r="X1265" s="564" t="str">
        <f t="shared" si="276"/>
        <v xml:space="preserve"> </v>
      </c>
      <c r="Y1265" s="683"/>
      <c r="Z1265" s="683"/>
      <c r="AA1265" s="683"/>
      <c r="AB1265" s="694"/>
      <c r="AC1265" s="683"/>
      <c r="AD1265" s="683"/>
      <c r="AE1265" s="683"/>
      <c r="AF1265" s="590"/>
      <c r="AG1265" s="570" t="str">
        <f>IF(AE1265&lt;&gt;0,VLOOKUP(AE1265,ODDS!$A$2:$C$13,3,0),"")</f>
        <v/>
      </c>
      <c r="AH1265" s="570"/>
      <c r="AI1265" s="571" t="str">
        <f t="shared" si="271"/>
        <v xml:space="preserve"> </v>
      </c>
      <c r="AJ1265" s="593"/>
      <c r="AK1265" s="593"/>
    </row>
    <row r="1266" spans="1:37" s="385" customFormat="1" ht="40.5" outlineLevel="1" x14ac:dyDescent="0.25">
      <c r="A1266" s="467" t="s">
        <v>2609</v>
      </c>
      <c r="B1266" s="576">
        <v>101</v>
      </c>
      <c r="C1266" s="574" t="s">
        <v>959</v>
      </c>
      <c r="D1266" s="705"/>
      <c r="E1266" s="705"/>
      <c r="F1266" s="706"/>
      <c r="G1266" s="574"/>
      <c r="H1266" s="707">
        <f>SUBTOTAL(9,H1267:H1273)</f>
        <v>41.8</v>
      </c>
      <c r="I1266" s="579">
        <f>SUBTOTAL(9,I1267:I1272)</f>
        <v>0</v>
      </c>
      <c r="J1266" s="597"/>
      <c r="K1266" s="581"/>
      <c r="L1266" s="581"/>
      <c r="M1266" s="571">
        <f>SUBTOTAL(9,M1267:M1273)</f>
        <v>23174000</v>
      </c>
      <c r="N1266" s="571">
        <f>SUBTOTAL(9,N1267:N1273)</f>
        <v>0</v>
      </c>
      <c r="O1266" s="574"/>
      <c r="P1266" s="712">
        <f>SUBTOTAL(9,P1267:P1273)</f>
        <v>0</v>
      </c>
      <c r="Q1266" s="571"/>
      <c r="R1266" s="571">
        <f>SUBTOTAL(9,R1267:R1273)</f>
        <v>0</v>
      </c>
      <c r="S1266" s="582"/>
      <c r="T1266" s="597"/>
      <c r="U1266" s="708">
        <f>SUBTOTAL(9,U1267:U1273)</f>
        <v>0</v>
      </c>
      <c r="V1266" s="608"/>
      <c r="W1266" s="571"/>
      <c r="X1266" s="571">
        <f>SUBTOTAL(9,X1267:X1273)</f>
        <v>0</v>
      </c>
      <c r="Y1266" s="683"/>
      <c r="Z1266" s="683"/>
      <c r="AA1266" s="683"/>
      <c r="AB1266" s="694"/>
      <c r="AC1266" s="683"/>
      <c r="AD1266" s="683"/>
      <c r="AE1266" s="650"/>
      <c r="AF1266" s="599">
        <f>SUBTOTAL(9,AF1267:AF1273)</f>
        <v>0</v>
      </c>
      <c r="AG1266" s="585"/>
      <c r="AH1266" s="585">
        <f>SUBTOTAL(9,AH1267:AH1273)</f>
        <v>0</v>
      </c>
      <c r="AI1266" s="571">
        <f t="shared" si="271"/>
        <v>23174000</v>
      </c>
      <c r="AJ1266" s="574"/>
      <c r="AK1266" s="578"/>
    </row>
    <row r="1267" spans="1:37" s="385" customFormat="1" ht="182.25" outlineLevel="2" x14ac:dyDescent="0.3">
      <c r="A1267" s="447">
        <f>IF(B1266&lt;&gt;0,B1266,A1265)</f>
        <v>101</v>
      </c>
      <c r="B1267" s="557"/>
      <c r="C1267" s="558" t="s">
        <v>961</v>
      </c>
      <c r="D1267" s="615"/>
      <c r="E1267" s="615">
        <v>86</v>
      </c>
      <c r="F1267" s="700">
        <v>233</v>
      </c>
      <c r="G1267" s="558" t="s">
        <v>2880</v>
      </c>
      <c r="H1267" s="709">
        <v>41.8</v>
      </c>
      <c r="I1267" s="546" t="str">
        <f t="shared" ref="I1267" si="281">IF(N1267&gt;0,H1267,"")</f>
        <v/>
      </c>
      <c r="J1267" s="589"/>
      <c r="K1267" s="563">
        <f>IF(G1267&lt;&gt;0,VLOOKUP(G1267,'gia dat'!$A$1:$F$144,5,0)," ")</f>
        <v>554400</v>
      </c>
      <c r="L1267" s="563">
        <f>IF(G1267&lt;&gt;0,VLOOKUP(G1267,'gia dat'!$A$1:$F$144,6,0)," ")</f>
        <v>0</v>
      </c>
      <c r="M1267" s="564">
        <f t="shared" si="279"/>
        <v>23174000</v>
      </c>
      <c r="N1267" s="564">
        <f t="shared" si="280"/>
        <v>0</v>
      </c>
      <c r="O1267" s="558"/>
      <c r="P1267" s="714"/>
      <c r="Q1267" s="564"/>
      <c r="R1267" s="564"/>
      <c r="S1267" s="566"/>
      <c r="T1267" s="589"/>
      <c r="U1267" s="710"/>
      <c r="V1267" s="593"/>
      <c r="W1267" s="564" t="str">
        <f>IF(S1267&lt;&gt;0,VLOOKUP(S1267,VKT!$A$2:$G$415,7,0),"")</f>
        <v/>
      </c>
      <c r="X1267" s="564" t="str">
        <f t="shared" si="276"/>
        <v xml:space="preserve"> </v>
      </c>
      <c r="Y1267" s="683"/>
      <c r="Z1267" s="683"/>
      <c r="AA1267" s="683"/>
      <c r="AB1267" s="694"/>
      <c r="AC1267" s="683"/>
      <c r="AD1267" s="683"/>
      <c r="AE1267" s="683"/>
      <c r="AF1267" s="590"/>
      <c r="AG1267" s="570" t="str">
        <f>IF(AE1267&lt;&gt;0,VLOOKUP(AE1267,ODDS!$A$2:$C$13,3,0),"")</f>
        <v/>
      </c>
      <c r="AH1267" s="570"/>
      <c r="AI1267" s="571" t="str">
        <f t="shared" si="271"/>
        <v xml:space="preserve"> </v>
      </c>
      <c r="AJ1267" s="558" t="s">
        <v>2780</v>
      </c>
      <c r="AK1267" s="586" t="s">
        <v>2771</v>
      </c>
    </row>
    <row r="1268" spans="1:37" s="385" customFormat="1" ht="81" outlineLevel="2" x14ac:dyDescent="0.3">
      <c r="A1268" s="447">
        <f t="shared" ref="A1268:A1273" si="282">IF(B1267&lt;&gt;0,B1267,A1267)</f>
        <v>101</v>
      </c>
      <c r="B1268" s="557"/>
      <c r="C1268" s="558" t="s">
        <v>1657</v>
      </c>
      <c r="D1268" s="615"/>
      <c r="E1268" s="615"/>
      <c r="F1268" s="700"/>
      <c r="G1268" s="558"/>
      <c r="H1268" s="709"/>
      <c r="I1268" s="546"/>
      <c r="J1268" s="589"/>
      <c r="K1268" s="563" t="str">
        <f>IF(G1268&lt;&gt;0,VLOOKUP(G1268,'gia dat'!$A$1:$F$144,5,0)," ")</f>
        <v xml:space="preserve"> </v>
      </c>
      <c r="L1268" s="563" t="str">
        <f>IF(G1268&lt;&gt;0,VLOOKUP(G1268,'gia dat'!$A$1:$F$144,6,0)," ")</f>
        <v xml:space="preserve"> </v>
      </c>
      <c r="M1268" s="564" t="str">
        <f t="shared" si="279"/>
        <v xml:space="preserve"> </v>
      </c>
      <c r="N1268" s="564" t="str">
        <f t="shared" si="280"/>
        <v xml:space="preserve"> </v>
      </c>
      <c r="O1268" s="558"/>
      <c r="P1268" s="714"/>
      <c r="Q1268" s="564"/>
      <c r="R1268" s="564"/>
      <c r="S1268" s="566"/>
      <c r="T1268" s="589"/>
      <c r="U1268" s="710"/>
      <c r="V1268" s="593"/>
      <c r="W1268" s="564" t="str">
        <f>IF(S1268&lt;&gt;0,VLOOKUP(S1268,VKT!$A$2:$G$415,7,0),"")</f>
        <v/>
      </c>
      <c r="X1268" s="564" t="str">
        <f t="shared" si="276"/>
        <v xml:space="preserve"> </v>
      </c>
      <c r="Y1268" s="683"/>
      <c r="Z1268" s="683"/>
      <c r="AA1268" s="683"/>
      <c r="AB1268" s="694"/>
      <c r="AC1268" s="683"/>
      <c r="AD1268" s="683"/>
      <c r="AE1268" s="683"/>
      <c r="AF1268" s="590"/>
      <c r="AG1268" s="570" t="str">
        <f>IF(AE1268&lt;&gt;0,VLOOKUP(AE1268,ODDS!$A$2:$C$13,3,0),"")</f>
        <v/>
      </c>
      <c r="AH1268" s="570"/>
      <c r="AI1268" s="571" t="str">
        <f t="shared" si="271"/>
        <v xml:space="preserve"> </v>
      </c>
      <c r="AJ1268" s="558"/>
      <c r="AK1268" s="593"/>
    </row>
    <row r="1269" spans="1:37" s="385" customFormat="1" ht="20.25" outlineLevel="2" x14ac:dyDescent="0.3">
      <c r="A1269" s="447">
        <f t="shared" si="282"/>
        <v>101</v>
      </c>
      <c r="B1269" s="557"/>
      <c r="C1269" s="558"/>
      <c r="D1269" s="615"/>
      <c r="E1269" s="615"/>
      <c r="F1269" s="700"/>
      <c r="G1269" s="558"/>
      <c r="H1269" s="709"/>
      <c r="I1269" s="546"/>
      <c r="J1269" s="589"/>
      <c r="K1269" s="563" t="str">
        <f>IF(G1269&lt;&gt;0,VLOOKUP(G1269,'gia dat'!$A$1:$F$144,5,0)," ")</f>
        <v xml:space="preserve"> </v>
      </c>
      <c r="L1269" s="563" t="str">
        <f>IF(G1269&lt;&gt;0,VLOOKUP(G1269,'gia dat'!$A$1:$F$144,6,0)," ")</f>
        <v xml:space="preserve"> </v>
      </c>
      <c r="M1269" s="564" t="str">
        <f t="shared" si="279"/>
        <v xml:space="preserve"> </v>
      </c>
      <c r="N1269" s="564" t="str">
        <f t="shared" si="280"/>
        <v xml:space="preserve"> </v>
      </c>
      <c r="O1269" s="558"/>
      <c r="P1269" s="714"/>
      <c r="Q1269" s="564"/>
      <c r="R1269" s="564"/>
      <c r="S1269" s="566"/>
      <c r="T1269" s="589"/>
      <c r="U1269" s="710"/>
      <c r="V1269" s="593"/>
      <c r="W1269" s="564" t="str">
        <f>IF(S1269&lt;&gt;0,VLOOKUP(S1269,VKT!$A$2:$G$415,7,0),"")</f>
        <v/>
      </c>
      <c r="X1269" s="564" t="str">
        <f t="shared" si="276"/>
        <v xml:space="preserve"> </v>
      </c>
      <c r="Y1269" s="683"/>
      <c r="Z1269" s="683"/>
      <c r="AA1269" s="683"/>
      <c r="AB1269" s="694"/>
      <c r="AC1269" s="683"/>
      <c r="AD1269" s="683"/>
      <c r="AE1269" s="683"/>
      <c r="AF1269" s="590"/>
      <c r="AG1269" s="570" t="str">
        <f>IF(AE1269&lt;&gt;0,VLOOKUP(AE1269,ODDS!$A$2:$C$13,3,0),"")</f>
        <v/>
      </c>
      <c r="AH1269" s="570"/>
      <c r="AI1269" s="571" t="str">
        <f t="shared" si="271"/>
        <v xml:space="preserve"> </v>
      </c>
      <c r="AJ1269" s="558"/>
      <c r="AK1269" s="593"/>
    </row>
    <row r="1270" spans="1:37" s="385" customFormat="1" ht="20.25" outlineLevel="2" x14ac:dyDescent="0.3">
      <c r="A1270" s="447">
        <f t="shared" si="282"/>
        <v>101</v>
      </c>
      <c r="B1270" s="557"/>
      <c r="C1270" s="558"/>
      <c r="D1270" s="615"/>
      <c r="E1270" s="615"/>
      <c r="F1270" s="700"/>
      <c r="G1270" s="558"/>
      <c r="H1270" s="709"/>
      <c r="I1270" s="546"/>
      <c r="J1270" s="589"/>
      <c r="K1270" s="563" t="str">
        <f>IF(G1270&lt;&gt;0,VLOOKUP(G1270,'gia dat'!$A$1:$F$144,5,0)," ")</f>
        <v xml:space="preserve"> </v>
      </c>
      <c r="L1270" s="563" t="str">
        <f>IF(G1270&lt;&gt;0,VLOOKUP(G1270,'gia dat'!$A$1:$F$144,6,0)," ")</f>
        <v xml:space="preserve"> </v>
      </c>
      <c r="M1270" s="564" t="str">
        <f t="shared" si="279"/>
        <v xml:space="preserve"> </v>
      </c>
      <c r="N1270" s="564" t="str">
        <f t="shared" si="280"/>
        <v xml:space="preserve"> </v>
      </c>
      <c r="O1270" s="558"/>
      <c r="P1270" s="714"/>
      <c r="Q1270" s="564"/>
      <c r="R1270" s="564"/>
      <c r="S1270" s="566"/>
      <c r="T1270" s="589"/>
      <c r="U1270" s="710"/>
      <c r="V1270" s="593"/>
      <c r="W1270" s="564" t="str">
        <f>IF(S1270&lt;&gt;0,VLOOKUP(S1270,VKT!$A$2:$G$415,7,0),"")</f>
        <v/>
      </c>
      <c r="X1270" s="564" t="str">
        <f t="shared" si="276"/>
        <v xml:space="preserve"> </v>
      </c>
      <c r="Y1270" s="683"/>
      <c r="Z1270" s="683"/>
      <c r="AA1270" s="683"/>
      <c r="AB1270" s="694"/>
      <c r="AC1270" s="683"/>
      <c r="AD1270" s="683"/>
      <c r="AE1270" s="683"/>
      <c r="AF1270" s="590"/>
      <c r="AG1270" s="570" t="str">
        <f>IF(AE1270&lt;&gt;0,VLOOKUP(AE1270,ODDS!$A$2:$C$13,3,0),"")</f>
        <v/>
      </c>
      <c r="AH1270" s="570"/>
      <c r="AI1270" s="571" t="str">
        <f t="shared" si="271"/>
        <v xml:space="preserve"> </v>
      </c>
      <c r="AJ1270" s="593"/>
      <c r="AK1270" s="593"/>
    </row>
    <row r="1271" spans="1:37" s="385" customFormat="1" ht="20.25" outlineLevel="2" x14ac:dyDescent="0.3">
      <c r="A1271" s="447">
        <f t="shared" si="282"/>
        <v>101</v>
      </c>
      <c r="B1271" s="557"/>
      <c r="C1271" s="558"/>
      <c r="D1271" s="615"/>
      <c r="E1271" s="615"/>
      <c r="F1271" s="700"/>
      <c r="G1271" s="558"/>
      <c r="H1271" s="709"/>
      <c r="I1271" s="546"/>
      <c r="J1271" s="589"/>
      <c r="K1271" s="563" t="str">
        <f>IF(G1271&lt;&gt;0,VLOOKUP(G1271,'gia dat'!$A$1:$F$144,5,0)," ")</f>
        <v xml:space="preserve"> </v>
      </c>
      <c r="L1271" s="563" t="str">
        <f>IF(G1271&lt;&gt;0,VLOOKUP(G1271,'gia dat'!$A$1:$F$144,6,0)," ")</f>
        <v xml:space="preserve"> </v>
      </c>
      <c r="M1271" s="564" t="str">
        <f t="shared" si="279"/>
        <v xml:space="preserve"> </v>
      </c>
      <c r="N1271" s="564" t="str">
        <f t="shared" si="280"/>
        <v xml:space="preserve"> </v>
      </c>
      <c r="O1271" s="558"/>
      <c r="P1271" s="714"/>
      <c r="Q1271" s="564"/>
      <c r="R1271" s="564"/>
      <c r="S1271" s="566"/>
      <c r="T1271" s="589"/>
      <c r="U1271" s="710"/>
      <c r="V1271" s="593"/>
      <c r="W1271" s="564" t="str">
        <f>IF(S1271&lt;&gt;0,VLOOKUP(S1271,VKT!$A$2:$G$415,7,0),"")</f>
        <v/>
      </c>
      <c r="X1271" s="564" t="str">
        <f t="shared" si="276"/>
        <v xml:space="preserve"> </v>
      </c>
      <c r="Y1271" s="683"/>
      <c r="Z1271" s="683"/>
      <c r="AA1271" s="683"/>
      <c r="AB1271" s="694"/>
      <c r="AC1271" s="683"/>
      <c r="AD1271" s="683"/>
      <c r="AE1271" s="683"/>
      <c r="AF1271" s="590"/>
      <c r="AG1271" s="570" t="str">
        <f>IF(AE1271&lt;&gt;0,VLOOKUP(AE1271,ODDS!$A$2:$C$13,3,0),"")</f>
        <v/>
      </c>
      <c r="AH1271" s="570"/>
      <c r="AI1271" s="571" t="str">
        <f t="shared" si="271"/>
        <v xml:space="preserve"> </v>
      </c>
      <c r="AJ1271" s="593"/>
      <c r="AK1271" s="593"/>
    </row>
    <row r="1272" spans="1:37" s="385" customFormat="1" ht="20.25" outlineLevel="2" x14ac:dyDescent="0.3">
      <c r="A1272" s="447">
        <f t="shared" si="282"/>
        <v>101</v>
      </c>
      <c r="B1272" s="557"/>
      <c r="C1272" s="558"/>
      <c r="D1272" s="615"/>
      <c r="E1272" s="615"/>
      <c r="F1272" s="700"/>
      <c r="G1272" s="558"/>
      <c r="H1272" s="709"/>
      <c r="I1272" s="546"/>
      <c r="J1272" s="589"/>
      <c r="K1272" s="563" t="str">
        <f>IF(G1272&lt;&gt;0,VLOOKUP(G1272,'gia dat'!$A$1:$F$144,5,0)," ")</f>
        <v xml:space="preserve"> </v>
      </c>
      <c r="L1272" s="563" t="str">
        <f>IF(G1272&lt;&gt;0,VLOOKUP(G1272,'gia dat'!$A$1:$F$144,6,0)," ")</f>
        <v xml:space="preserve"> </v>
      </c>
      <c r="M1272" s="564" t="str">
        <f t="shared" si="279"/>
        <v xml:space="preserve"> </v>
      </c>
      <c r="N1272" s="564" t="str">
        <f t="shared" si="280"/>
        <v xml:space="preserve"> </v>
      </c>
      <c r="O1272" s="558"/>
      <c r="P1272" s="714"/>
      <c r="Q1272" s="564"/>
      <c r="R1272" s="564"/>
      <c r="S1272" s="566"/>
      <c r="T1272" s="589"/>
      <c r="U1272" s="710"/>
      <c r="V1272" s="593"/>
      <c r="W1272" s="564" t="str">
        <f>IF(S1272&lt;&gt;0,VLOOKUP(S1272,VKT!$A$2:$G$415,7,0),"")</f>
        <v/>
      </c>
      <c r="X1272" s="564" t="str">
        <f t="shared" si="276"/>
        <v xml:space="preserve"> </v>
      </c>
      <c r="Y1272" s="683"/>
      <c r="Z1272" s="683"/>
      <c r="AA1272" s="683"/>
      <c r="AB1272" s="694"/>
      <c r="AC1272" s="683"/>
      <c r="AD1272" s="683"/>
      <c r="AE1272" s="683"/>
      <c r="AF1272" s="590"/>
      <c r="AG1272" s="570" t="str">
        <f>IF(AE1272&lt;&gt;0,VLOOKUP(AE1272,ODDS!$A$2:$C$13,3,0),"")</f>
        <v/>
      </c>
      <c r="AH1272" s="570"/>
      <c r="AI1272" s="571" t="str">
        <f t="shared" si="271"/>
        <v xml:space="preserve"> </v>
      </c>
      <c r="AJ1272" s="593"/>
      <c r="AK1272" s="593"/>
    </row>
    <row r="1273" spans="1:37" s="385" customFormat="1" ht="20.25" outlineLevel="2" x14ac:dyDescent="0.3">
      <c r="A1273" s="447">
        <f t="shared" si="282"/>
        <v>101</v>
      </c>
      <c r="B1273" s="557"/>
      <c r="C1273" s="574"/>
      <c r="D1273" s="615"/>
      <c r="E1273" s="615"/>
      <c r="F1273" s="700"/>
      <c r="G1273" s="558"/>
      <c r="H1273" s="709"/>
      <c r="I1273" s="546"/>
      <c r="J1273" s="589"/>
      <c r="K1273" s="563" t="str">
        <f>IF(G1273&lt;&gt;0,VLOOKUP(G1273,'gia dat'!$A$1:$F$144,5,0)," ")</f>
        <v xml:space="preserve"> </v>
      </c>
      <c r="L1273" s="563" t="str">
        <f>IF(G1273&lt;&gt;0,VLOOKUP(G1273,'gia dat'!$A$1:$F$144,6,0)," ")</f>
        <v xml:space="preserve"> </v>
      </c>
      <c r="M1273" s="564" t="str">
        <f t="shared" si="279"/>
        <v xml:space="preserve"> </v>
      </c>
      <c r="N1273" s="564" t="str">
        <f t="shared" si="280"/>
        <v xml:space="preserve"> </v>
      </c>
      <c r="O1273" s="558"/>
      <c r="P1273" s="714"/>
      <c r="Q1273" s="564"/>
      <c r="R1273" s="564"/>
      <c r="S1273" s="566"/>
      <c r="T1273" s="589"/>
      <c r="U1273" s="710"/>
      <c r="V1273" s="593"/>
      <c r="W1273" s="564" t="str">
        <f>IF(S1273&lt;&gt;0,VLOOKUP(S1273,VKT!$A$2:$G$415,7,0),"")</f>
        <v/>
      </c>
      <c r="X1273" s="564" t="str">
        <f t="shared" si="276"/>
        <v xml:space="preserve"> </v>
      </c>
      <c r="Y1273" s="683"/>
      <c r="Z1273" s="683"/>
      <c r="AA1273" s="683"/>
      <c r="AB1273" s="694"/>
      <c r="AC1273" s="683"/>
      <c r="AD1273" s="683"/>
      <c r="AE1273" s="683"/>
      <c r="AF1273" s="590"/>
      <c r="AG1273" s="570" t="str">
        <f>IF(AE1273&lt;&gt;0,VLOOKUP(AE1273,ODDS!$A$2:$C$13,3,0),"")</f>
        <v/>
      </c>
      <c r="AH1273" s="570"/>
      <c r="AI1273" s="571" t="str">
        <f t="shared" si="271"/>
        <v xml:space="preserve"> </v>
      </c>
      <c r="AJ1273" s="593"/>
      <c r="AK1273" s="593"/>
    </row>
    <row r="1274" spans="1:37" s="385" customFormat="1" ht="40.5" outlineLevel="1" x14ac:dyDescent="0.3">
      <c r="A1274" s="467" t="s">
        <v>2608</v>
      </c>
      <c r="B1274" s="576">
        <v>102</v>
      </c>
      <c r="C1274" s="574" t="s">
        <v>2225</v>
      </c>
      <c r="D1274" s="705"/>
      <c r="E1274" s="722"/>
      <c r="F1274" s="722"/>
      <c r="G1274" s="723"/>
      <c r="H1274" s="724">
        <f>SUBTOTAL(9,H1275:H1295)</f>
        <v>0</v>
      </c>
      <c r="I1274" s="579">
        <f>SUBTOTAL(9,I1275:I1280)</f>
        <v>0</v>
      </c>
      <c r="J1274" s="708"/>
      <c r="K1274" s="581"/>
      <c r="L1274" s="581"/>
      <c r="M1274" s="571">
        <f>SUBTOTAL(9,M1275:M1295)</f>
        <v>0</v>
      </c>
      <c r="N1274" s="571">
        <f>SUBTOTAL(9,N1275:N1295)</f>
        <v>0</v>
      </c>
      <c r="O1274" s="578"/>
      <c r="P1274" s="712">
        <f>SUBTOTAL(9,P1275:P1295)</f>
        <v>36</v>
      </c>
      <c r="Q1274" s="571"/>
      <c r="R1274" s="571">
        <f>SUBTOTAL(9,R1275:R1295)</f>
        <v>13284000</v>
      </c>
      <c r="S1274" s="578"/>
      <c r="T1274" s="621"/>
      <c r="U1274" s="708">
        <f>SUBTOTAL(9,U1275:U1295)</f>
        <v>382.32000000000005</v>
      </c>
      <c r="V1274" s="663"/>
      <c r="W1274" s="571"/>
      <c r="X1274" s="571">
        <f>SUBTOTAL(9,X1275:X1295)</f>
        <v>427379000</v>
      </c>
      <c r="Y1274" s="683"/>
      <c r="Z1274" s="683"/>
      <c r="AA1274" s="683"/>
      <c r="AB1274" s="694"/>
      <c r="AC1274" s="683"/>
      <c r="AD1274" s="683"/>
      <c r="AE1274" s="650"/>
      <c r="AF1274" s="599">
        <f>SUBTOTAL(9,AF1275:AF1295)</f>
        <v>0</v>
      </c>
      <c r="AG1274" s="585"/>
      <c r="AH1274" s="585">
        <f>SUBTOTAL(9,AH1275:AH1295)</f>
        <v>0</v>
      </c>
      <c r="AI1274" s="571">
        <f t="shared" si="271"/>
        <v>440663000</v>
      </c>
      <c r="AJ1274" s="608"/>
      <c r="AK1274" s="574"/>
    </row>
    <row r="1275" spans="1:37" s="385" customFormat="1" ht="121.5" outlineLevel="2" x14ac:dyDescent="0.3">
      <c r="A1275" s="447">
        <f>IF(B1274&lt;&gt;0,B1274,A1273)</f>
        <v>102</v>
      </c>
      <c r="B1275" s="557"/>
      <c r="C1275" s="572" t="s">
        <v>938</v>
      </c>
      <c r="D1275" s="615">
        <v>3</v>
      </c>
      <c r="E1275" s="725"/>
      <c r="F1275" s="725"/>
      <c r="G1275" s="704"/>
      <c r="H1275" s="701"/>
      <c r="I1275" s="546"/>
      <c r="J1275" s="710"/>
      <c r="K1275" s="563" t="str">
        <f>IF(G1275&lt;&gt;0,VLOOKUP(G1275,'gia dat'!$A$1:$F$144,5,0)," ")</f>
        <v xml:space="preserve"> </v>
      </c>
      <c r="L1275" s="563" t="str">
        <f>IF(G1275&lt;&gt;0,VLOOKUP(G1275,'gia dat'!$A$1:$F$144,6,0)," ")</f>
        <v xml:space="preserve"> </v>
      </c>
      <c r="M1275" s="564" t="str">
        <f t="shared" si="279"/>
        <v xml:space="preserve"> </v>
      </c>
      <c r="N1275" s="564" t="str">
        <f t="shared" si="280"/>
        <v xml:space="preserve"> </v>
      </c>
      <c r="O1275" s="586" t="s">
        <v>145</v>
      </c>
      <c r="P1275" s="714">
        <v>1</v>
      </c>
      <c r="Q1275" s="564">
        <f>IF(O1275&lt;&gt;0,VLOOKUP(O1275,'Cây trong'!$A$2:$C$246,3,0)," ")</f>
        <v>4240000</v>
      </c>
      <c r="R1275" s="564">
        <f t="shared" si="265"/>
        <v>4240000</v>
      </c>
      <c r="S1275" s="586" t="s">
        <v>1762</v>
      </c>
      <c r="T1275" s="609" t="s">
        <v>2804</v>
      </c>
      <c r="U1275" s="710">
        <v>27</v>
      </c>
      <c r="V1275" s="661"/>
      <c r="W1275" s="564">
        <f>IF(S1275&lt;&gt;0,VLOOKUP(S1275,VKT!$A$2:$G$415,7,0),"")</f>
        <v>770070</v>
      </c>
      <c r="X1275" s="564">
        <f t="shared" si="276"/>
        <v>20792000</v>
      </c>
      <c r="Y1275" s="683"/>
      <c r="Z1275" s="683"/>
      <c r="AA1275" s="683"/>
      <c r="AB1275" s="694"/>
      <c r="AC1275" s="683"/>
      <c r="AD1275" s="683"/>
      <c r="AE1275" s="683"/>
      <c r="AF1275" s="590"/>
      <c r="AG1275" s="570" t="str">
        <f>IF(AE1275&lt;&gt;0,VLOOKUP(AE1275,ODDS!$A$2:$C$13,3,0),"")</f>
        <v/>
      </c>
      <c r="AH1275" s="570" t="str">
        <f t="shared" si="266"/>
        <v xml:space="preserve"> </v>
      </c>
      <c r="AI1275" s="571" t="str">
        <f t="shared" si="271"/>
        <v xml:space="preserve"> </v>
      </c>
      <c r="AJ1275" s="593" t="s">
        <v>943</v>
      </c>
      <c r="AK1275" s="558" t="s">
        <v>2450</v>
      </c>
    </row>
    <row r="1276" spans="1:37" s="385" customFormat="1" ht="101.25" outlineLevel="2" x14ac:dyDescent="0.3">
      <c r="A1276" s="447">
        <f t="shared" ref="A1276:A1295" si="283">IF(B1275&lt;&gt;0,B1275,A1275)</f>
        <v>102</v>
      </c>
      <c r="B1276" s="557"/>
      <c r="C1276" s="574" t="s">
        <v>2226</v>
      </c>
      <c r="D1276" s="703"/>
      <c r="E1276" s="615"/>
      <c r="F1276" s="700"/>
      <c r="G1276" s="558"/>
      <c r="H1276" s="709"/>
      <c r="I1276" s="546"/>
      <c r="J1276" s="710"/>
      <c r="K1276" s="563" t="str">
        <f>IF(G1276&lt;&gt;0,VLOOKUP(G1276,'gia dat'!$A$1:$F$144,5,0)," ")</f>
        <v xml:space="preserve"> </v>
      </c>
      <c r="L1276" s="563" t="str">
        <f>IF(G1276&lt;&gt;0,VLOOKUP(G1276,'gia dat'!$A$1:$F$144,6,0)," ")</f>
        <v xml:space="preserve"> </v>
      </c>
      <c r="M1276" s="564" t="str">
        <f t="shared" si="279"/>
        <v xml:space="preserve"> </v>
      </c>
      <c r="N1276" s="564" t="str">
        <f t="shared" si="280"/>
        <v xml:space="preserve"> </v>
      </c>
      <c r="O1276" s="586" t="s">
        <v>61</v>
      </c>
      <c r="P1276" s="714">
        <v>2</v>
      </c>
      <c r="Q1276" s="564">
        <f>IF(O1276&lt;&gt;0,VLOOKUP(O1276,'Cây trong'!$A$2:$C$246,3,0)," ")</f>
        <v>1708000</v>
      </c>
      <c r="R1276" s="564">
        <f t="shared" si="265"/>
        <v>3416000</v>
      </c>
      <c r="S1276" s="586" t="s">
        <v>1763</v>
      </c>
      <c r="T1276" s="609" t="s">
        <v>2804</v>
      </c>
      <c r="U1276" s="710">
        <v>81.400000000000006</v>
      </c>
      <c r="V1276" s="715"/>
      <c r="W1276" s="564">
        <f>IF(S1276&lt;&gt;0,VLOOKUP(S1276,VKT!$A$2:$G$415,7,0),"")</f>
        <v>3550600</v>
      </c>
      <c r="X1276" s="564">
        <f t="shared" si="276"/>
        <v>289019000</v>
      </c>
      <c r="Y1276" s="683"/>
      <c r="Z1276" s="683"/>
      <c r="AA1276" s="683"/>
      <c r="AB1276" s="694"/>
      <c r="AC1276" s="683"/>
      <c r="AD1276" s="683"/>
      <c r="AE1276" s="683"/>
      <c r="AF1276" s="590"/>
      <c r="AG1276" s="570" t="str">
        <f>IF(AE1276&lt;&gt;0,VLOOKUP(AE1276,ODDS!$A$2:$C$13,3,0),"")</f>
        <v/>
      </c>
      <c r="AH1276" s="570" t="str">
        <f t="shared" si="266"/>
        <v xml:space="preserve"> </v>
      </c>
      <c r="AI1276" s="571" t="str">
        <f t="shared" si="271"/>
        <v xml:space="preserve"> </v>
      </c>
      <c r="AJ1276" s="593" t="s">
        <v>945</v>
      </c>
      <c r="AK1276" s="558" t="s">
        <v>2449</v>
      </c>
    </row>
    <row r="1277" spans="1:37" s="385" customFormat="1" ht="101.25" outlineLevel="2" x14ac:dyDescent="0.3">
      <c r="A1277" s="447">
        <f t="shared" si="283"/>
        <v>102</v>
      </c>
      <c r="B1277" s="557"/>
      <c r="C1277" s="572" t="s">
        <v>944</v>
      </c>
      <c r="D1277" s="703"/>
      <c r="E1277" s="615"/>
      <c r="F1277" s="700"/>
      <c r="G1277" s="558"/>
      <c r="H1277" s="709"/>
      <c r="I1277" s="546"/>
      <c r="J1277" s="710"/>
      <c r="K1277" s="563" t="str">
        <f>IF(G1277&lt;&gt;0,VLOOKUP(G1277,'gia dat'!$A$1:$F$144,5,0)," ")</f>
        <v xml:space="preserve"> </v>
      </c>
      <c r="L1277" s="563" t="str">
        <f>IF(G1277&lt;&gt;0,VLOOKUP(G1277,'gia dat'!$A$1:$F$144,6,0)," ")</f>
        <v xml:space="preserve"> </v>
      </c>
      <c r="M1277" s="564" t="str">
        <f t="shared" si="279"/>
        <v xml:space="preserve"> </v>
      </c>
      <c r="N1277" s="564" t="str">
        <f t="shared" si="280"/>
        <v xml:space="preserve"> </v>
      </c>
      <c r="O1277" s="586" t="s">
        <v>400</v>
      </c>
      <c r="P1277" s="714">
        <v>10</v>
      </c>
      <c r="Q1277" s="564">
        <f>IF(O1277&lt;&gt;0,VLOOKUP(O1277,'Cây trong'!$A$2:$C$246,3,0)," ")</f>
        <v>228000</v>
      </c>
      <c r="R1277" s="564">
        <f t="shared" si="265"/>
        <v>2280000</v>
      </c>
      <c r="S1277" s="586" t="s">
        <v>1764</v>
      </c>
      <c r="T1277" s="609" t="s">
        <v>2804</v>
      </c>
      <c r="U1277" s="710">
        <v>1.98</v>
      </c>
      <c r="V1277" s="661"/>
      <c r="W1277" s="564">
        <f>IF(S1277&lt;&gt;0,VLOOKUP(S1277,VKT!$A$2:$G$415,7,0),"")</f>
        <v>9028527</v>
      </c>
      <c r="X1277" s="564">
        <f t="shared" si="276"/>
        <v>17876000</v>
      </c>
      <c r="Y1277" s="683"/>
      <c r="Z1277" s="683"/>
      <c r="AA1277" s="683"/>
      <c r="AB1277" s="694"/>
      <c r="AC1277" s="683"/>
      <c r="AD1277" s="683"/>
      <c r="AE1277" s="683"/>
      <c r="AF1277" s="590"/>
      <c r="AG1277" s="570" t="str">
        <f>IF(AE1277&lt;&gt;0,VLOOKUP(AE1277,ODDS!$A$2:$C$13,3,0),"")</f>
        <v/>
      </c>
      <c r="AH1277" s="570" t="str">
        <f t="shared" si="266"/>
        <v xml:space="preserve"> </v>
      </c>
      <c r="AI1277" s="571" t="str">
        <f t="shared" si="271"/>
        <v xml:space="preserve"> </v>
      </c>
      <c r="AJ1277" s="704"/>
      <c r="AK1277" s="566" t="s">
        <v>2800</v>
      </c>
    </row>
    <row r="1278" spans="1:37" s="385" customFormat="1" ht="101.25" outlineLevel="2" x14ac:dyDescent="0.3">
      <c r="A1278" s="447">
        <f t="shared" si="283"/>
        <v>102</v>
      </c>
      <c r="B1278" s="557"/>
      <c r="C1278" s="572" t="s">
        <v>1655</v>
      </c>
      <c r="D1278" s="615"/>
      <c r="E1278" s="612"/>
      <c r="F1278" s="612"/>
      <c r="G1278" s="586"/>
      <c r="H1278" s="709"/>
      <c r="I1278" s="546"/>
      <c r="J1278" s="710"/>
      <c r="K1278" s="563" t="str">
        <f>IF(G1278&lt;&gt;0,VLOOKUP(G1278,'gia dat'!$A$1:$F$144,5,0)," ")</f>
        <v xml:space="preserve"> </v>
      </c>
      <c r="L1278" s="563" t="str">
        <f>IF(G1278&lt;&gt;0,VLOOKUP(G1278,'gia dat'!$A$1:$F$144,6,0)," ")</f>
        <v xml:space="preserve"> </v>
      </c>
      <c r="M1278" s="564" t="str">
        <f t="shared" si="279"/>
        <v xml:space="preserve"> </v>
      </c>
      <c r="N1278" s="564" t="str">
        <f t="shared" si="280"/>
        <v xml:space="preserve"> </v>
      </c>
      <c r="O1278" s="586" t="s">
        <v>401</v>
      </c>
      <c r="P1278" s="714">
        <v>12</v>
      </c>
      <c r="Q1278" s="564">
        <f>IF(O1278&lt;&gt;0,VLOOKUP(O1278,'Cây trong'!$A$2:$C$246,3,0)," ")</f>
        <v>80000</v>
      </c>
      <c r="R1278" s="564">
        <f t="shared" si="265"/>
        <v>960000</v>
      </c>
      <c r="S1278" s="586" t="s">
        <v>1765</v>
      </c>
      <c r="T1278" s="609" t="s">
        <v>2804</v>
      </c>
      <c r="U1278" s="710">
        <v>2.46</v>
      </c>
      <c r="V1278" s="661"/>
      <c r="W1278" s="564">
        <f>IF(S1278&lt;&gt;0,VLOOKUP(S1278,VKT!$A$2:$G$415,7,0),"")</f>
        <v>2354806</v>
      </c>
      <c r="X1278" s="564">
        <f t="shared" si="276"/>
        <v>5793000</v>
      </c>
      <c r="Y1278" s="683"/>
      <c r="Z1278" s="683"/>
      <c r="AA1278" s="683"/>
      <c r="AB1278" s="694"/>
      <c r="AC1278" s="683"/>
      <c r="AD1278" s="683"/>
      <c r="AE1278" s="683"/>
      <c r="AF1278" s="590"/>
      <c r="AG1278" s="570" t="str">
        <f>IF(AE1278&lt;&gt;0,VLOOKUP(AE1278,ODDS!$A$2:$C$13,3,0),"")</f>
        <v/>
      </c>
      <c r="AH1278" s="570" t="str">
        <f t="shared" si="266"/>
        <v xml:space="preserve"> </v>
      </c>
      <c r="AI1278" s="571" t="str">
        <f t="shared" si="271"/>
        <v xml:space="preserve"> </v>
      </c>
      <c r="AJ1278" s="704"/>
      <c r="AK1278" s="566"/>
    </row>
    <row r="1279" spans="1:37" s="385" customFormat="1" ht="44.25" outlineLevel="2" x14ac:dyDescent="0.3">
      <c r="A1279" s="447">
        <f t="shared" si="283"/>
        <v>102</v>
      </c>
      <c r="B1279" s="557"/>
      <c r="C1279" s="704"/>
      <c r="D1279" s="615"/>
      <c r="E1279" s="615"/>
      <c r="F1279" s="700"/>
      <c r="G1279" s="558"/>
      <c r="H1279" s="709"/>
      <c r="I1279" s="546"/>
      <c r="J1279" s="710"/>
      <c r="K1279" s="563" t="str">
        <f>IF(G1279&lt;&gt;0,VLOOKUP(G1279,'gia dat'!$A$1:$F$144,5,0)," ")</f>
        <v xml:space="preserve"> </v>
      </c>
      <c r="L1279" s="563" t="str">
        <f>IF(G1279&lt;&gt;0,VLOOKUP(G1279,'gia dat'!$A$1:$F$144,6,0)," ")</f>
        <v xml:space="preserve"> </v>
      </c>
      <c r="M1279" s="564" t="str">
        <f t="shared" si="279"/>
        <v xml:space="preserve"> </v>
      </c>
      <c r="N1279" s="564" t="str">
        <f t="shared" si="280"/>
        <v xml:space="preserve"> </v>
      </c>
      <c r="O1279" s="586" t="s">
        <v>184</v>
      </c>
      <c r="P1279" s="714">
        <v>1</v>
      </c>
      <c r="Q1279" s="564">
        <f>IF(O1279&lt;&gt;0,VLOOKUP(O1279,'Cây trong'!$A$2:$C$246,3,0)," ")</f>
        <v>1632000</v>
      </c>
      <c r="R1279" s="564">
        <f t="shared" si="265"/>
        <v>1632000</v>
      </c>
      <c r="S1279" s="586" t="s">
        <v>1763</v>
      </c>
      <c r="T1279" s="609" t="s">
        <v>2804</v>
      </c>
      <c r="U1279" s="710">
        <v>13.4</v>
      </c>
      <c r="V1279" s="661"/>
      <c r="W1279" s="564">
        <f>IF(S1279&lt;&gt;0,VLOOKUP(S1279,VKT!$A$2:$G$415,7,0),"")</f>
        <v>3550600</v>
      </c>
      <c r="X1279" s="564">
        <f t="shared" si="276"/>
        <v>47578000</v>
      </c>
      <c r="Y1279" s="683"/>
      <c r="Z1279" s="683"/>
      <c r="AA1279" s="683"/>
      <c r="AB1279" s="694"/>
      <c r="AC1279" s="683"/>
      <c r="AD1279" s="683"/>
      <c r="AE1279" s="683"/>
      <c r="AF1279" s="590"/>
      <c r="AG1279" s="570" t="str">
        <f>IF(AE1279&lt;&gt;0,VLOOKUP(AE1279,ODDS!$A$2:$C$13,3,0),"")</f>
        <v/>
      </c>
      <c r="AH1279" s="570" t="str">
        <f t="shared" si="266"/>
        <v xml:space="preserve"> </v>
      </c>
      <c r="AI1279" s="571" t="str">
        <f t="shared" si="271"/>
        <v xml:space="preserve"> </v>
      </c>
      <c r="AJ1279" s="704"/>
      <c r="AK1279" s="566"/>
    </row>
    <row r="1280" spans="1:37" s="385" customFormat="1" ht="60.75" outlineLevel="2" x14ac:dyDescent="0.3">
      <c r="A1280" s="447">
        <f t="shared" si="283"/>
        <v>102</v>
      </c>
      <c r="B1280" s="557"/>
      <c r="C1280" s="572"/>
      <c r="D1280" s="615"/>
      <c r="E1280" s="615"/>
      <c r="F1280" s="700"/>
      <c r="G1280" s="558"/>
      <c r="H1280" s="709"/>
      <c r="I1280" s="546"/>
      <c r="J1280" s="710"/>
      <c r="K1280" s="563" t="str">
        <f>IF(G1280&lt;&gt;0,VLOOKUP(G1280,'gia dat'!$A$1:$F$144,5,0)," ")</f>
        <v xml:space="preserve"> </v>
      </c>
      <c r="L1280" s="563" t="str">
        <f>IF(G1280&lt;&gt;0,VLOOKUP(G1280,'gia dat'!$A$1:$F$144,6,0)," ")</f>
        <v xml:space="preserve"> </v>
      </c>
      <c r="M1280" s="564" t="str">
        <f t="shared" si="279"/>
        <v xml:space="preserve"> </v>
      </c>
      <c r="N1280" s="564" t="str">
        <f t="shared" si="280"/>
        <v xml:space="preserve"> </v>
      </c>
      <c r="O1280" s="586" t="s">
        <v>89</v>
      </c>
      <c r="P1280" s="714">
        <v>1</v>
      </c>
      <c r="Q1280" s="564">
        <f>IF(O1280&lt;&gt;0,VLOOKUP(O1280,'Cây trong'!$A$2:$C$246,3,0)," ")</f>
        <v>283000</v>
      </c>
      <c r="R1280" s="564">
        <f t="shared" si="265"/>
        <v>283000</v>
      </c>
      <c r="S1280" s="566" t="s">
        <v>1766</v>
      </c>
      <c r="T1280" s="609" t="s">
        <v>2804</v>
      </c>
      <c r="U1280" s="710">
        <v>16.100000000000001</v>
      </c>
      <c r="V1280" s="661"/>
      <c r="W1280" s="564">
        <f>IF(S1280&lt;&gt;0,VLOOKUP(S1280,VKT!$A$2:$G$415,7,0),"")</f>
        <v>265836</v>
      </c>
      <c r="X1280" s="564">
        <f t="shared" si="276"/>
        <v>4280000</v>
      </c>
      <c r="Y1280" s="683"/>
      <c r="Z1280" s="683"/>
      <c r="AA1280" s="683"/>
      <c r="AB1280" s="694"/>
      <c r="AC1280" s="683"/>
      <c r="AD1280" s="683"/>
      <c r="AE1280" s="683"/>
      <c r="AF1280" s="590"/>
      <c r="AG1280" s="570" t="str">
        <f>IF(AE1280&lt;&gt;0,VLOOKUP(AE1280,ODDS!$A$2:$C$13,3,0),"")</f>
        <v/>
      </c>
      <c r="AH1280" s="570" t="str">
        <f t="shared" si="266"/>
        <v xml:space="preserve"> </v>
      </c>
      <c r="AI1280" s="571" t="str">
        <f t="shared" si="271"/>
        <v xml:space="preserve"> </v>
      </c>
      <c r="AJ1280" s="593"/>
      <c r="AK1280" s="593"/>
    </row>
    <row r="1281" spans="1:37" s="385" customFormat="1" ht="44.25" outlineLevel="2" x14ac:dyDescent="0.3">
      <c r="A1281" s="447">
        <f t="shared" si="283"/>
        <v>102</v>
      </c>
      <c r="B1281" s="557"/>
      <c r="C1281" s="558"/>
      <c r="D1281" s="615"/>
      <c r="E1281" s="615"/>
      <c r="F1281" s="700"/>
      <c r="G1281" s="558"/>
      <c r="H1281" s="709"/>
      <c r="I1281" s="546"/>
      <c r="J1281" s="710"/>
      <c r="K1281" s="563" t="str">
        <f>IF(G1281&lt;&gt;0,VLOOKUP(G1281,'gia dat'!$A$1:$F$144,5,0)," ")</f>
        <v xml:space="preserve"> </v>
      </c>
      <c r="L1281" s="563" t="str">
        <f>IF(G1281&lt;&gt;0,VLOOKUP(G1281,'gia dat'!$A$1:$F$144,6,0)," ")</f>
        <v xml:space="preserve"> </v>
      </c>
      <c r="M1281" s="564" t="str">
        <f t="shared" si="279"/>
        <v xml:space="preserve"> </v>
      </c>
      <c r="N1281" s="564" t="str">
        <f t="shared" si="280"/>
        <v xml:space="preserve"> </v>
      </c>
      <c r="O1281" s="586" t="s">
        <v>946</v>
      </c>
      <c r="P1281" s="714">
        <v>1</v>
      </c>
      <c r="Q1281" s="564">
        <f>IF(O1281&lt;&gt;0,VLOOKUP(O1281,'Cây trong'!$A$2:$C$246,3,0)," ")</f>
        <v>54000</v>
      </c>
      <c r="R1281" s="564">
        <f t="shared" si="265"/>
        <v>54000</v>
      </c>
      <c r="S1281" s="586" t="s">
        <v>1767</v>
      </c>
      <c r="T1281" s="609" t="s">
        <v>2804</v>
      </c>
      <c r="U1281" s="710">
        <v>17.3</v>
      </c>
      <c r="V1281" s="661"/>
      <c r="W1281" s="564">
        <f>IF(S1281&lt;&gt;0,VLOOKUP(S1281,VKT!$A$2:$G$415,7,0),"")</f>
        <v>0</v>
      </c>
      <c r="X1281" s="564">
        <f t="shared" si="276"/>
        <v>0</v>
      </c>
      <c r="Y1281" s="683"/>
      <c r="Z1281" s="683"/>
      <c r="AA1281" s="683"/>
      <c r="AB1281" s="694"/>
      <c r="AC1281" s="683"/>
      <c r="AD1281" s="683"/>
      <c r="AE1281" s="683"/>
      <c r="AF1281" s="590"/>
      <c r="AG1281" s="570" t="str">
        <f>IF(AE1281&lt;&gt;0,VLOOKUP(AE1281,ODDS!$A$2:$C$13,3,0),"")</f>
        <v/>
      </c>
      <c r="AH1281" s="570" t="str">
        <f t="shared" si="266"/>
        <v xml:space="preserve"> </v>
      </c>
      <c r="AI1281" s="571" t="str">
        <f t="shared" si="271"/>
        <v xml:space="preserve"> </v>
      </c>
      <c r="AJ1281" s="558"/>
      <c r="AK1281" s="593"/>
    </row>
    <row r="1282" spans="1:37" s="385" customFormat="1" ht="60.75" outlineLevel="2" x14ac:dyDescent="0.3">
      <c r="A1282" s="447">
        <f t="shared" si="283"/>
        <v>102</v>
      </c>
      <c r="B1282" s="557"/>
      <c r="C1282" s="558"/>
      <c r="D1282" s="615"/>
      <c r="E1282" s="615"/>
      <c r="F1282" s="700"/>
      <c r="G1282" s="558"/>
      <c r="H1282" s="709"/>
      <c r="I1282" s="546"/>
      <c r="J1282" s="710"/>
      <c r="K1282" s="563" t="str">
        <f>IF(G1282&lt;&gt;0,VLOOKUP(G1282,'gia dat'!$A$1:$F$144,5,0)," ")</f>
        <v xml:space="preserve"> </v>
      </c>
      <c r="L1282" s="563" t="str">
        <f>IF(G1282&lt;&gt;0,VLOOKUP(G1282,'gia dat'!$A$1:$F$144,6,0)," ")</f>
        <v xml:space="preserve"> </v>
      </c>
      <c r="M1282" s="564" t="str">
        <f t="shared" si="279"/>
        <v xml:space="preserve"> </v>
      </c>
      <c r="N1282" s="564" t="str">
        <f t="shared" si="280"/>
        <v xml:space="preserve"> </v>
      </c>
      <c r="O1282" s="586" t="s">
        <v>134</v>
      </c>
      <c r="P1282" s="714">
        <v>1</v>
      </c>
      <c r="Q1282" s="564">
        <f>IF(O1282&lt;&gt;0,VLOOKUP(O1282,'Cây trong'!$A$2:$C$246,3,0)," ")</f>
        <v>203000</v>
      </c>
      <c r="R1282" s="564">
        <f t="shared" si="265"/>
        <v>203000</v>
      </c>
      <c r="S1282" s="566" t="s">
        <v>1768</v>
      </c>
      <c r="T1282" s="609" t="s">
        <v>2804</v>
      </c>
      <c r="U1282" s="710">
        <v>17.3</v>
      </c>
      <c r="V1282" s="661"/>
      <c r="W1282" s="564">
        <f>IF(S1282&lt;&gt;0,VLOOKUP(S1282,VKT!$A$2:$G$415,7,0),"")</f>
        <v>238288</v>
      </c>
      <c r="X1282" s="564">
        <f t="shared" si="276"/>
        <v>4122000</v>
      </c>
      <c r="Y1282" s="683"/>
      <c r="Z1282" s="683"/>
      <c r="AA1282" s="683"/>
      <c r="AB1282" s="694"/>
      <c r="AC1282" s="683"/>
      <c r="AD1282" s="683"/>
      <c r="AE1282" s="683"/>
      <c r="AF1282" s="590"/>
      <c r="AG1282" s="570" t="str">
        <f>IF(AE1282&lt;&gt;0,VLOOKUP(AE1282,ODDS!$A$2:$C$13,3,0),"")</f>
        <v/>
      </c>
      <c r="AH1282" s="570" t="str">
        <f t="shared" si="266"/>
        <v xml:space="preserve"> </v>
      </c>
      <c r="AI1282" s="571" t="str">
        <f t="shared" si="271"/>
        <v xml:space="preserve"> </v>
      </c>
      <c r="AJ1282" s="593"/>
      <c r="AK1282" s="593"/>
    </row>
    <row r="1283" spans="1:37" s="385" customFormat="1" ht="60.75" outlineLevel="2" x14ac:dyDescent="0.3">
      <c r="A1283" s="447">
        <f t="shared" si="283"/>
        <v>102</v>
      </c>
      <c r="B1283" s="557"/>
      <c r="C1283" s="558"/>
      <c r="D1283" s="615"/>
      <c r="E1283" s="615"/>
      <c r="F1283" s="700"/>
      <c r="G1283" s="558"/>
      <c r="H1283" s="709"/>
      <c r="I1283" s="546"/>
      <c r="J1283" s="710"/>
      <c r="K1283" s="563" t="str">
        <f>IF(G1283&lt;&gt;0,VLOOKUP(G1283,'gia dat'!$A$1:$F$144,5,0)," ")</f>
        <v xml:space="preserve"> </v>
      </c>
      <c r="L1283" s="563" t="str">
        <f>IF(G1283&lt;&gt;0,VLOOKUP(G1283,'gia dat'!$A$1:$F$144,6,0)," ")</f>
        <v xml:space="preserve"> </v>
      </c>
      <c r="M1283" s="564" t="str">
        <f t="shared" si="279"/>
        <v xml:space="preserve"> </v>
      </c>
      <c r="N1283" s="564" t="str">
        <f t="shared" si="280"/>
        <v xml:space="preserve"> </v>
      </c>
      <c r="O1283" s="586" t="s">
        <v>352</v>
      </c>
      <c r="P1283" s="714">
        <v>2</v>
      </c>
      <c r="Q1283" s="564">
        <f>IF(O1283&lt;&gt;0,VLOOKUP(O1283,'Cây trong'!$A$2:$C$246,3,0)," ")</f>
        <v>60000</v>
      </c>
      <c r="R1283" s="564">
        <f t="shared" si="265"/>
        <v>120000</v>
      </c>
      <c r="S1283" s="566" t="s">
        <v>1769</v>
      </c>
      <c r="T1283" s="609" t="s">
        <v>2804</v>
      </c>
      <c r="U1283" s="710">
        <v>26.35</v>
      </c>
      <c r="V1283" s="661"/>
      <c r="W1283" s="564">
        <f>IF(S1283&lt;&gt;0,VLOOKUP(S1283,VKT!$A$2:$G$415,7,0),"")</f>
        <v>0</v>
      </c>
      <c r="X1283" s="564">
        <f t="shared" si="276"/>
        <v>0</v>
      </c>
      <c r="Y1283" s="683"/>
      <c r="Z1283" s="683"/>
      <c r="AA1283" s="683"/>
      <c r="AB1283" s="694"/>
      <c r="AC1283" s="683"/>
      <c r="AD1283" s="683"/>
      <c r="AE1283" s="683"/>
      <c r="AF1283" s="590"/>
      <c r="AG1283" s="570" t="str">
        <f>IF(AE1283&lt;&gt;0,VLOOKUP(AE1283,ODDS!$A$2:$C$13,3,0),"")</f>
        <v/>
      </c>
      <c r="AH1283" s="570" t="str">
        <f t="shared" si="266"/>
        <v xml:space="preserve"> </v>
      </c>
      <c r="AI1283" s="571" t="str">
        <f t="shared" si="271"/>
        <v xml:space="preserve"> </v>
      </c>
      <c r="AJ1283" s="593"/>
      <c r="AK1283" s="593"/>
    </row>
    <row r="1284" spans="1:37" s="385" customFormat="1" ht="60.75" outlineLevel="2" x14ac:dyDescent="0.3">
      <c r="A1284" s="447">
        <f t="shared" si="283"/>
        <v>102</v>
      </c>
      <c r="B1284" s="557"/>
      <c r="C1284" s="558"/>
      <c r="D1284" s="615"/>
      <c r="E1284" s="615"/>
      <c r="F1284" s="700"/>
      <c r="G1284" s="558"/>
      <c r="H1284" s="709"/>
      <c r="I1284" s="546"/>
      <c r="J1284" s="710"/>
      <c r="K1284" s="563" t="str">
        <f>IF(G1284&lt;&gt;0,VLOOKUP(G1284,'gia dat'!$A$1:$F$144,5,0)," ")</f>
        <v xml:space="preserve"> </v>
      </c>
      <c r="L1284" s="563" t="str">
        <f>IF(G1284&lt;&gt;0,VLOOKUP(G1284,'gia dat'!$A$1:$F$144,6,0)," ")</f>
        <v xml:space="preserve"> </v>
      </c>
      <c r="M1284" s="564" t="str">
        <f t="shared" si="279"/>
        <v xml:space="preserve"> </v>
      </c>
      <c r="N1284" s="564" t="str">
        <f t="shared" si="280"/>
        <v xml:space="preserve"> </v>
      </c>
      <c r="O1284" s="586" t="s">
        <v>739</v>
      </c>
      <c r="P1284" s="714">
        <v>1</v>
      </c>
      <c r="Q1284" s="564">
        <f>IF(O1284&lt;&gt;0,VLOOKUP(O1284,'Cây trong'!$A$2:$C$246,3,0)," ")</f>
        <v>72000</v>
      </c>
      <c r="R1284" s="564">
        <f t="shared" si="265"/>
        <v>72000</v>
      </c>
      <c r="S1284" s="586" t="s">
        <v>1770</v>
      </c>
      <c r="T1284" s="609" t="s">
        <v>2823</v>
      </c>
      <c r="U1284" s="710">
        <v>0.14000000000000001</v>
      </c>
      <c r="V1284" s="661"/>
      <c r="W1284" s="564">
        <f>IF(S1284&lt;&gt;0,VLOOKUP(S1284,VKT!$A$2:$G$415,7,0),"")</f>
        <v>3591896</v>
      </c>
      <c r="X1284" s="564">
        <f t="shared" si="276"/>
        <v>503000</v>
      </c>
      <c r="Y1284" s="683"/>
      <c r="Z1284" s="683"/>
      <c r="AA1284" s="683"/>
      <c r="AB1284" s="694"/>
      <c r="AC1284" s="683"/>
      <c r="AD1284" s="683"/>
      <c r="AE1284" s="683"/>
      <c r="AF1284" s="590"/>
      <c r="AG1284" s="570" t="str">
        <f>IF(AE1284&lt;&gt;0,VLOOKUP(AE1284,ODDS!$A$2:$C$13,3,0),"")</f>
        <v/>
      </c>
      <c r="AH1284" s="570" t="str">
        <f t="shared" si="266"/>
        <v xml:space="preserve"> </v>
      </c>
      <c r="AI1284" s="571" t="str">
        <f t="shared" si="271"/>
        <v xml:space="preserve"> </v>
      </c>
      <c r="AJ1284" s="593"/>
      <c r="AK1284" s="593"/>
    </row>
    <row r="1285" spans="1:37" s="385" customFormat="1" ht="60.75" outlineLevel="2" x14ac:dyDescent="0.3">
      <c r="A1285" s="447">
        <f t="shared" si="283"/>
        <v>102</v>
      </c>
      <c r="B1285" s="557"/>
      <c r="C1285" s="558"/>
      <c r="D1285" s="615"/>
      <c r="E1285" s="615"/>
      <c r="F1285" s="700"/>
      <c r="G1285" s="558"/>
      <c r="H1285" s="709"/>
      <c r="I1285" s="546"/>
      <c r="J1285" s="710"/>
      <c r="K1285" s="563" t="str">
        <f>IF(G1285&lt;&gt;0,VLOOKUP(G1285,'gia dat'!$A$1:$F$144,5,0)," ")</f>
        <v xml:space="preserve"> </v>
      </c>
      <c r="L1285" s="563" t="str">
        <f>IF(G1285&lt;&gt;0,VLOOKUP(G1285,'gia dat'!$A$1:$F$144,6,0)," ")</f>
        <v xml:space="preserve"> </v>
      </c>
      <c r="M1285" s="564" t="str">
        <f t="shared" si="279"/>
        <v xml:space="preserve"> </v>
      </c>
      <c r="N1285" s="564" t="str">
        <f t="shared" si="280"/>
        <v xml:space="preserve"> </v>
      </c>
      <c r="O1285" s="586" t="s">
        <v>948</v>
      </c>
      <c r="P1285" s="714">
        <v>1</v>
      </c>
      <c r="Q1285" s="564">
        <f>IF(O1285&lt;&gt;0,VLOOKUP(O1285,'Cây trong'!$A$2:$C$246,3,0)," ")</f>
        <v>0</v>
      </c>
      <c r="R1285" s="564">
        <f t="shared" si="265"/>
        <v>0</v>
      </c>
      <c r="S1285" s="586" t="s">
        <v>1771</v>
      </c>
      <c r="T1285" s="609" t="s">
        <v>2804</v>
      </c>
      <c r="U1285" s="710">
        <v>1.5</v>
      </c>
      <c r="V1285" s="661"/>
      <c r="W1285" s="564">
        <f>IF(S1285&lt;&gt;0,VLOOKUP(S1285,VKT!$A$2:$G$415,7,0),"")</f>
        <v>348773</v>
      </c>
      <c r="X1285" s="564">
        <f t="shared" si="276"/>
        <v>523000</v>
      </c>
      <c r="Y1285" s="683"/>
      <c r="Z1285" s="683"/>
      <c r="AA1285" s="683"/>
      <c r="AB1285" s="694"/>
      <c r="AC1285" s="683"/>
      <c r="AD1285" s="683"/>
      <c r="AE1285" s="683"/>
      <c r="AF1285" s="590"/>
      <c r="AG1285" s="570" t="str">
        <f>IF(AE1285&lt;&gt;0,VLOOKUP(AE1285,ODDS!$A$2:$C$13,3,0),"")</f>
        <v/>
      </c>
      <c r="AH1285" s="570" t="str">
        <f t="shared" si="266"/>
        <v xml:space="preserve"> </v>
      </c>
      <c r="AI1285" s="571" t="str">
        <f t="shared" si="271"/>
        <v xml:space="preserve"> </v>
      </c>
      <c r="AJ1285" s="593"/>
      <c r="AK1285" s="593"/>
    </row>
    <row r="1286" spans="1:37" s="385" customFormat="1" ht="60.75" outlineLevel="2" x14ac:dyDescent="0.3">
      <c r="A1286" s="447">
        <f t="shared" si="283"/>
        <v>102</v>
      </c>
      <c r="B1286" s="557"/>
      <c r="C1286" s="558"/>
      <c r="D1286" s="615"/>
      <c r="E1286" s="615"/>
      <c r="F1286" s="700"/>
      <c r="G1286" s="558"/>
      <c r="H1286" s="709"/>
      <c r="I1286" s="546"/>
      <c r="J1286" s="710"/>
      <c r="K1286" s="563" t="str">
        <f>IF(G1286&lt;&gt;0,VLOOKUP(G1286,'gia dat'!$A$1:$F$144,5,0)," ")</f>
        <v xml:space="preserve"> </v>
      </c>
      <c r="L1286" s="563" t="str">
        <f>IF(G1286&lt;&gt;0,VLOOKUP(G1286,'gia dat'!$A$1:$F$144,6,0)," ")</f>
        <v xml:space="preserve"> </v>
      </c>
      <c r="M1286" s="564" t="str">
        <f t="shared" si="279"/>
        <v xml:space="preserve"> </v>
      </c>
      <c r="N1286" s="564" t="str">
        <f t="shared" si="280"/>
        <v xml:space="preserve"> </v>
      </c>
      <c r="O1286" s="586" t="s">
        <v>2824</v>
      </c>
      <c r="P1286" s="714">
        <v>3</v>
      </c>
      <c r="Q1286" s="564">
        <f>IF(O1286&lt;&gt;0,VLOOKUP(O1286,'Cây trong'!$A$2:$C$246,3,0)," ")</f>
        <v>8000</v>
      </c>
      <c r="R1286" s="564">
        <f t="shared" si="265"/>
        <v>24000</v>
      </c>
      <c r="S1286" s="586" t="s">
        <v>1772</v>
      </c>
      <c r="T1286" s="609" t="s">
        <v>2804</v>
      </c>
      <c r="U1286" s="710">
        <v>0.52</v>
      </c>
      <c r="V1286" s="661"/>
      <c r="W1286" s="564">
        <f>IF(S1286&lt;&gt;0,VLOOKUP(S1286,VKT!$A$2:$G$415,7,0),"")</f>
        <v>254391</v>
      </c>
      <c r="X1286" s="564">
        <f t="shared" si="276"/>
        <v>132000</v>
      </c>
      <c r="Y1286" s="683"/>
      <c r="Z1286" s="683"/>
      <c r="AA1286" s="683"/>
      <c r="AB1286" s="694"/>
      <c r="AC1286" s="683"/>
      <c r="AD1286" s="683"/>
      <c r="AE1286" s="683"/>
      <c r="AF1286" s="590"/>
      <c r="AG1286" s="570" t="str">
        <f>IF(AE1286&lt;&gt;0,VLOOKUP(AE1286,ODDS!$A$2:$C$13,3,0),"")</f>
        <v/>
      </c>
      <c r="AH1286" s="570" t="str">
        <f t="shared" si="266"/>
        <v xml:space="preserve"> </v>
      </c>
      <c r="AI1286" s="571" t="str">
        <f t="shared" si="271"/>
        <v xml:space="preserve"> </v>
      </c>
      <c r="AJ1286" s="593"/>
      <c r="AK1286" s="593"/>
    </row>
    <row r="1287" spans="1:37" s="385" customFormat="1" ht="60.75" outlineLevel="2" x14ac:dyDescent="0.3">
      <c r="A1287" s="447">
        <f t="shared" si="283"/>
        <v>102</v>
      </c>
      <c r="B1287" s="557"/>
      <c r="C1287" s="558"/>
      <c r="D1287" s="615"/>
      <c r="E1287" s="615"/>
      <c r="F1287" s="700"/>
      <c r="G1287" s="558"/>
      <c r="H1287" s="709"/>
      <c r="I1287" s="546"/>
      <c r="J1287" s="710"/>
      <c r="K1287" s="563" t="str">
        <f>IF(G1287&lt;&gt;0,VLOOKUP(G1287,'gia dat'!$A$1:$F$144,5,0)," ")</f>
        <v xml:space="preserve"> </v>
      </c>
      <c r="L1287" s="563" t="str">
        <f>IF(G1287&lt;&gt;0,VLOOKUP(G1287,'gia dat'!$A$1:$F$144,6,0)," ")</f>
        <v xml:space="preserve"> </v>
      </c>
      <c r="M1287" s="564" t="str">
        <f t="shared" si="279"/>
        <v xml:space="preserve"> </v>
      </c>
      <c r="N1287" s="564" t="str">
        <f t="shared" si="280"/>
        <v xml:space="preserve"> </v>
      </c>
      <c r="O1287" s="586"/>
      <c r="P1287" s="714"/>
      <c r="Q1287" s="564" t="str">
        <f>IF(O1287&lt;&gt;0,VLOOKUP(O1287,'Cây trong'!$A$2:$C$246,3,0)," ")</f>
        <v xml:space="preserve"> </v>
      </c>
      <c r="R1287" s="564" t="str">
        <f t="shared" si="265"/>
        <v xml:space="preserve"> </v>
      </c>
      <c r="S1287" s="586" t="s">
        <v>1771</v>
      </c>
      <c r="T1287" s="609" t="s">
        <v>2804</v>
      </c>
      <c r="U1287" s="710">
        <v>1.32</v>
      </c>
      <c r="V1287" s="661"/>
      <c r="W1287" s="564">
        <f>IF(S1287&lt;&gt;0,VLOOKUP(S1287,VKT!$A$2:$G$415,7,0),"")</f>
        <v>348773</v>
      </c>
      <c r="X1287" s="564">
        <f t="shared" si="276"/>
        <v>460000</v>
      </c>
      <c r="Y1287" s="683"/>
      <c r="Z1287" s="683"/>
      <c r="AA1287" s="683"/>
      <c r="AB1287" s="694"/>
      <c r="AC1287" s="683"/>
      <c r="AD1287" s="683"/>
      <c r="AE1287" s="683"/>
      <c r="AF1287" s="590"/>
      <c r="AG1287" s="570" t="str">
        <f>IF(AE1287&lt;&gt;0,VLOOKUP(AE1287,ODDS!$A$2:$C$13,3,0),"")</f>
        <v/>
      </c>
      <c r="AH1287" s="570" t="str">
        <f t="shared" si="266"/>
        <v xml:space="preserve"> </v>
      </c>
      <c r="AI1287" s="571" t="str">
        <f t="shared" si="271"/>
        <v xml:space="preserve"> </v>
      </c>
      <c r="AJ1287" s="593"/>
      <c r="AK1287" s="593"/>
    </row>
    <row r="1288" spans="1:37" s="385" customFormat="1" ht="60.75" outlineLevel="2" x14ac:dyDescent="0.3">
      <c r="A1288" s="447">
        <f t="shared" si="283"/>
        <v>102</v>
      </c>
      <c r="B1288" s="557"/>
      <c r="C1288" s="572"/>
      <c r="D1288" s="615"/>
      <c r="E1288" s="615"/>
      <c r="F1288" s="700"/>
      <c r="G1288" s="558"/>
      <c r="H1288" s="709"/>
      <c r="I1288" s="546"/>
      <c r="J1288" s="710"/>
      <c r="K1288" s="563" t="str">
        <f>IF(G1288&lt;&gt;0,VLOOKUP(G1288,'gia dat'!$A$1:$F$144,5,0)," ")</f>
        <v xml:space="preserve"> </v>
      </c>
      <c r="L1288" s="563" t="str">
        <f>IF(G1288&lt;&gt;0,VLOOKUP(G1288,'gia dat'!$A$1:$F$144,6,0)," ")</f>
        <v xml:space="preserve"> </v>
      </c>
      <c r="M1288" s="564" t="str">
        <f t="shared" si="279"/>
        <v xml:space="preserve"> </v>
      </c>
      <c r="N1288" s="564" t="str">
        <f t="shared" si="280"/>
        <v xml:space="preserve"> </v>
      </c>
      <c r="O1288" s="586"/>
      <c r="P1288" s="714"/>
      <c r="Q1288" s="564" t="str">
        <f>IF(O1288&lt;&gt;0,VLOOKUP(O1288,'Cây trong'!$A$2:$C$246,3,0)," ")</f>
        <v xml:space="preserve"> </v>
      </c>
      <c r="R1288" s="564" t="str">
        <f t="shared" si="265"/>
        <v xml:space="preserve"> </v>
      </c>
      <c r="S1288" s="586" t="s">
        <v>1771</v>
      </c>
      <c r="T1288" s="609" t="s">
        <v>2804</v>
      </c>
      <c r="U1288" s="710">
        <v>0.36</v>
      </c>
      <c r="V1288" s="661"/>
      <c r="W1288" s="564">
        <f>IF(S1288&lt;&gt;0,VLOOKUP(S1288,VKT!$A$2:$G$415,7,0),"")</f>
        <v>348773</v>
      </c>
      <c r="X1288" s="564">
        <f t="shared" si="276"/>
        <v>126000</v>
      </c>
      <c r="Y1288" s="683"/>
      <c r="Z1288" s="683"/>
      <c r="AA1288" s="683"/>
      <c r="AB1288" s="694"/>
      <c r="AC1288" s="683"/>
      <c r="AD1288" s="683"/>
      <c r="AE1288" s="683"/>
      <c r="AF1288" s="590"/>
      <c r="AG1288" s="570" t="str">
        <f>IF(AE1288&lt;&gt;0,VLOOKUP(AE1288,ODDS!$A$2:$C$13,3,0),"")</f>
        <v/>
      </c>
      <c r="AH1288" s="570" t="str">
        <f t="shared" si="266"/>
        <v xml:space="preserve"> </v>
      </c>
      <c r="AI1288" s="571" t="str">
        <f t="shared" si="271"/>
        <v xml:space="preserve"> </v>
      </c>
      <c r="AJ1288" s="593"/>
      <c r="AK1288" s="593"/>
    </row>
    <row r="1289" spans="1:37" s="385" customFormat="1" ht="44.25" outlineLevel="2" x14ac:dyDescent="0.3">
      <c r="A1289" s="447">
        <f t="shared" si="283"/>
        <v>102</v>
      </c>
      <c r="B1289" s="557"/>
      <c r="C1289" s="572"/>
      <c r="D1289" s="703"/>
      <c r="E1289" s="615"/>
      <c r="F1289" s="700"/>
      <c r="G1289" s="558"/>
      <c r="H1289" s="709"/>
      <c r="I1289" s="546"/>
      <c r="J1289" s="710"/>
      <c r="K1289" s="563" t="str">
        <f>IF(G1289&lt;&gt;0,VLOOKUP(G1289,'gia dat'!$A$1:$F$144,5,0)," ")</f>
        <v xml:space="preserve"> </v>
      </c>
      <c r="L1289" s="563" t="str">
        <f>IF(G1289&lt;&gt;0,VLOOKUP(G1289,'gia dat'!$A$1:$F$144,6,0)," ")</f>
        <v xml:space="preserve"> </v>
      </c>
      <c r="M1289" s="564" t="str">
        <f t="shared" si="279"/>
        <v xml:space="preserve"> </v>
      </c>
      <c r="N1289" s="564" t="str">
        <f t="shared" si="280"/>
        <v xml:space="preserve"> </v>
      </c>
      <c r="O1289" s="586"/>
      <c r="P1289" s="714"/>
      <c r="Q1289" s="564" t="str">
        <f>IF(O1289&lt;&gt;0,VLOOKUP(O1289,'Cây trong'!$A$2:$C$246,3,0)," ")</f>
        <v xml:space="preserve"> </v>
      </c>
      <c r="R1289" s="564" t="str">
        <f t="shared" si="265"/>
        <v xml:space="preserve"> </v>
      </c>
      <c r="S1289" s="586" t="s">
        <v>1773</v>
      </c>
      <c r="T1289" s="609" t="s">
        <v>2823</v>
      </c>
      <c r="U1289" s="710">
        <v>0.08</v>
      </c>
      <c r="V1289" s="661"/>
      <c r="W1289" s="564">
        <f>IF(S1289&lt;&gt;0,VLOOKUP(S1289,VKT!$A$2:$G$415,7,0),"")</f>
        <v>0</v>
      </c>
      <c r="X1289" s="564">
        <f t="shared" si="276"/>
        <v>0</v>
      </c>
      <c r="Y1289" s="683"/>
      <c r="Z1289" s="683"/>
      <c r="AA1289" s="683"/>
      <c r="AB1289" s="694"/>
      <c r="AC1289" s="683"/>
      <c r="AD1289" s="683"/>
      <c r="AE1289" s="683"/>
      <c r="AF1289" s="590"/>
      <c r="AG1289" s="570" t="str">
        <f>IF(AE1289&lt;&gt;0,VLOOKUP(AE1289,ODDS!$A$2:$C$13,3,0),"")</f>
        <v/>
      </c>
      <c r="AH1289" s="570" t="str">
        <f t="shared" si="266"/>
        <v xml:space="preserve"> </v>
      </c>
      <c r="AI1289" s="571" t="str">
        <f t="shared" ref="AI1289:AI1352" si="284">IF(B1289&lt;&gt;0,M1289+N1289+R1289+X1289+AH1289," ")</f>
        <v xml:space="preserve"> </v>
      </c>
      <c r="AJ1289" s="593"/>
      <c r="AK1289" s="593"/>
    </row>
    <row r="1290" spans="1:37" s="385" customFormat="1" ht="60.75" outlineLevel="2" x14ac:dyDescent="0.3">
      <c r="A1290" s="447">
        <f t="shared" si="283"/>
        <v>102</v>
      </c>
      <c r="B1290" s="557"/>
      <c r="C1290" s="572"/>
      <c r="D1290" s="703"/>
      <c r="E1290" s="615"/>
      <c r="F1290" s="700"/>
      <c r="G1290" s="558"/>
      <c r="H1290" s="709"/>
      <c r="I1290" s="546"/>
      <c r="J1290" s="710"/>
      <c r="K1290" s="563" t="str">
        <f>IF(G1290&lt;&gt;0,VLOOKUP(G1290,'gia dat'!$A$1:$F$144,5,0)," ")</f>
        <v xml:space="preserve"> </v>
      </c>
      <c r="L1290" s="563" t="str">
        <f>IF(G1290&lt;&gt;0,VLOOKUP(G1290,'gia dat'!$A$1:$F$144,6,0)," ")</f>
        <v xml:space="preserve"> </v>
      </c>
      <c r="M1290" s="564" t="str">
        <f t="shared" si="279"/>
        <v xml:space="preserve"> </v>
      </c>
      <c r="N1290" s="564" t="str">
        <f t="shared" si="280"/>
        <v xml:space="preserve"> </v>
      </c>
      <c r="O1290" s="586"/>
      <c r="P1290" s="714"/>
      <c r="Q1290" s="564" t="str">
        <f>IF(O1290&lt;&gt;0,VLOOKUP(O1290,'Cây trong'!$A$2:$C$246,3,0)," ")</f>
        <v xml:space="preserve"> </v>
      </c>
      <c r="R1290" s="564" t="str">
        <f t="shared" si="265"/>
        <v xml:space="preserve"> </v>
      </c>
      <c r="S1290" s="586" t="s">
        <v>1774</v>
      </c>
      <c r="T1290" s="609" t="s">
        <v>2804</v>
      </c>
      <c r="U1290" s="710">
        <v>2.16</v>
      </c>
      <c r="V1290" s="661"/>
      <c r="W1290" s="564">
        <f>IF(S1290&lt;&gt;0,VLOOKUP(S1290,VKT!$A$2:$G$415,7,0),"")</f>
        <v>286855</v>
      </c>
      <c r="X1290" s="564">
        <f t="shared" si="276"/>
        <v>620000</v>
      </c>
      <c r="Y1290" s="683"/>
      <c r="Z1290" s="683"/>
      <c r="AA1290" s="683"/>
      <c r="AB1290" s="694"/>
      <c r="AC1290" s="683"/>
      <c r="AD1290" s="683"/>
      <c r="AE1290" s="683"/>
      <c r="AF1290" s="590"/>
      <c r="AG1290" s="570" t="str">
        <f>IF(AE1290&lt;&gt;0,VLOOKUP(AE1290,ODDS!$A$2:$C$13,3,0),"")</f>
        <v/>
      </c>
      <c r="AH1290" s="570" t="str">
        <f t="shared" si="266"/>
        <v xml:space="preserve"> </v>
      </c>
      <c r="AI1290" s="571" t="str">
        <f t="shared" si="284"/>
        <v xml:space="preserve"> </v>
      </c>
      <c r="AJ1290" s="586"/>
      <c r="AK1290" s="586"/>
    </row>
    <row r="1291" spans="1:37" s="385" customFormat="1" ht="44.25" outlineLevel="2" x14ac:dyDescent="0.3">
      <c r="A1291" s="447">
        <f t="shared" si="283"/>
        <v>102</v>
      </c>
      <c r="B1291" s="557"/>
      <c r="C1291" s="572"/>
      <c r="D1291" s="615"/>
      <c r="E1291" s="612"/>
      <c r="F1291" s="612"/>
      <c r="G1291" s="586"/>
      <c r="H1291" s="709"/>
      <c r="I1291" s="546"/>
      <c r="J1291" s="710"/>
      <c r="K1291" s="563" t="str">
        <f>IF(G1291&lt;&gt;0,VLOOKUP(G1291,'gia dat'!$A$1:$F$144,5,0)," ")</f>
        <v xml:space="preserve"> </v>
      </c>
      <c r="L1291" s="563" t="str">
        <f>IF(G1291&lt;&gt;0,VLOOKUP(G1291,'gia dat'!$A$1:$F$144,6,0)," ")</f>
        <v xml:space="preserve"> </v>
      </c>
      <c r="M1291" s="564" t="str">
        <f t="shared" si="279"/>
        <v xml:space="preserve"> </v>
      </c>
      <c r="N1291" s="564" t="str">
        <f t="shared" si="280"/>
        <v xml:space="preserve"> </v>
      </c>
      <c r="O1291" s="586"/>
      <c r="P1291" s="714"/>
      <c r="Q1291" s="564" t="str">
        <f>IF(O1291&lt;&gt;0,VLOOKUP(O1291,'Cây trong'!$A$2:$C$246,3,0)," ")</f>
        <v xml:space="preserve"> </v>
      </c>
      <c r="R1291" s="564" t="str">
        <f t="shared" si="265"/>
        <v xml:space="preserve"> </v>
      </c>
      <c r="S1291" s="586" t="s">
        <v>1775</v>
      </c>
      <c r="T1291" s="609" t="s">
        <v>2804</v>
      </c>
      <c r="U1291" s="710">
        <v>12.75</v>
      </c>
      <c r="V1291" s="661"/>
      <c r="W1291" s="564">
        <f>IF(S1291&lt;&gt;0,VLOOKUP(S1291,VKT!$A$2:$G$415,7,0),"")</f>
        <v>0</v>
      </c>
      <c r="X1291" s="564">
        <f t="shared" si="276"/>
        <v>0</v>
      </c>
      <c r="Y1291" s="683"/>
      <c r="Z1291" s="683"/>
      <c r="AA1291" s="683"/>
      <c r="AB1291" s="694"/>
      <c r="AC1291" s="683"/>
      <c r="AD1291" s="683"/>
      <c r="AE1291" s="683"/>
      <c r="AF1291" s="590"/>
      <c r="AG1291" s="570" t="str">
        <f>IF(AE1291&lt;&gt;0,VLOOKUP(AE1291,ODDS!$A$2:$C$13,3,0),"")</f>
        <v/>
      </c>
      <c r="AH1291" s="570" t="str">
        <f t="shared" si="266"/>
        <v xml:space="preserve"> </v>
      </c>
      <c r="AI1291" s="571" t="str">
        <f t="shared" si="284"/>
        <v xml:space="preserve"> </v>
      </c>
      <c r="AJ1291" s="593"/>
      <c r="AK1291" s="593"/>
    </row>
    <row r="1292" spans="1:37" s="385" customFormat="1" ht="44.25" outlineLevel="2" x14ac:dyDescent="0.3">
      <c r="A1292" s="447">
        <f t="shared" si="283"/>
        <v>102</v>
      </c>
      <c r="B1292" s="557"/>
      <c r="C1292" s="572"/>
      <c r="D1292" s="615"/>
      <c r="E1292" s="612"/>
      <c r="F1292" s="612"/>
      <c r="G1292" s="586"/>
      <c r="H1292" s="709"/>
      <c r="I1292" s="546"/>
      <c r="J1292" s="710"/>
      <c r="K1292" s="563" t="str">
        <f>IF(G1292&lt;&gt;0,VLOOKUP(G1292,'gia dat'!$A$1:$F$144,5,0)," ")</f>
        <v xml:space="preserve"> </v>
      </c>
      <c r="L1292" s="563" t="str">
        <f>IF(G1292&lt;&gt;0,VLOOKUP(G1292,'gia dat'!$A$1:$F$144,6,0)," ")</f>
        <v xml:space="preserve"> </v>
      </c>
      <c r="M1292" s="564" t="str">
        <f t="shared" si="279"/>
        <v xml:space="preserve"> </v>
      </c>
      <c r="N1292" s="564" t="str">
        <f t="shared" si="280"/>
        <v xml:space="preserve"> </v>
      </c>
      <c r="O1292" s="586"/>
      <c r="P1292" s="714"/>
      <c r="Q1292" s="564" t="str">
        <f>IF(O1292&lt;&gt;0,VLOOKUP(O1292,'Cây trong'!$A$2:$C$246,3,0)," ")</f>
        <v xml:space="preserve"> </v>
      </c>
      <c r="R1292" s="564" t="str">
        <f t="shared" si="265"/>
        <v xml:space="preserve"> </v>
      </c>
      <c r="S1292" s="586" t="s">
        <v>1776</v>
      </c>
      <c r="T1292" s="609" t="s">
        <v>2804</v>
      </c>
      <c r="U1292" s="710">
        <v>94.8</v>
      </c>
      <c r="V1292" s="661"/>
      <c r="W1292" s="564">
        <f>IF(S1292&lt;&gt;0,VLOOKUP(S1292,VKT!$A$2:$G$415,7,0),"")</f>
        <v>177161</v>
      </c>
      <c r="X1292" s="564">
        <f t="shared" si="276"/>
        <v>16795000</v>
      </c>
      <c r="Y1292" s="683"/>
      <c r="Z1292" s="683"/>
      <c r="AA1292" s="683"/>
      <c r="AB1292" s="694"/>
      <c r="AC1292" s="683"/>
      <c r="AD1292" s="683"/>
      <c r="AE1292" s="683"/>
      <c r="AF1292" s="590"/>
      <c r="AG1292" s="570" t="str">
        <f>IF(AE1292&lt;&gt;0,VLOOKUP(AE1292,ODDS!$A$2:$C$13,3,0),"")</f>
        <v/>
      </c>
      <c r="AH1292" s="570" t="str">
        <f t="shared" si="266"/>
        <v xml:space="preserve"> </v>
      </c>
      <c r="AI1292" s="571" t="str">
        <f t="shared" si="284"/>
        <v xml:space="preserve"> </v>
      </c>
      <c r="AJ1292" s="593"/>
      <c r="AK1292" s="593"/>
    </row>
    <row r="1293" spans="1:37" s="385" customFormat="1" ht="60.75" outlineLevel="2" x14ac:dyDescent="0.3">
      <c r="A1293" s="447">
        <f t="shared" si="283"/>
        <v>102</v>
      </c>
      <c r="B1293" s="557"/>
      <c r="C1293" s="572"/>
      <c r="D1293" s="615"/>
      <c r="E1293" s="612"/>
      <c r="F1293" s="612"/>
      <c r="G1293" s="586"/>
      <c r="H1293" s="709"/>
      <c r="I1293" s="546"/>
      <c r="J1293" s="710"/>
      <c r="K1293" s="563" t="str">
        <f>IF(G1293&lt;&gt;0,VLOOKUP(G1293,'gia dat'!$A$1:$F$144,5,0)," ")</f>
        <v xml:space="preserve"> </v>
      </c>
      <c r="L1293" s="563" t="str">
        <f>IF(G1293&lt;&gt;0,VLOOKUP(G1293,'gia dat'!$A$1:$F$144,6,0)," ")</f>
        <v xml:space="preserve"> </v>
      </c>
      <c r="M1293" s="564" t="str">
        <f t="shared" si="279"/>
        <v xml:space="preserve"> </v>
      </c>
      <c r="N1293" s="564" t="str">
        <f t="shared" si="280"/>
        <v xml:space="preserve"> </v>
      </c>
      <c r="O1293" s="586"/>
      <c r="P1293" s="714"/>
      <c r="Q1293" s="564" t="str">
        <f>IF(O1293&lt;&gt;0,VLOOKUP(O1293,'Cây trong'!$A$2:$C$246,3,0)," ")</f>
        <v xml:space="preserve"> </v>
      </c>
      <c r="R1293" s="564" t="str">
        <f t="shared" si="265"/>
        <v xml:space="preserve"> </v>
      </c>
      <c r="S1293" s="586" t="s">
        <v>1777</v>
      </c>
      <c r="T1293" s="609" t="s">
        <v>2804</v>
      </c>
      <c r="U1293" s="710">
        <v>65.400000000000006</v>
      </c>
      <c r="V1293" s="661"/>
      <c r="W1293" s="564">
        <f>IF(S1293&lt;&gt;0,VLOOKUP(S1293,VKT!$A$2:$G$415,7,0),"")</f>
        <v>286855</v>
      </c>
      <c r="X1293" s="564">
        <f t="shared" si="276"/>
        <v>18760000</v>
      </c>
      <c r="Y1293" s="683"/>
      <c r="Z1293" s="683"/>
      <c r="AA1293" s="683"/>
      <c r="AB1293" s="694"/>
      <c r="AC1293" s="683"/>
      <c r="AD1293" s="683"/>
      <c r="AE1293" s="683"/>
      <c r="AF1293" s="590"/>
      <c r="AG1293" s="570" t="str">
        <f>IF(AE1293&lt;&gt;0,VLOOKUP(AE1293,ODDS!$A$2:$C$13,3,0),"")</f>
        <v/>
      </c>
      <c r="AH1293" s="570" t="str">
        <f t="shared" si="266"/>
        <v xml:space="preserve"> </v>
      </c>
      <c r="AI1293" s="571" t="str">
        <f t="shared" si="284"/>
        <v xml:space="preserve"> </v>
      </c>
      <c r="AJ1293" s="593"/>
      <c r="AK1293" s="593"/>
    </row>
    <row r="1294" spans="1:37" s="385" customFormat="1" ht="20.25" outlineLevel="2" x14ac:dyDescent="0.3">
      <c r="A1294" s="447">
        <f t="shared" si="283"/>
        <v>102</v>
      </c>
      <c r="B1294" s="557"/>
      <c r="C1294" s="572"/>
      <c r="D1294" s="615"/>
      <c r="E1294" s="612"/>
      <c r="F1294" s="612"/>
      <c r="G1294" s="586"/>
      <c r="H1294" s="709"/>
      <c r="I1294" s="546"/>
      <c r="J1294" s="710"/>
      <c r="K1294" s="563" t="str">
        <f>IF(G1294&lt;&gt;0,VLOOKUP(G1294,'gia dat'!$A$1:$F$144,5,0)," ")</f>
        <v xml:space="preserve"> </v>
      </c>
      <c r="L1294" s="563" t="str">
        <f>IF(G1294&lt;&gt;0,VLOOKUP(G1294,'gia dat'!$A$1:$F$144,6,0)," ")</f>
        <v xml:space="preserve"> </v>
      </c>
      <c r="M1294" s="564" t="str">
        <f t="shared" si="279"/>
        <v xml:space="preserve"> </v>
      </c>
      <c r="N1294" s="564" t="str">
        <f t="shared" si="280"/>
        <v xml:space="preserve"> </v>
      </c>
      <c r="O1294" s="586"/>
      <c r="P1294" s="714"/>
      <c r="Q1294" s="564" t="str">
        <f>IF(O1294&lt;&gt;0,VLOOKUP(O1294,'Cây trong'!$A$2:$C$246,3,0)," ")</f>
        <v xml:space="preserve"> </v>
      </c>
      <c r="R1294" s="564" t="str">
        <f t="shared" si="265"/>
        <v xml:space="preserve"> </v>
      </c>
      <c r="S1294" s="586"/>
      <c r="T1294" s="609"/>
      <c r="U1294" s="710"/>
      <c r="V1294" s="661"/>
      <c r="W1294" s="564" t="str">
        <f>IF(S1294&lt;&gt;0,VLOOKUP(S1294,VKT!$A$2:$G$415,7,0),"")</f>
        <v/>
      </c>
      <c r="X1294" s="564" t="str">
        <f t="shared" si="276"/>
        <v xml:space="preserve"> </v>
      </c>
      <c r="Y1294" s="683"/>
      <c r="Z1294" s="683"/>
      <c r="AA1294" s="683"/>
      <c r="AB1294" s="694"/>
      <c r="AC1294" s="683"/>
      <c r="AD1294" s="683"/>
      <c r="AE1294" s="683"/>
      <c r="AF1294" s="590"/>
      <c r="AG1294" s="570" t="str">
        <f>IF(AE1294&lt;&gt;0,VLOOKUP(AE1294,ODDS!$A$2:$C$13,3,0),"")</f>
        <v/>
      </c>
      <c r="AH1294" s="570" t="str">
        <f t="shared" si="266"/>
        <v xml:space="preserve"> </v>
      </c>
      <c r="AI1294" s="571" t="str">
        <f t="shared" si="284"/>
        <v xml:space="preserve"> </v>
      </c>
      <c r="AJ1294" s="593"/>
      <c r="AK1294" s="593"/>
    </row>
    <row r="1295" spans="1:37" s="385" customFormat="1" ht="20.25" outlineLevel="2" x14ac:dyDescent="0.3">
      <c r="A1295" s="447">
        <f t="shared" si="283"/>
        <v>102</v>
      </c>
      <c r="B1295" s="557"/>
      <c r="C1295" s="574"/>
      <c r="D1295" s="615"/>
      <c r="E1295" s="615"/>
      <c r="F1295" s="700"/>
      <c r="G1295" s="558"/>
      <c r="H1295" s="709"/>
      <c r="I1295" s="546"/>
      <c r="J1295" s="710"/>
      <c r="K1295" s="563" t="str">
        <f>IF(G1295&lt;&gt;0,VLOOKUP(G1295,'gia dat'!$A$1:$F$144,5,0)," ")</f>
        <v xml:space="preserve"> </v>
      </c>
      <c r="L1295" s="563" t="str">
        <f>IF(G1295&lt;&gt;0,VLOOKUP(G1295,'gia dat'!$A$1:$F$144,6,0)," ")</f>
        <v xml:space="preserve"> </v>
      </c>
      <c r="M1295" s="564" t="str">
        <f t="shared" si="279"/>
        <v xml:space="preserve"> </v>
      </c>
      <c r="N1295" s="564" t="str">
        <f t="shared" si="280"/>
        <v xml:space="preserve"> </v>
      </c>
      <c r="O1295" s="586"/>
      <c r="P1295" s="714"/>
      <c r="Q1295" s="564" t="str">
        <f>IF(O1295&lt;&gt;0,VLOOKUP(O1295,'Cây trong'!$A$2:$C$246,3,0)," ")</f>
        <v xml:space="preserve"> </v>
      </c>
      <c r="R1295" s="564" t="str">
        <f t="shared" ref="R1295:R1365" si="285">IF(O1295&lt;&gt;0,ROUND(P1295*Q1295,-2)," ")</f>
        <v xml:space="preserve"> </v>
      </c>
      <c r="S1295" s="586"/>
      <c r="T1295" s="609"/>
      <c r="U1295" s="710"/>
      <c r="V1295" s="661"/>
      <c r="W1295" s="564" t="str">
        <f>IF(S1295&lt;&gt;0,VLOOKUP(S1295,VKT!$A$2:$G$415,7,0),"")</f>
        <v/>
      </c>
      <c r="X1295" s="564" t="str">
        <f t="shared" si="276"/>
        <v xml:space="preserve"> </v>
      </c>
      <c r="Y1295" s="683"/>
      <c r="Z1295" s="683"/>
      <c r="AA1295" s="683"/>
      <c r="AB1295" s="694"/>
      <c r="AC1295" s="683"/>
      <c r="AD1295" s="683"/>
      <c r="AE1295" s="683"/>
      <c r="AF1295" s="590"/>
      <c r="AG1295" s="570" t="str">
        <f>IF(AE1295&lt;&gt;0,VLOOKUP(AE1295,ODDS!$A$2:$C$13,3,0),"")</f>
        <v/>
      </c>
      <c r="AH1295" s="570" t="str">
        <f t="shared" ref="AH1295:AH1365" si="286">IF(AE1295&lt;&gt;0,ROUND(AF1295*AG1295,-2)," ")</f>
        <v xml:space="preserve"> </v>
      </c>
      <c r="AI1295" s="571" t="str">
        <f t="shared" si="284"/>
        <v xml:space="preserve"> </v>
      </c>
      <c r="AJ1295" s="593"/>
      <c r="AK1295" s="593"/>
    </row>
    <row r="1296" spans="1:37" s="385" customFormat="1" ht="40.5" outlineLevel="1" x14ac:dyDescent="0.25">
      <c r="A1296" s="467" t="s">
        <v>2607</v>
      </c>
      <c r="B1296" s="576">
        <v>103</v>
      </c>
      <c r="C1296" s="574" t="s">
        <v>950</v>
      </c>
      <c r="D1296" s="705"/>
      <c r="E1296" s="705"/>
      <c r="F1296" s="706"/>
      <c r="G1296" s="574"/>
      <c r="H1296" s="707">
        <f>SUBTOTAL(9,H1297:H1302)</f>
        <v>0</v>
      </c>
      <c r="I1296" s="579">
        <f>SUBTOTAL(9,I1297:I1302)</f>
        <v>0</v>
      </c>
      <c r="J1296" s="708"/>
      <c r="K1296" s="581"/>
      <c r="L1296" s="581"/>
      <c r="M1296" s="571">
        <f>SUBTOTAL(9,M1297:M1302)</f>
        <v>0</v>
      </c>
      <c r="N1296" s="571">
        <f>SUBTOTAL(9,N1297:N1302)</f>
        <v>0</v>
      </c>
      <c r="O1296" s="578"/>
      <c r="P1296" s="712">
        <f>SUBTOTAL(9,P1297:P1302)</f>
        <v>0</v>
      </c>
      <c r="Q1296" s="571"/>
      <c r="R1296" s="571">
        <f>SUBTOTAL(9,R1297:R1302)</f>
        <v>0</v>
      </c>
      <c r="S1296" s="578"/>
      <c r="T1296" s="621"/>
      <c r="U1296" s="708">
        <f>SUBTOTAL(9,U1297:U1302)</f>
        <v>27.9</v>
      </c>
      <c r="V1296" s="663"/>
      <c r="W1296" s="571"/>
      <c r="X1296" s="571">
        <f>SUBTOTAL(9,X1297:X1302)</f>
        <v>32052000</v>
      </c>
      <c r="Y1296" s="683"/>
      <c r="Z1296" s="683"/>
      <c r="AA1296" s="683"/>
      <c r="AB1296" s="694"/>
      <c r="AC1296" s="683"/>
      <c r="AD1296" s="683"/>
      <c r="AE1296" s="650"/>
      <c r="AF1296" s="599">
        <f>SUBTOTAL(9,AF1297:AF1302)</f>
        <v>0</v>
      </c>
      <c r="AG1296" s="585"/>
      <c r="AH1296" s="585">
        <f>SUBTOTAL(9,AH1297:AH1302)</f>
        <v>0</v>
      </c>
      <c r="AI1296" s="571">
        <f t="shared" si="284"/>
        <v>32052000</v>
      </c>
      <c r="AJ1296" s="574"/>
      <c r="AK1296" s="574"/>
    </row>
    <row r="1297" spans="1:37" s="385" customFormat="1" ht="121.5" outlineLevel="2" x14ac:dyDescent="0.3">
      <c r="A1297" s="447">
        <f>IF(B1296&lt;&gt;0,B1296,A1295)</f>
        <v>103</v>
      </c>
      <c r="B1297" s="557"/>
      <c r="C1297" s="558" t="s">
        <v>952</v>
      </c>
      <c r="D1297" s="615">
        <v>1</v>
      </c>
      <c r="E1297" s="615"/>
      <c r="F1297" s="700"/>
      <c r="G1297" s="558"/>
      <c r="H1297" s="709"/>
      <c r="I1297" s="546"/>
      <c r="J1297" s="710"/>
      <c r="K1297" s="563" t="str">
        <f>IF(G1297&lt;&gt;0,VLOOKUP(G1297,'gia dat'!$A$1:$F$144,5,0)," ")</f>
        <v xml:space="preserve"> </v>
      </c>
      <c r="L1297" s="563" t="str">
        <f>IF(G1297&lt;&gt;0,VLOOKUP(G1297,'gia dat'!$A$1:$F$144,6,0)," ")</f>
        <v xml:space="preserve"> </v>
      </c>
      <c r="M1297" s="564" t="str">
        <f t="shared" si="279"/>
        <v xml:space="preserve"> </v>
      </c>
      <c r="N1297" s="564" t="str">
        <f t="shared" si="280"/>
        <v xml:space="preserve"> </v>
      </c>
      <c r="O1297" s="586"/>
      <c r="P1297" s="714"/>
      <c r="Q1297" s="564" t="str">
        <f>IF(O1297&lt;&gt;0,VLOOKUP(O1297,'Cây trong'!$A$2:$C$246,3,0)," ")</f>
        <v xml:space="preserve"> </v>
      </c>
      <c r="R1297" s="564" t="str">
        <f t="shared" si="285"/>
        <v xml:space="preserve"> </v>
      </c>
      <c r="S1297" s="586" t="s">
        <v>1778</v>
      </c>
      <c r="T1297" s="609" t="s">
        <v>2804</v>
      </c>
      <c r="U1297" s="710">
        <v>22.5</v>
      </c>
      <c r="V1297" s="661"/>
      <c r="W1297" s="564">
        <f>IF(S1297&lt;&gt;0,VLOOKUP(S1297,VKT!$A$2:$G$415,7,0),"")</f>
        <v>1399121</v>
      </c>
      <c r="X1297" s="564">
        <f t="shared" si="276"/>
        <v>31480000</v>
      </c>
      <c r="Y1297" s="683"/>
      <c r="Z1297" s="683"/>
      <c r="AA1297" s="683"/>
      <c r="AB1297" s="694"/>
      <c r="AC1297" s="683"/>
      <c r="AD1297" s="683"/>
      <c r="AE1297" s="683"/>
      <c r="AF1297" s="590"/>
      <c r="AG1297" s="570" t="str">
        <f>IF(AE1297&lt;&gt;0,VLOOKUP(AE1297,ODDS!$A$2:$C$13,3,0),"")</f>
        <v/>
      </c>
      <c r="AH1297" s="570" t="str">
        <f t="shared" si="286"/>
        <v xml:space="preserve"> </v>
      </c>
      <c r="AI1297" s="571" t="str">
        <f t="shared" si="284"/>
        <v xml:space="preserve"> </v>
      </c>
      <c r="AJ1297" s="558" t="s">
        <v>951</v>
      </c>
      <c r="AK1297" s="558" t="s">
        <v>2450</v>
      </c>
    </row>
    <row r="1298" spans="1:37" s="385" customFormat="1" ht="101.25" outlineLevel="2" x14ac:dyDescent="0.3">
      <c r="A1298" s="447">
        <f>IF(B1297&lt;&gt;0,B1297,A1297)</f>
        <v>103</v>
      </c>
      <c r="B1298" s="557"/>
      <c r="C1298" s="558" t="s">
        <v>1655</v>
      </c>
      <c r="D1298" s="615"/>
      <c r="E1298" s="615"/>
      <c r="F1298" s="700"/>
      <c r="G1298" s="558"/>
      <c r="H1298" s="709"/>
      <c r="I1298" s="546"/>
      <c r="J1298" s="710"/>
      <c r="K1298" s="563" t="str">
        <f>IF(G1298&lt;&gt;0,VLOOKUP(G1298,'gia dat'!$A$1:$F$144,5,0)," ")</f>
        <v xml:space="preserve"> </v>
      </c>
      <c r="L1298" s="563" t="str">
        <f>IF(G1298&lt;&gt;0,VLOOKUP(G1298,'gia dat'!$A$1:$F$144,6,0)," ")</f>
        <v xml:space="preserve"> </v>
      </c>
      <c r="M1298" s="564" t="str">
        <f t="shared" si="279"/>
        <v xml:space="preserve"> </v>
      </c>
      <c r="N1298" s="564" t="str">
        <f t="shared" si="280"/>
        <v xml:space="preserve"> </v>
      </c>
      <c r="O1298" s="586"/>
      <c r="P1298" s="714"/>
      <c r="Q1298" s="564" t="str">
        <f>IF(O1298&lt;&gt;0,VLOOKUP(O1298,'Cây trong'!$A$2:$C$246,3,0)," ")</f>
        <v xml:space="preserve"> </v>
      </c>
      <c r="R1298" s="564" t="str">
        <f t="shared" si="285"/>
        <v xml:space="preserve"> </v>
      </c>
      <c r="S1298" s="586" t="s">
        <v>1748</v>
      </c>
      <c r="T1298" s="609" t="s">
        <v>2804</v>
      </c>
      <c r="U1298" s="710">
        <v>2.7</v>
      </c>
      <c r="V1298" s="661"/>
      <c r="W1298" s="564">
        <f>IF(S1298&lt;&gt;0,VLOOKUP(S1298,VKT!$A$2:$G$415,7,0),"")</f>
        <v>0</v>
      </c>
      <c r="X1298" s="564">
        <f t="shared" si="276"/>
        <v>0</v>
      </c>
      <c r="Y1298" s="683"/>
      <c r="Z1298" s="683"/>
      <c r="AA1298" s="683"/>
      <c r="AB1298" s="694"/>
      <c r="AC1298" s="683"/>
      <c r="AD1298" s="683"/>
      <c r="AE1298" s="683"/>
      <c r="AF1298" s="590"/>
      <c r="AG1298" s="570" t="str">
        <f>IF(AE1298&lt;&gt;0,VLOOKUP(AE1298,ODDS!$A$2:$C$13,3,0),"")</f>
        <v/>
      </c>
      <c r="AH1298" s="570" t="str">
        <f t="shared" si="286"/>
        <v xml:space="preserve"> </v>
      </c>
      <c r="AI1298" s="571" t="str">
        <f t="shared" si="284"/>
        <v xml:space="preserve"> </v>
      </c>
      <c r="AJ1298" s="558"/>
      <c r="AK1298" s="558" t="s">
        <v>2800</v>
      </c>
    </row>
    <row r="1299" spans="1:37" s="385" customFormat="1" ht="60.75" outlineLevel="2" x14ac:dyDescent="0.3">
      <c r="A1299" s="447">
        <f>IF(B1298&lt;&gt;0,B1298,A1298)</f>
        <v>103</v>
      </c>
      <c r="B1299" s="557"/>
      <c r="C1299" s="572"/>
      <c r="D1299" s="615"/>
      <c r="E1299" s="615"/>
      <c r="F1299" s="700"/>
      <c r="G1299" s="558"/>
      <c r="H1299" s="709"/>
      <c r="I1299" s="546"/>
      <c r="J1299" s="589"/>
      <c r="K1299" s="563" t="str">
        <f>IF(G1299&lt;&gt;0,VLOOKUP(G1299,'gia dat'!$A$1:$F$144,5,0)," ")</f>
        <v xml:space="preserve"> </v>
      </c>
      <c r="L1299" s="563" t="str">
        <f>IF(G1299&lt;&gt;0,VLOOKUP(G1299,'gia dat'!$A$1:$F$144,6,0)," ")</f>
        <v xml:space="preserve"> </v>
      </c>
      <c r="M1299" s="564" t="str">
        <f t="shared" si="279"/>
        <v xml:space="preserve"> </v>
      </c>
      <c r="N1299" s="564" t="str">
        <f t="shared" si="280"/>
        <v xml:space="preserve"> </v>
      </c>
      <c r="O1299" s="558"/>
      <c r="P1299" s="714"/>
      <c r="Q1299" s="564" t="str">
        <f>IF(O1299&lt;&gt;0,VLOOKUP(O1299,'Cây trong'!$A$2:$C$246,3,0)," ")</f>
        <v xml:space="preserve"> </v>
      </c>
      <c r="R1299" s="564" t="str">
        <f t="shared" si="285"/>
        <v xml:space="preserve"> </v>
      </c>
      <c r="S1299" s="566" t="s">
        <v>1749</v>
      </c>
      <c r="T1299" s="609" t="s">
        <v>2804</v>
      </c>
      <c r="U1299" s="710">
        <v>2.7</v>
      </c>
      <c r="V1299" s="593"/>
      <c r="W1299" s="564">
        <f>IF(S1299&lt;&gt;0,VLOOKUP(S1299,VKT!$A$2:$G$415,7,0),"")</f>
        <v>211811</v>
      </c>
      <c r="X1299" s="564">
        <f t="shared" si="276"/>
        <v>572000</v>
      </c>
      <c r="Y1299" s="683"/>
      <c r="Z1299" s="683"/>
      <c r="AA1299" s="683"/>
      <c r="AB1299" s="694"/>
      <c r="AC1299" s="683"/>
      <c r="AD1299" s="683"/>
      <c r="AE1299" s="683"/>
      <c r="AF1299" s="590"/>
      <c r="AG1299" s="570" t="str">
        <f>IF(AE1299&lt;&gt;0,VLOOKUP(AE1299,ODDS!$A$2:$C$13,3,0),"")</f>
        <v/>
      </c>
      <c r="AH1299" s="570" t="str">
        <f t="shared" si="286"/>
        <v xml:space="preserve"> </v>
      </c>
      <c r="AI1299" s="571" t="str">
        <f t="shared" si="284"/>
        <v xml:space="preserve"> </v>
      </c>
      <c r="AJ1299" s="558"/>
      <c r="AK1299" s="558"/>
    </row>
    <row r="1300" spans="1:37" s="385" customFormat="1" ht="20.25" outlineLevel="2" x14ac:dyDescent="0.3">
      <c r="A1300" s="447">
        <f>IF(B1299&lt;&gt;0,B1299,A1299)</f>
        <v>103</v>
      </c>
      <c r="B1300" s="557"/>
      <c r="C1300" s="572"/>
      <c r="D1300" s="703"/>
      <c r="E1300" s="615"/>
      <c r="F1300" s="700"/>
      <c r="G1300" s="558"/>
      <c r="H1300" s="709"/>
      <c r="I1300" s="546"/>
      <c r="J1300" s="710"/>
      <c r="K1300" s="563" t="str">
        <f>IF(G1300&lt;&gt;0,VLOOKUP(G1300,'gia dat'!$A$1:$F$144,5,0)," ")</f>
        <v xml:space="preserve"> </v>
      </c>
      <c r="L1300" s="563" t="str">
        <f>IF(G1300&lt;&gt;0,VLOOKUP(G1300,'gia dat'!$A$1:$F$144,6,0)," ")</f>
        <v xml:space="preserve"> </v>
      </c>
      <c r="M1300" s="564" t="str">
        <f t="shared" si="279"/>
        <v xml:space="preserve"> </v>
      </c>
      <c r="N1300" s="564" t="str">
        <f t="shared" si="280"/>
        <v xml:space="preserve"> </v>
      </c>
      <c r="O1300" s="586"/>
      <c r="P1300" s="714"/>
      <c r="Q1300" s="564" t="str">
        <f>IF(O1300&lt;&gt;0,VLOOKUP(O1300,'Cây trong'!$A$2:$C$246,3,0)," ")</f>
        <v xml:space="preserve"> </v>
      </c>
      <c r="R1300" s="564" t="str">
        <f t="shared" si="285"/>
        <v xml:space="preserve"> </v>
      </c>
      <c r="S1300" s="586"/>
      <c r="T1300" s="609"/>
      <c r="U1300" s="710"/>
      <c r="V1300" s="593"/>
      <c r="W1300" s="564" t="str">
        <f>IF(S1300&lt;&gt;0,VLOOKUP(S1300,VKT!$A$2:$G$415,7,0),"")</f>
        <v/>
      </c>
      <c r="X1300" s="564" t="str">
        <f t="shared" si="276"/>
        <v xml:space="preserve"> </v>
      </c>
      <c r="Y1300" s="683"/>
      <c r="Z1300" s="683"/>
      <c r="AA1300" s="683"/>
      <c r="AB1300" s="694"/>
      <c r="AC1300" s="683"/>
      <c r="AD1300" s="683"/>
      <c r="AE1300" s="683"/>
      <c r="AF1300" s="590"/>
      <c r="AG1300" s="570" t="str">
        <f>IF(AE1300&lt;&gt;0,VLOOKUP(AE1300,ODDS!$A$2:$C$13,3,0),"")</f>
        <v/>
      </c>
      <c r="AH1300" s="570" t="str">
        <f t="shared" si="286"/>
        <v xml:space="preserve"> </v>
      </c>
      <c r="AI1300" s="571" t="str">
        <f t="shared" si="284"/>
        <v xml:space="preserve"> </v>
      </c>
      <c r="AJ1300" s="593"/>
      <c r="AK1300" s="593"/>
    </row>
    <row r="1301" spans="1:37" s="385" customFormat="1" ht="20.25" outlineLevel="2" x14ac:dyDescent="0.3">
      <c r="A1301" s="447">
        <f>IF(B1300&lt;&gt;0,B1300,A1300)</f>
        <v>103</v>
      </c>
      <c r="B1301" s="557"/>
      <c r="C1301" s="572"/>
      <c r="D1301" s="703"/>
      <c r="E1301" s="615"/>
      <c r="F1301" s="700"/>
      <c r="G1301" s="558"/>
      <c r="H1301" s="709"/>
      <c r="I1301" s="546"/>
      <c r="J1301" s="710"/>
      <c r="K1301" s="563" t="str">
        <f>IF(G1301&lt;&gt;0,VLOOKUP(G1301,'gia dat'!$A$1:$F$144,5,0)," ")</f>
        <v xml:space="preserve"> </v>
      </c>
      <c r="L1301" s="563" t="str">
        <f>IF(G1301&lt;&gt;0,VLOOKUP(G1301,'gia dat'!$A$1:$F$144,6,0)," ")</f>
        <v xml:space="preserve"> </v>
      </c>
      <c r="M1301" s="564" t="str">
        <f t="shared" si="279"/>
        <v xml:space="preserve"> </v>
      </c>
      <c r="N1301" s="564" t="str">
        <f t="shared" si="280"/>
        <v xml:space="preserve"> </v>
      </c>
      <c r="O1301" s="586"/>
      <c r="P1301" s="714"/>
      <c r="Q1301" s="564" t="str">
        <f>IF(O1301&lt;&gt;0,VLOOKUP(O1301,'Cây trong'!$A$2:$C$246,3,0)," ")</f>
        <v xml:space="preserve"> </v>
      </c>
      <c r="R1301" s="564" t="str">
        <f t="shared" si="285"/>
        <v xml:space="preserve"> </v>
      </c>
      <c r="S1301" s="586"/>
      <c r="T1301" s="609"/>
      <c r="U1301" s="710"/>
      <c r="V1301" s="593"/>
      <c r="W1301" s="564" t="str">
        <f>IF(S1301&lt;&gt;0,VLOOKUP(S1301,VKT!$A$2:$G$415,7,0),"")</f>
        <v/>
      </c>
      <c r="X1301" s="564" t="str">
        <f t="shared" si="276"/>
        <v xml:space="preserve"> </v>
      </c>
      <c r="Y1301" s="683"/>
      <c r="Z1301" s="683"/>
      <c r="AA1301" s="683"/>
      <c r="AB1301" s="694"/>
      <c r="AC1301" s="683"/>
      <c r="AD1301" s="683"/>
      <c r="AE1301" s="683"/>
      <c r="AF1301" s="590"/>
      <c r="AG1301" s="570" t="str">
        <f>IF(AE1301&lt;&gt;0,VLOOKUP(AE1301,ODDS!$A$2:$C$13,3,0),"")</f>
        <v/>
      </c>
      <c r="AH1301" s="570" t="str">
        <f t="shared" si="286"/>
        <v xml:space="preserve"> </v>
      </c>
      <c r="AI1301" s="571" t="str">
        <f t="shared" si="284"/>
        <v xml:space="preserve"> </v>
      </c>
      <c r="AJ1301" s="593"/>
      <c r="AK1301" s="593"/>
    </row>
    <row r="1302" spans="1:37" s="385" customFormat="1" ht="20.25" outlineLevel="2" x14ac:dyDescent="0.3">
      <c r="A1302" s="447">
        <f>IF(B1301&lt;&gt;0,B1301,A1301)</f>
        <v>103</v>
      </c>
      <c r="B1302" s="557"/>
      <c r="C1302" s="607"/>
      <c r="D1302" s="703"/>
      <c r="E1302" s="615"/>
      <c r="F1302" s="700"/>
      <c r="G1302" s="558"/>
      <c r="H1302" s="709"/>
      <c r="I1302" s="546"/>
      <c r="J1302" s="710"/>
      <c r="K1302" s="563" t="str">
        <f>IF(G1302&lt;&gt;0,VLOOKUP(G1302,'gia dat'!$A$1:$F$144,5,0)," ")</f>
        <v xml:space="preserve"> </v>
      </c>
      <c r="L1302" s="563" t="str">
        <f>IF(G1302&lt;&gt;0,VLOOKUP(G1302,'gia dat'!$A$1:$F$144,6,0)," ")</f>
        <v xml:space="preserve"> </v>
      </c>
      <c r="M1302" s="564" t="str">
        <f t="shared" si="279"/>
        <v xml:space="preserve"> </v>
      </c>
      <c r="N1302" s="564" t="str">
        <f t="shared" si="280"/>
        <v xml:space="preserve"> </v>
      </c>
      <c r="O1302" s="586"/>
      <c r="P1302" s="714"/>
      <c r="Q1302" s="564" t="str">
        <f>IF(O1302&lt;&gt;0,VLOOKUP(O1302,'Cây trong'!$A$2:$C$246,3,0)," ")</f>
        <v xml:space="preserve"> </v>
      </c>
      <c r="R1302" s="564" t="str">
        <f t="shared" si="285"/>
        <v xml:space="preserve"> </v>
      </c>
      <c r="S1302" s="586"/>
      <c r="T1302" s="609"/>
      <c r="U1302" s="710"/>
      <c r="V1302" s="593"/>
      <c r="W1302" s="564" t="str">
        <f>IF(S1302&lt;&gt;0,VLOOKUP(S1302,VKT!$A$2:$G$415,7,0),"")</f>
        <v/>
      </c>
      <c r="X1302" s="564" t="str">
        <f t="shared" si="276"/>
        <v xml:space="preserve"> </v>
      </c>
      <c r="Y1302" s="683"/>
      <c r="Z1302" s="683"/>
      <c r="AA1302" s="683"/>
      <c r="AB1302" s="694"/>
      <c r="AC1302" s="683"/>
      <c r="AD1302" s="683"/>
      <c r="AE1302" s="683"/>
      <c r="AF1302" s="590"/>
      <c r="AG1302" s="570" t="str">
        <f>IF(AE1302&lt;&gt;0,VLOOKUP(AE1302,ODDS!$A$2:$C$13,3,0),"")</f>
        <v/>
      </c>
      <c r="AH1302" s="570" t="str">
        <f t="shared" si="286"/>
        <v xml:space="preserve"> </v>
      </c>
      <c r="AI1302" s="571" t="str">
        <f t="shared" si="284"/>
        <v xml:space="preserve"> </v>
      </c>
      <c r="AJ1302" s="593"/>
      <c r="AK1302" s="593"/>
    </row>
    <row r="1303" spans="1:37" s="385" customFormat="1" ht="40.5" outlineLevel="1" x14ac:dyDescent="0.3">
      <c r="A1303" s="467" t="s">
        <v>2606</v>
      </c>
      <c r="B1303" s="576">
        <v>104</v>
      </c>
      <c r="C1303" s="607" t="s">
        <v>2227</v>
      </c>
      <c r="D1303" s="705"/>
      <c r="E1303" s="722"/>
      <c r="F1303" s="722"/>
      <c r="G1303" s="723"/>
      <c r="H1303" s="724">
        <f>SUBTOTAL(9,H1304:H1311)</f>
        <v>0</v>
      </c>
      <c r="I1303" s="579">
        <f>SUBTOTAL(9,I1304:I1309)</f>
        <v>0</v>
      </c>
      <c r="J1303" s="708"/>
      <c r="K1303" s="581"/>
      <c r="L1303" s="581"/>
      <c r="M1303" s="571">
        <f>SUBTOTAL(9,M1304:M1311)</f>
        <v>0</v>
      </c>
      <c r="N1303" s="571">
        <f>SUBTOTAL(9,N1304:N1311)</f>
        <v>0</v>
      </c>
      <c r="O1303" s="578"/>
      <c r="P1303" s="712">
        <f>SUBTOTAL(9,P1304:P1311)</f>
        <v>0</v>
      </c>
      <c r="Q1303" s="571"/>
      <c r="R1303" s="571">
        <f>SUBTOTAL(9,R1304:R1311)</f>
        <v>0</v>
      </c>
      <c r="S1303" s="578"/>
      <c r="T1303" s="621"/>
      <c r="U1303" s="708">
        <f>SUBTOTAL(9,U1304:U1311)</f>
        <v>48.5</v>
      </c>
      <c r="V1303" s="608"/>
      <c r="W1303" s="571"/>
      <c r="X1303" s="571">
        <f>SUBTOTAL(9,X1304:X1311)</f>
        <v>51215000</v>
      </c>
      <c r="Y1303" s="683"/>
      <c r="Z1303" s="683"/>
      <c r="AA1303" s="683"/>
      <c r="AB1303" s="694"/>
      <c r="AC1303" s="683"/>
      <c r="AD1303" s="683"/>
      <c r="AE1303" s="650"/>
      <c r="AF1303" s="599">
        <f>SUBTOTAL(9,AF1304:AF1311)</f>
        <v>0</v>
      </c>
      <c r="AG1303" s="585"/>
      <c r="AH1303" s="585">
        <f>SUBTOTAL(9,AH1304:AH1311)</f>
        <v>0</v>
      </c>
      <c r="AI1303" s="571">
        <f t="shared" si="284"/>
        <v>51215000</v>
      </c>
      <c r="AJ1303" s="608"/>
      <c r="AK1303" s="574"/>
    </row>
    <row r="1304" spans="1:37" s="385" customFormat="1" ht="121.5" outlineLevel="2" x14ac:dyDescent="0.3">
      <c r="A1304" s="447">
        <f>IF(B1303&lt;&gt;0,B1303,A1302)</f>
        <v>104</v>
      </c>
      <c r="B1304" s="557"/>
      <c r="C1304" s="558" t="s">
        <v>955</v>
      </c>
      <c r="D1304" s="615">
        <v>4</v>
      </c>
      <c r="E1304" s="725"/>
      <c r="F1304" s="725"/>
      <c r="G1304" s="704"/>
      <c r="H1304" s="701"/>
      <c r="I1304" s="546"/>
      <c r="J1304" s="710"/>
      <c r="K1304" s="563" t="str">
        <f>IF(G1304&lt;&gt;0,VLOOKUP(G1304,'gia dat'!$A$1:$F$144,5,0)," ")</f>
        <v xml:space="preserve"> </v>
      </c>
      <c r="L1304" s="563" t="str">
        <f>IF(G1304&lt;&gt;0,VLOOKUP(G1304,'gia dat'!$A$1:$F$144,6,0)," ")</f>
        <v xml:space="preserve"> </v>
      </c>
      <c r="M1304" s="564" t="str">
        <f t="shared" si="279"/>
        <v xml:space="preserve"> </v>
      </c>
      <c r="N1304" s="564" t="str">
        <f t="shared" si="280"/>
        <v xml:space="preserve"> </v>
      </c>
      <c r="O1304" s="586"/>
      <c r="P1304" s="714"/>
      <c r="Q1304" s="564" t="str">
        <f>IF(O1304&lt;&gt;0,VLOOKUP(O1304,'Cây trong'!$A$2:$C$246,3,0)," ")</f>
        <v xml:space="preserve"> </v>
      </c>
      <c r="R1304" s="564" t="str">
        <f t="shared" si="285"/>
        <v xml:space="preserve"> </v>
      </c>
      <c r="S1304" s="586" t="s">
        <v>1779</v>
      </c>
      <c r="T1304" s="609" t="s">
        <v>2804</v>
      </c>
      <c r="U1304" s="710">
        <v>36</v>
      </c>
      <c r="V1304" s="593"/>
      <c r="W1304" s="564">
        <f>IF(S1304&lt;&gt;0,VLOOKUP(S1304,VKT!$A$2:$G$415,7,0),"")</f>
        <v>1399121</v>
      </c>
      <c r="X1304" s="564">
        <f t="shared" si="276"/>
        <v>50368000</v>
      </c>
      <c r="Y1304" s="683"/>
      <c r="Z1304" s="683"/>
      <c r="AA1304" s="683"/>
      <c r="AB1304" s="694"/>
      <c r="AC1304" s="683"/>
      <c r="AD1304" s="683"/>
      <c r="AE1304" s="683"/>
      <c r="AF1304" s="590"/>
      <c r="AG1304" s="570" t="str">
        <f>IF(AE1304&lt;&gt;0,VLOOKUP(AE1304,ODDS!$A$2:$C$13,3,0),"")</f>
        <v/>
      </c>
      <c r="AH1304" s="570" t="str">
        <f t="shared" si="286"/>
        <v xml:space="preserve"> </v>
      </c>
      <c r="AI1304" s="571" t="str">
        <f t="shared" si="284"/>
        <v xml:space="preserve"> </v>
      </c>
      <c r="AJ1304" s="593" t="s">
        <v>958</v>
      </c>
      <c r="AK1304" s="558" t="s">
        <v>2450</v>
      </c>
    </row>
    <row r="1305" spans="1:37" s="385" customFormat="1" ht="101.25" outlineLevel="2" x14ac:dyDescent="0.3">
      <c r="A1305" s="447">
        <f t="shared" ref="A1305:A1311" si="287">IF(B1304&lt;&gt;0,B1304,A1304)</f>
        <v>104</v>
      </c>
      <c r="B1305" s="557"/>
      <c r="C1305" s="558" t="s">
        <v>1656</v>
      </c>
      <c r="D1305" s="615"/>
      <c r="E1305" s="615"/>
      <c r="F1305" s="700"/>
      <c r="G1305" s="558"/>
      <c r="H1305" s="709"/>
      <c r="I1305" s="546"/>
      <c r="J1305" s="710"/>
      <c r="K1305" s="563" t="str">
        <f>IF(G1305&lt;&gt;0,VLOOKUP(G1305,'gia dat'!$A$1:$F$144,5,0)," ")</f>
        <v xml:space="preserve"> </v>
      </c>
      <c r="L1305" s="563" t="str">
        <f>IF(G1305&lt;&gt;0,VLOOKUP(G1305,'gia dat'!$A$1:$F$144,6,0)," ")</f>
        <v xml:space="preserve"> </v>
      </c>
      <c r="M1305" s="564" t="str">
        <f t="shared" si="279"/>
        <v xml:space="preserve"> </v>
      </c>
      <c r="N1305" s="564" t="str">
        <f t="shared" si="280"/>
        <v xml:space="preserve"> </v>
      </c>
      <c r="O1305" s="586"/>
      <c r="P1305" s="714"/>
      <c r="Q1305" s="564" t="str">
        <f>IF(O1305&lt;&gt;0,VLOOKUP(O1305,'Cây trong'!$A$2:$C$246,3,0)," ")</f>
        <v xml:space="preserve"> </v>
      </c>
      <c r="R1305" s="564" t="str">
        <f t="shared" si="285"/>
        <v xml:space="preserve"> </v>
      </c>
      <c r="S1305" s="586" t="s">
        <v>1748</v>
      </c>
      <c r="T1305" s="609" t="s">
        <v>2804</v>
      </c>
      <c r="U1305" s="710">
        <v>4</v>
      </c>
      <c r="V1305" s="593"/>
      <c r="W1305" s="564">
        <f>IF(S1305&lt;&gt;0,VLOOKUP(S1305,VKT!$A$2:$G$415,7,0),"")</f>
        <v>0</v>
      </c>
      <c r="X1305" s="564">
        <f t="shared" si="276"/>
        <v>0</v>
      </c>
      <c r="Y1305" s="683"/>
      <c r="Z1305" s="683"/>
      <c r="AA1305" s="683"/>
      <c r="AB1305" s="694"/>
      <c r="AC1305" s="683"/>
      <c r="AD1305" s="683"/>
      <c r="AE1305" s="683"/>
      <c r="AF1305" s="590"/>
      <c r="AG1305" s="570" t="str">
        <f>IF(AE1305&lt;&gt;0,VLOOKUP(AE1305,ODDS!$A$2:$C$13,3,0),"")</f>
        <v/>
      </c>
      <c r="AH1305" s="570" t="str">
        <f t="shared" si="286"/>
        <v xml:space="preserve"> </v>
      </c>
      <c r="AI1305" s="571" t="str">
        <f t="shared" si="284"/>
        <v xml:space="preserve"> </v>
      </c>
      <c r="AJ1305" s="593"/>
      <c r="AK1305" s="566" t="s">
        <v>2800</v>
      </c>
    </row>
    <row r="1306" spans="1:37" s="385" customFormat="1" ht="60.75" outlineLevel="2" x14ac:dyDescent="0.3">
      <c r="A1306" s="447">
        <f t="shared" si="287"/>
        <v>104</v>
      </c>
      <c r="B1306" s="557"/>
      <c r="C1306" s="558"/>
      <c r="D1306" s="615"/>
      <c r="E1306" s="615"/>
      <c r="F1306" s="700"/>
      <c r="G1306" s="558"/>
      <c r="H1306" s="709"/>
      <c r="I1306" s="546"/>
      <c r="J1306" s="710"/>
      <c r="K1306" s="563" t="str">
        <f>IF(G1306&lt;&gt;0,VLOOKUP(G1306,'gia dat'!$A$1:$F$144,5,0)," ")</f>
        <v xml:space="preserve"> </v>
      </c>
      <c r="L1306" s="563" t="str">
        <f>IF(G1306&lt;&gt;0,VLOOKUP(G1306,'gia dat'!$A$1:$F$144,6,0)," ")</f>
        <v xml:space="preserve"> </v>
      </c>
      <c r="M1306" s="564" t="str">
        <f t="shared" si="279"/>
        <v xml:space="preserve"> </v>
      </c>
      <c r="N1306" s="564" t="str">
        <f t="shared" si="280"/>
        <v xml:space="preserve"> </v>
      </c>
      <c r="O1306" s="586"/>
      <c r="P1306" s="714"/>
      <c r="Q1306" s="564" t="str">
        <f>IF(O1306&lt;&gt;0,VLOOKUP(O1306,'Cây trong'!$A$2:$C$246,3,0)," ")</f>
        <v xml:space="preserve"> </v>
      </c>
      <c r="R1306" s="564" t="str">
        <f t="shared" si="285"/>
        <v xml:space="preserve"> </v>
      </c>
      <c r="S1306" s="566" t="s">
        <v>1749</v>
      </c>
      <c r="T1306" s="609" t="s">
        <v>2804</v>
      </c>
      <c r="U1306" s="710">
        <v>4</v>
      </c>
      <c r="V1306" s="593"/>
      <c r="W1306" s="564">
        <f>IF(S1306&lt;&gt;0,VLOOKUP(S1306,VKT!$A$2:$G$415,7,0),"")</f>
        <v>211811</v>
      </c>
      <c r="X1306" s="564">
        <f t="shared" si="276"/>
        <v>847000</v>
      </c>
      <c r="Y1306" s="683"/>
      <c r="Z1306" s="683"/>
      <c r="AA1306" s="683"/>
      <c r="AB1306" s="694"/>
      <c r="AC1306" s="683"/>
      <c r="AD1306" s="683"/>
      <c r="AE1306" s="683"/>
      <c r="AF1306" s="590"/>
      <c r="AG1306" s="570" t="str">
        <f>IF(AE1306&lt;&gt;0,VLOOKUP(AE1306,ODDS!$A$2:$C$13,3,0),"")</f>
        <v/>
      </c>
      <c r="AH1306" s="570" t="str">
        <f t="shared" si="286"/>
        <v xml:space="preserve"> </v>
      </c>
      <c r="AI1306" s="571" t="str">
        <f t="shared" si="284"/>
        <v xml:space="preserve"> </v>
      </c>
      <c r="AJ1306" s="704"/>
      <c r="AK1306" s="566"/>
    </row>
    <row r="1307" spans="1:37" s="385" customFormat="1" ht="60.75" outlineLevel="2" x14ac:dyDescent="0.3">
      <c r="A1307" s="447">
        <f t="shared" si="287"/>
        <v>104</v>
      </c>
      <c r="B1307" s="557"/>
      <c r="C1307" s="558"/>
      <c r="D1307" s="615"/>
      <c r="E1307" s="615"/>
      <c r="F1307" s="700"/>
      <c r="G1307" s="558"/>
      <c r="H1307" s="709"/>
      <c r="I1307" s="546"/>
      <c r="J1307" s="589"/>
      <c r="K1307" s="563" t="str">
        <f>IF(G1307&lt;&gt;0,VLOOKUP(G1307,'gia dat'!$A$1:$F$144,5,0)," ")</f>
        <v xml:space="preserve"> </v>
      </c>
      <c r="L1307" s="563" t="str">
        <f>IF(G1307&lt;&gt;0,VLOOKUP(G1307,'gia dat'!$A$1:$F$144,6,0)," ")</f>
        <v xml:space="preserve"> </v>
      </c>
      <c r="M1307" s="564" t="str">
        <f t="shared" si="279"/>
        <v xml:space="preserve"> </v>
      </c>
      <c r="N1307" s="564" t="str">
        <f t="shared" si="280"/>
        <v xml:space="preserve"> </v>
      </c>
      <c r="O1307" s="565"/>
      <c r="P1307" s="714"/>
      <c r="Q1307" s="564" t="str">
        <f>IF(O1307&lt;&gt;0,VLOOKUP(O1307,'Cây trong'!$A$2:$C$246,3,0)," ")</f>
        <v xml:space="preserve"> </v>
      </c>
      <c r="R1307" s="564" t="str">
        <f t="shared" si="285"/>
        <v xml:space="preserve"> </v>
      </c>
      <c r="S1307" s="566" t="s">
        <v>1780</v>
      </c>
      <c r="T1307" s="609" t="s">
        <v>2804</v>
      </c>
      <c r="U1307" s="710">
        <v>4.5</v>
      </c>
      <c r="V1307" s="593"/>
      <c r="W1307" s="564">
        <f>IF(S1307&lt;&gt;0,VLOOKUP(S1307,VKT!$A$2:$G$415,7,0),"")</f>
        <v>0</v>
      </c>
      <c r="X1307" s="564">
        <f t="shared" si="276"/>
        <v>0</v>
      </c>
      <c r="Y1307" s="683"/>
      <c r="Z1307" s="683"/>
      <c r="AA1307" s="683"/>
      <c r="AB1307" s="694"/>
      <c r="AC1307" s="683"/>
      <c r="AD1307" s="683"/>
      <c r="AE1307" s="683"/>
      <c r="AF1307" s="590"/>
      <c r="AG1307" s="570" t="str">
        <f>IF(AE1307&lt;&gt;0,VLOOKUP(AE1307,ODDS!$A$2:$C$13,3,0),"")</f>
        <v/>
      </c>
      <c r="AH1307" s="570" t="str">
        <f t="shared" si="286"/>
        <v xml:space="preserve"> </v>
      </c>
      <c r="AI1307" s="571" t="str">
        <f t="shared" si="284"/>
        <v xml:space="preserve"> </v>
      </c>
      <c r="AJ1307" s="704"/>
      <c r="AK1307" s="566"/>
    </row>
    <row r="1308" spans="1:37" s="385" customFormat="1" ht="20.25" outlineLevel="2" x14ac:dyDescent="0.3">
      <c r="A1308" s="447">
        <f t="shared" si="287"/>
        <v>104</v>
      </c>
      <c r="B1308" s="557"/>
      <c r="C1308" s="558"/>
      <c r="D1308" s="615"/>
      <c r="E1308" s="615"/>
      <c r="F1308" s="700"/>
      <c r="G1308" s="558"/>
      <c r="H1308" s="709"/>
      <c r="I1308" s="546"/>
      <c r="J1308" s="589"/>
      <c r="K1308" s="563" t="str">
        <f>IF(G1308&lt;&gt;0,VLOOKUP(G1308,'gia dat'!$A$1:$F$144,5,0)," ")</f>
        <v xml:space="preserve"> </v>
      </c>
      <c r="L1308" s="563" t="str">
        <f>IF(G1308&lt;&gt;0,VLOOKUP(G1308,'gia dat'!$A$1:$F$144,6,0)," ")</f>
        <v xml:space="preserve"> </v>
      </c>
      <c r="M1308" s="564" t="str">
        <f t="shared" si="279"/>
        <v xml:space="preserve"> </v>
      </c>
      <c r="N1308" s="564" t="str">
        <f t="shared" si="280"/>
        <v xml:space="preserve"> </v>
      </c>
      <c r="O1308" s="565"/>
      <c r="P1308" s="714"/>
      <c r="Q1308" s="564" t="str">
        <f>IF(O1308&lt;&gt;0,VLOOKUP(O1308,'Cây trong'!$A$2:$C$246,3,0)," ")</f>
        <v xml:space="preserve"> </v>
      </c>
      <c r="R1308" s="564" t="str">
        <f t="shared" si="285"/>
        <v xml:space="preserve"> </v>
      </c>
      <c r="S1308" s="566"/>
      <c r="T1308" s="609"/>
      <c r="U1308" s="710"/>
      <c r="V1308" s="593"/>
      <c r="W1308" s="564" t="str">
        <f>IF(S1308&lt;&gt;0,VLOOKUP(S1308,VKT!$A$2:$G$415,7,0),"")</f>
        <v/>
      </c>
      <c r="X1308" s="564" t="str">
        <f t="shared" si="276"/>
        <v xml:space="preserve"> </v>
      </c>
      <c r="Y1308" s="683"/>
      <c r="Z1308" s="683"/>
      <c r="AA1308" s="683"/>
      <c r="AB1308" s="694"/>
      <c r="AC1308" s="683"/>
      <c r="AD1308" s="683"/>
      <c r="AE1308" s="683"/>
      <c r="AF1308" s="590"/>
      <c r="AG1308" s="570" t="str">
        <f>IF(AE1308&lt;&gt;0,VLOOKUP(AE1308,ODDS!$A$2:$C$13,3,0),"")</f>
        <v/>
      </c>
      <c r="AH1308" s="570" t="str">
        <f t="shared" si="286"/>
        <v xml:space="preserve"> </v>
      </c>
      <c r="AI1308" s="571" t="str">
        <f t="shared" si="284"/>
        <v xml:space="preserve"> </v>
      </c>
      <c r="AJ1308" s="704"/>
      <c r="AK1308" s="593"/>
    </row>
    <row r="1309" spans="1:37" s="385" customFormat="1" ht="20.25" outlineLevel="2" x14ac:dyDescent="0.3">
      <c r="A1309" s="447">
        <f t="shared" si="287"/>
        <v>104</v>
      </c>
      <c r="B1309" s="557"/>
      <c r="C1309" s="558"/>
      <c r="D1309" s="615"/>
      <c r="E1309" s="615"/>
      <c r="F1309" s="700"/>
      <c r="G1309" s="558"/>
      <c r="H1309" s="709"/>
      <c r="I1309" s="546"/>
      <c r="J1309" s="589"/>
      <c r="K1309" s="563" t="str">
        <f>IF(G1309&lt;&gt;0,VLOOKUP(G1309,'gia dat'!$A$1:$F$144,5,0)," ")</f>
        <v xml:space="preserve"> </v>
      </c>
      <c r="L1309" s="563" t="str">
        <f>IF(G1309&lt;&gt;0,VLOOKUP(G1309,'gia dat'!$A$1:$F$144,6,0)," ")</f>
        <v xml:space="preserve"> </v>
      </c>
      <c r="M1309" s="564" t="str">
        <f t="shared" si="279"/>
        <v xml:space="preserve"> </v>
      </c>
      <c r="N1309" s="564" t="str">
        <f t="shared" si="280"/>
        <v xml:space="preserve"> </v>
      </c>
      <c r="O1309" s="565"/>
      <c r="P1309" s="714"/>
      <c r="Q1309" s="564" t="str">
        <f>IF(O1309&lt;&gt;0,VLOOKUP(O1309,'Cây trong'!$A$2:$C$246,3,0)," ")</f>
        <v xml:space="preserve"> </v>
      </c>
      <c r="R1309" s="564" t="str">
        <f t="shared" si="285"/>
        <v xml:space="preserve"> </v>
      </c>
      <c r="S1309" s="566"/>
      <c r="T1309" s="609"/>
      <c r="U1309" s="710"/>
      <c r="V1309" s="593"/>
      <c r="W1309" s="564" t="str">
        <f>IF(S1309&lt;&gt;0,VLOOKUP(S1309,VKT!$A$2:$G$415,7,0),"")</f>
        <v/>
      </c>
      <c r="X1309" s="564" t="str">
        <f t="shared" si="276"/>
        <v xml:space="preserve"> </v>
      </c>
      <c r="Y1309" s="683"/>
      <c r="Z1309" s="683"/>
      <c r="AA1309" s="683"/>
      <c r="AB1309" s="694"/>
      <c r="AC1309" s="683"/>
      <c r="AD1309" s="683"/>
      <c r="AE1309" s="683"/>
      <c r="AF1309" s="590"/>
      <c r="AG1309" s="570" t="str">
        <f>IF(AE1309&lt;&gt;0,VLOOKUP(AE1309,ODDS!$A$2:$C$13,3,0),"")</f>
        <v/>
      </c>
      <c r="AH1309" s="570" t="str">
        <f t="shared" si="286"/>
        <v xml:space="preserve"> </v>
      </c>
      <c r="AI1309" s="571" t="str">
        <f t="shared" si="284"/>
        <v xml:space="preserve"> </v>
      </c>
      <c r="AJ1309" s="593"/>
      <c r="AK1309" s="593"/>
    </row>
    <row r="1310" spans="1:37" s="385" customFormat="1" ht="20.25" outlineLevel="2" x14ac:dyDescent="0.3">
      <c r="A1310" s="447">
        <f t="shared" si="287"/>
        <v>104</v>
      </c>
      <c r="B1310" s="557"/>
      <c r="C1310" s="558"/>
      <c r="D1310" s="615"/>
      <c r="E1310" s="615"/>
      <c r="F1310" s="700"/>
      <c r="G1310" s="558"/>
      <c r="H1310" s="709"/>
      <c r="I1310" s="546"/>
      <c r="J1310" s="589"/>
      <c r="K1310" s="563" t="str">
        <f>IF(G1310&lt;&gt;0,VLOOKUP(G1310,'gia dat'!$A$1:$F$144,5,0)," ")</f>
        <v xml:space="preserve"> </v>
      </c>
      <c r="L1310" s="563" t="str">
        <f>IF(G1310&lt;&gt;0,VLOOKUP(G1310,'gia dat'!$A$1:$F$144,6,0)," ")</f>
        <v xml:space="preserve"> </v>
      </c>
      <c r="M1310" s="564" t="str">
        <f t="shared" si="279"/>
        <v xml:space="preserve"> </v>
      </c>
      <c r="N1310" s="564" t="str">
        <f t="shared" si="280"/>
        <v xml:space="preserve"> </v>
      </c>
      <c r="O1310" s="565"/>
      <c r="P1310" s="714"/>
      <c r="Q1310" s="564" t="str">
        <f>IF(O1310&lt;&gt;0,VLOOKUP(O1310,'Cây trong'!$A$2:$C$246,3,0)," ")</f>
        <v xml:space="preserve"> </v>
      </c>
      <c r="R1310" s="564" t="str">
        <f t="shared" si="285"/>
        <v xml:space="preserve"> </v>
      </c>
      <c r="S1310" s="566"/>
      <c r="T1310" s="609"/>
      <c r="U1310" s="710"/>
      <c r="V1310" s="593"/>
      <c r="W1310" s="564" t="str">
        <f>IF(S1310&lt;&gt;0,VLOOKUP(S1310,VKT!$A$2:$G$415,7,0),"")</f>
        <v/>
      </c>
      <c r="X1310" s="564" t="str">
        <f t="shared" si="276"/>
        <v xml:space="preserve"> </v>
      </c>
      <c r="Y1310" s="683"/>
      <c r="Z1310" s="683"/>
      <c r="AA1310" s="683"/>
      <c r="AB1310" s="694"/>
      <c r="AC1310" s="683"/>
      <c r="AD1310" s="683"/>
      <c r="AE1310" s="683"/>
      <c r="AF1310" s="590"/>
      <c r="AG1310" s="570" t="str">
        <f>IF(AE1310&lt;&gt;0,VLOOKUP(AE1310,ODDS!$A$2:$C$13,3,0),"")</f>
        <v/>
      </c>
      <c r="AH1310" s="570" t="str">
        <f t="shared" si="286"/>
        <v xml:space="preserve"> </v>
      </c>
      <c r="AI1310" s="571" t="str">
        <f t="shared" si="284"/>
        <v xml:space="preserve"> </v>
      </c>
      <c r="AJ1310" s="593"/>
      <c r="AK1310" s="593"/>
    </row>
    <row r="1311" spans="1:37" s="385" customFormat="1" ht="20.25" outlineLevel="2" x14ac:dyDescent="0.3">
      <c r="A1311" s="447">
        <f t="shared" si="287"/>
        <v>104</v>
      </c>
      <c r="B1311" s="557"/>
      <c r="C1311" s="574"/>
      <c r="D1311" s="615"/>
      <c r="E1311" s="615"/>
      <c r="F1311" s="700"/>
      <c r="G1311" s="558"/>
      <c r="H1311" s="709"/>
      <c r="I1311" s="546"/>
      <c r="J1311" s="589"/>
      <c r="K1311" s="563" t="str">
        <f>IF(G1311&lt;&gt;0,VLOOKUP(G1311,'gia dat'!$A$1:$F$144,5,0)," ")</f>
        <v xml:space="preserve"> </v>
      </c>
      <c r="L1311" s="563" t="str">
        <f>IF(G1311&lt;&gt;0,VLOOKUP(G1311,'gia dat'!$A$1:$F$144,6,0)," ")</f>
        <v xml:space="preserve"> </v>
      </c>
      <c r="M1311" s="564" t="str">
        <f t="shared" si="279"/>
        <v xml:space="preserve"> </v>
      </c>
      <c r="N1311" s="564" t="str">
        <f t="shared" si="280"/>
        <v xml:space="preserve"> </v>
      </c>
      <c r="O1311" s="565"/>
      <c r="P1311" s="714"/>
      <c r="Q1311" s="564" t="str">
        <f>IF(O1311&lt;&gt;0,VLOOKUP(O1311,'Cây trong'!$A$2:$C$246,3,0)," ")</f>
        <v xml:space="preserve"> </v>
      </c>
      <c r="R1311" s="564" t="str">
        <f t="shared" si="285"/>
        <v xml:space="preserve"> </v>
      </c>
      <c r="S1311" s="566"/>
      <c r="T1311" s="609"/>
      <c r="U1311" s="710"/>
      <c r="V1311" s="593"/>
      <c r="W1311" s="564" t="str">
        <f>IF(S1311&lt;&gt;0,VLOOKUP(S1311,VKT!$A$2:$G$415,7,0),"")</f>
        <v/>
      </c>
      <c r="X1311" s="564" t="str">
        <f t="shared" si="276"/>
        <v xml:space="preserve"> </v>
      </c>
      <c r="Y1311" s="683"/>
      <c r="Z1311" s="683"/>
      <c r="AA1311" s="683"/>
      <c r="AB1311" s="694"/>
      <c r="AC1311" s="683"/>
      <c r="AD1311" s="683"/>
      <c r="AE1311" s="683"/>
      <c r="AF1311" s="590"/>
      <c r="AG1311" s="570" t="str">
        <f>IF(AE1311&lt;&gt;0,VLOOKUP(AE1311,ODDS!$A$2:$C$13,3,0),"")</f>
        <v/>
      </c>
      <c r="AH1311" s="570" t="str">
        <f t="shared" si="286"/>
        <v xml:space="preserve"> </v>
      </c>
      <c r="AI1311" s="571" t="str">
        <f t="shared" si="284"/>
        <v xml:space="preserve"> </v>
      </c>
      <c r="AJ1311" s="593"/>
      <c r="AK1311" s="593"/>
    </row>
    <row r="1312" spans="1:37" s="385" customFormat="1" ht="40.5" outlineLevel="1" x14ac:dyDescent="0.25">
      <c r="A1312" s="467" t="s">
        <v>2605</v>
      </c>
      <c r="B1312" s="576">
        <v>105</v>
      </c>
      <c r="C1312" s="574" t="s">
        <v>959</v>
      </c>
      <c r="D1312" s="705"/>
      <c r="E1312" s="705"/>
      <c r="F1312" s="706"/>
      <c r="G1312" s="574"/>
      <c r="H1312" s="707">
        <f>SUBTOTAL(9,H1313:H1334)</f>
        <v>2363.6999999999998</v>
      </c>
      <c r="I1312" s="579">
        <f>SUBTOTAL(9,I1313:I1318)</f>
        <v>552</v>
      </c>
      <c r="J1312" s="597"/>
      <c r="K1312" s="581"/>
      <c r="L1312" s="581"/>
      <c r="M1312" s="571">
        <f>SUBTOTAL(9,M1313:M1334)</f>
        <v>1310435000</v>
      </c>
      <c r="N1312" s="571">
        <f>SUBTOTAL(9,N1313:N1334)</f>
        <v>918086000</v>
      </c>
      <c r="O1312" s="574"/>
      <c r="P1312" s="633">
        <f>SUBTOTAL(9,P1313:P1334)</f>
        <v>181</v>
      </c>
      <c r="Q1312" s="633">
        <f>SUBTOTAL(9,Q1313:Q1334)</f>
        <v>2397000</v>
      </c>
      <c r="R1312" s="571">
        <f>SUBTOTAL(9,R1313:R1334)</f>
        <v>19193000</v>
      </c>
      <c r="S1312" s="582"/>
      <c r="T1312" s="621"/>
      <c r="U1312" s="600">
        <f>SUBTOTAL(9,U1313:U1334)</f>
        <v>3221.8599999999997</v>
      </c>
      <c r="V1312" s="726"/>
      <c r="W1312" s="571"/>
      <c r="X1312" s="571">
        <f>SUBTOTAL(9,X1313:X1334)</f>
        <v>0</v>
      </c>
      <c r="Y1312" s="683"/>
      <c r="Z1312" s="683"/>
      <c r="AA1312" s="683"/>
      <c r="AB1312" s="694"/>
      <c r="AC1312" s="683"/>
      <c r="AD1312" s="683"/>
      <c r="AE1312" s="650"/>
      <c r="AF1312" s="599">
        <f>SUBTOTAL(9,AF1313:AF1334)</f>
        <v>0</v>
      </c>
      <c r="AG1312" s="585"/>
      <c r="AH1312" s="585">
        <f>SUBTOTAL(9,AH1313:AH1334)</f>
        <v>0</v>
      </c>
      <c r="AI1312" s="571">
        <f t="shared" si="284"/>
        <v>2247714000</v>
      </c>
      <c r="AJ1312" s="574"/>
      <c r="AK1312" s="578"/>
    </row>
    <row r="1313" spans="1:37" s="385" customFormat="1" ht="121.5" outlineLevel="2" x14ac:dyDescent="0.3">
      <c r="A1313" s="447">
        <f>IF(B1312&lt;&gt;0,B1312,A1311)</f>
        <v>105</v>
      </c>
      <c r="B1313" s="557"/>
      <c r="C1313" s="558" t="s">
        <v>961</v>
      </c>
      <c r="D1313" s="615">
        <v>2</v>
      </c>
      <c r="E1313" s="615">
        <v>86</v>
      </c>
      <c r="F1313" s="700">
        <v>233</v>
      </c>
      <c r="G1313" s="558" t="s">
        <v>2895</v>
      </c>
      <c r="H1313" s="717">
        <f>2363.7-H1314</f>
        <v>1811.6999999999998</v>
      </c>
      <c r="I1313" s="546" t="str">
        <f t="shared" ref="I1313:I1314" si="288">IF(N1313&gt;0,H1313,"")</f>
        <v/>
      </c>
      <c r="J1313" s="589"/>
      <c r="K1313" s="563">
        <f>IF(G1313&lt;&gt;0,VLOOKUP(G1313,'gia dat'!$A$1:$F$144,5,0)," ")</f>
        <v>554400</v>
      </c>
      <c r="L1313" s="563">
        <f>IF(G1313&lt;&gt;0,VLOOKUP(G1313,'gia dat'!$A$1:$F$144,6,0)," ")</f>
        <v>0</v>
      </c>
      <c r="M1313" s="564">
        <f t="shared" si="279"/>
        <v>1004406000</v>
      </c>
      <c r="N1313" s="564">
        <f t="shared" si="280"/>
        <v>0</v>
      </c>
      <c r="O1313" s="558" t="s">
        <v>932</v>
      </c>
      <c r="P1313" s="630">
        <v>50</v>
      </c>
      <c r="Q1313" s="564">
        <f>IF(O1313&lt;&gt;0,VLOOKUP(O1313,'Cây trong'!$A$2:$C$246,3,0)," ")</f>
        <v>84000</v>
      </c>
      <c r="R1313" s="564">
        <f t="shared" si="285"/>
        <v>4200000</v>
      </c>
      <c r="S1313" s="566" t="s">
        <v>2158</v>
      </c>
      <c r="T1313" s="609" t="s">
        <v>2804</v>
      </c>
      <c r="U1313" s="591">
        <v>7.36</v>
      </c>
      <c r="V1313" s="685"/>
      <c r="W1313" s="564"/>
      <c r="X1313" s="564">
        <f t="shared" si="276"/>
        <v>0</v>
      </c>
      <c r="Y1313" s="683"/>
      <c r="Z1313" s="683"/>
      <c r="AA1313" s="683"/>
      <c r="AB1313" s="694"/>
      <c r="AC1313" s="683"/>
      <c r="AD1313" s="683"/>
      <c r="AE1313" s="683"/>
      <c r="AF1313" s="590"/>
      <c r="AG1313" s="570" t="str">
        <f>IF(AE1313&lt;&gt;0,VLOOKUP(AE1313,ODDS!$A$2:$C$13,3,0),"")</f>
        <v/>
      </c>
      <c r="AH1313" s="570" t="str">
        <f t="shared" si="286"/>
        <v xml:space="preserve"> </v>
      </c>
      <c r="AI1313" s="571" t="str">
        <f t="shared" si="284"/>
        <v xml:space="preserve"> </v>
      </c>
      <c r="AJ1313" s="558" t="s">
        <v>960</v>
      </c>
      <c r="AK1313" s="586" t="s">
        <v>2771</v>
      </c>
    </row>
    <row r="1314" spans="1:37" s="385" customFormat="1" ht="101.25" outlineLevel="2" x14ac:dyDescent="0.3">
      <c r="A1314" s="447">
        <f t="shared" ref="A1314:A1334" si="289">IF(B1313&lt;&gt;0,B1313,A1313)</f>
        <v>105</v>
      </c>
      <c r="B1314" s="557"/>
      <c r="C1314" s="558" t="s">
        <v>1657</v>
      </c>
      <c r="D1314" s="615"/>
      <c r="E1314" s="615">
        <v>86</v>
      </c>
      <c r="F1314" s="700">
        <v>233</v>
      </c>
      <c r="G1314" s="558" t="s">
        <v>2896</v>
      </c>
      <c r="H1314" s="717">
        <f>84.1+467.9</f>
        <v>552</v>
      </c>
      <c r="I1314" s="546">
        <f t="shared" si="288"/>
        <v>552</v>
      </c>
      <c r="J1314" s="589"/>
      <c r="K1314" s="563">
        <f>IF(G1314&lt;&gt;0,VLOOKUP(G1314,'gia dat'!$A$1:$F$144,5,0)," ")</f>
        <v>554400</v>
      </c>
      <c r="L1314" s="563">
        <f>IF(G1314&lt;&gt;0,VLOOKUP(G1314,'gia dat'!$A$1:$F$144,6,0)," ")</f>
        <v>1663200</v>
      </c>
      <c r="M1314" s="564">
        <f t="shared" si="279"/>
        <v>306029000</v>
      </c>
      <c r="N1314" s="564">
        <f t="shared" si="280"/>
        <v>918086000</v>
      </c>
      <c r="O1314" s="558" t="s">
        <v>350</v>
      </c>
      <c r="P1314" s="630">
        <v>70</v>
      </c>
      <c r="Q1314" s="564">
        <f>IF(O1314&lt;&gt;0,VLOOKUP(O1314,'Cây trong'!$A$2:$C$246,3,0)," ")</f>
        <v>72000</v>
      </c>
      <c r="R1314" s="564">
        <f t="shared" si="285"/>
        <v>5040000</v>
      </c>
      <c r="S1314" s="566" t="s">
        <v>2825</v>
      </c>
      <c r="T1314" s="609" t="s">
        <v>2823</v>
      </c>
      <c r="U1314" s="591">
        <v>922.8</v>
      </c>
      <c r="V1314" s="685"/>
      <c r="W1314" s="564"/>
      <c r="X1314" s="564">
        <f t="shared" si="276"/>
        <v>0</v>
      </c>
      <c r="Y1314" s="683"/>
      <c r="Z1314" s="683"/>
      <c r="AA1314" s="683"/>
      <c r="AB1314" s="694"/>
      <c r="AC1314" s="683"/>
      <c r="AD1314" s="683"/>
      <c r="AE1314" s="683"/>
      <c r="AF1314" s="590"/>
      <c r="AG1314" s="570" t="str">
        <f>IF(AE1314&lt;&gt;0,VLOOKUP(AE1314,ODDS!$A$2:$C$13,3,0),"")</f>
        <v/>
      </c>
      <c r="AH1314" s="570" t="str">
        <f t="shared" si="286"/>
        <v xml:space="preserve"> </v>
      </c>
      <c r="AI1314" s="571" t="str">
        <f t="shared" si="284"/>
        <v xml:space="preserve"> </v>
      </c>
      <c r="AJ1314" s="558" t="s">
        <v>2826</v>
      </c>
      <c r="AK1314" s="558" t="s">
        <v>2800</v>
      </c>
    </row>
    <row r="1315" spans="1:37" s="385" customFormat="1" ht="101.25" outlineLevel="2" x14ac:dyDescent="0.3">
      <c r="A1315" s="447">
        <f t="shared" si="289"/>
        <v>105</v>
      </c>
      <c r="B1315" s="557"/>
      <c r="C1315" s="572"/>
      <c r="D1315" s="615"/>
      <c r="E1315" s="615"/>
      <c r="F1315" s="700"/>
      <c r="G1315" s="558"/>
      <c r="H1315" s="709"/>
      <c r="I1315" s="546"/>
      <c r="J1315" s="589"/>
      <c r="K1315" s="563" t="str">
        <f>IF(G1315&lt;&gt;0,VLOOKUP(G1315,'gia dat'!$A$1:$F$144,5,0)," ")</f>
        <v xml:space="preserve"> </v>
      </c>
      <c r="L1315" s="563" t="str">
        <f>IF(G1315&lt;&gt;0,VLOOKUP(G1315,'gia dat'!$A$1:$F$144,6,0)," ")</f>
        <v xml:space="preserve"> </v>
      </c>
      <c r="M1315" s="564" t="str">
        <f t="shared" si="279"/>
        <v xml:space="preserve"> </v>
      </c>
      <c r="N1315" s="564" t="str">
        <f t="shared" si="280"/>
        <v xml:space="preserve"> </v>
      </c>
      <c r="O1315" s="558" t="s">
        <v>350</v>
      </c>
      <c r="P1315" s="630">
        <v>15</v>
      </c>
      <c r="Q1315" s="564">
        <f>IF(O1315&lt;&gt;0,VLOOKUP(O1315,'Cây trong'!$A$2:$C$246,3,0)," ")</f>
        <v>72000</v>
      </c>
      <c r="R1315" s="564">
        <f t="shared" si="285"/>
        <v>1080000</v>
      </c>
      <c r="S1315" s="566" t="s">
        <v>1782</v>
      </c>
      <c r="T1315" s="609" t="s">
        <v>2804</v>
      </c>
      <c r="U1315" s="591">
        <v>220.5</v>
      </c>
      <c r="V1315" s="685"/>
      <c r="W1315" s="564"/>
      <c r="X1315" s="564">
        <f t="shared" si="276"/>
        <v>0</v>
      </c>
      <c r="Y1315" s="683"/>
      <c r="Z1315" s="683"/>
      <c r="AA1315" s="683"/>
      <c r="AB1315" s="694"/>
      <c r="AC1315" s="683"/>
      <c r="AD1315" s="683"/>
      <c r="AE1315" s="683"/>
      <c r="AF1315" s="590"/>
      <c r="AG1315" s="570" t="str">
        <f>IF(AE1315&lt;&gt;0,VLOOKUP(AE1315,ODDS!$A$2:$C$13,3,0),"")</f>
        <v/>
      </c>
      <c r="AH1315" s="570" t="str">
        <f t="shared" si="286"/>
        <v xml:space="preserve"> </v>
      </c>
      <c r="AI1315" s="571" t="str">
        <f t="shared" si="284"/>
        <v xml:space="preserve"> </v>
      </c>
      <c r="AJ1315" s="558" t="s">
        <v>964</v>
      </c>
      <c r="AK1315" s="558"/>
    </row>
    <row r="1316" spans="1:37" s="385" customFormat="1" ht="121.5" outlineLevel="2" x14ac:dyDescent="0.3">
      <c r="A1316" s="447">
        <f t="shared" si="289"/>
        <v>105</v>
      </c>
      <c r="B1316" s="557"/>
      <c r="C1316" s="572"/>
      <c r="D1316" s="615"/>
      <c r="E1316" s="615"/>
      <c r="F1316" s="700"/>
      <c r="G1316" s="558"/>
      <c r="H1316" s="709"/>
      <c r="I1316" s="546"/>
      <c r="J1316" s="710"/>
      <c r="K1316" s="563" t="str">
        <f>IF(G1316&lt;&gt;0,VLOOKUP(G1316,'gia dat'!$A$1:$F$144,5,0)," ")</f>
        <v xml:space="preserve"> </v>
      </c>
      <c r="L1316" s="563" t="str">
        <f>IF(G1316&lt;&gt;0,VLOOKUP(G1316,'gia dat'!$A$1:$F$144,6,0)," ")</f>
        <v xml:space="preserve"> </v>
      </c>
      <c r="M1316" s="564" t="str">
        <f t="shared" si="279"/>
        <v xml:space="preserve"> </v>
      </c>
      <c r="N1316" s="564" t="str">
        <f t="shared" si="280"/>
        <v xml:space="preserve"> </v>
      </c>
      <c r="O1316" s="558" t="s">
        <v>350</v>
      </c>
      <c r="P1316" s="630">
        <v>10</v>
      </c>
      <c r="Q1316" s="564">
        <f>IF(O1316&lt;&gt;0,VLOOKUP(O1316,'Cây trong'!$A$2:$C$246,3,0)," ")</f>
        <v>72000</v>
      </c>
      <c r="R1316" s="564">
        <f t="shared" si="285"/>
        <v>720000</v>
      </c>
      <c r="S1316" s="566" t="s">
        <v>1783</v>
      </c>
      <c r="T1316" s="609" t="s">
        <v>2804</v>
      </c>
      <c r="U1316" s="710">
        <v>2.4</v>
      </c>
      <c r="V1316" s="715"/>
      <c r="W1316" s="564"/>
      <c r="X1316" s="564">
        <f t="shared" si="276"/>
        <v>0</v>
      </c>
      <c r="Y1316" s="683"/>
      <c r="Z1316" s="683"/>
      <c r="AA1316" s="683"/>
      <c r="AB1316" s="694"/>
      <c r="AC1316" s="683"/>
      <c r="AD1316" s="683"/>
      <c r="AE1316" s="683"/>
      <c r="AF1316" s="590"/>
      <c r="AG1316" s="570" t="str">
        <f>IF(AE1316&lt;&gt;0,VLOOKUP(AE1316,ODDS!$A$2:$C$13,3,0),"")</f>
        <v/>
      </c>
      <c r="AH1316" s="570" t="str">
        <f t="shared" si="286"/>
        <v xml:space="preserve"> </v>
      </c>
      <c r="AI1316" s="571" t="str">
        <f t="shared" si="284"/>
        <v xml:space="preserve"> </v>
      </c>
      <c r="AJ1316" s="558" t="s">
        <v>965</v>
      </c>
      <c r="AK1316" s="558"/>
    </row>
    <row r="1317" spans="1:37" s="385" customFormat="1" ht="101.25" outlineLevel="2" x14ac:dyDescent="0.3">
      <c r="A1317" s="447">
        <f t="shared" si="289"/>
        <v>105</v>
      </c>
      <c r="B1317" s="557"/>
      <c r="C1317" s="572"/>
      <c r="D1317" s="703"/>
      <c r="E1317" s="615"/>
      <c r="F1317" s="700"/>
      <c r="G1317" s="558"/>
      <c r="H1317" s="702"/>
      <c r="I1317" s="546"/>
      <c r="J1317" s="710"/>
      <c r="K1317" s="563" t="str">
        <f>IF(G1317&lt;&gt;0,VLOOKUP(G1317,'gia dat'!$A$1:$F$144,5,0)," ")</f>
        <v xml:space="preserve"> </v>
      </c>
      <c r="L1317" s="563" t="str">
        <f>IF(G1317&lt;&gt;0,VLOOKUP(G1317,'gia dat'!$A$1:$F$144,6,0)," ")</f>
        <v xml:space="preserve"> </v>
      </c>
      <c r="M1317" s="564" t="str">
        <f t="shared" si="279"/>
        <v xml:space="preserve"> </v>
      </c>
      <c r="N1317" s="564" t="str">
        <f t="shared" si="280"/>
        <v xml:space="preserve"> </v>
      </c>
      <c r="O1317" s="586" t="s">
        <v>966</v>
      </c>
      <c r="P1317" s="630">
        <v>1</v>
      </c>
      <c r="Q1317" s="564">
        <f>IF(O1317&lt;&gt;0,VLOOKUP(O1317,'Cây trong'!$A$2:$C$246,3,0)," ")</f>
        <v>180000</v>
      </c>
      <c r="R1317" s="564">
        <f t="shared" si="285"/>
        <v>180000</v>
      </c>
      <c r="S1317" s="566" t="s">
        <v>1782</v>
      </c>
      <c r="T1317" s="609" t="s">
        <v>2804</v>
      </c>
      <c r="U1317" s="591">
        <v>157.29999999999998</v>
      </c>
      <c r="V1317" s="685"/>
      <c r="W1317" s="564"/>
      <c r="X1317" s="564">
        <f t="shared" si="276"/>
        <v>0</v>
      </c>
      <c r="Y1317" s="683"/>
      <c r="Z1317" s="683"/>
      <c r="AA1317" s="683"/>
      <c r="AB1317" s="694"/>
      <c r="AC1317" s="683"/>
      <c r="AD1317" s="683"/>
      <c r="AE1317" s="683"/>
      <c r="AF1317" s="590"/>
      <c r="AG1317" s="570" t="str">
        <f>IF(AE1317&lt;&gt;0,VLOOKUP(AE1317,ODDS!$A$2:$C$13,3,0),"")</f>
        <v/>
      </c>
      <c r="AH1317" s="570" t="str">
        <f t="shared" si="286"/>
        <v xml:space="preserve"> </v>
      </c>
      <c r="AI1317" s="571" t="str">
        <f t="shared" si="284"/>
        <v xml:space="preserve"> </v>
      </c>
      <c r="AJ1317" s="694" t="s">
        <v>2074</v>
      </c>
      <c r="AK1317" s="566"/>
    </row>
    <row r="1318" spans="1:37" s="385" customFormat="1" ht="121.5" outlineLevel="2" x14ac:dyDescent="0.3">
      <c r="A1318" s="447">
        <f t="shared" si="289"/>
        <v>105</v>
      </c>
      <c r="B1318" s="557"/>
      <c r="C1318" s="558"/>
      <c r="D1318" s="615"/>
      <c r="E1318" s="612"/>
      <c r="F1318" s="612"/>
      <c r="G1318" s="586"/>
      <c r="H1318" s="702"/>
      <c r="I1318" s="546"/>
      <c r="J1318" s="710"/>
      <c r="K1318" s="563" t="str">
        <f>IF(G1318&lt;&gt;0,VLOOKUP(G1318,'gia dat'!$A$1:$F$144,5,0)," ")</f>
        <v xml:space="preserve"> </v>
      </c>
      <c r="L1318" s="563" t="str">
        <f>IF(G1318&lt;&gt;0,VLOOKUP(G1318,'gia dat'!$A$1:$F$144,6,0)," ")</f>
        <v xml:space="preserve"> </v>
      </c>
      <c r="M1318" s="564" t="str">
        <f t="shared" si="279"/>
        <v xml:space="preserve"> </v>
      </c>
      <c r="N1318" s="564" t="str">
        <f t="shared" si="280"/>
        <v xml:space="preserve"> </v>
      </c>
      <c r="O1318" s="586" t="s">
        <v>79</v>
      </c>
      <c r="P1318" s="630">
        <v>3</v>
      </c>
      <c r="Q1318" s="564">
        <f>IF(O1318&lt;&gt;0,VLOOKUP(O1318,'Cây trong'!$A$2:$C$246,3,0)," ")</f>
        <v>1035000</v>
      </c>
      <c r="R1318" s="564">
        <f t="shared" si="285"/>
        <v>3105000</v>
      </c>
      <c r="S1318" s="566" t="s">
        <v>1784</v>
      </c>
      <c r="T1318" s="609" t="s">
        <v>2804</v>
      </c>
      <c r="U1318" s="710">
        <v>1.8</v>
      </c>
      <c r="V1318" s="715"/>
      <c r="W1318" s="564"/>
      <c r="X1318" s="564">
        <f t="shared" si="276"/>
        <v>0</v>
      </c>
      <c r="Y1318" s="683"/>
      <c r="Z1318" s="683"/>
      <c r="AA1318" s="683"/>
      <c r="AB1318" s="694"/>
      <c r="AC1318" s="683"/>
      <c r="AD1318" s="683"/>
      <c r="AE1318" s="683"/>
      <c r="AF1318" s="590"/>
      <c r="AG1318" s="570" t="str">
        <f>IF(AE1318&lt;&gt;0,VLOOKUP(AE1318,ODDS!$A$2:$C$13,3,0),"")</f>
        <v/>
      </c>
      <c r="AH1318" s="570" t="str">
        <f t="shared" si="286"/>
        <v xml:space="preserve"> </v>
      </c>
      <c r="AI1318" s="571" t="str">
        <f t="shared" si="284"/>
        <v xml:space="preserve"> </v>
      </c>
      <c r="AJ1318" s="704"/>
      <c r="AK1318" s="683"/>
    </row>
    <row r="1319" spans="1:37" s="385" customFormat="1" ht="101.25" outlineLevel="2" x14ac:dyDescent="0.3">
      <c r="A1319" s="447">
        <f t="shared" si="289"/>
        <v>105</v>
      </c>
      <c r="B1319" s="557"/>
      <c r="C1319" s="558"/>
      <c r="D1319" s="615"/>
      <c r="E1319" s="615"/>
      <c r="F1319" s="700"/>
      <c r="G1319" s="558"/>
      <c r="H1319" s="702"/>
      <c r="I1319" s="546"/>
      <c r="J1319" s="710"/>
      <c r="K1319" s="563" t="str">
        <f>IF(G1319&lt;&gt;0,VLOOKUP(G1319,'gia dat'!$A$1:$F$144,5,0)," ")</f>
        <v xml:space="preserve"> </v>
      </c>
      <c r="L1319" s="563" t="str">
        <f>IF(G1319&lt;&gt;0,VLOOKUP(G1319,'gia dat'!$A$1:$F$144,6,0)," ")</f>
        <v xml:space="preserve"> </v>
      </c>
      <c r="M1319" s="564" t="str">
        <f t="shared" si="279"/>
        <v xml:space="preserve"> </v>
      </c>
      <c r="N1319" s="564" t="str">
        <f t="shared" si="280"/>
        <v xml:space="preserve"> </v>
      </c>
      <c r="O1319" s="586" t="s">
        <v>67</v>
      </c>
      <c r="P1319" s="630">
        <v>2</v>
      </c>
      <c r="Q1319" s="564">
        <f>IF(O1319&lt;&gt;0,VLOOKUP(O1319,'Cây trong'!$A$2:$C$246,3,0)," ")</f>
        <v>494000</v>
      </c>
      <c r="R1319" s="564">
        <f t="shared" si="285"/>
        <v>988000</v>
      </c>
      <c r="S1319" s="566" t="s">
        <v>1782</v>
      </c>
      <c r="T1319" s="609" t="s">
        <v>2804</v>
      </c>
      <c r="U1319" s="591">
        <v>411.7</v>
      </c>
      <c r="V1319" s="685"/>
      <c r="W1319" s="564"/>
      <c r="X1319" s="564">
        <f t="shared" ref="X1319:X1388" si="290">IF(S1319&lt;&gt;0,ROUND(U1319*W1319,-3)," ")</f>
        <v>0</v>
      </c>
      <c r="Y1319" s="683"/>
      <c r="Z1319" s="683"/>
      <c r="AA1319" s="683"/>
      <c r="AB1319" s="694"/>
      <c r="AC1319" s="683"/>
      <c r="AD1319" s="683"/>
      <c r="AE1319" s="683"/>
      <c r="AF1319" s="590"/>
      <c r="AG1319" s="570" t="str">
        <f>IF(AE1319&lt;&gt;0,VLOOKUP(AE1319,ODDS!$A$2:$C$13,3,0),"")</f>
        <v/>
      </c>
      <c r="AH1319" s="570" t="str">
        <f t="shared" si="286"/>
        <v xml:space="preserve"> </v>
      </c>
      <c r="AI1319" s="571" t="str">
        <f t="shared" si="284"/>
        <v xml:space="preserve"> </v>
      </c>
      <c r="AJ1319" s="683"/>
      <c r="AK1319" s="683"/>
    </row>
    <row r="1320" spans="1:37" s="385" customFormat="1" ht="101.25" outlineLevel="2" x14ac:dyDescent="0.3">
      <c r="A1320" s="447">
        <f t="shared" si="289"/>
        <v>105</v>
      </c>
      <c r="B1320" s="557"/>
      <c r="C1320" s="558"/>
      <c r="D1320" s="615"/>
      <c r="E1320" s="615"/>
      <c r="F1320" s="700"/>
      <c r="G1320" s="558"/>
      <c r="H1320" s="702"/>
      <c r="I1320" s="546"/>
      <c r="J1320" s="710"/>
      <c r="K1320" s="563" t="str">
        <f>IF(G1320&lt;&gt;0,VLOOKUP(G1320,'gia dat'!$A$1:$F$144,5,0)," ")</f>
        <v xml:space="preserve"> </v>
      </c>
      <c r="L1320" s="563" t="str">
        <f>IF(G1320&lt;&gt;0,VLOOKUP(G1320,'gia dat'!$A$1:$F$144,6,0)," ")</f>
        <v xml:space="preserve"> </v>
      </c>
      <c r="M1320" s="564" t="str">
        <f t="shared" si="279"/>
        <v xml:space="preserve"> </v>
      </c>
      <c r="N1320" s="564" t="str">
        <f t="shared" si="280"/>
        <v xml:space="preserve"> </v>
      </c>
      <c r="O1320" s="586" t="s">
        <v>400</v>
      </c>
      <c r="P1320" s="630">
        <v>10</v>
      </c>
      <c r="Q1320" s="564">
        <f>IF(O1320&lt;&gt;0,VLOOKUP(O1320,'Cây trong'!$A$2:$C$246,3,0)," ")</f>
        <v>228000</v>
      </c>
      <c r="R1320" s="564">
        <f t="shared" si="285"/>
        <v>2280000</v>
      </c>
      <c r="S1320" s="566" t="s">
        <v>1785</v>
      </c>
      <c r="T1320" s="609" t="s">
        <v>2804</v>
      </c>
      <c r="U1320" s="710">
        <f>2.9</f>
        <v>2.9</v>
      </c>
      <c r="V1320" s="715"/>
      <c r="W1320" s="564"/>
      <c r="X1320" s="564">
        <f t="shared" si="290"/>
        <v>0</v>
      </c>
      <c r="Y1320" s="683"/>
      <c r="Z1320" s="683"/>
      <c r="AA1320" s="683"/>
      <c r="AB1320" s="694"/>
      <c r="AC1320" s="683"/>
      <c r="AD1320" s="683"/>
      <c r="AE1320" s="683"/>
      <c r="AF1320" s="590"/>
      <c r="AG1320" s="570" t="str">
        <f>IF(AE1320&lt;&gt;0,VLOOKUP(AE1320,ODDS!$A$2:$C$13,3,0),"")</f>
        <v/>
      </c>
      <c r="AH1320" s="570" t="str">
        <f t="shared" si="286"/>
        <v xml:space="preserve"> </v>
      </c>
      <c r="AI1320" s="571" t="str">
        <f t="shared" si="284"/>
        <v xml:space="preserve"> </v>
      </c>
      <c r="AJ1320" s="683"/>
      <c r="AK1320" s="683"/>
    </row>
    <row r="1321" spans="1:37" s="385" customFormat="1" ht="81" outlineLevel="2" x14ac:dyDescent="0.3">
      <c r="A1321" s="447">
        <f t="shared" si="289"/>
        <v>105</v>
      </c>
      <c r="B1321" s="557"/>
      <c r="C1321" s="558"/>
      <c r="D1321" s="615"/>
      <c r="E1321" s="615"/>
      <c r="F1321" s="700"/>
      <c r="G1321" s="558"/>
      <c r="H1321" s="702"/>
      <c r="I1321" s="546"/>
      <c r="J1321" s="710"/>
      <c r="K1321" s="563" t="str">
        <f>IF(G1321&lt;&gt;0,VLOOKUP(G1321,'gia dat'!$A$1:$F$144,5,0)," ")</f>
        <v xml:space="preserve"> </v>
      </c>
      <c r="L1321" s="563" t="str">
        <f>IF(G1321&lt;&gt;0,VLOOKUP(G1321,'gia dat'!$A$1:$F$144,6,0)," ")</f>
        <v xml:space="preserve"> </v>
      </c>
      <c r="M1321" s="564" t="str">
        <f t="shared" si="279"/>
        <v xml:space="preserve"> </v>
      </c>
      <c r="N1321" s="564" t="str">
        <f t="shared" si="280"/>
        <v xml:space="preserve"> </v>
      </c>
      <c r="O1321" s="586" t="s">
        <v>401</v>
      </c>
      <c r="P1321" s="630">
        <v>16</v>
      </c>
      <c r="Q1321" s="564">
        <f>IF(O1321&lt;&gt;0,VLOOKUP(O1321,'Cây trong'!$A$2:$C$246,3,0)," ")</f>
        <v>80000</v>
      </c>
      <c r="R1321" s="564">
        <f t="shared" si="285"/>
        <v>1280000</v>
      </c>
      <c r="S1321" s="566" t="s">
        <v>1786</v>
      </c>
      <c r="T1321" s="609" t="s">
        <v>2804</v>
      </c>
      <c r="U1321" s="591">
        <v>339.79999999999995</v>
      </c>
      <c r="V1321" s="685"/>
      <c r="W1321" s="564"/>
      <c r="X1321" s="564">
        <f t="shared" si="290"/>
        <v>0</v>
      </c>
      <c r="Y1321" s="683"/>
      <c r="Z1321" s="683"/>
      <c r="AA1321" s="683"/>
      <c r="AB1321" s="694"/>
      <c r="AC1321" s="683"/>
      <c r="AD1321" s="683"/>
      <c r="AE1321" s="683"/>
      <c r="AF1321" s="590"/>
      <c r="AG1321" s="570" t="str">
        <f>IF(AE1321&lt;&gt;0,VLOOKUP(AE1321,ODDS!$A$2:$C$13,3,0),"")</f>
        <v/>
      </c>
      <c r="AH1321" s="570" t="str">
        <f t="shared" si="286"/>
        <v xml:space="preserve"> </v>
      </c>
      <c r="AI1321" s="571" t="str">
        <f t="shared" si="284"/>
        <v xml:space="preserve"> </v>
      </c>
      <c r="AJ1321" s="683"/>
      <c r="AK1321" s="683"/>
    </row>
    <row r="1322" spans="1:37" s="385" customFormat="1" ht="101.25" outlineLevel="2" x14ac:dyDescent="0.3">
      <c r="A1322" s="447">
        <f t="shared" si="289"/>
        <v>105</v>
      </c>
      <c r="B1322" s="557"/>
      <c r="C1322" s="558"/>
      <c r="D1322" s="615"/>
      <c r="E1322" s="615"/>
      <c r="F1322" s="700"/>
      <c r="G1322" s="558"/>
      <c r="H1322" s="702"/>
      <c r="I1322" s="546"/>
      <c r="J1322" s="710"/>
      <c r="K1322" s="563" t="str">
        <f>IF(G1322&lt;&gt;0,VLOOKUP(G1322,'gia dat'!$A$1:$F$144,5,0)," ")</f>
        <v xml:space="preserve"> </v>
      </c>
      <c r="L1322" s="563" t="str">
        <f>IF(G1322&lt;&gt;0,VLOOKUP(G1322,'gia dat'!$A$1:$F$144,6,0)," ")</f>
        <v xml:space="preserve"> </v>
      </c>
      <c r="M1322" s="564" t="str">
        <f t="shared" si="279"/>
        <v xml:space="preserve"> </v>
      </c>
      <c r="N1322" s="564" t="str">
        <f t="shared" si="280"/>
        <v xml:space="preserve"> </v>
      </c>
      <c r="O1322" s="586" t="s">
        <v>401</v>
      </c>
      <c r="P1322" s="630">
        <v>4</v>
      </c>
      <c r="Q1322" s="564">
        <f>IF(O1322&lt;&gt;0,VLOOKUP(O1322,'Cây trong'!$A$2:$C$246,3,0)," ")</f>
        <v>80000</v>
      </c>
      <c r="R1322" s="564">
        <f t="shared" si="285"/>
        <v>320000</v>
      </c>
      <c r="S1322" s="566" t="s">
        <v>1787</v>
      </c>
      <c r="T1322" s="609" t="s">
        <v>2804</v>
      </c>
      <c r="U1322" s="710">
        <f>3.2</f>
        <v>3.2</v>
      </c>
      <c r="V1322" s="715"/>
      <c r="W1322" s="564"/>
      <c r="X1322" s="564">
        <f t="shared" si="290"/>
        <v>0</v>
      </c>
      <c r="Y1322" s="683"/>
      <c r="Z1322" s="683"/>
      <c r="AA1322" s="683"/>
      <c r="AB1322" s="694"/>
      <c r="AC1322" s="683"/>
      <c r="AD1322" s="683"/>
      <c r="AE1322" s="683"/>
      <c r="AF1322" s="590"/>
      <c r="AG1322" s="570" t="str">
        <f>IF(AE1322&lt;&gt;0,VLOOKUP(AE1322,ODDS!$A$2:$C$13,3,0),"")</f>
        <v/>
      </c>
      <c r="AH1322" s="570" t="str">
        <f t="shared" si="286"/>
        <v xml:space="preserve"> </v>
      </c>
      <c r="AI1322" s="571" t="str">
        <f t="shared" si="284"/>
        <v xml:space="preserve"> </v>
      </c>
      <c r="AJ1322" s="683"/>
      <c r="AK1322" s="683"/>
    </row>
    <row r="1323" spans="1:37" s="385" customFormat="1" ht="81" outlineLevel="2" x14ac:dyDescent="0.3">
      <c r="A1323" s="447">
        <f t="shared" si="289"/>
        <v>105</v>
      </c>
      <c r="B1323" s="557"/>
      <c r="C1323" s="558"/>
      <c r="D1323" s="615"/>
      <c r="E1323" s="615"/>
      <c r="F1323" s="700"/>
      <c r="G1323" s="558"/>
      <c r="H1323" s="702"/>
      <c r="I1323" s="546"/>
      <c r="J1323" s="710"/>
      <c r="K1323" s="563" t="str">
        <f>IF(G1323&lt;&gt;0,VLOOKUP(G1323,'gia dat'!$A$1:$F$144,5,0)," ")</f>
        <v xml:space="preserve"> </v>
      </c>
      <c r="L1323" s="563" t="str">
        <f>IF(G1323&lt;&gt;0,VLOOKUP(G1323,'gia dat'!$A$1:$F$144,6,0)," ")</f>
        <v xml:space="preserve"> </v>
      </c>
      <c r="M1323" s="564" t="str">
        <f t="shared" si="279"/>
        <v xml:space="preserve"> </v>
      </c>
      <c r="N1323" s="564" t="str">
        <f t="shared" si="280"/>
        <v xml:space="preserve"> </v>
      </c>
      <c r="O1323" s="586"/>
      <c r="P1323" s="630"/>
      <c r="Q1323" s="564" t="str">
        <f>IF(O1323&lt;&gt;0,VLOOKUP(O1323,'Cây trong'!$A$2:$C$246,3,0)," ")</f>
        <v xml:space="preserve"> </v>
      </c>
      <c r="R1323" s="564" t="str">
        <f t="shared" si="285"/>
        <v xml:space="preserve"> </v>
      </c>
      <c r="S1323" s="566" t="s">
        <v>1788</v>
      </c>
      <c r="T1323" s="609" t="s">
        <v>2804</v>
      </c>
      <c r="U1323" s="710">
        <f>2.9</f>
        <v>2.9</v>
      </c>
      <c r="V1323" s="715"/>
      <c r="W1323" s="564"/>
      <c r="X1323" s="564">
        <f t="shared" si="290"/>
        <v>0</v>
      </c>
      <c r="Y1323" s="683"/>
      <c r="Z1323" s="683"/>
      <c r="AA1323" s="683"/>
      <c r="AB1323" s="694"/>
      <c r="AC1323" s="683"/>
      <c r="AD1323" s="683"/>
      <c r="AE1323" s="683"/>
      <c r="AF1323" s="590"/>
      <c r="AG1323" s="570" t="str">
        <f>IF(AE1323&lt;&gt;0,VLOOKUP(AE1323,ODDS!$A$2:$C$13,3,0),"")</f>
        <v/>
      </c>
      <c r="AH1323" s="570" t="str">
        <f t="shared" si="286"/>
        <v xml:space="preserve"> </v>
      </c>
      <c r="AI1323" s="571" t="str">
        <f t="shared" si="284"/>
        <v xml:space="preserve"> </v>
      </c>
      <c r="AJ1323" s="683"/>
      <c r="AK1323" s="683"/>
    </row>
    <row r="1324" spans="1:37" s="385" customFormat="1" ht="81" outlineLevel="2" x14ac:dyDescent="0.3">
      <c r="A1324" s="447">
        <f t="shared" si="289"/>
        <v>105</v>
      </c>
      <c r="B1324" s="557"/>
      <c r="C1324" s="558"/>
      <c r="D1324" s="615"/>
      <c r="E1324" s="615"/>
      <c r="F1324" s="700"/>
      <c r="G1324" s="558"/>
      <c r="H1324" s="702"/>
      <c r="I1324" s="546"/>
      <c r="J1324" s="710"/>
      <c r="K1324" s="563" t="str">
        <f>IF(G1324&lt;&gt;0,VLOOKUP(G1324,'gia dat'!$A$1:$F$144,5,0)," ")</f>
        <v xml:space="preserve"> </v>
      </c>
      <c r="L1324" s="563" t="str">
        <f>IF(G1324&lt;&gt;0,VLOOKUP(G1324,'gia dat'!$A$1:$F$144,6,0)," ")</f>
        <v xml:space="preserve"> </v>
      </c>
      <c r="M1324" s="564" t="str">
        <f t="shared" si="279"/>
        <v xml:space="preserve"> </v>
      </c>
      <c r="N1324" s="564" t="str">
        <f t="shared" si="280"/>
        <v xml:space="preserve"> </v>
      </c>
      <c r="O1324" s="586"/>
      <c r="P1324" s="630"/>
      <c r="Q1324" s="564" t="str">
        <f>IF(O1324&lt;&gt;0,VLOOKUP(O1324,'Cây trong'!$A$2:$C$246,3,0)," ")</f>
        <v xml:space="preserve"> </v>
      </c>
      <c r="R1324" s="564" t="str">
        <f t="shared" si="285"/>
        <v xml:space="preserve"> </v>
      </c>
      <c r="S1324" s="566" t="s">
        <v>1786</v>
      </c>
      <c r="T1324" s="609" t="s">
        <v>2804</v>
      </c>
      <c r="U1324" s="591">
        <v>47.2</v>
      </c>
      <c r="V1324" s="685"/>
      <c r="W1324" s="564"/>
      <c r="X1324" s="564">
        <f t="shared" si="290"/>
        <v>0</v>
      </c>
      <c r="Y1324" s="683"/>
      <c r="Z1324" s="683"/>
      <c r="AA1324" s="683"/>
      <c r="AB1324" s="694"/>
      <c r="AC1324" s="683"/>
      <c r="AD1324" s="683"/>
      <c r="AE1324" s="683"/>
      <c r="AF1324" s="590"/>
      <c r="AG1324" s="570" t="str">
        <f>IF(AE1324&lt;&gt;0,VLOOKUP(AE1324,ODDS!$A$2:$C$13,3,0),"")</f>
        <v/>
      </c>
      <c r="AH1324" s="570" t="str">
        <f t="shared" si="286"/>
        <v xml:space="preserve"> </v>
      </c>
      <c r="AI1324" s="571" t="str">
        <f t="shared" si="284"/>
        <v xml:space="preserve"> </v>
      </c>
      <c r="AJ1324" s="683"/>
      <c r="AK1324" s="683"/>
    </row>
    <row r="1325" spans="1:37" s="385" customFormat="1" ht="81" outlineLevel="2" x14ac:dyDescent="0.3">
      <c r="A1325" s="447">
        <f t="shared" si="289"/>
        <v>105</v>
      </c>
      <c r="B1325" s="557"/>
      <c r="C1325" s="558"/>
      <c r="D1325" s="615"/>
      <c r="E1325" s="615"/>
      <c r="F1325" s="700"/>
      <c r="G1325" s="558"/>
      <c r="H1325" s="702"/>
      <c r="I1325" s="546"/>
      <c r="J1325" s="710"/>
      <c r="K1325" s="563" t="str">
        <f>IF(G1325&lt;&gt;0,VLOOKUP(G1325,'gia dat'!$A$1:$F$144,5,0)," ")</f>
        <v xml:space="preserve"> </v>
      </c>
      <c r="L1325" s="563" t="str">
        <f>IF(G1325&lt;&gt;0,VLOOKUP(G1325,'gia dat'!$A$1:$F$144,6,0)," ")</f>
        <v xml:space="preserve"> </v>
      </c>
      <c r="M1325" s="564" t="str">
        <f t="shared" si="279"/>
        <v xml:space="preserve"> </v>
      </c>
      <c r="N1325" s="564" t="str">
        <f t="shared" si="280"/>
        <v xml:space="preserve"> </v>
      </c>
      <c r="O1325" s="586"/>
      <c r="P1325" s="630"/>
      <c r="Q1325" s="564" t="str">
        <f>IF(O1325&lt;&gt;0,VLOOKUP(O1325,'Cây trong'!$A$2:$C$246,3,0)," ")</f>
        <v xml:space="preserve"> </v>
      </c>
      <c r="R1325" s="564" t="str">
        <f t="shared" si="285"/>
        <v xml:space="preserve"> </v>
      </c>
      <c r="S1325" s="566" t="s">
        <v>1790</v>
      </c>
      <c r="T1325" s="609" t="s">
        <v>2804</v>
      </c>
      <c r="U1325" s="710">
        <f>3.4</f>
        <v>3.4</v>
      </c>
      <c r="V1325" s="715"/>
      <c r="W1325" s="564"/>
      <c r="X1325" s="564">
        <f t="shared" si="290"/>
        <v>0</v>
      </c>
      <c r="Y1325" s="683"/>
      <c r="Z1325" s="683"/>
      <c r="AA1325" s="683"/>
      <c r="AB1325" s="694"/>
      <c r="AC1325" s="683"/>
      <c r="AD1325" s="683"/>
      <c r="AE1325" s="683"/>
      <c r="AF1325" s="590"/>
      <c r="AG1325" s="570" t="str">
        <f>IF(AE1325&lt;&gt;0,VLOOKUP(AE1325,ODDS!$A$2:$C$13,3,0),"")</f>
        <v/>
      </c>
      <c r="AH1325" s="570" t="str">
        <f t="shared" si="286"/>
        <v xml:space="preserve"> </v>
      </c>
      <c r="AI1325" s="571" t="str">
        <f t="shared" si="284"/>
        <v xml:space="preserve"> </v>
      </c>
      <c r="AJ1325" s="683"/>
      <c r="AK1325" s="683"/>
    </row>
    <row r="1326" spans="1:37" s="385" customFormat="1" ht="81" outlineLevel="2" x14ac:dyDescent="0.3">
      <c r="A1326" s="447">
        <f t="shared" si="289"/>
        <v>105</v>
      </c>
      <c r="B1326" s="557"/>
      <c r="C1326" s="558"/>
      <c r="D1326" s="615"/>
      <c r="E1326" s="615"/>
      <c r="F1326" s="700"/>
      <c r="G1326" s="558"/>
      <c r="H1326" s="702"/>
      <c r="I1326" s="546"/>
      <c r="J1326" s="710"/>
      <c r="K1326" s="563" t="str">
        <f>IF(G1326&lt;&gt;0,VLOOKUP(G1326,'gia dat'!$A$1:$F$144,5,0)," ")</f>
        <v xml:space="preserve"> </v>
      </c>
      <c r="L1326" s="563" t="str">
        <f>IF(G1326&lt;&gt;0,VLOOKUP(G1326,'gia dat'!$A$1:$F$144,6,0)," ")</f>
        <v xml:space="preserve"> </v>
      </c>
      <c r="M1326" s="564" t="str">
        <f t="shared" si="279"/>
        <v xml:space="preserve"> </v>
      </c>
      <c r="N1326" s="564" t="str">
        <f t="shared" si="280"/>
        <v xml:space="preserve"> </v>
      </c>
      <c r="O1326" s="586"/>
      <c r="P1326" s="630"/>
      <c r="Q1326" s="564" t="str">
        <f>IF(O1326&lt;&gt;0,VLOOKUP(O1326,'Cây trong'!$A$2:$C$246,3,0)," ")</f>
        <v xml:space="preserve"> </v>
      </c>
      <c r="R1326" s="564" t="str">
        <f t="shared" si="285"/>
        <v xml:space="preserve"> </v>
      </c>
      <c r="S1326" s="566" t="s">
        <v>1791</v>
      </c>
      <c r="T1326" s="609" t="s">
        <v>2804</v>
      </c>
      <c r="U1326" s="710">
        <v>326.39999999999998</v>
      </c>
      <c r="V1326" s="715"/>
      <c r="W1326" s="564"/>
      <c r="X1326" s="564">
        <f t="shared" si="290"/>
        <v>0</v>
      </c>
      <c r="Y1326" s="683"/>
      <c r="Z1326" s="683"/>
      <c r="AA1326" s="683"/>
      <c r="AB1326" s="694"/>
      <c r="AC1326" s="683"/>
      <c r="AD1326" s="683"/>
      <c r="AE1326" s="683"/>
      <c r="AF1326" s="590"/>
      <c r="AG1326" s="570" t="str">
        <f>IF(AE1326&lt;&gt;0,VLOOKUP(AE1326,ODDS!$A$2:$C$13,3,0),"")</f>
        <v/>
      </c>
      <c r="AH1326" s="570" t="str">
        <f t="shared" si="286"/>
        <v xml:space="preserve"> </v>
      </c>
      <c r="AI1326" s="571" t="str">
        <f t="shared" si="284"/>
        <v xml:space="preserve"> </v>
      </c>
      <c r="AJ1326" s="683"/>
      <c r="AK1326" s="683"/>
    </row>
    <row r="1327" spans="1:37" s="385" customFormat="1" ht="81" outlineLevel="2" x14ac:dyDescent="0.3">
      <c r="A1327" s="447">
        <f t="shared" si="289"/>
        <v>105</v>
      </c>
      <c r="B1327" s="557"/>
      <c r="C1327" s="558"/>
      <c r="D1327" s="615"/>
      <c r="E1327" s="615"/>
      <c r="F1327" s="700"/>
      <c r="G1327" s="558"/>
      <c r="H1327" s="702"/>
      <c r="I1327" s="546"/>
      <c r="J1327" s="710"/>
      <c r="K1327" s="563" t="str">
        <f>IF(G1327&lt;&gt;0,VLOOKUP(G1327,'gia dat'!$A$1:$F$144,5,0)," ")</f>
        <v xml:space="preserve"> </v>
      </c>
      <c r="L1327" s="563" t="str">
        <f>IF(G1327&lt;&gt;0,VLOOKUP(G1327,'gia dat'!$A$1:$F$144,6,0)," ")</f>
        <v xml:space="preserve"> </v>
      </c>
      <c r="M1327" s="564" t="str">
        <f t="shared" si="279"/>
        <v xml:space="preserve"> </v>
      </c>
      <c r="N1327" s="564" t="str">
        <f t="shared" si="280"/>
        <v xml:space="preserve"> </v>
      </c>
      <c r="O1327" s="586"/>
      <c r="P1327" s="630"/>
      <c r="Q1327" s="564" t="str">
        <f>IF(O1327&lt;&gt;0,VLOOKUP(O1327,'Cây trong'!$A$2:$C$246,3,0)," ")</f>
        <v xml:space="preserve"> </v>
      </c>
      <c r="R1327" s="564" t="str">
        <f t="shared" si="285"/>
        <v xml:space="preserve"> </v>
      </c>
      <c r="S1327" s="566" t="s">
        <v>1792</v>
      </c>
      <c r="T1327" s="609" t="s">
        <v>2804</v>
      </c>
      <c r="U1327" s="710">
        <v>375.2</v>
      </c>
      <c r="V1327" s="715"/>
      <c r="W1327" s="564"/>
      <c r="X1327" s="564">
        <f t="shared" si="290"/>
        <v>0</v>
      </c>
      <c r="Y1327" s="683"/>
      <c r="Z1327" s="683"/>
      <c r="AA1327" s="683"/>
      <c r="AB1327" s="694"/>
      <c r="AC1327" s="683"/>
      <c r="AD1327" s="683"/>
      <c r="AE1327" s="683"/>
      <c r="AF1327" s="590"/>
      <c r="AG1327" s="570" t="str">
        <f>IF(AE1327&lt;&gt;0,VLOOKUP(AE1327,ODDS!$A$2:$C$13,3,0),"")</f>
        <v/>
      </c>
      <c r="AH1327" s="570" t="str">
        <f t="shared" si="286"/>
        <v xml:space="preserve"> </v>
      </c>
      <c r="AI1327" s="571" t="str">
        <f t="shared" si="284"/>
        <v xml:space="preserve"> </v>
      </c>
      <c r="AJ1327" s="683"/>
      <c r="AK1327" s="683"/>
    </row>
    <row r="1328" spans="1:37" s="385" customFormat="1" ht="60.75" outlineLevel="2" x14ac:dyDescent="0.3">
      <c r="A1328" s="447">
        <f t="shared" si="289"/>
        <v>105</v>
      </c>
      <c r="B1328" s="557"/>
      <c r="C1328" s="558"/>
      <c r="D1328" s="615"/>
      <c r="E1328" s="615"/>
      <c r="F1328" s="700"/>
      <c r="G1328" s="558"/>
      <c r="H1328" s="702"/>
      <c r="I1328" s="546"/>
      <c r="J1328" s="710"/>
      <c r="K1328" s="563" t="str">
        <f>IF(G1328&lt;&gt;0,VLOOKUP(G1328,'gia dat'!$A$1:$F$144,5,0)," ")</f>
        <v xml:space="preserve"> </v>
      </c>
      <c r="L1328" s="563" t="str">
        <f>IF(G1328&lt;&gt;0,VLOOKUP(G1328,'gia dat'!$A$1:$F$144,6,0)," ")</f>
        <v xml:space="preserve"> </v>
      </c>
      <c r="M1328" s="564" t="str">
        <f t="shared" si="279"/>
        <v xml:space="preserve"> </v>
      </c>
      <c r="N1328" s="564" t="str">
        <f t="shared" si="280"/>
        <v xml:space="preserve"> </v>
      </c>
      <c r="O1328" s="586"/>
      <c r="P1328" s="630"/>
      <c r="Q1328" s="564" t="str">
        <f>IF(O1328&lt;&gt;0,VLOOKUP(O1328,'Cây trong'!$A$2:$C$246,3,0)," ")</f>
        <v xml:space="preserve"> </v>
      </c>
      <c r="R1328" s="564" t="str">
        <f t="shared" si="285"/>
        <v xml:space="preserve"> </v>
      </c>
      <c r="S1328" s="566" t="s">
        <v>1793</v>
      </c>
      <c r="T1328" s="609" t="s">
        <v>2827</v>
      </c>
      <c r="U1328" s="710">
        <v>3.8</v>
      </c>
      <c r="V1328" s="715"/>
      <c r="W1328" s="564"/>
      <c r="X1328" s="564">
        <f t="shared" si="290"/>
        <v>0</v>
      </c>
      <c r="Y1328" s="683"/>
      <c r="Z1328" s="683"/>
      <c r="AA1328" s="683"/>
      <c r="AB1328" s="694"/>
      <c r="AC1328" s="683"/>
      <c r="AD1328" s="683"/>
      <c r="AE1328" s="683"/>
      <c r="AF1328" s="590"/>
      <c r="AG1328" s="570" t="str">
        <f>IF(AE1328&lt;&gt;0,VLOOKUP(AE1328,ODDS!$A$2:$C$13,3,0),"")</f>
        <v/>
      </c>
      <c r="AH1328" s="570" t="str">
        <f t="shared" si="286"/>
        <v xml:space="preserve"> </v>
      </c>
      <c r="AI1328" s="571" t="str">
        <f t="shared" si="284"/>
        <v xml:space="preserve"> </v>
      </c>
      <c r="AJ1328" s="683"/>
      <c r="AK1328" s="683"/>
    </row>
    <row r="1329" spans="1:37" s="385" customFormat="1" ht="60.75" outlineLevel="2" x14ac:dyDescent="0.3">
      <c r="A1329" s="447">
        <f t="shared" si="289"/>
        <v>105</v>
      </c>
      <c r="B1329" s="557"/>
      <c r="C1329" s="558"/>
      <c r="D1329" s="615"/>
      <c r="E1329" s="615"/>
      <c r="F1329" s="700"/>
      <c r="G1329" s="558"/>
      <c r="H1329" s="702"/>
      <c r="I1329" s="546"/>
      <c r="J1329" s="710"/>
      <c r="K1329" s="563" t="str">
        <f>IF(G1329&lt;&gt;0,VLOOKUP(G1329,'gia dat'!$A$1:$F$144,5,0)," ")</f>
        <v xml:space="preserve"> </v>
      </c>
      <c r="L1329" s="563" t="str">
        <f>IF(G1329&lt;&gt;0,VLOOKUP(G1329,'gia dat'!$A$1:$F$144,6,0)," ")</f>
        <v xml:space="preserve"> </v>
      </c>
      <c r="M1329" s="564" t="str">
        <f t="shared" si="279"/>
        <v xml:space="preserve"> </v>
      </c>
      <c r="N1329" s="564" t="str">
        <f t="shared" si="280"/>
        <v xml:space="preserve"> </v>
      </c>
      <c r="O1329" s="586"/>
      <c r="P1329" s="630"/>
      <c r="Q1329" s="564" t="str">
        <f>IF(O1329&lt;&gt;0,VLOOKUP(O1329,'Cây trong'!$A$2:$C$246,3,0)," ")</f>
        <v xml:space="preserve"> </v>
      </c>
      <c r="R1329" s="564" t="str">
        <f t="shared" si="285"/>
        <v xml:space="preserve"> </v>
      </c>
      <c r="S1329" s="566" t="s">
        <v>1794</v>
      </c>
      <c r="T1329" s="609" t="s">
        <v>2828</v>
      </c>
      <c r="U1329" s="710">
        <v>4.8</v>
      </c>
      <c r="V1329" s="715"/>
      <c r="W1329" s="564"/>
      <c r="X1329" s="564">
        <f t="shared" si="290"/>
        <v>0</v>
      </c>
      <c r="Y1329" s="683"/>
      <c r="Z1329" s="683"/>
      <c r="AA1329" s="683"/>
      <c r="AB1329" s="694"/>
      <c r="AC1329" s="683"/>
      <c r="AD1329" s="683"/>
      <c r="AE1329" s="683"/>
      <c r="AF1329" s="590"/>
      <c r="AG1329" s="570" t="str">
        <f>IF(AE1329&lt;&gt;0,VLOOKUP(AE1329,ODDS!$A$2:$C$13,3,0),"")</f>
        <v/>
      </c>
      <c r="AH1329" s="570" t="str">
        <f t="shared" si="286"/>
        <v xml:space="preserve"> </v>
      </c>
      <c r="AI1329" s="571" t="str">
        <f t="shared" si="284"/>
        <v xml:space="preserve"> </v>
      </c>
      <c r="AJ1329" s="683"/>
      <c r="AK1329" s="683"/>
    </row>
    <row r="1330" spans="1:37" s="385" customFormat="1" ht="81" outlineLevel="2" x14ac:dyDescent="0.3">
      <c r="A1330" s="447">
        <f t="shared" si="289"/>
        <v>105</v>
      </c>
      <c r="B1330" s="557"/>
      <c r="C1330" s="558"/>
      <c r="D1330" s="615"/>
      <c r="E1330" s="615"/>
      <c r="F1330" s="700"/>
      <c r="G1330" s="558"/>
      <c r="H1330" s="702"/>
      <c r="I1330" s="546"/>
      <c r="J1330" s="710"/>
      <c r="K1330" s="563" t="str">
        <f>IF(G1330&lt;&gt;0,VLOOKUP(G1330,'gia dat'!$A$1:$F$144,5,0)," ")</f>
        <v xml:space="preserve"> </v>
      </c>
      <c r="L1330" s="563" t="str">
        <f>IF(G1330&lt;&gt;0,VLOOKUP(G1330,'gia dat'!$A$1:$F$144,6,0)," ")</f>
        <v xml:space="preserve"> </v>
      </c>
      <c r="M1330" s="564" t="str">
        <f t="shared" ref="M1330:M1399" si="291">IF(H1330&lt;&gt;0,ROUND(H1330*K1330,-3)," ")</f>
        <v xml:space="preserve"> </v>
      </c>
      <c r="N1330" s="564" t="str">
        <f t="shared" ref="N1330:N1399" si="292">IF(H1330&lt;&gt;0,ROUND(H1330*L1330,-3)," ")</f>
        <v xml:space="preserve"> </v>
      </c>
      <c r="O1330" s="586"/>
      <c r="P1330" s="630"/>
      <c r="Q1330" s="564" t="str">
        <f>IF(O1330&lt;&gt;0,VLOOKUP(O1330,'Cây trong'!$A$2:$C$246,3,0)," ")</f>
        <v xml:space="preserve"> </v>
      </c>
      <c r="R1330" s="564" t="str">
        <f t="shared" si="285"/>
        <v xml:space="preserve"> </v>
      </c>
      <c r="S1330" s="566" t="s">
        <v>1795</v>
      </c>
      <c r="T1330" s="609" t="s">
        <v>2804</v>
      </c>
      <c r="U1330" s="710">
        <v>27.2</v>
      </c>
      <c r="V1330" s="715"/>
      <c r="W1330" s="564"/>
      <c r="X1330" s="564">
        <f t="shared" si="290"/>
        <v>0</v>
      </c>
      <c r="Y1330" s="683"/>
      <c r="Z1330" s="683"/>
      <c r="AA1330" s="683"/>
      <c r="AB1330" s="694"/>
      <c r="AC1330" s="683"/>
      <c r="AD1330" s="683"/>
      <c r="AE1330" s="683"/>
      <c r="AF1330" s="590"/>
      <c r="AG1330" s="570" t="str">
        <f>IF(AE1330&lt;&gt;0,VLOOKUP(AE1330,ODDS!$A$2:$C$13,3,0),"")</f>
        <v/>
      </c>
      <c r="AH1330" s="570" t="str">
        <f t="shared" si="286"/>
        <v xml:space="preserve"> </v>
      </c>
      <c r="AI1330" s="571" t="str">
        <f t="shared" si="284"/>
        <v xml:space="preserve"> </v>
      </c>
      <c r="AJ1330" s="683"/>
      <c r="AK1330" s="683"/>
    </row>
    <row r="1331" spans="1:37" s="385" customFormat="1" ht="60.75" outlineLevel="2" x14ac:dyDescent="0.3">
      <c r="A1331" s="447">
        <f t="shared" si="289"/>
        <v>105</v>
      </c>
      <c r="B1331" s="557"/>
      <c r="C1331" s="558"/>
      <c r="D1331" s="615"/>
      <c r="E1331" s="615"/>
      <c r="F1331" s="700"/>
      <c r="G1331" s="558"/>
      <c r="H1331" s="702"/>
      <c r="I1331" s="546"/>
      <c r="J1331" s="710"/>
      <c r="K1331" s="563" t="str">
        <f>IF(G1331&lt;&gt;0,VLOOKUP(G1331,'gia dat'!$A$1:$F$144,5,0)," ")</f>
        <v xml:space="preserve"> </v>
      </c>
      <c r="L1331" s="563" t="str">
        <f>IF(G1331&lt;&gt;0,VLOOKUP(G1331,'gia dat'!$A$1:$F$144,6,0)," ")</f>
        <v xml:space="preserve"> </v>
      </c>
      <c r="M1331" s="564" t="str">
        <f t="shared" si="291"/>
        <v xml:space="preserve"> </v>
      </c>
      <c r="N1331" s="564" t="str">
        <f t="shared" si="292"/>
        <v xml:space="preserve"> </v>
      </c>
      <c r="O1331" s="586"/>
      <c r="P1331" s="630"/>
      <c r="Q1331" s="564" t="str">
        <f>IF(O1331&lt;&gt;0,VLOOKUP(O1331,'Cây trong'!$A$2:$C$246,3,0)," ")</f>
        <v xml:space="preserve"> </v>
      </c>
      <c r="R1331" s="564" t="str">
        <f t="shared" si="285"/>
        <v xml:space="preserve"> </v>
      </c>
      <c r="S1331" s="586" t="s">
        <v>1796</v>
      </c>
      <c r="T1331" s="609" t="s">
        <v>2804</v>
      </c>
      <c r="U1331" s="710">
        <v>361.2</v>
      </c>
      <c r="V1331" s="715"/>
      <c r="W1331" s="564"/>
      <c r="X1331" s="564">
        <f t="shared" si="290"/>
        <v>0</v>
      </c>
      <c r="Y1331" s="683"/>
      <c r="Z1331" s="683"/>
      <c r="AA1331" s="683"/>
      <c r="AB1331" s="694"/>
      <c r="AC1331" s="683"/>
      <c r="AD1331" s="683"/>
      <c r="AE1331" s="683"/>
      <c r="AF1331" s="590"/>
      <c r="AG1331" s="570" t="str">
        <f>IF(AE1331&lt;&gt;0,VLOOKUP(AE1331,ODDS!$A$2:$C$13,3,0),"")</f>
        <v/>
      </c>
      <c r="AH1331" s="570" t="str">
        <f t="shared" si="286"/>
        <v xml:space="preserve"> </v>
      </c>
      <c r="AI1331" s="571" t="str">
        <f t="shared" si="284"/>
        <v xml:space="preserve"> </v>
      </c>
      <c r="AJ1331" s="683"/>
      <c r="AK1331" s="683"/>
    </row>
    <row r="1332" spans="1:37" s="385" customFormat="1" ht="20.25" outlineLevel="2" x14ac:dyDescent="0.3">
      <c r="A1332" s="447">
        <f t="shared" si="289"/>
        <v>105</v>
      </c>
      <c r="B1332" s="557"/>
      <c r="C1332" s="558"/>
      <c r="D1332" s="615"/>
      <c r="E1332" s="615"/>
      <c r="F1332" s="700"/>
      <c r="G1332" s="558"/>
      <c r="H1332" s="702"/>
      <c r="I1332" s="546"/>
      <c r="J1332" s="710"/>
      <c r="K1332" s="563" t="str">
        <f>IF(G1332&lt;&gt;0,VLOOKUP(G1332,'gia dat'!$A$1:$F$144,5,0)," ")</f>
        <v xml:space="preserve"> </v>
      </c>
      <c r="L1332" s="563" t="str">
        <f>IF(G1332&lt;&gt;0,VLOOKUP(G1332,'gia dat'!$A$1:$F$144,6,0)," ")</f>
        <v xml:space="preserve"> </v>
      </c>
      <c r="M1332" s="564" t="str">
        <f t="shared" si="291"/>
        <v xml:space="preserve"> </v>
      </c>
      <c r="N1332" s="564" t="str">
        <f t="shared" si="292"/>
        <v xml:space="preserve"> </v>
      </c>
      <c r="O1332" s="586"/>
      <c r="P1332" s="630"/>
      <c r="Q1332" s="564" t="str">
        <f>IF(O1332&lt;&gt;0,VLOOKUP(O1332,'Cây trong'!$A$2:$C$246,3,0)," ")</f>
        <v xml:space="preserve"> </v>
      </c>
      <c r="R1332" s="564" t="str">
        <f t="shared" si="285"/>
        <v xml:space="preserve"> </v>
      </c>
      <c r="S1332" s="586"/>
      <c r="T1332" s="609"/>
      <c r="U1332" s="710"/>
      <c r="V1332" s="715"/>
      <c r="W1332" s="564" t="str">
        <f>IF(S1332&lt;&gt;0,VLOOKUP(S1332,VKT!$A$2:$G$415,7,0),"")</f>
        <v/>
      </c>
      <c r="X1332" s="564" t="str">
        <f t="shared" si="290"/>
        <v xml:space="preserve"> </v>
      </c>
      <c r="Y1332" s="683"/>
      <c r="Z1332" s="683"/>
      <c r="AA1332" s="683"/>
      <c r="AB1332" s="694"/>
      <c r="AC1332" s="683"/>
      <c r="AD1332" s="683"/>
      <c r="AE1332" s="683"/>
      <c r="AF1332" s="590"/>
      <c r="AG1332" s="570" t="str">
        <f>IF(AE1332&lt;&gt;0,VLOOKUP(AE1332,ODDS!$A$2:$C$13,3,0),"")</f>
        <v/>
      </c>
      <c r="AH1332" s="570" t="str">
        <f t="shared" si="286"/>
        <v xml:space="preserve"> </v>
      </c>
      <c r="AI1332" s="571" t="str">
        <f t="shared" si="284"/>
        <v xml:space="preserve"> </v>
      </c>
      <c r="AJ1332" s="683"/>
      <c r="AK1332" s="683"/>
    </row>
    <row r="1333" spans="1:37" s="385" customFormat="1" ht="20.25" outlineLevel="2" x14ac:dyDescent="0.3">
      <c r="A1333" s="447">
        <f t="shared" si="289"/>
        <v>105</v>
      </c>
      <c r="B1333" s="557"/>
      <c r="C1333" s="558"/>
      <c r="D1333" s="615"/>
      <c r="E1333" s="615"/>
      <c r="F1333" s="700"/>
      <c r="G1333" s="558"/>
      <c r="H1333" s="702"/>
      <c r="I1333" s="546"/>
      <c r="J1333" s="710"/>
      <c r="K1333" s="563" t="str">
        <f>IF(G1333&lt;&gt;0,VLOOKUP(G1333,'gia dat'!$A$1:$F$144,5,0)," ")</f>
        <v xml:space="preserve"> </v>
      </c>
      <c r="L1333" s="563" t="str">
        <f>IF(G1333&lt;&gt;0,VLOOKUP(G1333,'gia dat'!$A$1:$F$144,6,0)," ")</f>
        <v xml:space="preserve"> </v>
      </c>
      <c r="M1333" s="564" t="str">
        <f t="shared" si="291"/>
        <v xml:space="preserve"> </v>
      </c>
      <c r="N1333" s="564" t="str">
        <f t="shared" si="292"/>
        <v xml:space="preserve"> </v>
      </c>
      <c r="O1333" s="586"/>
      <c r="P1333" s="630"/>
      <c r="Q1333" s="564" t="str">
        <f>IF(O1333&lt;&gt;0,VLOOKUP(O1333,'Cây trong'!$A$2:$C$246,3,0)," ")</f>
        <v xml:space="preserve"> </v>
      </c>
      <c r="R1333" s="564" t="str">
        <f t="shared" si="285"/>
        <v xml:space="preserve"> </v>
      </c>
      <c r="S1333" s="683"/>
      <c r="T1333" s="586"/>
      <c r="U1333" s="710"/>
      <c r="V1333" s="715"/>
      <c r="W1333" s="564" t="str">
        <f>IF(S1333&lt;&gt;0,VLOOKUP(S1333,VKT!$A$2:$G$415,7,0),"")</f>
        <v/>
      </c>
      <c r="X1333" s="564" t="str">
        <f t="shared" si="290"/>
        <v xml:space="preserve"> </v>
      </c>
      <c r="Y1333" s="683"/>
      <c r="Z1333" s="683"/>
      <c r="AA1333" s="683"/>
      <c r="AB1333" s="694"/>
      <c r="AC1333" s="683"/>
      <c r="AD1333" s="683"/>
      <c r="AE1333" s="683"/>
      <c r="AF1333" s="590"/>
      <c r="AG1333" s="570" t="str">
        <f>IF(AE1333&lt;&gt;0,VLOOKUP(AE1333,ODDS!$A$2:$C$13,3,0),"")</f>
        <v/>
      </c>
      <c r="AH1333" s="570" t="str">
        <f t="shared" si="286"/>
        <v xml:space="preserve"> </v>
      </c>
      <c r="AI1333" s="571" t="str">
        <f t="shared" si="284"/>
        <v xml:space="preserve"> </v>
      </c>
      <c r="AJ1333" s="683"/>
      <c r="AK1333" s="683"/>
    </row>
    <row r="1334" spans="1:37" s="385" customFormat="1" ht="20.25" outlineLevel="2" x14ac:dyDescent="0.3">
      <c r="A1334" s="447">
        <f t="shared" si="289"/>
        <v>105</v>
      </c>
      <c r="B1334" s="557"/>
      <c r="C1334" s="574"/>
      <c r="D1334" s="615"/>
      <c r="E1334" s="615"/>
      <c r="F1334" s="700"/>
      <c r="G1334" s="558"/>
      <c r="H1334" s="702"/>
      <c r="I1334" s="546"/>
      <c r="J1334" s="710"/>
      <c r="K1334" s="563" t="str">
        <f>IF(G1334&lt;&gt;0,VLOOKUP(G1334,'gia dat'!$A$1:$F$144,5,0)," ")</f>
        <v xml:space="preserve"> </v>
      </c>
      <c r="L1334" s="563" t="str">
        <f>IF(G1334&lt;&gt;0,VLOOKUP(G1334,'gia dat'!$A$1:$F$144,6,0)," ")</f>
        <v xml:space="preserve"> </v>
      </c>
      <c r="M1334" s="564" t="str">
        <f t="shared" si="291"/>
        <v xml:space="preserve"> </v>
      </c>
      <c r="N1334" s="564" t="str">
        <f t="shared" si="292"/>
        <v xml:space="preserve"> </v>
      </c>
      <c r="O1334" s="683"/>
      <c r="P1334" s="727"/>
      <c r="Q1334" s="564" t="str">
        <f>IF(O1334&lt;&gt;0,VLOOKUP(O1334,'Cây trong'!$A$2:$C$246,3,0)," ")</f>
        <v xml:space="preserve"> </v>
      </c>
      <c r="R1334" s="564" t="str">
        <f t="shared" si="285"/>
        <v xml:space="preserve"> </v>
      </c>
      <c r="S1334" s="683"/>
      <c r="T1334" s="586"/>
      <c r="U1334" s="710"/>
      <c r="V1334" s="715"/>
      <c r="W1334" s="564" t="str">
        <f>IF(S1334&lt;&gt;0,VLOOKUP(S1334,VKT!$A$2:$G$415,7,0),"")</f>
        <v/>
      </c>
      <c r="X1334" s="564" t="str">
        <f t="shared" si="290"/>
        <v xml:space="preserve"> </v>
      </c>
      <c r="Y1334" s="683"/>
      <c r="Z1334" s="683"/>
      <c r="AA1334" s="683"/>
      <c r="AB1334" s="694"/>
      <c r="AC1334" s="683"/>
      <c r="AD1334" s="683"/>
      <c r="AE1334" s="683"/>
      <c r="AF1334" s="590"/>
      <c r="AG1334" s="570" t="str">
        <f>IF(AE1334&lt;&gt;0,VLOOKUP(AE1334,ODDS!$A$2:$C$13,3,0),"")</f>
        <v/>
      </c>
      <c r="AH1334" s="570" t="str">
        <f t="shared" si="286"/>
        <v xml:space="preserve"> </v>
      </c>
      <c r="AI1334" s="571" t="str">
        <f t="shared" si="284"/>
        <v xml:space="preserve"> </v>
      </c>
      <c r="AJ1334" s="683"/>
      <c r="AK1334" s="683"/>
    </row>
    <row r="1335" spans="1:37" s="385" customFormat="1" ht="60.75" outlineLevel="1" x14ac:dyDescent="0.25">
      <c r="A1335" s="467" t="s">
        <v>2604</v>
      </c>
      <c r="B1335" s="576">
        <v>106</v>
      </c>
      <c r="C1335" s="574" t="s">
        <v>969</v>
      </c>
      <c r="D1335" s="705"/>
      <c r="E1335" s="705"/>
      <c r="F1335" s="706"/>
      <c r="G1335" s="574"/>
      <c r="H1335" s="728">
        <f>SUBTOTAL(9,H1336:H1343)</f>
        <v>982.1</v>
      </c>
      <c r="I1335" s="579">
        <f>SUBTOTAL(9,I1336:I1341)</f>
        <v>0</v>
      </c>
      <c r="J1335" s="708"/>
      <c r="K1335" s="581"/>
      <c r="L1335" s="581"/>
      <c r="M1335" s="571">
        <f>SUBTOTAL(9,M1336:M1343)</f>
        <v>0</v>
      </c>
      <c r="N1335" s="571">
        <f>SUBTOTAL(9,N1336:N1343)</f>
        <v>0</v>
      </c>
      <c r="O1335" s="578"/>
      <c r="P1335" s="633">
        <f>SUBTOTAL(9,P1336:P1343)</f>
        <v>64</v>
      </c>
      <c r="Q1335" s="571"/>
      <c r="R1335" s="571">
        <f>SUBTOTAL(9,R1336:R1343)</f>
        <v>7860000</v>
      </c>
      <c r="S1335" s="578"/>
      <c r="T1335" s="621"/>
      <c r="U1335" s="583">
        <f>SUBTOTAL(9,U1336:U1343)</f>
        <v>808.5200000000001</v>
      </c>
      <c r="V1335" s="663"/>
      <c r="W1335" s="571"/>
      <c r="X1335" s="571">
        <f>SUBTOTAL(9,X1336:X1343)</f>
        <v>650736000</v>
      </c>
      <c r="Y1335" s="683"/>
      <c r="Z1335" s="683"/>
      <c r="AA1335" s="683"/>
      <c r="AB1335" s="694"/>
      <c r="AC1335" s="683"/>
      <c r="AD1335" s="683"/>
      <c r="AE1335" s="650"/>
      <c r="AF1335" s="599">
        <f>SUBTOTAL(9,AF1336:AF1343)</f>
        <v>0</v>
      </c>
      <c r="AG1335" s="585"/>
      <c r="AH1335" s="585">
        <f>SUBTOTAL(9,AH1336:AH1343)</f>
        <v>0</v>
      </c>
      <c r="AI1335" s="571">
        <f t="shared" si="284"/>
        <v>658596000</v>
      </c>
      <c r="AJ1335" s="574"/>
      <c r="AK1335" s="582"/>
    </row>
    <row r="1336" spans="1:37" s="385" customFormat="1" ht="101.25" outlineLevel="2" x14ac:dyDescent="0.3">
      <c r="A1336" s="447">
        <f>IF(B1335&lt;&gt;0,B1335,A1334)</f>
        <v>106</v>
      </c>
      <c r="B1336" s="557"/>
      <c r="C1336" s="586" t="s">
        <v>1658</v>
      </c>
      <c r="D1336" s="615"/>
      <c r="E1336" s="615"/>
      <c r="F1336" s="700"/>
      <c r="G1336" s="684" t="s">
        <v>970</v>
      </c>
      <c r="H1336" s="729">
        <v>982.1</v>
      </c>
      <c r="I1336" s="546" t="str">
        <f t="shared" ref="I1336" si="293">IF(N1336&gt;0,H1336,"")</f>
        <v/>
      </c>
      <c r="J1336" s="710"/>
      <c r="K1336" s="563">
        <f>IF(G1336&lt;&gt;0,VLOOKUP(G1336,'gia dat'!$A$1:$F$144,5,0)," ")</f>
        <v>0</v>
      </c>
      <c r="L1336" s="563">
        <f>IF(G1336&lt;&gt;0,VLOOKUP(G1336,'gia dat'!$A$1:$F$144,6,0)," ")</f>
        <v>0</v>
      </c>
      <c r="M1336" s="564">
        <f t="shared" si="291"/>
        <v>0</v>
      </c>
      <c r="N1336" s="564">
        <f t="shared" si="292"/>
        <v>0</v>
      </c>
      <c r="O1336" s="586" t="s">
        <v>971</v>
      </c>
      <c r="P1336" s="630">
        <v>2</v>
      </c>
      <c r="Q1336" s="564">
        <f>IF(O1336&lt;&gt;0,VLOOKUP(O1336,'Cây trong'!$A$2:$C$246,3,0)," ")</f>
        <v>360000</v>
      </c>
      <c r="R1336" s="564">
        <f t="shared" si="285"/>
        <v>720000</v>
      </c>
      <c r="S1336" s="586" t="s">
        <v>972</v>
      </c>
      <c r="T1336" s="609" t="s">
        <v>2804</v>
      </c>
      <c r="U1336" s="567">
        <v>343.2</v>
      </c>
      <c r="V1336" s="661"/>
      <c r="W1336" s="564">
        <f>IF(S1336&lt;&gt;0,VLOOKUP(S1336,VKT!$A$2:$G$415,7,0),"")</f>
        <v>1248814</v>
      </c>
      <c r="X1336" s="564">
        <f t="shared" si="290"/>
        <v>428593000</v>
      </c>
      <c r="Y1336" s="683"/>
      <c r="Z1336" s="683"/>
      <c r="AA1336" s="683"/>
      <c r="AB1336" s="694"/>
      <c r="AC1336" s="683"/>
      <c r="AD1336" s="683"/>
      <c r="AE1336" s="683"/>
      <c r="AF1336" s="590"/>
      <c r="AG1336" s="570" t="str">
        <f>IF(AE1336&lt;&gt;0,VLOOKUP(AE1336,ODDS!$A$2:$C$13,3,0),"")</f>
        <v/>
      </c>
      <c r="AH1336" s="570" t="str">
        <f t="shared" si="286"/>
        <v xml:space="preserve"> </v>
      </c>
      <c r="AI1336" s="571" t="str">
        <f t="shared" si="284"/>
        <v xml:space="preserve"> </v>
      </c>
      <c r="AJ1336" s="558" t="s">
        <v>974</v>
      </c>
      <c r="AK1336" s="566"/>
    </row>
    <row r="1337" spans="1:37" s="385" customFormat="1" ht="84.75" outlineLevel="2" x14ac:dyDescent="0.3">
      <c r="A1337" s="447">
        <f t="shared" ref="A1337:A1343" si="294">IF(B1336&lt;&gt;0,B1336,A1336)</f>
        <v>106</v>
      </c>
      <c r="B1337" s="557"/>
      <c r="C1337" s="586"/>
      <c r="D1337" s="615"/>
      <c r="E1337" s="615"/>
      <c r="F1337" s="700"/>
      <c r="G1337" s="558"/>
      <c r="H1337" s="709"/>
      <c r="I1337" s="546"/>
      <c r="J1337" s="710"/>
      <c r="K1337" s="563" t="str">
        <f>IF(G1337&lt;&gt;0,VLOOKUP(G1337,'gia dat'!$A$1:$F$144,5,0)," ")</f>
        <v xml:space="preserve"> </v>
      </c>
      <c r="L1337" s="563" t="str">
        <f>IF(G1337&lt;&gt;0,VLOOKUP(G1337,'gia dat'!$A$1:$F$144,6,0)," ")</f>
        <v xml:space="preserve"> </v>
      </c>
      <c r="M1337" s="564" t="str">
        <f t="shared" si="291"/>
        <v xml:space="preserve"> </v>
      </c>
      <c r="N1337" s="564" t="str">
        <f t="shared" si="292"/>
        <v xml:space="preserve"> </v>
      </c>
      <c r="O1337" s="586" t="s">
        <v>352</v>
      </c>
      <c r="P1337" s="630">
        <v>22</v>
      </c>
      <c r="Q1337" s="564">
        <f>IF(O1337&lt;&gt;0,VLOOKUP(O1337,'Cây trong'!$A$2:$C$246,3,0)," ")</f>
        <v>60000</v>
      </c>
      <c r="R1337" s="564">
        <f t="shared" si="285"/>
        <v>1320000</v>
      </c>
      <c r="S1337" s="718" t="s">
        <v>936</v>
      </c>
      <c r="T1337" s="609" t="s">
        <v>2804</v>
      </c>
      <c r="U1337" s="567">
        <v>243</v>
      </c>
      <c r="V1337" s="661">
        <v>243</v>
      </c>
      <c r="W1337" s="564"/>
      <c r="X1337" s="564">
        <f>IF(S1337&lt;&gt;0,ROUND(U1337*W1337,-3)," ")</f>
        <v>0</v>
      </c>
      <c r="Y1337" s="683"/>
      <c r="Z1337" s="683"/>
      <c r="AA1337" s="683"/>
      <c r="AB1337" s="694"/>
      <c r="AC1337" s="683"/>
      <c r="AD1337" s="683"/>
      <c r="AE1337" s="683"/>
      <c r="AF1337" s="590"/>
      <c r="AG1337" s="570" t="str">
        <f>IF(AE1337&lt;&gt;0,VLOOKUP(AE1337,ODDS!$A$2:$C$13,3,0),"")</f>
        <v/>
      </c>
      <c r="AH1337" s="570" t="str">
        <f t="shared" si="286"/>
        <v xml:space="preserve"> </v>
      </c>
      <c r="AI1337" s="571" t="str">
        <f t="shared" si="284"/>
        <v xml:space="preserve"> </v>
      </c>
      <c r="AJ1337" s="558" t="s">
        <v>2829</v>
      </c>
      <c r="AK1337" s="566"/>
    </row>
    <row r="1338" spans="1:37" s="385" customFormat="1" ht="121.5" outlineLevel="2" x14ac:dyDescent="0.3">
      <c r="A1338" s="447">
        <f t="shared" si="294"/>
        <v>106</v>
      </c>
      <c r="B1338" s="557"/>
      <c r="C1338" s="558"/>
      <c r="D1338" s="615"/>
      <c r="E1338" s="615"/>
      <c r="F1338" s="700"/>
      <c r="G1338" s="558"/>
      <c r="H1338" s="709"/>
      <c r="I1338" s="546"/>
      <c r="J1338" s="710"/>
      <c r="K1338" s="563" t="str">
        <f>IF(G1338&lt;&gt;0,VLOOKUP(G1338,'gia dat'!$A$1:$F$144,5,0)," ")</f>
        <v xml:space="preserve"> </v>
      </c>
      <c r="L1338" s="563" t="str">
        <f>IF(G1338&lt;&gt;0,VLOOKUP(G1338,'gia dat'!$A$1:$F$144,6,0)," ")</f>
        <v xml:space="preserve"> </v>
      </c>
      <c r="M1338" s="564" t="str">
        <f t="shared" si="291"/>
        <v xml:space="preserve"> </v>
      </c>
      <c r="N1338" s="564" t="str">
        <f t="shared" si="292"/>
        <v xml:space="preserve"> </v>
      </c>
      <c r="O1338" s="586" t="s">
        <v>353</v>
      </c>
      <c r="P1338" s="630">
        <v>25</v>
      </c>
      <c r="Q1338" s="564">
        <f>IF(O1338&lt;&gt;0,VLOOKUP(O1338,'Cây trong'!$A$2:$C$246,3,0)," ")</f>
        <v>96000</v>
      </c>
      <c r="R1338" s="564">
        <f t="shared" si="285"/>
        <v>2400000</v>
      </c>
      <c r="S1338" s="586" t="s">
        <v>976</v>
      </c>
      <c r="T1338" s="609" t="s">
        <v>2804</v>
      </c>
      <c r="U1338" s="567">
        <v>170.3</v>
      </c>
      <c r="V1338" s="661"/>
      <c r="W1338" s="564">
        <f>IF(S1338&lt;&gt;0,VLOOKUP(S1338,VKT!$A$2:$G$415,7,0),"")</f>
        <v>949667</v>
      </c>
      <c r="X1338" s="564">
        <f t="shared" si="290"/>
        <v>161728000</v>
      </c>
      <c r="Y1338" s="683"/>
      <c r="Z1338" s="683"/>
      <c r="AA1338" s="683"/>
      <c r="AB1338" s="694"/>
      <c r="AC1338" s="683"/>
      <c r="AD1338" s="683"/>
      <c r="AE1338" s="683"/>
      <c r="AF1338" s="590"/>
      <c r="AG1338" s="570" t="str">
        <f>IF(AE1338&lt;&gt;0,VLOOKUP(AE1338,ODDS!$A$2:$C$13,3,0),"")</f>
        <v/>
      </c>
      <c r="AH1338" s="570" t="str">
        <f t="shared" si="286"/>
        <v xml:space="preserve"> </v>
      </c>
      <c r="AI1338" s="571" t="str">
        <f t="shared" si="284"/>
        <v xml:space="preserve"> </v>
      </c>
      <c r="AJ1338" s="558"/>
      <c r="AK1338" s="566"/>
    </row>
    <row r="1339" spans="1:37" s="385" customFormat="1" ht="81" outlineLevel="2" x14ac:dyDescent="0.3">
      <c r="A1339" s="447">
        <f t="shared" si="294"/>
        <v>106</v>
      </c>
      <c r="B1339" s="557"/>
      <c r="C1339" s="558"/>
      <c r="D1339" s="615"/>
      <c r="E1339" s="615"/>
      <c r="F1339" s="700"/>
      <c r="G1339" s="558"/>
      <c r="H1339" s="709"/>
      <c r="I1339" s="546"/>
      <c r="J1339" s="589"/>
      <c r="K1339" s="563" t="str">
        <f>IF(G1339&lt;&gt;0,VLOOKUP(G1339,'gia dat'!$A$1:$F$144,5,0)," ")</f>
        <v xml:space="preserve"> </v>
      </c>
      <c r="L1339" s="563" t="str">
        <f>IF(G1339&lt;&gt;0,VLOOKUP(G1339,'gia dat'!$A$1:$F$144,6,0)," ")</f>
        <v xml:space="preserve"> </v>
      </c>
      <c r="M1339" s="564" t="str">
        <f t="shared" si="291"/>
        <v xml:space="preserve"> </v>
      </c>
      <c r="N1339" s="564" t="str">
        <f t="shared" si="292"/>
        <v xml:space="preserve"> </v>
      </c>
      <c r="O1339" s="586" t="s">
        <v>400</v>
      </c>
      <c r="P1339" s="630">
        <v>15</v>
      </c>
      <c r="Q1339" s="564">
        <f>IF(O1339&lt;&gt;0,VLOOKUP(O1339,'Cây trong'!$A$2:$C$246,3,0)," ")</f>
        <v>228000</v>
      </c>
      <c r="R1339" s="564">
        <f t="shared" si="285"/>
        <v>3420000</v>
      </c>
      <c r="S1339" s="586" t="s">
        <v>972</v>
      </c>
      <c r="T1339" s="609" t="s">
        <v>2804</v>
      </c>
      <c r="U1339" s="567">
        <v>30.6</v>
      </c>
      <c r="V1339" s="661"/>
      <c r="W1339" s="564">
        <f>IF(S1339&lt;&gt;0,VLOOKUP(S1339,VKT!$A$2:$G$415,7,0),"")</f>
        <v>1248814</v>
      </c>
      <c r="X1339" s="564">
        <f t="shared" si="290"/>
        <v>38214000</v>
      </c>
      <c r="Y1339" s="683"/>
      <c r="Z1339" s="683"/>
      <c r="AA1339" s="683"/>
      <c r="AB1339" s="694"/>
      <c r="AC1339" s="683"/>
      <c r="AD1339" s="683"/>
      <c r="AE1339" s="683"/>
      <c r="AF1339" s="590"/>
      <c r="AG1339" s="570" t="str">
        <f>IF(AE1339&lt;&gt;0,VLOOKUP(AE1339,ODDS!$A$2:$C$13,3,0),"")</f>
        <v/>
      </c>
      <c r="AH1339" s="570" t="str">
        <f t="shared" si="286"/>
        <v xml:space="preserve"> </v>
      </c>
      <c r="AI1339" s="571" t="str">
        <f t="shared" si="284"/>
        <v xml:space="preserve"> </v>
      </c>
      <c r="AJ1339" s="593"/>
      <c r="AK1339" s="566"/>
    </row>
    <row r="1340" spans="1:37" s="385" customFormat="1" ht="81" outlineLevel="2" x14ac:dyDescent="0.3">
      <c r="A1340" s="447">
        <f t="shared" si="294"/>
        <v>106</v>
      </c>
      <c r="B1340" s="557"/>
      <c r="C1340" s="558"/>
      <c r="D1340" s="615"/>
      <c r="E1340" s="615"/>
      <c r="F1340" s="700"/>
      <c r="G1340" s="558"/>
      <c r="H1340" s="709"/>
      <c r="I1340" s="546"/>
      <c r="J1340" s="589"/>
      <c r="K1340" s="563" t="str">
        <f>IF(G1340&lt;&gt;0,VLOOKUP(G1340,'gia dat'!$A$1:$F$144,5,0)," ")</f>
        <v xml:space="preserve"> </v>
      </c>
      <c r="L1340" s="563" t="str">
        <f>IF(G1340&lt;&gt;0,VLOOKUP(G1340,'gia dat'!$A$1:$F$144,6,0)," ")</f>
        <v xml:space="preserve"> </v>
      </c>
      <c r="M1340" s="564" t="str">
        <f t="shared" si="291"/>
        <v xml:space="preserve"> </v>
      </c>
      <c r="N1340" s="564" t="str">
        <f t="shared" si="292"/>
        <v xml:space="preserve"> </v>
      </c>
      <c r="O1340" s="565"/>
      <c r="P1340" s="714"/>
      <c r="Q1340" s="564" t="str">
        <f>IF(O1340&lt;&gt;0,VLOOKUP(O1340,'Cây trong'!$A$2:$C$246,3,0)," ")</f>
        <v xml:space="preserve"> </v>
      </c>
      <c r="R1340" s="564" t="str">
        <f t="shared" si="285"/>
        <v xml:space="preserve"> </v>
      </c>
      <c r="S1340" s="586" t="s">
        <v>972</v>
      </c>
      <c r="T1340" s="609" t="s">
        <v>2804</v>
      </c>
      <c r="U1340" s="567">
        <v>11.22</v>
      </c>
      <c r="V1340" s="661"/>
      <c r="W1340" s="564">
        <f>IF(S1340&lt;&gt;0,VLOOKUP(S1340,VKT!$A$2:$G$415,7,0),"")</f>
        <v>1248814</v>
      </c>
      <c r="X1340" s="564">
        <f t="shared" si="290"/>
        <v>14012000</v>
      </c>
      <c r="Y1340" s="683"/>
      <c r="Z1340" s="683"/>
      <c r="AA1340" s="683"/>
      <c r="AB1340" s="694"/>
      <c r="AC1340" s="683"/>
      <c r="AD1340" s="683"/>
      <c r="AE1340" s="683"/>
      <c r="AF1340" s="590"/>
      <c r="AG1340" s="570" t="str">
        <f>IF(AE1340&lt;&gt;0,VLOOKUP(AE1340,ODDS!$A$2:$C$13,3,0),"")</f>
        <v/>
      </c>
      <c r="AH1340" s="570" t="str">
        <f t="shared" si="286"/>
        <v xml:space="preserve"> </v>
      </c>
      <c r="AI1340" s="571" t="str">
        <f t="shared" si="284"/>
        <v xml:space="preserve"> </v>
      </c>
      <c r="AJ1340" s="593"/>
      <c r="AK1340" s="593"/>
    </row>
    <row r="1341" spans="1:37" s="385" customFormat="1" ht="44.25" outlineLevel="2" x14ac:dyDescent="0.3">
      <c r="A1341" s="447">
        <f t="shared" si="294"/>
        <v>106</v>
      </c>
      <c r="B1341" s="557"/>
      <c r="C1341" s="574"/>
      <c r="D1341" s="615"/>
      <c r="E1341" s="615"/>
      <c r="F1341" s="700"/>
      <c r="G1341" s="558"/>
      <c r="H1341" s="709"/>
      <c r="I1341" s="546"/>
      <c r="J1341" s="589"/>
      <c r="K1341" s="563" t="str">
        <f>IF(G1341&lt;&gt;0,VLOOKUP(G1341,'gia dat'!$A$1:$F$144,5,0)," ")</f>
        <v xml:space="preserve"> </v>
      </c>
      <c r="L1341" s="563" t="str">
        <f>IF(G1341&lt;&gt;0,VLOOKUP(G1341,'gia dat'!$A$1:$F$144,6,0)," ")</f>
        <v xml:space="preserve"> </v>
      </c>
      <c r="M1341" s="564" t="str">
        <f t="shared" si="291"/>
        <v xml:space="preserve"> </v>
      </c>
      <c r="N1341" s="564" t="str">
        <f t="shared" si="292"/>
        <v xml:space="preserve"> </v>
      </c>
      <c r="O1341" s="565"/>
      <c r="P1341" s="714"/>
      <c r="Q1341" s="564" t="str">
        <f>IF(O1341&lt;&gt;0,VLOOKUP(O1341,'Cây trong'!$A$2:$C$246,3,0)," ")</f>
        <v xml:space="preserve"> </v>
      </c>
      <c r="R1341" s="564" t="str">
        <f t="shared" si="285"/>
        <v xml:space="preserve"> </v>
      </c>
      <c r="S1341" s="586" t="s">
        <v>550</v>
      </c>
      <c r="T1341" s="609" t="s">
        <v>2804</v>
      </c>
      <c r="U1341" s="567">
        <v>10.199999999999999</v>
      </c>
      <c r="V1341" s="661"/>
      <c r="W1341" s="564">
        <f>IF(S1341&lt;&gt;0,VLOOKUP(S1341,VKT!$A$2:$G$415,7,0),"")</f>
        <v>802830</v>
      </c>
      <c r="X1341" s="564">
        <f t="shared" si="290"/>
        <v>8189000</v>
      </c>
      <c r="Y1341" s="683"/>
      <c r="Z1341" s="683"/>
      <c r="AA1341" s="683"/>
      <c r="AB1341" s="694"/>
      <c r="AC1341" s="683"/>
      <c r="AD1341" s="683"/>
      <c r="AE1341" s="683"/>
      <c r="AF1341" s="590"/>
      <c r="AG1341" s="570" t="str">
        <f>IF(AE1341&lt;&gt;0,VLOOKUP(AE1341,ODDS!$A$2:$C$13,3,0),"")</f>
        <v/>
      </c>
      <c r="AH1341" s="570" t="str">
        <f t="shared" si="286"/>
        <v xml:space="preserve"> </v>
      </c>
      <c r="AI1341" s="571" t="str">
        <f t="shared" si="284"/>
        <v xml:space="preserve"> </v>
      </c>
      <c r="AJ1341" s="593"/>
      <c r="AK1341" s="593"/>
    </row>
    <row r="1342" spans="1:37" s="385" customFormat="1" ht="20.25" outlineLevel="2" x14ac:dyDescent="0.3">
      <c r="A1342" s="447">
        <f t="shared" si="294"/>
        <v>106</v>
      </c>
      <c r="B1342" s="557"/>
      <c r="C1342" s="574"/>
      <c r="D1342" s="696"/>
      <c r="E1342" s="696"/>
      <c r="F1342" s="696"/>
      <c r="G1342" s="586"/>
      <c r="H1342" s="730"/>
      <c r="I1342" s="546"/>
      <c r="J1342" s="661"/>
      <c r="K1342" s="563" t="str">
        <f>IF(G1342&lt;&gt;0,VLOOKUP(G1342,'gia dat'!$A$1:$F$144,5,0)," ")</f>
        <v xml:space="preserve"> </v>
      </c>
      <c r="L1342" s="563" t="str">
        <f>IF(G1342&lt;&gt;0,VLOOKUP(G1342,'gia dat'!$A$1:$F$144,6,0)," ")</f>
        <v xml:space="preserve"> </v>
      </c>
      <c r="M1342" s="564" t="str">
        <f t="shared" si="291"/>
        <v xml:space="preserve"> </v>
      </c>
      <c r="N1342" s="564" t="str">
        <f t="shared" si="292"/>
        <v xml:space="preserve"> </v>
      </c>
      <c r="O1342" s="661"/>
      <c r="P1342" s="630"/>
      <c r="Q1342" s="564" t="str">
        <f>IF(O1342&lt;&gt;0,VLOOKUP(O1342,'Cây trong'!$A$2:$C$246,3,0)," ")</f>
        <v xml:space="preserve"> </v>
      </c>
      <c r="R1342" s="564" t="str">
        <f t="shared" si="285"/>
        <v xml:space="preserve"> </v>
      </c>
      <c r="S1342" s="661"/>
      <c r="T1342" s="661"/>
      <c r="U1342" s="720"/>
      <c r="V1342" s="661"/>
      <c r="W1342" s="564" t="str">
        <f>IF(S1342&lt;&gt;0,VLOOKUP(S1342,VKT!$A$2:$G$415,7,0),"")</f>
        <v/>
      </c>
      <c r="X1342" s="564" t="str">
        <f t="shared" si="290"/>
        <v xml:space="preserve"> </v>
      </c>
      <c r="Y1342" s="683"/>
      <c r="Z1342" s="683"/>
      <c r="AA1342" s="683"/>
      <c r="AB1342" s="694"/>
      <c r="AC1342" s="683"/>
      <c r="AD1342" s="683"/>
      <c r="AE1342" s="683"/>
      <c r="AF1342" s="590"/>
      <c r="AG1342" s="570" t="str">
        <f>IF(AE1342&lt;&gt;0,VLOOKUP(AE1342,ODDS!$A$2:$C$13,3,0),"")</f>
        <v/>
      </c>
      <c r="AH1342" s="570" t="str">
        <f t="shared" si="286"/>
        <v xml:space="preserve"> </v>
      </c>
      <c r="AI1342" s="571" t="str">
        <f t="shared" si="284"/>
        <v xml:space="preserve"> </v>
      </c>
      <c r="AJ1342" s="661"/>
      <c r="AK1342" s="661"/>
    </row>
    <row r="1343" spans="1:37" s="385" customFormat="1" ht="20.25" outlineLevel="2" x14ac:dyDescent="0.3">
      <c r="A1343" s="447">
        <f t="shared" si="294"/>
        <v>106</v>
      </c>
      <c r="B1343" s="557"/>
      <c r="C1343" s="574"/>
      <c r="D1343" s="696"/>
      <c r="E1343" s="696"/>
      <c r="F1343" s="696"/>
      <c r="G1343" s="586"/>
      <c r="H1343" s="730"/>
      <c r="I1343" s="546"/>
      <c r="J1343" s="661"/>
      <c r="K1343" s="563" t="str">
        <f>IF(G1343&lt;&gt;0,VLOOKUP(G1343,'gia dat'!$A$1:$F$144,5,0)," ")</f>
        <v xml:space="preserve"> </v>
      </c>
      <c r="L1343" s="563" t="str">
        <f>IF(G1343&lt;&gt;0,VLOOKUP(G1343,'gia dat'!$A$1:$F$144,6,0)," ")</f>
        <v xml:space="preserve"> </v>
      </c>
      <c r="M1343" s="564" t="str">
        <f t="shared" si="291"/>
        <v xml:space="preserve"> </v>
      </c>
      <c r="N1343" s="564" t="str">
        <f t="shared" si="292"/>
        <v xml:space="preserve"> </v>
      </c>
      <c r="O1343" s="661"/>
      <c r="P1343" s="630"/>
      <c r="Q1343" s="564" t="str">
        <f>IF(O1343&lt;&gt;0,VLOOKUP(O1343,'Cây trong'!$A$2:$C$246,3,0)," ")</f>
        <v xml:space="preserve"> </v>
      </c>
      <c r="R1343" s="564" t="str">
        <f t="shared" si="285"/>
        <v xml:space="preserve"> </v>
      </c>
      <c r="S1343" s="661"/>
      <c r="T1343" s="661"/>
      <c r="U1343" s="720"/>
      <c r="V1343" s="661"/>
      <c r="W1343" s="564" t="str">
        <f>IF(S1343&lt;&gt;0,VLOOKUP(S1343,VKT!$A$2:$G$415,7,0),"")</f>
        <v/>
      </c>
      <c r="X1343" s="564" t="str">
        <f t="shared" si="290"/>
        <v xml:space="preserve"> </v>
      </c>
      <c r="Y1343" s="586"/>
      <c r="Z1343" s="586"/>
      <c r="AA1343" s="586"/>
      <c r="AB1343" s="586"/>
      <c r="AC1343" s="586"/>
      <c r="AD1343" s="586"/>
      <c r="AE1343" s="586"/>
      <c r="AF1343" s="714"/>
      <c r="AG1343" s="570" t="str">
        <f>IF(AE1343&lt;&gt;0,VLOOKUP(AE1343,ODDS!$A$2:$C$13,3,0),"")</f>
        <v/>
      </c>
      <c r="AH1343" s="570" t="str">
        <f t="shared" si="286"/>
        <v xml:space="preserve"> </v>
      </c>
      <c r="AI1343" s="571" t="str">
        <f t="shared" si="284"/>
        <v xml:space="preserve"> </v>
      </c>
      <c r="AJ1343" s="661"/>
      <c r="AK1343" s="661"/>
    </row>
    <row r="1344" spans="1:37" s="385" customFormat="1" ht="40.5" outlineLevel="1" x14ac:dyDescent="0.25">
      <c r="A1344" s="467" t="s">
        <v>2603</v>
      </c>
      <c r="B1344" s="576">
        <v>107</v>
      </c>
      <c r="C1344" s="574" t="s">
        <v>977</v>
      </c>
      <c r="D1344" s="705"/>
      <c r="E1344" s="705"/>
      <c r="F1344" s="706"/>
      <c r="G1344" s="574"/>
      <c r="H1344" s="596">
        <f>SUBTOTAL(9,H1345:H1353)</f>
        <v>445.9</v>
      </c>
      <c r="I1344" s="579">
        <f>SUBTOTAL(9,I1345:I1350)</f>
        <v>0</v>
      </c>
      <c r="J1344" s="597"/>
      <c r="K1344" s="581"/>
      <c r="L1344" s="581"/>
      <c r="M1344" s="571">
        <f>SUBTOTAL(9,M1345:M1353)</f>
        <v>1226865000</v>
      </c>
      <c r="N1344" s="571">
        <f>SUBTOTAL(9,N1345:N1353)</f>
        <v>0</v>
      </c>
      <c r="O1344" s="578"/>
      <c r="P1344" s="633">
        <f>SUBTOTAL(9,P1345:P1353)</f>
        <v>25</v>
      </c>
      <c r="Q1344" s="571"/>
      <c r="R1344" s="571">
        <f>SUBTOTAL(9,R1345:R1353)</f>
        <v>2000000</v>
      </c>
      <c r="S1344" s="582"/>
      <c r="T1344" s="597"/>
      <c r="U1344" s="600">
        <f>SUBTOTAL(9,U1345:U1353)</f>
        <v>12</v>
      </c>
      <c r="V1344" s="608"/>
      <c r="W1344" s="571"/>
      <c r="X1344" s="571">
        <f>SUBTOTAL(9,X1345:X1353)</f>
        <v>17506000</v>
      </c>
      <c r="Y1344" s="562"/>
      <c r="Z1344" s="568"/>
      <c r="AA1344" s="568"/>
      <c r="AB1344" s="568"/>
      <c r="AC1344" s="568"/>
      <c r="AD1344" s="568"/>
      <c r="AE1344" s="602"/>
      <c r="AF1344" s="581">
        <f>SUBTOTAL(9,AF1345:AF1353)</f>
        <v>0</v>
      </c>
      <c r="AG1344" s="585"/>
      <c r="AH1344" s="585">
        <f>SUBTOTAL(9,AH1345:AH1353)</f>
        <v>0</v>
      </c>
      <c r="AI1344" s="571">
        <f t="shared" si="284"/>
        <v>1246371000</v>
      </c>
      <c r="AJ1344" s="574"/>
      <c r="AK1344" s="578"/>
    </row>
    <row r="1345" spans="1:37" s="385" customFormat="1" ht="121.5" outlineLevel="2" x14ac:dyDescent="0.3">
      <c r="A1345" s="447">
        <f>IF(B1344&lt;&gt;0,B1344,A1343)</f>
        <v>107</v>
      </c>
      <c r="B1345" s="557"/>
      <c r="C1345" s="558" t="s">
        <v>984</v>
      </c>
      <c r="D1345" s="615">
        <v>4</v>
      </c>
      <c r="E1345" s="615">
        <v>86</v>
      </c>
      <c r="F1345" s="700">
        <v>59</v>
      </c>
      <c r="G1345" s="558" t="s">
        <v>2870</v>
      </c>
      <c r="H1345" s="604">
        <f>295.9-H1347</f>
        <v>295.89999999999998</v>
      </c>
      <c r="I1345" s="546" t="str">
        <f t="shared" ref="I1345:I1346" si="295">IF(N1345&gt;0,H1345,"")</f>
        <v/>
      </c>
      <c r="J1345" s="589"/>
      <c r="K1345" s="563">
        <f>IF(G1345&lt;&gt;0,VLOOKUP(G1345,'gia dat'!$A$1:$F$144,5,0)," ")</f>
        <v>465600</v>
      </c>
      <c r="L1345" s="563">
        <f>IF(G1345&lt;&gt;0,VLOOKUP(G1345,'gia dat'!$A$1:$F$144,6,0)," ")</f>
        <v>0</v>
      </c>
      <c r="M1345" s="564">
        <f t="shared" si="291"/>
        <v>137771000</v>
      </c>
      <c r="N1345" s="564">
        <f t="shared" si="292"/>
        <v>0</v>
      </c>
      <c r="O1345" s="586" t="s">
        <v>401</v>
      </c>
      <c r="P1345" s="630">
        <v>25</v>
      </c>
      <c r="Q1345" s="564">
        <f>IF(O1345&lt;&gt;0,VLOOKUP(O1345,'Cây trong'!$A$2:$C$246,3,0)," ")</f>
        <v>80000</v>
      </c>
      <c r="R1345" s="564">
        <f t="shared" si="285"/>
        <v>2000000</v>
      </c>
      <c r="S1345" s="566" t="s">
        <v>1926</v>
      </c>
      <c r="T1345" s="589" t="s">
        <v>2804</v>
      </c>
      <c r="U1345" s="591">
        <v>12</v>
      </c>
      <c r="V1345" s="593"/>
      <c r="W1345" s="564">
        <f>IF(S1345&lt;&gt;0,VLOOKUP(S1345,VKT!$A$2:$G$415,7,0),"")</f>
        <v>1458856</v>
      </c>
      <c r="X1345" s="564">
        <f t="shared" si="290"/>
        <v>17506000</v>
      </c>
      <c r="Y1345" s="562"/>
      <c r="Z1345" s="568" t="s">
        <v>980</v>
      </c>
      <c r="AA1345" s="568" t="s">
        <v>981</v>
      </c>
      <c r="AB1345" s="568" t="s">
        <v>266</v>
      </c>
      <c r="AC1345" s="568" t="s">
        <v>982</v>
      </c>
      <c r="AD1345" s="568"/>
      <c r="AE1345" s="569"/>
      <c r="AF1345" s="563"/>
      <c r="AG1345" s="570"/>
      <c r="AH1345" s="570"/>
      <c r="AI1345" s="571" t="str">
        <f t="shared" si="284"/>
        <v xml:space="preserve"> </v>
      </c>
      <c r="AJ1345" s="558" t="s">
        <v>983</v>
      </c>
      <c r="AK1345" s="586" t="s">
        <v>2771</v>
      </c>
    </row>
    <row r="1346" spans="1:37" s="385" customFormat="1" ht="121.5" outlineLevel="2" x14ac:dyDescent="0.3">
      <c r="A1346" s="447">
        <f t="shared" ref="A1346:A1353" si="296">IF(B1345&lt;&gt;0,B1345,A1345)</f>
        <v>107</v>
      </c>
      <c r="B1346" s="557"/>
      <c r="C1346" s="572" t="s">
        <v>1574</v>
      </c>
      <c r="D1346" s="615"/>
      <c r="E1346" s="615">
        <v>86</v>
      </c>
      <c r="F1346" s="700">
        <v>59</v>
      </c>
      <c r="G1346" s="558" t="s">
        <v>2049</v>
      </c>
      <c r="H1346" s="604">
        <v>150</v>
      </c>
      <c r="I1346" s="546" t="str">
        <f t="shared" si="295"/>
        <v/>
      </c>
      <c r="J1346" s="589"/>
      <c r="K1346" s="563">
        <f>IF(G1346&lt;&gt;0,VLOOKUP(G1346,'gia dat'!$A$1:$F$144,5,0)," ")</f>
        <v>7260624</v>
      </c>
      <c r="L1346" s="563">
        <f>IF(G1346&lt;&gt;0,VLOOKUP(G1346,'gia dat'!$A$1:$F$144,6,0)," ")</f>
        <v>0</v>
      </c>
      <c r="M1346" s="564">
        <f t="shared" si="291"/>
        <v>1089094000</v>
      </c>
      <c r="N1346" s="564">
        <f t="shared" si="292"/>
        <v>0</v>
      </c>
      <c r="O1346" s="586"/>
      <c r="P1346" s="590"/>
      <c r="Q1346" s="564" t="str">
        <f>IF(O1346&lt;&gt;0,VLOOKUP(O1346,'Cây trong'!$A$2:$C$246,3,0)," ")</f>
        <v xml:space="preserve"> </v>
      </c>
      <c r="R1346" s="564" t="str">
        <f t="shared" si="285"/>
        <v xml:space="preserve"> </v>
      </c>
      <c r="S1346" s="566"/>
      <c r="T1346" s="589"/>
      <c r="U1346" s="591"/>
      <c r="V1346" s="593"/>
      <c r="W1346" s="564" t="str">
        <f>IF(S1346&lt;&gt;0,VLOOKUP(S1346,VKT!$A$2:$G$415,7,0),"")</f>
        <v/>
      </c>
      <c r="X1346" s="564" t="str">
        <f t="shared" si="290"/>
        <v xml:space="preserve"> </v>
      </c>
      <c r="Y1346" s="562"/>
      <c r="Z1346" s="568"/>
      <c r="AA1346" s="568"/>
      <c r="AB1346" s="568"/>
      <c r="AC1346" s="568"/>
      <c r="AD1346" s="568"/>
      <c r="AE1346" s="569"/>
      <c r="AF1346" s="590"/>
      <c r="AG1346" s="570" t="str">
        <f>IF(AE1346&lt;&gt;0,VLOOKUP(AE1346,ODDS!$A$2:$C$13,3,0),"")</f>
        <v/>
      </c>
      <c r="AH1346" s="570" t="str">
        <f t="shared" si="286"/>
        <v xml:space="preserve"> </v>
      </c>
      <c r="AI1346" s="571" t="str">
        <f t="shared" si="284"/>
        <v xml:space="preserve"> </v>
      </c>
      <c r="AJ1346" s="558" t="s">
        <v>2830</v>
      </c>
      <c r="AK1346" s="558" t="s">
        <v>2450</v>
      </c>
    </row>
    <row r="1347" spans="1:37" s="385" customFormat="1" ht="101.25" outlineLevel="2" x14ac:dyDescent="0.3">
      <c r="A1347" s="447">
        <f t="shared" si="296"/>
        <v>107</v>
      </c>
      <c r="B1347" s="557"/>
      <c r="C1347" s="574"/>
      <c r="D1347" s="615"/>
      <c r="E1347" s="615"/>
      <c r="F1347" s="700"/>
      <c r="G1347" s="558"/>
      <c r="H1347" s="604"/>
      <c r="I1347" s="546"/>
      <c r="J1347" s="589"/>
      <c r="K1347" s="563" t="str">
        <f>IF(G1347&lt;&gt;0,VLOOKUP(G1347,'gia dat'!$A$1:$F$144,5,0)," ")</f>
        <v xml:space="preserve"> </v>
      </c>
      <c r="L1347" s="563" t="str">
        <f>IF(G1347&lt;&gt;0,VLOOKUP(G1347,'gia dat'!$A$1:$F$144,6,0)," ")</f>
        <v xml:space="preserve"> </v>
      </c>
      <c r="M1347" s="564" t="str">
        <f t="shared" si="291"/>
        <v xml:space="preserve"> </v>
      </c>
      <c r="N1347" s="564" t="str">
        <f t="shared" si="292"/>
        <v xml:space="preserve"> </v>
      </c>
      <c r="O1347" s="558"/>
      <c r="P1347" s="590"/>
      <c r="Q1347" s="564" t="str">
        <f>IF(O1347&lt;&gt;0,VLOOKUP(O1347,'Cây trong'!$A$2:$C$246,3,0)," ")</f>
        <v xml:space="preserve"> </v>
      </c>
      <c r="R1347" s="564" t="str">
        <f t="shared" si="285"/>
        <v xml:space="preserve"> </v>
      </c>
      <c r="S1347" s="566"/>
      <c r="T1347" s="589"/>
      <c r="U1347" s="591"/>
      <c r="V1347" s="593"/>
      <c r="W1347" s="564" t="str">
        <f>IF(S1347&lt;&gt;0,VLOOKUP(S1347,VKT!$A$2:$G$415,7,0),"")</f>
        <v/>
      </c>
      <c r="X1347" s="564" t="str">
        <f t="shared" si="290"/>
        <v xml:space="preserve"> </v>
      </c>
      <c r="Y1347" s="562"/>
      <c r="Z1347" s="568"/>
      <c r="AA1347" s="568"/>
      <c r="AB1347" s="568"/>
      <c r="AC1347" s="568"/>
      <c r="AD1347" s="568"/>
      <c r="AE1347" s="606"/>
      <c r="AF1347" s="590"/>
      <c r="AG1347" s="570" t="str">
        <f>IF(AE1347&lt;&gt;0,VLOOKUP(AE1347,ODDS!$A$2:$C$13,3,0),"")</f>
        <v/>
      </c>
      <c r="AH1347" s="570" t="str">
        <f t="shared" si="286"/>
        <v xml:space="preserve"> </v>
      </c>
      <c r="AI1347" s="571" t="str">
        <f t="shared" si="284"/>
        <v xml:space="preserve"> </v>
      </c>
      <c r="AJ1347" s="586" t="s">
        <v>2228</v>
      </c>
      <c r="AK1347" s="558" t="s">
        <v>2449</v>
      </c>
    </row>
    <row r="1348" spans="1:37" s="385" customFormat="1" ht="101.25" outlineLevel="2" x14ac:dyDescent="0.3">
      <c r="A1348" s="447">
        <f t="shared" si="296"/>
        <v>107</v>
      </c>
      <c r="B1348" s="557"/>
      <c r="C1348" s="586"/>
      <c r="D1348" s="696"/>
      <c r="E1348" s="696"/>
      <c r="F1348" s="696"/>
      <c r="G1348" s="586"/>
      <c r="H1348" s="730"/>
      <c r="I1348" s="546"/>
      <c r="J1348" s="661"/>
      <c r="K1348" s="563" t="str">
        <f>IF(G1348&lt;&gt;0,VLOOKUP(G1348,'gia dat'!$A$1:$F$144,5,0)," ")</f>
        <v xml:space="preserve"> </v>
      </c>
      <c r="L1348" s="563" t="str">
        <f>IF(G1348&lt;&gt;0,VLOOKUP(G1348,'gia dat'!$A$1:$F$144,6,0)," ")</f>
        <v xml:space="preserve"> </v>
      </c>
      <c r="M1348" s="564" t="str">
        <f t="shared" si="291"/>
        <v xml:space="preserve"> </v>
      </c>
      <c r="N1348" s="564" t="str">
        <f t="shared" si="292"/>
        <v xml:space="preserve"> </v>
      </c>
      <c r="O1348" s="661"/>
      <c r="P1348" s="630"/>
      <c r="Q1348" s="564" t="str">
        <f>IF(O1348&lt;&gt;0,VLOOKUP(O1348,'Cây trong'!$A$2:$C$246,3,0)," ")</f>
        <v xml:space="preserve"> </v>
      </c>
      <c r="R1348" s="564" t="str">
        <f t="shared" si="285"/>
        <v xml:space="preserve"> </v>
      </c>
      <c r="S1348" s="661"/>
      <c r="T1348" s="661"/>
      <c r="U1348" s="720"/>
      <c r="V1348" s="661"/>
      <c r="W1348" s="564" t="str">
        <f>IF(S1348&lt;&gt;0,VLOOKUP(S1348,VKT!$A$2:$G$415,7,0),"")</f>
        <v/>
      </c>
      <c r="X1348" s="564" t="str">
        <f t="shared" si="290"/>
        <v xml:space="preserve"> </v>
      </c>
      <c r="Y1348" s="586"/>
      <c r="Z1348" s="586"/>
      <c r="AA1348" s="586"/>
      <c r="AB1348" s="586"/>
      <c r="AC1348" s="586"/>
      <c r="AD1348" s="586"/>
      <c r="AE1348" s="586"/>
      <c r="AF1348" s="714"/>
      <c r="AG1348" s="570" t="str">
        <f>IF(AE1348&lt;&gt;0,VLOOKUP(AE1348,ODDS!$A$2:$C$13,3,0),"")</f>
        <v/>
      </c>
      <c r="AH1348" s="570" t="str">
        <f t="shared" si="286"/>
        <v xml:space="preserve"> </v>
      </c>
      <c r="AI1348" s="571" t="str">
        <f t="shared" si="284"/>
        <v xml:space="preserve"> </v>
      </c>
      <c r="AJ1348" s="593" t="s">
        <v>2350</v>
      </c>
      <c r="AK1348" s="586" t="s">
        <v>2800</v>
      </c>
    </row>
    <row r="1349" spans="1:37" s="385" customFormat="1" ht="20.25" outlineLevel="2" x14ac:dyDescent="0.3">
      <c r="A1349" s="447">
        <f t="shared" si="296"/>
        <v>107</v>
      </c>
      <c r="B1349" s="557"/>
      <c r="C1349" s="572"/>
      <c r="D1349" s="703"/>
      <c r="E1349" s="615"/>
      <c r="F1349" s="700"/>
      <c r="G1349" s="558"/>
      <c r="H1349" s="732"/>
      <c r="I1349" s="546"/>
      <c r="J1349" s="710"/>
      <c r="K1349" s="563" t="str">
        <f>IF(G1349&lt;&gt;0,VLOOKUP(G1349,'gia dat'!$A$1:$F$144,5,0)," ")</f>
        <v xml:space="preserve"> </v>
      </c>
      <c r="L1349" s="563" t="str">
        <f>IF(G1349&lt;&gt;0,VLOOKUP(G1349,'gia dat'!$A$1:$F$144,6,0)," ")</f>
        <v xml:space="preserve"> </v>
      </c>
      <c r="M1349" s="564" t="str">
        <f t="shared" si="291"/>
        <v xml:space="preserve"> </v>
      </c>
      <c r="N1349" s="564" t="str">
        <f t="shared" si="292"/>
        <v xml:space="preserve"> </v>
      </c>
      <c r="O1349" s="586"/>
      <c r="P1349" s="630"/>
      <c r="Q1349" s="564" t="str">
        <f>IF(O1349&lt;&gt;0,VLOOKUP(O1349,'Cây trong'!$A$2:$C$246,3,0)," ")</f>
        <v xml:space="preserve"> </v>
      </c>
      <c r="R1349" s="564" t="str">
        <f t="shared" si="285"/>
        <v xml:space="preserve"> </v>
      </c>
      <c r="S1349" s="586"/>
      <c r="T1349" s="609"/>
      <c r="U1349" s="567"/>
      <c r="V1349" s="593"/>
      <c r="W1349" s="564" t="str">
        <f>IF(S1349&lt;&gt;0,VLOOKUP(S1349,VKT!$A$2:$G$415,7,0),"")</f>
        <v/>
      </c>
      <c r="X1349" s="564" t="str">
        <f t="shared" si="290"/>
        <v xml:space="preserve"> </v>
      </c>
      <c r="Y1349" s="562"/>
      <c r="Z1349" s="568"/>
      <c r="AA1349" s="568"/>
      <c r="AB1349" s="568"/>
      <c r="AC1349" s="568"/>
      <c r="AD1349" s="568"/>
      <c r="AE1349" s="568"/>
      <c r="AF1349" s="563"/>
      <c r="AG1349" s="570" t="str">
        <f>IF(AE1349&lt;&gt;0,VLOOKUP(AE1349,ODDS!$A$2:$C$13,3,0),"")</f>
        <v/>
      </c>
      <c r="AH1349" s="570" t="str">
        <f t="shared" si="286"/>
        <v xml:space="preserve"> </v>
      </c>
      <c r="AI1349" s="571" t="str">
        <f t="shared" si="284"/>
        <v xml:space="preserve"> </v>
      </c>
      <c r="AJ1349" s="704"/>
      <c r="AK1349" s="593"/>
    </row>
    <row r="1350" spans="1:37" s="385" customFormat="1" ht="20.25" outlineLevel="2" x14ac:dyDescent="0.3">
      <c r="A1350" s="447">
        <f t="shared" si="296"/>
        <v>107</v>
      </c>
      <c r="B1350" s="557"/>
      <c r="C1350" s="558"/>
      <c r="D1350" s="615"/>
      <c r="E1350" s="612"/>
      <c r="F1350" s="612"/>
      <c r="G1350" s="586"/>
      <c r="H1350" s="732"/>
      <c r="I1350" s="546"/>
      <c r="J1350" s="710"/>
      <c r="K1350" s="563" t="str">
        <f>IF(G1350&lt;&gt;0,VLOOKUP(G1350,'gia dat'!$A$1:$F$144,5,0)," ")</f>
        <v xml:space="preserve"> </v>
      </c>
      <c r="L1350" s="563" t="str">
        <f>IF(G1350&lt;&gt;0,VLOOKUP(G1350,'gia dat'!$A$1:$F$144,6,0)," ")</f>
        <v xml:space="preserve"> </v>
      </c>
      <c r="M1350" s="564" t="str">
        <f t="shared" si="291"/>
        <v xml:space="preserve"> </v>
      </c>
      <c r="N1350" s="564" t="str">
        <f t="shared" si="292"/>
        <v xml:space="preserve"> </v>
      </c>
      <c r="O1350" s="586"/>
      <c r="P1350" s="630"/>
      <c r="Q1350" s="564" t="str">
        <f>IF(O1350&lt;&gt;0,VLOOKUP(O1350,'Cây trong'!$A$2:$C$246,3,0)," ")</f>
        <v xml:space="preserve"> </v>
      </c>
      <c r="R1350" s="564" t="str">
        <f t="shared" si="285"/>
        <v xml:space="preserve"> </v>
      </c>
      <c r="S1350" s="586"/>
      <c r="T1350" s="609"/>
      <c r="U1350" s="567"/>
      <c r="V1350" s="593"/>
      <c r="W1350" s="564" t="str">
        <f>IF(S1350&lt;&gt;0,VLOOKUP(S1350,VKT!$A$2:$G$415,7,0),"")</f>
        <v/>
      </c>
      <c r="X1350" s="564" t="str">
        <f t="shared" si="290"/>
        <v xml:space="preserve"> </v>
      </c>
      <c r="Y1350" s="562"/>
      <c r="Z1350" s="568"/>
      <c r="AA1350" s="568"/>
      <c r="AB1350" s="568"/>
      <c r="AC1350" s="568"/>
      <c r="AD1350" s="568"/>
      <c r="AE1350" s="568"/>
      <c r="AF1350" s="563"/>
      <c r="AG1350" s="570" t="str">
        <f>IF(AE1350&lt;&gt;0,VLOOKUP(AE1350,ODDS!$A$2:$C$13,3,0),"")</f>
        <v/>
      </c>
      <c r="AH1350" s="570" t="str">
        <f t="shared" si="286"/>
        <v xml:space="preserve"> </v>
      </c>
      <c r="AI1350" s="571" t="str">
        <f t="shared" si="284"/>
        <v xml:space="preserve"> </v>
      </c>
      <c r="AJ1350" s="593"/>
      <c r="AK1350" s="593"/>
    </row>
    <row r="1351" spans="1:37" s="385" customFormat="1" ht="20.25" outlineLevel="2" x14ac:dyDescent="0.3">
      <c r="A1351" s="447">
        <f t="shared" si="296"/>
        <v>107</v>
      </c>
      <c r="B1351" s="557"/>
      <c r="C1351" s="558"/>
      <c r="D1351" s="615"/>
      <c r="E1351" s="615"/>
      <c r="F1351" s="700"/>
      <c r="G1351" s="558"/>
      <c r="H1351" s="732"/>
      <c r="I1351" s="546"/>
      <c r="J1351" s="710"/>
      <c r="K1351" s="563" t="str">
        <f>IF(G1351&lt;&gt;0,VLOOKUP(G1351,'gia dat'!$A$1:$F$144,5,0)," ")</f>
        <v xml:space="preserve"> </v>
      </c>
      <c r="L1351" s="563" t="str">
        <f>IF(G1351&lt;&gt;0,VLOOKUP(G1351,'gia dat'!$A$1:$F$144,6,0)," ")</f>
        <v xml:space="preserve"> </v>
      </c>
      <c r="M1351" s="564" t="str">
        <f t="shared" si="291"/>
        <v xml:space="preserve"> </v>
      </c>
      <c r="N1351" s="564" t="str">
        <f t="shared" si="292"/>
        <v xml:space="preserve"> </v>
      </c>
      <c r="O1351" s="586"/>
      <c r="P1351" s="630"/>
      <c r="Q1351" s="564" t="str">
        <f>IF(O1351&lt;&gt;0,VLOOKUP(O1351,'Cây trong'!$A$2:$C$246,3,0)," ")</f>
        <v xml:space="preserve"> </v>
      </c>
      <c r="R1351" s="564" t="str">
        <f t="shared" si="285"/>
        <v xml:space="preserve"> </v>
      </c>
      <c r="S1351" s="586"/>
      <c r="T1351" s="609"/>
      <c r="U1351" s="567"/>
      <c r="V1351" s="593"/>
      <c r="W1351" s="564" t="str">
        <f>IF(S1351&lt;&gt;0,VLOOKUP(S1351,VKT!$A$2:$G$415,7,0),"")</f>
        <v/>
      </c>
      <c r="X1351" s="564" t="str">
        <f t="shared" si="290"/>
        <v xml:space="preserve"> </v>
      </c>
      <c r="Y1351" s="562"/>
      <c r="Z1351" s="568"/>
      <c r="AA1351" s="568"/>
      <c r="AB1351" s="568"/>
      <c r="AC1351" s="568"/>
      <c r="AD1351" s="568"/>
      <c r="AE1351" s="568"/>
      <c r="AF1351" s="563"/>
      <c r="AG1351" s="570" t="str">
        <f>IF(AE1351&lt;&gt;0,VLOOKUP(AE1351,ODDS!$A$2:$C$13,3,0),"")</f>
        <v/>
      </c>
      <c r="AH1351" s="570" t="str">
        <f t="shared" si="286"/>
        <v xml:space="preserve"> </v>
      </c>
      <c r="AI1351" s="571" t="str">
        <f t="shared" si="284"/>
        <v xml:space="preserve"> </v>
      </c>
      <c r="AJ1351" s="593"/>
      <c r="AK1351" s="593"/>
    </row>
    <row r="1352" spans="1:37" s="385" customFormat="1" ht="20.25" outlineLevel="2" x14ac:dyDescent="0.3">
      <c r="A1352" s="447">
        <f t="shared" si="296"/>
        <v>107</v>
      </c>
      <c r="B1352" s="557"/>
      <c r="C1352" s="558"/>
      <c r="D1352" s="615"/>
      <c r="E1352" s="615"/>
      <c r="F1352" s="700"/>
      <c r="G1352" s="558"/>
      <c r="H1352" s="604"/>
      <c r="I1352" s="546"/>
      <c r="J1352" s="589"/>
      <c r="K1352" s="563" t="str">
        <f>IF(G1352&lt;&gt;0,VLOOKUP(G1352,'gia dat'!$A$1:$F$144,5,0)," ")</f>
        <v xml:space="preserve"> </v>
      </c>
      <c r="L1352" s="563" t="str">
        <f>IF(G1352&lt;&gt;0,VLOOKUP(G1352,'gia dat'!$A$1:$F$144,6,0)," ")</f>
        <v xml:space="preserve"> </v>
      </c>
      <c r="M1352" s="564" t="str">
        <f t="shared" si="291"/>
        <v xml:space="preserve"> </v>
      </c>
      <c r="N1352" s="564" t="str">
        <f t="shared" si="292"/>
        <v xml:space="preserve"> </v>
      </c>
      <c r="O1352" s="586"/>
      <c r="P1352" s="590"/>
      <c r="Q1352" s="564" t="str">
        <f>IF(O1352&lt;&gt;0,VLOOKUP(O1352,'Cây trong'!$A$2:$C$246,3,0)," ")</f>
        <v xml:space="preserve"> </v>
      </c>
      <c r="R1352" s="564" t="str">
        <f t="shared" si="285"/>
        <v xml:space="preserve"> </v>
      </c>
      <c r="S1352" s="566"/>
      <c r="T1352" s="589"/>
      <c r="U1352" s="591"/>
      <c r="V1352" s="593"/>
      <c r="W1352" s="564" t="str">
        <f>IF(S1352&lt;&gt;0,VLOOKUP(S1352,VKT!$A$2:$G$415,7,0),"")</f>
        <v/>
      </c>
      <c r="X1352" s="564" t="str">
        <f t="shared" si="290"/>
        <v xml:space="preserve"> </v>
      </c>
      <c r="Y1352" s="562"/>
      <c r="Z1352" s="568"/>
      <c r="AA1352" s="568"/>
      <c r="AB1352" s="568"/>
      <c r="AC1352" s="568"/>
      <c r="AD1352" s="568"/>
      <c r="AE1352" s="568"/>
      <c r="AF1352" s="563"/>
      <c r="AG1352" s="570" t="str">
        <f>IF(AE1352&lt;&gt;0,VLOOKUP(AE1352,ODDS!$A$2:$C$13,3,0),"")</f>
        <v/>
      </c>
      <c r="AH1352" s="570" t="str">
        <f t="shared" si="286"/>
        <v xml:space="preserve"> </v>
      </c>
      <c r="AI1352" s="571" t="str">
        <f t="shared" si="284"/>
        <v xml:space="preserve"> </v>
      </c>
      <c r="AJ1352" s="593"/>
      <c r="AK1352" s="593"/>
    </row>
    <row r="1353" spans="1:37" s="385" customFormat="1" ht="20.25" outlineLevel="2" x14ac:dyDescent="0.3">
      <c r="A1353" s="447">
        <f t="shared" si="296"/>
        <v>107</v>
      </c>
      <c r="B1353" s="557"/>
      <c r="C1353" s="574"/>
      <c r="D1353" s="615"/>
      <c r="E1353" s="615"/>
      <c r="F1353" s="700"/>
      <c r="G1353" s="558"/>
      <c r="H1353" s="604"/>
      <c r="I1353" s="546"/>
      <c r="J1353" s="589"/>
      <c r="K1353" s="563" t="str">
        <f>IF(G1353&lt;&gt;0,VLOOKUP(G1353,'gia dat'!$A$1:$F$144,5,0)," ")</f>
        <v xml:space="preserve"> </v>
      </c>
      <c r="L1353" s="563" t="str">
        <f>IF(G1353&lt;&gt;0,VLOOKUP(G1353,'gia dat'!$A$1:$F$144,6,0)," ")</f>
        <v xml:space="preserve"> </v>
      </c>
      <c r="M1353" s="564" t="str">
        <f t="shared" si="291"/>
        <v xml:space="preserve"> </v>
      </c>
      <c r="N1353" s="564" t="str">
        <f t="shared" si="292"/>
        <v xml:space="preserve"> </v>
      </c>
      <c r="O1353" s="558"/>
      <c r="P1353" s="590"/>
      <c r="Q1353" s="564" t="str">
        <f>IF(O1353&lt;&gt;0,VLOOKUP(O1353,'Cây trong'!$A$2:$C$246,3,0)," ")</f>
        <v xml:space="preserve"> </v>
      </c>
      <c r="R1353" s="564" t="str">
        <f t="shared" si="285"/>
        <v xml:space="preserve"> </v>
      </c>
      <c r="S1353" s="566"/>
      <c r="T1353" s="589"/>
      <c r="U1353" s="591"/>
      <c r="V1353" s="593"/>
      <c r="W1353" s="564" t="str">
        <f>IF(S1353&lt;&gt;0,VLOOKUP(S1353,VKT!$A$2:$G$415,7,0),"")</f>
        <v/>
      </c>
      <c r="X1353" s="564" t="str">
        <f t="shared" si="290"/>
        <v xml:space="preserve"> </v>
      </c>
      <c r="Y1353" s="562"/>
      <c r="Z1353" s="568"/>
      <c r="AA1353" s="568"/>
      <c r="AB1353" s="568"/>
      <c r="AC1353" s="568"/>
      <c r="AD1353" s="568"/>
      <c r="AE1353" s="568"/>
      <c r="AF1353" s="563"/>
      <c r="AG1353" s="570" t="str">
        <f>IF(AE1353&lt;&gt;0,VLOOKUP(AE1353,ODDS!$A$2:$C$13,3,0),"")</f>
        <v/>
      </c>
      <c r="AH1353" s="570" t="str">
        <f t="shared" si="286"/>
        <v xml:space="preserve"> </v>
      </c>
      <c r="AI1353" s="571" t="str">
        <f t="shared" ref="AI1353:AI1416" si="297">IF(B1353&lt;&gt;0,M1353+N1353+R1353+X1353+AH1353," ")</f>
        <v xml:space="preserve"> </v>
      </c>
      <c r="AJ1353" s="593"/>
      <c r="AK1353" s="593"/>
    </row>
    <row r="1354" spans="1:37" s="385" customFormat="1" ht="20.25" outlineLevel="1" x14ac:dyDescent="0.25">
      <c r="A1354" s="467" t="s">
        <v>2602</v>
      </c>
      <c r="B1354" s="576">
        <v>108</v>
      </c>
      <c r="C1354" s="574" t="s">
        <v>987</v>
      </c>
      <c r="D1354" s="705"/>
      <c r="E1354" s="705"/>
      <c r="F1354" s="706"/>
      <c r="G1354" s="574"/>
      <c r="H1354" s="596">
        <f>SUBTOTAL(9,H1355:H1361)</f>
        <v>664.4</v>
      </c>
      <c r="I1354" s="579">
        <f>SUBTOTAL(9,I1355:I1360)</f>
        <v>614.5</v>
      </c>
      <c r="J1354" s="597"/>
      <c r="K1354" s="581"/>
      <c r="L1354" s="581"/>
      <c r="M1354" s="571">
        <f>SUBTOTAL(9,M1355:M1361)</f>
        <v>648416000</v>
      </c>
      <c r="N1354" s="571">
        <f>SUBTOTAL(9,N1355:N1361)</f>
        <v>858334000</v>
      </c>
      <c r="O1354" s="578"/>
      <c r="P1354" s="633">
        <f>SUBTOTAL(9,P1355:P1361)</f>
        <v>7</v>
      </c>
      <c r="Q1354" s="571"/>
      <c r="R1354" s="571">
        <f>SUBTOTAL(9,R1355:R1361)</f>
        <v>1308000</v>
      </c>
      <c r="S1354" s="582"/>
      <c r="T1354" s="597"/>
      <c r="U1354" s="600">
        <f>SUBTOTAL(9,U1355:U1361)</f>
        <v>0</v>
      </c>
      <c r="V1354" s="608"/>
      <c r="W1354" s="571"/>
      <c r="X1354" s="571">
        <f>SUBTOTAL(9,X1355:X1361)</f>
        <v>0</v>
      </c>
      <c r="Y1354" s="562"/>
      <c r="Z1354" s="568"/>
      <c r="AA1354" s="568"/>
      <c r="AB1354" s="568"/>
      <c r="AC1354" s="568"/>
      <c r="AD1354" s="568"/>
      <c r="AE1354" s="602"/>
      <c r="AF1354" s="581">
        <f>SUBTOTAL(9,AF1355:AF1361)</f>
        <v>0</v>
      </c>
      <c r="AG1354" s="585"/>
      <c r="AH1354" s="585">
        <f>SUBTOTAL(9,AH1355:AH1361)</f>
        <v>0</v>
      </c>
      <c r="AI1354" s="571">
        <f t="shared" si="297"/>
        <v>1508058000</v>
      </c>
      <c r="AJ1354" s="574"/>
      <c r="AK1354" s="578"/>
    </row>
    <row r="1355" spans="1:37" s="385" customFormat="1" ht="121.5" outlineLevel="2" x14ac:dyDescent="0.3">
      <c r="A1355" s="447">
        <f>IF(B1354&lt;&gt;0,B1354,A1353)</f>
        <v>108</v>
      </c>
      <c r="B1355" s="557"/>
      <c r="C1355" s="558" t="s">
        <v>990</v>
      </c>
      <c r="D1355" s="615">
        <v>4</v>
      </c>
      <c r="E1355" s="615">
        <v>86</v>
      </c>
      <c r="F1355" s="700">
        <v>154</v>
      </c>
      <c r="G1355" s="558" t="s">
        <v>2871</v>
      </c>
      <c r="H1355" s="604">
        <v>614.5</v>
      </c>
      <c r="I1355" s="546">
        <f t="shared" ref="I1355:I1356" si="298">IF(N1355&gt;0,H1355,"")</f>
        <v>614.5</v>
      </c>
      <c r="J1355" s="589"/>
      <c r="K1355" s="563">
        <f>IF(G1355&lt;&gt;0,VLOOKUP(G1355,'gia dat'!$A$1:$F$144,5,0)," ")</f>
        <v>465600</v>
      </c>
      <c r="L1355" s="563">
        <f>IF(G1355&lt;&gt;0,VLOOKUP(G1355,'gia dat'!$A$1:$F$144,6,0)," ")</f>
        <v>1396800</v>
      </c>
      <c r="M1355" s="564">
        <f t="shared" si="291"/>
        <v>286111000</v>
      </c>
      <c r="N1355" s="564">
        <f t="shared" si="292"/>
        <v>858334000</v>
      </c>
      <c r="O1355" s="586" t="s">
        <v>400</v>
      </c>
      <c r="P1355" s="630">
        <v>5</v>
      </c>
      <c r="Q1355" s="564">
        <f>IF(O1355&lt;&gt;0,VLOOKUP(O1355,'Cây trong'!$A$2:$C$246,3,0)," ")</f>
        <v>228000</v>
      </c>
      <c r="R1355" s="564">
        <f t="shared" si="285"/>
        <v>1140000</v>
      </c>
      <c r="S1355" s="566"/>
      <c r="T1355" s="589"/>
      <c r="U1355" s="591"/>
      <c r="V1355" s="593"/>
      <c r="W1355" s="564" t="str">
        <f>IF(S1355&lt;&gt;0,VLOOKUP(S1355,VKT!$A$2:$G$415,7,0),"")</f>
        <v/>
      </c>
      <c r="X1355" s="564" t="str">
        <f t="shared" si="290"/>
        <v xml:space="preserve"> </v>
      </c>
      <c r="Y1355" s="562"/>
      <c r="Z1355" s="568"/>
      <c r="AA1355" s="568"/>
      <c r="AB1355" s="568"/>
      <c r="AC1355" s="568"/>
      <c r="AD1355" s="568"/>
      <c r="AE1355" s="569"/>
      <c r="AF1355" s="563"/>
      <c r="AG1355" s="570"/>
      <c r="AH1355" s="570"/>
      <c r="AI1355" s="571" t="str">
        <f t="shared" si="297"/>
        <v xml:space="preserve"> </v>
      </c>
      <c r="AJ1355" s="558" t="s">
        <v>989</v>
      </c>
      <c r="AK1355" s="586" t="s">
        <v>2771</v>
      </c>
    </row>
    <row r="1356" spans="1:37" s="385" customFormat="1" ht="101.25" outlineLevel="2" x14ac:dyDescent="0.3">
      <c r="A1356" s="447">
        <f t="shared" ref="A1356:A1361" si="299">IF(B1355&lt;&gt;0,B1355,A1355)</f>
        <v>108</v>
      </c>
      <c r="B1356" s="557"/>
      <c r="C1356" s="572" t="s">
        <v>1575</v>
      </c>
      <c r="D1356" s="615"/>
      <c r="E1356" s="615">
        <v>86</v>
      </c>
      <c r="F1356" s="700">
        <v>154</v>
      </c>
      <c r="G1356" s="558" t="s">
        <v>2049</v>
      </c>
      <c r="H1356" s="604">
        <v>49.9</v>
      </c>
      <c r="I1356" s="546" t="str">
        <f t="shared" si="298"/>
        <v/>
      </c>
      <c r="J1356" s="589"/>
      <c r="K1356" s="563">
        <f>IF(G1356&lt;&gt;0,VLOOKUP(G1356,'gia dat'!$A$1:$F$144,5,0)," ")</f>
        <v>7260624</v>
      </c>
      <c r="L1356" s="563">
        <f>IF(G1356&lt;&gt;0,VLOOKUP(G1356,'gia dat'!$A$1:$F$144,6,0)," ")</f>
        <v>0</v>
      </c>
      <c r="M1356" s="564">
        <f t="shared" si="291"/>
        <v>362305000</v>
      </c>
      <c r="N1356" s="564">
        <f t="shared" si="292"/>
        <v>0</v>
      </c>
      <c r="O1356" s="558" t="s">
        <v>932</v>
      </c>
      <c r="P1356" s="590">
        <v>2</v>
      </c>
      <c r="Q1356" s="564">
        <f>IF(O1356&lt;&gt;0,VLOOKUP(O1356,'Cây trong'!$A$2:$C$246,3,0)," ")</f>
        <v>84000</v>
      </c>
      <c r="R1356" s="564">
        <f t="shared" si="285"/>
        <v>168000</v>
      </c>
      <c r="S1356" s="566"/>
      <c r="T1356" s="589"/>
      <c r="U1356" s="591"/>
      <c r="V1356" s="593"/>
      <c r="W1356" s="564" t="str">
        <f>IF(S1356&lt;&gt;0,VLOOKUP(S1356,VKT!$A$2:$G$415,7,0),"")</f>
        <v/>
      </c>
      <c r="X1356" s="564" t="str">
        <f t="shared" si="290"/>
        <v xml:space="preserve"> </v>
      </c>
      <c r="Y1356" s="562"/>
      <c r="Z1356" s="568"/>
      <c r="AA1356" s="568"/>
      <c r="AB1356" s="568"/>
      <c r="AC1356" s="568"/>
      <c r="AD1356" s="568"/>
      <c r="AE1356" s="568"/>
      <c r="AF1356" s="563"/>
      <c r="AG1356" s="570" t="str">
        <f>IF(AE1356&lt;&gt;0,VLOOKUP(AE1356,ODDS!$A$2:$C$13,3,0),"")</f>
        <v/>
      </c>
      <c r="AH1356" s="570" t="str">
        <f t="shared" si="286"/>
        <v xml:space="preserve"> </v>
      </c>
      <c r="AI1356" s="571" t="str">
        <f t="shared" si="297"/>
        <v xml:space="preserve"> </v>
      </c>
      <c r="AJ1356" s="558" t="s">
        <v>2831</v>
      </c>
      <c r="AK1356" s="558" t="s">
        <v>2448</v>
      </c>
    </row>
    <row r="1357" spans="1:37" s="385" customFormat="1" ht="101.25" outlineLevel="2" x14ac:dyDescent="0.3">
      <c r="A1357" s="447">
        <f t="shared" si="299"/>
        <v>108</v>
      </c>
      <c r="B1357" s="557"/>
      <c r="C1357" s="572"/>
      <c r="D1357" s="615"/>
      <c r="E1357" s="615"/>
      <c r="F1357" s="700"/>
      <c r="G1357" s="558"/>
      <c r="H1357" s="604"/>
      <c r="I1357" s="546"/>
      <c r="J1357" s="589"/>
      <c r="K1357" s="563" t="str">
        <f>IF(G1357&lt;&gt;0,VLOOKUP(G1357,'gia dat'!$A$1:$F$144,5,0)," ")</f>
        <v xml:space="preserve"> </v>
      </c>
      <c r="L1357" s="563" t="str">
        <f>IF(G1357&lt;&gt;0,VLOOKUP(G1357,'gia dat'!$A$1:$F$144,6,0)," ")</f>
        <v xml:space="preserve"> </v>
      </c>
      <c r="M1357" s="564" t="str">
        <f t="shared" si="291"/>
        <v xml:space="preserve"> </v>
      </c>
      <c r="N1357" s="564" t="str">
        <f t="shared" si="292"/>
        <v xml:space="preserve"> </v>
      </c>
      <c r="O1357" s="558"/>
      <c r="P1357" s="590"/>
      <c r="Q1357" s="564" t="str">
        <f>IF(O1357&lt;&gt;0,VLOOKUP(O1357,'Cây trong'!$A$2:$C$246,3,0)," ")</f>
        <v xml:space="preserve"> </v>
      </c>
      <c r="R1357" s="564" t="str">
        <f t="shared" si="285"/>
        <v xml:space="preserve"> </v>
      </c>
      <c r="S1357" s="566"/>
      <c r="T1357" s="589"/>
      <c r="U1357" s="591"/>
      <c r="V1357" s="593"/>
      <c r="W1357" s="564" t="str">
        <f>IF(S1357&lt;&gt;0,VLOOKUP(S1357,VKT!$A$2:$G$415,7,0),"")</f>
        <v/>
      </c>
      <c r="X1357" s="564" t="str">
        <f t="shared" si="290"/>
        <v xml:space="preserve"> </v>
      </c>
      <c r="Y1357" s="562"/>
      <c r="Z1357" s="568"/>
      <c r="AA1357" s="568"/>
      <c r="AB1357" s="568"/>
      <c r="AC1357" s="568"/>
      <c r="AD1357" s="568"/>
      <c r="AE1357" s="568"/>
      <c r="AF1357" s="563"/>
      <c r="AG1357" s="570" t="str">
        <f>IF(AE1357&lt;&gt;0,VLOOKUP(AE1357,ODDS!$A$2:$C$13,3,0),"")</f>
        <v/>
      </c>
      <c r="AH1357" s="570" t="str">
        <f t="shared" si="286"/>
        <v xml:space="preserve"> </v>
      </c>
      <c r="AI1357" s="571" t="str">
        <f t="shared" si="297"/>
        <v xml:space="preserve"> </v>
      </c>
      <c r="AJ1357" s="558" t="s">
        <v>2074</v>
      </c>
      <c r="AK1357" s="558" t="s">
        <v>2449</v>
      </c>
    </row>
    <row r="1358" spans="1:37" s="385" customFormat="1" ht="20.25" outlineLevel="2" x14ac:dyDescent="0.3">
      <c r="A1358" s="447">
        <f t="shared" si="299"/>
        <v>108</v>
      </c>
      <c r="B1358" s="557"/>
      <c r="C1358" s="586"/>
      <c r="D1358" s="703"/>
      <c r="E1358" s="615"/>
      <c r="F1358" s="700"/>
      <c r="G1358" s="558"/>
      <c r="H1358" s="604"/>
      <c r="I1358" s="546"/>
      <c r="J1358" s="710"/>
      <c r="K1358" s="563" t="str">
        <f>IF(G1358&lt;&gt;0,VLOOKUP(G1358,'gia dat'!$A$1:$F$144,5,0)," ")</f>
        <v xml:space="preserve"> </v>
      </c>
      <c r="L1358" s="563" t="str">
        <f>IF(G1358&lt;&gt;0,VLOOKUP(G1358,'gia dat'!$A$1:$F$144,6,0)," ")</f>
        <v xml:space="preserve"> </v>
      </c>
      <c r="M1358" s="564" t="str">
        <f t="shared" si="291"/>
        <v xml:space="preserve"> </v>
      </c>
      <c r="N1358" s="564" t="str">
        <f t="shared" si="292"/>
        <v xml:space="preserve"> </v>
      </c>
      <c r="O1358" s="558"/>
      <c r="P1358" s="630"/>
      <c r="Q1358" s="564" t="str">
        <f>IF(O1358&lt;&gt;0,VLOOKUP(O1358,'Cây trong'!$A$2:$C$246,3,0)," ")</f>
        <v xml:space="preserve"> </v>
      </c>
      <c r="R1358" s="564" t="str">
        <f t="shared" si="285"/>
        <v xml:space="preserve"> </v>
      </c>
      <c r="S1358" s="586"/>
      <c r="T1358" s="609"/>
      <c r="U1358" s="567"/>
      <c r="V1358" s="593"/>
      <c r="W1358" s="564" t="str">
        <f>IF(S1358&lt;&gt;0,VLOOKUP(S1358,VKT!$A$2:$G$415,7,0),"")</f>
        <v/>
      </c>
      <c r="X1358" s="564" t="str">
        <f t="shared" si="290"/>
        <v xml:space="preserve"> </v>
      </c>
      <c r="Y1358" s="562"/>
      <c r="Z1358" s="568"/>
      <c r="AA1358" s="568"/>
      <c r="AB1358" s="568"/>
      <c r="AC1358" s="568"/>
      <c r="AD1358" s="568"/>
      <c r="AE1358" s="568"/>
      <c r="AF1358" s="563"/>
      <c r="AG1358" s="570" t="str">
        <f>IF(AE1358&lt;&gt;0,VLOOKUP(AE1358,ODDS!$A$2:$C$13,3,0),"")</f>
        <v/>
      </c>
      <c r="AH1358" s="570" t="str">
        <f t="shared" si="286"/>
        <v xml:space="preserve"> </v>
      </c>
      <c r="AI1358" s="571" t="str">
        <f t="shared" si="297"/>
        <v xml:space="preserve"> </v>
      </c>
      <c r="AJ1358" s="704"/>
      <c r="AK1358" s="586"/>
    </row>
    <row r="1359" spans="1:37" s="385" customFormat="1" ht="20.25" outlineLevel="2" x14ac:dyDescent="0.3">
      <c r="A1359" s="447">
        <f t="shared" si="299"/>
        <v>108</v>
      </c>
      <c r="B1359" s="557"/>
      <c r="C1359" s="586"/>
      <c r="D1359" s="703"/>
      <c r="E1359" s="615"/>
      <c r="F1359" s="700"/>
      <c r="G1359" s="558"/>
      <c r="H1359" s="732"/>
      <c r="I1359" s="546"/>
      <c r="J1359" s="710"/>
      <c r="K1359" s="563" t="str">
        <f>IF(G1359&lt;&gt;0,VLOOKUP(G1359,'gia dat'!$A$1:$F$144,5,0)," ")</f>
        <v xml:space="preserve"> </v>
      </c>
      <c r="L1359" s="563" t="str">
        <f>IF(G1359&lt;&gt;0,VLOOKUP(G1359,'gia dat'!$A$1:$F$144,6,0)," ")</f>
        <v xml:space="preserve"> </v>
      </c>
      <c r="M1359" s="564" t="str">
        <f t="shared" si="291"/>
        <v xml:space="preserve"> </v>
      </c>
      <c r="N1359" s="564" t="str">
        <f t="shared" si="292"/>
        <v xml:space="preserve"> </v>
      </c>
      <c r="O1359" s="586"/>
      <c r="P1359" s="630"/>
      <c r="Q1359" s="564" t="str">
        <f>IF(O1359&lt;&gt;0,VLOOKUP(O1359,'Cây trong'!$A$2:$C$246,3,0)," ")</f>
        <v xml:space="preserve"> </v>
      </c>
      <c r="R1359" s="564" t="str">
        <f t="shared" si="285"/>
        <v xml:space="preserve"> </v>
      </c>
      <c r="S1359" s="586"/>
      <c r="T1359" s="609"/>
      <c r="U1359" s="567"/>
      <c r="V1359" s="593"/>
      <c r="W1359" s="564" t="str">
        <f>IF(S1359&lt;&gt;0,VLOOKUP(S1359,VKT!$A$2:$G$415,7,0),"")</f>
        <v/>
      </c>
      <c r="X1359" s="564" t="str">
        <f t="shared" si="290"/>
        <v xml:space="preserve"> </v>
      </c>
      <c r="Y1359" s="562"/>
      <c r="Z1359" s="568"/>
      <c r="AA1359" s="568"/>
      <c r="AB1359" s="568"/>
      <c r="AC1359" s="568"/>
      <c r="AD1359" s="568"/>
      <c r="AE1359" s="568"/>
      <c r="AF1359" s="563"/>
      <c r="AG1359" s="570" t="str">
        <f>IF(AE1359&lt;&gt;0,VLOOKUP(AE1359,ODDS!$A$2:$C$13,3,0),"")</f>
        <v/>
      </c>
      <c r="AH1359" s="570" t="str">
        <f t="shared" si="286"/>
        <v xml:space="preserve"> </v>
      </c>
      <c r="AI1359" s="571" t="str">
        <f t="shared" si="297"/>
        <v xml:space="preserve"> </v>
      </c>
      <c r="AJ1359" s="704"/>
      <c r="AK1359" s="593"/>
    </row>
    <row r="1360" spans="1:37" s="385" customFormat="1" ht="20.25" outlineLevel="2" x14ac:dyDescent="0.3">
      <c r="A1360" s="447">
        <f t="shared" si="299"/>
        <v>108</v>
      </c>
      <c r="B1360" s="557"/>
      <c r="C1360" s="572"/>
      <c r="D1360" s="703"/>
      <c r="E1360" s="615"/>
      <c r="F1360" s="700"/>
      <c r="G1360" s="558"/>
      <c r="H1360" s="732"/>
      <c r="I1360" s="546"/>
      <c r="J1360" s="710"/>
      <c r="K1360" s="563" t="str">
        <f>IF(G1360&lt;&gt;0,VLOOKUP(G1360,'gia dat'!$A$1:$F$144,5,0)," ")</f>
        <v xml:space="preserve"> </v>
      </c>
      <c r="L1360" s="563" t="str">
        <f>IF(G1360&lt;&gt;0,VLOOKUP(G1360,'gia dat'!$A$1:$F$144,6,0)," ")</f>
        <v xml:space="preserve"> </v>
      </c>
      <c r="M1360" s="564" t="str">
        <f t="shared" si="291"/>
        <v xml:space="preserve"> </v>
      </c>
      <c r="N1360" s="564" t="str">
        <f t="shared" si="292"/>
        <v xml:space="preserve"> </v>
      </c>
      <c r="O1360" s="586"/>
      <c r="P1360" s="630"/>
      <c r="Q1360" s="564" t="str">
        <f>IF(O1360&lt;&gt;0,VLOOKUP(O1360,'Cây trong'!$A$2:$C$246,3,0)," ")</f>
        <v xml:space="preserve"> </v>
      </c>
      <c r="R1360" s="564" t="str">
        <f t="shared" si="285"/>
        <v xml:space="preserve"> </v>
      </c>
      <c r="S1360" s="586"/>
      <c r="T1360" s="609"/>
      <c r="U1360" s="567"/>
      <c r="V1360" s="593"/>
      <c r="W1360" s="564" t="str">
        <f>IF(S1360&lt;&gt;0,VLOOKUP(S1360,VKT!$A$2:$G$415,7,0),"")</f>
        <v/>
      </c>
      <c r="X1360" s="564" t="str">
        <f t="shared" si="290"/>
        <v xml:space="preserve"> </v>
      </c>
      <c r="Y1360" s="562"/>
      <c r="Z1360" s="568"/>
      <c r="AA1360" s="568"/>
      <c r="AB1360" s="568"/>
      <c r="AC1360" s="568"/>
      <c r="AD1360" s="568"/>
      <c r="AE1360" s="568"/>
      <c r="AF1360" s="563"/>
      <c r="AG1360" s="570" t="str">
        <f>IF(AE1360&lt;&gt;0,VLOOKUP(AE1360,ODDS!$A$2:$C$13,3,0),"")</f>
        <v/>
      </c>
      <c r="AH1360" s="570" t="str">
        <f t="shared" si="286"/>
        <v xml:space="preserve"> </v>
      </c>
      <c r="AI1360" s="571" t="str">
        <f t="shared" si="297"/>
        <v xml:space="preserve"> </v>
      </c>
      <c r="AJ1360" s="593"/>
      <c r="AK1360" s="593"/>
    </row>
    <row r="1361" spans="1:37" s="385" customFormat="1" ht="20.25" outlineLevel="2" x14ac:dyDescent="0.3">
      <c r="A1361" s="447">
        <f t="shared" si="299"/>
        <v>108</v>
      </c>
      <c r="B1361" s="557"/>
      <c r="C1361" s="574"/>
      <c r="D1361" s="615"/>
      <c r="E1361" s="612"/>
      <c r="F1361" s="612"/>
      <c r="G1361" s="586"/>
      <c r="H1361" s="732"/>
      <c r="I1361" s="546"/>
      <c r="J1361" s="710"/>
      <c r="K1361" s="563" t="str">
        <f>IF(G1361&lt;&gt;0,VLOOKUP(G1361,'gia dat'!$A$1:$F$144,5,0)," ")</f>
        <v xml:space="preserve"> </v>
      </c>
      <c r="L1361" s="563" t="str">
        <f>IF(G1361&lt;&gt;0,VLOOKUP(G1361,'gia dat'!$A$1:$F$144,6,0)," ")</f>
        <v xml:space="preserve"> </v>
      </c>
      <c r="M1361" s="564" t="str">
        <f t="shared" si="291"/>
        <v xml:space="preserve"> </v>
      </c>
      <c r="N1361" s="564" t="str">
        <f t="shared" si="292"/>
        <v xml:space="preserve"> </v>
      </c>
      <c r="O1361" s="586"/>
      <c r="P1361" s="630"/>
      <c r="Q1361" s="564" t="str">
        <f>IF(O1361&lt;&gt;0,VLOOKUP(O1361,'Cây trong'!$A$2:$C$246,3,0)," ")</f>
        <v xml:space="preserve"> </v>
      </c>
      <c r="R1361" s="564" t="str">
        <f t="shared" si="285"/>
        <v xml:space="preserve"> </v>
      </c>
      <c r="S1361" s="586"/>
      <c r="T1361" s="609"/>
      <c r="U1361" s="567"/>
      <c r="V1361" s="593"/>
      <c r="W1361" s="564" t="str">
        <f>IF(S1361&lt;&gt;0,VLOOKUP(S1361,VKT!$A$2:$G$415,7,0),"")</f>
        <v/>
      </c>
      <c r="X1361" s="564" t="str">
        <f t="shared" si="290"/>
        <v xml:space="preserve"> </v>
      </c>
      <c r="Y1361" s="562"/>
      <c r="Z1361" s="568"/>
      <c r="AA1361" s="568"/>
      <c r="AB1361" s="568"/>
      <c r="AC1361" s="568"/>
      <c r="AD1361" s="568"/>
      <c r="AE1361" s="568"/>
      <c r="AF1361" s="563"/>
      <c r="AG1361" s="570" t="str">
        <f>IF(AE1361&lt;&gt;0,VLOOKUP(AE1361,ODDS!$A$2:$C$13,3,0),"")</f>
        <v/>
      </c>
      <c r="AH1361" s="570" t="str">
        <f t="shared" si="286"/>
        <v xml:space="preserve"> </v>
      </c>
      <c r="AI1361" s="571" t="str">
        <f t="shared" si="297"/>
        <v xml:space="preserve"> </v>
      </c>
      <c r="AJ1361" s="593"/>
      <c r="AK1361" s="593"/>
    </row>
    <row r="1362" spans="1:37" s="385" customFormat="1" ht="20.25" outlineLevel="1" x14ac:dyDescent="0.25">
      <c r="A1362" s="467" t="s">
        <v>2601</v>
      </c>
      <c r="B1362" s="576">
        <v>109</v>
      </c>
      <c r="C1362" s="574" t="s">
        <v>993</v>
      </c>
      <c r="D1362" s="705"/>
      <c r="E1362" s="705"/>
      <c r="F1362" s="706"/>
      <c r="G1362" s="574"/>
      <c r="H1362" s="596">
        <f>SUBTOTAL(9,H1363:H1370)</f>
        <v>168.5</v>
      </c>
      <c r="I1362" s="579">
        <f>SUBTOTAL(9,I1363:I1368)</f>
        <v>0</v>
      </c>
      <c r="J1362" s="597"/>
      <c r="K1362" s="581"/>
      <c r="L1362" s="581"/>
      <c r="M1362" s="571">
        <f>SUBTOTAL(9,M1363:M1370)</f>
        <v>867488000</v>
      </c>
      <c r="N1362" s="571">
        <f>SUBTOTAL(9,N1363:N1370)</f>
        <v>0</v>
      </c>
      <c r="O1362" s="578"/>
      <c r="P1362" s="599">
        <f>SUBTOTAL(9,P1363:P1370)</f>
        <v>51</v>
      </c>
      <c r="Q1362" s="571"/>
      <c r="R1362" s="571">
        <f>SUBTOTAL(9,R1363:R1370)</f>
        <v>5771000</v>
      </c>
      <c r="S1362" s="582"/>
      <c r="T1362" s="597"/>
      <c r="U1362" s="600">
        <f>SUBTOTAL(9,U1363:U1370)</f>
        <v>0</v>
      </c>
      <c r="V1362" s="608"/>
      <c r="W1362" s="571"/>
      <c r="X1362" s="571">
        <f>SUBTOTAL(9,X1363:X1370)</f>
        <v>0</v>
      </c>
      <c r="Y1362" s="562"/>
      <c r="Z1362" s="568"/>
      <c r="AA1362" s="568"/>
      <c r="AB1362" s="568"/>
      <c r="AC1362" s="568"/>
      <c r="AD1362" s="568"/>
      <c r="AE1362" s="602"/>
      <c r="AF1362" s="581">
        <f>SUBTOTAL(9,AF1363:AF1370)</f>
        <v>0</v>
      </c>
      <c r="AG1362" s="585"/>
      <c r="AH1362" s="585">
        <f>SUBTOTAL(9,AH1363:AH1370)</f>
        <v>0</v>
      </c>
      <c r="AI1362" s="571">
        <f t="shared" si="297"/>
        <v>873259000</v>
      </c>
      <c r="AJ1362" s="574"/>
      <c r="AK1362" s="578"/>
    </row>
    <row r="1363" spans="1:37" s="385" customFormat="1" ht="121.5" outlineLevel="2" x14ac:dyDescent="0.3">
      <c r="A1363" s="447">
        <f>IF(B1362&lt;&gt;0,B1362,A1361)</f>
        <v>109</v>
      </c>
      <c r="B1363" s="557"/>
      <c r="C1363" s="558" t="s">
        <v>995</v>
      </c>
      <c r="D1363" s="615">
        <v>5</v>
      </c>
      <c r="E1363" s="615">
        <v>86</v>
      </c>
      <c r="F1363" s="700">
        <v>165</v>
      </c>
      <c r="G1363" s="558" t="s">
        <v>2870</v>
      </c>
      <c r="H1363" s="604">
        <f>68.5</f>
        <v>68.5</v>
      </c>
      <c r="I1363" s="546" t="str">
        <f t="shared" ref="I1363:I1365" si="300">IF(N1363&gt;0,H1363,"")</f>
        <v/>
      </c>
      <c r="J1363" s="589"/>
      <c r="K1363" s="563">
        <f>IF(G1363&lt;&gt;0,VLOOKUP(G1363,'gia dat'!$A$1:$F$144,5,0)," ")</f>
        <v>465600</v>
      </c>
      <c r="L1363" s="563">
        <f>IF(G1363&lt;&gt;0,VLOOKUP(G1363,'gia dat'!$A$1:$F$144,6,0)," ")</f>
        <v>0</v>
      </c>
      <c r="M1363" s="564">
        <f t="shared" si="291"/>
        <v>31894000</v>
      </c>
      <c r="N1363" s="564">
        <f t="shared" si="292"/>
        <v>0</v>
      </c>
      <c r="O1363" s="586" t="s">
        <v>400</v>
      </c>
      <c r="P1363" s="590">
        <v>17</v>
      </c>
      <c r="Q1363" s="564">
        <f>IF(O1363&lt;&gt;0,VLOOKUP(O1363,'Cây trong'!$A$2:$C$246,3,0)," ")</f>
        <v>228000</v>
      </c>
      <c r="R1363" s="564">
        <f t="shared" si="285"/>
        <v>3876000</v>
      </c>
      <c r="S1363" s="566"/>
      <c r="T1363" s="589"/>
      <c r="U1363" s="591"/>
      <c r="V1363" s="593"/>
      <c r="W1363" s="564" t="str">
        <f>IF(S1363&lt;&gt;0,VLOOKUP(S1363,VKT!$A$2:$G$415,7,0),"")</f>
        <v/>
      </c>
      <c r="X1363" s="564" t="str">
        <f t="shared" si="290"/>
        <v xml:space="preserve"> </v>
      </c>
      <c r="Y1363" s="562"/>
      <c r="Z1363" s="568"/>
      <c r="AA1363" s="568"/>
      <c r="AB1363" s="568"/>
      <c r="AC1363" s="568"/>
      <c r="AD1363" s="568"/>
      <c r="AE1363" s="569"/>
      <c r="AF1363" s="563"/>
      <c r="AG1363" s="570"/>
      <c r="AH1363" s="570"/>
      <c r="AI1363" s="571" t="str">
        <f t="shared" si="297"/>
        <v xml:space="preserve"> </v>
      </c>
      <c r="AJ1363" s="684" t="s">
        <v>2782</v>
      </c>
      <c r="AK1363" s="586" t="s">
        <v>2771</v>
      </c>
    </row>
    <row r="1364" spans="1:37" s="385" customFormat="1" ht="101.25" outlineLevel="2" x14ac:dyDescent="0.3">
      <c r="A1364" s="447">
        <f t="shared" ref="A1364:A1370" si="301">IF(B1363&lt;&gt;0,B1363,A1363)</f>
        <v>109</v>
      </c>
      <c r="B1364" s="557"/>
      <c r="C1364" s="572" t="s">
        <v>2781</v>
      </c>
      <c r="D1364" s="615"/>
      <c r="E1364" s="615">
        <v>86</v>
      </c>
      <c r="F1364" s="700">
        <v>165</v>
      </c>
      <c r="G1364" s="558" t="s">
        <v>2491</v>
      </c>
      <c r="H1364" s="730">
        <v>35.200000000000003</v>
      </c>
      <c r="I1364" s="546" t="str">
        <f t="shared" si="300"/>
        <v/>
      </c>
      <c r="J1364" s="589"/>
      <c r="K1364" s="563">
        <f>IF(G1364&lt;&gt;0,VLOOKUP(G1364,'gia dat'!$A$1:$F$144,5,0)," ")</f>
        <v>10372320</v>
      </c>
      <c r="L1364" s="563">
        <f>IF(G1364&lt;&gt;0,VLOOKUP(G1364,'gia dat'!$A$1:$F$144,6,0)," ")</f>
        <v>0</v>
      </c>
      <c r="M1364" s="564">
        <f t="shared" si="291"/>
        <v>365106000</v>
      </c>
      <c r="N1364" s="564">
        <f t="shared" si="292"/>
        <v>0</v>
      </c>
      <c r="O1364" s="718" t="s">
        <v>401</v>
      </c>
      <c r="P1364" s="733">
        <v>19</v>
      </c>
      <c r="Q1364" s="564">
        <f>IF(O1364&lt;&gt;0,VLOOKUP(O1364,'Cây trong'!$A$2:$C$246,3,0)," ")</f>
        <v>80000</v>
      </c>
      <c r="R1364" s="564">
        <f t="shared" si="285"/>
        <v>1520000</v>
      </c>
      <c r="S1364" s="566"/>
      <c r="T1364" s="589"/>
      <c r="U1364" s="591"/>
      <c r="V1364" s="593"/>
      <c r="W1364" s="564" t="str">
        <f>IF(S1364&lt;&gt;0,VLOOKUP(S1364,VKT!$A$2:$G$415,7,0),"")</f>
        <v/>
      </c>
      <c r="X1364" s="564" t="str">
        <f t="shared" si="290"/>
        <v xml:space="preserve"> </v>
      </c>
      <c r="Y1364" s="562"/>
      <c r="Z1364" s="568"/>
      <c r="AA1364" s="568"/>
      <c r="AB1364" s="568"/>
      <c r="AC1364" s="568"/>
      <c r="AD1364" s="568"/>
      <c r="AE1364" s="568"/>
      <c r="AF1364" s="563"/>
      <c r="AG1364" s="570" t="str">
        <f>IF(AE1364&lt;&gt;0,VLOOKUP(AE1364,ODDS!$A$2:$C$13,3,0),"")</f>
        <v/>
      </c>
      <c r="AH1364" s="570" t="str">
        <f t="shared" si="286"/>
        <v xml:space="preserve"> </v>
      </c>
      <c r="AI1364" s="571" t="str">
        <f t="shared" si="297"/>
        <v xml:space="preserve"> </v>
      </c>
      <c r="AJ1364" s="558" t="s">
        <v>2832</v>
      </c>
      <c r="AK1364" s="558" t="s">
        <v>2449</v>
      </c>
    </row>
    <row r="1365" spans="1:37" s="385" customFormat="1" ht="101.25" outlineLevel="2" x14ac:dyDescent="0.3">
      <c r="A1365" s="447">
        <f t="shared" si="301"/>
        <v>109</v>
      </c>
      <c r="B1365" s="557"/>
      <c r="C1365" s="572"/>
      <c r="D1365" s="615"/>
      <c r="E1365" s="615">
        <v>86</v>
      </c>
      <c r="F1365" s="700">
        <v>165</v>
      </c>
      <c r="G1365" s="558" t="s">
        <v>2049</v>
      </c>
      <c r="H1365" s="604">
        <f>100-H1364</f>
        <v>64.8</v>
      </c>
      <c r="I1365" s="546" t="str">
        <f t="shared" si="300"/>
        <v/>
      </c>
      <c r="J1365" s="589"/>
      <c r="K1365" s="563">
        <f>IF(G1365&lt;&gt;0,VLOOKUP(G1365,'gia dat'!$A$1:$F$144,5,0)," ")</f>
        <v>7260624</v>
      </c>
      <c r="L1365" s="563">
        <f>IF(G1365&lt;&gt;0,VLOOKUP(G1365,'gia dat'!$A$1:$F$144,6,0)," ")</f>
        <v>0</v>
      </c>
      <c r="M1365" s="564">
        <f t="shared" si="291"/>
        <v>470488000</v>
      </c>
      <c r="N1365" s="564">
        <f t="shared" si="292"/>
        <v>0</v>
      </c>
      <c r="O1365" s="558" t="s">
        <v>2809</v>
      </c>
      <c r="P1365" s="590">
        <v>15</v>
      </c>
      <c r="Q1365" s="564">
        <f>IF(O1365&lt;&gt;0,VLOOKUP(O1365,'Cây trong'!$A$2:$C$246,3,0)," ")</f>
        <v>25000</v>
      </c>
      <c r="R1365" s="564">
        <f t="shared" si="285"/>
        <v>375000</v>
      </c>
      <c r="S1365" s="566"/>
      <c r="T1365" s="589"/>
      <c r="U1365" s="591"/>
      <c r="V1365" s="593"/>
      <c r="W1365" s="564" t="str">
        <f>IF(S1365&lt;&gt;0,VLOOKUP(S1365,VKT!$A$2:$G$415,7,0),"")</f>
        <v/>
      </c>
      <c r="X1365" s="564" t="str">
        <f t="shared" si="290"/>
        <v xml:space="preserve"> </v>
      </c>
      <c r="Y1365" s="562"/>
      <c r="Z1365" s="568"/>
      <c r="AA1365" s="568"/>
      <c r="AB1365" s="568"/>
      <c r="AC1365" s="568"/>
      <c r="AD1365" s="568"/>
      <c r="AE1365" s="568"/>
      <c r="AF1365" s="563"/>
      <c r="AG1365" s="570" t="str">
        <f>IF(AE1365&lt;&gt;0,VLOOKUP(AE1365,ODDS!$A$2:$C$13,3,0),"")</f>
        <v/>
      </c>
      <c r="AH1365" s="570" t="str">
        <f t="shared" si="286"/>
        <v xml:space="preserve"> </v>
      </c>
      <c r="AI1365" s="571" t="str">
        <f t="shared" si="297"/>
        <v xml:space="preserve"> </v>
      </c>
      <c r="AJ1365" s="558" t="s">
        <v>2229</v>
      </c>
      <c r="AK1365" s="586"/>
    </row>
    <row r="1366" spans="1:37" s="385" customFormat="1" ht="20.25" outlineLevel="2" x14ac:dyDescent="0.3">
      <c r="A1366" s="447">
        <f t="shared" si="301"/>
        <v>109</v>
      </c>
      <c r="B1366" s="557"/>
      <c r="C1366" s="572"/>
      <c r="D1366" s="615"/>
      <c r="E1366" s="615"/>
      <c r="F1366" s="700"/>
      <c r="G1366" s="558"/>
      <c r="H1366" s="734"/>
      <c r="I1366" s="546"/>
      <c r="J1366" s="589"/>
      <c r="K1366" s="563" t="str">
        <f>IF(G1366&lt;&gt;0,VLOOKUP(G1366,'gia dat'!$A$1:$F$144,5,0)," ")</f>
        <v xml:space="preserve"> </v>
      </c>
      <c r="L1366" s="563" t="str">
        <f>IF(G1366&lt;&gt;0,VLOOKUP(G1366,'gia dat'!$A$1:$F$144,6,0)," ")</f>
        <v xml:space="preserve"> </v>
      </c>
      <c r="M1366" s="564" t="str">
        <f t="shared" si="291"/>
        <v xml:space="preserve"> </v>
      </c>
      <c r="N1366" s="564" t="str">
        <f t="shared" si="292"/>
        <v xml:space="preserve"> </v>
      </c>
      <c r="O1366" s="558"/>
      <c r="P1366" s="590"/>
      <c r="Q1366" s="564" t="str">
        <f>IF(O1366&lt;&gt;0,VLOOKUP(O1366,'Cây trong'!$A$2:$C$246,3,0)," ")</f>
        <v xml:space="preserve"> </v>
      </c>
      <c r="R1366" s="564" t="str">
        <f t="shared" ref="R1366:R1433" si="302">IF(O1366&lt;&gt;0,ROUND(P1366*Q1366,-2)," ")</f>
        <v xml:space="preserve"> </v>
      </c>
      <c r="S1366" s="566"/>
      <c r="T1366" s="589"/>
      <c r="U1366" s="591"/>
      <c r="V1366" s="593"/>
      <c r="W1366" s="564" t="str">
        <f>IF(S1366&lt;&gt;0,VLOOKUP(S1366,VKT!$A$2:$G$415,7,0),"")</f>
        <v/>
      </c>
      <c r="X1366" s="564" t="str">
        <f t="shared" si="290"/>
        <v xml:space="preserve"> </v>
      </c>
      <c r="Y1366" s="562"/>
      <c r="Z1366" s="568"/>
      <c r="AA1366" s="568"/>
      <c r="AB1366" s="568"/>
      <c r="AC1366" s="568"/>
      <c r="AD1366" s="568"/>
      <c r="AE1366" s="568"/>
      <c r="AF1366" s="563"/>
      <c r="AG1366" s="570" t="str">
        <f>IF(AE1366&lt;&gt;0,VLOOKUP(AE1366,ODDS!$A$2:$C$13,3,0),"")</f>
        <v/>
      </c>
      <c r="AH1366" s="570" t="str">
        <f t="shared" ref="AH1366:AH1433" si="303">IF(AE1366&lt;&gt;0,ROUND(AF1366*AG1366,-2)," ")</f>
        <v xml:space="preserve"> </v>
      </c>
      <c r="AI1366" s="571" t="str">
        <f t="shared" si="297"/>
        <v xml:space="preserve"> </v>
      </c>
      <c r="AJ1366" s="704"/>
      <c r="AK1366" s="558"/>
    </row>
    <row r="1367" spans="1:37" s="385" customFormat="1" ht="20.25" outlineLevel="2" x14ac:dyDescent="0.3">
      <c r="A1367" s="447">
        <f t="shared" si="301"/>
        <v>109</v>
      </c>
      <c r="B1367" s="557"/>
      <c r="C1367" s="572"/>
      <c r="D1367" s="615"/>
      <c r="E1367" s="615"/>
      <c r="F1367" s="700"/>
      <c r="G1367" s="558"/>
      <c r="H1367" s="734"/>
      <c r="I1367" s="546"/>
      <c r="J1367" s="589"/>
      <c r="K1367" s="563" t="str">
        <f>IF(G1367&lt;&gt;0,VLOOKUP(G1367,'gia dat'!$A$1:$F$144,5,0)," ")</f>
        <v xml:space="preserve"> </v>
      </c>
      <c r="L1367" s="563" t="str">
        <f>IF(G1367&lt;&gt;0,VLOOKUP(G1367,'gia dat'!$A$1:$F$144,6,0)," ")</f>
        <v xml:space="preserve"> </v>
      </c>
      <c r="M1367" s="564" t="str">
        <f t="shared" si="291"/>
        <v xml:space="preserve"> </v>
      </c>
      <c r="N1367" s="564" t="str">
        <f t="shared" si="292"/>
        <v xml:space="preserve"> </v>
      </c>
      <c r="O1367" s="661"/>
      <c r="P1367" s="630"/>
      <c r="Q1367" s="564" t="str">
        <f>IF(O1367&lt;&gt;0,VLOOKUP(O1367,'Cây trong'!$A$2:$C$246,3,0)," ")</f>
        <v xml:space="preserve"> </v>
      </c>
      <c r="R1367" s="564" t="str">
        <f t="shared" si="302"/>
        <v xml:space="preserve"> </v>
      </c>
      <c r="S1367" s="566"/>
      <c r="T1367" s="589"/>
      <c r="U1367" s="591"/>
      <c r="V1367" s="593"/>
      <c r="W1367" s="564" t="str">
        <f>IF(S1367&lt;&gt;0,VLOOKUP(S1367,VKT!$A$2:$G$415,7,0),"")</f>
        <v/>
      </c>
      <c r="X1367" s="564" t="str">
        <f t="shared" si="290"/>
        <v xml:space="preserve"> </v>
      </c>
      <c r="Y1367" s="562"/>
      <c r="Z1367" s="568"/>
      <c r="AA1367" s="568"/>
      <c r="AB1367" s="568"/>
      <c r="AC1367" s="568"/>
      <c r="AD1367" s="568"/>
      <c r="AE1367" s="568"/>
      <c r="AF1367" s="563"/>
      <c r="AG1367" s="570" t="str">
        <f>IF(AE1367&lt;&gt;0,VLOOKUP(AE1367,ODDS!$A$2:$C$13,3,0),"")</f>
        <v/>
      </c>
      <c r="AH1367" s="570" t="str">
        <f t="shared" si="303"/>
        <v xml:space="preserve"> </v>
      </c>
      <c r="AI1367" s="571" t="str">
        <f t="shared" si="297"/>
        <v xml:space="preserve"> </v>
      </c>
      <c r="AJ1367" s="704"/>
      <c r="AK1367" s="558"/>
    </row>
    <row r="1368" spans="1:37" s="385" customFormat="1" ht="20.25" outlineLevel="2" x14ac:dyDescent="0.3">
      <c r="A1368" s="447">
        <f t="shared" si="301"/>
        <v>109</v>
      </c>
      <c r="B1368" s="557"/>
      <c r="C1368" s="572"/>
      <c r="D1368" s="615"/>
      <c r="E1368" s="615"/>
      <c r="F1368" s="700"/>
      <c r="G1368" s="558"/>
      <c r="H1368" s="604"/>
      <c r="I1368" s="546"/>
      <c r="J1368" s="589"/>
      <c r="K1368" s="563" t="str">
        <f>IF(G1368&lt;&gt;0,VLOOKUP(G1368,'gia dat'!$A$1:$F$144,5,0)," ")</f>
        <v xml:space="preserve"> </v>
      </c>
      <c r="L1368" s="563" t="str">
        <f>IF(G1368&lt;&gt;0,VLOOKUP(G1368,'gia dat'!$A$1:$F$144,6,0)," ")</f>
        <v xml:space="preserve"> </v>
      </c>
      <c r="M1368" s="564" t="str">
        <f t="shared" si="291"/>
        <v xml:space="preserve"> </v>
      </c>
      <c r="N1368" s="564" t="str">
        <f t="shared" si="292"/>
        <v xml:space="preserve"> </v>
      </c>
      <c r="O1368" s="558"/>
      <c r="P1368" s="590"/>
      <c r="Q1368" s="564" t="str">
        <f>IF(O1368&lt;&gt;0,VLOOKUP(O1368,'Cây trong'!$A$2:$C$246,3,0)," ")</f>
        <v xml:space="preserve"> </v>
      </c>
      <c r="R1368" s="564" t="str">
        <f t="shared" si="302"/>
        <v xml:space="preserve"> </v>
      </c>
      <c r="S1368" s="566"/>
      <c r="T1368" s="589"/>
      <c r="U1368" s="591"/>
      <c r="V1368" s="593"/>
      <c r="W1368" s="564" t="str">
        <f>IF(S1368&lt;&gt;0,VLOOKUP(S1368,VKT!$A$2:$G$415,7,0),"")</f>
        <v/>
      </c>
      <c r="X1368" s="564" t="str">
        <f t="shared" si="290"/>
        <v xml:space="preserve"> </v>
      </c>
      <c r="Y1368" s="562"/>
      <c r="Z1368" s="568"/>
      <c r="AA1368" s="568"/>
      <c r="AB1368" s="568"/>
      <c r="AC1368" s="568"/>
      <c r="AD1368" s="568"/>
      <c r="AE1368" s="568"/>
      <c r="AF1368" s="563"/>
      <c r="AG1368" s="570" t="str">
        <f>IF(AE1368&lt;&gt;0,VLOOKUP(AE1368,ODDS!$A$2:$C$13,3,0),"")</f>
        <v/>
      </c>
      <c r="AH1368" s="570" t="str">
        <f t="shared" si="303"/>
        <v xml:space="preserve"> </v>
      </c>
      <c r="AI1368" s="571" t="str">
        <f t="shared" si="297"/>
        <v xml:space="preserve"> </v>
      </c>
      <c r="AJ1368" s="558"/>
      <c r="AK1368" s="558"/>
    </row>
    <row r="1369" spans="1:37" s="385" customFormat="1" ht="20.25" outlineLevel="2" x14ac:dyDescent="0.3">
      <c r="A1369" s="447">
        <f t="shared" si="301"/>
        <v>109</v>
      </c>
      <c r="B1369" s="557"/>
      <c r="C1369" s="586"/>
      <c r="D1369" s="703"/>
      <c r="E1369" s="615"/>
      <c r="F1369" s="700"/>
      <c r="G1369" s="558"/>
      <c r="H1369" s="732"/>
      <c r="I1369" s="546"/>
      <c r="J1369" s="710"/>
      <c r="K1369" s="563" t="str">
        <f>IF(G1369&lt;&gt;0,VLOOKUP(G1369,'gia dat'!$A$1:$F$144,5,0)," ")</f>
        <v xml:space="preserve"> </v>
      </c>
      <c r="L1369" s="563" t="str">
        <f>IF(G1369&lt;&gt;0,VLOOKUP(G1369,'gia dat'!$A$1:$F$144,6,0)," ")</f>
        <v xml:space="preserve"> </v>
      </c>
      <c r="M1369" s="564" t="str">
        <f t="shared" si="291"/>
        <v xml:space="preserve"> </v>
      </c>
      <c r="N1369" s="564" t="str">
        <f t="shared" si="292"/>
        <v xml:space="preserve"> </v>
      </c>
      <c r="O1369" s="558"/>
      <c r="P1369" s="630"/>
      <c r="Q1369" s="564" t="str">
        <f>IF(O1369&lt;&gt;0,VLOOKUP(O1369,'Cây trong'!$A$2:$C$246,3,0)," ")</f>
        <v xml:space="preserve"> </v>
      </c>
      <c r="R1369" s="564" t="str">
        <f t="shared" si="302"/>
        <v xml:space="preserve"> </v>
      </c>
      <c r="S1369" s="586"/>
      <c r="T1369" s="609"/>
      <c r="U1369" s="567"/>
      <c r="V1369" s="593"/>
      <c r="W1369" s="564" t="str">
        <f>IF(S1369&lt;&gt;0,VLOOKUP(S1369,VKT!$A$2:$G$415,7,0),"")</f>
        <v/>
      </c>
      <c r="X1369" s="564" t="str">
        <f t="shared" si="290"/>
        <v xml:space="preserve"> </v>
      </c>
      <c r="Y1369" s="562"/>
      <c r="Z1369" s="568"/>
      <c r="AA1369" s="568"/>
      <c r="AB1369" s="568"/>
      <c r="AC1369" s="568"/>
      <c r="AD1369" s="568"/>
      <c r="AE1369" s="568"/>
      <c r="AF1369" s="563"/>
      <c r="AG1369" s="570" t="str">
        <f>IF(AE1369&lt;&gt;0,VLOOKUP(AE1369,ODDS!$A$2:$C$13,3,0),"")</f>
        <v/>
      </c>
      <c r="AH1369" s="570" t="str">
        <f t="shared" si="303"/>
        <v xml:space="preserve"> </v>
      </c>
      <c r="AI1369" s="571" t="str">
        <f t="shared" si="297"/>
        <v xml:space="preserve"> </v>
      </c>
      <c r="AJ1369" s="593"/>
      <c r="AK1369" s="593"/>
    </row>
    <row r="1370" spans="1:37" s="385" customFormat="1" ht="20.25" outlineLevel="2" x14ac:dyDescent="0.3">
      <c r="A1370" s="447">
        <f t="shared" si="301"/>
        <v>109</v>
      </c>
      <c r="B1370" s="557"/>
      <c r="C1370" s="574"/>
      <c r="D1370" s="703"/>
      <c r="E1370" s="615"/>
      <c r="F1370" s="700"/>
      <c r="G1370" s="558"/>
      <c r="H1370" s="732"/>
      <c r="I1370" s="546"/>
      <c r="J1370" s="710"/>
      <c r="K1370" s="563" t="str">
        <f>IF(G1370&lt;&gt;0,VLOOKUP(G1370,'gia dat'!$A$1:$F$144,5,0)," ")</f>
        <v xml:space="preserve"> </v>
      </c>
      <c r="L1370" s="563" t="str">
        <f>IF(G1370&lt;&gt;0,VLOOKUP(G1370,'gia dat'!$A$1:$F$144,6,0)," ")</f>
        <v xml:space="preserve"> </v>
      </c>
      <c r="M1370" s="564" t="str">
        <f t="shared" si="291"/>
        <v xml:space="preserve"> </v>
      </c>
      <c r="N1370" s="564" t="str">
        <f t="shared" si="292"/>
        <v xml:space="preserve"> </v>
      </c>
      <c r="O1370" s="586"/>
      <c r="P1370" s="630"/>
      <c r="Q1370" s="564" t="str">
        <f>IF(O1370&lt;&gt;0,VLOOKUP(O1370,'Cây trong'!$A$2:$C$246,3,0)," ")</f>
        <v xml:space="preserve"> </v>
      </c>
      <c r="R1370" s="564" t="str">
        <f t="shared" si="302"/>
        <v xml:space="preserve"> </v>
      </c>
      <c r="S1370" s="586"/>
      <c r="T1370" s="609"/>
      <c r="U1370" s="567"/>
      <c r="V1370" s="593"/>
      <c r="W1370" s="564" t="str">
        <f>IF(S1370&lt;&gt;0,VLOOKUP(S1370,VKT!$A$2:$G$415,7,0),"")</f>
        <v/>
      </c>
      <c r="X1370" s="564" t="str">
        <f t="shared" si="290"/>
        <v xml:space="preserve"> </v>
      </c>
      <c r="Y1370" s="562"/>
      <c r="Z1370" s="568"/>
      <c r="AA1370" s="568"/>
      <c r="AB1370" s="568"/>
      <c r="AC1370" s="568"/>
      <c r="AD1370" s="568"/>
      <c r="AE1370" s="568"/>
      <c r="AF1370" s="563"/>
      <c r="AG1370" s="570" t="str">
        <f>IF(AE1370&lt;&gt;0,VLOOKUP(AE1370,ODDS!$A$2:$C$13,3,0),"")</f>
        <v/>
      </c>
      <c r="AH1370" s="570" t="str">
        <f t="shared" si="303"/>
        <v xml:space="preserve"> </v>
      </c>
      <c r="AI1370" s="571" t="str">
        <f t="shared" si="297"/>
        <v xml:space="preserve"> </v>
      </c>
      <c r="AJ1370" s="593"/>
      <c r="AK1370" s="593"/>
    </row>
    <row r="1371" spans="1:37" s="385" customFormat="1" ht="20.25" outlineLevel="1" x14ac:dyDescent="0.25">
      <c r="A1371" s="467" t="s">
        <v>2600</v>
      </c>
      <c r="B1371" s="576">
        <v>110</v>
      </c>
      <c r="C1371" s="574" t="s">
        <v>998</v>
      </c>
      <c r="D1371" s="705"/>
      <c r="E1371" s="705"/>
      <c r="F1371" s="706"/>
      <c r="G1371" s="574"/>
      <c r="H1371" s="596">
        <f>SUBTOTAL(9,H1372:H1378)</f>
        <v>125</v>
      </c>
      <c r="I1371" s="579">
        <f>SUBTOTAL(9,I1372:I1377)</f>
        <v>0</v>
      </c>
      <c r="J1371" s="597"/>
      <c r="K1371" s="581"/>
      <c r="L1371" s="581"/>
      <c r="M1371" s="571">
        <f>SUBTOTAL(9,M1372:M1378)</f>
        <v>430313000</v>
      </c>
      <c r="N1371" s="571">
        <f>SUBTOTAL(9,N1372:N1378)</f>
        <v>0</v>
      </c>
      <c r="O1371" s="574"/>
      <c r="P1371" s="599">
        <f>SUBTOTAL(9,P1372:P1378)</f>
        <v>43</v>
      </c>
      <c r="Q1371" s="571"/>
      <c r="R1371" s="571">
        <f>SUBTOTAL(9,R1372:R1378)</f>
        <v>4788000</v>
      </c>
      <c r="S1371" s="582"/>
      <c r="T1371" s="597"/>
      <c r="U1371" s="600">
        <f>SUBTOTAL(9,U1372:U1378)</f>
        <v>0</v>
      </c>
      <c r="V1371" s="608"/>
      <c r="W1371" s="571"/>
      <c r="X1371" s="571">
        <f>SUBTOTAL(9,X1372:X1378)</f>
        <v>0</v>
      </c>
      <c r="Y1371" s="562"/>
      <c r="Z1371" s="568"/>
      <c r="AA1371" s="568"/>
      <c r="AB1371" s="568"/>
      <c r="AC1371" s="568"/>
      <c r="AD1371" s="568"/>
      <c r="AE1371" s="602"/>
      <c r="AF1371" s="581">
        <f>SUBTOTAL(9,AF1372:AF1378)</f>
        <v>0</v>
      </c>
      <c r="AG1371" s="585"/>
      <c r="AH1371" s="585">
        <f>SUBTOTAL(9,AH1372:AH1378)</f>
        <v>0</v>
      </c>
      <c r="AI1371" s="571">
        <f t="shared" si="297"/>
        <v>435101000</v>
      </c>
      <c r="AJ1371" s="574"/>
      <c r="AK1371" s="578"/>
    </row>
    <row r="1372" spans="1:37" s="385" customFormat="1" ht="121.5" outlineLevel="2" x14ac:dyDescent="0.3">
      <c r="A1372" s="447">
        <f>IF(B1371&lt;&gt;0,B1371,A1370)</f>
        <v>110</v>
      </c>
      <c r="B1372" s="557"/>
      <c r="C1372" s="558" t="s">
        <v>1000</v>
      </c>
      <c r="D1372" s="615">
        <v>4</v>
      </c>
      <c r="E1372" s="615">
        <v>86</v>
      </c>
      <c r="F1372" s="700">
        <v>314</v>
      </c>
      <c r="G1372" s="558" t="s">
        <v>2870</v>
      </c>
      <c r="H1372" s="604">
        <f>75</f>
        <v>75</v>
      </c>
      <c r="I1372" s="546" t="str">
        <f t="shared" ref="I1372:I1374" si="304">IF(N1372&gt;0,H1372,"")</f>
        <v/>
      </c>
      <c r="J1372" s="589"/>
      <c r="K1372" s="563">
        <f>IF(G1372&lt;&gt;0,VLOOKUP(G1372,'gia dat'!$A$1:$F$144,5,0)," ")</f>
        <v>465600</v>
      </c>
      <c r="L1372" s="563">
        <f>IF(G1372&lt;&gt;0,VLOOKUP(G1372,'gia dat'!$A$1:$F$144,6,0)," ")</f>
        <v>0</v>
      </c>
      <c r="M1372" s="564">
        <f t="shared" si="291"/>
        <v>34920000</v>
      </c>
      <c r="N1372" s="564">
        <f t="shared" si="292"/>
        <v>0</v>
      </c>
      <c r="O1372" s="558" t="s">
        <v>72</v>
      </c>
      <c r="P1372" s="590">
        <v>7</v>
      </c>
      <c r="Q1372" s="564">
        <f>IF(O1372&lt;&gt;0,VLOOKUP(O1372,'Cây trong'!$A$2:$C$246,3,0)," ")</f>
        <v>132000</v>
      </c>
      <c r="R1372" s="564">
        <f t="shared" si="302"/>
        <v>924000</v>
      </c>
      <c r="S1372" s="566"/>
      <c r="T1372" s="589"/>
      <c r="U1372" s="591"/>
      <c r="V1372" s="593"/>
      <c r="W1372" s="564" t="str">
        <f>IF(S1372&lt;&gt;0,VLOOKUP(S1372,VKT!$A$2:$G$415,7,0),"")</f>
        <v/>
      </c>
      <c r="X1372" s="564" t="str">
        <f t="shared" si="290"/>
        <v xml:space="preserve"> </v>
      </c>
      <c r="Y1372" s="562"/>
      <c r="Z1372" s="568"/>
      <c r="AA1372" s="568"/>
      <c r="AB1372" s="568"/>
      <c r="AC1372" s="568"/>
      <c r="AD1372" s="568"/>
      <c r="AE1372" s="569"/>
      <c r="AF1372" s="563"/>
      <c r="AG1372" s="570"/>
      <c r="AH1372" s="570"/>
      <c r="AI1372" s="571" t="str">
        <f t="shared" si="297"/>
        <v xml:space="preserve"> </v>
      </c>
      <c r="AJ1372" s="558" t="s">
        <v>999</v>
      </c>
      <c r="AK1372" s="586" t="s">
        <v>2771</v>
      </c>
    </row>
    <row r="1373" spans="1:37" s="385" customFormat="1" ht="101.25" outlineLevel="2" x14ac:dyDescent="0.3">
      <c r="A1373" s="447">
        <f t="shared" ref="A1373:A1378" si="305">IF(B1372&lt;&gt;0,B1372,A1372)</f>
        <v>110</v>
      </c>
      <c r="B1373" s="557"/>
      <c r="C1373" s="572" t="s">
        <v>1577</v>
      </c>
      <c r="D1373" s="615"/>
      <c r="E1373" s="615">
        <v>86</v>
      </c>
      <c r="F1373" s="700">
        <v>314</v>
      </c>
      <c r="G1373" s="558" t="s">
        <v>2491</v>
      </c>
      <c r="H1373" s="604">
        <v>10.4</v>
      </c>
      <c r="I1373" s="546" t="str">
        <f t="shared" si="304"/>
        <v/>
      </c>
      <c r="J1373" s="589"/>
      <c r="K1373" s="563">
        <f>IF(G1373&lt;&gt;0,VLOOKUP(G1373,'gia dat'!$A$1:$F$144,5,0)," ")</f>
        <v>10372320</v>
      </c>
      <c r="L1373" s="563">
        <f>IF(G1373&lt;&gt;0,VLOOKUP(G1373,'gia dat'!$A$1:$F$144,6,0)," ")</f>
        <v>0</v>
      </c>
      <c r="M1373" s="564">
        <f t="shared" si="291"/>
        <v>107872000</v>
      </c>
      <c r="N1373" s="564">
        <f t="shared" si="292"/>
        <v>0</v>
      </c>
      <c r="O1373" s="558" t="s">
        <v>73</v>
      </c>
      <c r="P1373" s="590">
        <v>13</v>
      </c>
      <c r="Q1373" s="564">
        <f>IF(O1373&lt;&gt;0,VLOOKUP(O1373,'Cây trong'!$A$2:$C$246,3,0)," ")</f>
        <v>76000</v>
      </c>
      <c r="R1373" s="564">
        <f t="shared" si="302"/>
        <v>988000</v>
      </c>
      <c r="S1373" s="566"/>
      <c r="T1373" s="589"/>
      <c r="U1373" s="591"/>
      <c r="V1373" s="593"/>
      <c r="W1373" s="564" t="str">
        <f>IF(S1373&lt;&gt;0,VLOOKUP(S1373,VKT!$A$2:$G$415,7,0),"")</f>
        <v/>
      </c>
      <c r="X1373" s="564" t="str">
        <f t="shared" si="290"/>
        <v xml:space="preserve"> </v>
      </c>
      <c r="Y1373" s="562"/>
      <c r="Z1373" s="568"/>
      <c r="AA1373" s="568"/>
      <c r="AB1373" s="568"/>
      <c r="AC1373" s="568"/>
      <c r="AD1373" s="568"/>
      <c r="AE1373" s="568"/>
      <c r="AF1373" s="563"/>
      <c r="AG1373" s="570" t="str">
        <f>IF(AE1373&lt;&gt;0,VLOOKUP(AE1373,ODDS!$A$2:$C$13,3,0),"")</f>
        <v/>
      </c>
      <c r="AH1373" s="570" t="str">
        <f t="shared" si="303"/>
        <v xml:space="preserve"> </v>
      </c>
      <c r="AI1373" s="571" t="str">
        <f t="shared" si="297"/>
        <v xml:space="preserve"> </v>
      </c>
      <c r="AJ1373" s="558" t="s">
        <v>2833</v>
      </c>
      <c r="AK1373" s="558" t="s">
        <v>2449</v>
      </c>
    </row>
    <row r="1374" spans="1:37" s="385" customFormat="1" ht="60.75" outlineLevel="2" x14ac:dyDescent="0.3">
      <c r="A1374" s="447">
        <f t="shared" si="305"/>
        <v>110</v>
      </c>
      <c r="B1374" s="557"/>
      <c r="C1374" s="572"/>
      <c r="D1374" s="615"/>
      <c r="E1374" s="615"/>
      <c r="F1374" s="700"/>
      <c r="G1374" s="558" t="s">
        <v>2049</v>
      </c>
      <c r="H1374" s="604">
        <f>50-H1373</f>
        <v>39.6</v>
      </c>
      <c r="I1374" s="546" t="str">
        <f t="shared" si="304"/>
        <v/>
      </c>
      <c r="J1374" s="589"/>
      <c r="K1374" s="563">
        <f>IF(G1374&lt;&gt;0,VLOOKUP(G1374,'gia dat'!$A$1:$F$144,5,0)," ")</f>
        <v>7260624</v>
      </c>
      <c r="L1374" s="563">
        <f>IF(G1374&lt;&gt;0,VLOOKUP(G1374,'gia dat'!$A$1:$F$144,6,0)," ")</f>
        <v>0</v>
      </c>
      <c r="M1374" s="564">
        <f t="shared" si="291"/>
        <v>287521000</v>
      </c>
      <c r="N1374" s="564">
        <f t="shared" si="292"/>
        <v>0</v>
      </c>
      <c r="O1374" s="586" t="s">
        <v>400</v>
      </c>
      <c r="P1374" s="590">
        <v>7</v>
      </c>
      <c r="Q1374" s="564">
        <f>IF(O1374&lt;&gt;0,VLOOKUP(O1374,'Cây trong'!$A$2:$C$246,3,0)," ")</f>
        <v>228000</v>
      </c>
      <c r="R1374" s="564">
        <f t="shared" si="302"/>
        <v>1596000</v>
      </c>
      <c r="S1374" s="566"/>
      <c r="T1374" s="589"/>
      <c r="U1374" s="591"/>
      <c r="V1374" s="593"/>
      <c r="W1374" s="564" t="str">
        <f>IF(S1374&lt;&gt;0,VLOOKUP(S1374,VKT!$A$2:$G$415,7,0),"")</f>
        <v/>
      </c>
      <c r="X1374" s="564" t="str">
        <f t="shared" si="290"/>
        <v xml:space="preserve"> </v>
      </c>
      <c r="Y1374" s="562"/>
      <c r="Z1374" s="568"/>
      <c r="AA1374" s="568"/>
      <c r="AB1374" s="568"/>
      <c r="AC1374" s="568"/>
      <c r="AD1374" s="568"/>
      <c r="AE1374" s="568"/>
      <c r="AF1374" s="563"/>
      <c r="AG1374" s="570" t="str">
        <f>IF(AE1374&lt;&gt;0,VLOOKUP(AE1374,ODDS!$A$2:$C$13,3,0),"")</f>
        <v/>
      </c>
      <c r="AH1374" s="570" t="str">
        <f t="shared" si="303"/>
        <v xml:space="preserve"> </v>
      </c>
      <c r="AI1374" s="571" t="str">
        <f t="shared" si="297"/>
        <v xml:space="preserve"> </v>
      </c>
      <c r="AJ1374" s="593" t="s">
        <v>809</v>
      </c>
      <c r="AK1374" s="558"/>
    </row>
    <row r="1375" spans="1:37" s="385" customFormat="1" ht="81" outlineLevel="2" x14ac:dyDescent="0.3">
      <c r="A1375" s="447">
        <f t="shared" si="305"/>
        <v>110</v>
      </c>
      <c r="B1375" s="557"/>
      <c r="C1375" s="572"/>
      <c r="D1375" s="615"/>
      <c r="E1375" s="615"/>
      <c r="F1375" s="700"/>
      <c r="G1375" s="558"/>
      <c r="H1375" s="604"/>
      <c r="I1375" s="546"/>
      <c r="J1375" s="589"/>
      <c r="K1375" s="563" t="str">
        <f>IF(G1375&lt;&gt;0,VLOOKUP(G1375,'gia dat'!$A$1:$F$144,5,0)," ")</f>
        <v xml:space="preserve"> </v>
      </c>
      <c r="L1375" s="563" t="str">
        <f>IF(G1375&lt;&gt;0,VLOOKUP(G1375,'gia dat'!$A$1:$F$144,6,0)," ")</f>
        <v xml:space="preserve"> </v>
      </c>
      <c r="M1375" s="564" t="str">
        <f t="shared" si="291"/>
        <v xml:space="preserve"> </v>
      </c>
      <c r="N1375" s="564" t="str">
        <f t="shared" si="292"/>
        <v xml:space="preserve"> </v>
      </c>
      <c r="O1375" s="586" t="s">
        <v>401</v>
      </c>
      <c r="P1375" s="590">
        <v>16</v>
      </c>
      <c r="Q1375" s="564">
        <f>IF(O1375&lt;&gt;0,VLOOKUP(O1375,'Cây trong'!$A$2:$C$246,3,0)," ")</f>
        <v>80000</v>
      </c>
      <c r="R1375" s="564">
        <f t="shared" si="302"/>
        <v>1280000</v>
      </c>
      <c r="S1375" s="566"/>
      <c r="T1375" s="589"/>
      <c r="U1375" s="591"/>
      <c r="V1375" s="593"/>
      <c r="W1375" s="564" t="str">
        <f>IF(S1375&lt;&gt;0,VLOOKUP(S1375,VKT!$A$2:$G$415,7,0),"")</f>
        <v/>
      </c>
      <c r="X1375" s="564" t="str">
        <f t="shared" si="290"/>
        <v xml:space="preserve"> </v>
      </c>
      <c r="Y1375" s="562"/>
      <c r="Z1375" s="568"/>
      <c r="AA1375" s="568"/>
      <c r="AB1375" s="568"/>
      <c r="AC1375" s="568"/>
      <c r="AD1375" s="568"/>
      <c r="AE1375" s="568"/>
      <c r="AF1375" s="563"/>
      <c r="AG1375" s="570" t="str">
        <f>IF(AE1375&lt;&gt;0,VLOOKUP(AE1375,ODDS!$A$2:$C$13,3,0),"")</f>
        <v/>
      </c>
      <c r="AH1375" s="570" t="str">
        <f t="shared" si="303"/>
        <v xml:space="preserve"> </v>
      </c>
      <c r="AI1375" s="571" t="str">
        <f t="shared" si="297"/>
        <v xml:space="preserve"> </v>
      </c>
      <c r="AJ1375" s="558" t="s">
        <v>2230</v>
      </c>
      <c r="AK1375" s="558"/>
    </row>
    <row r="1376" spans="1:37" s="385" customFormat="1" ht="20.25" outlineLevel="2" x14ac:dyDescent="0.3">
      <c r="A1376" s="447">
        <f t="shared" si="305"/>
        <v>110</v>
      </c>
      <c r="B1376" s="557"/>
      <c r="C1376" s="572"/>
      <c r="D1376" s="615"/>
      <c r="E1376" s="615"/>
      <c r="F1376" s="700"/>
      <c r="G1376" s="558"/>
      <c r="H1376" s="604"/>
      <c r="I1376" s="546"/>
      <c r="J1376" s="589"/>
      <c r="K1376" s="563" t="str">
        <f>IF(G1376&lt;&gt;0,VLOOKUP(G1376,'gia dat'!$A$1:$F$144,5,0)," ")</f>
        <v xml:space="preserve"> </v>
      </c>
      <c r="L1376" s="563" t="str">
        <f>IF(G1376&lt;&gt;0,VLOOKUP(G1376,'gia dat'!$A$1:$F$144,6,0)," ")</f>
        <v xml:space="preserve"> </v>
      </c>
      <c r="M1376" s="564" t="str">
        <f t="shared" si="291"/>
        <v xml:space="preserve"> </v>
      </c>
      <c r="N1376" s="564" t="str">
        <f t="shared" si="292"/>
        <v xml:space="preserve"> </v>
      </c>
      <c r="O1376" s="586"/>
      <c r="P1376" s="590"/>
      <c r="Q1376" s="564" t="str">
        <f>IF(O1376&lt;&gt;0,VLOOKUP(O1376,'Cây trong'!$A$2:$C$246,3,0)," ")</f>
        <v xml:space="preserve"> </v>
      </c>
      <c r="R1376" s="564" t="str">
        <f t="shared" si="302"/>
        <v xml:space="preserve"> </v>
      </c>
      <c r="S1376" s="566"/>
      <c r="T1376" s="589"/>
      <c r="U1376" s="591"/>
      <c r="V1376" s="593"/>
      <c r="W1376" s="564" t="str">
        <f>IF(S1376&lt;&gt;0,VLOOKUP(S1376,VKT!$A$2:$G$415,7,0),"")</f>
        <v/>
      </c>
      <c r="X1376" s="564" t="str">
        <f t="shared" si="290"/>
        <v xml:space="preserve"> </v>
      </c>
      <c r="Y1376" s="562"/>
      <c r="Z1376" s="568"/>
      <c r="AA1376" s="568"/>
      <c r="AB1376" s="568"/>
      <c r="AC1376" s="568"/>
      <c r="AD1376" s="568"/>
      <c r="AE1376" s="568"/>
      <c r="AF1376" s="563"/>
      <c r="AG1376" s="570" t="str">
        <f>IF(AE1376&lt;&gt;0,VLOOKUP(AE1376,ODDS!$A$2:$C$13,3,0),"")</f>
        <v/>
      </c>
      <c r="AH1376" s="570" t="str">
        <f t="shared" si="303"/>
        <v xml:space="preserve"> </v>
      </c>
      <c r="AI1376" s="571" t="str">
        <f t="shared" si="297"/>
        <v xml:space="preserve"> </v>
      </c>
      <c r="AJ1376" s="558"/>
      <c r="AK1376" s="558"/>
    </row>
    <row r="1377" spans="1:37" s="385" customFormat="1" ht="20.25" outlineLevel="2" x14ac:dyDescent="0.3">
      <c r="A1377" s="447">
        <f t="shared" si="305"/>
        <v>110</v>
      </c>
      <c r="B1377" s="557"/>
      <c r="C1377" s="558"/>
      <c r="D1377" s="615"/>
      <c r="E1377" s="615"/>
      <c r="F1377" s="700"/>
      <c r="G1377" s="558"/>
      <c r="H1377" s="604"/>
      <c r="I1377" s="546"/>
      <c r="J1377" s="589"/>
      <c r="K1377" s="563" t="str">
        <f>IF(G1377&lt;&gt;0,VLOOKUP(G1377,'gia dat'!$A$1:$F$144,5,0)," ")</f>
        <v xml:space="preserve"> </v>
      </c>
      <c r="L1377" s="563" t="str">
        <f>IF(G1377&lt;&gt;0,VLOOKUP(G1377,'gia dat'!$A$1:$F$144,6,0)," ")</f>
        <v xml:space="preserve"> </v>
      </c>
      <c r="M1377" s="564" t="str">
        <f t="shared" si="291"/>
        <v xml:space="preserve"> </v>
      </c>
      <c r="N1377" s="564" t="str">
        <f t="shared" si="292"/>
        <v xml:space="preserve"> </v>
      </c>
      <c r="O1377" s="558"/>
      <c r="P1377" s="590"/>
      <c r="Q1377" s="564" t="str">
        <f>IF(O1377&lt;&gt;0,VLOOKUP(O1377,'Cây trong'!$A$2:$C$246,3,0)," ")</f>
        <v xml:space="preserve"> </v>
      </c>
      <c r="R1377" s="564" t="str">
        <f t="shared" si="302"/>
        <v xml:space="preserve"> </v>
      </c>
      <c r="S1377" s="566"/>
      <c r="T1377" s="589"/>
      <c r="U1377" s="591"/>
      <c r="V1377" s="593"/>
      <c r="W1377" s="564" t="str">
        <f>IF(S1377&lt;&gt;0,VLOOKUP(S1377,VKT!$A$2:$G$415,7,0),"")</f>
        <v/>
      </c>
      <c r="X1377" s="564" t="str">
        <f t="shared" si="290"/>
        <v xml:space="preserve"> </v>
      </c>
      <c r="Y1377" s="562"/>
      <c r="Z1377" s="568"/>
      <c r="AA1377" s="568"/>
      <c r="AB1377" s="568"/>
      <c r="AC1377" s="568"/>
      <c r="AD1377" s="568"/>
      <c r="AE1377" s="568"/>
      <c r="AF1377" s="563"/>
      <c r="AG1377" s="570" t="str">
        <f>IF(AE1377&lt;&gt;0,VLOOKUP(AE1377,ODDS!$A$2:$C$13,3,0),"")</f>
        <v/>
      </c>
      <c r="AH1377" s="570" t="str">
        <f t="shared" si="303"/>
        <v xml:space="preserve"> </v>
      </c>
      <c r="AI1377" s="571" t="str">
        <f t="shared" si="297"/>
        <v xml:space="preserve"> </v>
      </c>
      <c r="AJ1377" s="558"/>
      <c r="AK1377" s="558"/>
    </row>
    <row r="1378" spans="1:37" s="385" customFormat="1" ht="20.25" outlineLevel="2" x14ac:dyDescent="0.3">
      <c r="A1378" s="447">
        <f t="shared" si="305"/>
        <v>110</v>
      </c>
      <c r="B1378" s="557"/>
      <c r="C1378" s="574"/>
      <c r="D1378" s="615"/>
      <c r="E1378" s="615"/>
      <c r="F1378" s="700"/>
      <c r="G1378" s="558"/>
      <c r="H1378" s="732"/>
      <c r="I1378" s="546"/>
      <c r="J1378" s="710"/>
      <c r="K1378" s="563" t="str">
        <f>IF(G1378&lt;&gt;0,VLOOKUP(G1378,'gia dat'!$A$1:$F$144,5,0)," ")</f>
        <v xml:space="preserve"> </v>
      </c>
      <c r="L1378" s="563" t="str">
        <f>IF(G1378&lt;&gt;0,VLOOKUP(G1378,'gia dat'!$A$1:$F$144,6,0)," ")</f>
        <v xml:space="preserve"> </v>
      </c>
      <c r="M1378" s="564" t="str">
        <f t="shared" si="291"/>
        <v xml:space="preserve"> </v>
      </c>
      <c r="N1378" s="564" t="str">
        <f t="shared" si="292"/>
        <v xml:space="preserve"> </v>
      </c>
      <c r="O1378" s="586"/>
      <c r="P1378" s="630"/>
      <c r="Q1378" s="564" t="str">
        <f>IF(O1378&lt;&gt;0,VLOOKUP(O1378,'Cây trong'!$A$2:$C$246,3,0)," ")</f>
        <v xml:space="preserve"> </v>
      </c>
      <c r="R1378" s="564" t="str">
        <f t="shared" si="302"/>
        <v xml:space="preserve"> </v>
      </c>
      <c r="S1378" s="586"/>
      <c r="T1378" s="609"/>
      <c r="U1378" s="567"/>
      <c r="V1378" s="593"/>
      <c r="W1378" s="564" t="str">
        <f>IF(S1378&lt;&gt;0,VLOOKUP(S1378,VKT!$A$2:$G$415,7,0),"")</f>
        <v/>
      </c>
      <c r="X1378" s="564" t="str">
        <f t="shared" si="290"/>
        <v xml:space="preserve"> </v>
      </c>
      <c r="Y1378" s="562"/>
      <c r="Z1378" s="568"/>
      <c r="AA1378" s="568"/>
      <c r="AB1378" s="568"/>
      <c r="AC1378" s="568"/>
      <c r="AD1378" s="568"/>
      <c r="AE1378" s="568"/>
      <c r="AF1378" s="563"/>
      <c r="AG1378" s="570" t="str">
        <f>IF(AE1378&lt;&gt;0,VLOOKUP(AE1378,ODDS!$A$2:$C$13,3,0),"")</f>
        <v/>
      </c>
      <c r="AH1378" s="570" t="str">
        <f t="shared" si="303"/>
        <v xml:space="preserve"> </v>
      </c>
      <c r="AI1378" s="571" t="str">
        <f t="shared" si="297"/>
        <v xml:space="preserve"> </v>
      </c>
      <c r="AJ1378" s="593"/>
      <c r="AK1378" s="593"/>
    </row>
    <row r="1379" spans="1:37" s="385" customFormat="1" ht="20.25" outlineLevel="1" x14ac:dyDescent="0.25">
      <c r="A1379" s="467" t="s">
        <v>2599</v>
      </c>
      <c r="B1379" s="576">
        <v>111</v>
      </c>
      <c r="C1379" s="574" t="s">
        <v>50</v>
      </c>
      <c r="D1379" s="705"/>
      <c r="E1379" s="705"/>
      <c r="F1379" s="706"/>
      <c r="G1379" s="574"/>
      <c r="H1379" s="596">
        <f>SUBTOTAL(9,H1380:H1414)</f>
        <v>2890.2</v>
      </c>
      <c r="I1379" s="579">
        <f>SUBTOTAL(9,I1380:I1385)</f>
        <v>2196.6999999999998</v>
      </c>
      <c r="J1379" s="597"/>
      <c r="K1379" s="581"/>
      <c r="L1379" s="581"/>
      <c r="M1379" s="571">
        <f>SUBTOTAL(9,M1380:M1414)</f>
        <v>2246124000</v>
      </c>
      <c r="N1379" s="571">
        <f>SUBTOTAL(9,N1380:N1414)</f>
        <v>3653551000</v>
      </c>
      <c r="O1379" s="574"/>
      <c r="P1379" s="599">
        <f>SUBTOTAL(9,P1380:P1414)</f>
        <v>42</v>
      </c>
      <c r="Q1379" s="571"/>
      <c r="R1379" s="571">
        <f>SUBTOTAL(9,R1380:R1414)</f>
        <v>11836000</v>
      </c>
      <c r="S1379" s="582"/>
      <c r="T1379" s="597"/>
      <c r="U1379" s="600">
        <f>SUBTOTAL(9,U1380:U1414)</f>
        <v>849.53000000000009</v>
      </c>
      <c r="V1379" s="608"/>
      <c r="W1379" s="571"/>
      <c r="X1379" s="571">
        <f>SUBTOTAL(9,X1380:X1414)</f>
        <v>740236000</v>
      </c>
      <c r="Y1379" s="562"/>
      <c r="Z1379" s="568"/>
      <c r="AA1379" s="568"/>
      <c r="AB1379" s="568"/>
      <c r="AC1379" s="568"/>
      <c r="AD1379" s="568"/>
      <c r="AE1379" s="602"/>
      <c r="AF1379" s="581">
        <f>SUBTOTAL(9,AF1380:AF1414)</f>
        <v>1</v>
      </c>
      <c r="AG1379" s="585"/>
      <c r="AH1379" s="585">
        <f>SUBTOTAL(9,AH1380:AH1414)</f>
        <v>17000000</v>
      </c>
      <c r="AI1379" s="571">
        <f t="shared" si="297"/>
        <v>6668747000</v>
      </c>
      <c r="AJ1379" s="574"/>
      <c r="AK1379" s="578"/>
    </row>
    <row r="1380" spans="1:37" s="385" customFormat="1" ht="121.5" outlineLevel="2" x14ac:dyDescent="0.3">
      <c r="A1380" s="447">
        <f>IF(B1379&lt;&gt;0,B1379,A1378)</f>
        <v>111</v>
      </c>
      <c r="B1380" s="557"/>
      <c r="C1380" s="558" t="s">
        <v>112</v>
      </c>
      <c r="D1380" s="615">
        <v>2</v>
      </c>
      <c r="E1380" s="615">
        <v>86</v>
      </c>
      <c r="F1380" s="700">
        <v>167</v>
      </c>
      <c r="G1380" s="558" t="s">
        <v>2895</v>
      </c>
      <c r="H1380" s="604">
        <v>597.5</v>
      </c>
      <c r="I1380" s="546" t="str">
        <f t="shared" ref="I1380:I1382" si="306">IF(N1380&gt;0,H1380,"")</f>
        <v/>
      </c>
      <c r="J1380" s="589"/>
      <c r="K1380" s="563">
        <f>IF(G1380&lt;&gt;0,VLOOKUP(G1380,'gia dat'!$A$1:$F$144,5,0)," ")</f>
        <v>554400</v>
      </c>
      <c r="L1380" s="563">
        <f>IF(G1380&lt;&gt;0,VLOOKUP(G1380,'gia dat'!$A$1:$F$144,6,0)," ")</f>
        <v>0</v>
      </c>
      <c r="M1380" s="564">
        <f t="shared" si="291"/>
        <v>331254000</v>
      </c>
      <c r="N1380" s="564">
        <f t="shared" si="292"/>
        <v>0</v>
      </c>
      <c r="O1380" s="558" t="s">
        <v>61</v>
      </c>
      <c r="P1380" s="590">
        <v>3</v>
      </c>
      <c r="Q1380" s="564">
        <f>IF(O1380&lt;&gt;0,VLOOKUP(O1380,'Cây trong'!$A$2:$C$246,3,0)," ")</f>
        <v>1708000</v>
      </c>
      <c r="R1380" s="564">
        <f t="shared" si="302"/>
        <v>5124000</v>
      </c>
      <c r="S1380" s="566" t="s">
        <v>2333</v>
      </c>
      <c r="T1380" s="589" t="s">
        <v>2804</v>
      </c>
      <c r="U1380" s="591">
        <v>90.3</v>
      </c>
      <c r="V1380" s="593"/>
      <c r="W1380" s="564">
        <f>IF(S1380&lt;&gt;0,VLOOKUP(S1380,VKT!$A$2:$G$415,7,0),"")</f>
        <v>211811</v>
      </c>
      <c r="X1380" s="564">
        <f t="shared" si="290"/>
        <v>19127000</v>
      </c>
      <c r="Y1380" s="562"/>
      <c r="Z1380" s="568"/>
      <c r="AA1380" s="568"/>
      <c r="AB1380" s="568"/>
      <c r="AC1380" s="568"/>
      <c r="AD1380" s="568"/>
      <c r="AE1380" s="569"/>
      <c r="AF1380" s="563"/>
      <c r="AG1380" s="570"/>
      <c r="AH1380" s="570"/>
      <c r="AI1380" s="571" t="str">
        <f t="shared" si="297"/>
        <v xml:space="preserve"> </v>
      </c>
      <c r="AJ1380" s="558" t="s">
        <v>1002</v>
      </c>
      <c r="AK1380" s="586" t="s">
        <v>2771</v>
      </c>
    </row>
    <row r="1381" spans="1:37" s="385" customFormat="1" ht="101.25" outlineLevel="2" x14ac:dyDescent="0.3">
      <c r="A1381" s="447">
        <f t="shared" ref="A1381:A1414" si="307">IF(B1380&lt;&gt;0,B1380,A1380)</f>
        <v>111</v>
      </c>
      <c r="B1381" s="557"/>
      <c r="C1381" s="586" t="s">
        <v>1659</v>
      </c>
      <c r="D1381" s="615"/>
      <c r="E1381" s="615">
        <v>86</v>
      </c>
      <c r="F1381" s="700">
        <v>167</v>
      </c>
      <c r="G1381" s="558" t="s">
        <v>2049</v>
      </c>
      <c r="H1381" s="604">
        <v>96</v>
      </c>
      <c r="I1381" s="546" t="str">
        <f t="shared" si="306"/>
        <v/>
      </c>
      <c r="J1381" s="589"/>
      <c r="K1381" s="563">
        <f>IF(G1381&lt;&gt;0,VLOOKUP(G1381,'gia dat'!$A$1:$F$144,5,0)," ")</f>
        <v>7260624</v>
      </c>
      <c r="L1381" s="563">
        <f>IF(G1381&lt;&gt;0,VLOOKUP(G1381,'gia dat'!$A$1:$F$144,6,0)," ")</f>
        <v>0</v>
      </c>
      <c r="M1381" s="564">
        <f t="shared" si="291"/>
        <v>697020000</v>
      </c>
      <c r="N1381" s="564">
        <f t="shared" si="292"/>
        <v>0</v>
      </c>
      <c r="O1381" s="558" t="s">
        <v>1004</v>
      </c>
      <c r="P1381" s="590">
        <v>1</v>
      </c>
      <c r="Q1381" s="564">
        <f>IF(O1381&lt;&gt;0,VLOOKUP(O1381,'Cây trong'!$A$2:$C$246,3,0)," ")</f>
        <v>60000</v>
      </c>
      <c r="R1381" s="564">
        <f t="shared" si="302"/>
        <v>60000</v>
      </c>
      <c r="S1381" s="566" t="s">
        <v>2351</v>
      </c>
      <c r="T1381" s="589" t="s">
        <v>2804</v>
      </c>
      <c r="U1381" s="591">
        <v>36</v>
      </c>
      <c r="V1381" s="593"/>
      <c r="W1381" s="564">
        <f>IF(S1381&lt;&gt;0,VLOOKUP(S1381,VKT!$A$2:$G$415,7,0),"")</f>
        <v>684506</v>
      </c>
      <c r="X1381" s="564">
        <f t="shared" si="290"/>
        <v>24642000</v>
      </c>
      <c r="Y1381" s="562"/>
      <c r="Z1381" s="568" t="s">
        <v>980</v>
      </c>
      <c r="AA1381" s="568" t="s">
        <v>1005</v>
      </c>
      <c r="AB1381" s="568"/>
      <c r="AC1381" s="568" t="s">
        <v>267</v>
      </c>
      <c r="AD1381" s="568"/>
      <c r="AE1381" s="569" t="s">
        <v>2791</v>
      </c>
      <c r="AF1381" s="590">
        <v>1</v>
      </c>
      <c r="AG1381" s="570">
        <f>IF(AE1381&lt;&gt;0,VLOOKUP(AE1381,ODDS!$A$2:$C$13,3,0),"")</f>
        <v>17000000</v>
      </c>
      <c r="AH1381" s="570">
        <f t="shared" si="303"/>
        <v>17000000</v>
      </c>
      <c r="AI1381" s="571" t="str">
        <f t="shared" si="297"/>
        <v xml:space="preserve"> </v>
      </c>
      <c r="AJ1381" s="558" t="s">
        <v>2834</v>
      </c>
      <c r="AK1381" s="558" t="s">
        <v>2448</v>
      </c>
    </row>
    <row r="1382" spans="1:37" s="385" customFormat="1" ht="121.5" outlineLevel="2" x14ac:dyDescent="0.3">
      <c r="A1382" s="447">
        <f t="shared" si="307"/>
        <v>111</v>
      </c>
      <c r="B1382" s="557"/>
      <c r="C1382" s="558"/>
      <c r="D1382" s="615"/>
      <c r="E1382" s="615"/>
      <c r="F1382" s="700"/>
      <c r="G1382" s="558" t="s">
        <v>2896</v>
      </c>
      <c r="H1382" s="735">
        <f>2794.2-H1380</f>
        <v>2196.6999999999998</v>
      </c>
      <c r="I1382" s="546">
        <f t="shared" si="306"/>
        <v>2196.6999999999998</v>
      </c>
      <c r="J1382" s="589"/>
      <c r="K1382" s="563">
        <f>IF(G1382&lt;&gt;0,VLOOKUP(G1382,'gia dat'!$A$1:$F$144,5,0)," ")</f>
        <v>554400</v>
      </c>
      <c r="L1382" s="563">
        <f>IF(G1382&lt;&gt;0,VLOOKUP(G1382,'gia dat'!$A$1:$F$144,6,0)," ")</f>
        <v>1663200</v>
      </c>
      <c r="M1382" s="564">
        <f t="shared" si="291"/>
        <v>1217850000</v>
      </c>
      <c r="N1382" s="564">
        <f t="shared" si="292"/>
        <v>3653551000</v>
      </c>
      <c r="O1382" s="558" t="s">
        <v>754</v>
      </c>
      <c r="P1382" s="590">
        <v>1</v>
      </c>
      <c r="Q1382" s="564">
        <f>IF(O1382&lt;&gt;0,VLOOKUP(O1382,'Cây trong'!$A$2:$C$246,3,0)," ")</f>
        <v>0</v>
      </c>
      <c r="R1382" s="564">
        <f t="shared" si="302"/>
        <v>0</v>
      </c>
      <c r="S1382" s="566" t="s">
        <v>2352</v>
      </c>
      <c r="T1382" s="589" t="s">
        <v>2823</v>
      </c>
      <c r="U1382" s="591">
        <v>0.39</v>
      </c>
      <c r="V1382" s="593"/>
      <c r="W1382" s="564">
        <f>IF(S1382&lt;&gt;0,VLOOKUP(S1382,VKT!$A$2:$G$415,7,0),"")</f>
        <v>0</v>
      </c>
      <c r="X1382" s="564">
        <f t="shared" si="290"/>
        <v>0</v>
      </c>
      <c r="Y1382" s="562"/>
      <c r="Z1382" s="568"/>
      <c r="AA1382" s="568"/>
      <c r="AB1382" s="568"/>
      <c r="AC1382" s="568"/>
      <c r="AD1382" s="568"/>
      <c r="AE1382" s="606"/>
      <c r="AF1382" s="590"/>
      <c r="AG1382" s="570" t="str">
        <f>IF(AE1382&lt;&gt;0,VLOOKUP(AE1382,ODDS!$A$2:$C$13,3,0),"")</f>
        <v/>
      </c>
      <c r="AH1382" s="570" t="str">
        <f t="shared" si="303"/>
        <v xml:space="preserve"> </v>
      </c>
      <c r="AI1382" s="571" t="str">
        <f t="shared" si="297"/>
        <v xml:space="preserve"> </v>
      </c>
      <c r="AJ1382" s="558" t="s">
        <v>2074</v>
      </c>
      <c r="AK1382" s="558" t="s">
        <v>2450</v>
      </c>
    </row>
    <row r="1383" spans="1:37" s="385" customFormat="1" ht="101.25" outlineLevel="2" x14ac:dyDescent="0.3">
      <c r="A1383" s="447">
        <f t="shared" si="307"/>
        <v>111</v>
      </c>
      <c r="B1383" s="557"/>
      <c r="C1383" s="558"/>
      <c r="D1383" s="615"/>
      <c r="E1383" s="615"/>
      <c r="F1383" s="700"/>
      <c r="G1383" s="558"/>
      <c r="H1383" s="735"/>
      <c r="I1383" s="546"/>
      <c r="J1383" s="589"/>
      <c r="K1383" s="563" t="str">
        <f>IF(G1383&lt;&gt;0,VLOOKUP(G1383,'gia dat'!$A$1:$F$144,5,0)," ")</f>
        <v xml:space="preserve"> </v>
      </c>
      <c r="L1383" s="563" t="str">
        <f>IF(G1383&lt;&gt;0,VLOOKUP(G1383,'gia dat'!$A$1:$F$144,6,0)," ")</f>
        <v xml:space="preserve"> </v>
      </c>
      <c r="M1383" s="564" t="str">
        <f t="shared" si="291"/>
        <v xml:space="preserve"> </v>
      </c>
      <c r="N1383" s="564" t="str">
        <f t="shared" si="292"/>
        <v xml:space="preserve"> </v>
      </c>
      <c r="O1383" s="558" t="s">
        <v>750</v>
      </c>
      <c r="P1383" s="590">
        <v>1</v>
      </c>
      <c r="Q1383" s="564">
        <f>IF(O1383&lt;&gt;0,VLOOKUP(O1383,'Cây trong'!$A$2:$C$246,3,0)," ")</f>
        <v>0</v>
      </c>
      <c r="R1383" s="564">
        <f t="shared" si="302"/>
        <v>0</v>
      </c>
      <c r="S1383" s="566" t="s">
        <v>2333</v>
      </c>
      <c r="T1383" s="589" t="s">
        <v>2804</v>
      </c>
      <c r="U1383" s="591">
        <v>3.6</v>
      </c>
      <c r="V1383" s="593"/>
      <c r="W1383" s="564">
        <f>IF(S1383&lt;&gt;0,VLOOKUP(S1383,VKT!$A$2:$G$415,7,0),"")</f>
        <v>211811</v>
      </c>
      <c r="X1383" s="564">
        <f t="shared" si="290"/>
        <v>763000</v>
      </c>
      <c r="Y1383" s="562"/>
      <c r="Z1383" s="568"/>
      <c r="AA1383" s="568"/>
      <c r="AB1383" s="568"/>
      <c r="AC1383" s="568"/>
      <c r="AD1383" s="568"/>
      <c r="AE1383" s="568"/>
      <c r="AF1383" s="563"/>
      <c r="AG1383" s="570" t="str">
        <f>IF(AE1383&lt;&gt;0,VLOOKUP(AE1383,ODDS!$A$2:$C$13,3,0),"")</f>
        <v/>
      </c>
      <c r="AH1383" s="570" t="str">
        <f t="shared" si="303"/>
        <v xml:space="preserve"> </v>
      </c>
      <c r="AI1383" s="571" t="str">
        <f t="shared" si="297"/>
        <v xml:space="preserve"> </v>
      </c>
      <c r="AJ1383" s="558" t="s">
        <v>2163</v>
      </c>
      <c r="AK1383" s="558" t="s">
        <v>2449</v>
      </c>
    </row>
    <row r="1384" spans="1:37" s="385" customFormat="1" ht="81" outlineLevel="2" x14ac:dyDescent="0.3">
      <c r="A1384" s="447">
        <f t="shared" si="307"/>
        <v>111</v>
      </c>
      <c r="B1384" s="557"/>
      <c r="C1384" s="558"/>
      <c r="D1384" s="615"/>
      <c r="E1384" s="615"/>
      <c r="F1384" s="700"/>
      <c r="G1384" s="558"/>
      <c r="H1384" s="604"/>
      <c r="I1384" s="546"/>
      <c r="J1384" s="589"/>
      <c r="K1384" s="563" t="str">
        <f>IF(G1384&lt;&gt;0,VLOOKUP(G1384,'gia dat'!$A$1:$F$144,5,0)," ")</f>
        <v xml:space="preserve"> </v>
      </c>
      <c r="L1384" s="563" t="str">
        <f>IF(G1384&lt;&gt;0,VLOOKUP(G1384,'gia dat'!$A$1:$F$144,6,0)," ")</f>
        <v xml:space="preserve"> </v>
      </c>
      <c r="M1384" s="564" t="str">
        <f t="shared" si="291"/>
        <v xml:space="preserve"> </v>
      </c>
      <c r="N1384" s="564" t="str">
        <f t="shared" si="292"/>
        <v xml:space="preserve"> </v>
      </c>
      <c r="O1384" s="558" t="s">
        <v>932</v>
      </c>
      <c r="P1384" s="590">
        <v>8</v>
      </c>
      <c r="Q1384" s="564">
        <f>IF(O1384&lt;&gt;0,VLOOKUP(O1384,'Cây trong'!$A$2:$C$246,3,0)," ")</f>
        <v>84000</v>
      </c>
      <c r="R1384" s="564">
        <f t="shared" si="302"/>
        <v>672000</v>
      </c>
      <c r="S1384" s="566" t="s">
        <v>1748</v>
      </c>
      <c r="T1384" s="589" t="s">
        <v>2804</v>
      </c>
      <c r="U1384" s="591">
        <v>3.7</v>
      </c>
      <c r="V1384" s="593"/>
      <c r="W1384" s="564">
        <f>IF(S1384&lt;&gt;0,VLOOKUP(S1384,VKT!$A$2:$G$415,7,0),"")</f>
        <v>0</v>
      </c>
      <c r="X1384" s="564">
        <f t="shared" si="290"/>
        <v>0</v>
      </c>
      <c r="Y1384" s="562"/>
      <c r="Z1384" s="568"/>
      <c r="AA1384" s="568"/>
      <c r="AB1384" s="568"/>
      <c r="AC1384" s="568"/>
      <c r="AD1384" s="568"/>
      <c r="AE1384" s="568"/>
      <c r="AF1384" s="563"/>
      <c r="AG1384" s="570" t="str">
        <f>IF(AE1384&lt;&gt;0,VLOOKUP(AE1384,ODDS!$A$2:$C$13,3,0),"")</f>
        <v/>
      </c>
      <c r="AH1384" s="570" t="str">
        <f t="shared" si="303"/>
        <v xml:space="preserve"> </v>
      </c>
      <c r="AI1384" s="571" t="str">
        <f t="shared" si="297"/>
        <v xml:space="preserve"> </v>
      </c>
      <c r="AJ1384" s="558"/>
      <c r="AK1384" s="558" t="s">
        <v>2451</v>
      </c>
    </row>
    <row r="1385" spans="1:37" s="385" customFormat="1" ht="101.25" outlineLevel="2" x14ac:dyDescent="0.3">
      <c r="A1385" s="447">
        <f t="shared" si="307"/>
        <v>111</v>
      </c>
      <c r="B1385" s="557"/>
      <c r="C1385" s="558"/>
      <c r="D1385" s="615"/>
      <c r="E1385" s="615"/>
      <c r="F1385" s="700"/>
      <c r="G1385" s="558"/>
      <c r="H1385" s="734"/>
      <c r="I1385" s="546"/>
      <c r="J1385" s="589"/>
      <c r="K1385" s="563" t="str">
        <f>IF(G1385&lt;&gt;0,VLOOKUP(G1385,'gia dat'!$A$1:$F$144,5,0)," ")</f>
        <v xml:space="preserve"> </v>
      </c>
      <c r="L1385" s="563" t="str">
        <f>IF(G1385&lt;&gt;0,VLOOKUP(G1385,'gia dat'!$A$1:$F$144,6,0)," ")</f>
        <v xml:space="preserve"> </v>
      </c>
      <c r="M1385" s="564" t="str">
        <f t="shared" si="291"/>
        <v xml:space="preserve"> </v>
      </c>
      <c r="N1385" s="564" t="str">
        <f t="shared" si="292"/>
        <v xml:space="preserve"> </v>
      </c>
      <c r="O1385" s="558" t="s">
        <v>350</v>
      </c>
      <c r="P1385" s="590">
        <v>2</v>
      </c>
      <c r="Q1385" s="564">
        <f>IF(O1385&lt;&gt;0,VLOOKUP(O1385,'Cây trong'!$A$2:$C$246,3,0)," ")</f>
        <v>72000</v>
      </c>
      <c r="R1385" s="564">
        <f t="shared" si="302"/>
        <v>144000</v>
      </c>
      <c r="S1385" s="566" t="s">
        <v>1749</v>
      </c>
      <c r="T1385" s="589" t="s">
        <v>2804</v>
      </c>
      <c r="U1385" s="591">
        <v>3.7</v>
      </c>
      <c r="V1385" s="593"/>
      <c r="W1385" s="564">
        <f>IF(S1385&lt;&gt;0,VLOOKUP(S1385,VKT!$A$2:$G$415,7,0),"")</f>
        <v>211811</v>
      </c>
      <c r="X1385" s="564">
        <f t="shared" si="290"/>
        <v>784000</v>
      </c>
      <c r="Y1385" s="562"/>
      <c r="Z1385" s="568"/>
      <c r="AA1385" s="568"/>
      <c r="AB1385" s="568"/>
      <c r="AC1385" s="568"/>
      <c r="AD1385" s="568"/>
      <c r="AE1385" s="568"/>
      <c r="AF1385" s="563"/>
      <c r="AG1385" s="570" t="str">
        <f>IF(AE1385&lt;&gt;0,VLOOKUP(AE1385,ODDS!$A$2:$C$13,3,0),"")</f>
        <v/>
      </c>
      <c r="AH1385" s="570" t="str">
        <f t="shared" si="303"/>
        <v xml:space="preserve"> </v>
      </c>
      <c r="AI1385" s="571" t="str">
        <f t="shared" si="297"/>
        <v xml:space="preserve"> </v>
      </c>
      <c r="AJ1385" s="558"/>
      <c r="AK1385" s="558" t="s">
        <v>2800</v>
      </c>
    </row>
    <row r="1386" spans="1:37" s="385" customFormat="1" ht="40.5" outlineLevel="2" x14ac:dyDescent="0.3">
      <c r="A1386" s="447">
        <f t="shared" si="307"/>
        <v>111</v>
      </c>
      <c r="B1386" s="557"/>
      <c r="C1386" s="558"/>
      <c r="D1386" s="615"/>
      <c r="E1386" s="615"/>
      <c r="F1386" s="700"/>
      <c r="G1386" s="558"/>
      <c r="H1386" s="604"/>
      <c r="I1386" s="546"/>
      <c r="J1386" s="589"/>
      <c r="K1386" s="563" t="str">
        <f>IF(G1386&lt;&gt;0,VLOOKUP(G1386,'gia dat'!$A$1:$F$144,5,0)," ")</f>
        <v xml:space="preserve"> </v>
      </c>
      <c r="L1386" s="563" t="str">
        <f>IF(G1386&lt;&gt;0,VLOOKUP(G1386,'gia dat'!$A$1:$F$144,6,0)," ")</f>
        <v xml:space="preserve"> </v>
      </c>
      <c r="M1386" s="564" t="str">
        <f t="shared" si="291"/>
        <v xml:space="preserve"> </v>
      </c>
      <c r="N1386" s="564" t="str">
        <f t="shared" si="292"/>
        <v xml:space="preserve"> </v>
      </c>
      <c r="O1386" s="558" t="s">
        <v>145</v>
      </c>
      <c r="P1386" s="590">
        <v>1</v>
      </c>
      <c r="Q1386" s="564">
        <f>IF(O1386&lt;&gt;0,VLOOKUP(O1386,'Cây trong'!$A$2:$C$246,3,0)," ")</f>
        <v>4240000</v>
      </c>
      <c r="R1386" s="564">
        <f t="shared" si="302"/>
        <v>4240000</v>
      </c>
      <c r="S1386" s="566" t="s">
        <v>1838</v>
      </c>
      <c r="T1386" s="589" t="s">
        <v>2804</v>
      </c>
      <c r="U1386" s="591">
        <v>69.900000000000006</v>
      </c>
      <c r="V1386" s="593"/>
      <c r="W1386" s="564">
        <f>IF(S1386&lt;&gt;0,VLOOKUP(S1386,VKT!$A$2:$G$415,7,0),"")</f>
        <v>3156089</v>
      </c>
      <c r="X1386" s="564">
        <f t="shared" si="290"/>
        <v>220611000</v>
      </c>
      <c r="Y1386" s="562" t="s">
        <v>139</v>
      </c>
      <c r="Z1386" s="568" t="s">
        <v>980</v>
      </c>
      <c r="AA1386" s="568" t="s">
        <v>1012</v>
      </c>
      <c r="AB1386" s="568" t="s">
        <v>269</v>
      </c>
      <c r="AC1386" s="568" t="s">
        <v>139</v>
      </c>
      <c r="AD1386" s="568"/>
      <c r="AE1386" s="568"/>
      <c r="AF1386" s="563"/>
      <c r="AG1386" s="570" t="str">
        <f>IF(AE1386&lt;&gt;0,VLOOKUP(AE1386,ODDS!$A$2:$C$13,3,0),"")</f>
        <v/>
      </c>
      <c r="AH1386" s="570" t="str">
        <f t="shared" si="303"/>
        <v xml:space="preserve"> </v>
      </c>
      <c r="AI1386" s="571" t="str">
        <f t="shared" si="297"/>
        <v xml:space="preserve"> </v>
      </c>
      <c r="AJ1386" s="558"/>
      <c r="AK1386" s="558"/>
    </row>
    <row r="1387" spans="1:37" s="385" customFormat="1" ht="81" outlineLevel="2" x14ac:dyDescent="0.3">
      <c r="A1387" s="447">
        <f t="shared" si="307"/>
        <v>111</v>
      </c>
      <c r="B1387" s="557"/>
      <c r="C1387" s="558"/>
      <c r="D1387" s="615"/>
      <c r="E1387" s="615"/>
      <c r="F1387" s="700"/>
      <c r="G1387" s="558"/>
      <c r="H1387" s="604"/>
      <c r="I1387" s="546"/>
      <c r="J1387" s="589"/>
      <c r="K1387" s="563" t="str">
        <f>IF(G1387&lt;&gt;0,VLOOKUP(G1387,'gia dat'!$A$1:$F$144,5,0)," ")</f>
        <v xml:space="preserve"> </v>
      </c>
      <c r="L1387" s="563" t="str">
        <f>IF(G1387&lt;&gt;0,VLOOKUP(G1387,'gia dat'!$A$1:$F$144,6,0)," ")</f>
        <v xml:space="preserve"> </v>
      </c>
      <c r="M1387" s="564" t="str">
        <f t="shared" si="291"/>
        <v xml:space="preserve"> </v>
      </c>
      <c r="N1387" s="564" t="str">
        <f t="shared" si="292"/>
        <v xml:space="preserve"> </v>
      </c>
      <c r="O1387" s="558" t="s">
        <v>75</v>
      </c>
      <c r="P1387" s="590">
        <v>10</v>
      </c>
      <c r="Q1387" s="564">
        <f>IF(O1387&lt;&gt;0,VLOOKUP(O1387,'Cây trong'!$A$2:$C$246,3,0)," ")</f>
        <v>34000</v>
      </c>
      <c r="R1387" s="564">
        <f t="shared" si="302"/>
        <v>340000</v>
      </c>
      <c r="S1387" s="566" t="s">
        <v>2353</v>
      </c>
      <c r="T1387" s="589" t="s">
        <v>2823</v>
      </c>
      <c r="U1387" s="591">
        <v>7.65</v>
      </c>
      <c r="V1387" s="593"/>
      <c r="W1387" s="564">
        <f>IF(S1387&lt;&gt;0,VLOOKUP(S1387,VKT!$A$2:$G$415,7,0),"")</f>
        <v>0</v>
      </c>
      <c r="X1387" s="564">
        <f t="shared" si="290"/>
        <v>0</v>
      </c>
      <c r="Y1387" s="562"/>
      <c r="Z1387" s="568"/>
      <c r="AA1387" s="568"/>
      <c r="AB1387" s="568"/>
      <c r="AC1387" s="568"/>
      <c r="AD1387" s="568"/>
      <c r="AE1387" s="568"/>
      <c r="AF1387" s="563"/>
      <c r="AG1387" s="570" t="str">
        <f>IF(AE1387&lt;&gt;0,VLOOKUP(AE1387,ODDS!$A$2:$C$13,3,0),"")</f>
        <v/>
      </c>
      <c r="AH1387" s="570" t="str">
        <f t="shared" si="303"/>
        <v xml:space="preserve"> </v>
      </c>
      <c r="AI1387" s="571" t="str">
        <f t="shared" si="297"/>
        <v xml:space="preserve"> </v>
      </c>
      <c r="AJ1387" s="558"/>
      <c r="AK1387" s="558"/>
    </row>
    <row r="1388" spans="1:37" s="385" customFormat="1" ht="60.75" outlineLevel="2" x14ac:dyDescent="0.3">
      <c r="A1388" s="447">
        <f t="shared" si="307"/>
        <v>111</v>
      </c>
      <c r="B1388" s="557"/>
      <c r="C1388" s="558"/>
      <c r="D1388" s="615"/>
      <c r="E1388" s="615"/>
      <c r="F1388" s="700"/>
      <c r="G1388" s="558"/>
      <c r="H1388" s="604"/>
      <c r="I1388" s="546"/>
      <c r="J1388" s="589"/>
      <c r="K1388" s="563" t="str">
        <f>IF(G1388&lt;&gt;0,VLOOKUP(G1388,'gia dat'!$A$1:$F$144,5,0)," ")</f>
        <v xml:space="preserve"> </v>
      </c>
      <c r="L1388" s="563" t="str">
        <f>IF(G1388&lt;&gt;0,VLOOKUP(G1388,'gia dat'!$A$1:$F$144,6,0)," ")</f>
        <v xml:space="preserve"> </v>
      </c>
      <c r="M1388" s="564" t="str">
        <f t="shared" si="291"/>
        <v xml:space="preserve"> </v>
      </c>
      <c r="N1388" s="564" t="str">
        <f t="shared" si="292"/>
        <v xml:space="preserve"> </v>
      </c>
      <c r="O1388" s="586" t="s">
        <v>401</v>
      </c>
      <c r="P1388" s="590">
        <v>3</v>
      </c>
      <c r="Q1388" s="564">
        <f>IF(O1388&lt;&gt;0,VLOOKUP(O1388,'Cây trong'!$A$2:$C$246,3,0)," ")</f>
        <v>80000</v>
      </c>
      <c r="R1388" s="564">
        <f t="shared" si="302"/>
        <v>240000</v>
      </c>
      <c r="S1388" s="566" t="s">
        <v>2351</v>
      </c>
      <c r="T1388" s="589" t="s">
        <v>2804</v>
      </c>
      <c r="U1388" s="617">
        <v>20.3</v>
      </c>
      <c r="V1388" s="593"/>
      <c r="W1388" s="564">
        <f>IF(S1388&lt;&gt;0,VLOOKUP(S1388,VKT!$A$2:$G$415,7,0),"")</f>
        <v>684506</v>
      </c>
      <c r="X1388" s="564">
        <f t="shared" si="290"/>
        <v>13895000</v>
      </c>
      <c r="Y1388" s="562"/>
      <c r="Z1388" s="568" t="s">
        <v>980</v>
      </c>
      <c r="AA1388" s="568" t="s">
        <v>1005</v>
      </c>
      <c r="AB1388" s="568"/>
      <c r="AC1388" s="568" t="s">
        <v>267</v>
      </c>
      <c r="AD1388" s="568"/>
      <c r="AE1388" s="568"/>
      <c r="AF1388" s="563"/>
      <c r="AG1388" s="570" t="str">
        <f>IF(AE1388&lt;&gt;0,VLOOKUP(AE1388,ODDS!$A$2:$C$13,3,0),"")</f>
        <v/>
      </c>
      <c r="AH1388" s="570" t="str">
        <f t="shared" si="303"/>
        <v xml:space="preserve"> </v>
      </c>
      <c r="AI1388" s="571" t="str">
        <f t="shared" si="297"/>
        <v xml:space="preserve"> </v>
      </c>
      <c r="AJ1388" s="558"/>
      <c r="AK1388" s="558"/>
    </row>
    <row r="1389" spans="1:37" s="385" customFormat="1" ht="60.75" outlineLevel="2" x14ac:dyDescent="0.3">
      <c r="A1389" s="447">
        <f t="shared" si="307"/>
        <v>111</v>
      </c>
      <c r="B1389" s="557"/>
      <c r="C1389" s="558"/>
      <c r="D1389" s="615"/>
      <c r="E1389" s="615"/>
      <c r="F1389" s="700"/>
      <c r="G1389" s="558"/>
      <c r="H1389" s="604"/>
      <c r="I1389" s="546"/>
      <c r="J1389" s="589"/>
      <c r="K1389" s="563" t="str">
        <f>IF(G1389&lt;&gt;0,VLOOKUP(G1389,'gia dat'!$A$1:$F$144,5,0)," ")</f>
        <v xml:space="preserve"> </v>
      </c>
      <c r="L1389" s="563" t="str">
        <f>IF(G1389&lt;&gt;0,VLOOKUP(G1389,'gia dat'!$A$1:$F$144,6,0)," ")</f>
        <v xml:space="preserve"> </v>
      </c>
      <c r="M1389" s="564" t="str">
        <f t="shared" si="291"/>
        <v xml:space="preserve"> </v>
      </c>
      <c r="N1389" s="564" t="str">
        <f t="shared" si="292"/>
        <v xml:space="preserve"> </v>
      </c>
      <c r="O1389" s="586" t="s">
        <v>401</v>
      </c>
      <c r="P1389" s="590">
        <v>2</v>
      </c>
      <c r="Q1389" s="564">
        <f>IF(O1389&lt;&gt;0,VLOOKUP(O1389,'Cây trong'!$A$2:$C$246,3,0)," ")</f>
        <v>80000</v>
      </c>
      <c r="R1389" s="564">
        <f t="shared" si="302"/>
        <v>160000</v>
      </c>
      <c r="S1389" s="566" t="s">
        <v>1750</v>
      </c>
      <c r="T1389" s="589" t="s">
        <v>2804</v>
      </c>
      <c r="U1389" s="617">
        <v>53.8</v>
      </c>
      <c r="V1389" s="593"/>
      <c r="W1389" s="564">
        <f>IF(S1389&lt;&gt;0,VLOOKUP(S1389,VKT!$A$2:$G$415,7,0),"")</f>
        <v>984277</v>
      </c>
      <c r="X1389" s="564">
        <f t="shared" ref="X1389:X1455" si="308">IF(S1389&lt;&gt;0,ROUND(U1389*W1389,-3)," ")</f>
        <v>52954000</v>
      </c>
      <c r="Y1389" s="562"/>
      <c r="Z1389" s="568" t="s">
        <v>980</v>
      </c>
      <c r="AA1389" s="568" t="s">
        <v>1012</v>
      </c>
      <c r="AB1389" s="568" t="s">
        <v>269</v>
      </c>
      <c r="AC1389" s="568" t="s">
        <v>267</v>
      </c>
      <c r="AD1389" s="568"/>
      <c r="AE1389" s="568"/>
      <c r="AF1389" s="563"/>
      <c r="AG1389" s="570" t="str">
        <f>IF(AE1389&lt;&gt;0,VLOOKUP(AE1389,ODDS!$A$2:$C$13,3,0),"")</f>
        <v/>
      </c>
      <c r="AH1389" s="570" t="str">
        <f t="shared" si="303"/>
        <v xml:space="preserve"> </v>
      </c>
      <c r="AI1389" s="571" t="str">
        <f t="shared" si="297"/>
        <v xml:space="preserve"> </v>
      </c>
      <c r="AJ1389" s="558"/>
      <c r="AK1389" s="558"/>
    </row>
    <row r="1390" spans="1:37" s="385" customFormat="1" ht="60.75" outlineLevel="2" x14ac:dyDescent="0.3">
      <c r="A1390" s="447">
        <f t="shared" si="307"/>
        <v>111</v>
      </c>
      <c r="B1390" s="557"/>
      <c r="C1390" s="558"/>
      <c r="D1390" s="615"/>
      <c r="E1390" s="615"/>
      <c r="F1390" s="700"/>
      <c r="G1390" s="558"/>
      <c r="H1390" s="604"/>
      <c r="I1390" s="546"/>
      <c r="J1390" s="589"/>
      <c r="K1390" s="563" t="str">
        <f>IF(G1390&lt;&gt;0,VLOOKUP(G1390,'gia dat'!$A$1:$F$144,5,0)," ")</f>
        <v xml:space="preserve"> </v>
      </c>
      <c r="L1390" s="563" t="str">
        <f>IF(G1390&lt;&gt;0,VLOOKUP(G1390,'gia dat'!$A$1:$F$144,6,0)," ")</f>
        <v xml:space="preserve"> </v>
      </c>
      <c r="M1390" s="564" t="str">
        <f t="shared" si="291"/>
        <v xml:space="preserve"> </v>
      </c>
      <c r="N1390" s="564" t="str">
        <f t="shared" si="292"/>
        <v xml:space="preserve"> </v>
      </c>
      <c r="O1390" s="558" t="s">
        <v>154</v>
      </c>
      <c r="P1390" s="590">
        <v>2</v>
      </c>
      <c r="Q1390" s="564">
        <f>IF(O1390&lt;&gt;0,VLOOKUP(O1390,'Cây trong'!$A$2:$C$246,3,0)," ")</f>
        <v>248000</v>
      </c>
      <c r="R1390" s="564">
        <f t="shared" si="302"/>
        <v>496000</v>
      </c>
      <c r="S1390" s="566" t="s">
        <v>2354</v>
      </c>
      <c r="T1390" s="589" t="s">
        <v>2804</v>
      </c>
      <c r="U1390" s="617">
        <v>1.7</v>
      </c>
      <c r="V1390" s="593"/>
      <c r="W1390" s="564">
        <f>IF(S1390&lt;&gt;0,VLOOKUP(S1390,VKT!$A$2:$G$415,7,0),"")</f>
        <v>7577429</v>
      </c>
      <c r="X1390" s="564">
        <f t="shared" si="308"/>
        <v>12882000</v>
      </c>
      <c r="Y1390" s="562" t="s">
        <v>139</v>
      </c>
      <c r="Z1390" s="568" t="s">
        <v>980</v>
      </c>
      <c r="AA1390" s="568" t="s">
        <v>1012</v>
      </c>
      <c r="AB1390" s="568" t="s">
        <v>269</v>
      </c>
      <c r="AC1390" s="568" t="s">
        <v>139</v>
      </c>
      <c r="AD1390" s="568"/>
      <c r="AE1390" s="568"/>
      <c r="AF1390" s="563"/>
      <c r="AG1390" s="570" t="str">
        <f>IF(AE1390&lt;&gt;0,VLOOKUP(AE1390,ODDS!$A$2:$C$13,3,0),"")</f>
        <v/>
      </c>
      <c r="AH1390" s="570" t="str">
        <f t="shared" si="303"/>
        <v xml:space="preserve"> </v>
      </c>
      <c r="AI1390" s="571" t="str">
        <f t="shared" si="297"/>
        <v xml:space="preserve"> </v>
      </c>
      <c r="AJ1390" s="558" t="s">
        <v>1015</v>
      </c>
      <c r="AK1390" s="558"/>
    </row>
    <row r="1391" spans="1:37" s="385" customFormat="1" ht="60.75" outlineLevel="2" x14ac:dyDescent="0.3">
      <c r="A1391" s="447">
        <f t="shared" si="307"/>
        <v>111</v>
      </c>
      <c r="B1391" s="557"/>
      <c r="C1391" s="558"/>
      <c r="D1391" s="615"/>
      <c r="E1391" s="615"/>
      <c r="F1391" s="700"/>
      <c r="G1391" s="558"/>
      <c r="H1391" s="604"/>
      <c r="I1391" s="546"/>
      <c r="J1391" s="589"/>
      <c r="K1391" s="563" t="str">
        <f>IF(G1391&lt;&gt;0,VLOOKUP(G1391,'gia dat'!$A$1:$F$144,5,0)," ")</f>
        <v xml:space="preserve"> </v>
      </c>
      <c r="L1391" s="563" t="str">
        <f>IF(G1391&lt;&gt;0,VLOOKUP(G1391,'gia dat'!$A$1:$F$144,6,0)," ")</f>
        <v xml:space="preserve"> </v>
      </c>
      <c r="M1391" s="564" t="str">
        <f t="shared" si="291"/>
        <v xml:space="preserve"> </v>
      </c>
      <c r="N1391" s="564" t="str">
        <f t="shared" si="292"/>
        <v xml:space="preserve"> </v>
      </c>
      <c r="O1391" s="558" t="s">
        <v>76</v>
      </c>
      <c r="P1391" s="590">
        <v>8</v>
      </c>
      <c r="Q1391" s="564">
        <f>IF(O1391&lt;&gt;0,VLOOKUP(O1391,'Cây trong'!$A$2:$C$246,3,0)," ")</f>
        <v>45000</v>
      </c>
      <c r="R1391" s="564">
        <f t="shared" si="302"/>
        <v>360000</v>
      </c>
      <c r="S1391" s="566" t="s">
        <v>2354</v>
      </c>
      <c r="T1391" s="589" t="s">
        <v>2804</v>
      </c>
      <c r="U1391" s="617">
        <v>1.7</v>
      </c>
      <c r="V1391" s="593"/>
      <c r="W1391" s="564">
        <f>IF(S1391&lt;&gt;0,VLOOKUP(S1391,VKT!$A$2:$G$415,7,0),"")</f>
        <v>7577429</v>
      </c>
      <c r="X1391" s="564">
        <f t="shared" si="308"/>
        <v>12882000</v>
      </c>
      <c r="Y1391" s="562" t="s">
        <v>139</v>
      </c>
      <c r="Z1391" s="568" t="s">
        <v>980</v>
      </c>
      <c r="AA1391" s="568" t="s">
        <v>1012</v>
      </c>
      <c r="AB1391" s="568" t="s">
        <v>269</v>
      </c>
      <c r="AC1391" s="568" t="s">
        <v>139</v>
      </c>
      <c r="AD1391" s="568"/>
      <c r="AE1391" s="568"/>
      <c r="AF1391" s="563"/>
      <c r="AG1391" s="570" t="str">
        <f>IF(AE1391&lt;&gt;0,VLOOKUP(AE1391,ODDS!$A$2:$C$13,3,0),"")</f>
        <v/>
      </c>
      <c r="AH1391" s="570" t="str">
        <f t="shared" si="303"/>
        <v xml:space="preserve"> </v>
      </c>
      <c r="AI1391" s="571" t="str">
        <f t="shared" si="297"/>
        <v xml:space="preserve"> </v>
      </c>
      <c r="AJ1391" s="558" t="s">
        <v>1015</v>
      </c>
      <c r="AK1391" s="558"/>
    </row>
    <row r="1392" spans="1:37" s="385" customFormat="1" ht="60.75" outlineLevel="2" x14ac:dyDescent="0.3">
      <c r="A1392" s="447">
        <f t="shared" si="307"/>
        <v>111</v>
      </c>
      <c r="B1392" s="557"/>
      <c r="C1392" s="558"/>
      <c r="D1392" s="615"/>
      <c r="E1392" s="615"/>
      <c r="F1392" s="700"/>
      <c r="G1392" s="558"/>
      <c r="H1392" s="604"/>
      <c r="I1392" s="546"/>
      <c r="J1392" s="589"/>
      <c r="K1392" s="563" t="str">
        <f>IF(G1392&lt;&gt;0,VLOOKUP(G1392,'gia dat'!$A$1:$F$144,5,0)," ")</f>
        <v xml:space="preserve"> </v>
      </c>
      <c r="L1392" s="563" t="str">
        <f>IF(G1392&lt;&gt;0,VLOOKUP(G1392,'gia dat'!$A$1:$F$144,6,0)," ")</f>
        <v xml:space="preserve"> </v>
      </c>
      <c r="M1392" s="564" t="str">
        <f t="shared" si="291"/>
        <v xml:space="preserve"> </v>
      </c>
      <c r="N1392" s="564" t="str">
        <f t="shared" si="292"/>
        <v xml:space="preserve"> </v>
      </c>
      <c r="O1392" s="558"/>
      <c r="P1392" s="590"/>
      <c r="Q1392" s="564" t="str">
        <f>IF(O1392&lt;&gt;0,VLOOKUP(O1392,'Cây trong'!$A$2:$C$246,3,0)," ")</f>
        <v xml:space="preserve"> </v>
      </c>
      <c r="R1392" s="564" t="str">
        <f t="shared" si="302"/>
        <v xml:space="preserve"> </v>
      </c>
      <c r="S1392" s="566" t="s">
        <v>1805</v>
      </c>
      <c r="T1392" s="589" t="s">
        <v>2804</v>
      </c>
      <c r="U1392" s="591">
        <v>77.61</v>
      </c>
      <c r="V1392" s="593"/>
      <c r="W1392" s="564">
        <f>IF(S1392&lt;&gt;0,VLOOKUP(S1392,VKT!$A$2:$G$415,7,0),"")</f>
        <v>642264</v>
      </c>
      <c r="X1392" s="564">
        <f t="shared" si="308"/>
        <v>49846000</v>
      </c>
      <c r="Y1392" s="562"/>
      <c r="Z1392" s="568"/>
      <c r="AA1392" s="568"/>
      <c r="AB1392" s="568"/>
      <c r="AC1392" s="568"/>
      <c r="AD1392" s="568"/>
      <c r="AE1392" s="568"/>
      <c r="AF1392" s="563"/>
      <c r="AG1392" s="570" t="str">
        <f>IF(AE1392&lt;&gt;0,VLOOKUP(AE1392,ODDS!$A$2:$C$13,3,0),"")</f>
        <v/>
      </c>
      <c r="AH1392" s="570" t="str">
        <f t="shared" si="303"/>
        <v xml:space="preserve"> </v>
      </c>
      <c r="AI1392" s="571" t="str">
        <f t="shared" si="297"/>
        <v xml:space="preserve"> </v>
      </c>
      <c r="AJ1392" s="558"/>
      <c r="AK1392" s="558"/>
    </row>
    <row r="1393" spans="1:37" s="385" customFormat="1" ht="60.75" outlineLevel="2" x14ac:dyDescent="0.3">
      <c r="A1393" s="447">
        <f t="shared" si="307"/>
        <v>111</v>
      </c>
      <c r="B1393" s="557"/>
      <c r="C1393" s="558"/>
      <c r="D1393" s="615"/>
      <c r="E1393" s="615"/>
      <c r="F1393" s="700"/>
      <c r="G1393" s="558"/>
      <c r="H1393" s="604"/>
      <c r="I1393" s="546"/>
      <c r="J1393" s="589"/>
      <c r="K1393" s="563" t="str">
        <f>IF(G1393&lt;&gt;0,VLOOKUP(G1393,'gia dat'!$A$1:$F$144,5,0)," ")</f>
        <v xml:space="preserve"> </v>
      </c>
      <c r="L1393" s="563" t="str">
        <f>IF(G1393&lt;&gt;0,VLOOKUP(G1393,'gia dat'!$A$1:$F$144,6,0)," ")</f>
        <v xml:space="preserve"> </v>
      </c>
      <c r="M1393" s="564" t="str">
        <f t="shared" si="291"/>
        <v xml:space="preserve"> </v>
      </c>
      <c r="N1393" s="564" t="str">
        <f t="shared" si="292"/>
        <v xml:space="preserve"> </v>
      </c>
      <c r="O1393" s="558"/>
      <c r="P1393" s="590"/>
      <c r="Q1393" s="564" t="str">
        <f>IF(O1393&lt;&gt;0,VLOOKUP(O1393,'Cây trong'!$A$2:$C$246,3,0)," ")</f>
        <v xml:space="preserve"> </v>
      </c>
      <c r="R1393" s="564" t="str">
        <f t="shared" si="302"/>
        <v xml:space="preserve"> </v>
      </c>
      <c r="S1393" s="566" t="s">
        <v>1805</v>
      </c>
      <c r="T1393" s="589" t="s">
        <v>2804</v>
      </c>
      <c r="U1393" s="591">
        <v>6.51</v>
      </c>
      <c r="V1393" s="593"/>
      <c r="W1393" s="564">
        <f>IF(S1393&lt;&gt;0,VLOOKUP(S1393,VKT!$A$2:$G$415,7,0),"")</f>
        <v>642264</v>
      </c>
      <c r="X1393" s="564">
        <f t="shared" si="308"/>
        <v>4181000</v>
      </c>
      <c r="Y1393" s="562"/>
      <c r="Z1393" s="568"/>
      <c r="AA1393" s="568"/>
      <c r="AB1393" s="568"/>
      <c r="AC1393" s="568"/>
      <c r="AD1393" s="568"/>
      <c r="AE1393" s="568"/>
      <c r="AF1393" s="563"/>
      <c r="AG1393" s="570" t="str">
        <f>IF(AE1393&lt;&gt;0,VLOOKUP(AE1393,ODDS!$A$2:$C$13,3,0),"")</f>
        <v/>
      </c>
      <c r="AH1393" s="570" t="str">
        <f t="shared" si="303"/>
        <v xml:space="preserve"> </v>
      </c>
      <c r="AI1393" s="571" t="str">
        <f t="shared" si="297"/>
        <v xml:space="preserve"> </v>
      </c>
      <c r="AJ1393" s="558"/>
      <c r="AK1393" s="558"/>
    </row>
    <row r="1394" spans="1:37" s="385" customFormat="1" ht="60.75" outlineLevel="2" x14ac:dyDescent="0.3">
      <c r="A1394" s="447">
        <f t="shared" si="307"/>
        <v>111</v>
      </c>
      <c r="B1394" s="557"/>
      <c r="C1394" s="558"/>
      <c r="D1394" s="615"/>
      <c r="E1394" s="615"/>
      <c r="F1394" s="700"/>
      <c r="G1394" s="558"/>
      <c r="H1394" s="604"/>
      <c r="I1394" s="546"/>
      <c r="J1394" s="589"/>
      <c r="K1394" s="563" t="str">
        <f>IF(G1394&lt;&gt;0,VLOOKUP(G1394,'gia dat'!$A$1:$F$144,5,0)," ")</f>
        <v xml:space="preserve"> </v>
      </c>
      <c r="L1394" s="563" t="str">
        <f>IF(G1394&lt;&gt;0,VLOOKUP(G1394,'gia dat'!$A$1:$F$144,6,0)," ")</f>
        <v xml:space="preserve"> </v>
      </c>
      <c r="M1394" s="564" t="str">
        <f t="shared" si="291"/>
        <v xml:space="preserve"> </v>
      </c>
      <c r="N1394" s="564" t="str">
        <f t="shared" si="292"/>
        <v xml:space="preserve"> </v>
      </c>
      <c r="O1394" s="558"/>
      <c r="P1394" s="590"/>
      <c r="Q1394" s="564" t="str">
        <f>IF(O1394&lt;&gt;0,VLOOKUP(O1394,'Cây trong'!$A$2:$C$246,3,0)," ")</f>
        <v xml:space="preserve"> </v>
      </c>
      <c r="R1394" s="564" t="str">
        <f t="shared" si="302"/>
        <v xml:space="preserve"> </v>
      </c>
      <c r="S1394" s="566" t="s">
        <v>1805</v>
      </c>
      <c r="T1394" s="589" t="s">
        <v>2804</v>
      </c>
      <c r="U1394" s="591">
        <v>10.1</v>
      </c>
      <c r="V1394" s="593"/>
      <c r="W1394" s="564">
        <f>IF(S1394&lt;&gt;0,VLOOKUP(S1394,VKT!$A$2:$G$415,7,0),"")</f>
        <v>642264</v>
      </c>
      <c r="X1394" s="564">
        <f t="shared" si="308"/>
        <v>6487000</v>
      </c>
      <c r="Y1394" s="562"/>
      <c r="Z1394" s="568"/>
      <c r="AA1394" s="568"/>
      <c r="AB1394" s="568"/>
      <c r="AC1394" s="568"/>
      <c r="AD1394" s="568"/>
      <c r="AE1394" s="568"/>
      <c r="AF1394" s="563"/>
      <c r="AG1394" s="570" t="str">
        <f>IF(AE1394&lt;&gt;0,VLOOKUP(AE1394,ODDS!$A$2:$C$13,3,0),"")</f>
        <v/>
      </c>
      <c r="AH1394" s="570" t="str">
        <f t="shared" si="303"/>
        <v xml:space="preserve"> </v>
      </c>
      <c r="AI1394" s="571" t="str">
        <f t="shared" si="297"/>
        <v xml:space="preserve"> </v>
      </c>
      <c r="AJ1394" s="558"/>
      <c r="AK1394" s="558"/>
    </row>
    <row r="1395" spans="1:37" s="385" customFormat="1" ht="60.75" outlineLevel="2" x14ac:dyDescent="0.3">
      <c r="A1395" s="447">
        <f t="shared" si="307"/>
        <v>111</v>
      </c>
      <c r="B1395" s="557"/>
      <c r="C1395" s="558"/>
      <c r="D1395" s="615"/>
      <c r="E1395" s="615"/>
      <c r="F1395" s="700"/>
      <c r="G1395" s="558"/>
      <c r="H1395" s="604"/>
      <c r="I1395" s="546"/>
      <c r="J1395" s="589"/>
      <c r="K1395" s="563" t="str">
        <f>IF(G1395&lt;&gt;0,VLOOKUP(G1395,'gia dat'!$A$1:$F$144,5,0)," ")</f>
        <v xml:space="preserve"> </v>
      </c>
      <c r="L1395" s="563" t="str">
        <f>IF(G1395&lt;&gt;0,VLOOKUP(G1395,'gia dat'!$A$1:$F$144,6,0)," ")</f>
        <v xml:space="preserve"> </v>
      </c>
      <c r="M1395" s="564" t="str">
        <f t="shared" si="291"/>
        <v xml:space="preserve"> </v>
      </c>
      <c r="N1395" s="564" t="str">
        <f t="shared" si="292"/>
        <v xml:space="preserve"> </v>
      </c>
      <c r="O1395" s="558"/>
      <c r="P1395" s="590"/>
      <c r="Q1395" s="564" t="str">
        <f>IF(O1395&lt;&gt;0,VLOOKUP(O1395,'Cây trong'!$A$2:$C$246,3,0)," ")</f>
        <v xml:space="preserve"> </v>
      </c>
      <c r="R1395" s="564" t="str">
        <f t="shared" si="302"/>
        <v xml:space="preserve"> </v>
      </c>
      <c r="S1395" s="566" t="s">
        <v>2355</v>
      </c>
      <c r="T1395" s="589" t="s">
        <v>2804</v>
      </c>
      <c r="U1395" s="591">
        <v>0.8</v>
      </c>
      <c r="V1395" s="593"/>
      <c r="W1395" s="564">
        <f>IF(S1395&lt;&gt;0,VLOOKUP(S1395,VKT!$A$2:$G$415,7,0),"")</f>
        <v>642264</v>
      </c>
      <c r="X1395" s="564">
        <f t="shared" si="308"/>
        <v>514000</v>
      </c>
      <c r="Y1395" s="562"/>
      <c r="Z1395" s="568"/>
      <c r="AA1395" s="568"/>
      <c r="AB1395" s="568"/>
      <c r="AC1395" s="568"/>
      <c r="AD1395" s="568"/>
      <c r="AE1395" s="568"/>
      <c r="AF1395" s="563"/>
      <c r="AG1395" s="570" t="str">
        <f>IF(AE1395&lt;&gt;0,VLOOKUP(AE1395,ODDS!$A$2:$C$13,3,0),"")</f>
        <v/>
      </c>
      <c r="AH1395" s="570" t="str">
        <f t="shared" si="303"/>
        <v xml:space="preserve"> </v>
      </c>
      <c r="AI1395" s="571" t="str">
        <f t="shared" si="297"/>
        <v xml:space="preserve"> </v>
      </c>
      <c r="AJ1395" s="558"/>
      <c r="AK1395" s="558"/>
    </row>
    <row r="1396" spans="1:37" s="385" customFormat="1" ht="60.75" outlineLevel="2" x14ac:dyDescent="0.3">
      <c r="A1396" s="447">
        <f t="shared" si="307"/>
        <v>111</v>
      </c>
      <c r="B1396" s="557"/>
      <c r="C1396" s="558"/>
      <c r="D1396" s="615"/>
      <c r="E1396" s="615"/>
      <c r="F1396" s="700"/>
      <c r="G1396" s="558"/>
      <c r="H1396" s="604"/>
      <c r="I1396" s="546"/>
      <c r="J1396" s="589"/>
      <c r="K1396" s="563" t="str">
        <f>IF(G1396&lt;&gt;0,VLOOKUP(G1396,'gia dat'!$A$1:$F$144,5,0)," ")</f>
        <v xml:space="preserve"> </v>
      </c>
      <c r="L1396" s="563" t="str">
        <f>IF(G1396&lt;&gt;0,VLOOKUP(G1396,'gia dat'!$A$1:$F$144,6,0)," ")</f>
        <v xml:space="preserve"> </v>
      </c>
      <c r="M1396" s="564" t="str">
        <f t="shared" si="291"/>
        <v xml:space="preserve"> </v>
      </c>
      <c r="N1396" s="564" t="str">
        <f t="shared" si="292"/>
        <v xml:space="preserve"> </v>
      </c>
      <c r="O1396" s="558"/>
      <c r="P1396" s="590"/>
      <c r="Q1396" s="564" t="str">
        <f>IF(O1396&lt;&gt;0,VLOOKUP(O1396,'Cây trong'!$A$2:$C$246,3,0)," ")</f>
        <v xml:space="preserve"> </v>
      </c>
      <c r="R1396" s="564" t="str">
        <f t="shared" si="302"/>
        <v xml:space="preserve"> </v>
      </c>
      <c r="S1396" s="566" t="s">
        <v>2356</v>
      </c>
      <c r="T1396" s="589" t="s">
        <v>2823</v>
      </c>
      <c r="U1396" s="591">
        <v>1.97</v>
      </c>
      <c r="V1396" s="593"/>
      <c r="W1396" s="564">
        <f>IF(S1396&lt;&gt;0,VLOOKUP(S1396,VKT!$A$2:$G$415,7,0),"")</f>
        <v>0</v>
      </c>
      <c r="X1396" s="564">
        <f t="shared" si="308"/>
        <v>0</v>
      </c>
      <c r="Y1396" s="562"/>
      <c r="Z1396" s="568"/>
      <c r="AA1396" s="568"/>
      <c r="AB1396" s="568"/>
      <c r="AC1396" s="568"/>
      <c r="AD1396" s="568"/>
      <c r="AE1396" s="568"/>
      <c r="AF1396" s="563"/>
      <c r="AG1396" s="570" t="str">
        <f>IF(AE1396&lt;&gt;0,VLOOKUP(AE1396,ODDS!$A$2:$C$13,3,0),"")</f>
        <v/>
      </c>
      <c r="AH1396" s="570" t="str">
        <f t="shared" si="303"/>
        <v xml:space="preserve"> </v>
      </c>
      <c r="AI1396" s="571" t="str">
        <f t="shared" si="297"/>
        <v xml:space="preserve"> </v>
      </c>
      <c r="AJ1396" s="558"/>
      <c r="AK1396" s="558"/>
    </row>
    <row r="1397" spans="1:37" s="385" customFormat="1" ht="60.75" outlineLevel="2" x14ac:dyDescent="0.3">
      <c r="A1397" s="447">
        <f t="shared" si="307"/>
        <v>111</v>
      </c>
      <c r="B1397" s="557"/>
      <c r="C1397" s="558"/>
      <c r="D1397" s="615"/>
      <c r="E1397" s="615"/>
      <c r="F1397" s="700"/>
      <c r="G1397" s="558"/>
      <c r="H1397" s="604"/>
      <c r="I1397" s="546"/>
      <c r="J1397" s="589"/>
      <c r="K1397" s="563" t="str">
        <f>IF(G1397&lt;&gt;0,VLOOKUP(G1397,'gia dat'!$A$1:$F$144,5,0)," ")</f>
        <v xml:space="preserve"> </v>
      </c>
      <c r="L1397" s="563" t="str">
        <f>IF(G1397&lt;&gt;0,VLOOKUP(G1397,'gia dat'!$A$1:$F$144,6,0)," ")</f>
        <v xml:space="preserve"> </v>
      </c>
      <c r="M1397" s="564" t="str">
        <f t="shared" si="291"/>
        <v xml:space="preserve"> </v>
      </c>
      <c r="N1397" s="564" t="str">
        <f t="shared" si="292"/>
        <v xml:space="preserve"> </v>
      </c>
      <c r="O1397" s="558"/>
      <c r="P1397" s="590"/>
      <c r="Q1397" s="564" t="str">
        <f>IF(O1397&lt;&gt;0,VLOOKUP(O1397,'Cây trong'!$A$2:$C$246,3,0)," ")</f>
        <v xml:space="preserve"> </v>
      </c>
      <c r="R1397" s="564" t="str">
        <f t="shared" si="302"/>
        <v xml:space="preserve"> </v>
      </c>
      <c r="S1397" s="566" t="s">
        <v>2357</v>
      </c>
      <c r="T1397" s="589" t="s">
        <v>2804</v>
      </c>
      <c r="U1397" s="591">
        <v>8.36</v>
      </c>
      <c r="V1397" s="593"/>
      <c r="W1397" s="564">
        <f>IF(S1397&lt;&gt;0,VLOOKUP(S1397,VKT!$A$2:$G$415,7,0),"")</f>
        <v>254982</v>
      </c>
      <c r="X1397" s="564">
        <f t="shared" si="308"/>
        <v>2132000</v>
      </c>
      <c r="Y1397" s="562"/>
      <c r="Z1397" s="568"/>
      <c r="AA1397" s="568"/>
      <c r="AB1397" s="568"/>
      <c r="AC1397" s="568"/>
      <c r="AD1397" s="568"/>
      <c r="AE1397" s="568"/>
      <c r="AF1397" s="563"/>
      <c r="AG1397" s="570" t="str">
        <f>IF(AE1397&lt;&gt;0,VLOOKUP(AE1397,ODDS!$A$2:$C$13,3,0),"")</f>
        <v/>
      </c>
      <c r="AH1397" s="570" t="str">
        <f t="shared" si="303"/>
        <v xml:space="preserve"> </v>
      </c>
      <c r="AI1397" s="571" t="str">
        <f t="shared" si="297"/>
        <v xml:space="preserve"> </v>
      </c>
      <c r="AJ1397" s="558"/>
      <c r="AK1397" s="558"/>
    </row>
    <row r="1398" spans="1:37" s="385" customFormat="1" ht="40.5" outlineLevel="2" x14ac:dyDescent="0.3">
      <c r="A1398" s="447">
        <f t="shared" si="307"/>
        <v>111</v>
      </c>
      <c r="B1398" s="557"/>
      <c r="C1398" s="558"/>
      <c r="D1398" s="615"/>
      <c r="E1398" s="615"/>
      <c r="F1398" s="700"/>
      <c r="G1398" s="558"/>
      <c r="H1398" s="604"/>
      <c r="I1398" s="546"/>
      <c r="J1398" s="589"/>
      <c r="K1398" s="563" t="str">
        <f>IF(G1398&lt;&gt;0,VLOOKUP(G1398,'gia dat'!$A$1:$F$144,5,0)," ")</f>
        <v xml:space="preserve"> </v>
      </c>
      <c r="L1398" s="563" t="str">
        <f>IF(G1398&lt;&gt;0,VLOOKUP(G1398,'gia dat'!$A$1:$F$144,6,0)," ")</f>
        <v xml:space="preserve"> </v>
      </c>
      <c r="M1398" s="564" t="str">
        <f t="shared" si="291"/>
        <v xml:space="preserve"> </v>
      </c>
      <c r="N1398" s="564" t="str">
        <f t="shared" si="292"/>
        <v xml:space="preserve"> </v>
      </c>
      <c r="O1398" s="558"/>
      <c r="P1398" s="590"/>
      <c r="Q1398" s="564" t="str">
        <f>IF(O1398&lt;&gt;0,VLOOKUP(O1398,'Cây trong'!$A$2:$C$246,3,0)," ")</f>
        <v xml:space="preserve"> </v>
      </c>
      <c r="R1398" s="564" t="str">
        <f t="shared" si="302"/>
        <v xml:space="preserve"> </v>
      </c>
      <c r="S1398" s="566" t="s">
        <v>2358</v>
      </c>
      <c r="T1398" s="589" t="s">
        <v>2823</v>
      </c>
      <c r="U1398" s="591">
        <v>0.04</v>
      </c>
      <c r="V1398" s="593"/>
      <c r="W1398" s="564">
        <f>IF(S1398&lt;&gt;0,VLOOKUP(S1398,VKT!$A$2:$G$415,7,0),"")</f>
        <v>0</v>
      </c>
      <c r="X1398" s="564">
        <f t="shared" si="308"/>
        <v>0</v>
      </c>
      <c r="Y1398" s="562"/>
      <c r="Z1398" s="568"/>
      <c r="AA1398" s="568"/>
      <c r="AB1398" s="568"/>
      <c r="AC1398" s="568"/>
      <c r="AD1398" s="568"/>
      <c r="AE1398" s="568"/>
      <c r="AF1398" s="563"/>
      <c r="AG1398" s="570" t="str">
        <f>IF(AE1398&lt;&gt;0,VLOOKUP(AE1398,ODDS!$A$2:$C$13,3,0),"")</f>
        <v/>
      </c>
      <c r="AH1398" s="570" t="str">
        <f t="shared" si="303"/>
        <v xml:space="preserve"> </v>
      </c>
      <c r="AI1398" s="571" t="str">
        <f t="shared" si="297"/>
        <v xml:space="preserve"> </v>
      </c>
      <c r="AJ1398" s="558"/>
      <c r="AK1398" s="558"/>
    </row>
    <row r="1399" spans="1:37" s="385" customFormat="1" ht="60.75" outlineLevel="2" x14ac:dyDescent="0.3">
      <c r="A1399" s="447">
        <f t="shared" si="307"/>
        <v>111</v>
      </c>
      <c r="B1399" s="557"/>
      <c r="C1399" s="558"/>
      <c r="D1399" s="615"/>
      <c r="E1399" s="615"/>
      <c r="F1399" s="700"/>
      <c r="G1399" s="558"/>
      <c r="H1399" s="604"/>
      <c r="I1399" s="546"/>
      <c r="J1399" s="589"/>
      <c r="K1399" s="563" t="str">
        <f>IF(G1399&lt;&gt;0,VLOOKUP(G1399,'gia dat'!$A$1:$F$144,5,0)," ")</f>
        <v xml:space="preserve"> </v>
      </c>
      <c r="L1399" s="563" t="str">
        <f>IF(G1399&lt;&gt;0,VLOOKUP(G1399,'gia dat'!$A$1:$F$144,6,0)," ")</f>
        <v xml:space="preserve"> </v>
      </c>
      <c r="M1399" s="564" t="str">
        <f t="shared" si="291"/>
        <v xml:space="preserve"> </v>
      </c>
      <c r="N1399" s="564" t="str">
        <f t="shared" si="292"/>
        <v xml:space="preserve"> </v>
      </c>
      <c r="O1399" s="558"/>
      <c r="P1399" s="590"/>
      <c r="Q1399" s="564" t="str">
        <f>IF(O1399&lt;&gt;0,VLOOKUP(O1399,'Cây trong'!$A$2:$C$246,3,0)," ")</f>
        <v xml:space="preserve"> </v>
      </c>
      <c r="R1399" s="564" t="str">
        <f t="shared" si="302"/>
        <v xml:space="preserve"> </v>
      </c>
      <c r="S1399" s="566" t="s">
        <v>1805</v>
      </c>
      <c r="T1399" s="589" t="s">
        <v>2804</v>
      </c>
      <c r="U1399" s="591">
        <v>0.42</v>
      </c>
      <c r="V1399" s="593"/>
      <c r="W1399" s="564">
        <f>IF(S1399&lt;&gt;0,VLOOKUP(S1399,VKT!$A$2:$G$415,7,0),"")</f>
        <v>642264</v>
      </c>
      <c r="X1399" s="564">
        <f t="shared" si="308"/>
        <v>270000</v>
      </c>
      <c r="Y1399" s="562"/>
      <c r="Z1399" s="568"/>
      <c r="AA1399" s="568"/>
      <c r="AB1399" s="568"/>
      <c r="AC1399" s="568"/>
      <c r="AD1399" s="568"/>
      <c r="AE1399" s="568"/>
      <c r="AF1399" s="563"/>
      <c r="AG1399" s="570" t="str">
        <f>IF(AE1399&lt;&gt;0,VLOOKUP(AE1399,ODDS!$A$2:$C$13,3,0),"")</f>
        <v/>
      </c>
      <c r="AH1399" s="570" t="str">
        <f t="shared" si="303"/>
        <v xml:space="preserve"> </v>
      </c>
      <c r="AI1399" s="571" t="str">
        <f t="shared" si="297"/>
        <v xml:space="preserve"> </v>
      </c>
      <c r="AJ1399" s="558"/>
      <c r="AK1399" s="558"/>
    </row>
    <row r="1400" spans="1:37" s="385" customFormat="1" ht="40.5" outlineLevel="2" x14ac:dyDescent="0.3">
      <c r="A1400" s="447">
        <f t="shared" si="307"/>
        <v>111</v>
      </c>
      <c r="B1400" s="557"/>
      <c r="C1400" s="558"/>
      <c r="D1400" s="615"/>
      <c r="E1400" s="615"/>
      <c r="F1400" s="700"/>
      <c r="G1400" s="558"/>
      <c r="H1400" s="604"/>
      <c r="I1400" s="546"/>
      <c r="J1400" s="589"/>
      <c r="K1400" s="563" t="str">
        <f>IF(G1400&lt;&gt;0,VLOOKUP(G1400,'gia dat'!$A$1:$F$144,5,0)," ")</f>
        <v xml:space="preserve"> </v>
      </c>
      <c r="L1400" s="563" t="str">
        <f>IF(G1400&lt;&gt;0,VLOOKUP(G1400,'gia dat'!$A$1:$F$144,6,0)," ")</f>
        <v xml:space="preserve"> </v>
      </c>
      <c r="M1400" s="564" t="str">
        <f t="shared" ref="M1400:M1467" si="309">IF(H1400&lt;&gt;0,ROUND(H1400*K1400,-3)," ")</f>
        <v xml:space="preserve"> </v>
      </c>
      <c r="N1400" s="564" t="str">
        <f t="shared" ref="N1400:N1467" si="310">IF(H1400&lt;&gt;0,ROUND(H1400*L1400,-3)," ")</f>
        <v xml:space="preserve"> </v>
      </c>
      <c r="O1400" s="558"/>
      <c r="P1400" s="590"/>
      <c r="Q1400" s="564" t="str">
        <f>IF(O1400&lt;&gt;0,VLOOKUP(O1400,'Cây trong'!$A$2:$C$246,3,0)," ")</f>
        <v xml:space="preserve"> </v>
      </c>
      <c r="R1400" s="564" t="str">
        <f t="shared" si="302"/>
        <v xml:space="preserve"> </v>
      </c>
      <c r="S1400" s="566" t="s">
        <v>2358</v>
      </c>
      <c r="T1400" s="589" t="s">
        <v>2823</v>
      </c>
      <c r="U1400" s="591">
        <v>0.11</v>
      </c>
      <c r="V1400" s="593"/>
      <c r="W1400" s="564">
        <f>IF(S1400&lt;&gt;0,VLOOKUP(S1400,VKT!$A$2:$G$415,7,0),"")</f>
        <v>0</v>
      </c>
      <c r="X1400" s="564">
        <f t="shared" si="308"/>
        <v>0</v>
      </c>
      <c r="Y1400" s="562"/>
      <c r="Z1400" s="568"/>
      <c r="AA1400" s="568"/>
      <c r="AB1400" s="568"/>
      <c r="AC1400" s="568"/>
      <c r="AD1400" s="568"/>
      <c r="AE1400" s="568"/>
      <c r="AF1400" s="563"/>
      <c r="AG1400" s="570" t="str">
        <f>IF(AE1400&lt;&gt;0,VLOOKUP(AE1400,ODDS!$A$2:$C$13,3,0),"")</f>
        <v/>
      </c>
      <c r="AH1400" s="570" t="str">
        <f t="shared" si="303"/>
        <v xml:space="preserve"> </v>
      </c>
      <c r="AI1400" s="571" t="str">
        <f t="shared" si="297"/>
        <v xml:space="preserve"> </v>
      </c>
      <c r="AJ1400" s="558"/>
      <c r="AK1400" s="558"/>
    </row>
    <row r="1401" spans="1:37" s="385" customFormat="1" ht="60.75" outlineLevel="2" x14ac:dyDescent="0.3">
      <c r="A1401" s="447">
        <f t="shared" si="307"/>
        <v>111</v>
      </c>
      <c r="B1401" s="557"/>
      <c r="C1401" s="558"/>
      <c r="D1401" s="615"/>
      <c r="E1401" s="615"/>
      <c r="F1401" s="700"/>
      <c r="G1401" s="558"/>
      <c r="H1401" s="604"/>
      <c r="I1401" s="546"/>
      <c r="J1401" s="589"/>
      <c r="K1401" s="563" t="str">
        <f>IF(G1401&lt;&gt;0,VLOOKUP(G1401,'gia dat'!$A$1:$F$144,5,0)," ")</f>
        <v xml:space="preserve"> </v>
      </c>
      <c r="L1401" s="563" t="str">
        <f>IF(G1401&lt;&gt;0,VLOOKUP(G1401,'gia dat'!$A$1:$F$144,6,0)," ")</f>
        <v xml:space="preserve"> </v>
      </c>
      <c r="M1401" s="564" t="str">
        <f t="shared" si="309"/>
        <v xml:space="preserve"> </v>
      </c>
      <c r="N1401" s="564" t="str">
        <f t="shared" si="310"/>
        <v xml:space="preserve"> </v>
      </c>
      <c r="O1401" s="558"/>
      <c r="P1401" s="590"/>
      <c r="Q1401" s="564" t="str">
        <f>IF(O1401&lt;&gt;0,VLOOKUP(O1401,'Cây trong'!$A$2:$C$246,3,0)," ")</f>
        <v xml:space="preserve"> </v>
      </c>
      <c r="R1401" s="564" t="str">
        <f t="shared" si="302"/>
        <v xml:space="preserve"> </v>
      </c>
      <c r="S1401" s="566" t="s">
        <v>1805</v>
      </c>
      <c r="T1401" s="589" t="s">
        <v>2804</v>
      </c>
      <c r="U1401" s="591">
        <v>1.1000000000000001</v>
      </c>
      <c r="V1401" s="593"/>
      <c r="W1401" s="564">
        <f>IF(S1401&lt;&gt;0,VLOOKUP(S1401,VKT!$A$2:$G$415,7,0),"")</f>
        <v>642264</v>
      </c>
      <c r="X1401" s="564">
        <f t="shared" si="308"/>
        <v>706000</v>
      </c>
      <c r="Y1401" s="562"/>
      <c r="Z1401" s="568"/>
      <c r="AA1401" s="568"/>
      <c r="AB1401" s="568"/>
      <c r="AC1401" s="568"/>
      <c r="AD1401" s="568"/>
      <c r="AE1401" s="568"/>
      <c r="AF1401" s="563"/>
      <c r="AG1401" s="570" t="str">
        <f>IF(AE1401&lt;&gt;0,VLOOKUP(AE1401,ODDS!$A$2:$C$13,3,0),"")</f>
        <v/>
      </c>
      <c r="AH1401" s="570" t="str">
        <f t="shared" si="303"/>
        <v xml:space="preserve"> </v>
      </c>
      <c r="AI1401" s="571" t="str">
        <f t="shared" si="297"/>
        <v xml:space="preserve"> </v>
      </c>
      <c r="AJ1401" s="558"/>
      <c r="AK1401" s="558"/>
    </row>
    <row r="1402" spans="1:37" s="385" customFormat="1" ht="60.75" outlineLevel="2" x14ac:dyDescent="0.3">
      <c r="A1402" s="447">
        <f t="shared" si="307"/>
        <v>111</v>
      </c>
      <c r="B1402" s="557"/>
      <c r="C1402" s="558"/>
      <c r="D1402" s="615"/>
      <c r="E1402" s="615"/>
      <c r="F1402" s="700"/>
      <c r="G1402" s="558"/>
      <c r="H1402" s="604"/>
      <c r="I1402" s="546"/>
      <c r="J1402" s="589"/>
      <c r="K1402" s="563" t="str">
        <f>IF(G1402&lt;&gt;0,VLOOKUP(G1402,'gia dat'!$A$1:$F$144,5,0)," ")</f>
        <v xml:space="preserve"> </v>
      </c>
      <c r="L1402" s="563" t="str">
        <f>IF(G1402&lt;&gt;0,VLOOKUP(G1402,'gia dat'!$A$1:$F$144,6,0)," ")</f>
        <v xml:space="preserve"> </v>
      </c>
      <c r="M1402" s="564" t="str">
        <f t="shared" si="309"/>
        <v xml:space="preserve"> </v>
      </c>
      <c r="N1402" s="564" t="str">
        <f t="shared" si="310"/>
        <v xml:space="preserve"> </v>
      </c>
      <c r="O1402" s="558"/>
      <c r="P1402" s="590"/>
      <c r="Q1402" s="564" t="str">
        <f>IF(O1402&lt;&gt;0,VLOOKUP(O1402,'Cây trong'!$A$2:$C$246,3,0)," ")</f>
        <v xml:space="preserve"> </v>
      </c>
      <c r="R1402" s="564" t="str">
        <f t="shared" si="302"/>
        <v xml:space="preserve"> </v>
      </c>
      <c r="S1402" s="566" t="s">
        <v>2359</v>
      </c>
      <c r="T1402" s="589" t="s">
        <v>2804</v>
      </c>
      <c r="U1402" s="617">
        <v>2.76</v>
      </c>
      <c r="V1402" s="593"/>
      <c r="W1402" s="564">
        <f>IF(S1402&lt;&gt;0,VLOOKUP(S1402,VKT!$A$2:$G$415,7,0),"")</f>
        <v>8189638</v>
      </c>
      <c r="X1402" s="564">
        <f t="shared" si="308"/>
        <v>22603000</v>
      </c>
      <c r="Y1402" s="562" t="s">
        <v>139</v>
      </c>
      <c r="Z1402" s="568" t="s">
        <v>980</v>
      </c>
      <c r="AA1402" s="568" t="s">
        <v>1012</v>
      </c>
      <c r="AB1402" s="568" t="s">
        <v>269</v>
      </c>
      <c r="AC1402" s="568" t="s">
        <v>139</v>
      </c>
      <c r="AD1402" s="568"/>
      <c r="AE1402" s="568"/>
      <c r="AF1402" s="563"/>
      <c r="AG1402" s="570" t="str">
        <f>IF(AE1402&lt;&gt;0,VLOOKUP(AE1402,ODDS!$A$2:$C$13,3,0),"")</f>
        <v/>
      </c>
      <c r="AH1402" s="570" t="str">
        <f t="shared" si="303"/>
        <v xml:space="preserve"> </v>
      </c>
      <c r="AI1402" s="571" t="str">
        <f t="shared" si="297"/>
        <v xml:space="preserve"> </v>
      </c>
      <c r="AJ1402" s="558" t="s">
        <v>1022</v>
      </c>
      <c r="AK1402" s="558"/>
    </row>
    <row r="1403" spans="1:37" s="385" customFormat="1" ht="40.5" outlineLevel="2" x14ac:dyDescent="0.3">
      <c r="A1403" s="447">
        <f t="shared" si="307"/>
        <v>111</v>
      </c>
      <c r="B1403" s="557"/>
      <c r="C1403" s="558"/>
      <c r="D1403" s="615"/>
      <c r="E1403" s="615"/>
      <c r="F1403" s="700"/>
      <c r="G1403" s="558"/>
      <c r="H1403" s="604"/>
      <c r="I1403" s="546"/>
      <c r="J1403" s="589"/>
      <c r="K1403" s="563" t="str">
        <f>IF(G1403&lt;&gt;0,VLOOKUP(G1403,'gia dat'!$A$1:$F$144,5,0)," ")</f>
        <v xml:space="preserve"> </v>
      </c>
      <c r="L1403" s="563" t="str">
        <f>IF(G1403&lt;&gt;0,VLOOKUP(G1403,'gia dat'!$A$1:$F$144,6,0)," ")</f>
        <v xml:space="preserve"> </v>
      </c>
      <c r="M1403" s="564" t="str">
        <f t="shared" si="309"/>
        <v xml:space="preserve"> </v>
      </c>
      <c r="N1403" s="564" t="str">
        <f t="shared" si="310"/>
        <v xml:space="preserve"> </v>
      </c>
      <c r="O1403" s="558"/>
      <c r="P1403" s="590"/>
      <c r="Q1403" s="564" t="str">
        <f>IF(O1403&lt;&gt;0,VLOOKUP(O1403,'Cây trong'!$A$2:$C$246,3,0)," ")</f>
        <v xml:space="preserve"> </v>
      </c>
      <c r="R1403" s="564" t="str">
        <f t="shared" si="302"/>
        <v xml:space="preserve"> </v>
      </c>
      <c r="S1403" s="566" t="s">
        <v>1779</v>
      </c>
      <c r="T1403" s="589" t="s">
        <v>2804</v>
      </c>
      <c r="U1403" s="591">
        <v>9.9</v>
      </c>
      <c r="V1403" s="593"/>
      <c r="W1403" s="564">
        <f>IF(S1403&lt;&gt;0,VLOOKUP(S1403,VKT!$A$2:$G$415,7,0),"")</f>
        <v>1399121</v>
      </c>
      <c r="X1403" s="564">
        <f t="shared" si="308"/>
        <v>13851000</v>
      </c>
      <c r="Y1403" s="562"/>
      <c r="Z1403" s="568" t="s">
        <v>980</v>
      </c>
      <c r="AA1403" s="568" t="s">
        <v>1005</v>
      </c>
      <c r="AB1403" s="568" t="s">
        <v>266</v>
      </c>
      <c r="AC1403" s="568" t="s">
        <v>982</v>
      </c>
      <c r="AD1403" s="568"/>
      <c r="AE1403" s="568"/>
      <c r="AF1403" s="563"/>
      <c r="AG1403" s="570" t="str">
        <f>IF(AE1403&lt;&gt;0,VLOOKUP(AE1403,ODDS!$A$2:$C$13,3,0),"")</f>
        <v/>
      </c>
      <c r="AH1403" s="570" t="str">
        <f t="shared" si="303"/>
        <v xml:space="preserve"> </v>
      </c>
      <c r="AI1403" s="571" t="str">
        <f t="shared" si="297"/>
        <v xml:space="preserve"> </v>
      </c>
      <c r="AJ1403" s="558"/>
      <c r="AK1403" s="558"/>
    </row>
    <row r="1404" spans="1:37" s="385" customFormat="1" ht="40.5" outlineLevel="2" x14ac:dyDescent="0.3">
      <c r="A1404" s="447">
        <f t="shared" si="307"/>
        <v>111</v>
      </c>
      <c r="B1404" s="557"/>
      <c r="C1404" s="558"/>
      <c r="D1404" s="615"/>
      <c r="E1404" s="615"/>
      <c r="F1404" s="700"/>
      <c r="G1404" s="558"/>
      <c r="H1404" s="604"/>
      <c r="I1404" s="546"/>
      <c r="J1404" s="589"/>
      <c r="K1404" s="563" t="str">
        <f>IF(G1404&lt;&gt;0,VLOOKUP(G1404,'gia dat'!$A$1:$F$144,5,0)," ")</f>
        <v xml:space="preserve"> </v>
      </c>
      <c r="L1404" s="563" t="str">
        <f>IF(G1404&lt;&gt;0,VLOOKUP(G1404,'gia dat'!$A$1:$F$144,6,0)," ")</f>
        <v xml:space="preserve"> </v>
      </c>
      <c r="M1404" s="564" t="str">
        <f t="shared" si="309"/>
        <v xml:space="preserve"> </v>
      </c>
      <c r="N1404" s="564" t="str">
        <f t="shared" si="310"/>
        <v xml:space="preserve"> </v>
      </c>
      <c r="O1404" s="558"/>
      <c r="P1404" s="590"/>
      <c r="Q1404" s="564" t="str">
        <f>IF(O1404&lt;&gt;0,VLOOKUP(O1404,'Cây trong'!$A$2:$C$246,3,0)," ")</f>
        <v xml:space="preserve"> </v>
      </c>
      <c r="R1404" s="564" t="str">
        <f t="shared" si="302"/>
        <v xml:space="preserve"> </v>
      </c>
      <c r="S1404" s="566" t="s">
        <v>1779</v>
      </c>
      <c r="T1404" s="589" t="s">
        <v>2804</v>
      </c>
      <c r="U1404" s="591">
        <v>25.2</v>
      </c>
      <c r="V1404" s="593"/>
      <c r="W1404" s="564">
        <f>IF(S1404&lt;&gt;0,VLOOKUP(S1404,VKT!$A$2:$G$415,7,0),"")</f>
        <v>1399121</v>
      </c>
      <c r="X1404" s="564">
        <f t="shared" si="308"/>
        <v>35258000</v>
      </c>
      <c r="Y1404" s="562"/>
      <c r="Z1404" s="568" t="s">
        <v>980</v>
      </c>
      <c r="AA1404" s="568" t="s">
        <v>1005</v>
      </c>
      <c r="AB1404" s="568" t="s">
        <v>266</v>
      </c>
      <c r="AC1404" s="568" t="s">
        <v>982</v>
      </c>
      <c r="AD1404" s="568"/>
      <c r="AE1404" s="568"/>
      <c r="AF1404" s="563"/>
      <c r="AG1404" s="570" t="str">
        <f>IF(AE1404&lt;&gt;0,VLOOKUP(AE1404,ODDS!$A$2:$C$13,3,0),"")</f>
        <v/>
      </c>
      <c r="AH1404" s="570" t="str">
        <f t="shared" si="303"/>
        <v xml:space="preserve"> </v>
      </c>
      <c r="AI1404" s="571" t="str">
        <f t="shared" si="297"/>
        <v xml:space="preserve"> </v>
      </c>
      <c r="AJ1404" s="558"/>
      <c r="AK1404" s="558"/>
    </row>
    <row r="1405" spans="1:37" s="385" customFormat="1" ht="40.5" outlineLevel="2" x14ac:dyDescent="0.3">
      <c r="A1405" s="447">
        <f t="shared" si="307"/>
        <v>111</v>
      </c>
      <c r="B1405" s="557"/>
      <c r="C1405" s="558"/>
      <c r="D1405" s="615"/>
      <c r="E1405" s="615"/>
      <c r="F1405" s="700"/>
      <c r="G1405" s="558"/>
      <c r="H1405" s="604"/>
      <c r="I1405" s="546"/>
      <c r="J1405" s="589"/>
      <c r="K1405" s="563" t="str">
        <f>IF(G1405&lt;&gt;0,VLOOKUP(G1405,'gia dat'!$A$1:$F$144,5,0)," ")</f>
        <v xml:space="preserve"> </v>
      </c>
      <c r="L1405" s="563" t="str">
        <f>IF(G1405&lt;&gt;0,VLOOKUP(G1405,'gia dat'!$A$1:$F$144,6,0)," ")</f>
        <v xml:space="preserve"> </v>
      </c>
      <c r="M1405" s="564" t="str">
        <f t="shared" si="309"/>
        <v xml:space="preserve"> </v>
      </c>
      <c r="N1405" s="564" t="str">
        <f t="shared" si="310"/>
        <v xml:space="preserve"> </v>
      </c>
      <c r="O1405" s="558"/>
      <c r="P1405" s="590"/>
      <c r="Q1405" s="564" t="str">
        <f>IF(O1405&lt;&gt;0,VLOOKUP(O1405,'Cây trong'!$A$2:$C$246,3,0)," ")</f>
        <v xml:space="preserve"> </v>
      </c>
      <c r="R1405" s="564" t="str">
        <f t="shared" si="302"/>
        <v xml:space="preserve"> </v>
      </c>
      <c r="S1405" s="566" t="s">
        <v>1761</v>
      </c>
      <c r="T1405" s="589" t="s">
        <v>2804</v>
      </c>
      <c r="U1405" s="591">
        <v>36</v>
      </c>
      <c r="V1405" s="593"/>
      <c r="W1405" s="564">
        <f>IF(S1405&lt;&gt;0,VLOOKUP(S1405,VKT!$A$2:$G$415,7,0),"")</f>
        <v>0</v>
      </c>
      <c r="X1405" s="564">
        <f t="shared" si="308"/>
        <v>0</v>
      </c>
      <c r="Y1405" s="562"/>
      <c r="Z1405" s="568" t="s">
        <v>980</v>
      </c>
      <c r="AA1405" s="568" t="s">
        <v>1005</v>
      </c>
      <c r="AB1405" s="568" t="s">
        <v>269</v>
      </c>
      <c r="AC1405" s="568" t="s">
        <v>139</v>
      </c>
      <c r="AD1405" s="568"/>
      <c r="AE1405" s="568"/>
      <c r="AF1405" s="563"/>
      <c r="AG1405" s="570" t="str">
        <f>IF(AE1405&lt;&gt;0,VLOOKUP(AE1405,ODDS!$A$2:$C$13,3,0),"")</f>
        <v/>
      </c>
      <c r="AH1405" s="570" t="str">
        <f t="shared" si="303"/>
        <v xml:space="preserve"> </v>
      </c>
      <c r="AI1405" s="571" t="str">
        <f t="shared" si="297"/>
        <v xml:space="preserve"> </v>
      </c>
      <c r="AJ1405" s="558"/>
      <c r="AK1405" s="558"/>
    </row>
    <row r="1406" spans="1:37" s="385" customFormat="1" ht="40.5" outlineLevel="2" x14ac:dyDescent="0.3">
      <c r="A1406" s="447">
        <f t="shared" si="307"/>
        <v>111</v>
      </c>
      <c r="B1406" s="557"/>
      <c r="C1406" s="558"/>
      <c r="D1406" s="615"/>
      <c r="E1406" s="615"/>
      <c r="F1406" s="700"/>
      <c r="G1406" s="558"/>
      <c r="H1406" s="604"/>
      <c r="I1406" s="546"/>
      <c r="J1406" s="589"/>
      <c r="K1406" s="563" t="str">
        <f>IF(G1406&lt;&gt;0,VLOOKUP(G1406,'gia dat'!$A$1:$F$144,5,0)," ")</f>
        <v xml:space="preserve"> </v>
      </c>
      <c r="L1406" s="563" t="str">
        <f>IF(G1406&lt;&gt;0,VLOOKUP(G1406,'gia dat'!$A$1:$F$144,6,0)," ")</f>
        <v xml:space="preserve"> </v>
      </c>
      <c r="M1406" s="564" t="str">
        <f t="shared" si="309"/>
        <v xml:space="preserve"> </v>
      </c>
      <c r="N1406" s="564" t="str">
        <f t="shared" si="310"/>
        <v xml:space="preserve"> </v>
      </c>
      <c r="O1406" s="558"/>
      <c r="P1406" s="590"/>
      <c r="Q1406" s="564" t="str">
        <f>IF(O1406&lt;&gt;0,VLOOKUP(O1406,'Cây trong'!$A$2:$C$246,3,0)," ")</f>
        <v xml:space="preserve"> </v>
      </c>
      <c r="R1406" s="564" t="str">
        <f t="shared" si="302"/>
        <v xml:space="preserve"> </v>
      </c>
      <c r="S1406" s="566" t="s">
        <v>2360</v>
      </c>
      <c r="T1406" s="589" t="s">
        <v>2827</v>
      </c>
      <c r="U1406" s="591">
        <v>11</v>
      </c>
      <c r="V1406" s="593"/>
      <c r="W1406" s="564">
        <f>IF(S1406&lt;&gt;0,VLOOKUP(S1406,VKT!$A$2:$G$415,7,0),"")</f>
        <v>0</v>
      </c>
      <c r="X1406" s="564">
        <f t="shared" si="308"/>
        <v>0</v>
      </c>
      <c r="Y1406" s="562"/>
      <c r="Z1406" s="568"/>
      <c r="AA1406" s="568"/>
      <c r="AB1406" s="568"/>
      <c r="AC1406" s="568"/>
      <c r="AD1406" s="568"/>
      <c r="AE1406" s="568"/>
      <c r="AF1406" s="563"/>
      <c r="AG1406" s="570" t="str">
        <f>IF(AE1406&lt;&gt;0,VLOOKUP(AE1406,ODDS!$A$2:$C$13,3,0),"")</f>
        <v/>
      </c>
      <c r="AH1406" s="570" t="str">
        <f t="shared" si="303"/>
        <v xml:space="preserve"> </v>
      </c>
      <c r="AI1406" s="571" t="str">
        <f t="shared" si="297"/>
        <v xml:space="preserve"> </v>
      </c>
      <c r="AJ1406" s="558"/>
      <c r="AK1406" s="558"/>
    </row>
    <row r="1407" spans="1:37" s="385" customFormat="1" ht="60.75" outlineLevel="2" x14ac:dyDescent="0.3">
      <c r="A1407" s="447">
        <f t="shared" si="307"/>
        <v>111</v>
      </c>
      <c r="B1407" s="557"/>
      <c r="C1407" s="558"/>
      <c r="D1407" s="615"/>
      <c r="E1407" s="615"/>
      <c r="F1407" s="700"/>
      <c r="G1407" s="558"/>
      <c r="H1407" s="604"/>
      <c r="I1407" s="546"/>
      <c r="J1407" s="589"/>
      <c r="K1407" s="563" t="str">
        <f>IF(G1407&lt;&gt;0,VLOOKUP(G1407,'gia dat'!$A$1:$F$144,5,0)," ")</f>
        <v xml:space="preserve"> </v>
      </c>
      <c r="L1407" s="563" t="str">
        <f>IF(G1407&lt;&gt;0,VLOOKUP(G1407,'gia dat'!$A$1:$F$144,6,0)," ")</f>
        <v xml:space="preserve"> </v>
      </c>
      <c r="M1407" s="564" t="str">
        <f t="shared" si="309"/>
        <v xml:space="preserve"> </v>
      </c>
      <c r="N1407" s="564" t="str">
        <f t="shared" si="310"/>
        <v xml:space="preserve"> </v>
      </c>
      <c r="O1407" s="558"/>
      <c r="P1407" s="590"/>
      <c r="Q1407" s="564" t="str">
        <f>IF(O1407&lt;&gt;0,VLOOKUP(O1407,'Cây trong'!$A$2:$C$246,3,0)," ")</f>
        <v xml:space="preserve"> </v>
      </c>
      <c r="R1407" s="564" t="str">
        <f t="shared" si="302"/>
        <v xml:space="preserve"> </v>
      </c>
      <c r="S1407" s="566" t="s">
        <v>2351</v>
      </c>
      <c r="T1407" s="589" t="s">
        <v>2804</v>
      </c>
      <c r="U1407" s="591">
        <v>48.5</v>
      </c>
      <c r="V1407" s="593"/>
      <c r="W1407" s="564">
        <f>IF(S1407&lt;&gt;0,VLOOKUP(S1407,VKT!$A$2:$G$415,7,0),"")</f>
        <v>684506</v>
      </c>
      <c r="X1407" s="564">
        <f t="shared" si="308"/>
        <v>33199000</v>
      </c>
      <c r="Y1407" s="562"/>
      <c r="Z1407" s="568" t="s">
        <v>980</v>
      </c>
      <c r="AA1407" s="568" t="s">
        <v>1005</v>
      </c>
      <c r="AB1407" s="568"/>
      <c r="AC1407" s="568" t="s">
        <v>267</v>
      </c>
      <c r="AD1407" s="568"/>
      <c r="AE1407" s="568"/>
      <c r="AF1407" s="563"/>
      <c r="AG1407" s="570" t="str">
        <f>IF(AE1407&lt;&gt;0,VLOOKUP(AE1407,ODDS!$A$2:$C$13,3,0),"")</f>
        <v/>
      </c>
      <c r="AH1407" s="570" t="str">
        <f t="shared" si="303"/>
        <v xml:space="preserve"> </v>
      </c>
      <c r="AI1407" s="571" t="str">
        <f t="shared" si="297"/>
        <v xml:space="preserve"> </v>
      </c>
      <c r="AJ1407" s="558"/>
      <c r="AK1407" s="558"/>
    </row>
    <row r="1408" spans="1:37" s="385" customFormat="1" ht="60.75" outlineLevel="2" x14ac:dyDescent="0.3">
      <c r="A1408" s="447">
        <f t="shared" si="307"/>
        <v>111</v>
      </c>
      <c r="B1408" s="557"/>
      <c r="C1408" s="558"/>
      <c r="D1408" s="615"/>
      <c r="E1408" s="615"/>
      <c r="F1408" s="700"/>
      <c r="G1408" s="558"/>
      <c r="H1408" s="604"/>
      <c r="I1408" s="546"/>
      <c r="J1408" s="589"/>
      <c r="K1408" s="563" t="str">
        <f>IF(G1408&lt;&gt;0,VLOOKUP(G1408,'gia dat'!$A$1:$F$144,5,0)," ")</f>
        <v xml:space="preserve"> </v>
      </c>
      <c r="L1408" s="563" t="str">
        <f>IF(G1408&lt;&gt;0,VLOOKUP(G1408,'gia dat'!$A$1:$F$144,6,0)," ")</f>
        <v xml:space="preserve"> </v>
      </c>
      <c r="M1408" s="564" t="str">
        <f t="shared" si="309"/>
        <v xml:space="preserve"> </v>
      </c>
      <c r="N1408" s="564" t="str">
        <f t="shared" si="310"/>
        <v xml:space="preserve"> </v>
      </c>
      <c r="O1408" s="558"/>
      <c r="P1408" s="590"/>
      <c r="Q1408" s="564" t="str">
        <f>IF(O1408&lt;&gt;0,VLOOKUP(O1408,'Cây trong'!$A$2:$C$246,3,0)," ")</f>
        <v xml:space="preserve"> </v>
      </c>
      <c r="R1408" s="564" t="str">
        <f t="shared" si="302"/>
        <v xml:space="preserve"> </v>
      </c>
      <c r="S1408" s="566" t="s">
        <v>2351</v>
      </c>
      <c r="T1408" s="589" t="s">
        <v>2804</v>
      </c>
      <c r="U1408" s="591">
        <v>264.60000000000002</v>
      </c>
      <c r="V1408" s="593"/>
      <c r="W1408" s="564">
        <f>IF(S1408&lt;&gt;0,VLOOKUP(S1408,VKT!$A$2:$G$415,7,0),"")</f>
        <v>684506</v>
      </c>
      <c r="X1408" s="564">
        <f t="shared" si="308"/>
        <v>181120000</v>
      </c>
      <c r="Y1408" s="562"/>
      <c r="Z1408" s="568" t="s">
        <v>980</v>
      </c>
      <c r="AA1408" s="568" t="s">
        <v>1005</v>
      </c>
      <c r="AB1408" s="568"/>
      <c r="AC1408" s="568" t="s">
        <v>267</v>
      </c>
      <c r="AD1408" s="568"/>
      <c r="AE1408" s="568"/>
      <c r="AF1408" s="563"/>
      <c r="AG1408" s="570" t="str">
        <f>IF(AE1408&lt;&gt;0,VLOOKUP(AE1408,ODDS!$A$2:$C$13,3,0),"")</f>
        <v/>
      </c>
      <c r="AH1408" s="570" t="str">
        <f t="shared" si="303"/>
        <v xml:space="preserve"> </v>
      </c>
      <c r="AI1408" s="571" t="str">
        <f t="shared" si="297"/>
        <v xml:space="preserve"> </v>
      </c>
      <c r="AJ1408" s="558"/>
      <c r="AK1408" s="558"/>
    </row>
    <row r="1409" spans="1:37" s="385" customFormat="1" ht="40.5" outlineLevel="2" x14ac:dyDescent="0.3">
      <c r="A1409" s="447">
        <f t="shared" si="307"/>
        <v>111</v>
      </c>
      <c r="B1409" s="557"/>
      <c r="C1409" s="558"/>
      <c r="D1409" s="615"/>
      <c r="E1409" s="615"/>
      <c r="F1409" s="700"/>
      <c r="G1409" s="558"/>
      <c r="H1409" s="604"/>
      <c r="I1409" s="546"/>
      <c r="J1409" s="589"/>
      <c r="K1409" s="563" t="str">
        <f>IF(G1409&lt;&gt;0,VLOOKUP(G1409,'gia dat'!$A$1:$F$144,5,0)," ")</f>
        <v xml:space="preserve"> </v>
      </c>
      <c r="L1409" s="563" t="str">
        <f>IF(G1409&lt;&gt;0,VLOOKUP(G1409,'gia dat'!$A$1:$F$144,6,0)," ")</f>
        <v xml:space="preserve"> </v>
      </c>
      <c r="M1409" s="564" t="str">
        <f t="shared" si="309"/>
        <v xml:space="preserve"> </v>
      </c>
      <c r="N1409" s="564" t="str">
        <f t="shared" si="310"/>
        <v xml:space="preserve"> </v>
      </c>
      <c r="O1409" s="558"/>
      <c r="P1409" s="590"/>
      <c r="Q1409" s="564" t="str">
        <f>IF(O1409&lt;&gt;0,VLOOKUP(O1409,'Cây trong'!$A$2:$C$246,3,0)," ")</f>
        <v xml:space="preserve"> </v>
      </c>
      <c r="R1409" s="564" t="str">
        <f t="shared" si="302"/>
        <v xml:space="preserve"> </v>
      </c>
      <c r="S1409" s="566" t="s">
        <v>2361</v>
      </c>
      <c r="T1409" s="589" t="s">
        <v>2827</v>
      </c>
      <c r="U1409" s="591">
        <v>0.41</v>
      </c>
      <c r="V1409" s="593"/>
      <c r="W1409" s="564">
        <f>IF(S1409&lt;&gt;0,VLOOKUP(S1409,VKT!$A$2:$G$415,7,0),"")</f>
        <v>0</v>
      </c>
      <c r="X1409" s="564">
        <f t="shared" si="308"/>
        <v>0</v>
      </c>
      <c r="Y1409" s="562"/>
      <c r="Z1409" s="568"/>
      <c r="AA1409" s="568"/>
      <c r="AB1409" s="568"/>
      <c r="AC1409" s="568"/>
      <c r="AD1409" s="568"/>
      <c r="AE1409" s="568"/>
      <c r="AF1409" s="563"/>
      <c r="AG1409" s="570" t="str">
        <f>IF(AE1409&lt;&gt;0,VLOOKUP(AE1409,ODDS!$A$2:$C$13,3,0),"")</f>
        <v/>
      </c>
      <c r="AH1409" s="570" t="str">
        <f t="shared" si="303"/>
        <v xml:space="preserve"> </v>
      </c>
      <c r="AI1409" s="571" t="str">
        <f t="shared" si="297"/>
        <v xml:space="preserve"> </v>
      </c>
      <c r="AJ1409" s="558"/>
      <c r="AK1409" s="558"/>
    </row>
    <row r="1410" spans="1:37" s="385" customFormat="1" ht="81" outlineLevel="2" x14ac:dyDescent="0.3">
      <c r="A1410" s="447">
        <f t="shared" si="307"/>
        <v>111</v>
      </c>
      <c r="B1410" s="557"/>
      <c r="C1410" s="572"/>
      <c r="D1410" s="615"/>
      <c r="E1410" s="615"/>
      <c r="F1410" s="700"/>
      <c r="G1410" s="558"/>
      <c r="H1410" s="604"/>
      <c r="I1410" s="546"/>
      <c r="J1410" s="589"/>
      <c r="K1410" s="563" t="str">
        <f>IF(G1410&lt;&gt;0,VLOOKUP(G1410,'gia dat'!$A$1:$F$144,5,0)," ")</f>
        <v xml:space="preserve"> </v>
      </c>
      <c r="L1410" s="563" t="str">
        <f>IF(G1410&lt;&gt;0,VLOOKUP(G1410,'gia dat'!$A$1:$F$144,6,0)," ")</f>
        <v xml:space="preserve"> </v>
      </c>
      <c r="M1410" s="564" t="str">
        <f t="shared" si="309"/>
        <v xml:space="preserve"> </v>
      </c>
      <c r="N1410" s="564" t="str">
        <f t="shared" si="310"/>
        <v xml:space="preserve"> </v>
      </c>
      <c r="O1410" s="586"/>
      <c r="P1410" s="590"/>
      <c r="Q1410" s="564" t="str">
        <f>IF(O1410&lt;&gt;0,VLOOKUP(O1410,'Cây trong'!$A$2:$C$246,3,0)," ")</f>
        <v xml:space="preserve"> </v>
      </c>
      <c r="R1410" s="564" t="str">
        <f t="shared" si="302"/>
        <v xml:space="preserve"> </v>
      </c>
      <c r="S1410" s="566" t="s">
        <v>2362</v>
      </c>
      <c r="T1410" s="589" t="s">
        <v>2804</v>
      </c>
      <c r="U1410" s="591">
        <v>50.4</v>
      </c>
      <c r="V1410" s="593"/>
      <c r="W1410" s="564">
        <f>IF(S1410&lt;&gt;0,VLOOKUP(S1410,VKT!$A$2:$G$415,7,0),"")</f>
        <v>625568</v>
      </c>
      <c r="X1410" s="564">
        <f t="shared" si="308"/>
        <v>31529000</v>
      </c>
      <c r="Y1410" s="562"/>
      <c r="Z1410" s="568"/>
      <c r="AA1410" s="568"/>
      <c r="AB1410" s="568"/>
      <c r="AC1410" s="568"/>
      <c r="AD1410" s="568"/>
      <c r="AE1410" s="568"/>
      <c r="AF1410" s="563"/>
      <c r="AG1410" s="570" t="str">
        <f>IF(AE1410&lt;&gt;0,VLOOKUP(AE1410,ODDS!$A$2:$C$13,3,0),"")</f>
        <v/>
      </c>
      <c r="AH1410" s="570" t="str">
        <f t="shared" si="303"/>
        <v xml:space="preserve"> </v>
      </c>
      <c r="AI1410" s="571" t="str">
        <f t="shared" si="297"/>
        <v xml:space="preserve"> </v>
      </c>
      <c r="AJ1410" s="593"/>
      <c r="AK1410" s="593"/>
    </row>
    <row r="1411" spans="1:37" s="385" customFormat="1" ht="60.75" outlineLevel="2" x14ac:dyDescent="0.3">
      <c r="A1411" s="447">
        <f t="shared" si="307"/>
        <v>111</v>
      </c>
      <c r="B1411" s="557"/>
      <c r="C1411" s="572"/>
      <c r="D1411" s="703"/>
      <c r="E1411" s="615"/>
      <c r="F1411" s="700"/>
      <c r="G1411" s="558"/>
      <c r="H1411" s="732"/>
      <c r="I1411" s="546"/>
      <c r="J1411" s="710"/>
      <c r="K1411" s="563" t="str">
        <f>IF(G1411&lt;&gt;0,VLOOKUP(G1411,'gia dat'!$A$1:$F$144,5,0)," ")</f>
        <v xml:space="preserve"> </v>
      </c>
      <c r="L1411" s="563" t="str">
        <f>IF(G1411&lt;&gt;0,VLOOKUP(G1411,'gia dat'!$A$1:$F$144,6,0)," ")</f>
        <v xml:space="preserve"> </v>
      </c>
      <c r="M1411" s="564" t="str">
        <f t="shared" si="309"/>
        <v xml:space="preserve"> </v>
      </c>
      <c r="N1411" s="564" t="str">
        <f t="shared" si="310"/>
        <v xml:space="preserve"> </v>
      </c>
      <c r="O1411" s="586"/>
      <c r="P1411" s="630"/>
      <c r="Q1411" s="564" t="str">
        <f>IF(O1411&lt;&gt;0,VLOOKUP(O1411,'Cây trong'!$A$2:$C$246,3,0)," ")</f>
        <v xml:space="preserve"> </v>
      </c>
      <c r="R1411" s="564" t="str">
        <f t="shared" si="302"/>
        <v xml:space="preserve"> </v>
      </c>
      <c r="S1411" s="586" t="s">
        <v>1758</v>
      </c>
      <c r="T1411" s="609" t="s">
        <v>93</v>
      </c>
      <c r="U1411" s="591">
        <v>1</v>
      </c>
      <c r="V1411" s="593"/>
      <c r="W1411" s="564">
        <f>IF(S1411&lt;&gt;0,VLOOKUP(S1411,VKT!$A$2:$G$415,7,0),"")</f>
        <v>0</v>
      </c>
      <c r="X1411" s="564">
        <f t="shared" si="308"/>
        <v>0</v>
      </c>
      <c r="Y1411" s="562"/>
      <c r="Z1411" s="568"/>
      <c r="AA1411" s="568"/>
      <c r="AB1411" s="568"/>
      <c r="AC1411" s="568"/>
      <c r="AD1411" s="568"/>
      <c r="AE1411" s="568"/>
      <c r="AF1411" s="563"/>
      <c r="AG1411" s="570" t="str">
        <f>IF(AE1411&lt;&gt;0,VLOOKUP(AE1411,ODDS!$A$2:$C$13,3,0),"")</f>
        <v/>
      </c>
      <c r="AH1411" s="570" t="str">
        <f t="shared" si="303"/>
        <v xml:space="preserve"> </v>
      </c>
      <c r="AI1411" s="571" t="str">
        <f t="shared" si="297"/>
        <v xml:space="preserve"> </v>
      </c>
      <c r="AJ1411" s="593"/>
      <c r="AK1411" s="593"/>
    </row>
    <row r="1412" spans="1:37" s="385" customFormat="1" ht="20.25" outlineLevel="2" x14ac:dyDescent="0.3">
      <c r="A1412" s="447">
        <f t="shared" si="307"/>
        <v>111</v>
      </c>
      <c r="B1412" s="557"/>
      <c r="C1412" s="572"/>
      <c r="D1412" s="703"/>
      <c r="E1412" s="615"/>
      <c r="F1412" s="700"/>
      <c r="G1412" s="558"/>
      <c r="H1412" s="732"/>
      <c r="I1412" s="546"/>
      <c r="J1412" s="710"/>
      <c r="K1412" s="563" t="str">
        <f>IF(G1412&lt;&gt;0,VLOOKUP(G1412,'gia dat'!$A$1:$F$144,5,0)," ")</f>
        <v xml:space="preserve"> </v>
      </c>
      <c r="L1412" s="563" t="str">
        <f>IF(G1412&lt;&gt;0,VLOOKUP(G1412,'gia dat'!$A$1:$F$144,6,0)," ")</f>
        <v xml:space="preserve"> </v>
      </c>
      <c r="M1412" s="564" t="str">
        <f t="shared" si="309"/>
        <v xml:space="preserve"> </v>
      </c>
      <c r="N1412" s="564" t="str">
        <f t="shared" si="310"/>
        <v xml:space="preserve"> </v>
      </c>
      <c r="O1412" s="586"/>
      <c r="P1412" s="630"/>
      <c r="Q1412" s="564" t="str">
        <f>IF(O1412&lt;&gt;0,VLOOKUP(O1412,'Cây trong'!$A$2:$C$246,3,0)," ")</f>
        <v xml:space="preserve"> </v>
      </c>
      <c r="R1412" s="564" t="str">
        <f t="shared" si="302"/>
        <v xml:space="preserve"> </v>
      </c>
      <c r="S1412" s="586"/>
      <c r="T1412" s="609"/>
      <c r="U1412" s="567"/>
      <c r="V1412" s="593"/>
      <c r="W1412" s="564" t="str">
        <f>IF(S1412&lt;&gt;0,VLOOKUP(S1412,VKT!$A$2:$G$415,7,0),"")</f>
        <v/>
      </c>
      <c r="X1412" s="564" t="str">
        <f t="shared" si="308"/>
        <v xml:space="preserve"> </v>
      </c>
      <c r="Y1412" s="562"/>
      <c r="Z1412" s="568"/>
      <c r="AA1412" s="568"/>
      <c r="AB1412" s="568"/>
      <c r="AC1412" s="568"/>
      <c r="AD1412" s="568"/>
      <c r="AE1412" s="568"/>
      <c r="AF1412" s="563"/>
      <c r="AG1412" s="570" t="str">
        <f>IF(AE1412&lt;&gt;0,VLOOKUP(AE1412,ODDS!$A$2:$C$13,3,0),"")</f>
        <v/>
      </c>
      <c r="AH1412" s="570" t="str">
        <f t="shared" si="303"/>
        <v xml:space="preserve"> </v>
      </c>
      <c r="AI1412" s="571" t="str">
        <f t="shared" si="297"/>
        <v xml:space="preserve"> </v>
      </c>
      <c r="AJ1412" s="593"/>
      <c r="AK1412" s="593"/>
    </row>
    <row r="1413" spans="1:37" s="385" customFormat="1" ht="20.25" outlineLevel="2" x14ac:dyDescent="0.3">
      <c r="A1413" s="447">
        <f t="shared" si="307"/>
        <v>111</v>
      </c>
      <c r="B1413" s="557"/>
      <c r="C1413" s="572"/>
      <c r="D1413" s="703"/>
      <c r="E1413" s="615"/>
      <c r="F1413" s="700"/>
      <c r="G1413" s="558"/>
      <c r="H1413" s="732"/>
      <c r="I1413" s="546"/>
      <c r="J1413" s="710"/>
      <c r="K1413" s="563" t="str">
        <f>IF(G1413&lt;&gt;0,VLOOKUP(G1413,'gia dat'!$A$1:$F$144,5,0)," ")</f>
        <v xml:space="preserve"> </v>
      </c>
      <c r="L1413" s="563" t="str">
        <f>IF(G1413&lt;&gt;0,VLOOKUP(G1413,'gia dat'!$A$1:$F$144,6,0)," ")</f>
        <v xml:space="preserve"> </v>
      </c>
      <c r="M1413" s="564" t="str">
        <f t="shared" si="309"/>
        <v xml:space="preserve"> </v>
      </c>
      <c r="N1413" s="564" t="str">
        <f t="shared" si="310"/>
        <v xml:space="preserve"> </v>
      </c>
      <c r="O1413" s="586"/>
      <c r="P1413" s="630"/>
      <c r="Q1413" s="564" t="str">
        <f>IF(O1413&lt;&gt;0,VLOOKUP(O1413,'Cây trong'!$A$2:$C$246,3,0)," ")</f>
        <v xml:space="preserve"> </v>
      </c>
      <c r="R1413" s="564" t="str">
        <f t="shared" si="302"/>
        <v xml:space="preserve"> </v>
      </c>
      <c r="S1413" s="586"/>
      <c r="T1413" s="609"/>
      <c r="U1413" s="567"/>
      <c r="V1413" s="593"/>
      <c r="W1413" s="564" t="str">
        <f>IF(S1413&lt;&gt;0,VLOOKUP(S1413,VKT!$A$2:$G$415,7,0),"")</f>
        <v/>
      </c>
      <c r="X1413" s="564" t="str">
        <f t="shared" si="308"/>
        <v xml:space="preserve"> </v>
      </c>
      <c r="Y1413" s="562"/>
      <c r="Z1413" s="568"/>
      <c r="AA1413" s="568"/>
      <c r="AB1413" s="568"/>
      <c r="AC1413" s="568"/>
      <c r="AD1413" s="568"/>
      <c r="AE1413" s="568"/>
      <c r="AF1413" s="563"/>
      <c r="AG1413" s="570" t="str">
        <f>IF(AE1413&lt;&gt;0,VLOOKUP(AE1413,ODDS!$A$2:$C$13,3,0),"")</f>
        <v/>
      </c>
      <c r="AH1413" s="570" t="str">
        <f t="shared" si="303"/>
        <v xml:space="preserve"> </v>
      </c>
      <c r="AI1413" s="571" t="str">
        <f t="shared" si="297"/>
        <v xml:space="preserve"> </v>
      </c>
      <c r="AJ1413" s="593"/>
      <c r="AK1413" s="593"/>
    </row>
    <row r="1414" spans="1:37" s="385" customFormat="1" ht="20.25" outlineLevel="2" x14ac:dyDescent="0.3">
      <c r="A1414" s="447">
        <f t="shared" si="307"/>
        <v>111</v>
      </c>
      <c r="B1414" s="557"/>
      <c r="C1414" s="574"/>
      <c r="D1414" s="703"/>
      <c r="E1414" s="615"/>
      <c r="F1414" s="700"/>
      <c r="G1414" s="558"/>
      <c r="H1414" s="732"/>
      <c r="I1414" s="546"/>
      <c r="J1414" s="710"/>
      <c r="K1414" s="563" t="str">
        <f>IF(G1414&lt;&gt;0,VLOOKUP(G1414,'gia dat'!$A$1:$F$144,5,0)," ")</f>
        <v xml:space="preserve"> </v>
      </c>
      <c r="L1414" s="563" t="str">
        <f>IF(G1414&lt;&gt;0,VLOOKUP(G1414,'gia dat'!$A$1:$F$144,6,0)," ")</f>
        <v xml:space="preserve"> </v>
      </c>
      <c r="M1414" s="564" t="str">
        <f t="shared" si="309"/>
        <v xml:space="preserve"> </v>
      </c>
      <c r="N1414" s="564" t="str">
        <f t="shared" si="310"/>
        <v xml:space="preserve"> </v>
      </c>
      <c r="O1414" s="586"/>
      <c r="P1414" s="630"/>
      <c r="Q1414" s="564" t="str">
        <f>IF(O1414&lt;&gt;0,VLOOKUP(O1414,'Cây trong'!$A$2:$C$246,3,0)," ")</f>
        <v xml:space="preserve"> </v>
      </c>
      <c r="R1414" s="564" t="str">
        <f t="shared" si="302"/>
        <v xml:space="preserve"> </v>
      </c>
      <c r="S1414" s="586"/>
      <c r="T1414" s="609"/>
      <c r="U1414" s="567"/>
      <c r="V1414" s="593"/>
      <c r="W1414" s="564" t="str">
        <f>IF(S1414&lt;&gt;0,VLOOKUP(S1414,VKT!$A$2:$G$415,7,0),"")</f>
        <v/>
      </c>
      <c r="X1414" s="564" t="str">
        <f t="shared" si="308"/>
        <v xml:space="preserve"> </v>
      </c>
      <c r="Y1414" s="562"/>
      <c r="Z1414" s="568"/>
      <c r="AA1414" s="568"/>
      <c r="AB1414" s="568"/>
      <c r="AC1414" s="568"/>
      <c r="AD1414" s="568"/>
      <c r="AE1414" s="568"/>
      <c r="AF1414" s="563"/>
      <c r="AG1414" s="570" t="str">
        <f>IF(AE1414&lt;&gt;0,VLOOKUP(AE1414,ODDS!$A$2:$C$13,3,0),"")</f>
        <v/>
      </c>
      <c r="AH1414" s="570" t="str">
        <f t="shared" si="303"/>
        <v xml:space="preserve"> </v>
      </c>
      <c r="AI1414" s="571" t="str">
        <f t="shared" si="297"/>
        <v xml:space="preserve"> </v>
      </c>
      <c r="AJ1414" s="593"/>
      <c r="AK1414" s="593"/>
    </row>
    <row r="1415" spans="1:37" s="385" customFormat="1" ht="20.25" outlineLevel="1" x14ac:dyDescent="0.25">
      <c r="A1415" s="467" t="s">
        <v>2598</v>
      </c>
      <c r="B1415" s="576">
        <v>112</v>
      </c>
      <c r="C1415" s="574" t="s">
        <v>1027</v>
      </c>
      <c r="D1415" s="705"/>
      <c r="E1415" s="705"/>
      <c r="F1415" s="706"/>
      <c r="G1415" s="574"/>
      <c r="H1415" s="596">
        <f>SUBTOTAL(9,H1416:H1427)</f>
        <v>500</v>
      </c>
      <c r="I1415" s="579">
        <f>SUBTOTAL(9,I1416:I1421)</f>
        <v>419.2</v>
      </c>
      <c r="J1415" s="597"/>
      <c r="K1415" s="581"/>
      <c r="L1415" s="581"/>
      <c r="M1415" s="571">
        <f>SUBTOTAL(9,M1416:M1427)</f>
        <v>232800000</v>
      </c>
      <c r="N1415" s="571">
        <f>SUBTOTAL(9,N1416:N1427)</f>
        <v>585539000</v>
      </c>
      <c r="O1415" s="574"/>
      <c r="P1415" s="599">
        <f>SUBTOTAL(9,P1416:P1427)</f>
        <v>1</v>
      </c>
      <c r="Q1415" s="571"/>
      <c r="R1415" s="571">
        <f>SUBTOTAL(9,R1416:R1427)</f>
        <v>600000</v>
      </c>
      <c r="S1415" s="582"/>
      <c r="T1415" s="597"/>
      <c r="U1415" s="600">
        <f>SUBTOTAL(9,U1416:U1427)</f>
        <v>79.100000000000009</v>
      </c>
      <c r="V1415" s="608"/>
      <c r="W1415" s="571"/>
      <c r="X1415" s="571">
        <f>SUBTOTAL(9,X1416:X1427)</f>
        <v>210905000</v>
      </c>
      <c r="Y1415" s="562"/>
      <c r="Z1415" s="568"/>
      <c r="AA1415" s="568"/>
      <c r="AB1415" s="568"/>
      <c r="AC1415" s="568"/>
      <c r="AD1415" s="568"/>
      <c r="AE1415" s="602"/>
      <c r="AF1415" s="581">
        <f>SUBTOTAL(9,AF1416:AF1427)</f>
        <v>1</v>
      </c>
      <c r="AG1415" s="585"/>
      <c r="AH1415" s="585">
        <f>SUBTOTAL(9,AH1416:AH1427)</f>
        <v>13000000</v>
      </c>
      <c r="AI1415" s="571">
        <f t="shared" si="297"/>
        <v>1042844000</v>
      </c>
      <c r="AJ1415" s="574"/>
      <c r="AK1415" s="578"/>
    </row>
    <row r="1416" spans="1:37" s="385" customFormat="1" ht="121.5" outlineLevel="2" x14ac:dyDescent="0.3">
      <c r="A1416" s="447">
        <f>IF(B1415&lt;&gt;0,B1415,A1414)</f>
        <v>112</v>
      </c>
      <c r="B1416" s="557"/>
      <c r="C1416" s="558" t="s">
        <v>1030</v>
      </c>
      <c r="D1416" s="615">
        <v>1</v>
      </c>
      <c r="E1416" s="615">
        <v>86</v>
      </c>
      <c r="F1416" s="700">
        <v>1512</v>
      </c>
      <c r="G1416" s="558" t="s">
        <v>2434</v>
      </c>
      <c r="H1416" s="604">
        <f>500-H1417</f>
        <v>80.800000000000011</v>
      </c>
      <c r="I1416" s="546" t="str">
        <f t="shared" ref="I1416:I1417" si="311">IF(N1416&gt;0,H1416,"")</f>
        <v/>
      </c>
      <c r="J1416" s="589"/>
      <c r="K1416" s="563">
        <f>IF(G1416&lt;&gt;0,VLOOKUP(G1416,'gia dat'!$A$1:$F$144,5,0)," ")</f>
        <v>465600</v>
      </c>
      <c r="L1416" s="563">
        <f>IF(G1416&lt;&gt;0,VLOOKUP(G1416,'gia dat'!$A$1:$F$144,6,0)," ")</f>
        <v>0</v>
      </c>
      <c r="M1416" s="564">
        <f t="shared" si="309"/>
        <v>37620000</v>
      </c>
      <c r="N1416" s="564">
        <f t="shared" si="310"/>
        <v>0</v>
      </c>
      <c r="O1416" s="558" t="s">
        <v>1028</v>
      </c>
      <c r="P1416" s="590">
        <v>1</v>
      </c>
      <c r="Q1416" s="564">
        <f>IF(O1416&lt;&gt;0,VLOOKUP(O1416,'Cây trong'!$A$2:$C$246,3,0)," ")</f>
        <v>600000</v>
      </c>
      <c r="R1416" s="564">
        <f t="shared" si="302"/>
        <v>600000</v>
      </c>
      <c r="S1416" s="566" t="s">
        <v>1763</v>
      </c>
      <c r="T1416" s="589" t="s">
        <v>2804</v>
      </c>
      <c r="U1416" s="591">
        <v>52.8</v>
      </c>
      <c r="V1416" s="593"/>
      <c r="W1416" s="564">
        <f>IF(S1416&lt;&gt;0,VLOOKUP(S1416,VKT!$A$2:$G$415,7,0),"")</f>
        <v>3550600</v>
      </c>
      <c r="X1416" s="564">
        <f t="shared" si="308"/>
        <v>187472000</v>
      </c>
      <c r="Y1416" s="562" t="s">
        <v>139</v>
      </c>
      <c r="Z1416" s="568" t="s">
        <v>980</v>
      </c>
      <c r="AA1416" s="568" t="s">
        <v>1012</v>
      </c>
      <c r="AB1416" s="568" t="s">
        <v>269</v>
      </c>
      <c r="AC1416" s="568" t="s">
        <v>139</v>
      </c>
      <c r="AD1416" s="568"/>
      <c r="AE1416" s="569"/>
      <c r="AF1416" s="563"/>
      <c r="AG1416" s="570"/>
      <c r="AH1416" s="570"/>
      <c r="AI1416" s="571" t="str">
        <f t="shared" si="297"/>
        <v xml:space="preserve"> </v>
      </c>
      <c r="AJ1416" s="558" t="s">
        <v>1029</v>
      </c>
      <c r="AK1416" s="586" t="s">
        <v>2771</v>
      </c>
    </row>
    <row r="1417" spans="1:37" s="385" customFormat="1" ht="101.25" outlineLevel="2" x14ac:dyDescent="0.3">
      <c r="A1417" s="447">
        <f t="shared" ref="A1417:A1427" si="312">IF(B1416&lt;&gt;0,B1416,A1416)</f>
        <v>112</v>
      </c>
      <c r="B1417" s="557"/>
      <c r="C1417" s="586" t="s">
        <v>1660</v>
      </c>
      <c r="D1417" s="615"/>
      <c r="E1417" s="615">
        <v>86</v>
      </c>
      <c r="F1417" s="700">
        <v>1512</v>
      </c>
      <c r="G1417" s="558" t="s">
        <v>2435</v>
      </c>
      <c r="H1417" s="604">
        <v>419.2</v>
      </c>
      <c r="I1417" s="546">
        <f t="shared" si="311"/>
        <v>419.2</v>
      </c>
      <c r="J1417" s="589"/>
      <c r="K1417" s="563">
        <f>IF(G1417&lt;&gt;0,VLOOKUP(G1417,'gia dat'!$A$1:$F$144,5,0)," ")</f>
        <v>465600</v>
      </c>
      <c r="L1417" s="563">
        <f>IF(G1417&lt;&gt;0,VLOOKUP(G1417,'gia dat'!$A$1:$F$144,6,0)," ")</f>
        <v>1396800</v>
      </c>
      <c r="M1417" s="564">
        <f t="shared" si="309"/>
        <v>195180000</v>
      </c>
      <c r="N1417" s="564">
        <f t="shared" si="310"/>
        <v>585539000</v>
      </c>
      <c r="O1417" s="558"/>
      <c r="P1417" s="590"/>
      <c r="Q1417" s="564" t="str">
        <f>IF(O1417&lt;&gt;0,VLOOKUP(O1417,'Cây trong'!$A$2:$C$246,3,0)," ")</f>
        <v xml:space="preserve"> </v>
      </c>
      <c r="R1417" s="564" t="str">
        <f t="shared" si="302"/>
        <v xml:space="preserve"> </v>
      </c>
      <c r="S1417" s="566" t="s">
        <v>1797</v>
      </c>
      <c r="T1417" s="589" t="s">
        <v>2804</v>
      </c>
      <c r="U1417" s="617">
        <v>2.2000000000000002</v>
      </c>
      <c r="V1417" s="593"/>
      <c r="W1417" s="564">
        <f>IF(S1417&lt;&gt;0,VLOOKUP(S1417,VKT!$A$2:$G$415,7,0),"")</f>
        <v>3550600</v>
      </c>
      <c r="X1417" s="564">
        <f t="shared" si="308"/>
        <v>7811000</v>
      </c>
      <c r="Y1417" s="562" t="s">
        <v>139</v>
      </c>
      <c r="Z1417" s="568" t="s">
        <v>980</v>
      </c>
      <c r="AA1417" s="568" t="s">
        <v>1012</v>
      </c>
      <c r="AB1417" s="568" t="s">
        <v>269</v>
      </c>
      <c r="AC1417" s="568" t="s">
        <v>139</v>
      </c>
      <c r="AD1417" s="568"/>
      <c r="AE1417" s="569" t="s">
        <v>2789</v>
      </c>
      <c r="AF1417" s="590">
        <v>1</v>
      </c>
      <c r="AG1417" s="570">
        <f>IF(AE1417&lt;&gt;0,VLOOKUP(AE1417,ODDS!$A$2:$C$13,3,0),"")</f>
        <v>13000000</v>
      </c>
      <c r="AH1417" s="570">
        <f t="shared" si="303"/>
        <v>13000000</v>
      </c>
      <c r="AI1417" s="571" t="str">
        <f t="shared" ref="AI1417:AI1480" si="313">IF(B1417&lt;&gt;0,M1417+N1417+R1417+X1417+AH1417," ")</f>
        <v xml:space="preserve"> </v>
      </c>
      <c r="AJ1417" s="558" t="s">
        <v>2835</v>
      </c>
      <c r="AK1417" s="558" t="s">
        <v>2448</v>
      </c>
    </row>
    <row r="1418" spans="1:37" s="385" customFormat="1" ht="121.5" outlineLevel="2" x14ac:dyDescent="0.3">
      <c r="A1418" s="447">
        <f t="shared" si="312"/>
        <v>112</v>
      </c>
      <c r="B1418" s="557"/>
      <c r="C1418" s="558"/>
      <c r="D1418" s="615"/>
      <c r="E1418" s="615"/>
      <c r="F1418" s="700"/>
      <c r="G1418" s="558"/>
      <c r="H1418" s="604"/>
      <c r="I1418" s="546"/>
      <c r="J1418" s="589"/>
      <c r="K1418" s="563" t="str">
        <f>IF(G1418&lt;&gt;0,VLOOKUP(G1418,'gia dat'!$A$1:$F$144,5,0)," ")</f>
        <v xml:space="preserve"> </v>
      </c>
      <c r="L1418" s="563" t="str">
        <f>IF(G1418&lt;&gt;0,VLOOKUP(G1418,'gia dat'!$A$1:$F$144,6,0)," ")</f>
        <v xml:space="preserve"> </v>
      </c>
      <c r="M1418" s="564" t="str">
        <f t="shared" si="309"/>
        <v xml:space="preserve"> </v>
      </c>
      <c r="N1418" s="564" t="str">
        <f t="shared" si="310"/>
        <v xml:space="preserve"> </v>
      </c>
      <c r="O1418" s="558"/>
      <c r="P1418" s="590"/>
      <c r="Q1418" s="564" t="str">
        <f>IF(O1418&lt;&gt;0,VLOOKUP(O1418,'Cây trong'!$A$2:$C$246,3,0)," ")</f>
        <v xml:space="preserve"> </v>
      </c>
      <c r="R1418" s="564" t="str">
        <f t="shared" si="302"/>
        <v xml:space="preserve"> </v>
      </c>
      <c r="S1418" s="566" t="s">
        <v>1797</v>
      </c>
      <c r="T1418" s="589" t="s">
        <v>2804</v>
      </c>
      <c r="U1418" s="591">
        <v>2.2000000000000002</v>
      </c>
      <c r="V1418" s="593"/>
      <c r="W1418" s="564">
        <f>IF(S1418&lt;&gt;0,VLOOKUP(S1418,VKT!$A$2:$G$415,7,0),"")</f>
        <v>3550600</v>
      </c>
      <c r="X1418" s="564">
        <f t="shared" si="308"/>
        <v>7811000</v>
      </c>
      <c r="Y1418" s="562" t="s">
        <v>139</v>
      </c>
      <c r="Z1418" s="568" t="s">
        <v>980</v>
      </c>
      <c r="AA1418" s="568" t="s">
        <v>1012</v>
      </c>
      <c r="AB1418" s="568" t="s">
        <v>269</v>
      </c>
      <c r="AC1418" s="568" t="s">
        <v>139</v>
      </c>
      <c r="AD1418" s="568"/>
      <c r="AE1418" s="606"/>
      <c r="AF1418" s="590"/>
      <c r="AG1418" s="570" t="str">
        <f>IF(AE1418&lt;&gt;0,VLOOKUP(AE1418,ODDS!$A$2:$C$13,3,0),"")</f>
        <v/>
      </c>
      <c r="AH1418" s="570" t="str">
        <f t="shared" si="303"/>
        <v xml:space="preserve"> </v>
      </c>
      <c r="AI1418" s="571" t="str">
        <f t="shared" si="313"/>
        <v xml:space="preserve"> </v>
      </c>
      <c r="AJ1418" s="558" t="s">
        <v>1032</v>
      </c>
      <c r="AK1418" s="558" t="s">
        <v>2450</v>
      </c>
    </row>
    <row r="1419" spans="1:37" s="385" customFormat="1" ht="101.25" outlineLevel="2" x14ac:dyDescent="0.3">
      <c r="A1419" s="447">
        <f t="shared" si="312"/>
        <v>112</v>
      </c>
      <c r="B1419" s="557"/>
      <c r="C1419" s="558"/>
      <c r="D1419" s="615"/>
      <c r="E1419" s="615"/>
      <c r="F1419" s="700"/>
      <c r="G1419" s="558"/>
      <c r="H1419" s="604"/>
      <c r="I1419" s="546"/>
      <c r="J1419" s="589"/>
      <c r="K1419" s="563" t="str">
        <f>IF(G1419&lt;&gt;0,VLOOKUP(G1419,'gia dat'!$A$1:$F$144,5,0)," ")</f>
        <v xml:space="preserve"> </v>
      </c>
      <c r="L1419" s="563" t="str">
        <f>IF(G1419&lt;&gt;0,VLOOKUP(G1419,'gia dat'!$A$1:$F$144,6,0)," ")</f>
        <v xml:space="preserve"> </v>
      </c>
      <c r="M1419" s="564" t="str">
        <f t="shared" si="309"/>
        <v xml:space="preserve"> </v>
      </c>
      <c r="N1419" s="564" t="str">
        <f t="shared" si="310"/>
        <v xml:space="preserve"> </v>
      </c>
      <c r="O1419" s="558"/>
      <c r="P1419" s="590"/>
      <c r="Q1419" s="564" t="str">
        <f>IF(O1419&lt;&gt;0,VLOOKUP(O1419,'Cây trong'!$A$2:$C$246,3,0)," ")</f>
        <v xml:space="preserve"> </v>
      </c>
      <c r="R1419" s="564" t="str">
        <f t="shared" si="302"/>
        <v xml:space="preserve"> </v>
      </c>
      <c r="S1419" s="566" t="s">
        <v>1797</v>
      </c>
      <c r="T1419" s="589" t="s">
        <v>2804</v>
      </c>
      <c r="U1419" s="591">
        <v>2.2000000000000002</v>
      </c>
      <c r="V1419" s="593"/>
      <c r="W1419" s="564">
        <f>IF(S1419&lt;&gt;0,VLOOKUP(S1419,VKT!$A$2:$G$415,7,0),"")</f>
        <v>3550600</v>
      </c>
      <c r="X1419" s="564">
        <f t="shared" si="308"/>
        <v>7811000</v>
      </c>
      <c r="Y1419" s="562" t="s">
        <v>139</v>
      </c>
      <c r="Z1419" s="568" t="s">
        <v>980</v>
      </c>
      <c r="AA1419" s="568" t="s">
        <v>1012</v>
      </c>
      <c r="AB1419" s="568" t="s">
        <v>269</v>
      </c>
      <c r="AC1419" s="568" t="s">
        <v>139</v>
      </c>
      <c r="AD1419" s="568"/>
      <c r="AE1419" s="568"/>
      <c r="AF1419" s="563"/>
      <c r="AG1419" s="570" t="str">
        <f>IF(AE1419&lt;&gt;0,VLOOKUP(AE1419,ODDS!$A$2:$C$13,3,0),"")</f>
        <v/>
      </c>
      <c r="AH1419" s="570" t="str">
        <f t="shared" si="303"/>
        <v xml:space="preserve"> </v>
      </c>
      <c r="AI1419" s="571" t="str">
        <f t="shared" si="313"/>
        <v xml:space="preserve"> </v>
      </c>
      <c r="AJ1419" s="558" t="s">
        <v>2074</v>
      </c>
      <c r="AK1419" s="558" t="s">
        <v>2449</v>
      </c>
    </row>
    <row r="1420" spans="1:37" s="385" customFormat="1" ht="81" outlineLevel="2" x14ac:dyDescent="0.3">
      <c r="A1420" s="447">
        <f t="shared" si="312"/>
        <v>112</v>
      </c>
      <c r="B1420" s="557"/>
      <c r="C1420" s="558"/>
      <c r="D1420" s="615"/>
      <c r="E1420" s="615"/>
      <c r="F1420" s="700"/>
      <c r="G1420" s="558"/>
      <c r="H1420" s="604"/>
      <c r="I1420" s="546"/>
      <c r="J1420" s="589"/>
      <c r="K1420" s="563" t="str">
        <f>IF(G1420&lt;&gt;0,VLOOKUP(G1420,'gia dat'!$A$1:$F$144,5,0)," ")</f>
        <v xml:space="preserve"> </v>
      </c>
      <c r="L1420" s="563" t="str">
        <f>IF(G1420&lt;&gt;0,VLOOKUP(G1420,'gia dat'!$A$1:$F$144,6,0)," ")</f>
        <v xml:space="preserve"> </v>
      </c>
      <c r="M1420" s="564" t="str">
        <f t="shared" si="309"/>
        <v xml:space="preserve"> </v>
      </c>
      <c r="N1420" s="564" t="str">
        <f t="shared" si="310"/>
        <v xml:space="preserve"> </v>
      </c>
      <c r="O1420" s="558"/>
      <c r="P1420" s="590"/>
      <c r="Q1420" s="564" t="str">
        <f>IF(O1420&lt;&gt;0,VLOOKUP(O1420,'Cây trong'!$A$2:$C$246,3,0)," ")</f>
        <v xml:space="preserve"> </v>
      </c>
      <c r="R1420" s="564" t="str">
        <f t="shared" si="302"/>
        <v xml:space="preserve"> </v>
      </c>
      <c r="S1420" s="566" t="s">
        <v>2409</v>
      </c>
      <c r="T1420" s="589" t="s">
        <v>2804</v>
      </c>
      <c r="U1420" s="591">
        <v>19.7</v>
      </c>
      <c r="V1420" s="593"/>
      <c r="W1420" s="564">
        <f>IF(S1420&lt;&gt;0,VLOOKUP(S1420,VKT!$A$2:$G$415,7,0),"")</f>
        <v>0</v>
      </c>
      <c r="X1420" s="564">
        <f t="shared" si="308"/>
        <v>0</v>
      </c>
      <c r="Y1420" s="562"/>
      <c r="Z1420" s="568"/>
      <c r="AA1420" s="568"/>
      <c r="AB1420" s="568"/>
      <c r="AC1420" s="568"/>
      <c r="AD1420" s="568"/>
      <c r="AE1420" s="568"/>
      <c r="AF1420" s="563"/>
      <c r="AG1420" s="570" t="str">
        <f>IF(AE1420&lt;&gt;0,VLOOKUP(AE1420,ODDS!$A$2:$C$13,3,0),"")</f>
        <v/>
      </c>
      <c r="AH1420" s="570" t="str">
        <f t="shared" si="303"/>
        <v xml:space="preserve"> </v>
      </c>
      <c r="AI1420" s="571" t="str">
        <f t="shared" si="313"/>
        <v xml:space="preserve"> </v>
      </c>
      <c r="AJ1420" s="704"/>
      <c r="AK1420" s="558" t="s">
        <v>2451</v>
      </c>
    </row>
    <row r="1421" spans="1:37" s="385" customFormat="1" ht="101.25" outlineLevel="2" x14ac:dyDescent="0.3">
      <c r="A1421" s="447">
        <f t="shared" si="312"/>
        <v>112</v>
      </c>
      <c r="B1421" s="557"/>
      <c r="C1421" s="558"/>
      <c r="D1421" s="615"/>
      <c r="E1421" s="615"/>
      <c r="F1421" s="700"/>
      <c r="G1421" s="558"/>
      <c r="H1421" s="604"/>
      <c r="I1421" s="546"/>
      <c r="J1421" s="589"/>
      <c r="K1421" s="563" t="str">
        <f>IF(G1421&lt;&gt;0,VLOOKUP(G1421,'gia dat'!$A$1:$F$144,5,0)," ")</f>
        <v xml:space="preserve"> </v>
      </c>
      <c r="L1421" s="563" t="str">
        <f>IF(G1421&lt;&gt;0,VLOOKUP(G1421,'gia dat'!$A$1:$F$144,6,0)," ")</f>
        <v xml:space="preserve"> </v>
      </c>
      <c r="M1421" s="564" t="str">
        <f t="shared" si="309"/>
        <v xml:space="preserve"> </v>
      </c>
      <c r="N1421" s="564" t="str">
        <f t="shared" si="310"/>
        <v xml:space="preserve"> </v>
      </c>
      <c r="O1421" s="558"/>
      <c r="P1421" s="590"/>
      <c r="Q1421" s="564" t="str">
        <f>IF(O1421&lt;&gt;0,VLOOKUP(O1421,'Cây trong'!$A$2:$C$246,3,0)," ")</f>
        <v xml:space="preserve"> </v>
      </c>
      <c r="R1421" s="564" t="str">
        <f t="shared" si="302"/>
        <v xml:space="preserve"> </v>
      </c>
      <c r="S1421" s="566"/>
      <c r="T1421" s="589"/>
      <c r="U1421" s="591"/>
      <c r="V1421" s="593"/>
      <c r="W1421" s="564" t="str">
        <f>IF(S1421&lt;&gt;0,VLOOKUP(S1421,VKT!$A$2:$G$415,7,0),"")</f>
        <v/>
      </c>
      <c r="X1421" s="564" t="str">
        <f t="shared" si="308"/>
        <v xml:space="preserve"> </v>
      </c>
      <c r="Y1421" s="562"/>
      <c r="Z1421" s="568"/>
      <c r="AA1421" s="568"/>
      <c r="AB1421" s="568"/>
      <c r="AC1421" s="568"/>
      <c r="AD1421" s="568"/>
      <c r="AE1421" s="568"/>
      <c r="AF1421" s="563"/>
      <c r="AG1421" s="570" t="str">
        <f>IF(AE1421&lt;&gt;0,VLOOKUP(AE1421,ODDS!$A$2:$C$13,3,0),"")</f>
        <v/>
      </c>
      <c r="AH1421" s="570" t="str">
        <f t="shared" si="303"/>
        <v xml:space="preserve"> </v>
      </c>
      <c r="AI1421" s="571" t="str">
        <f t="shared" si="313"/>
        <v xml:space="preserve"> </v>
      </c>
      <c r="AJ1421" s="704"/>
      <c r="AK1421" s="558" t="s">
        <v>2800</v>
      </c>
    </row>
    <row r="1422" spans="1:37" s="385" customFormat="1" ht="20.25" outlineLevel="2" x14ac:dyDescent="0.3">
      <c r="A1422" s="447">
        <f t="shared" si="312"/>
        <v>112</v>
      </c>
      <c r="B1422" s="557"/>
      <c r="C1422" s="558"/>
      <c r="D1422" s="615"/>
      <c r="E1422" s="615"/>
      <c r="F1422" s="700"/>
      <c r="G1422" s="558"/>
      <c r="H1422" s="604"/>
      <c r="I1422" s="546"/>
      <c r="J1422" s="589"/>
      <c r="K1422" s="563" t="str">
        <f>IF(G1422&lt;&gt;0,VLOOKUP(G1422,'gia dat'!$A$1:$F$144,5,0)," ")</f>
        <v xml:space="preserve"> </v>
      </c>
      <c r="L1422" s="563" t="str">
        <f>IF(G1422&lt;&gt;0,VLOOKUP(G1422,'gia dat'!$A$1:$F$144,6,0)," ")</f>
        <v xml:space="preserve"> </v>
      </c>
      <c r="M1422" s="564" t="str">
        <f t="shared" si="309"/>
        <v xml:space="preserve"> </v>
      </c>
      <c r="N1422" s="564" t="str">
        <f t="shared" si="310"/>
        <v xml:space="preserve"> </v>
      </c>
      <c r="O1422" s="558"/>
      <c r="P1422" s="590"/>
      <c r="Q1422" s="564" t="str">
        <f>IF(O1422&lt;&gt;0,VLOOKUP(O1422,'Cây trong'!$A$2:$C$246,3,0)," ")</f>
        <v xml:space="preserve"> </v>
      </c>
      <c r="R1422" s="564" t="str">
        <f t="shared" si="302"/>
        <v xml:space="preserve"> </v>
      </c>
      <c r="S1422" s="566"/>
      <c r="T1422" s="589"/>
      <c r="U1422" s="591"/>
      <c r="V1422" s="593"/>
      <c r="W1422" s="564" t="str">
        <f>IF(S1422&lt;&gt;0,VLOOKUP(S1422,VKT!$A$2:$G$415,7,0),"")</f>
        <v/>
      </c>
      <c r="X1422" s="564" t="str">
        <f t="shared" si="308"/>
        <v xml:space="preserve"> </v>
      </c>
      <c r="Y1422" s="562"/>
      <c r="Z1422" s="568"/>
      <c r="AA1422" s="568"/>
      <c r="AB1422" s="568"/>
      <c r="AC1422" s="568"/>
      <c r="AD1422" s="568"/>
      <c r="AE1422" s="568"/>
      <c r="AF1422" s="563"/>
      <c r="AG1422" s="570" t="str">
        <f>IF(AE1422&lt;&gt;0,VLOOKUP(AE1422,ODDS!$A$2:$C$13,3,0),"")</f>
        <v/>
      </c>
      <c r="AH1422" s="570" t="str">
        <f t="shared" si="303"/>
        <v xml:space="preserve"> </v>
      </c>
      <c r="AI1422" s="571" t="str">
        <f t="shared" si="313"/>
        <v xml:space="preserve"> </v>
      </c>
      <c r="AJ1422" s="704"/>
      <c r="AK1422" s="558"/>
    </row>
    <row r="1423" spans="1:37" s="385" customFormat="1" ht="20.25" outlineLevel="2" x14ac:dyDescent="0.3">
      <c r="A1423" s="447">
        <f t="shared" si="312"/>
        <v>112</v>
      </c>
      <c r="B1423" s="557"/>
      <c r="C1423" s="558"/>
      <c r="D1423" s="615"/>
      <c r="E1423" s="615"/>
      <c r="F1423" s="700"/>
      <c r="G1423" s="558"/>
      <c r="H1423" s="604"/>
      <c r="I1423" s="546"/>
      <c r="J1423" s="589"/>
      <c r="K1423" s="563" t="str">
        <f>IF(G1423&lt;&gt;0,VLOOKUP(G1423,'gia dat'!$A$1:$F$144,5,0)," ")</f>
        <v xml:space="preserve"> </v>
      </c>
      <c r="L1423" s="563" t="str">
        <f>IF(G1423&lt;&gt;0,VLOOKUP(G1423,'gia dat'!$A$1:$F$144,6,0)," ")</f>
        <v xml:space="preserve"> </v>
      </c>
      <c r="M1423" s="564" t="str">
        <f t="shared" si="309"/>
        <v xml:space="preserve"> </v>
      </c>
      <c r="N1423" s="564" t="str">
        <f t="shared" si="310"/>
        <v xml:space="preserve"> </v>
      </c>
      <c r="O1423" s="558"/>
      <c r="P1423" s="590"/>
      <c r="Q1423" s="564" t="str">
        <f>IF(O1423&lt;&gt;0,VLOOKUP(O1423,'Cây trong'!$A$2:$C$246,3,0)," ")</f>
        <v xml:space="preserve"> </v>
      </c>
      <c r="R1423" s="564" t="str">
        <f t="shared" si="302"/>
        <v xml:space="preserve"> </v>
      </c>
      <c r="S1423" s="566"/>
      <c r="T1423" s="589"/>
      <c r="U1423" s="617"/>
      <c r="V1423" s="593"/>
      <c r="W1423" s="564" t="str">
        <f>IF(S1423&lt;&gt;0,VLOOKUP(S1423,VKT!$A$2:$G$415,7,0),"")</f>
        <v/>
      </c>
      <c r="X1423" s="564" t="str">
        <f t="shared" si="308"/>
        <v xml:space="preserve"> </v>
      </c>
      <c r="Y1423" s="562"/>
      <c r="Z1423" s="568"/>
      <c r="AA1423" s="568"/>
      <c r="AB1423" s="568"/>
      <c r="AC1423" s="568"/>
      <c r="AD1423" s="568"/>
      <c r="AE1423" s="568"/>
      <c r="AF1423" s="563"/>
      <c r="AG1423" s="570" t="str">
        <f>IF(AE1423&lt;&gt;0,VLOOKUP(AE1423,ODDS!$A$2:$C$13,3,0),"")</f>
        <v/>
      </c>
      <c r="AH1423" s="570" t="str">
        <f t="shared" si="303"/>
        <v xml:space="preserve"> </v>
      </c>
      <c r="AI1423" s="571" t="str">
        <f t="shared" si="313"/>
        <v xml:space="preserve"> </v>
      </c>
      <c r="AJ1423" s="558"/>
      <c r="AK1423" s="558"/>
    </row>
    <row r="1424" spans="1:37" s="385" customFormat="1" ht="20.25" outlineLevel="2" x14ac:dyDescent="0.3">
      <c r="A1424" s="447">
        <f t="shared" si="312"/>
        <v>112</v>
      </c>
      <c r="B1424" s="557"/>
      <c r="C1424" s="558"/>
      <c r="D1424" s="615"/>
      <c r="E1424" s="615"/>
      <c r="F1424" s="700"/>
      <c r="G1424" s="558"/>
      <c r="H1424" s="604"/>
      <c r="I1424" s="546"/>
      <c r="J1424" s="589"/>
      <c r="K1424" s="563" t="str">
        <f>IF(G1424&lt;&gt;0,VLOOKUP(G1424,'gia dat'!$A$1:$F$144,5,0)," ")</f>
        <v xml:space="preserve"> </v>
      </c>
      <c r="L1424" s="563" t="str">
        <f>IF(G1424&lt;&gt;0,VLOOKUP(G1424,'gia dat'!$A$1:$F$144,6,0)," ")</f>
        <v xml:space="preserve"> </v>
      </c>
      <c r="M1424" s="564" t="str">
        <f t="shared" si="309"/>
        <v xml:space="preserve"> </v>
      </c>
      <c r="N1424" s="564" t="str">
        <f t="shared" si="310"/>
        <v xml:space="preserve"> </v>
      </c>
      <c r="O1424" s="558"/>
      <c r="P1424" s="590"/>
      <c r="Q1424" s="564" t="str">
        <f>IF(O1424&lt;&gt;0,VLOOKUP(O1424,'Cây trong'!$A$2:$C$246,3,0)," ")</f>
        <v xml:space="preserve"> </v>
      </c>
      <c r="R1424" s="564" t="str">
        <f t="shared" si="302"/>
        <v xml:space="preserve"> </v>
      </c>
      <c r="S1424" s="566"/>
      <c r="T1424" s="589"/>
      <c r="U1424" s="591"/>
      <c r="V1424" s="593"/>
      <c r="W1424" s="564" t="str">
        <f>IF(S1424&lt;&gt;0,VLOOKUP(S1424,VKT!$A$2:$G$415,7,0),"")</f>
        <v/>
      </c>
      <c r="X1424" s="564" t="str">
        <f t="shared" si="308"/>
        <v xml:space="preserve"> </v>
      </c>
      <c r="Y1424" s="562"/>
      <c r="Z1424" s="568"/>
      <c r="AA1424" s="568"/>
      <c r="AB1424" s="568"/>
      <c r="AC1424" s="568"/>
      <c r="AD1424" s="568"/>
      <c r="AE1424" s="568"/>
      <c r="AF1424" s="563"/>
      <c r="AG1424" s="570" t="str">
        <f>IF(AE1424&lt;&gt;0,VLOOKUP(AE1424,ODDS!$A$2:$C$13,3,0),"")</f>
        <v/>
      </c>
      <c r="AH1424" s="570" t="str">
        <f t="shared" si="303"/>
        <v xml:space="preserve"> </v>
      </c>
      <c r="AI1424" s="571" t="str">
        <f t="shared" si="313"/>
        <v xml:space="preserve"> </v>
      </c>
      <c r="AJ1424" s="558"/>
      <c r="AK1424" s="558"/>
    </row>
    <row r="1425" spans="1:37" s="385" customFormat="1" ht="20.25" outlineLevel="2" x14ac:dyDescent="0.3">
      <c r="A1425" s="447">
        <f t="shared" si="312"/>
        <v>112</v>
      </c>
      <c r="B1425" s="557"/>
      <c r="C1425" s="558"/>
      <c r="D1425" s="615"/>
      <c r="E1425" s="615"/>
      <c r="F1425" s="700"/>
      <c r="G1425" s="558"/>
      <c r="H1425" s="604"/>
      <c r="I1425" s="546"/>
      <c r="J1425" s="589"/>
      <c r="K1425" s="563" t="str">
        <f>IF(G1425&lt;&gt;0,VLOOKUP(G1425,'gia dat'!$A$1:$F$144,5,0)," ")</f>
        <v xml:space="preserve"> </v>
      </c>
      <c r="L1425" s="563" t="str">
        <f>IF(G1425&lt;&gt;0,VLOOKUP(G1425,'gia dat'!$A$1:$F$144,6,0)," ")</f>
        <v xml:space="preserve"> </v>
      </c>
      <c r="M1425" s="564" t="str">
        <f t="shared" si="309"/>
        <v xml:space="preserve"> </v>
      </c>
      <c r="N1425" s="564" t="str">
        <f t="shared" si="310"/>
        <v xml:space="preserve"> </v>
      </c>
      <c r="O1425" s="558"/>
      <c r="P1425" s="590"/>
      <c r="Q1425" s="564" t="str">
        <f>IF(O1425&lt;&gt;0,VLOOKUP(O1425,'Cây trong'!$A$2:$C$246,3,0)," ")</f>
        <v xml:space="preserve"> </v>
      </c>
      <c r="R1425" s="564" t="str">
        <f t="shared" si="302"/>
        <v xml:space="preserve"> </v>
      </c>
      <c r="S1425" s="566"/>
      <c r="T1425" s="589"/>
      <c r="U1425" s="591"/>
      <c r="V1425" s="593"/>
      <c r="W1425" s="564" t="str">
        <f>IF(S1425&lt;&gt;0,VLOOKUP(S1425,VKT!$A$2:$G$415,7,0),"")</f>
        <v/>
      </c>
      <c r="X1425" s="564" t="str">
        <f t="shared" si="308"/>
        <v xml:space="preserve"> </v>
      </c>
      <c r="Y1425" s="562"/>
      <c r="Z1425" s="568"/>
      <c r="AA1425" s="568"/>
      <c r="AB1425" s="568"/>
      <c r="AC1425" s="568"/>
      <c r="AD1425" s="568"/>
      <c r="AE1425" s="568"/>
      <c r="AF1425" s="563"/>
      <c r="AG1425" s="570" t="str">
        <f>IF(AE1425&lt;&gt;0,VLOOKUP(AE1425,ODDS!$A$2:$C$13,3,0),"")</f>
        <v/>
      </c>
      <c r="AH1425" s="570" t="str">
        <f t="shared" si="303"/>
        <v xml:space="preserve"> </v>
      </c>
      <c r="AI1425" s="571" t="str">
        <f t="shared" si="313"/>
        <v xml:space="preserve"> </v>
      </c>
      <c r="AJ1425" s="558"/>
      <c r="AK1425" s="558"/>
    </row>
    <row r="1426" spans="1:37" s="385" customFormat="1" ht="20.25" outlineLevel="2" x14ac:dyDescent="0.3">
      <c r="A1426" s="447">
        <f t="shared" si="312"/>
        <v>112</v>
      </c>
      <c r="B1426" s="557"/>
      <c r="C1426" s="558"/>
      <c r="D1426" s="615"/>
      <c r="E1426" s="615"/>
      <c r="F1426" s="700"/>
      <c r="G1426" s="558"/>
      <c r="H1426" s="604"/>
      <c r="I1426" s="546"/>
      <c r="J1426" s="589"/>
      <c r="K1426" s="563" t="str">
        <f>IF(G1426&lt;&gt;0,VLOOKUP(G1426,'gia dat'!$A$1:$F$144,5,0)," ")</f>
        <v xml:space="preserve"> </v>
      </c>
      <c r="L1426" s="563" t="str">
        <f>IF(G1426&lt;&gt;0,VLOOKUP(G1426,'gia dat'!$A$1:$F$144,6,0)," ")</f>
        <v xml:space="preserve"> </v>
      </c>
      <c r="M1426" s="564" t="str">
        <f t="shared" si="309"/>
        <v xml:space="preserve"> </v>
      </c>
      <c r="N1426" s="564" t="str">
        <f t="shared" si="310"/>
        <v xml:space="preserve"> </v>
      </c>
      <c r="O1426" s="558"/>
      <c r="P1426" s="590"/>
      <c r="Q1426" s="564" t="str">
        <f>IF(O1426&lt;&gt;0,VLOOKUP(O1426,'Cây trong'!$A$2:$C$246,3,0)," ")</f>
        <v xml:space="preserve"> </v>
      </c>
      <c r="R1426" s="564" t="str">
        <f t="shared" si="302"/>
        <v xml:space="preserve"> </v>
      </c>
      <c r="S1426" s="566"/>
      <c r="T1426" s="589"/>
      <c r="U1426" s="591"/>
      <c r="V1426" s="593"/>
      <c r="W1426" s="564" t="str">
        <f>IF(S1426&lt;&gt;0,VLOOKUP(S1426,VKT!$A$2:$G$415,7,0),"")</f>
        <v/>
      </c>
      <c r="X1426" s="564" t="str">
        <f t="shared" si="308"/>
        <v xml:space="preserve"> </v>
      </c>
      <c r="Y1426" s="562"/>
      <c r="Z1426" s="568"/>
      <c r="AA1426" s="568"/>
      <c r="AB1426" s="568"/>
      <c r="AC1426" s="568"/>
      <c r="AD1426" s="568"/>
      <c r="AE1426" s="568"/>
      <c r="AF1426" s="563"/>
      <c r="AG1426" s="570" t="str">
        <f>IF(AE1426&lt;&gt;0,VLOOKUP(AE1426,ODDS!$A$2:$C$13,3,0),"")</f>
        <v/>
      </c>
      <c r="AH1426" s="570" t="str">
        <f t="shared" si="303"/>
        <v xml:space="preserve"> </v>
      </c>
      <c r="AI1426" s="571" t="str">
        <f t="shared" si="313"/>
        <v xml:space="preserve"> </v>
      </c>
      <c r="AJ1426" s="558"/>
      <c r="AK1426" s="558"/>
    </row>
    <row r="1427" spans="1:37" s="385" customFormat="1" ht="20.25" outlineLevel="2" x14ac:dyDescent="0.3">
      <c r="A1427" s="447">
        <f t="shared" si="312"/>
        <v>112</v>
      </c>
      <c r="B1427" s="557"/>
      <c r="C1427" s="574"/>
      <c r="D1427" s="615"/>
      <c r="E1427" s="615"/>
      <c r="F1427" s="700"/>
      <c r="G1427" s="558"/>
      <c r="H1427" s="604"/>
      <c r="I1427" s="546"/>
      <c r="J1427" s="589"/>
      <c r="K1427" s="563" t="str">
        <f>IF(G1427&lt;&gt;0,VLOOKUP(G1427,'gia dat'!$A$1:$F$144,5,0)," ")</f>
        <v xml:space="preserve"> </v>
      </c>
      <c r="L1427" s="563" t="str">
        <f>IF(G1427&lt;&gt;0,VLOOKUP(G1427,'gia dat'!$A$1:$F$144,6,0)," ")</f>
        <v xml:space="preserve"> </v>
      </c>
      <c r="M1427" s="564" t="str">
        <f t="shared" si="309"/>
        <v xml:space="preserve"> </v>
      </c>
      <c r="N1427" s="564" t="str">
        <f t="shared" si="310"/>
        <v xml:space="preserve"> </v>
      </c>
      <c r="O1427" s="558"/>
      <c r="P1427" s="590"/>
      <c r="Q1427" s="564" t="str">
        <f>IF(O1427&lt;&gt;0,VLOOKUP(O1427,'Cây trong'!$A$2:$C$246,3,0)," ")</f>
        <v xml:space="preserve"> </v>
      </c>
      <c r="R1427" s="564" t="str">
        <f t="shared" si="302"/>
        <v xml:space="preserve"> </v>
      </c>
      <c r="S1427" s="566"/>
      <c r="T1427" s="589"/>
      <c r="U1427" s="591"/>
      <c r="V1427" s="593"/>
      <c r="W1427" s="564" t="str">
        <f>IF(S1427&lt;&gt;0,VLOOKUP(S1427,VKT!$A$2:$G$415,7,0),"")</f>
        <v/>
      </c>
      <c r="X1427" s="564" t="str">
        <f t="shared" si="308"/>
        <v xml:space="preserve"> </v>
      </c>
      <c r="Y1427" s="562"/>
      <c r="Z1427" s="568"/>
      <c r="AA1427" s="568"/>
      <c r="AB1427" s="568"/>
      <c r="AC1427" s="568"/>
      <c r="AD1427" s="568"/>
      <c r="AE1427" s="568"/>
      <c r="AF1427" s="563"/>
      <c r="AG1427" s="570" t="str">
        <f>IF(AE1427&lt;&gt;0,VLOOKUP(AE1427,ODDS!$A$2:$C$13,3,0),"")</f>
        <v/>
      </c>
      <c r="AH1427" s="570" t="str">
        <f t="shared" si="303"/>
        <v xml:space="preserve"> </v>
      </c>
      <c r="AI1427" s="571" t="str">
        <f t="shared" si="313"/>
        <v xml:space="preserve"> </v>
      </c>
      <c r="AJ1427" s="593"/>
      <c r="AK1427" s="593"/>
    </row>
    <row r="1428" spans="1:37" s="385" customFormat="1" ht="40.5" outlineLevel="1" x14ac:dyDescent="0.25">
      <c r="A1428" s="467" t="s">
        <v>2597</v>
      </c>
      <c r="B1428" s="576">
        <v>113</v>
      </c>
      <c r="C1428" s="574" t="s">
        <v>1033</v>
      </c>
      <c r="D1428" s="705"/>
      <c r="E1428" s="705"/>
      <c r="F1428" s="706"/>
      <c r="G1428" s="574"/>
      <c r="H1428" s="596">
        <f>SUBTOTAL(9,H1429:H1451)</f>
        <v>1500</v>
      </c>
      <c r="I1428" s="579">
        <f>SUBTOTAL(9,I1429:I1434)</f>
        <v>1169.0999999999999</v>
      </c>
      <c r="J1428" s="597"/>
      <c r="K1428" s="581"/>
      <c r="L1428" s="581"/>
      <c r="M1428" s="571">
        <f>SUBTOTAL(9,M1429:M1451)</f>
        <v>698400000</v>
      </c>
      <c r="N1428" s="571">
        <f>SUBTOTAL(9,N1429:N1451)</f>
        <v>1632999000</v>
      </c>
      <c r="O1428" s="578"/>
      <c r="P1428" s="599">
        <f>SUBTOTAL(9,P1429:P1451)</f>
        <v>59</v>
      </c>
      <c r="Q1428" s="571"/>
      <c r="R1428" s="571">
        <f>SUBTOTAL(9,R1429:R1451)</f>
        <v>16224000</v>
      </c>
      <c r="S1428" s="582"/>
      <c r="T1428" s="597"/>
      <c r="U1428" s="600">
        <f>SUBTOTAL(9,U1429:U1451)</f>
        <v>264.61</v>
      </c>
      <c r="V1428" s="608"/>
      <c r="W1428" s="571"/>
      <c r="X1428" s="571">
        <f>SUBTOTAL(9,X1429:X1451)</f>
        <v>453381000</v>
      </c>
      <c r="Y1428" s="562"/>
      <c r="Z1428" s="568"/>
      <c r="AA1428" s="568"/>
      <c r="AB1428" s="568"/>
      <c r="AC1428" s="568"/>
      <c r="AD1428" s="568"/>
      <c r="AE1428" s="602"/>
      <c r="AF1428" s="581">
        <f>SUBTOTAL(9,AF1429:AF1451)</f>
        <v>0</v>
      </c>
      <c r="AG1428" s="585"/>
      <c r="AH1428" s="585">
        <f>SUBTOTAL(9,AH1429:AH1451)</f>
        <v>0</v>
      </c>
      <c r="AI1428" s="571">
        <f t="shared" si="313"/>
        <v>2801004000</v>
      </c>
      <c r="AJ1428" s="574"/>
      <c r="AK1428" s="578"/>
    </row>
    <row r="1429" spans="1:37" s="385" customFormat="1" ht="121.5" outlineLevel="2" x14ac:dyDescent="0.3">
      <c r="A1429" s="447">
        <f>IF(B1428&lt;&gt;0,B1428,A1427)</f>
        <v>113</v>
      </c>
      <c r="B1429" s="557"/>
      <c r="C1429" s="558" t="s">
        <v>1035</v>
      </c>
      <c r="D1429" s="615">
        <v>3</v>
      </c>
      <c r="E1429" s="615">
        <v>86</v>
      </c>
      <c r="F1429" s="700">
        <v>711</v>
      </c>
      <c r="G1429" s="558" t="s">
        <v>2435</v>
      </c>
      <c r="H1429" s="604">
        <f>500-H1432</f>
        <v>371.7</v>
      </c>
      <c r="I1429" s="546">
        <f t="shared" ref="I1429:I1434" si="314">IF(N1429&gt;0,H1429,"")</f>
        <v>371.7</v>
      </c>
      <c r="J1429" s="589"/>
      <c r="K1429" s="563">
        <f>IF(G1429&lt;&gt;0,VLOOKUP(G1429,'gia dat'!$A$1:$F$144,5,0)," ")</f>
        <v>465600</v>
      </c>
      <c r="L1429" s="563">
        <f>IF(G1429&lt;&gt;0,VLOOKUP(G1429,'gia dat'!$A$1:$F$144,6,0)," ")</f>
        <v>1396800</v>
      </c>
      <c r="M1429" s="564">
        <f t="shared" si="309"/>
        <v>173064000</v>
      </c>
      <c r="N1429" s="564">
        <f t="shared" si="310"/>
        <v>519191000</v>
      </c>
      <c r="O1429" s="586" t="s">
        <v>783</v>
      </c>
      <c r="P1429" s="590">
        <v>3</v>
      </c>
      <c r="Q1429" s="564">
        <f>IF(O1429&lt;&gt;0,VLOOKUP(O1429,'Cây trong'!$A$2:$C$246,3,0)," ")</f>
        <v>60000</v>
      </c>
      <c r="R1429" s="564">
        <f t="shared" si="302"/>
        <v>180000</v>
      </c>
      <c r="S1429" s="566" t="s">
        <v>1802</v>
      </c>
      <c r="T1429" s="589" t="s">
        <v>2804</v>
      </c>
      <c r="U1429" s="591">
        <v>106.3</v>
      </c>
      <c r="V1429" s="593"/>
      <c r="W1429" s="564">
        <f>IF(S1429&lt;&gt;0,VLOOKUP(S1429,VKT!$A$2:$G$415,7,0),"")</f>
        <v>3156089</v>
      </c>
      <c r="X1429" s="564">
        <f t="shared" si="308"/>
        <v>335492000</v>
      </c>
      <c r="Y1429" s="562" t="s">
        <v>139</v>
      </c>
      <c r="Z1429" s="568" t="s">
        <v>980</v>
      </c>
      <c r="AA1429" s="568" t="s">
        <v>1012</v>
      </c>
      <c r="AB1429" s="568" t="s">
        <v>269</v>
      </c>
      <c r="AC1429" s="568" t="s">
        <v>139</v>
      </c>
      <c r="AD1429" s="568"/>
      <c r="AE1429" s="569"/>
      <c r="AF1429" s="563"/>
      <c r="AG1429" s="570" t="str">
        <f>IF(AE1429&lt;&gt;0,VLOOKUP(AE1429,ODDS!$A$2:$C$13,3,0),"")</f>
        <v/>
      </c>
      <c r="AH1429" s="570"/>
      <c r="AI1429" s="571" t="str">
        <f t="shared" si="313"/>
        <v xml:space="preserve"> </v>
      </c>
      <c r="AJ1429" s="558" t="s">
        <v>1034</v>
      </c>
      <c r="AK1429" s="586" t="s">
        <v>2771</v>
      </c>
    </row>
    <row r="1430" spans="1:37" s="385" customFormat="1" ht="81" outlineLevel="2" x14ac:dyDescent="0.3">
      <c r="A1430" s="447">
        <f t="shared" ref="A1430:A1451" si="315">IF(B1429&lt;&gt;0,B1429,A1429)</f>
        <v>113</v>
      </c>
      <c r="B1430" s="557"/>
      <c r="C1430" s="558" t="s">
        <v>1662</v>
      </c>
      <c r="D1430" s="615"/>
      <c r="E1430" s="615">
        <v>86</v>
      </c>
      <c r="F1430" s="700">
        <v>317</v>
      </c>
      <c r="G1430" s="558" t="s">
        <v>2435</v>
      </c>
      <c r="H1430" s="604">
        <f>500-H1433</f>
        <v>396.8</v>
      </c>
      <c r="I1430" s="546">
        <f t="shared" si="314"/>
        <v>396.8</v>
      </c>
      <c r="J1430" s="589"/>
      <c r="K1430" s="563">
        <f>IF(G1430&lt;&gt;0,VLOOKUP(G1430,'gia dat'!$A$1:$F$144,5,0)," ")</f>
        <v>465600</v>
      </c>
      <c r="L1430" s="563">
        <f>IF(G1430&lt;&gt;0,VLOOKUP(G1430,'gia dat'!$A$1:$F$144,6,0)," ")</f>
        <v>1396800</v>
      </c>
      <c r="M1430" s="564">
        <f t="shared" si="309"/>
        <v>184750000</v>
      </c>
      <c r="N1430" s="564">
        <f t="shared" si="310"/>
        <v>554250000</v>
      </c>
      <c r="O1430" s="558" t="s">
        <v>727</v>
      </c>
      <c r="P1430" s="590">
        <v>3</v>
      </c>
      <c r="Q1430" s="564">
        <f>IF(O1430&lt;&gt;0,VLOOKUP(O1430,'Cây trong'!$A$2:$C$246,3,0)," ")</f>
        <v>32000</v>
      </c>
      <c r="R1430" s="564">
        <f t="shared" si="302"/>
        <v>96000</v>
      </c>
      <c r="S1430" s="566" t="s">
        <v>1802</v>
      </c>
      <c r="T1430" s="589" t="s">
        <v>2804</v>
      </c>
      <c r="U1430" s="591">
        <v>27</v>
      </c>
      <c r="V1430" s="593"/>
      <c r="W1430" s="564">
        <f>IF(S1430&lt;&gt;0,VLOOKUP(S1430,VKT!$A$2:$G$415,7,0),"")</f>
        <v>3156089</v>
      </c>
      <c r="X1430" s="564">
        <f t="shared" si="308"/>
        <v>85214000</v>
      </c>
      <c r="Y1430" s="562" t="s">
        <v>139</v>
      </c>
      <c r="Z1430" s="568" t="s">
        <v>980</v>
      </c>
      <c r="AA1430" s="568" t="s">
        <v>1012</v>
      </c>
      <c r="AB1430" s="568" t="s">
        <v>269</v>
      </c>
      <c r="AC1430" s="568" t="s">
        <v>139</v>
      </c>
      <c r="AD1430" s="568"/>
      <c r="AE1430" s="568"/>
      <c r="AF1430" s="563"/>
      <c r="AG1430" s="570" t="str">
        <f>IF(AE1430&lt;&gt;0,VLOOKUP(AE1430,ODDS!$A$2:$C$13,3,0),"")</f>
        <v/>
      </c>
      <c r="AH1430" s="570" t="str">
        <f t="shared" si="303"/>
        <v xml:space="preserve"> </v>
      </c>
      <c r="AI1430" s="571" t="str">
        <f t="shared" si="313"/>
        <v xml:space="preserve"> </v>
      </c>
      <c r="AJ1430" s="558" t="s">
        <v>2836</v>
      </c>
      <c r="AK1430" s="558" t="s">
        <v>2448</v>
      </c>
    </row>
    <row r="1431" spans="1:37" s="385" customFormat="1" ht="121.5" outlineLevel="2" x14ac:dyDescent="0.3">
      <c r="A1431" s="447">
        <f t="shared" si="315"/>
        <v>113</v>
      </c>
      <c r="B1431" s="557"/>
      <c r="C1431" s="558"/>
      <c r="D1431" s="615"/>
      <c r="E1431" s="615">
        <v>86</v>
      </c>
      <c r="F1431" s="700">
        <v>276</v>
      </c>
      <c r="G1431" s="558" t="s">
        <v>2435</v>
      </c>
      <c r="H1431" s="604">
        <f>500-H1434</f>
        <v>400.6</v>
      </c>
      <c r="I1431" s="546">
        <f t="shared" si="314"/>
        <v>400.6</v>
      </c>
      <c r="J1431" s="589"/>
      <c r="K1431" s="563">
        <f>IF(G1431&lt;&gt;0,VLOOKUP(G1431,'gia dat'!$A$1:$F$144,5,0)," ")</f>
        <v>465600</v>
      </c>
      <c r="L1431" s="563">
        <f>IF(G1431&lt;&gt;0,VLOOKUP(G1431,'gia dat'!$A$1:$F$144,6,0)," ")</f>
        <v>1396800</v>
      </c>
      <c r="M1431" s="564">
        <f t="shared" si="309"/>
        <v>186519000</v>
      </c>
      <c r="N1431" s="564">
        <f t="shared" si="310"/>
        <v>559558000</v>
      </c>
      <c r="O1431" s="558" t="s">
        <v>1037</v>
      </c>
      <c r="P1431" s="590">
        <v>1</v>
      </c>
      <c r="Q1431" s="564">
        <f>IF(O1431&lt;&gt;0,VLOOKUP(O1431,'Cây trong'!$A$2:$C$246,3,0)," ")</f>
        <v>120000</v>
      </c>
      <c r="R1431" s="564">
        <f t="shared" si="302"/>
        <v>120000</v>
      </c>
      <c r="S1431" s="566" t="s">
        <v>1803</v>
      </c>
      <c r="T1431" s="589" t="s">
        <v>2804</v>
      </c>
      <c r="U1431" s="617">
        <v>2.16</v>
      </c>
      <c r="V1431" s="593"/>
      <c r="W1431" s="564">
        <f>IF(S1431&lt;&gt;0,VLOOKUP(S1431,VKT!$A$2:$G$415,7,0),"")</f>
        <v>2093161</v>
      </c>
      <c r="X1431" s="564">
        <f t="shared" si="308"/>
        <v>4521000</v>
      </c>
      <c r="Y1431" s="562" t="s">
        <v>139</v>
      </c>
      <c r="Z1431" s="568" t="s">
        <v>980</v>
      </c>
      <c r="AA1431" s="568" t="s">
        <v>1012</v>
      </c>
      <c r="AB1431" s="568" t="s">
        <v>269</v>
      </c>
      <c r="AC1431" s="568" t="s">
        <v>139</v>
      </c>
      <c r="AD1431" s="568"/>
      <c r="AE1431" s="568"/>
      <c r="AF1431" s="563"/>
      <c r="AG1431" s="570" t="str">
        <f>IF(AE1431&lt;&gt;0,VLOOKUP(AE1431,ODDS!$A$2:$C$13,3,0),"")</f>
        <v/>
      </c>
      <c r="AH1431" s="570" t="str">
        <f t="shared" si="303"/>
        <v xml:space="preserve"> </v>
      </c>
      <c r="AI1431" s="571" t="str">
        <f t="shared" si="313"/>
        <v xml:space="preserve"> </v>
      </c>
      <c r="AJ1431" s="684" t="s">
        <v>2783</v>
      </c>
      <c r="AK1431" s="558" t="s">
        <v>2450</v>
      </c>
    </row>
    <row r="1432" spans="1:37" s="385" customFormat="1" ht="101.25" outlineLevel="2" x14ac:dyDescent="0.3">
      <c r="A1432" s="447">
        <f t="shared" si="315"/>
        <v>113</v>
      </c>
      <c r="B1432" s="557"/>
      <c r="C1432" s="558"/>
      <c r="D1432" s="615"/>
      <c r="E1432" s="615">
        <v>86</v>
      </c>
      <c r="F1432" s="700">
        <v>711</v>
      </c>
      <c r="G1432" s="558" t="s">
        <v>2434</v>
      </c>
      <c r="H1432" s="604">
        <v>128.30000000000001</v>
      </c>
      <c r="I1432" s="546" t="str">
        <f t="shared" si="314"/>
        <v/>
      </c>
      <c r="J1432" s="589"/>
      <c r="K1432" s="563">
        <f>IF(G1432&lt;&gt;0,VLOOKUP(G1432,'gia dat'!$A$1:$F$144,5,0)," ")</f>
        <v>465600</v>
      </c>
      <c r="L1432" s="563">
        <f>IF(G1432&lt;&gt;0,VLOOKUP(G1432,'gia dat'!$A$1:$F$144,6,0)," ")</f>
        <v>0</v>
      </c>
      <c r="M1432" s="564">
        <f t="shared" si="309"/>
        <v>59736000</v>
      </c>
      <c r="N1432" s="564">
        <f t="shared" si="310"/>
        <v>0</v>
      </c>
      <c r="O1432" s="558" t="s">
        <v>145</v>
      </c>
      <c r="P1432" s="590">
        <v>1</v>
      </c>
      <c r="Q1432" s="564">
        <f>IF(O1432&lt;&gt;0,VLOOKUP(O1432,'Cây trong'!$A$2:$C$246,3,0)," ")</f>
        <v>4240000</v>
      </c>
      <c r="R1432" s="564">
        <f t="shared" si="302"/>
        <v>4240000</v>
      </c>
      <c r="S1432" s="566" t="s">
        <v>1803</v>
      </c>
      <c r="T1432" s="589" t="s">
        <v>2804</v>
      </c>
      <c r="U1432" s="617">
        <v>2.16</v>
      </c>
      <c r="V1432" s="593"/>
      <c r="W1432" s="564">
        <f>IF(S1432&lt;&gt;0,VLOOKUP(S1432,VKT!$A$2:$G$415,7,0),"")</f>
        <v>2093161</v>
      </c>
      <c r="X1432" s="564">
        <f t="shared" si="308"/>
        <v>4521000</v>
      </c>
      <c r="Y1432" s="562" t="s">
        <v>139</v>
      </c>
      <c r="Z1432" s="568" t="s">
        <v>980</v>
      </c>
      <c r="AA1432" s="568" t="s">
        <v>1012</v>
      </c>
      <c r="AB1432" s="568" t="s">
        <v>269</v>
      </c>
      <c r="AC1432" s="568" t="s">
        <v>139</v>
      </c>
      <c r="AD1432" s="568"/>
      <c r="AE1432" s="568"/>
      <c r="AF1432" s="563"/>
      <c r="AG1432" s="570" t="str">
        <f>IF(AE1432&lt;&gt;0,VLOOKUP(AE1432,ODDS!$A$2:$C$13,3,0),"")</f>
        <v/>
      </c>
      <c r="AH1432" s="570" t="str">
        <f t="shared" si="303"/>
        <v xml:space="preserve"> </v>
      </c>
      <c r="AI1432" s="571" t="str">
        <f t="shared" si="313"/>
        <v xml:space="preserve"> </v>
      </c>
      <c r="AJ1432" s="558" t="s">
        <v>2837</v>
      </c>
      <c r="AK1432" s="558" t="s">
        <v>2449</v>
      </c>
    </row>
    <row r="1433" spans="1:37" s="385" customFormat="1" ht="101.25" outlineLevel="2" x14ac:dyDescent="0.3">
      <c r="A1433" s="447">
        <f t="shared" si="315"/>
        <v>113</v>
      </c>
      <c r="B1433" s="557"/>
      <c r="C1433" s="558"/>
      <c r="D1433" s="615"/>
      <c r="E1433" s="615">
        <v>86</v>
      </c>
      <c r="F1433" s="700">
        <v>317</v>
      </c>
      <c r="G1433" s="558" t="s">
        <v>2434</v>
      </c>
      <c r="H1433" s="604">
        <v>103.2</v>
      </c>
      <c r="I1433" s="546" t="str">
        <f t="shared" si="314"/>
        <v/>
      </c>
      <c r="J1433" s="589"/>
      <c r="K1433" s="563">
        <f>IF(G1433&lt;&gt;0,VLOOKUP(G1433,'gia dat'!$A$1:$F$144,5,0)," ")</f>
        <v>465600</v>
      </c>
      <c r="L1433" s="563">
        <f>IF(G1433&lt;&gt;0,VLOOKUP(G1433,'gia dat'!$A$1:$F$144,6,0)," ")</f>
        <v>0</v>
      </c>
      <c r="M1433" s="564">
        <f t="shared" si="309"/>
        <v>48050000</v>
      </c>
      <c r="N1433" s="564">
        <f t="shared" si="310"/>
        <v>0</v>
      </c>
      <c r="O1433" s="558" t="s">
        <v>77</v>
      </c>
      <c r="P1433" s="590">
        <v>1</v>
      </c>
      <c r="Q1433" s="564">
        <f>IF(O1433&lt;&gt;0,VLOOKUP(O1433,'Cây trong'!$A$2:$C$246,3,0)," ")</f>
        <v>3064000</v>
      </c>
      <c r="R1433" s="564">
        <f t="shared" si="302"/>
        <v>3064000</v>
      </c>
      <c r="S1433" s="566" t="s">
        <v>1803</v>
      </c>
      <c r="T1433" s="589" t="s">
        <v>2804</v>
      </c>
      <c r="U1433" s="617">
        <v>2.16</v>
      </c>
      <c r="V1433" s="593"/>
      <c r="W1433" s="564">
        <f>IF(S1433&lt;&gt;0,VLOOKUP(S1433,VKT!$A$2:$G$415,7,0),"")</f>
        <v>2093161</v>
      </c>
      <c r="X1433" s="564">
        <f t="shared" si="308"/>
        <v>4521000</v>
      </c>
      <c r="Y1433" s="562" t="s">
        <v>139</v>
      </c>
      <c r="Z1433" s="568" t="s">
        <v>980</v>
      </c>
      <c r="AA1433" s="568" t="s">
        <v>1012</v>
      </c>
      <c r="AB1433" s="568" t="s">
        <v>269</v>
      </c>
      <c r="AC1433" s="568" t="s">
        <v>139</v>
      </c>
      <c r="AD1433" s="568"/>
      <c r="AE1433" s="568"/>
      <c r="AF1433" s="563"/>
      <c r="AG1433" s="570" t="str">
        <f>IF(AE1433&lt;&gt;0,VLOOKUP(AE1433,ODDS!$A$2:$C$13,3,0),"")</f>
        <v/>
      </c>
      <c r="AH1433" s="570" t="str">
        <f t="shared" si="303"/>
        <v xml:space="preserve"> </v>
      </c>
      <c r="AI1433" s="571" t="str">
        <f t="shared" si="313"/>
        <v xml:space="preserve"> </v>
      </c>
      <c r="AJ1433" s="558" t="s">
        <v>1040</v>
      </c>
      <c r="AK1433" s="558" t="s">
        <v>2800</v>
      </c>
    </row>
    <row r="1434" spans="1:37" s="385" customFormat="1" ht="60.75" outlineLevel="2" x14ac:dyDescent="0.3">
      <c r="A1434" s="447">
        <f t="shared" si="315"/>
        <v>113</v>
      </c>
      <c r="B1434" s="557"/>
      <c r="C1434" s="558"/>
      <c r="D1434" s="615"/>
      <c r="E1434" s="615">
        <v>86</v>
      </c>
      <c r="F1434" s="700">
        <v>276</v>
      </c>
      <c r="G1434" s="558" t="s">
        <v>2434</v>
      </c>
      <c r="H1434" s="604">
        <v>99.4</v>
      </c>
      <c r="I1434" s="546" t="str">
        <f t="shared" si="314"/>
        <v/>
      </c>
      <c r="J1434" s="589"/>
      <c r="K1434" s="563">
        <f>IF(G1434&lt;&gt;0,VLOOKUP(G1434,'gia dat'!$A$1:$F$144,5,0)," ")</f>
        <v>465600</v>
      </c>
      <c r="L1434" s="563">
        <f>IF(G1434&lt;&gt;0,VLOOKUP(G1434,'gia dat'!$A$1:$F$144,6,0)," ")</f>
        <v>0</v>
      </c>
      <c r="M1434" s="564">
        <f t="shared" si="309"/>
        <v>46281000</v>
      </c>
      <c r="N1434" s="564">
        <f t="shared" si="310"/>
        <v>0</v>
      </c>
      <c r="O1434" s="586" t="s">
        <v>400</v>
      </c>
      <c r="P1434" s="590">
        <v>23</v>
      </c>
      <c r="Q1434" s="564">
        <f>IF(O1434&lt;&gt;0,VLOOKUP(O1434,'Cây trong'!$A$2:$C$246,3,0)," ")</f>
        <v>228000</v>
      </c>
      <c r="R1434" s="564">
        <f t="shared" ref="R1434:R1502" si="316">IF(O1434&lt;&gt;0,ROUND(P1434*Q1434,-2)," ")</f>
        <v>5244000</v>
      </c>
      <c r="S1434" s="566" t="s">
        <v>1803</v>
      </c>
      <c r="T1434" s="589" t="s">
        <v>2804</v>
      </c>
      <c r="U1434" s="617">
        <v>2.16</v>
      </c>
      <c r="V1434" s="593"/>
      <c r="W1434" s="564">
        <f>IF(S1434&lt;&gt;0,VLOOKUP(S1434,VKT!$A$2:$G$415,7,0),"")</f>
        <v>2093161</v>
      </c>
      <c r="X1434" s="564">
        <f t="shared" si="308"/>
        <v>4521000</v>
      </c>
      <c r="Y1434" s="562" t="s">
        <v>139</v>
      </c>
      <c r="Z1434" s="568" t="s">
        <v>980</v>
      </c>
      <c r="AA1434" s="568" t="s">
        <v>1012</v>
      </c>
      <c r="AB1434" s="568" t="s">
        <v>269</v>
      </c>
      <c r="AC1434" s="568" t="s">
        <v>139</v>
      </c>
      <c r="AD1434" s="568"/>
      <c r="AE1434" s="568"/>
      <c r="AF1434" s="563"/>
      <c r="AG1434" s="570" t="str">
        <f>IF(AE1434&lt;&gt;0,VLOOKUP(AE1434,ODDS!$A$2:$C$13,3,0),"")</f>
        <v/>
      </c>
      <c r="AH1434" s="570" t="str">
        <f t="shared" ref="AH1434:AH1500" si="317">IF(AE1434&lt;&gt;0,ROUND(AF1434*AG1434,-2)," ")</f>
        <v xml:space="preserve"> </v>
      </c>
      <c r="AI1434" s="571" t="str">
        <f t="shared" si="313"/>
        <v xml:space="preserve"> </v>
      </c>
      <c r="AJ1434" s="558" t="s">
        <v>2838</v>
      </c>
      <c r="AK1434" s="558"/>
    </row>
    <row r="1435" spans="1:37" s="385" customFormat="1" ht="60.75" outlineLevel="2" x14ac:dyDescent="0.3">
      <c r="A1435" s="447">
        <f t="shared" si="315"/>
        <v>113</v>
      </c>
      <c r="B1435" s="557"/>
      <c r="C1435" s="558"/>
      <c r="D1435" s="615"/>
      <c r="E1435" s="615"/>
      <c r="F1435" s="700"/>
      <c r="G1435" s="558"/>
      <c r="H1435" s="604"/>
      <c r="I1435" s="546"/>
      <c r="J1435" s="589"/>
      <c r="K1435" s="563" t="str">
        <f>IF(G1435&lt;&gt;0,VLOOKUP(G1435,'gia dat'!$A$1:$F$144,5,0)," ")</f>
        <v xml:space="preserve"> </v>
      </c>
      <c r="L1435" s="563" t="str">
        <f>IF(G1435&lt;&gt;0,VLOOKUP(G1435,'gia dat'!$A$1:$F$144,6,0)," ")</f>
        <v xml:space="preserve"> </v>
      </c>
      <c r="M1435" s="564" t="str">
        <f t="shared" si="309"/>
        <v xml:space="preserve"> </v>
      </c>
      <c r="N1435" s="564" t="str">
        <f t="shared" si="310"/>
        <v xml:space="preserve"> </v>
      </c>
      <c r="O1435" s="586" t="s">
        <v>401</v>
      </c>
      <c r="P1435" s="590">
        <v>10</v>
      </c>
      <c r="Q1435" s="564">
        <f>IF(O1435&lt;&gt;0,VLOOKUP(O1435,'Cây trong'!$A$2:$C$246,3,0)," ")</f>
        <v>80000</v>
      </c>
      <c r="R1435" s="564">
        <f t="shared" si="316"/>
        <v>800000</v>
      </c>
      <c r="S1435" s="566" t="s">
        <v>1803</v>
      </c>
      <c r="T1435" s="589" t="s">
        <v>2804</v>
      </c>
      <c r="U1435" s="617">
        <v>2.16</v>
      </c>
      <c r="V1435" s="593"/>
      <c r="W1435" s="564">
        <f>IF(S1435&lt;&gt;0,VLOOKUP(S1435,VKT!$A$2:$G$415,7,0),"")</f>
        <v>2093161</v>
      </c>
      <c r="X1435" s="564">
        <f t="shared" si="308"/>
        <v>4521000</v>
      </c>
      <c r="Y1435" s="562" t="s">
        <v>139</v>
      </c>
      <c r="Z1435" s="568" t="s">
        <v>980</v>
      </c>
      <c r="AA1435" s="568" t="s">
        <v>1012</v>
      </c>
      <c r="AB1435" s="568" t="s">
        <v>269</v>
      </c>
      <c r="AC1435" s="568" t="s">
        <v>139</v>
      </c>
      <c r="AD1435" s="568"/>
      <c r="AE1435" s="568"/>
      <c r="AF1435" s="563"/>
      <c r="AG1435" s="570" t="str">
        <f>IF(AE1435&lt;&gt;0,VLOOKUP(AE1435,ODDS!$A$2:$C$13,3,0),"")</f>
        <v/>
      </c>
      <c r="AH1435" s="570" t="str">
        <f t="shared" si="317"/>
        <v xml:space="preserve"> </v>
      </c>
      <c r="AI1435" s="571" t="str">
        <f t="shared" si="313"/>
        <v xml:space="preserve"> </v>
      </c>
      <c r="AJ1435" s="558" t="s">
        <v>169</v>
      </c>
      <c r="AK1435" s="558"/>
    </row>
    <row r="1436" spans="1:37" s="385" customFormat="1" ht="60.75" outlineLevel="2" x14ac:dyDescent="0.3">
      <c r="A1436" s="447">
        <f t="shared" si="315"/>
        <v>113</v>
      </c>
      <c r="B1436" s="557"/>
      <c r="C1436" s="558"/>
      <c r="D1436" s="615"/>
      <c r="E1436" s="615"/>
      <c r="F1436" s="700"/>
      <c r="G1436" s="558"/>
      <c r="H1436" s="604"/>
      <c r="I1436" s="546"/>
      <c r="J1436" s="589"/>
      <c r="K1436" s="563" t="str">
        <f>IF(G1436&lt;&gt;0,VLOOKUP(G1436,'gia dat'!$A$1:$F$144,5,0)," ")</f>
        <v xml:space="preserve"> </v>
      </c>
      <c r="L1436" s="563" t="str">
        <f>IF(G1436&lt;&gt;0,VLOOKUP(G1436,'gia dat'!$A$1:$F$144,6,0)," ")</f>
        <v xml:space="preserve"> </v>
      </c>
      <c r="M1436" s="564" t="str">
        <f t="shared" si="309"/>
        <v xml:space="preserve"> </v>
      </c>
      <c r="N1436" s="564" t="str">
        <f t="shared" si="310"/>
        <v xml:space="preserve"> </v>
      </c>
      <c r="O1436" s="586" t="s">
        <v>401</v>
      </c>
      <c r="P1436" s="590">
        <v>16</v>
      </c>
      <c r="Q1436" s="564">
        <f>IF(O1436&lt;&gt;0,VLOOKUP(O1436,'Cây trong'!$A$2:$C$246,3,0)," ")</f>
        <v>80000</v>
      </c>
      <c r="R1436" s="564">
        <f t="shared" si="316"/>
        <v>1280000</v>
      </c>
      <c r="S1436" s="566" t="s">
        <v>1803</v>
      </c>
      <c r="T1436" s="589" t="s">
        <v>2804</v>
      </c>
      <c r="U1436" s="617">
        <v>2.16</v>
      </c>
      <c r="V1436" s="593"/>
      <c r="W1436" s="564">
        <f>IF(S1436&lt;&gt;0,VLOOKUP(S1436,VKT!$A$2:$G$415,7,0),"")</f>
        <v>2093161</v>
      </c>
      <c r="X1436" s="564">
        <f t="shared" si="308"/>
        <v>4521000</v>
      </c>
      <c r="Y1436" s="562" t="s">
        <v>139</v>
      </c>
      <c r="Z1436" s="568" t="s">
        <v>980</v>
      </c>
      <c r="AA1436" s="568" t="s">
        <v>1012</v>
      </c>
      <c r="AB1436" s="568" t="s">
        <v>269</v>
      </c>
      <c r="AC1436" s="568" t="s">
        <v>139</v>
      </c>
      <c r="AD1436" s="568"/>
      <c r="AE1436" s="568"/>
      <c r="AF1436" s="563"/>
      <c r="AG1436" s="570" t="str">
        <f>IF(AE1436&lt;&gt;0,VLOOKUP(AE1436,ODDS!$A$2:$C$13,3,0),"")</f>
        <v/>
      </c>
      <c r="AH1436" s="570" t="str">
        <f t="shared" si="317"/>
        <v xml:space="preserve"> </v>
      </c>
      <c r="AI1436" s="571" t="str">
        <f t="shared" si="313"/>
        <v xml:space="preserve"> </v>
      </c>
      <c r="AJ1436" s="558" t="s">
        <v>2075</v>
      </c>
      <c r="AK1436" s="593"/>
    </row>
    <row r="1437" spans="1:37" s="385" customFormat="1" ht="40.5" outlineLevel="2" x14ac:dyDescent="0.3">
      <c r="A1437" s="447">
        <f t="shared" si="315"/>
        <v>113</v>
      </c>
      <c r="B1437" s="557"/>
      <c r="C1437" s="558"/>
      <c r="D1437" s="615"/>
      <c r="E1437" s="615"/>
      <c r="F1437" s="700"/>
      <c r="G1437" s="558"/>
      <c r="H1437" s="604"/>
      <c r="I1437" s="546"/>
      <c r="J1437" s="589"/>
      <c r="K1437" s="563" t="str">
        <f>IF(G1437&lt;&gt;0,VLOOKUP(G1437,'gia dat'!$A$1:$F$144,5,0)," ")</f>
        <v xml:space="preserve"> </v>
      </c>
      <c r="L1437" s="563" t="str">
        <f>IF(G1437&lt;&gt;0,VLOOKUP(G1437,'gia dat'!$A$1:$F$144,6,0)," ")</f>
        <v xml:space="preserve"> </v>
      </c>
      <c r="M1437" s="564" t="str">
        <f t="shared" si="309"/>
        <v xml:space="preserve"> </v>
      </c>
      <c r="N1437" s="564" t="str">
        <f t="shared" si="310"/>
        <v xml:space="preserve"> </v>
      </c>
      <c r="O1437" s="558" t="s">
        <v>1042</v>
      </c>
      <c r="P1437" s="590">
        <v>1</v>
      </c>
      <c r="Q1437" s="564">
        <f>IF(O1437&lt;&gt;0,VLOOKUP(O1437,'Cây trong'!$A$2:$C$246,3,0)," ")</f>
        <v>1200000</v>
      </c>
      <c r="R1437" s="564">
        <f t="shared" si="316"/>
        <v>1200000</v>
      </c>
      <c r="S1437" s="566" t="s">
        <v>1804</v>
      </c>
      <c r="T1437" s="589" t="s">
        <v>2827</v>
      </c>
      <c r="U1437" s="591">
        <v>0.18</v>
      </c>
      <c r="V1437" s="593"/>
      <c r="W1437" s="564">
        <f>IF(S1437&lt;&gt;0,VLOOKUP(S1437,VKT!$A$2:$G$415,7,0),"")</f>
        <v>0</v>
      </c>
      <c r="X1437" s="564">
        <f t="shared" si="308"/>
        <v>0</v>
      </c>
      <c r="Y1437" s="562"/>
      <c r="Z1437" s="568"/>
      <c r="AA1437" s="568"/>
      <c r="AB1437" s="568"/>
      <c r="AC1437" s="568"/>
      <c r="AD1437" s="568"/>
      <c r="AE1437" s="568"/>
      <c r="AF1437" s="563"/>
      <c r="AG1437" s="570" t="str">
        <f>IF(AE1437&lt;&gt;0,VLOOKUP(AE1437,ODDS!$A$2:$C$13,3,0),"")</f>
        <v/>
      </c>
      <c r="AH1437" s="570" t="str">
        <f t="shared" si="317"/>
        <v xml:space="preserve"> </v>
      </c>
      <c r="AI1437" s="571" t="str">
        <f t="shared" si="313"/>
        <v xml:space="preserve"> </v>
      </c>
      <c r="AJ1437" s="704"/>
      <c r="AK1437" s="558"/>
    </row>
    <row r="1438" spans="1:37" s="385" customFormat="1" ht="60.75" outlineLevel="2" x14ac:dyDescent="0.3">
      <c r="A1438" s="447">
        <f t="shared" si="315"/>
        <v>113</v>
      </c>
      <c r="B1438" s="557"/>
      <c r="C1438" s="558"/>
      <c r="D1438" s="615"/>
      <c r="E1438" s="615"/>
      <c r="F1438" s="700"/>
      <c r="G1438" s="558"/>
      <c r="H1438" s="604"/>
      <c r="I1438" s="546"/>
      <c r="J1438" s="589"/>
      <c r="K1438" s="563" t="str">
        <f>IF(G1438&lt;&gt;0,VLOOKUP(G1438,'gia dat'!$A$1:$F$144,5,0)," ")</f>
        <v xml:space="preserve"> </v>
      </c>
      <c r="L1438" s="563" t="str">
        <f>IF(G1438&lt;&gt;0,VLOOKUP(G1438,'gia dat'!$A$1:$F$144,6,0)," ")</f>
        <v xml:space="preserve"> </v>
      </c>
      <c r="M1438" s="564" t="str">
        <f t="shared" si="309"/>
        <v xml:space="preserve"> </v>
      </c>
      <c r="N1438" s="564" t="str">
        <f t="shared" si="310"/>
        <v xml:space="preserve"> </v>
      </c>
      <c r="O1438" s="558"/>
      <c r="P1438" s="590"/>
      <c r="Q1438" s="564" t="str">
        <f>IF(O1438&lt;&gt;0,VLOOKUP(O1438,'Cây trong'!$A$2:$C$246,3,0)," ")</f>
        <v xml:space="preserve"> </v>
      </c>
      <c r="R1438" s="564" t="str">
        <f t="shared" si="316"/>
        <v xml:space="preserve"> </v>
      </c>
      <c r="S1438" s="566" t="s">
        <v>1805</v>
      </c>
      <c r="T1438" s="589" t="s">
        <v>2804</v>
      </c>
      <c r="U1438" s="591">
        <v>5.04</v>
      </c>
      <c r="V1438" s="593"/>
      <c r="W1438" s="564">
        <f>IF(S1438&lt;&gt;0,VLOOKUP(S1438,VKT!$A$2:$G$415,7,0),"")</f>
        <v>642264</v>
      </c>
      <c r="X1438" s="564">
        <f t="shared" si="308"/>
        <v>3237000</v>
      </c>
      <c r="Y1438" s="562"/>
      <c r="Z1438" s="568"/>
      <c r="AA1438" s="568"/>
      <c r="AB1438" s="568"/>
      <c r="AC1438" s="568"/>
      <c r="AD1438" s="568"/>
      <c r="AE1438" s="568"/>
      <c r="AF1438" s="563"/>
      <c r="AG1438" s="570" t="str">
        <f>IF(AE1438&lt;&gt;0,VLOOKUP(AE1438,ODDS!$A$2:$C$13,3,0),"")</f>
        <v/>
      </c>
      <c r="AH1438" s="570" t="str">
        <f t="shared" si="317"/>
        <v xml:space="preserve"> </v>
      </c>
      <c r="AI1438" s="571" t="str">
        <f t="shared" si="313"/>
        <v xml:space="preserve"> </v>
      </c>
      <c r="AJ1438" s="704"/>
      <c r="AK1438" s="558"/>
    </row>
    <row r="1439" spans="1:37" s="392" customFormat="1" ht="60.75" outlineLevel="2" x14ac:dyDescent="0.3">
      <c r="A1439" s="447">
        <f t="shared" si="315"/>
        <v>113</v>
      </c>
      <c r="B1439" s="557"/>
      <c r="C1439" s="558"/>
      <c r="D1439" s="615"/>
      <c r="E1439" s="615"/>
      <c r="F1439" s="700"/>
      <c r="G1439" s="558"/>
      <c r="H1439" s="604"/>
      <c r="I1439" s="546"/>
      <c r="J1439" s="589"/>
      <c r="K1439" s="563" t="str">
        <f>IF(G1439&lt;&gt;0,VLOOKUP(G1439,'gia dat'!$A$1:$F$144,5,0)," ")</f>
        <v xml:space="preserve"> </v>
      </c>
      <c r="L1439" s="563" t="str">
        <f>IF(G1439&lt;&gt;0,VLOOKUP(G1439,'gia dat'!$A$1:$F$144,6,0)," ")</f>
        <v xml:space="preserve"> </v>
      </c>
      <c r="M1439" s="564" t="str">
        <f t="shared" si="309"/>
        <v xml:space="preserve"> </v>
      </c>
      <c r="N1439" s="564" t="str">
        <f t="shared" si="310"/>
        <v xml:space="preserve"> </v>
      </c>
      <c r="O1439" s="558"/>
      <c r="P1439" s="590"/>
      <c r="Q1439" s="564" t="str">
        <f>IF(O1439&lt;&gt;0,VLOOKUP(O1439,'Cây trong'!$A$2:$C$246,3,0)," ")</f>
        <v xml:space="preserve"> </v>
      </c>
      <c r="R1439" s="564" t="str">
        <f t="shared" si="316"/>
        <v xml:space="preserve"> </v>
      </c>
      <c r="S1439" s="566" t="s">
        <v>2407</v>
      </c>
      <c r="T1439" s="589" t="s">
        <v>2804</v>
      </c>
      <c r="U1439" s="591">
        <v>86.4</v>
      </c>
      <c r="V1439" s="593"/>
      <c r="W1439" s="564">
        <f>IF(S1439&lt;&gt;0,VLOOKUP(S1439,VKT!$A$2:$G$415,7,0),"")</f>
        <v>0</v>
      </c>
      <c r="X1439" s="564">
        <f t="shared" si="308"/>
        <v>0</v>
      </c>
      <c r="Y1439" s="562"/>
      <c r="Z1439" s="568"/>
      <c r="AA1439" s="568"/>
      <c r="AB1439" s="568"/>
      <c r="AC1439" s="568"/>
      <c r="AD1439" s="568"/>
      <c r="AE1439" s="568"/>
      <c r="AF1439" s="563"/>
      <c r="AG1439" s="570" t="str">
        <f>IF(AE1439&lt;&gt;0,VLOOKUP(AE1439,ODDS!$A$2:$C$13,3,0),"")</f>
        <v/>
      </c>
      <c r="AH1439" s="570" t="str">
        <f t="shared" si="317"/>
        <v xml:space="preserve"> </v>
      </c>
      <c r="AI1439" s="571" t="str">
        <f t="shared" si="313"/>
        <v xml:space="preserve"> </v>
      </c>
      <c r="AJ1439" s="704"/>
      <c r="AK1439" s="558"/>
    </row>
    <row r="1440" spans="1:37" s="385" customFormat="1" ht="101.25" outlineLevel="2" x14ac:dyDescent="0.3">
      <c r="A1440" s="447">
        <f t="shared" si="315"/>
        <v>113</v>
      </c>
      <c r="B1440" s="557"/>
      <c r="C1440" s="558"/>
      <c r="D1440" s="615"/>
      <c r="E1440" s="615"/>
      <c r="F1440" s="700"/>
      <c r="G1440" s="558"/>
      <c r="H1440" s="604"/>
      <c r="I1440" s="546"/>
      <c r="J1440" s="589"/>
      <c r="K1440" s="563" t="str">
        <f>IF(G1440&lt;&gt;0,VLOOKUP(G1440,'gia dat'!$A$1:$F$144,5,0)," ")</f>
        <v xml:space="preserve"> </v>
      </c>
      <c r="L1440" s="563" t="str">
        <f>IF(G1440&lt;&gt;0,VLOOKUP(G1440,'gia dat'!$A$1:$F$144,6,0)," ")</f>
        <v xml:space="preserve"> </v>
      </c>
      <c r="M1440" s="564" t="str">
        <f t="shared" si="309"/>
        <v xml:space="preserve"> </v>
      </c>
      <c r="N1440" s="564" t="str">
        <f t="shared" si="310"/>
        <v xml:space="preserve"> </v>
      </c>
      <c r="O1440" s="558"/>
      <c r="P1440" s="590"/>
      <c r="Q1440" s="564" t="str">
        <f>IF(O1440&lt;&gt;0,VLOOKUP(O1440,'Cây trong'!$A$2:$C$246,3,0)," ")</f>
        <v xml:space="preserve"> </v>
      </c>
      <c r="R1440" s="564" t="str">
        <f t="shared" si="316"/>
        <v xml:space="preserve"> </v>
      </c>
      <c r="S1440" s="566" t="s">
        <v>2408</v>
      </c>
      <c r="T1440" s="589" t="s">
        <v>2804</v>
      </c>
      <c r="U1440" s="591">
        <v>2.6</v>
      </c>
      <c r="V1440" s="593"/>
      <c r="W1440" s="564">
        <f>IF(S1440&lt;&gt;0,VLOOKUP(S1440,VKT!$A$2:$G$415,7,0),"")</f>
        <v>0</v>
      </c>
      <c r="X1440" s="564">
        <f t="shared" si="308"/>
        <v>0</v>
      </c>
      <c r="Y1440" s="562"/>
      <c r="Z1440" s="568"/>
      <c r="AA1440" s="568"/>
      <c r="AB1440" s="568"/>
      <c r="AC1440" s="568"/>
      <c r="AD1440" s="568"/>
      <c r="AE1440" s="568"/>
      <c r="AF1440" s="563"/>
      <c r="AG1440" s="570" t="str">
        <f>IF(AE1440&lt;&gt;0,VLOOKUP(AE1440,ODDS!$A$2:$C$13,3,0),"")</f>
        <v/>
      </c>
      <c r="AH1440" s="570" t="str">
        <f t="shared" si="317"/>
        <v xml:space="preserve"> </v>
      </c>
      <c r="AI1440" s="571" t="str">
        <f t="shared" si="313"/>
        <v xml:space="preserve"> </v>
      </c>
      <c r="AJ1440" s="558"/>
      <c r="AK1440" s="558"/>
    </row>
    <row r="1441" spans="1:39" s="385" customFormat="1" ht="101.25" outlineLevel="2" x14ac:dyDescent="0.3">
      <c r="A1441" s="447">
        <f t="shared" si="315"/>
        <v>113</v>
      </c>
      <c r="B1441" s="557"/>
      <c r="C1441" s="558"/>
      <c r="D1441" s="615"/>
      <c r="E1441" s="615"/>
      <c r="F1441" s="700"/>
      <c r="G1441" s="558"/>
      <c r="H1441" s="604"/>
      <c r="I1441" s="546"/>
      <c r="J1441" s="589"/>
      <c r="K1441" s="563" t="str">
        <f>IF(G1441&lt;&gt;0,VLOOKUP(G1441,'gia dat'!$A$1:$F$144,5,0)," ")</f>
        <v xml:space="preserve"> </v>
      </c>
      <c r="L1441" s="563" t="str">
        <f>IF(G1441&lt;&gt;0,VLOOKUP(G1441,'gia dat'!$A$1:$F$144,6,0)," ")</f>
        <v xml:space="preserve"> </v>
      </c>
      <c r="M1441" s="564" t="str">
        <f t="shared" si="309"/>
        <v xml:space="preserve"> </v>
      </c>
      <c r="N1441" s="564" t="str">
        <f t="shared" si="310"/>
        <v xml:space="preserve"> </v>
      </c>
      <c r="O1441" s="558"/>
      <c r="P1441" s="590"/>
      <c r="Q1441" s="564" t="str">
        <f>IF(O1441&lt;&gt;0,VLOOKUP(O1441,'Cây trong'!$A$2:$C$246,3,0)," ")</f>
        <v xml:space="preserve"> </v>
      </c>
      <c r="R1441" s="564" t="str">
        <f t="shared" si="316"/>
        <v xml:space="preserve"> </v>
      </c>
      <c r="S1441" s="566" t="s">
        <v>2408</v>
      </c>
      <c r="T1441" s="589" t="s">
        <v>2804</v>
      </c>
      <c r="U1441" s="591">
        <v>3.6</v>
      </c>
      <c r="V1441" s="593"/>
      <c r="W1441" s="564">
        <f>IF(S1441&lt;&gt;0,VLOOKUP(S1441,VKT!$A$2:$G$415,7,0),"")</f>
        <v>0</v>
      </c>
      <c r="X1441" s="564">
        <f t="shared" si="308"/>
        <v>0</v>
      </c>
      <c r="Y1441" s="562"/>
      <c r="Z1441" s="568"/>
      <c r="AA1441" s="568"/>
      <c r="AB1441" s="568"/>
      <c r="AC1441" s="568"/>
      <c r="AD1441" s="568"/>
      <c r="AE1441" s="568"/>
      <c r="AF1441" s="563"/>
      <c r="AG1441" s="570" t="str">
        <f>IF(AE1441&lt;&gt;0,VLOOKUP(AE1441,ODDS!$A$2:$C$13,3,0),"")</f>
        <v/>
      </c>
      <c r="AH1441" s="570" t="str">
        <f t="shared" si="317"/>
        <v xml:space="preserve"> </v>
      </c>
      <c r="AI1441" s="571" t="str">
        <f t="shared" si="313"/>
        <v xml:space="preserve"> </v>
      </c>
      <c r="AJ1441" s="558"/>
      <c r="AK1441" s="558"/>
    </row>
    <row r="1442" spans="1:39" s="385" customFormat="1" ht="101.25" outlineLevel="2" x14ac:dyDescent="0.3">
      <c r="A1442" s="447">
        <f t="shared" si="315"/>
        <v>113</v>
      </c>
      <c r="B1442" s="557"/>
      <c r="C1442" s="558"/>
      <c r="D1442" s="615"/>
      <c r="E1442" s="615"/>
      <c r="F1442" s="700"/>
      <c r="G1442" s="558"/>
      <c r="H1442" s="604"/>
      <c r="I1442" s="546"/>
      <c r="J1442" s="589"/>
      <c r="K1442" s="563" t="str">
        <f>IF(G1442&lt;&gt;0,VLOOKUP(G1442,'gia dat'!$A$1:$F$144,5,0)," ")</f>
        <v xml:space="preserve"> </v>
      </c>
      <c r="L1442" s="563" t="str">
        <f>IF(G1442&lt;&gt;0,VLOOKUP(G1442,'gia dat'!$A$1:$F$144,6,0)," ")</f>
        <v xml:space="preserve"> </v>
      </c>
      <c r="M1442" s="564" t="str">
        <f t="shared" si="309"/>
        <v xml:space="preserve"> </v>
      </c>
      <c r="N1442" s="564" t="str">
        <f t="shared" si="310"/>
        <v xml:space="preserve"> </v>
      </c>
      <c r="O1442" s="558"/>
      <c r="P1442" s="590"/>
      <c r="Q1442" s="564" t="str">
        <f>IF(O1442&lt;&gt;0,VLOOKUP(O1442,'Cây trong'!$A$2:$C$246,3,0)," ")</f>
        <v xml:space="preserve"> </v>
      </c>
      <c r="R1442" s="564" t="str">
        <f t="shared" si="316"/>
        <v xml:space="preserve"> </v>
      </c>
      <c r="S1442" s="566" t="s">
        <v>2408</v>
      </c>
      <c r="T1442" s="589" t="s">
        <v>2804</v>
      </c>
      <c r="U1442" s="591">
        <v>4.5999999999999996</v>
      </c>
      <c r="V1442" s="593"/>
      <c r="W1442" s="564">
        <f>IF(S1442&lt;&gt;0,VLOOKUP(S1442,VKT!$A$2:$G$415,7,0),"")</f>
        <v>0</v>
      </c>
      <c r="X1442" s="564">
        <f t="shared" si="308"/>
        <v>0</v>
      </c>
      <c r="Y1442" s="562"/>
      <c r="Z1442" s="568"/>
      <c r="AA1442" s="568"/>
      <c r="AB1442" s="568"/>
      <c r="AC1442" s="568"/>
      <c r="AD1442" s="568"/>
      <c r="AE1442" s="568"/>
      <c r="AF1442" s="563"/>
      <c r="AG1442" s="570" t="str">
        <f>IF(AE1442&lt;&gt;0,VLOOKUP(AE1442,ODDS!$A$2:$C$13,3,0),"")</f>
        <v/>
      </c>
      <c r="AH1442" s="570" t="str">
        <f t="shared" si="317"/>
        <v xml:space="preserve"> </v>
      </c>
      <c r="AI1442" s="571" t="str">
        <f t="shared" si="313"/>
        <v xml:space="preserve"> </v>
      </c>
      <c r="AJ1442" s="558"/>
      <c r="AK1442" s="558"/>
    </row>
    <row r="1443" spans="1:39" s="385" customFormat="1" ht="101.25" outlineLevel="2" x14ac:dyDescent="0.3">
      <c r="A1443" s="447">
        <f t="shared" si="315"/>
        <v>113</v>
      </c>
      <c r="B1443" s="557"/>
      <c r="C1443" s="558"/>
      <c r="D1443" s="615"/>
      <c r="E1443" s="615"/>
      <c r="F1443" s="700"/>
      <c r="G1443" s="558"/>
      <c r="H1443" s="604"/>
      <c r="I1443" s="546"/>
      <c r="J1443" s="589"/>
      <c r="K1443" s="563" t="str">
        <f>IF(G1443&lt;&gt;0,VLOOKUP(G1443,'gia dat'!$A$1:$F$144,5,0)," ")</f>
        <v xml:space="preserve"> </v>
      </c>
      <c r="L1443" s="563" t="str">
        <f>IF(G1443&lt;&gt;0,VLOOKUP(G1443,'gia dat'!$A$1:$F$144,6,0)," ")</f>
        <v xml:space="preserve"> </v>
      </c>
      <c r="M1443" s="564" t="str">
        <f t="shared" si="309"/>
        <v xml:space="preserve"> </v>
      </c>
      <c r="N1443" s="564" t="str">
        <f t="shared" si="310"/>
        <v xml:space="preserve"> </v>
      </c>
      <c r="O1443" s="558"/>
      <c r="P1443" s="590"/>
      <c r="Q1443" s="564" t="str">
        <f>IF(O1443&lt;&gt;0,VLOOKUP(O1443,'Cây trong'!$A$2:$C$246,3,0)," ")</f>
        <v xml:space="preserve"> </v>
      </c>
      <c r="R1443" s="564" t="str">
        <f t="shared" si="316"/>
        <v xml:space="preserve"> </v>
      </c>
      <c r="S1443" s="566" t="s">
        <v>2408</v>
      </c>
      <c r="T1443" s="589" t="s">
        <v>2804</v>
      </c>
      <c r="U1443" s="591">
        <v>5.6</v>
      </c>
      <c r="V1443" s="593"/>
      <c r="W1443" s="564">
        <f>IF(S1443&lt;&gt;0,VLOOKUP(S1443,VKT!$A$2:$G$415,7,0),"")</f>
        <v>0</v>
      </c>
      <c r="X1443" s="564">
        <f t="shared" si="308"/>
        <v>0</v>
      </c>
      <c r="Y1443" s="562"/>
      <c r="Z1443" s="568"/>
      <c r="AA1443" s="568"/>
      <c r="AB1443" s="568"/>
      <c r="AC1443" s="568"/>
      <c r="AD1443" s="568"/>
      <c r="AE1443" s="568"/>
      <c r="AF1443" s="563"/>
      <c r="AG1443" s="570" t="str">
        <f>IF(AE1443&lt;&gt;0,VLOOKUP(AE1443,ODDS!$A$2:$C$13,3,0),"")</f>
        <v/>
      </c>
      <c r="AH1443" s="570" t="str">
        <f t="shared" si="317"/>
        <v xml:space="preserve"> </v>
      </c>
      <c r="AI1443" s="571" t="str">
        <f t="shared" si="313"/>
        <v xml:space="preserve"> </v>
      </c>
      <c r="AJ1443" s="558"/>
      <c r="AK1443" s="558"/>
    </row>
    <row r="1444" spans="1:39" s="385" customFormat="1" ht="101.25" outlineLevel="2" x14ac:dyDescent="0.3">
      <c r="A1444" s="447">
        <f t="shared" si="315"/>
        <v>113</v>
      </c>
      <c r="B1444" s="557"/>
      <c r="C1444" s="558"/>
      <c r="D1444" s="615"/>
      <c r="E1444" s="615"/>
      <c r="F1444" s="700"/>
      <c r="G1444" s="558"/>
      <c r="H1444" s="604"/>
      <c r="I1444" s="546"/>
      <c r="J1444" s="589"/>
      <c r="K1444" s="563" t="str">
        <f>IF(G1444&lt;&gt;0,VLOOKUP(G1444,'gia dat'!$A$1:$F$144,5,0)," ")</f>
        <v xml:space="preserve"> </v>
      </c>
      <c r="L1444" s="563" t="str">
        <f>IF(G1444&lt;&gt;0,VLOOKUP(G1444,'gia dat'!$A$1:$F$144,6,0)," ")</f>
        <v xml:space="preserve"> </v>
      </c>
      <c r="M1444" s="564" t="str">
        <f t="shared" si="309"/>
        <v xml:space="preserve"> </v>
      </c>
      <c r="N1444" s="564" t="str">
        <f t="shared" si="310"/>
        <v xml:space="preserve"> </v>
      </c>
      <c r="O1444" s="558"/>
      <c r="P1444" s="590"/>
      <c r="Q1444" s="564" t="str">
        <f>IF(O1444&lt;&gt;0,VLOOKUP(O1444,'Cây trong'!$A$2:$C$246,3,0)," ")</f>
        <v xml:space="preserve"> </v>
      </c>
      <c r="R1444" s="564" t="str">
        <f t="shared" si="316"/>
        <v xml:space="preserve"> </v>
      </c>
      <c r="S1444" s="566" t="s">
        <v>2408</v>
      </c>
      <c r="T1444" s="589" t="s">
        <v>2804</v>
      </c>
      <c r="U1444" s="591">
        <v>6.6</v>
      </c>
      <c r="V1444" s="593"/>
      <c r="W1444" s="564">
        <f>IF(S1444&lt;&gt;0,VLOOKUP(S1444,VKT!$A$2:$G$415,7,0),"")</f>
        <v>0</v>
      </c>
      <c r="X1444" s="564">
        <f t="shared" si="308"/>
        <v>0</v>
      </c>
      <c r="Y1444" s="562"/>
      <c r="Z1444" s="568"/>
      <c r="AA1444" s="568"/>
      <c r="AB1444" s="568"/>
      <c r="AC1444" s="568"/>
      <c r="AD1444" s="568"/>
      <c r="AE1444" s="568"/>
      <c r="AF1444" s="563"/>
      <c r="AG1444" s="570" t="str">
        <f>IF(AE1444&lt;&gt;0,VLOOKUP(AE1444,ODDS!$A$2:$C$13,3,0),"")</f>
        <v/>
      </c>
      <c r="AH1444" s="570" t="str">
        <f t="shared" si="317"/>
        <v xml:space="preserve"> </v>
      </c>
      <c r="AI1444" s="571" t="str">
        <f t="shared" si="313"/>
        <v xml:space="preserve"> </v>
      </c>
      <c r="AJ1444" s="558"/>
      <c r="AK1444" s="558"/>
    </row>
    <row r="1445" spans="1:39" s="385" customFormat="1" ht="60.75" outlineLevel="2" x14ac:dyDescent="0.3">
      <c r="A1445" s="447">
        <f t="shared" si="315"/>
        <v>113</v>
      </c>
      <c r="B1445" s="557"/>
      <c r="C1445" s="558"/>
      <c r="D1445" s="615"/>
      <c r="E1445" s="615"/>
      <c r="F1445" s="700"/>
      <c r="G1445" s="558"/>
      <c r="H1445" s="604"/>
      <c r="I1445" s="546"/>
      <c r="J1445" s="589"/>
      <c r="K1445" s="563" t="str">
        <f>IF(G1445&lt;&gt;0,VLOOKUP(G1445,'gia dat'!$A$1:$F$144,5,0)," ")</f>
        <v xml:space="preserve"> </v>
      </c>
      <c r="L1445" s="563" t="str">
        <f>IF(G1445&lt;&gt;0,VLOOKUP(G1445,'gia dat'!$A$1:$F$144,6,0)," ")</f>
        <v xml:space="preserve"> </v>
      </c>
      <c r="M1445" s="564" t="str">
        <f t="shared" si="309"/>
        <v xml:space="preserve"> </v>
      </c>
      <c r="N1445" s="564" t="str">
        <f t="shared" si="310"/>
        <v xml:space="preserve"> </v>
      </c>
      <c r="O1445" s="558"/>
      <c r="P1445" s="590"/>
      <c r="Q1445" s="564" t="str">
        <f>IF(O1445&lt;&gt;0,VLOOKUP(O1445,'Cây trong'!$A$2:$C$246,3,0)," ")</f>
        <v xml:space="preserve"> </v>
      </c>
      <c r="R1445" s="564" t="str">
        <f t="shared" si="316"/>
        <v xml:space="preserve"> </v>
      </c>
      <c r="S1445" s="566" t="s">
        <v>1805</v>
      </c>
      <c r="T1445" s="589" t="s">
        <v>2804</v>
      </c>
      <c r="U1445" s="591">
        <v>3.6</v>
      </c>
      <c r="V1445" s="593"/>
      <c r="W1445" s="564">
        <f>IF(S1445&lt;&gt;0,VLOOKUP(S1445,VKT!$A$2:$G$415,7,0),"")</f>
        <v>642264</v>
      </c>
      <c r="X1445" s="564">
        <f t="shared" si="308"/>
        <v>2312000</v>
      </c>
      <c r="Y1445" s="562"/>
      <c r="Z1445" s="568"/>
      <c r="AA1445" s="568"/>
      <c r="AB1445" s="568"/>
      <c r="AC1445" s="568"/>
      <c r="AD1445" s="568"/>
      <c r="AE1445" s="568"/>
      <c r="AF1445" s="563"/>
      <c r="AG1445" s="570" t="str">
        <f>IF(AE1445&lt;&gt;0,VLOOKUP(AE1445,ODDS!$A$2:$C$13,3,0),"")</f>
        <v/>
      </c>
      <c r="AH1445" s="570" t="str">
        <f t="shared" si="317"/>
        <v xml:space="preserve"> </v>
      </c>
      <c r="AI1445" s="571" t="str">
        <f t="shared" si="313"/>
        <v xml:space="preserve"> </v>
      </c>
      <c r="AJ1445" s="558"/>
      <c r="AK1445" s="558"/>
    </row>
    <row r="1446" spans="1:39" s="385" customFormat="1" ht="40.5" outlineLevel="2" x14ac:dyDescent="0.3">
      <c r="A1446" s="447">
        <f t="shared" si="315"/>
        <v>113</v>
      </c>
      <c r="B1446" s="557"/>
      <c r="C1446" s="558"/>
      <c r="D1446" s="615"/>
      <c r="E1446" s="615"/>
      <c r="F1446" s="700"/>
      <c r="G1446" s="558"/>
      <c r="H1446" s="604"/>
      <c r="I1446" s="546"/>
      <c r="J1446" s="589"/>
      <c r="K1446" s="563" t="str">
        <f>IF(G1446&lt;&gt;0,VLOOKUP(G1446,'gia dat'!$A$1:$F$144,5,0)," ")</f>
        <v xml:space="preserve"> </v>
      </c>
      <c r="L1446" s="563" t="str">
        <f>IF(G1446&lt;&gt;0,VLOOKUP(G1446,'gia dat'!$A$1:$F$144,6,0)," ")</f>
        <v xml:space="preserve"> </v>
      </c>
      <c r="M1446" s="564" t="str">
        <f t="shared" si="309"/>
        <v xml:space="preserve"> </v>
      </c>
      <c r="N1446" s="564" t="str">
        <f t="shared" si="310"/>
        <v xml:space="preserve"> </v>
      </c>
      <c r="O1446" s="558"/>
      <c r="P1446" s="590"/>
      <c r="Q1446" s="564" t="str">
        <f>IF(O1446&lt;&gt;0,VLOOKUP(O1446,'Cây trong'!$A$2:$C$246,3,0)," ")</f>
        <v xml:space="preserve"> </v>
      </c>
      <c r="R1446" s="564" t="str">
        <f t="shared" si="316"/>
        <v xml:space="preserve"> </v>
      </c>
      <c r="S1446" s="566" t="s">
        <v>1804</v>
      </c>
      <c r="T1446" s="589" t="s">
        <v>2823</v>
      </c>
      <c r="U1446" s="591">
        <v>0.13</v>
      </c>
      <c r="V1446" s="593"/>
      <c r="W1446" s="564">
        <f>IF(S1446&lt;&gt;0,VLOOKUP(S1446,VKT!$A$2:$G$415,7,0),"")</f>
        <v>0</v>
      </c>
      <c r="X1446" s="564">
        <f t="shared" si="308"/>
        <v>0</v>
      </c>
      <c r="Y1446" s="562"/>
      <c r="Z1446" s="568"/>
      <c r="AA1446" s="568"/>
      <c r="AB1446" s="568"/>
      <c r="AC1446" s="568"/>
      <c r="AD1446" s="568"/>
      <c r="AE1446" s="568"/>
      <c r="AF1446" s="563"/>
      <c r="AG1446" s="570" t="str">
        <f>IF(AE1446&lt;&gt;0,VLOOKUP(AE1446,ODDS!$A$2:$C$13,3,0),"")</f>
        <v/>
      </c>
      <c r="AH1446" s="570" t="str">
        <f t="shared" si="317"/>
        <v xml:space="preserve"> </v>
      </c>
      <c r="AI1446" s="571" t="str">
        <f t="shared" si="313"/>
        <v xml:space="preserve"> </v>
      </c>
      <c r="AJ1446" s="558"/>
      <c r="AK1446" s="558"/>
    </row>
    <row r="1447" spans="1:39" s="385" customFormat="1" ht="20.25" outlineLevel="2" x14ac:dyDescent="0.3">
      <c r="A1447" s="447">
        <f t="shared" si="315"/>
        <v>113</v>
      </c>
      <c r="B1447" s="557"/>
      <c r="C1447" s="558"/>
      <c r="D1447" s="615"/>
      <c r="E1447" s="615"/>
      <c r="F1447" s="700"/>
      <c r="G1447" s="558"/>
      <c r="H1447" s="604"/>
      <c r="I1447" s="546"/>
      <c r="J1447" s="589"/>
      <c r="K1447" s="563" t="str">
        <f>IF(G1447&lt;&gt;0,VLOOKUP(G1447,'gia dat'!$A$1:$F$144,5,0)," ")</f>
        <v xml:space="preserve"> </v>
      </c>
      <c r="L1447" s="563" t="str">
        <f>IF(G1447&lt;&gt;0,VLOOKUP(G1447,'gia dat'!$A$1:$F$144,6,0)," ")</f>
        <v xml:space="preserve"> </v>
      </c>
      <c r="M1447" s="564" t="str">
        <f t="shared" si="309"/>
        <v xml:space="preserve"> </v>
      </c>
      <c r="N1447" s="564" t="str">
        <f t="shared" si="310"/>
        <v xml:space="preserve"> </v>
      </c>
      <c r="O1447" s="558"/>
      <c r="P1447" s="590"/>
      <c r="Q1447" s="564" t="str">
        <f>IF(O1447&lt;&gt;0,VLOOKUP(O1447,'Cây trong'!$A$2:$C$246,3,0)," ")</f>
        <v xml:space="preserve"> </v>
      </c>
      <c r="R1447" s="564" t="str">
        <f t="shared" si="316"/>
        <v xml:space="preserve"> </v>
      </c>
      <c r="S1447" s="566"/>
      <c r="T1447" s="589"/>
      <c r="U1447" s="591"/>
      <c r="V1447" s="593"/>
      <c r="W1447" s="564" t="str">
        <f>IF(S1447&lt;&gt;0,VLOOKUP(S1447,VKT!$A$2:$G$415,7,0),"")</f>
        <v/>
      </c>
      <c r="X1447" s="564" t="str">
        <f t="shared" si="308"/>
        <v xml:space="preserve"> </v>
      </c>
      <c r="Y1447" s="562"/>
      <c r="Z1447" s="568"/>
      <c r="AA1447" s="568"/>
      <c r="AB1447" s="568"/>
      <c r="AC1447" s="568"/>
      <c r="AD1447" s="568"/>
      <c r="AE1447" s="568"/>
      <c r="AF1447" s="563"/>
      <c r="AG1447" s="570" t="str">
        <f>IF(AE1447&lt;&gt;0,VLOOKUP(AE1447,ODDS!$A$2:$C$13,3,0),"")</f>
        <v/>
      </c>
      <c r="AH1447" s="570" t="str">
        <f t="shared" si="317"/>
        <v xml:space="preserve"> </v>
      </c>
      <c r="AI1447" s="571" t="str">
        <f t="shared" si="313"/>
        <v xml:space="preserve"> </v>
      </c>
      <c r="AJ1447" s="558"/>
      <c r="AK1447" s="558"/>
    </row>
    <row r="1448" spans="1:39" s="385" customFormat="1" ht="20.25" outlineLevel="2" x14ac:dyDescent="0.3">
      <c r="A1448" s="447">
        <f t="shared" si="315"/>
        <v>113</v>
      </c>
      <c r="B1448" s="557"/>
      <c r="C1448" s="558"/>
      <c r="D1448" s="615"/>
      <c r="E1448" s="615"/>
      <c r="F1448" s="700"/>
      <c r="G1448" s="558"/>
      <c r="H1448" s="604"/>
      <c r="I1448" s="546"/>
      <c r="J1448" s="589"/>
      <c r="K1448" s="563" t="str">
        <f>IF(G1448&lt;&gt;0,VLOOKUP(G1448,'gia dat'!$A$1:$F$144,5,0)," ")</f>
        <v xml:space="preserve"> </v>
      </c>
      <c r="L1448" s="563" t="str">
        <f>IF(G1448&lt;&gt;0,VLOOKUP(G1448,'gia dat'!$A$1:$F$144,6,0)," ")</f>
        <v xml:space="preserve"> </v>
      </c>
      <c r="M1448" s="564" t="str">
        <f t="shared" si="309"/>
        <v xml:space="preserve"> </v>
      </c>
      <c r="N1448" s="564" t="str">
        <f t="shared" si="310"/>
        <v xml:space="preserve"> </v>
      </c>
      <c r="O1448" s="558"/>
      <c r="P1448" s="590"/>
      <c r="Q1448" s="564" t="str">
        <f>IF(O1448&lt;&gt;0,VLOOKUP(O1448,'Cây trong'!$A$2:$C$246,3,0)," ")</f>
        <v xml:space="preserve"> </v>
      </c>
      <c r="R1448" s="564" t="str">
        <f t="shared" si="316"/>
        <v xml:space="preserve"> </v>
      </c>
      <c r="S1448" s="566"/>
      <c r="T1448" s="589"/>
      <c r="U1448" s="591"/>
      <c r="V1448" s="593"/>
      <c r="W1448" s="564" t="str">
        <f>IF(S1448&lt;&gt;0,VLOOKUP(S1448,VKT!$A$2:$G$415,7,0),"")</f>
        <v/>
      </c>
      <c r="X1448" s="564" t="str">
        <f t="shared" si="308"/>
        <v xml:space="preserve"> </v>
      </c>
      <c r="Y1448" s="562"/>
      <c r="Z1448" s="568"/>
      <c r="AA1448" s="568"/>
      <c r="AB1448" s="568"/>
      <c r="AC1448" s="568"/>
      <c r="AD1448" s="568"/>
      <c r="AE1448" s="568"/>
      <c r="AF1448" s="563"/>
      <c r="AG1448" s="570" t="str">
        <f>IF(AE1448&lt;&gt;0,VLOOKUP(AE1448,ODDS!$A$2:$C$13,3,0),"")</f>
        <v/>
      </c>
      <c r="AH1448" s="570" t="str">
        <f t="shared" si="317"/>
        <v xml:space="preserve"> </v>
      </c>
      <c r="AI1448" s="571" t="str">
        <f t="shared" si="313"/>
        <v xml:space="preserve"> </v>
      </c>
      <c r="AJ1448" s="558"/>
      <c r="AK1448" s="558"/>
    </row>
    <row r="1449" spans="1:39" s="385" customFormat="1" ht="20.25" outlineLevel="2" x14ac:dyDescent="0.3">
      <c r="A1449" s="447">
        <f t="shared" si="315"/>
        <v>113</v>
      </c>
      <c r="B1449" s="557"/>
      <c r="C1449" s="558"/>
      <c r="D1449" s="615"/>
      <c r="E1449" s="615"/>
      <c r="F1449" s="700"/>
      <c r="G1449" s="558"/>
      <c r="H1449" s="604"/>
      <c r="I1449" s="546"/>
      <c r="J1449" s="589"/>
      <c r="K1449" s="563" t="str">
        <f>IF(G1449&lt;&gt;0,VLOOKUP(G1449,'gia dat'!$A$1:$F$144,5,0)," ")</f>
        <v xml:space="preserve"> </v>
      </c>
      <c r="L1449" s="563" t="str">
        <f>IF(G1449&lt;&gt;0,VLOOKUP(G1449,'gia dat'!$A$1:$F$144,6,0)," ")</f>
        <v xml:space="preserve"> </v>
      </c>
      <c r="M1449" s="564" t="str">
        <f t="shared" si="309"/>
        <v xml:space="preserve"> </v>
      </c>
      <c r="N1449" s="564" t="str">
        <f t="shared" si="310"/>
        <v xml:space="preserve"> </v>
      </c>
      <c r="O1449" s="558"/>
      <c r="P1449" s="590"/>
      <c r="Q1449" s="564" t="str">
        <f>IF(O1449&lt;&gt;0,VLOOKUP(O1449,'Cây trong'!$A$2:$C$246,3,0)," ")</f>
        <v xml:space="preserve"> </v>
      </c>
      <c r="R1449" s="564" t="str">
        <f t="shared" si="316"/>
        <v xml:space="preserve"> </v>
      </c>
      <c r="S1449" s="566"/>
      <c r="T1449" s="589"/>
      <c r="U1449" s="591"/>
      <c r="V1449" s="593"/>
      <c r="W1449" s="564" t="str">
        <f>IF(S1449&lt;&gt;0,VLOOKUP(S1449,VKT!$A$2:$G$415,7,0),"")</f>
        <v/>
      </c>
      <c r="X1449" s="564" t="str">
        <f t="shared" si="308"/>
        <v xml:space="preserve"> </v>
      </c>
      <c r="Y1449" s="562"/>
      <c r="Z1449" s="568"/>
      <c r="AA1449" s="568"/>
      <c r="AB1449" s="568"/>
      <c r="AC1449" s="568"/>
      <c r="AD1449" s="568"/>
      <c r="AE1449" s="568"/>
      <c r="AF1449" s="563"/>
      <c r="AG1449" s="570" t="str">
        <f>IF(AE1449&lt;&gt;0,VLOOKUP(AE1449,ODDS!$A$2:$C$13,3,0),"")</f>
        <v/>
      </c>
      <c r="AH1449" s="570" t="str">
        <f t="shared" si="317"/>
        <v xml:space="preserve"> </v>
      </c>
      <c r="AI1449" s="571" t="str">
        <f t="shared" si="313"/>
        <v xml:space="preserve"> </v>
      </c>
      <c r="AJ1449" s="558"/>
      <c r="AK1449" s="558"/>
    </row>
    <row r="1450" spans="1:39" s="385" customFormat="1" ht="20.25" outlineLevel="2" x14ac:dyDescent="0.3">
      <c r="A1450" s="447">
        <f t="shared" si="315"/>
        <v>113</v>
      </c>
      <c r="B1450" s="557"/>
      <c r="C1450" s="558"/>
      <c r="D1450" s="615"/>
      <c r="E1450" s="615"/>
      <c r="F1450" s="700"/>
      <c r="G1450" s="558"/>
      <c r="H1450" s="604"/>
      <c r="I1450" s="546"/>
      <c r="J1450" s="589"/>
      <c r="K1450" s="563" t="str">
        <f>IF(G1450&lt;&gt;0,VLOOKUP(G1450,'gia dat'!$A$1:$F$144,5,0)," ")</f>
        <v xml:space="preserve"> </v>
      </c>
      <c r="L1450" s="563" t="str">
        <f>IF(G1450&lt;&gt;0,VLOOKUP(G1450,'gia dat'!$A$1:$F$144,6,0)," ")</f>
        <v xml:space="preserve"> </v>
      </c>
      <c r="M1450" s="564" t="str">
        <f t="shared" si="309"/>
        <v xml:space="preserve"> </v>
      </c>
      <c r="N1450" s="564" t="str">
        <f t="shared" si="310"/>
        <v xml:space="preserve"> </v>
      </c>
      <c r="O1450" s="558"/>
      <c r="P1450" s="590"/>
      <c r="Q1450" s="564" t="str">
        <f>IF(O1450&lt;&gt;0,VLOOKUP(O1450,'Cây trong'!$A$2:$C$246,3,0)," ")</f>
        <v xml:space="preserve"> </v>
      </c>
      <c r="R1450" s="564" t="str">
        <f t="shared" si="316"/>
        <v xml:space="preserve"> </v>
      </c>
      <c r="S1450" s="566"/>
      <c r="T1450" s="589"/>
      <c r="U1450" s="591"/>
      <c r="V1450" s="593"/>
      <c r="W1450" s="564" t="str">
        <f>IF(S1450&lt;&gt;0,VLOOKUP(S1450,VKT!$A$2:$G$415,7,0),"")</f>
        <v/>
      </c>
      <c r="X1450" s="564" t="str">
        <f t="shared" si="308"/>
        <v xml:space="preserve"> </v>
      </c>
      <c r="Y1450" s="562"/>
      <c r="Z1450" s="568"/>
      <c r="AA1450" s="568"/>
      <c r="AB1450" s="568"/>
      <c r="AC1450" s="568"/>
      <c r="AD1450" s="568"/>
      <c r="AE1450" s="568"/>
      <c r="AF1450" s="563"/>
      <c r="AG1450" s="570" t="str">
        <f>IF(AE1450&lt;&gt;0,VLOOKUP(AE1450,ODDS!$A$2:$C$13,3,0),"")</f>
        <v/>
      </c>
      <c r="AH1450" s="570" t="str">
        <f t="shared" si="317"/>
        <v xml:space="preserve"> </v>
      </c>
      <c r="AI1450" s="571" t="str">
        <f t="shared" si="313"/>
        <v xml:space="preserve"> </v>
      </c>
      <c r="AJ1450" s="558"/>
      <c r="AK1450" s="558"/>
    </row>
    <row r="1451" spans="1:39" s="385" customFormat="1" ht="20.25" outlineLevel="2" x14ac:dyDescent="0.3">
      <c r="A1451" s="447">
        <f t="shared" si="315"/>
        <v>113</v>
      </c>
      <c r="B1451" s="557"/>
      <c r="C1451" s="574"/>
      <c r="D1451" s="615"/>
      <c r="E1451" s="615"/>
      <c r="F1451" s="700"/>
      <c r="G1451" s="558"/>
      <c r="H1451" s="604"/>
      <c r="I1451" s="546"/>
      <c r="J1451" s="589"/>
      <c r="K1451" s="563" t="str">
        <f>IF(G1451&lt;&gt;0,VLOOKUP(G1451,'gia dat'!$A$1:$F$144,5,0)," ")</f>
        <v xml:space="preserve"> </v>
      </c>
      <c r="L1451" s="563" t="str">
        <f>IF(G1451&lt;&gt;0,VLOOKUP(G1451,'gia dat'!$A$1:$F$144,6,0)," ")</f>
        <v xml:space="preserve"> </v>
      </c>
      <c r="M1451" s="564" t="str">
        <f t="shared" si="309"/>
        <v xml:space="preserve"> </v>
      </c>
      <c r="N1451" s="564" t="str">
        <f t="shared" si="310"/>
        <v xml:space="preserve"> </v>
      </c>
      <c r="O1451" s="558"/>
      <c r="P1451" s="590"/>
      <c r="Q1451" s="564" t="str">
        <f>IF(O1451&lt;&gt;0,VLOOKUP(O1451,'Cây trong'!$A$2:$C$246,3,0)," ")</f>
        <v xml:space="preserve"> </v>
      </c>
      <c r="R1451" s="564" t="str">
        <f t="shared" si="316"/>
        <v xml:space="preserve"> </v>
      </c>
      <c r="S1451" s="558"/>
      <c r="T1451" s="558"/>
      <c r="U1451" s="686"/>
      <c r="V1451" s="558"/>
      <c r="W1451" s="564" t="str">
        <f>IF(S1451&lt;&gt;0,VLOOKUP(S1451,VKT!$A$2:$G$415,7,0),"")</f>
        <v/>
      </c>
      <c r="X1451" s="564" t="str">
        <f t="shared" si="308"/>
        <v xml:space="preserve"> </v>
      </c>
      <c r="Y1451" s="558"/>
      <c r="Z1451" s="558"/>
      <c r="AA1451" s="558"/>
      <c r="AB1451" s="558"/>
      <c r="AC1451" s="558"/>
      <c r="AD1451" s="568"/>
      <c r="AE1451" s="568"/>
      <c r="AF1451" s="563"/>
      <c r="AG1451" s="570" t="str">
        <f>IF(AE1451&lt;&gt;0,VLOOKUP(AE1451,ODDS!$A$2:$C$13,3,0),"")</f>
        <v/>
      </c>
      <c r="AH1451" s="570" t="str">
        <f t="shared" si="317"/>
        <v xml:space="preserve"> </v>
      </c>
      <c r="AI1451" s="571" t="str">
        <f t="shared" si="313"/>
        <v xml:space="preserve"> </v>
      </c>
      <c r="AJ1451" s="558"/>
      <c r="AK1451" s="558"/>
    </row>
    <row r="1452" spans="1:39" s="385" customFormat="1" ht="20.25" outlineLevel="1" x14ac:dyDescent="0.25">
      <c r="A1452" s="467" t="s">
        <v>2596</v>
      </c>
      <c r="B1452" s="576">
        <v>114</v>
      </c>
      <c r="C1452" s="574" t="s">
        <v>1043</v>
      </c>
      <c r="D1452" s="705"/>
      <c r="E1452" s="705"/>
      <c r="F1452" s="706"/>
      <c r="G1452" s="574"/>
      <c r="H1452" s="596">
        <f>SUBTOTAL(9,H1453:H1458)</f>
        <v>0</v>
      </c>
      <c r="I1452" s="579">
        <f>SUBTOTAL(9,I1453:I1458)</f>
        <v>0</v>
      </c>
      <c r="J1452" s="597"/>
      <c r="K1452" s="581"/>
      <c r="L1452" s="581"/>
      <c r="M1452" s="571">
        <f>SUBTOTAL(9,M1453:M1458)</f>
        <v>0</v>
      </c>
      <c r="N1452" s="571">
        <f>SUBTOTAL(9,N1453:N1458)</f>
        <v>0</v>
      </c>
      <c r="O1452" s="574"/>
      <c r="P1452" s="599">
        <f>SUBTOTAL(9,P1453:P1458)</f>
        <v>0</v>
      </c>
      <c r="Q1452" s="571"/>
      <c r="R1452" s="571">
        <f>SUBTOTAL(9,R1453:R1458)</f>
        <v>0</v>
      </c>
      <c r="S1452" s="582"/>
      <c r="T1452" s="597"/>
      <c r="U1452" s="600">
        <f>SUBTOTAL(9,U1453:U1458)</f>
        <v>25.06</v>
      </c>
      <c r="V1452" s="608"/>
      <c r="W1452" s="571"/>
      <c r="X1452" s="571">
        <f>SUBTOTAL(9,X1453:X1458)</f>
        <v>2002000</v>
      </c>
      <c r="Y1452" s="562"/>
      <c r="Z1452" s="568"/>
      <c r="AA1452" s="568"/>
      <c r="AB1452" s="568"/>
      <c r="AC1452" s="568"/>
      <c r="AD1452" s="568"/>
      <c r="AE1452" s="584"/>
      <c r="AF1452" s="581">
        <f>SUBTOTAL(9,AF1453:AF1458)</f>
        <v>0</v>
      </c>
      <c r="AG1452" s="585"/>
      <c r="AH1452" s="585">
        <f>SUBTOTAL(9,AH1453:AH1458)</f>
        <v>0</v>
      </c>
      <c r="AI1452" s="571">
        <f t="shared" si="313"/>
        <v>2002000</v>
      </c>
      <c r="AJ1452" s="574"/>
      <c r="AK1452" s="574"/>
      <c r="AM1452" s="473"/>
    </row>
    <row r="1453" spans="1:39" s="385" customFormat="1" ht="121.5" outlineLevel="2" x14ac:dyDescent="0.3">
      <c r="A1453" s="447">
        <f>IF(B1452&lt;&gt;0,B1452,A1451)</f>
        <v>114</v>
      </c>
      <c r="B1453" s="557"/>
      <c r="C1453" s="558" t="s">
        <v>1045</v>
      </c>
      <c r="D1453" s="615"/>
      <c r="E1453" s="615"/>
      <c r="F1453" s="700"/>
      <c r="G1453" s="558"/>
      <c r="H1453" s="604"/>
      <c r="I1453" s="546"/>
      <c r="J1453" s="589"/>
      <c r="K1453" s="563" t="str">
        <f>IF(G1453&lt;&gt;0,VLOOKUP(G1453,'gia dat'!$A$1:$F$144,5,0)," ")</f>
        <v xml:space="preserve"> </v>
      </c>
      <c r="L1453" s="563" t="str">
        <f>IF(G1453&lt;&gt;0,VLOOKUP(G1453,'gia dat'!$A$1:$F$144,6,0)," ")</f>
        <v xml:space="preserve"> </v>
      </c>
      <c r="M1453" s="564" t="str">
        <f t="shared" si="309"/>
        <v xml:space="preserve"> </v>
      </c>
      <c r="N1453" s="564" t="str">
        <f t="shared" si="310"/>
        <v xml:space="preserve"> </v>
      </c>
      <c r="O1453" s="558"/>
      <c r="P1453" s="590"/>
      <c r="Q1453" s="564" t="str">
        <f>IF(O1453&lt;&gt;0,VLOOKUP(O1453,'Cây trong'!$A$2:$C$246,3,0)," ")</f>
        <v xml:space="preserve"> </v>
      </c>
      <c r="R1453" s="564" t="str">
        <f t="shared" si="316"/>
        <v xml:space="preserve"> </v>
      </c>
      <c r="S1453" s="566" t="s">
        <v>1748</v>
      </c>
      <c r="T1453" s="589" t="s">
        <v>2804</v>
      </c>
      <c r="U1453" s="591">
        <v>9.4499999999999993</v>
      </c>
      <c r="V1453" s="593"/>
      <c r="W1453" s="564">
        <f>IF(S1453&lt;&gt;0,VLOOKUP(S1453,VKT!$A$2:$G$415,7,0),"")</f>
        <v>0</v>
      </c>
      <c r="X1453" s="564">
        <f t="shared" si="308"/>
        <v>0</v>
      </c>
      <c r="Y1453" s="562"/>
      <c r="Z1453" s="568"/>
      <c r="AA1453" s="568"/>
      <c r="AB1453" s="568"/>
      <c r="AC1453" s="568"/>
      <c r="AD1453" s="568"/>
      <c r="AE1453" s="568"/>
      <c r="AF1453" s="563"/>
      <c r="AG1453" s="570" t="str">
        <f>IF(AE1453&lt;&gt;0,VLOOKUP(AE1453,ODDS!$A$2:$C$13,3,0),"")</f>
        <v/>
      </c>
      <c r="AH1453" s="570" t="str">
        <f t="shared" si="317"/>
        <v xml:space="preserve"> </v>
      </c>
      <c r="AI1453" s="571" t="str">
        <f t="shared" si="313"/>
        <v xml:space="preserve"> </v>
      </c>
      <c r="AJ1453" s="558" t="s">
        <v>1044</v>
      </c>
      <c r="AK1453" s="558" t="s">
        <v>2450</v>
      </c>
      <c r="AM1453" s="378" t="s">
        <v>2157</v>
      </c>
    </row>
    <row r="1454" spans="1:39" s="385" customFormat="1" ht="101.25" outlineLevel="2" x14ac:dyDescent="0.3">
      <c r="A1454" s="447">
        <f>IF(B1453&lt;&gt;0,B1453,A1453)</f>
        <v>114</v>
      </c>
      <c r="B1454" s="557"/>
      <c r="C1454" s="558" t="s">
        <v>1661</v>
      </c>
      <c r="D1454" s="615"/>
      <c r="E1454" s="615"/>
      <c r="F1454" s="700"/>
      <c r="G1454" s="558"/>
      <c r="H1454" s="604"/>
      <c r="I1454" s="546"/>
      <c r="J1454" s="589"/>
      <c r="K1454" s="563" t="str">
        <f>IF(G1454&lt;&gt;0,VLOOKUP(G1454,'gia dat'!$A$1:$F$144,5,0)," ")</f>
        <v xml:space="preserve"> </v>
      </c>
      <c r="L1454" s="563" t="str">
        <f>IF(G1454&lt;&gt;0,VLOOKUP(G1454,'gia dat'!$A$1:$F$144,6,0)," ")</f>
        <v xml:space="preserve"> </v>
      </c>
      <c r="M1454" s="564" t="str">
        <f t="shared" si="309"/>
        <v xml:space="preserve"> </v>
      </c>
      <c r="N1454" s="564" t="str">
        <f t="shared" si="310"/>
        <v xml:space="preserve"> </v>
      </c>
      <c r="O1454" s="558"/>
      <c r="P1454" s="590"/>
      <c r="Q1454" s="564" t="str">
        <f>IF(O1454&lt;&gt;0,VLOOKUP(O1454,'Cây trong'!$A$2:$C$246,3,0)," ")</f>
        <v xml:space="preserve"> </v>
      </c>
      <c r="R1454" s="564" t="str">
        <f t="shared" si="316"/>
        <v xml:space="preserve"> </v>
      </c>
      <c r="S1454" s="566" t="s">
        <v>1749</v>
      </c>
      <c r="T1454" s="589" t="s">
        <v>2804</v>
      </c>
      <c r="U1454" s="591">
        <v>9.4499999999999993</v>
      </c>
      <c r="V1454" s="593"/>
      <c r="W1454" s="564">
        <f>IF(S1454&lt;&gt;0,VLOOKUP(S1454,VKT!$A$2:$G$415,7,0),"")</f>
        <v>211811</v>
      </c>
      <c r="X1454" s="564">
        <f t="shared" si="308"/>
        <v>2002000</v>
      </c>
      <c r="Y1454" s="562"/>
      <c r="Z1454" s="568"/>
      <c r="AA1454" s="568"/>
      <c r="AB1454" s="568"/>
      <c r="AC1454" s="568"/>
      <c r="AD1454" s="568"/>
      <c r="AE1454" s="568"/>
      <c r="AF1454" s="563"/>
      <c r="AG1454" s="570" t="str">
        <f>IF(AE1454&lt;&gt;0,VLOOKUP(AE1454,ODDS!$A$2:$C$13,3,0),"")</f>
        <v/>
      </c>
      <c r="AH1454" s="570" t="str">
        <f t="shared" si="317"/>
        <v xml:space="preserve"> </v>
      </c>
      <c r="AI1454" s="571" t="str">
        <f t="shared" si="313"/>
        <v xml:space="preserve"> </v>
      </c>
      <c r="AJ1454" s="704"/>
      <c r="AK1454" s="558" t="s">
        <v>2800</v>
      </c>
    </row>
    <row r="1455" spans="1:39" s="385" customFormat="1" ht="40.5" outlineLevel="2" x14ac:dyDescent="0.3">
      <c r="A1455" s="447">
        <f>IF(B1454&lt;&gt;0,B1454,A1454)</f>
        <v>114</v>
      </c>
      <c r="B1455" s="557"/>
      <c r="C1455" s="558"/>
      <c r="D1455" s="615"/>
      <c r="E1455" s="615"/>
      <c r="F1455" s="700"/>
      <c r="G1455" s="558"/>
      <c r="H1455" s="604"/>
      <c r="I1455" s="546"/>
      <c r="J1455" s="589"/>
      <c r="K1455" s="563" t="str">
        <f>IF(G1455&lt;&gt;0,VLOOKUP(G1455,'gia dat'!$A$1:$F$144,5,0)," ")</f>
        <v xml:space="preserve"> </v>
      </c>
      <c r="L1455" s="563" t="str">
        <f>IF(G1455&lt;&gt;0,VLOOKUP(G1455,'gia dat'!$A$1:$F$144,6,0)," ")</f>
        <v xml:space="preserve"> </v>
      </c>
      <c r="M1455" s="564" t="str">
        <f t="shared" si="309"/>
        <v xml:space="preserve"> </v>
      </c>
      <c r="N1455" s="564" t="str">
        <f t="shared" si="310"/>
        <v xml:space="preserve"> </v>
      </c>
      <c r="O1455" s="558"/>
      <c r="P1455" s="590"/>
      <c r="Q1455" s="564" t="str">
        <f>IF(O1455&lt;&gt;0,VLOOKUP(O1455,'Cây trong'!$A$2:$C$246,3,0)," ")</f>
        <v xml:space="preserve"> </v>
      </c>
      <c r="R1455" s="564" t="str">
        <f t="shared" si="316"/>
        <v xml:space="preserve"> </v>
      </c>
      <c r="S1455" s="566" t="s">
        <v>1812</v>
      </c>
      <c r="T1455" s="589" t="s">
        <v>2804</v>
      </c>
      <c r="U1455" s="617">
        <v>6.16</v>
      </c>
      <c r="V1455" s="593"/>
      <c r="W1455" s="564">
        <f>IF(S1455&lt;&gt;0,VLOOKUP(S1455,VKT!$A$2:$G$415,7,0),"")</f>
        <v>0</v>
      </c>
      <c r="X1455" s="564">
        <f t="shared" si="308"/>
        <v>0</v>
      </c>
      <c r="Y1455" s="562"/>
      <c r="Z1455" s="568"/>
      <c r="AA1455" s="568"/>
      <c r="AB1455" s="568"/>
      <c r="AC1455" s="568"/>
      <c r="AD1455" s="568"/>
      <c r="AE1455" s="568"/>
      <c r="AF1455" s="563"/>
      <c r="AG1455" s="570" t="str">
        <f>IF(AE1455&lt;&gt;0,VLOOKUP(AE1455,ODDS!$A$2:$C$13,3,0),"")</f>
        <v/>
      </c>
      <c r="AH1455" s="570" t="str">
        <f t="shared" si="317"/>
        <v xml:space="preserve"> </v>
      </c>
      <c r="AI1455" s="571" t="str">
        <f t="shared" si="313"/>
        <v xml:space="preserve"> </v>
      </c>
      <c r="AJ1455" s="558"/>
      <c r="AK1455" s="558"/>
    </row>
    <row r="1456" spans="1:39" s="385" customFormat="1" ht="20.25" outlineLevel="2" x14ac:dyDescent="0.3">
      <c r="A1456" s="447">
        <f>IF(B1455&lt;&gt;0,B1455,A1455)</f>
        <v>114</v>
      </c>
      <c r="B1456" s="557"/>
      <c r="C1456" s="558"/>
      <c r="D1456" s="615"/>
      <c r="E1456" s="615"/>
      <c r="F1456" s="700"/>
      <c r="G1456" s="558"/>
      <c r="H1456" s="604"/>
      <c r="I1456" s="546"/>
      <c r="J1456" s="589"/>
      <c r="K1456" s="563" t="str">
        <f>IF(G1456&lt;&gt;0,VLOOKUP(G1456,'gia dat'!$A$1:$F$144,5,0)," ")</f>
        <v xml:space="preserve"> </v>
      </c>
      <c r="L1456" s="563" t="str">
        <f>IF(G1456&lt;&gt;0,VLOOKUP(G1456,'gia dat'!$A$1:$F$144,6,0)," ")</f>
        <v xml:space="preserve"> </v>
      </c>
      <c r="M1456" s="564" t="str">
        <f t="shared" si="309"/>
        <v xml:space="preserve"> </v>
      </c>
      <c r="N1456" s="564" t="str">
        <f t="shared" si="310"/>
        <v xml:space="preserve"> </v>
      </c>
      <c r="O1456" s="558"/>
      <c r="P1456" s="590"/>
      <c r="Q1456" s="564" t="str">
        <f>IF(O1456&lt;&gt;0,VLOOKUP(O1456,'Cây trong'!$A$2:$C$246,3,0)," ")</f>
        <v xml:space="preserve"> </v>
      </c>
      <c r="R1456" s="564" t="str">
        <f t="shared" si="316"/>
        <v xml:space="preserve"> </v>
      </c>
      <c r="S1456" s="566"/>
      <c r="T1456" s="589"/>
      <c r="U1456" s="617"/>
      <c r="V1456" s="593"/>
      <c r="W1456" s="564" t="str">
        <f>IF(S1456&lt;&gt;0,VLOOKUP(S1456,VKT!$A$2:$G$415,7,0),"")</f>
        <v/>
      </c>
      <c r="X1456" s="564" t="str">
        <f t="shared" ref="X1456:X1526" si="318">IF(S1456&lt;&gt;0,ROUND(U1456*W1456,-3)," ")</f>
        <v xml:space="preserve"> </v>
      </c>
      <c r="Y1456" s="562"/>
      <c r="Z1456" s="568"/>
      <c r="AA1456" s="568"/>
      <c r="AB1456" s="568"/>
      <c r="AC1456" s="568"/>
      <c r="AD1456" s="568"/>
      <c r="AE1456" s="568"/>
      <c r="AF1456" s="563"/>
      <c r="AG1456" s="570" t="str">
        <f>IF(AE1456&lt;&gt;0,VLOOKUP(AE1456,ODDS!$A$2:$C$13,3,0),"")</f>
        <v/>
      </c>
      <c r="AH1456" s="570" t="str">
        <f t="shared" si="317"/>
        <v xml:space="preserve"> </v>
      </c>
      <c r="AI1456" s="571" t="str">
        <f t="shared" si="313"/>
        <v xml:space="preserve"> </v>
      </c>
      <c r="AJ1456" s="558"/>
      <c r="AK1456" s="558"/>
    </row>
    <row r="1457" spans="1:39" s="385" customFormat="1" ht="20.25" outlineLevel="2" x14ac:dyDescent="0.3">
      <c r="A1457" s="447">
        <f>IF(B1456&lt;&gt;0,B1456,A1456)</f>
        <v>114</v>
      </c>
      <c r="B1457" s="557"/>
      <c r="C1457" s="558"/>
      <c r="D1457" s="615"/>
      <c r="E1457" s="615"/>
      <c r="F1457" s="700"/>
      <c r="G1457" s="558"/>
      <c r="H1457" s="604"/>
      <c r="I1457" s="546"/>
      <c r="J1457" s="589"/>
      <c r="K1457" s="563" t="str">
        <f>IF(G1457&lt;&gt;0,VLOOKUP(G1457,'gia dat'!$A$1:$F$144,5,0)," ")</f>
        <v xml:space="preserve"> </v>
      </c>
      <c r="L1457" s="563" t="str">
        <f>IF(G1457&lt;&gt;0,VLOOKUP(G1457,'gia dat'!$A$1:$F$144,6,0)," ")</f>
        <v xml:space="preserve"> </v>
      </c>
      <c r="M1457" s="564" t="str">
        <f t="shared" si="309"/>
        <v xml:space="preserve"> </v>
      </c>
      <c r="N1457" s="564" t="str">
        <f t="shared" si="310"/>
        <v xml:space="preserve"> </v>
      </c>
      <c r="O1457" s="558"/>
      <c r="P1457" s="590"/>
      <c r="Q1457" s="564" t="str">
        <f>IF(O1457&lt;&gt;0,VLOOKUP(O1457,'Cây trong'!$A$2:$C$246,3,0)," ")</f>
        <v xml:space="preserve"> </v>
      </c>
      <c r="R1457" s="564" t="str">
        <f t="shared" si="316"/>
        <v xml:space="preserve"> </v>
      </c>
      <c r="S1457" s="566"/>
      <c r="T1457" s="589"/>
      <c r="U1457" s="617"/>
      <c r="V1457" s="593"/>
      <c r="W1457" s="564" t="str">
        <f>IF(S1457&lt;&gt;0,VLOOKUP(S1457,VKT!$A$2:$G$415,7,0),"")</f>
        <v/>
      </c>
      <c r="X1457" s="564" t="str">
        <f t="shared" si="318"/>
        <v xml:space="preserve"> </v>
      </c>
      <c r="Y1457" s="562"/>
      <c r="Z1457" s="568"/>
      <c r="AA1457" s="568"/>
      <c r="AB1457" s="568"/>
      <c r="AC1457" s="568"/>
      <c r="AD1457" s="568"/>
      <c r="AE1457" s="568"/>
      <c r="AF1457" s="563"/>
      <c r="AG1457" s="570" t="str">
        <f>IF(AE1457&lt;&gt;0,VLOOKUP(AE1457,ODDS!$A$2:$C$13,3,0),"")</f>
        <v/>
      </c>
      <c r="AH1457" s="570" t="str">
        <f t="shared" si="317"/>
        <v xml:space="preserve"> </v>
      </c>
      <c r="AI1457" s="571" t="str">
        <f t="shared" si="313"/>
        <v xml:space="preserve"> </v>
      </c>
      <c r="AJ1457" s="558"/>
      <c r="AK1457" s="558"/>
    </row>
    <row r="1458" spans="1:39" s="385" customFormat="1" ht="20.25" outlineLevel="2" x14ac:dyDescent="0.3">
      <c r="A1458" s="447">
        <f>IF(B1457&lt;&gt;0,B1457,A1457)</f>
        <v>114</v>
      </c>
      <c r="B1458" s="557"/>
      <c r="C1458" s="574"/>
      <c r="D1458" s="615"/>
      <c r="E1458" s="615"/>
      <c r="F1458" s="700"/>
      <c r="G1458" s="558"/>
      <c r="H1458" s="604"/>
      <c r="I1458" s="546"/>
      <c r="J1458" s="589"/>
      <c r="K1458" s="563" t="str">
        <f>IF(G1458&lt;&gt;0,VLOOKUP(G1458,'gia dat'!$A$1:$F$144,5,0)," ")</f>
        <v xml:space="preserve"> </v>
      </c>
      <c r="L1458" s="563" t="str">
        <f>IF(G1458&lt;&gt;0,VLOOKUP(G1458,'gia dat'!$A$1:$F$144,6,0)," ")</f>
        <v xml:space="preserve"> </v>
      </c>
      <c r="M1458" s="564" t="str">
        <f t="shared" si="309"/>
        <v xml:space="preserve"> </v>
      </c>
      <c r="N1458" s="564" t="str">
        <f t="shared" si="310"/>
        <v xml:space="preserve"> </v>
      </c>
      <c r="O1458" s="558"/>
      <c r="P1458" s="590"/>
      <c r="Q1458" s="564" t="str">
        <f>IF(O1458&lt;&gt;0,VLOOKUP(O1458,'Cây trong'!$A$2:$C$246,3,0)," ")</f>
        <v xml:space="preserve"> </v>
      </c>
      <c r="R1458" s="564" t="str">
        <f t="shared" si="316"/>
        <v xml:space="preserve"> </v>
      </c>
      <c r="S1458" s="566"/>
      <c r="T1458" s="589"/>
      <c r="U1458" s="591"/>
      <c r="V1458" s="593"/>
      <c r="W1458" s="564" t="str">
        <f>IF(S1458&lt;&gt;0,VLOOKUP(S1458,VKT!$A$2:$G$415,7,0),"")</f>
        <v/>
      </c>
      <c r="X1458" s="564" t="str">
        <f t="shared" si="318"/>
        <v xml:space="preserve"> </v>
      </c>
      <c r="Y1458" s="562"/>
      <c r="Z1458" s="568"/>
      <c r="AA1458" s="568"/>
      <c r="AB1458" s="568"/>
      <c r="AC1458" s="568"/>
      <c r="AD1458" s="568"/>
      <c r="AE1458" s="568"/>
      <c r="AF1458" s="563"/>
      <c r="AG1458" s="570" t="str">
        <f>IF(AE1458&lt;&gt;0,VLOOKUP(AE1458,ODDS!$A$2:$C$13,3,0),"")</f>
        <v/>
      </c>
      <c r="AH1458" s="570" t="str">
        <f t="shared" si="317"/>
        <v xml:space="preserve"> </v>
      </c>
      <c r="AI1458" s="571" t="str">
        <f t="shared" si="313"/>
        <v xml:space="preserve"> </v>
      </c>
      <c r="AJ1458" s="683"/>
      <c r="AK1458" s="683"/>
    </row>
    <row r="1459" spans="1:39" s="385" customFormat="1" ht="20.25" outlineLevel="1" x14ac:dyDescent="0.25">
      <c r="A1459" s="467" t="s">
        <v>2595</v>
      </c>
      <c r="B1459" s="576">
        <v>115</v>
      </c>
      <c r="C1459" s="574" t="s">
        <v>1046</v>
      </c>
      <c r="D1459" s="705"/>
      <c r="E1459" s="705"/>
      <c r="F1459" s="706"/>
      <c r="G1459" s="574"/>
      <c r="H1459" s="596">
        <f>SUBTOTAL(9,H1460:H1468)</f>
        <v>0</v>
      </c>
      <c r="I1459" s="579">
        <f>SUBTOTAL(9,I1460:I1465)</f>
        <v>0</v>
      </c>
      <c r="J1459" s="597"/>
      <c r="K1459" s="581"/>
      <c r="L1459" s="581"/>
      <c r="M1459" s="571">
        <f>SUBTOTAL(9,M1460:M1468)</f>
        <v>0</v>
      </c>
      <c r="N1459" s="571">
        <f>SUBTOTAL(9,N1460:N1468)</f>
        <v>0</v>
      </c>
      <c r="O1459" s="574"/>
      <c r="P1459" s="599">
        <f>SUBTOTAL(9,P1460:P1468)</f>
        <v>0</v>
      </c>
      <c r="Q1459" s="571"/>
      <c r="R1459" s="571">
        <f>SUBTOTAL(9,R1460:R1468)</f>
        <v>0</v>
      </c>
      <c r="S1459" s="582"/>
      <c r="T1459" s="597"/>
      <c r="U1459" s="600">
        <f>SUBTOTAL(9,U1460:U1468)</f>
        <v>118.86</v>
      </c>
      <c r="V1459" s="608"/>
      <c r="W1459" s="571"/>
      <c r="X1459" s="571">
        <f>SUBTOTAL(9,X1460:X1468)</f>
        <v>156730000</v>
      </c>
      <c r="Y1459" s="562"/>
      <c r="Z1459" s="568"/>
      <c r="AA1459" s="568"/>
      <c r="AB1459" s="568"/>
      <c r="AC1459" s="568"/>
      <c r="AD1459" s="568"/>
      <c r="AE1459" s="584"/>
      <c r="AF1459" s="581">
        <f>SUBTOTAL(9,AF1460:AF1468)</f>
        <v>0</v>
      </c>
      <c r="AG1459" s="585"/>
      <c r="AH1459" s="585">
        <f>SUBTOTAL(9,AH1460:AH1468)</f>
        <v>0</v>
      </c>
      <c r="AI1459" s="571">
        <f t="shared" si="313"/>
        <v>156730000</v>
      </c>
      <c r="AJ1459" s="574"/>
      <c r="AK1459" s="574"/>
      <c r="AM1459" s="472"/>
    </row>
    <row r="1460" spans="1:39" s="385" customFormat="1" ht="121.5" outlineLevel="2" x14ac:dyDescent="0.3">
      <c r="A1460" s="447">
        <f>IF(B1459&lt;&gt;0,B1459,A1458)</f>
        <v>115</v>
      </c>
      <c r="B1460" s="557"/>
      <c r="C1460" s="558" t="s">
        <v>1049</v>
      </c>
      <c r="D1460" s="615"/>
      <c r="E1460" s="615"/>
      <c r="F1460" s="700"/>
      <c r="G1460" s="558"/>
      <c r="H1460" s="604"/>
      <c r="I1460" s="546"/>
      <c r="J1460" s="589"/>
      <c r="K1460" s="563" t="str">
        <f>IF(G1460&lt;&gt;0,VLOOKUP(G1460,'gia dat'!$A$1:$F$144,5,0)," ")</f>
        <v xml:space="preserve"> </v>
      </c>
      <c r="L1460" s="563" t="str">
        <f>IF(G1460&lt;&gt;0,VLOOKUP(G1460,'gia dat'!$A$1:$F$144,6,0)," ")</f>
        <v xml:space="preserve"> </v>
      </c>
      <c r="M1460" s="564" t="str">
        <f t="shared" si="309"/>
        <v xml:space="preserve"> </v>
      </c>
      <c r="N1460" s="564" t="str">
        <f t="shared" si="310"/>
        <v xml:space="preserve"> </v>
      </c>
      <c r="O1460" s="558"/>
      <c r="P1460" s="590"/>
      <c r="Q1460" s="564" t="str">
        <f>IF(O1460&lt;&gt;0,VLOOKUP(O1460,'Cây trong'!$A$2:$C$246,3,0)," ")</f>
        <v xml:space="preserve"> </v>
      </c>
      <c r="R1460" s="564" t="str">
        <f t="shared" si="316"/>
        <v xml:space="preserve"> </v>
      </c>
      <c r="S1460" s="566" t="s">
        <v>1763</v>
      </c>
      <c r="T1460" s="589" t="s">
        <v>2804</v>
      </c>
      <c r="U1460" s="591">
        <v>25</v>
      </c>
      <c r="V1460" s="593"/>
      <c r="W1460" s="564">
        <f>IF(S1460&lt;&gt;0,VLOOKUP(S1460,VKT!$A$2:$G$415,7,0),"")</f>
        <v>3550600</v>
      </c>
      <c r="X1460" s="564">
        <f t="shared" si="318"/>
        <v>88765000</v>
      </c>
      <c r="Y1460" s="562" t="s">
        <v>139</v>
      </c>
      <c r="Z1460" s="568" t="s">
        <v>980</v>
      </c>
      <c r="AA1460" s="568" t="s">
        <v>1012</v>
      </c>
      <c r="AB1460" s="568" t="s">
        <v>269</v>
      </c>
      <c r="AC1460" s="568" t="s">
        <v>139</v>
      </c>
      <c r="AD1460" s="568" t="s">
        <v>1047</v>
      </c>
      <c r="AE1460" s="568"/>
      <c r="AF1460" s="563"/>
      <c r="AG1460" s="570" t="str">
        <f>IF(AE1460&lt;&gt;0,VLOOKUP(AE1460,ODDS!$A$2:$C$13,3,0),"")</f>
        <v/>
      </c>
      <c r="AH1460" s="570" t="str">
        <f t="shared" si="317"/>
        <v xml:space="preserve"> </v>
      </c>
      <c r="AI1460" s="571" t="str">
        <f t="shared" si="313"/>
        <v xml:space="preserve"> </v>
      </c>
      <c r="AJ1460" s="558" t="s">
        <v>250</v>
      </c>
      <c r="AK1460" s="558" t="s">
        <v>2450</v>
      </c>
      <c r="AM1460" s="377" t="s">
        <v>1861</v>
      </c>
    </row>
    <row r="1461" spans="1:39" s="385" customFormat="1" ht="121.5" outlineLevel="2" x14ac:dyDescent="0.3">
      <c r="A1461" s="447">
        <f t="shared" ref="A1461:A1468" si="319">IF(B1460&lt;&gt;0,B1460,A1460)</f>
        <v>115</v>
      </c>
      <c r="B1461" s="557"/>
      <c r="C1461" s="558" t="s">
        <v>1578</v>
      </c>
      <c r="D1461" s="615"/>
      <c r="E1461" s="615"/>
      <c r="F1461" s="700"/>
      <c r="G1461" s="558"/>
      <c r="H1461" s="604"/>
      <c r="I1461" s="546"/>
      <c r="J1461" s="589"/>
      <c r="K1461" s="563" t="str">
        <f>IF(G1461&lt;&gt;0,VLOOKUP(G1461,'gia dat'!$A$1:$F$144,5,0)," ")</f>
        <v xml:space="preserve"> </v>
      </c>
      <c r="L1461" s="563" t="str">
        <f>IF(G1461&lt;&gt;0,VLOOKUP(G1461,'gia dat'!$A$1:$F$144,6,0)," ")</f>
        <v xml:space="preserve"> </v>
      </c>
      <c r="M1461" s="564" t="str">
        <f t="shared" si="309"/>
        <v xml:space="preserve"> </v>
      </c>
      <c r="N1461" s="564" t="str">
        <f t="shared" si="310"/>
        <v xml:space="preserve"> </v>
      </c>
      <c r="O1461" s="558"/>
      <c r="P1461" s="590"/>
      <c r="Q1461" s="564" t="str">
        <f>IF(O1461&lt;&gt;0,VLOOKUP(O1461,'Cây trong'!$A$2:$C$246,3,0)," ")</f>
        <v xml:space="preserve"> </v>
      </c>
      <c r="R1461" s="564" t="str">
        <f t="shared" si="316"/>
        <v xml:space="preserve"> </v>
      </c>
      <c r="S1461" s="566" t="s">
        <v>1813</v>
      </c>
      <c r="T1461" s="589" t="s">
        <v>2804</v>
      </c>
      <c r="U1461" s="617">
        <v>2.5</v>
      </c>
      <c r="V1461" s="593"/>
      <c r="W1461" s="564">
        <f>IF(S1461&lt;&gt;0,VLOOKUP(S1461,VKT!$A$2:$G$415,7,0),"")</f>
        <v>9347414</v>
      </c>
      <c r="X1461" s="564">
        <f t="shared" si="318"/>
        <v>23369000</v>
      </c>
      <c r="Y1461" s="562" t="s">
        <v>139</v>
      </c>
      <c r="Z1461" s="568" t="s">
        <v>980</v>
      </c>
      <c r="AA1461" s="568" t="s">
        <v>1012</v>
      </c>
      <c r="AB1461" s="568" t="s">
        <v>269</v>
      </c>
      <c r="AC1461" s="568" t="s">
        <v>139</v>
      </c>
      <c r="AD1461" s="568" t="s">
        <v>1047</v>
      </c>
      <c r="AE1461" s="568"/>
      <c r="AF1461" s="563"/>
      <c r="AG1461" s="570" t="str">
        <f>IF(AE1461&lt;&gt;0,VLOOKUP(AE1461,ODDS!$A$2:$C$13,3,0),"")</f>
        <v/>
      </c>
      <c r="AH1461" s="570" t="str">
        <f t="shared" si="317"/>
        <v xml:space="preserve"> </v>
      </c>
      <c r="AI1461" s="571" t="str">
        <f t="shared" si="313"/>
        <v xml:space="preserve"> </v>
      </c>
      <c r="AJ1461" s="704"/>
      <c r="AK1461" s="558" t="s">
        <v>2800</v>
      </c>
    </row>
    <row r="1462" spans="1:39" s="385" customFormat="1" ht="40.5" outlineLevel="2" x14ac:dyDescent="0.3">
      <c r="A1462" s="447">
        <f t="shared" si="319"/>
        <v>115</v>
      </c>
      <c r="B1462" s="557"/>
      <c r="C1462" s="558"/>
      <c r="D1462" s="615"/>
      <c r="E1462" s="615"/>
      <c r="F1462" s="700"/>
      <c r="G1462" s="558"/>
      <c r="H1462" s="604"/>
      <c r="I1462" s="546"/>
      <c r="J1462" s="589"/>
      <c r="K1462" s="563" t="str">
        <f>IF(G1462&lt;&gt;0,VLOOKUP(G1462,'gia dat'!$A$1:$F$144,5,0)," ")</f>
        <v xml:space="preserve"> </v>
      </c>
      <c r="L1462" s="563" t="str">
        <f>IF(G1462&lt;&gt;0,VLOOKUP(G1462,'gia dat'!$A$1:$F$144,6,0)," ")</f>
        <v xml:space="preserve"> </v>
      </c>
      <c r="M1462" s="564" t="str">
        <f t="shared" si="309"/>
        <v xml:space="preserve"> </v>
      </c>
      <c r="N1462" s="564" t="str">
        <f t="shared" si="310"/>
        <v xml:space="preserve"> </v>
      </c>
      <c r="O1462" s="558"/>
      <c r="P1462" s="590"/>
      <c r="Q1462" s="564" t="str">
        <f>IF(O1462&lt;&gt;0,VLOOKUP(O1462,'Cây trong'!$A$2:$C$246,3,0)," ")</f>
        <v xml:space="preserve"> </v>
      </c>
      <c r="R1462" s="564" t="str">
        <f t="shared" si="316"/>
        <v xml:space="preserve"> </v>
      </c>
      <c r="S1462" s="566" t="s">
        <v>1776</v>
      </c>
      <c r="T1462" s="589" t="s">
        <v>2804</v>
      </c>
      <c r="U1462" s="591">
        <v>32.799999999999997</v>
      </c>
      <c r="V1462" s="593"/>
      <c r="W1462" s="564">
        <f>IF(S1462&lt;&gt;0,VLOOKUP(S1462,VKT!$A$2:$G$415,7,0),"")</f>
        <v>177161</v>
      </c>
      <c r="X1462" s="564">
        <f t="shared" si="318"/>
        <v>5811000</v>
      </c>
      <c r="Y1462" s="562"/>
      <c r="Z1462" s="568"/>
      <c r="AA1462" s="568"/>
      <c r="AB1462" s="568"/>
      <c r="AC1462" s="568"/>
      <c r="AD1462" s="568"/>
      <c r="AE1462" s="568"/>
      <c r="AF1462" s="563"/>
      <c r="AG1462" s="570" t="str">
        <f>IF(AE1462&lt;&gt;0,VLOOKUP(AE1462,ODDS!$A$2:$C$13,3,0),"")</f>
        <v/>
      </c>
      <c r="AH1462" s="570" t="str">
        <f t="shared" si="317"/>
        <v xml:space="preserve"> </v>
      </c>
      <c r="AI1462" s="571" t="str">
        <f t="shared" si="313"/>
        <v xml:space="preserve"> </v>
      </c>
      <c r="AJ1462" s="558"/>
      <c r="AK1462" s="558"/>
    </row>
    <row r="1463" spans="1:39" s="385" customFormat="1" ht="60.75" outlineLevel="2" x14ac:dyDescent="0.3">
      <c r="A1463" s="447">
        <f t="shared" si="319"/>
        <v>115</v>
      </c>
      <c r="B1463" s="557"/>
      <c r="C1463" s="558"/>
      <c r="D1463" s="615"/>
      <c r="E1463" s="615"/>
      <c r="F1463" s="700"/>
      <c r="G1463" s="558"/>
      <c r="H1463" s="604"/>
      <c r="I1463" s="546"/>
      <c r="J1463" s="589"/>
      <c r="K1463" s="563" t="str">
        <f>IF(G1463&lt;&gt;0,VLOOKUP(G1463,'gia dat'!$A$1:$F$144,5,0)," ")</f>
        <v xml:space="preserve"> </v>
      </c>
      <c r="L1463" s="563" t="str">
        <f>IF(G1463&lt;&gt;0,VLOOKUP(G1463,'gia dat'!$A$1:$F$144,6,0)," ")</f>
        <v xml:space="preserve"> </v>
      </c>
      <c r="M1463" s="564" t="str">
        <f t="shared" si="309"/>
        <v xml:space="preserve"> </v>
      </c>
      <c r="N1463" s="564" t="str">
        <f t="shared" si="310"/>
        <v xml:space="preserve"> </v>
      </c>
      <c r="O1463" s="558"/>
      <c r="P1463" s="590"/>
      <c r="Q1463" s="564" t="str">
        <f>IF(O1463&lt;&gt;0,VLOOKUP(O1463,'Cây trong'!$A$2:$C$246,3,0)," ")</f>
        <v xml:space="preserve"> </v>
      </c>
      <c r="R1463" s="564" t="str">
        <f t="shared" si="316"/>
        <v xml:space="preserve"> </v>
      </c>
      <c r="S1463" s="566" t="s">
        <v>1777</v>
      </c>
      <c r="T1463" s="589" t="s">
        <v>2804</v>
      </c>
      <c r="U1463" s="591">
        <v>41.6</v>
      </c>
      <c r="V1463" s="593"/>
      <c r="W1463" s="564">
        <f>IF(S1463&lt;&gt;0,VLOOKUP(S1463,VKT!$A$2:$G$415,7,0),"")</f>
        <v>286855</v>
      </c>
      <c r="X1463" s="564">
        <f t="shared" si="318"/>
        <v>11933000</v>
      </c>
      <c r="Y1463" s="562"/>
      <c r="Z1463" s="568"/>
      <c r="AA1463" s="568"/>
      <c r="AB1463" s="568"/>
      <c r="AC1463" s="568"/>
      <c r="AD1463" s="568"/>
      <c r="AE1463" s="568"/>
      <c r="AF1463" s="563"/>
      <c r="AG1463" s="570" t="str">
        <f>IF(AE1463&lt;&gt;0,VLOOKUP(AE1463,ODDS!$A$2:$C$13,3,0),"")</f>
        <v/>
      </c>
      <c r="AH1463" s="570" t="str">
        <f t="shared" si="317"/>
        <v xml:space="preserve"> </v>
      </c>
      <c r="AI1463" s="571" t="str">
        <f t="shared" si="313"/>
        <v xml:space="preserve"> </v>
      </c>
      <c r="AJ1463" s="704"/>
      <c r="AK1463" s="558"/>
    </row>
    <row r="1464" spans="1:39" s="385" customFormat="1" ht="40.5" outlineLevel="2" x14ac:dyDescent="0.3">
      <c r="A1464" s="447">
        <f t="shared" si="319"/>
        <v>115</v>
      </c>
      <c r="B1464" s="557"/>
      <c r="C1464" s="558"/>
      <c r="D1464" s="615"/>
      <c r="E1464" s="615"/>
      <c r="F1464" s="700"/>
      <c r="G1464" s="558"/>
      <c r="H1464" s="604"/>
      <c r="I1464" s="546"/>
      <c r="J1464" s="589"/>
      <c r="K1464" s="563" t="str">
        <f>IF(G1464&lt;&gt;0,VLOOKUP(G1464,'gia dat'!$A$1:$F$144,5,0)," ")</f>
        <v xml:space="preserve"> </v>
      </c>
      <c r="L1464" s="563" t="str">
        <f>IF(G1464&lt;&gt;0,VLOOKUP(G1464,'gia dat'!$A$1:$F$144,6,0)," ")</f>
        <v xml:space="preserve"> </v>
      </c>
      <c r="M1464" s="564" t="str">
        <f t="shared" si="309"/>
        <v xml:space="preserve"> </v>
      </c>
      <c r="N1464" s="564" t="str">
        <f t="shared" si="310"/>
        <v xml:space="preserve"> </v>
      </c>
      <c r="O1464" s="558"/>
      <c r="P1464" s="590"/>
      <c r="Q1464" s="564" t="str">
        <f>IF(O1464&lt;&gt;0,VLOOKUP(O1464,'Cây trong'!$A$2:$C$246,3,0)," ")</f>
        <v xml:space="preserve"> </v>
      </c>
      <c r="R1464" s="564" t="str">
        <f t="shared" si="316"/>
        <v xml:space="preserve"> </v>
      </c>
      <c r="S1464" s="566" t="s">
        <v>1814</v>
      </c>
      <c r="T1464" s="589" t="s">
        <v>2804</v>
      </c>
      <c r="U1464" s="591">
        <v>4.96</v>
      </c>
      <c r="V1464" s="593"/>
      <c r="W1464" s="564">
        <f>IF(S1464&lt;&gt;0,VLOOKUP(S1464,VKT!$A$2:$G$415,7,0),"")</f>
        <v>3550600</v>
      </c>
      <c r="X1464" s="564">
        <f t="shared" si="318"/>
        <v>17611000</v>
      </c>
      <c r="Y1464" s="562" t="s">
        <v>139</v>
      </c>
      <c r="Z1464" s="568" t="s">
        <v>980</v>
      </c>
      <c r="AA1464" s="568" t="s">
        <v>1012</v>
      </c>
      <c r="AB1464" s="568" t="s">
        <v>269</v>
      </c>
      <c r="AC1464" s="568" t="s">
        <v>139</v>
      </c>
      <c r="AD1464" s="568" t="s">
        <v>1047</v>
      </c>
      <c r="AE1464" s="568"/>
      <c r="AF1464" s="563"/>
      <c r="AG1464" s="570" t="str">
        <f>IF(AE1464&lt;&gt;0,VLOOKUP(AE1464,ODDS!$A$2:$C$13,3,0),"")</f>
        <v/>
      </c>
      <c r="AH1464" s="570" t="str">
        <f t="shared" si="317"/>
        <v xml:space="preserve"> </v>
      </c>
      <c r="AI1464" s="571" t="str">
        <f t="shared" si="313"/>
        <v xml:space="preserve"> </v>
      </c>
      <c r="AJ1464" s="593"/>
      <c r="AK1464" s="593"/>
    </row>
    <row r="1465" spans="1:39" s="385" customFormat="1" ht="60.75" outlineLevel="2" x14ac:dyDescent="0.3">
      <c r="A1465" s="447">
        <f t="shared" si="319"/>
        <v>115</v>
      </c>
      <c r="B1465" s="557"/>
      <c r="C1465" s="558"/>
      <c r="D1465" s="615"/>
      <c r="E1465" s="615"/>
      <c r="F1465" s="700"/>
      <c r="G1465" s="558"/>
      <c r="H1465" s="604"/>
      <c r="I1465" s="546"/>
      <c r="J1465" s="589"/>
      <c r="K1465" s="563" t="str">
        <f>IF(G1465&lt;&gt;0,VLOOKUP(G1465,'gia dat'!$A$1:$F$144,5,0)," ")</f>
        <v xml:space="preserve"> </v>
      </c>
      <c r="L1465" s="563" t="str">
        <f>IF(G1465&lt;&gt;0,VLOOKUP(G1465,'gia dat'!$A$1:$F$144,6,0)," ")</f>
        <v xml:space="preserve"> </v>
      </c>
      <c r="M1465" s="564" t="str">
        <f t="shared" si="309"/>
        <v xml:space="preserve"> </v>
      </c>
      <c r="N1465" s="564" t="str">
        <f t="shared" si="310"/>
        <v xml:space="preserve"> </v>
      </c>
      <c r="O1465" s="558"/>
      <c r="P1465" s="590"/>
      <c r="Q1465" s="564" t="str">
        <f>IF(O1465&lt;&gt;0,VLOOKUP(O1465,'Cây trong'!$A$2:$C$246,3,0)," ")</f>
        <v xml:space="preserve"> </v>
      </c>
      <c r="R1465" s="564" t="str">
        <f t="shared" si="316"/>
        <v xml:space="preserve"> </v>
      </c>
      <c r="S1465" s="566" t="s">
        <v>1762</v>
      </c>
      <c r="T1465" s="589" t="s">
        <v>2804</v>
      </c>
      <c r="U1465" s="591">
        <v>12</v>
      </c>
      <c r="V1465" s="593"/>
      <c r="W1465" s="564">
        <f>IF(S1465&lt;&gt;0,VLOOKUP(S1465,VKT!$A$2:$G$415,7,0),"")</f>
        <v>770070</v>
      </c>
      <c r="X1465" s="564">
        <f t="shared" si="318"/>
        <v>9241000</v>
      </c>
      <c r="Y1465" s="562"/>
      <c r="Z1465" s="568" t="s">
        <v>980</v>
      </c>
      <c r="AA1465" s="568" t="s">
        <v>1005</v>
      </c>
      <c r="AB1465" s="568"/>
      <c r="AC1465" s="568" t="s">
        <v>267</v>
      </c>
      <c r="AD1465" s="568"/>
      <c r="AE1465" s="568"/>
      <c r="AF1465" s="563"/>
      <c r="AG1465" s="570" t="str">
        <f>IF(AE1465&lt;&gt;0,VLOOKUP(AE1465,ODDS!$A$2:$C$13,3,0),"")</f>
        <v/>
      </c>
      <c r="AH1465" s="570" t="str">
        <f t="shared" si="317"/>
        <v xml:space="preserve"> </v>
      </c>
      <c r="AI1465" s="571" t="str">
        <f t="shared" si="313"/>
        <v xml:space="preserve"> </v>
      </c>
      <c r="AJ1465" s="593"/>
      <c r="AK1465" s="593"/>
    </row>
    <row r="1466" spans="1:39" s="385" customFormat="1" ht="20.25" outlineLevel="2" x14ac:dyDescent="0.3">
      <c r="A1466" s="447">
        <f t="shared" si="319"/>
        <v>115</v>
      </c>
      <c r="B1466" s="557"/>
      <c r="C1466" s="558"/>
      <c r="D1466" s="615"/>
      <c r="E1466" s="615"/>
      <c r="F1466" s="700"/>
      <c r="G1466" s="558"/>
      <c r="H1466" s="604"/>
      <c r="I1466" s="546"/>
      <c r="J1466" s="589"/>
      <c r="K1466" s="563" t="str">
        <f>IF(G1466&lt;&gt;0,VLOOKUP(G1466,'gia dat'!$A$1:$F$144,5,0)," ")</f>
        <v xml:space="preserve"> </v>
      </c>
      <c r="L1466" s="563" t="str">
        <f>IF(G1466&lt;&gt;0,VLOOKUP(G1466,'gia dat'!$A$1:$F$144,6,0)," ")</f>
        <v xml:space="preserve"> </v>
      </c>
      <c r="M1466" s="564" t="str">
        <f t="shared" si="309"/>
        <v xml:space="preserve"> </v>
      </c>
      <c r="N1466" s="564" t="str">
        <f t="shared" si="310"/>
        <v xml:space="preserve"> </v>
      </c>
      <c r="O1466" s="558"/>
      <c r="P1466" s="590"/>
      <c r="Q1466" s="564" t="str">
        <f>IF(O1466&lt;&gt;0,VLOOKUP(O1466,'Cây trong'!$A$2:$C$246,3,0)," ")</f>
        <v xml:space="preserve"> </v>
      </c>
      <c r="R1466" s="564" t="str">
        <f t="shared" si="316"/>
        <v xml:space="preserve"> </v>
      </c>
      <c r="S1466" s="566"/>
      <c r="T1466" s="589"/>
      <c r="U1466" s="591"/>
      <c r="V1466" s="593"/>
      <c r="W1466" s="564" t="str">
        <f>IF(S1466&lt;&gt;0,VLOOKUP(S1466,VKT!$A$2:$G$415,7,0),"")</f>
        <v/>
      </c>
      <c r="X1466" s="564" t="str">
        <f t="shared" si="318"/>
        <v xml:space="preserve"> </v>
      </c>
      <c r="Y1466" s="562"/>
      <c r="Z1466" s="568"/>
      <c r="AA1466" s="568"/>
      <c r="AB1466" s="568"/>
      <c r="AC1466" s="568"/>
      <c r="AD1466" s="568"/>
      <c r="AE1466" s="568"/>
      <c r="AF1466" s="563"/>
      <c r="AG1466" s="570" t="str">
        <f>IF(AE1466&lt;&gt;0,VLOOKUP(AE1466,ODDS!$A$2:$C$13,3,0),"")</f>
        <v/>
      </c>
      <c r="AH1466" s="570" t="str">
        <f t="shared" si="317"/>
        <v xml:space="preserve"> </v>
      </c>
      <c r="AI1466" s="571" t="str">
        <f t="shared" si="313"/>
        <v xml:space="preserve"> </v>
      </c>
      <c r="AJ1466" s="593"/>
      <c r="AK1466" s="593"/>
    </row>
    <row r="1467" spans="1:39" s="385" customFormat="1" ht="20.25" outlineLevel="2" x14ac:dyDescent="0.3">
      <c r="A1467" s="447">
        <f t="shared" si="319"/>
        <v>115</v>
      </c>
      <c r="B1467" s="557"/>
      <c r="C1467" s="558"/>
      <c r="D1467" s="615"/>
      <c r="E1467" s="615"/>
      <c r="F1467" s="700"/>
      <c r="G1467" s="558"/>
      <c r="H1467" s="604"/>
      <c r="I1467" s="546"/>
      <c r="J1467" s="589"/>
      <c r="K1467" s="563" t="str">
        <f>IF(G1467&lt;&gt;0,VLOOKUP(G1467,'gia dat'!$A$1:$F$144,5,0)," ")</f>
        <v xml:space="preserve"> </v>
      </c>
      <c r="L1467" s="563" t="str">
        <f>IF(G1467&lt;&gt;0,VLOOKUP(G1467,'gia dat'!$A$1:$F$144,6,0)," ")</f>
        <v xml:space="preserve"> </v>
      </c>
      <c r="M1467" s="564" t="str">
        <f t="shared" si="309"/>
        <v xml:space="preserve"> </v>
      </c>
      <c r="N1467" s="564" t="str">
        <f t="shared" si="310"/>
        <v xml:space="preserve"> </v>
      </c>
      <c r="O1467" s="558"/>
      <c r="P1467" s="590"/>
      <c r="Q1467" s="564" t="str">
        <f>IF(O1467&lt;&gt;0,VLOOKUP(O1467,'Cây trong'!$A$2:$C$246,3,0)," ")</f>
        <v xml:space="preserve"> </v>
      </c>
      <c r="R1467" s="564" t="str">
        <f t="shared" si="316"/>
        <v xml:space="preserve"> </v>
      </c>
      <c r="S1467" s="566"/>
      <c r="T1467" s="589"/>
      <c r="U1467" s="591"/>
      <c r="V1467" s="593"/>
      <c r="W1467" s="564" t="str">
        <f>IF(S1467&lt;&gt;0,VLOOKUP(S1467,VKT!$A$2:$G$415,7,0),"")</f>
        <v/>
      </c>
      <c r="X1467" s="564" t="str">
        <f t="shared" si="318"/>
        <v xml:space="preserve"> </v>
      </c>
      <c r="Y1467" s="562"/>
      <c r="Z1467" s="568"/>
      <c r="AA1467" s="568"/>
      <c r="AB1467" s="568"/>
      <c r="AC1467" s="568"/>
      <c r="AD1467" s="568"/>
      <c r="AE1467" s="568"/>
      <c r="AF1467" s="563"/>
      <c r="AG1467" s="570" t="str">
        <f>IF(AE1467&lt;&gt;0,VLOOKUP(AE1467,ODDS!$A$2:$C$13,3,0),"")</f>
        <v/>
      </c>
      <c r="AH1467" s="570" t="str">
        <f t="shared" si="317"/>
        <v xml:space="preserve"> </v>
      </c>
      <c r="AI1467" s="571" t="str">
        <f t="shared" si="313"/>
        <v xml:space="preserve"> </v>
      </c>
      <c r="AJ1467" s="593"/>
      <c r="AK1467" s="593"/>
    </row>
    <row r="1468" spans="1:39" s="385" customFormat="1" ht="20.25" outlineLevel="2" x14ac:dyDescent="0.3">
      <c r="A1468" s="447">
        <f t="shared" si="319"/>
        <v>115</v>
      </c>
      <c r="B1468" s="557"/>
      <c r="C1468" s="574"/>
      <c r="D1468" s="615"/>
      <c r="E1468" s="615"/>
      <c r="F1468" s="700"/>
      <c r="G1468" s="558"/>
      <c r="H1468" s="604"/>
      <c r="I1468" s="546"/>
      <c r="J1468" s="589"/>
      <c r="K1468" s="563" t="str">
        <f>IF(G1468&lt;&gt;0,VLOOKUP(G1468,'gia dat'!$A$1:$F$144,5,0)," ")</f>
        <v xml:space="preserve"> </v>
      </c>
      <c r="L1468" s="563" t="str">
        <f>IF(G1468&lt;&gt;0,VLOOKUP(G1468,'gia dat'!$A$1:$F$144,6,0)," ")</f>
        <v xml:space="preserve"> </v>
      </c>
      <c r="M1468" s="564" t="str">
        <f t="shared" ref="M1468:M1539" si="320">IF(H1468&lt;&gt;0,ROUND(H1468*K1468,-3)," ")</f>
        <v xml:space="preserve"> </v>
      </c>
      <c r="N1468" s="564" t="str">
        <f t="shared" ref="N1468:N1539" si="321">IF(H1468&lt;&gt;0,ROUND(H1468*L1468,-3)," ")</f>
        <v xml:space="preserve"> </v>
      </c>
      <c r="O1468" s="558"/>
      <c r="P1468" s="590"/>
      <c r="Q1468" s="564" t="str">
        <f>IF(O1468&lt;&gt;0,VLOOKUP(O1468,'Cây trong'!$A$2:$C$246,3,0)," ")</f>
        <v xml:space="preserve"> </v>
      </c>
      <c r="R1468" s="564" t="str">
        <f t="shared" si="316"/>
        <v xml:space="preserve"> </v>
      </c>
      <c r="S1468" s="566"/>
      <c r="T1468" s="589"/>
      <c r="U1468" s="591"/>
      <c r="V1468" s="593"/>
      <c r="W1468" s="564" t="str">
        <f>IF(S1468&lt;&gt;0,VLOOKUP(S1468,VKT!$A$2:$G$415,7,0),"")</f>
        <v/>
      </c>
      <c r="X1468" s="564" t="str">
        <f t="shared" si="318"/>
        <v xml:space="preserve"> </v>
      </c>
      <c r="Y1468" s="562"/>
      <c r="Z1468" s="568"/>
      <c r="AA1468" s="568"/>
      <c r="AB1468" s="568"/>
      <c r="AC1468" s="568"/>
      <c r="AD1468" s="568"/>
      <c r="AE1468" s="568"/>
      <c r="AF1468" s="563"/>
      <c r="AG1468" s="570" t="str">
        <f>IF(AE1468&lt;&gt;0,VLOOKUP(AE1468,ODDS!$A$2:$C$13,3,0),"")</f>
        <v/>
      </c>
      <c r="AH1468" s="570" t="str">
        <f t="shared" si="317"/>
        <v xml:space="preserve"> </v>
      </c>
      <c r="AI1468" s="571" t="str">
        <f t="shared" si="313"/>
        <v xml:space="preserve"> </v>
      </c>
      <c r="AJ1468" s="593"/>
      <c r="AK1468" s="593"/>
    </row>
    <row r="1469" spans="1:39" s="385" customFormat="1" ht="40.5" outlineLevel="1" x14ac:dyDescent="0.25">
      <c r="A1469" s="467" t="s">
        <v>2594</v>
      </c>
      <c r="B1469" s="576">
        <v>116</v>
      </c>
      <c r="C1469" s="574" t="s">
        <v>1052</v>
      </c>
      <c r="D1469" s="705"/>
      <c r="E1469" s="705"/>
      <c r="F1469" s="706"/>
      <c r="G1469" s="574"/>
      <c r="H1469" s="596">
        <f>SUBTOTAL(9,H1470:H1482)</f>
        <v>0</v>
      </c>
      <c r="I1469" s="579">
        <f>SUBTOTAL(9,I1470:I1475)</f>
        <v>0</v>
      </c>
      <c r="J1469" s="597"/>
      <c r="K1469" s="581"/>
      <c r="L1469" s="581"/>
      <c r="M1469" s="571">
        <f>SUBTOTAL(9,M1470:M1482)</f>
        <v>0</v>
      </c>
      <c r="N1469" s="571">
        <f>SUBTOTAL(9,N1470:N1482)</f>
        <v>0</v>
      </c>
      <c r="O1469" s="574"/>
      <c r="P1469" s="599">
        <f>SUBTOTAL(9,P1470:P1482)</f>
        <v>0</v>
      </c>
      <c r="Q1469" s="571"/>
      <c r="R1469" s="571">
        <f>SUBTOTAL(9,R1470:R1482)</f>
        <v>0</v>
      </c>
      <c r="S1469" s="582"/>
      <c r="T1469" s="597"/>
      <c r="U1469" s="600">
        <f>SUBTOTAL(9,U1470:U1482)</f>
        <v>71.710000000000008</v>
      </c>
      <c r="V1469" s="608"/>
      <c r="W1469" s="571"/>
      <c r="X1469" s="571">
        <f>SUBTOTAL(9,X1470:X1482)</f>
        <v>108305000</v>
      </c>
      <c r="Y1469" s="562"/>
      <c r="Z1469" s="568"/>
      <c r="AA1469" s="568"/>
      <c r="AB1469" s="568"/>
      <c r="AC1469" s="568"/>
      <c r="AD1469" s="568"/>
      <c r="AE1469" s="584"/>
      <c r="AF1469" s="581">
        <f>SUBTOTAL(9,AF1470:AF1482)</f>
        <v>0</v>
      </c>
      <c r="AG1469" s="585"/>
      <c r="AH1469" s="585">
        <f>SUBTOTAL(9,AH1470:AH1482)</f>
        <v>0</v>
      </c>
      <c r="AI1469" s="571">
        <f t="shared" si="313"/>
        <v>108305000</v>
      </c>
      <c r="AJ1469" s="574"/>
      <c r="AK1469" s="574"/>
      <c r="AM1469" s="472"/>
    </row>
    <row r="1470" spans="1:39" s="385" customFormat="1" ht="121.5" outlineLevel="2" x14ac:dyDescent="0.3">
      <c r="A1470" s="447">
        <f>IF(B1469&lt;&gt;0,B1469,A1468)</f>
        <v>116</v>
      </c>
      <c r="B1470" s="557"/>
      <c r="C1470" s="558" t="s">
        <v>1054</v>
      </c>
      <c r="D1470" s="615"/>
      <c r="E1470" s="615"/>
      <c r="F1470" s="700"/>
      <c r="G1470" s="558"/>
      <c r="H1470" s="604"/>
      <c r="I1470" s="546"/>
      <c r="J1470" s="589"/>
      <c r="K1470" s="563" t="str">
        <f>IF(G1470&lt;&gt;0,VLOOKUP(G1470,'gia dat'!$A$1:$F$144,5,0)," ")</f>
        <v xml:space="preserve"> </v>
      </c>
      <c r="L1470" s="563" t="str">
        <f>IF(G1470&lt;&gt;0,VLOOKUP(G1470,'gia dat'!$A$1:$F$144,6,0)," ")</f>
        <v xml:space="preserve"> </v>
      </c>
      <c r="M1470" s="564" t="str">
        <f t="shared" si="320"/>
        <v xml:space="preserve"> </v>
      </c>
      <c r="N1470" s="564" t="str">
        <f t="shared" si="321"/>
        <v xml:space="preserve"> </v>
      </c>
      <c r="O1470" s="558"/>
      <c r="P1470" s="590"/>
      <c r="Q1470" s="564" t="str">
        <f>IF(O1470&lt;&gt;0,VLOOKUP(O1470,'Cây trong'!$A$2:$C$246,3,0)," ")</f>
        <v xml:space="preserve"> </v>
      </c>
      <c r="R1470" s="564" t="str">
        <f t="shared" si="316"/>
        <v xml:space="preserve"> </v>
      </c>
      <c r="S1470" s="566" t="s">
        <v>1767</v>
      </c>
      <c r="T1470" s="589" t="s">
        <v>2804</v>
      </c>
      <c r="U1470" s="591">
        <v>3.36</v>
      </c>
      <c r="V1470" s="593"/>
      <c r="W1470" s="564">
        <f>IF(S1470&lt;&gt;0,VLOOKUP(S1470,VKT!$A$2:$G$415,7,0),"")</f>
        <v>0</v>
      </c>
      <c r="X1470" s="564">
        <f t="shared" si="318"/>
        <v>0</v>
      </c>
      <c r="Y1470" s="562"/>
      <c r="Z1470" s="568"/>
      <c r="AA1470" s="568"/>
      <c r="AB1470" s="568"/>
      <c r="AC1470" s="568"/>
      <c r="AD1470" s="568"/>
      <c r="AE1470" s="568"/>
      <c r="AF1470" s="563"/>
      <c r="AG1470" s="570" t="str">
        <f>IF(AE1470&lt;&gt;0,VLOOKUP(AE1470,ODDS!$A$2:$C$13,3,0),"")</f>
        <v/>
      </c>
      <c r="AH1470" s="570" t="str">
        <f t="shared" si="317"/>
        <v xml:space="preserve"> </v>
      </c>
      <c r="AI1470" s="571" t="str">
        <f t="shared" si="313"/>
        <v xml:space="preserve"> </v>
      </c>
      <c r="AJ1470" s="558" t="s">
        <v>250</v>
      </c>
      <c r="AK1470" s="558" t="s">
        <v>2450</v>
      </c>
      <c r="AM1470" s="377" t="s">
        <v>1861</v>
      </c>
    </row>
    <row r="1471" spans="1:39" s="385" customFormat="1" ht="101.25" outlineLevel="2" x14ac:dyDescent="0.3">
      <c r="A1471" s="447">
        <f t="shared" ref="A1471:A1482" si="322">IF(B1470&lt;&gt;0,B1470,A1470)</f>
        <v>116</v>
      </c>
      <c r="B1471" s="557"/>
      <c r="C1471" s="558" t="s">
        <v>1579</v>
      </c>
      <c r="D1471" s="615"/>
      <c r="E1471" s="615"/>
      <c r="F1471" s="700"/>
      <c r="G1471" s="558"/>
      <c r="H1471" s="604"/>
      <c r="I1471" s="546"/>
      <c r="J1471" s="589"/>
      <c r="K1471" s="563" t="str">
        <f>IF(G1471&lt;&gt;0,VLOOKUP(G1471,'gia dat'!$A$1:$F$144,5,0)," ")</f>
        <v xml:space="preserve"> </v>
      </c>
      <c r="L1471" s="563" t="str">
        <f>IF(G1471&lt;&gt;0,VLOOKUP(G1471,'gia dat'!$A$1:$F$144,6,0)," ")</f>
        <v xml:space="preserve"> </v>
      </c>
      <c r="M1471" s="564" t="str">
        <f t="shared" si="320"/>
        <v xml:space="preserve"> </v>
      </c>
      <c r="N1471" s="564" t="str">
        <f t="shared" si="321"/>
        <v xml:space="preserve"> </v>
      </c>
      <c r="O1471" s="558"/>
      <c r="P1471" s="590"/>
      <c r="Q1471" s="564" t="str">
        <f>IF(O1471&lt;&gt;0,VLOOKUP(O1471,'Cây trong'!$A$2:$C$246,3,0)," ")</f>
        <v xml:space="preserve"> </v>
      </c>
      <c r="R1471" s="564" t="str">
        <f t="shared" si="316"/>
        <v xml:space="preserve"> </v>
      </c>
      <c r="S1471" s="566" t="s">
        <v>1768</v>
      </c>
      <c r="T1471" s="589" t="s">
        <v>2804</v>
      </c>
      <c r="U1471" s="591">
        <v>3.36</v>
      </c>
      <c r="V1471" s="593"/>
      <c r="W1471" s="564">
        <f>IF(S1471&lt;&gt;0,VLOOKUP(S1471,VKT!$A$2:$G$415,7,0),"")</f>
        <v>238288</v>
      </c>
      <c r="X1471" s="564">
        <f t="shared" si="318"/>
        <v>801000</v>
      </c>
      <c r="Y1471" s="562"/>
      <c r="Z1471" s="568"/>
      <c r="AA1471" s="568"/>
      <c r="AB1471" s="568"/>
      <c r="AC1471" s="568"/>
      <c r="AD1471" s="568"/>
      <c r="AE1471" s="568"/>
      <c r="AF1471" s="563"/>
      <c r="AG1471" s="570" t="str">
        <f>IF(AE1471&lt;&gt;0,VLOOKUP(AE1471,ODDS!$A$2:$C$13,3,0),"")</f>
        <v/>
      </c>
      <c r="AH1471" s="570" t="str">
        <f t="shared" si="317"/>
        <v xml:space="preserve"> </v>
      </c>
      <c r="AI1471" s="571" t="str">
        <f t="shared" si="313"/>
        <v xml:space="preserve"> </v>
      </c>
      <c r="AJ1471" s="704"/>
      <c r="AK1471" s="558" t="s">
        <v>2800</v>
      </c>
    </row>
    <row r="1472" spans="1:39" s="385" customFormat="1" ht="60.75" outlineLevel="2" x14ac:dyDescent="0.3">
      <c r="A1472" s="447">
        <f t="shared" si="322"/>
        <v>116</v>
      </c>
      <c r="B1472" s="557"/>
      <c r="C1472" s="558"/>
      <c r="D1472" s="615"/>
      <c r="E1472" s="615"/>
      <c r="F1472" s="700"/>
      <c r="G1472" s="558"/>
      <c r="H1472" s="604"/>
      <c r="I1472" s="546"/>
      <c r="J1472" s="589"/>
      <c r="K1472" s="563" t="str">
        <f>IF(G1472&lt;&gt;0,VLOOKUP(G1472,'gia dat'!$A$1:$F$144,5,0)," ")</f>
        <v xml:space="preserve"> </v>
      </c>
      <c r="L1472" s="563" t="str">
        <f>IF(G1472&lt;&gt;0,VLOOKUP(G1472,'gia dat'!$A$1:$F$144,6,0)," ")</f>
        <v xml:space="preserve"> </v>
      </c>
      <c r="M1472" s="564" t="str">
        <f t="shared" si="320"/>
        <v xml:space="preserve"> </v>
      </c>
      <c r="N1472" s="564" t="str">
        <f t="shared" si="321"/>
        <v xml:space="preserve"> </v>
      </c>
      <c r="O1472" s="558"/>
      <c r="P1472" s="590"/>
      <c r="Q1472" s="564" t="str">
        <f>IF(O1472&lt;&gt;0,VLOOKUP(O1472,'Cây trong'!$A$2:$C$246,3,0)," ")</f>
        <v xml:space="preserve"> </v>
      </c>
      <c r="R1472" s="564" t="str">
        <f t="shared" si="316"/>
        <v xml:space="preserve"> </v>
      </c>
      <c r="S1472" s="566" t="s">
        <v>1762</v>
      </c>
      <c r="T1472" s="589" t="s">
        <v>2804</v>
      </c>
      <c r="U1472" s="591">
        <v>12.5</v>
      </c>
      <c r="V1472" s="593"/>
      <c r="W1472" s="564">
        <f>IF(S1472&lt;&gt;0,VLOOKUP(S1472,VKT!$A$2:$G$415,7,0),"")</f>
        <v>770070</v>
      </c>
      <c r="X1472" s="564">
        <f t="shared" si="318"/>
        <v>9626000</v>
      </c>
      <c r="Y1472" s="562"/>
      <c r="Z1472" s="568" t="s">
        <v>980</v>
      </c>
      <c r="AA1472" s="568" t="s">
        <v>1005</v>
      </c>
      <c r="AB1472" s="568"/>
      <c r="AC1472" s="568" t="s">
        <v>267</v>
      </c>
      <c r="AD1472" s="568"/>
      <c r="AE1472" s="568"/>
      <c r="AF1472" s="563"/>
      <c r="AG1472" s="570" t="str">
        <f>IF(AE1472&lt;&gt;0,VLOOKUP(AE1472,ODDS!$A$2:$C$13,3,0),"")</f>
        <v/>
      </c>
      <c r="AH1472" s="570" t="str">
        <f t="shared" si="317"/>
        <v xml:space="preserve"> </v>
      </c>
      <c r="AI1472" s="571" t="str">
        <f t="shared" si="313"/>
        <v xml:space="preserve"> </v>
      </c>
      <c r="AJ1472" s="558"/>
      <c r="AK1472" s="558"/>
    </row>
    <row r="1473" spans="1:39" s="385" customFormat="1" ht="40.5" outlineLevel="2" x14ac:dyDescent="0.3">
      <c r="A1473" s="447">
        <f t="shared" si="322"/>
        <v>116</v>
      </c>
      <c r="B1473" s="557"/>
      <c r="C1473" s="558"/>
      <c r="D1473" s="615"/>
      <c r="E1473" s="615"/>
      <c r="F1473" s="700"/>
      <c r="G1473" s="558"/>
      <c r="H1473" s="604"/>
      <c r="I1473" s="546"/>
      <c r="J1473" s="589"/>
      <c r="K1473" s="563" t="str">
        <f>IF(G1473&lt;&gt;0,VLOOKUP(G1473,'gia dat'!$A$1:$F$144,5,0)," ")</f>
        <v xml:space="preserve"> </v>
      </c>
      <c r="L1473" s="563" t="str">
        <f>IF(G1473&lt;&gt;0,VLOOKUP(G1473,'gia dat'!$A$1:$F$144,6,0)," ")</f>
        <v xml:space="preserve"> </v>
      </c>
      <c r="M1473" s="564" t="str">
        <f t="shared" si="320"/>
        <v xml:space="preserve"> </v>
      </c>
      <c r="N1473" s="564" t="str">
        <f t="shared" si="321"/>
        <v xml:space="preserve"> </v>
      </c>
      <c r="O1473" s="558"/>
      <c r="P1473" s="590"/>
      <c r="Q1473" s="564" t="str">
        <f>IF(O1473&lt;&gt;0,VLOOKUP(O1473,'Cây trong'!$A$2:$C$246,3,0)," ")</f>
        <v xml:space="preserve"> </v>
      </c>
      <c r="R1473" s="564" t="str">
        <f t="shared" si="316"/>
        <v xml:space="preserve"> </v>
      </c>
      <c r="S1473" s="566" t="s">
        <v>1763</v>
      </c>
      <c r="T1473" s="589" t="s">
        <v>2804</v>
      </c>
      <c r="U1473" s="591">
        <v>26.6</v>
      </c>
      <c r="V1473" s="593"/>
      <c r="W1473" s="564">
        <f>IF(S1473&lt;&gt;0,VLOOKUP(S1473,VKT!$A$2:$G$415,7,0),"")</f>
        <v>3550600</v>
      </c>
      <c r="X1473" s="564">
        <f t="shared" si="318"/>
        <v>94446000</v>
      </c>
      <c r="Y1473" s="562" t="s">
        <v>139</v>
      </c>
      <c r="Z1473" s="568" t="s">
        <v>980</v>
      </c>
      <c r="AA1473" s="568" t="s">
        <v>1012</v>
      </c>
      <c r="AB1473" s="568" t="s">
        <v>269</v>
      </c>
      <c r="AC1473" s="568" t="s">
        <v>139</v>
      </c>
      <c r="AD1473" s="568"/>
      <c r="AE1473" s="568"/>
      <c r="AF1473" s="563"/>
      <c r="AG1473" s="570" t="str">
        <f>IF(AE1473&lt;&gt;0,VLOOKUP(AE1473,ODDS!$A$2:$C$13,3,0),"")</f>
        <v/>
      </c>
      <c r="AH1473" s="570" t="str">
        <f t="shared" si="317"/>
        <v xml:space="preserve"> </v>
      </c>
      <c r="AI1473" s="571" t="str">
        <f t="shared" si="313"/>
        <v xml:space="preserve"> </v>
      </c>
      <c r="AJ1473" s="704"/>
      <c r="AK1473" s="558"/>
    </row>
    <row r="1474" spans="1:39" s="385" customFormat="1" ht="40.5" outlineLevel="2" x14ac:dyDescent="0.3">
      <c r="A1474" s="447">
        <f t="shared" si="322"/>
        <v>116</v>
      </c>
      <c r="B1474" s="557"/>
      <c r="C1474" s="558"/>
      <c r="D1474" s="615"/>
      <c r="E1474" s="615"/>
      <c r="F1474" s="700"/>
      <c r="G1474" s="558"/>
      <c r="H1474" s="604"/>
      <c r="I1474" s="546"/>
      <c r="J1474" s="589"/>
      <c r="K1474" s="563" t="str">
        <f>IF(G1474&lt;&gt;0,VLOOKUP(G1474,'gia dat'!$A$1:$F$144,5,0)," ")</f>
        <v xml:space="preserve"> </v>
      </c>
      <c r="L1474" s="563" t="str">
        <f>IF(G1474&lt;&gt;0,VLOOKUP(G1474,'gia dat'!$A$1:$F$144,6,0)," ")</f>
        <v xml:space="preserve"> </v>
      </c>
      <c r="M1474" s="564" t="str">
        <f t="shared" si="320"/>
        <v xml:space="preserve"> </v>
      </c>
      <c r="N1474" s="564" t="str">
        <f t="shared" si="321"/>
        <v xml:space="preserve"> </v>
      </c>
      <c r="O1474" s="558"/>
      <c r="P1474" s="590"/>
      <c r="Q1474" s="564" t="str">
        <f>IF(O1474&lt;&gt;0,VLOOKUP(O1474,'Cây trong'!$A$2:$C$246,3,0)," ")</f>
        <v xml:space="preserve"> </v>
      </c>
      <c r="R1474" s="564" t="str">
        <f t="shared" si="316"/>
        <v xml:space="preserve"> </v>
      </c>
      <c r="S1474" s="566" t="s">
        <v>1767</v>
      </c>
      <c r="T1474" s="589" t="s">
        <v>2804</v>
      </c>
      <c r="U1474" s="591">
        <v>10.4</v>
      </c>
      <c r="V1474" s="593"/>
      <c r="W1474" s="564">
        <f>IF(S1474&lt;&gt;0,VLOOKUP(S1474,VKT!$A$2:$G$415,7,0),"")</f>
        <v>0</v>
      </c>
      <c r="X1474" s="564">
        <f t="shared" si="318"/>
        <v>0</v>
      </c>
      <c r="Y1474" s="562"/>
      <c r="Z1474" s="568"/>
      <c r="AA1474" s="568"/>
      <c r="AB1474" s="568"/>
      <c r="AC1474" s="568"/>
      <c r="AD1474" s="568"/>
      <c r="AE1474" s="568"/>
      <c r="AF1474" s="563"/>
      <c r="AG1474" s="570" t="str">
        <f>IF(AE1474&lt;&gt;0,VLOOKUP(AE1474,ODDS!$A$2:$C$13,3,0),"")</f>
        <v/>
      </c>
      <c r="AH1474" s="570" t="str">
        <f t="shared" si="317"/>
        <v xml:space="preserve"> </v>
      </c>
      <c r="AI1474" s="571" t="str">
        <f t="shared" si="313"/>
        <v xml:space="preserve"> </v>
      </c>
      <c r="AJ1474" s="593"/>
      <c r="AK1474" s="593"/>
    </row>
    <row r="1475" spans="1:39" s="385" customFormat="1" ht="60.75" outlineLevel="2" x14ac:dyDescent="0.3">
      <c r="A1475" s="447">
        <f t="shared" si="322"/>
        <v>116</v>
      </c>
      <c r="B1475" s="557"/>
      <c r="C1475" s="558"/>
      <c r="D1475" s="615"/>
      <c r="E1475" s="615"/>
      <c r="F1475" s="700"/>
      <c r="G1475" s="558"/>
      <c r="H1475" s="604"/>
      <c r="I1475" s="546"/>
      <c r="J1475" s="589"/>
      <c r="K1475" s="563" t="str">
        <f>IF(G1475&lt;&gt;0,VLOOKUP(G1475,'gia dat'!$A$1:$F$144,5,0)," ")</f>
        <v xml:space="preserve"> </v>
      </c>
      <c r="L1475" s="563" t="str">
        <f>IF(G1475&lt;&gt;0,VLOOKUP(G1475,'gia dat'!$A$1:$F$144,6,0)," ")</f>
        <v xml:space="preserve"> </v>
      </c>
      <c r="M1475" s="564" t="str">
        <f t="shared" si="320"/>
        <v xml:space="preserve"> </v>
      </c>
      <c r="N1475" s="564" t="str">
        <f t="shared" si="321"/>
        <v xml:space="preserve"> </v>
      </c>
      <c r="O1475" s="558"/>
      <c r="P1475" s="590"/>
      <c r="Q1475" s="564" t="str">
        <f>IF(O1475&lt;&gt;0,VLOOKUP(O1475,'Cây trong'!$A$2:$C$246,3,0)," ")</f>
        <v xml:space="preserve"> </v>
      </c>
      <c r="R1475" s="564" t="str">
        <f t="shared" si="316"/>
        <v xml:space="preserve"> </v>
      </c>
      <c r="S1475" s="566" t="s">
        <v>1768</v>
      </c>
      <c r="T1475" s="589" t="s">
        <v>2804</v>
      </c>
      <c r="U1475" s="591">
        <v>10.4</v>
      </c>
      <c r="V1475" s="593"/>
      <c r="W1475" s="564">
        <f>IF(S1475&lt;&gt;0,VLOOKUP(S1475,VKT!$A$2:$G$415,7,0),"")</f>
        <v>238288</v>
      </c>
      <c r="X1475" s="564">
        <f t="shared" si="318"/>
        <v>2478000</v>
      </c>
      <c r="Y1475" s="562"/>
      <c r="Z1475" s="568"/>
      <c r="AA1475" s="568"/>
      <c r="AB1475" s="568"/>
      <c r="AC1475" s="568"/>
      <c r="AD1475" s="568"/>
      <c r="AE1475" s="568"/>
      <c r="AF1475" s="563"/>
      <c r="AG1475" s="570" t="str">
        <f>IF(AE1475&lt;&gt;0,VLOOKUP(AE1475,ODDS!$A$2:$C$13,3,0),"")</f>
        <v/>
      </c>
      <c r="AH1475" s="570" t="str">
        <f t="shared" si="317"/>
        <v xml:space="preserve"> </v>
      </c>
      <c r="AI1475" s="571" t="str">
        <f t="shared" si="313"/>
        <v xml:space="preserve"> </v>
      </c>
      <c r="AJ1475" s="558"/>
      <c r="AK1475" s="558"/>
    </row>
    <row r="1476" spans="1:39" s="385" customFormat="1" ht="40.5" outlineLevel="2" x14ac:dyDescent="0.3">
      <c r="A1476" s="447">
        <f t="shared" si="322"/>
        <v>116</v>
      </c>
      <c r="B1476" s="557"/>
      <c r="C1476" s="558"/>
      <c r="D1476" s="615"/>
      <c r="E1476" s="615"/>
      <c r="F1476" s="700"/>
      <c r="G1476" s="558"/>
      <c r="H1476" s="604"/>
      <c r="I1476" s="546"/>
      <c r="J1476" s="589"/>
      <c r="K1476" s="563" t="str">
        <f>IF(G1476&lt;&gt;0,VLOOKUP(G1476,'gia dat'!$A$1:$F$144,5,0)," ")</f>
        <v xml:space="preserve"> </v>
      </c>
      <c r="L1476" s="563" t="str">
        <f>IF(G1476&lt;&gt;0,VLOOKUP(G1476,'gia dat'!$A$1:$F$144,6,0)," ")</f>
        <v xml:space="preserve"> </v>
      </c>
      <c r="M1476" s="564" t="str">
        <f t="shared" si="320"/>
        <v xml:space="preserve"> </v>
      </c>
      <c r="N1476" s="564" t="str">
        <f t="shared" si="321"/>
        <v xml:space="preserve"> </v>
      </c>
      <c r="O1476" s="558"/>
      <c r="P1476" s="590"/>
      <c r="Q1476" s="564" t="str">
        <f>IF(O1476&lt;&gt;0,VLOOKUP(O1476,'Cây trong'!$A$2:$C$246,3,0)," ")</f>
        <v xml:space="preserve"> </v>
      </c>
      <c r="R1476" s="564" t="str">
        <f t="shared" si="316"/>
        <v xml:space="preserve"> </v>
      </c>
      <c r="S1476" s="566" t="s">
        <v>1770</v>
      </c>
      <c r="T1476" s="589" t="s">
        <v>2827</v>
      </c>
      <c r="U1476" s="591">
        <v>0.22</v>
      </c>
      <c r="V1476" s="593"/>
      <c r="W1476" s="564">
        <f>IF(S1476&lt;&gt;0,VLOOKUP(S1476,VKT!$A$2:$G$415,7,0),"")</f>
        <v>3591896</v>
      </c>
      <c r="X1476" s="564">
        <f t="shared" si="318"/>
        <v>790000</v>
      </c>
      <c r="Y1476" s="562"/>
      <c r="Z1476" s="568"/>
      <c r="AA1476" s="568"/>
      <c r="AB1476" s="568"/>
      <c r="AC1476" s="568"/>
      <c r="AD1476" s="568"/>
      <c r="AE1476" s="568"/>
      <c r="AF1476" s="563"/>
      <c r="AG1476" s="570" t="str">
        <f>IF(AE1476&lt;&gt;0,VLOOKUP(AE1476,ODDS!$A$2:$C$13,3,0),"")</f>
        <v/>
      </c>
      <c r="AH1476" s="570" t="str">
        <f t="shared" si="317"/>
        <v xml:space="preserve"> </v>
      </c>
      <c r="AI1476" s="571" t="str">
        <f t="shared" si="313"/>
        <v xml:space="preserve"> </v>
      </c>
      <c r="AJ1476" s="558"/>
      <c r="AK1476" s="558"/>
    </row>
    <row r="1477" spans="1:39" s="385" customFormat="1" ht="40.5" outlineLevel="2" x14ac:dyDescent="0.3">
      <c r="A1477" s="447">
        <f t="shared" si="322"/>
        <v>116</v>
      </c>
      <c r="B1477" s="557"/>
      <c r="C1477" s="558"/>
      <c r="D1477" s="615"/>
      <c r="E1477" s="615"/>
      <c r="F1477" s="700"/>
      <c r="G1477" s="558"/>
      <c r="H1477" s="604"/>
      <c r="I1477" s="546"/>
      <c r="J1477" s="589"/>
      <c r="K1477" s="563" t="str">
        <f>IF(G1477&lt;&gt;0,VLOOKUP(G1477,'gia dat'!$A$1:$F$144,5,0)," ")</f>
        <v xml:space="preserve"> </v>
      </c>
      <c r="L1477" s="563" t="str">
        <f>IF(G1477&lt;&gt;0,VLOOKUP(G1477,'gia dat'!$A$1:$F$144,6,0)," ")</f>
        <v xml:space="preserve"> </v>
      </c>
      <c r="M1477" s="564" t="str">
        <f t="shared" si="320"/>
        <v xml:space="preserve"> </v>
      </c>
      <c r="N1477" s="564" t="str">
        <f t="shared" si="321"/>
        <v xml:space="preserve"> </v>
      </c>
      <c r="O1477" s="558"/>
      <c r="P1477" s="590"/>
      <c r="Q1477" s="564" t="str">
        <f>IF(O1477&lt;&gt;0,VLOOKUP(O1477,'Cây trong'!$A$2:$C$246,3,0)," ")</f>
        <v xml:space="preserve"> </v>
      </c>
      <c r="R1477" s="564" t="str">
        <f t="shared" si="316"/>
        <v xml:space="preserve"> </v>
      </c>
      <c r="S1477" s="566" t="s">
        <v>1816</v>
      </c>
      <c r="T1477" s="589" t="s">
        <v>2827</v>
      </c>
      <c r="U1477" s="591">
        <v>0.06</v>
      </c>
      <c r="V1477" s="593"/>
      <c r="W1477" s="564">
        <f>IF(S1477&lt;&gt;0,VLOOKUP(S1477,VKT!$A$2:$G$415,7,0),"")</f>
        <v>0</v>
      </c>
      <c r="X1477" s="564">
        <f t="shared" si="318"/>
        <v>0</v>
      </c>
      <c r="Y1477" s="562"/>
      <c r="Z1477" s="568"/>
      <c r="AA1477" s="568"/>
      <c r="AB1477" s="568"/>
      <c r="AC1477" s="568"/>
      <c r="AD1477" s="568"/>
      <c r="AE1477" s="568"/>
      <c r="AF1477" s="563"/>
      <c r="AG1477" s="570" t="str">
        <f>IF(AE1477&lt;&gt;0,VLOOKUP(AE1477,ODDS!$A$2:$C$13,3,0),"")</f>
        <v/>
      </c>
      <c r="AH1477" s="570" t="str">
        <f t="shared" si="317"/>
        <v xml:space="preserve"> </v>
      </c>
      <c r="AI1477" s="571" t="str">
        <f t="shared" si="313"/>
        <v xml:space="preserve"> </v>
      </c>
      <c r="AJ1477" s="558"/>
      <c r="AK1477" s="558"/>
    </row>
    <row r="1478" spans="1:39" s="385" customFormat="1" ht="40.5" outlineLevel="2" x14ac:dyDescent="0.3">
      <c r="A1478" s="447">
        <f t="shared" si="322"/>
        <v>116</v>
      </c>
      <c r="B1478" s="557"/>
      <c r="C1478" s="558"/>
      <c r="D1478" s="615"/>
      <c r="E1478" s="615"/>
      <c r="F1478" s="700"/>
      <c r="G1478" s="558"/>
      <c r="H1478" s="604"/>
      <c r="I1478" s="546"/>
      <c r="J1478" s="589"/>
      <c r="K1478" s="563" t="str">
        <f>IF(G1478&lt;&gt;0,VLOOKUP(G1478,'gia dat'!$A$1:$F$144,5,0)," ")</f>
        <v xml:space="preserve"> </v>
      </c>
      <c r="L1478" s="563" t="str">
        <f>IF(G1478&lt;&gt;0,VLOOKUP(G1478,'gia dat'!$A$1:$F$144,6,0)," ")</f>
        <v xml:space="preserve"> </v>
      </c>
      <c r="M1478" s="564" t="str">
        <f t="shared" si="320"/>
        <v xml:space="preserve"> </v>
      </c>
      <c r="N1478" s="564" t="str">
        <f t="shared" si="321"/>
        <v xml:space="preserve"> </v>
      </c>
      <c r="O1478" s="558"/>
      <c r="P1478" s="590"/>
      <c r="Q1478" s="564" t="str">
        <f>IF(O1478&lt;&gt;0,VLOOKUP(O1478,'Cây trong'!$A$2:$C$246,3,0)," ")</f>
        <v xml:space="preserve"> </v>
      </c>
      <c r="R1478" s="564" t="str">
        <f t="shared" si="316"/>
        <v xml:space="preserve"> </v>
      </c>
      <c r="S1478" s="566" t="s">
        <v>1817</v>
      </c>
      <c r="T1478" s="589" t="s">
        <v>2804</v>
      </c>
      <c r="U1478" s="591">
        <v>0.81</v>
      </c>
      <c r="V1478" s="593"/>
      <c r="W1478" s="564">
        <f>IF(S1478&lt;&gt;0,VLOOKUP(S1478,VKT!$A$2:$G$415,7,0),"")</f>
        <v>202204</v>
      </c>
      <c r="X1478" s="564">
        <f t="shared" si="318"/>
        <v>164000</v>
      </c>
      <c r="Y1478" s="562"/>
      <c r="Z1478" s="568"/>
      <c r="AA1478" s="568"/>
      <c r="AB1478" s="568"/>
      <c r="AC1478" s="568"/>
      <c r="AD1478" s="568"/>
      <c r="AE1478" s="568"/>
      <c r="AF1478" s="563"/>
      <c r="AG1478" s="570" t="str">
        <f>IF(AE1478&lt;&gt;0,VLOOKUP(AE1478,ODDS!$A$2:$C$13,3,0),"")</f>
        <v/>
      </c>
      <c r="AH1478" s="570" t="str">
        <f t="shared" si="317"/>
        <v xml:space="preserve"> </v>
      </c>
      <c r="AI1478" s="571" t="str">
        <f t="shared" si="313"/>
        <v xml:space="preserve"> </v>
      </c>
      <c r="AJ1478" s="558"/>
      <c r="AK1478" s="558"/>
    </row>
    <row r="1479" spans="1:39" s="385" customFormat="1" ht="24" outlineLevel="2" x14ac:dyDescent="0.3">
      <c r="A1479" s="447">
        <f t="shared" si="322"/>
        <v>116</v>
      </c>
      <c r="B1479" s="557"/>
      <c r="C1479" s="558"/>
      <c r="D1479" s="615"/>
      <c r="E1479" s="615"/>
      <c r="F1479" s="700"/>
      <c r="G1479" s="558"/>
      <c r="H1479" s="604"/>
      <c r="I1479" s="546"/>
      <c r="J1479" s="589"/>
      <c r="K1479" s="563" t="str">
        <f>IF(G1479&lt;&gt;0,VLOOKUP(G1479,'gia dat'!$A$1:$F$144,5,0)," ")</f>
        <v xml:space="preserve"> </v>
      </c>
      <c r="L1479" s="563" t="str">
        <f>IF(G1479&lt;&gt;0,VLOOKUP(G1479,'gia dat'!$A$1:$F$144,6,0)," ")</f>
        <v xml:space="preserve"> </v>
      </c>
      <c r="M1479" s="564" t="str">
        <f t="shared" si="320"/>
        <v xml:space="preserve"> </v>
      </c>
      <c r="N1479" s="564" t="str">
        <f t="shared" si="321"/>
        <v xml:space="preserve"> </v>
      </c>
      <c r="O1479" s="558"/>
      <c r="P1479" s="590"/>
      <c r="Q1479" s="564" t="str">
        <f>IF(O1479&lt;&gt;0,VLOOKUP(O1479,'Cây trong'!$A$2:$C$246,3,0)," ")</f>
        <v xml:space="preserve"> </v>
      </c>
      <c r="R1479" s="564" t="str">
        <f t="shared" si="316"/>
        <v xml:space="preserve"> </v>
      </c>
      <c r="S1479" s="661" t="s">
        <v>1818</v>
      </c>
      <c r="T1479" s="589" t="s">
        <v>2804</v>
      </c>
      <c r="U1479" s="591">
        <v>4</v>
      </c>
      <c r="V1479" s="593"/>
      <c r="W1479" s="564">
        <f>IF(S1479&lt;&gt;0,VLOOKUP(S1479,VKT!$A$2:$G$415,7,0),"")</f>
        <v>0</v>
      </c>
      <c r="X1479" s="564">
        <f t="shared" si="318"/>
        <v>0</v>
      </c>
      <c r="Y1479" s="562"/>
      <c r="Z1479" s="568"/>
      <c r="AA1479" s="568"/>
      <c r="AB1479" s="568"/>
      <c r="AC1479" s="568"/>
      <c r="AD1479" s="568"/>
      <c r="AE1479" s="568"/>
      <c r="AF1479" s="563"/>
      <c r="AG1479" s="570" t="str">
        <f>IF(AE1479&lt;&gt;0,VLOOKUP(AE1479,ODDS!$A$2:$C$13,3,0),"")</f>
        <v/>
      </c>
      <c r="AH1479" s="570" t="str">
        <f t="shared" si="317"/>
        <v xml:space="preserve"> </v>
      </c>
      <c r="AI1479" s="571" t="str">
        <f t="shared" si="313"/>
        <v xml:space="preserve"> </v>
      </c>
      <c r="AJ1479" s="558"/>
      <c r="AK1479" s="558"/>
    </row>
    <row r="1480" spans="1:39" s="385" customFormat="1" ht="20.25" outlineLevel="2" x14ac:dyDescent="0.3">
      <c r="A1480" s="447">
        <f t="shared" si="322"/>
        <v>116</v>
      </c>
      <c r="B1480" s="557"/>
      <c r="C1480" s="558"/>
      <c r="D1480" s="615"/>
      <c r="E1480" s="615"/>
      <c r="F1480" s="700"/>
      <c r="G1480" s="558"/>
      <c r="H1480" s="604"/>
      <c r="I1480" s="546"/>
      <c r="J1480" s="589"/>
      <c r="K1480" s="563" t="str">
        <f>IF(G1480&lt;&gt;0,VLOOKUP(G1480,'gia dat'!$A$1:$F$144,5,0)," ")</f>
        <v xml:space="preserve"> </v>
      </c>
      <c r="L1480" s="563" t="str">
        <f>IF(G1480&lt;&gt;0,VLOOKUP(G1480,'gia dat'!$A$1:$F$144,6,0)," ")</f>
        <v xml:space="preserve"> </v>
      </c>
      <c r="M1480" s="564" t="str">
        <f t="shared" si="320"/>
        <v xml:space="preserve"> </v>
      </c>
      <c r="N1480" s="564" t="str">
        <f t="shared" si="321"/>
        <v xml:space="preserve"> </v>
      </c>
      <c r="O1480" s="558"/>
      <c r="P1480" s="590"/>
      <c r="Q1480" s="564" t="str">
        <f>IF(O1480&lt;&gt;0,VLOOKUP(O1480,'Cây trong'!$A$2:$C$246,3,0)," ")</f>
        <v xml:space="preserve"> </v>
      </c>
      <c r="R1480" s="564" t="str">
        <f t="shared" si="316"/>
        <v xml:space="preserve"> </v>
      </c>
      <c r="S1480" s="661"/>
      <c r="T1480" s="589"/>
      <c r="U1480" s="591"/>
      <c r="V1480" s="593"/>
      <c r="W1480" s="564" t="str">
        <f>IF(S1480&lt;&gt;0,VLOOKUP(S1480,VKT!$A$2:$G$415,7,0),"")</f>
        <v/>
      </c>
      <c r="X1480" s="564" t="str">
        <f t="shared" si="318"/>
        <v xml:space="preserve"> </v>
      </c>
      <c r="Y1480" s="562"/>
      <c r="Z1480" s="568"/>
      <c r="AA1480" s="568"/>
      <c r="AB1480" s="568"/>
      <c r="AC1480" s="568"/>
      <c r="AD1480" s="568"/>
      <c r="AE1480" s="568"/>
      <c r="AF1480" s="563"/>
      <c r="AG1480" s="570" t="str">
        <f>IF(AE1480&lt;&gt;0,VLOOKUP(AE1480,ODDS!$A$2:$C$13,3,0),"")</f>
        <v/>
      </c>
      <c r="AH1480" s="570" t="str">
        <f t="shared" si="317"/>
        <v xml:space="preserve"> </v>
      </c>
      <c r="AI1480" s="571" t="str">
        <f t="shared" si="313"/>
        <v xml:space="preserve"> </v>
      </c>
      <c r="AJ1480" s="558"/>
      <c r="AK1480" s="558"/>
    </row>
    <row r="1481" spans="1:39" s="385" customFormat="1" ht="20.25" outlineLevel="2" x14ac:dyDescent="0.3">
      <c r="A1481" s="447">
        <f t="shared" si="322"/>
        <v>116</v>
      </c>
      <c r="B1481" s="557"/>
      <c r="C1481" s="558"/>
      <c r="D1481" s="615"/>
      <c r="E1481" s="615"/>
      <c r="F1481" s="700"/>
      <c r="G1481" s="558"/>
      <c r="H1481" s="604"/>
      <c r="I1481" s="546"/>
      <c r="J1481" s="589"/>
      <c r="K1481" s="563" t="str">
        <f>IF(G1481&lt;&gt;0,VLOOKUP(G1481,'gia dat'!$A$1:$F$144,5,0)," ")</f>
        <v xml:space="preserve"> </v>
      </c>
      <c r="L1481" s="563" t="str">
        <f>IF(G1481&lt;&gt;0,VLOOKUP(G1481,'gia dat'!$A$1:$F$144,6,0)," ")</f>
        <v xml:space="preserve"> </v>
      </c>
      <c r="M1481" s="564" t="str">
        <f t="shared" si="320"/>
        <v xml:space="preserve"> </v>
      </c>
      <c r="N1481" s="564" t="str">
        <f t="shared" si="321"/>
        <v xml:space="preserve"> </v>
      </c>
      <c r="O1481" s="558"/>
      <c r="P1481" s="590"/>
      <c r="Q1481" s="564" t="str">
        <f>IF(O1481&lt;&gt;0,VLOOKUP(O1481,'Cây trong'!$A$2:$C$246,3,0)," ")</f>
        <v xml:space="preserve"> </v>
      </c>
      <c r="R1481" s="564" t="str">
        <f t="shared" si="316"/>
        <v xml:space="preserve"> </v>
      </c>
      <c r="S1481" s="566"/>
      <c r="T1481" s="589"/>
      <c r="U1481" s="591"/>
      <c r="V1481" s="593"/>
      <c r="W1481" s="564" t="str">
        <f>IF(S1481&lt;&gt;0,VLOOKUP(S1481,VKT!$A$2:$G$415,7,0),"")</f>
        <v/>
      </c>
      <c r="X1481" s="564" t="str">
        <f t="shared" si="318"/>
        <v xml:space="preserve"> </v>
      </c>
      <c r="Y1481" s="562"/>
      <c r="Z1481" s="568"/>
      <c r="AA1481" s="568"/>
      <c r="AB1481" s="568"/>
      <c r="AC1481" s="568"/>
      <c r="AD1481" s="568"/>
      <c r="AE1481" s="568"/>
      <c r="AF1481" s="563"/>
      <c r="AG1481" s="570" t="str">
        <f>IF(AE1481&lt;&gt;0,VLOOKUP(AE1481,ODDS!$A$2:$C$13,3,0),"")</f>
        <v/>
      </c>
      <c r="AH1481" s="570" t="str">
        <f t="shared" si="317"/>
        <v xml:space="preserve"> </v>
      </c>
      <c r="AI1481" s="571" t="str">
        <f t="shared" ref="AI1481:AI1544" si="323">IF(B1481&lt;&gt;0,M1481+N1481+R1481+X1481+AH1481," ")</f>
        <v xml:space="preserve"> </v>
      </c>
      <c r="AJ1481" s="558"/>
      <c r="AK1481" s="558"/>
    </row>
    <row r="1482" spans="1:39" s="385" customFormat="1" ht="20.25" outlineLevel="2" x14ac:dyDescent="0.3">
      <c r="A1482" s="447">
        <f t="shared" si="322"/>
        <v>116</v>
      </c>
      <c r="B1482" s="557"/>
      <c r="C1482" s="574"/>
      <c r="D1482" s="615"/>
      <c r="E1482" s="615"/>
      <c r="F1482" s="700"/>
      <c r="G1482" s="558"/>
      <c r="H1482" s="604"/>
      <c r="I1482" s="546"/>
      <c r="J1482" s="589"/>
      <c r="K1482" s="563" t="str">
        <f>IF(G1482&lt;&gt;0,VLOOKUP(G1482,'gia dat'!$A$1:$F$144,5,0)," ")</f>
        <v xml:space="preserve"> </v>
      </c>
      <c r="L1482" s="563" t="str">
        <f>IF(G1482&lt;&gt;0,VLOOKUP(G1482,'gia dat'!$A$1:$F$144,6,0)," ")</f>
        <v xml:space="preserve"> </v>
      </c>
      <c r="M1482" s="564" t="str">
        <f t="shared" si="320"/>
        <v xml:space="preserve"> </v>
      </c>
      <c r="N1482" s="564" t="str">
        <f t="shared" si="321"/>
        <v xml:space="preserve"> </v>
      </c>
      <c r="O1482" s="558"/>
      <c r="P1482" s="590"/>
      <c r="Q1482" s="564" t="str">
        <f>IF(O1482&lt;&gt;0,VLOOKUP(O1482,'Cây trong'!$A$2:$C$246,3,0)," ")</f>
        <v xml:space="preserve"> </v>
      </c>
      <c r="R1482" s="564" t="str">
        <f t="shared" si="316"/>
        <v xml:space="preserve"> </v>
      </c>
      <c r="S1482" s="566"/>
      <c r="T1482" s="589"/>
      <c r="U1482" s="591"/>
      <c r="V1482" s="593"/>
      <c r="W1482" s="564" t="str">
        <f>IF(S1482&lt;&gt;0,VLOOKUP(S1482,VKT!$A$2:$G$415,7,0),"")</f>
        <v/>
      </c>
      <c r="X1482" s="564" t="str">
        <f t="shared" si="318"/>
        <v xml:space="preserve"> </v>
      </c>
      <c r="Y1482" s="562"/>
      <c r="Z1482" s="568"/>
      <c r="AA1482" s="568"/>
      <c r="AB1482" s="568"/>
      <c r="AC1482" s="568"/>
      <c r="AD1482" s="568"/>
      <c r="AE1482" s="568"/>
      <c r="AF1482" s="563"/>
      <c r="AG1482" s="570" t="str">
        <f>IF(AE1482&lt;&gt;0,VLOOKUP(AE1482,ODDS!$A$2:$C$13,3,0),"")</f>
        <v/>
      </c>
      <c r="AH1482" s="570" t="str">
        <f t="shared" si="317"/>
        <v xml:space="preserve"> </v>
      </c>
      <c r="AI1482" s="571" t="str">
        <f t="shared" si="323"/>
        <v xml:space="preserve"> </v>
      </c>
      <c r="AJ1482" s="558"/>
      <c r="AK1482" s="558"/>
    </row>
    <row r="1483" spans="1:39" s="385" customFormat="1" ht="40.5" outlineLevel="1" x14ac:dyDescent="0.25">
      <c r="A1483" s="467" t="s">
        <v>2593</v>
      </c>
      <c r="B1483" s="576">
        <v>117</v>
      </c>
      <c r="C1483" s="574" t="s">
        <v>1055</v>
      </c>
      <c r="D1483" s="705"/>
      <c r="E1483" s="705"/>
      <c r="F1483" s="706"/>
      <c r="G1483" s="574"/>
      <c r="H1483" s="596">
        <f>SUBTOTAL(9,H1484:H1500)</f>
        <v>0</v>
      </c>
      <c r="I1483" s="579">
        <f>SUBTOTAL(9,I1484:I1489)</f>
        <v>0</v>
      </c>
      <c r="J1483" s="597"/>
      <c r="K1483" s="581"/>
      <c r="L1483" s="581"/>
      <c r="M1483" s="571">
        <f>SUBTOTAL(9,M1484:M1500)</f>
        <v>0</v>
      </c>
      <c r="N1483" s="571">
        <f>SUBTOTAL(9,N1484:N1500)</f>
        <v>0</v>
      </c>
      <c r="O1483" s="574"/>
      <c r="P1483" s="599">
        <f>SUBTOTAL(9,P1484:P1500)</f>
        <v>41</v>
      </c>
      <c r="Q1483" s="571"/>
      <c r="R1483" s="571">
        <f>SUBTOTAL(9,R1484:R1500)</f>
        <v>35907000</v>
      </c>
      <c r="S1483" s="582"/>
      <c r="T1483" s="597"/>
      <c r="U1483" s="600">
        <f>SUBTOTAL(9,U1484:U1500)</f>
        <v>162.48999999999998</v>
      </c>
      <c r="V1483" s="608"/>
      <c r="W1483" s="571"/>
      <c r="X1483" s="571">
        <f>SUBTOTAL(9,X1484:X1500)</f>
        <v>397767000</v>
      </c>
      <c r="Y1483" s="562"/>
      <c r="Z1483" s="568"/>
      <c r="AA1483" s="568"/>
      <c r="AB1483" s="568"/>
      <c r="AC1483" s="568"/>
      <c r="AD1483" s="568"/>
      <c r="AE1483" s="584"/>
      <c r="AF1483" s="581">
        <f>SUBTOTAL(9,AF1484:AF1500)</f>
        <v>0</v>
      </c>
      <c r="AG1483" s="585"/>
      <c r="AH1483" s="585">
        <f>SUBTOTAL(9,AH1484:AH1500)</f>
        <v>0</v>
      </c>
      <c r="AI1483" s="571">
        <f t="shared" si="323"/>
        <v>433674000</v>
      </c>
      <c r="AJ1483" s="574"/>
      <c r="AK1483" s="574"/>
      <c r="AM1483" s="472"/>
    </row>
    <row r="1484" spans="1:39" s="385" customFormat="1" ht="121.5" outlineLevel="2" x14ac:dyDescent="0.3">
      <c r="A1484" s="447">
        <f>IF(B1483&lt;&gt;0,B1483,A1482)</f>
        <v>117</v>
      </c>
      <c r="B1484" s="557"/>
      <c r="C1484" s="558" t="s">
        <v>1057</v>
      </c>
      <c r="D1484" s="615"/>
      <c r="E1484" s="615"/>
      <c r="F1484" s="700"/>
      <c r="G1484" s="558"/>
      <c r="H1484" s="604"/>
      <c r="I1484" s="546"/>
      <c r="J1484" s="589"/>
      <c r="K1484" s="563" t="str">
        <f>IF(G1484&lt;&gt;0,VLOOKUP(G1484,'gia dat'!$A$1:$F$144,5,0)," ")</f>
        <v xml:space="preserve"> </v>
      </c>
      <c r="L1484" s="563" t="str">
        <f>IF(G1484&lt;&gt;0,VLOOKUP(G1484,'gia dat'!$A$1:$F$144,6,0)," ")</f>
        <v xml:space="preserve"> </v>
      </c>
      <c r="M1484" s="564" t="str">
        <f t="shared" si="320"/>
        <v xml:space="preserve"> </v>
      </c>
      <c r="N1484" s="564" t="str">
        <f t="shared" si="321"/>
        <v xml:space="preserve"> </v>
      </c>
      <c r="O1484" s="558" t="s">
        <v>64</v>
      </c>
      <c r="P1484" s="590">
        <v>7</v>
      </c>
      <c r="Q1484" s="564">
        <f>IF(O1484&lt;&gt;0,VLOOKUP(O1484,'Cây trong'!$A$2:$C$246,3,0)," ")</f>
        <v>1122000</v>
      </c>
      <c r="R1484" s="564">
        <f t="shared" si="316"/>
        <v>7854000</v>
      </c>
      <c r="S1484" s="566" t="s">
        <v>1762</v>
      </c>
      <c r="T1484" s="589" t="s">
        <v>2804</v>
      </c>
      <c r="U1484" s="591">
        <v>26.6</v>
      </c>
      <c r="V1484" s="593"/>
      <c r="W1484" s="564">
        <f>IF(S1484&lt;&gt;0,VLOOKUP(S1484,VKT!$A$2:$G$415,7,0),"")</f>
        <v>770070</v>
      </c>
      <c r="X1484" s="564">
        <f t="shared" si="318"/>
        <v>20484000</v>
      </c>
      <c r="Y1484" s="562"/>
      <c r="Z1484" s="568" t="s">
        <v>980</v>
      </c>
      <c r="AA1484" s="568" t="s">
        <v>1005</v>
      </c>
      <c r="AB1484" s="568"/>
      <c r="AC1484" s="568" t="s">
        <v>267</v>
      </c>
      <c r="AD1484" s="568"/>
      <c r="AE1484" s="568"/>
      <c r="AF1484" s="563"/>
      <c r="AG1484" s="570" t="str">
        <f>IF(AE1484&lt;&gt;0,VLOOKUP(AE1484,ODDS!$A$2:$C$13,3,0),"")</f>
        <v/>
      </c>
      <c r="AH1484" s="570" t="str">
        <f t="shared" si="317"/>
        <v xml:space="preserve"> </v>
      </c>
      <c r="AI1484" s="571" t="str">
        <f t="shared" si="323"/>
        <v xml:space="preserve"> </v>
      </c>
      <c r="AJ1484" s="558" t="s">
        <v>1058</v>
      </c>
      <c r="AK1484" s="558" t="s">
        <v>2450</v>
      </c>
      <c r="AM1484" s="377" t="s">
        <v>1861</v>
      </c>
    </row>
    <row r="1485" spans="1:39" s="385" customFormat="1" ht="121.5" outlineLevel="2" x14ac:dyDescent="0.3">
      <c r="A1485" s="447">
        <f t="shared" ref="A1485:A1500" si="324">IF(B1484&lt;&gt;0,B1484,A1484)</f>
        <v>117</v>
      </c>
      <c r="B1485" s="557"/>
      <c r="C1485" s="586" t="s">
        <v>1580</v>
      </c>
      <c r="D1485" s="615"/>
      <c r="E1485" s="615"/>
      <c r="F1485" s="700"/>
      <c r="G1485" s="558"/>
      <c r="H1485" s="604"/>
      <c r="I1485" s="546"/>
      <c r="J1485" s="589"/>
      <c r="K1485" s="563" t="str">
        <f>IF(G1485&lt;&gt;0,VLOOKUP(G1485,'gia dat'!$A$1:$F$144,5,0)," ")</f>
        <v xml:space="preserve"> </v>
      </c>
      <c r="L1485" s="563" t="str">
        <f>IF(G1485&lt;&gt;0,VLOOKUP(G1485,'gia dat'!$A$1:$F$144,6,0)," ")</f>
        <v xml:space="preserve"> </v>
      </c>
      <c r="M1485" s="564" t="str">
        <f t="shared" si="320"/>
        <v xml:space="preserve"> </v>
      </c>
      <c r="N1485" s="564" t="str">
        <f t="shared" si="321"/>
        <v xml:space="preserve"> </v>
      </c>
      <c r="O1485" s="558" t="s">
        <v>67</v>
      </c>
      <c r="P1485" s="590">
        <v>3</v>
      </c>
      <c r="Q1485" s="564">
        <f>IF(O1485&lt;&gt;0,VLOOKUP(O1485,'Cây trong'!$A$2:$C$246,3,0)," ")</f>
        <v>494000</v>
      </c>
      <c r="R1485" s="564">
        <f t="shared" si="316"/>
        <v>1482000</v>
      </c>
      <c r="S1485" s="566" t="s">
        <v>1819</v>
      </c>
      <c r="T1485" s="589" t="s">
        <v>2804</v>
      </c>
      <c r="U1485" s="591">
        <v>10</v>
      </c>
      <c r="V1485" s="593"/>
      <c r="W1485" s="564">
        <f>IF(S1485&lt;&gt;0,VLOOKUP(S1485,VKT!$A$2:$G$415,7,0),"")</f>
        <v>4246132</v>
      </c>
      <c r="X1485" s="564">
        <f t="shared" si="318"/>
        <v>42461000</v>
      </c>
      <c r="Y1485" s="562" t="s">
        <v>981</v>
      </c>
      <c r="Z1485" s="568" t="s">
        <v>980</v>
      </c>
      <c r="AA1485" s="568" t="s">
        <v>1012</v>
      </c>
      <c r="AB1485" s="568"/>
      <c r="AC1485" s="568" t="s">
        <v>981</v>
      </c>
      <c r="AD1485" s="568"/>
      <c r="AE1485" s="568"/>
      <c r="AF1485" s="563"/>
      <c r="AG1485" s="570" t="str">
        <f>IF(AE1485&lt;&gt;0,VLOOKUP(AE1485,ODDS!$A$2:$C$13,3,0),"")</f>
        <v/>
      </c>
      <c r="AH1485" s="570" t="str">
        <f t="shared" si="317"/>
        <v xml:space="preserve"> </v>
      </c>
      <c r="AI1485" s="571" t="str">
        <f t="shared" si="323"/>
        <v xml:space="preserve"> </v>
      </c>
      <c r="AJ1485" s="704"/>
      <c r="AK1485" s="558" t="s">
        <v>2449</v>
      </c>
    </row>
    <row r="1486" spans="1:39" s="385" customFormat="1" ht="101.25" outlineLevel="2" x14ac:dyDescent="0.3">
      <c r="A1486" s="447">
        <f t="shared" si="324"/>
        <v>117</v>
      </c>
      <c r="B1486" s="557"/>
      <c r="C1486" s="558"/>
      <c r="D1486" s="615"/>
      <c r="E1486" s="615"/>
      <c r="F1486" s="700"/>
      <c r="G1486" s="558"/>
      <c r="H1486" s="604"/>
      <c r="I1486" s="546"/>
      <c r="J1486" s="589"/>
      <c r="K1486" s="563" t="str">
        <f>IF(G1486&lt;&gt;0,VLOOKUP(G1486,'gia dat'!$A$1:$F$144,5,0)," ")</f>
        <v xml:space="preserve"> </v>
      </c>
      <c r="L1486" s="563" t="str">
        <f>IF(G1486&lt;&gt;0,VLOOKUP(G1486,'gia dat'!$A$1:$F$144,6,0)," ")</f>
        <v xml:space="preserve"> </v>
      </c>
      <c r="M1486" s="564" t="str">
        <f t="shared" si="320"/>
        <v xml:space="preserve"> </v>
      </c>
      <c r="N1486" s="564" t="str">
        <f t="shared" si="321"/>
        <v xml:space="preserve"> </v>
      </c>
      <c r="O1486" s="558" t="s">
        <v>77</v>
      </c>
      <c r="P1486" s="590">
        <v>2</v>
      </c>
      <c r="Q1486" s="564">
        <f>IF(O1486&lt;&gt;0,VLOOKUP(O1486,'Cây trong'!$A$2:$C$246,3,0)," ")</f>
        <v>3064000</v>
      </c>
      <c r="R1486" s="564">
        <f t="shared" si="316"/>
        <v>6128000</v>
      </c>
      <c r="S1486" s="566" t="s">
        <v>1820</v>
      </c>
      <c r="T1486" s="589" t="s">
        <v>2804</v>
      </c>
      <c r="U1486" s="591">
        <v>44.4</v>
      </c>
      <c r="V1486" s="593"/>
      <c r="W1486" s="564">
        <f>IF(S1486&lt;&gt;0,VLOOKUP(S1486,VKT!$A$2:$G$415,7,0),"")</f>
        <v>5307665</v>
      </c>
      <c r="X1486" s="564">
        <f t="shared" si="318"/>
        <v>235660000</v>
      </c>
      <c r="Y1486" s="562" t="s">
        <v>981</v>
      </c>
      <c r="Z1486" s="568" t="s">
        <v>980</v>
      </c>
      <c r="AA1486" s="568" t="s">
        <v>1012</v>
      </c>
      <c r="AB1486" s="568" t="s">
        <v>269</v>
      </c>
      <c r="AC1486" s="568" t="s">
        <v>981</v>
      </c>
      <c r="AD1486" s="568"/>
      <c r="AE1486" s="568"/>
      <c r="AF1486" s="563"/>
      <c r="AG1486" s="570" t="str">
        <f>IF(AE1486&lt;&gt;0,VLOOKUP(AE1486,ODDS!$A$2:$C$13,3,0),"")</f>
        <v/>
      </c>
      <c r="AH1486" s="570" t="str">
        <f t="shared" si="317"/>
        <v xml:space="preserve"> </v>
      </c>
      <c r="AI1486" s="571" t="str">
        <f t="shared" si="323"/>
        <v xml:space="preserve"> </v>
      </c>
      <c r="AJ1486" s="558"/>
      <c r="AK1486" s="558" t="s">
        <v>2800</v>
      </c>
    </row>
    <row r="1487" spans="1:39" s="385" customFormat="1" ht="81" outlineLevel="2" x14ac:dyDescent="0.3">
      <c r="A1487" s="447">
        <f t="shared" si="324"/>
        <v>117</v>
      </c>
      <c r="B1487" s="557"/>
      <c r="C1487" s="558"/>
      <c r="D1487" s="615"/>
      <c r="E1487" s="615"/>
      <c r="F1487" s="700"/>
      <c r="G1487" s="558"/>
      <c r="H1487" s="604"/>
      <c r="I1487" s="546"/>
      <c r="J1487" s="589"/>
      <c r="K1487" s="563" t="str">
        <f>IF(G1487&lt;&gt;0,VLOOKUP(G1487,'gia dat'!$A$1:$F$144,5,0)," ")</f>
        <v xml:space="preserve"> </v>
      </c>
      <c r="L1487" s="563" t="str">
        <f>IF(G1487&lt;&gt;0,VLOOKUP(G1487,'gia dat'!$A$1:$F$144,6,0)," ")</f>
        <v xml:space="preserve"> </v>
      </c>
      <c r="M1487" s="564" t="str">
        <f t="shared" si="320"/>
        <v xml:space="preserve"> </v>
      </c>
      <c r="N1487" s="564" t="str">
        <f t="shared" si="321"/>
        <v xml:space="preserve"> </v>
      </c>
      <c r="O1487" s="558" t="s">
        <v>79</v>
      </c>
      <c r="P1487" s="590">
        <v>19</v>
      </c>
      <c r="Q1487" s="564">
        <f>IF(O1487&lt;&gt;0,VLOOKUP(O1487,'Cây trong'!$A$2:$C$246,3,0)," ")</f>
        <v>1035000</v>
      </c>
      <c r="R1487" s="564">
        <f t="shared" si="316"/>
        <v>19665000</v>
      </c>
      <c r="S1487" s="566" t="s">
        <v>1821</v>
      </c>
      <c r="T1487" s="589" t="s">
        <v>2804</v>
      </c>
      <c r="U1487" s="617">
        <v>2.4</v>
      </c>
      <c r="V1487" s="593"/>
      <c r="W1487" s="564">
        <f>IF(S1487&lt;&gt;0,VLOOKUP(S1487,VKT!$A$2:$G$415,7,0),"")</f>
        <v>9347414</v>
      </c>
      <c r="X1487" s="564">
        <f t="shared" si="318"/>
        <v>22434000</v>
      </c>
      <c r="Y1487" s="562" t="s">
        <v>981</v>
      </c>
      <c r="Z1487" s="568" t="s">
        <v>980</v>
      </c>
      <c r="AA1487" s="568" t="s">
        <v>1012</v>
      </c>
      <c r="AB1487" s="568" t="s">
        <v>269</v>
      </c>
      <c r="AC1487" s="568" t="s">
        <v>981</v>
      </c>
      <c r="AD1487" s="568"/>
      <c r="AE1487" s="568"/>
      <c r="AF1487" s="563"/>
      <c r="AG1487" s="570" t="str">
        <f>IF(AE1487&lt;&gt;0,VLOOKUP(AE1487,ODDS!$A$2:$C$13,3,0),"")</f>
        <v/>
      </c>
      <c r="AH1487" s="570" t="str">
        <f t="shared" si="317"/>
        <v xml:space="preserve"> </v>
      </c>
      <c r="AI1487" s="571" t="str">
        <f t="shared" si="323"/>
        <v xml:space="preserve"> </v>
      </c>
      <c r="AJ1487" s="704"/>
      <c r="AK1487" s="558"/>
    </row>
    <row r="1488" spans="1:39" s="385" customFormat="1" ht="60.75" outlineLevel="2" x14ac:dyDescent="0.3">
      <c r="A1488" s="447">
        <f t="shared" si="324"/>
        <v>117</v>
      </c>
      <c r="B1488" s="557"/>
      <c r="C1488" s="558"/>
      <c r="D1488" s="615"/>
      <c r="E1488" s="615"/>
      <c r="F1488" s="700"/>
      <c r="G1488" s="558"/>
      <c r="H1488" s="604"/>
      <c r="I1488" s="546"/>
      <c r="J1488" s="589"/>
      <c r="K1488" s="563" t="str">
        <f>IF(G1488&lt;&gt;0,VLOOKUP(G1488,'gia dat'!$A$1:$F$144,5,0)," ")</f>
        <v xml:space="preserve"> </v>
      </c>
      <c r="L1488" s="563" t="str">
        <f>IF(G1488&lt;&gt;0,VLOOKUP(G1488,'gia dat'!$A$1:$F$144,6,0)," ")</f>
        <v xml:space="preserve"> </v>
      </c>
      <c r="M1488" s="564" t="str">
        <f t="shared" si="320"/>
        <v xml:space="preserve"> </v>
      </c>
      <c r="N1488" s="564" t="str">
        <f t="shared" si="321"/>
        <v xml:space="preserve"> </v>
      </c>
      <c r="O1488" s="558" t="s">
        <v>80</v>
      </c>
      <c r="P1488" s="590">
        <v>1</v>
      </c>
      <c r="Q1488" s="564">
        <f>IF(O1488&lt;&gt;0,VLOOKUP(O1488,'Cây trong'!$A$2:$C$246,3,0)," ")</f>
        <v>400000</v>
      </c>
      <c r="R1488" s="564">
        <f t="shared" si="316"/>
        <v>400000</v>
      </c>
      <c r="S1488" s="566" t="s">
        <v>1822</v>
      </c>
      <c r="T1488" s="589" t="s">
        <v>2804</v>
      </c>
      <c r="U1488" s="591">
        <v>29.67</v>
      </c>
      <c r="V1488" s="593"/>
      <c r="W1488" s="564">
        <f>IF(S1488&lt;&gt;0,VLOOKUP(S1488,VKT!$A$2:$G$415,7,0),"")</f>
        <v>1107311</v>
      </c>
      <c r="X1488" s="564">
        <f t="shared" si="318"/>
        <v>32854000</v>
      </c>
      <c r="Y1488" s="562" t="s">
        <v>139</v>
      </c>
      <c r="Z1488" s="568" t="s">
        <v>980</v>
      </c>
      <c r="AA1488" s="568" t="s">
        <v>1012</v>
      </c>
      <c r="AB1488" s="568" t="s">
        <v>269</v>
      </c>
      <c r="AC1488" s="568" t="s">
        <v>267</v>
      </c>
      <c r="AD1488" s="568"/>
      <c r="AE1488" s="568"/>
      <c r="AF1488" s="563"/>
      <c r="AG1488" s="570" t="str">
        <f>IF(AE1488&lt;&gt;0,VLOOKUP(AE1488,ODDS!$A$2:$C$13,3,0),"")</f>
        <v/>
      </c>
      <c r="AH1488" s="570" t="str">
        <f t="shared" si="317"/>
        <v xml:space="preserve"> </v>
      </c>
      <c r="AI1488" s="571" t="str">
        <f t="shared" si="323"/>
        <v xml:space="preserve"> </v>
      </c>
      <c r="AJ1488" s="593"/>
      <c r="AK1488" s="593"/>
    </row>
    <row r="1489" spans="1:37" s="385" customFormat="1" ht="81" outlineLevel="2" x14ac:dyDescent="0.3">
      <c r="A1489" s="447">
        <f t="shared" si="324"/>
        <v>117</v>
      </c>
      <c r="B1489" s="557"/>
      <c r="C1489" s="558"/>
      <c r="D1489" s="615"/>
      <c r="E1489" s="615"/>
      <c r="F1489" s="700"/>
      <c r="G1489" s="558"/>
      <c r="H1489" s="604"/>
      <c r="I1489" s="546"/>
      <c r="J1489" s="589"/>
      <c r="K1489" s="563" t="str">
        <f>IF(G1489&lt;&gt;0,VLOOKUP(G1489,'gia dat'!$A$1:$F$144,5,0)," ")</f>
        <v xml:space="preserve"> </v>
      </c>
      <c r="L1489" s="563" t="str">
        <f>IF(G1489&lt;&gt;0,VLOOKUP(G1489,'gia dat'!$A$1:$F$144,6,0)," ")</f>
        <v xml:space="preserve"> </v>
      </c>
      <c r="M1489" s="564" t="str">
        <f t="shared" si="320"/>
        <v xml:space="preserve"> </v>
      </c>
      <c r="N1489" s="564" t="str">
        <f t="shared" si="321"/>
        <v xml:space="preserve"> </v>
      </c>
      <c r="O1489" s="558" t="s">
        <v>131</v>
      </c>
      <c r="P1489" s="590">
        <v>1</v>
      </c>
      <c r="Q1489" s="564">
        <f>IF(O1489&lt;&gt;0,VLOOKUP(O1489,'Cây trong'!$A$2:$C$246,3,0)," ")</f>
        <v>228000</v>
      </c>
      <c r="R1489" s="564">
        <f t="shared" si="316"/>
        <v>228000</v>
      </c>
      <c r="S1489" s="566" t="s">
        <v>1823</v>
      </c>
      <c r="T1489" s="589" t="s">
        <v>2804</v>
      </c>
      <c r="U1489" s="617">
        <v>2.2799999999999998</v>
      </c>
      <c r="V1489" s="593"/>
      <c r="W1489" s="564">
        <f>IF(S1489&lt;&gt;0,VLOOKUP(S1489,VKT!$A$2:$G$415,7,0),"")</f>
        <v>8524607</v>
      </c>
      <c r="X1489" s="564">
        <f t="shared" si="318"/>
        <v>19436000</v>
      </c>
      <c r="Y1489" s="562" t="s">
        <v>139</v>
      </c>
      <c r="Z1489" s="568" t="s">
        <v>980</v>
      </c>
      <c r="AA1489" s="568" t="s">
        <v>1012</v>
      </c>
      <c r="AB1489" s="568" t="s">
        <v>269</v>
      </c>
      <c r="AC1489" s="568" t="s">
        <v>139</v>
      </c>
      <c r="AD1489" s="568"/>
      <c r="AE1489" s="568"/>
      <c r="AF1489" s="563"/>
      <c r="AG1489" s="570" t="str">
        <f>IF(AE1489&lt;&gt;0,VLOOKUP(AE1489,ODDS!$A$2:$C$13,3,0),"")</f>
        <v/>
      </c>
      <c r="AH1489" s="570" t="str">
        <f t="shared" si="317"/>
        <v xml:space="preserve"> </v>
      </c>
      <c r="AI1489" s="571" t="str">
        <f t="shared" si="323"/>
        <v xml:space="preserve"> </v>
      </c>
      <c r="AJ1489" s="558"/>
      <c r="AK1489" s="558"/>
    </row>
    <row r="1490" spans="1:37" s="385" customFormat="1" ht="60.75" outlineLevel="2" x14ac:dyDescent="0.3">
      <c r="A1490" s="447">
        <f t="shared" si="324"/>
        <v>117</v>
      </c>
      <c r="B1490" s="557"/>
      <c r="C1490" s="558"/>
      <c r="D1490" s="615"/>
      <c r="E1490" s="615"/>
      <c r="F1490" s="700"/>
      <c r="G1490" s="558"/>
      <c r="H1490" s="604"/>
      <c r="I1490" s="546"/>
      <c r="J1490" s="589"/>
      <c r="K1490" s="563" t="str">
        <f>IF(G1490&lt;&gt;0,VLOOKUP(G1490,'gia dat'!$A$1:$F$144,5,0)," ")</f>
        <v xml:space="preserve"> </v>
      </c>
      <c r="L1490" s="563" t="str">
        <f>IF(G1490&lt;&gt;0,VLOOKUP(G1490,'gia dat'!$A$1:$F$144,6,0)," ")</f>
        <v xml:space="preserve"> </v>
      </c>
      <c r="M1490" s="564" t="str">
        <f t="shared" si="320"/>
        <v xml:space="preserve"> </v>
      </c>
      <c r="N1490" s="564" t="str">
        <f t="shared" si="321"/>
        <v xml:space="preserve"> </v>
      </c>
      <c r="O1490" s="586" t="s">
        <v>783</v>
      </c>
      <c r="P1490" s="590">
        <v>1</v>
      </c>
      <c r="Q1490" s="564">
        <f>IF(O1490&lt;&gt;0,VLOOKUP(O1490,'Cây trong'!$A$2:$C$246,3,0)," ")</f>
        <v>60000</v>
      </c>
      <c r="R1490" s="564">
        <f t="shared" si="316"/>
        <v>60000</v>
      </c>
      <c r="S1490" s="566" t="s">
        <v>1824</v>
      </c>
      <c r="T1490" s="589" t="s">
        <v>2804</v>
      </c>
      <c r="U1490" s="591">
        <v>10.199999999999999</v>
      </c>
      <c r="V1490" s="593"/>
      <c r="W1490" s="564">
        <f>IF(S1490&lt;&gt;0,VLOOKUP(S1490,VKT!$A$2:$G$415,7,0),"")</f>
        <v>1737793</v>
      </c>
      <c r="X1490" s="564">
        <f t="shared" si="318"/>
        <v>17725000</v>
      </c>
      <c r="Y1490" s="562"/>
      <c r="Z1490" s="568"/>
      <c r="AA1490" s="568"/>
      <c r="AB1490" s="568"/>
      <c r="AC1490" s="568"/>
      <c r="AD1490" s="568"/>
      <c r="AE1490" s="568"/>
      <c r="AF1490" s="563"/>
      <c r="AG1490" s="570" t="str">
        <f>IF(AE1490&lt;&gt;0,VLOOKUP(AE1490,ODDS!$A$2:$C$13,3,0),"")</f>
        <v/>
      </c>
      <c r="AH1490" s="570" t="str">
        <f t="shared" si="317"/>
        <v xml:space="preserve"> </v>
      </c>
      <c r="AI1490" s="571" t="str">
        <f t="shared" si="323"/>
        <v xml:space="preserve"> </v>
      </c>
      <c r="AJ1490" s="558"/>
      <c r="AK1490" s="558"/>
    </row>
    <row r="1491" spans="1:37" s="385" customFormat="1" ht="60.75" outlineLevel="2" x14ac:dyDescent="0.3">
      <c r="A1491" s="447">
        <f t="shared" si="324"/>
        <v>117</v>
      </c>
      <c r="B1491" s="557"/>
      <c r="C1491" s="558"/>
      <c r="D1491" s="615"/>
      <c r="E1491" s="615"/>
      <c r="F1491" s="700"/>
      <c r="G1491" s="558"/>
      <c r="H1491" s="604"/>
      <c r="I1491" s="546"/>
      <c r="J1491" s="589"/>
      <c r="K1491" s="563" t="str">
        <f>IF(G1491&lt;&gt;0,VLOOKUP(G1491,'gia dat'!$A$1:$F$144,5,0)," ")</f>
        <v xml:space="preserve"> </v>
      </c>
      <c r="L1491" s="563" t="str">
        <f>IF(G1491&lt;&gt;0,VLOOKUP(G1491,'gia dat'!$A$1:$F$144,6,0)," ")</f>
        <v xml:space="preserve"> </v>
      </c>
      <c r="M1491" s="564" t="str">
        <f t="shared" si="320"/>
        <v xml:space="preserve"> </v>
      </c>
      <c r="N1491" s="564" t="str">
        <f t="shared" si="321"/>
        <v xml:space="preserve"> </v>
      </c>
      <c r="O1491" s="558" t="s">
        <v>836</v>
      </c>
      <c r="P1491" s="590">
        <v>2</v>
      </c>
      <c r="Q1491" s="564">
        <f>IF(O1491&lt;&gt;0,VLOOKUP(O1491,'Cây trong'!$A$2:$C$246,3,0)," ")</f>
        <v>0</v>
      </c>
      <c r="R1491" s="564">
        <f t="shared" si="316"/>
        <v>0</v>
      </c>
      <c r="S1491" s="566" t="s">
        <v>1768</v>
      </c>
      <c r="T1491" s="589" t="s">
        <v>2804</v>
      </c>
      <c r="U1491" s="591">
        <v>7</v>
      </c>
      <c r="V1491" s="593"/>
      <c r="W1491" s="564">
        <f>IF(S1491&lt;&gt;0,VLOOKUP(S1491,VKT!$A$2:$G$415,7,0),"")</f>
        <v>238288</v>
      </c>
      <c r="X1491" s="564">
        <f t="shared" si="318"/>
        <v>1668000</v>
      </c>
      <c r="Y1491" s="562"/>
      <c r="Z1491" s="568"/>
      <c r="AA1491" s="568"/>
      <c r="AB1491" s="568"/>
      <c r="AC1491" s="568"/>
      <c r="AD1491" s="568"/>
      <c r="AE1491" s="568"/>
      <c r="AF1491" s="563"/>
      <c r="AG1491" s="570" t="str">
        <f>IF(AE1491&lt;&gt;0,VLOOKUP(AE1491,ODDS!$A$2:$C$13,3,0),"")</f>
        <v/>
      </c>
      <c r="AH1491" s="570" t="str">
        <f t="shared" si="317"/>
        <v xml:space="preserve"> </v>
      </c>
      <c r="AI1491" s="571" t="str">
        <f t="shared" si="323"/>
        <v xml:space="preserve"> </v>
      </c>
      <c r="AJ1491" s="558"/>
      <c r="AK1491" s="558"/>
    </row>
    <row r="1492" spans="1:37" s="385" customFormat="1" ht="60.75" outlineLevel="2" x14ac:dyDescent="0.3">
      <c r="A1492" s="447">
        <f t="shared" si="324"/>
        <v>117</v>
      </c>
      <c r="B1492" s="557"/>
      <c r="C1492" s="558"/>
      <c r="D1492" s="615"/>
      <c r="E1492" s="615"/>
      <c r="F1492" s="700"/>
      <c r="G1492" s="558"/>
      <c r="H1492" s="604"/>
      <c r="I1492" s="546"/>
      <c r="J1492" s="589"/>
      <c r="K1492" s="563" t="str">
        <f>IF(G1492&lt;&gt;0,VLOOKUP(G1492,'gia dat'!$A$1:$F$144,5,0)," ")</f>
        <v xml:space="preserve"> </v>
      </c>
      <c r="L1492" s="563" t="str">
        <f>IF(G1492&lt;&gt;0,VLOOKUP(G1492,'gia dat'!$A$1:$F$144,6,0)," ")</f>
        <v xml:space="preserve"> </v>
      </c>
      <c r="M1492" s="564" t="str">
        <f t="shared" si="320"/>
        <v xml:space="preserve"> </v>
      </c>
      <c r="N1492" s="564" t="str">
        <f t="shared" si="321"/>
        <v xml:space="preserve"> </v>
      </c>
      <c r="O1492" s="558" t="s">
        <v>750</v>
      </c>
      <c r="P1492" s="590">
        <v>3</v>
      </c>
      <c r="Q1492" s="564">
        <f>IF(O1492&lt;&gt;0,VLOOKUP(O1492,'Cây trong'!$A$2:$C$246,3,0)," ")</f>
        <v>0</v>
      </c>
      <c r="R1492" s="564">
        <f t="shared" si="316"/>
        <v>0</v>
      </c>
      <c r="S1492" s="566" t="s">
        <v>1798</v>
      </c>
      <c r="T1492" s="589" t="s">
        <v>2804</v>
      </c>
      <c r="U1492" s="591">
        <v>6.1</v>
      </c>
      <c r="V1492" s="593"/>
      <c r="W1492" s="564">
        <f>IF(S1492&lt;&gt;0,VLOOKUP(S1492,VKT!$A$2:$G$415,7,0),"")</f>
        <v>348773</v>
      </c>
      <c r="X1492" s="564">
        <f t="shared" si="318"/>
        <v>2128000</v>
      </c>
      <c r="Y1492" s="562"/>
      <c r="Z1492" s="568"/>
      <c r="AA1492" s="568"/>
      <c r="AB1492" s="568"/>
      <c r="AC1492" s="568"/>
      <c r="AD1492" s="568"/>
      <c r="AE1492" s="568"/>
      <c r="AF1492" s="563"/>
      <c r="AG1492" s="570" t="str">
        <f>IF(AE1492&lt;&gt;0,VLOOKUP(AE1492,ODDS!$A$2:$C$13,3,0),"")</f>
        <v/>
      </c>
      <c r="AH1492" s="570" t="str">
        <f t="shared" si="317"/>
        <v xml:space="preserve"> </v>
      </c>
      <c r="AI1492" s="571" t="str">
        <f t="shared" si="323"/>
        <v xml:space="preserve"> </v>
      </c>
      <c r="AJ1492" s="558"/>
      <c r="AK1492" s="558"/>
    </row>
    <row r="1493" spans="1:37" s="385" customFormat="1" ht="60.75" outlineLevel="2" x14ac:dyDescent="0.3">
      <c r="A1493" s="447">
        <f t="shared" si="324"/>
        <v>117</v>
      </c>
      <c r="B1493" s="557"/>
      <c r="C1493" s="558"/>
      <c r="D1493" s="615"/>
      <c r="E1493" s="615"/>
      <c r="F1493" s="700"/>
      <c r="G1493" s="558"/>
      <c r="H1493" s="604"/>
      <c r="I1493" s="546"/>
      <c r="J1493" s="589"/>
      <c r="K1493" s="563" t="str">
        <f>IF(G1493&lt;&gt;0,VLOOKUP(G1493,'gia dat'!$A$1:$F$144,5,0)," ")</f>
        <v xml:space="preserve"> </v>
      </c>
      <c r="L1493" s="563" t="str">
        <f>IF(G1493&lt;&gt;0,VLOOKUP(G1493,'gia dat'!$A$1:$F$144,6,0)," ")</f>
        <v xml:space="preserve"> </v>
      </c>
      <c r="M1493" s="564" t="str">
        <f t="shared" si="320"/>
        <v xml:space="preserve"> </v>
      </c>
      <c r="N1493" s="564" t="str">
        <f t="shared" si="321"/>
        <v xml:space="preserve"> </v>
      </c>
      <c r="O1493" s="558" t="s">
        <v>76</v>
      </c>
      <c r="P1493" s="590">
        <v>2</v>
      </c>
      <c r="Q1493" s="564">
        <f>IF(O1493&lt;&gt;0,VLOOKUP(O1493,'Cây trong'!$A$2:$C$246,3,0)," ")</f>
        <v>45000</v>
      </c>
      <c r="R1493" s="564">
        <f t="shared" si="316"/>
        <v>90000</v>
      </c>
      <c r="S1493" s="566" t="s">
        <v>1798</v>
      </c>
      <c r="T1493" s="589" t="s">
        <v>2804</v>
      </c>
      <c r="U1493" s="591">
        <v>4.5</v>
      </c>
      <c r="V1493" s="593"/>
      <c r="W1493" s="564">
        <f>IF(S1493&lt;&gt;0,VLOOKUP(S1493,VKT!$A$2:$G$415,7,0),"")</f>
        <v>348773</v>
      </c>
      <c r="X1493" s="564">
        <f t="shared" si="318"/>
        <v>1569000</v>
      </c>
      <c r="Y1493" s="562"/>
      <c r="Z1493" s="568"/>
      <c r="AA1493" s="568"/>
      <c r="AB1493" s="568"/>
      <c r="AC1493" s="568"/>
      <c r="AD1493" s="568"/>
      <c r="AE1493" s="568"/>
      <c r="AF1493" s="563"/>
      <c r="AG1493" s="570" t="str">
        <f>IF(AE1493&lt;&gt;0,VLOOKUP(AE1493,ODDS!$A$2:$C$13,3,0),"")</f>
        <v/>
      </c>
      <c r="AH1493" s="570" t="str">
        <f t="shared" si="317"/>
        <v xml:space="preserve"> </v>
      </c>
      <c r="AI1493" s="571" t="str">
        <f t="shared" si="323"/>
        <v xml:space="preserve"> </v>
      </c>
      <c r="AJ1493" s="558"/>
      <c r="AK1493" s="558"/>
    </row>
    <row r="1494" spans="1:37" s="385" customFormat="1" ht="40.5" outlineLevel="2" x14ac:dyDescent="0.3">
      <c r="A1494" s="447">
        <f t="shared" si="324"/>
        <v>117</v>
      </c>
      <c r="B1494" s="557"/>
      <c r="C1494" s="558"/>
      <c r="D1494" s="615"/>
      <c r="E1494" s="615"/>
      <c r="F1494" s="700"/>
      <c r="G1494" s="558"/>
      <c r="H1494" s="604"/>
      <c r="I1494" s="546"/>
      <c r="J1494" s="589"/>
      <c r="K1494" s="563" t="str">
        <f>IF(G1494&lt;&gt;0,VLOOKUP(G1494,'gia dat'!$A$1:$F$144,5,0)," ")</f>
        <v xml:space="preserve"> </v>
      </c>
      <c r="L1494" s="563" t="str">
        <f>IF(G1494&lt;&gt;0,VLOOKUP(G1494,'gia dat'!$A$1:$F$144,6,0)," ")</f>
        <v xml:space="preserve"> </v>
      </c>
      <c r="M1494" s="564" t="str">
        <f t="shared" si="320"/>
        <v xml:space="preserve"> </v>
      </c>
      <c r="N1494" s="564" t="str">
        <f t="shared" si="321"/>
        <v xml:space="preserve"> </v>
      </c>
      <c r="O1494" s="558"/>
      <c r="P1494" s="590"/>
      <c r="Q1494" s="564" t="str">
        <f>IF(O1494&lt;&gt;0,VLOOKUP(O1494,'Cây trong'!$A$2:$C$246,3,0)," ")</f>
        <v xml:space="preserve"> </v>
      </c>
      <c r="R1494" s="564" t="str">
        <f t="shared" si="316"/>
        <v xml:space="preserve"> </v>
      </c>
      <c r="S1494" s="566" t="s">
        <v>1800</v>
      </c>
      <c r="T1494" s="589" t="s">
        <v>2827</v>
      </c>
      <c r="U1494" s="591">
        <v>0.2</v>
      </c>
      <c r="V1494" s="593"/>
      <c r="W1494" s="564">
        <f>IF(S1494&lt;&gt;0,VLOOKUP(S1494,VKT!$A$2:$G$415,7,0),"")</f>
        <v>0</v>
      </c>
      <c r="X1494" s="564">
        <f t="shared" si="318"/>
        <v>0</v>
      </c>
      <c r="Y1494" s="562"/>
      <c r="Z1494" s="568"/>
      <c r="AA1494" s="568"/>
      <c r="AB1494" s="568"/>
      <c r="AC1494" s="568"/>
      <c r="AD1494" s="568"/>
      <c r="AE1494" s="568"/>
      <c r="AF1494" s="563"/>
      <c r="AG1494" s="570" t="str">
        <f>IF(AE1494&lt;&gt;0,VLOOKUP(AE1494,ODDS!$A$2:$C$13,3,0),"")</f>
        <v/>
      </c>
      <c r="AH1494" s="570" t="str">
        <f t="shared" si="317"/>
        <v xml:space="preserve"> </v>
      </c>
      <c r="AI1494" s="571" t="str">
        <f t="shared" si="323"/>
        <v xml:space="preserve"> </v>
      </c>
      <c r="AJ1494" s="558"/>
      <c r="AK1494" s="558"/>
    </row>
    <row r="1495" spans="1:37" s="385" customFormat="1" ht="60.75" outlineLevel="2" x14ac:dyDescent="0.3">
      <c r="A1495" s="447">
        <f t="shared" si="324"/>
        <v>117</v>
      </c>
      <c r="B1495" s="557"/>
      <c r="C1495" s="558"/>
      <c r="D1495" s="615"/>
      <c r="E1495" s="615"/>
      <c r="F1495" s="700"/>
      <c r="G1495" s="558"/>
      <c r="H1495" s="604"/>
      <c r="I1495" s="546"/>
      <c r="J1495" s="589"/>
      <c r="K1495" s="563" t="str">
        <f>IF(G1495&lt;&gt;0,VLOOKUP(G1495,'gia dat'!$A$1:$F$144,5,0)," ")</f>
        <v xml:space="preserve"> </v>
      </c>
      <c r="L1495" s="563" t="str">
        <f>IF(G1495&lt;&gt;0,VLOOKUP(G1495,'gia dat'!$A$1:$F$144,6,0)," ")</f>
        <v xml:space="preserve"> </v>
      </c>
      <c r="M1495" s="564" t="str">
        <f t="shared" si="320"/>
        <v xml:space="preserve"> </v>
      </c>
      <c r="N1495" s="564" t="str">
        <f t="shared" si="321"/>
        <v xml:space="preserve"> </v>
      </c>
      <c r="O1495" s="558"/>
      <c r="P1495" s="590"/>
      <c r="Q1495" s="564" t="str">
        <f>IF(O1495&lt;&gt;0,VLOOKUP(O1495,'Cây trong'!$A$2:$C$246,3,0)," ")</f>
        <v xml:space="preserve"> </v>
      </c>
      <c r="R1495" s="564" t="str">
        <f t="shared" si="316"/>
        <v xml:space="preserve"> </v>
      </c>
      <c r="S1495" s="566" t="s">
        <v>1777</v>
      </c>
      <c r="T1495" s="589" t="s">
        <v>2804</v>
      </c>
      <c r="U1495" s="591">
        <v>4.7</v>
      </c>
      <c r="V1495" s="593"/>
      <c r="W1495" s="564">
        <f>IF(S1495&lt;&gt;0,VLOOKUP(S1495,VKT!$A$2:$G$415,7,0),"")</f>
        <v>286855</v>
      </c>
      <c r="X1495" s="564">
        <f t="shared" si="318"/>
        <v>1348000</v>
      </c>
      <c r="Y1495" s="562"/>
      <c r="Z1495" s="568"/>
      <c r="AA1495" s="568"/>
      <c r="AB1495" s="568"/>
      <c r="AC1495" s="568"/>
      <c r="AD1495" s="568"/>
      <c r="AE1495" s="568"/>
      <c r="AF1495" s="563"/>
      <c r="AG1495" s="570" t="str">
        <f>IF(AE1495&lt;&gt;0,VLOOKUP(AE1495,ODDS!$A$2:$C$13,3,0),"")</f>
        <v/>
      </c>
      <c r="AH1495" s="570" t="str">
        <f t="shared" si="317"/>
        <v xml:space="preserve"> </v>
      </c>
      <c r="AI1495" s="571" t="str">
        <f t="shared" si="323"/>
        <v xml:space="preserve"> </v>
      </c>
      <c r="AJ1495" s="558"/>
      <c r="AK1495" s="558"/>
    </row>
    <row r="1496" spans="1:37" s="385" customFormat="1" ht="40.5" outlineLevel="2" x14ac:dyDescent="0.3">
      <c r="A1496" s="447">
        <f t="shared" si="324"/>
        <v>117</v>
      </c>
      <c r="B1496" s="557"/>
      <c r="C1496" s="558"/>
      <c r="D1496" s="615"/>
      <c r="E1496" s="615"/>
      <c r="F1496" s="700"/>
      <c r="G1496" s="558"/>
      <c r="H1496" s="604"/>
      <c r="I1496" s="546"/>
      <c r="J1496" s="589"/>
      <c r="K1496" s="563" t="str">
        <f>IF(G1496&lt;&gt;0,VLOOKUP(G1496,'gia dat'!$A$1:$F$144,5,0)," ")</f>
        <v xml:space="preserve"> </v>
      </c>
      <c r="L1496" s="563" t="str">
        <f>IF(G1496&lt;&gt;0,VLOOKUP(G1496,'gia dat'!$A$1:$F$144,6,0)," ")</f>
        <v xml:space="preserve"> </v>
      </c>
      <c r="M1496" s="564" t="str">
        <f t="shared" si="320"/>
        <v xml:space="preserve"> </v>
      </c>
      <c r="N1496" s="564" t="str">
        <f t="shared" si="321"/>
        <v xml:space="preserve"> </v>
      </c>
      <c r="O1496" s="558"/>
      <c r="P1496" s="590"/>
      <c r="Q1496" s="564" t="str">
        <f>IF(O1496&lt;&gt;0,VLOOKUP(O1496,'Cây trong'!$A$2:$C$246,3,0)," ")</f>
        <v xml:space="preserve"> </v>
      </c>
      <c r="R1496" s="564" t="str">
        <f t="shared" si="316"/>
        <v xml:space="preserve"> </v>
      </c>
      <c r="S1496" s="566" t="s">
        <v>1775</v>
      </c>
      <c r="T1496" s="589" t="s">
        <v>2804</v>
      </c>
      <c r="U1496" s="591">
        <v>10.4</v>
      </c>
      <c r="V1496" s="593"/>
      <c r="W1496" s="564">
        <f>IF(S1496&lt;&gt;0,VLOOKUP(S1496,VKT!$A$2:$G$415,7,0),"")</f>
        <v>0</v>
      </c>
      <c r="X1496" s="564">
        <f t="shared" si="318"/>
        <v>0</v>
      </c>
      <c r="Y1496" s="562"/>
      <c r="Z1496" s="568"/>
      <c r="AA1496" s="568"/>
      <c r="AB1496" s="568"/>
      <c r="AC1496" s="568"/>
      <c r="AD1496" s="568"/>
      <c r="AE1496" s="568"/>
      <c r="AF1496" s="563"/>
      <c r="AG1496" s="570" t="str">
        <f>IF(AE1496&lt;&gt;0,VLOOKUP(AE1496,ODDS!$A$2:$C$13,3,0),"")</f>
        <v/>
      </c>
      <c r="AH1496" s="570" t="str">
        <f t="shared" si="317"/>
        <v xml:space="preserve"> </v>
      </c>
      <c r="AI1496" s="571" t="str">
        <f t="shared" si="323"/>
        <v xml:space="preserve"> </v>
      </c>
      <c r="AJ1496" s="558"/>
      <c r="AK1496" s="558"/>
    </row>
    <row r="1497" spans="1:37" s="385" customFormat="1" ht="40.5" outlineLevel="2" x14ac:dyDescent="0.3">
      <c r="A1497" s="447">
        <f t="shared" si="324"/>
        <v>117</v>
      </c>
      <c r="B1497" s="557"/>
      <c r="C1497" s="558"/>
      <c r="D1497" s="615"/>
      <c r="E1497" s="615"/>
      <c r="F1497" s="700"/>
      <c r="G1497" s="558"/>
      <c r="H1497" s="604"/>
      <c r="I1497" s="546"/>
      <c r="J1497" s="589"/>
      <c r="K1497" s="563" t="str">
        <f>IF(G1497&lt;&gt;0,VLOOKUP(G1497,'gia dat'!$A$1:$F$144,5,0)," ")</f>
        <v xml:space="preserve"> </v>
      </c>
      <c r="L1497" s="563" t="str">
        <f>IF(G1497&lt;&gt;0,VLOOKUP(G1497,'gia dat'!$A$1:$F$144,6,0)," ")</f>
        <v xml:space="preserve"> </v>
      </c>
      <c r="M1497" s="564" t="str">
        <f t="shared" si="320"/>
        <v xml:space="preserve"> </v>
      </c>
      <c r="N1497" s="564" t="str">
        <f t="shared" si="321"/>
        <v xml:space="preserve"> </v>
      </c>
      <c r="O1497" s="558"/>
      <c r="P1497" s="590"/>
      <c r="Q1497" s="564" t="str">
        <f>IF(O1497&lt;&gt;0,VLOOKUP(O1497,'Cây trong'!$A$2:$C$246,3,0)," ")</f>
        <v xml:space="preserve"> </v>
      </c>
      <c r="R1497" s="564" t="str">
        <f t="shared" si="316"/>
        <v xml:space="preserve"> </v>
      </c>
      <c r="S1497" s="566" t="s">
        <v>1775</v>
      </c>
      <c r="T1497" s="589" t="s">
        <v>2804</v>
      </c>
      <c r="U1497" s="591">
        <v>3.04</v>
      </c>
      <c r="V1497" s="593"/>
      <c r="W1497" s="564">
        <f>IF(S1497&lt;&gt;0,VLOOKUP(S1497,VKT!$A$2:$G$415,7,0),"")</f>
        <v>0</v>
      </c>
      <c r="X1497" s="564">
        <f t="shared" si="318"/>
        <v>0</v>
      </c>
      <c r="Y1497" s="562"/>
      <c r="Z1497" s="568" t="s">
        <v>266</v>
      </c>
      <c r="AA1497" s="568" t="s">
        <v>82</v>
      </c>
      <c r="AB1497" s="568" t="s">
        <v>1059</v>
      </c>
      <c r="AC1497" s="568" t="s">
        <v>1060</v>
      </c>
      <c r="AD1497" s="568"/>
      <c r="AE1497" s="568"/>
      <c r="AF1497" s="563"/>
      <c r="AG1497" s="570" t="str">
        <f>IF(AE1497&lt;&gt;0,VLOOKUP(AE1497,ODDS!$A$2:$C$13,3,0),"")</f>
        <v/>
      </c>
      <c r="AH1497" s="570" t="str">
        <f t="shared" si="317"/>
        <v xml:space="preserve"> </v>
      </c>
      <c r="AI1497" s="571" t="str">
        <f t="shared" si="323"/>
        <v xml:space="preserve"> </v>
      </c>
      <c r="AJ1497" s="558"/>
      <c r="AK1497" s="558"/>
    </row>
    <row r="1498" spans="1:37" s="385" customFormat="1" ht="60.75" outlineLevel="2" x14ac:dyDescent="0.3">
      <c r="A1498" s="447">
        <f t="shared" si="324"/>
        <v>117</v>
      </c>
      <c r="B1498" s="557"/>
      <c r="C1498" s="558"/>
      <c r="D1498" s="615"/>
      <c r="E1498" s="615"/>
      <c r="F1498" s="700"/>
      <c r="G1498" s="558"/>
      <c r="H1498" s="604"/>
      <c r="I1498" s="546"/>
      <c r="J1498" s="589"/>
      <c r="K1498" s="563" t="str">
        <f>IF(G1498&lt;&gt;0,VLOOKUP(G1498,'gia dat'!$A$1:$F$144,5,0)," ")</f>
        <v xml:space="preserve"> </v>
      </c>
      <c r="L1498" s="563" t="str">
        <f>IF(G1498&lt;&gt;0,VLOOKUP(G1498,'gia dat'!$A$1:$F$144,6,0)," ")</f>
        <v xml:space="preserve"> </v>
      </c>
      <c r="M1498" s="564" t="str">
        <f t="shared" si="320"/>
        <v xml:space="preserve"> </v>
      </c>
      <c r="N1498" s="564" t="str">
        <f t="shared" si="321"/>
        <v xml:space="preserve"> </v>
      </c>
      <c r="O1498" s="558"/>
      <c r="P1498" s="590"/>
      <c r="Q1498" s="564" t="str">
        <f>IF(O1498&lt;&gt;0,VLOOKUP(O1498,'Cây trong'!$A$2:$C$246,3,0)," ")</f>
        <v xml:space="preserve"> </v>
      </c>
      <c r="R1498" s="564" t="str">
        <f t="shared" si="316"/>
        <v xml:space="preserve"> </v>
      </c>
      <c r="S1498" s="566" t="s">
        <v>1825</v>
      </c>
      <c r="T1498" s="589" t="s">
        <v>93</v>
      </c>
      <c r="U1498" s="591">
        <v>1</v>
      </c>
      <c r="V1498" s="593"/>
      <c r="W1498" s="564">
        <f>IF(S1498&lt;&gt;0,VLOOKUP(S1498,VKT!$A$2:$G$415,7,0),"")</f>
        <v>0</v>
      </c>
      <c r="X1498" s="564">
        <f t="shared" si="318"/>
        <v>0</v>
      </c>
      <c r="Y1498" s="562"/>
      <c r="Z1498" s="568" t="s">
        <v>266</v>
      </c>
      <c r="AA1498" s="568" t="s">
        <v>82</v>
      </c>
      <c r="AB1498" s="568" t="s">
        <v>1059</v>
      </c>
      <c r="AC1498" s="568" t="s">
        <v>1060</v>
      </c>
      <c r="AD1498" s="568"/>
      <c r="AE1498" s="568"/>
      <c r="AF1498" s="563"/>
      <c r="AG1498" s="570" t="str">
        <f>IF(AE1498&lt;&gt;0,VLOOKUP(AE1498,ODDS!$A$2:$C$13,3,0),"")</f>
        <v/>
      </c>
      <c r="AH1498" s="570" t="str">
        <f t="shared" si="317"/>
        <v xml:space="preserve"> </v>
      </c>
      <c r="AI1498" s="571" t="str">
        <f t="shared" si="323"/>
        <v xml:space="preserve"> </v>
      </c>
      <c r="AJ1498" s="558"/>
      <c r="AK1498" s="558"/>
    </row>
    <row r="1499" spans="1:37" s="385" customFormat="1" ht="20.25" outlineLevel="2" x14ac:dyDescent="0.3">
      <c r="A1499" s="447">
        <f t="shared" si="324"/>
        <v>117</v>
      </c>
      <c r="B1499" s="557"/>
      <c r="C1499" s="558"/>
      <c r="D1499" s="615"/>
      <c r="E1499" s="615"/>
      <c r="F1499" s="700"/>
      <c r="G1499" s="558"/>
      <c r="H1499" s="604"/>
      <c r="I1499" s="546"/>
      <c r="J1499" s="589"/>
      <c r="K1499" s="563" t="str">
        <f>IF(G1499&lt;&gt;0,VLOOKUP(G1499,'gia dat'!$A$1:$F$144,5,0)," ")</f>
        <v xml:space="preserve"> </v>
      </c>
      <c r="L1499" s="563" t="str">
        <f>IF(G1499&lt;&gt;0,VLOOKUP(G1499,'gia dat'!$A$1:$F$144,6,0)," ")</f>
        <v xml:space="preserve"> </v>
      </c>
      <c r="M1499" s="564" t="str">
        <f t="shared" si="320"/>
        <v xml:space="preserve"> </v>
      </c>
      <c r="N1499" s="564" t="str">
        <f t="shared" si="321"/>
        <v xml:space="preserve"> </v>
      </c>
      <c r="O1499" s="558"/>
      <c r="P1499" s="590"/>
      <c r="Q1499" s="564" t="str">
        <f>IF(O1499&lt;&gt;0,VLOOKUP(O1499,'Cây trong'!$A$2:$C$246,3,0)," ")</f>
        <v xml:space="preserve"> </v>
      </c>
      <c r="R1499" s="564" t="str">
        <f t="shared" si="316"/>
        <v xml:space="preserve"> </v>
      </c>
      <c r="S1499" s="566"/>
      <c r="T1499" s="589"/>
      <c r="U1499" s="591"/>
      <c r="V1499" s="593"/>
      <c r="W1499" s="564" t="str">
        <f>IF(S1499&lt;&gt;0,VLOOKUP(S1499,VKT!$A$2:$G$415,7,0),"")</f>
        <v/>
      </c>
      <c r="X1499" s="564" t="str">
        <f t="shared" si="318"/>
        <v xml:space="preserve"> </v>
      </c>
      <c r="Y1499" s="562"/>
      <c r="Z1499" s="568"/>
      <c r="AA1499" s="568"/>
      <c r="AB1499" s="568"/>
      <c r="AC1499" s="568"/>
      <c r="AD1499" s="568"/>
      <c r="AE1499" s="568"/>
      <c r="AF1499" s="563"/>
      <c r="AG1499" s="570" t="str">
        <f>IF(AE1499&lt;&gt;0,VLOOKUP(AE1499,ODDS!$A$2:$C$13,3,0),"")</f>
        <v/>
      </c>
      <c r="AH1499" s="570" t="str">
        <f t="shared" si="317"/>
        <v xml:space="preserve"> </v>
      </c>
      <c r="AI1499" s="571" t="str">
        <f t="shared" si="323"/>
        <v xml:space="preserve"> </v>
      </c>
      <c r="AJ1499" s="558"/>
      <c r="AK1499" s="558"/>
    </row>
    <row r="1500" spans="1:37" s="385" customFormat="1" ht="20.25" outlineLevel="2" x14ac:dyDescent="0.3">
      <c r="A1500" s="447">
        <f t="shared" si="324"/>
        <v>117</v>
      </c>
      <c r="B1500" s="557"/>
      <c r="C1500" s="574"/>
      <c r="D1500" s="615"/>
      <c r="E1500" s="615"/>
      <c r="F1500" s="700"/>
      <c r="G1500" s="558"/>
      <c r="H1500" s="732"/>
      <c r="I1500" s="546"/>
      <c r="J1500" s="710"/>
      <c r="K1500" s="563" t="str">
        <f>IF(G1500&lt;&gt;0,VLOOKUP(G1500,'gia dat'!$A$1:$F$144,5,0)," ")</f>
        <v xml:space="preserve"> </v>
      </c>
      <c r="L1500" s="563" t="str">
        <f>IF(G1500&lt;&gt;0,VLOOKUP(G1500,'gia dat'!$A$1:$F$144,6,0)," ")</f>
        <v xml:space="preserve"> </v>
      </c>
      <c r="M1500" s="564" t="str">
        <f t="shared" si="320"/>
        <v xml:space="preserve"> </v>
      </c>
      <c r="N1500" s="564" t="str">
        <f t="shared" si="321"/>
        <v xml:space="preserve"> </v>
      </c>
      <c r="O1500" s="586"/>
      <c r="P1500" s="630"/>
      <c r="Q1500" s="564" t="str">
        <f>IF(O1500&lt;&gt;0,VLOOKUP(O1500,'Cây trong'!$A$2:$C$246,3,0)," ")</f>
        <v xml:space="preserve"> </v>
      </c>
      <c r="R1500" s="564" t="str">
        <f t="shared" si="316"/>
        <v xml:space="preserve"> </v>
      </c>
      <c r="S1500" s="586"/>
      <c r="T1500" s="609"/>
      <c r="U1500" s="567"/>
      <c r="V1500" s="661"/>
      <c r="W1500" s="564" t="str">
        <f>IF(S1500&lt;&gt;0,VLOOKUP(S1500,VKT!$A$2:$G$415,7,0),"")</f>
        <v/>
      </c>
      <c r="X1500" s="564" t="str">
        <f t="shared" si="318"/>
        <v xml:space="preserve"> </v>
      </c>
      <c r="Y1500" s="562"/>
      <c r="Z1500" s="568"/>
      <c r="AA1500" s="568"/>
      <c r="AB1500" s="568"/>
      <c r="AC1500" s="568"/>
      <c r="AD1500" s="568"/>
      <c r="AE1500" s="568"/>
      <c r="AF1500" s="563"/>
      <c r="AG1500" s="570" t="str">
        <f>IF(AE1500&lt;&gt;0,VLOOKUP(AE1500,ODDS!$A$2:$C$13,3,0),"")</f>
        <v/>
      </c>
      <c r="AH1500" s="570" t="str">
        <f t="shared" si="317"/>
        <v xml:space="preserve"> </v>
      </c>
      <c r="AI1500" s="571" t="str">
        <f t="shared" si="323"/>
        <v xml:space="preserve"> </v>
      </c>
      <c r="AJ1500" s="593"/>
      <c r="AK1500" s="593"/>
    </row>
    <row r="1501" spans="1:37" s="385" customFormat="1" ht="20.25" outlineLevel="1" x14ac:dyDescent="0.25">
      <c r="A1501" s="467" t="s">
        <v>2592</v>
      </c>
      <c r="B1501" s="576">
        <v>118</v>
      </c>
      <c r="C1501" s="574" t="s">
        <v>1061</v>
      </c>
      <c r="D1501" s="705"/>
      <c r="E1501" s="705"/>
      <c r="F1501" s="706"/>
      <c r="G1501" s="574"/>
      <c r="H1501" s="596">
        <f>SUBTOTAL(9,H1502:H1506)</f>
        <v>100</v>
      </c>
      <c r="I1501" s="579">
        <f>SUBTOTAL(9,I1502:I1507)</f>
        <v>100</v>
      </c>
      <c r="J1501" s="597"/>
      <c r="K1501" s="581"/>
      <c r="L1501" s="581"/>
      <c r="M1501" s="571">
        <f>SUBTOTAL(9,M1502:M1506)</f>
        <v>37680000</v>
      </c>
      <c r="N1501" s="571">
        <f>SUBTOTAL(9,N1502:N1506)</f>
        <v>113040000</v>
      </c>
      <c r="O1501" s="574"/>
      <c r="P1501" s="599">
        <f>SUBTOTAL(9,P1502:P1506)</f>
        <v>0</v>
      </c>
      <c r="Q1501" s="571"/>
      <c r="R1501" s="571">
        <f>SUBTOTAL(9,R1502:R1506)</f>
        <v>0</v>
      </c>
      <c r="S1501" s="582"/>
      <c r="T1501" s="597"/>
      <c r="U1501" s="600">
        <f>SUBTOTAL(9,U1502:U1506)</f>
        <v>0</v>
      </c>
      <c r="V1501" s="608"/>
      <c r="W1501" s="571"/>
      <c r="X1501" s="571">
        <f>SUBTOTAL(9,X1502:X1506)</f>
        <v>0</v>
      </c>
      <c r="Y1501" s="562"/>
      <c r="Z1501" s="568"/>
      <c r="AA1501" s="568"/>
      <c r="AB1501" s="568"/>
      <c r="AC1501" s="568"/>
      <c r="AD1501" s="568"/>
      <c r="AE1501" s="584"/>
      <c r="AF1501" s="581">
        <f>SUBTOTAL(9,AF1502:AF1506)</f>
        <v>0</v>
      </c>
      <c r="AG1501" s="585"/>
      <c r="AH1501" s="585">
        <f>SUBTOTAL(9,AH1502:AH1506)</f>
        <v>0</v>
      </c>
      <c r="AI1501" s="571">
        <f t="shared" si="323"/>
        <v>150720000</v>
      </c>
      <c r="AJ1501" s="574"/>
      <c r="AK1501" s="578"/>
    </row>
    <row r="1502" spans="1:37" s="385" customFormat="1" ht="121.5" outlineLevel="2" x14ac:dyDescent="0.3">
      <c r="A1502" s="447">
        <f>IF(B1501&lt;&gt;0,B1501,A1500)</f>
        <v>118</v>
      </c>
      <c r="B1502" s="557"/>
      <c r="C1502" s="684" t="s">
        <v>2784</v>
      </c>
      <c r="D1502" s="615">
        <v>5</v>
      </c>
      <c r="E1502" s="615">
        <v>86</v>
      </c>
      <c r="F1502" s="700">
        <v>228</v>
      </c>
      <c r="G1502" s="684" t="s">
        <v>2433</v>
      </c>
      <c r="H1502" s="604">
        <v>100</v>
      </c>
      <c r="I1502" s="546">
        <f t="shared" ref="I1502" si="325">IF(N1502&gt;0,H1502,"")</f>
        <v>100</v>
      </c>
      <c r="J1502" s="589"/>
      <c r="K1502" s="563">
        <f>IF(G1502&lt;&gt;0,VLOOKUP(G1502,'gia dat'!$A$1:$F$144,5,0)," ")</f>
        <v>376800</v>
      </c>
      <c r="L1502" s="563">
        <f>IF(G1502&lt;&gt;0,VLOOKUP(G1502,'gia dat'!$A$1:$F$144,6,0)," ")</f>
        <v>1130400</v>
      </c>
      <c r="M1502" s="564">
        <f t="shared" si="320"/>
        <v>37680000</v>
      </c>
      <c r="N1502" s="564">
        <f t="shared" si="321"/>
        <v>113040000</v>
      </c>
      <c r="O1502" s="558"/>
      <c r="P1502" s="590"/>
      <c r="Q1502" s="564" t="str">
        <f>IF(O1502&lt;&gt;0,VLOOKUP(O1502,'Cây trong'!$A$2:$C$246,3,0)," ")</f>
        <v xml:space="preserve"> </v>
      </c>
      <c r="R1502" s="564" t="str">
        <f t="shared" si="316"/>
        <v xml:space="preserve"> </v>
      </c>
      <c r="S1502" s="566"/>
      <c r="T1502" s="589"/>
      <c r="U1502" s="591"/>
      <c r="V1502" s="593"/>
      <c r="W1502" s="564" t="str">
        <f>IF(S1502&lt;&gt;0,VLOOKUP(S1502,VKT!$A$2:$G$415,7,0),"")</f>
        <v/>
      </c>
      <c r="X1502" s="564" t="str">
        <f t="shared" si="318"/>
        <v xml:space="preserve"> </v>
      </c>
      <c r="Y1502" s="562"/>
      <c r="Z1502" s="568"/>
      <c r="AA1502" s="568"/>
      <c r="AB1502" s="568"/>
      <c r="AC1502" s="568"/>
      <c r="AD1502" s="568"/>
      <c r="AE1502" s="568"/>
      <c r="AF1502" s="563"/>
      <c r="AG1502" s="570" t="str">
        <f>IF(AE1502&lt;&gt;0,VLOOKUP(AE1502,ODDS!$A$2:$C$13,3,0),"")</f>
        <v/>
      </c>
      <c r="AH1502" s="570"/>
      <c r="AI1502" s="571" t="str">
        <f t="shared" si="323"/>
        <v xml:space="preserve"> </v>
      </c>
      <c r="AJ1502" s="558" t="s">
        <v>1062</v>
      </c>
      <c r="AK1502" s="586" t="s">
        <v>2771</v>
      </c>
    </row>
    <row r="1503" spans="1:37" s="385" customFormat="1" ht="121.5" outlineLevel="2" x14ac:dyDescent="0.3">
      <c r="A1503" s="447">
        <f>IF(B1502&lt;&gt;0,B1502,A1502)</f>
        <v>118</v>
      </c>
      <c r="B1503" s="557"/>
      <c r="C1503" s="586" t="s">
        <v>1581</v>
      </c>
      <c r="D1503" s="615"/>
      <c r="E1503" s="615"/>
      <c r="F1503" s="700"/>
      <c r="G1503" s="558"/>
      <c r="H1503" s="604"/>
      <c r="I1503" s="546"/>
      <c r="J1503" s="589"/>
      <c r="K1503" s="563" t="str">
        <f>IF(G1503&lt;&gt;0,VLOOKUP(G1503,'gia dat'!$A$1:$F$144,5,0)," ")</f>
        <v xml:space="preserve"> </v>
      </c>
      <c r="L1503" s="563" t="str">
        <f>IF(G1503&lt;&gt;0,VLOOKUP(G1503,'gia dat'!$A$1:$F$144,6,0)," ")</f>
        <v xml:space="preserve"> </v>
      </c>
      <c r="M1503" s="564" t="str">
        <f t="shared" si="320"/>
        <v xml:space="preserve"> </v>
      </c>
      <c r="N1503" s="564" t="str">
        <f t="shared" si="321"/>
        <v xml:space="preserve"> </v>
      </c>
      <c r="O1503" s="558"/>
      <c r="P1503" s="590"/>
      <c r="Q1503" s="564" t="str">
        <f>IF(O1503&lt;&gt;0,VLOOKUP(O1503,'Cây trong'!$A$2:$C$246,3,0)," ")</f>
        <v xml:space="preserve"> </v>
      </c>
      <c r="R1503" s="564" t="str">
        <f t="shared" ref="R1503:R1575" si="326">IF(O1503&lt;&gt;0,ROUND(P1503*Q1503,-2)," ")</f>
        <v xml:space="preserve"> </v>
      </c>
      <c r="S1503" s="566"/>
      <c r="T1503" s="589"/>
      <c r="U1503" s="617"/>
      <c r="V1503" s="593"/>
      <c r="W1503" s="564" t="str">
        <f>IF(S1503&lt;&gt;0,VLOOKUP(S1503,VKT!$A$2:$G$415,7,0),"")</f>
        <v/>
      </c>
      <c r="X1503" s="564" t="str">
        <f t="shared" si="318"/>
        <v xml:space="preserve"> </v>
      </c>
      <c r="Y1503" s="562"/>
      <c r="Z1503" s="568"/>
      <c r="AA1503" s="568"/>
      <c r="AB1503" s="568"/>
      <c r="AC1503" s="568"/>
      <c r="AD1503" s="568"/>
      <c r="AE1503" s="568"/>
      <c r="AF1503" s="563"/>
      <c r="AG1503" s="570" t="str">
        <f>IF(AE1503&lt;&gt;0,VLOOKUP(AE1503,ODDS!$A$2:$C$13,3,0),"")</f>
        <v/>
      </c>
      <c r="AH1503" s="570" t="str">
        <f t="shared" ref="AH1503:AH1575" si="327">IF(AE1503&lt;&gt;0,ROUND(AF1503*AG1503,-2)," ")</f>
        <v xml:space="preserve"> </v>
      </c>
      <c r="AI1503" s="571" t="str">
        <f t="shared" si="323"/>
        <v xml:space="preserve"> </v>
      </c>
      <c r="AJ1503" s="558" t="s">
        <v>2839</v>
      </c>
      <c r="AK1503" s="558" t="s">
        <v>2448</v>
      </c>
    </row>
    <row r="1504" spans="1:37" s="385" customFormat="1" ht="60.75" outlineLevel="2" x14ac:dyDescent="0.3">
      <c r="A1504" s="447">
        <f>IF(B1503&lt;&gt;0,B1503,A1503)</f>
        <v>118</v>
      </c>
      <c r="B1504" s="557"/>
      <c r="C1504" s="558"/>
      <c r="D1504" s="615"/>
      <c r="E1504" s="615"/>
      <c r="F1504" s="700"/>
      <c r="G1504" s="558"/>
      <c r="H1504" s="604"/>
      <c r="I1504" s="546"/>
      <c r="J1504" s="589"/>
      <c r="K1504" s="563" t="str">
        <f>IF(G1504&lt;&gt;0,VLOOKUP(G1504,'gia dat'!$A$1:$F$144,5,0)," ")</f>
        <v xml:space="preserve"> </v>
      </c>
      <c r="L1504" s="563" t="str">
        <f>IF(G1504&lt;&gt;0,VLOOKUP(G1504,'gia dat'!$A$1:$F$144,6,0)," ")</f>
        <v xml:space="preserve"> </v>
      </c>
      <c r="M1504" s="564" t="str">
        <f t="shared" si="320"/>
        <v xml:space="preserve"> </v>
      </c>
      <c r="N1504" s="564" t="str">
        <f t="shared" si="321"/>
        <v xml:space="preserve"> </v>
      </c>
      <c r="O1504" s="558"/>
      <c r="P1504" s="590"/>
      <c r="Q1504" s="564" t="str">
        <f>IF(O1504&lt;&gt;0,VLOOKUP(O1504,'Cây trong'!$A$2:$C$246,3,0)," ")</f>
        <v xml:space="preserve"> </v>
      </c>
      <c r="R1504" s="564" t="str">
        <f t="shared" si="326"/>
        <v xml:space="preserve"> </v>
      </c>
      <c r="S1504" s="566"/>
      <c r="T1504" s="589"/>
      <c r="U1504" s="591"/>
      <c r="V1504" s="593"/>
      <c r="W1504" s="564" t="str">
        <f>IF(S1504&lt;&gt;0,VLOOKUP(S1504,VKT!$A$2:$G$415,7,0),"")</f>
        <v/>
      </c>
      <c r="X1504" s="564" t="str">
        <f t="shared" si="318"/>
        <v xml:space="preserve"> </v>
      </c>
      <c r="Y1504" s="562"/>
      <c r="Z1504" s="568"/>
      <c r="AA1504" s="568"/>
      <c r="AB1504" s="568"/>
      <c r="AC1504" s="568"/>
      <c r="AD1504" s="568"/>
      <c r="AE1504" s="568"/>
      <c r="AF1504" s="563"/>
      <c r="AG1504" s="570" t="str">
        <f>IF(AE1504&lt;&gt;0,VLOOKUP(AE1504,ODDS!$A$2:$C$13,3,0),"")</f>
        <v/>
      </c>
      <c r="AH1504" s="570" t="str">
        <f t="shared" si="327"/>
        <v xml:space="preserve"> </v>
      </c>
      <c r="AI1504" s="571" t="str">
        <f t="shared" si="323"/>
        <v xml:space="preserve"> </v>
      </c>
      <c r="AJ1504" s="558" t="s">
        <v>2074</v>
      </c>
      <c r="AK1504" s="593"/>
    </row>
    <row r="1505" spans="1:37" s="385" customFormat="1" ht="20.25" outlineLevel="2" x14ac:dyDescent="0.3">
      <c r="A1505" s="447">
        <f>IF(B1504&lt;&gt;0,B1504,A1504)</f>
        <v>118</v>
      </c>
      <c r="B1505" s="557"/>
      <c r="C1505" s="558"/>
      <c r="D1505" s="615"/>
      <c r="E1505" s="615"/>
      <c r="F1505" s="700"/>
      <c r="G1505" s="558"/>
      <c r="H1505" s="604"/>
      <c r="I1505" s="546"/>
      <c r="J1505" s="589"/>
      <c r="K1505" s="563" t="str">
        <f>IF(G1505&lt;&gt;0,VLOOKUP(G1505,'gia dat'!$A$1:$F$144,5,0)," ")</f>
        <v xml:space="preserve"> </v>
      </c>
      <c r="L1505" s="563" t="str">
        <f>IF(G1505&lt;&gt;0,VLOOKUP(G1505,'gia dat'!$A$1:$F$144,6,0)," ")</f>
        <v xml:space="preserve"> </v>
      </c>
      <c r="M1505" s="564" t="str">
        <f t="shared" si="320"/>
        <v xml:space="preserve"> </v>
      </c>
      <c r="N1505" s="564" t="str">
        <f t="shared" si="321"/>
        <v xml:space="preserve"> </v>
      </c>
      <c r="O1505" s="558"/>
      <c r="P1505" s="590"/>
      <c r="Q1505" s="564" t="str">
        <f>IF(O1505&lt;&gt;0,VLOOKUP(O1505,'Cây trong'!$A$2:$C$246,3,0)," ")</f>
        <v xml:space="preserve"> </v>
      </c>
      <c r="R1505" s="564" t="str">
        <f t="shared" si="326"/>
        <v xml:space="preserve"> </v>
      </c>
      <c r="S1505" s="566"/>
      <c r="T1505" s="589"/>
      <c r="U1505" s="591"/>
      <c r="V1505" s="593"/>
      <c r="W1505" s="564" t="str">
        <f>IF(S1505&lt;&gt;0,VLOOKUP(S1505,VKT!$A$2:$G$415,7,0),"")</f>
        <v/>
      </c>
      <c r="X1505" s="564" t="str">
        <f t="shared" si="318"/>
        <v xml:space="preserve"> </v>
      </c>
      <c r="Y1505" s="562"/>
      <c r="Z1505" s="568"/>
      <c r="AA1505" s="568"/>
      <c r="AB1505" s="568"/>
      <c r="AC1505" s="568"/>
      <c r="AD1505" s="568"/>
      <c r="AE1505" s="568"/>
      <c r="AF1505" s="563"/>
      <c r="AG1505" s="570" t="str">
        <f>IF(AE1505&lt;&gt;0,VLOOKUP(AE1505,ODDS!$A$2:$C$13,3,0),"")</f>
        <v/>
      </c>
      <c r="AH1505" s="570" t="str">
        <f t="shared" si="327"/>
        <v xml:space="preserve"> </v>
      </c>
      <c r="AI1505" s="571" t="str">
        <f t="shared" si="323"/>
        <v xml:space="preserve"> </v>
      </c>
      <c r="AJ1505" s="704"/>
      <c r="AK1505" s="558"/>
    </row>
    <row r="1506" spans="1:37" s="385" customFormat="1" ht="20.25" outlineLevel="2" x14ac:dyDescent="0.3">
      <c r="A1506" s="447">
        <f>IF(B1505&lt;&gt;0,B1505,A1505)</f>
        <v>118</v>
      </c>
      <c r="B1506" s="557"/>
      <c r="C1506" s="574"/>
      <c r="D1506" s="615"/>
      <c r="E1506" s="615"/>
      <c r="F1506" s="700"/>
      <c r="G1506" s="558"/>
      <c r="H1506" s="604"/>
      <c r="I1506" s="546"/>
      <c r="J1506" s="589"/>
      <c r="K1506" s="563" t="str">
        <f>IF(G1506&lt;&gt;0,VLOOKUP(G1506,'gia dat'!$A$1:$F$144,5,0)," ")</f>
        <v xml:space="preserve"> </v>
      </c>
      <c r="L1506" s="563" t="str">
        <f>IF(G1506&lt;&gt;0,VLOOKUP(G1506,'gia dat'!$A$1:$F$144,6,0)," ")</f>
        <v xml:space="preserve"> </v>
      </c>
      <c r="M1506" s="564" t="str">
        <f t="shared" si="320"/>
        <v xml:space="preserve"> </v>
      </c>
      <c r="N1506" s="564" t="str">
        <f t="shared" si="321"/>
        <v xml:space="preserve"> </v>
      </c>
      <c r="O1506" s="558"/>
      <c r="P1506" s="590"/>
      <c r="Q1506" s="564" t="str">
        <f>IF(O1506&lt;&gt;0,VLOOKUP(O1506,'Cây trong'!$A$2:$C$246,3,0)," ")</f>
        <v xml:space="preserve"> </v>
      </c>
      <c r="R1506" s="564" t="str">
        <f t="shared" si="326"/>
        <v xml:space="preserve"> </v>
      </c>
      <c r="S1506" s="566"/>
      <c r="T1506" s="589"/>
      <c r="U1506" s="591"/>
      <c r="V1506" s="593"/>
      <c r="W1506" s="564" t="str">
        <f>IF(S1506&lt;&gt;0,VLOOKUP(S1506,VKT!$A$2:$G$415,7,0),"")</f>
        <v/>
      </c>
      <c r="X1506" s="564" t="str">
        <f t="shared" si="318"/>
        <v xml:space="preserve"> </v>
      </c>
      <c r="Y1506" s="562"/>
      <c r="Z1506" s="568"/>
      <c r="AA1506" s="568"/>
      <c r="AB1506" s="568"/>
      <c r="AC1506" s="568"/>
      <c r="AD1506" s="568"/>
      <c r="AE1506" s="568"/>
      <c r="AF1506" s="563"/>
      <c r="AG1506" s="570" t="str">
        <f>IF(AE1506&lt;&gt;0,VLOOKUP(AE1506,ODDS!$A$2:$C$13,3,0),"")</f>
        <v/>
      </c>
      <c r="AH1506" s="570" t="str">
        <f t="shared" si="327"/>
        <v xml:space="preserve"> </v>
      </c>
      <c r="AI1506" s="571" t="str">
        <f t="shared" si="323"/>
        <v xml:space="preserve"> </v>
      </c>
      <c r="AJ1506" s="558"/>
      <c r="AK1506" s="558"/>
    </row>
    <row r="1507" spans="1:37" s="385" customFormat="1" ht="20.25" outlineLevel="1" x14ac:dyDescent="0.25">
      <c r="A1507" s="467" t="s">
        <v>2591</v>
      </c>
      <c r="B1507" s="576">
        <v>119</v>
      </c>
      <c r="C1507" s="574" t="s">
        <v>1065</v>
      </c>
      <c r="D1507" s="705"/>
      <c r="E1507" s="705"/>
      <c r="F1507" s="706"/>
      <c r="G1507" s="574"/>
      <c r="H1507" s="596">
        <f>SUBTOTAL(9,H1508:H1513)</f>
        <v>100</v>
      </c>
      <c r="I1507" s="579">
        <f>SUBTOTAL(9,I1508:I1513)</f>
        <v>100</v>
      </c>
      <c r="J1507" s="597"/>
      <c r="K1507" s="581"/>
      <c r="L1507" s="581"/>
      <c r="M1507" s="571">
        <f>SUBTOTAL(9,M1508:M1513)</f>
        <v>37680000</v>
      </c>
      <c r="N1507" s="571">
        <f>SUBTOTAL(9,N1508:N1513)</f>
        <v>113040000</v>
      </c>
      <c r="O1507" s="574"/>
      <c r="P1507" s="599">
        <f>SUBTOTAL(9,P1508:P1513)</f>
        <v>0</v>
      </c>
      <c r="Q1507" s="571"/>
      <c r="R1507" s="571">
        <f>SUBTOTAL(9,R1508:R1513)</f>
        <v>0</v>
      </c>
      <c r="S1507" s="582"/>
      <c r="T1507" s="597"/>
      <c r="U1507" s="600">
        <f>SUBTOTAL(9,U1508:U1513)</f>
        <v>0</v>
      </c>
      <c r="V1507" s="608"/>
      <c r="W1507" s="571"/>
      <c r="X1507" s="571">
        <f>SUBTOTAL(9,X1508:X1513)</f>
        <v>0</v>
      </c>
      <c r="Y1507" s="562"/>
      <c r="Z1507" s="568"/>
      <c r="AA1507" s="568"/>
      <c r="AB1507" s="568"/>
      <c r="AC1507" s="568"/>
      <c r="AD1507" s="568"/>
      <c r="AE1507" s="584"/>
      <c r="AF1507" s="581">
        <f>SUBTOTAL(9,AF1508:AF1513)</f>
        <v>0</v>
      </c>
      <c r="AG1507" s="585"/>
      <c r="AH1507" s="585">
        <f>SUBTOTAL(9,AH1508:AH1513)</f>
        <v>0</v>
      </c>
      <c r="AI1507" s="571">
        <f t="shared" si="323"/>
        <v>150720000</v>
      </c>
      <c r="AJ1507" s="574"/>
      <c r="AK1507" s="578"/>
    </row>
    <row r="1508" spans="1:37" s="385" customFormat="1" ht="121.5" outlineLevel="2" x14ac:dyDescent="0.3">
      <c r="A1508" s="447">
        <f>IF(B1507&lt;&gt;0,B1507,A1506)</f>
        <v>119</v>
      </c>
      <c r="B1508" s="557"/>
      <c r="C1508" s="558" t="s">
        <v>1067</v>
      </c>
      <c r="D1508" s="615">
        <v>8</v>
      </c>
      <c r="E1508" s="615">
        <v>86</v>
      </c>
      <c r="F1508" s="700">
        <v>229</v>
      </c>
      <c r="G1508" s="684" t="s">
        <v>2433</v>
      </c>
      <c r="H1508" s="604">
        <v>100</v>
      </c>
      <c r="I1508" s="546">
        <f t="shared" ref="I1508" si="328">IF(N1508&gt;0,H1508,"")</f>
        <v>100</v>
      </c>
      <c r="J1508" s="589"/>
      <c r="K1508" s="563">
        <f>IF(G1508&lt;&gt;0,VLOOKUP(G1508,'gia dat'!$A$1:$F$144,5,0)," ")</f>
        <v>376800</v>
      </c>
      <c r="L1508" s="563">
        <f>IF(G1508&lt;&gt;0,VLOOKUP(G1508,'gia dat'!$A$1:$F$144,6,0)," ")</f>
        <v>1130400</v>
      </c>
      <c r="M1508" s="564">
        <f t="shared" si="320"/>
        <v>37680000</v>
      </c>
      <c r="N1508" s="564">
        <f t="shared" si="321"/>
        <v>113040000</v>
      </c>
      <c r="O1508" s="558"/>
      <c r="P1508" s="590"/>
      <c r="Q1508" s="564" t="str">
        <f>IF(O1508&lt;&gt;0,VLOOKUP(O1508,'Cây trong'!$A$2:$C$246,3,0)," ")</f>
        <v xml:space="preserve"> </v>
      </c>
      <c r="R1508" s="564" t="str">
        <f t="shared" si="326"/>
        <v xml:space="preserve"> </v>
      </c>
      <c r="S1508" s="566"/>
      <c r="T1508" s="589"/>
      <c r="U1508" s="591"/>
      <c r="V1508" s="593"/>
      <c r="W1508" s="564" t="str">
        <f>IF(S1508&lt;&gt;0,VLOOKUP(S1508,VKT!$A$2:$G$415,7,0),"")</f>
        <v/>
      </c>
      <c r="X1508" s="564" t="str">
        <f t="shared" si="318"/>
        <v xml:space="preserve"> </v>
      </c>
      <c r="Y1508" s="562"/>
      <c r="Z1508" s="568"/>
      <c r="AA1508" s="568"/>
      <c r="AB1508" s="568"/>
      <c r="AC1508" s="568"/>
      <c r="AD1508" s="568"/>
      <c r="AE1508" s="568"/>
      <c r="AF1508" s="563"/>
      <c r="AG1508" s="570" t="str">
        <f>IF(AE1508&lt;&gt;0,VLOOKUP(AE1508,ODDS!$A$2:$C$13,3,0),"")</f>
        <v/>
      </c>
      <c r="AH1508" s="570"/>
      <c r="AI1508" s="571" t="str">
        <f t="shared" si="323"/>
        <v xml:space="preserve"> </v>
      </c>
      <c r="AJ1508" s="558" t="s">
        <v>1066</v>
      </c>
      <c r="AK1508" s="586" t="s">
        <v>2771</v>
      </c>
    </row>
    <row r="1509" spans="1:37" s="385" customFormat="1" ht="101.25" outlineLevel="2" x14ac:dyDescent="0.3">
      <c r="A1509" s="447">
        <f>IF(B1508&lt;&gt;0,B1508,A1508)</f>
        <v>119</v>
      </c>
      <c r="B1509" s="557"/>
      <c r="C1509" s="586" t="s">
        <v>1582</v>
      </c>
      <c r="D1509" s="615"/>
      <c r="E1509" s="615"/>
      <c r="F1509" s="700"/>
      <c r="G1509" s="558"/>
      <c r="H1509" s="604"/>
      <c r="I1509" s="546"/>
      <c r="J1509" s="589"/>
      <c r="K1509" s="563" t="str">
        <f>IF(G1509&lt;&gt;0,VLOOKUP(G1509,'gia dat'!$A$1:$F$144,5,0)," ")</f>
        <v xml:space="preserve"> </v>
      </c>
      <c r="L1509" s="563" t="str">
        <f>IF(G1509&lt;&gt;0,VLOOKUP(G1509,'gia dat'!$A$1:$F$144,6,0)," ")</f>
        <v xml:space="preserve"> </v>
      </c>
      <c r="M1509" s="564" t="str">
        <f t="shared" si="320"/>
        <v xml:space="preserve"> </v>
      </c>
      <c r="N1509" s="564" t="str">
        <f t="shared" si="321"/>
        <v xml:space="preserve"> </v>
      </c>
      <c r="O1509" s="558"/>
      <c r="P1509" s="590"/>
      <c r="Q1509" s="564" t="str">
        <f>IF(O1509&lt;&gt;0,VLOOKUP(O1509,'Cây trong'!$A$2:$C$246,3,0)," ")</f>
        <v xml:space="preserve"> </v>
      </c>
      <c r="R1509" s="564" t="str">
        <f t="shared" si="326"/>
        <v xml:space="preserve"> </v>
      </c>
      <c r="S1509" s="566"/>
      <c r="T1509" s="589"/>
      <c r="U1509" s="617"/>
      <c r="V1509" s="593"/>
      <c r="W1509" s="564" t="str">
        <f>IF(S1509&lt;&gt;0,VLOOKUP(S1509,VKT!$A$2:$G$415,7,0),"")</f>
        <v/>
      </c>
      <c r="X1509" s="564" t="str">
        <f t="shared" si="318"/>
        <v xml:space="preserve"> </v>
      </c>
      <c r="Y1509" s="562"/>
      <c r="Z1509" s="568"/>
      <c r="AA1509" s="568"/>
      <c r="AB1509" s="568"/>
      <c r="AC1509" s="568"/>
      <c r="AD1509" s="568"/>
      <c r="AE1509" s="568"/>
      <c r="AF1509" s="563"/>
      <c r="AG1509" s="570" t="str">
        <f>IF(AE1509&lt;&gt;0,VLOOKUP(AE1509,ODDS!$A$2:$C$13,3,0),"")</f>
        <v/>
      </c>
      <c r="AH1509" s="570" t="str">
        <f t="shared" si="327"/>
        <v xml:space="preserve"> </v>
      </c>
      <c r="AI1509" s="571" t="str">
        <f t="shared" si="323"/>
        <v xml:space="preserve"> </v>
      </c>
      <c r="AJ1509" s="558" t="s">
        <v>2840</v>
      </c>
      <c r="AK1509" s="558" t="s">
        <v>2448</v>
      </c>
    </row>
    <row r="1510" spans="1:37" s="385" customFormat="1" ht="20.25" outlineLevel="2" x14ac:dyDescent="0.3">
      <c r="A1510" s="447">
        <f>IF(B1509&lt;&gt;0,B1509,A1509)</f>
        <v>119</v>
      </c>
      <c r="B1510" s="557"/>
      <c r="C1510" s="558"/>
      <c r="D1510" s="615"/>
      <c r="E1510" s="615"/>
      <c r="F1510" s="700"/>
      <c r="G1510" s="558"/>
      <c r="H1510" s="604"/>
      <c r="I1510" s="546"/>
      <c r="J1510" s="589"/>
      <c r="K1510" s="563" t="str">
        <f>IF(G1510&lt;&gt;0,VLOOKUP(G1510,'gia dat'!$A$1:$F$144,5,0)," ")</f>
        <v xml:space="preserve"> </v>
      </c>
      <c r="L1510" s="563" t="str">
        <f>IF(G1510&lt;&gt;0,VLOOKUP(G1510,'gia dat'!$A$1:$F$144,6,0)," ")</f>
        <v xml:space="preserve"> </v>
      </c>
      <c r="M1510" s="564" t="str">
        <f t="shared" si="320"/>
        <v xml:space="preserve"> </v>
      </c>
      <c r="N1510" s="564" t="str">
        <f t="shared" si="321"/>
        <v xml:space="preserve"> </v>
      </c>
      <c r="O1510" s="558"/>
      <c r="P1510" s="590"/>
      <c r="Q1510" s="564" t="str">
        <f>IF(O1510&lt;&gt;0,VLOOKUP(O1510,'Cây trong'!$A$2:$C$246,3,0)," ")</f>
        <v xml:space="preserve"> </v>
      </c>
      <c r="R1510" s="564" t="str">
        <f t="shared" si="326"/>
        <v xml:space="preserve"> </v>
      </c>
      <c r="S1510" s="566"/>
      <c r="T1510" s="589"/>
      <c r="U1510" s="591"/>
      <c r="V1510" s="593"/>
      <c r="W1510" s="564" t="str">
        <f>IF(S1510&lt;&gt;0,VLOOKUP(S1510,VKT!$A$2:$G$415,7,0),"")</f>
        <v/>
      </c>
      <c r="X1510" s="564" t="str">
        <f t="shared" si="318"/>
        <v xml:space="preserve"> </v>
      </c>
      <c r="Y1510" s="562"/>
      <c r="Z1510" s="568"/>
      <c r="AA1510" s="568"/>
      <c r="AB1510" s="568"/>
      <c r="AC1510" s="568"/>
      <c r="AD1510" s="568"/>
      <c r="AE1510" s="568"/>
      <c r="AF1510" s="563"/>
      <c r="AG1510" s="570" t="str">
        <f>IF(AE1510&lt;&gt;0,VLOOKUP(AE1510,ODDS!$A$2:$C$13,3,0),"")</f>
        <v/>
      </c>
      <c r="AH1510" s="570" t="str">
        <f t="shared" si="327"/>
        <v xml:space="preserve"> </v>
      </c>
      <c r="AI1510" s="571" t="str">
        <f t="shared" si="323"/>
        <v xml:space="preserve"> </v>
      </c>
      <c r="AJ1510" s="593" t="s">
        <v>809</v>
      </c>
      <c r="AK1510" s="593"/>
    </row>
    <row r="1511" spans="1:37" s="385" customFormat="1" ht="60.75" outlineLevel="2" x14ac:dyDescent="0.3">
      <c r="A1511" s="447">
        <f>IF(B1510&lt;&gt;0,B1510,A1510)</f>
        <v>119</v>
      </c>
      <c r="B1511" s="557"/>
      <c r="C1511" s="558"/>
      <c r="D1511" s="615"/>
      <c r="E1511" s="615"/>
      <c r="F1511" s="700"/>
      <c r="G1511" s="558"/>
      <c r="H1511" s="604"/>
      <c r="I1511" s="546"/>
      <c r="J1511" s="589"/>
      <c r="K1511" s="563" t="str">
        <f>IF(G1511&lt;&gt;0,VLOOKUP(G1511,'gia dat'!$A$1:$F$144,5,0)," ")</f>
        <v xml:space="preserve"> </v>
      </c>
      <c r="L1511" s="563" t="str">
        <f>IF(G1511&lt;&gt;0,VLOOKUP(G1511,'gia dat'!$A$1:$F$144,6,0)," ")</f>
        <v xml:space="preserve"> </v>
      </c>
      <c r="M1511" s="564" t="str">
        <f t="shared" si="320"/>
        <v xml:space="preserve"> </v>
      </c>
      <c r="N1511" s="564" t="str">
        <f t="shared" si="321"/>
        <v xml:space="preserve"> </v>
      </c>
      <c r="O1511" s="558"/>
      <c r="P1511" s="590"/>
      <c r="Q1511" s="564" t="str">
        <f>IF(O1511&lt;&gt;0,VLOOKUP(O1511,'Cây trong'!$A$2:$C$246,3,0)," ")</f>
        <v xml:space="preserve"> </v>
      </c>
      <c r="R1511" s="564" t="str">
        <f t="shared" si="326"/>
        <v xml:space="preserve"> </v>
      </c>
      <c r="S1511" s="566"/>
      <c r="T1511" s="589"/>
      <c r="U1511" s="591"/>
      <c r="V1511" s="593"/>
      <c r="W1511" s="564" t="str">
        <f>IF(S1511&lt;&gt;0,VLOOKUP(S1511,VKT!$A$2:$G$415,7,0),"")</f>
        <v/>
      </c>
      <c r="X1511" s="564" t="str">
        <f t="shared" si="318"/>
        <v xml:space="preserve"> </v>
      </c>
      <c r="Y1511" s="562"/>
      <c r="Z1511" s="568"/>
      <c r="AA1511" s="568"/>
      <c r="AB1511" s="568"/>
      <c r="AC1511" s="568"/>
      <c r="AD1511" s="568"/>
      <c r="AE1511" s="568"/>
      <c r="AF1511" s="563"/>
      <c r="AG1511" s="570" t="str">
        <f>IF(AE1511&lt;&gt;0,VLOOKUP(AE1511,ODDS!$A$2:$C$13,3,0),"")</f>
        <v/>
      </c>
      <c r="AH1511" s="570" t="str">
        <f t="shared" si="327"/>
        <v xml:space="preserve"> </v>
      </c>
      <c r="AI1511" s="571" t="str">
        <f t="shared" si="323"/>
        <v xml:space="preserve"> </v>
      </c>
      <c r="AJ1511" s="558" t="s">
        <v>2074</v>
      </c>
      <c r="AK1511" s="558"/>
    </row>
    <row r="1512" spans="1:37" s="385" customFormat="1" ht="20.25" outlineLevel="2" x14ac:dyDescent="0.3">
      <c r="A1512" s="447">
        <f>IF(B1511&lt;&gt;0,B1511,A1511)</f>
        <v>119</v>
      </c>
      <c r="B1512" s="557"/>
      <c r="C1512" s="558"/>
      <c r="D1512" s="615"/>
      <c r="E1512" s="615"/>
      <c r="F1512" s="700"/>
      <c r="G1512" s="558"/>
      <c r="H1512" s="604"/>
      <c r="I1512" s="546"/>
      <c r="J1512" s="589"/>
      <c r="K1512" s="563" t="str">
        <f>IF(G1512&lt;&gt;0,VLOOKUP(G1512,'gia dat'!$A$1:$F$144,5,0)," ")</f>
        <v xml:space="preserve"> </v>
      </c>
      <c r="L1512" s="563" t="str">
        <f>IF(G1512&lt;&gt;0,VLOOKUP(G1512,'gia dat'!$A$1:$F$144,6,0)," ")</f>
        <v xml:space="preserve"> </v>
      </c>
      <c r="M1512" s="564" t="str">
        <f t="shared" si="320"/>
        <v xml:space="preserve"> </v>
      </c>
      <c r="N1512" s="564" t="str">
        <f t="shared" si="321"/>
        <v xml:space="preserve"> </v>
      </c>
      <c r="O1512" s="558"/>
      <c r="P1512" s="590"/>
      <c r="Q1512" s="564" t="str">
        <f>IF(O1512&lt;&gt;0,VLOOKUP(O1512,'Cây trong'!$A$2:$C$246,3,0)," ")</f>
        <v xml:space="preserve"> </v>
      </c>
      <c r="R1512" s="564" t="str">
        <f t="shared" si="326"/>
        <v xml:space="preserve"> </v>
      </c>
      <c r="S1512" s="566"/>
      <c r="T1512" s="589"/>
      <c r="U1512" s="591"/>
      <c r="V1512" s="593"/>
      <c r="W1512" s="564" t="str">
        <f>IF(S1512&lt;&gt;0,VLOOKUP(S1512,VKT!$A$2:$G$415,7,0),"")</f>
        <v/>
      </c>
      <c r="X1512" s="564" t="str">
        <f t="shared" si="318"/>
        <v xml:space="preserve"> </v>
      </c>
      <c r="Y1512" s="562"/>
      <c r="Z1512" s="568"/>
      <c r="AA1512" s="568"/>
      <c r="AB1512" s="568"/>
      <c r="AC1512" s="568"/>
      <c r="AD1512" s="568"/>
      <c r="AE1512" s="568"/>
      <c r="AF1512" s="563"/>
      <c r="AG1512" s="570" t="str">
        <f>IF(AE1512&lt;&gt;0,VLOOKUP(AE1512,ODDS!$A$2:$C$13,3,0),"")</f>
        <v/>
      </c>
      <c r="AH1512" s="570" t="str">
        <f t="shared" si="327"/>
        <v xml:space="preserve"> </v>
      </c>
      <c r="AI1512" s="571" t="str">
        <f t="shared" si="323"/>
        <v xml:space="preserve"> </v>
      </c>
      <c r="AJ1512" s="558"/>
      <c r="AK1512" s="558"/>
    </row>
    <row r="1513" spans="1:37" s="385" customFormat="1" ht="20.25" outlineLevel="2" x14ac:dyDescent="0.3">
      <c r="A1513" s="447">
        <f>IF(B1512&lt;&gt;0,B1512,A1512)</f>
        <v>119</v>
      </c>
      <c r="B1513" s="557"/>
      <c r="C1513" s="574"/>
      <c r="D1513" s="615"/>
      <c r="E1513" s="615"/>
      <c r="F1513" s="700"/>
      <c r="G1513" s="558"/>
      <c r="H1513" s="604"/>
      <c r="I1513" s="546"/>
      <c r="J1513" s="589"/>
      <c r="K1513" s="563" t="str">
        <f>IF(G1513&lt;&gt;0,VLOOKUP(G1513,'gia dat'!$A$1:$F$144,5,0)," ")</f>
        <v xml:space="preserve"> </v>
      </c>
      <c r="L1513" s="563" t="str">
        <f>IF(G1513&lt;&gt;0,VLOOKUP(G1513,'gia dat'!$A$1:$F$144,6,0)," ")</f>
        <v xml:space="preserve"> </v>
      </c>
      <c r="M1513" s="564" t="str">
        <f t="shared" si="320"/>
        <v xml:space="preserve"> </v>
      </c>
      <c r="N1513" s="564" t="str">
        <f t="shared" si="321"/>
        <v xml:space="preserve"> </v>
      </c>
      <c r="O1513" s="558"/>
      <c r="P1513" s="590"/>
      <c r="Q1513" s="564" t="str">
        <f>IF(O1513&lt;&gt;0,VLOOKUP(O1513,'Cây trong'!$A$2:$C$246,3,0)," ")</f>
        <v xml:space="preserve"> </v>
      </c>
      <c r="R1513" s="564" t="str">
        <f t="shared" si="326"/>
        <v xml:space="preserve"> </v>
      </c>
      <c r="S1513" s="566"/>
      <c r="T1513" s="589"/>
      <c r="U1513" s="617"/>
      <c r="V1513" s="593"/>
      <c r="W1513" s="564" t="str">
        <f>IF(S1513&lt;&gt;0,VLOOKUP(S1513,VKT!$A$2:$G$415,7,0),"")</f>
        <v/>
      </c>
      <c r="X1513" s="564" t="str">
        <f t="shared" si="318"/>
        <v xml:space="preserve"> </v>
      </c>
      <c r="Y1513" s="562"/>
      <c r="Z1513" s="568"/>
      <c r="AA1513" s="568"/>
      <c r="AB1513" s="568"/>
      <c r="AC1513" s="568"/>
      <c r="AD1513" s="568"/>
      <c r="AE1513" s="568"/>
      <c r="AF1513" s="563"/>
      <c r="AG1513" s="570" t="str">
        <f>IF(AE1513&lt;&gt;0,VLOOKUP(AE1513,ODDS!$A$2:$C$13,3,0),"")</f>
        <v/>
      </c>
      <c r="AH1513" s="570" t="str">
        <f t="shared" si="327"/>
        <v xml:space="preserve"> </v>
      </c>
      <c r="AI1513" s="571" t="str">
        <f t="shared" si="323"/>
        <v xml:space="preserve"> </v>
      </c>
      <c r="AJ1513" s="558"/>
      <c r="AK1513" s="558"/>
    </row>
    <row r="1514" spans="1:37" s="385" customFormat="1" ht="20.25" outlineLevel="1" x14ac:dyDescent="0.25">
      <c r="A1514" s="467" t="s">
        <v>2590</v>
      </c>
      <c r="B1514" s="576">
        <v>120</v>
      </c>
      <c r="C1514" s="574" t="s">
        <v>1069</v>
      </c>
      <c r="D1514" s="595"/>
      <c r="E1514" s="705"/>
      <c r="F1514" s="706"/>
      <c r="G1514" s="574"/>
      <c r="H1514" s="596">
        <f>SUBTOTAL(9,H1515:H1519)</f>
        <v>200</v>
      </c>
      <c r="I1514" s="579">
        <f>SUBTOTAL(9,I1515:I1520)</f>
        <v>0</v>
      </c>
      <c r="J1514" s="597"/>
      <c r="K1514" s="581"/>
      <c r="L1514" s="581"/>
      <c r="M1514" s="571">
        <f>SUBTOTAL(9,M1515:M1519)</f>
        <v>75360000</v>
      </c>
      <c r="N1514" s="571">
        <f>SUBTOTAL(9,N1515:N1519)</f>
        <v>0</v>
      </c>
      <c r="O1514" s="574"/>
      <c r="P1514" s="599">
        <f>SUBTOTAL(9,P1515:P1519)</f>
        <v>0</v>
      </c>
      <c r="Q1514" s="571"/>
      <c r="R1514" s="571">
        <f>SUBTOTAL(9,R1515:R1519)</f>
        <v>0</v>
      </c>
      <c r="S1514" s="582"/>
      <c r="T1514" s="597"/>
      <c r="U1514" s="600">
        <f>SUBTOTAL(9,U1515:U1519)</f>
        <v>0</v>
      </c>
      <c r="V1514" s="608"/>
      <c r="W1514" s="571"/>
      <c r="X1514" s="571">
        <f>SUBTOTAL(9,X1515:X1519)</f>
        <v>0</v>
      </c>
      <c r="Y1514" s="562"/>
      <c r="Z1514" s="568"/>
      <c r="AA1514" s="568"/>
      <c r="AB1514" s="568"/>
      <c r="AC1514" s="568"/>
      <c r="AD1514" s="568"/>
      <c r="AE1514" s="584"/>
      <c r="AF1514" s="581">
        <f>SUBTOTAL(9,AF1515:AF1519)</f>
        <v>0</v>
      </c>
      <c r="AG1514" s="585"/>
      <c r="AH1514" s="585">
        <f>SUBTOTAL(9,AH1515:AH1519)</f>
        <v>0</v>
      </c>
      <c r="AI1514" s="571">
        <f t="shared" si="323"/>
        <v>75360000</v>
      </c>
      <c r="AJ1514" s="574"/>
      <c r="AK1514" s="578"/>
    </row>
    <row r="1515" spans="1:37" s="385" customFormat="1" ht="121.5" outlineLevel="2" x14ac:dyDescent="0.3">
      <c r="A1515" s="447">
        <f>IF(B1514&lt;&gt;0,B1514,A1513)</f>
        <v>120</v>
      </c>
      <c r="B1515" s="557"/>
      <c r="C1515" s="558" t="s">
        <v>1071</v>
      </c>
      <c r="D1515" s="587">
        <v>4</v>
      </c>
      <c r="E1515" s="615">
        <v>86</v>
      </c>
      <c r="F1515" s="700">
        <v>229</v>
      </c>
      <c r="G1515" s="684" t="s">
        <v>2432</v>
      </c>
      <c r="H1515" s="604">
        <v>200</v>
      </c>
      <c r="I1515" s="546" t="str">
        <f t="shared" ref="I1515" si="329">IF(N1515&gt;0,H1515,"")</f>
        <v/>
      </c>
      <c r="J1515" s="589"/>
      <c r="K1515" s="563">
        <f>IF(G1515&lt;&gt;0,VLOOKUP(G1515,'gia dat'!$A$1:$F$144,5,0)," ")</f>
        <v>376800</v>
      </c>
      <c r="L1515" s="563">
        <f>IF(G1515&lt;&gt;0,VLOOKUP(G1515,'gia dat'!$A$1:$F$144,6,0)," ")</f>
        <v>0</v>
      </c>
      <c r="M1515" s="564">
        <f t="shared" si="320"/>
        <v>75360000</v>
      </c>
      <c r="N1515" s="564">
        <f t="shared" si="321"/>
        <v>0</v>
      </c>
      <c r="O1515" s="558"/>
      <c r="P1515" s="590"/>
      <c r="Q1515" s="564" t="str">
        <f>IF(O1515&lt;&gt;0,VLOOKUP(O1515,'Cây trong'!$A$2:$C$246,3,0)," ")</f>
        <v xml:space="preserve"> </v>
      </c>
      <c r="R1515" s="564" t="str">
        <f t="shared" si="326"/>
        <v xml:space="preserve"> </v>
      </c>
      <c r="S1515" s="566"/>
      <c r="T1515" s="589"/>
      <c r="U1515" s="591"/>
      <c r="V1515" s="593"/>
      <c r="W1515" s="564" t="str">
        <f>IF(S1515&lt;&gt;0,VLOOKUP(S1515,VKT!$A$2:$G$415,7,0),"")</f>
        <v/>
      </c>
      <c r="X1515" s="564" t="str">
        <f t="shared" si="318"/>
        <v xml:space="preserve"> </v>
      </c>
      <c r="Y1515" s="562"/>
      <c r="Z1515" s="568"/>
      <c r="AA1515" s="568"/>
      <c r="AB1515" s="568"/>
      <c r="AC1515" s="568"/>
      <c r="AD1515" s="568"/>
      <c r="AE1515" s="568"/>
      <c r="AF1515" s="563"/>
      <c r="AG1515" s="570" t="str">
        <f>IF(AE1515&lt;&gt;0,VLOOKUP(AE1515,ODDS!$A$2:$C$13,3,0),"")</f>
        <v/>
      </c>
      <c r="AH1515" s="570"/>
      <c r="AI1515" s="571" t="str">
        <f t="shared" si="323"/>
        <v xml:space="preserve"> </v>
      </c>
      <c r="AJ1515" s="558" t="s">
        <v>1070</v>
      </c>
      <c r="AK1515" s="586" t="s">
        <v>2771</v>
      </c>
    </row>
    <row r="1516" spans="1:37" s="385" customFormat="1" ht="60.75" outlineLevel="2" x14ac:dyDescent="0.3">
      <c r="A1516" s="447">
        <f>IF(B1515&lt;&gt;0,B1515,A1515)</f>
        <v>120</v>
      </c>
      <c r="B1516" s="557"/>
      <c r="C1516" s="586" t="s">
        <v>1583</v>
      </c>
      <c r="D1516" s="615"/>
      <c r="E1516" s="615"/>
      <c r="F1516" s="700"/>
      <c r="G1516" s="558"/>
      <c r="H1516" s="604"/>
      <c r="I1516" s="546"/>
      <c r="J1516" s="589"/>
      <c r="K1516" s="563" t="str">
        <f>IF(G1516&lt;&gt;0,VLOOKUP(G1516,'gia dat'!$A$1:$F$144,5,0)," ")</f>
        <v xml:space="preserve"> </v>
      </c>
      <c r="L1516" s="563" t="str">
        <f>IF(G1516&lt;&gt;0,VLOOKUP(G1516,'gia dat'!$A$1:$F$144,6,0)," ")</f>
        <v xml:space="preserve"> </v>
      </c>
      <c r="M1516" s="564" t="str">
        <f t="shared" si="320"/>
        <v xml:space="preserve"> </v>
      </c>
      <c r="N1516" s="564" t="str">
        <f t="shared" si="321"/>
        <v xml:space="preserve"> </v>
      </c>
      <c r="O1516" s="558"/>
      <c r="P1516" s="590"/>
      <c r="Q1516" s="564" t="str">
        <f>IF(O1516&lt;&gt;0,VLOOKUP(O1516,'Cây trong'!$A$2:$C$246,3,0)," ")</f>
        <v xml:space="preserve"> </v>
      </c>
      <c r="R1516" s="564" t="str">
        <f t="shared" si="326"/>
        <v xml:space="preserve"> </v>
      </c>
      <c r="S1516" s="566"/>
      <c r="T1516" s="589"/>
      <c r="U1516" s="617"/>
      <c r="V1516" s="593"/>
      <c r="W1516" s="564" t="str">
        <f>IF(S1516&lt;&gt;0,VLOOKUP(S1516,VKT!$A$2:$G$415,7,0),"")</f>
        <v/>
      </c>
      <c r="X1516" s="564" t="str">
        <f t="shared" si="318"/>
        <v xml:space="preserve"> </v>
      </c>
      <c r="Y1516" s="562"/>
      <c r="Z1516" s="568"/>
      <c r="AA1516" s="568"/>
      <c r="AB1516" s="568"/>
      <c r="AC1516" s="568"/>
      <c r="AD1516" s="568"/>
      <c r="AE1516" s="568"/>
      <c r="AF1516" s="563"/>
      <c r="AG1516" s="570" t="str">
        <f>IF(AE1516&lt;&gt;0,VLOOKUP(AE1516,ODDS!$A$2:$C$13,3,0),"")</f>
        <v/>
      </c>
      <c r="AH1516" s="570" t="str">
        <f t="shared" si="327"/>
        <v xml:space="preserve"> </v>
      </c>
      <c r="AI1516" s="571" t="str">
        <f t="shared" si="323"/>
        <v xml:space="preserve"> </v>
      </c>
      <c r="AJ1516" s="558" t="s">
        <v>2841</v>
      </c>
      <c r="AK1516" s="558"/>
    </row>
    <row r="1517" spans="1:37" s="385" customFormat="1" ht="141.75" outlineLevel="2" x14ac:dyDescent="0.3">
      <c r="A1517" s="447">
        <f>IF(B1516&lt;&gt;0,B1516,A1516)</f>
        <v>120</v>
      </c>
      <c r="B1517" s="557"/>
      <c r="C1517" s="558"/>
      <c r="D1517" s="615"/>
      <c r="E1517" s="615"/>
      <c r="F1517" s="700"/>
      <c r="G1517" s="558"/>
      <c r="H1517" s="604"/>
      <c r="I1517" s="546"/>
      <c r="J1517" s="589"/>
      <c r="K1517" s="563" t="str">
        <f>IF(G1517&lt;&gt;0,VLOOKUP(G1517,'gia dat'!$A$1:$F$144,5,0)," ")</f>
        <v xml:space="preserve"> </v>
      </c>
      <c r="L1517" s="563" t="str">
        <f>IF(G1517&lt;&gt;0,VLOOKUP(G1517,'gia dat'!$A$1:$F$144,6,0)," ")</f>
        <v xml:space="preserve"> </v>
      </c>
      <c r="M1517" s="564" t="str">
        <f t="shared" si="320"/>
        <v xml:space="preserve"> </v>
      </c>
      <c r="N1517" s="564" t="str">
        <f t="shared" si="321"/>
        <v xml:space="preserve"> </v>
      </c>
      <c r="O1517" s="558"/>
      <c r="P1517" s="590"/>
      <c r="Q1517" s="564" t="str">
        <f>IF(O1517&lt;&gt;0,VLOOKUP(O1517,'Cây trong'!$A$2:$C$246,3,0)," ")</f>
        <v xml:space="preserve"> </v>
      </c>
      <c r="R1517" s="564" t="str">
        <f t="shared" si="326"/>
        <v xml:space="preserve"> </v>
      </c>
      <c r="S1517" s="566"/>
      <c r="T1517" s="589"/>
      <c r="U1517" s="591"/>
      <c r="V1517" s="593"/>
      <c r="W1517" s="564" t="str">
        <f>IF(S1517&lt;&gt;0,VLOOKUP(S1517,VKT!$A$2:$G$415,7,0),"")</f>
        <v/>
      </c>
      <c r="X1517" s="564" t="str">
        <f t="shared" si="318"/>
        <v xml:space="preserve"> </v>
      </c>
      <c r="Y1517" s="562"/>
      <c r="Z1517" s="568"/>
      <c r="AA1517" s="568"/>
      <c r="AB1517" s="568"/>
      <c r="AC1517" s="568"/>
      <c r="AD1517" s="568"/>
      <c r="AE1517" s="568"/>
      <c r="AF1517" s="563"/>
      <c r="AG1517" s="570" t="str">
        <f>IF(AE1517&lt;&gt;0,VLOOKUP(AE1517,ODDS!$A$2:$C$13,3,0),"")</f>
        <v/>
      </c>
      <c r="AH1517" s="570" t="str">
        <f t="shared" si="327"/>
        <v xml:space="preserve"> </v>
      </c>
      <c r="AI1517" s="571" t="str">
        <f t="shared" si="323"/>
        <v xml:space="preserve"> </v>
      </c>
      <c r="AJ1517" s="558" t="s">
        <v>2076</v>
      </c>
      <c r="AK1517" s="593"/>
    </row>
    <row r="1518" spans="1:37" s="385" customFormat="1" ht="20.25" outlineLevel="2" x14ac:dyDescent="0.3">
      <c r="A1518" s="447">
        <f>IF(B1517&lt;&gt;0,B1517,A1517)</f>
        <v>120</v>
      </c>
      <c r="B1518" s="557"/>
      <c r="C1518" s="558"/>
      <c r="D1518" s="615"/>
      <c r="E1518" s="615"/>
      <c r="F1518" s="700"/>
      <c r="G1518" s="558"/>
      <c r="H1518" s="604"/>
      <c r="I1518" s="546"/>
      <c r="J1518" s="589"/>
      <c r="K1518" s="563" t="str">
        <f>IF(G1518&lt;&gt;0,VLOOKUP(G1518,'gia dat'!$A$1:$F$144,5,0)," ")</f>
        <v xml:space="preserve"> </v>
      </c>
      <c r="L1518" s="563" t="str">
        <f>IF(G1518&lt;&gt;0,VLOOKUP(G1518,'gia dat'!$A$1:$F$144,6,0)," ")</f>
        <v xml:space="preserve"> </v>
      </c>
      <c r="M1518" s="564" t="str">
        <f t="shared" si="320"/>
        <v xml:space="preserve"> </v>
      </c>
      <c r="N1518" s="564" t="str">
        <f t="shared" si="321"/>
        <v xml:space="preserve"> </v>
      </c>
      <c r="O1518" s="558"/>
      <c r="P1518" s="590"/>
      <c r="Q1518" s="564" t="str">
        <f>IF(O1518&lt;&gt;0,VLOOKUP(O1518,'Cây trong'!$A$2:$C$246,3,0)," ")</f>
        <v xml:space="preserve"> </v>
      </c>
      <c r="R1518" s="564" t="str">
        <f t="shared" si="326"/>
        <v xml:space="preserve"> </v>
      </c>
      <c r="S1518" s="566"/>
      <c r="T1518" s="589"/>
      <c r="U1518" s="591"/>
      <c r="V1518" s="593"/>
      <c r="W1518" s="564" t="str">
        <f>IF(S1518&lt;&gt;0,VLOOKUP(S1518,VKT!$A$2:$G$415,7,0),"")</f>
        <v/>
      </c>
      <c r="X1518" s="564" t="str">
        <f t="shared" si="318"/>
        <v xml:space="preserve"> </v>
      </c>
      <c r="Y1518" s="562"/>
      <c r="Z1518" s="568"/>
      <c r="AA1518" s="568"/>
      <c r="AB1518" s="568"/>
      <c r="AC1518" s="568"/>
      <c r="AD1518" s="568"/>
      <c r="AE1518" s="568"/>
      <c r="AF1518" s="563"/>
      <c r="AG1518" s="570" t="str">
        <f>IF(AE1518&lt;&gt;0,VLOOKUP(AE1518,ODDS!$A$2:$C$13,3,0),"")</f>
        <v/>
      </c>
      <c r="AH1518" s="570" t="str">
        <f t="shared" si="327"/>
        <v xml:space="preserve"> </v>
      </c>
      <c r="AI1518" s="571" t="str">
        <f t="shared" si="323"/>
        <v xml:space="preserve"> </v>
      </c>
      <c r="AJ1518" s="704"/>
      <c r="AK1518" s="558"/>
    </row>
    <row r="1519" spans="1:37" s="385" customFormat="1" ht="20.25" outlineLevel="2" x14ac:dyDescent="0.3">
      <c r="A1519" s="447">
        <f>IF(B1518&lt;&gt;0,B1518,A1518)</f>
        <v>120</v>
      </c>
      <c r="B1519" s="557"/>
      <c r="C1519" s="574"/>
      <c r="D1519" s="615"/>
      <c r="E1519" s="615"/>
      <c r="F1519" s="700"/>
      <c r="G1519" s="558"/>
      <c r="H1519" s="604"/>
      <c r="I1519" s="546"/>
      <c r="J1519" s="589"/>
      <c r="K1519" s="563" t="str">
        <f>IF(G1519&lt;&gt;0,VLOOKUP(G1519,'gia dat'!$A$1:$F$144,5,0)," ")</f>
        <v xml:space="preserve"> </v>
      </c>
      <c r="L1519" s="563" t="str">
        <f>IF(G1519&lt;&gt;0,VLOOKUP(G1519,'gia dat'!$A$1:$F$144,6,0)," ")</f>
        <v xml:space="preserve"> </v>
      </c>
      <c r="M1519" s="564" t="str">
        <f t="shared" si="320"/>
        <v xml:space="preserve"> </v>
      </c>
      <c r="N1519" s="564" t="str">
        <f t="shared" si="321"/>
        <v xml:space="preserve"> </v>
      </c>
      <c r="O1519" s="558"/>
      <c r="P1519" s="590"/>
      <c r="Q1519" s="564" t="str">
        <f>IF(O1519&lt;&gt;0,VLOOKUP(O1519,'Cây trong'!$A$2:$C$246,3,0)," ")</f>
        <v xml:space="preserve"> </v>
      </c>
      <c r="R1519" s="564" t="str">
        <f t="shared" si="326"/>
        <v xml:space="preserve"> </v>
      </c>
      <c r="S1519" s="566"/>
      <c r="T1519" s="589"/>
      <c r="U1519" s="591"/>
      <c r="V1519" s="593"/>
      <c r="W1519" s="564" t="str">
        <f>IF(S1519&lt;&gt;0,VLOOKUP(S1519,VKT!$A$2:$G$415,7,0),"")</f>
        <v/>
      </c>
      <c r="X1519" s="564" t="str">
        <f t="shared" si="318"/>
        <v xml:space="preserve"> </v>
      </c>
      <c r="Y1519" s="562"/>
      <c r="Z1519" s="568"/>
      <c r="AA1519" s="568"/>
      <c r="AB1519" s="568"/>
      <c r="AC1519" s="568"/>
      <c r="AD1519" s="568"/>
      <c r="AE1519" s="568"/>
      <c r="AF1519" s="563"/>
      <c r="AG1519" s="570" t="str">
        <f>IF(AE1519&lt;&gt;0,VLOOKUP(AE1519,ODDS!$A$2:$C$13,3,0),"")</f>
        <v/>
      </c>
      <c r="AH1519" s="570" t="str">
        <f t="shared" si="327"/>
        <v xml:space="preserve"> </v>
      </c>
      <c r="AI1519" s="571" t="str">
        <f t="shared" si="323"/>
        <v xml:space="preserve"> </v>
      </c>
      <c r="AJ1519" s="558"/>
      <c r="AK1519" s="558"/>
    </row>
    <row r="1520" spans="1:37" s="385" customFormat="1" ht="40.5" outlineLevel="1" x14ac:dyDescent="0.25">
      <c r="A1520" s="467" t="s">
        <v>2589</v>
      </c>
      <c r="B1520" s="576">
        <v>121</v>
      </c>
      <c r="C1520" s="574" t="s">
        <v>1073</v>
      </c>
      <c r="D1520" s="705"/>
      <c r="E1520" s="705"/>
      <c r="F1520" s="706"/>
      <c r="G1520" s="574"/>
      <c r="H1520" s="596">
        <f>SUBTOTAL(9,H1521:H1527)</f>
        <v>200</v>
      </c>
      <c r="I1520" s="579">
        <f>SUBTOTAL(9,I1521:I1526)</f>
        <v>0</v>
      </c>
      <c r="J1520" s="597"/>
      <c r="K1520" s="581"/>
      <c r="L1520" s="581"/>
      <c r="M1520" s="571">
        <f>SUBTOTAL(9,M1521:M1527)</f>
        <v>75360000</v>
      </c>
      <c r="N1520" s="571">
        <f>SUBTOTAL(9,N1521:N1527)</f>
        <v>0</v>
      </c>
      <c r="O1520" s="574"/>
      <c r="P1520" s="599">
        <f>SUBTOTAL(9,P1521:P1527)</f>
        <v>0</v>
      </c>
      <c r="Q1520" s="571"/>
      <c r="R1520" s="571">
        <f>SUBTOTAL(9,R1521:R1527)</f>
        <v>0</v>
      </c>
      <c r="S1520" s="582"/>
      <c r="T1520" s="597"/>
      <c r="U1520" s="600">
        <f>SUBTOTAL(9,U1521:U1527)</f>
        <v>0</v>
      </c>
      <c r="V1520" s="608"/>
      <c r="W1520" s="571"/>
      <c r="X1520" s="571">
        <f>SUBTOTAL(9,X1521:X1527)</f>
        <v>0</v>
      </c>
      <c r="Y1520" s="562"/>
      <c r="Z1520" s="568"/>
      <c r="AA1520" s="568"/>
      <c r="AB1520" s="568"/>
      <c r="AC1520" s="568"/>
      <c r="AD1520" s="568"/>
      <c r="AE1520" s="584"/>
      <c r="AF1520" s="581">
        <f>SUBTOTAL(9,AF1521:AF1527)</f>
        <v>0</v>
      </c>
      <c r="AG1520" s="585"/>
      <c r="AH1520" s="585">
        <f>SUBTOTAL(9,AH1521:AH1527)</f>
        <v>0</v>
      </c>
      <c r="AI1520" s="571">
        <f t="shared" si="323"/>
        <v>75360000</v>
      </c>
      <c r="AJ1520" s="574"/>
      <c r="AK1520" s="578"/>
    </row>
    <row r="1521" spans="1:37" s="385" customFormat="1" ht="121.5" outlineLevel="2" x14ac:dyDescent="0.3">
      <c r="A1521" s="447">
        <f>IF(B1520&lt;&gt;0,B1520,A1519)</f>
        <v>121</v>
      </c>
      <c r="B1521" s="557"/>
      <c r="C1521" s="558" t="s">
        <v>1075</v>
      </c>
      <c r="D1521" s="615">
        <v>4</v>
      </c>
      <c r="E1521" s="615">
        <v>86</v>
      </c>
      <c r="F1521" s="700">
        <v>231</v>
      </c>
      <c r="G1521" s="684" t="s">
        <v>2432</v>
      </c>
      <c r="H1521" s="604">
        <f>100</f>
        <v>100</v>
      </c>
      <c r="I1521" s="546" t="str">
        <f t="shared" ref="I1521:I1522" si="330">IF(N1521&gt;0,H1521,"")</f>
        <v/>
      </c>
      <c r="J1521" s="589"/>
      <c r="K1521" s="563">
        <f>IF(G1521&lt;&gt;0,VLOOKUP(G1521,'gia dat'!$A$1:$F$144,5,0)," ")</f>
        <v>376800</v>
      </c>
      <c r="L1521" s="563">
        <f>IF(G1521&lt;&gt;0,VLOOKUP(G1521,'gia dat'!$A$1:$F$144,6,0)," ")</f>
        <v>0</v>
      </c>
      <c r="M1521" s="564">
        <f t="shared" si="320"/>
        <v>37680000</v>
      </c>
      <c r="N1521" s="564">
        <f t="shared" si="321"/>
        <v>0</v>
      </c>
      <c r="O1521" s="558"/>
      <c r="P1521" s="590"/>
      <c r="Q1521" s="564" t="str">
        <f>IF(O1521&lt;&gt;0,VLOOKUP(O1521,'Cây trong'!$A$2:$C$246,3,0)," ")</f>
        <v xml:space="preserve"> </v>
      </c>
      <c r="R1521" s="564" t="str">
        <f t="shared" si="326"/>
        <v xml:space="preserve"> </v>
      </c>
      <c r="S1521" s="566"/>
      <c r="T1521" s="589"/>
      <c r="U1521" s="591"/>
      <c r="V1521" s="593"/>
      <c r="W1521" s="564" t="str">
        <f>IF(S1521&lt;&gt;0,VLOOKUP(S1521,VKT!$A$2:$G$415,7,0),"")</f>
        <v/>
      </c>
      <c r="X1521" s="564" t="str">
        <f t="shared" si="318"/>
        <v xml:space="preserve"> </v>
      </c>
      <c r="Y1521" s="562"/>
      <c r="Z1521" s="568"/>
      <c r="AA1521" s="568"/>
      <c r="AB1521" s="568"/>
      <c r="AC1521" s="568"/>
      <c r="AD1521" s="568"/>
      <c r="AE1521" s="568"/>
      <c r="AF1521" s="563"/>
      <c r="AG1521" s="570" t="str">
        <f>IF(AE1521&lt;&gt;0,VLOOKUP(AE1521,ODDS!$A$2:$C$13,3,0),"")</f>
        <v/>
      </c>
      <c r="AH1521" s="570"/>
      <c r="AI1521" s="571" t="str">
        <f t="shared" si="323"/>
        <v xml:space="preserve"> </v>
      </c>
      <c r="AJ1521" s="558" t="s">
        <v>1074</v>
      </c>
      <c r="AK1521" s="586" t="s">
        <v>2771</v>
      </c>
    </row>
    <row r="1522" spans="1:37" s="385" customFormat="1" ht="101.25" outlineLevel="2" x14ac:dyDescent="0.3">
      <c r="A1522" s="447">
        <f t="shared" ref="A1522:A1527" si="331">IF(B1521&lt;&gt;0,B1521,A1521)</f>
        <v>121</v>
      </c>
      <c r="B1522" s="557"/>
      <c r="C1522" s="586" t="s">
        <v>1584</v>
      </c>
      <c r="D1522" s="615"/>
      <c r="E1522" s="615">
        <v>86</v>
      </c>
      <c r="F1522" s="700">
        <v>214</v>
      </c>
      <c r="G1522" s="684" t="s">
        <v>2432</v>
      </c>
      <c r="H1522" s="604">
        <f>100</f>
        <v>100</v>
      </c>
      <c r="I1522" s="546" t="str">
        <f t="shared" si="330"/>
        <v/>
      </c>
      <c r="J1522" s="589"/>
      <c r="K1522" s="563">
        <f>IF(G1522&lt;&gt;0,VLOOKUP(G1522,'gia dat'!$A$1:$F$144,5,0)," ")</f>
        <v>376800</v>
      </c>
      <c r="L1522" s="563">
        <f>IF(G1522&lt;&gt;0,VLOOKUP(G1522,'gia dat'!$A$1:$F$144,6,0)," ")</f>
        <v>0</v>
      </c>
      <c r="M1522" s="564">
        <f t="shared" si="320"/>
        <v>37680000</v>
      </c>
      <c r="N1522" s="564">
        <f t="shared" si="321"/>
        <v>0</v>
      </c>
      <c r="O1522" s="558"/>
      <c r="P1522" s="590"/>
      <c r="Q1522" s="564" t="str">
        <f>IF(O1522&lt;&gt;0,VLOOKUP(O1522,'Cây trong'!$A$2:$C$246,3,0)," ")</f>
        <v xml:space="preserve"> </v>
      </c>
      <c r="R1522" s="564" t="str">
        <f t="shared" si="326"/>
        <v xml:space="preserve"> </v>
      </c>
      <c r="S1522" s="566"/>
      <c r="T1522" s="589"/>
      <c r="U1522" s="617"/>
      <c r="V1522" s="593"/>
      <c r="W1522" s="564" t="str">
        <f>IF(S1522&lt;&gt;0,VLOOKUP(S1522,VKT!$A$2:$G$415,7,0),"")</f>
        <v/>
      </c>
      <c r="X1522" s="564" t="str">
        <f t="shared" si="318"/>
        <v xml:space="preserve"> </v>
      </c>
      <c r="Y1522" s="562"/>
      <c r="Z1522" s="568"/>
      <c r="AA1522" s="568"/>
      <c r="AB1522" s="568"/>
      <c r="AC1522" s="568"/>
      <c r="AD1522" s="568"/>
      <c r="AE1522" s="568"/>
      <c r="AF1522" s="563"/>
      <c r="AG1522" s="570" t="str">
        <f>IF(AE1522&lt;&gt;0,VLOOKUP(AE1522,ODDS!$A$2:$C$13,3,0),"")</f>
        <v/>
      </c>
      <c r="AH1522" s="570" t="str">
        <f t="shared" si="327"/>
        <v xml:space="preserve"> </v>
      </c>
      <c r="AI1522" s="571" t="str">
        <f t="shared" si="323"/>
        <v xml:space="preserve"> </v>
      </c>
      <c r="AJ1522" s="558" t="s">
        <v>2842</v>
      </c>
      <c r="AK1522" s="558"/>
    </row>
    <row r="1523" spans="1:37" s="385" customFormat="1" ht="60.75" outlineLevel="2" x14ac:dyDescent="0.3">
      <c r="A1523" s="447">
        <f t="shared" si="331"/>
        <v>121</v>
      </c>
      <c r="B1523" s="557"/>
      <c r="C1523" s="558"/>
      <c r="D1523" s="615"/>
      <c r="E1523" s="615"/>
      <c r="F1523" s="700"/>
      <c r="G1523" s="558"/>
      <c r="H1523" s="604"/>
      <c r="I1523" s="546"/>
      <c r="J1523" s="589"/>
      <c r="K1523" s="563" t="str">
        <f>IF(G1523&lt;&gt;0,VLOOKUP(G1523,'gia dat'!$A$1:$F$144,5,0)," ")</f>
        <v xml:space="preserve"> </v>
      </c>
      <c r="L1523" s="563" t="str">
        <f>IF(G1523&lt;&gt;0,VLOOKUP(G1523,'gia dat'!$A$1:$F$144,6,0)," ")</f>
        <v xml:space="preserve"> </v>
      </c>
      <c r="M1523" s="564" t="str">
        <f t="shared" si="320"/>
        <v xml:space="preserve"> </v>
      </c>
      <c r="N1523" s="564" t="str">
        <f t="shared" si="321"/>
        <v xml:space="preserve"> </v>
      </c>
      <c r="O1523" s="558"/>
      <c r="P1523" s="590"/>
      <c r="Q1523" s="564" t="str">
        <f>IF(O1523&lt;&gt;0,VLOOKUP(O1523,'Cây trong'!$A$2:$C$246,3,0)," ")</f>
        <v xml:space="preserve"> </v>
      </c>
      <c r="R1523" s="564" t="str">
        <f t="shared" si="326"/>
        <v xml:space="preserve"> </v>
      </c>
      <c r="S1523" s="566"/>
      <c r="T1523" s="589"/>
      <c r="U1523" s="591"/>
      <c r="V1523" s="593"/>
      <c r="W1523" s="564" t="str">
        <f>IF(S1523&lt;&gt;0,VLOOKUP(S1523,VKT!$A$2:$G$415,7,0),"")</f>
        <v/>
      </c>
      <c r="X1523" s="564" t="str">
        <f t="shared" si="318"/>
        <v xml:space="preserve"> </v>
      </c>
      <c r="Y1523" s="562"/>
      <c r="Z1523" s="568"/>
      <c r="AA1523" s="568"/>
      <c r="AB1523" s="568"/>
      <c r="AC1523" s="568"/>
      <c r="AD1523" s="568"/>
      <c r="AE1523" s="568"/>
      <c r="AF1523" s="563"/>
      <c r="AG1523" s="570" t="str">
        <f>IF(AE1523&lt;&gt;0,VLOOKUP(AE1523,ODDS!$A$2:$C$13,3,0),"")</f>
        <v/>
      </c>
      <c r="AH1523" s="570" t="str">
        <f t="shared" si="327"/>
        <v xml:space="preserve"> </v>
      </c>
      <c r="AI1523" s="571" t="str">
        <f t="shared" si="323"/>
        <v xml:space="preserve"> </v>
      </c>
      <c r="AJ1523" s="558" t="s">
        <v>1077</v>
      </c>
      <c r="AK1523" s="558"/>
    </row>
    <row r="1524" spans="1:37" s="385" customFormat="1" ht="40.5" outlineLevel="2" x14ac:dyDescent="0.3">
      <c r="A1524" s="447">
        <f t="shared" si="331"/>
        <v>121</v>
      </c>
      <c r="B1524" s="557"/>
      <c r="C1524" s="558"/>
      <c r="D1524" s="615"/>
      <c r="E1524" s="615"/>
      <c r="F1524" s="700"/>
      <c r="G1524" s="558"/>
      <c r="H1524" s="604"/>
      <c r="I1524" s="546"/>
      <c r="J1524" s="589"/>
      <c r="K1524" s="563" t="str">
        <f>IF(G1524&lt;&gt;0,VLOOKUP(G1524,'gia dat'!$A$1:$F$144,5,0)," ")</f>
        <v xml:space="preserve"> </v>
      </c>
      <c r="L1524" s="563" t="str">
        <f>IF(G1524&lt;&gt;0,VLOOKUP(G1524,'gia dat'!$A$1:$F$144,6,0)," ")</f>
        <v xml:space="preserve"> </v>
      </c>
      <c r="M1524" s="564" t="str">
        <f t="shared" si="320"/>
        <v xml:space="preserve"> </v>
      </c>
      <c r="N1524" s="564" t="str">
        <f t="shared" si="321"/>
        <v xml:space="preserve"> </v>
      </c>
      <c r="O1524" s="558"/>
      <c r="P1524" s="590"/>
      <c r="Q1524" s="564" t="str">
        <f>IF(O1524&lt;&gt;0,VLOOKUP(O1524,'Cây trong'!$A$2:$C$246,3,0)," ")</f>
        <v xml:space="preserve"> </v>
      </c>
      <c r="R1524" s="564" t="str">
        <f t="shared" si="326"/>
        <v xml:space="preserve"> </v>
      </c>
      <c r="S1524" s="566"/>
      <c r="T1524" s="589"/>
      <c r="U1524" s="591"/>
      <c r="V1524" s="593"/>
      <c r="W1524" s="564" t="str">
        <f>IF(S1524&lt;&gt;0,VLOOKUP(S1524,VKT!$A$2:$G$415,7,0),"")</f>
        <v/>
      </c>
      <c r="X1524" s="564" t="str">
        <f t="shared" si="318"/>
        <v xml:space="preserve"> </v>
      </c>
      <c r="Y1524" s="562"/>
      <c r="Z1524" s="568"/>
      <c r="AA1524" s="568"/>
      <c r="AB1524" s="568"/>
      <c r="AC1524" s="568"/>
      <c r="AD1524" s="568"/>
      <c r="AE1524" s="568"/>
      <c r="AF1524" s="563"/>
      <c r="AG1524" s="570" t="str">
        <f>IF(AE1524&lt;&gt;0,VLOOKUP(AE1524,ODDS!$A$2:$C$13,3,0),"")</f>
        <v/>
      </c>
      <c r="AH1524" s="570" t="str">
        <f t="shared" si="327"/>
        <v xml:space="preserve"> </v>
      </c>
      <c r="AI1524" s="571" t="str">
        <f t="shared" si="323"/>
        <v xml:space="preserve"> </v>
      </c>
      <c r="AJ1524" s="558" t="s">
        <v>1078</v>
      </c>
      <c r="AK1524" s="558"/>
    </row>
    <row r="1525" spans="1:37" s="385" customFormat="1" ht="101.25" outlineLevel="2" x14ac:dyDescent="0.3">
      <c r="A1525" s="447">
        <f t="shared" si="331"/>
        <v>121</v>
      </c>
      <c r="B1525" s="557"/>
      <c r="C1525" s="558"/>
      <c r="D1525" s="615"/>
      <c r="E1525" s="615"/>
      <c r="F1525" s="700"/>
      <c r="G1525" s="558"/>
      <c r="H1525" s="604"/>
      <c r="I1525" s="546"/>
      <c r="J1525" s="589"/>
      <c r="K1525" s="563" t="str">
        <f>IF(G1525&lt;&gt;0,VLOOKUP(G1525,'gia dat'!$A$1:$F$144,5,0)," ")</f>
        <v xml:space="preserve"> </v>
      </c>
      <c r="L1525" s="563" t="str">
        <f>IF(G1525&lt;&gt;0,VLOOKUP(G1525,'gia dat'!$A$1:$F$144,6,0)," ")</f>
        <v xml:space="preserve"> </v>
      </c>
      <c r="M1525" s="564" t="str">
        <f t="shared" si="320"/>
        <v xml:space="preserve"> </v>
      </c>
      <c r="N1525" s="564" t="str">
        <f t="shared" si="321"/>
        <v xml:space="preserve"> </v>
      </c>
      <c r="O1525" s="558"/>
      <c r="P1525" s="590"/>
      <c r="Q1525" s="564" t="str">
        <f>IF(O1525&lt;&gt;0,VLOOKUP(O1525,'Cây trong'!$A$2:$C$246,3,0)," ")</f>
        <v xml:space="preserve"> </v>
      </c>
      <c r="R1525" s="564" t="str">
        <f t="shared" si="326"/>
        <v xml:space="preserve"> </v>
      </c>
      <c r="S1525" s="566"/>
      <c r="T1525" s="589"/>
      <c r="U1525" s="591"/>
      <c r="V1525" s="593"/>
      <c r="W1525" s="564" t="str">
        <f>IF(S1525&lt;&gt;0,VLOOKUP(S1525,VKT!$A$2:$G$415,7,0),"")</f>
        <v/>
      </c>
      <c r="X1525" s="564" t="str">
        <f t="shared" si="318"/>
        <v xml:space="preserve"> </v>
      </c>
      <c r="Y1525" s="562"/>
      <c r="Z1525" s="568"/>
      <c r="AA1525" s="568"/>
      <c r="AB1525" s="568"/>
      <c r="AC1525" s="568"/>
      <c r="AD1525" s="568"/>
      <c r="AE1525" s="568"/>
      <c r="AF1525" s="563"/>
      <c r="AG1525" s="570" t="str">
        <f>IF(AE1525&lt;&gt;0,VLOOKUP(AE1525,ODDS!$A$2:$C$13,3,0),"")</f>
        <v/>
      </c>
      <c r="AH1525" s="570" t="str">
        <f t="shared" si="327"/>
        <v xml:space="preserve"> </v>
      </c>
      <c r="AI1525" s="571" t="str">
        <f t="shared" si="323"/>
        <v xml:space="preserve"> </v>
      </c>
      <c r="AJ1525" s="558" t="s">
        <v>2231</v>
      </c>
      <c r="AK1525" s="593"/>
    </row>
    <row r="1526" spans="1:37" s="385" customFormat="1" ht="20.25" outlineLevel="2" x14ac:dyDescent="0.3">
      <c r="A1526" s="447">
        <f t="shared" si="331"/>
        <v>121</v>
      </c>
      <c r="B1526" s="557"/>
      <c r="C1526" s="572"/>
      <c r="D1526" s="615"/>
      <c r="E1526" s="615"/>
      <c r="F1526" s="700"/>
      <c r="G1526" s="558"/>
      <c r="H1526" s="604"/>
      <c r="I1526" s="546"/>
      <c r="J1526" s="589"/>
      <c r="K1526" s="563" t="str">
        <f>IF(G1526&lt;&gt;0,VLOOKUP(G1526,'gia dat'!$A$1:$F$144,5,0)," ")</f>
        <v xml:space="preserve"> </v>
      </c>
      <c r="L1526" s="563" t="str">
        <f>IF(G1526&lt;&gt;0,VLOOKUP(G1526,'gia dat'!$A$1:$F$144,6,0)," ")</f>
        <v xml:space="preserve"> </v>
      </c>
      <c r="M1526" s="564" t="str">
        <f t="shared" si="320"/>
        <v xml:space="preserve"> </v>
      </c>
      <c r="N1526" s="564" t="str">
        <f t="shared" si="321"/>
        <v xml:space="preserve"> </v>
      </c>
      <c r="O1526" s="558"/>
      <c r="P1526" s="590"/>
      <c r="Q1526" s="564" t="str">
        <f>IF(O1526&lt;&gt;0,VLOOKUP(O1526,'Cây trong'!$A$2:$C$246,3,0)," ")</f>
        <v xml:space="preserve"> </v>
      </c>
      <c r="R1526" s="564" t="str">
        <f t="shared" si="326"/>
        <v xml:space="preserve"> </v>
      </c>
      <c r="S1526" s="566"/>
      <c r="T1526" s="589"/>
      <c r="U1526" s="591"/>
      <c r="V1526" s="593"/>
      <c r="W1526" s="564" t="str">
        <f>IF(S1526&lt;&gt;0,VLOOKUP(S1526,VKT!$A$2:$G$415,7,0),"")</f>
        <v/>
      </c>
      <c r="X1526" s="564" t="str">
        <f t="shared" si="318"/>
        <v xml:space="preserve"> </v>
      </c>
      <c r="Y1526" s="562"/>
      <c r="Z1526" s="568"/>
      <c r="AA1526" s="568"/>
      <c r="AB1526" s="568"/>
      <c r="AC1526" s="568"/>
      <c r="AD1526" s="568"/>
      <c r="AE1526" s="568"/>
      <c r="AF1526" s="563"/>
      <c r="AG1526" s="570" t="str">
        <f>IF(AE1526&lt;&gt;0,VLOOKUP(AE1526,ODDS!$A$2:$C$13,3,0),"")</f>
        <v/>
      </c>
      <c r="AH1526" s="570" t="str">
        <f t="shared" si="327"/>
        <v xml:space="preserve"> </v>
      </c>
      <c r="AI1526" s="571" t="str">
        <f t="shared" si="323"/>
        <v xml:space="preserve"> </v>
      </c>
      <c r="AJ1526" s="704"/>
      <c r="AK1526" s="593"/>
    </row>
    <row r="1527" spans="1:37" s="385" customFormat="1" ht="20.25" outlineLevel="2" x14ac:dyDescent="0.3">
      <c r="A1527" s="447">
        <f t="shared" si="331"/>
        <v>121</v>
      </c>
      <c r="B1527" s="557"/>
      <c r="C1527" s="574"/>
      <c r="D1527" s="703"/>
      <c r="E1527" s="615"/>
      <c r="F1527" s="700"/>
      <c r="G1527" s="558"/>
      <c r="H1527" s="732"/>
      <c r="I1527" s="546"/>
      <c r="J1527" s="710"/>
      <c r="K1527" s="563" t="str">
        <f>IF(G1527&lt;&gt;0,VLOOKUP(G1527,'gia dat'!$A$1:$F$144,5,0)," ")</f>
        <v xml:space="preserve"> </v>
      </c>
      <c r="L1527" s="563" t="str">
        <f>IF(G1527&lt;&gt;0,VLOOKUP(G1527,'gia dat'!$A$1:$F$144,6,0)," ")</f>
        <v xml:space="preserve"> </v>
      </c>
      <c r="M1527" s="564" t="str">
        <f t="shared" si="320"/>
        <v xml:space="preserve"> </v>
      </c>
      <c r="N1527" s="564" t="str">
        <f t="shared" si="321"/>
        <v xml:space="preserve"> </v>
      </c>
      <c r="O1527" s="586"/>
      <c r="P1527" s="630"/>
      <c r="Q1527" s="564" t="str">
        <f>IF(O1527&lt;&gt;0,VLOOKUP(O1527,'Cây trong'!$A$2:$C$246,3,0)," ")</f>
        <v xml:space="preserve"> </v>
      </c>
      <c r="R1527" s="564" t="str">
        <f t="shared" si="326"/>
        <v xml:space="preserve"> </v>
      </c>
      <c r="S1527" s="586"/>
      <c r="T1527" s="609"/>
      <c r="U1527" s="567"/>
      <c r="V1527" s="593"/>
      <c r="W1527" s="564" t="str">
        <f>IF(S1527&lt;&gt;0,VLOOKUP(S1527,VKT!$A$2:$G$415,7,0),"")</f>
        <v/>
      </c>
      <c r="X1527" s="564" t="str">
        <f t="shared" ref="X1527:X1600" si="332">IF(S1527&lt;&gt;0,ROUND(U1527*W1527,-3)," ")</f>
        <v xml:space="preserve"> </v>
      </c>
      <c r="Y1527" s="562"/>
      <c r="Z1527" s="568"/>
      <c r="AA1527" s="568"/>
      <c r="AB1527" s="568"/>
      <c r="AC1527" s="568"/>
      <c r="AD1527" s="568"/>
      <c r="AE1527" s="568"/>
      <c r="AF1527" s="563"/>
      <c r="AG1527" s="570" t="str">
        <f>IF(AE1527&lt;&gt;0,VLOOKUP(AE1527,ODDS!$A$2:$C$13,3,0),"")</f>
        <v/>
      </c>
      <c r="AH1527" s="570" t="str">
        <f t="shared" si="327"/>
        <v xml:space="preserve"> </v>
      </c>
      <c r="AI1527" s="571" t="str">
        <f t="shared" si="323"/>
        <v xml:space="preserve"> </v>
      </c>
      <c r="AJ1527" s="593"/>
      <c r="AK1527" s="593"/>
    </row>
    <row r="1528" spans="1:37" s="385" customFormat="1" ht="60.75" outlineLevel="1" x14ac:dyDescent="0.25">
      <c r="A1528" s="467" t="s">
        <v>2588</v>
      </c>
      <c r="B1528" s="576">
        <v>122</v>
      </c>
      <c r="C1528" s="574" t="s">
        <v>2050</v>
      </c>
      <c r="D1528" s="705"/>
      <c r="E1528" s="705"/>
      <c r="F1528" s="706"/>
      <c r="G1528" s="574"/>
      <c r="H1528" s="596">
        <f>SUBTOTAL(9,H1529:H1536)</f>
        <v>100</v>
      </c>
      <c r="I1528" s="579">
        <f>SUBTOTAL(9,I1529:I1534)</f>
        <v>0</v>
      </c>
      <c r="J1528" s="597"/>
      <c r="K1528" s="581"/>
      <c r="L1528" s="581"/>
      <c r="M1528" s="571">
        <f>SUBTOTAL(9,M1529:M1536)</f>
        <v>37680000</v>
      </c>
      <c r="N1528" s="571">
        <f>SUBTOTAL(9,N1529:N1536)</f>
        <v>0</v>
      </c>
      <c r="O1528" s="574"/>
      <c r="P1528" s="599">
        <f>SUBTOTAL(9,P1529:P1536)</f>
        <v>0</v>
      </c>
      <c r="Q1528" s="571"/>
      <c r="R1528" s="571">
        <f>SUBTOTAL(9,R1529:R1536)</f>
        <v>0</v>
      </c>
      <c r="S1528" s="582"/>
      <c r="T1528" s="597"/>
      <c r="U1528" s="600">
        <f>SUBTOTAL(9,U1529:U1536)</f>
        <v>0</v>
      </c>
      <c r="V1528" s="608"/>
      <c r="W1528" s="571"/>
      <c r="X1528" s="571">
        <f>SUBTOTAL(9,X1529:X1536)</f>
        <v>0</v>
      </c>
      <c r="Y1528" s="562"/>
      <c r="Z1528" s="568"/>
      <c r="AA1528" s="568"/>
      <c r="AB1528" s="568"/>
      <c r="AC1528" s="568"/>
      <c r="AD1528" s="568"/>
      <c r="AE1528" s="584"/>
      <c r="AF1528" s="581">
        <f>SUBTOTAL(9,AF1529:AF1536)</f>
        <v>0</v>
      </c>
      <c r="AG1528" s="585"/>
      <c r="AH1528" s="585">
        <f>SUBTOTAL(9,AH1529:AH1536)</f>
        <v>0</v>
      </c>
      <c r="AI1528" s="571">
        <f t="shared" si="323"/>
        <v>37680000</v>
      </c>
      <c r="AJ1528" s="574"/>
      <c r="AK1528" s="578"/>
    </row>
    <row r="1529" spans="1:37" s="385" customFormat="1" ht="121.5" outlineLevel="2" x14ac:dyDescent="0.3">
      <c r="A1529" s="447">
        <f>IF(B1528&lt;&gt;0,B1528,A1527)</f>
        <v>122</v>
      </c>
      <c r="B1529" s="557"/>
      <c r="C1529" s="558"/>
      <c r="D1529" s="615">
        <v>1</v>
      </c>
      <c r="E1529" s="615">
        <v>86</v>
      </c>
      <c r="F1529" s="700">
        <v>217</v>
      </c>
      <c r="G1529" s="684" t="s">
        <v>2432</v>
      </c>
      <c r="H1529" s="604">
        <v>100</v>
      </c>
      <c r="I1529" s="546" t="str">
        <f t="shared" ref="I1529" si="333">IF(N1529&gt;0,H1529,"")</f>
        <v/>
      </c>
      <c r="J1529" s="589"/>
      <c r="K1529" s="563">
        <f>IF(G1529&lt;&gt;0,VLOOKUP(G1529,'gia dat'!$A$1:$F$144,5,0)," ")</f>
        <v>376800</v>
      </c>
      <c r="L1529" s="563">
        <f>IF(G1529&lt;&gt;0,VLOOKUP(G1529,'gia dat'!$A$1:$F$144,6,0)," ")</f>
        <v>0</v>
      </c>
      <c r="M1529" s="564">
        <f t="shared" si="320"/>
        <v>37680000</v>
      </c>
      <c r="N1529" s="564">
        <f t="shared" si="321"/>
        <v>0</v>
      </c>
      <c r="O1529" s="558"/>
      <c r="P1529" s="590"/>
      <c r="Q1529" s="564" t="str">
        <f>IF(O1529&lt;&gt;0,VLOOKUP(O1529,'Cây trong'!$A$2:$C$246,3,0)," ")</f>
        <v xml:space="preserve"> </v>
      </c>
      <c r="R1529" s="564" t="str">
        <f t="shared" si="326"/>
        <v xml:space="preserve"> </v>
      </c>
      <c r="S1529" s="566"/>
      <c r="T1529" s="589"/>
      <c r="U1529" s="591"/>
      <c r="V1529" s="593"/>
      <c r="W1529" s="564" t="str">
        <f>IF(S1529&lt;&gt;0,VLOOKUP(S1529,VKT!$A$2:$G$415,7,0),"")</f>
        <v/>
      </c>
      <c r="X1529" s="564" t="str">
        <f t="shared" si="332"/>
        <v xml:space="preserve"> </v>
      </c>
      <c r="Y1529" s="562"/>
      <c r="Z1529" s="568"/>
      <c r="AA1529" s="568"/>
      <c r="AB1529" s="568"/>
      <c r="AC1529" s="568"/>
      <c r="AD1529" s="568"/>
      <c r="AE1529" s="568"/>
      <c r="AF1529" s="563"/>
      <c r="AG1529" s="570" t="str">
        <f>IF(AE1529&lt;&gt;0,VLOOKUP(AE1529,ODDS!$A$2:$C$13,3,0),"")</f>
        <v/>
      </c>
      <c r="AH1529" s="570" t="str">
        <f t="shared" si="327"/>
        <v xml:space="preserve"> </v>
      </c>
      <c r="AI1529" s="571" t="str">
        <f t="shared" si="323"/>
        <v xml:space="preserve"> </v>
      </c>
      <c r="AJ1529" s="558" t="s">
        <v>1080</v>
      </c>
      <c r="AK1529" s="586" t="s">
        <v>2771</v>
      </c>
    </row>
    <row r="1530" spans="1:37" s="385" customFormat="1" ht="44.25" outlineLevel="2" x14ac:dyDescent="0.3">
      <c r="A1530" s="447">
        <f t="shared" ref="A1530:A1536" si="334">IF(B1529&lt;&gt;0,B1529,A1529)</f>
        <v>122</v>
      </c>
      <c r="B1530" s="557"/>
      <c r="C1530" s="586"/>
      <c r="D1530" s="615"/>
      <c r="E1530" s="615"/>
      <c r="F1530" s="700"/>
      <c r="G1530" s="558"/>
      <c r="H1530" s="604"/>
      <c r="I1530" s="546"/>
      <c r="J1530" s="589"/>
      <c r="K1530" s="563" t="str">
        <f>IF(G1530&lt;&gt;0,VLOOKUP(G1530,'gia dat'!$A$1:$F$144,5,0)," ")</f>
        <v xml:space="preserve"> </v>
      </c>
      <c r="L1530" s="563" t="str">
        <f>IF(G1530&lt;&gt;0,VLOOKUP(G1530,'gia dat'!$A$1:$F$144,6,0)," ")</f>
        <v xml:space="preserve"> </v>
      </c>
      <c r="M1530" s="564" t="str">
        <f t="shared" si="320"/>
        <v xml:space="preserve"> </v>
      </c>
      <c r="N1530" s="564" t="str">
        <f t="shared" si="321"/>
        <v xml:space="preserve"> </v>
      </c>
      <c r="O1530" s="558"/>
      <c r="P1530" s="590"/>
      <c r="Q1530" s="564" t="str">
        <f>IF(O1530&lt;&gt;0,VLOOKUP(O1530,'Cây trong'!$A$2:$C$246,3,0)," ")</f>
        <v xml:space="preserve"> </v>
      </c>
      <c r="R1530" s="564" t="str">
        <f t="shared" si="326"/>
        <v xml:space="preserve"> </v>
      </c>
      <c r="S1530" s="566"/>
      <c r="T1530" s="589"/>
      <c r="U1530" s="617"/>
      <c r="V1530" s="593"/>
      <c r="W1530" s="564" t="str">
        <f>IF(S1530&lt;&gt;0,VLOOKUP(S1530,VKT!$A$2:$G$415,7,0),"")</f>
        <v/>
      </c>
      <c r="X1530" s="564" t="str">
        <f t="shared" si="332"/>
        <v xml:space="preserve"> </v>
      </c>
      <c r="Y1530" s="562"/>
      <c r="Z1530" s="568"/>
      <c r="AA1530" s="568"/>
      <c r="AB1530" s="568"/>
      <c r="AC1530" s="568"/>
      <c r="AD1530" s="568"/>
      <c r="AE1530" s="568"/>
      <c r="AF1530" s="563"/>
      <c r="AG1530" s="570" t="str">
        <f>IF(AE1530&lt;&gt;0,VLOOKUP(AE1530,ODDS!$A$2:$C$13,3,0),"")</f>
        <v/>
      </c>
      <c r="AH1530" s="570" t="str">
        <f t="shared" si="327"/>
        <v xml:space="preserve"> </v>
      </c>
      <c r="AI1530" s="571" t="str">
        <f t="shared" si="323"/>
        <v xml:space="preserve"> </v>
      </c>
      <c r="AJ1530" s="558" t="s">
        <v>2843</v>
      </c>
      <c r="AK1530" s="558"/>
    </row>
    <row r="1531" spans="1:37" s="385" customFormat="1" ht="40.5" outlineLevel="2" x14ac:dyDescent="0.3">
      <c r="A1531" s="447">
        <f t="shared" si="334"/>
        <v>122</v>
      </c>
      <c r="B1531" s="557"/>
      <c r="C1531" s="558"/>
      <c r="D1531" s="615"/>
      <c r="E1531" s="615"/>
      <c r="F1531" s="700"/>
      <c r="G1531" s="558"/>
      <c r="H1531" s="604"/>
      <c r="I1531" s="546"/>
      <c r="J1531" s="589"/>
      <c r="K1531" s="563" t="str">
        <f>IF(G1531&lt;&gt;0,VLOOKUP(G1531,'gia dat'!$A$1:$F$144,5,0)," ")</f>
        <v xml:space="preserve"> </v>
      </c>
      <c r="L1531" s="563" t="str">
        <f>IF(G1531&lt;&gt;0,VLOOKUP(G1531,'gia dat'!$A$1:$F$144,6,0)," ")</f>
        <v xml:space="preserve"> </v>
      </c>
      <c r="M1531" s="564" t="str">
        <f t="shared" si="320"/>
        <v xml:space="preserve"> </v>
      </c>
      <c r="N1531" s="564" t="str">
        <f t="shared" si="321"/>
        <v xml:space="preserve"> </v>
      </c>
      <c r="O1531" s="558"/>
      <c r="P1531" s="590"/>
      <c r="Q1531" s="564" t="str">
        <f>IF(O1531&lt;&gt;0,VLOOKUP(O1531,'Cây trong'!$A$2:$C$246,3,0)," ")</f>
        <v xml:space="preserve"> </v>
      </c>
      <c r="R1531" s="564" t="str">
        <f t="shared" si="326"/>
        <v xml:space="preserve"> </v>
      </c>
      <c r="S1531" s="566"/>
      <c r="T1531" s="589"/>
      <c r="U1531" s="591"/>
      <c r="V1531" s="593"/>
      <c r="W1531" s="564" t="str">
        <f>IF(S1531&lt;&gt;0,VLOOKUP(S1531,VKT!$A$2:$G$415,7,0),"")</f>
        <v/>
      </c>
      <c r="X1531" s="564" t="str">
        <f t="shared" si="332"/>
        <v xml:space="preserve"> </v>
      </c>
      <c r="Y1531" s="562"/>
      <c r="Z1531" s="568"/>
      <c r="AA1531" s="568"/>
      <c r="AB1531" s="568"/>
      <c r="AC1531" s="568"/>
      <c r="AD1531" s="568"/>
      <c r="AE1531" s="568"/>
      <c r="AF1531" s="563"/>
      <c r="AG1531" s="570" t="str">
        <f>IF(AE1531&lt;&gt;0,VLOOKUP(AE1531,ODDS!$A$2:$C$13,3,0),"")</f>
        <v/>
      </c>
      <c r="AH1531" s="570" t="str">
        <f t="shared" si="327"/>
        <v xml:space="preserve"> </v>
      </c>
      <c r="AI1531" s="571" t="str">
        <f t="shared" si="323"/>
        <v xml:space="preserve"> </v>
      </c>
      <c r="AJ1531" s="558" t="s">
        <v>1083</v>
      </c>
      <c r="AK1531" s="558"/>
    </row>
    <row r="1532" spans="1:37" s="385" customFormat="1" ht="20.25" outlineLevel="2" x14ac:dyDescent="0.3">
      <c r="A1532" s="447">
        <f t="shared" si="334"/>
        <v>122</v>
      </c>
      <c r="B1532" s="557"/>
      <c r="C1532" s="558"/>
      <c r="D1532" s="615"/>
      <c r="E1532" s="615"/>
      <c r="F1532" s="700"/>
      <c r="G1532" s="558"/>
      <c r="H1532" s="604"/>
      <c r="I1532" s="546"/>
      <c r="J1532" s="589"/>
      <c r="K1532" s="563" t="str">
        <f>IF(G1532&lt;&gt;0,VLOOKUP(G1532,'gia dat'!$A$1:$F$144,5,0)," ")</f>
        <v xml:space="preserve"> </v>
      </c>
      <c r="L1532" s="563" t="str">
        <f>IF(G1532&lt;&gt;0,VLOOKUP(G1532,'gia dat'!$A$1:$F$144,6,0)," ")</f>
        <v xml:space="preserve"> </v>
      </c>
      <c r="M1532" s="564" t="str">
        <f t="shared" si="320"/>
        <v xml:space="preserve"> </v>
      </c>
      <c r="N1532" s="564" t="str">
        <f t="shared" si="321"/>
        <v xml:space="preserve"> </v>
      </c>
      <c r="O1532" s="558"/>
      <c r="P1532" s="590"/>
      <c r="Q1532" s="564" t="str">
        <f>IF(O1532&lt;&gt;0,VLOOKUP(O1532,'Cây trong'!$A$2:$C$246,3,0)," ")</f>
        <v xml:space="preserve"> </v>
      </c>
      <c r="R1532" s="564" t="str">
        <f t="shared" si="326"/>
        <v xml:space="preserve"> </v>
      </c>
      <c r="S1532" s="566"/>
      <c r="T1532" s="589"/>
      <c r="U1532" s="591"/>
      <c r="V1532" s="593"/>
      <c r="W1532" s="564" t="str">
        <f>IF(S1532&lt;&gt;0,VLOOKUP(S1532,VKT!$A$2:$G$415,7,0),"")</f>
        <v/>
      </c>
      <c r="X1532" s="564" t="str">
        <f t="shared" si="332"/>
        <v xml:space="preserve"> </v>
      </c>
      <c r="Y1532" s="562"/>
      <c r="Z1532" s="568"/>
      <c r="AA1532" s="568"/>
      <c r="AB1532" s="568"/>
      <c r="AC1532" s="568"/>
      <c r="AD1532" s="568"/>
      <c r="AE1532" s="568"/>
      <c r="AF1532" s="563"/>
      <c r="AG1532" s="570" t="str">
        <f>IF(AE1532&lt;&gt;0,VLOOKUP(AE1532,ODDS!$A$2:$C$13,3,0),"")</f>
        <v/>
      </c>
      <c r="AH1532" s="570" t="str">
        <f t="shared" si="327"/>
        <v xml:space="preserve"> </v>
      </c>
      <c r="AI1532" s="571" t="str">
        <f t="shared" si="323"/>
        <v xml:space="preserve"> </v>
      </c>
      <c r="AJ1532" s="593"/>
      <c r="AK1532" s="593"/>
    </row>
    <row r="1533" spans="1:37" s="385" customFormat="1" ht="20.25" outlineLevel="2" x14ac:dyDescent="0.3">
      <c r="A1533" s="447">
        <f t="shared" si="334"/>
        <v>122</v>
      </c>
      <c r="B1533" s="557"/>
      <c r="C1533" s="558"/>
      <c r="D1533" s="615"/>
      <c r="E1533" s="615"/>
      <c r="F1533" s="700"/>
      <c r="G1533" s="558"/>
      <c r="H1533" s="604"/>
      <c r="I1533" s="546"/>
      <c r="J1533" s="589"/>
      <c r="K1533" s="563" t="str">
        <f>IF(G1533&lt;&gt;0,VLOOKUP(G1533,'gia dat'!$A$1:$F$144,5,0)," ")</f>
        <v xml:space="preserve"> </v>
      </c>
      <c r="L1533" s="563" t="str">
        <f>IF(G1533&lt;&gt;0,VLOOKUP(G1533,'gia dat'!$A$1:$F$144,6,0)," ")</f>
        <v xml:space="preserve"> </v>
      </c>
      <c r="M1533" s="564" t="str">
        <f t="shared" si="320"/>
        <v xml:space="preserve"> </v>
      </c>
      <c r="N1533" s="564" t="str">
        <f t="shared" si="321"/>
        <v xml:space="preserve"> </v>
      </c>
      <c r="O1533" s="558"/>
      <c r="P1533" s="590"/>
      <c r="Q1533" s="564" t="str">
        <f>IF(O1533&lt;&gt;0,VLOOKUP(O1533,'Cây trong'!$A$2:$C$246,3,0)," ")</f>
        <v xml:space="preserve"> </v>
      </c>
      <c r="R1533" s="564" t="str">
        <f t="shared" si="326"/>
        <v xml:space="preserve"> </v>
      </c>
      <c r="S1533" s="566"/>
      <c r="T1533" s="589"/>
      <c r="U1533" s="591"/>
      <c r="V1533" s="593"/>
      <c r="W1533" s="564" t="str">
        <f>IF(S1533&lt;&gt;0,VLOOKUP(S1533,VKT!$A$2:$G$415,7,0),"")</f>
        <v/>
      </c>
      <c r="X1533" s="564" t="str">
        <f t="shared" si="332"/>
        <v xml:space="preserve"> </v>
      </c>
      <c r="Y1533" s="562"/>
      <c r="Z1533" s="568"/>
      <c r="AA1533" s="568"/>
      <c r="AB1533" s="568"/>
      <c r="AC1533" s="568"/>
      <c r="AD1533" s="568"/>
      <c r="AE1533" s="568"/>
      <c r="AF1533" s="563"/>
      <c r="AG1533" s="570" t="str">
        <f>IF(AE1533&lt;&gt;0,VLOOKUP(AE1533,ODDS!$A$2:$C$13,3,0),"")</f>
        <v/>
      </c>
      <c r="AH1533" s="570" t="str">
        <f t="shared" si="327"/>
        <v xml:space="preserve"> </v>
      </c>
      <c r="AI1533" s="571" t="str">
        <f t="shared" si="323"/>
        <v xml:space="preserve"> </v>
      </c>
      <c r="AJ1533" s="558"/>
      <c r="AK1533" s="558"/>
    </row>
    <row r="1534" spans="1:37" s="385" customFormat="1" ht="20.25" outlineLevel="2" x14ac:dyDescent="0.3">
      <c r="A1534" s="447">
        <f t="shared" si="334"/>
        <v>122</v>
      </c>
      <c r="B1534" s="557"/>
      <c r="C1534" s="558"/>
      <c r="D1534" s="615"/>
      <c r="E1534" s="615"/>
      <c r="F1534" s="700"/>
      <c r="G1534" s="558"/>
      <c r="H1534" s="604"/>
      <c r="I1534" s="546"/>
      <c r="J1534" s="589"/>
      <c r="K1534" s="563" t="str">
        <f>IF(G1534&lt;&gt;0,VLOOKUP(G1534,'gia dat'!$A$1:$F$144,5,0)," ")</f>
        <v xml:space="preserve"> </v>
      </c>
      <c r="L1534" s="563" t="str">
        <f>IF(G1534&lt;&gt;0,VLOOKUP(G1534,'gia dat'!$A$1:$F$144,6,0)," ")</f>
        <v xml:space="preserve"> </v>
      </c>
      <c r="M1534" s="564" t="str">
        <f t="shared" si="320"/>
        <v xml:space="preserve"> </v>
      </c>
      <c r="N1534" s="564" t="str">
        <f t="shared" si="321"/>
        <v xml:space="preserve"> </v>
      </c>
      <c r="O1534" s="558"/>
      <c r="P1534" s="590"/>
      <c r="Q1534" s="564" t="str">
        <f>IF(O1534&lt;&gt;0,VLOOKUP(O1534,'Cây trong'!$A$2:$C$246,3,0)," ")</f>
        <v xml:space="preserve"> </v>
      </c>
      <c r="R1534" s="564" t="str">
        <f t="shared" si="326"/>
        <v xml:space="preserve"> </v>
      </c>
      <c r="S1534" s="566"/>
      <c r="T1534" s="589"/>
      <c r="U1534" s="591"/>
      <c r="V1534" s="593"/>
      <c r="W1534" s="564" t="str">
        <f>IF(S1534&lt;&gt;0,VLOOKUP(S1534,VKT!$A$2:$G$415,7,0),"")</f>
        <v/>
      </c>
      <c r="X1534" s="564" t="str">
        <f t="shared" si="332"/>
        <v xml:space="preserve"> </v>
      </c>
      <c r="Y1534" s="562"/>
      <c r="Z1534" s="568"/>
      <c r="AA1534" s="568"/>
      <c r="AB1534" s="568"/>
      <c r="AC1534" s="568"/>
      <c r="AD1534" s="568"/>
      <c r="AE1534" s="568"/>
      <c r="AF1534" s="563"/>
      <c r="AG1534" s="570" t="str">
        <f>IF(AE1534&lt;&gt;0,VLOOKUP(AE1534,ODDS!$A$2:$C$13,3,0),"")</f>
        <v/>
      </c>
      <c r="AH1534" s="570" t="str">
        <f t="shared" si="327"/>
        <v xml:space="preserve"> </v>
      </c>
      <c r="AI1534" s="571" t="str">
        <f t="shared" si="323"/>
        <v xml:space="preserve"> </v>
      </c>
      <c r="AJ1534" s="558"/>
      <c r="AK1534" s="558"/>
    </row>
    <row r="1535" spans="1:37" s="385" customFormat="1" ht="20.25" outlineLevel="2" x14ac:dyDescent="0.3">
      <c r="A1535" s="447">
        <f t="shared" si="334"/>
        <v>122</v>
      </c>
      <c r="B1535" s="557"/>
      <c r="C1535" s="572"/>
      <c r="D1535" s="615"/>
      <c r="E1535" s="615"/>
      <c r="F1535" s="700"/>
      <c r="G1535" s="558"/>
      <c r="H1535" s="604"/>
      <c r="I1535" s="546"/>
      <c r="J1535" s="589"/>
      <c r="K1535" s="563" t="str">
        <f>IF(G1535&lt;&gt;0,VLOOKUP(G1535,'gia dat'!$A$1:$F$144,5,0)," ")</f>
        <v xml:space="preserve"> </v>
      </c>
      <c r="L1535" s="563" t="str">
        <f>IF(G1535&lt;&gt;0,VLOOKUP(G1535,'gia dat'!$A$1:$F$144,6,0)," ")</f>
        <v xml:space="preserve"> </v>
      </c>
      <c r="M1535" s="564" t="str">
        <f t="shared" si="320"/>
        <v xml:space="preserve"> </v>
      </c>
      <c r="N1535" s="564" t="str">
        <f t="shared" si="321"/>
        <v xml:space="preserve"> </v>
      </c>
      <c r="O1535" s="558"/>
      <c r="P1535" s="590"/>
      <c r="Q1535" s="564" t="str">
        <f>IF(O1535&lt;&gt;0,VLOOKUP(O1535,'Cây trong'!$A$2:$C$246,3,0)," ")</f>
        <v xml:space="preserve"> </v>
      </c>
      <c r="R1535" s="564" t="str">
        <f t="shared" si="326"/>
        <v xml:space="preserve"> </v>
      </c>
      <c r="S1535" s="566"/>
      <c r="T1535" s="589"/>
      <c r="U1535" s="591"/>
      <c r="V1535" s="593"/>
      <c r="W1535" s="564" t="str">
        <f>IF(S1535&lt;&gt;0,VLOOKUP(S1535,VKT!$A$2:$G$415,7,0),"")</f>
        <v/>
      </c>
      <c r="X1535" s="564" t="str">
        <f t="shared" si="332"/>
        <v xml:space="preserve"> </v>
      </c>
      <c r="Y1535" s="562"/>
      <c r="Z1535" s="568"/>
      <c r="AA1535" s="568"/>
      <c r="AB1535" s="568"/>
      <c r="AC1535" s="568"/>
      <c r="AD1535" s="568"/>
      <c r="AE1535" s="568"/>
      <c r="AF1535" s="563"/>
      <c r="AG1535" s="570" t="str">
        <f>IF(AE1535&lt;&gt;0,VLOOKUP(AE1535,ODDS!$A$2:$C$13,3,0),"")</f>
        <v/>
      </c>
      <c r="AH1535" s="570" t="str">
        <f t="shared" si="327"/>
        <v xml:space="preserve"> </v>
      </c>
      <c r="AI1535" s="571" t="str">
        <f t="shared" si="323"/>
        <v xml:space="preserve"> </v>
      </c>
      <c r="AJ1535" s="558"/>
      <c r="AK1535" s="558"/>
    </row>
    <row r="1536" spans="1:37" s="385" customFormat="1" ht="20.25" outlineLevel="2" x14ac:dyDescent="0.3">
      <c r="A1536" s="447">
        <f t="shared" si="334"/>
        <v>122</v>
      </c>
      <c r="B1536" s="557"/>
      <c r="C1536" s="574"/>
      <c r="D1536" s="703"/>
      <c r="E1536" s="615"/>
      <c r="F1536" s="700"/>
      <c r="G1536" s="558"/>
      <c r="H1536" s="732"/>
      <c r="I1536" s="546"/>
      <c r="J1536" s="710"/>
      <c r="K1536" s="563" t="str">
        <f>IF(G1536&lt;&gt;0,VLOOKUP(G1536,'gia dat'!$A$1:$F$144,5,0)," ")</f>
        <v xml:space="preserve"> </v>
      </c>
      <c r="L1536" s="563" t="str">
        <f>IF(G1536&lt;&gt;0,VLOOKUP(G1536,'gia dat'!$A$1:$F$144,6,0)," ")</f>
        <v xml:space="preserve"> </v>
      </c>
      <c r="M1536" s="564" t="str">
        <f t="shared" si="320"/>
        <v xml:space="preserve"> </v>
      </c>
      <c r="N1536" s="564" t="str">
        <f t="shared" si="321"/>
        <v xml:space="preserve"> </v>
      </c>
      <c r="O1536" s="586"/>
      <c r="P1536" s="630"/>
      <c r="Q1536" s="564" t="str">
        <f>IF(O1536&lt;&gt;0,VLOOKUP(O1536,'Cây trong'!$A$2:$C$246,3,0)," ")</f>
        <v xml:space="preserve"> </v>
      </c>
      <c r="R1536" s="564" t="str">
        <f t="shared" si="326"/>
        <v xml:space="preserve"> </v>
      </c>
      <c r="S1536" s="586"/>
      <c r="T1536" s="609"/>
      <c r="U1536" s="567"/>
      <c r="V1536" s="593"/>
      <c r="W1536" s="564" t="str">
        <f>IF(S1536&lt;&gt;0,VLOOKUP(S1536,VKT!$A$2:$G$415,7,0),"")</f>
        <v/>
      </c>
      <c r="X1536" s="564" t="str">
        <f t="shared" si="332"/>
        <v xml:space="preserve"> </v>
      </c>
      <c r="Y1536" s="562"/>
      <c r="Z1536" s="568"/>
      <c r="AA1536" s="568"/>
      <c r="AB1536" s="568"/>
      <c r="AC1536" s="568"/>
      <c r="AD1536" s="568"/>
      <c r="AE1536" s="568"/>
      <c r="AF1536" s="563"/>
      <c r="AG1536" s="570" t="str">
        <f>IF(AE1536&lt;&gt;0,VLOOKUP(AE1536,ODDS!$A$2:$C$13,3,0),"")</f>
        <v/>
      </c>
      <c r="AH1536" s="570" t="str">
        <f t="shared" si="327"/>
        <v xml:space="preserve"> </v>
      </c>
      <c r="AI1536" s="571" t="str">
        <f t="shared" si="323"/>
        <v xml:space="preserve"> </v>
      </c>
      <c r="AJ1536" s="593"/>
      <c r="AK1536" s="593"/>
    </row>
    <row r="1537" spans="1:37" s="385" customFormat="1" ht="40.5" outlineLevel="1" x14ac:dyDescent="0.25">
      <c r="A1537" s="467" t="s">
        <v>2587</v>
      </c>
      <c r="B1537" s="576">
        <v>123</v>
      </c>
      <c r="C1537" s="574" t="s">
        <v>1084</v>
      </c>
      <c r="D1537" s="705"/>
      <c r="E1537" s="705"/>
      <c r="F1537" s="706"/>
      <c r="G1537" s="574"/>
      <c r="H1537" s="596">
        <f>SUBTOTAL(9,H1538:H1542)</f>
        <v>100</v>
      </c>
      <c r="I1537" s="579">
        <f>SUBTOTAL(9,I1538:I1543)</f>
        <v>100</v>
      </c>
      <c r="J1537" s="597"/>
      <c r="K1537" s="581"/>
      <c r="L1537" s="581"/>
      <c r="M1537" s="571">
        <f>SUBTOTAL(9,M1538:M1542)</f>
        <v>37680000</v>
      </c>
      <c r="N1537" s="571">
        <f>SUBTOTAL(9,N1538:N1542)</f>
        <v>113040000</v>
      </c>
      <c r="O1537" s="574"/>
      <c r="P1537" s="599">
        <f>SUBTOTAL(9,P1538:P1542)</f>
        <v>0</v>
      </c>
      <c r="Q1537" s="571"/>
      <c r="R1537" s="571">
        <f>SUBTOTAL(9,R1538:R1542)</f>
        <v>0</v>
      </c>
      <c r="S1537" s="582"/>
      <c r="T1537" s="597"/>
      <c r="U1537" s="600">
        <f>SUBTOTAL(9,U1538:U1542)</f>
        <v>0</v>
      </c>
      <c r="V1537" s="608"/>
      <c r="W1537" s="571"/>
      <c r="X1537" s="571">
        <f>SUBTOTAL(9,X1538:X1542)</f>
        <v>0</v>
      </c>
      <c r="Y1537" s="562"/>
      <c r="Z1537" s="568"/>
      <c r="AA1537" s="568"/>
      <c r="AB1537" s="568"/>
      <c r="AC1537" s="568"/>
      <c r="AD1537" s="568"/>
      <c r="AE1537" s="584"/>
      <c r="AF1537" s="581">
        <f>SUBTOTAL(9,AF1538:AF1542)</f>
        <v>0</v>
      </c>
      <c r="AG1537" s="585"/>
      <c r="AH1537" s="585">
        <f>SUBTOTAL(9,AH1538:AH1542)</f>
        <v>0</v>
      </c>
      <c r="AI1537" s="571">
        <f t="shared" si="323"/>
        <v>150720000</v>
      </c>
      <c r="AJ1537" s="574"/>
      <c r="AK1537" s="578"/>
    </row>
    <row r="1538" spans="1:37" s="385" customFormat="1" ht="121.5" outlineLevel="2" x14ac:dyDescent="0.3">
      <c r="A1538" s="447">
        <f>IF(B1537&lt;&gt;0,B1537,A1536)</f>
        <v>123</v>
      </c>
      <c r="B1538" s="557"/>
      <c r="C1538" s="558" t="s">
        <v>1086</v>
      </c>
      <c r="D1538" s="615">
        <v>1</v>
      </c>
      <c r="E1538" s="615">
        <v>86</v>
      </c>
      <c r="F1538" s="736">
        <v>216</v>
      </c>
      <c r="G1538" s="684" t="s">
        <v>2433</v>
      </c>
      <c r="H1538" s="604">
        <v>100</v>
      </c>
      <c r="I1538" s="546">
        <f t="shared" ref="I1538" si="335">IF(N1538&gt;0,H1538,"")</f>
        <v>100</v>
      </c>
      <c r="J1538" s="589"/>
      <c r="K1538" s="563">
        <f>IF(G1538&lt;&gt;0,VLOOKUP(G1538,'gia dat'!$A$1:$F$144,5,0)," ")</f>
        <v>376800</v>
      </c>
      <c r="L1538" s="563">
        <f>IF(G1538&lt;&gt;0,VLOOKUP(G1538,'gia dat'!$A$1:$F$144,6,0)," ")</f>
        <v>1130400</v>
      </c>
      <c r="M1538" s="564">
        <f t="shared" si="320"/>
        <v>37680000</v>
      </c>
      <c r="N1538" s="564">
        <f t="shared" si="321"/>
        <v>113040000</v>
      </c>
      <c r="O1538" s="558"/>
      <c r="P1538" s="590"/>
      <c r="Q1538" s="564" t="str">
        <f>IF(O1538&lt;&gt;0,VLOOKUP(O1538,'Cây trong'!$A$2:$C$246,3,0)," ")</f>
        <v xml:space="preserve"> </v>
      </c>
      <c r="R1538" s="564" t="str">
        <f t="shared" si="326"/>
        <v xml:space="preserve"> </v>
      </c>
      <c r="S1538" s="566"/>
      <c r="T1538" s="589"/>
      <c r="U1538" s="591"/>
      <c r="V1538" s="593"/>
      <c r="W1538" s="564" t="str">
        <f>IF(S1538&lt;&gt;0,VLOOKUP(S1538,VKT!$A$2:$G$415,7,0),"")</f>
        <v/>
      </c>
      <c r="X1538" s="564" t="str">
        <f t="shared" si="332"/>
        <v xml:space="preserve"> </v>
      </c>
      <c r="Y1538" s="562"/>
      <c r="Z1538" s="568"/>
      <c r="AA1538" s="568"/>
      <c r="AB1538" s="568"/>
      <c r="AC1538" s="568"/>
      <c r="AD1538" s="568"/>
      <c r="AE1538" s="568"/>
      <c r="AF1538" s="563"/>
      <c r="AG1538" s="570" t="str">
        <f>IF(AE1538&lt;&gt;0,VLOOKUP(AE1538,ODDS!$A$2:$C$13,3,0),"")</f>
        <v/>
      </c>
      <c r="AH1538" s="570"/>
      <c r="AI1538" s="571" t="str">
        <f t="shared" si="323"/>
        <v xml:space="preserve"> </v>
      </c>
      <c r="AJ1538" s="558" t="s">
        <v>1085</v>
      </c>
      <c r="AK1538" s="586" t="s">
        <v>2771</v>
      </c>
    </row>
    <row r="1539" spans="1:37" s="385" customFormat="1" ht="101.25" outlineLevel="2" x14ac:dyDescent="0.3">
      <c r="A1539" s="447">
        <f>IF(B1538&lt;&gt;0,B1538,A1538)</f>
        <v>123</v>
      </c>
      <c r="B1539" s="557"/>
      <c r="C1539" s="586" t="s">
        <v>1586</v>
      </c>
      <c r="D1539" s="615"/>
      <c r="E1539" s="615"/>
      <c r="F1539" s="700"/>
      <c r="G1539" s="558"/>
      <c r="H1539" s="604"/>
      <c r="I1539" s="546"/>
      <c r="J1539" s="589"/>
      <c r="K1539" s="563" t="str">
        <f>IF(G1539&lt;&gt;0,VLOOKUP(G1539,'gia dat'!$A$1:$F$144,5,0)," ")</f>
        <v xml:space="preserve"> </v>
      </c>
      <c r="L1539" s="563" t="str">
        <f>IF(G1539&lt;&gt;0,VLOOKUP(G1539,'gia dat'!$A$1:$F$144,6,0)," ")</f>
        <v xml:space="preserve"> </v>
      </c>
      <c r="M1539" s="564" t="str">
        <f t="shared" si="320"/>
        <v xml:space="preserve"> </v>
      </c>
      <c r="N1539" s="564" t="str">
        <f t="shared" si="321"/>
        <v xml:space="preserve"> </v>
      </c>
      <c r="O1539" s="558"/>
      <c r="P1539" s="590"/>
      <c r="Q1539" s="564" t="str">
        <f>IF(O1539&lt;&gt;0,VLOOKUP(O1539,'Cây trong'!$A$2:$C$246,3,0)," ")</f>
        <v xml:space="preserve"> </v>
      </c>
      <c r="R1539" s="564" t="str">
        <f t="shared" si="326"/>
        <v xml:space="preserve"> </v>
      </c>
      <c r="S1539" s="566"/>
      <c r="T1539" s="589"/>
      <c r="U1539" s="617"/>
      <c r="V1539" s="593"/>
      <c r="W1539" s="564" t="str">
        <f>IF(S1539&lt;&gt;0,VLOOKUP(S1539,VKT!$A$2:$G$415,7,0),"")</f>
        <v/>
      </c>
      <c r="X1539" s="564" t="str">
        <f t="shared" si="332"/>
        <v xml:space="preserve"> </v>
      </c>
      <c r="Y1539" s="562"/>
      <c r="Z1539" s="568"/>
      <c r="AA1539" s="568"/>
      <c r="AB1539" s="568"/>
      <c r="AC1539" s="568"/>
      <c r="AD1539" s="568"/>
      <c r="AE1539" s="568"/>
      <c r="AF1539" s="563"/>
      <c r="AG1539" s="570" t="str">
        <f>IF(AE1539&lt;&gt;0,VLOOKUP(AE1539,ODDS!$A$2:$C$13,3,0),"")</f>
        <v/>
      </c>
      <c r="AH1539" s="570" t="str">
        <f t="shared" si="327"/>
        <v xml:space="preserve"> </v>
      </c>
      <c r="AI1539" s="571" t="str">
        <f t="shared" si="323"/>
        <v xml:space="preserve"> </v>
      </c>
      <c r="AJ1539" s="684" t="s">
        <v>2844</v>
      </c>
      <c r="AK1539" s="558" t="s">
        <v>2448</v>
      </c>
    </row>
    <row r="1540" spans="1:37" s="385" customFormat="1" ht="60.75" outlineLevel="2" x14ac:dyDescent="0.3">
      <c r="A1540" s="447">
        <f>IF(B1539&lt;&gt;0,B1539,A1539)</f>
        <v>123</v>
      </c>
      <c r="B1540" s="557"/>
      <c r="C1540" s="558"/>
      <c r="D1540" s="615"/>
      <c r="E1540" s="615"/>
      <c r="F1540" s="700"/>
      <c r="G1540" s="558"/>
      <c r="H1540" s="604"/>
      <c r="I1540" s="546"/>
      <c r="J1540" s="589"/>
      <c r="K1540" s="563" t="str">
        <f>IF(G1540&lt;&gt;0,VLOOKUP(G1540,'gia dat'!$A$1:$F$144,5,0)," ")</f>
        <v xml:space="preserve"> </v>
      </c>
      <c r="L1540" s="563" t="str">
        <f>IF(G1540&lt;&gt;0,VLOOKUP(G1540,'gia dat'!$A$1:$F$144,6,0)," ")</f>
        <v xml:space="preserve"> </v>
      </c>
      <c r="M1540" s="564" t="str">
        <f t="shared" ref="M1540:M1612" si="336">IF(H1540&lt;&gt;0,ROUND(H1540*K1540,-3)," ")</f>
        <v xml:space="preserve"> </v>
      </c>
      <c r="N1540" s="564" t="str">
        <f t="shared" ref="N1540:N1612" si="337">IF(H1540&lt;&gt;0,ROUND(H1540*L1540,-3)," ")</f>
        <v xml:space="preserve"> </v>
      </c>
      <c r="O1540" s="558"/>
      <c r="P1540" s="590"/>
      <c r="Q1540" s="564" t="str">
        <f>IF(O1540&lt;&gt;0,VLOOKUP(O1540,'Cây trong'!$A$2:$C$246,3,0)," ")</f>
        <v xml:space="preserve"> </v>
      </c>
      <c r="R1540" s="564" t="str">
        <f t="shared" si="326"/>
        <v xml:space="preserve"> </v>
      </c>
      <c r="S1540" s="566"/>
      <c r="T1540" s="589"/>
      <c r="U1540" s="591"/>
      <c r="V1540" s="593"/>
      <c r="W1540" s="564" t="str">
        <f>IF(S1540&lt;&gt;0,VLOOKUP(S1540,VKT!$A$2:$G$415,7,0),"")</f>
        <v/>
      </c>
      <c r="X1540" s="564" t="str">
        <f t="shared" si="332"/>
        <v xml:space="preserve"> </v>
      </c>
      <c r="Y1540" s="562"/>
      <c r="Z1540" s="568"/>
      <c r="AA1540" s="568"/>
      <c r="AB1540" s="568"/>
      <c r="AC1540" s="568"/>
      <c r="AD1540" s="568"/>
      <c r="AE1540" s="568"/>
      <c r="AF1540" s="563"/>
      <c r="AG1540" s="570" t="str">
        <f>IF(AE1540&lt;&gt;0,VLOOKUP(AE1540,ODDS!$A$2:$C$13,3,0),"")</f>
        <v/>
      </c>
      <c r="AH1540" s="570" t="str">
        <f t="shared" si="327"/>
        <v xml:space="preserve"> </v>
      </c>
      <c r="AI1540" s="571" t="str">
        <f t="shared" si="323"/>
        <v xml:space="preserve"> </v>
      </c>
      <c r="AJ1540" s="558" t="s">
        <v>2074</v>
      </c>
      <c r="AK1540" s="593"/>
    </row>
    <row r="1541" spans="1:37" s="385" customFormat="1" ht="20.25" outlineLevel="2" x14ac:dyDescent="0.3">
      <c r="A1541" s="447">
        <f>IF(B1540&lt;&gt;0,B1540,A1540)</f>
        <v>123</v>
      </c>
      <c r="B1541" s="557"/>
      <c r="C1541" s="558"/>
      <c r="D1541" s="615"/>
      <c r="E1541" s="615"/>
      <c r="F1541" s="700"/>
      <c r="G1541" s="558"/>
      <c r="H1541" s="604"/>
      <c r="I1541" s="546"/>
      <c r="J1541" s="589"/>
      <c r="K1541" s="563" t="str">
        <f>IF(G1541&lt;&gt;0,VLOOKUP(G1541,'gia dat'!$A$1:$F$144,5,0)," ")</f>
        <v xml:space="preserve"> </v>
      </c>
      <c r="L1541" s="563" t="str">
        <f>IF(G1541&lt;&gt;0,VLOOKUP(G1541,'gia dat'!$A$1:$F$144,6,0)," ")</f>
        <v xml:space="preserve"> </v>
      </c>
      <c r="M1541" s="564" t="str">
        <f t="shared" si="336"/>
        <v xml:space="preserve"> </v>
      </c>
      <c r="N1541" s="564" t="str">
        <f t="shared" si="337"/>
        <v xml:space="preserve"> </v>
      </c>
      <c r="O1541" s="558"/>
      <c r="P1541" s="590"/>
      <c r="Q1541" s="564" t="str">
        <f>IF(O1541&lt;&gt;0,VLOOKUP(O1541,'Cây trong'!$A$2:$C$246,3,0)," ")</f>
        <v xml:space="preserve"> </v>
      </c>
      <c r="R1541" s="564" t="str">
        <f t="shared" si="326"/>
        <v xml:space="preserve"> </v>
      </c>
      <c r="S1541" s="566"/>
      <c r="T1541" s="589"/>
      <c r="U1541" s="591"/>
      <c r="V1541" s="593"/>
      <c r="W1541" s="564" t="str">
        <f>IF(S1541&lt;&gt;0,VLOOKUP(S1541,VKT!$A$2:$G$415,7,0),"")</f>
        <v/>
      </c>
      <c r="X1541" s="564" t="str">
        <f t="shared" si="332"/>
        <v xml:space="preserve"> </v>
      </c>
      <c r="Y1541" s="562"/>
      <c r="Z1541" s="568"/>
      <c r="AA1541" s="568"/>
      <c r="AB1541" s="568"/>
      <c r="AC1541" s="568"/>
      <c r="AD1541" s="568"/>
      <c r="AE1541" s="568"/>
      <c r="AF1541" s="563"/>
      <c r="AG1541" s="570" t="str">
        <f>IF(AE1541&lt;&gt;0,VLOOKUP(AE1541,ODDS!$A$2:$C$13,3,0),"")</f>
        <v/>
      </c>
      <c r="AH1541" s="570" t="str">
        <f t="shared" si="327"/>
        <v xml:space="preserve"> </v>
      </c>
      <c r="AI1541" s="571" t="str">
        <f t="shared" si="323"/>
        <v xml:space="preserve"> </v>
      </c>
      <c r="AJ1541" s="704"/>
      <c r="AK1541" s="558"/>
    </row>
    <row r="1542" spans="1:37" s="385" customFormat="1" ht="20.25" outlineLevel="2" x14ac:dyDescent="0.3">
      <c r="A1542" s="447">
        <f>IF(B1541&lt;&gt;0,B1541,A1541)</f>
        <v>123</v>
      </c>
      <c r="B1542" s="557"/>
      <c r="C1542" s="574"/>
      <c r="D1542" s="615"/>
      <c r="E1542" s="615"/>
      <c r="F1542" s="700"/>
      <c r="G1542" s="558"/>
      <c r="H1542" s="604"/>
      <c r="I1542" s="546"/>
      <c r="J1542" s="589"/>
      <c r="K1542" s="563" t="str">
        <f>IF(G1542&lt;&gt;0,VLOOKUP(G1542,'gia dat'!$A$1:$F$144,5,0)," ")</f>
        <v xml:space="preserve"> </v>
      </c>
      <c r="L1542" s="563" t="str">
        <f>IF(G1542&lt;&gt;0,VLOOKUP(G1542,'gia dat'!$A$1:$F$144,6,0)," ")</f>
        <v xml:space="preserve"> </v>
      </c>
      <c r="M1542" s="564" t="str">
        <f t="shared" si="336"/>
        <v xml:space="preserve"> </v>
      </c>
      <c r="N1542" s="564" t="str">
        <f t="shared" si="337"/>
        <v xml:space="preserve"> </v>
      </c>
      <c r="O1542" s="558"/>
      <c r="P1542" s="590"/>
      <c r="Q1542" s="564" t="str">
        <f>IF(O1542&lt;&gt;0,VLOOKUP(O1542,'Cây trong'!$A$2:$C$246,3,0)," ")</f>
        <v xml:space="preserve"> </v>
      </c>
      <c r="R1542" s="564" t="str">
        <f t="shared" si="326"/>
        <v xml:space="preserve"> </v>
      </c>
      <c r="S1542" s="566"/>
      <c r="T1542" s="589"/>
      <c r="U1542" s="591"/>
      <c r="V1542" s="593"/>
      <c r="W1542" s="564" t="str">
        <f>IF(S1542&lt;&gt;0,VLOOKUP(S1542,VKT!$A$2:$G$415,7,0),"")</f>
        <v/>
      </c>
      <c r="X1542" s="564" t="str">
        <f t="shared" si="332"/>
        <v xml:space="preserve"> </v>
      </c>
      <c r="Y1542" s="562"/>
      <c r="Z1542" s="568"/>
      <c r="AA1542" s="568"/>
      <c r="AB1542" s="568"/>
      <c r="AC1542" s="568"/>
      <c r="AD1542" s="568"/>
      <c r="AE1542" s="568"/>
      <c r="AF1542" s="563"/>
      <c r="AG1542" s="570" t="str">
        <f>IF(AE1542&lt;&gt;0,VLOOKUP(AE1542,ODDS!$A$2:$C$13,3,0),"")</f>
        <v/>
      </c>
      <c r="AH1542" s="570" t="str">
        <f t="shared" si="327"/>
        <v xml:space="preserve"> </v>
      </c>
      <c r="AI1542" s="571" t="str">
        <f t="shared" si="323"/>
        <v xml:space="preserve"> </v>
      </c>
      <c r="AJ1542" s="558"/>
      <c r="AK1542" s="558"/>
    </row>
    <row r="1543" spans="1:37" s="385" customFormat="1" ht="20.25" outlineLevel="1" x14ac:dyDescent="0.25">
      <c r="A1543" s="467" t="s">
        <v>2586</v>
      </c>
      <c r="B1543" s="576">
        <v>124</v>
      </c>
      <c r="C1543" s="574" t="s">
        <v>1088</v>
      </c>
      <c r="D1543" s="705"/>
      <c r="E1543" s="705"/>
      <c r="F1543" s="706"/>
      <c r="G1543" s="574"/>
      <c r="H1543" s="596">
        <f>SUBTOTAL(9,H1544:H1548)</f>
        <v>100</v>
      </c>
      <c r="I1543" s="579">
        <f>SUBTOTAL(9,I1544:I1549)</f>
        <v>100</v>
      </c>
      <c r="J1543" s="597"/>
      <c r="K1543" s="581"/>
      <c r="L1543" s="581"/>
      <c r="M1543" s="571">
        <f>SUBTOTAL(9,M1544:M1548)</f>
        <v>37680000</v>
      </c>
      <c r="N1543" s="571">
        <f>SUBTOTAL(9,N1544:N1548)</f>
        <v>113040000</v>
      </c>
      <c r="O1543" s="574"/>
      <c r="P1543" s="599">
        <f>SUBTOTAL(9,P1544:P1548)</f>
        <v>0</v>
      </c>
      <c r="Q1543" s="571"/>
      <c r="R1543" s="571">
        <f>SUBTOTAL(9,R1544:R1548)</f>
        <v>0</v>
      </c>
      <c r="S1543" s="582"/>
      <c r="T1543" s="597"/>
      <c r="U1543" s="600">
        <f>SUBTOTAL(9,U1544:U1548)</f>
        <v>0</v>
      </c>
      <c r="V1543" s="608"/>
      <c r="W1543" s="571"/>
      <c r="X1543" s="571">
        <f>SUBTOTAL(9,X1544:X1548)</f>
        <v>0</v>
      </c>
      <c r="Y1543" s="562"/>
      <c r="Z1543" s="568"/>
      <c r="AA1543" s="568"/>
      <c r="AB1543" s="568"/>
      <c r="AC1543" s="568"/>
      <c r="AD1543" s="568"/>
      <c r="AE1543" s="584"/>
      <c r="AF1543" s="581">
        <f>SUBTOTAL(9,AF1544:AF1548)</f>
        <v>0</v>
      </c>
      <c r="AG1543" s="585"/>
      <c r="AH1543" s="585">
        <f>SUBTOTAL(9,AH1544:AH1548)</f>
        <v>0</v>
      </c>
      <c r="AI1543" s="571">
        <f t="shared" si="323"/>
        <v>150720000</v>
      </c>
      <c r="AJ1543" s="574"/>
      <c r="AK1543" s="578"/>
    </row>
    <row r="1544" spans="1:37" s="385" customFormat="1" ht="121.5" outlineLevel="2" x14ac:dyDescent="0.3">
      <c r="A1544" s="447">
        <f>IF(B1543&lt;&gt;0,B1543,A1542)</f>
        <v>124</v>
      </c>
      <c r="B1544" s="557"/>
      <c r="C1544" s="558" t="s">
        <v>1090</v>
      </c>
      <c r="D1544" s="615">
        <v>1</v>
      </c>
      <c r="E1544" s="615">
        <v>86</v>
      </c>
      <c r="F1544" s="700">
        <v>215</v>
      </c>
      <c r="G1544" s="684" t="s">
        <v>2433</v>
      </c>
      <c r="H1544" s="604">
        <v>100</v>
      </c>
      <c r="I1544" s="546">
        <f t="shared" ref="I1544" si="338">IF(N1544&gt;0,H1544,"")</f>
        <v>100</v>
      </c>
      <c r="J1544" s="589"/>
      <c r="K1544" s="563">
        <f>IF(G1544&lt;&gt;0,VLOOKUP(G1544,'gia dat'!$A$1:$F$144,5,0)," ")</f>
        <v>376800</v>
      </c>
      <c r="L1544" s="563">
        <f>IF(G1544&lt;&gt;0,VLOOKUP(G1544,'gia dat'!$A$1:$F$144,6,0)," ")</f>
        <v>1130400</v>
      </c>
      <c r="M1544" s="564">
        <f t="shared" si="336"/>
        <v>37680000</v>
      </c>
      <c r="N1544" s="564">
        <f t="shared" si="337"/>
        <v>113040000</v>
      </c>
      <c r="O1544" s="558"/>
      <c r="P1544" s="590"/>
      <c r="Q1544" s="564" t="str">
        <f>IF(O1544&lt;&gt;0,VLOOKUP(O1544,'Cây trong'!$A$2:$C$246,3,0)," ")</f>
        <v xml:space="preserve"> </v>
      </c>
      <c r="R1544" s="564" t="str">
        <f t="shared" si="326"/>
        <v xml:space="preserve"> </v>
      </c>
      <c r="S1544" s="566"/>
      <c r="T1544" s="589"/>
      <c r="U1544" s="591"/>
      <c r="V1544" s="593"/>
      <c r="W1544" s="564" t="str">
        <f>IF(S1544&lt;&gt;0,VLOOKUP(S1544,VKT!$A$2:$G$415,7,0),"")</f>
        <v/>
      </c>
      <c r="X1544" s="564" t="str">
        <f t="shared" si="332"/>
        <v xml:space="preserve"> </v>
      </c>
      <c r="Y1544" s="562"/>
      <c r="Z1544" s="568"/>
      <c r="AA1544" s="568"/>
      <c r="AB1544" s="568"/>
      <c r="AC1544" s="568"/>
      <c r="AD1544" s="568"/>
      <c r="AE1544" s="568"/>
      <c r="AF1544" s="563"/>
      <c r="AG1544" s="570" t="str">
        <f>IF(AE1544&lt;&gt;0,VLOOKUP(AE1544,ODDS!$A$2:$C$13,3,0),"")</f>
        <v/>
      </c>
      <c r="AH1544" s="570"/>
      <c r="AI1544" s="571" t="str">
        <f t="shared" si="323"/>
        <v xml:space="preserve"> </v>
      </c>
      <c r="AJ1544" s="558" t="s">
        <v>1089</v>
      </c>
      <c r="AK1544" s="586" t="s">
        <v>2771</v>
      </c>
    </row>
    <row r="1545" spans="1:37" s="385" customFormat="1" ht="101.25" outlineLevel="2" x14ac:dyDescent="0.3">
      <c r="A1545" s="447">
        <f>IF(B1544&lt;&gt;0,B1544,A1544)</f>
        <v>124</v>
      </c>
      <c r="B1545" s="557"/>
      <c r="C1545" s="718" t="s">
        <v>2785</v>
      </c>
      <c r="D1545" s="615"/>
      <c r="E1545" s="615"/>
      <c r="F1545" s="700"/>
      <c r="G1545" s="558"/>
      <c r="H1545" s="604"/>
      <c r="I1545" s="546"/>
      <c r="J1545" s="589"/>
      <c r="K1545" s="563" t="str">
        <f>IF(G1545&lt;&gt;0,VLOOKUP(G1545,'gia dat'!$A$1:$F$144,5,0)," ")</f>
        <v xml:space="preserve"> </v>
      </c>
      <c r="L1545" s="563" t="str">
        <f>IF(G1545&lt;&gt;0,VLOOKUP(G1545,'gia dat'!$A$1:$F$144,6,0)," ")</f>
        <v xml:space="preserve"> </v>
      </c>
      <c r="M1545" s="564" t="str">
        <f t="shared" si="336"/>
        <v xml:space="preserve"> </v>
      </c>
      <c r="N1545" s="564" t="str">
        <f t="shared" si="337"/>
        <v xml:space="preserve"> </v>
      </c>
      <c r="O1545" s="558"/>
      <c r="P1545" s="590"/>
      <c r="Q1545" s="564" t="str">
        <f>IF(O1545&lt;&gt;0,VLOOKUP(O1545,'Cây trong'!$A$2:$C$246,3,0)," ")</f>
        <v xml:space="preserve"> </v>
      </c>
      <c r="R1545" s="564" t="str">
        <f t="shared" si="326"/>
        <v xml:space="preserve"> </v>
      </c>
      <c r="S1545" s="566"/>
      <c r="T1545" s="589"/>
      <c r="U1545" s="617"/>
      <c r="V1545" s="593"/>
      <c r="W1545" s="564" t="str">
        <f>IF(S1545&lt;&gt;0,VLOOKUP(S1545,VKT!$A$2:$G$415,7,0),"")</f>
        <v/>
      </c>
      <c r="X1545" s="564" t="str">
        <f t="shared" si="332"/>
        <v xml:space="preserve"> </v>
      </c>
      <c r="Y1545" s="562"/>
      <c r="Z1545" s="568"/>
      <c r="AA1545" s="568"/>
      <c r="AB1545" s="568"/>
      <c r="AC1545" s="568"/>
      <c r="AD1545" s="568"/>
      <c r="AE1545" s="568"/>
      <c r="AF1545" s="563"/>
      <c r="AG1545" s="570" t="str">
        <f>IF(AE1545&lt;&gt;0,VLOOKUP(AE1545,ODDS!$A$2:$C$13,3,0),"")</f>
        <v/>
      </c>
      <c r="AH1545" s="570" t="str">
        <f t="shared" si="327"/>
        <v xml:space="preserve"> </v>
      </c>
      <c r="AI1545" s="571" t="str">
        <f t="shared" ref="AI1545:AI1608" si="339">IF(B1545&lt;&gt;0,M1545+N1545+R1545+X1545+AH1545," ")</f>
        <v xml:space="preserve"> </v>
      </c>
      <c r="AJ1545" s="558" t="s">
        <v>2845</v>
      </c>
      <c r="AK1545" s="558" t="s">
        <v>2448</v>
      </c>
    </row>
    <row r="1546" spans="1:37" s="385" customFormat="1" ht="60.75" outlineLevel="2" x14ac:dyDescent="0.3">
      <c r="A1546" s="447">
        <f>IF(B1545&lt;&gt;0,B1545,A1545)</f>
        <v>124</v>
      </c>
      <c r="B1546" s="557"/>
      <c r="C1546" s="586"/>
      <c r="D1546" s="615"/>
      <c r="E1546" s="615"/>
      <c r="F1546" s="700"/>
      <c r="G1546" s="558"/>
      <c r="H1546" s="604"/>
      <c r="I1546" s="546"/>
      <c r="J1546" s="589"/>
      <c r="K1546" s="563" t="str">
        <f>IF(G1546&lt;&gt;0,VLOOKUP(G1546,'gia dat'!$A$1:$F$144,5,0)," ")</f>
        <v xml:space="preserve"> </v>
      </c>
      <c r="L1546" s="563" t="str">
        <f>IF(G1546&lt;&gt;0,VLOOKUP(G1546,'gia dat'!$A$1:$F$144,6,0)," ")</f>
        <v xml:space="preserve"> </v>
      </c>
      <c r="M1546" s="564" t="str">
        <f t="shared" si="336"/>
        <v xml:space="preserve"> </v>
      </c>
      <c r="N1546" s="564" t="str">
        <f t="shared" si="337"/>
        <v xml:space="preserve"> </v>
      </c>
      <c r="O1546" s="558"/>
      <c r="P1546" s="590"/>
      <c r="Q1546" s="564" t="str">
        <f>IF(O1546&lt;&gt;0,VLOOKUP(O1546,'Cây trong'!$A$2:$C$246,3,0)," ")</f>
        <v xml:space="preserve"> </v>
      </c>
      <c r="R1546" s="564" t="str">
        <f t="shared" si="326"/>
        <v xml:space="preserve"> </v>
      </c>
      <c r="S1546" s="566"/>
      <c r="T1546" s="589"/>
      <c r="U1546" s="591"/>
      <c r="V1546" s="593"/>
      <c r="W1546" s="564" t="str">
        <f>IF(S1546&lt;&gt;0,VLOOKUP(S1546,VKT!$A$2:$G$415,7,0),"")</f>
        <v/>
      </c>
      <c r="X1546" s="564" t="str">
        <f t="shared" si="332"/>
        <v xml:space="preserve"> </v>
      </c>
      <c r="Y1546" s="562"/>
      <c r="Z1546" s="568"/>
      <c r="AA1546" s="568"/>
      <c r="AB1546" s="568"/>
      <c r="AC1546" s="568"/>
      <c r="AD1546" s="568"/>
      <c r="AE1546" s="568"/>
      <c r="AF1546" s="563"/>
      <c r="AG1546" s="570" t="str">
        <f>IF(AE1546&lt;&gt;0,VLOOKUP(AE1546,ODDS!$A$2:$C$13,3,0),"")</f>
        <v/>
      </c>
      <c r="AH1546" s="570" t="str">
        <f t="shared" si="327"/>
        <v xml:space="preserve"> </v>
      </c>
      <c r="AI1546" s="571" t="str">
        <f t="shared" si="339"/>
        <v xml:space="preserve"> </v>
      </c>
      <c r="AJ1546" s="558" t="s">
        <v>2074</v>
      </c>
      <c r="AK1546" s="593"/>
    </row>
    <row r="1547" spans="1:37" s="385" customFormat="1" ht="20.25" outlineLevel="2" x14ac:dyDescent="0.3">
      <c r="A1547" s="447">
        <f>IF(B1546&lt;&gt;0,B1546,A1546)</f>
        <v>124</v>
      </c>
      <c r="B1547" s="557"/>
      <c r="C1547" s="558"/>
      <c r="D1547" s="615"/>
      <c r="E1547" s="615"/>
      <c r="F1547" s="700"/>
      <c r="G1547" s="558"/>
      <c r="H1547" s="604"/>
      <c r="I1547" s="546"/>
      <c r="J1547" s="589"/>
      <c r="K1547" s="563" t="str">
        <f>IF(G1547&lt;&gt;0,VLOOKUP(G1547,'gia dat'!$A$1:$F$144,5,0)," ")</f>
        <v xml:space="preserve"> </v>
      </c>
      <c r="L1547" s="563" t="str">
        <f>IF(G1547&lt;&gt;0,VLOOKUP(G1547,'gia dat'!$A$1:$F$144,6,0)," ")</f>
        <v xml:space="preserve"> </v>
      </c>
      <c r="M1547" s="564" t="str">
        <f t="shared" si="336"/>
        <v xml:space="preserve"> </v>
      </c>
      <c r="N1547" s="564" t="str">
        <f t="shared" si="337"/>
        <v xml:space="preserve"> </v>
      </c>
      <c r="O1547" s="558"/>
      <c r="P1547" s="590"/>
      <c r="Q1547" s="564" t="str">
        <f>IF(O1547&lt;&gt;0,VLOOKUP(O1547,'Cây trong'!$A$2:$C$246,3,0)," ")</f>
        <v xml:space="preserve"> </v>
      </c>
      <c r="R1547" s="564" t="str">
        <f t="shared" si="326"/>
        <v xml:space="preserve"> </v>
      </c>
      <c r="S1547" s="566"/>
      <c r="T1547" s="589"/>
      <c r="U1547" s="591"/>
      <c r="V1547" s="593"/>
      <c r="W1547" s="564" t="str">
        <f>IF(S1547&lt;&gt;0,VLOOKUP(S1547,VKT!$A$2:$G$415,7,0),"")</f>
        <v/>
      </c>
      <c r="X1547" s="564" t="str">
        <f t="shared" si="332"/>
        <v xml:space="preserve"> </v>
      </c>
      <c r="Y1547" s="562"/>
      <c r="Z1547" s="568"/>
      <c r="AA1547" s="568"/>
      <c r="AB1547" s="568"/>
      <c r="AC1547" s="568"/>
      <c r="AD1547" s="568"/>
      <c r="AE1547" s="568"/>
      <c r="AF1547" s="563"/>
      <c r="AG1547" s="570" t="str">
        <f>IF(AE1547&lt;&gt;0,VLOOKUP(AE1547,ODDS!$A$2:$C$13,3,0),"")</f>
        <v/>
      </c>
      <c r="AH1547" s="570" t="str">
        <f t="shared" si="327"/>
        <v xml:space="preserve"> </v>
      </c>
      <c r="AI1547" s="571" t="str">
        <f t="shared" si="339"/>
        <v xml:space="preserve"> </v>
      </c>
      <c r="AJ1547" s="704"/>
      <c r="AK1547" s="593"/>
    </row>
    <row r="1548" spans="1:37" s="385" customFormat="1" ht="20.25" outlineLevel="2" x14ac:dyDescent="0.3">
      <c r="A1548" s="447">
        <f>IF(B1547&lt;&gt;0,B1547,A1547)</f>
        <v>124</v>
      </c>
      <c r="B1548" s="557"/>
      <c r="C1548" s="574"/>
      <c r="D1548" s="615"/>
      <c r="E1548" s="615"/>
      <c r="F1548" s="700"/>
      <c r="G1548" s="558"/>
      <c r="H1548" s="604"/>
      <c r="I1548" s="546"/>
      <c r="J1548" s="589"/>
      <c r="K1548" s="563" t="str">
        <f>IF(G1548&lt;&gt;0,VLOOKUP(G1548,'gia dat'!$A$1:$F$144,5,0)," ")</f>
        <v xml:space="preserve"> </v>
      </c>
      <c r="L1548" s="563" t="str">
        <f>IF(G1548&lt;&gt;0,VLOOKUP(G1548,'gia dat'!$A$1:$F$144,6,0)," ")</f>
        <v xml:space="preserve"> </v>
      </c>
      <c r="M1548" s="564" t="str">
        <f t="shared" si="336"/>
        <v xml:space="preserve"> </v>
      </c>
      <c r="N1548" s="564" t="str">
        <f t="shared" si="337"/>
        <v xml:space="preserve"> </v>
      </c>
      <c r="O1548" s="558"/>
      <c r="P1548" s="590"/>
      <c r="Q1548" s="564" t="str">
        <f>IF(O1548&lt;&gt;0,VLOOKUP(O1548,'Cây trong'!$A$2:$C$246,3,0)," ")</f>
        <v xml:space="preserve"> </v>
      </c>
      <c r="R1548" s="564" t="str">
        <f t="shared" si="326"/>
        <v xml:space="preserve"> </v>
      </c>
      <c r="S1548" s="566"/>
      <c r="T1548" s="589"/>
      <c r="U1548" s="591"/>
      <c r="V1548" s="593"/>
      <c r="W1548" s="564" t="str">
        <f>IF(S1548&lt;&gt;0,VLOOKUP(S1548,VKT!$A$2:$G$415,7,0),"")</f>
        <v/>
      </c>
      <c r="X1548" s="564" t="str">
        <f t="shared" si="332"/>
        <v xml:space="preserve"> </v>
      </c>
      <c r="Y1548" s="562"/>
      <c r="Z1548" s="568"/>
      <c r="AA1548" s="568"/>
      <c r="AB1548" s="568"/>
      <c r="AC1548" s="568"/>
      <c r="AD1548" s="568"/>
      <c r="AE1548" s="568"/>
      <c r="AF1548" s="563"/>
      <c r="AG1548" s="570" t="str">
        <f>IF(AE1548&lt;&gt;0,VLOOKUP(AE1548,ODDS!$A$2:$C$13,3,0),"")</f>
        <v/>
      </c>
      <c r="AH1548" s="570" t="str">
        <f t="shared" si="327"/>
        <v xml:space="preserve"> </v>
      </c>
      <c r="AI1548" s="571" t="str">
        <f t="shared" si="339"/>
        <v xml:space="preserve"> </v>
      </c>
      <c r="AJ1548" s="558"/>
      <c r="AK1548" s="558"/>
    </row>
    <row r="1549" spans="1:37" s="385" customFormat="1" ht="20.25" outlineLevel="1" x14ac:dyDescent="0.25">
      <c r="A1549" s="467" t="s">
        <v>2585</v>
      </c>
      <c r="B1549" s="576">
        <v>125</v>
      </c>
      <c r="C1549" s="574" t="s">
        <v>1092</v>
      </c>
      <c r="D1549" s="705"/>
      <c r="E1549" s="705"/>
      <c r="F1549" s="706"/>
      <c r="G1549" s="574"/>
      <c r="H1549" s="596">
        <f>SUBTOTAL(9,H1550:H1555)</f>
        <v>100</v>
      </c>
      <c r="I1549" s="579">
        <f>SUBTOTAL(9,I1550:I1555)</f>
        <v>100</v>
      </c>
      <c r="J1549" s="597"/>
      <c r="K1549" s="581"/>
      <c r="L1549" s="581"/>
      <c r="M1549" s="571">
        <f>SUBTOTAL(9,M1550:M1555)</f>
        <v>37680000</v>
      </c>
      <c r="N1549" s="571">
        <f>SUBTOTAL(9,N1550:N1555)</f>
        <v>113040000</v>
      </c>
      <c r="O1549" s="574"/>
      <c r="P1549" s="599">
        <f>SUBTOTAL(9,P1550:P1555)</f>
        <v>0</v>
      </c>
      <c r="Q1549" s="571"/>
      <c r="R1549" s="571">
        <f>SUBTOTAL(9,R1550:R1555)</f>
        <v>0</v>
      </c>
      <c r="S1549" s="582"/>
      <c r="T1549" s="597"/>
      <c r="U1549" s="600">
        <f>SUBTOTAL(9,U1550:U1555)</f>
        <v>0</v>
      </c>
      <c r="V1549" s="608"/>
      <c r="W1549" s="571"/>
      <c r="X1549" s="571">
        <f>SUBTOTAL(9,X1550:X1555)</f>
        <v>0</v>
      </c>
      <c r="Y1549" s="562"/>
      <c r="Z1549" s="568"/>
      <c r="AA1549" s="568"/>
      <c r="AB1549" s="568"/>
      <c r="AC1549" s="568"/>
      <c r="AD1549" s="568"/>
      <c r="AE1549" s="584"/>
      <c r="AF1549" s="581">
        <f>SUBTOTAL(9,AF1550:AF1555)</f>
        <v>0</v>
      </c>
      <c r="AG1549" s="585"/>
      <c r="AH1549" s="585">
        <f>SUBTOTAL(9,AH1550:AH1555)</f>
        <v>0</v>
      </c>
      <c r="AI1549" s="571">
        <f t="shared" si="339"/>
        <v>150720000</v>
      </c>
      <c r="AJ1549" s="574"/>
      <c r="AK1549" s="578"/>
    </row>
    <row r="1550" spans="1:37" s="385" customFormat="1" ht="121.5" outlineLevel="2" x14ac:dyDescent="0.3">
      <c r="A1550" s="447">
        <f>IF(B1549&lt;&gt;0,B1549,A1548)</f>
        <v>125</v>
      </c>
      <c r="B1550" s="557"/>
      <c r="C1550" s="684" t="s">
        <v>2786</v>
      </c>
      <c r="D1550" s="615">
        <v>4</v>
      </c>
      <c r="E1550" s="615">
        <v>86</v>
      </c>
      <c r="F1550" s="700">
        <v>213</v>
      </c>
      <c r="G1550" s="684" t="s">
        <v>2433</v>
      </c>
      <c r="H1550" s="604">
        <v>100</v>
      </c>
      <c r="I1550" s="546">
        <f t="shared" ref="I1550" si="340">IF(N1550&gt;0,H1550,"")</f>
        <v>100</v>
      </c>
      <c r="J1550" s="589"/>
      <c r="K1550" s="563">
        <f>IF(G1550&lt;&gt;0,VLOOKUP(G1550,'gia dat'!$A$1:$F$144,5,0)," ")</f>
        <v>376800</v>
      </c>
      <c r="L1550" s="563">
        <f>IF(G1550&lt;&gt;0,VLOOKUP(G1550,'gia dat'!$A$1:$F$144,6,0)," ")</f>
        <v>1130400</v>
      </c>
      <c r="M1550" s="564">
        <f t="shared" si="336"/>
        <v>37680000</v>
      </c>
      <c r="N1550" s="564">
        <f t="shared" si="337"/>
        <v>113040000</v>
      </c>
      <c r="O1550" s="558"/>
      <c r="P1550" s="590"/>
      <c r="Q1550" s="564" t="str">
        <f>IF(O1550&lt;&gt;0,VLOOKUP(O1550,'Cây trong'!$A$2:$C$246,3,0)," ")</f>
        <v xml:space="preserve"> </v>
      </c>
      <c r="R1550" s="564" t="str">
        <f t="shared" si="326"/>
        <v xml:space="preserve"> </v>
      </c>
      <c r="S1550" s="566"/>
      <c r="T1550" s="589"/>
      <c r="U1550" s="591"/>
      <c r="V1550" s="593"/>
      <c r="W1550" s="564" t="str">
        <f>IF(S1550&lt;&gt;0,VLOOKUP(S1550,VKT!$A$2:$G$415,7,0),"")</f>
        <v/>
      </c>
      <c r="X1550" s="564" t="str">
        <f t="shared" si="332"/>
        <v xml:space="preserve"> </v>
      </c>
      <c r="Y1550" s="562"/>
      <c r="Z1550" s="568"/>
      <c r="AA1550" s="568"/>
      <c r="AB1550" s="568"/>
      <c r="AC1550" s="568"/>
      <c r="AD1550" s="568"/>
      <c r="AE1550" s="568"/>
      <c r="AF1550" s="563"/>
      <c r="AG1550" s="570" t="str">
        <f>IF(AE1550&lt;&gt;0,VLOOKUP(AE1550,ODDS!$A$2:$C$13,3,0),"")</f>
        <v/>
      </c>
      <c r="AH1550" s="570"/>
      <c r="AI1550" s="571" t="str">
        <f t="shared" si="339"/>
        <v xml:space="preserve"> </v>
      </c>
      <c r="AJ1550" s="558" t="s">
        <v>1093</v>
      </c>
      <c r="AK1550" s="586" t="s">
        <v>2771</v>
      </c>
    </row>
    <row r="1551" spans="1:37" s="385" customFormat="1" ht="81" outlineLevel="2" x14ac:dyDescent="0.3">
      <c r="A1551" s="447">
        <f>IF(B1550&lt;&gt;0,B1550,A1550)</f>
        <v>125</v>
      </c>
      <c r="B1551" s="557"/>
      <c r="C1551" s="572" t="s">
        <v>1588</v>
      </c>
      <c r="D1551" s="615"/>
      <c r="E1551" s="615"/>
      <c r="F1551" s="700"/>
      <c r="G1551" s="558"/>
      <c r="H1551" s="604"/>
      <c r="I1551" s="546"/>
      <c r="J1551" s="589"/>
      <c r="K1551" s="563" t="str">
        <f>IF(G1551&lt;&gt;0,VLOOKUP(G1551,'gia dat'!$A$1:$F$144,5,0)," ")</f>
        <v xml:space="preserve"> </v>
      </c>
      <c r="L1551" s="563" t="str">
        <f>IF(G1551&lt;&gt;0,VLOOKUP(G1551,'gia dat'!$A$1:$F$144,6,0)," ")</f>
        <v xml:space="preserve"> </v>
      </c>
      <c r="M1551" s="564" t="str">
        <f t="shared" si="336"/>
        <v xml:space="preserve"> </v>
      </c>
      <c r="N1551" s="564" t="str">
        <f t="shared" si="337"/>
        <v xml:space="preserve"> </v>
      </c>
      <c r="O1551" s="558"/>
      <c r="P1551" s="590"/>
      <c r="Q1551" s="564" t="str">
        <f>IF(O1551&lt;&gt;0,VLOOKUP(O1551,'Cây trong'!$A$2:$C$246,3,0)," ")</f>
        <v xml:space="preserve"> </v>
      </c>
      <c r="R1551" s="564" t="str">
        <f t="shared" si="326"/>
        <v xml:space="preserve"> </v>
      </c>
      <c r="S1551" s="566"/>
      <c r="T1551" s="589"/>
      <c r="U1551" s="617"/>
      <c r="V1551" s="593"/>
      <c r="W1551" s="564" t="str">
        <f>IF(S1551&lt;&gt;0,VLOOKUP(S1551,VKT!$A$2:$G$415,7,0),"")</f>
        <v/>
      </c>
      <c r="X1551" s="564" t="str">
        <f t="shared" si="332"/>
        <v xml:space="preserve"> </v>
      </c>
      <c r="Y1551" s="562"/>
      <c r="Z1551" s="568"/>
      <c r="AA1551" s="568"/>
      <c r="AB1551" s="568"/>
      <c r="AC1551" s="568"/>
      <c r="AD1551" s="568"/>
      <c r="AE1551" s="568"/>
      <c r="AF1551" s="563"/>
      <c r="AG1551" s="570" t="str">
        <f>IF(AE1551&lt;&gt;0,VLOOKUP(AE1551,ODDS!$A$2:$C$13,3,0),"")</f>
        <v/>
      </c>
      <c r="AH1551" s="570" t="str">
        <f t="shared" si="327"/>
        <v xml:space="preserve"> </v>
      </c>
      <c r="AI1551" s="571" t="str">
        <f t="shared" si="339"/>
        <v xml:space="preserve"> </v>
      </c>
      <c r="AJ1551" s="558" t="s">
        <v>2846</v>
      </c>
      <c r="AK1551" s="558" t="s">
        <v>2448</v>
      </c>
    </row>
    <row r="1552" spans="1:37" s="385" customFormat="1" ht="60.75" outlineLevel="2" x14ac:dyDescent="0.3">
      <c r="A1552" s="447">
        <f>IF(B1551&lt;&gt;0,B1551,A1551)</f>
        <v>125</v>
      </c>
      <c r="B1552" s="557"/>
      <c r="C1552" s="572"/>
      <c r="D1552" s="615"/>
      <c r="E1552" s="615"/>
      <c r="F1552" s="700"/>
      <c r="G1552" s="558"/>
      <c r="H1552" s="604"/>
      <c r="I1552" s="546"/>
      <c r="J1552" s="589"/>
      <c r="K1552" s="563" t="str">
        <f>IF(G1552&lt;&gt;0,VLOOKUP(G1552,'gia dat'!$A$1:$F$144,5,0)," ")</f>
        <v xml:space="preserve"> </v>
      </c>
      <c r="L1552" s="563" t="str">
        <f>IF(G1552&lt;&gt;0,VLOOKUP(G1552,'gia dat'!$A$1:$F$144,6,0)," ")</f>
        <v xml:space="preserve"> </v>
      </c>
      <c r="M1552" s="564" t="str">
        <f t="shared" si="336"/>
        <v xml:space="preserve"> </v>
      </c>
      <c r="N1552" s="564" t="str">
        <f t="shared" si="337"/>
        <v xml:space="preserve"> </v>
      </c>
      <c r="O1552" s="558"/>
      <c r="P1552" s="590"/>
      <c r="Q1552" s="564" t="str">
        <f>IF(O1552&lt;&gt;0,VLOOKUP(O1552,'Cây trong'!$A$2:$C$246,3,0)," ")</f>
        <v xml:space="preserve"> </v>
      </c>
      <c r="R1552" s="564" t="str">
        <f t="shared" si="326"/>
        <v xml:space="preserve"> </v>
      </c>
      <c r="S1552" s="566"/>
      <c r="T1552" s="589"/>
      <c r="U1552" s="591"/>
      <c r="V1552" s="593"/>
      <c r="W1552" s="564" t="str">
        <f>IF(S1552&lt;&gt;0,VLOOKUP(S1552,VKT!$A$2:$G$415,7,0),"")</f>
        <v/>
      </c>
      <c r="X1552" s="564" t="str">
        <f t="shared" si="332"/>
        <v xml:space="preserve"> </v>
      </c>
      <c r="Y1552" s="562"/>
      <c r="Z1552" s="568"/>
      <c r="AA1552" s="568"/>
      <c r="AB1552" s="568"/>
      <c r="AC1552" s="568"/>
      <c r="AD1552" s="568"/>
      <c r="AE1552" s="568"/>
      <c r="AF1552" s="563"/>
      <c r="AG1552" s="570" t="str">
        <f>IF(AE1552&lt;&gt;0,VLOOKUP(AE1552,ODDS!$A$2:$C$13,3,0),"")</f>
        <v/>
      </c>
      <c r="AH1552" s="570" t="str">
        <f t="shared" si="327"/>
        <v xml:space="preserve"> </v>
      </c>
      <c r="AI1552" s="571" t="str">
        <f t="shared" si="339"/>
        <v xml:space="preserve"> </v>
      </c>
      <c r="AJ1552" s="558" t="s">
        <v>2077</v>
      </c>
      <c r="AK1552" s="593"/>
    </row>
    <row r="1553" spans="1:37" s="385" customFormat="1" ht="20.25" outlineLevel="2" x14ac:dyDescent="0.3">
      <c r="A1553" s="447">
        <f>IF(B1552&lt;&gt;0,B1552,A1552)</f>
        <v>125</v>
      </c>
      <c r="B1553" s="557"/>
      <c r="C1553" s="572"/>
      <c r="D1553" s="615"/>
      <c r="E1553" s="615"/>
      <c r="F1553" s="700"/>
      <c r="G1553" s="558"/>
      <c r="H1553" s="604"/>
      <c r="I1553" s="546"/>
      <c r="J1553" s="589"/>
      <c r="K1553" s="563" t="str">
        <f>IF(G1553&lt;&gt;0,VLOOKUP(G1553,'gia dat'!$A$1:$F$144,5,0)," ")</f>
        <v xml:space="preserve"> </v>
      </c>
      <c r="L1553" s="563" t="str">
        <f>IF(G1553&lt;&gt;0,VLOOKUP(G1553,'gia dat'!$A$1:$F$144,6,0)," ")</f>
        <v xml:space="preserve"> </v>
      </c>
      <c r="M1553" s="564" t="str">
        <f t="shared" si="336"/>
        <v xml:space="preserve"> </v>
      </c>
      <c r="N1553" s="564" t="str">
        <f t="shared" si="337"/>
        <v xml:space="preserve"> </v>
      </c>
      <c r="O1553" s="558"/>
      <c r="P1553" s="590"/>
      <c r="Q1553" s="564" t="str">
        <f>IF(O1553&lt;&gt;0,VLOOKUP(O1553,'Cây trong'!$A$2:$C$246,3,0)," ")</f>
        <v xml:space="preserve"> </v>
      </c>
      <c r="R1553" s="564" t="str">
        <f t="shared" si="326"/>
        <v xml:space="preserve"> </v>
      </c>
      <c r="S1553" s="566"/>
      <c r="T1553" s="589"/>
      <c r="U1553" s="591"/>
      <c r="V1553" s="593"/>
      <c r="W1553" s="564" t="str">
        <f>IF(S1553&lt;&gt;0,VLOOKUP(S1553,VKT!$A$2:$G$415,7,0),"")</f>
        <v/>
      </c>
      <c r="X1553" s="564" t="str">
        <f t="shared" si="332"/>
        <v xml:space="preserve"> </v>
      </c>
      <c r="Y1553" s="562"/>
      <c r="Z1553" s="568"/>
      <c r="AA1553" s="568"/>
      <c r="AB1553" s="568"/>
      <c r="AC1553" s="568"/>
      <c r="AD1553" s="568"/>
      <c r="AE1553" s="568"/>
      <c r="AF1553" s="563"/>
      <c r="AG1553" s="570" t="str">
        <f>IF(AE1553&lt;&gt;0,VLOOKUP(AE1553,ODDS!$A$2:$C$13,3,0),"")</f>
        <v/>
      </c>
      <c r="AH1553" s="570" t="str">
        <f t="shared" si="327"/>
        <v xml:space="preserve"> </v>
      </c>
      <c r="AI1553" s="571" t="str">
        <f t="shared" si="339"/>
        <v xml:space="preserve"> </v>
      </c>
      <c r="AJ1553" s="704"/>
      <c r="AK1553" s="558"/>
    </row>
    <row r="1554" spans="1:37" s="385" customFormat="1" ht="20.25" outlineLevel="2" x14ac:dyDescent="0.3">
      <c r="A1554" s="447">
        <f>IF(B1553&lt;&gt;0,B1553,A1553)</f>
        <v>125</v>
      </c>
      <c r="B1554" s="557"/>
      <c r="C1554" s="558"/>
      <c r="D1554" s="615"/>
      <c r="E1554" s="615"/>
      <c r="F1554" s="700"/>
      <c r="G1554" s="558"/>
      <c r="H1554" s="604"/>
      <c r="I1554" s="546"/>
      <c r="J1554" s="589"/>
      <c r="K1554" s="563" t="str">
        <f>IF(G1554&lt;&gt;0,VLOOKUP(G1554,'gia dat'!$A$1:$F$144,5,0)," ")</f>
        <v xml:space="preserve"> </v>
      </c>
      <c r="L1554" s="563" t="str">
        <f>IF(G1554&lt;&gt;0,VLOOKUP(G1554,'gia dat'!$A$1:$F$144,6,0)," ")</f>
        <v xml:space="preserve"> </v>
      </c>
      <c r="M1554" s="564" t="str">
        <f t="shared" si="336"/>
        <v xml:space="preserve"> </v>
      </c>
      <c r="N1554" s="564" t="str">
        <f t="shared" si="337"/>
        <v xml:space="preserve"> </v>
      </c>
      <c r="O1554" s="558"/>
      <c r="P1554" s="590"/>
      <c r="Q1554" s="564" t="str">
        <f>IF(O1554&lt;&gt;0,VLOOKUP(O1554,'Cây trong'!$A$2:$C$246,3,0)," ")</f>
        <v xml:space="preserve"> </v>
      </c>
      <c r="R1554" s="564" t="str">
        <f t="shared" si="326"/>
        <v xml:space="preserve"> </v>
      </c>
      <c r="S1554" s="566"/>
      <c r="T1554" s="589"/>
      <c r="U1554" s="591"/>
      <c r="V1554" s="593"/>
      <c r="W1554" s="564" t="str">
        <f>IF(S1554&lt;&gt;0,VLOOKUP(S1554,VKT!$A$2:$G$415,7,0),"")</f>
        <v/>
      </c>
      <c r="X1554" s="564" t="str">
        <f t="shared" si="332"/>
        <v xml:space="preserve"> </v>
      </c>
      <c r="Y1554" s="562"/>
      <c r="Z1554" s="568"/>
      <c r="AA1554" s="568"/>
      <c r="AB1554" s="568"/>
      <c r="AC1554" s="568"/>
      <c r="AD1554" s="568"/>
      <c r="AE1554" s="568"/>
      <c r="AF1554" s="563"/>
      <c r="AG1554" s="570" t="str">
        <f>IF(AE1554&lt;&gt;0,VLOOKUP(AE1554,ODDS!$A$2:$C$13,3,0),"")</f>
        <v/>
      </c>
      <c r="AH1554" s="570" t="str">
        <f t="shared" si="327"/>
        <v xml:space="preserve"> </v>
      </c>
      <c r="AI1554" s="571" t="str">
        <f t="shared" si="339"/>
        <v xml:space="preserve"> </v>
      </c>
      <c r="AJ1554" s="558"/>
      <c r="AK1554" s="558"/>
    </row>
    <row r="1555" spans="1:37" s="385" customFormat="1" ht="20.25" outlineLevel="2" x14ac:dyDescent="0.3">
      <c r="A1555" s="447">
        <f>IF(B1554&lt;&gt;0,B1554,A1554)</f>
        <v>125</v>
      </c>
      <c r="B1555" s="557"/>
      <c r="C1555" s="574"/>
      <c r="D1555" s="615"/>
      <c r="E1555" s="615"/>
      <c r="F1555" s="700"/>
      <c r="G1555" s="558"/>
      <c r="H1555" s="604"/>
      <c r="I1555" s="546"/>
      <c r="J1555" s="589"/>
      <c r="K1555" s="563" t="str">
        <f>IF(G1555&lt;&gt;0,VLOOKUP(G1555,'gia dat'!$A$1:$F$144,5,0)," ")</f>
        <v xml:space="preserve"> </v>
      </c>
      <c r="L1555" s="563" t="str">
        <f>IF(G1555&lt;&gt;0,VLOOKUP(G1555,'gia dat'!$A$1:$F$144,6,0)," ")</f>
        <v xml:space="preserve"> </v>
      </c>
      <c r="M1555" s="564" t="str">
        <f t="shared" si="336"/>
        <v xml:space="preserve"> </v>
      </c>
      <c r="N1555" s="564" t="str">
        <f t="shared" si="337"/>
        <v xml:space="preserve"> </v>
      </c>
      <c r="O1555" s="558"/>
      <c r="P1555" s="590"/>
      <c r="Q1555" s="564" t="str">
        <f>IF(O1555&lt;&gt;0,VLOOKUP(O1555,'Cây trong'!$A$2:$C$246,3,0)," ")</f>
        <v xml:space="preserve"> </v>
      </c>
      <c r="R1555" s="564" t="str">
        <f t="shared" si="326"/>
        <v xml:space="preserve"> </v>
      </c>
      <c r="S1555" s="566"/>
      <c r="T1555" s="589"/>
      <c r="U1555" s="591"/>
      <c r="V1555" s="593"/>
      <c r="W1555" s="564" t="str">
        <f>IF(S1555&lt;&gt;0,VLOOKUP(S1555,VKT!$A$2:$G$415,7,0),"")</f>
        <v/>
      </c>
      <c r="X1555" s="564" t="str">
        <f t="shared" si="332"/>
        <v xml:space="preserve"> </v>
      </c>
      <c r="Y1555" s="562"/>
      <c r="Z1555" s="568"/>
      <c r="AA1555" s="568"/>
      <c r="AB1555" s="568"/>
      <c r="AC1555" s="568"/>
      <c r="AD1555" s="568"/>
      <c r="AE1555" s="568"/>
      <c r="AF1555" s="563"/>
      <c r="AG1555" s="570" t="str">
        <f>IF(AE1555&lt;&gt;0,VLOOKUP(AE1555,ODDS!$A$2:$C$13,3,0),"")</f>
        <v/>
      </c>
      <c r="AH1555" s="570" t="str">
        <f t="shared" si="327"/>
        <v xml:space="preserve"> </v>
      </c>
      <c r="AI1555" s="571" t="str">
        <f t="shared" si="339"/>
        <v xml:space="preserve"> </v>
      </c>
      <c r="AJ1555" s="558"/>
      <c r="AK1555" s="558"/>
    </row>
    <row r="1556" spans="1:37" s="385" customFormat="1" ht="20.25" outlineLevel="1" x14ac:dyDescent="0.25">
      <c r="A1556" s="467" t="s">
        <v>2584</v>
      </c>
      <c r="B1556" s="576">
        <v>126</v>
      </c>
      <c r="C1556" s="574" t="s">
        <v>1095</v>
      </c>
      <c r="D1556" s="705"/>
      <c r="E1556" s="705"/>
      <c r="F1556" s="706"/>
      <c r="G1556" s="574"/>
      <c r="H1556" s="596">
        <f>SUBTOTAL(9,H1557:H1568)</f>
        <v>902.2</v>
      </c>
      <c r="I1556" s="579">
        <f>SUBTOTAL(9,I1557:I1562)</f>
        <v>601.5</v>
      </c>
      <c r="J1556" s="597"/>
      <c r="K1556" s="581"/>
      <c r="L1556" s="581"/>
      <c r="M1556" s="571">
        <f>SUBTOTAL(9,M1557:M1568)</f>
        <v>420064000</v>
      </c>
      <c r="N1556" s="571">
        <f>SUBTOTAL(9,N1557:N1568)</f>
        <v>840175000</v>
      </c>
      <c r="O1556" s="574"/>
      <c r="P1556" s="599">
        <f>SUBTOTAL(9,P1557:P1568)</f>
        <v>0</v>
      </c>
      <c r="Q1556" s="571"/>
      <c r="R1556" s="571">
        <f>SUBTOTAL(9,R1557:R1568)</f>
        <v>0</v>
      </c>
      <c r="S1556" s="582"/>
      <c r="T1556" s="597"/>
      <c r="U1556" s="600">
        <f>SUBTOTAL(9,U1557:U1568)</f>
        <v>0</v>
      </c>
      <c r="V1556" s="608"/>
      <c r="W1556" s="571"/>
      <c r="X1556" s="571">
        <f>SUBTOTAL(9,X1557:X1568)</f>
        <v>0</v>
      </c>
      <c r="Y1556" s="562"/>
      <c r="Z1556" s="568"/>
      <c r="AA1556" s="568"/>
      <c r="AB1556" s="568"/>
      <c r="AC1556" s="568"/>
      <c r="AD1556" s="568"/>
      <c r="AE1556" s="584"/>
      <c r="AF1556" s="581">
        <f>SUBTOTAL(9,AF1557:AF1568)</f>
        <v>0</v>
      </c>
      <c r="AG1556" s="585"/>
      <c r="AH1556" s="585">
        <f>SUBTOTAL(9,AH1557:AH1568)</f>
        <v>0</v>
      </c>
      <c r="AI1556" s="571">
        <f t="shared" si="339"/>
        <v>1260239000</v>
      </c>
      <c r="AJ1556" s="574"/>
      <c r="AK1556" s="578"/>
    </row>
    <row r="1557" spans="1:37" s="385" customFormat="1" ht="121.5" outlineLevel="2" x14ac:dyDescent="0.3">
      <c r="A1557" s="447">
        <f>IF(B1556&lt;&gt;0,B1556,A1555)</f>
        <v>126</v>
      </c>
      <c r="B1557" s="557"/>
      <c r="C1557" s="558" t="s">
        <v>1097</v>
      </c>
      <c r="D1557" s="615">
        <v>1</v>
      </c>
      <c r="E1557" s="615">
        <v>86</v>
      </c>
      <c r="F1557" s="700">
        <v>166</v>
      </c>
      <c r="G1557" s="558" t="s">
        <v>2870</v>
      </c>
      <c r="H1557" s="604">
        <f>902.2-H1558</f>
        <v>300.70000000000005</v>
      </c>
      <c r="I1557" s="546" t="str">
        <f t="shared" ref="I1557:I1558" si="341">IF(N1557&gt;0,H1557,"")</f>
        <v/>
      </c>
      <c r="J1557" s="589"/>
      <c r="K1557" s="563">
        <f>IF(G1557&lt;&gt;0,VLOOKUP(G1557,'gia dat'!$A$1:$F$144,5,0)," ")</f>
        <v>465600</v>
      </c>
      <c r="L1557" s="563">
        <f>IF(G1557&lt;&gt;0,VLOOKUP(G1557,'gia dat'!$A$1:$F$144,6,0)," ")</f>
        <v>0</v>
      </c>
      <c r="M1557" s="564">
        <f t="shared" si="336"/>
        <v>140006000</v>
      </c>
      <c r="N1557" s="564">
        <f t="shared" si="337"/>
        <v>0</v>
      </c>
      <c r="O1557" s="558"/>
      <c r="P1557" s="590"/>
      <c r="Q1557" s="564" t="str">
        <f>IF(O1557&lt;&gt;0,VLOOKUP(O1557,'Cây trong'!$A$2:$C$246,3,0)," ")</f>
        <v xml:space="preserve"> </v>
      </c>
      <c r="R1557" s="564" t="str">
        <f t="shared" si="326"/>
        <v xml:space="preserve"> </v>
      </c>
      <c r="S1557" s="566"/>
      <c r="T1557" s="589"/>
      <c r="U1557" s="591"/>
      <c r="V1557" s="593"/>
      <c r="W1557" s="564" t="str">
        <f>IF(S1557&lt;&gt;0,VLOOKUP(S1557,VKT!$A$2:$G$415,7,0),"")</f>
        <v/>
      </c>
      <c r="X1557" s="564" t="str">
        <f t="shared" si="332"/>
        <v xml:space="preserve"> </v>
      </c>
      <c r="Y1557" s="562"/>
      <c r="Z1557" s="568"/>
      <c r="AA1557" s="568"/>
      <c r="AB1557" s="568"/>
      <c r="AC1557" s="568"/>
      <c r="AD1557" s="568"/>
      <c r="AE1557" s="568"/>
      <c r="AF1557" s="563"/>
      <c r="AG1557" s="570" t="str">
        <f>IF(AE1557&lt;&gt;0,VLOOKUP(AE1557,ODDS!$A$2:$C$13,3,0),"")</f>
        <v/>
      </c>
      <c r="AH1557" s="570"/>
      <c r="AI1557" s="571" t="str">
        <f t="shared" si="339"/>
        <v xml:space="preserve"> </v>
      </c>
      <c r="AJ1557" s="558" t="s">
        <v>1096</v>
      </c>
      <c r="AK1557" s="586" t="s">
        <v>2771</v>
      </c>
    </row>
    <row r="1558" spans="1:37" s="385" customFormat="1" ht="81" outlineLevel="2" x14ac:dyDescent="0.3">
      <c r="A1558" s="447">
        <f t="shared" ref="A1558:A1568" si="342">IF(B1557&lt;&gt;0,B1557,A1557)</f>
        <v>126</v>
      </c>
      <c r="B1558" s="557"/>
      <c r="C1558" s="737" t="s">
        <v>2787</v>
      </c>
      <c r="D1558" s="615"/>
      <c r="E1558" s="615"/>
      <c r="F1558" s="700"/>
      <c r="G1558" s="558" t="s">
        <v>2872</v>
      </c>
      <c r="H1558" s="604">
        <v>601.5</v>
      </c>
      <c r="I1558" s="546">
        <f t="shared" si="341"/>
        <v>601.5</v>
      </c>
      <c r="J1558" s="589"/>
      <c r="K1558" s="563">
        <f>IF(G1558&lt;&gt;0,VLOOKUP(G1558,'gia dat'!$A$1:$F$144,5,0)," ")</f>
        <v>465600</v>
      </c>
      <c r="L1558" s="563">
        <f>IF(G1558&lt;&gt;0,VLOOKUP(G1558,'gia dat'!$A$1:$F$144,6,0)," ")</f>
        <v>1396800</v>
      </c>
      <c r="M1558" s="564">
        <f t="shared" si="336"/>
        <v>280058000</v>
      </c>
      <c r="N1558" s="564">
        <f t="shared" si="337"/>
        <v>840175000</v>
      </c>
      <c r="O1558" s="558"/>
      <c r="P1558" s="590"/>
      <c r="Q1558" s="564" t="str">
        <f>IF(O1558&lt;&gt;0,VLOOKUP(O1558,'Cây trong'!$A$2:$C$246,3,0)," ")</f>
        <v xml:space="preserve"> </v>
      </c>
      <c r="R1558" s="564" t="str">
        <f t="shared" si="326"/>
        <v xml:space="preserve"> </v>
      </c>
      <c r="S1558" s="566"/>
      <c r="T1558" s="589"/>
      <c r="U1558" s="617"/>
      <c r="V1558" s="593"/>
      <c r="W1558" s="564" t="str">
        <f>IF(S1558&lt;&gt;0,VLOOKUP(S1558,VKT!$A$2:$G$415,7,0),"")</f>
        <v/>
      </c>
      <c r="X1558" s="564" t="str">
        <f t="shared" si="332"/>
        <v xml:space="preserve"> </v>
      </c>
      <c r="Y1558" s="562"/>
      <c r="Z1558" s="568"/>
      <c r="AA1558" s="568"/>
      <c r="AB1558" s="568"/>
      <c r="AC1558" s="568"/>
      <c r="AD1558" s="568"/>
      <c r="AE1558" s="568"/>
      <c r="AF1558" s="563"/>
      <c r="AG1558" s="570" t="str">
        <f>IF(AE1558&lt;&gt;0,VLOOKUP(AE1558,ODDS!$A$2:$C$13,3,0),"")</f>
        <v/>
      </c>
      <c r="AH1558" s="570" t="str">
        <f t="shared" si="327"/>
        <v xml:space="preserve"> </v>
      </c>
      <c r="AI1558" s="571" t="str">
        <f t="shared" si="339"/>
        <v xml:space="preserve"> </v>
      </c>
      <c r="AJ1558" s="558" t="s">
        <v>2847</v>
      </c>
      <c r="AK1558" s="558" t="s">
        <v>2448</v>
      </c>
    </row>
    <row r="1559" spans="1:37" s="385" customFormat="1" ht="20.25" outlineLevel="2" x14ac:dyDescent="0.3">
      <c r="A1559" s="447">
        <f t="shared" si="342"/>
        <v>126</v>
      </c>
      <c r="B1559" s="557"/>
      <c r="C1559" s="574" t="s">
        <v>1100</v>
      </c>
      <c r="D1559" s="615"/>
      <c r="E1559" s="615"/>
      <c r="F1559" s="700"/>
      <c r="G1559" s="558"/>
      <c r="H1559" s="604"/>
      <c r="I1559" s="546"/>
      <c r="J1559" s="589"/>
      <c r="K1559" s="563" t="str">
        <f>IF(G1559&lt;&gt;0,VLOOKUP(G1559,'gia dat'!$A$1:$F$144,5,0)," ")</f>
        <v xml:space="preserve"> </v>
      </c>
      <c r="L1559" s="563" t="str">
        <f>IF(G1559&lt;&gt;0,VLOOKUP(G1559,'gia dat'!$A$1:$F$144,6,0)," ")</f>
        <v xml:space="preserve"> </v>
      </c>
      <c r="M1559" s="564" t="str">
        <f t="shared" si="336"/>
        <v xml:space="preserve"> </v>
      </c>
      <c r="N1559" s="564" t="str">
        <f t="shared" si="337"/>
        <v xml:space="preserve"> </v>
      </c>
      <c r="O1559" s="558"/>
      <c r="P1559" s="590"/>
      <c r="Q1559" s="564" t="str">
        <f>IF(O1559&lt;&gt;0,VLOOKUP(O1559,'Cây trong'!$A$2:$C$246,3,0)," ")</f>
        <v xml:space="preserve"> </v>
      </c>
      <c r="R1559" s="564" t="str">
        <f t="shared" si="326"/>
        <v xml:space="preserve"> </v>
      </c>
      <c r="S1559" s="566"/>
      <c r="T1559" s="589"/>
      <c r="U1559" s="591"/>
      <c r="V1559" s="593"/>
      <c r="W1559" s="564" t="str">
        <f>IF(S1559&lt;&gt;0,VLOOKUP(S1559,VKT!$A$2:$G$415,7,0),"")</f>
        <v/>
      </c>
      <c r="X1559" s="564" t="str">
        <f t="shared" si="332"/>
        <v xml:space="preserve"> </v>
      </c>
      <c r="Y1559" s="562"/>
      <c r="Z1559" s="568"/>
      <c r="AA1559" s="568"/>
      <c r="AB1559" s="568"/>
      <c r="AC1559" s="568"/>
      <c r="AD1559" s="568"/>
      <c r="AE1559" s="568"/>
      <c r="AF1559" s="563"/>
      <c r="AG1559" s="570" t="str">
        <f>IF(AE1559&lt;&gt;0,VLOOKUP(AE1559,ODDS!$A$2:$C$13,3,0),"")</f>
        <v/>
      </c>
      <c r="AH1559" s="570" t="str">
        <f t="shared" si="327"/>
        <v xml:space="preserve"> </v>
      </c>
      <c r="AI1559" s="571" t="str">
        <f t="shared" si="339"/>
        <v xml:space="preserve"> </v>
      </c>
      <c r="AJ1559" s="593" t="s">
        <v>1815</v>
      </c>
      <c r="AK1559" s="593"/>
    </row>
    <row r="1560" spans="1:37" s="385" customFormat="1" ht="81" outlineLevel="2" x14ac:dyDescent="0.3">
      <c r="A1560" s="447">
        <f t="shared" si="342"/>
        <v>126</v>
      </c>
      <c r="B1560" s="557"/>
      <c r="C1560" s="558" t="s">
        <v>1101</v>
      </c>
      <c r="D1560" s="615">
        <v>1</v>
      </c>
      <c r="E1560" s="615"/>
      <c r="F1560" s="700"/>
      <c r="G1560" s="558"/>
      <c r="H1560" s="604"/>
      <c r="I1560" s="546"/>
      <c r="J1560" s="589"/>
      <c r="K1560" s="563" t="str">
        <f>IF(G1560&lt;&gt;0,VLOOKUP(G1560,'gia dat'!$A$1:$F$144,5,0)," ")</f>
        <v xml:space="preserve"> </v>
      </c>
      <c r="L1560" s="563" t="str">
        <f>IF(G1560&lt;&gt;0,VLOOKUP(G1560,'gia dat'!$A$1:$F$144,6,0)," ")</f>
        <v xml:space="preserve"> </v>
      </c>
      <c r="M1560" s="564" t="str">
        <f t="shared" si="336"/>
        <v xml:space="preserve"> </v>
      </c>
      <c r="N1560" s="564" t="str">
        <f t="shared" si="337"/>
        <v xml:space="preserve"> </v>
      </c>
      <c r="O1560" s="558"/>
      <c r="P1560" s="590"/>
      <c r="Q1560" s="564" t="str">
        <f>IF(O1560&lt;&gt;0,VLOOKUP(O1560,'Cây trong'!$A$2:$C$246,3,0)," ")</f>
        <v xml:space="preserve"> </v>
      </c>
      <c r="R1560" s="564" t="str">
        <f t="shared" si="326"/>
        <v xml:space="preserve"> </v>
      </c>
      <c r="S1560" s="566"/>
      <c r="T1560" s="589"/>
      <c r="U1560" s="591"/>
      <c r="V1560" s="593"/>
      <c r="W1560" s="564" t="str">
        <f>IF(S1560&lt;&gt;0,VLOOKUP(S1560,VKT!$A$2:$G$415,7,0),"")</f>
        <v/>
      </c>
      <c r="X1560" s="564" t="str">
        <f t="shared" si="332"/>
        <v xml:space="preserve"> </v>
      </c>
      <c r="Y1560" s="562"/>
      <c r="Z1560" s="568"/>
      <c r="AA1560" s="568"/>
      <c r="AB1560" s="568"/>
      <c r="AC1560" s="568"/>
      <c r="AD1560" s="568"/>
      <c r="AE1560" s="568"/>
      <c r="AF1560" s="563"/>
      <c r="AG1560" s="570" t="str">
        <f>IF(AE1560&lt;&gt;0,VLOOKUP(AE1560,ODDS!$A$2:$C$13,3,0),"")</f>
        <v/>
      </c>
      <c r="AH1560" s="570" t="str">
        <f t="shared" si="327"/>
        <v xml:space="preserve"> </v>
      </c>
      <c r="AI1560" s="571" t="str">
        <f t="shared" si="339"/>
        <v xml:space="preserve"> </v>
      </c>
      <c r="AJ1560" s="558" t="s">
        <v>2078</v>
      </c>
      <c r="AK1560" s="558"/>
    </row>
    <row r="1561" spans="1:37" s="385" customFormat="1" ht="101.25" outlineLevel="2" x14ac:dyDescent="0.3">
      <c r="A1561" s="447">
        <f t="shared" si="342"/>
        <v>126</v>
      </c>
      <c r="B1561" s="557"/>
      <c r="C1561" s="572" t="s">
        <v>1591</v>
      </c>
      <c r="D1561" s="615"/>
      <c r="E1561" s="615"/>
      <c r="F1561" s="700"/>
      <c r="G1561" s="558"/>
      <c r="H1561" s="604"/>
      <c r="I1561" s="546"/>
      <c r="J1561" s="589"/>
      <c r="K1561" s="563" t="str">
        <f>IF(G1561&lt;&gt;0,VLOOKUP(G1561,'gia dat'!$A$1:$F$144,5,0)," ")</f>
        <v xml:space="preserve"> </v>
      </c>
      <c r="L1561" s="563" t="str">
        <f>IF(G1561&lt;&gt;0,VLOOKUP(G1561,'gia dat'!$A$1:$F$144,6,0)," ")</f>
        <v xml:space="preserve"> </v>
      </c>
      <c r="M1561" s="564" t="str">
        <f t="shared" si="336"/>
        <v xml:space="preserve"> </v>
      </c>
      <c r="N1561" s="564" t="str">
        <f t="shared" si="337"/>
        <v xml:space="preserve"> </v>
      </c>
      <c r="O1561" s="558"/>
      <c r="P1561" s="590"/>
      <c r="Q1561" s="564" t="str">
        <f>IF(O1561&lt;&gt;0,VLOOKUP(O1561,'Cây trong'!$A$2:$C$246,3,0)," ")</f>
        <v xml:space="preserve"> </v>
      </c>
      <c r="R1561" s="564" t="str">
        <f t="shared" si="326"/>
        <v xml:space="preserve"> </v>
      </c>
      <c r="S1561" s="566"/>
      <c r="T1561" s="589"/>
      <c r="U1561" s="591"/>
      <c r="V1561" s="593"/>
      <c r="W1561" s="564" t="str">
        <f>IF(S1561&lt;&gt;0,VLOOKUP(S1561,VKT!$A$2:$G$415,7,0),"")</f>
        <v/>
      </c>
      <c r="X1561" s="564" t="str">
        <f t="shared" si="332"/>
        <v xml:space="preserve"> </v>
      </c>
      <c r="Y1561" s="562"/>
      <c r="Z1561" s="568"/>
      <c r="AA1561" s="568"/>
      <c r="AB1561" s="568"/>
      <c r="AC1561" s="568"/>
      <c r="AD1561" s="568"/>
      <c r="AE1561" s="568"/>
      <c r="AF1561" s="563"/>
      <c r="AG1561" s="570" t="str">
        <f>IF(AE1561&lt;&gt;0,VLOOKUP(AE1561,ODDS!$A$2:$C$13,3,0),"")</f>
        <v/>
      </c>
      <c r="AH1561" s="570" t="str">
        <f t="shared" si="327"/>
        <v xml:space="preserve"> </v>
      </c>
      <c r="AI1561" s="571" t="str">
        <f t="shared" si="339"/>
        <v xml:space="preserve"> </v>
      </c>
      <c r="AJ1561" s="558" t="s">
        <v>2079</v>
      </c>
      <c r="AK1561" s="558"/>
    </row>
    <row r="1562" spans="1:37" s="385" customFormat="1" ht="20.25" outlineLevel="2" x14ac:dyDescent="0.3">
      <c r="A1562" s="447">
        <f t="shared" si="342"/>
        <v>126</v>
      </c>
      <c r="B1562" s="557"/>
      <c r="C1562" s="574" t="s">
        <v>1102</v>
      </c>
      <c r="D1562" s="615"/>
      <c r="E1562" s="615"/>
      <c r="F1562" s="700"/>
      <c r="G1562" s="558"/>
      <c r="H1562" s="604"/>
      <c r="I1562" s="546"/>
      <c r="J1562" s="589"/>
      <c r="K1562" s="563" t="str">
        <f>IF(G1562&lt;&gt;0,VLOOKUP(G1562,'gia dat'!$A$1:$F$144,5,0)," ")</f>
        <v xml:space="preserve"> </v>
      </c>
      <c r="L1562" s="563" t="str">
        <f>IF(G1562&lt;&gt;0,VLOOKUP(G1562,'gia dat'!$A$1:$F$144,6,0)," ")</f>
        <v xml:space="preserve"> </v>
      </c>
      <c r="M1562" s="564" t="str">
        <f t="shared" si="336"/>
        <v xml:space="preserve"> </v>
      </c>
      <c r="N1562" s="564" t="str">
        <f t="shared" si="337"/>
        <v xml:space="preserve"> </v>
      </c>
      <c r="O1562" s="558"/>
      <c r="P1562" s="590"/>
      <c r="Q1562" s="564" t="str">
        <f>IF(O1562&lt;&gt;0,VLOOKUP(O1562,'Cây trong'!$A$2:$C$246,3,0)," ")</f>
        <v xml:space="preserve"> </v>
      </c>
      <c r="R1562" s="564" t="str">
        <f t="shared" si="326"/>
        <v xml:space="preserve"> </v>
      </c>
      <c r="S1562" s="566"/>
      <c r="T1562" s="589"/>
      <c r="U1562" s="591"/>
      <c r="V1562" s="593"/>
      <c r="W1562" s="564" t="str">
        <f>IF(S1562&lt;&gt;0,VLOOKUP(S1562,VKT!$A$2:$G$415,7,0),"")</f>
        <v/>
      </c>
      <c r="X1562" s="564" t="str">
        <f t="shared" si="332"/>
        <v xml:space="preserve"> </v>
      </c>
      <c r="Y1562" s="562"/>
      <c r="Z1562" s="568"/>
      <c r="AA1562" s="568"/>
      <c r="AB1562" s="568"/>
      <c r="AC1562" s="568"/>
      <c r="AD1562" s="568"/>
      <c r="AE1562" s="568"/>
      <c r="AF1562" s="563"/>
      <c r="AG1562" s="570" t="str">
        <f>IF(AE1562&lt;&gt;0,VLOOKUP(AE1562,ODDS!$A$2:$C$13,3,0),"")</f>
        <v/>
      </c>
      <c r="AH1562" s="570" t="str">
        <f t="shared" si="327"/>
        <v xml:space="preserve"> </v>
      </c>
      <c r="AI1562" s="571" t="str">
        <f t="shared" si="339"/>
        <v xml:space="preserve"> </v>
      </c>
      <c r="AJ1562" s="558"/>
      <c r="AK1562" s="558"/>
    </row>
    <row r="1563" spans="1:37" s="385" customFormat="1" ht="40.5" outlineLevel="2" x14ac:dyDescent="0.3">
      <c r="A1563" s="447">
        <f t="shared" si="342"/>
        <v>126</v>
      </c>
      <c r="B1563" s="557"/>
      <c r="C1563" s="558" t="s">
        <v>1103</v>
      </c>
      <c r="D1563" s="615">
        <v>1</v>
      </c>
      <c r="E1563" s="615"/>
      <c r="F1563" s="700"/>
      <c r="G1563" s="558"/>
      <c r="H1563" s="604"/>
      <c r="I1563" s="546"/>
      <c r="J1563" s="589"/>
      <c r="K1563" s="563" t="str">
        <f>IF(G1563&lt;&gt;0,VLOOKUP(G1563,'gia dat'!$A$1:$F$144,5,0)," ")</f>
        <v xml:space="preserve"> </v>
      </c>
      <c r="L1563" s="563" t="str">
        <f>IF(G1563&lt;&gt;0,VLOOKUP(G1563,'gia dat'!$A$1:$F$144,6,0)," ")</f>
        <v xml:space="preserve"> </v>
      </c>
      <c r="M1563" s="564" t="str">
        <f t="shared" si="336"/>
        <v xml:space="preserve"> </v>
      </c>
      <c r="N1563" s="564" t="str">
        <f t="shared" si="337"/>
        <v xml:space="preserve"> </v>
      </c>
      <c r="O1563" s="558"/>
      <c r="P1563" s="590"/>
      <c r="Q1563" s="564" t="str">
        <f>IF(O1563&lt;&gt;0,VLOOKUP(O1563,'Cây trong'!$A$2:$C$246,3,0)," ")</f>
        <v xml:space="preserve"> </v>
      </c>
      <c r="R1563" s="564" t="str">
        <f t="shared" si="326"/>
        <v xml:space="preserve"> </v>
      </c>
      <c r="S1563" s="566"/>
      <c r="T1563" s="589"/>
      <c r="U1563" s="591"/>
      <c r="V1563" s="593"/>
      <c r="W1563" s="564" t="str">
        <f>IF(S1563&lt;&gt;0,VLOOKUP(S1563,VKT!$A$2:$G$415,7,0),"")</f>
        <v/>
      </c>
      <c r="X1563" s="564" t="str">
        <f t="shared" si="332"/>
        <v xml:space="preserve"> </v>
      </c>
      <c r="Y1563" s="562"/>
      <c r="Z1563" s="568"/>
      <c r="AA1563" s="568"/>
      <c r="AB1563" s="568"/>
      <c r="AC1563" s="568"/>
      <c r="AD1563" s="568"/>
      <c r="AE1563" s="568"/>
      <c r="AF1563" s="563"/>
      <c r="AG1563" s="570" t="str">
        <f>IF(AE1563&lt;&gt;0,VLOOKUP(AE1563,ODDS!$A$2:$C$13,3,0),"")</f>
        <v/>
      </c>
      <c r="AH1563" s="570" t="str">
        <f t="shared" si="327"/>
        <v xml:space="preserve"> </v>
      </c>
      <c r="AI1563" s="571" t="str">
        <f t="shared" si="339"/>
        <v xml:space="preserve"> </v>
      </c>
      <c r="AJ1563" s="558"/>
      <c r="AK1563" s="558"/>
    </row>
    <row r="1564" spans="1:37" s="385" customFormat="1" ht="81" outlineLevel="2" x14ac:dyDescent="0.3">
      <c r="A1564" s="447">
        <f t="shared" si="342"/>
        <v>126</v>
      </c>
      <c r="B1564" s="557"/>
      <c r="C1564" s="572" t="s">
        <v>2232</v>
      </c>
      <c r="D1564" s="615"/>
      <c r="E1564" s="615"/>
      <c r="F1564" s="700"/>
      <c r="G1564" s="558"/>
      <c r="H1564" s="604"/>
      <c r="I1564" s="546"/>
      <c r="J1564" s="589"/>
      <c r="K1564" s="563" t="str">
        <f>IF(G1564&lt;&gt;0,VLOOKUP(G1564,'gia dat'!$A$1:$F$144,5,0)," ")</f>
        <v xml:space="preserve"> </v>
      </c>
      <c r="L1564" s="563" t="str">
        <f>IF(G1564&lt;&gt;0,VLOOKUP(G1564,'gia dat'!$A$1:$F$144,6,0)," ")</f>
        <v xml:space="preserve"> </v>
      </c>
      <c r="M1564" s="564" t="str">
        <f t="shared" si="336"/>
        <v xml:space="preserve"> </v>
      </c>
      <c r="N1564" s="564" t="str">
        <f t="shared" si="337"/>
        <v xml:space="preserve"> </v>
      </c>
      <c r="O1564" s="558"/>
      <c r="P1564" s="590"/>
      <c r="Q1564" s="564" t="str">
        <f>IF(O1564&lt;&gt;0,VLOOKUP(O1564,'Cây trong'!$A$2:$C$246,3,0)," ")</f>
        <v xml:space="preserve"> </v>
      </c>
      <c r="R1564" s="564" t="str">
        <f t="shared" si="326"/>
        <v xml:space="preserve"> </v>
      </c>
      <c r="S1564" s="566"/>
      <c r="T1564" s="589"/>
      <c r="U1564" s="591"/>
      <c r="V1564" s="593"/>
      <c r="W1564" s="564" t="str">
        <f>IF(S1564&lt;&gt;0,VLOOKUP(S1564,VKT!$A$2:$G$415,7,0),"")</f>
        <v/>
      </c>
      <c r="X1564" s="564" t="str">
        <f t="shared" si="332"/>
        <v xml:space="preserve"> </v>
      </c>
      <c r="Y1564" s="562"/>
      <c r="Z1564" s="568"/>
      <c r="AA1564" s="568"/>
      <c r="AB1564" s="568"/>
      <c r="AC1564" s="568"/>
      <c r="AD1564" s="568"/>
      <c r="AE1564" s="568"/>
      <c r="AF1564" s="563"/>
      <c r="AG1564" s="570" t="str">
        <f>IF(AE1564&lt;&gt;0,VLOOKUP(AE1564,ODDS!$A$2:$C$13,3,0),"")</f>
        <v/>
      </c>
      <c r="AH1564" s="570" t="str">
        <f t="shared" si="327"/>
        <v xml:space="preserve"> </v>
      </c>
      <c r="AI1564" s="571" t="str">
        <f t="shared" si="339"/>
        <v xml:space="preserve"> </v>
      </c>
      <c r="AJ1564" s="558"/>
      <c r="AK1564" s="558"/>
    </row>
    <row r="1565" spans="1:37" s="385" customFormat="1" ht="20.25" outlineLevel="2" x14ac:dyDescent="0.3">
      <c r="A1565" s="447">
        <f t="shared" si="342"/>
        <v>126</v>
      </c>
      <c r="B1565" s="557"/>
      <c r="C1565" s="721"/>
      <c r="D1565" s="615"/>
      <c r="E1565" s="615"/>
      <c r="F1565" s="700"/>
      <c r="G1565" s="558"/>
      <c r="H1565" s="604"/>
      <c r="I1565" s="546"/>
      <c r="J1565" s="589"/>
      <c r="K1565" s="563" t="str">
        <f>IF(G1565&lt;&gt;0,VLOOKUP(G1565,'gia dat'!$A$1:$F$144,5,0)," ")</f>
        <v xml:space="preserve"> </v>
      </c>
      <c r="L1565" s="563" t="str">
        <f>IF(G1565&lt;&gt;0,VLOOKUP(G1565,'gia dat'!$A$1:$F$144,6,0)," ")</f>
        <v xml:space="preserve"> </v>
      </c>
      <c r="M1565" s="564" t="str">
        <f t="shared" si="336"/>
        <v xml:space="preserve"> </v>
      </c>
      <c r="N1565" s="564" t="str">
        <f t="shared" si="337"/>
        <v xml:space="preserve"> </v>
      </c>
      <c r="O1565" s="558"/>
      <c r="P1565" s="590"/>
      <c r="Q1565" s="564" t="str">
        <f>IF(O1565&lt;&gt;0,VLOOKUP(O1565,'Cây trong'!$A$2:$C$246,3,0)," ")</f>
        <v xml:space="preserve"> </v>
      </c>
      <c r="R1565" s="564" t="str">
        <f t="shared" si="326"/>
        <v xml:space="preserve"> </v>
      </c>
      <c r="S1565" s="566"/>
      <c r="T1565" s="589"/>
      <c r="U1565" s="591"/>
      <c r="V1565" s="593"/>
      <c r="W1565" s="564" t="str">
        <f>IF(S1565&lt;&gt;0,VLOOKUP(S1565,VKT!$A$2:$G$415,7,0),"")</f>
        <v/>
      </c>
      <c r="X1565" s="564" t="str">
        <f t="shared" si="332"/>
        <v xml:space="preserve"> </v>
      </c>
      <c r="Y1565" s="562"/>
      <c r="Z1565" s="568"/>
      <c r="AA1565" s="568"/>
      <c r="AB1565" s="568"/>
      <c r="AC1565" s="568"/>
      <c r="AD1565" s="568"/>
      <c r="AE1565" s="568"/>
      <c r="AF1565" s="563"/>
      <c r="AG1565" s="570" t="str">
        <f>IF(AE1565&lt;&gt;0,VLOOKUP(AE1565,ODDS!$A$2:$C$13,3,0),"")</f>
        <v/>
      </c>
      <c r="AH1565" s="570" t="str">
        <f t="shared" si="327"/>
        <v xml:space="preserve"> </v>
      </c>
      <c r="AI1565" s="571" t="str">
        <f t="shared" si="339"/>
        <v xml:space="preserve"> </v>
      </c>
      <c r="AJ1565" s="558"/>
      <c r="AK1565" s="558"/>
    </row>
    <row r="1566" spans="1:37" s="385" customFormat="1" ht="20.25" outlineLevel="2" x14ac:dyDescent="0.3">
      <c r="A1566" s="447">
        <f t="shared" si="342"/>
        <v>126</v>
      </c>
      <c r="B1566" s="557"/>
      <c r="C1566" s="572"/>
      <c r="D1566" s="615"/>
      <c r="E1566" s="615"/>
      <c r="F1566" s="700"/>
      <c r="G1566" s="558"/>
      <c r="H1566" s="604"/>
      <c r="I1566" s="546"/>
      <c r="J1566" s="589"/>
      <c r="K1566" s="563" t="str">
        <f>IF(G1566&lt;&gt;0,VLOOKUP(G1566,'gia dat'!$A$1:$F$144,5,0)," ")</f>
        <v xml:space="preserve"> </v>
      </c>
      <c r="L1566" s="563" t="str">
        <f>IF(G1566&lt;&gt;0,VLOOKUP(G1566,'gia dat'!$A$1:$F$144,6,0)," ")</f>
        <v xml:space="preserve"> </v>
      </c>
      <c r="M1566" s="564" t="str">
        <f t="shared" si="336"/>
        <v xml:space="preserve"> </v>
      </c>
      <c r="N1566" s="564" t="str">
        <f t="shared" si="337"/>
        <v xml:space="preserve"> </v>
      </c>
      <c r="O1566" s="558"/>
      <c r="P1566" s="590"/>
      <c r="Q1566" s="564" t="str">
        <f>IF(O1566&lt;&gt;0,VLOOKUP(O1566,'Cây trong'!$A$2:$C$246,3,0)," ")</f>
        <v xml:space="preserve"> </v>
      </c>
      <c r="R1566" s="564" t="str">
        <f t="shared" si="326"/>
        <v xml:space="preserve"> </v>
      </c>
      <c r="S1566" s="566"/>
      <c r="T1566" s="589"/>
      <c r="U1566" s="591"/>
      <c r="V1566" s="593"/>
      <c r="W1566" s="564" t="str">
        <f>IF(S1566&lt;&gt;0,VLOOKUP(S1566,VKT!$A$2:$G$415,7,0),"")</f>
        <v/>
      </c>
      <c r="X1566" s="564" t="str">
        <f t="shared" si="332"/>
        <v xml:space="preserve"> </v>
      </c>
      <c r="Y1566" s="562"/>
      <c r="Z1566" s="568"/>
      <c r="AA1566" s="568"/>
      <c r="AB1566" s="568"/>
      <c r="AC1566" s="568"/>
      <c r="AD1566" s="568"/>
      <c r="AE1566" s="568"/>
      <c r="AF1566" s="563"/>
      <c r="AG1566" s="570" t="str">
        <f>IF(AE1566&lt;&gt;0,VLOOKUP(AE1566,ODDS!$A$2:$C$13,3,0),"")</f>
        <v/>
      </c>
      <c r="AH1566" s="570" t="str">
        <f t="shared" si="327"/>
        <v xml:space="preserve"> </v>
      </c>
      <c r="AI1566" s="571" t="str">
        <f t="shared" si="339"/>
        <v xml:space="preserve"> </v>
      </c>
      <c r="AJ1566" s="558"/>
      <c r="AK1566" s="558"/>
    </row>
    <row r="1567" spans="1:37" s="385" customFormat="1" ht="20.25" outlineLevel="2" x14ac:dyDescent="0.3">
      <c r="A1567" s="447">
        <f t="shared" si="342"/>
        <v>126</v>
      </c>
      <c r="B1567" s="557"/>
      <c r="C1567" s="572"/>
      <c r="D1567" s="615"/>
      <c r="E1567" s="615"/>
      <c r="F1567" s="700"/>
      <c r="G1567" s="558"/>
      <c r="H1567" s="604"/>
      <c r="I1567" s="546"/>
      <c r="J1567" s="589"/>
      <c r="K1567" s="563" t="str">
        <f>IF(G1567&lt;&gt;0,VLOOKUP(G1567,'gia dat'!$A$1:$F$144,5,0)," ")</f>
        <v xml:space="preserve"> </v>
      </c>
      <c r="L1567" s="563" t="str">
        <f>IF(G1567&lt;&gt;0,VLOOKUP(G1567,'gia dat'!$A$1:$F$144,6,0)," ")</f>
        <v xml:space="preserve"> </v>
      </c>
      <c r="M1567" s="564" t="str">
        <f t="shared" si="336"/>
        <v xml:space="preserve"> </v>
      </c>
      <c r="N1567" s="564" t="str">
        <f t="shared" si="337"/>
        <v xml:space="preserve"> </v>
      </c>
      <c r="O1567" s="558"/>
      <c r="P1567" s="590"/>
      <c r="Q1567" s="564" t="str">
        <f>IF(O1567&lt;&gt;0,VLOOKUP(O1567,'Cây trong'!$A$2:$C$246,3,0)," ")</f>
        <v xml:space="preserve"> </v>
      </c>
      <c r="R1567" s="564" t="str">
        <f t="shared" si="326"/>
        <v xml:space="preserve"> </v>
      </c>
      <c r="S1567" s="566"/>
      <c r="T1567" s="589"/>
      <c r="U1567" s="591"/>
      <c r="V1567" s="593"/>
      <c r="W1567" s="564" t="str">
        <f>IF(S1567&lt;&gt;0,VLOOKUP(S1567,VKT!$A$2:$G$415,7,0),"")</f>
        <v/>
      </c>
      <c r="X1567" s="564" t="str">
        <f t="shared" si="332"/>
        <v xml:space="preserve"> </v>
      </c>
      <c r="Y1567" s="562"/>
      <c r="Z1567" s="568"/>
      <c r="AA1567" s="568"/>
      <c r="AB1567" s="568"/>
      <c r="AC1567" s="568"/>
      <c r="AD1567" s="568"/>
      <c r="AE1567" s="568"/>
      <c r="AF1567" s="563"/>
      <c r="AG1567" s="570" t="str">
        <f>IF(AE1567&lt;&gt;0,VLOOKUP(AE1567,ODDS!$A$2:$C$13,3,0),"")</f>
        <v/>
      </c>
      <c r="AH1567" s="570" t="str">
        <f t="shared" si="327"/>
        <v xml:space="preserve"> </v>
      </c>
      <c r="AI1567" s="571" t="str">
        <f t="shared" si="339"/>
        <v xml:space="preserve"> </v>
      </c>
      <c r="AJ1567" s="558"/>
      <c r="AK1567" s="558"/>
    </row>
    <row r="1568" spans="1:37" s="385" customFormat="1" ht="20.25" outlineLevel="2" x14ac:dyDescent="0.3">
      <c r="A1568" s="447">
        <f t="shared" si="342"/>
        <v>126</v>
      </c>
      <c r="B1568" s="557"/>
      <c r="C1568" s="607"/>
      <c r="D1568" s="615"/>
      <c r="E1568" s="615"/>
      <c r="F1568" s="700"/>
      <c r="G1568" s="558"/>
      <c r="H1568" s="604"/>
      <c r="I1568" s="546"/>
      <c r="J1568" s="589"/>
      <c r="K1568" s="563" t="str">
        <f>IF(G1568&lt;&gt;0,VLOOKUP(G1568,'gia dat'!$A$1:$F$144,5,0)," ")</f>
        <v xml:space="preserve"> </v>
      </c>
      <c r="L1568" s="563" t="str">
        <f>IF(G1568&lt;&gt;0,VLOOKUP(G1568,'gia dat'!$A$1:$F$144,6,0)," ")</f>
        <v xml:space="preserve"> </v>
      </c>
      <c r="M1568" s="564" t="str">
        <f t="shared" si="336"/>
        <v xml:space="preserve"> </v>
      </c>
      <c r="N1568" s="564" t="str">
        <f t="shared" si="337"/>
        <v xml:space="preserve"> </v>
      </c>
      <c r="O1568" s="558"/>
      <c r="P1568" s="590"/>
      <c r="Q1568" s="564" t="str">
        <f>IF(O1568&lt;&gt;0,VLOOKUP(O1568,'Cây trong'!$A$2:$C$246,3,0)," ")</f>
        <v xml:space="preserve"> </v>
      </c>
      <c r="R1568" s="564" t="str">
        <f t="shared" si="326"/>
        <v xml:space="preserve"> </v>
      </c>
      <c r="S1568" s="566"/>
      <c r="T1568" s="589"/>
      <c r="U1568" s="591"/>
      <c r="V1568" s="593"/>
      <c r="W1568" s="564" t="str">
        <f>IF(S1568&lt;&gt;0,VLOOKUP(S1568,VKT!$A$2:$G$415,7,0),"")</f>
        <v/>
      </c>
      <c r="X1568" s="564" t="str">
        <f t="shared" si="332"/>
        <v xml:space="preserve"> </v>
      </c>
      <c r="Y1568" s="562"/>
      <c r="Z1568" s="568"/>
      <c r="AA1568" s="568"/>
      <c r="AB1568" s="568"/>
      <c r="AC1568" s="568"/>
      <c r="AD1568" s="568"/>
      <c r="AE1568" s="568"/>
      <c r="AF1568" s="563"/>
      <c r="AG1568" s="570" t="str">
        <f>IF(AE1568&lt;&gt;0,VLOOKUP(AE1568,ODDS!$A$2:$C$13,3,0),"")</f>
        <v/>
      </c>
      <c r="AH1568" s="570" t="str">
        <f t="shared" si="327"/>
        <v xml:space="preserve"> </v>
      </c>
      <c r="AI1568" s="571" t="str">
        <f t="shared" si="339"/>
        <v xml:space="preserve"> </v>
      </c>
      <c r="AJ1568" s="558"/>
      <c r="AK1568" s="558"/>
    </row>
    <row r="1569" spans="1:37" s="394" customFormat="1" ht="34.5" customHeight="1" outlineLevel="1" x14ac:dyDescent="0.25">
      <c r="A1569" s="467" t="s">
        <v>2583</v>
      </c>
      <c r="B1569" s="576">
        <v>127</v>
      </c>
      <c r="C1569" s="607" t="s">
        <v>1104</v>
      </c>
      <c r="D1569" s="706"/>
      <c r="E1569" s="642"/>
      <c r="F1569" s="642"/>
      <c r="G1569" s="578"/>
      <c r="H1569" s="707">
        <f>SUBTOTAL(9,H1570:H1575)</f>
        <v>235.1</v>
      </c>
      <c r="I1569" s="579">
        <f>SUBTOTAL(9,I1570:I1575)</f>
        <v>235.1</v>
      </c>
      <c r="J1569" s="580"/>
      <c r="K1569" s="581"/>
      <c r="L1569" s="581"/>
      <c r="M1569" s="571">
        <f>SUBTOTAL(9,M1570:M1575)</f>
        <v>88585000</v>
      </c>
      <c r="N1569" s="571">
        <f>SUBTOTAL(9,N1570:N1575)</f>
        <v>265757000</v>
      </c>
      <c r="O1569" s="607"/>
      <c r="P1569" s="738">
        <f>SUBTOTAL(9,P1570:P1575)</f>
        <v>0</v>
      </c>
      <c r="Q1569" s="571"/>
      <c r="R1569" s="571">
        <f>SUBTOTAL(9,R1570:R1575)</f>
        <v>0</v>
      </c>
      <c r="S1569" s="582"/>
      <c r="T1569" s="621"/>
      <c r="U1569" s="739">
        <f>SUBTOTAL(9,U1570:U1575)</f>
        <v>0</v>
      </c>
      <c r="V1569" s="578"/>
      <c r="W1569" s="571"/>
      <c r="X1569" s="571">
        <f>SUBTOTAL(9,X1570:X1575)</f>
        <v>0</v>
      </c>
      <c r="Y1569" s="650"/>
      <c r="Z1569" s="586"/>
      <c r="AA1569" s="562"/>
      <c r="AB1569" s="586"/>
      <c r="AC1569" s="586"/>
      <c r="AD1569" s="586"/>
      <c r="AE1569" s="578"/>
      <c r="AF1569" s="712">
        <f>SUBTOTAL(9,AF1570:AF1575)</f>
        <v>0</v>
      </c>
      <c r="AG1569" s="585"/>
      <c r="AH1569" s="585">
        <f>SUBTOTAL(9,AH1570:AH1575)</f>
        <v>0</v>
      </c>
      <c r="AI1569" s="571">
        <f t="shared" si="339"/>
        <v>354342000</v>
      </c>
      <c r="AJ1569" s="578"/>
      <c r="AK1569" s="578"/>
    </row>
    <row r="1570" spans="1:37" s="394" customFormat="1" ht="121.5" outlineLevel="2" x14ac:dyDescent="0.3">
      <c r="A1570" s="447">
        <f>IF(B1569&lt;&gt;0,B1569,A1568)</f>
        <v>127</v>
      </c>
      <c r="B1570" s="557"/>
      <c r="C1570" s="572" t="s">
        <v>1107</v>
      </c>
      <c r="D1570" s="700">
        <v>6</v>
      </c>
      <c r="E1570" s="612">
        <v>86</v>
      </c>
      <c r="F1570" s="612">
        <v>267</v>
      </c>
      <c r="G1570" s="586" t="s">
        <v>2433</v>
      </c>
      <c r="H1570" s="709">
        <v>222.1</v>
      </c>
      <c r="I1570" s="546">
        <f t="shared" ref="I1570:I1571" si="343">IF(N1570&gt;0,H1570,"")</f>
        <v>222.1</v>
      </c>
      <c r="J1570" s="562"/>
      <c r="K1570" s="563">
        <f>IF(G1570&lt;&gt;0,VLOOKUP(G1570,'gia dat'!$A$1:$F$144,5,0)," ")</f>
        <v>376800</v>
      </c>
      <c r="L1570" s="563">
        <f>IF(G1570&lt;&gt;0,VLOOKUP(G1570,'gia dat'!$A$1:$F$144,6,0)," ")</f>
        <v>1130400</v>
      </c>
      <c r="M1570" s="564">
        <f t="shared" si="336"/>
        <v>83687000</v>
      </c>
      <c r="N1570" s="564">
        <f t="shared" si="337"/>
        <v>251062000</v>
      </c>
      <c r="O1570" s="572"/>
      <c r="P1570" s="740"/>
      <c r="Q1570" s="564" t="str">
        <f>IF(O1570&lt;&gt;0,VLOOKUP(O1570,'Cây trong'!$A$2:$C$246,3,0)," ")</f>
        <v xml:space="preserve"> </v>
      </c>
      <c r="R1570" s="564" t="str">
        <f t="shared" si="326"/>
        <v xml:space="preserve"> </v>
      </c>
      <c r="S1570" s="566"/>
      <c r="T1570" s="609"/>
      <c r="U1570" s="741"/>
      <c r="V1570" s="586"/>
      <c r="W1570" s="564" t="str">
        <f>IF(S1570&lt;&gt;0,VLOOKUP(S1570,VKT!$A$2:$G$415,7,0),"")</f>
        <v/>
      </c>
      <c r="X1570" s="564" t="str">
        <f t="shared" si="332"/>
        <v xml:space="preserve"> </v>
      </c>
      <c r="Y1570" s="650"/>
      <c r="Z1570" s="586"/>
      <c r="AA1570" s="562"/>
      <c r="AB1570" s="586"/>
      <c r="AC1570" s="586"/>
      <c r="AD1570" s="586"/>
      <c r="AE1570" s="586"/>
      <c r="AF1570" s="714"/>
      <c r="AG1570" s="570" t="str">
        <f>IF(AE1570&lt;&gt;0,VLOOKUP(AE1570,ODDS!$A$2:$C$13,3,0),"")</f>
        <v/>
      </c>
      <c r="AH1570" s="570"/>
      <c r="AI1570" s="571" t="str">
        <f t="shared" si="339"/>
        <v xml:space="preserve"> </v>
      </c>
      <c r="AJ1570" s="586" t="s">
        <v>1106</v>
      </c>
      <c r="AK1570" s="586" t="s">
        <v>2771</v>
      </c>
    </row>
    <row r="1571" spans="1:37" s="394" customFormat="1" ht="150" customHeight="1" outlineLevel="2" x14ac:dyDescent="0.3">
      <c r="A1571" s="447">
        <f>IF(B1570&lt;&gt;0,B1570,A1570)</f>
        <v>127</v>
      </c>
      <c r="B1571" s="557"/>
      <c r="C1571" s="572" t="s">
        <v>2906</v>
      </c>
      <c r="D1571" s="700"/>
      <c r="E1571" s="612">
        <v>86</v>
      </c>
      <c r="F1571" s="612" t="s">
        <v>1108</v>
      </c>
      <c r="G1571" s="586" t="s">
        <v>2441</v>
      </c>
      <c r="H1571" s="709">
        <v>13</v>
      </c>
      <c r="I1571" s="546">
        <f t="shared" si="343"/>
        <v>13</v>
      </c>
      <c r="J1571" s="562"/>
      <c r="K1571" s="563">
        <f>IF(G1571&lt;&gt;0,VLOOKUP(G1571,'gia dat'!$A$1:$F$144,5,0)," ")</f>
        <v>376800</v>
      </c>
      <c r="L1571" s="563">
        <f>IF(G1571&lt;&gt;0,VLOOKUP(G1571,'gia dat'!$A$1:$F$144,6,0)," ")</f>
        <v>1130400</v>
      </c>
      <c r="M1571" s="564">
        <f t="shared" si="336"/>
        <v>4898000</v>
      </c>
      <c r="N1571" s="564">
        <f t="shared" si="337"/>
        <v>14695000</v>
      </c>
      <c r="O1571" s="572"/>
      <c r="P1571" s="740"/>
      <c r="Q1571" s="564" t="str">
        <f>IF(O1571&lt;&gt;0,VLOOKUP(O1571,'Cây trong'!$A$2:$C$246,3,0)," ")</f>
        <v xml:space="preserve"> </v>
      </c>
      <c r="R1571" s="564" t="str">
        <f t="shared" si="326"/>
        <v xml:space="preserve"> </v>
      </c>
      <c r="S1571" s="566"/>
      <c r="T1571" s="609"/>
      <c r="U1571" s="741"/>
      <c r="V1571" s="586"/>
      <c r="W1571" s="564" t="str">
        <f>IF(S1571&lt;&gt;0,VLOOKUP(S1571,VKT!$A$2:$G$415,7,0),"")</f>
        <v/>
      </c>
      <c r="X1571" s="564" t="str">
        <f t="shared" si="332"/>
        <v xml:space="preserve"> </v>
      </c>
      <c r="Y1571" s="650"/>
      <c r="Z1571" s="586"/>
      <c r="AA1571" s="742"/>
      <c r="AB1571" s="586"/>
      <c r="AC1571" s="586"/>
      <c r="AD1571" s="586"/>
      <c r="AE1571" s="586"/>
      <c r="AF1571" s="714"/>
      <c r="AG1571" s="570" t="str">
        <f>IF(AE1571&lt;&gt;0,VLOOKUP(AE1571,ODDS!$A$2:$C$13,3,0),"")</f>
        <v/>
      </c>
      <c r="AH1571" s="570" t="str">
        <f t="shared" si="327"/>
        <v xml:space="preserve"> </v>
      </c>
      <c r="AI1571" s="571" t="str">
        <f t="shared" si="339"/>
        <v xml:space="preserve"> </v>
      </c>
      <c r="AJ1571" s="586" t="s">
        <v>1110</v>
      </c>
      <c r="AK1571" s="558" t="s">
        <v>2448</v>
      </c>
    </row>
    <row r="1572" spans="1:37" s="394" customFormat="1" ht="101.25" outlineLevel="2" x14ac:dyDescent="0.3">
      <c r="A1572" s="447">
        <f>IF(B1571&lt;&gt;0,B1571,A1571)</f>
        <v>127</v>
      </c>
      <c r="B1572" s="557"/>
      <c r="C1572" s="572"/>
      <c r="D1572" s="700"/>
      <c r="E1572" s="612"/>
      <c r="F1572" s="612"/>
      <c r="G1572" s="586"/>
      <c r="H1572" s="709"/>
      <c r="I1572" s="546"/>
      <c r="J1572" s="562"/>
      <c r="K1572" s="563" t="str">
        <f>IF(G1572&lt;&gt;0,VLOOKUP(G1572,'gia dat'!$A$1:$F$144,5,0)," ")</f>
        <v xml:space="preserve"> </v>
      </c>
      <c r="L1572" s="563" t="str">
        <f>IF(G1572&lt;&gt;0,VLOOKUP(G1572,'gia dat'!$A$1:$F$144,6,0)," ")</f>
        <v xml:space="preserve"> </v>
      </c>
      <c r="M1572" s="564" t="str">
        <f t="shared" si="336"/>
        <v xml:space="preserve"> </v>
      </c>
      <c r="N1572" s="564" t="str">
        <f t="shared" si="337"/>
        <v xml:space="preserve"> </v>
      </c>
      <c r="O1572" s="572"/>
      <c r="P1572" s="740"/>
      <c r="Q1572" s="564" t="str">
        <f>IF(O1572&lt;&gt;0,VLOOKUP(O1572,'Cây trong'!$A$2:$C$246,3,0)," ")</f>
        <v xml:space="preserve"> </v>
      </c>
      <c r="R1572" s="564" t="str">
        <f t="shared" si="326"/>
        <v xml:space="preserve"> </v>
      </c>
      <c r="S1572" s="566"/>
      <c r="T1572" s="609"/>
      <c r="U1572" s="741"/>
      <c r="V1572" s="586"/>
      <c r="W1572" s="564" t="str">
        <f>IF(S1572&lt;&gt;0,VLOOKUP(S1572,VKT!$A$2:$G$415,7,0),"")</f>
        <v/>
      </c>
      <c r="X1572" s="564" t="str">
        <f t="shared" si="332"/>
        <v xml:space="preserve"> </v>
      </c>
      <c r="Y1572" s="650"/>
      <c r="Z1572" s="586"/>
      <c r="AA1572" s="742"/>
      <c r="AB1572" s="586"/>
      <c r="AC1572" s="586"/>
      <c r="AD1572" s="586"/>
      <c r="AE1572" s="586"/>
      <c r="AF1572" s="714"/>
      <c r="AG1572" s="570" t="str">
        <f>IF(AE1572&lt;&gt;0,VLOOKUP(AE1572,ODDS!$A$2:$C$13,3,0),"")</f>
        <v/>
      </c>
      <c r="AH1572" s="570" t="str">
        <f t="shared" si="327"/>
        <v xml:space="preserve"> </v>
      </c>
      <c r="AI1572" s="571" t="str">
        <f t="shared" si="339"/>
        <v xml:space="preserve"> </v>
      </c>
      <c r="AJ1572" s="586" t="s">
        <v>1111</v>
      </c>
      <c r="AK1572" s="586"/>
    </row>
    <row r="1573" spans="1:37" s="394" customFormat="1" ht="60.75" outlineLevel="2" x14ac:dyDescent="0.3">
      <c r="A1573" s="447">
        <f>IF(B1572&lt;&gt;0,B1572,A1572)</f>
        <v>127</v>
      </c>
      <c r="B1573" s="557"/>
      <c r="C1573" s="572"/>
      <c r="D1573" s="700"/>
      <c r="E1573" s="612"/>
      <c r="F1573" s="612"/>
      <c r="G1573" s="586"/>
      <c r="H1573" s="709"/>
      <c r="I1573" s="546"/>
      <c r="J1573" s="562"/>
      <c r="K1573" s="563" t="str">
        <f>IF(G1573&lt;&gt;0,VLOOKUP(G1573,'gia dat'!$A$1:$F$144,5,0)," ")</f>
        <v xml:space="preserve"> </v>
      </c>
      <c r="L1573" s="563" t="str">
        <f>IF(G1573&lt;&gt;0,VLOOKUP(G1573,'gia dat'!$A$1:$F$144,6,0)," ")</f>
        <v xml:space="preserve"> </v>
      </c>
      <c r="M1573" s="564" t="str">
        <f t="shared" si="336"/>
        <v xml:space="preserve"> </v>
      </c>
      <c r="N1573" s="564" t="str">
        <f t="shared" si="337"/>
        <v xml:space="preserve"> </v>
      </c>
      <c r="O1573" s="572"/>
      <c r="P1573" s="740"/>
      <c r="Q1573" s="564" t="str">
        <f>IF(O1573&lt;&gt;0,VLOOKUP(O1573,'Cây trong'!$A$2:$C$246,3,0)," ")</f>
        <v xml:space="preserve"> </v>
      </c>
      <c r="R1573" s="564" t="str">
        <f t="shared" si="326"/>
        <v xml:space="preserve"> </v>
      </c>
      <c r="S1573" s="566"/>
      <c r="T1573" s="609"/>
      <c r="U1573" s="741"/>
      <c r="V1573" s="586"/>
      <c r="W1573" s="564" t="str">
        <f>IF(S1573&lt;&gt;0,VLOOKUP(S1573,VKT!$A$2:$G$415,7,0),"")</f>
        <v/>
      </c>
      <c r="X1573" s="564" t="str">
        <f t="shared" si="332"/>
        <v xml:space="preserve"> </v>
      </c>
      <c r="Y1573" s="650"/>
      <c r="Z1573" s="586"/>
      <c r="AA1573" s="742"/>
      <c r="AB1573" s="586"/>
      <c r="AC1573" s="586"/>
      <c r="AD1573" s="586"/>
      <c r="AE1573" s="586"/>
      <c r="AF1573" s="714"/>
      <c r="AG1573" s="570" t="str">
        <f>IF(AE1573&lt;&gt;0,VLOOKUP(AE1573,ODDS!$A$2:$C$13,3,0),"")</f>
        <v/>
      </c>
      <c r="AH1573" s="570" t="str">
        <f t="shared" si="327"/>
        <v xml:space="preserve"> </v>
      </c>
      <c r="AI1573" s="571" t="str">
        <f t="shared" si="339"/>
        <v xml:space="preserve"> </v>
      </c>
      <c r="AJ1573" s="586" t="s">
        <v>2074</v>
      </c>
      <c r="AK1573" s="586"/>
    </row>
    <row r="1574" spans="1:37" s="394" customFormat="1" ht="20.25" outlineLevel="2" x14ac:dyDescent="0.3">
      <c r="A1574" s="447">
        <f>IF(B1573&lt;&gt;0,B1573,A1573)</f>
        <v>127</v>
      </c>
      <c r="B1574" s="557"/>
      <c r="C1574" s="572"/>
      <c r="D1574" s="700"/>
      <c r="E1574" s="612"/>
      <c r="F1574" s="612"/>
      <c r="G1574" s="586"/>
      <c r="H1574" s="709"/>
      <c r="I1574" s="546"/>
      <c r="J1574" s="562"/>
      <c r="K1574" s="563" t="str">
        <f>IF(G1574&lt;&gt;0,VLOOKUP(G1574,'gia dat'!$A$1:$F$144,5,0)," ")</f>
        <v xml:space="preserve"> </v>
      </c>
      <c r="L1574" s="563" t="str">
        <f>IF(G1574&lt;&gt;0,VLOOKUP(G1574,'gia dat'!$A$1:$F$144,6,0)," ")</f>
        <v xml:space="preserve"> </v>
      </c>
      <c r="M1574" s="564" t="str">
        <f t="shared" si="336"/>
        <v xml:space="preserve"> </v>
      </c>
      <c r="N1574" s="564" t="str">
        <f t="shared" si="337"/>
        <v xml:space="preserve"> </v>
      </c>
      <c r="O1574" s="572"/>
      <c r="P1574" s="740"/>
      <c r="Q1574" s="564" t="str">
        <f>IF(O1574&lt;&gt;0,VLOOKUP(O1574,'Cây trong'!$A$2:$C$246,3,0)," ")</f>
        <v xml:space="preserve"> </v>
      </c>
      <c r="R1574" s="564" t="str">
        <f t="shared" si="326"/>
        <v xml:space="preserve"> </v>
      </c>
      <c r="S1574" s="566"/>
      <c r="T1574" s="609"/>
      <c r="U1574" s="741"/>
      <c r="V1574" s="586"/>
      <c r="W1574" s="564" t="str">
        <f>IF(S1574&lt;&gt;0,VLOOKUP(S1574,VKT!$A$2:$G$415,7,0),"")</f>
        <v/>
      </c>
      <c r="X1574" s="564" t="str">
        <f t="shared" si="332"/>
        <v xml:space="preserve"> </v>
      </c>
      <c r="Y1574" s="650"/>
      <c r="Z1574" s="586"/>
      <c r="AA1574" s="742"/>
      <c r="AB1574" s="586"/>
      <c r="AC1574" s="586"/>
      <c r="AD1574" s="586"/>
      <c r="AE1574" s="586"/>
      <c r="AF1574" s="714"/>
      <c r="AG1574" s="570" t="str">
        <f>IF(AE1574&lt;&gt;0,VLOOKUP(AE1574,ODDS!$A$2:$C$13,3,0),"")</f>
        <v/>
      </c>
      <c r="AH1574" s="570" t="str">
        <f t="shared" si="327"/>
        <v xml:space="preserve"> </v>
      </c>
      <c r="AI1574" s="571" t="str">
        <f t="shared" si="339"/>
        <v xml:space="preserve"> </v>
      </c>
      <c r="AJ1574" s="731"/>
      <c r="AK1574" s="586"/>
    </row>
    <row r="1575" spans="1:37" s="394" customFormat="1" ht="20.25" outlineLevel="2" x14ac:dyDescent="0.3">
      <c r="A1575" s="447">
        <f>IF(B1574&lt;&gt;0,B1574,A1574)</f>
        <v>127</v>
      </c>
      <c r="B1575" s="557"/>
      <c r="C1575" s="607"/>
      <c r="D1575" s="700"/>
      <c r="E1575" s="612"/>
      <c r="F1575" s="612"/>
      <c r="G1575" s="586"/>
      <c r="H1575" s="709"/>
      <c r="I1575" s="546"/>
      <c r="J1575" s="558"/>
      <c r="K1575" s="563" t="str">
        <f>IF(G1575&lt;&gt;0,VLOOKUP(G1575,'gia dat'!$A$1:$F$144,5,0)," ")</f>
        <v xml:space="preserve"> </v>
      </c>
      <c r="L1575" s="563" t="str">
        <f>IF(G1575&lt;&gt;0,VLOOKUP(G1575,'gia dat'!$A$1:$F$144,6,0)," ")</f>
        <v xml:space="preserve"> </v>
      </c>
      <c r="M1575" s="564" t="str">
        <f t="shared" si="336"/>
        <v xml:space="preserve"> </v>
      </c>
      <c r="N1575" s="564" t="str">
        <f t="shared" si="337"/>
        <v xml:space="preserve"> </v>
      </c>
      <c r="O1575" s="572"/>
      <c r="P1575" s="740"/>
      <c r="Q1575" s="564" t="str">
        <f>IF(O1575&lt;&gt;0,VLOOKUP(O1575,'Cây trong'!$A$2:$C$246,3,0)," ")</f>
        <v xml:space="preserve"> </v>
      </c>
      <c r="R1575" s="564" t="str">
        <f t="shared" si="326"/>
        <v xml:space="preserve"> </v>
      </c>
      <c r="S1575" s="572"/>
      <c r="T1575" s="609"/>
      <c r="U1575" s="741"/>
      <c r="V1575" s="586"/>
      <c r="W1575" s="564" t="str">
        <f>IF(S1575&lt;&gt;0,VLOOKUP(S1575,VKT!$A$2:$G$415,7,0),"")</f>
        <v/>
      </c>
      <c r="X1575" s="564" t="str">
        <f t="shared" si="332"/>
        <v xml:space="preserve"> </v>
      </c>
      <c r="Y1575" s="650"/>
      <c r="Z1575" s="586"/>
      <c r="AA1575" s="742"/>
      <c r="AB1575" s="586"/>
      <c r="AC1575" s="586"/>
      <c r="AD1575" s="586"/>
      <c r="AE1575" s="586"/>
      <c r="AF1575" s="714"/>
      <c r="AG1575" s="570" t="str">
        <f>IF(AE1575&lt;&gt;0,VLOOKUP(AE1575,ODDS!$A$2:$C$13,3,0),"")</f>
        <v/>
      </c>
      <c r="AH1575" s="570" t="str">
        <f t="shared" si="327"/>
        <v xml:space="preserve"> </v>
      </c>
      <c r="AI1575" s="571" t="str">
        <f t="shared" si="339"/>
        <v xml:space="preserve"> </v>
      </c>
      <c r="AJ1575" s="586"/>
      <c r="AK1575" s="586"/>
    </row>
    <row r="1576" spans="1:37" s="394" customFormat="1" ht="40.5" outlineLevel="1" x14ac:dyDescent="0.25">
      <c r="A1576" s="467" t="s">
        <v>2582</v>
      </c>
      <c r="B1576" s="576">
        <v>128</v>
      </c>
      <c r="C1576" s="607" t="s">
        <v>1112</v>
      </c>
      <c r="D1576" s="706"/>
      <c r="E1576" s="642"/>
      <c r="F1576" s="642"/>
      <c r="G1576" s="578"/>
      <c r="H1576" s="707">
        <f>SUBTOTAL(9,H1577:H1582)</f>
        <v>272.2</v>
      </c>
      <c r="I1576" s="579">
        <f>SUBTOTAL(9,I1577:I1582)</f>
        <v>0</v>
      </c>
      <c r="J1576" s="580"/>
      <c r="K1576" s="581"/>
      <c r="L1576" s="581"/>
      <c r="M1576" s="571">
        <f>SUBTOTAL(9,M1577:M1582)</f>
        <v>126736000</v>
      </c>
      <c r="N1576" s="571">
        <f>SUBTOTAL(9,N1577:N1582)</f>
        <v>0</v>
      </c>
      <c r="O1576" s="607"/>
      <c r="P1576" s="738">
        <f>SUBTOTAL(9,P1577:P1582)</f>
        <v>0</v>
      </c>
      <c r="Q1576" s="571"/>
      <c r="R1576" s="571">
        <f>SUBTOTAL(9,R1577:R1582)</f>
        <v>0</v>
      </c>
      <c r="S1576" s="582"/>
      <c r="T1576" s="621"/>
      <c r="U1576" s="739">
        <f>SUBTOTAL(9,U1577:U1582)</f>
        <v>0</v>
      </c>
      <c r="V1576" s="578"/>
      <c r="W1576" s="571"/>
      <c r="X1576" s="571">
        <f>SUBTOTAL(9,X1577:X1582)</f>
        <v>0</v>
      </c>
      <c r="Y1576" s="650"/>
      <c r="Z1576" s="586"/>
      <c r="AA1576" s="742"/>
      <c r="AB1576" s="586"/>
      <c r="AC1576" s="586"/>
      <c r="AD1576" s="586"/>
      <c r="AE1576" s="578"/>
      <c r="AF1576" s="712">
        <f>SUBTOTAL(9,AF1577:AF1582)</f>
        <v>0</v>
      </c>
      <c r="AG1576" s="585"/>
      <c r="AH1576" s="585">
        <f>SUBTOTAL(9,AH1577:AH1582)</f>
        <v>0</v>
      </c>
      <c r="AI1576" s="571">
        <f t="shared" si="339"/>
        <v>126736000</v>
      </c>
      <c r="AJ1576" s="578"/>
      <c r="AK1576" s="578"/>
    </row>
    <row r="1577" spans="1:37" s="394" customFormat="1" ht="121.5" outlineLevel="2" x14ac:dyDescent="0.3">
      <c r="A1577" s="447">
        <f>IF(B1576&lt;&gt;0,B1576,A1575)</f>
        <v>128</v>
      </c>
      <c r="B1577" s="557"/>
      <c r="C1577" s="572" t="s">
        <v>1115</v>
      </c>
      <c r="D1577" s="700">
        <v>5</v>
      </c>
      <c r="E1577" s="612">
        <v>86</v>
      </c>
      <c r="F1577" s="612">
        <v>21</v>
      </c>
      <c r="G1577" s="586" t="s">
        <v>2051</v>
      </c>
      <c r="H1577" s="709">
        <f>253.9-H1579</f>
        <v>253.9</v>
      </c>
      <c r="I1577" s="546" t="str">
        <f t="shared" ref="I1577:I1578" si="344">IF(N1577&gt;0,H1577,"")</f>
        <v/>
      </c>
      <c r="J1577" s="562"/>
      <c r="K1577" s="563">
        <f>IF(G1577&lt;&gt;0,VLOOKUP(G1577,'gia dat'!$A$1:$F$144,5,0)," ")</f>
        <v>465600</v>
      </c>
      <c r="L1577" s="563">
        <f>IF(G1577&lt;&gt;0,VLOOKUP(G1577,'gia dat'!$A$1:$F$144,6,0)," ")</f>
        <v>0</v>
      </c>
      <c r="M1577" s="564">
        <f t="shared" si="336"/>
        <v>118216000</v>
      </c>
      <c r="N1577" s="564">
        <f t="shared" si="337"/>
        <v>0</v>
      </c>
      <c r="O1577" s="572"/>
      <c r="P1577" s="740"/>
      <c r="Q1577" s="564" t="str">
        <f>IF(O1577&lt;&gt;0,VLOOKUP(O1577,'Cây trong'!$A$2:$C$246,3,0)," ")</f>
        <v xml:space="preserve"> </v>
      </c>
      <c r="R1577" s="564" t="str">
        <f t="shared" ref="R1577:R1647" si="345">IF(O1577&lt;&gt;0,ROUND(P1577*Q1577,-2)," ")</f>
        <v xml:space="preserve"> </v>
      </c>
      <c r="S1577" s="566"/>
      <c r="T1577" s="609"/>
      <c r="U1577" s="741"/>
      <c r="V1577" s="586"/>
      <c r="W1577" s="564" t="str">
        <f>IF(S1577&lt;&gt;0,VLOOKUP(S1577,VKT!$A$2:$G$415,7,0),"")</f>
        <v/>
      </c>
      <c r="X1577" s="564" t="str">
        <f t="shared" si="332"/>
        <v xml:space="preserve"> </v>
      </c>
      <c r="Y1577" s="650"/>
      <c r="Z1577" s="586"/>
      <c r="AA1577" s="742"/>
      <c r="AB1577" s="586"/>
      <c r="AC1577" s="586"/>
      <c r="AD1577" s="586"/>
      <c r="AE1577" s="586"/>
      <c r="AF1577" s="714"/>
      <c r="AG1577" s="570" t="str">
        <f>IF(AE1577&lt;&gt;0,VLOOKUP(AE1577,ODDS!$A$2:$C$13,3,0),"")</f>
        <v/>
      </c>
      <c r="AH1577" s="570"/>
      <c r="AI1577" s="571" t="str">
        <f t="shared" si="339"/>
        <v xml:space="preserve"> </v>
      </c>
      <c r="AJ1577" s="586" t="s">
        <v>1114</v>
      </c>
      <c r="AK1577" s="586" t="s">
        <v>2771</v>
      </c>
    </row>
    <row r="1578" spans="1:37" s="394" customFormat="1" ht="101.25" outlineLevel="2" x14ac:dyDescent="0.3">
      <c r="A1578" s="447">
        <f>IF(B1577&lt;&gt;0,B1577,A1577)</f>
        <v>128</v>
      </c>
      <c r="B1578" s="557"/>
      <c r="C1578" s="572" t="s">
        <v>1593</v>
      </c>
      <c r="D1578" s="700"/>
      <c r="E1578" s="612">
        <v>86</v>
      </c>
      <c r="F1578" s="612" t="s">
        <v>1116</v>
      </c>
      <c r="G1578" s="586" t="s">
        <v>2052</v>
      </c>
      <c r="H1578" s="709">
        <v>18.3</v>
      </c>
      <c r="I1578" s="546" t="str">
        <f t="shared" si="344"/>
        <v/>
      </c>
      <c r="J1578" s="562"/>
      <c r="K1578" s="563">
        <f>IF(G1578&lt;&gt;0,VLOOKUP(G1578,'gia dat'!$A$1:$F$144,5,0)," ")</f>
        <v>465600</v>
      </c>
      <c r="L1578" s="563">
        <f>IF(G1578&lt;&gt;0,VLOOKUP(G1578,'gia dat'!$A$1:$F$144,6,0)," ")</f>
        <v>0</v>
      </c>
      <c r="M1578" s="564">
        <f t="shared" si="336"/>
        <v>8520000</v>
      </c>
      <c r="N1578" s="564">
        <f t="shared" si="337"/>
        <v>0</v>
      </c>
      <c r="O1578" s="572"/>
      <c r="P1578" s="740"/>
      <c r="Q1578" s="564" t="str">
        <f>IF(O1578&lt;&gt;0,VLOOKUP(O1578,'Cây trong'!$A$2:$C$246,3,0)," ")</f>
        <v xml:space="preserve"> </v>
      </c>
      <c r="R1578" s="564" t="str">
        <f t="shared" si="345"/>
        <v xml:space="preserve"> </v>
      </c>
      <c r="S1578" s="566"/>
      <c r="T1578" s="609"/>
      <c r="U1578" s="741"/>
      <c r="V1578" s="586"/>
      <c r="W1578" s="564" t="str">
        <f>IF(S1578&lt;&gt;0,VLOOKUP(S1578,VKT!$A$2:$G$415,7,0),"")</f>
        <v/>
      </c>
      <c r="X1578" s="564" t="str">
        <f t="shared" si="332"/>
        <v xml:space="preserve"> </v>
      </c>
      <c r="Y1578" s="650"/>
      <c r="Z1578" s="586"/>
      <c r="AA1578" s="742"/>
      <c r="AB1578" s="586"/>
      <c r="AC1578" s="586"/>
      <c r="AD1578" s="586"/>
      <c r="AE1578" s="586"/>
      <c r="AF1578" s="714"/>
      <c r="AG1578" s="570" t="str">
        <f>IF(AE1578&lt;&gt;0,VLOOKUP(AE1578,ODDS!$A$2:$C$13,3,0),"")</f>
        <v/>
      </c>
      <c r="AH1578" s="570" t="str">
        <f t="shared" ref="AH1578:AH1647" si="346">IF(AE1578&lt;&gt;0,ROUND(AF1578*AG1578,-2)," ")</f>
        <v xml:space="preserve"> </v>
      </c>
      <c r="AI1578" s="571" t="str">
        <f t="shared" si="339"/>
        <v xml:space="preserve"> </v>
      </c>
      <c r="AJ1578" s="586" t="s">
        <v>1117</v>
      </c>
      <c r="AK1578" s="586"/>
    </row>
    <row r="1579" spans="1:37" s="394" customFormat="1" ht="101.25" outlineLevel="2" x14ac:dyDescent="0.3">
      <c r="A1579" s="447">
        <f>IF(B1578&lt;&gt;0,B1578,A1578)</f>
        <v>128</v>
      </c>
      <c r="B1579" s="557"/>
      <c r="C1579" s="572"/>
      <c r="D1579" s="700"/>
      <c r="E1579" s="612"/>
      <c r="F1579" s="612"/>
      <c r="G1579" s="586"/>
      <c r="H1579" s="709"/>
      <c r="I1579" s="546"/>
      <c r="J1579" s="562"/>
      <c r="K1579" s="563" t="str">
        <f>IF(G1579&lt;&gt;0,VLOOKUP(G1579,'gia dat'!$A$1:$F$144,5,0)," ")</f>
        <v xml:space="preserve"> </v>
      </c>
      <c r="L1579" s="563" t="str">
        <f>IF(G1579&lt;&gt;0,VLOOKUP(G1579,'gia dat'!$A$1:$F$144,6,0)," ")</f>
        <v xml:space="preserve"> </v>
      </c>
      <c r="M1579" s="564" t="str">
        <f t="shared" si="336"/>
        <v xml:space="preserve"> </v>
      </c>
      <c r="N1579" s="564" t="str">
        <f t="shared" si="337"/>
        <v xml:space="preserve"> </v>
      </c>
      <c r="O1579" s="586"/>
      <c r="P1579" s="740"/>
      <c r="Q1579" s="564" t="str">
        <f>IF(O1579&lt;&gt;0,VLOOKUP(O1579,'Cây trong'!$A$2:$C$246,3,0)," ")</f>
        <v xml:space="preserve"> </v>
      </c>
      <c r="R1579" s="564" t="str">
        <f t="shared" si="345"/>
        <v xml:space="preserve"> </v>
      </c>
      <c r="S1579" s="566"/>
      <c r="T1579" s="609"/>
      <c r="U1579" s="741"/>
      <c r="V1579" s="586"/>
      <c r="W1579" s="564" t="str">
        <f>IF(S1579&lt;&gt;0,VLOOKUP(S1579,VKT!$A$2:$G$415,7,0),"")</f>
        <v/>
      </c>
      <c r="X1579" s="564" t="str">
        <f t="shared" si="332"/>
        <v xml:space="preserve"> </v>
      </c>
      <c r="Y1579" s="650"/>
      <c r="Z1579" s="586"/>
      <c r="AA1579" s="742"/>
      <c r="AB1579" s="586"/>
      <c r="AC1579" s="586"/>
      <c r="AD1579" s="586"/>
      <c r="AE1579" s="586"/>
      <c r="AF1579" s="714"/>
      <c r="AG1579" s="570" t="str">
        <f>IF(AE1579&lt;&gt;0,VLOOKUP(AE1579,ODDS!$A$2:$C$13,3,0),"")</f>
        <v/>
      </c>
      <c r="AH1579" s="570" t="str">
        <f t="shared" si="346"/>
        <v xml:space="preserve"> </v>
      </c>
      <c r="AI1579" s="571" t="str">
        <f t="shared" si="339"/>
        <v xml:space="preserve"> </v>
      </c>
      <c r="AJ1579" s="586" t="s">
        <v>1118</v>
      </c>
      <c r="AK1579" s="558"/>
    </row>
    <row r="1580" spans="1:37" s="394" customFormat="1" ht="81" outlineLevel="2" x14ac:dyDescent="0.3">
      <c r="A1580" s="447">
        <f>IF(B1579&lt;&gt;0,B1579,A1579)</f>
        <v>128</v>
      </c>
      <c r="B1580" s="557"/>
      <c r="C1580" s="572"/>
      <c r="D1580" s="700"/>
      <c r="E1580" s="612"/>
      <c r="F1580" s="612"/>
      <c r="G1580" s="586"/>
      <c r="H1580" s="709"/>
      <c r="I1580" s="546"/>
      <c r="J1580" s="558"/>
      <c r="K1580" s="563" t="str">
        <f>IF(G1580&lt;&gt;0,VLOOKUP(G1580,'gia dat'!$A$1:$F$144,5,0)," ")</f>
        <v xml:space="preserve"> </v>
      </c>
      <c r="L1580" s="563" t="str">
        <f>IF(G1580&lt;&gt;0,VLOOKUP(G1580,'gia dat'!$A$1:$F$144,6,0)," ")</f>
        <v xml:space="preserve"> </v>
      </c>
      <c r="M1580" s="564" t="str">
        <f t="shared" si="336"/>
        <v xml:space="preserve"> </v>
      </c>
      <c r="N1580" s="564" t="str">
        <f t="shared" si="337"/>
        <v xml:space="preserve"> </v>
      </c>
      <c r="O1580" s="572"/>
      <c r="P1580" s="740"/>
      <c r="Q1580" s="564" t="str">
        <f>IF(O1580&lt;&gt;0,VLOOKUP(O1580,'Cây trong'!$A$2:$C$246,3,0)," ")</f>
        <v xml:space="preserve"> </v>
      </c>
      <c r="R1580" s="564" t="str">
        <f t="shared" si="345"/>
        <v xml:space="preserve"> </v>
      </c>
      <c r="S1580" s="572"/>
      <c r="T1580" s="609"/>
      <c r="U1580" s="741"/>
      <c r="V1580" s="586"/>
      <c r="W1580" s="564" t="str">
        <f>IF(S1580&lt;&gt;0,VLOOKUP(S1580,VKT!$A$2:$G$415,7,0),"")</f>
        <v/>
      </c>
      <c r="X1580" s="564" t="str">
        <f t="shared" si="332"/>
        <v xml:space="preserve"> </v>
      </c>
      <c r="Y1580" s="650"/>
      <c r="Z1580" s="586"/>
      <c r="AA1580" s="742"/>
      <c r="AB1580" s="586"/>
      <c r="AC1580" s="586"/>
      <c r="AD1580" s="586"/>
      <c r="AE1580" s="586"/>
      <c r="AF1580" s="714"/>
      <c r="AG1580" s="570" t="str">
        <f>IF(AE1580&lt;&gt;0,VLOOKUP(AE1580,ODDS!$A$2:$C$13,3,0),"")</f>
        <v/>
      </c>
      <c r="AH1580" s="570" t="str">
        <f t="shared" si="346"/>
        <v xml:space="preserve"> </v>
      </c>
      <c r="AI1580" s="571" t="str">
        <f t="shared" si="339"/>
        <v xml:space="preserve"> </v>
      </c>
      <c r="AJ1580" s="572" t="s">
        <v>2233</v>
      </c>
      <c r="AK1580" s="586"/>
    </row>
    <row r="1581" spans="1:37" s="394" customFormat="1" ht="20.25" outlineLevel="2" x14ac:dyDescent="0.3">
      <c r="A1581" s="447">
        <f>IF(B1580&lt;&gt;0,B1580,A1580)</f>
        <v>128</v>
      </c>
      <c r="B1581" s="557"/>
      <c r="C1581" s="572"/>
      <c r="D1581" s="700"/>
      <c r="E1581" s="612"/>
      <c r="F1581" s="612"/>
      <c r="G1581" s="586"/>
      <c r="H1581" s="709"/>
      <c r="I1581" s="546"/>
      <c r="J1581" s="558"/>
      <c r="K1581" s="563" t="str">
        <f>IF(G1581&lt;&gt;0,VLOOKUP(G1581,'gia dat'!$A$1:$F$144,5,0)," ")</f>
        <v xml:space="preserve"> </v>
      </c>
      <c r="L1581" s="563" t="str">
        <f>IF(G1581&lt;&gt;0,VLOOKUP(G1581,'gia dat'!$A$1:$F$144,6,0)," ")</f>
        <v xml:space="preserve"> </v>
      </c>
      <c r="M1581" s="564" t="str">
        <f t="shared" si="336"/>
        <v xml:space="preserve"> </v>
      </c>
      <c r="N1581" s="564" t="str">
        <f t="shared" si="337"/>
        <v xml:space="preserve"> </v>
      </c>
      <c r="O1581" s="572"/>
      <c r="P1581" s="740"/>
      <c r="Q1581" s="564" t="str">
        <f>IF(O1581&lt;&gt;0,VLOOKUP(O1581,'Cây trong'!$A$2:$C$246,3,0)," ")</f>
        <v xml:space="preserve"> </v>
      </c>
      <c r="R1581" s="564" t="str">
        <f t="shared" si="345"/>
        <v xml:space="preserve"> </v>
      </c>
      <c r="S1581" s="572"/>
      <c r="T1581" s="609"/>
      <c r="U1581" s="741"/>
      <c r="V1581" s="586"/>
      <c r="W1581" s="564" t="str">
        <f>IF(S1581&lt;&gt;0,VLOOKUP(S1581,VKT!$A$2:$G$415,7,0),"")</f>
        <v/>
      </c>
      <c r="X1581" s="564" t="str">
        <f t="shared" si="332"/>
        <v xml:space="preserve"> </v>
      </c>
      <c r="Y1581" s="650"/>
      <c r="Z1581" s="586"/>
      <c r="AA1581" s="742"/>
      <c r="AB1581" s="586"/>
      <c r="AC1581" s="586"/>
      <c r="AD1581" s="586"/>
      <c r="AE1581" s="586"/>
      <c r="AF1581" s="714"/>
      <c r="AG1581" s="570" t="str">
        <f>IF(AE1581&lt;&gt;0,VLOOKUP(AE1581,ODDS!$A$2:$C$13,3,0),"")</f>
        <v/>
      </c>
      <c r="AH1581" s="570" t="str">
        <f t="shared" si="346"/>
        <v xml:space="preserve"> </v>
      </c>
      <c r="AI1581" s="571" t="str">
        <f t="shared" si="339"/>
        <v xml:space="preserve"> </v>
      </c>
      <c r="AJ1581" s="731"/>
      <c r="AK1581" s="572"/>
    </row>
    <row r="1582" spans="1:37" s="394" customFormat="1" ht="20.25" outlineLevel="2" x14ac:dyDescent="0.3">
      <c r="A1582" s="447">
        <f>IF(B1581&lt;&gt;0,B1581,A1581)</f>
        <v>128</v>
      </c>
      <c r="B1582" s="557"/>
      <c r="C1582" s="607"/>
      <c r="D1582" s="700"/>
      <c r="E1582" s="612"/>
      <c r="F1582" s="612"/>
      <c r="G1582" s="586"/>
      <c r="H1582" s="709"/>
      <c r="I1582" s="546"/>
      <c r="J1582" s="558"/>
      <c r="K1582" s="563" t="str">
        <f>IF(G1582&lt;&gt;0,VLOOKUP(G1582,'gia dat'!$A$1:$F$144,5,0)," ")</f>
        <v xml:space="preserve"> </v>
      </c>
      <c r="L1582" s="563" t="str">
        <f>IF(G1582&lt;&gt;0,VLOOKUP(G1582,'gia dat'!$A$1:$F$144,6,0)," ")</f>
        <v xml:space="preserve"> </v>
      </c>
      <c r="M1582" s="564" t="str">
        <f t="shared" si="336"/>
        <v xml:space="preserve"> </v>
      </c>
      <c r="N1582" s="564" t="str">
        <f t="shared" si="337"/>
        <v xml:space="preserve"> </v>
      </c>
      <c r="O1582" s="572"/>
      <c r="P1582" s="740"/>
      <c r="Q1582" s="564" t="str">
        <f>IF(O1582&lt;&gt;0,VLOOKUP(O1582,'Cây trong'!$A$2:$C$246,3,0)," ")</f>
        <v xml:space="preserve"> </v>
      </c>
      <c r="R1582" s="564" t="str">
        <f t="shared" si="345"/>
        <v xml:space="preserve"> </v>
      </c>
      <c r="S1582" s="572"/>
      <c r="T1582" s="609"/>
      <c r="U1582" s="741"/>
      <c r="V1582" s="586"/>
      <c r="W1582" s="564" t="str">
        <f>IF(S1582&lt;&gt;0,VLOOKUP(S1582,VKT!$A$2:$G$415,7,0),"")</f>
        <v/>
      </c>
      <c r="X1582" s="564" t="str">
        <f t="shared" si="332"/>
        <v xml:space="preserve"> </v>
      </c>
      <c r="Y1582" s="650"/>
      <c r="Z1582" s="586"/>
      <c r="AA1582" s="742"/>
      <c r="AB1582" s="586"/>
      <c r="AC1582" s="586"/>
      <c r="AD1582" s="586"/>
      <c r="AE1582" s="586"/>
      <c r="AF1582" s="714"/>
      <c r="AG1582" s="570" t="str">
        <f>IF(AE1582&lt;&gt;0,VLOOKUP(AE1582,ODDS!$A$2:$C$13,3,0),"")</f>
        <v/>
      </c>
      <c r="AH1582" s="570" t="str">
        <f t="shared" si="346"/>
        <v xml:space="preserve"> </v>
      </c>
      <c r="AI1582" s="571" t="str">
        <f t="shared" si="339"/>
        <v xml:space="preserve"> </v>
      </c>
      <c r="AJ1582" s="586"/>
      <c r="AK1582" s="586"/>
    </row>
    <row r="1583" spans="1:37" s="394" customFormat="1" ht="20.25" outlineLevel="1" x14ac:dyDescent="0.25">
      <c r="A1583" s="467" t="s">
        <v>2581</v>
      </c>
      <c r="B1583" s="576">
        <v>129</v>
      </c>
      <c r="C1583" s="607" t="s">
        <v>1119</v>
      </c>
      <c r="D1583" s="706"/>
      <c r="E1583" s="642"/>
      <c r="F1583" s="642"/>
      <c r="G1583" s="578"/>
      <c r="H1583" s="707">
        <f>SUBTOTAL(9,H1584:H1589)</f>
        <v>318.2</v>
      </c>
      <c r="I1583" s="579">
        <f>SUBTOTAL(9,I1584:I1589)</f>
        <v>318.2</v>
      </c>
      <c r="J1583" s="580"/>
      <c r="K1583" s="581"/>
      <c r="L1583" s="581"/>
      <c r="M1583" s="571">
        <f>SUBTOTAL(9,M1584:M1589)</f>
        <v>119898000</v>
      </c>
      <c r="N1583" s="571">
        <f>SUBTOTAL(9,N1584:N1589)</f>
        <v>359694000</v>
      </c>
      <c r="O1583" s="607"/>
      <c r="P1583" s="738">
        <f>SUBTOTAL(9,P1584:P1589)</f>
        <v>200</v>
      </c>
      <c r="Q1583" s="571"/>
      <c r="R1583" s="571">
        <f>SUBTOTAL(9,R1584:R1589)</f>
        <v>2636000</v>
      </c>
      <c r="S1583" s="582"/>
      <c r="T1583" s="621"/>
      <c r="U1583" s="739">
        <f>SUBTOTAL(9,U1584:U1589)</f>
        <v>0</v>
      </c>
      <c r="V1583" s="578"/>
      <c r="W1583" s="571"/>
      <c r="X1583" s="571">
        <f>SUBTOTAL(9,X1584:X1589)</f>
        <v>0</v>
      </c>
      <c r="Y1583" s="650"/>
      <c r="Z1583" s="586"/>
      <c r="AA1583" s="742"/>
      <c r="AB1583" s="586"/>
      <c r="AC1583" s="586"/>
      <c r="AD1583" s="586"/>
      <c r="AE1583" s="578"/>
      <c r="AF1583" s="712">
        <f>SUBTOTAL(9,AF1584:AF1589)</f>
        <v>0</v>
      </c>
      <c r="AG1583" s="585"/>
      <c r="AH1583" s="585">
        <f>SUBTOTAL(9,AH1584:AH1589)</f>
        <v>0</v>
      </c>
      <c r="AI1583" s="571">
        <f t="shared" si="339"/>
        <v>482228000</v>
      </c>
      <c r="AJ1583" s="578"/>
      <c r="AK1583" s="578"/>
    </row>
    <row r="1584" spans="1:37" s="394" customFormat="1" ht="121.5" outlineLevel="2" x14ac:dyDescent="0.3">
      <c r="A1584" s="447">
        <f>IF(B1583&lt;&gt;0,B1583,A1582)</f>
        <v>129</v>
      </c>
      <c r="B1584" s="557"/>
      <c r="C1584" s="572" t="s">
        <v>1122</v>
      </c>
      <c r="D1584" s="700">
        <v>2</v>
      </c>
      <c r="E1584" s="612">
        <v>86</v>
      </c>
      <c r="F1584" s="612">
        <v>368</v>
      </c>
      <c r="G1584" s="586" t="s">
        <v>2433</v>
      </c>
      <c r="H1584" s="709">
        <v>311.39999999999998</v>
      </c>
      <c r="I1584" s="546">
        <f t="shared" ref="I1584:I1585" si="347">IF(N1584&gt;0,H1584,"")</f>
        <v>311.39999999999998</v>
      </c>
      <c r="J1584" s="562"/>
      <c r="K1584" s="563">
        <f>IF(G1584&lt;&gt;0,VLOOKUP(G1584,'gia dat'!$A$1:$F$144,5,0)," ")</f>
        <v>376800</v>
      </c>
      <c r="L1584" s="563">
        <f>IF(G1584&lt;&gt;0,VLOOKUP(G1584,'gia dat'!$A$1:$F$144,6,0)," ")</f>
        <v>1130400</v>
      </c>
      <c r="M1584" s="564">
        <f t="shared" si="336"/>
        <v>117336000</v>
      </c>
      <c r="N1584" s="564">
        <f t="shared" si="337"/>
        <v>352007000</v>
      </c>
      <c r="O1584" s="572" t="s">
        <v>154</v>
      </c>
      <c r="P1584" s="740">
        <v>1</v>
      </c>
      <c r="Q1584" s="564">
        <f>IF(O1584&lt;&gt;0,VLOOKUP(O1584,'Cây trong'!$A$2:$C$246,3,0)," ")</f>
        <v>248000</v>
      </c>
      <c r="R1584" s="564">
        <f t="shared" si="345"/>
        <v>248000</v>
      </c>
      <c r="S1584" s="566"/>
      <c r="T1584" s="609"/>
      <c r="U1584" s="741"/>
      <c r="V1584" s="586"/>
      <c r="W1584" s="564" t="str">
        <f>IF(S1584&lt;&gt;0,VLOOKUP(S1584,VKT!$A$2:$G$415,7,0),"")</f>
        <v/>
      </c>
      <c r="X1584" s="564" t="str">
        <f t="shared" si="332"/>
        <v xml:space="preserve"> </v>
      </c>
      <c r="Y1584" s="650"/>
      <c r="Z1584" s="586"/>
      <c r="AA1584" s="742"/>
      <c r="AB1584" s="586"/>
      <c r="AC1584" s="586"/>
      <c r="AD1584" s="586"/>
      <c r="AE1584" s="586"/>
      <c r="AF1584" s="714"/>
      <c r="AG1584" s="570" t="str">
        <f>IF(AE1584&lt;&gt;0,VLOOKUP(AE1584,ODDS!$A$2:$C$13,3,0),"")</f>
        <v/>
      </c>
      <c r="AH1584" s="570"/>
      <c r="AI1584" s="571" t="str">
        <f t="shared" si="339"/>
        <v xml:space="preserve"> </v>
      </c>
      <c r="AJ1584" s="586" t="s">
        <v>1121</v>
      </c>
      <c r="AK1584" s="586" t="s">
        <v>2771</v>
      </c>
    </row>
    <row r="1585" spans="1:37" s="394" customFormat="1" ht="81" outlineLevel="2" x14ac:dyDescent="0.3">
      <c r="A1585" s="447">
        <f>IF(B1584&lt;&gt;0,B1584,A1584)</f>
        <v>129</v>
      </c>
      <c r="B1585" s="557"/>
      <c r="C1585" s="572" t="s">
        <v>1594</v>
      </c>
      <c r="D1585" s="700"/>
      <c r="E1585" s="612">
        <v>86</v>
      </c>
      <c r="F1585" s="612" t="s">
        <v>1123</v>
      </c>
      <c r="G1585" s="586" t="s">
        <v>2441</v>
      </c>
      <c r="H1585" s="709">
        <v>6.8</v>
      </c>
      <c r="I1585" s="546">
        <f t="shared" si="347"/>
        <v>6.8</v>
      </c>
      <c r="J1585" s="562"/>
      <c r="K1585" s="563">
        <f>IF(G1585&lt;&gt;0,VLOOKUP(G1585,'gia dat'!$A$1:$F$144,5,0)," ")</f>
        <v>376800</v>
      </c>
      <c r="L1585" s="563">
        <f>IF(G1585&lt;&gt;0,VLOOKUP(G1585,'gia dat'!$A$1:$F$144,6,0)," ")</f>
        <v>1130400</v>
      </c>
      <c r="M1585" s="564">
        <f t="shared" si="336"/>
        <v>2562000</v>
      </c>
      <c r="N1585" s="564">
        <f t="shared" si="337"/>
        <v>7687000</v>
      </c>
      <c r="O1585" s="572" t="s">
        <v>347</v>
      </c>
      <c r="P1585" s="740">
        <v>199</v>
      </c>
      <c r="Q1585" s="564">
        <f>IF(O1585&lt;&gt;0,VLOOKUP(O1585,'Cây trong'!$A$2:$C$246,3,0)," ")</f>
        <v>12000</v>
      </c>
      <c r="R1585" s="564">
        <f t="shared" si="345"/>
        <v>2388000</v>
      </c>
      <c r="S1585" s="566"/>
      <c r="T1585" s="609"/>
      <c r="U1585" s="741"/>
      <c r="V1585" s="586"/>
      <c r="W1585" s="564" t="str">
        <f>IF(S1585&lt;&gt;0,VLOOKUP(S1585,VKT!$A$2:$G$415,7,0),"")</f>
        <v/>
      </c>
      <c r="X1585" s="564" t="str">
        <f t="shared" si="332"/>
        <v xml:space="preserve"> </v>
      </c>
      <c r="Y1585" s="650"/>
      <c r="Z1585" s="586"/>
      <c r="AA1585" s="742"/>
      <c r="AB1585" s="586"/>
      <c r="AC1585" s="586"/>
      <c r="AD1585" s="586"/>
      <c r="AE1585" s="586"/>
      <c r="AF1585" s="714"/>
      <c r="AG1585" s="570" t="str">
        <f>IF(AE1585&lt;&gt;0,VLOOKUP(AE1585,ODDS!$A$2:$C$13,3,0),"")</f>
        <v/>
      </c>
      <c r="AH1585" s="570" t="str">
        <f t="shared" si="346"/>
        <v xml:space="preserve"> </v>
      </c>
      <c r="AI1585" s="571" t="str">
        <f t="shared" si="339"/>
        <v xml:space="preserve"> </v>
      </c>
      <c r="AJ1585" s="586" t="s">
        <v>1124</v>
      </c>
      <c r="AK1585" s="558" t="s">
        <v>2448</v>
      </c>
    </row>
    <row r="1586" spans="1:37" s="394" customFormat="1" ht="20.25" outlineLevel="2" x14ac:dyDescent="0.3">
      <c r="A1586" s="447">
        <f>IF(B1585&lt;&gt;0,B1585,A1585)</f>
        <v>129</v>
      </c>
      <c r="B1586" s="557"/>
      <c r="C1586" s="572"/>
      <c r="D1586" s="700"/>
      <c r="E1586" s="612"/>
      <c r="F1586" s="612"/>
      <c r="G1586" s="586"/>
      <c r="H1586" s="709"/>
      <c r="I1586" s="546"/>
      <c r="J1586" s="562"/>
      <c r="K1586" s="563" t="str">
        <f>IF(G1586&lt;&gt;0,VLOOKUP(G1586,'gia dat'!$A$1:$F$144,5,0)," ")</f>
        <v xml:space="preserve"> </v>
      </c>
      <c r="L1586" s="563" t="str">
        <f>IF(G1586&lt;&gt;0,VLOOKUP(G1586,'gia dat'!$A$1:$F$144,6,0)," ")</f>
        <v xml:space="preserve"> </v>
      </c>
      <c r="M1586" s="564" t="str">
        <f t="shared" si="336"/>
        <v xml:space="preserve"> </v>
      </c>
      <c r="N1586" s="564" t="str">
        <f t="shared" si="337"/>
        <v xml:space="preserve"> </v>
      </c>
      <c r="O1586" s="572"/>
      <c r="P1586" s="740"/>
      <c r="Q1586" s="564" t="str">
        <f>IF(O1586&lt;&gt;0,VLOOKUP(O1586,'Cây trong'!$A$2:$C$246,3,0)," ")</f>
        <v xml:space="preserve"> </v>
      </c>
      <c r="R1586" s="564" t="str">
        <f t="shared" si="345"/>
        <v xml:space="preserve"> </v>
      </c>
      <c r="S1586" s="566"/>
      <c r="T1586" s="609"/>
      <c r="U1586" s="741"/>
      <c r="V1586" s="586"/>
      <c r="W1586" s="564" t="str">
        <f>IF(S1586&lt;&gt;0,VLOOKUP(S1586,VKT!$A$2:$G$415,7,0),"")</f>
        <v/>
      </c>
      <c r="X1586" s="564" t="str">
        <f t="shared" si="332"/>
        <v xml:space="preserve"> </v>
      </c>
      <c r="Y1586" s="650"/>
      <c r="Z1586" s="586"/>
      <c r="AA1586" s="742"/>
      <c r="AB1586" s="586"/>
      <c r="AC1586" s="586"/>
      <c r="AD1586" s="586"/>
      <c r="AE1586" s="586"/>
      <c r="AF1586" s="714"/>
      <c r="AG1586" s="570" t="str">
        <f>IF(AE1586&lt;&gt;0,VLOOKUP(AE1586,ODDS!$A$2:$C$13,3,0),"")</f>
        <v/>
      </c>
      <c r="AH1586" s="570" t="str">
        <f t="shared" si="346"/>
        <v xml:space="preserve"> </v>
      </c>
      <c r="AI1586" s="571" t="str">
        <f t="shared" si="339"/>
        <v xml:space="preserve"> </v>
      </c>
      <c r="AJ1586" s="586" t="s">
        <v>404</v>
      </c>
      <c r="AK1586" s="586"/>
    </row>
    <row r="1587" spans="1:37" s="394" customFormat="1" ht="101.25" outlineLevel="2" x14ac:dyDescent="0.3">
      <c r="A1587" s="447">
        <f>IF(B1586&lt;&gt;0,B1586,A1586)</f>
        <v>129</v>
      </c>
      <c r="B1587" s="557"/>
      <c r="C1587" s="572"/>
      <c r="D1587" s="700"/>
      <c r="E1587" s="612"/>
      <c r="F1587" s="612"/>
      <c r="G1587" s="586"/>
      <c r="H1587" s="709"/>
      <c r="I1587" s="546"/>
      <c r="J1587" s="558"/>
      <c r="K1587" s="563" t="str">
        <f>IF(G1587&lt;&gt;0,VLOOKUP(G1587,'gia dat'!$A$1:$F$144,5,0)," ")</f>
        <v xml:space="preserve"> </v>
      </c>
      <c r="L1587" s="563" t="str">
        <f>IF(G1587&lt;&gt;0,VLOOKUP(G1587,'gia dat'!$A$1:$F$144,6,0)," ")</f>
        <v xml:space="preserve"> </v>
      </c>
      <c r="M1587" s="564" t="str">
        <f t="shared" si="336"/>
        <v xml:space="preserve"> </v>
      </c>
      <c r="N1587" s="564" t="str">
        <f t="shared" si="337"/>
        <v xml:space="preserve"> </v>
      </c>
      <c r="O1587" s="572"/>
      <c r="P1587" s="740"/>
      <c r="Q1587" s="564" t="str">
        <f>IF(O1587&lt;&gt;0,VLOOKUP(O1587,'Cây trong'!$A$2:$C$246,3,0)," ")</f>
        <v xml:space="preserve"> </v>
      </c>
      <c r="R1587" s="564" t="str">
        <f t="shared" si="345"/>
        <v xml:space="preserve"> </v>
      </c>
      <c r="S1587" s="572"/>
      <c r="T1587" s="609"/>
      <c r="U1587" s="741"/>
      <c r="V1587" s="586"/>
      <c r="W1587" s="564" t="str">
        <f>IF(S1587&lt;&gt;0,VLOOKUP(S1587,VKT!$A$2:$G$415,7,0),"")</f>
        <v/>
      </c>
      <c r="X1587" s="564" t="str">
        <f t="shared" si="332"/>
        <v xml:space="preserve"> </v>
      </c>
      <c r="Y1587" s="650"/>
      <c r="Z1587" s="586"/>
      <c r="AA1587" s="742"/>
      <c r="AB1587" s="586"/>
      <c r="AC1587" s="586"/>
      <c r="AD1587" s="586"/>
      <c r="AE1587" s="586"/>
      <c r="AF1587" s="714"/>
      <c r="AG1587" s="570" t="str">
        <f>IF(AE1587&lt;&gt;0,VLOOKUP(AE1587,ODDS!$A$2:$C$13,3,0),"")</f>
        <v/>
      </c>
      <c r="AH1587" s="570" t="str">
        <f t="shared" si="346"/>
        <v xml:space="preserve"> </v>
      </c>
      <c r="AI1587" s="571" t="str">
        <f t="shared" si="339"/>
        <v xml:space="preserve"> </v>
      </c>
      <c r="AJ1587" s="586" t="s">
        <v>1125</v>
      </c>
      <c r="AK1587" s="586"/>
    </row>
    <row r="1588" spans="1:37" s="394" customFormat="1" ht="60.75" outlineLevel="2" x14ac:dyDescent="0.3">
      <c r="A1588" s="447">
        <f>IF(B1587&lt;&gt;0,B1587,A1587)</f>
        <v>129</v>
      </c>
      <c r="B1588" s="557"/>
      <c r="C1588" s="572"/>
      <c r="D1588" s="700"/>
      <c r="E1588" s="612"/>
      <c r="F1588" s="612"/>
      <c r="G1588" s="586"/>
      <c r="H1588" s="709"/>
      <c r="I1588" s="546"/>
      <c r="J1588" s="558"/>
      <c r="K1588" s="563" t="str">
        <f>IF(G1588&lt;&gt;0,VLOOKUP(G1588,'gia dat'!$A$1:$F$144,5,0)," ")</f>
        <v xml:space="preserve"> </v>
      </c>
      <c r="L1588" s="563" t="str">
        <f>IF(G1588&lt;&gt;0,VLOOKUP(G1588,'gia dat'!$A$1:$F$144,6,0)," ")</f>
        <v xml:space="preserve"> </v>
      </c>
      <c r="M1588" s="564" t="str">
        <f t="shared" si="336"/>
        <v xml:space="preserve"> </v>
      </c>
      <c r="N1588" s="564" t="str">
        <f t="shared" si="337"/>
        <v xml:space="preserve"> </v>
      </c>
      <c r="O1588" s="572"/>
      <c r="P1588" s="740"/>
      <c r="Q1588" s="564" t="str">
        <f>IF(O1588&lt;&gt;0,VLOOKUP(O1588,'Cây trong'!$A$2:$C$246,3,0)," ")</f>
        <v xml:space="preserve"> </v>
      </c>
      <c r="R1588" s="564" t="str">
        <f t="shared" si="345"/>
        <v xml:space="preserve"> </v>
      </c>
      <c r="S1588" s="572"/>
      <c r="T1588" s="609"/>
      <c r="U1588" s="741"/>
      <c r="V1588" s="586"/>
      <c r="W1588" s="564" t="str">
        <f>IF(S1588&lt;&gt;0,VLOOKUP(S1588,VKT!$A$2:$G$415,7,0),"")</f>
        <v/>
      </c>
      <c r="X1588" s="564" t="str">
        <f t="shared" si="332"/>
        <v xml:space="preserve"> </v>
      </c>
      <c r="Y1588" s="650"/>
      <c r="Z1588" s="586"/>
      <c r="AA1588" s="742"/>
      <c r="AB1588" s="586"/>
      <c r="AC1588" s="586"/>
      <c r="AD1588" s="586"/>
      <c r="AE1588" s="586"/>
      <c r="AF1588" s="714"/>
      <c r="AG1588" s="570" t="str">
        <f>IF(AE1588&lt;&gt;0,VLOOKUP(AE1588,ODDS!$A$2:$C$13,3,0),"")</f>
        <v/>
      </c>
      <c r="AH1588" s="570" t="str">
        <f t="shared" si="346"/>
        <v xml:space="preserve"> </v>
      </c>
      <c r="AI1588" s="571" t="str">
        <f t="shared" si="339"/>
        <v xml:space="preserve"> </v>
      </c>
      <c r="AJ1588" s="586" t="s">
        <v>2074</v>
      </c>
      <c r="AK1588" s="586"/>
    </row>
    <row r="1589" spans="1:37" s="394" customFormat="1" ht="20.25" outlineLevel="2" x14ac:dyDescent="0.3">
      <c r="A1589" s="447">
        <f>IF(B1588&lt;&gt;0,B1588,A1588)</f>
        <v>129</v>
      </c>
      <c r="B1589" s="557"/>
      <c r="C1589" s="607"/>
      <c r="D1589" s="700"/>
      <c r="E1589" s="612"/>
      <c r="F1589" s="612"/>
      <c r="G1589" s="586"/>
      <c r="H1589" s="709"/>
      <c r="I1589" s="546"/>
      <c r="J1589" s="558"/>
      <c r="K1589" s="563" t="str">
        <f>IF(G1589&lt;&gt;0,VLOOKUP(G1589,'gia dat'!$A$1:$F$144,5,0)," ")</f>
        <v xml:space="preserve"> </v>
      </c>
      <c r="L1589" s="563" t="str">
        <f>IF(G1589&lt;&gt;0,VLOOKUP(G1589,'gia dat'!$A$1:$F$144,6,0)," ")</f>
        <v xml:space="preserve"> </v>
      </c>
      <c r="M1589" s="564" t="str">
        <f t="shared" si="336"/>
        <v xml:space="preserve"> </v>
      </c>
      <c r="N1589" s="564" t="str">
        <f t="shared" si="337"/>
        <v xml:space="preserve"> </v>
      </c>
      <c r="O1589" s="572"/>
      <c r="P1589" s="740"/>
      <c r="Q1589" s="564" t="str">
        <f>IF(O1589&lt;&gt;0,VLOOKUP(O1589,'Cây trong'!$A$2:$C$246,3,0)," ")</f>
        <v xml:space="preserve"> </v>
      </c>
      <c r="R1589" s="564" t="str">
        <f t="shared" si="345"/>
        <v xml:space="preserve"> </v>
      </c>
      <c r="S1589" s="572"/>
      <c r="T1589" s="609"/>
      <c r="U1589" s="741"/>
      <c r="V1589" s="586"/>
      <c r="W1589" s="564" t="str">
        <f>IF(S1589&lt;&gt;0,VLOOKUP(S1589,VKT!$A$2:$G$415,7,0),"")</f>
        <v/>
      </c>
      <c r="X1589" s="564" t="str">
        <f t="shared" si="332"/>
        <v xml:space="preserve"> </v>
      </c>
      <c r="Y1589" s="650"/>
      <c r="Z1589" s="586"/>
      <c r="AA1589" s="742"/>
      <c r="AB1589" s="586"/>
      <c r="AC1589" s="586"/>
      <c r="AD1589" s="586"/>
      <c r="AE1589" s="586"/>
      <c r="AF1589" s="714"/>
      <c r="AG1589" s="570" t="str">
        <f>IF(AE1589&lt;&gt;0,VLOOKUP(AE1589,ODDS!$A$2:$C$13,3,0),"")</f>
        <v/>
      </c>
      <c r="AH1589" s="570" t="str">
        <f t="shared" si="346"/>
        <v xml:space="preserve"> </v>
      </c>
      <c r="AI1589" s="571" t="str">
        <f t="shared" si="339"/>
        <v xml:space="preserve"> </v>
      </c>
      <c r="AJ1589" s="586"/>
      <c r="AK1589" s="586"/>
    </row>
    <row r="1590" spans="1:37" s="394" customFormat="1" ht="40.5" outlineLevel="1" x14ac:dyDescent="0.25">
      <c r="A1590" s="467" t="s">
        <v>2580</v>
      </c>
      <c r="B1590" s="576">
        <v>130</v>
      </c>
      <c r="C1590" s="607" t="s">
        <v>1126</v>
      </c>
      <c r="D1590" s="706"/>
      <c r="E1590" s="642"/>
      <c r="F1590" s="642"/>
      <c r="G1590" s="578"/>
      <c r="H1590" s="707">
        <f>SUBTOTAL(9,H1591:H1596)</f>
        <v>307.39999999999998</v>
      </c>
      <c r="I1590" s="579">
        <f>SUBTOTAL(9,I1591:I1596)</f>
        <v>307.39999999999998</v>
      </c>
      <c r="J1590" s="580"/>
      <c r="K1590" s="581"/>
      <c r="L1590" s="581"/>
      <c r="M1590" s="571">
        <f>SUBTOTAL(9,M1591:M1596)</f>
        <v>115828000</v>
      </c>
      <c r="N1590" s="571">
        <f>SUBTOTAL(9,N1591:N1596)</f>
        <v>347485000</v>
      </c>
      <c r="O1590" s="607"/>
      <c r="P1590" s="738">
        <f>SUBTOTAL(9,P1591:P1596)</f>
        <v>195</v>
      </c>
      <c r="Q1590" s="571"/>
      <c r="R1590" s="571">
        <f>SUBTOTAL(9,R1591:R1596)</f>
        <v>2340000</v>
      </c>
      <c r="S1590" s="582"/>
      <c r="T1590" s="621"/>
      <c r="U1590" s="739">
        <f>SUBTOTAL(9,U1591:U1596)</f>
        <v>0</v>
      </c>
      <c r="V1590" s="578"/>
      <c r="W1590" s="571"/>
      <c r="X1590" s="571">
        <f>SUBTOTAL(9,X1591:X1596)</f>
        <v>0</v>
      </c>
      <c r="Y1590" s="650"/>
      <c r="Z1590" s="586"/>
      <c r="AA1590" s="742"/>
      <c r="AB1590" s="586"/>
      <c r="AC1590" s="586"/>
      <c r="AD1590" s="586"/>
      <c r="AE1590" s="578"/>
      <c r="AF1590" s="712">
        <f>SUBTOTAL(9,AF1591:AF1596)</f>
        <v>0</v>
      </c>
      <c r="AG1590" s="585"/>
      <c r="AH1590" s="585">
        <f>SUBTOTAL(9,AH1591:AH1596)</f>
        <v>0</v>
      </c>
      <c r="AI1590" s="571">
        <f t="shared" si="339"/>
        <v>465653000</v>
      </c>
      <c r="AJ1590" s="578"/>
      <c r="AK1590" s="578"/>
    </row>
    <row r="1591" spans="1:37" s="394" customFormat="1" ht="121.5" outlineLevel="2" x14ac:dyDescent="0.3">
      <c r="A1591" s="447">
        <f>IF(B1590&lt;&gt;0,B1590,A1589)</f>
        <v>130</v>
      </c>
      <c r="B1591" s="557"/>
      <c r="C1591" s="572" t="s">
        <v>1128</v>
      </c>
      <c r="D1591" s="700">
        <v>3</v>
      </c>
      <c r="E1591" s="612">
        <v>86</v>
      </c>
      <c r="F1591" s="612">
        <v>367</v>
      </c>
      <c r="G1591" s="586" t="s">
        <v>2433</v>
      </c>
      <c r="H1591" s="709">
        <v>307.39999999999998</v>
      </c>
      <c r="I1591" s="546">
        <f t="shared" ref="I1591" si="348">IF(N1591&gt;0,H1591,"")</f>
        <v>307.39999999999998</v>
      </c>
      <c r="J1591" s="562"/>
      <c r="K1591" s="563">
        <f>IF(G1591&lt;&gt;0,VLOOKUP(G1591,'gia dat'!$A$1:$F$144,5,0)," ")</f>
        <v>376800</v>
      </c>
      <c r="L1591" s="563">
        <f>IF(G1591&lt;&gt;0,VLOOKUP(G1591,'gia dat'!$A$1:$F$144,6,0)," ")</f>
        <v>1130400</v>
      </c>
      <c r="M1591" s="564">
        <f t="shared" si="336"/>
        <v>115828000</v>
      </c>
      <c r="N1591" s="564">
        <f t="shared" si="337"/>
        <v>347485000</v>
      </c>
      <c r="O1591" s="572" t="s">
        <v>347</v>
      </c>
      <c r="P1591" s="740">
        <v>195</v>
      </c>
      <c r="Q1591" s="564">
        <f>IF(O1591&lt;&gt;0,VLOOKUP(O1591,'Cây trong'!$A$2:$C$246,3,0)," ")</f>
        <v>12000</v>
      </c>
      <c r="R1591" s="564">
        <f t="shared" si="345"/>
        <v>2340000</v>
      </c>
      <c r="S1591" s="566"/>
      <c r="T1591" s="609"/>
      <c r="U1591" s="741"/>
      <c r="V1591" s="586"/>
      <c r="W1591" s="564" t="str">
        <f>IF(S1591&lt;&gt;0,VLOOKUP(S1591,VKT!$A$2:$G$415,7,0),"")</f>
        <v/>
      </c>
      <c r="X1591" s="564" t="str">
        <f t="shared" si="332"/>
        <v xml:space="preserve"> </v>
      </c>
      <c r="Y1591" s="650"/>
      <c r="Z1591" s="586"/>
      <c r="AA1591" s="742"/>
      <c r="AB1591" s="586"/>
      <c r="AC1591" s="586"/>
      <c r="AD1591" s="586"/>
      <c r="AE1591" s="586"/>
      <c r="AF1591" s="714"/>
      <c r="AG1591" s="570" t="str">
        <f>IF(AE1591&lt;&gt;0,VLOOKUP(AE1591,ODDS!$A$2:$C$13,3,0),"")</f>
        <v/>
      </c>
      <c r="AH1591" s="570"/>
      <c r="AI1591" s="571" t="str">
        <f t="shared" si="339"/>
        <v xml:space="preserve"> </v>
      </c>
      <c r="AJ1591" s="586" t="s">
        <v>1127</v>
      </c>
      <c r="AK1591" s="586" t="s">
        <v>2771</v>
      </c>
    </row>
    <row r="1592" spans="1:37" s="394" customFormat="1" ht="101.25" outlineLevel="2" x14ac:dyDescent="0.3">
      <c r="A1592" s="447">
        <f>IF(B1591&lt;&gt;0,B1591,A1591)</f>
        <v>130</v>
      </c>
      <c r="B1592" s="557"/>
      <c r="C1592" s="572" t="s">
        <v>1595</v>
      </c>
      <c r="D1592" s="700"/>
      <c r="E1592" s="612"/>
      <c r="F1592" s="612"/>
      <c r="G1592" s="586"/>
      <c r="H1592" s="709"/>
      <c r="I1592" s="546"/>
      <c r="J1592" s="562"/>
      <c r="K1592" s="563" t="str">
        <f>IF(G1592&lt;&gt;0,VLOOKUP(G1592,'gia dat'!$A$1:$F$144,5,0)," ")</f>
        <v xml:space="preserve"> </v>
      </c>
      <c r="L1592" s="563" t="str">
        <f>IF(G1592&lt;&gt;0,VLOOKUP(G1592,'gia dat'!$A$1:$F$144,6,0)," ")</f>
        <v xml:space="preserve"> </v>
      </c>
      <c r="M1592" s="564" t="str">
        <f t="shared" si="336"/>
        <v xml:space="preserve"> </v>
      </c>
      <c r="N1592" s="564" t="str">
        <f t="shared" si="337"/>
        <v xml:space="preserve"> </v>
      </c>
      <c r="O1592" s="572"/>
      <c r="P1592" s="740"/>
      <c r="Q1592" s="564" t="str">
        <f>IF(O1592&lt;&gt;0,VLOOKUP(O1592,'Cây trong'!$A$2:$C$246,3,0)," ")</f>
        <v xml:space="preserve"> </v>
      </c>
      <c r="R1592" s="564" t="str">
        <f t="shared" si="345"/>
        <v xml:space="preserve"> </v>
      </c>
      <c r="S1592" s="566"/>
      <c r="T1592" s="609"/>
      <c r="U1592" s="741"/>
      <c r="V1592" s="586"/>
      <c r="W1592" s="564" t="str">
        <f>IF(S1592&lt;&gt;0,VLOOKUP(S1592,VKT!$A$2:$G$415,7,0),"")</f>
        <v/>
      </c>
      <c r="X1592" s="564" t="str">
        <f t="shared" si="332"/>
        <v xml:space="preserve"> </v>
      </c>
      <c r="Y1592" s="650"/>
      <c r="Z1592" s="586"/>
      <c r="AA1592" s="742"/>
      <c r="AB1592" s="586"/>
      <c r="AC1592" s="586"/>
      <c r="AD1592" s="586"/>
      <c r="AE1592" s="586"/>
      <c r="AF1592" s="714"/>
      <c r="AG1592" s="570" t="str">
        <f>IF(AE1592&lt;&gt;0,VLOOKUP(AE1592,ODDS!$A$2:$C$13,3,0),"")</f>
        <v/>
      </c>
      <c r="AH1592" s="570" t="str">
        <f t="shared" si="346"/>
        <v xml:space="preserve"> </v>
      </c>
      <c r="AI1592" s="571" t="str">
        <f t="shared" si="339"/>
        <v xml:space="preserve"> </v>
      </c>
      <c r="AJ1592" s="586" t="s">
        <v>1129</v>
      </c>
      <c r="AK1592" s="558" t="s">
        <v>2448</v>
      </c>
    </row>
    <row r="1593" spans="1:37" s="394" customFormat="1" ht="101.25" outlineLevel="2" x14ac:dyDescent="0.3">
      <c r="A1593" s="447">
        <f>IF(B1592&lt;&gt;0,B1592,A1592)</f>
        <v>130</v>
      </c>
      <c r="B1593" s="557"/>
      <c r="C1593" s="572"/>
      <c r="D1593" s="700"/>
      <c r="E1593" s="612"/>
      <c r="F1593" s="612"/>
      <c r="G1593" s="586"/>
      <c r="H1593" s="709"/>
      <c r="I1593" s="546"/>
      <c r="J1593" s="562"/>
      <c r="K1593" s="563" t="str">
        <f>IF(G1593&lt;&gt;0,VLOOKUP(G1593,'gia dat'!$A$1:$F$144,5,0)," ")</f>
        <v xml:space="preserve"> </v>
      </c>
      <c r="L1593" s="563" t="str">
        <f>IF(G1593&lt;&gt;0,VLOOKUP(G1593,'gia dat'!$A$1:$F$144,6,0)," ")</f>
        <v xml:space="preserve"> </v>
      </c>
      <c r="M1593" s="564" t="str">
        <f t="shared" si="336"/>
        <v xml:space="preserve"> </v>
      </c>
      <c r="N1593" s="564" t="str">
        <f t="shared" si="337"/>
        <v xml:space="preserve"> </v>
      </c>
      <c r="O1593" s="572"/>
      <c r="P1593" s="740"/>
      <c r="Q1593" s="564" t="str">
        <f>IF(O1593&lt;&gt;0,VLOOKUP(O1593,'Cây trong'!$A$2:$C$246,3,0)," ")</f>
        <v xml:space="preserve"> </v>
      </c>
      <c r="R1593" s="564" t="str">
        <f t="shared" si="345"/>
        <v xml:space="preserve"> </v>
      </c>
      <c r="S1593" s="566"/>
      <c r="T1593" s="609"/>
      <c r="U1593" s="741"/>
      <c r="V1593" s="586"/>
      <c r="W1593" s="564" t="str">
        <f>IF(S1593&lt;&gt;0,VLOOKUP(S1593,VKT!$A$2:$G$415,7,0),"")</f>
        <v/>
      </c>
      <c r="X1593" s="564" t="str">
        <f t="shared" si="332"/>
        <v xml:space="preserve"> </v>
      </c>
      <c r="Y1593" s="650"/>
      <c r="Z1593" s="586"/>
      <c r="AA1593" s="742"/>
      <c r="AB1593" s="586"/>
      <c r="AC1593" s="586"/>
      <c r="AD1593" s="586"/>
      <c r="AE1593" s="586"/>
      <c r="AF1593" s="714"/>
      <c r="AG1593" s="570" t="str">
        <f>IF(AE1593&lt;&gt;0,VLOOKUP(AE1593,ODDS!$A$2:$C$13,3,0),"")</f>
        <v/>
      </c>
      <c r="AH1593" s="570" t="str">
        <f t="shared" si="346"/>
        <v xml:space="preserve"> </v>
      </c>
      <c r="AI1593" s="571" t="str">
        <f t="shared" si="339"/>
        <v xml:space="preserve"> </v>
      </c>
      <c r="AJ1593" s="586" t="s">
        <v>2074</v>
      </c>
      <c r="AK1593" s="558" t="s">
        <v>2449</v>
      </c>
    </row>
    <row r="1594" spans="1:37" s="394" customFormat="1" ht="20.25" outlineLevel="2" x14ac:dyDescent="0.3">
      <c r="A1594" s="447">
        <f>IF(B1593&lt;&gt;0,B1593,A1593)</f>
        <v>130</v>
      </c>
      <c r="B1594" s="557"/>
      <c r="C1594" s="572"/>
      <c r="D1594" s="700"/>
      <c r="E1594" s="612"/>
      <c r="F1594" s="612"/>
      <c r="G1594" s="586"/>
      <c r="H1594" s="709"/>
      <c r="I1594" s="546"/>
      <c r="J1594" s="558"/>
      <c r="K1594" s="563" t="str">
        <f>IF(G1594&lt;&gt;0,VLOOKUP(G1594,'gia dat'!$A$1:$F$144,5,0)," ")</f>
        <v xml:space="preserve"> </v>
      </c>
      <c r="L1594" s="563" t="str">
        <f>IF(G1594&lt;&gt;0,VLOOKUP(G1594,'gia dat'!$A$1:$F$144,6,0)," ")</f>
        <v xml:space="preserve"> </v>
      </c>
      <c r="M1594" s="564" t="str">
        <f t="shared" si="336"/>
        <v xml:space="preserve"> </v>
      </c>
      <c r="N1594" s="564" t="str">
        <f t="shared" si="337"/>
        <v xml:space="preserve"> </v>
      </c>
      <c r="O1594" s="572"/>
      <c r="P1594" s="740"/>
      <c r="Q1594" s="564" t="str">
        <f>IF(O1594&lt;&gt;0,VLOOKUP(O1594,'Cây trong'!$A$2:$C$246,3,0)," ")</f>
        <v xml:space="preserve"> </v>
      </c>
      <c r="R1594" s="564" t="str">
        <f t="shared" si="345"/>
        <v xml:space="preserve"> </v>
      </c>
      <c r="S1594" s="572"/>
      <c r="T1594" s="609"/>
      <c r="U1594" s="741"/>
      <c r="V1594" s="586"/>
      <c r="W1594" s="564" t="str">
        <f>IF(S1594&lt;&gt;0,VLOOKUP(S1594,VKT!$A$2:$G$415,7,0),"")</f>
        <v/>
      </c>
      <c r="X1594" s="564" t="str">
        <f t="shared" si="332"/>
        <v xml:space="preserve"> </v>
      </c>
      <c r="Y1594" s="650"/>
      <c r="Z1594" s="586"/>
      <c r="AA1594" s="742"/>
      <c r="AB1594" s="586"/>
      <c r="AC1594" s="586"/>
      <c r="AD1594" s="586"/>
      <c r="AE1594" s="586"/>
      <c r="AF1594" s="714"/>
      <c r="AG1594" s="570" t="str">
        <f>IF(AE1594&lt;&gt;0,VLOOKUP(AE1594,ODDS!$A$2:$C$13,3,0),"")</f>
        <v/>
      </c>
      <c r="AH1594" s="570" t="str">
        <f t="shared" si="346"/>
        <v xml:space="preserve"> </v>
      </c>
      <c r="AI1594" s="571" t="str">
        <f t="shared" si="339"/>
        <v xml:space="preserve"> </v>
      </c>
      <c r="AJ1594" s="731"/>
      <c r="AK1594" s="586"/>
    </row>
    <row r="1595" spans="1:37" s="394" customFormat="1" ht="20.25" outlineLevel="2" x14ac:dyDescent="0.3">
      <c r="A1595" s="447">
        <f>IF(B1594&lt;&gt;0,B1594,A1594)</f>
        <v>130</v>
      </c>
      <c r="B1595" s="557"/>
      <c r="C1595" s="572"/>
      <c r="D1595" s="700"/>
      <c r="E1595" s="612"/>
      <c r="F1595" s="612"/>
      <c r="G1595" s="586"/>
      <c r="H1595" s="709"/>
      <c r="I1595" s="546"/>
      <c r="J1595" s="558"/>
      <c r="K1595" s="563" t="str">
        <f>IF(G1595&lt;&gt;0,VLOOKUP(G1595,'gia dat'!$A$1:$F$144,5,0)," ")</f>
        <v xml:space="preserve"> </v>
      </c>
      <c r="L1595" s="563" t="str">
        <f>IF(G1595&lt;&gt;0,VLOOKUP(G1595,'gia dat'!$A$1:$F$144,6,0)," ")</f>
        <v xml:space="preserve"> </v>
      </c>
      <c r="M1595" s="564" t="str">
        <f t="shared" si="336"/>
        <v xml:space="preserve"> </v>
      </c>
      <c r="N1595" s="564" t="str">
        <f t="shared" si="337"/>
        <v xml:space="preserve"> </v>
      </c>
      <c r="O1595" s="572"/>
      <c r="P1595" s="740"/>
      <c r="Q1595" s="564" t="str">
        <f>IF(O1595&lt;&gt;0,VLOOKUP(O1595,'Cây trong'!$A$2:$C$246,3,0)," ")</f>
        <v xml:space="preserve"> </v>
      </c>
      <c r="R1595" s="564" t="str">
        <f t="shared" si="345"/>
        <v xml:space="preserve"> </v>
      </c>
      <c r="S1595" s="572"/>
      <c r="T1595" s="609"/>
      <c r="U1595" s="741"/>
      <c r="V1595" s="586"/>
      <c r="W1595" s="564" t="str">
        <f>IF(S1595&lt;&gt;0,VLOOKUP(S1595,VKT!$A$2:$G$415,7,0),"")</f>
        <v/>
      </c>
      <c r="X1595" s="564" t="str">
        <f t="shared" si="332"/>
        <v xml:space="preserve"> </v>
      </c>
      <c r="Y1595" s="650"/>
      <c r="Z1595" s="586"/>
      <c r="AA1595" s="742"/>
      <c r="AB1595" s="586"/>
      <c r="AC1595" s="586"/>
      <c r="AD1595" s="586"/>
      <c r="AE1595" s="586"/>
      <c r="AF1595" s="714"/>
      <c r="AG1595" s="570" t="str">
        <f>IF(AE1595&lt;&gt;0,VLOOKUP(AE1595,ODDS!$A$2:$C$13,3,0),"")</f>
        <v/>
      </c>
      <c r="AH1595" s="570" t="str">
        <f t="shared" si="346"/>
        <v xml:space="preserve"> </v>
      </c>
      <c r="AI1595" s="571" t="str">
        <f t="shared" si="339"/>
        <v xml:space="preserve"> </v>
      </c>
      <c r="AJ1595" s="586"/>
      <c r="AK1595" s="586"/>
    </row>
    <row r="1596" spans="1:37" s="394" customFormat="1" ht="20.25" outlineLevel="2" x14ac:dyDescent="0.3">
      <c r="A1596" s="447">
        <f>IF(B1595&lt;&gt;0,B1595,A1595)</f>
        <v>130</v>
      </c>
      <c r="B1596" s="557"/>
      <c r="C1596" s="607"/>
      <c r="D1596" s="700"/>
      <c r="E1596" s="612"/>
      <c r="F1596" s="612"/>
      <c r="G1596" s="586"/>
      <c r="H1596" s="709"/>
      <c r="I1596" s="546"/>
      <c r="J1596" s="558"/>
      <c r="K1596" s="563" t="str">
        <f>IF(G1596&lt;&gt;0,VLOOKUP(G1596,'gia dat'!$A$1:$F$144,5,0)," ")</f>
        <v xml:space="preserve"> </v>
      </c>
      <c r="L1596" s="563" t="str">
        <f>IF(G1596&lt;&gt;0,VLOOKUP(G1596,'gia dat'!$A$1:$F$144,6,0)," ")</f>
        <v xml:space="preserve"> </v>
      </c>
      <c r="M1596" s="564" t="str">
        <f t="shared" si="336"/>
        <v xml:space="preserve"> </v>
      </c>
      <c r="N1596" s="564" t="str">
        <f t="shared" si="337"/>
        <v xml:space="preserve"> </v>
      </c>
      <c r="O1596" s="572"/>
      <c r="P1596" s="740"/>
      <c r="Q1596" s="564" t="str">
        <f>IF(O1596&lt;&gt;0,VLOOKUP(O1596,'Cây trong'!$A$2:$C$246,3,0)," ")</f>
        <v xml:space="preserve"> </v>
      </c>
      <c r="R1596" s="564" t="str">
        <f t="shared" si="345"/>
        <v xml:space="preserve"> </v>
      </c>
      <c r="S1596" s="572"/>
      <c r="T1596" s="609"/>
      <c r="U1596" s="741"/>
      <c r="V1596" s="586"/>
      <c r="W1596" s="564" t="str">
        <f>IF(S1596&lt;&gt;0,VLOOKUP(S1596,VKT!$A$2:$G$415,7,0),"")</f>
        <v/>
      </c>
      <c r="X1596" s="564" t="str">
        <f t="shared" si="332"/>
        <v xml:space="preserve"> </v>
      </c>
      <c r="Y1596" s="650"/>
      <c r="Z1596" s="586"/>
      <c r="AA1596" s="742"/>
      <c r="AB1596" s="586"/>
      <c r="AC1596" s="586"/>
      <c r="AD1596" s="586"/>
      <c r="AE1596" s="586"/>
      <c r="AF1596" s="714"/>
      <c r="AG1596" s="570" t="str">
        <f>IF(AE1596&lt;&gt;0,VLOOKUP(AE1596,ODDS!$A$2:$C$13,3,0),"")</f>
        <v/>
      </c>
      <c r="AH1596" s="570" t="str">
        <f t="shared" si="346"/>
        <v xml:space="preserve"> </v>
      </c>
      <c r="AI1596" s="571" t="str">
        <f t="shared" si="339"/>
        <v xml:space="preserve"> </v>
      </c>
      <c r="AJ1596" s="586"/>
      <c r="AK1596" s="586"/>
    </row>
    <row r="1597" spans="1:37" s="396" customFormat="1" ht="40.5" outlineLevel="1" x14ac:dyDescent="0.25">
      <c r="A1597" s="467" t="s">
        <v>2579</v>
      </c>
      <c r="B1597" s="576">
        <v>131</v>
      </c>
      <c r="C1597" s="607" t="s">
        <v>1130</v>
      </c>
      <c r="D1597" s="706"/>
      <c r="E1597" s="642"/>
      <c r="F1597" s="642"/>
      <c r="G1597" s="578"/>
      <c r="H1597" s="707">
        <f>SUBTOTAL(9,H1598:H1607)</f>
        <v>249.79999999999998</v>
      </c>
      <c r="I1597" s="579">
        <f>SUBTOTAL(9,I1598:I1603)</f>
        <v>0</v>
      </c>
      <c r="J1597" s="580"/>
      <c r="K1597" s="581"/>
      <c r="L1597" s="581"/>
      <c r="M1597" s="571">
        <f>SUBTOTAL(9,M1598:M1607)</f>
        <v>1609174000</v>
      </c>
      <c r="N1597" s="571">
        <f>SUBTOTAL(9,N1598:N1607)</f>
        <v>0</v>
      </c>
      <c r="O1597" s="607"/>
      <c r="P1597" s="738">
        <f>SUBTOTAL(9,P1598:P1607)</f>
        <v>0</v>
      </c>
      <c r="Q1597" s="571"/>
      <c r="R1597" s="571">
        <f>SUBTOTAL(9,R1598:R1607)</f>
        <v>0</v>
      </c>
      <c r="S1597" s="582"/>
      <c r="T1597" s="621"/>
      <c r="U1597" s="739">
        <f>SUBTOTAL(9,U1598:U1607)</f>
        <v>268.62</v>
      </c>
      <c r="V1597" s="578"/>
      <c r="W1597" s="571"/>
      <c r="X1597" s="571">
        <f>SUBTOTAL(9,X1598:X1607)</f>
        <v>1167944000</v>
      </c>
      <c r="Y1597" s="650"/>
      <c r="Z1597" s="586"/>
      <c r="AA1597" s="742"/>
      <c r="AB1597" s="586"/>
      <c r="AC1597" s="586"/>
      <c r="AD1597" s="586"/>
      <c r="AE1597" s="578"/>
      <c r="AF1597" s="712">
        <f>SUBTOTAL(9,AF1598:AF1607)</f>
        <v>1</v>
      </c>
      <c r="AG1597" s="585"/>
      <c r="AH1597" s="585">
        <f>SUBTOTAL(9,AH1598:AH1607)</f>
        <v>5000000</v>
      </c>
      <c r="AI1597" s="571">
        <f t="shared" si="339"/>
        <v>2782118000</v>
      </c>
      <c r="AJ1597" s="578"/>
      <c r="AK1597" s="578"/>
    </row>
    <row r="1598" spans="1:37" s="396" customFormat="1" ht="121.5" outlineLevel="2" x14ac:dyDescent="0.3">
      <c r="A1598" s="447">
        <f>IF(B1597&lt;&gt;0,B1597,A1596)</f>
        <v>131</v>
      </c>
      <c r="B1598" s="557"/>
      <c r="C1598" s="572" t="s">
        <v>1135</v>
      </c>
      <c r="D1598" s="700">
        <v>4</v>
      </c>
      <c r="E1598" s="612">
        <v>86</v>
      </c>
      <c r="F1598" s="612">
        <v>1576</v>
      </c>
      <c r="G1598" s="586" t="s">
        <v>2874</v>
      </c>
      <c r="H1598" s="709">
        <v>30.1</v>
      </c>
      <c r="I1598" s="546" t="str">
        <f t="shared" ref="I1598:I1599" si="349">IF(N1598&gt;0,H1598,"")</f>
        <v/>
      </c>
      <c r="J1598" s="562"/>
      <c r="K1598" s="563">
        <f>IF(G1598&lt;&gt;0,VLOOKUP(G1598,'gia dat'!$A$1:$F$144,5,0)," ")</f>
        <v>465600</v>
      </c>
      <c r="L1598" s="563">
        <f>IF(G1598&lt;&gt;0,VLOOKUP(G1598,'gia dat'!$A$1:$F$144,6,0)," ")</f>
        <v>0</v>
      </c>
      <c r="M1598" s="564">
        <f t="shared" si="336"/>
        <v>14015000</v>
      </c>
      <c r="N1598" s="564">
        <f t="shared" si="337"/>
        <v>0</v>
      </c>
      <c r="O1598" s="572"/>
      <c r="P1598" s="740"/>
      <c r="Q1598" s="564" t="str">
        <f>IF(O1598&lt;&gt;0,VLOOKUP(O1598,'Cây trong'!$A$2:$C$246,3,0)," ")</f>
        <v xml:space="preserve"> </v>
      </c>
      <c r="R1598" s="564" t="str">
        <f t="shared" si="345"/>
        <v xml:space="preserve"> </v>
      </c>
      <c r="S1598" s="566" t="s">
        <v>2363</v>
      </c>
      <c r="T1598" s="609" t="s">
        <v>1133</v>
      </c>
      <c r="U1598" s="741">
        <v>15.9</v>
      </c>
      <c r="V1598" s="586"/>
      <c r="W1598" s="564">
        <f>IF(S1598&lt;&gt;0,VLOOKUP(S1598,VKT!$A$2:$G$415,7,0),"")</f>
        <v>805811</v>
      </c>
      <c r="X1598" s="564">
        <f t="shared" si="332"/>
        <v>12812000</v>
      </c>
      <c r="Y1598" s="650"/>
      <c r="Z1598" s="586"/>
      <c r="AA1598" s="742"/>
      <c r="AB1598" s="586"/>
      <c r="AC1598" s="586"/>
      <c r="AD1598" s="586"/>
      <c r="AE1598" s="586" t="s">
        <v>2137</v>
      </c>
      <c r="AF1598" s="714">
        <v>1</v>
      </c>
      <c r="AG1598" s="570">
        <f>IF(AE1598&lt;&gt;0,VLOOKUP(AE1598,ODDS!$A$2:$C$13,3,0),"")</f>
        <v>5000000</v>
      </c>
      <c r="AH1598" s="570">
        <f t="shared" si="346"/>
        <v>5000000</v>
      </c>
      <c r="AI1598" s="571" t="str">
        <f t="shared" si="339"/>
        <v xml:space="preserve"> </v>
      </c>
      <c r="AJ1598" s="586" t="s">
        <v>1134</v>
      </c>
      <c r="AK1598" s="586" t="s">
        <v>2771</v>
      </c>
    </row>
    <row r="1599" spans="1:37" s="394" customFormat="1" ht="121.5" outlineLevel="2" x14ac:dyDescent="0.3">
      <c r="A1599" s="447">
        <f t="shared" ref="A1599:A1607" si="350">IF(B1598&lt;&gt;0,B1598,A1598)</f>
        <v>131</v>
      </c>
      <c r="B1599" s="557"/>
      <c r="C1599" s="607" t="s">
        <v>1141</v>
      </c>
      <c r="D1599" s="700"/>
      <c r="E1599" s="612">
        <v>86</v>
      </c>
      <c r="F1599" s="612">
        <v>1576</v>
      </c>
      <c r="G1599" s="586" t="s">
        <v>2049</v>
      </c>
      <c r="H1599" s="709">
        <v>219.7</v>
      </c>
      <c r="I1599" s="546" t="str">
        <f t="shared" si="349"/>
        <v/>
      </c>
      <c r="J1599" s="562"/>
      <c r="K1599" s="563">
        <f>IF(G1599&lt;&gt;0,VLOOKUP(G1599,'gia dat'!$A$1:$F$144,5,0)," ")</f>
        <v>7260624</v>
      </c>
      <c r="L1599" s="563">
        <f>IF(G1599&lt;&gt;0,VLOOKUP(G1599,'gia dat'!$A$1:$F$144,6,0)," ")</f>
        <v>0</v>
      </c>
      <c r="M1599" s="564">
        <f t="shared" si="336"/>
        <v>1595159000</v>
      </c>
      <c r="N1599" s="564">
        <f t="shared" si="337"/>
        <v>0</v>
      </c>
      <c r="O1599" s="572"/>
      <c r="P1599" s="740"/>
      <c r="Q1599" s="564" t="str">
        <f>IF(O1599&lt;&gt;0,VLOOKUP(O1599,'Cây trong'!$A$2:$C$246,3,0)," ")</f>
        <v xml:space="preserve"> </v>
      </c>
      <c r="R1599" s="564" t="str">
        <f t="shared" si="345"/>
        <v xml:space="preserve"> </v>
      </c>
      <c r="S1599" s="566" t="s">
        <v>1914</v>
      </c>
      <c r="T1599" s="609" t="s">
        <v>1133</v>
      </c>
      <c r="U1599" s="741">
        <v>177.6</v>
      </c>
      <c r="V1599" s="586"/>
      <c r="W1599" s="564">
        <f>IF(S1599&lt;&gt;0,VLOOKUP(S1599,VKT!$A$2:$G$415,7,0),"")</f>
        <v>5307665</v>
      </c>
      <c r="X1599" s="564">
        <f t="shared" si="332"/>
        <v>942641000</v>
      </c>
      <c r="Y1599" s="661" t="s">
        <v>1138</v>
      </c>
      <c r="Z1599" s="683" t="s">
        <v>1139</v>
      </c>
      <c r="AA1599" s="683" t="s">
        <v>56</v>
      </c>
      <c r="AB1599" s="694" t="s">
        <v>269</v>
      </c>
      <c r="AC1599" s="683" t="s">
        <v>1138</v>
      </c>
      <c r="AD1599" s="683"/>
      <c r="AE1599" s="683"/>
      <c r="AF1599" s="590"/>
      <c r="AG1599" s="570" t="str">
        <f>IF(AE1599&lt;&gt;0,VLOOKUP(AE1599,ODDS!$A$2:$C$13,3,0),"")</f>
        <v/>
      </c>
      <c r="AH1599" s="570"/>
      <c r="AI1599" s="571" t="str">
        <f t="shared" si="339"/>
        <v xml:space="preserve"> </v>
      </c>
      <c r="AJ1599" s="586" t="s">
        <v>1140</v>
      </c>
      <c r="AK1599" s="558" t="s">
        <v>2450</v>
      </c>
    </row>
    <row r="1600" spans="1:37" s="394" customFormat="1" ht="101.25" outlineLevel="2" x14ac:dyDescent="0.3">
      <c r="A1600" s="447">
        <f t="shared" si="350"/>
        <v>131</v>
      </c>
      <c r="B1600" s="557"/>
      <c r="C1600" s="572" t="s">
        <v>1144</v>
      </c>
      <c r="D1600" s="700"/>
      <c r="E1600" s="612"/>
      <c r="F1600" s="612"/>
      <c r="G1600" s="572"/>
      <c r="H1600" s="709"/>
      <c r="I1600" s="546"/>
      <c r="J1600" s="562"/>
      <c r="K1600" s="563" t="str">
        <f>IF(G1600&lt;&gt;0,VLOOKUP(G1600,'gia dat'!$A$1:$F$144,5,0)," ")</f>
        <v xml:space="preserve"> </v>
      </c>
      <c r="L1600" s="563" t="str">
        <f>IF(G1600&lt;&gt;0,VLOOKUP(G1600,'gia dat'!$A$1:$F$144,6,0)," ")</f>
        <v xml:space="preserve"> </v>
      </c>
      <c r="M1600" s="564" t="str">
        <f t="shared" si="336"/>
        <v xml:space="preserve"> </v>
      </c>
      <c r="N1600" s="564" t="str">
        <f t="shared" si="337"/>
        <v xml:space="preserve"> </v>
      </c>
      <c r="O1600" s="572"/>
      <c r="P1600" s="740"/>
      <c r="Q1600" s="564" t="str">
        <f>IF(O1600&lt;&gt;0,VLOOKUP(O1600,'Cây trong'!$A$2:$C$246,3,0)," ")</f>
        <v xml:space="preserve"> </v>
      </c>
      <c r="R1600" s="564" t="str">
        <f t="shared" si="345"/>
        <v xml:space="preserve"> </v>
      </c>
      <c r="S1600" s="566" t="s">
        <v>2364</v>
      </c>
      <c r="T1600" s="609" t="s">
        <v>1133</v>
      </c>
      <c r="U1600" s="741">
        <v>16.5</v>
      </c>
      <c r="V1600" s="586"/>
      <c r="W1600" s="564">
        <f>IF(S1600&lt;&gt;0,VLOOKUP(S1600,VKT!$A$2:$G$415,7,0),"")</f>
        <v>9028527</v>
      </c>
      <c r="X1600" s="564">
        <f t="shared" si="332"/>
        <v>148971000</v>
      </c>
      <c r="Y1600" s="650"/>
      <c r="Z1600" s="586"/>
      <c r="AA1600" s="742"/>
      <c r="AB1600" s="586"/>
      <c r="AC1600" s="586"/>
      <c r="AD1600" s="586"/>
      <c r="AE1600" s="586"/>
      <c r="AF1600" s="714"/>
      <c r="AG1600" s="570" t="str">
        <f>IF(AE1600&lt;&gt;0,VLOOKUP(AE1600,ODDS!$A$2:$C$13,3,0),"")</f>
        <v/>
      </c>
      <c r="AH1600" s="570" t="str">
        <f t="shared" si="346"/>
        <v xml:space="preserve"> </v>
      </c>
      <c r="AI1600" s="571" t="str">
        <f t="shared" si="339"/>
        <v xml:space="preserve"> </v>
      </c>
      <c r="AJ1600" s="586" t="s">
        <v>1146</v>
      </c>
      <c r="AK1600" s="558" t="s">
        <v>2447</v>
      </c>
    </row>
    <row r="1601" spans="1:39" s="394" customFormat="1" ht="101.25" outlineLevel="2" x14ac:dyDescent="0.3">
      <c r="A1601" s="447">
        <f t="shared" si="350"/>
        <v>131</v>
      </c>
      <c r="B1601" s="557"/>
      <c r="C1601" s="572" t="s">
        <v>1596</v>
      </c>
      <c r="D1601" s="700"/>
      <c r="E1601" s="612"/>
      <c r="F1601" s="612"/>
      <c r="G1601" s="586"/>
      <c r="H1601" s="709"/>
      <c r="I1601" s="546"/>
      <c r="J1601" s="558"/>
      <c r="K1601" s="563" t="str">
        <f>IF(G1601&lt;&gt;0,VLOOKUP(G1601,'gia dat'!$A$1:$F$144,5,0)," ")</f>
        <v xml:space="preserve"> </v>
      </c>
      <c r="L1601" s="563" t="str">
        <f>IF(G1601&lt;&gt;0,VLOOKUP(G1601,'gia dat'!$A$1:$F$144,6,0)," ")</f>
        <v xml:space="preserve"> </v>
      </c>
      <c r="M1601" s="564" t="str">
        <f t="shared" si="336"/>
        <v xml:space="preserve"> </v>
      </c>
      <c r="N1601" s="564" t="str">
        <f t="shared" si="337"/>
        <v xml:space="preserve"> </v>
      </c>
      <c r="O1601" s="572"/>
      <c r="P1601" s="740"/>
      <c r="Q1601" s="564" t="str">
        <f>IF(O1601&lt;&gt;0,VLOOKUP(O1601,'Cây trong'!$A$2:$C$246,3,0)," ")</f>
        <v xml:space="preserve"> </v>
      </c>
      <c r="R1601" s="564" t="str">
        <f t="shared" si="345"/>
        <v xml:space="preserve"> </v>
      </c>
      <c r="S1601" s="572" t="s">
        <v>2365</v>
      </c>
      <c r="T1601" s="609" t="s">
        <v>1133</v>
      </c>
      <c r="U1601" s="741">
        <v>2.52</v>
      </c>
      <c r="V1601" s="586"/>
      <c r="W1601" s="564">
        <f>IF(S1601&lt;&gt;0,VLOOKUP(S1601,VKT!$A$2:$G$415,7,0),"")</f>
        <v>9213342</v>
      </c>
      <c r="X1601" s="564">
        <f t="shared" ref="X1601:X1680" si="351">IF(S1601&lt;&gt;0,ROUND(U1601*W1601,-3)," ")</f>
        <v>23218000</v>
      </c>
      <c r="Y1601" s="650"/>
      <c r="Z1601" s="586"/>
      <c r="AA1601" s="742"/>
      <c r="AB1601" s="586"/>
      <c r="AC1601" s="586"/>
      <c r="AD1601" s="586"/>
      <c r="AE1601" s="586"/>
      <c r="AF1601" s="714"/>
      <c r="AG1601" s="570" t="str">
        <f>IF(AE1601&lt;&gt;0,VLOOKUP(AE1601,ODDS!$A$2:$C$13,3,0),"")</f>
        <v/>
      </c>
      <c r="AH1601" s="570" t="str">
        <f t="shared" si="346"/>
        <v xml:space="preserve"> </v>
      </c>
      <c r="AI1601" s="571" t="str">
        <f t="shared" si="339"/>
        <v xml:space="preserve"> </v>
      </c>
      <c r="AJ1601" s="731"/>
      <c r="AK1601" s="586" t="s">
        <v>2800</v>
      </c>
    </row>
    <row r="1602" spans="1:39" s="394" customFormat="1" ht="81" outlineLevel="2" x14ac:dyDescent="0.3">
      <c r="A1602" s="447">
        <f t="shared" si="350"/>
        <v>131</v>
      </c>
      <c r="B1602" s="557"/>
      <c r="C1602" s="572"/>
      <c r="D1602" s="700"/>
      <c r="E1602" s="612"/>
      <c r="F1602" s="612"/>
      <c r="G1602" s="586"/>
      <c r="H1602" s="709"/>
      <c r="I1602" s="546"/>
      <c r="J1602" s="558"/>
      <c r="K1602" s="563" t="str">
        <f>IF(G1602&lt;&gt;0,VLOOKUP(G1602,'gia dat'!$A$1:$F$144,5,0)," ")</f>
        <v xml:space="preserve"> </v>
      </c>
      <c r="L1602" s="563" t="str">
        <f>IF(G1602&lt;&gt;0,VLOOKUP(G1602,'gia dat'!$A$1:$F$144,6,0)," ")</f>
        <v xml:space="preserve"> </v>
      </c>
      <c r="M1602" s="564" t="str">
        <f t="shared" si="336"/>
        <v xml:space="preserve"> </v>
      </c>
      <c r="N1602" s="564" t="str">
        <f t="shared" si="337"/>
        <v xml:space="preserve"> </v>
      </c>
      <c r="O1602" s="572"/>
      <c r="P1602" s="740"/>
      <c r="Q1602" s="564" t="str">
        <f>IF(O1602&lt;&gt;0,VLOOKUP(O1602,'Cây trong'!$A$2:$C$246,3,0)," ")</f>
        <v xml:space="preserve"> </v>
      </c>
      <c r="R1602" s="564" t="str">
        <f t="shared" si="345"/>
        <v xml:space="preserve"> </v>
      </c>
      <c r="S1602" s="572" t="s">
        <v>2366</v>
      </c>
      <c r="T1602" s="609" t="s">
        <v>1133</v>
      </c>
      <c r="U1602" s="741">
        <v>19.8</v>
      </c>
      <c r="V1602" s="586"/>
      <c r="W1602" s="564">
        <f>IF(S1602&lt;&gt;0,VLOOKUP(S1602,VKT!$A$2:$G$415,7,0),"")</f>
        <v>623651</v>
      </c>
      <c r="X1602" s="564">
        <f t="shared" si="351"/>
        <v>12348000</v>
      </c>
      <c r="Y1602" s="650"/>
      <c r="Z1602" s="586"/>
      <c r="AA1602" s="742"/>
      <c r="AB1602" s="586"/>
      <c r="AC1602" s="586"/>
      <c r="AD1602" s="586"/>
      <c r="AE1602" s="586"/>
      <c r="AF1602" s="714"/>
      <c r="AG1602" s="570" t="str">
        <f>IF(AE1602&lt;&gt;0,VLOOKUP(AE1602,ODDS!$A$2:$C$13,3,0),"")</f>
        <v/>
      </c>
      <c r="AH1602" s="570" t="str">
        <f t="shared" si="346"/>
        <v xml:space="preserve"> </v>
      </c>
      <c r="AI1602" s="571" t="str">
        <f t="shared" si="339"/>
        <v xml:space="preserve"> </v>
      </c>
      <c r="AJ1602" s="586"/>
      <c r="AK1602" s="586"/>
    </row>
    <row r="1603" spans="1:39" s="394" customFormat="1" ht="81" outlineLevel="2" x14ac:dyDescent="0.3">
      <c r="A1603" s="447">
        <f t="shared" si="350"/>
        <v>131</v>
      </c>
      <c r="B1603" s="557"/>
      <c r="C1603" s="572"/>
      <c r="D1603" s="700"/>
      <c r="E1603" s="612"/>
      <c r="F1603" s="612"/>
      <c r="G1603" s="586"/>
      <c r="H1603" s="709"/>
      <c r="I1603" s="546"/>
      <c r="J1603" s="558"/>
      <c r="K1603" s="563" t="str">
        <f>IF(G1603&lt;&gt;0,VLOOKUP(G1603,'gia dat'!$A$1:$F$144,5,0)," ")</f>
        <v xml:space="preserve"> </v>
      </c>
      <c r="L1603" s="563" t="str">
        <f>IF(G1603&lt;&gt;0,VLOOKUP(G1603,'gia dat'!$A$1:$F$144,6,0)," ")</f>
        <v xml:space="preserve"> </v>
      </c>
      <c r="M1603" s="564" t="str">
        <f t="shared" si="336"/>
        <v xml:space="preserve"> </v>
      </c>
      <c r="N1603" s="564" t="str">
        <f t="shared" si="337"/>
        <v xml:space="preserve"> </v>
      </c>
      <c r="O1603" s="572"/>
      <c r="P1603" s="740"/>
      <c r="Q1603" s="564" t="str">
        <f>IF(O1603&lt;&gt;0,VLOOKUP(O1603,'Cây trong'!$A$2:$C$246,3,0)," ")</f>
        <v xml:space="preserve"> </v>
      </c>
      <c r="R1603" s="564" t="str">
        <f t="shared" si="345"/>
        <v xml:space="preserve"> </v>
      </c>
      <c r="S1603" s="572" t="s">
        <v>1945</v>
      </c>
      <c r="T1603" s="609" t="s">
        <v>1133</v>
      </c>
      <c r="U1603" s="741">
        <v>36.299999999999997</v>
      </c>
      <c r="V1603" s="586"/>
      <c r="W1603" s="564">
        <f>IF(S1603&lt;&gt;0,VLOOKUP(S1603,VKT!$A$2:$G$415,7,0),"")</f>
        <v>770070</v>
      </c>
      <c r="X1603" s="564">
        <f t="shared" si="351"/>
        <v>27954000</v>
      </c>
      <c r="Y1603" s="650"/>
      <c r="Z1603" s="586"/>
      <c r="AA1603" s="742"/>
      <c r="AB1603" s="586"/>
      <c r="AC1603" s="586"/>
      <c r="AD1603" s="586"/>
      <c r="AE1603" s="586"/>
      <c r="AF1603" s="714"/>
      <c r="AG1603" s="570" t="str">
        <f>IF(AE1603&lt;&gt;0,VLOOKUP(AE1603,ODDS!$A$2:$C$13,3,0),"")</f>
        <v/>
      </c>
      <c r="AH1603" s="570" t="str">
        <f t="shared" si="346"/>
        <v xml:space="preserve"> </v>
      </c>
      <c r="AI1603" s="571" t="str">
        <f t="shared" si="339"/>
        <v xml:space="preserve"> </v>
      </c>
      <c r="AJ1603" s="586"/>
      <c r="AK1603" s="586"/>
    </row>
    <row r="1604" spans="1:39" s="394" customFormat="1" ht="20.25" outlineLevel="2" x14ac:dyDescent="0.3">
      <c r="A1604" s="447">
        <f t="shared" si="350"/>
        <v>131</v>
      </c>
      <c r="B1604" s="557"/>
      <c r="C1604" s="572"/>
      <c r="D1604" s="700"/>
      <c r="E1604" s="612"/>
      <c r="F1604" s="612"/>
      <c r="G1604" s="586"/>
      <c r="H1604" s="709"/>
      <c r="I1604" s="546"/>
      <c r="J1604" s="558"/>
      <c r="K1604" s="563" t="str">
        <f>IF(G1604&lt;&gt;0,VLOOKUP(G1604,'gia dat'!$A$1:$F$144,5,0)," ")</f>
        <v xml:space="preserve"> </v>
      </c>
      <c r="L1604" s="563" t="str">
        <f>IF(G1604&lt;&gt;0,VLOOKUP(G1604,'gia dat'!$A$1:$F$144,6,0)," ")</f>
        <v xml:space="preserve"> </v>
      </c>
      <c r="M1604" s="564" t="str">
        <f t="shared" si="336"/>
        <v xml:space="preserve"> </v>
      </c>
      <c r="N1604" s="564" t="str">
        <f t="shared" si="337"/>
        <v xml:space="preserve"> </v>
      </c>
      <c r="O1604" s="572"/>
      <c r="P1604" s="740"/>
      <c r="Q1604" s="564" t="str">
        <f>IF(O1604&lt;&gt;0,VLOOKUP(O1604,'Cây trong'!$A$2:$C$246,3,0)," ")</f>
        <v xml:space="preserve"> </v>
      </c>
      <c r="R1604" s="564" t="str">
        <f t="shared" si="345"/>
        <v xml:space="preserve"> </v>
      </c>
      <c r="S1604" s="572"/>
      <c r="T1604" s="609"/>
      <c r="U1604" s="741"/>
      <c r="V1604" s="586"/>
      <c r="W1604" s="564" t="str">
        <f>IF(S1604&lt;&gt;0,VLOOKUP(S1604,VKT!$A$2:$G$415,7,0),"")</f>
        <v/>
      </c>
      <c r="X1604" s="564" t="str">
        <f t="shared" si="351"/>
        <v xml:space="preserve"> </v>
      </c>
      <c r="Y1604" s="650"/>
      <c r="Z1604" s="586"/>
      <c r="AA1604" s="742"/>
      <c r="AB1604" s="586"/>
      <c r="AC1604" s="586"/>
      <c r="AD1604" s="586"/>
      <c r="AE1604" s="586"/>
      <c r="AF1604" s="714"/>
      <c r="AG1604" s="570" t="str">
        <f>IF(AE1604&lt;&gt;0,VLOOKUP(AE1604,ODDS!$A$2:$C$13,3,0),"")</f>
        <v/>
      </c>
      <c r="AH1604" s="570" t="str">
        <f t="shared" si="346"/>
        <v xml:space="preserve"> </v>
      </c>
      <c r="AI1604" s="571" t="str">
        <f t="shared" si="339"/>
        <v xml:space="preserve"> </v>
      </c>
      <c r="AJ1604" s="586"/>
      <c r="AK1604" s="586"/>
    </row>
    <row r="1605" spans="1:39" s="394" customFormat="1" ht="20.25" outlineLevel="2" x14ac:dyDescent="0.3">
      <c r="A1605" s="447">
        <f t="shared" si="350"/>
        <v>131</v>
      </c>
      <c r="B1605" s="557"/>
      <c r="C1605" s="572"/>
      <c r="D1605" s="700"/>
      <c r="E1605" s="612"/>
      <c r="F1605" s="612"/>
      <c r="G1605" s="586"/>
      <c r="H1605" s="709"/>
      <c r="I1605" s="546"/>
      <c r="J1605" s="558"/>
      <c r="K1605" s="563" t="str">
        <f>IF(G1605&lt;&gt;0,VLOOKUP(G1605,'gia dat'!$A$1:$F$144,5,0)," ")</f>
        <v xml:space="preserve"> </v>
      </c>
      <c r="L1605" s="563" t="str">
        <f>IF(G1605&lt;&gt;0,VLOOKUP(G1605,'gia dat'!$A$1:$F$144,6,0)," ")</f>
        <v xml:space="preserve"> </v>
      </c>
      <c r="M1605" s="564" t="str">
        <f t="shared" si="336"/>
        <v xml:space="preserve"> </v>
      </c>
      <c r="N1605" s="564" t="str">
        <f t="shared" si="337"/>
        <v xml:space="preserve"> </v>
      </c>
      <c r="O1605" s="572"/>
      <c r="P1605" s="740"/>
      <c r="Q1605" s="564" t="str">
        <f>IF(O1605&lt;&gt;0,VLOOKUP(O1605,'Cây trong'!$A$2:$C$246,3,0)," ")</f>
        <v xml:space="preserve"> </v>
      </c>
      <c r="R1605" s="564" t="str">
        <f t="shared" si="345"/>
        <v xml:space="preserve"> </v>
      </c>
      <c r="S1605" s="572"/>
      <c r="T1605" s="609"/>
      <c r="U1605" s="741"/>
      <c r="V1605" s="586"/>
      <c r="W1605" s="564" t="str">
        <f>IF(S1605&lt;&gt;0,VLOOKUP(S1605,VKT!$A$2:$G$415,7,0),"")</f>
        <v/>
      </c>
      <c r="X1605" s="564" t="str">
        <f t="shared" si="351"/>
        <v xml:space="preserve"> </v>
      </c>
      <c r="Y1605" s="650"/>
      <c r="Z1605" s="586"/>
      <c r="AA1605" s="742"/>
      <c r="AB1605" s="586"/>
      <c r="AC1605" s="586"/>
      <c r="AD1605" s="586"/>
      <c r="AE1605" s="586"/>
      <c r="AF1605" s="714"/>
      <c r="AG1605" s="570" t="str">
        <f>IF(AE1605&lt;&gt;0,VLOOKUP(AE1605,ODDS!$A$2:$C$13,3,0),"")</f>
        <v/>
      </c>
      <c r="AH1605" s="570" t="str">
        <f t="shared" si="346"/>
        <v xml:space="preserve"> </v>
      </c>
      <c r="AI1605" s="571" t="str">
        <f t="shared" si="339"/>
        <v xml:space="preserve"> </v>
      </c>
      <c r="AJ1605" s="586"/>
      <c r="AK1605" s="586"/>
    </row>
    <row r="1606" spans="1:39" s="394" customFormat="1" ht="20.25" outlineLevel="2" x14ac:dyDescent="0.3">
      <c r="A1606" s="447">
        <f t="shared" si="350"/>
        <v>131</v>
      </c>
      <c r="B1606" s="557"/>
      <c r="C1606" s="572"/>
      <c r="D1606" s="700"/>
      <c r="E1606" s="612"/>
      <c r="F1606" s="612"/>
      <c r="G1606" s="586"/>
      <c r="H1606" s="709"/>
      <c r="I1606" s="546"/>
      <c r="J1606" s="558"/>
      <c r="K1606" s="563" t="str">
        <f>IF(G1606&lt;&gt;0,VLOOKUP(G1606,'gia dat'!$A$1:$F$144,5,0)," ")</f>
        <v xml:space="preserve"> </v>
      </c>
      <c r="L1606" s="563" t="str">
        <f>IF(G1606&lt;&gt;0,VLOOKUP(G1606,'gia dat'!$A$1:$F$144,6,0)," ")</f>
        <v xml:space="preserve"> </v>
      </c>
      <c r="M1606" s="564" t="str">
        <f t="shared" si="336"/>
        <v xml:space="preserve"> </v>
      </c>
      <c r="N1606" s="564" t="str">
        <f t="shared" si="337"/>
        <v xml:space="preserve"> </v>
      </c>
      <c r="O1606" s="572"/>
      <c r="P1606" s="740"/>
      <c r="Q1606" s="564" t="str">
        <f>IF(O1606&lt;&gt;0,VLOOKUP(O1606,'Cây trong'!$A$2:$C$246,3,0)," ")</f>
        <v xml:space="preserve"> </v>
      </c>
      <c r="R1606" s="564" t="str">
        <f t="shared" si="345"/>
        <v xml:space="preserve"> </v>
      </c>
      <c r="S1606" s="572"/>
      <c r="T1606" s="609"/>
      <c r="U1606" s="741"/>
      <c r="V1606" s="586"/>
      <c r="W1606" s="564" t="str">
        <f>IF(S1606&lt;&gt;0,VLOOKUP(S1606,VKT!$A$2:$G$415,7,0),"")</f>
        <v/>
      </c>
      <c r="X1606" s="564" t="str">
        <f t="shared" si="351"/>
        <v xml:space="preserve"> </v>
      </c>
      <c r="Y1606" s="650"/>
      <c r="Z1606" s="586"/>
      <c r="AA1606" s="742"/>
      <c r="AB1606" s="586"/>
      <c r="AC1606" s="586"/>
      <c r="AD1606" s="586"/>
      <c r="AE1606" s="586"/>
      <c r="AF1606" s="714"/>
      <c r="AG1606" s="570" t="str">
        <f>IF(AE1606&lt;&gt;0,VLOOKUP(AE1606,ODDS!$A$2:$C$13,3,0),"")</f>
        <v/>
      </c>
      <c r="AH1606" s="570" t="str">
        <f t="shared" si="346"/>
        <v xml:space="preserve"> </v>
      </c>
      <c r="AI1606" s="571" t="str">
        <f t="shared" si="339"/>
        <v xml:space="preserve"> </v>
      </c>
      <c r="AJ1606" s="586"/>
      <c r="AK1606" s="586"/>
    </row>
    <row r="1607" spans="1:39" s="394" customFormat="1" ht="20.25" outlineLevel="2" x14ac:dyDescent="0.3">
      <c r="A1607" s="447">
        <f t="shared" si="350"/>
        <v>131</v>
      </c>
      <c r="B1607" s="557"/>
      <c r="C1607" s="607"/>
      <c r="D1607" s="700"/>
      <c r="E1607" s="612"/>
      <c r="F1607" s="612"/>
      <c r="G1607" s="586"/>
      <c r="H1607" s="709"/>
      <c r="I1607" s="546"/>
      <c r="J1607" s="558"/>
      <c r="K1607" s="563" t="str">
        <f>IF(G1607&lt;&gt;0,VLOOKUP(G1607,'gia dat'!$A$1:$F$144,5,0)," ")</f>
        <v xml:space="preserve"> </v>
      </c>
      <c r="L1607" s="563" t="str">
        <f>IF(G1607&lt;&gt;0,VLOOKUP(G1607,'gia dat'!$A$1:$F$144,6,0)," ")</f>
        <v xml:space="preserve"> </v>
      </c>
      <c r="M1607" s="564" t="str">
        <f t="shared" si="336"/>
        <v xml:space="preserve"> </v>
      </c>
      <c r="N1607" s="564" t="str">
        <f t="shared" si="337"/>
        <v xml:space="preserve"> </v>
      </c>
      <c r="O1607" s="572"/>
      <c r="P1607" s="740"/>
      <c r="Q1607" s="564" t="str">
        <f>IF(O1607&lt;&gt;0,VLOOKUP(O1607,'Cây trong'!$A$2:$C$246,3,0)," ")</f>
        <v xml:space="preserve"> </v>
      </c>
      <c r="R1607" s="564" t="str">
        <f t="shared" si="345"/>
        <v xml:space="preserve"> </v>
      </c>
      <c r="S1607" s="572"/>
      <c r="T1607" s="609"/>
      <c r="U1607" s="741"/>
      <c r="V1607" s="586"/>
      <c r="W1607" s="564" t="str">
        <f>IF(S1607&lt;&gt;0,VLOOKUP(S1607,VKT!$A$2:$G$415,7,0),"")</f>
        <v/>
      </c>
      <c r="X1607" s="564" t="str">
        <f t="shared" si="351"/>
        <v xml:space="preserve"> </v>
      </c>
      <c r="Y1607" s="650"/>
      <c r="Z1607" s="586"/>
      <c r="AA1607" s="742"/>
      <c r="AB1607" s="586"/>
      <c r="AC1607" s="586"/>
      <c r="AD1607" s="586"/>
      <c r="AE1607" s="586"/>
      <c r="AF1607" s="714"/>
      <c r="AG1607" s="570" t="str">
        <f>IF(AE1607&lt;&gt;0,VLOOKUP(AE1607,ODDS!$A$2:$C$13,3,0),"")</f>
        <v/>
      </c>
      <c r="AH1607" s="570" t="str">
        <f t="shared" si="346"/>
        <v xml:space="preserve"> </v>
      </c>
      <c r="AI1607" s="571" t="str">
        <f t="shared" si="339"/>
        <v xml:space="preserve"> </v>
      </c>
      <c r="AJ1607" s="572"/>
      <c r="AK1607" s="572"/>
    </row>
    <row r="1608" spans="1:39" s="396" customFormat="1" ht="40.5" outlineLevel="1" x14ac:dyDescent="0.25">
      <c r="A1608" s="467" t="s">
        <v>2578</v>
      </c>
      <c r="B1608" s="576">
        <v>132</v>
      </c>
      <c r="C1608" s="607" t="s">
        <v>2454</v>
      </c>
      <c r="D1608" s="706"/>
      <c r="E1608" s="642"/>
      <c r="F1608" s="642"/>
      <c r="G1608" s="578"/>
      <c r="H1608" s="707">
        <f>SUBTOTAL(9,H1609:H1621)</f>
        <v>16.600000000000001</v>
      </c>
      <c r="I1608" s="579">
        <f>SUBTOTAL(9,I1609:I1614)</f>
        <v>12.4</v>
      </c>
      <c r="J1608" s="580"/>
      <c r="K1608" s="581"/>
      <c r="L1608" s="581"/>
      <c r="M1608" s="571">
        <f>SUBTOTAL(9,M1609:M1621)</f>
        <v>7729000</v>
      </c>
      <c r="N1608" s="571">
        <f>SUBTOTAL(9,N1609:N1621)</f>
        <v>17320000</v>
      </c>
      <c r="O1608" s="607"/>
      <c r="P1608" s="738">
        <f>SUBTOTAL(9,P1609:P1621)</f>
        <v>30</v>
      </c>
      <c r="Q1608" s="571"/>
      <c r="R1608" s="571">
        <f>SUBTOTAL(9,R1609:R1621)</f>
        <v>4861000</v>
      </c>
      <c r="S1608" s="582"/>
      <c r="T1608" s="621"/>
      <c r="U1608" s="739">
        <f>SUBTOTAL(9,U1609:U1621)</f>
        <v>16</v>
      </c>
      <c r="V1608" s="578"/>
      <c r="W1608" s="571"/>
      <c r="X1608" s="571">
        <f>SUBTOTAL(9,X1609:X1621)</f>
        <v>11960000</v>
      </c>
      <c r="Y1608" s="650"/>
      <c r="Z1608" s="586"/>
      <c r="AA1608" s="742"/>
      <c r="AB1608" s="586"/>
      <c r="AC1608" s="586"/>
      <c r="AD1608" s="586"/>
      <c r="AE1608" s="578"/>
      <c r="AF1608" s="712">
        <f>SUBTOTAL(9,AF1609:AF1621)</f>
        <v>0</v>
      </c>
      <c r="AG1608" s="585"/>
      <c r="AH1608" s="585">
        <f>SUBTOTAL(9,AH1609:AH1621)</f>
        <v>0</v>
      </c>
      <c r="AI1608" s="571">
        <f t="shared" si="339"/>
        <v>41870000</v>
      </c>
      <c r="AJ1608" s="578"/>
      <c r="AK1608" s="578"/>
      <c r="AM1608" s="468"/>
    </row>
    <row r="1609" spans="1:39" s="396" customFormat="1" ht="121.5" outlineLevel="2" x14ac:dyDescent="0.3">
      <c r="A1609" s="447">
        <f>IF(B1608&lt;&gt;0,B1608,A1607)</f>
        <v>132</v>
      </c>
      <c r="B1609" s="557"/>
      <c r="C1609" s="572" t="s">
        <v>1151</v>
      </c>
      <c r="D1609" s="700">
        <v>4</v>
      </c>
      <c r="E1609" s="612">
        <v>86</v>
      </c>
      <c r="F1609" s="612">
        <v>52</v>
      </c>
      <c r="G1609" s="586" t="s">
        <v>2870</v>
      </c>
      <c r="H1609" s="709">
        <f>14.3-H1611</f>
        <v>1.9000000000000004</v>
      </c>
      <c r="I1609" s="546" t="str">
        <f t="shared" ref="I1609:I1611" si="352">IF(N1609&gt;0,H1609,"")</f>
        <v/>
      </c>
      <c r="J1609" s="562"/>
      <c r="K1609" s="563">
        <f>IF(G1609&lt;&gt;0,VLOOKUP(G1609,'gia dat'!$A$1:$F$144,5,0)," ")</f>
        <v>465600</v>
      </c>
      <c r="L1609" s="563">
        <f>IF(G1609&lt;&gt;0,VLOOKUP(G1609,'gia dat'!$A$1:$F$144,6,0)," ")</f>
        <v>0</v>
      </c>
      <c r="M1609" s="564">
        <f t="shared" si="336"/>
        <v>885000</v>
      </c>
      <c r="N1609" s="564">
        <f t="shared" si="337"/>
        <v>0</v>
      </c>
      <c r="O1609" s="572" t="s">
        <v>72</v>
      </c>
      <c r="P1609" s="740">
        <v>8</v>
      </c>
      <c r="Q1609" s="564">
        <f>IF(O1609&lt;&gt;0,VLOOKUP(O1609,'Cây trong'!$A$2:$C$246,3,0)," ")</f>
        <v>132000</v>
      </c>
      <c r="R1609" s="564">
        <f t="shared" si="345"/>
        <v>1056000</v>
      </c>
      <c r="S1609" s="566" t="s">
        <v>2367</v>
      </c>
      <c r="T1609" s="609" t="s">
        <v>1133</v>
      </c>
      <c r="U1609" s="741">
        <v>11</v>
      </c>
      <c r="V1609" s="586"/>
      <c r="W1609" s="564">
        <f>IF(S1609&lt;&gt;0,VLOOKUP(S1609,VKT!$A$2:$G$415,7,0),"")</f>
        <v>774798</v>
      </c>
      <c r="X1609" s="564">
        <f t="shared" si="351"/>
        <v>8523000</v>
      </c>
      <c r="Y1609" s="650"/>
      <c r="Z1609" s="586"/>
      <c r="AA1609" s="742"/>
      <c r="AB1609" s="586"/>
      <c r="AC1609" s="586"/>
      <c r="AD1609" s="586"/>
      <c r="AE1609" s="586"/>
      <c r="AF1609" s="714"/>
      <c r="AG1609" s="570" t="str">
        <f>IF(AE1609&lt;&gt;0,VLOOKUP(AE1609,ODDS!$A$2:$C$13,3,0),"")</f>
        <v/>
      </c>
      <c r="AH1609" s="570"/>
      <c r="AI1609" s="571" t="str">
        <f t="shared" ref="AI1609:AI1672" si="353">IF(B1609&lt;&gt;0,M1609+N1609+R1609+X1609+AH1609," ")</f>
        <v xml:space="preserve"> </v>
      </c>
      <c r="AJ1609" s="586" t="s">
        <v>1150</v>
      </c>
      <c r="AK1609" s="586" t="s">
        <v>2771</v>
      </c>
      <c r="AL1609" s="396" t="s">
        <v>2234</v>
      </c>
      <c r="AM1609" s="380" t="s">
        <v>2159</v>
      </c>
    </row>
    <row r="1610" spans="1:39" s="394" customFormat="1" ht="121.5" outlineLevel="2" x14ac:dyDescent="0.3">
      <c r="A1610" s="447">
        <f t="shared" ref="A1610:A1621" si="354">IF(B1609&lt;&gt;0,B1609,A1609)</f>
        <v>132</v>
      </c>
      <c r="B1610" s="557"/>
      <c r="C1610" s="572" t="s">
        <v>1597</v>
      </c>
      <c r="D1610" s="700"/>
      <c r="E1610" s="612">
        <v>86</v>
      </c>
      <c r="F1610" s="612" t="s">
        <v>1152</v>
      </c>
      <c r="G1610" s="586" t="s">
        <v>2876</v>
      </c>
      <c r="H1610" s="709">
        <v>2.2999999999999998</v>
      </c>
      <c r="I1610" s="546" t="str">
        <f t="shared" si="352"/>
        <v/>
      </c>
      <c r="J1610" s="562"/>
      <c r="K1610" s="563">
        <f>IF(G1610&lt;&gt;0,VLOOKUP(G1610,'gia dat'!$A$1:$F$144,5,0)," ")</f>
        <v>465600</v>
      </c>
      <c r="L1610" s="563">
        <f>IF(G1610&lt;&gt;0,VLOOKUP(G1610,'gia dat'!$A$1:$F$144,6,0)," ")</f>
        <v>0</v>
      </c>
      <c r="M1610" s="564">
        <f t="shared" si="336"/>
        <v>1071000</v>
      </c>
      <c r="N1610" s="564">
        <f t="shared" si="337"/>
        <v>0</v>
      </c>
      <c r="O1610" s="572" t="s">
        <v>73</v>
      </c>
      <c r="P1610" s="740">
        <v>6</v>
      </c>
      <c r="Q1610" s="564">
        <f>IF(O1610&lt;&gt;0,VLOOKUP(O1610,'Cây trong'!$A$2:$C$246,3,0)," ")</f>
        <v>76000</v>
      </c>
      <c r="R1610" s="564">
        <f t="shared" si="345"/>
        <v>456000</v>
      </c>
      <c r="S1610" s="566" t="s">
        <v>2368</v>
      </c>
      <c r="T1610" s="609" t="s">
        <v>1133</v>
      </c>
      <c r="U1610" s="741">
        <v>5</v>
      </c>
      <c r="V1610" s="586"/>
      <c r="W1610" s="564">
        <f>IF(S1610&lt;&gt;0,VLOOKUP(S1610,VKT!$A$2:$G$415,7,0),"")</f>
        <v>687379</v>
      </c>
      <c r="X1610" s="564">
        <f t="shared" si="351"/>
        <v>3437000</v>
      </c>
      <c r="Y1610" s="650"/>
      <c r="Z1610" s="586"/>
      <c r="AA1610" s="742"/>
      <c r="AB1610" s="586"/>
      <c r="AC1610" s="586"/>
      <c r="AD1610" s="586"/>
      <c r="AE1610" s="586"/>
      <c r="AF1610" s="714"/>
      <c r="AG1610" s="570" t="str">
        <f>IF(AE1610&lt;&gt;0,VLOOKUP(AE1610,ODDS!$A$2:$C$13,3,0),"")</f>
        <v/>
      </c>
      <c r="AH1610" s="570" t="str">
        <f t="shared" si="346"/>
        <v xml:space="preserve"> </v>
      </c>
      <c r="AI1610" s="571" t="str">
        <f t="shared" si="353"/>
        <v xml:space="preserve"> </v>
      </c>
      <c r="AJ1610" s="586" t="s">
        <v>1154</v>
      </c>
      <c r="AK1610" s="558" t="s">
        <v>2450</v>
      </c>
    </row>
    <row r="1611" spans="1:39" s="394" customFormat="1" ht="101.25" outlineLevel="2" x14ac:dyDescent="0.3">
      <c r="A1611" s="447">
        <f t="shared" si="354"/>
        <v>132</v>
      </c>
      <c r="B1611" s="557"/>
      <c r="C1611" s="572"/>
      <c r="D1611" s="700"/>
      <c r="E1611" s="612"/>
      <c r="F1611" s="612"/>
      <c r="G1611" s="586" t="s">
        <v>2873</v>
      </c>
      <c r="H1611" s="709">
        <v>12.4</v>
      </c>
      <c r="I1611" s="546">
        <f t="shared" si="352"/>
        <v>12.4</v>
      </c>
      <c r="J1611" s="562"/>
      <c r="K1611" s="563">
        <f>IF(G1611&lt;&gt;0,VLOOKUP(G1611,'gia dat'!$A$1:$F$144,5,0)," ")</f>
        <v>465600</v>
      </c>
      <c r="L1611" s="563">
        <f>IF(G1611&lt;&gt;0,VLOOKUP(G1611,'gia dat'!$A$1:$F$144,6,0)," ")</f>
        <v>1396800</v>
      </c>
      <c r="M1611" s="564">
        <f t="shared" si="336"/>
        <v>5773000</v>
      </c>
      <c r="N1611" s="564">
        <f t="shared" si="337"/>
        <v>17320000</v>
      </c>
      <c r="O1611" s="572" t="s">
        <v>75</v>
      </c>
      <c r="P1611" s="740">
        <v>9</v>
      </c>
      <c r="Q1611" s="564">
        <f>IF(O1611&lt;&gt;0,VLOOKUP(O1611,'Cây trong'!$A$2:$C$246,3,0)," ")</f>
        <v>34000</v>
      </c>
      <c r="R1611" s="564">
        <f t="shared" si="345"/>
        <v>306000</v>
      </c>
      <c r="S1611" s="566"/>
      <c r="T1611" s="609"/>
      <c r="U1611" s="741"/>
      <c r="V1611" s="586"/>
      <c r="W1611" s="564" t="str">
        <f>IF(S1611&lt;&gt;0,VLOOKUP(S1611,VKT!$A$2:$G$415,7,0),"")</f>
        <v/>
      </c>
      <c r="X1611" s="564" t="str">
        <f t="shared" si="351"/>
        <v xml:space="preserve"> </v>
      </c>
      <c r="Y1611" s="650"/>
      <c r="Z1611" s="586"/>
      <c r="AA1611" s="742"/>
      <c r="AB1611" s="586"/>
      <c r="AC1611" s="586"/>
      <c r="AD1611" s="586"/>
      <c r="AE1611" s="586"/>
      <c r="AF1611" s="714"/>
      <c r="AG1611" s="570" t="str">
        <f>IF(AE1611&lt;&gt;0,VLOOKUP(AE1611,ODDS!$A$2:$C$13,3,0),"")</f>
        <v/>
      </c>
      <c r="AH1611" s="570" t="str">
        <f t="shared" si="346"/>
        <v xml:space="preserve"> </v>
      </c>
      <c r="AI1611" s="571" t="str">
        <f t="shared" si="353"/>
        <v xml:space="preserve"> </v>
      </c>
      <c r="AJ1611" s="574" t="s">
        <v>2071</v>
      </c>
      <c r="AK1611" s="558" t="s">
        <v>2449</v>
      </c>
    </row>
    <row r="1612" spans="1:39" s="394" customFormat="1" ht="121.5" outlineLevel="2" x14ac:dyDescent="0.3">
      <c r="A1612" s="447">
        <f t="shared" si="354"/>
        <v>132</v>
      </c>
      <c r="B1612" s="557"/>
      <c r="C1612" s="572"/>
      <c r="D1612" s="700"/>
      <c r="E1612" s="612"/>
      <c r="F1612" s="612"/>
      <c r="G1612" s="586"/>
      <c r="H1612" s="709"/>
      <c r="I1612" s="546"/>
      <c r="J1612" s="558"/>
      <c r="K1612" s="563" t="str">
        <f>IF(G1612&lt;&gt;0,VLOOKUP(G1612,'gia dat'!$A$1:$F$144,5,0)," ")</f>
        <v xml:space="preserve"> </v>
      </c>
      <c r="L1612" s="563" t="str">
        <f>IF(G1612&lt;&gt;0,VLOOKUP(G1612,'gia dat'!$A$1:$F$144,6,0)," ")</f>
        <v xml:space="preserve"> </v>
      </c>
      <c r="M1612" s="564" t="str">
        <f t="shared" si="336"/>
        <v xml:space="preserve"> </v>
      </c>
      <c r="N1612" s="564" t="str">
        <f t="shared" si="337"/>
        <v xml:space="preserve"> </v>
      </c>
      <c r="O1612" s="572" t="s">
        <v>165</v>
      </c>
      <c r="P1612" s="740">
        <v>1</v>
      </c>
      <c r="Q1612" s="564">
        <f>IF(O1612&lt;&gt;0,VLOOKUP(O1612,'Cây trong'!$A$2:$C$246,3,0)," ")</f>
        <v>180000</v>
      </c>
      <c r="R1612" s="564">
        <f t="shared" si="345"/>
        <v>180000</v>
      </c>
      <c r="S1612" s="572"/>
      <c r="T1612" s="609"/>
      <c r="U1612" s="741"/>
      <c r="V1612" s="586"/>
      <c r="W1612" s="564" t="str">
        <f>IF(S1612&lt;&gt;0,VLOOKUP(S1612,VKT!$A$2:$G$415,7,0),"")</f>
        <v/>
      </c>
      <c r="X1612" s="564" t="str">
        <f t="shared" si="351"/>
        <v xml:space="preserve"> </v>
      </c>
      <c r="Y1612" s="650"/>
      <c r="Z1612" s="586"/>
      <c r="AA1612" s="742"/>
      <c r="AB1612" s="586"/>
      <c r="AC1612" s="586"/>
      <c r="AD1612" s="586"/>
      <c r="AE1612" s="586"/>
      <c r="AF1612" s="714"/>
      <c r="AG1612" s="570" t="str">
        <f>IF(AE1612&lt;&gt;0,VLOOKUP(AE1612,ODDS!$A$2:$C$13,3,0),"")</f>
        <v/>
      </c>
      <c r="AH1612" s="570" t="str">
        <f t="shared" si="346"/>
        <v xml:space="preserve"> </v>
      </c>
      <c r="AI1612" s="571" t="str">
        <f t="shared" si="353"/>
        <v xml:space="preserve"> </v>
      </c>
      <c r="AJ1612" s="586" t="s">
        <v>1155</v>
      </c>
      <c r="AK1612" s="586" t="s">
        <v>2800</v>
      </c>
    </row>
    <row r="1613" spans="1:39" s="394" customFormat="1" ht="101.25" outlineLevel="2" x14ac:dyDescent="0.3">
      <c r="A1613" s="447">
        <f t="shared" si="354"/>
        <v>132</v>
      </c>
      <c r="B1613" s="557"/>
      <c r="C1613" s="572"/>
      <c r="D1613" s="700"/>
      <c r="E1613" s="612"/>
      <c r="F1613" s="612"/>
      <c r="G1613" s="586"/>
      <c r="H1613" s="709"/>
      <c r="I1613" s="546"/>
      <c r="J1613" s="558"/>
      <c r="K1613" s="563" t="str">
        <f>IF(G1613&lt;&gt;0,VLOOKUP(G1613,'gia dat'!$A$1:$F$144,5,0)," ")</f>
        <v xml:space="preserve"> </v>
      </c>
      <c r="L1613" s="563" t="str">
        <f>IF(G1613&lt;&gt;0,VLOOKUP(G1613,'gia dat'!$A$1:$F$144,6,0)," ")</f>
        <v xml:space="preserve"> </v>
      </c>
      <c r="M1613" s="564" t="str">
        <f t="shared" ref="M1613:M1683" si="355">IF(H1613&lt;&gt;0,ROUND(H1613*K1613,-3)," ")</f>
        <v xml:space="preserve"> </v>
      </c>
      <c r="N1613" s="564" t="str">
        <f t="shared" ref="N1613:N1683" si="356">IF(H1613&lt;&gt;0,ROUND(H1613*L1613,-3)," ")</f>
        <v xml:space="preserve"> </v>
      </c>
      <c r="O1613" s="572" t="s">
        <v>61</v>
      </c>
      <c r="P1613" s="740">
        <v>1</v>
      </c>
      <c r="Q1613" s="564">
        <f>IF(O1613&lt;&gt;0,VLOOKUP(O1613,'Cây trong'!$A$2:$C$246,3,0)," ")</f>
        <v>1708000</v>
      </c>
      <c r="R1613" s="564">
        <f t="shared" si="345"/>
        <v>1708000</v>
      </c>
      <c r="S1613" s="572"/>
      <c r="T1613" s="609"/>
      <c r="U1613" s="741"/>
      <c r="V1613" s="586"/>
      <c r="W1613" s="564" t="str">
        <f>IF(S1613&lt;&gt;0,VLOOKUP(S1613,VKT!$A$2:$G$415,7,0),"")</f>
        <v/>
      </c>
      <c r="X1613" s="564" t="str">
        <f t="shared" si="351"/>
        <v xml:space="preserve"> </v>
      </c>
      <c r="Y1613" s="650"/>
      <c r="Z1613" s="586"/>
      <c r="AA1613" s="742"/>
      <c r="AB1613" s="586"/>
      <c r="AC1613" s="586"/>
      <c r="AD1613" s="586"/>
      <c r="AE1613" s="586"/>
      <c r="AF1613" s="714"/>
      <c r="AG1613" s="570" t="str">
        <f>IF(AE1613&lt;&gt;0,VLOOKUP(AE1613,ODDS!$A$2:$C$13,3,0),"")</f>
        <v/>
      </c>
      <c r="AH1613" s="570" t="str">
        <f t="shared" si="346"/>
        <v xml:space="preserve"> </v>
      </c>
      <c r="AI1613" s="571" t="str">
        <f t="shared" si="353"/>
        <v xml:space="preserve"> </v>
      </c>
      <c r="AJ1613" s="586" t="s">
        <v>2235</v>
      </c>
      <c r="AK1613" s="586"/>
    </row>
    <row r="1614" spans="1:39" s="394" customFormat="1" ht="20.25" outlineLevel="2" x14ac:dyDescent="0.3">
      <c r="A1614" s="447">
        <f t="shared" si="354"/>
        <v>132</v>
      </c>
      <c r="B1614" s="557"/>
      <c r="C1614" s="572"/>
      <c r="D1614" s="700"/>
      <c r="E1614" s="612"/>
      <c r="F1614" s="612"/>
      <c r="G1614" s="586"/>
      <c r="H1614" s="709"/>
      <c r="I1614" s="546"/>
      <c r="J1614" s="558"/>
      <c r="K1614" s="563" t="str">
        <f>IF(G1614&lt;&gt;0,VLOOKUP(G1614,'gia dat'!$A$1:$F$144,5,0)," ")</f>
        <v xml:space="preserve"> </v>
      </c>
      <c r="L1614" s="563" t="str">
        <f>IF(G1614&lt;&gt;0,VLOOKUP(G1614,'gia dat'!$A$1:$F$144,6,0)," ")</f>
        <v xml:space="preserve"> </v>
      </c>
      <c r="M1614" s="564" t="str">
        <f t="shared" si="355"/>
        <v xml:space="preserve"> </v>
      </c>
      <c r="N1614" s="564" t="str">
        <f t="shared" si="356"/>
        <v xml:space="preserve"> </v>
      </c>
      <c r="O1614" s="572" t="s">
        <v>69</v>
      </c>
      <c r="P1614" s="740">
        <v>3</v>
      </c>
      <c r="Q1614" s="564">
        <f>IF(O1614&lt;&gt;0,VLOOKUP(O1614,'Cây trong'!$A$2:$C$246,3,0)," ")</f>
        <v>211000</v>
      </c>
      <c r="R1614" s="564">
        <f t="shared" si="345"/>
        <v>633000</v>
      </c>
      <c r="S1614" s="572"/>
      <c r="T1614" s="609"/>
      <c r="U1614" s="741"/>
      <c r="V1614" s="586"/>
      <c r="W1614" s="564" t="str">
        <f>IF(S1614&lt;&gt;0,VLOOKUP(S1614,VKT!$A$2:$G$415,7,0),"")</f>
        <v/>
      </c>
      <c r="X1614" s="564" t="str">
        <f t="shared" si="351"/>
        <v xml:space="preserve"> </v>
      </c>
      <c r="Y1614" s="650"/>
      <c r="Z1614" s="586"/>
      <c r="AA1614" s="742"/>
      <c r="AB1614" s="586"/>
      <c r="AC1614" s="586"/>
      <c r="AD1614" s="586"/>
      <c r="AE1614" s="586"/>
      <c r="AF1614" s="714"/>
      <c r="AG1614" s="570" t="str">
        <f>IF(AE1614&lt;&gt;0,VLOOKUP(AE1614,ODDS!$A$2:$C$13,3,0),"")</f>
        <v/>
      </c>
      <c r="AH1614" s="570" t="str">
        <f t="shared" si="346"/>
        <v xml:space="preserve"> </v>
      </c>
      <c r="AI1614" s="571" t="str">
        <f t="shared" si="353"/>
        <v xml:space="preserve"> </v>
      </c>
      <c r="AJ1614" s="731"/>
      <c r="AK1614" s="586"/>
    </row>
    <row r="1615" spans="1:39" s="394" customFormat="1" ht="20.25" outlineLevel="2" x14ac:dyDescent="0.3">
      <c r="A1615" s="447">
        <f t="shared" si="354"/>
        <v>132</v>
      </c>
      <c r="B1615" s="557"/>
      <c r="C1615" s="572"/>
      <c r="D1615" s="700"/>
      <c r="E1615" s="612"/>
      <c r="F1615" s="612"/>
      <c r="G1615" s="586"/>
      <c r="H1615" s="709"/>
      <c r="I1615" s="546"/>
      <c r="J1615" s="558"/>
      <c r="K1615" s="563" t="str">
        <f>IF(G1615&lt;&gt;0,VLOOKUP(G1615,'gia dat'!$A$1:$F$144,5,0)," ")</f>
        <v xml:space="preserve"> </v>
      </c>
      <c r="L1615" s="563" t="str">
        <f>IF(G1615&lt;&gt;0,VLOOKUP(G1615,'gia dat'!$A$1:$F$144,6,0)," ")</f>
        <v xml:space="preserve"> </v>
      </c>
      <c r="M1615" s="564" t="str">
        <f t="shared" si="355"/>
        <v xml:space="preserve"> </v>
      </c>
      <c r="N1615" s="564" t="str">
        <f t="shared" si="356"/>
        <v xml:space="preserve"> </v>
      </c>
      <c r="O1615" s="572" t="s">
        <v>131</v>
      </c>
      <c r="P1615" s="740">
        <v>1</v>
      </c>
      <c r="Q1615" s="564">
        <f>IF(O1615&lt;&gt;0,VLOOKUP(O1615,'Cây trong'!$A$2:$C$246,3,0)," ")</f>
        <v>228000</v>
      </c>
      <c r="R1615" s="564">
        <f t="shared" si="345"/>
        <v>228000</v>
      </c>
      <c r="S1615" s="572"/>
      <c r="T1615" s="609"/>
      <c r="U1615" s="741"/>
      <c r="V1615" s="586"/>
      <c r="W1615" s="564" t="str">
        <f>IF(S1615&lt;&gt;0,VLOOKUP(S1615,VKT!$A$2:$G$415,7,0),"")</f>
        <v/>
      </c>
      <c r="X1615" s="564" t="str">
        <f t="shared" si="351"/>
        <v xml:space="preserve"> </v>
      </c>
      <c r="Y1615" s="650"/>
      <c r="Z1615" s="586"/>
      <c r="AA1615" s="742"/>
      <c r="AB1615" s="586"/>
      <c r="AC1615" s="586"/>
      <c r="AD1615" s="586"/>
      <c r="AE1615" s="586"/>
      <c r="AF1615" s="714"/>
      <c r="AG1615" s="570" t="str">
        <f>IF(AE1615&lt;&gt;0,VLOOKUP(AE1615,ODDS!$A$2:$C$13,3,0),"")</f>
        <v/>
      </c>
      <c r="AH1615" s="570" t="str">
        <f t="shared" si="346"/>
        <v xml:space="preserve"> </v>
      </c>
      <c r="AI1615" s="571" t="str">
        <f t="shared" si="353"/>
        <v xml:space="preserve"> </v>
      </c>
      <c r="AJ1615" s="586"/>
      <c r="AK1615" s="586"/>
    </row>
    <row r="1616" spans="1:39" s="394" customFormat="1" ht="40.5" outlineLevel="2" x14ac:dyDescent="0.3">
      <c r="A1616" s="447">
        <f t="shared" si="354"/>
        <v>132</v>
      </c>
      <c r="B1616" s="557"/>
      <c r="C1616" s="572"/>
      <c r="D1616" s="700"/>
      <c r="E1616" s="612"/>
      <c r="F1616" s="612"/>
      <c r="G1616" s="586"/>
      <c r="H1616" s="709"/>
      <c r="I1616" s="546"/>
      <c r="J1616" s="558"/>
      <c r="K1616" s="563" t="str">
        <f>IF(G1616&lt;&gt;0,VLOOKUP(G1616,'gia dat'!$A$1:$F$144,5,0)," ")</f>
        <v xml:space="preserve"> </v>
      </c>
      <c r="L1616" s="563" t="str">
        <f>IF(G1616&lt;&gt;0,VLOOKUP(G1616,'gia dat'!$A$1:$F$144,6,0)," ")</f>
        <v xml:space="preserve"> </v>
      </c>
      <c r="M1616" s="564" t="str">
        <f t="shared" si="355"/>
        <v xml:space="preserve"> </v>
      </c>
      <c r="N1616" s="564" t="str">
        <f t="shared" si="356"/>
        <v xml:space="preserve"> </v>
      </c>
      <c r="O1616" s="572" t="s">
        <v>1156</v>
      </c>
      <c r="P1616" s="740">
        <v>1</v>
      </c>
      <c r="Q1616" s="564">
        <f>IF(O1616&lt;&gt;0,VLOOKUP(O1616,'Cây trong'!$A$2:$C$246,3,0)," ")</f>
        <v>294000</v>
      </c>
      <c r="R1616" s="564">
        <f t="shared" si="345"/>
        <v>294000</v>
      </c>
      <c r="S1616" s="572"/>
      <c r="T1616" s="609"/>
      <c r="U1616" s="741"/>
      <c r="V1616" s="586"/>
      <c r="W1616" s="564" t="str">
        <f>IF(S1616&lt;&gt;0,VLOOKUP(S1616,VKT!$A$2:$G$415,7,0),"")</f>
        <v/>
      </c>
      <c r="X1616" s="564" t="str">
        <f t="shared" si="351"/>
        <v xml:space="preserve"> </v>
      </c>
      <c r="Y1616" s="650"/>
      <c r="Z1616" s="586"/>
      <c r="AA1616" s="742"/>
      <c r="AB1616" s="586"/>
      <c r="AC1616" s="586"/>
      <c r="AD1616" s="586"/>
      <c r="AE1616" s="586"/>
      <c r="AF1616" s="714"/>
      <c r="AG1616" s="570" t="str">
        <f>IF(AE1616&lt;&gt;0,VLOOKUP(AE1616,ODDS!$A$2:$C$13,3,0),"")</f>
        <v/>
      </c>
      <c r="AH1616" s="570" t="str">
        <f t="shared" si="346"/>
        <v xml:space="preserve"> </v>
      </c>
      <c r="AI1616" s="571" t="str">
        <f t="shared" si="353"/>
        <v xml:space="preserve"> </v>
      </c>
      <c r="AJ1616" s="743"/>
      <c r="AK1616" s="743"/>
    </row>
    <row r="1617" spans="1:37" s="394" customFormat="1" ht="20.25" outlineLevel="2" x14ac:dyDescent="0.3">
      <c r="A1617" s="447">
        <f t="shared" si="354"/>
        <v>132</v>
      </c>
      <c r="B1617" s="557"/>
      <c r="C1617" s="572"/>
      <c r="D1617" s="700"/>
      <c r="E1617" s="612"/>
      <c r="F1617" s="612"/>
      <c r="G1617" s="586"/>
      <c r="H1617" s="709"/>
      <c r="I1617" s="546"/>
      <c r="J1617" s="558"/>
      <c r="K1617" s="563" t="str">
        <f>IF(G1617&lt;&gt;0,VLOOKUP(G1617,'gia dat'!$A$1:$F$144,5,0)," ")</f>
        <v xml:space="preserve"> </v>
      </c>
      <c r="L1617" s="563" t="str">
        <f>IF(G1617&lt;&gt;0,VLOOKUP(G1617,'gia dat'!$A$1:$F$144,6,0)," ")</f>
        <v xml:space="preserve"> </v>
      </c>
      <c r="M1617" s="564" t="str">
        <f t="shared" si="355"/>
        <v xml:space="preserve"> </v>
      </c>
      <c r="N1617" s="564" t="str">
        <f t="shared" si="356"/>
        <v xml:space="preserve"> </v>
      </c>
      <c r="O1617" s="572"/>
      <c r="P1617" s="740"/>
      <c r="Q1617" s="564" t="str">
        <f>IF(O1617&lt;&gt;0,VLOOKUP(O1617,'Cây trong'!$A$2:$C$246,3,0)," ")</f>
        <v xml:space="preserve"> </v>
      </c>
      <c r="R1617" s="564" t="str">
        <f t="shared" si="345"/>
        <v xml:space="preserve"> </v>
      </c>
      <c r="S1617" s="572"/>
      <c r="T1617" s="609"/>
      <c r="U1617" s="741"/>
      <c r="V1617" s="586"/>
      <c r="W1617" s="564" t="str">
        <f>IF(S1617&lt;&gt;0,VLOOKUP(S1617,VKT!$A$2:$G$415,7,0),"")</f>
        <v/>
      </c>
      <c r="X1617" s="564" t="str">
        <f t="shared" si="351"/>
        <v xml:space="preserve"> </v>
      </c>
      <c r="Y1617" s="650"/>
      <c r="Z1617" s="586"/>
      <c r="AA1617" s="742"/>
      <c r="AB1617" s="586"/>
      <c r="AC1617" s="586"/>
      <c r="AD1617" s="586"/>
      <c r="AE1617" s="586"/>
      <c r="AF1617" s="714"/>
      <c r="AG1617" s="570" t="str">
        <f>IF(AE1617&lt;&gt;0,VLOOKUP(AE1617,ODDS!$A$2:$C$13,3,0),"")</f>
        <v/>
      </c>
      <c r="AH1617" s="570" t="str">
        <f t="shared" si="346"/>
        <v xml:space="preserve"> </v>
      </c>
      <c r="AI1617" s="571" t="str">
        <f t="shared" si="353"/>
        <v xml:space="preserve"> </v>
      </c>
      <c r="AJ1617" s="572"/>
      <c r="AK1617" s="572"/>
    </row>
    <row r="1618" spans="1:37" s="394" customFormat="1" ht="20.25" outlineLevel="2" x14ac:dyDescent="0.3">
      <c r="A1618" s="447">
        <f t="shared" si="354"/>
        <v>132</v>
      </c>
      <c r="B1618" s="557"/>
      <c r="C1618" s="572"/>
      <c r="D1618" s="700"/>
      <c r="E1618" s="612"/>
      <c r="F1618" s="612"/>
      <c r="G1618" s="586"/>
      <c r="H1618" s="709"/>
      <c r="I1618" s="546"/>
      <c r="J1618" s="558"/>
      <c r="K1618" s="563" t="str">
        <f>IF(G1618&lt;&gt;0,VLOOKUP(G1618,'gia dat'!$A$1:$F$144,5,0)," ")</f>
        <v xml:space="preserve"> </v>
      </c>
      <c r="L1618" s="563" t="str">
        <f>IF(G1618&lt;&gt;0,VLOOKUP(G1618,'gia dat'!$A$1:$F$144,6,0)," ")</f>
        <v xml:space="preserve"> </v>
      </c>
      <c r="M1618" s="564" t="str">
        <f t="shared" si="355"/>
        <v xml:space="preserve"> </v>
      </c>
      <c r="N1618" s="564" t="str">
        <f t="shared" si="356"/>
        <v xml:space="preserve"> </v>
      </c>
      <c r="O1618" s="572"/>
      <c r="P1618" s="740"/>
      <c r="Q1618" s="564" t="str">
        <f>IF(O1618&lt;&gt;0,VLOOKUP(O1618,'Cây trong'!$A$2:$C$246,3,0)," ")</f>
        <v xml:space="preserve"> </v>
      </c>
      <c r="R1618" s="564" t="str">
        <f t="shared" si="345"/>
        <v xml:space="preserve"> </v>
      </c>
      <c r="S1618" s="572"/>
      <c r="T1618" s="609"/>
      <c r="U1618" s="741"/>
      <c r="V1618" s="586"/>
      <c r="W1618" s="564" t="str">
        <f>IF(S1618&lt;&gt;0,VLOOKUP(S1618,VKT!$A$2:$G$415,7,0),"")</f>
        <v/>
      </c>
      <c r="X1618" s="564" t="str">
        <f t="shared" si="351"/>
        <v xml:space="preserve"> </v>
      </c>
      <c r="Y1618" s="650"/>
      <c r="Z1618" s="586"/>
      <c r="AA1618" s="742"/>
      <c r="AB1618" s="586"/>
      <c r="AC1618" s="586"/>
      <c r="AD1618" s="586"/>
      <c r="AE1618" s="586"/>
      <c r="AF1618" s="714"/>
      <c r="AG1618" s="570" t="str">
        <f>IF(AE1618&lt;&gt;0,VLOOKUP(AE1618,ODDS!$A$2:$C$13,3,0),"")</f>
        <v/>
      </c>
      <c r="AH1618" s="570" t="str">
        <f t="shared" si="346"/>
        <v xml:space="preserve"> </v>
      </c>
      <c r="AI1618" s="571" t="str">
        <f t="shared" si="353"/>
        <v xml:space="preserve"> </v>
      </c>
      <c r="AJ1618" s="558"/>
      <c r="AK1618" s="558"/>
    </row>
    <row r="1619" spans="1:37" s="394" customFormat="1" ht="20.25" outlineLevel="2" x14ac:dyDescent="0.3">
      <c r="A1619" s="447">
        <f t="shared" si="354"/>
        <v>132</v>
      </c>
      <c r="B1619" s="557"/>
      <c r="C1619" s="572"/>
      <c r="D1619" s="700"/>
      <c r="E1619" s="612"/>
      <c r="F1619" s="612"/>
      <c r="G1619" s="586"/>
      <c r="H1619" s="709"/>
      <c r="I1619" s="546"/>
      <c r="J1619" s="558"/>
      <c r="K1619" s="563" t="str">
        <f>IF(G1619&lt;&gt;0,VLOOKUP(G1619,'gia dat'!$A$1:$F$144,5,0)," ")</f>
        <v xml:space="preserve"> </v>
      </c>
      <c r="L1619" s="563" t="str">
        <f>IF(G1619&lt;&gt;0,VLOOKUP(G1619,'gia dat'!$A$1:$F$144,6,0)," ")</f>
        <v xml:space="preserve"> </v>
      </c>
      <c r="M1619" s="564" t="str">
        <f t="shared" si="355"/>
        <v xml:space="preserve"> </v>
      </c>
      <c r="N1619" s="564" t="str">
        <f t="shared" si="356"/>
        <v xml:space="preserve"> </v>
      </c>
      <c r="O1619" s="572"/>
      <c r="P1619" s="740"/>
      <c r="Q1619" s="564" t="str">
        <f>IF(O1619&lt;&gt;0,VLOOKUP(O1619,'Cây trong'!$A$2:$C$246,3,0)," ")</f>
        <v xml:space="preserve"> </v>
      </c>
      <c r="R1619" s="564" t="str">
        <f t="shared" si="345"/>
        <v xml:space="preserve"> </v>
      </c>
      <c r="S1619" s="572"/>
      <c r="T1619" s="609"/>
      <c r="U1619" s="741"/>
      <c r="V1619" s="586"/>
      <c r="W1619" s="564" t="str">
        <f>IF(S1619&lt;&gt;0,VLOOKUP(S1619,VKT!$A$2:$G$415,7,0),"")</f>
        <v/>
      </c>
      <c r="X1619" s="564" t="str">
        <f t="shared" si="351"/>
        <v xml:space="preserve"> </v>
      </c>
      <c r="Y1619" s="650"/>
      <c r="Z1619" s="586"/>
      <c r="AA1619" s="742"/>
      <c r="AB1619" s="586"/>
      <c r="AC1619" s="586"/>
      <c r="AD1619" s="586"/>
      <c r="AE1619" s="586"/>
      <c r="AF1619" s="714"/>
      <c r="AG1619" s="570" t="str">
        <f>IF(AE1619&lt;&gt;0,VLOOKUP(AE1619,ODDS!$A$2:$C$13,3,0),"")</f>
        <v/>
      </c>
      <c r="AH1619" s="570" t="str">
        <f t="shared" si="346"/>
        <v xml:space="preserve"> </v>
      </c>
      <c r="AI1619" s="571" t="str">
        <f t="shared" si="353"/>
        <v xml:space="preserve"> </v>
      </c>
      <c r="AJ1619" s="558"/>
      <c r="AK1619" s="558"/>
    </row>
    <row r="1620" spans="1:37" s="394" customFormat="1" ht="20.25" outlineLevel="2" x14ac:dyDescent="0.3">
      <c r="A1620" s="447">
        <f t="shared" si="354"/>
        <v>132</v>
      </c>
      <c r="B1620" s="557"/>
      <c r="C1620" s="572"/>
      <c r="D1620" s="700"/>
      <c r="E1620" s="612"/>
      <c r="F1620" s="612"/>
      <c r="G1620" s="586"/>
      <c r="H1620" s="709"/>
      <c r="I1620" s="546"/>
      <c r="J1620" s="558"/>
      <c r="K1620" s="563" t="str">
        <f>IF(G1620&lt;&gt;0,VLOOKUP(G1620,'gia dat'!$A$1:$F$144,5,0)," ")</f>
        <v xml:space="preserve"> </v>
      </c>
      <c r="L1620" s="563" t="str">
        <f>IF(G1620&lt;&gt;0,VLOOKUP(G1620,'gia dat'!$A$1:$F$144,6,0)," ")</f>
        <v xml:space="preserve"> </v>
      </c>
      <c r="M1620" s="564" t="str">
        <f t="shared" si="355"/>
        <v xml:space="preserve"> </v>
      </c>
      <c r="N1620" s="564" t="str">
        <f t="shared" si="356"/>
        <v xml:space="preserve"> </v>
      </c>
      <c r="O1620" s="572"/>
      <c r="P1620" s="740"/>
      <c r="Q1620" s="564" t="str">
        <f>IF(O1620&lt;&gt;0,VLOOKUP(O1620,'Cây trong'!$A$2:$C$246,3,0)," ")</f>
        <v xml:space="preserve"> </v>
      </c>
      <c r="R1620" s="564" t="str">
        <f t="shared" si="345"/>
        <v xml:space="preserve"> </v>
      </c>
      <c r="S1620" s="572"/>
      <c r="T1620" s="609"/>
      <c r="U1620" s="741"/>
      <c r="V1620" s="586"/>
      <c r="W1620" s="564" t="str">
        <f>IF(S1620&lt;&gt;0,VLOOKUP(S1620,VKT!$A$2:$G$415,7,0),"")</f>
        <v/>
      </c>
      <c r="X1620" s="564" t="str">
        <f t="shared" si="351"/>
        <v xml:space="preserve"> </v>
      </c>
      <c r="Y1620" s="650"/>
      <c r="Z1620" s="586"/>
      <c r="AA1620" s="742"/>
      <c r="AB1620" s="586"/>
      <c r="AC1620" s="586"/>
      <c r="AD1620" s="586"/>
      <c r="AE1620" s="586"/>
      <c r="AF1620" s="714"/>
      <c r="AG1620" s="570" t="str">
        <f>IF(AE1620&lt;&gt;0,VLOOKUP(AE1620,ODDS!$A$2:$C$13,3,0),"")</f>
        <v/>
      </c>
      <c r="AH1620" s="570" t="str">
        <f t="shared" si="346"/>
        <v xml:space="preserve"> </v>
      </c>
      <c r="AI1620" s="571" t="str">
        <f t="shared" si="353"/>
        <v xml:space="preserve"> </v>
      </c>
      <c r="AJ1620" s="558"/>
      <c r="AK1620" s="558"/>
    </row>
    <row r="1621" spans="1:37" s="394" customFormat="1" ht="20.25" outlineLevel="2" x14ac:dyDescent="0.3">
      <c r="A1621" s="447">
        <f t="shared" si="354"/>
        <v>132</v>
      </c>
      <c r="B1621" s="557"/>
      <c r="C1621" s="607"/>
      <c r="D1621" s="700"/>
      <c r="E1621" s="612"/>
      <c r="F1621" s="612"/>
      <c r="G1621" s="586"/>
      <c r="H1621" s="709"/>
      <c r="I1621" s="546"/>
      <c r="J1621" s="558"/>
      <c r="K1621" s="563" t="str">
        <f>IF(G1621&lt;&gt;0,VLOOKUP(G1621,'gia dat'!$A$1:$F$144,5,0)," ")</f>
        <v xml:space="preserve"> </v>
      </c>
      <c r="L1621" s="563" t="str">
        <f>IF(G1621&lt;&gt;0,VLOOKUP(G1621,'gia dat'!$A$1:$F$144,6,0)," ")</f>
        <v xml:space="preserve"> </v>
      </c>
      <c r="M1621" s="564" t="str">
        <f t="shared" si="355"/>
        <v xml:space="preserve"> </v>
      </c>
      <c r="N1621" s="564" t="str">
        <f t="shared" si="356"/>
        <v xml:space="preserve"> </v>
      </c>
      <c r="O1621" s="572"/>
      <c r="P1621" s="740"/>
      <c r="Q1621" s="564" t="str">
        <f>IF(O1621&lt;&gt;0,VLOOKUP(O1621,'Cây trong'!$A$2:$C$246,3,0)," ")</f>
        <v xml:space="preserve"> </v>
      </c>
      <c r="R1621" s="564" t="str">
        <f t="shared" si="345"/>
        <v xml:space="preserve"> </v>
      </c>
      <c r="S1621" s="572"/>
      <c r="T1621" s="609"/>
      <c r="U1621" s="741"/>
      <c r="V1621" s="586"/>
      <c r="W1621" s="564" t="str">
        <f>IF(S1621&lt;&gt;0,VLOOKUP(S1621,VKT!$A$2:$G$415,7,0),"")</f>
        <v/>
      </c>
      <c r="X1621" s="564" t="str">
        <f t="shared" si="351"/>
        <v xml:space="preserve"> </v>
      </c>
      <c r="Y1621" s="650"/>
      <c r="Z1621" s="586"/>
      <c r="AA1621" s="742"/>
      <c r="AB1621" s="586"/>
      <c r="AC1621" s="586"/>
      <c r="AD1621" s="586"/>
      <c r="AE1621" s="586"/>
      <c r="AF1621" s="714"/>
      <c r="AG1621" s="570" t="str">
        <f>IF(AE1621&lt;&gt;0,VLOOKUP(AE1621,ODDS!$A$2:$C$13,3,0),"")</f>
        <v/>
      </c>
      <c r="AH1621" s="570" t="str">
        <f t="shared" si="346"/>
        <v xml:space="preserve"> </v>
      </c>
      <c r="AI1621" s="571" t="str">
        <f t="shared" si="353"/>
        <v xml:space="preserve"> </v>
      </c>
      <c r="AJ1621" s="586"/>
      <c r="AK1621" s="586"/>
    </row>
    <row r="1622" spans="1:37" s="396" customFormat="1" ht="40.5" outlineLevel="1" x14ac:dyDescent="0.25">
      <c r="A1622" s="467" t="s">
        <v>2577</v>
      </c>
      <c r="B1622" s="576">
        <v>133</v>
      </c>
      <c r="C1622" s="607" t="s">
        <v>1157</v>
      </c>
      <c r="D1622" s="706"/>
      <c r="E1622" s="642"/>
      <c r="F1622" s="642"/>
      <c r="G1622" s="578"/>
      <c r="H1622" s="707">
        <f>SUBTOTAL(9,H1623:H1630)</f>
        <v>14.8</v>
      </c>
      <c r="I1622" s="579">
        <f>SUBTOTAL(9,I1623:I1628)</f>
        <v>0</v>
      </c>
      <c r="J1622" s="580"/>
      <c r="K1622" s="581"/>
      <c r="L1622" s="581"/>
      <c r="M1622" s="571">
        <f>SUBTOTAL(9,M1623:M1630)</f>
        <v>6891000</v>
      </c>
      <c r="N1622" s="571">
        <f>SUBTOTAL(9,N1623:N1630)</f>
        <v>0</v>
      </c>
      <c r="O1622" s="607"/>
      <c r="P1622" s="738">
        <f>SUBTOTAL(9,P1623:P1630)</f>
        <v>0</v>
      </c>
      <c r="Q1622" s="571"/>
      <c r="R1622" s="571">
        <f>SUBTOTAL(9,R1623:R1630)</f>
        <v>0</v>
      </c>
      <c r="S1622" s="582"/>
      <c r="T1622" s="621"/>
      <c r="U1622" s="739">
        <f>SUBTOTAL(9,U1623:U1630)</f>
        <v>0</v>
      </c>
      <c r="V1622" s="578"/>
      <c r="W1622" s="571"/>
      <c r="X1622" s="571">
        <f>SUBTOTAL(9,X1623:X1630)</f>
        <v>0</v>
      </c>
      <c r="Y1622" s="650"/>
      <c r="Z1622" s="586"/>
      <c r="AA1622" s="742"/>
      <c r="AB1622" s="586"/>
      <c r="AC1622" s="586"/>
      <c r="AD1622" s="586"/>
      <c r="AE1622" s="578"/>
      <c r="AF1622" s="712">
        <f>SUBTOTAL(9,AF1623:AF1630)</f>
        <v>0</v>
      </c>
      <c r="AG1622" s="585"/>
      <c r="AH1622" s="585">
        <f>SUBTOTAL(9,AH1623:AH1630)</f>
        <v>0</v>
      </c>
      <c r="AI1622" s="571">
        <f t="shared" si="353"/>
        <v>6891000</v>
      </c>
      <c r="AJ1622" s="578"/>
      <c r="AK1622" s="578"/>
    </row>
    <row r="1623" spans="1:37" s="396" customFormat="1" ht="121.5" outlineLevel="2" x14ac:dyDescent="0.3">
      <c r="A1623" s="447">
        <f>IF(B1622&lt;&gt;0,B1622,A1621)</f>
        <v>133</v>
      </c>
      <c r="B1623" s="557"/>
      <c r="C1623" s="572" t="s">
        <v>1159</v>
      </c>
      <c r="D1623" s="700"/>
      <c r="E1623" s="612">
        <v>86</v>
      </c>
      <c r="F1623" s="612">
        <v>147</v>
      </c>
      <c r="G1623" s="586" t="s">
        <v>2870</v>
      </c>
      <c r="H1623" s="709">
        <f>14.8</f>
        <v>14.8</v>
      </c>
      <c r="I1623" s="546" t="str">
        <f t="shared" ref="I1623" si="357">IF(N1623&gt;0,H1623,"")</f>
        <v/>
      </c>
      <c r="J1623" s="562"/>
      <c r="K1623" s="563">
        <f>IF(G1623&lt;&gt;0,VLOOKUP(G1623,'gia dat'!$A$1:$F$144,5,0)," ")</f>
        <v>465600</v>
      </c>
      <c r="L1623" s="563">
        <f>IF(G1623&lt;&gt;0,VLOOKUP(G1623,'gia dat'!$A$1:$F$144,6,0)," ")</f>
        <v>0</v>
      </c>
      <c r="M1623" s="564">
        <f t="shared" si="355"/>
        <v>6891000</v>
      </c>
      <c r="N1623" s="564">
        <f t="shared" si="356"/>
        <v>0</v>
      </c>
      <c r="O1623" s="572"/>
      <c r="P1623" s="740"/>
      <c r="Q1623" s="564" t="str">
        <f>IF(O1623&lt;&gt;0,VLOOKUP(O1623,'Cây trong'!$A$2:$C$246,3,0)," ")</f>
        <v xml:space="preserve"> </v>
      </c>
      <c r="R1623" s="564" t="str">
        <f t="shared" si="345"/>
        <v xml:space="preserve"> </v>
      </c>
      <c r="S1623" s="566"/>
      <c r="T1623" s="609"/>
      <c r="U1623" s="741"/>
      <c r="V1623" s="586"/>
      <c r="W1623" s="564" t="str">
        <f>IF(S1623&lt;&gt;0,VLOOKUP(S1623,VKT!$A$2:$G$415,7,0),"")</f>
        <v/>
      </c>
      <c r="X1623" s="564" t="str">
        <f t="shared" si="351"/>
        <v xml:space="preserve"> </v>
      </c>
      <c r="Y1623" s="650"/>
      <c r="Z1623" s="586"/>
      <c r="AA1623" s="742"/>
      <c r="AB1623" s="586"/>
      <c r="AC1623" s="586"/>
      <c r="AD1623" s="586"/>
      <c r="AE1623" s="586"/>
      <c r="AF1623" s="714"/>
      <c r="AG1623" s="570" t="str">
        <f>IF(AE1623&lt;&gt;0,VLOOKUP(AE1623,ODDS!$A$2:$C$13,3,0),"")</f>
        <v/>
      </c>
      <c r="AH1623" s="570" t="str">
        <f t="shared" si="346"/>
        <v xml:space="preserve"> </v>
      </c>
      <c r="AI1623" s="571" t="str">
        <f t="shared" si="353"/>
        <v xml:space="preserve"> </v>
      </c>
      <c r="AJ1623" s="586" t="s">
        <v>1158</v>
      </c>
      <c r="AK1623" s="586" t="s">
        <v>2771</v>
      </c>
    </row>
    <row r="1624" spans="1:37" s="394" customFormat="1" ht="101.25" outlineLevel="2" x14ac:dyDescent="0.3">
      <c r="A1624" s="447">
        <f t="shared" ref="A1624:A1630" si="358">IF(B1623&lt;&gt;0,B1623,A1623)</f>
        <v>133</v>
      </c>
      <c r="B1624" s="557"/>
      <c r="C1624" s="572" t="s">
        <v>1597</v>
      </c>
      <c r="D1624" s="700"/>
      <c r="E1624" s="612"/>
      <c r="F1624" s="612"/>
      <c r="G1624" s="586"/>
      <c r="H1624" s="709"/>
      <c r="I1624" s="546"/>
      <c r="J1624" s="562"/>
      <c r="K1624" s="563" t="str">
        <f>IF(G1624&lt;&gt;0,VLOOKUP(G1624,'gia dat'!$A$1:$F$144,5,0)," ")</f>
        <v xml:space="preserve"> </v>
      </c>
      <c r="L1624" s="563" t="str">
        <f>IF(G1624&lt;&gt;0,VLOOKUP(G1624,'gia dat'!$A$1:$F$144,6,0)," ")</f>
        <v xml:space="preserve"> </v>
      </c>
      <c r="M1624" s="564" t="str">
        <f t="shared" si="355"/>
        <v xml:space="preserve"> </v>
      </c>
      <c r="N1624" s="564" t="str">
        <f t="shared" si="356"/>
        <v xml:space="preserve"> </v>
      </c>
      <c r="O1624" s="572"/>
      <c r="P1624" s="740"/>
      <c r="Q1624" s="564" t="str">
        <f>IF(O1624&lt;&gt;0,VLOOKUP(O1624,'Cây trong'!$A$2:$C$246,3,0)," ")</f>
        <v xml:space="preserve"> </v>
      </c>
      <c r="R1624" s="564" t="str">
        <f t="shared" si="345"/>
        <v xml:space="preserve"> </v>
      </c>
      <c r="S1624" s="566"/>
      <c r="T1624" s="609"/>
      <c r="U1624" s="741"/>
      <c r="V1624" s="586"/>
      <c r="W1624" s="564" t="str">
        <f>IF(S1624&lt;&gt;0,VLOOKUP(S1624,VKT!$A$2:$G$415,7,0),"")</f>
        <v/>
      </c>
      <c r="X1624" s="564" t="str">
        <f t="shared" si="351"/>
        <v xml:space="preserve"> </v>
      </c>
      <c r="Y1624" s="650"/>
      <c r="Z1624" s="586"/>
      <c r="AA1624" s="742"/>
      <c r="AB1624" s="586"/>
      <c r="AC1624" s="586"/>
      <c r="AD1624" s="586"/>
      <c r="AE1624" s="586"/>
      <c r="AF1624" s="714"/>
      <c r="AG1624" s="570" t="str">
        <f>IF(AE1624&lt;&gt;0,VLOOKUP(AE1624,ODDS!$A$2:$C$13,3,0),"")</f>
        <v/>
      </c>
      <c r="AH1624" s="570" t="str">
        <f t="shared" si="346"/>
        <v xml:space="preserve"> </v>
      </c>
      <c r="AI1624" s="571" t="str">
        <f t="shared" si="353"/>
        <v xml:space="preserve"> </v>
      </c>
      <c r="AJ1624" s="586" t="s">
        <v>1160</v>
      </c>
      <c r="AK1624" s="586"/>
    </row>
    <row r="1625" spans="1:37" s="394" customFormat="1" ht="101.25" outlineLevel="2" x14ac:dyDescent="0.3">
      <c r="A1625" s="447">
        <f t="shared" si="358"/>
        <v>133</v>
      </c>
      <c r="B1625" s="557"/>
      <c r="C1625" s="572"/>
      <c r="D1625" s="700"/>
      <c r="E1625" s="612"/>
      <c r="F1625" s="612"/>
      <c r="G1625" s="586"/>
      <c r="H1625" s="709"/>
      <c r="I1625" s="546"/>
      <c r="J1625" s="562"/>
      <c r="K1625" s="563" t="str">
        <f>IF(G1625&lt;&gt;0,VLOOKUP(G1625,'gia dat'!$A$1:$F$144,5,0)," ")</f>
        <v xml:space="preserve"> </v>
      </c>
      <c r="L1625" s="563" t="str">
        <f>IF(G1625&lt;&gt;0,VLOOKUP(G1625,'gia dat'!$A$1:$F$144,6,0)," ")</f>
        <v xml:space="preserve"> </v>
      </c>
      <c r="M1625" s="564" t="str">
        <f t="shared" si="355"/>
        <v xml:space="preserve"> </v>
      </c>
      <c r="N1625" s="564" t="str">
        <f t="shared" si="356"/>
        <v xml:space="preserve"> </v>
      </c>
      <c r="O1625" s="572"/>
      <c r="P1625" s="740"/>
      <c r="Q1625" s="564" t="str">
        <f>IF(O1625&lt;&gt;0,VLOOKUP(O1625,'Cây trong'!$A$2:$C$246,3,0)," ")</f>
        <v xml:space="preserve"> </v>
      </c>
      <c r="R1625" s="564" t="str">
        <f t="shared" si="345"/>
        <v xml:space="preserve"> </v>
      </c>
      <c r="S1625" s="566"/>
      <c r="T1625" s="609"/>
      <c r="U1625" s="741"/>
      <c r="V1625" s="586"/>
      <c r="W1625" s="564" t="str">
        <f>IF(S1625&lt;&gt;0,VLOOKUP(S1625,VKT!$A$2:$G$415,7,0),"")</f>
        <v/>
      </c>
      <c r="X1625" s="564" t="str">
        <f t="shared" si="351"/>
        <v xml:space="preserve"> </v>
      </c>
      <c r="Y1625" s="650"/>
      <c r="Z1625" s="586"/>
      <c r="AA1625" s="742"/>
      <c r="AB1625" s="586"/>
      <c r="AC1625" s="586"/>
      <c r="AD1625" s="586"/>
      <c r="AE1625" s="586"/>
      <c r="AF1625" s="714"/>
      <c r="AG1625" s="570" t="str">
        <f>IF(AE1625&lt;&gt;0,VLOOKUP(AE1625,ODDS!$A$2:$C$13,3,0),"")</f>
        <v/>
      </c>
      <c r="AH1625" s="570" t="str">
        <f t="shared" si="346"/>
        <v xml:space="preserve"> </v>
      </c>
      <c r="AI1625" s="571" t="str">
        <f t="shared" si="353"/>
        <v xml:space="preserve"> </v>
      </c>
      <c r="AJ1625" s="586" t="s">
        <v>2235</v>
      </c>
      <c r="AK1625" s="558"/>
    </row>
    <row r="1626" spans="1:37" s="394" customFormat="1" ht="20.25" outlineLevel="2" x14ac:dyDescent="0.3">
      <c r="A1626" s="447">
        <f t="shared" si="358"/>
        <v>133</v>
      </c>
      <c r="B1626" s="557"/>
      <c r="C1626" s="572"/>
      <c r="D1626" s="700"/>
      <c r="E1626" s="612"/>
      <c r="F1626" s="612"/>
      <c r="G1626" s="586"/>
      <c r="H1626" s="709"/>
      <c r="I1626" s="546"/>
      <c r="J1626" s="558"/>
      <c r="K1626" s="563" t="str">
        <f>IF(G1626&lt;&gt;0,VLOOKUP(G1626,'gia dat'!$A$1:$F$144,5,0)," ")</f>
        <v xml:space="preserve"> </v>
      </c>
      <c r="L1626" s="563" t="str">
        <f>IF(G1626&lt;&gt;0,VLOOKUP(G1626,'gia dat'!$A$1:$F$144,6,0)," ")</f>
        <v xml:space="preserve"> </v>
      </c>
      <c r="M1626" s="564" t="str">
        <f t="shared" si="355"/>
        <v xml:space="preserve"> </v>
      </c>
      <c r="N1626" s="564" t="str">
        <f t="shared" si="356"/>
        <v xml:space="preserve"> </v>
      </c>
      <c r="O1626" s="572"/>
      <c r="P1626" s="740"/>
      <c r="Q1626" s="564" t="str">
        <f>IF(O1626&lt;&gt;0,VLOOKUP(O1626,'Cây trong'!$A$2:$C$246,3,0)," ")</f>
        <v xml:space="preserve"> </v>
      </c>
      <c r="R1626" s="564" t="str">
        <f t="shared" si="345"/>
        <v xml:space="preserve"> </v>
      </c>
      <c r="S1626" s="572"/>
      <c r="T1626" s="609"/>
      <c r="U1626" s="741"/>
      <c r="V1626" s="586"/>
      <c r="W1626" s="564" t="str">
        <f>IF(S1626&lt;&gt;0,VLOOKUP(S1626,VKT!$A$2:$G$415,7,0),"")</f>
        <v/>
      </c>
      <c r="X1626" s="564" t="str">
        <f t="shared" si="351"/>
        <v xml:space="preserve"> </v>
      </c>
      <c r="Y1626" s="650"/>
      <c r="Z1626" s="586"/>
      <c r="AA1626" s="742"/>
      <c r="AB1626" s="586"/>
      <c r="AC1626" s="586"/>
      <c r="AD1626" s="586"/>
      <c r="AE1626" s="586"/>
      <c r="AF1626" s="714"/>
      <c r="AG1626" s="570" t="str">
        <f>IF(AE1626&lt;&gt;0,VLOOKUP(AE1626,ODDS!$A$2:$C$13,3,0),"")</f>
        <v/>
      </c>
      <c r="AH1626" s="570" t="str">
        <f t="shared" si="346"/>
        <v xml:space="preserve"> </v>
      </c>
      <c r="AI1626" s="571" t="str">
        <f t="shared" si="353"/>
        <v xml:space="preserve"> </v>
      </c>
      <c r="AJ1626" s="731"/>
      <c r="AK1626" s="586"/>
    </row>
    <row r="1627" spans="1:37" s="394" customFormat="1" ht="20.25" outlineLevel="2" x14ac:dyDescent="0.3">
      <c r="A1627" s="447">
        <f t="shared" si="358"/>
        <v>133</v>
      </c>
      <c r="B1627" s="557"/>
      <c r="C1627" s="572"/>
      <c r="D1627" s="700"/>
      <c r="E1627" s="612"/>
      <c r="F1627" s="612"/>
      <c r="G1627" s="586"/>
      <c r="H1627" s="709"/>
      <c r="I1627" s="546"/>
      <c r="J1627" s="558"/>
      <c r="K1627" s="563" t="str">
        <f>IF(G1627&lt;&gt;0,VLOOKUP(G1627,'gia dat'!$A$1:$F$144,5,0)," ")</f>
        <v xml:space="preserve"> </v>
      </c>
      <c r="L1627" s="563" t="str">
        <f>IF(G1627&lt;&gt;0,VLOOKUP(G1627,'gia dat'!$A$1:$F$144,6,0)," ")</f>
        <v xml:space="preserve"> </v>
      </c>
      <c r="M1627" s="564" t="str">
        <f t="shared" si="355"/>
        <v xml:space="preserve"> </v>
      </c>
      <c r="N1627" s="564" t="str">
        <f t="shared" si="356"/>
        <v xml:space="preserve"> </v>
      </c>
      <c r="O1627" s="572"/>
      <c r="P1627" s="740"/>
      <c r="Q1627" s="564" t="str">
        <f>IF(O1627&lt;&gt;0,VLOOKUP(O1627,'Cây trong'!$A$2:$C$246,3,0)," ")</f>
        <v xml:space="preserve"> </v>
      </c>
      <c r="R1627" s="564" t="str">
        <f t="shared" si="345"/>
        <v xml:space="preserve"> </v>
      </c>
      <c r="S1627" s="572"/>
      <c r="T1627" s="609"/>
      <c r="U1627" s="741"/>
      <c r="V1627" s="586"/>
      <c r="W1627" s="564" t="str">
        <f>IF(S1627&lt;&gt;0,VLOOKUP(S1627,VKT!$A$2:$G$415,7,0),"")</f>
        <v/>
      </c>
      <c r="X1627" s="564" t="str">
        <f t="shared" si="351"/>
        <v xml:space="preserve"> </v>
      </c>
      <c r="Y1627" s="650"/>
      <c r="Z1627" s="586"/>
      <c r="AA1627" s="742"/>
      <c r="AB1627" s="586"/>
      <c r="AC1627" s="586"/>
      <c r="AD1627" s="586"/>
      <c r="AE1627" s="586"/>
      <c r="AF1627" s="714"/>
      <c r="AG1627" s="570" t="str">
        <f>IF(AE1627&lt;&gt;0,VLOOKUP(AE1627,ODDS!$A$2:$C$13,3,0),"")</f>
        <v/>
      </c>
      <c r="AH1627" s="570" t="str">
        <f t="shared" si="346"/>
        <v xml:space="preserve"> </v>
      </c>
      <c r="AI1627" s="571" t="str">
        <f t="shared" si="353"/>
        <v xml:space="preserve"> </v>
      </c>
      <c r="AJ1627" s="572"/>
      <c r="AK1627" s="572"/>
    </row>
    <row r="1628" spans="1:37" s="394" customFormat="1" ht="20.25" outlineLevel="2" x14ac:dyDescent="0.3">
      <c r="A1628" s="447">
        <f t="shared" si="358"/>
        <v>133</v>
      </c>
      <c r="B1628" s="557"/>
      <c r="C1628" s="572"/>
      <c r="D1628" s="700"/>
      <c r="E1628" s="612"/>
      <c r="F1628" s="612"/>
      <c r="G1628" s="586"/>
      <c r="H1628" s="709"/>
      <c r="I1628" s="546"/>
      <c r="J1628" s="558"/>
      <c r="K1628" s="563" t="str">
        <f>IF(G1628&lt;&gt;0,VLOOKUP(G1628,'gia dat'!$A$1:$F$144,5,0)," ")</f>
        <v xml:space="preserve"> </v>
      </c>
      <c r="L1628" s="563" t="str">
        <f>IF(G1628&lt;&gt;0,VLOOKUP(G1628,'gia dat'!$A$1:$F$144,6,0)," ")</f>
        <v xml:space="preserve"> </v>
      </c>
      <c r="M1628" s="564" t="str">
        <f t="shared" si="355"/>
        <v xml:space="preserve"> </v>
      </c>
      <c r="N1628" s="564" t="str">
        <f t="shared" si="356"/>
        <v xml:space="preserve"> </v>
      </c>
      <c r="O1628" s="572"/>
      <c r="P1628" s="740"/>
      <c r="Q1628" s="564" t="str">
        <f>IF(O1628&lt;&gt;0,VLOOKUP(O1628,'Cây trong'!$A$2:$C$246,3,0)," ")</f>
        <v xml:space="preserve"> </v>
      </c>
      <c r="R1628" s="564" t="str">
        <f t="shared" si="345"/>
        <v xml:space="preserve"> </v>
      </c>
      <c r="S1628" s="572"/>
      <c r="T1628" s="609"/>
      <c r="U1628" s="741"/>
      <c r="V1628" s="586"/>
      <c r="W1628" s="564" t="str">
        <f>IF(S1628&lt;&gt;0,VLOOKUP(S1628,VKT!$A$2:$G$415,7,0),"")</f>
        <v/>
      </c>
      <c r="X1628" s="564" t="str">
        <f t="shared" si="351"/>
        <v xml:space="preserve"> </v>
      </c>
      <c r="Y1628" s="650"/>
      <c r="Z1628" s="586"/>
      <c r="AA1628" s="742"/>
      <c r="AB1628" s="586"/>
      <c r="AC1628" s="586"/>
      <c r="AD1628" s="586"/>
      <c r="AE1628" s="586"/>
      <c r="AF1628" s="714"/>
      <c r="AG1628" s="570" t="str">
        <f>IF(AE1628&lt;&gt;0,VLOOKUP(AE1628,ODDS!$A$2:$C$13,3,0),"")</f>
        <v/>
      </c>
      <c r="AH1628" s="570" t="str">
        <f t="shared" si="346"/>
        <v xml:space="preserve"> </v>
      </c>
      <c r="AI1628" s="571" t="str">
        <f t="shared" si="353"/>
        <v xml:space="preserve"> </v>
      </c>
      <c r="AJ1628" s="558"/>
      <c r="AK1628" s="558"/>
    </row>
    <row r="1629" spans="1:37" s="394" customFormat="1" ht="20.25" outlineLevel="2" x14ac:dyDescent="0.3">
      <c r="A1629" s="447">
        <f t="shared" si="358"/>
        <v>133</v>
      </c>
      <c r="B1629" s="557"/>
      <c r="C1629" s="572"/>
      <c r="D1629" s="700"/>
      <c r="E1629" s="612"/>
      <c r="F1629" s="612"/>
      <c r="G1629" s="586"/>
      <c r="H1629" s="709"/>
      <c r="I1629" s="546"/>
      <c r="J1629" s="558"/>
      <c r="K1629" s="563" t="str">
        <f>IF(G1629&lt;&gt;0,VLOOKUP(G1629,'gia dat'!$A$1:$F$144,5,0)," ")</f>
        <v xml:space="preserve"> </v>
      </c>
      <c r="L1629" s="563" t="str">
        <f>IF(G1629&lt;&gt;0,VLOOKUP(G1629,'gia dat'!$A$1:$F$144,6,0)," ")</f>
        <v xml:space="preserve"> </v>
      </c>
      <c r="M1629" s="564" t="str">
        <f t="shared" si="355"/>
        <v xml:space="preserve"> </v>
      </c>
      <c r="N1629" s="564" t="str">
        <f t="shared" si="356"/>
        <v xml:space="preserve"> </v>
      </c>
      <c r="O1629" s="572"/>
      <c r="P1629" s="740"/>
      <c r="Q1629" s="564" t="str">
        <f>IF(O1629&lt;&gt;0,VLOOKUP(O1629,'Cây trong'!$A$2:$C$246,3,0)," ")</f>
        <v xml:space="preserve"> </v>
      </c>
      <c r="R1629" s="564" t="str">
        <f t="shared" si="345"/>
        <v xml:space="preserve"> </v>
      </c>
      <c r="S1629" s="572"/>
      <c r="T1629" s="609"/>
      <c r="U1629" s="741"/>
      <c r="V1629" s="586"/>
      <c r="W1629" s="564" t="str">
        <f>IF(S1629&lt;&gt;0,VLOOKUP(S1629,VKT!$A$2:$G$415,7,0),"")</f>
        <v/>
      </c>
      <c r="X1629" s="564" t="str">
        <f t="shared" si="351"/>
        <v xml:space="preserve"> </v>
      </c>
      <c r="Y1629" s="650"/>
      <c r="Z1629" s="586"/>
      <c r="AA1629" s="742"/>
      <c r="AB1629" s="586"/>
      <c r="AC1629" s="586"/>
      <c r="AD1629" s="586"/>
      <c r="AE1629" s="586"/>
      <c r="AF1629" s="714"/>
      <c r="AG1629" s="570" t="str">
        <f>IF(AE1629&lt;&gt;0,VLOOKUP(AE1629,ODDS!$A$2:$C$13,3,0),"")</f>
        <v/>
      </c>
      <c r="AH1629" s="570" t="str">
        <f t="shared" si="346"/>
        <v xml:space="preserve"> </v>
      </c>
      <c r="AI1629" s="571" t="str">
        <f t="shared" si="353"/>
        <v xml:space="preserve"> </v>
      </c>
      <c r="AJ1629" s="586"/>
      <c r="AK1629" s="586"/>
    </row>
    <row r="1630" spans="1:37" s="394" customFormat="1" ht="20.25" outlineLevel="2" x14ac:dyDescent="0.3">
      <c r="A1630" s="447">
        <f t="shared" si="358"/>
        <v>133</v>
      </c>
      <c r="B1630" s="557"/>
      <c r="C1630" s="607"/>
      <c r="D1630" s="700"/>
      <c r="E1630" s="612"/>
      <c r="F1630" s="612"/>
      <c r="G1630" s="586"/>
      <c r="H1630" s="709"/>
      <c r="I1630" s="546"/>
      <c r="J1630" s="558"/>
      <c r="K1630" s="563" t="str">
        <f>IF(G1630&lt;&gt;0,VLOOKUP(G1630,'gia dat'!$A$1:$F$144,5,0)," ")</f>
        <v xml:space="preserve"> </v>
      </c>
      <c r="L1630" s="563" t="str">
        <f>IF(G1630&lt;&gt;0,VLOOKUP(G1630,'gia dat'!$A$1:$F$144,6,0)," ")</f>
        <v xml:space="preserve"> </v>
      </c>
      <c r="M1630" s="564" t="str">
        <f t="shared" si="355"/>
        <v xml:space="preserve"> </v>
      </c>
      <c r="N1630" s="564" t="str">
        <f t="shared" si="356"/>
        <v xml:space="preserve"> </v>
      </c>
      <c r="O1630" s="572"/>
      <c r="P1630" s="740"/>
      <c r="Q1630" s="564" t="str">
        <f>IF(O1630&lt;&gt;0,VLOOKUP(O1630,'Cây trong'!$A$2:$C$246,3,0)," ")</f>
        <v xml:space="preserve"> </v>
      </c>
      <c r="R1630" s="564" t="str">
        <f t="shared" si="345"/>
        <v xml:space="preserve"> </v>
      </c>
      <c r="S1630" s="572"/>
      <c r="T1630" s="609"/>
      <c r="U1630" s="741"/>
      <c r="V1630" s="586"/>
      <c r="W1630" s="564" t="str">
        <f>IF(S1630&lt;&gt;0,VLOOKUP(S1630,VKT!$A$2:$G$415,7,0),"")</f>
        <v/>
      </c>
      <c r="X1630" s="564" t="str">
        <f t="shared" si="351"/>
        <v xml:space="preserve"> </v>
      </c>
      <c r="Y1630" s="650"/>
      <c r="Z1630" s="586"/>
      <c r="AA1630" s="742"/>
      <c r="AB1630" s="586"/>
      <c r="AC1630" s="586"/>
      <c r="AD1630" s="586"/>
      <c r="AE1630" s="586"/>
      <c r="AF1630" s="714"/>
      <c r="AG1630" s="570" t="str">
        <f>IF(AE1630&lt;&gt;0,VLOOKUP(AE1630,ODDS!$A$2:$C$13,3,0),"")</f>
        <v/>
      </c>
      <c r="AH1630" s="570" t="str">
        <f t="shared" si="346"/>
        <v xml:space="preserve"> </v>
      </c>
      <c r="AI1630" s="571" t="str">
        <f t="shared" si="353"/>
        <v xml:space="preserve"> </v>
      </c>
      <c r="AJ1630" s="586"/>
      <c r="AK1630" s="586"/>
    </row>
    <row r="1631" spans="1:37" s="396" customFormat="1" ht="20.25" outlineLevel="1" x14ac:dyDescent="0.25">
      <c r="A1631" s="467" t="s">
        <v>2576</v>
      </c>
      <c r="B1631" s="576">
        <v>134</v>
      </c>
      <c r="C1631" s="607" t="s">
        <v>1161</v>
      </c>
      <c r="D1631" s="706"/>
      <c r="E1631" s="642"/>
      <c r="F1631" s="642"/>
      <c r="G1631" s="578"/>
      <c r="H1631" s="707">
        <f>SUBTOTAL(9,H1632:H1640)</f>
        <v>12.2</v>
      </c>
      <c r="I1631" s="579">
        <f>SUBTOTAL(9,I1632:I1637)</f>
        <v>0</v>
      </c>
      <c r="J1631" s="580"/>
      <c r="K1631" s="581"/>
      <c r="L1631" s="581"/>
      <c r="M1631" s="571">
        <f>SUBTOTAL(9,M1632:M1640)</f>
        <v>5680000</v>
      </c>
      <c r="N1631" s="571">
        <f>SUBTOTAL(9,N1632:N1640)</f>
        <v>0</v>
      </c>
      <c r="O1631" s="598"/>
      <c r="P1631" s="738">
        <f>SUBTOTAL(9,P1632:P1640)</f>
        <v>9</v>
      </c>
      <c r="Q1631" s="571"/>
      <c r="R1631" s="571">
        <f>SUBTOTAL(9,R1632:R1640)</f>
        <v>108000</v>
      </c>
      <c r="S1631" s="582"/>
      <c r="T1631" s="621"/>
      <c r="U1631" s="739">
        <f>SUBTOTAL(9,U1632:U1640)</f>
        <v>0</v>
      </c>
      <c r="V1631" s="578"/>
      <c r="W1631" s="571"/>
      <c r="X1631" s="571">
        <f>SUBTOTAL(9,X1632:X1640)</f>
        <v>0</v>
      </c>
      <c r="Y1631" s="650"/>
      <c r="Z1631" s="586"/>
      <c r="AA1631" s="742"/>
      <c r="AB1631" s="586"/>
      <c r="AC1631" s="586"/>
      <c r="AD1631" s="586"/>
      <c r="AE1631" s="578"/>
      <c r="AF1631" s="712">
        <f>SUBTOTAL(9,AF1632:AF1640)</f>
        <v>0</v>
      </c>
      <c r="AG1631" s="585"/>
      <c r="AH1631" s="585">
        <f>SUBTOTAL(9,AH1632:AH1640)</f>
        <v>0</v>
      </c>
      <c r="AI1631" s="571">
        <f t="shared" si="353"/>
        <v>5788000</v>
      </c>
      <c r="AJ1631" s="578"/>
      <c r="AK1631" s="578"/>
    </row>
    <row r="1632" spans="1:37" s="396" customFormat="1" ht="121.5" outlineLevel="2" x14ac:dyDescent="0.3">
      <c r="A1632" s="447">
        <f>IF(B1631&lt;&gt;0,B1631,A1630)</f>
        <v>134</v>
      </c>
      <c r="B1632" s="557"/>
      <c r="C1632" s="572" t="s">
        <v>1163</v>
      </c>
      <c r="D1632" s="700">
        <v>4</v>
      </c>
      <c r="E1632" s="612">
        <v>86</v>
      </c>
      <c r="F1632" s="612">
        <v>138</v>
      </c>
      <c r="G1632" s="586" t="s">
        <v>2870</v>
      </c>
      <c r="H1632" s="709">
        <f>12.2-H1633</f>
        <v>12.2</v>
      </c>
      <c r="I1632" s="546" t="str">
        <f t="shared" ref="I1632" si="359">IF(N1632&gt;0,H1632,"")</f>
        <v/>
      </c>
      <c r="J1632" s="562"/>
      <c r="K1632" s="563">
        <f>IF(G1632&lt;&gt;0,VLOOKUP(G1632,'gia dat'!$A$1:$F$144,5,0)," ")</f>
        <v>465600</v>
      </c>
      <c r="L1632" s="563">
        <f>IF(G1632&lt;&gt;0,VLOOKUP(G1632,'gia dat'!$A$1:$F$144,6,0)," ")</f>
        <v>0</v>
      </c>
      <c r="M1632" s="564">
        <f t="shared" si="355"/>
        <v>5680000</v>
      </c>
      <c r="N1632" s="564">
        <f t="shared" si="356"/>
        <v>0</v>
      </c>
      <c r="O1632" s="565" t="s">
        <v>429</v>
      </c>
      <c r="P1632" s="740">
        <v>9</v>
      </c>
      <c r="Q1632" s="564">
        <f>IF(O1632&lt;&gt;0,VLOOKUP(O1632,'Cây trong'!$A$2:$C$246,3,0)," ")</f>
        <v>12000</v>
      </c>
      <c r="R1632" s="564">
        <f t="shared" si="345"/>
        <v>108000</v>
      </c>
      <c r="S1632" s="566"/>
      <c r="T1632" s="609"/>
      <c r="U1632" s="741"/>
      <c r="V1632" s="586"/>
      <c r="W1632" s="564" t="str">
        <f>IF(S1632&lt;&gt;0,VLOOKUP(S1632,VKT!$A$2:$G$415,7,0),"")</f>
        <v/>
      </c>
      <c r="X1632" s="564" t="str">
        <f t="shared" si="351"/>
        <v xml:space="preserve"> </v>
      </c>
      <c r="Y1632" s="650"/>
      <c r="Z1632" s="586"/>
      <c r="AA1632" s="742"/>
      <c r="AB1632" s="586"/>
      <c r="AC1632" s="586"/>
      <c r="AD1632" s="586"/>
      <c r="AE1632" s="586"/>
      <c r="AF1632" s="714"/>
      <c r="AG1632" s="570" t="str">
        <f>IF(AE1632&lt;&gt;0,VLOOKUP(AE1632,ODDS!$A$2:$C$13,3,0),"")</f>
        <v/>
      </c>
      <c r="AH1632" s="570"/>
      <c r="AI1632" s="571" t="str">
        <f t="shared" si="353"/>
        <v xml:space="preserve"> </v>
      </c>
      <c r="AJ1632" s="586" t="s">
        <v>1162</v>
      </c>
      <c r="AK1632" s="586" t="s">
        <v>2771</v>
      </c>
    </row>
    <row r="1633" spans="1:37" s="394" customFormat="1" ht="101.25" outlineLevel="2" x14ac:dyDescent="0.3">
      <c r="A1633" s="447">
        <f t="shared" ref="A1633:A1640" si="360">IF(B1632&lt;&gt;0,B1632,A1632)</f>
        <v>134</v>
      </c>
      <c r="B1633" s="557"/>
      <c r="C1633" s="572" t="s">
        <v>1598</v>
      </c>
      <c r="D1633" s="700"/>
      <c r="E1633" s="612"/>
      <c r="F1633" s="612"/>
      <c r="G1633" s="586"/>
      <c r="H1633" s="709"/>
      <c r="I1633" s="546"/>
      <c r="J1633" s="562"/>
      <c r="K1633" s="563" t="str">
        <f>IF(G1633&lt;&gt;0,VLOOKUP(G1633,'gia dat'!$A$1:$F$144,5,0)," ")</f>
        <v xml:space="preserve"> </v>
      </c>
      <c r="L1633" s="563" t="str">
        <f>IF(G1633&lt;&gt;0,VLOOKUP(G1633,'gia dat'!$A$1:$F$144,6,0)," ")</f>
        <v xml:space="preserve"> </v>
      </c>
      <c r="M1633" s="564" t="str">
        <f t="shared" si="355"/>
        <v xml:space="preserve"> </v>
      </c>
      <c r="N1633" s="564" t="str">
        <f t="shared" si="356"/>
        <v xml:space="preserve"> </v>
      </c>
      <c r="O1633" s="572"/>
      <c r="P1633" s="740"/>
      <c r="Q1633" s="564" t="str">
        <f>IF(O1633&lt;&gt;0,VLOOKUP(O1633,'Cây trong'!$A$2:$C$246,3,0)," ")</f>
        <v xml:space="preserve"> </v>
      </c>
      <c r="R1633" s="564" t="str">
        <f t="shared" si="345"/>
        <v xml:space="preserve"> </v>
      </c>
      <c r="S1633" s="566"/>
      <c r="T1633" s="609"/>
      <c r="U1633" s="741"/>
      <c r="V1633" s="586"/>
      <c r="W1633" s="564" t="str">
        <f>IF(S1633&lt;&gt;0,VLOOKUP(S1633,VKT!$A$2:$G$415,7,0),"")</f>
        <v/>
      </c>
      <c r="X1633" s="564" t="str">
        <f t="shared" si="351"/>
        <v xml:space="preserve"> </v>
      </c>
      <c r="Y1633" s="650"/>
      <c r="Z1633" s="586"/>
      <c r="AA1633" s="742"/>
      <c r="AB1633" s="586"/>
      <c r="AC1633" s="586"/>
      <c r="AD1633" s="586"/>
      <c r="AE1633" s="586"/>
      <c r="AF1633" s="714"/>
      <c r="AG1633" s="570" t="str">
        <f>IF(AE1633&lt;&gt;0,VLOOKUP(AE1633,ODDS!$A$2:$C$13,3,0),"")</f>
        <v/>
      </c>
      <c r="AH1633" s="570" t="str">
        <f t="shared" si="346"/>
        <v xml:space="preserve"> </v>
      </c>
      <c r="AI1633" s="571" t="str">
        <f t="shared" si="353"/>
        <v xml:space="preserve"> </v>
      </c>
      <c r="AJ1633" s="586" t="s">
        <v>1164</v>
      </c>
      <c r="AK1633" s="558" t="s">
        <v>2449</v>
      </c>
    </row>
    <row r="1634" spans="1:37" s="394" customFormat="1" ht="81" outlineLevel="2" x14ac:dyDescent="0.3">
      <c r="A1634" s="447">
        <f t="shared" si="360"/>
        <v>134</v>
      </c>
      <c r="B1634" s="557"/>
      <c r="C1634" s="572"/>
      <c r="D1634" s="700"/>
      <c r="E1634" s="612"/>
      <c r="F1634" s="612"/>
      <c r="G1634" s="586"/>
      <c r="H1634" s="709"/>
      <c r="I1634" s="546"/>
      <c r="J1634" s="562"/>
      <c r="K1634" s="563" t="str">
        <f>IF(G1634&lt;&gt;0,VLOOKUP(G1634,'gia dat'!$A$1:$F$144,5,0)," ")</f>
        <v xml:space="preserve"> </v>
      </c>
      <c r="L1634" s="563" t="str">
        <f>IF(G1634&lt;&gt;0,VLOOKUP(G1634,'gia dat'!$A$1:$F$144,6,0)," ")</f>
        <v xml:space="preserve"> </v>
      </c>
      <c r="M1634" s="564" t="str">
        <f t="shared" si="355"/>
        <v xml:space="preserve"> </v>
      </c>
      <c r="N1634" s="564" t="str">
        <f t="shared" si="356"/>
        <v xml:space="preserve"> </v>
      </c>
      <c r="O1634" s="572"/>
      <c r="P1634" s="740"/>
      <c r="Q1634" s="564" t="str">
        <f>IF(O1634&lt;&gt;0,VLOOKUP(O1634,'Cây trong'!$A$2:$C$246,3,0)," ")</f>
        <v xml:space="preserve"> </v>
      </c>
      <c r="R1634" s="564" t="str">
        <f t="shared" si="345"/>
        <v xml:space="preserve"> </v>
      </c>
      <c r="S1634" s="566"/>
      <c r="T1634" s="609"/>
      <c r="U1634" s="741"/>
      <c r="V1634" s="586"/>
      <c r="W1634" s="564" t="str">
        <f>IF(S1634&lt;&gt;0,VLOOKUP(S1634,VKT!$A$2:$G$415,7,0),"")</f>
        <v/>
      </c>
      <c r="X1634" s="564" t="str">
        <f t="shared" si="351"/>
        <v xml:space="preserve"> </v>
      </c>
      <c r="Y1634" s="650"/>
      <c r="Z1634" s="586"/>
      <c r="AA1634" s="742"/>
      <c r="AB1634" s="586"/>
      <c r="AC1634" s="586"/>
      <c r="AD1634" s="586"/>
      <c r="AE1634" s="586"/>
      <c r="AF1634" s="714"/>
      <c r="AG1634" s="570" t="str">
        <f>IF(AE1634&lt;&gt;0,VLOOKUP(AE1634,ODDS!$A$2:$C$13,3,0),"")</f>
        <v/>
      </c>
      <c r="AH1634" s="570" t="str">
        <f t="shared" si="346"/>
        <v xml:space="preserve"> </v>
      </c>
      <c r="AI1634" s="571" t="str">
        <f t="shared" si="353"/>
        <v xml:space="preserve"> </v>
      </c>
      <c r="AJ1634" s="586" t="s">
        <v>2236</v>
      </c>
      <c r="AK1634" s="558"/>
    </row>
    <row r="1635" spans="1:37" s="394" customFormat="1" ht="20.25" outlineLevel="2" x14ac:dyDescent="0.3">
      <c r="A1635" s="447">
        <f t="shared" si="360"/>
        <v>134</v>
      </c>
      <c r="B1635" s="557"/>
      <c r="C1635" s="572"/>
      <c r="D1635" s="700"/>
      <c r="E1635" s="612"/>
      <c r="F1635" s="612"/>
      <c r="G1635" s="586"/>
      <c r="H1635" s="709"/>
      <c r="I1635" s="546"/>
      <c r="J1635" s="558"/>
      <c r="K1635" s="563" t="str">
        <f>IF(G1635&lt;&gt;0,VLOOKUP(G1635,'gia dat'!$A$1:$F$144,5,0)," ")</f>
        <v xml:space="preserve"> </v>
      </c>
      <c r="L1635" s="563" t="str">
        <f>IF(G1635&lt;&gt;0,VLOOKUP(G1635,'gia dat'!$A$1:$F$144,6,0)," ")</f>
        <v xml:space="preserve"> </v>
      </c>
      <c r="M1635" s="564" t="str">
        <f t="shared" si="355"/>
        <v xml:space="preserve"> </v>
      </c>
      <c r="N1635" s="564" t="str">
        <f t="shared" si="356"/>
        <v xml:space="preserve"> </v>
      </c>
      <c r="O1635" s="572"/>
      <c r="P1635" s="740"/>
      <c r="Q1635" s="564" t="str">
        <f>IF(O1635&lt;&gt;0,VLOOKUP(O1635,'Cây trong'!$A$2:$C$246,3,0)," ")</f>
        <v xml:space="preserve"> </v>
      </c>
      <c r="R1635" s="564" t="str">
        <f t="shared" si="345"/>
        <v xml:space="preserve"> </v>
      </c>
      <c r="S1635" s="572"/>
      <c r="T1635" s="609"/>
      <c r="U1635" s="741"/>
      <c r="V1635" s="586"/>
      <c r="W1635" s="564" t="str">
        <f>IF(S1635&lt;&gt;0,VLOOKUP(S1635,VKT!$A$2:$G$415,7,0),"")</f>
        <v/>
      </c>
      <c r="X1635" s="564" t="str">
        <f t="shared" si="351"/>
        <v xml:space="preserve"> </v>
      </c>
      <c r="Y1635" s="650"/>
      <c r="Z1635" s="586"/>
      <c r="AA1635" s="742"/>
      <c r="AB1635" s="586"/>
      <c r="AC1635" s="586"/>
      <c r="AD1635" s="586"/>
      <c r="AE1635" s="586"/>
      <c r="AF1635" s="714"/>
      <c r="AG1635" s="570" t="str">
        <f>IF(AE1635&lt;&gt;0,VLOOKUP(AE1635,ODDS!$A$2:$C$13,3,0),"")</f>
        <v/>
      </c>
      <c r="AH1635" s="570" t="str">
        <f t="shared" si="346"/>
        <v xml:space="preserve"> </v>
      </c>
      <c r="AI1635" s="571" t="str">
        <f t="shared" si="353"/>
        <v xml:space="preserve"> </v>
      </c>
      <c r="AJ1635" s="731"/>
      <c r="AK1635" s="586"/>
    </row>
    <row r="1636" spans="1:37" s="394" customFormat="1" ht="20.25" outlineLevel="2" x14ac:dyDescent="0.3">
      <c r="A1636" s="447">
        <f t="shared" si="360"/>
        <v>134</v>
      </c>
      <c r="B1636" s="557"/>
      <c r="C1636" s="586"/>
      <c r="D1636" s="700"/>
      <c r="E1636" s="612"/>
      <c r="F1636" s="612"/>
      <c r="G1636" s="586"/>
      <c r="H1636" s="709"/>
      <c r="I1636" s="546"/>
      <c r="J1636" s="558"/>
      <c r="K1636" s="563" t="str">
        <f>IF(G1636&lt;&gt;0,VLOOKUP(G1636,'gia dat'!$A$1:$F$144,5,0)," ")</f>
        <v xml:space="preserve"> </v>
      </c>
      <c r="L1636" s="563" t="str">
        <f>IF(G1636&lt;&gt;0,VLOOKUP(G1636,'gia dat'!$A$1:$F$144,6,0)," ")</f>
        <v xml:space="preserve"> </v>
      </c>
      <c r="M1636" s="564" t="str">
        <f t="shared" si="355"/>
        <v xml:space="preserve"> </v>
      </c>
      <c r="N1636" s="564" t="str">
        <f t="shared" si="356"/>
        <v xml:space="preserve"> </v>
      </c>
      <c r="O1636" s="572"/>
      <c r="P1636" s="740"/>
      <c r="Q1636" s="564" t="str">
        <f>IF(O1636&lt;&gt;0,VLOOKUP(O1636,'Cây trong'!$A$2:$C$246,3,0)," ")</f>
        <v xml:space="preserve"> </v>
      </c>
      <c r="R1636" s="564" t="str">
        <f t="shared" si="345"/>
        <v xml:space="preserve"> </v>
      </c>
      <c r="S1636" s="572"/>
      <c r="T1636" s="609"/>
      <c r="U1636" s="741"/>
      <c r="V1636" s="586"/>
      <c r="W1636" s="564" t="str">
        <f>IF(S1636&lt;&gt;0,VLOOKUP(S1636,VKT!$A$2:$G$415,7,0),"")</f>
        <v/>
      </c>
      <c r="X1636" s="564" t="str">
        <f t="shared" si="351"/>
        <v xml:space="preserve"> </v>
      </c>
      <c r="Y1636" s="650"/>
      <c r="Z1636" s="586"/>
      <c r="AA1636" s="742"/>
      <c r="AB1636" s="586"/>
      <c r="AC1636" s="586"/>
      <c r="AD1636" s="586"/>
      <c r="AE1636" s="586"/>
      <c r="AF1636" s="714"/>
      <c r="AG1636" s="570" t="str">
        <f>IF(AE1636&lt;&gt;0,VLOOKUP(AE1636,ODDS!$A$2:$C$13,3,0),"")</f>
        <v/>
      </c>
      <c r="AH1636" s="570" t="str">
        <f t="shared" si="346"/>
        <v xml:space="preserve"> </v>
      </c>
      <c r="AI1636" s="571" t="str">
        <f t="shared" si="353"/>
        <v xml:space="preserve"> </v>
      </c>
      <c r="AJ1636" s="586"/>
      <c r="AK1636" s="586"/>
    </row>
    <row r="1637" spans="1:37" s="394" customFormat="1" ht="20.25" outlineLevel="2" x14ac:dyDescent="0.3">
      <c r="A1637" s="447">
        <f t="shared" si="360"/>
        <v>134</v>
      </c>
      <c r="B1637" s="557"/>
      <c r="C1637" s="572"/>
      <c r="D1637" s="700"/>
      <c r="E1637" s="612"/>
      <c r="F1637" s="612"/>
      <c r="G1637" s="586"/>
      <c r="H1637" s="709"/>
      <c r="I1637" s="546"/>
      <c r="J1637" s="558"/>
      <c r="K1637" s="563" t="str">
        <f>IF(G1637&lt;&gt;0,VLOOKUP(G1637,'gia dat'!$A$1:$F$144,5,0)," ")</f>
        <v xml:space="preserve"> </v>
      </c>
      <c r="L1637" s="563" t="str">
        <f>IF(G1637&lt;&gt;0,VLOOKUP(G1637,'gia dat'!$A$1:$F$144,6,0)," ")</f>
        <v xml:space="preserve"> </v>
      </c>
      <c r="M1637" s="564" t="str">
        <f t="shared" si="355"/>
        <v xml:space="preserve"> </v>
      </c>
      <c r="N1637" s="564" t="str">
        <f t="shared" si="356"/>
        <v xml:space="preserve"> </v>
      </c>
      <c r="O1637" s="572"/>
      <c r="P1637" s="740"/>
      <c r="Q1637" s="564" t="str">
        <f>IF(O1637&lt;&gt;0,VLOOKUP(O1637,'Cây trong'!$A$2:$C$246,3,0)," ")</f>
        <v xml:space="preserve"> </v>
      </c>
      <c r="R1637" s="564" t="str">
        <f t="shared" si="345"/>
        <v xml:space="preserve"> </v>
      </c>
      <c r="S1637" s="572"/>
      <c r="T1637" s="609"/>
      <c r="U1637" s="741"/>
      <c r="V1637" s="586"/>
      <c r="W1637" s="564" t="str">
        <f>IF(S1637&lt;&gt;0,VLOOKUP(S1637,VKT!$A$2:$G$415,7,0),"")</f>
        <v/>
      </c>
      <c r="X1637" s="564" t="str">
        <f t="shared" si="351"/>
        <v xml:space="preserve"> </v>
      </c>
      <c r="Y1637" s="650"/>
      <c r="Z1637" s="586"/>
      <c r="AA1637" s="742"/>
      <c r="AB1637" s="586"/>
      <c r="AC1637" s="586"/>
      <c r="AD1637" s="586"/>
      <c r="AE1637" s="586"/>
      <c r="AF1637" s="714"/>
      <c r="AG1637" s="570" t="str">
        <f>IF(AE1637&lt;&gt;0,VLOOKUP(AE1637,ODDS!$A$2:$C$13,3,0),"")</f>
        <v/>
      </c>
      <c r="AH1637" s="570" t="str">
        <f t="shared" si="346"/>
        <v xml:space="preserve"> </v>
      </c>
      <c r="AI1637" s="571" t="str">
        <f t="shared" si="353"/>
        <v xml:space="preserve"> </v>
      </c>
      <c r="AJ1637" s="572"/>
      <c r="AK1637" s="572"/>
    </row>
    <row r="1638" spans="1:37" s="394" customFormat="1" ht="20.25" outlineLevel="2" x14ac:dyDescent="0.3">
      <c r="A1638" s="447">
        <f t="shared" si="360"/>
        <v>134</v>
      </c>
      <c r="B1638" s="557"/>
      <c r="C1638" s="572"/>
      <c r="D1638" s="700"/>
      <c r="E1638" s="612"/>
      <c r="F1638" s="612"/>
      <c r="G1638" s="586"/>
      <c r="H1638" s="709"/>
      <c r="I1638" s="546"/>
      <c r="J1638" s="558"/>
      <c r="K1638" s="563" t="str">
        <f>IF(G1638&lt;&gt;0,VLOOKUP(G1638,'gia dat'!$A$1:$F$144,5,0)," ")</f>
        <v xml:space="preserve"> </v>
      </c>
      <c r="L1638" s="563" t="str">
        <f>IF(G1638&lt;&gt;0,VLOOKUP(G1638,'gia dat'!$A$1:$F$144,6,0)," ")</f>
        <v xml:space="preserve"> </v>
      </c>
      <c r="M1638" s="564" t="str">
        <f t="shared" si="355"/>
        <v xml:space="preserve"> </v>
      </c>
      <c r="N1638" s="564" t="str">
        <f t="shared" si="356"/>
        <v xml:space="preserve"> </v>
      </c>
      <c r="O1638" s="572"/>
      <c r="P1638" s="740"/>
      <c r="Q1638" s="564" t="str">
        <f>IF(O1638&lt;&gt;0,VLOOKUP(O1638,'Cây trong'!$A$2:$C$246,3,0)," ")</f>
        <v xml:space="preserve"> </v>
      </c>
      <c r="R1638" s="564" t="str">
        <f t="shared" si="345"/>
        <v xml:space="preserve"> </v>
      </c>
      <c r="S1638" s="572"/>
      <c r="T1638" s="609"/>
      <c r="U1638" s="741"/>
      <c r="V1638" s="586"/>
      <c r="W1638" s="564" t="str">
        <f>IF(S1638&lt;&gt;0,VLOOKUP(S1638,VKT!$A$2:$G$415,7,0),"")</f>
        <v/>
      </c>
      <c r="X1638" s="564" t="str">
        <f t="shared" si="351"/>
        <v xml:space="preserve"> </v>
      </c>
      <c r="Y1638" s="650"/>
      <c r="Z1638" s="586"/>
      <c r="AA1638" s="742"/>
      <c r="AB1638" s="586"/>
      <c r="AC1638" s="586"/>
      <c r="AD1638" s="586"/>
      <c r="AE1638" s="586"/>
      <c r="AF1638" s="714"/>
      <c r="AG1638" s="570" t="str">
        <f>IF(AE1638&lt;&gt;0,VLOOKUP(AE1638,ODDS!$A$2:$C$13,3,0),"")</f>
        <v/>
      </c>
      <c r="AH1638" s="570" t="str">
        <f t="shared" si="346"/>
        <v xml:space="preserve"> </v>
      </c>
      <c r="AI1638" s="571" t="str">
        <f t="shared" si="353"/>
        <v xml:space="preserve"> </v>
      </c>
      <c r="AJ1638" s="558"/>
      <c r="AK1638" s="558"/>
    </row>
    <row r="1639" spans="1:37" s="394" customFormat="1" ht="20.25" outlineLevel="2" x14ac:dyDescent="0.3">
      <c r="A1639" s="447">
        <f t="shared" si="360"/>
        <v>134</v>
      </c>
      <c r="B1639" s="557"/>
      <c r="C1639" s="572"/>
      <c r="D1639" s="700"/>
      <c r="E1639" s="612"/>
      <c r="F1639" s="612"/>
      <c r="G1639" s="586"/>
      <c r="H1639" s="709"/>
      <c r="I1639" s="546"/>
      <c r="J1639" s="558"/>
      <c r="K1639" s="563" t="str">
        <f>IF(G1639&lt;&gt;0,VLOOKUP(G1639,'gia dat'!$A$1:$F$144,5,0)," ")</f>
        <v xml:space="preserve"> </v>
      </c>
      <c r="L1639" s="563" t="str">
        <f>IF(G1639&lt;&gt;0,VLOOKUP(G1639,'gia dat'!$A$1:$F$144,6,0)," ")</f>
        <v xml:space="preserve"> </v>
      </c>
      <c r="M1639" s="564" t="str">
        <f t="shared" si="355"/>
        <v xml:space="preserve"> </v>
      </c>
      <c r="N1639" s="564" t="str">
        <f t="shared" si="356"/>
        <v xml:space="preserve"> </v>
      </c>
      <c r="O1639" s="572"/>
      <c r="P1639" s="740"/>
      <c r="Q1639" s="564" t="str">
        <f>IF(O1639&lt;&gt;0,VLOOKUP(O1639,'Cây trong'!$A$2:$C$246,3,0)," ")</f>
        <v xml:space="preserve"> </v>
      </c>
      <c r="R1639" s="564" t="str">
        <f t="shared" si="345"/>
        <v xml:space="preserve"> </v>
      </c>
      <c r="S1639" s="572"/>
      <c r="T1639" s="609"/>
      <c r="U1639" s="741"/>
      <c r="V1639" s="586"/>
      <c r="W1639" s="564" t="str">
        <f>IF(S1639&lt;&gt;0,VLOOKUP(S1639,VKT!$A$2:$G$415,7,0),"")</f>
        <v/>
      </c>
      <c r="X1639" s="564" t="str">
        <f t="shared" si="351"/>
        <v xml:space="preserve"> </v>
      </c>
      <c r="Y1639" s="650"/>
      <c r="Z1639" s="586"/>
      <c r="AA1639" s="742"/>
      <c r="AB1639" s="586"/>
      <c r="AC1639" s="586"/>
      <c r="AD1639" s="586"/>
      <c r="AE1639" s="586"/>
      <c r="AF1639" s="714"/>
      <c r="AG1639" s="570" t="str">
        <f>IF(AE1639&lt;&gt;0,VLOOKUP(AE1639,ODDS!$A$2:$C$13,3,0),"")</f>
        <v/>
      </c>
      <c r="AH1639" s="570" t="str">
        <f t="shared" si="346"/>
        <v xml:space="preserve"> </v>
      </c>
      <c r="AI1639" s="571" t="str">
        <f t="shared" si="353"/>
        <v xml:space="preserve"> </v>
      </c>
      <c r="AJ1639" s="586"/>
      <c r="AK1639" s="586"/>
    </row>
    <row r="1640" spans="1:37" s="394" customFormat="1" ht="20.25" outlineLevel="2" x14ac:dyDescent="0.3">
      <c r="A1640" s="447">
        <f t="shared" si="360"/>
        <v>134</v>
      </c>
      <c r="B1640" s="557"/>
      <c r="C1640" s="607"/>
      <c r="D1640" s="700"/>
      <c r="E1640" s="612"/>
      <c r="F1640" s="612"/>
      <c r="G1640" s="586"/>
      <c r="H1640" s="709"/>
      <c r="I1640" s="546"/>
      <c r="J1640" s="558"/>
      <c r="K1640" s="563" t="str">
        <f>IF(G1640&lt;&gt;0,VLOOKUP(G1640,'gia dat'!$A$1:$F$144,5,0)," ")</f>
        <v xml:space="preserve"> </v>
      </c>
      <c r="L1640" s="563" t="str">
        <f>IF(G1640&lt;&gt;0,VLOOKUP(G1640,'gia dat'!$A$1:$F$144,6,0)," ")</f>
        <v xml:space="preserve"> </v>
      </c>
      <c r="M1640" s="564" t="str">
        <f t="shared" si="355"/>
        <v xml:space="preserve"> </v>
      </c>
      <c r="N1640" s="564" t="str">
        <f t="shared" si="356"/>
        <v xml:space="preserve"> </v>
      </c>
      <c r="O1640" s="572"/>
      <c r="P1640" s="740"/>
      <c r="Q1640" s="564" t="str">
        <f>IF(O1640&lt;&gt;0,VLOOKUP(O1640,'Cây trong'!$A$2:$C$246,3,0)," ")</f>
        <v xml:space="preserve"> </v>
      </c>
      <c r="R1640" s="564" t="str">
        <f t="shared" si="345"/>
        <v xml:space="preserve"> </v>
      </c>
      <c r="S1640" s="572"/>
      <c r="T1640" s="609"/>
      <c r="U1640" s="741"/>
      <c r="V1640" s="586"/>
      <c r="W1640" s="564" t="str">
        <f>IF(S1640&lt;&gt;0,VLOOKUP(S1640,VKT!$A$2:$G$415,7,0),"")</f>
        <v/>
      </c>
      <c r="X1640" s="564" t="str">
        <f t="shared" si="351"/>
        <v xml:space="preserve"> </v>
      </c>
      <c r="Y1640" s="650"/>
      <c r="Z1640" s="586"/>
      <c r="AA1640" s="742"/>
      <c r="AB1640" s="586"/>
      <c r="AC1640" s="586"/>
      <c r="AD1640" s="586"/>
      <c r="AE1640" s="586"/>
      <c r="AF1640" s="714"/>
      <c r="AG1640" s="570" t="str">
        <f>IF(AE1640&lt;&gt;0,VLOOKUP(AE1640,ODDS!$A$2:$C$13,3,0),"")</f>
        <v/>
      </c>
      <c r="AH1640" s="570" t="str">
        <f t="shared" si="346"/>
        <v xml:space="preserve"> </v>
      </c>
      <c r="AI1640" s="571" t="str">
        <f t="shared" si="353"/>
        <v xml:space="preserve"> </v>
      </c>
      <c r="AJ1640" s="586"/>
      <c r="AK1640" s="586"/>
    </row>
    <row r="1641" spans="1:37" s="394" customFormat="1" ht="20.25" outlineLevel="1" x14ac:dyDescent="0.25">
      <c r="A1641" s="467" t="s">
        <v>2575</v>
      </c>
      <c r="B1641" s="576">
        <v>135</v>
      </c>
      <c r="C1641" s="607" t="s">
        <v>1161</v>
      </c>
      <c r="D1641" s="706"/>
      <c r="E1641" s="642"/>
      <c r="F1641" s="642"/>
      <c r="G1641" s="578"/>
      <c r="H1641" s="707">
        <f>SUBTOTAL(9,H1642:H1648)</f>
        <v>95</v>
      </c>
      <c r="I1641" s="579">
        <f>SUBTOTAL(9,I1642:I1647)</f>
        <v>0</v>
      </c>
      <c r="J1641" s="580"/>
      <c r="K1641" s="581"/>
      <c r="L1641" s="581"/>
      <c r="M1641" s="571">
        <f>SUBTOTAL(9,M1642:M1648)</f>
        <v>44232000</v>
      </c>
      <c r="N1641" s="571">
        <f>SUBTOTAL(9,N1642:N1648)</f>
        <v>0</v>
      </c>
      <c r="O1641" s="607"/>
      <c r="P1641" s="738">
        <f>SUBTOTAL(9,P1642:P1648)</f>
        <v>0</v>
      </c>
      <c r="Q1641" s="571"/>
      <c r="R1641" s="571">
        <f>SUBTOTAL(9,R1642:R1648)</f>
        <v>0</v>
      </c>
      <c r="S1641" s="582"/>
      <c r="T1641" s="621"/>
      <c r="U1641" s="739">
        <f>SUBTOTAL(9,U1642:U1648)</f>
        <v>109.97499999999999</v>
      </c>
      <c r="V1641" s="578"/>
      <c r="W1641" s="571"/>
      <c r="X1641" s="571">
        <f>SUBTOTAL(9,X1642:X1648)</f>
        <v>454775000</v>
      </c>
      <c r="Y1641" s="661"/>
      <c r="Z1641" s="683"/>
      <c r="AA1641" s="683"/>
      <c r="AB1641" s="694"/>
      <c r="AC1641" s="683"/>
      <c r="AD1641" s="586"/>
      <c r="AE1641" s="578"/>
      <c r="AF1641" s="712">
        <f>SUBTOTAL(9,AF1642:AF1648)</f>
        <v>1</v>
      </c>
      <c r="AG1641" s="585"/>
      <c r="AH1641" s="585">
        <f>SUBTOTAL(9,AH1642:AH1648)</f>
        <v>5000000</v>
      </c>
      <c r="AI1641" s="571">
        <f t="shared" si="353"/>
        <v>504007000</v>
      </c>
      <c r="AJ1641" s="578"/>
      <c r="AK1641" s="578"/>
    </row>
    <row r="1642" spans="1:37" s="394" customFormat="1" ht="121.5" outlineLevel="2" x14ac:dyDescent="0.3">
      <c r="A1642" s="447">
        <f>IF(B1641&lt;&gt;0,B1641,A1640)</f>
        <v>135</v>
      </c>
      <c r="B1642" s="557"/>
      <c r="C1642" s="572" t="s">
        <v>1163</v>
      </c>
      <c r="D1642" s="700"/>
      <c r="E1642" s="612">
        <v>86</v>
      </c>
      <c r="F1642" s="612">
        <v>265</v>
      </c>
      <c r="G1642" s="586" t="s">
        <v>2869</v>
      </c>
      <c r="H1642" s="709">
        <v>95</v>
      </c>
      <c r="I1642" s="546" t="str">
        <f t="shared" ref="I1642" si="361">IF(N1642&gt;0,H1642,"")</f>
        <v/>
      </c>
      <c r="J1642" s="562"/>
      <c r="K1642" s="563">
        <f>IF(G1642&lt;&gt;0,VLOOKUP(G1642,'gia dat'!$A$1:$F$144,5,0)," ")</f>
        <v>465600</v>
      </c>
      <c r="L1642" s="563">
        <f>IF(G1642&lt;&gt;0,VLOOKUP(G1642,'gia dat'!$A$1:$F$144,6,0)," ")</f>
        <v>0</v>
      </c>
      <c r="M1642" s="564">
        <f t="shared" si="355"/>
        <v>44232000</v>
      </c>
      <c r="N1642" s="564">
        <f t="shared" si="356"/>
        <v>0</v>
      </c>
      <c r="O1642" s="572"/>
      <c r="P1642" s="740"/>
      <c r="Q1642" s="564" t="str">
        <f>IF(O1642&lt;&gt;0,VLOOKUP(O1642,'Cây trong'!$A$2:$C$246,3,0)," ")</f>
        <v xml:space="preserve"> </v>
      </c>
      <c r="R1642" s="564" t="str">
        <f t="shared" si="345"/>
        <v xml:space="preserve"> </v>
      </c>
      <c r="S1642" s="566" t="s">
        <v>1820</v>
      </c>
      <c r="T1642" s="609" t="s">
        <v>1133</v>
      </c>
      <c r="U1642" s="741">
        <v>68.754999999999995</v>
      </c>
      <c r="V1642" s="586"/>
      <c r="W1642" s="564">
        <f>IF(S1642&lt;&gt;0,VLOOKUP(S1642,VKT!$A$2:$G$415,7,0),"")</f>
        <v>5307665</v>
      </c>
      <c r="X1642" s="564">
        <f t="shared" si="351"/>
        <v>364929000</v>
      </c>
      <c r="Y1642" s="661" t="s">
        <v>1138</v>
      </c>
      <c r="Z1642" s="683" t="s">
        <v>1139</v>
      </c>
      <c r="AA1642" s="683" t="s">
        <v>56</v>
      </c>
      <c r="AB1642" s="694" t="s">
        <v>269</v>
      </c>
      <c r="AC1642" s="683" t="s">
        <v>1138</v>
      </c>
      <c r="AD1642" s="586"/>
      <c r="AE1642" s="586" t="s">
        <v>2137</v>
      </c>
      <c r="AF1642" s="714">
        <v>1</v>
      </c>
      <c r="AG1642" s="570">
        <f>IF(AE1642&lt;&gt;0,VLOOKUP(AE1642,ODDS!$A$2:$C$13,3,0),"")</f>
        <v>5000000</v>
      </c>
      <c r="AH1642" s="570">
        <f t="shared" si="346"/>
        <v>5000000</v>
      </c>
      <c r="AI1642" s="571" t="str">
        <f t="shared" si="353"/>
        <v xml:space="preserve"> </v>
      </c>
      <c r="AJ1642" s="586" t="s">
        <v>1165</v>
      </c>
      <c r="AK1642" s="586" t="s">
        <v>2771</v>
      </c>
    </row>
    <row r="1643" spans="1:37" s="394" customFormat="1" ht="121.5" outlineLevel="2" x14ac:dyDescent="0.3">
      <c r="A1643" s="447">
        <f t="shared" ref="A1643:A1648" si="362">IF(B1642&lt;&gt;0,B1642,A1642)</f>
        <v>135</v>
      </c>
      <c r="B1643" s="557"/>
      <c r="C1643" s="572" t="s">
        <v>1598</v>
      </c>
      <c r="D1643" s="700"/>
      <c r="E1643" s="612"/>
      <c r="F1643" s="612"/>
      <c r="G1643" s="586"/>
      <c r="H1643" s="709"/>
      <c r="I1643" s="546"/>
      <c r="J1643" s="562"/>
      <c r="K1643" s="563" t="str">
        <f>IF(G1643&lt;&gt;0,VLOOKUP(G1643,'gia dat'!$A$1:$F$144,5,0)," ")</f>
        <v xml:space="preserve"> </v>
      </c>
      <c r="L1643" s="563" t="str">
        <f>IF(G1643&lt;&gt;0,VLOOKUP(G1643,'gia dat'!$A$1:$F$144,6,0)," ")</f>
        <v xml:space="preserve"> </v>
      </c>
      <c r="M1643" s="564" t="str">
        <f t="shared" si="355"/>
        <v xml:space="preserve"> </v>
      </c>
      <c r="N1643" s="564" t="str">
        <f t="shared" si="356"/>
        <v xml:space="preserve"> </v>
      </c>
      <c r="O1643" s="572"/>
      <c r="P1643" s="740"/>
      <c r="Q1643" s="564" t="str">
        <f>IF(O1643&lt;&gt;0,VLOOKUP(O1643,'Cây trong'!$A$2:$C$246,3,0)," ")</f>
        <v xml:space="preserve"> </v>
      </c>
      <c r="R1643" s="564" t="str">
        <f t="shared" si="345"/>
        <v xml:space="preserve"> </v>
      </c>
      <c r="S1643" s="566" t="s">
        <v>1911</v>
      </c>
      <c r="T1643" s="609" t="s">
        <v>1133</v>
      </c>
      <c r="U1643" s="741">
        <v>9.1199999999999992</v>
      </c>
      <c r="V1643" s="586"/>
      <c r="W1643" s="564">
        <f>IF(S1643&lt;&gt;0,VLOOKUP(S1643,VKT!$A$2:$G$415,7,0),"")</f>
        <v>8524607</v>
      </c>
      <c r="X1643" s="564">
        <f t="shared" si="351"/>
        <v>77744000</v>
      </c>
      <c r="Y1643" s="650"/>
      <c r="Z1643" s="586"/>
      <c r="AA1643" s="742"/>
      <c r="AB1643" s="586"/>
      <c r="AC1643" s="586"/>
      <c r="AD1643" s="586"/>
      <c r="AE1643" s="586"/>
      <c r="AF1643" s="714"/>
      <c r="AG1643" s="570" t="str">
        <f>IF(AE1643&lt;&gt;0,VLOOKUP(AE1643,ODDS!$A$2:$C$13,3,0),"")</f>
        <v/>
      </c>
      <c r="AH1643" s="570" t="str">
        <f t="shared" si="346"/>
        <v xml:space="preserve"> </v>
      </c>
      <c r="AI1643" s="571" t="str">
        <f t="shared" si="353"/>
        <v xml:space="preserve"> </v>
      </c>
      <c r="AJ1643" s="586" t="s">
        <v>1166</v>
      </c>
      <c r="AK1643" s="558" t="s">
        <v>2450</v>
      </c>
    </row>
    <row r="1644" spans="1:37" s="394" customFormat="1" ht="81" outlineLevel="2" x14ac:dyDescent="0.3">
      <c r="A1644" s="447">
        <f t="shared" si="362"/>
        <v>135</v>
      </c>
      <c r="B1644" s="557"/>
      <c r="C1644" s="572"/>
      <c r="D1644" s="700"/>
      <c r="E1644" s="612"/>
      <c r="F1644" s="612"/>
      <c r="G1644" s="586"/>
      <c r="H1644" s="709"/>
      <c r="I1644" s="546"/>
      <c r="J1644" s="562"/>
      <c r="K1644" s="563" t="str">
        <f>IF(G1644&lt;&gt;0,VLOOKUP(G1644,'gia dat'!$A$1:$F$144,5,0)," ")</f>
        <v xml:space="preserve"> </v>
      </c>
      <c r="L1644" s="563" t="str">
        <f>IF(G1644&lt;&gt;0,VLOOKUP(G1644,'gia dat'!$A$1:$F$144,6,0)," ")</f>
        <v xml:space="preserve"> </v>
      </c>
      <c r="M1644" s="564" t="str">
        <f t="shared" si="355"/>
        <v xml:space="preserve"> </v>
      </c>
      <c r="N1644" s="564" t="str">
        <f t="shared" si="356"/>
        <v xml:space="preserve"> </v>
      </c>
      <c r="O1644" s="572"/>
      <c r="P1644" s="740"/>
      <c r="Q1644" s="564" t="str">
        <f>IF(O1644&lt;&gt;0,VLOOKUP(O1644,'Cây trong'!$A$2:$C$246,3,0)," ")</f>
        <v xml:space="preserve"> </v>
      </c>
      <c r="R1644" s="564" t="str">
        <f t="shared" si="345"/>
        <v xml:space="preserve"> </v>
      </c>
      <c r="S1644" s="572" t="s">
        <v>1912</v>
      </c>
      <c r="T1644" s="609" t="s">
        <v>1133</v>
      </c>
      <c r="U1644" s="741">
        <v>18.600000000000001</v>
      </c>
      <c r="V1644" s="586"/>
      <c r="W1644" s="564">
        <f>IF(S1644&lt;&gt;0,VLOOKUP(S1644,VKT!$A$2:$G$415,7,0),"")</f>
        <v>265836</v>
      </c>
      <c r="X1644" s="564">
        <f t="shared" si="351"/>
        <v>4945000</v>
      </c>
      <c r="Y1644" s="650"/>
      <c r="Z1644" s="586"/>
      <c r="AA1644" s="742"/>
      <c r="AB1644" s="586"/>
      <c r="AC1644" s="586"/>
      <c r="AD1644" s="586"/>
      <c r="AE1644" s="586"/>
      <c r="AF1644" s="714"/>
      <c r="AG1644" s="570" t="str">
        <f>IF(AE1644&lt;&gt;0,VLOOKUP(AE1644,ODDS!$A$2:$C$13,3,0),"")</f>
        <v/>
      </c>
      <c r="AH1644" s="570" t="str">
        <f t="shared" si="346"/>
        <v xml:space="preserve"> </v>
      </c>
      <c r="AI1644" s="571" t="str">
        <f t="shared" si="353"/>
        <v xml:space="preserve"> </v>
      </c>
      <c r="AJ1644" s="586" t="s">
        <v>1146</v>
      </c>
      <c r="AK1644" s="558" t="s">
        <v>2447</v>
      </c>
    </row>
    <row r="1645" spans="1:37" s="394" customFormat="1" ht="101.25" outlineLevel="2" x14ac:dyDescent="0.3">
      <c r="A1645" s="447">
        <f t="shared" si="362"/>
        <v>135</v>
      </c>
      <c r="B1645" s="557"/>
      <c r="C1645" s="572"/>
      <c r="D1645" s="700"/>
      <c r="E1645" s="612"/>
      <c r="F1645" s="612"/>
      <c r="G1645" s="586"/>
      <c r="H1645" s="709"/>
      <c r="I1645" s="546"/>
      <c r="J1645" s="558"/>
      <c r="K1645" s="563" t="str">
        <f>IF(G1645&lt;&gt;0,VLOOKUP(G1645,'gia dat'!$A$1:$F$144,5,0)," ")</f>
        <v xml:space="preserve"> </v>
      </c>
      <c r="L1645" s="563" t="str">
        <f>IF(G1645&lt;&gt;0,VLOOKUP(G1645,'gia dat'!$A$1:$F$144,6,0)," ")</f>
        <v xml:space="preserve"> </v>
      </c>
      <c r="M1645" s="564" t="str">
        <f t="shared" si="355"/>
        <v xml:space="preserve"> </v>
      </c>
      <c r="N1645" s="564" t="str">
        <f t="shared" si="356"/>
        <v xml:space="preserve"> </v>
      </c>
      <c r="O1645" s="572"/>
      <c r="P1645" s="740"/>
      <c r="Q1645" s="564" t="str">
        <f>IF(O1645&lt;&gt;0,VLOOKUP(O1645,'Cây trong'!$A$2:$C$246,3,0)," ")</f>
        <v xml:space="preserve"> </v>
      </c>
      <c r="R1645" s="564" t="str">
        <f t="shared" si="345"/>
        <v xml:space="preserve"> </v>
      </c>
      <c r="S1645" s="572" t="s">
        <v>1913</v>
      </c>
      <c r="T1645" s="609" t="s">
        <v>1133</v>
      </c>
      <c r="U1645" s="741">
        <v>13.5</v>
      </c>
      <c r="V1645" s="586"/>
      <c r="W1645" s="564">
        <f>IF(S1645&lt;&gt;0,VLOOKUP(S1645,VKT!$A$2:$G$415,7,0),"")</f>
        <v>530132</v>
      </c>
      <c r="X1645" s="564">
        <f t="shared" si="351"/>
        <v>7157000</v>
      </c>
      <c r="Y1645" s="650"/>
      <c r="Z1645" s="586"/>
      <c r="AA1645" s="742"/>
      <c r="AB1645" s="586"/>
      <c r="AC1645" s="586"/>
      <c r="AD1645" s="586"/>
      <c r="AE1645" s="586"/>
      <c r="AF1645" s="714"/>
      <c r="AG1645" s="570" t="str">
        <f>IF(AE1645&lt;&gt;0,VLOOKUP(AE1645,ODDS!$A$2:$C$13,3,0),"")</f>
        <v/>
      </c>
      <c r="AH1645" s="570" t="str">
        <f t="shared" si="346"/>
        <v xml:space="preserve"> </v>
      </c>
      <c r="AI1645" s="571" t="str">
        <f t="shared" si="353"/>
        <v xml:space="preserve"> </v>
      </c>
      <c r="AJ1645" s="586"/>
      <c r="AK1645" s="586" t="s">
        <v>2800</v>
      </c>
    </row>
    <row r="1646" spans="1:37" s="394" customFormat="1" ht="20.25" outlineLevel="2" x14ac:dyDescent="0.3">
      <c r="A1646" s="447">
        <f t="shared" si="362"/>
        <v>135</v>
      </c>
      <c r="B1646" s="557"/>
      <c r="C1646" s="586"/>
      <c r="D1646" s="700"/>
      <c r="E1646" s="612"/>
      <c r="F1646" s="612"/>
      <c r="G1646" s="586"/>
      <c r="H1646" s="709"/>
      <c r="I1646" s="546"/>
      <c r="J1646" s="558"/>
      <c r="K1646" s="563" t="str">
        <f>IF(G1646&lt;&gt;0,VLOOKUP(G1646,'gia dat'!$A$1:$F$144,5,0)," ")</f>
        <v xml:space="preserve"> </v>
      </c>
      <c r="L1646" s="563" t="str">
        <f>IF(G1646&lt;&gt;0,VLOOKUP(G1646,'gia dat'!$A$1:$F$144,6,0)," ")</f>
        <v xml:space="preserve"> </v>
      </c>
      <c r="M1646" s="564" t="str">
        <f t="shared" si="355"/>
        <v xml:space="preserve"> </v>
      </c>
      <c r="N1646" s="564" t="str">
        <f t="shared" si="356"/>
        <v xml:space="preserve"> </v>
      </c>
      <c r="O1646" s="572"/>
      <c r="P1646" s="740"/>
      <c r="Q1646" s="564" t="str">
        <f>IF(O1646&lt;&gt;0,VLOOKUP(O1646,'Cây trong'!$A$2:$C$246,3,0)," ")</f>
        <v xml:space="preserve"> </v>
      </c>
      <c r="R1646" s="564" t="str">
        <f t="shared" si="345"/>
        <v xml:space="preserve"> </v>
      </c>
      <c r="S1646" s="572"/>
      <c r="T1646" s="609"/>
      <c r="U1646" s="741"/>
      <c r="V1646" s="586"/>
      <c r="W1646" s="564" t="str">
        <f>IF(S1646&lt;&gt;0,VLOOKUP(S1646,VKT!$A$2:$G$415,7,0),"")</f>
        <v/>
      </c>
      <c r="X1646" s="564" t="str">
        <f t="shared" si="351"/>
        <v xml:space="preserve"> </v>
      </c>
      <c r="Y1646" s="650"/>
      <c r="Z1646" s="586"/>
      <c r="AA1646" s="742"/>
      <c r="AB1646" s="586"/>
      <c r="AC1646" s="586"/>
      <c r="AD1646" s="586"/>
      <c r="AE1646" s="586"/>
      <c r="AF1646" s="714"/>
      <c r="AG1646" s="570" t="str">
        <f>IF(AE1646&lt;&gt;0,VLOOKUP(AE1646,ODDS!$A$2:$C$13,3,0),"")</f>
        <v/>
      </c>
      <c r="AH1646" s="570" t="str">
        <f t="shared" si="346"/>
        <v xml:space="preserve"> </v>
      </c>
      <c r="AI1646" s="571" t="str">
        <f t="shared" si="353"/>
        <v xml:space="preserve"> </v>
      </c>
      <c r="AJ1646" s="572"/>
      <c r="AK1646" s="572"/>
    </row>
    <row r="1647" spans="1:37" s="394" customFormat="1" ht="20.25" outlineLevel="2" x14ac:dyDescent="0.3">
      <c r="A1647" s="447">
        <f t="shared" si="362"/>
        <v>135</v>
      </c>
      <c r="B1647" s="557"/>
      <c r="C1647" s="572"/>
      <c r="D1647" s="700"/>
      <c r="E1647" s="612"/>
      <c r="F1647" s="612"/>
      <c r="G1647" s="586"/>
      <c r="H1647" s="709"/>
      <c r="I1647" s="546"/>
      <c r="J1647" s="558"/>
      <c r="K1647" s="563" t="str">
        <f>IF(G1647&lt;&gt;0,VLOOKUP(G1647,'gia dat'!$A$1:$F$144,5,0)," ")</f>
        <v xml:space="preserve"> </v>
      </c>
      <c r="L1647" s="563" t="str">
        <f>IF(G1647&lt;&gt;0,VLOOKUP(G1647,'gia dat'!$A$1:$F$144,6,0)," ")</f>
        <v xml:space="preserve"> </v>
      </c>
      <c r="M1647" s="564" t="str">
        <f t="shared" si="355"/>
        <v xml:space="preserve"> </v>
      </c>
      <c r="N1647" s="564" t="str">
        <f t="shared" si="356"/>
        <v xml:space="preserve"> </v>
      </c>
      <c r="O1647" s="572"/>
      <c r="P1647" s="740"/>
      <c r="Q1647" s="564" t="str">
        <f>IF(O1647&lt;&gt;0,VLOOKUP(O1647,'Cây trong'!$A$2:$C$246,3,0)," ")</f>
        <v xml:space="preserve"> </v>
      </c>
      <c r="R1647" s="564" t="str">
        <f t="shared" si="345"/>
        <v xml:space="preserve"> </v>
      </c>
      <c r="S1647" s="572"/>
      <c r="T1647" s="609"/>
      <c r="U1647" s="741"/>
      <c r="V1647" s="586"/>
      <c r="W1647" s="564" t="str">
        <f>IF(S1647&lt;&gt;0,VLOOKUP(S1647,VKT!$A$2:$G$415,7,0),"")</f>
        <v/>
      </c>
      <c r="X1647" s="564" t="str">
        <f t="shared" si="351"/>
        <v xml:space="preserve"> </v>
      </c>
      <c r="Y1647" s="650"/>
      <c r="Z1647" s="586"/>
      <c r="AA1647" s="742"/>
      <c r="AB1647" s="586"/>
      <c r="AC1647" s="586"/>
      <c r="AD1647" s="586"/>
      <c r="AE1647" s="586"/>
      <c r="AF1647" s="714"/>
      <c r="AG1647" s="570" t="str">
        <f>IF(AE1647&lt;&gt;0,VLOOKUP(AE1647,ODDS!$A$2:$C$13,3,0),"")</f>
        <v/>
      </c>
      <c r="AH1647" s="570" t="str">
        <f t="shared" si="346"/>
        <v xml:space="preserve"> </v>
      </c>
      <c r="AI1647" s="571" t="str">
        <f t="shared" si="353"/>
        <v xml:space="preserve"> </v>
      </c>
      <c r="AJ1647" s="586"/>
      <c r="AK1647" s="586"/>
    </row>
    <row r="1648" spans="1:37" s="394" customFormat="1" ht="20.25" outlineLevel="2" x14ac:dyDescent="0.3">
      <c r="A1648" s="447">
        <f t="shared" si="362"/>
        <v>135</v>
      </c>
      <c r="B1648" s="557"/>
      <c r="C1648" s="607"/>
      <c r="D1648" s="700"/>
      <c r="E1648" s="612"/>
      <c r="F1648" s="612"/>
      <c r="G1648" s="586"/>
      <c r="H1648" s="709"/>
      <c r="I1648" s="546"/>
      <c r="J1648" s="558"/>
      <c r="K1648" s="563" t="str">
        <f>IF(G1648&lt;&gt;0,VLOOKUP(G1648,'gia dat'!$A$1:$F$144,5,0)," ")</f>
        <v xml:space="preserve"> </v>
      </c>
      <c r="L1648" s="563" t="str">
        <f>IF(G1648&lt;&gt;0,VLOOKUP(G1648,'gia dat'!$A$1:$F$144,6,0)," ")</f>
        <v xml:space="preserve"> </v>
      </c>
      <c r="M1648" s="564" t="str">
        <f t="shared" si="355"/>
        <v xml:space="preserve"> </v>
      </c>
      <c r="N1648" s="564" t="str">
        <f t="shared" si="356"/>
        <v xml:space="preserve"> </v>
      </c>
      <c r="O1648" s="572"/>
      <c r="P1648" s="740"/>
      <c r="Q1648" s="564" t="str">
        <f>IF(O1648&lt;&gt;0,VLOOKUP(O1648,'Cây trong'!$A$2:$C$246,3,0)," ")</f>
        <v xml:space="preserve"> </v>
      </c>
      <c r="R1648" s="564" t="str">
        <f t="shared" ref="R1648:R1742" si="363">IF(O1648&lt;&gt;0,ROUND(P1648*Q1648,-2)," ")</f>
        <v xml:space="preserve"> </v>
      </c>
      <c r="S1648" s="572"/>
      <c r="T1648" s="609"/>
      <c r="U1648" s="741"/>
      <c r="V1648" s="586"/>
      <c r="W1648" s="564" t="str">
        <f>IF(S1648&lt;&gt;0,VLOOKUP(S1648,VKT!$A$2:$G$415,7,0),"")</f>
        <v/>
      </c>
      <c r="X1648" s="564" t="str">
        <f t="shared" si="351"/>
        <v xml:space="preserve"> </v>
      </c>
      <c r="Y1648" s="650"/>
      <c r="Z1648" s="586"/>
      <c r="AA1648" s="742"/>
      <c r="AB1648" s="586"/>
      <c r="AC1648" s="586"/>
      <c r="AD1648" s="586"/>
      <c r="AE1648" s="586"/>
      <c r="AF1648" s="714"/>
      <c r="AG1648" s="570" t="str">
        <f>IF(AE1648&lt;&gt;0,VLOOKUP(AE1648,ODDS!$A$2:$C$13,3,0),"")</f>
        <v/>
      </c>
      <c r="AH1648" s="570" t="str">
        <f t="shared" ref="AH1648:AH1742" si="364">IF(AE1648&lt;&gt;0,ROUND(AF1648*AG1648,-2)," ")</f>
        <v xml:space="preserve"> </v>
      </c>
      <c r="AI1648" s="571" t="str">
        <f t="shared" si="353"/>
        <v xml:space="preserve"> </v>
      </c>
      <c r="AJ1648" s="586"/>
      <c r="AK1648" s="586"/>
    </row>
    <row r="1649" spans="1:37" s="396" customFormat="1" ht="20.25" outlineLevel="1" x14ac:dyDescent="0.25">
      <c r="A1649" s="467" t="s">
        <v>2574</v>
      </c>
      <c r="B1649" s="576">
        <v>136</v>
      </c>
      <c r="C1649" s="607" t="s">
        <v>1169</v>
      </c>
      <c r="D1649" s="706"/>
      <c r="E1649" s="642"/>
      <c r="F1649" s="642"/>
      <c r="G1649" s="578"/>
      <c r="H1649" s="707">
        <f>SUBTOTAL(9,H1650:H1657)</f>
        <v>263.5</v>
      </c>
      <c r="I1649" s="579">
        <f>SUBTOTAL(9,I1650:I1655)</f>
        <v>0</v>
      </c>
      <c r="J1649" s="580"/>
      <c r="K1649" s="581"/>
      <c r="L1649" s="581"/>
      <c r="M1649" s="571">
        <f>SUBTOTAL(9,M1650:M1657)</f>
        <v>122686000</v>
      </c>
      <c r="N1649" s="571">
        <f>SUBTOTAL(9,N1650:N1657)</f>
        <v>0</v>
      </c>
      <c r="O1649" s="607"/>
      <c r="P1649" s="738">
        <f>SUBTOTAL(9,P1650:P1657)</f>
        <v>0</v>
      </c>
      <c r="Q1649" s="571"/>
      <c r="R1649" s="571">
        <f>SUBTOTAL(9,R1650:R1657)</f>
        <v>0</v>
      </c>
      <c r="S1649" s="582"/>
      <c r="T1649" s="621"/>
      <c r="U1649" s="739">
        <f>SUBTOTAL(9,U1650:U1657)</f>
        <v>0</v>
      </c>
      <c r="V1649" s="578"/>
      <c r="W1649" s="571"/>
      <c r="X1649" s="571">
        <f>SUBTOTAL(9,X1650:X1657)</f>
        <v>0</v>
      </c>
      <c r="Y1649" s="650"/>
      <c r="Z1649" s="586"/>
      <c r="AA1649" s="742"/>
      <c r="AB1649" s="586"/>
      <c r="AC1649" s="586"/>
      <c r="AD1649" s="586"/>
      <c r="AE1649" s="578"/>
      <c r="AF1649" s="712">
        <f>SUBTOTAL(9,AF1650:AF1657)</f>
        <v>0</v>
      </c>
      <c r="AG1649" s="585"/>
      <c r="AH1649" s="585">
        <f>SUBTOTAL(9,AH1650:AH1657)</f>
        <v>0</v>
      </c>
      <c r="AI1649" s="571">
        <f t="shared" si="353"/>
        <v>122686000</v>
      </c>
      <c r="AJ1649" s="578"/>
      <c r="AK1649" s="578"/>
    </row>
    <row r="1650" spans="1:37" s="396" customFormat="1" ht="121.5" outlineLevel="2" x14ac:dyDescent="0.3">
      <c r="A1650" s="447">
        <f>IF(B1649&lt;&gt;0,B1649,A1648)</f>
        <v>136</v>
      </c>
      <c r="B1650" s="557"/>
      <c r="C1650" s="572" t="s">
        <v>1171</v>
      </c>
      <c r="D1650" s="700">
        <v>4</v>
      </c>
      <c r="E1650" s="612">
        <v>86</v>
      </c>
      <c r="F1650" s="612">
        <v>47</v>
      </c>
      <c r="G1650" s="586" t="s">
        <v>2870</v>
      </c>
      <c r="H1650" s="709">
        <f>263.5-H1651</f>
        <v>263.5</v>
      </c>
      <c r="I1650" s="546" t="str">
        <f t="shared" ref="I1650" si="365">IF(N1650&gt;0,H1650,"")</f>
        <v/>
      </c>
      <c r="J1650" s="562"/>
      <c r="K1650" s="563">
        <f>IF(G1650&lt;&gt;0,VLOOKUP(G1650,'gia dat'!$A$1:$F$144,5,0)," ")</f>
        <v>465600</v>
      </c>
      <c r="L1650" s="563">
        <f>IF(G1650&lt;&gt;0,VLOOKUP(G1650,'gia dat'!$A$1:$F$144,6,0)," ")</f>
        <v>0</v>
      </c>
      <c r="M1650" s="564">
        <f t="shared" si="355"/>
        <v>122686000</v>
      </c>
      <c r="N1650" s="564">
        <f t="shared" si="356"/>
        <v>0</v>
      </c>
      <c r="O1650" s="572"/>
      <c r="P1650" s="740"/>
      <c r="Q1650" s="564" t="str">
        <f>IF(O1650&lt;&gt;0,VLOOKUP(O1650,'Cây trong'!$A$2:$C$246,3,0)," ")</f>
        <v xml:space="preserve"> </v>
      </c>
      <c r="R1650" s="564" t="str">
        <f t="shared" si="363"/>
        <v xml:space="preserve"> </v>
      </c>
      <c r="S1650" s="566"/>
      <c r="T1650" s="609"/>
      <c r="U1650" s="741"/>
      <c r="V1650" s="586"/>
      <c r="W1650" s="564" t="str">
        <f>IF(S1650&lt;&gt;0,VLOOKUP(S1650,VKT!$A$2:$G$415,7,0),"")</f>
        <v/>
      </c>
      <c r="X1650" s="564" t="str">
        <f t="shared" si="351"/>
        <v xml:space="preserve"> </v>
      </c>
      <c r="Y1650" s="650"/>
      <c r="Z1650" s="586"/>
      <c r="AA1650" s="742"/>
      <c r="AB1650" s="586"/>
      <c r="AC1650" s="586"/>
      <c r="AD1650" s="586"/>
      <c r="AE1650" s="586"/>
      <c r="AF1650" s="714"/>
      <c r="AG1650" s="570" t="str">
        <f>IF(AE1650&lt;&gt;0,VLOOKUP(AE1650,ODDS!$A$2:$C$13,3,0),"")</f>
        <v/>
      </c>
      <c r="AH1650" s="570"/>
      <c r="AI1650" s="571" t="str">
        <f t="shared" si="353"/>
        <v xml:space="preserve"> </v>
      </c>
      <c r="AJ1650" s="586" t="s">
        <v>1170</v>
      </c>
      <c r="AK1650" s="586" t="s">
        <v>2771</v>
      </c>
    </row>
    <row r="1651" spans="1:37" s="394" customFormat="1" ht="40.5" outlineLevel="2" x14ac:dyDescent="0.3">
      <c r="A1651" s="447">
        <f t="shared" ref="A1651:A1657" si="366">IF(B1650&lt;&gt;0,B1650,A1650)</f>
        <v>136</v>
      </c>
      <c r="B1651" s="557"/>
      <c r="C1651" s="607" t="s">
        <v>1173</v>
      </c>
      <c r="D1651" s="700"/>
      <c r="E1651" s="612"/>
      <c r="F1651" s="612"/>
      <c r="G1651" s="586"/>
      <c r="H1651" s="709"/>
      <c r="I1651" s="546"/>
      <c r="J1651" s="562"/>
      <c r="K1651" s="563" t="str">
        <f>IF(G1651&lt;&gt;0,VLOOKUP(G1651,'gia dat'!$A$1:$F$144,5,0)," ")</f>
        <v xml:space="preserve"> </v>
      </c>
      <c r="L1651" s="563" t="str">
        <f>IF(G1651&lt;&gt;0,VLOOKUP(G1651,'gia dat'!$A$1:$F$144,6,0)," ")</f>
        <v xml:space="preserve"> </v>
      </c>
      <c r="M1651" s="564" t="str">
        <f t="shared" si="355"/>
        <v xml:space="preserve"> </v>
      </c>
      <c r="N1651" s="564" t="str">
        <f t="shared" si="356"/>
        <v xml:space="preserve"> </v>
      </c>
      <c r="O1651" s="572"/>
      <c r="P1651" s="740"/>
      <c r="Q1651" s="564" t="str">
        <f>IF(O1651&lt;&gt;0,VLOOKUP(O1651,'Cây trong'!$A$2:$C$246,3,0)," ")</f>
        <v xml:space="preserve"> </v>
      </c>
      <c r="R1651" s="564" t="str">
        <f t="shared" si="363"/>
        <v xml:space="preserve"> </v>
      </c>
      <c r="S1651" s="566"/>
      <c r="T1651" s="609"/>
      <c r="U1651" s="741"/>
      <c r="V1651" s="586"/>
      <c r="W1651" s="564" t="str">
        <f>IF(S1651&lt;&gt;0,VLOOKUP(S1651,VKT!$A$2:$G$415,7,0),"")</f>
        <v/>
      </c>
      <c r="X1651" s="564" t="str">
        <f t="shared" si="351"/>
        <v xml:space="preserve"> </v>
      </c>
      <c r="Y1651" s="650"/>
      <c r="Z1651" s="586"/>
      <c r="AA1651" s="742"/>
      <c r="AB1651" s="586"/>
      <c r="AC1651" s="586"/>
      <c r="AD1651" s="586"/>
      <c r="AE1651" s="586"/>
      <c r="AF1651" s="714"/>
      <c r="AG1651" s="570" t="str">
        <f>IF(AE1651&lt;&gt;0,VLOOKUP(AE1651,ODDS!$A$2:$C$13,3,0),"")</f>
        <v/>
      </c>
      <c r="AH1651" s="570" t="str">
        <f t="shared" si="364"/>
        <v xml:space="preserve"> </v>
      </c>
      <c r="AI1651" s="571" t="str">
        <f t="shared" si="353"/>
        <v xml:space="preserve"> </v>
      </c>
      <c r="AJ1651" s="586" t="s">
        <v>1172</v>
      </c>
      <c r="AK1651" s="586"/>
    </row>
    <row r="1652" spans="1:37" s="394" customFormat="1" ht="121.5" outlineLevel="2" x14ac:dyDescent="0.3">
      <c r="A1652" s="447">
        <f t="shared" si="366"/>
        <v>136</v>
      </c>
      <c r="B1652" s="557"/>
      <c r="C1652" s="572" t="s">
        <v>1175</v>
      </c>
      <c r="D1652" s="700"/>
      <c r="E1652" s="612"/>
      <c r="F1652" s="612"/>
      <c r="G1652" s="586"/>
      <c r="H1652" s="709"/>
      <c r="I1652" s="546"/>
      <c r="J1652" s="562"/>
      <c r="K1652" s="563" t="str">
        <f>IF(G1652&lt;&gt;0,VLOOKUP(G1652,'gia dat'!$A$1:$F$144,5,0)," ")</f>
        <v xml:space="preserve"> </v>
      </c>
      <c r="L1652" s="563" t="str">
        <f>IF(G1652&lt;&gt;0,VLOOKUP(G1652,'gia dat'!$A$1:$F$144,6,0)," ")</f>
        <v xml:space="preserve"> </v>
      </c>
      <c r="M1652" s="564" t="str">
        <f t="shared" si="355"/>
        <v xml:space="preserve"> </v>
      </c>
      <c r="N1652" s="564" t="str">
        <f t="shared" si="356"/>
        <v xml:space="preserve"> </v>
      </c>
      <c r="O1652" s="572"/>
      <c r="P1652" s="740"/>
      <c r="Q1652" s="564" t="str">
        <f>IF(O1652&lt;&gt;0,VLOOKUP(O1652,'Cây trong'!$A$2:$C$246,3,0)," ")</f>
        <v xml:space="preserve"> </v>
      </c>
      <c r="R1652" s="564" t="str">
        <f t="shared" si="363"/>
        <v xml:space="preserve"> </v>
      </c>
      <c r="S1652" s="566"/>
      <c r="T1652" s="609"/>
      <c r="U1652" s="741"/>
      <c r="V1652" s="586"/>
      <c r="W1652" s="564" t="str">
        <f>IF(S1652&lt;&gt;0,VLOOKUP(S1652,VKT!$A$2:$G$415,7,0),"")</f>
        <v/>
      </c>
      <c r="X1652" s="564" t="str">
        <f t="shared" si="351"/>
        <v xml:space="preserve"> </v>
      </c>
      <c r="Y1652" s="650"/>
      <c r="Z1652" s="586"/>
      <c r="AA1652" s="742"/>
      <c r="AB1652" s="586"/>
      <c r="AC1652" s="586"/>
      <c r="AD1652" s="586"/>
      <c r="AE1652" s="586"/>
      <c r="AF1652" s="714"/>
      <c r="AG1652" s="570" t="str">
        <f>IF(AE1652&lt;&gt;0,VLOOKUP(AE1652,ODDS!$A$2:$C$13,3,0),"")</f>
        <v/>
      </c>
      <c r="AH1652" s="570" t="str">
        <f t="shared" si="364"/>
        <v xml:space="preserve"> </v>
      </c>
      <c r="AI1652" s="571" t="str">
        <f t="shared" si="353"/>
        <v xml:space="preserve"> </v>
      </c>
      <c r="AJ1652" s="586" t="s">
        <v>2237</v>
      </c>
      <c r="AK1652" s="558"/>
    </row>
    <row r="1653" spans="1:37" s="394" customFormat="1" ht="81" outlineLevel="2" x14ac:dyDescent="0.3">
      <c r="A1653" s="447">
        <f t="shared" si="366"/>
        <v>136</v>
      </c>
      <c r="B1653" s="557"/>
      <c r="C1653" s="572" t="s">
        <v>1599</v>
      </c>
      <c r="D1653" s="700"/>
      <c r="E1653" s="612"/>
      <c r="F1653" s="612"/>
      <c r="G1653" s="572"/>
      <c r="H1653" s="709"/>
      <c r="I1653" s="546"/>
      <c r="J1653" s="558"/>
      <c r="K1653" s="563" t="str">
        <f>IF(G1653&lt;&gt;0,VLOOKUP(G1653,'gia dat'!$A$1:$F$144,5,0)," ")</f>
        <v xml:space="preserve"> </v>
      </c>
      <c r="L1653" s="563" t="str">
        <f>IF(G1653&lt;&gt;0,VLOOKUP(G1653,'gia dat'!$A$1:$F$144,6,0)," ")</f>
        <v xml:space="preserve"> </v>
      </c>
      <c r="M1653" s="564" t="str">
        <f t="shared" si="355"/>
        <v xml:space="preserve"> </v>
      </c>
      <c r="N1653" s="564" t="str">
        <f t="shared" si="356"/>
        <v xml:space="preserve"> </v>
      </c>
      <c r="O1653" s="572"/>
      <c r="P1653" s="740"/>
      <c r="Q1653" s="564" t="str">
        <f>IF(O1653&lt;&gt;0,VLOOKUP(O1653,'Cây trong'!$A$2:$C$246,3,0)," ")</f>
        <v xml:space="preserve"> </v>
      </c>
      <c r="R1653" s="564" t="str">
        <f t="shared" si="363"/>
        <v xml:space="preserve"> </v>
      </c>
      <c r="S1653" s="572"/>
      <c r="T1653" s="609"/>
      <c r="U1653" s="741"/>
      <c r="V1653" s="586"/>
      <c r="W1653" s="564" t="str">
        <f>IF(S1653&lt;&gt;0,VLOOKUP(S1653,VKT!$A$2:$G$415,7,0),"")</f>
        <v/>
      </c>
      <c r="X1653" s="564" t="str">
        <f t="shared" si="351"/>
        <v xml:space="preserve"> </v>
      </c>
      <c r="Y1653" s="650"/>
      <c r="Z1653" s="586"/>
      <c r="AA1653" s="742"/>
      <c r="AB1653" s="586"/>
      <c r="AC1653" s="586"/>
      <c r="AD1653" s="586"/>
      <c r="AE1653" s="586"/>
      <c r="AF1653" s="714"/>
      <c r="AG1653" s="570" t="str">
        <f>IF(AE1653&lt;&gt;0,VLOOKUP(AE1653,ODDS!$A$2:$C$13,3,0),"")</f>
        <v/>
      </c>
      <c r="AH1653" s="570" t="str">
        <f t="shared" si="364"/>
        <v xml:space="preserve"> </v>
      </c>
      <c r="AI1653" s="571" t="str">
        <f t="shared" si="353"/>
        <v xml:space="preserve"> </v>
      </c>
      <c r="AJ1653" s="731"/>
      <c r="AK1653" s="586"/>
    </row>
    <row r="1654" spans="1:37" s="394" customFormat="1" ht="20.25" outlineLevel="2" x14ac:dyDescent="0.3">
      <c r="A1654" s="447">
        <f t="shared" si="366"/>
        <v>136</v>
      </c>
      <c r="B1654" s="557"/>
      <c r="C1654" s="572"/>
      <c r="D1654" s="700"/>
      <c r="E1654" s="612"/>
      <c r="F1654" s="612"/>
      <c r="G1654" s="586"/>
      <c r="H1654" s="709"/>
      <c r="I1654" s="546"/>
      <c r="J1654" s="558"/>
      <c r="K1654" s="563" t="str">
        <f>IF(G1654&lt;&gt;0,VLOOKUP(G1654,'gia dat'!$A$1:$F$144,5,0)," ")</f>
        <v xml:space="preserve"> </v>
      </c>
      <c r="L1654" s="563" t="str">
        <f>IF(G1654&lt;&gt;0,VLOOKUP(G1654,'gia dat'!$A$1:$F$144,6,0)," ")</f>
        <v xml:space="preserve"> </v>
      </c>
      <c r="M1654" s="564" t="str">
        <f t="shared" si="355"/>
        <v xml:space="preserve"> </v>
      </c>
      <c r="N1654" s="564" t="str">
        <f t="shared" si="356"/>
        <v xml:space="preserve"> </v>
      </c>
      <c r="O1654" s="572"/>
      <c r="P1654" s="740"/>
      <c r="Q1654" s="564" t="str">
        <f>IF(O1654&lt;&gt;0,VLOOKUP(O1654,'Cây trong'!$A$2:$C$246,3,0)," ")</f>
        <v xml:space="preserve"> </v>
      </c>
      <c r="R1654" s="564" t="str">
        <f t="shared" si="363"/>
        <v xml:space="preserve"> </v>
      </c>
      <c r="S1654" s="572"/>
      <c r="T1654" s="609"/>
      <c r="U1654" s="741"/>
      <c r="V1654" s="586"/>
      <c r="W1654" s="564" t="str">
        <f>IF(S1654&lt;&gt;0,VLOOKUP(S1654,VKT!$A$2:$G$415,7,0),"")</f>
        <v/>
      </c>
      <c r="X1654" s="564" t="str">
        <f t="shared" si="351"/>
        <v xml:space="preserve"> </v>
      </c>
      <c r="Y1654" s="650"/>
      <c r="Z1654" s="586"/>
      <c r="AA1654" s="742"/>
      <c r="AB1654" s="586"/>
      <c r="AC1654" s="586"/>
      <c r="AD1654" s="586"/>
      <c r="AE1654" s="586"/>
      <c r="AF1654" s="714"/>
      <c r="AG1654" s="570" t="str">
        <f>IF(AE1654&lt;&gt;0,VLOOKUP(AE1654,ODDS!$A$2:$C$13,3,0),"")</f>
        <v/>
      </c>
      <c r="AH1654" s="570" t="str">
        <f t="shared" si="364"/>
        <v xml:space="preserve"> </v>
      </c>
      <c r="AI1654" s="571" t="str">
        <f t="shared" si="353"/>
        <v xml:space="preserve"> </v>
      </c>
      <c r="AJ1654" s="558"/>
      <c r="AK1654" s="558"/>
    </row>
    <row r="1655" spans="1:37" s="394" customFormat="1" ht="20.25" outlineLevel="2" x14ac:dyDescent="0.3">
      <c r="A1655" s="447">
        <f t="shared" si="366"/>
        <v>136</v>
      </c>
      <c r="B1655" s="557"/>
      <c r="C1655" s="572"/>
      <c r="D1655" s="700"/>
      <c r="E1655" s="612"/>
      <c r="F1655" s="612"/>
      <c r="G1655" s="586"/>
      <c r="H1655" s="709"/>
      <c r="I1655" s="546"/>
      <c r="J1655" s="558"/>
      <c r="K1655" s="563" t="str">
        <f>IF(G1655&lt;&gt;0,VLOOKUP(G1655,'gia dat'!$A$1:$F$144,5,0)," ")</f>
        <v xml:space="preserve"> </v>
      </c>
      <c r="L1655" s="563" t="str">
        <f>IF(G1655&lt;&gt;0,VLOOKUP(G1655,'gia dat'!$A$1:$F$144,6,0)," ")</f>
        <v xml:space="preserve"> </v>
      </c>
      <c r="M1655" s="564" t="str">
        <f t="shared" si="355"/>
        <v xml:space="preserve"> </v>
      </c>
      <c r="N1655" s="564" t="str">
        <f t="shared" si="356"/>
        <v xml:space="preserve"> </v>
      </c>
      <c r="O1655" s="572"/>
      <c r="P1655" s="740"/>
      <c r="Q1655" s="564" t="str">
        <f>IF(O1655&lt;&gt;0,VLOOKUP(O1655,'Cây trong'!$A$2:$C$246,3,0)," ")</f>
        <v xml:space="preserve"> </v>
      </c>
      <c r="R1655" s="564" t="str">
        <f t="shared" si="363"/>
        <v xml:space="preserve"> </v>
      </c>
      <c r="S1655" s="572"/>
      <c r="T1655" s="609"/>
      <c r="U1655" s="741"/>
      <c r="V1655" s="586"/>
      <c r="W1655" s="564" t="str">
        <f>IF(S1655&lt;&gt;0,VLOOKUP(S1655,VKT!$A$2:$G$415,7,0),"")</f>
        <v/>
      </c>
      <c r="X1655" s="564" t="str">
        <f t="shared" si="351"/>
        <v xml:space="preserve"> </v>
      </c>
      <c r="Y1655" s="650"/>
      <c r="Z1655" s="586"/>
      <c r="AA1655" s="742"/>
      <c r="AB1655" s="586"/>
      <c r="AC1655" s="586"/>
      <c r="AD1655" s="586"/>
      <c r="AE1655" s="586"/>
      <c r="AF1655" s="714"/>
      <c r="AG1655" s="570" t="str">
        <f>IF(AE1655&lt;&gt;0,VLOOKUP(AE1655,ODDS!$A$2:$C$13,3,0),"")</f>
        <v/>
      </c>
      <c r="AH1655" s="570" t="str">
        <f t="shared" si="364"/>
        <v xml:space="preserve"> </v>
      </c>
      <c r="AI1655" s="571" t="str">
        <f t="shared" si="353"/>
        <v xml:space="preserve"> </v>
      </c>
      <c r="AJ1655" s="586"/>
      <c r="AK1655" s="586"/>
    </row>
    <row r="1656" spans="1:37" s="394" customFormat="1" ht="20.25" outlineLevel="2" x14ac:dyDescent="0.3">
      <c r="A1656" s="447">
        <f t="shared" si="366"/>
        <v>136</v>
      </c>
      <c r="B1656" s="557"/>
      <c r="C1656" s="572"/>
      <c r="D1656" s="700"/>
      <c r="E1656" s="612"/>
      <c r="F1656" s="612"/>
      <c r="G1656" s="586"/>
      <c r="H1656" s="709"/>
      <c r="I1656" s="546"/>
      <c r="J1656" s="558"/>
      <c r="K1656" s="563" t="str">
        <f>IF(G1656&lt;&gt;0,VLOOKUP(G1656,'gia dat'!$A$1:$F$144,5,0)," ")</f>
        <v xml:space="preserve"> </v>
      </c>
      <c r="L1656" s="563" t="str">
        <f>IF(G1656&lt;&gt;0,VLOOKUP(G1656,'gia dat'!$A$1:$F$144,6,0)," ")</f>
        <v xml:space="preserve"> </v>
      </c>
      <c r="M1656" s="564" t="str">
        <f t="shared" si="355"/>
        <v xml:space="preserve"> </v>
      </c>
      <c r="N1656" s="564" t="str">
        <f t="shared" si="356"/>
        <v xml:space="preserve"> </v>
      </c>
      <c r="O1656" s="572"/>
      <c r="P1656" s="740"/>
      <c r="Q1656" s="564" t="str">
        <f>IF(O1656&lt;&gt;0,VLOOKUP(O1656,'Cây trong'!$A$2:$C$246,3,0)," ")</f>
        <v xml:space="preserve"> </v>
      </c>
      <c r="R1656" s="564" t="str">
        <f t="shared" si="363"/>
        <v xml:space="preserve"> </v>
      </c>
      <c r="S1656" s="572"/>
      <c r="T1656" s="609"/>
      <c r="U1656" s="741"/>
      <c r="V1656" s="586"/>
      <c r="W1656" s="564" t="str">
        <f>IF(S1656&lt;&gt;0,VLOOKUP(S1656,VKT!$A$2:$G$415,7,0),"")</f>
        <v/>
      </c>
      <c r="X1656" s="564" t="str">
        <f t="shared" si="351"/>
        <v xml:space="preserve"> </v>
      </c>
      <c r="Y1656" s="650"/>
      <c r="Z1656" s="586"/>
      <c r="AA1656" s="742"/>
      <c r="AB1656" s="586"/>
      <c r="AC1656" s="586"/>
      <c r="AD1656" s="586"/>
      <c r="AE1656" s="586"/>
      <c r="AF1656" s="714"/>
      <c r="AG1656" s="570" t="str">
        <f>IF(AE1656&lt;&gt;0,VLOOKUP(AE1656,ODDS!$A$2:$C$13,3,0),"")</f>
        <v/>
      </c>
      <c r="AH1656" s="570" t="str">
        <f t="shared" si="364"/>
        <v xml:space="preserve"> </v>
      </c>
      <c r="AI1656" s="571" t="str">
        <f t="shared" si="353"/>
        <v xml:space="preserve"> </v>
      </c>
      <c r="AJ1656" s="586"/>
      <c r="AK1656" s="586"/>
    </row>
    <row r="1657" spans="1:37" s="394" customFormat="1" ht="20.25" outlineLevel="2" x14ac:dyDescent="0.3">
      <c r="A1657" s="447">
        <f t="shared" si="366"/>
        <v>136</v>
      </c>
      <c r="B1657" s="557"/>
      <c r="C1657" s="607"/>
      <c r="D1657" s="700"/>
      <c r="E1657" s="612"/>
      <c r="F1657" s="612"/>
      <c r="G1657" s="586"/>
      <c r="H1657" s="709"/>
      <c r="I1657" s="546"/>
      <c r="J1657" s="558"/>
      <c r="K1657" s="563" t="str">
        <f>IF(G1657&lt;&gt;0,VLOOKUP(G1657,'gia dat'!$A$1:$F$144,5,0)," ")</f>
        <v xml:space="preserve"> </v>
      </c>
      <c r="L1657" s="563" t="str">
        <f>IF(G1657&lt;&gt;0,VLOOKUP(G1657,'gia dat'!$A$1:$F$144,6,0)," ")</f>
        <v xml:space="preserve"> </v>
      </c>
      <c r="M1657" s="564" t="str">
        <f t="shared" si="355"/>
        <v xml:space="preserve"> </v>
      </c>
      <c r="N1657" s="564" t="str">
        <f t="shared" si="356"/>
        <v xml:space="preserve"> </v>
      </c>
      <c r="O1657" s="572"/>
      <c r="P1657" s="740"/>
      <c r="Q1657" s="564" t="str">
        <f>IF(O1657&lt;&gt;0,VLOOKUP(O1657,'Cây trong'!$A$2:$C$246,3,0)," ")</f>
        <v xml:space="preserve"> </v>
      </c>
      <c r="R1657" s="564" t="str">
        <f t="shared" si="363"/>
        <v xml:space="preserve"> </v>
      </c>
      <c r="S1657" s="572"/>
      <c r="T1657" s="609"/>
      <c r="U1657" s="741"/>
      <c r="V1657" s="586"/>
      <c r="W1657" s="564" t="str">
        <f>IF(S1657&lt;&gt;0,VLOOKUP(S1657,VKT!$A$2:$G$415,7,0),"")</f>
        <v/>
      </c>
      <c r="X1657" s="564" t="str">
        <f t="shared" si="351"/>
        <v xml:space="preserve"> </v>
      </c>
      <c r="Y1657" s="650"/>
      <c r="Z1657" s="586"/>
      <c r="AA1657" s="742"/>
      <c r="AB1657" s="586"/>
      <c r="AC1657" s="586"/>
      <c r="AD1657" s="586"/>
      <c r="AE1657" s="586"/>
      <c r="AF1657" s="714"/>
      <c r="AG1657" s="570" t="str">
        <f>IF(AE1657&lt;&gt;0,VLOOKUP(AE1657,ODDS!$A$2:$C$13,3,0),"")</f>
        <v/>
      </c>
      <c r="AH1657" s="570" t="str">
        <f t="shared" si="364"/>
        <v xml:space="preserve"> </v>
      </c>
      <c r="AI1657" s="571" t="str">
        <f t="shared" si="353"/>
        <v xml:space="preserve"> </v>
      </c>
      <c r="AJ1657" s="586"/>
      <c r="AK1657" s="586"/>
    </row>
    <row r="1658" spans="1:37" s="394" customFormat="1" ht="40.5" outlineLevel="1" x14ac:dyDescent="0.25">
      <c r="A1658" s="467" t="s">
        <v>2573</v>
      </c>
      <c r="B1658" s="576">
        <v>137</v>
      </c>
      <c r="C1658" s="607" t="s">
        <v>1176</v>
      </c>
      <c r="D1658" s="706"/>
      <c r="E1658" s="642"/>
      <c r="F1658" s="642"/>
      <c r="G1658" s="578"/>
      <c r="H1658" s="707">
        <f>SUBTOTAL(9,H1659:H1665)</f>
        <v>0</v>
      </c>
      <c r="I1658" s="579">
        <f>SUBTOTAL(9,I1659:I1664)</f>
        <v>0</v>
      </c>
      <c r="J1658" s="580"/>
      <c r="K1658" s="581"/>
      <c r="L1658" s="581"/>
      <c r="M1658" s="571">
        <f>SUBTOTAL(9,M1659:M1665)</f>
        <v>0</v>
      </c>
      <c r="N1658" s="571">
        <f>SUBTOTAL(9,N1659:N1665)</f>
        <v>0</v>
      </c>
      <c r="O1658" s="607"/>
      <c r="P1658" s="738">
        <f>SUBTOTAL(9,P1659:P1665)</f>
        <v>0</v>
      </c>
      <c r="Q1658" s="571"/>
      <c r="R1658" s="571">
        <f>SUBTOTAL(9,R1659:R1665)</f>
        <v>0</v>
      </c>
      <c r="S1658" s="582"/>
      <c r="T1658" s="621"/>
      <c r="U1658" s="739">
        <f>SUBTOTAL(9,U1659:U1665)</f>
        <v>2</v>
      </c>
      <c r="V1658" s="578"/>
      <c r="W1658" s="571"/>
      <c r="X1658" s="571">
        <f>SUBTOTAL(9,X1659:X1665)</f>
        <v>0</v>
      </c>
      <c r="Y1658" s="650"/>
      <c r="Z1658" s="586"/>
      <c r="AA1658" s="742"/>
      <c r="AB1658" s="586"/>
      <c r="AC1658" s="586"/>
      <c r="AD1658" s="586"/>
      <c r="AE1658" s="578"/>
      <c r="AF1658" s="712">
        <f>SUBTOTAL(9,AF1659:AF1665)</f>
        <v>0</v>
      </c>
      <c r="AG1658" s="585"/>
      <c r="AH1658" s="585">
        <f>SUBTOTAL(9,AH1659:AH1665)</f>
        <v>0</v>
      </c>
      <c r="AI1658" s="571">
        <f t="shared" si="353"/>
        <v>0</v>
      </c>
      <c r="AJ1658" s="578"/>
      <c r="AK1658" s="578"/>
    </row>
    <row r="1659" spans="1:37" s="394" customFormat="1" ht="40.5" outlineLevel="2" x14ac:dyDescent="0.3">
      <c r="A1659" s="447">
        <f>IF(B1658&lt;&gt;0,B1658,A1657)</f>
        <v>137</v>
      </c>
      <c r="B1659" s="557"/>
      <c r="C1659" s="572" t="s">
        <v>1179</v>
      </c>
      <c r="D1659" s="700"/>
      <c r="E1659" s="612"/>
      <c r="F1659" s="612"/>
      <c r="G1659" s="586"/>
      <c r="H1659" s="709"/>
      <c r="I1659" s="546"/>
      <c r="J1659" s="562"/>
      <c r="K1659" s="563" t="str">
        <f>IF(G1659&lt;&gt;0,VLOOKUP(G1659,'gia dat'!$A$1:$F$144,5,0)," ")</f>
        <v xml:space="preserve"> </v>
      </c>
      <c r="L1659" s="563" t="str">
        <f>IF(G1659&lt;&gt;0,VLOOKUP(G1659,'gia dat'!$A$1:$F$144,6,0)," ")</f>
        <v xml:space="preserve"> </v>
      </c>
      <c r="M1659" s="564" t="str">
        <f t="shared" si="355"/>
        <v xml:space="preserve"> </v>
      </c>
      <c r="N1659" s="564" t="str">
        <f t="shared" si="356"/>
        <v xml:space="preserve"> </v>
      </c>
      <c r="O1659" s="572"/>
      <c r="P1659" s="740"/>
      <c r="Q1659" s="564" t="str">
        <f>IF(O1659&lt;&gt;0,VLOOKUP(O1659,'Cây trong'!$A$2:$C$246,3,0)," ")</f>
        <v xml:space="preserve"> </v>
      </c>
      <c r="R1659" s="564" t="str">
        <f t="shared" si="363"/>
        <v xml:space="preserve"> </v>
      </c>
      <c r="S1659" s="566" t="s">
        <v>1177</v>
      </c>
      <c r="T1659" s="609" t="s">
        <v>93</v>
      </c>
      <c r="U1659" s="741">
        <v>1</v>
      </c>
      <c r="V1659" s="586"/>
      <c r="W1659" s="564">
        <f>IF(S1659&lt;&gt;0,VLOOKUP(S1659,VKT!$A$2:$G$415,7,0),"")</f>
        <v>0</v>
      </c>
      <c r="X1659" s="564">
        <f t="shared" si="351"/>
        <v>0</v>
      </c>
      <c r="Y1659" s="650"/>
      <c r="Z1659" s="586"/>
      <c r="AA1659" s="742"/>
      <c r="AB1659" s="586"/>
      <c r="AC1659" s="586"/>
      <c r="AD1659" s="586"/>
      <c r="AE1659" s="586"/>
      <c r="AF1659" s="714"/>
      <c r="AG1659" s="570" t="str">
        <f>IF(AE1659&lt;&gt;0,VLOOKUP(AE1659,ODDS!$A$2:$C$13,3,0),"")</f>
        <v/>
      </c>
      <c r="AH1659" s="570" t="str">
        <f t="shared" si="364"/>
        <v xml:space="preserve"> </v>
      </c>
      <c r="AI1659" s="571" t="str">
        <f t="shared" si="353"/>
        <v xml:space="preserve"> </v>
      </c>
      <c r="AJ1659" s="586" t="s">
        <v>1178</v>
      </c>
      <c r="AK1659" s="586"/>
    </row>
    <row r="1660" spans="1:37" s="394" customFormat="1" ht="101.25" outlineLevel="2" x14ac:dyDescent="0.3">
      <c r="A1660" s="447">
        <f t="shared" ref="A1660:A1665" si="367">IF(B1659&lt;&gt;0,B1659,A1659)</f>
        <v>137</v>
      </c>
      <c r="B1660" s="557"/>
      <c r="C1660" s="572" t="s">
        <v>1600</v>
      </c>
      <c r="D1660" s="700"/>
      <c r="E1660" s="612"/>
      <c r="F1660" s="612"/>
      <c r="G1660" s="586"/>
      <c r="H1660" s="709"/>
      <c r="I1660" s="546"/>
      <c r="J1660" s="562"/>
      <c r="K1660" s="563" t="str">
        <f>IF(G1660&lt;&gt;0,VLOOKUP(G1660,'gia dat'!$A$1:$F$144,5,0)," ")</f>
        <v xml:space="preserve"> </v>
      </c>
      <c r="L1660" s="563" t="str">
        <f>IF(G1660&lt;&gt;0,VLOOKUP(G1660,'gia dat'!$A$1:$F$144,6,0)," ")</f>
        <v xml:space="preserve"> </v>
      </c>
      <c r="M1660" s="564" t="str">
        <f t="shared" si="355"/>
        <v xml:space="preserve"> </v>
      </c>
      <c r="N1660" s="564" t="str">
        <f t="shared" si="356"/>
        <v xml:space="preserve"> </v>
      </c>
      <c r="O1660" s="572"/>
      <c r="P1660" s="740"/>
      <c r="Q1660" s="564" t="str">
        <f>IF(O1660&lt;&gt;0,VLOOKUP(O1660,'Cây trong'!$A$2:$C$246,3,0)," ")</f>
        <v xml:space="preserve"> </v>
      </c>
      <c r="R1660" s="564" t="str">
        <f t="shared" si="363"/>
        <v xml:space="preserve"> </v>
      </c>
      <c r="S1660" s="566" t="s">
        <v>1180</v>
      </c>
      <c r="T1660" s="609" t="s">
        <v>93</v>
      </c>
      <c r="U1660" s="741">
        <v>1</v>
      </c>
      <c r="V1660" s="586"/>
      <c r="W1660" s="564">
        <f>IF(S1660&lt;&gt;0,VLOOKUP(S1660,VKT!$A$2:$G$415,7,0),"")</f>
        <v>0</v>
      </c>
      <c r="X1660" s="564">
        <f t="shared" si="351"/>
        <v>0</v>
      </c>
      <c r="Y1660" s="650"/>
      <c r="Z1660" s="586"/>
      <c r="AA1660" s="742"/>
      <c r="AB1660" s="586"/>
      <c r="AC1660" s="586"/>
      <c r="AD1660" s="586"/>
      <c r="AE1660" s="586"/>
      <c r="AF1660" s="714"/>
      <c r="AG1660" s="570" t="str">
        <f>IF(AE1660&lt;&gt;0,VLOOKUP(AE1660,ODDS!$A$2:$C$13,3,0),"")</f>
        <v/>
      </c>
      <c r="AH1660" s="570" t="str">
        <f t="shared" si="364"/>
        <v xml:space="preserve"> </v>
      </c>
      <c r="AI1660" s="571" t="str">
        <f t="shared" si="353"/>
        <v xml:space="preserve"> </v>
      </c>
      <c r="AJ1660" s="586"/>
      <c r="AK1660" s="586"/>
    </row>
    <row r="1661" spans="1:37" s="394" customFormat="1" ht="20.25" outlineLevel="2" x14ac:dyDescent="0.3">
      <c r="A1661" s="447">
        <f t="shared" si="367"/>
        <v>137</v>
      </c>
      <c r="B1661" s="557"/>
      <c r="C1661" s="572"/>
      <c r="D1661" s="700"/>
      <c r="E1661" s="612"/>
      <c r="F1661" s="612"/>
      <c r="G1661" s="586"/>
      <c r="H1661" s="709"/>
      <c r="I1661" s="546"/>
      <c r="J1661" s="562"/>
      <c r="K1661" s="563" t="str">
        <f>IF(G1661&lt;&gt;0,VLOOKUP(G1661,'gia dat'!$A$1:$F$144,5,0)," ")</f>
        <v xml:space="preserve"> </v>
      </c>
      <c r="L1661" s="563" t="str">
        <f>IF(G1661&lt;&gt;0,VLOOKUP(G1661,'gia dat'!$A$1:$F$144,6,0)," ")</f>
        <v xml:space="preserve"> </v>
      </c>
      <c r="M1661" s="564" t="str">
        <f t="shared" si="355"/>
        <v xml:space="preserve"> </v>
      </c>
      <c r="N1661" s="564" t="str">
        <f t="shared" si="356"/>
        <v xml:space="preserve"> </v>
      </c>
      <c r="O1661" s="572"/>
      <c r="P1661" s="740"/>
      <c r="Q1661" s="564" t="str">
        <f>IF(O1661&lt;&gt;0,VLOOKUP(O1661,'Cây trong'!$A$2:$C$246,3,0)," ")</f>
        <v xml:space="preserve"> </v>
      </c>
      <c r="R1661" s="564" t="str">
        <f t="shared" si="363"/>
        <v xml:space="preserve"> </v>
      </c>
      <c r="S1661" s="566"/>
      <c r="T1661" s="609"/>
      <c r="U1661" s="741"/>
      <c r="V1661" s="586"/>
      <c r="W1661" s="564" t="str">
        <f>IF(S1661&lt;&gt;0,VLOOKUP(S1661,VKT!$A$2:$G$415,7,0),"")</f>
        <v/>
      </c>
      <c r="X1661" s="564" t="str">
        <f t="shared" si="351"/>
        <v xml:space="preserve"> </v>
      </c>
      <c r="Y1661" s="650"/>
      <c r="Z1661" s="586"/>
      <c r="AA1661" s="742"/>
      <c r="AB1661" s="586"/>
      <c r="AC1661" s="586"/>
      <c r="AD1661" s="586"/>
      <c r="AE1661" s="586"/>
      <c r="AF1661" s="714"/>
      <c r="AG1661" s="570" t="str">
        <f>IF(AE1661&lt;&gt;0,VLOOKUP(AE1661,ODDS!$A$2:$C$13,3,0),"")</f>
        <v/>
      </c>
      <c r="AH1661" s="570" t="str">
        <f t="shared" si="364"/>
        <v xml:space="preserve"> </v>
      </c>
      <c r="AI1661" s="571" t="str">
        <f t="shared" si="353"/>
        <v xml:space="preserve"> </v>
      </c>
      <c r="AJ1661" s="586"/>
      <c r="AK1661" s="586"/>
    </row>
    <row r="1662" spans="1:37" s="394" customFormat="1" ht="20.25" outlineLevel="2" x14ac:dyDescent="0.3">
      <c r="A1662" s="447">
        <f t="shared" si="367"/>
        <v>137</v>
      </c>
      <c r="B1662" s="557"/>
      <c r="C1662" s="572"/>
      <c r="D1662" s="700"/>
      <c r="E1662" s="612"/>
      <c r="F1662" s="612"/>
      <c r="G1662" s="586"/>
      <c r="H1662" s="709"/>
      <c r="I1662" s="546"/>
      <c r="J1662" s="562"/>
      <c r="K1662" s="563" t="str">
        <f>IF(G1662&lt;&gt;0,VLOOKUP(G1662,'gia dat'!$A$1:$F$144,5,0)," ")</f>
        <v xml:space="preserve"> </v>
      </c>
      <c r="L1662" s="563" t="str">
        <f>IF(G1662&lt;&gt;0,VLOOKUP(G1662,'gia dat'!$A$1:$F$144,6,0)," ")</f>
        <v xml:space="preserve"> </v>
      </c>
      <c r="M1662" s="564" t="str">
        <f t="shared" si="355"/>
        <v xml:space="preserve"> </v>
      </c>
      <c r="N1662" s="564" t="str">
        <f t="shared" si="356"/>
        <v xml:space="preserve"> </v>
      </c>
      <c r="O1662" s="572"/>
      <c r="P1662" s="740"/>
      <c r="Q1662" s="564" t="str">
        <f>IF(O1662&lt;&gt;0,VLOOKUP(O1662,'Cây trong'!$A$2:$C$246,3,0)," ")</f>
        <v xml:space="preserve"> </v>
      </c>
      <c r="R1662" s="564" t="str">
        <f t="shared" si="363"/>
        <v xml:space="preserve"> </v>
      </c>
      <c r="S1662" s="566"/>
      <c r="T1662" s="609"/>
      <c r="U1662" s="741"/>
      <c r="V1662" s="586"/>
      <c r="W1662" s="564" t="str">
        <f>IF(S1662&lt;&gt;0,VLOOKUP(S1662,VKT!$A$2:$G$415,7,0),"")</f>
        <v/>
      </c>
      <c r="X1662" s="564" t="str">
        <f t="shared" si="351"/>
        <v xml:space="preserve"> </v>
      </c>
      <c r="Y1662" s="650"/>
      <c r="Z1662" s="586"/>
      <c r="AA1662" s="742"/>
      <c r="AB1662" s="586"/>
      <c r="AC1662" s="586"/>
      <c r="AD1662" s="586"/>
      <c r="AE1662" s="586"/>
      <c r="AF1662" s="714"/>
      <c r="AG1662" s="570" t="str">
        <f>IF(AE1662&lt;&gt;0,VLOOKUP(AE1662,ODDS!$A$2:$C$13,3,0),"")</f>
        <v/>
      </c>
      <c r="AH1662" s="570" t="str">
        <f t="shared" si="364"/>
        <v xml:space="preserve"> </v>
      </c>
      <c r="AI1662" s="571" t="str">
        <f t="shared" si="353"/>
        <v xml:space="preserve"> </v>
      </c>
      <c r="AJ1662" s="586"/>
      <c r="AK1662" s="586"/>
    </row>
    <row r="1663" spans="1:37" s="394" customFormat="1" ht="20.25" outlineLevel="2" x14ac:dyDescent="0.3">
      <c r="A1663" s="447">
        <f t="shared" si="367"/>
        <v>137</v>
      </c>
      <c r="B1663" s="557"/>
      <c r="C1663" s="572"/>
      <c r="D1663" s="700"/>
      <c r="E1663" s="612"/>
      <c r="F1663" s="612"/>
      <c r="G1663" s="586"/>
      <c r="H1663" s="709"/>
      <c r="I1663" s="546"/>
      <c r="J1663" s="562"/>
      <c r="K1663" s="563" t="str">
        <f>IF(G1663&lt;&gt;0,VLOOKUP(G1663,'gia dat'!$A$1:$F$144,5,0)," ")</f>
        <v xml:space="preserve"> </v>
      </c>
      <c r="L1663" s="563" t="str">
        <f>IF(G1663&lt;&gt;0,VLOOKUP(G1663,'gia dat'!$A$1:$F$144,6,0)," ")</f>
        <v xml:space="preserve"> </v>
      </c>
      <c r="M1663" s="564" t="str">
        <f t="shared" si="355"/>
        <v xml:space="preserve"> </v>
      </c>
      <c r="N1663" s="564" t="str">
        <f t="shared" si="356"/>
        <v xml:space="preserve"> </v>
      </c>
      <c r="O1663" s="572"/>
      <c r="P1663" s="740"/>
      <c r="Q1663" s="564" t="str">
        <f>IF(O1663&lt;&gt;0,VLOOKUP(O1663,'Cây trong'!$A$2:$C$246,3,0)," ")</f>
        <v xml:space="preserve"> </v>
      </c>
      <c r="R1663" s="564" t="str">
        <f t="shared" si="363"/>
        <v xml:space="preserve"> </v>
      </c>
      <c r="S1663" s="566"/>
      <c r="T1663" s="609"/>
      <c r="U1663" s="741"/>
      <c r="V1663" s="586"/>
      <c r="W1663" s="564" t="str">
        <f>IF(S1663&lt;&gt;0,VLOOKUP(S1663,VKT!$A$2:$G$415,7,0),"")</f>
        <v/>
      </c>
      <c r="X1663" s="564" t="str">
        <f t="shared" si="351"/>
        <v xml:space="preserve"> </v>
      </c>
      <c r="Y1663" s="650"/>
      <c r="Z1663" s="586"/>
      <c r="AA1663" s="742"/>
      <c r="AB1663" s="586"/>
      <c r="AC1663" s="586"/>
      <c r="AD1663" s="586"/>
      <c r="AE1663" s="586"/>
      <c r="AF1663" s="714"/>
      <c r="AG1663" s="570" t="str">
        <f>IF(AE1663&lt;&gt;0,VLOOKUP(AE1663,ODDS!$A$2:$C$13,3,0),"")</f>
        <v/>
      </c>
      <c r="AH1663" s="570" t="str">
        <f t="shared" si="364"/>
        <v xml:space="preserve"> </v>
      </c>
      <c r="AI1663" s="571" t="str">
        <f t="shared" si="353"/>
        <v xml:space="preserve"> </v>
      </c>
      <c r="AJ1663" s="572"/>
      <c r="AK1663" s="572"/>
    </row>
    <row r="1664" spans="1:37" s="394" customFormat="1" ht="20.25" outlineLevel="2" x14ac:dyDescent="0.3">
      <c r="A1664" s="447">
        <f t="shared" si="367"/>
        <v>137</v>
      </c>
      <c r="B1664" s="557"/>
      <c r="C1664" s="572"/>
      <c r="D1664" s="700"/>
      <c r="E1664" s="612"/>
      <c r="F1664" s="612"/>
      <c r="G1664" s="586"/>
      <c r="H1664" s="709"/>
      <c r="I1664" s="546"/>
      <c r="J1664" s="562"/>
      <c r="K1664" s="563" t="str">
        <f>IF(G1664&lt;&gt;0,VLOOKUP(G1664,'gia dat'!$A$1:$F$144,5,0)," ")</f>
        <v xml:space="preserve"> </v>
      </c>
      <c r="L1664" s="563" t="str">
        <f>IF(G1664&lt;&gt;0,VLOOKUP(G1664,'gia dat'!$A$1:$F$144,6,0)," ")</f>
        <v xml:space="preserve"> </v>
      </c>
      <c r="M1664" s="564" t="str">
        <f t="shared" si="355"/>
        <v xml:space="preserve"> </v>
      </c>
      <c r="N1664" s="564" t="str">
        <f t="shared" si="356"/>
        <v xml:space="preserve"> </v>
      </c>
      <c r="O1664" s="572"/>
      <c r="P1664" s="740"/>
      <c r="Q1664" s="564" t="str">
        <f>IF(O1664&lt;&gt;0,VLOOKUP(O1664,'Cây trong'!$A$2:$C$246,3,0)," ")</f>
        <v xml:space="preserve"> </v>
      </c>
      <c r="R1664" s="564" t="str">
        <f t="shared" si="363"/>
        <v xml:space="preserve"> </v>
      </c>
      <c r="S1664" s="566"/>
      <c r="T1664" s="609"/>
      <c r="U1664" s="741"/>
      <c r="V1664" s="586"/>
      <c r="W1664" s="564" t="str">
        <f>IF(S1664&lt;&gt;0,VLOOKUP(S1664,VKT!$A$2:$G$415,7,0),"")</f>
        <v/>
      </c>
      <c r="X1664" s="564" t="str">
        <f t="shared" si="351"/>
        <v xml:space="preserve"> </v>
      </c>
      <c r="Y1664" s="650"/>
      <c r="Z1664" s="586"/>
      <c r="AA1664" s="742"/>
      <c r="AB1664" s="586"/>
      <c r="AC1664" s="586"/>
      <c r="AD1664" s="586"/>
      <c r="AE1664" s="586"/>
      <c r="AF1664" s="714"/>
      <c r="AG1664" s="570" t="str">
        <f>IF(AE1664&lt;&gt;0,VLOOKUP(AE1664,ODDS!$A$2:$C$13,3,0),"")</f>
        <v/>
      </c>
      <c r="AH1664" s="570" t="str">
        <f t="shared" si="364"/>
        <v xml:space="preserve"> </v>
      </c>
      <c r="AI1664" s="571" t="str">
        <f t="shared" si="353"/>
        <v xml:space="preserve"> </v>
      </c>
      <c r="AJ1664" s="586"/>
      <c r="AK1664" s="586"/>
    </row>
    <row r="1665" spans="1:37" s="394" customFormat="1" ht="20.25" outlineLevel="2" x14ac:dyDescent="0.3">
      <c r="A1665" s="447">
        <f t="shared" si="367"/>
        <v>137</v>
      </c>
      <c r="B1665" s="557"/>
      <c r="C1665" s="607"/>
      <c r="D1665" s="700"/>
      <c r="E1665" s="612"/>
      <c r="F1665" s="612"/>
      <c r="G1665" s="586"/>
      <c r="H1665" s="709"/>
      <c r="I1665" s="546"/>
      <c r="J1665" s="562"/>
      <c r="K1665" s="563" t="str">
        <f>IF(G1665&lt;&gt;0,VLOOKUP(G1665,'gia dat'!$A$1:$F$144,5,0)," ")</f>
        <v xml:space="preserve"> </v>
      </c>
      <c r="L1665" s="563" t="str">
        <f>IF(G1665&lt;&gt;0,VLOOKUP(G1665,'gia dat'!$A$1:$F$144,6,0)," ")</f>
        <v xml:space="preserve"> </v>
      </c>
      <c r="M1665" s="564" t="str">
        <f t="shared" si="355"/>
        <v xml:space="preserve"> </v>
      </c>
      <c r="N1665" s="564" t="str">
        <f t="shared" si="356"/>
        <v xml:space="preserve"> </v>
      </c>
      <c r="O1665" s="572"/>
      <c r="P1665" s="740"/>
      <c r="Q1665" s="564" t="str">
        <f>IF(O1665&lt;&gt;0,VLOOKUP(O1665,'Cây trong'!$A$2:$C$246,3,0)," ")</f>
        <v xml:space="preserve"> </v>
      </c>
      <c r="R1665" s="564" t="str">
        <f t="shared" si="363"/>
        <v xml:space="preserve"> </v>
      </c>
      <c r="S1665" s="566"/>
      <c r="T1665" s="609"/>
      <c r="U1665" s="741"/>
      <c r="V1665" s="586"/>
      <c r="W1665" s="564" t="str">
        <f>IF(S1665&lt;&gt;0,VLOOKUP(S1665,VKT!$A$2:$G$415,7,0),"")</f>
        <v/>
      </c>
      <c r="X1665" s="564" t="str">
        <f t="shared" si="351"/>
        <v xml:space="preserve"> </v>
      </c>
      <c r="Y1665" s="650"/>
      <c r="Z1665" s="586"/>
      <c r="AA1665" s="742"/>
      <c r="AB1665" s="586"/>
      <c r="AC1665" s="586"/>
      <c r="AD1665" s="586"/>
      <c r="AE1665" s="586"/>
      <c r="AF1665" s="714"/>
      <c r="AG1665" s="570" t="str">
        <f>IF(AE1665&lt;&gt;0,VLOOKUP(AE1665,ODDS!$A$2:$C$13,3,0),"")</f>
        <v/>
      </c>
      <c r="AH1665" s="570" t="str">
        <f t="shared" si="364"/>
        <v xml:space="preserve"> </v>
      </c>
      <c r="AI1665" s="571" t="str">
        <f t="shared" si="353"/>
        <v xml:space="preserve"> </v>
      </c>
      <c r="AJ1665" s="586"/>
      <c r="AK1665" s="586"/>
    </row>
    <row r="1666" spans="1:37" s="394" customFormat="1" ht="40.5" outlineLevel="1" x14ac:dyDescent="0.25">
      <c r="A1666" s="467" t="s">
        <v>2572</v>
      </c>
      <c r="B1666" s="576">
        <v>138</v>
      </c>
      <c r="C1666" s="607" t="s">
        <v>1448</v>
      </c>
      <c r="D1666" s="706"/>
      <c r="E1666" s="642"/>
      <c r="F1666" s="642"/>
      <c r="G1666" s="578"/>
      <c r="H1666" s="707">
        <f>SUBTOTAL(9,H1667:H1674)</f>
        <v>11.9</v>
      </c>
      <c r="I1666" s="579">
        <f>SUBTOTAL(9,I1667:I1672)</f>
        <v>11.9</v>
      </c>
      <c r="J1666" s="580"/>
      <c r="K1666" s="581"/>
      <c r="L1666" s="581"/>
      <c r="M1666" s="571">
        <f>SUBTOTAL(9,M1667:M1674)</f>
        <v>6597000</v>
      </c>
      <c r="N1666" s="571">
        <f>SUBTOTAL(9,N1667:N1674)</f>
        <v>19792000</v>
      </c>
      <c r="O1666" s="607"/>
      <c r="P1666" s="738">
        <f>SUBTOTAL(9,P1667:P1674)</f>
        <v>0</v>
      </c>
      <c r="Q1666" s="571"/>
      <c r="R1666" s="571">
        <f>SUBTOTAL(9,R1667:R1674)</f>
        <v>0</v>
      </c>
      <c r="S1666" s="582"/>
      <c r="T1666" s="621"/>
      <c r="U1666" s="739">
        <f>SUBTOTAL(9,U1667:U1674)</f>
        <v>0</v>
      </c>
      <c r="V1666" s="578"/>
      <c r="W1666" s="571"/>
      <c r="X1666" s="571">
        <f>SUBTOTAL(9,X1667:X1674)</f>
        <v>0</v>
      </c>
      <c r="Y1666" s="650"/>
      <c r="Z1666" s="586"/>
      <c r="AA1666" s="742"/>
      <c r="AB1666" s="586"/>
      <c r="AC1666" s="586"/>
      <c r="AD1666" s="586"/>
      <c r="AE1666" s="578"/>
      <c r="AF1666" s="712">
        <f>SUBTOTAL(9,AF1667:AF1674)</f>
        <v>0</v>
      </c>
      <c r="AG1666" s="585"/>
      <c r="AH1666" s="585">
        <f>SUBTOTAL(9,AH1667:AH1674)</f>
        <v>0</v>
      </c>
      <c r="AI1666" s="571">
        <f t="shared" si="353"/>
        <v>26389000</v>
      </c>
      <c r="AJ1666" s="578"/>
      <c r="AK1666" s="578"/>
    </row>
    <row r="1667" spans="1:37" s="394" customFormat="1" ht="263.25" outlineLevel="2" x14ac:dyDescent="0.3">
      <c r="A1667" s="447">
        <f>IF(B1666&lt;&gt;0,B1666,A1665)</f>
        <v>138</v>
      </c>
      <c r="B1667" s="557"/>
      <c r="C1667" s="572" t="s">
        <v>1450</v>
      </c>
      <c r="D1667" s="700"/>
      <c r="E1667" s="612">
        <v>86</v>
      </c>
      <c r="F1667" s="612">
        <v>25</v>
      </c>
      <c r="G1667" s="586" t="s">
        <v>2420</v>
      </c>
      <c r="H1667" s="709">
        <v>11.9</v>
      </c>
      <c r="I1667" s="546">
        <f t="shared" ref="I1667" si="368">IF(N1667&gt;0,H1667,"")</f>
        <v>11.9</v>
      </c>
      <c r="J1667" s="562"/>
      <c r="K1667" s="563">
        <f>IF(G1667&lt;&gt;0,VLOOKUP(G1667,'gia dat'!$A$1:$F$144,5,0)," ")</f>
        <v>554400</v>
      </c>
      <c r="L1667" s="563">
        <f>IF(G1667&lt;&gt;0,VLOOKUP(G1667,'gia dat'!$A$1:$F$144,6,0)," ")</f>
        <v>1663200</v>
      </c>
      <c r="M1667" s="564">
        <f t="shared" si="355"/>
        <v>6597000</v>
      </c>
      <c r="N1667" s="564">
        <f t="shared" si="356"/>
        <v>19792000</v>
      </c>
      <c r="O1667" s="572"/>
      <c r="P1667" s="740"/>
      <c r="Q1667" s="564"/>
      <c r="R1667" s="564"/>
      <c r="S1667" s="566"/>
      <c r="T1667" s="609"/>
      <c r="U1667" s="741"/>
      <c r="V1667" s="586"/>
      <c r="W1667" s="564"/>
      <c r="X1667" s="564"/>
      <c r="Y1667" s="650"/>
      <c r="Z1667" s="586"/>
      <c r="AA1667" s="742"/>
      <c r="AB1667" s="586"/>
      <c r="AC1667" s="586"/>
      <c r="AD1667" s="586"/>
      <c r="AE1667" s="586"/>
      <c r="AF1667" s="714"/>
      <c r="AG1667" s="570"/>
      <c r="AH1667" s="570"/>
      <c r="AI1667" s="571" t="str">
        <f t="shared" si="353"/>
        <v xml:space="preserve"> </v>
      </c>
      <c r="AJ1667" s="586" t="s">
        <v>2466</v>
      </c>
      <c r="AK1667" s="586" t="s">
        <v>2771</v>
      </c>
    </row>
    <row r="1668" spans="1:37" s="394" customFormat="1" ht="101.25" outlineLevel="2" x14ac:dyDescent="0.3">
      <c r="A1668" s="447">
        <f t="shared" ref="A1668:A1674" si="369">IF(B1667&lt;&gt;0,B1667,A1667)</f>
        <v>138</v>
      </c>
      <c r="B1668" s="557"/>
      <c r="C1668" s="572" t="s">
        <v>1634</v>
      </c>
      <c r="D1668" s="700"/>
      <c r="E1668" s="612"/>
      <c r="F1668" s="612"/>
      <c r="G1668" s="586"/>
      <c r="H1668" s="709"/>
      <c r="I1668" s="546"/>
      <c r="J1668" s="562"/>
      <c r="K1668" s="563" t="str">
        <f>IF(G1668&lt;&gt;0,VLOOKUP(G1668,'gia dat'!$A$1:$F$144,5,0)," ")</f>
        <v xml:space="preserve"> </v>
      </c>
      <c r="L1668" s="563" t="str">
        <f>IF(G1668&lt;&gt;0,VLOOKUP(G1668,'gia dat'!$A$1:$F$144,6,0)," ")</f>
        <v xml:space="preserve"> </v>
      </c>
      <c r="M1668" s="564" t="str">
        <f t="shared" si="355"/>
        <v xml:space="preserve"> </v>
      </c>
      <c r="N1668" s="564" t="str">
        <f t="shared" si="356"/>
        <v xml:space="preserve"> </v>
      </c>
      <c r="O1668" s="572"/>
      <c r="P1668" s="740"/>
      <c r="Q1668" s="564"/>
      <c r="R1668" s="564"/>
      <c r="S1668" s="566"/>
      <c r="T1668" s="609"/>
      <c r="U1668" s="741"/>
      <c r="V1668" s="586"/>
      <c r="W1668" s="564"/>
      <c r="X1668" s="564"/>
      <c r="Y1668" s="650"/>
      <c r="Z1668" s="586"/>
      <c r="AA1668" s="742"/>
      <c r="AB1668" s="586"/>
      <c r="AC1668" s="586"/>
      <c r="AD1668" s="586"/>
      <c r="AE1668" s="586"/>
      <c r="AF1668" s="714"/>
      <c r="AG1668" s="570"/>
      <c r="AH1668" s="570"/>
      <c r="AI1668" s="571" t="str">
        <f t="shared" si="353"/>
        <v xml:space="preserve"> </v>
      </c>
      <c r="AJ1668" s="586" t="s">
        <v>2074</v>
      </c>
      <c r="AK1668" s="558" t="s">
        <v>2448</v>
      </c>
    </row>
    <row r="1669" spans="1:37" s="394" customFormat="1" ht="20.25" outlineLevel="2" x14ac:dyDescent="0.3">
      <c r="A1669" s="447">
        <f t="shared" si="369"/>
        <v>138</v>
      </c>
      <c r="B1669" s="557"/>
      <c r="C1669" s="572"/>
      <c r="D1669" s="700"/>
      <c r="E1669" s="612"/>
      <c r="F1669" s="612"/>
      <c r="G1669" s="586"/>
      <c r="H1669" s="709"/>
      <c r="I1669" s="546"/>
      <c r="J1669" s="562"/>
      <c r="K1669" s="563" t="str">
        <f>IF(G1669&lt;&gt;0,VLOOKUP(G1669,'gia dat'!$A$1:$F$144,5,0)," ")</f>
        <v xml:space="preserve"> </v>
      </c>
      <c r="L1669" s="563" t="str">
        <f>IF(G1669&lt;&gt;0,VLOOKUP(G1669,'gia dat'!$A$1:$F$144,6,0)," ")</f>
        <v xml:space="preserve"> </v>
      </c>
      <c r="M1669" s="564" t="str">
        <f t="shared" si="355"/>
        <v xml:space="preserve"> </v>
      </c>
      <c r="N1669" s="564" t="str">
        <f t="shared" si="356"/>
        <v xml:space="preserve"> </v>
      </c>
      <c r="O1669" s="572"/>
      <c r="P1669" s="740"/>
      <c r="Q1669" s="564"/>
      <c r="R1669" s="564"/>
      <c r="S1669" s="566"/>
      <c r="T1669" s="609"/>
      <c r="U1669" s="741"/>
      <c r="V1669" s="586"/>
      <c r="W1669" s="564"/>
      <c r="X1669" s="564"/>
      <c r="Y1669" s="650"/>
      <c r="Z1669" s="586"/>
      <c r="AA1669" s="742"/>
      <c r="AB1669" s="586"/>
      <c r="AC1669" s="586"/>
      <c r="AD1669" s="586"/>
      <c r="AE1669" s="586"/>
      <c r="AF1669" s="714"/>
      <c r="AG1669" s="570"/>
      <c r="AH1669" s="570"/>
      <c r="AI1669" s="571" t="str">
        <f t="shared" si="353"/>
        <v xml:space="preserve"> </v>
      </c>
      <c r="AJ1669" s="586"/>
      <c r="AK1669" s="586"/>
    </row>
    <row r="1670" spans="1:37" s="394" customFormat="1" ht="20.25" outlineLevel="2" x14ac:dyDescent="0.3">
      <c r="A1670" s="447">
        <f t="shared" si="369"/>
        <v>138</v>
      </c>
      <c r="B1670" s="557"/>
      <c r="C1670" s="572"/>
      <c r="D1670" s="700"/>
      <c r="E1670" s="612"/>
      <c r="F1670" s="612"/>
      <c r="G1670" s="586"/>
      <c r="H1670" s="709"/>
      <c r="I1670" s="546"/>
      <c r="J1670" s="562"/>
      <c r="K1670" s="563" t="str">
        <f>IF(G1670&lt;&gt;0,VLOOKUP(G1670,'gia dat'!$A$1:$F$144,5,0)," ")</f>
        <v xml:space="preserve"> </v>
      </c>
      <c r="L1670" s="563" t="str">
        <f>IF(G1670&lt;&gt;0,VLOOKUP(G1670,'gia dat'!$A$1:$F$144,6,0)," ")</f>
        <v xml:space="preserve"> </v>
      </c>
      <c r="M1670" s="564" t="str">
        <f t="shared" si="355"/>
        <v xml:space="preserve"> </v>
      </c>
      <c r="N1670" s="564" t="str">
        <f t="shared" si="356"/>
        <v xml:space="preserve"> </v>
      </c>
      <c r="O1670" s="572"/>
      <c r="P1670" s="740"/>
      <c r="Q1670" s="564"/>
      <c r="R1670" s="564"/>
      <c r="S1670" s="566"/>
      <c r="T1670" s="609"/>
      <c r="U1670" s="741"/>
      <c r="V1670" s="586"/>
      <c r="W1670" s="564"/>
      <c r="X1670" s="564"/>
      <c r="Y1670" s="650"/>
      <c r="Z1670" s="586"/>
      <c r="AA1670" s="742"/>
      <c r="AB1670" s="586"/>
      <c r="AC1670" s="586"/>
      <c r="AD1670" s="586"/>
      <c r="AE1670" s="586"/>
      <c r="AF1670" s="714"/>
      <c r="AG1670" s="570"/>
      <c r="AH1670" s="570"/>
      <c r="AI1670" s="571" t="str">
        <f t="shared" si="353"/>
        <v xml:space="preserve"> </v>
      </c>
      <c r="AJ1670" s="586"/>
      <c r="AK1670" s="586"/>
    </row>
    <row r="1671" spans="1:37" s="394" customFormat="1" ht="20.25" outlineLevel="2" x14ac:dyDescent="0.3">
      <c r="A1671" s="447">
        <f t="shared" si="369"/>
        <v>138</v>
      </c>
      <c r="B1671" s="557"/>
      <c r="C1671" s="572"/>
      <c r="D1671" s="700"/>
      <c r="E1671" s="612"/>
      <c r="F1671" s="612"/>
      <c r="G1671" s="586"/>
      <c r="H1671" s="709"/>
      <c r="I1671" s="546"/>
      <c r="J1671" s="562"/>
      <c r="K1671" s="563" t="str">
        <f>IF(G1671&lt;&gt;0,VLOOKUP(G1671,'gia dat'!$A$1:$F$144,5,0)," ")</f>
        <v xml:space="preserve"> </v>
      </c>
      <c r="L1671" s="563" t="str">
        <f>IF(G1671&lt;&gt;0,VLOOKUP(G1671,'gia dat'!$A$1:$F$144,6,0)," ")</f>
        <v xml:space="preserve"> </v>
      </c>
      <c r="M1671" s="564" t="str">
        <f t="shared" si="355"/>
        <v xml:space="preserve"> </v>
      </c>
      <c r="N1671" s="564" t="str">
        <f t="shared" si="356"/>
        <v xml:space="preserve"> </v>
      </c>
      <c r="O1671" s="572"/>
      <c r="P1671" s="740"/>
      <c r="Q1671" s="564"/>
      <c r="R1671" s="564"/>
      <c r="S1671" s="566"/>
      <c r="T1671" s="609"/>
      <c r="U1671" s="741"/>
      <c r="V1671" s="586"/>
      <c r="W1671" s="564"/>
      <c r="X1671" s="564"/>
      <c r="Y1671" s="650"/>
      <c r="Z1671" s="586"/>
      <c r="AA1671" s="742"/>
      <c r="AB1671" s="586"/>
      <c r="AC1671" s="586"/>
      <c r="AD1671" s="586"/>
      <c r="AE1671" s="586"/>
      <c r="AF1671" s="714"/>
      <c r="AG1671" s="570"/>
      <c r="AH1671" s="570"/>
      <c r="AI1671" s="571" t="str">
        <f t="shared" si="353"/>
        <v xml:space="preserve"> </v>
      </c>
      <c r="AJ1671" s="586"/>
      <c r="AK1671" s="586"/>
    </row>
    <row r="1672" spans="1:37" s="394" customFormat="1" ht="20.25" outlineLevel="2" x14ac:dyDescent="0.3">
      <c r="A1672" s="447">
        <f t="shared" si="369"/>
        <v>138</v>
      </c>
      <c r="B1672" s="557"/>
      <c r="C1672" s="572"/>
      <c r="D1672" s="700"/>
      <c r="E1672" s="612"/>
      <c r="F1672" s="612"/>
      <c r="G1672" s="586"/>
      <c r="H1672" s="709"/>
      <c r="I1672" s="546"/>
      <c r="J1672" s="562"/>
      <c r="K1672" s="563" t="str">
        <f>IF(G1672&lt;&gt;0,VLOOKUP(G1672,'gia dat'!$A$1:$F$144,5,0)," ")</f>
        <v xml:space="preserve"> </v>
      </c>
      <c r="L1672" s="563" t="str">
        <f>IF(G1672&lt;&gt;0,VLOOKUP(G1672,'gia dat'!$A$1:$F$144,6,0)," ")</f>
        <v xml:space="preserve"> </v>
      </c>
      <c r="M1672" s="564" t="str">
        <f t="shared" si="355"/>
        <v xml:space="preserve"> </v>
      </c>
      <c r="N1672" s="564" t="str">
        <f t="shared" si="356"/>
        <v xml:space="preserve"> </v>
      </c>
      <c r="O1672" s="572"/>
      <c r="P1672" s="740"/>
      <c r="Q1672" s="564"/>
      <c r="R1672" s="564"/>
      <c r="S1672" s="566"/>
      <c r="T1672" s="609"/>
      <c r="U1672" s="741"/>
      <c r="V1672" s="586"/>
      <c r="W1672" s="564"/>
      <c r="X1672" s="564"/>
      <c r="Y1672" s="650"/>
      <c r="Z1672" s="586"/>
      <c r="AA1672" s="742"/>
      <c r="AB1672" s="586"/>
      <c r="AC1672" s="586"/>
      <c r="AD1672" s="586"/>
      <c r="AE1672" s="586"/>
      <c r="AF1672" s="714"/>
      <c r="AG1672" s="570"/>
      <c r="AH1672" s="570"/>
      <c r="AI1672" s="571" t="str">
        <f t="shared" si="353"/>
        <v xml:space="preserve"> </v>
      </c>
      <c r="AJ1672" s="586"/>
      <c r="AK1672" s="586"/>
    </row>
    <row r="1673" spans="1:37" s="394" customFormat="1" ht="20.25" outlineLevel="2" x14ac:dyDescent="0.3">
      <c r="A1673" s="447">
        <f t="shared" si="369"/>
        <v>138</v>
      </c>
      <c r="B1673" s="557"/>
      <c r="C1673" s="572"/>
      <c r="D1673" s="700"/>
      <c r="E1673" s="612"/>
      <c r="F1673" s="612"/>
      <c r="G1673" s="586"/>
      <c r="H1673" s="709"/>
      <c r="I1673" s="546"/>
      <c r="J1673" s="562"/>
      <c r="K1673" s="563" t="str">
        <f>IF(G1673&lt;&gt;0,VLOOKUP(G1673,'gia dat'!$A$1:$F$144,5,0)," ")</f>
        <v xml:space="preserve"> </v>
      </c>
      <c r="L1673" s="563" t="str">
        <f>IF(G1673&lt;&gt;0,VLOOKUP(G1673,'gia dat'!$A$1:$F$144,6,0)," ")</f>
        <v xml:space="preserve"> </v>
      </c>
      <c r="M1673" s="564" t="str">
        <f t="shared" si="355"/>
        <v xml:space="preserve"> </v>
      </c>
      <c r="N1673" s="564" t="str">
        <f t="shared" si="356"/>
        <v xml:space="preserve"> </v>
      </c>
      <c r="O1673" s="572"/>
      <c r="P1673" s="740"/>
      <c r="Q1673" s="564"/>
      <c r="R1673" s="564"/>
      <c r="S1673" s="566"/>
      <c r="T1673" s="609"/>
      <c r="U1673" s="741"/>
      <c r="V1673" s="586"/>
      <c r="W1673" s="564"/>
      <c r="X1673" s="564"/>
      <c r="Y1673" s="650"/>
      <c r="Z1673" s="586"/>
      <c r="AA1673" s="742"/>
      <c r="AB1673" s="586"/>
      <c r="AC1673" s="586"/>
      <c r="AD1673" s="586"/>
      <c r="AE1673" s="586"/>
      <c r="AF1673" s="714"/>
      <c r="AG1673" s="570"/>
      <c r="AH1673" s="570"/>
      <c r="AI1673" s="571" t="str">
        <f t="shared" ref="AI1673:AI1736" si="370">IF(B1673&lt;&gt;0,M1673+N1673+R1673+X1673+AH1673," ")</f>
        <v xml:space="preserve"> </v>
      </c>
      <c r="AJ1673" s="586"/>
      <c r="AK1673" s="586"/>
    </row>
    <row r="1674" spans="1:37" s="394" customFormat="1" ht="20.25" outlineLevel="2" x14ac:dyDescent="0.3">
      <c r="A1674" s="447">
        <f t="shared" si="369"/>
        <v>138</v>
      </c>
      <c r="B1674" s="557"/>
      <c r="C1674" s="607"/>
      <c r="D1674" s="700"/>
      <c r="E1674" s="612"/>
      <c r="F1674" s="612"/>
      <c r="G1674" s="586"/>
      <c r="H1674" s="709"/>
      <c r="I1674" s="546"/>
      <c r="J1674" s="562"/>
      <c r="K1674" s="563" t="str">
        <f>IF(G1674&lt;&gt;0,VLOOKUP(G1674,'gia dat'!$A$1:$F$144,5,0)," ")</f>
        <v xml:space="preserve"> </v>
      </c>
      <c r="L1674" s="563" t="str">
        <f>IF(G1674&lt;&gt;0,VLOOKUP(G1674,'gia dat'!$A$1:$F$144,6,0)," ")</f>
        <v xml:space="preserve"> </v>
      </c>
      <c r="M1674" s="564" t="str">
        <f t="shared" si="355"/>
        <v xml:space="preserve"> </v>
      </c>
      <c r="N1674" s="564" t="str">
        <f t="shared" si="356"/>
        <v xml:space="preserve"> </v>
      </c>
      <c r="O1674" s="572"/>
      <c r="P1674" s="740"/>
      <c r="Q1674" s="564"/>
      <c r="R1674" s="564"/>
      <c r="S1674" s="566"/>
      <c r="T1674" s="609"/>
      <c r="U1674" s="741"/>
      <c r="V1674" s="586"/>
      <c r="W1674" s="564"/>
      <c r="X1674" s="564"/>
      <c r="Y1674" s="650"/>
      <c r="Z1674" s="586"/>
      <c r="AA1674" s="742"/>
      <c r="AB1674" s="586"/>
      <c r="AC1674" s="586"/>
      <c r="AD1674" s="586"/>
      <c r="AE1674" s="586"/>
      <c r="AF1674" s="714"/>
      <c r="AG1674" s="570"/>
      <c r="AH1674" s="570"/>
      <c r="AI1674" s="571" t="str">
        <f t="shared" si="370"/>
        <v xml:space="preserve"> </v>
      </c>
      <c r="AJ1674" s="586"/>
      <c r="AK1674" s="586"/>
    </row>
    <row r="1675" spans="1:37" s="804" customFormat="1" ht="40.5" outlineLevel="1" x14ac:dyDescent="0.25">
      <c r="A1675" s="784" t="s">
        <v>2571</v>
      </c>
      <c r="B1675" s="785">
        <v>139</v>
      </c>
      <c r="C1675" s="786" t="s">
        <v>1181</v>
      </c>
      <c r="D1675" s="787"/>
      <c r="E1675" s="788"/>
      <c r="F1675" s="788"/>
      <c r="G1675" s="789"/>
      <c r="H1675" s="790">
        <f>SUBTOTAL(9,H1676:H1684)</f>
        <v>93.2</v>
      </c>
      <c r="I1675" s="791">
        <f>SUBTOTAL(9,I1676:I1681)</f>
        <v>53.2</v>
      </c>
      <c r="J1675" s="792"/>
      <c r="K1675" s="793"/>
      <c r="L1675" s="793"/>
      <c r="M1675" s="794">
        <f>SUBTOTAL(9,M1676:M1684)</f>
        <v>444387000</v>
      </c>
      <c r="N1675" s="794">
        <f>SUBTOTAL(9,N1676:N1684)</f>
        <v>88482000</v>
      </c>
      <c r="O1675" s="786"/>
      <c r="P1675" s="795">
        <f>SUBTOTAL(9,P1676:P1684)</f>
        <v>0</v>
      </c>
      <c r="Q1675" s="794"/>
      <c r="R1675" s="794">
        <f>SUBTOTAL(9,R1676:R1684)</f>
        <v>0</v>
      </c>
      <c r="S1675" s="796"/>
      <c r="T1675" s="797"/>
      <c r="U1675" s="798">
        <f>SUBTOTAL(9,U1676:U1684)</f>
        <v>0</v>
      </c>
      <c r="V1675" s="789"/>
      <c r="W1675" s="794"/>
      <c r="X1675" s="794">
        <f>SUBTOTAL(9,X1676:X1684)</f>
        <v>0</v>
      </c>
      <c r="Y1675" s="799"/>
      <c r="Z1675" s="800"/>
      <c r="AA1675" s="801"/>
      <c r="AB1675" s="800"/>
      <c r="AC1675" s="800"/>
      <c r="AD1675" s="800"/>
      <c r="AE1675" s="809"/>
      <c r="AF1675" s="793">
        <f>SUBTOTAL(9,AF1676:AF1684)</f>
        <v>0</v>
      </c>
      <c r="AG1675" s="803"/>
      <c r="AH1675" s="803">
        <f>SUBTOTAL(9,AH1676:AH1684)</f>
        <v>0</v>
      </c>
      <c r="AI1675" s="794">
        <f>IF(B1675&lt;&gt;0,M1675+N1675+R1675+X1675+AH1675," ")</f>
        <v>532869000</v>
      </c>
      <c r="AJ1675" s="789"/>
      <c r="AK1675" s="789"/>
    </row>
    <row r="1676" spans="1:37" s="396" customFormat="1" ht="121.5" outlineLevel="2" x14ac:dyDescent="0.3">
      <c r="A1676" s="447">
        <f>IF(B1675&lt;&gt;0,B1675,A1674)</f>
        <v>139</v>
      </c>
      <c r="B1676" s="557"/>
      <c r="C1676" s="572" t="s">
        <v>1184</v>
      </c>
      <c r="D1676" s="700">
        <v>4</v>
      </c>
      <c r="E1676" s="612">
        <v>86</v>
      </c>
      <c r="F1676" s="612">
        <v>1514</v>
      </c>
      <c r="G1676" s="586" t="s">
        <v>2420</v>
      </c>
      <c r="H1676" s="709">
        <v>53.2</v>
      </c>
      <c r="I1676" s="546">
        <f t="shared" ref="I1676:I1677" si="371">IF(N1676&gt;0,H1676,"")</f>
        <v>53.2</v>
      </c>
      <c r="J1676" s="562"/>
      <c r="K1676" s="563">
        <f>IF(G1676&lt;&gt;0,VLOOKUP(G1676,'gia dat'!$A$1:$F$144,5,0)," ")</f>
        <v>554400</v>
      </c>
      <c r="L1676" s="563">
        <f>IF(G1676&lt;&gt;0,VLOOKUP(G1676,'gia dat'!$A$1:$F$144,6,0)," ")</f>
        <v>1663200</v>
      </c>
      <c r="M1676" s="564">
        <f t="shared" si="355"/>
        <v>29494000</v>
      </c>
      <c r="N1676" s="564">
        <f t="shared" si="356"/>
        <v>88482000</v>
      </c>
      <c r="O1676" s="572"/>
      <c r="P1676" s="740"/>
      <c r="Q1676" s="564" t="str">
        <f>IF(O1676&lt;&gt;0,VLOOKUP(O1676,'Cây trong'!$A$2:$C$246,3,0)," ")</f>
        <v xml:space="preserve"> </v>
      </c>
      <c r="R1676" s="564" t="str">
        <f t="shared" si="363"/>
        <v xml:space="preserve"> </v>
      </c>
      <c r="S1676" s="566"/>
      <c r="T1676" s="609"/>
      <c r="U1676" s="741"/>
      <c r="V1676" s="586"/>
      <c r="W1676" s="564" t="str">
        <f>IF(S1676&lt;&gt;0,VLOOKUP(S1676,VKT!$A$2:$G$415,7,0),"")</f>
        <v/>
      </c>
      <c r="X1676" s="564" t="str">
        <f t="shared" si="351"/>
        <v xml:space="preserve"> </v>
      </c>
      <c r="Y1676" s="650"/>
      <c r="Z1676" s="586"/>
      <c r="AA1676" s="742"/>
      <c r="AB1676" s="586"/>
      <c r="AC1676" s="586"/>
      <c r="AD1676" s="586"/>
      <c r="AE1676" s="569"/>
      <c r="AF1676" s="563"/>
      <c r="AG1676" s="570"/>
      <c r="AH1676" s="570"/>
      <c r="AI1676" s="571" t="str">
        <f t="shared" si="370"/>
        <v xml:space="preserve"> </v>
      </c>
      <c r="AJ1676" s="586" t="s">
        <v>1183</v>
      </c>
      <c r="AK1676" s="586" t="s">
        <v>2771</v>
      </c>
    </row>
    <row r="1677" spans="1:37" s="394" customFormat="1" ht="81" outlineLevel="2" x14ac:dyDescent="0.3">
      <c r="A1677" s="447">
        <f t="shared" ref="A1677:A1684" si="372">IF(B1676&lt;&gt;0,B1676,A1676)</f>
        <v>139</v>
      </c>
      <c r="B1677" s="557"/>
      <c r="C1677" s="607" t="s">
        <v>1186</v>
      </c>
      <c r="D1677" s="700"/>
      <c r="E1677" s="612">
        <v>86</v>
      </c>
      <c r="F1677" s="612">
        <v>1514</v>
      </c>
      <c r="G1677" s="782" t="s">
        <v>2905</v>
      </c>
      <c r="H1677" s="783">
        <v>40</v>
      </c>
      <c r="I1677" s="546" t="str">
        <f t="shared" si="371"/>
        <v/>
      </c>
      <c r="J1677" s="562"/>
      <c r="K1677" s="563">
        <f>IF(G1677&lt;&gt;0,VLOOKUP(G1677,'gia dat'!$A$1:$F$144,5,0)," ")</f>
        <v>10372320</v>
      </c>
      <c r="L1677" s="563">
        <f>IF(G1677&lt;&gt;0,VLOOKUP(G1677,'gia dat'!$A$1:$F$144,6,0)," ")</f>
        <v>0</v>
      </c>
      <c r="M1677" s="564">
        <f t="shared" si="355"/>
        <v>414893000</v>
      </c>
      <c r="N1677" s="564">
        <f>IF(H1677&lt;&gt;0,ROUND(H1677*L1677,-3)," ")</f>
        <v>0</v>
      </c>
      <c r="O1677" s="572"/>
      <c r="P1677" s="740"/>
      <c r="Q1677" s="564" t="str">
        <f>IF(O1677&lt;&gt;0,VLOOKUP(O1677,'Cây trong'!$A$2:$C$246,3,0)," ")</f>
        <v xml:space="preserve"> </v>
      </c>
      <c r="R1677" s="564" t="str">
        <f t="shared" si="363"/>
        <v xml:space="preserve"> </v>
      </c>
      <c r="S1677" s="566"/>
      <c r="T1677" s="609"/>
      <c r="U1677" s="741"/>
      <c r="V1677" s="586"/>
      <c r="W1677" s="564" t="str">
        <f>IF(S1677&lt;&gt;0,VLOOKUP(S1677,VKT!$A$2:$G$415,7,0),"")</f>
        <v/>
      </c>
      <c r="X1677" s="564" t="str">
        <f t="shared" si="351"/>
        <v xml:space="preserve"> </v>
      </c>
      <c r="Y1677" s="650"/>
      <c r="Z1677" s="586"/>
      <c r="AA1677" s="742"/>
      <c r="AB1677" s="586"/>
      <c r="AC1677" s="586"/>
      <c r="AD1677" s="586"/>
      <c r="AE1677" s="569"/>
      <c r="AF1677" s="590"/>
      <c r="AG1677" s="570" t="str">
        <f>IF(AE1677&lt;&gt;0,VLOOKUP(AE1677,ODDS!$A$2:$C$13,3,0),"")</f>
        <v/>
      </c>
      <c r="AH1677" s="570" t="str">
        <f t="shared" si="364"/>
        <v xml:space="preserve"> </v>
      </c>
      <c r="AI1677" s="571" t="str">
        <f t="shared" si="370"/>
        <v xml:space="preserve"> </v>
      </c>
      <c r="AJ1677" s="586" t="s">
        <v>1185</v>
      </c>
      <c r="AK1677" s="558" t="s">
        <v>2448</v>
      </c>
    </row>
    <row r="1678" spans="1:37" s="396" customFormat="1" ht="60.75" outlineLevel="2" x14ac:dyDescent="0.3">
      <c r="A1678" s="447">
        <f t="shared" si="372"/>
        <v>139</v>
      </c>
      <c r="B1678" s="557"/>
      <c r="C1678" s="572" t="s">
        <v>1189</v>
      </c>
      <c r="D1678" s="700"/>
      <c r="E1678" s="744"/>
      <c r="F1678" s="744"/>
      <c r="G1678" s="731"/>
      <c r="H1678" s="745"/>
      <c r="I1678" s="546"/>
      <c r="J1678" s="562"/>
      <c r="K1678" s="563" t="str">
        <f>IF(G1678&lt;&gt;0,VLOOKUP(G1678,'gia dat'!$A$1:$F$144,5,0)," ")</f>
        <v xml:space="preserve"> </v>
      </c>
      <c r="L1678" s="563" t="str">
        <f>IF(G1678&lt;&gt;0,VLOOKUP(G1678,'gia dat'!$A$1:$F$144,6,0)," ")</f>
        <v xml:space="preserve"> </v>
      </c>
      <c r="M1678" s="564" t="str">
        <f t="shared" si="355"/>
        <v xml:space="preserve"> </v>
      </c>
      <c r="N1678" s="564" t="str">
        <f t="shared" si="356"/>
        <v xml:space="preserve"> </v>
      </c>
      <c r="O1678" s="572"/>
      <c r="P1678" s="740"/>
      <c r="Q1678" s="564" t="str">
        <f>IF(O1678&lt;&gt;0,VLOOKUP(O1678,'Cây trong'!$A$2:$C$246,3,0)," ")</f>
        <v xml:space="preserve"> </v>
      </c>
      <c r="R1678" s="564" t="str">
        <f t="shared" si="363"/>
        <v xml:space="preserve"> </v>
      </c>
      <c r="S1678" s="566"/>
      <c r="T1678" s="609"/>
      <c r="U1678" s="741"/>
      <c r="V1678" s="586"/>
      <c r="W1678" s="564" t="str">
        <f>IF(S1678&lt;&gt;0,VLOOKUP(S1678,VKT!$A$2:$G$415,7,0),"")</f>
        <v/>
      </c>
      <c r="X1678" s="564" t="str">
        <f t="shared" si="351"/>
        <v xml:space="preserve"> </v>
      </c>
      <c r="Y1678" s="650"/>
      <c r="Z1678" s="586"/>
      <c r="AA1678" s="742"/>
      <c r="AB1678" s="586"/>
      <c r="AC1678" s="586"/>
      <c r="AD1678" s="586"/>
      <c r="AE1678" s="606"/>
      <c r="AF1678" s="590"/>
      <c r="AG1678" s="570" t="str">
        <f>IF(AE1678&lt;&gt;0,VLOOKUP(AE1678,ODDS!$A$2:$C$13,3,0),"")</f>
        <v/>
      </c>
      <c r="AH1678" s="570" t="str">
        <f t="shared" si="364"/>
        <v xml:space="preserve"> </v>
      </c>
      <c r="AI1678" s="571" t="str">
        <f t="shared" si="370"/>
        <v xml:space="preserve"> </v>
      </c>
      <c r="AJ1678" s="572" t="s">
        <v>2074</v>
      </c>
      <c r="AK1678" s="586"/>
    </row>
    <row r="1679" spans="1:37" s="394" customFormat="1" ht="81" outlineLevel="2" x14ac:dyDescent="0.3">
      <c r="A1679" s="447">
        <f t="shared" si="372"/>
        <v>139</v>
      </c>
      <c r="B1679" s="557"/>
      <c r="C1679" s="572" t="s">
        <v>1601</v>
      </c>
      <c r="D1679" s="700"/>
      <c r="E1679" s="612"/>
      <c r="F1679" s="612"/>
      <c r="G1679" s="586"/>
      <c r="H1679" s="709"/>
      <c r="I1679" s="546"/>
      <c r="J1679" s="562"/>
      <c r="K1679" s="563" t="str">
        <f>IF(G1679&lt;&gt;0,VLOOKUP(G1679,'gia dat'!$A$1:$F$144,5,0)," ")</f>
        <v xml:space="preserve"> </v>
      </c>
      <c r="L1679" s="563" t="str">
        <f>IF(G1679&lt;&gt;0,VLOOKUP(G1679,'gia dat'!$A$1:$F$144,6,0)," ")</f>
        <v xml:space="preserve"> </v>
      </c>
      <c r="M1679" s="564" t="str">
        <f t="shared" si="355"/>
        <v xml:space="preserve"> </v>
      </c>
      <c r="N1679" s="564" t="str">
        <f t="shared" si="356"/>
        <v xml:space="preserve"> </v>
      </c>
      <c r="O1679" s="572"/>
      <c r="P1679" s="740"/>
      <c r="Q1679" s="564" t="str">
        <f>IF(O1679&lt;&gt;0,VLOOKUP(O1679,'Cây trong'!$A$2:$C$246,3,0)," ")</f>
        <v xml:space="preserve"> </v>
      </c>
      <c r="R1679" s="564" t="str">
        <f t="shared" si="363"/>
        <v xml:space="preserve"> </v>
      </c>
      <c r="S1679" s="566"/>
      <c r="T1679" s="609"/>
      <c r="U1679" s="741"/>
      <c r="V1679" s="586"/>
      <c r="W1679" s="564" t="str">
        <f>IF(S1679&lt;&gt;0,VLOOKUP(S1679,VKT!$A$2:$G$415,7,0),"")</f>
        <v/>
      </c>
      <c r="X1679" s="564" t="str">
        <f t="shared" si="351"/>
        <v xml:space="preserve"> </v>
      </c>
      <c r="Y1679" s="650"/>
      <c r="Z1679" s="586"/>
      <c r="AA1679" s="742"/>
      <c r="AB1679" s="586"/>
      <c r="AC1679" s="586"/>
      <c r="AD1679" s="586"/>
      <c r="AE1679" s="586"/>
      <c r="AF1679" s="714"/>
      <c r="AG1679" s="570" t="str">
        <f>IF(AE1679&lt;&gt;0,VLOOKUP(AE1679,ODDS!$A$2:$C$13,3,0),"")</f>
        <v/>
      </c>
      <c r="AH1679" s="570" t="str">
        <f t="shared" si="364"/>
        <v xml:space="preserve"> </v>
      </c>
      <c r="AI1679" s="571" t="str">
        <f t="shared" si="370"/>
        <v xml:space="preserve"> </v>
      </c>
      <c r="AJ1679" s="731"/>
      <c r="AK1679" s="586"/>
    </row>
    <row r="1680" spans="1:37" s="394" customFormat="1" ht="20.25" outlineLevel="2" x14ac:dyDescent="0.3">
      <c r="A1680" s="447">
        <f t="shared" si="372"/>
        <v>139</v>
      </c>
      <c r="B1680" s="557"/>
      <c r="C1680" s="572"/>
      <c r="D1680" s="700"/>
      <c r="E1680" s="612"/>
      <c r="F1680" s="612"/>
      <c r="G1680" s="586"/>
      <c r="H1680" s="709"/>
      <c r="I1680" s="546"/>
      <c r="J1680" s="562"/>
      <c r="K1680" s="563" t="str">
        <f>IF(G1680&lt;&gt;0,VLOOKUP(G1680,'gia dat'!$A$1:$F$144,5,0)," ")</f>
        <v xml:space="preserve"> </v>
      </c>
      <c r="L1680" s="563" t="str">
        <f>IF(G1680&lt;&gt;0,VLOOKUP(G1680,'gia dat'!$A$1:$F$144,6,0)," ")</f>
        <v xml:space="preserve"> </v>
      </c>
      <c r="M1680" s="564" t="str">
        <f t="shared" si="355"/>
        <v xml:space="preserve"> </v>
      </c>
      <c r="N1680" s="564" t="str">
        <f t="shared" si="356"/>
        <v xml:space="preserve"> </v>
      </c>
      <c r="O1680" s="572"/>
      <c r="P1680" s="740"/>
      <c r="Q1680" s="564" t="str">
        <f>IF(O1680&lt;&gt;0,VLOOKUP(O1680,'Cây trong'!$A$2:$C$246,3,0)," ")</f>
        <v xml:space="preserve"> </v>
      </c>
      <c r="R1680" s="564" t="str">
        <f t="shared" si="363"/>
        <v xml:space="preserve"> </v>
      </c>
      <c r="S1680" s="566"/>
      <c r="T1680" s="609"/>
      <c r="U1680" s="741"/>
      <c r="V1680" s="586"/>
      <c r="W1680" s="564" t="str">
        <f>IF(S1680&lt;&gt;0,VLOOKUP(S1680,VKT!$A$2:$G$415,7,0),"")</f>
        <v/>
      </c>
      <c r="X1680" s="564" t="str">
        <f t="shared" si="351"/>
        <v xml:space="preserve"> </v>
      </c>
      <c r="Y1680" s="650"/>
      <c r="Z1680" s="586"/>
      <c r="AA1680" s="742"/>
      <c r="AB1680" s="586"/>
      <c r="AC1680" s="586"/>
      <c r="AD1680" s="586"/>
      <c r="AE1680" s="586"/>
      <c r="AF1680" s="714"/>
      <c r="AG1680" s="570" t="str">
        <f>IF(AE1680&lt;&gt;0,VLOOKUP(AE1680,ODDS!$A$2:$C$13,3,0),"")</f>
        <v/>
      </c>
      <c r="AH1680" s="570" t="str">
        <f t="shared" si="364"/>
        <v xml:space="preserve"> </v>
      </c>
      <c r="AI1680" s="571" t="str">
        <f t="shared" si="370"/>
        <v xml:space="preserve"> </v>
      </c>
      <c r="AJ1680" s="731"/>
      <c r="AK1680" s="572"/>
    </row>
    <row r="1681" spans="1:39" s="394" customFormat="1" ht="20.25" outlineLevel="2" x14ac:dyDescent="0.3">
      <c r="A1681" s="447">
        <f t="shared" si="372"/>
        <v>139</v>
      </c>
      <c r="B1681" s="557"/>
      <c r="C1681" s="572"/>
      <c r="D1681" s="700"/>
      <c r="E1681" s="612"/>
      <c r="F1681" s="612"/>
      <c r="G1681" s="586"/>
      <c r="H1681" s="709"/>
      <c r="I1681" s="546"/>
      <c r="J1681" s="562"/>
      <c r="K1681" s="563" t="str">
        <f>IF(G1681&lt;&gt;0,VLOOKUP(G1681,'gia dat'!$A$1:$F$144,5,0)," ")</f>
        <v xml:space="preserve"> </v>
      </c>
      <c r="L1681" s="563" t="str">
        <f>IF(G1681&lt;&gt;0,VLOOKUP(G1681,'gia dat'!$A$1:$F$144,6,0)," ")</f>
        <v xml:space="preserve"> </v>
      </c>
      <c r="M1681" s="564" t="str">
        <f t="shared" si="355"/>
        <v xml:space="preserve"> </v>
      </c>
      <c r="N1681" s="564" t="str">
        <f t="shared" si="356"/>
        <v xml:space="preserve"> </v>
      </c>
      <c r="O1681" s="572"/>
      <c r="P1681" s="740"/>
      <c r="Q1681" s="564" t="str">
        <f>IF(O1681&lt;&gt;0,VLOOKUP(O1681,'Cây trong'!$A$2:$C$246,3,0)," ")</f>
        <v xml:space="preserve"> </v>
      </c>
      <c r="R1681" s="564" t="str">
        <f t="shared" si="363"/>
        <v xml:space="preserve"> </v>
      </c>
      <c r="S1681" s="566"/>
      <c r="T1681" s="609"/>
      <c r="U1681" s="741"/>
      <c r="V1681" s="586"/>
      <c r="W1681" s="564" t="str">
        <f>IF(S1681&lt;&gt;0,VLOOKUP(S1681,VKT!$A$2:$G$415,7,0),"")</f>
        <v/>
      </c>
      <c r="X1681" s="564" t="str">
        <f t="shared" ref="X1681:X1764" si="373">IF(S1681&lt;&gt;0,ROUND(U1681*W1681,-3)," ")</f>
        <v xml:space="preserve"> </v>
      </c>
      <c r="Y1681" s="650"/>
      <c r="Z1681" s="586"/>
      <c r="AA1681" s="742"/>
      <c r="AB1681" s="586"/>
      <c r="AC1681" s="586"/>
      <c r="AD1681" s="586"/>
      <c r="AE1681" s="586"/>
      <c r="AF1681" s="714"/>
      <c r="AG1681" s="570" t="str">
        <f>IF(AE1681&lt;&gt;0,VLOOKUP(AE1681,ODDS!$A$2:$C$13,3,0),"")</f>
        <v/>
      </c>
      <c r="AH1681" s="570" t="str">
        <f t="shared" si="364"/>
        <v xml:space="preserve"> </v>
      </c>
      <c r="AI1681" s="571" t="str">
        <f t="shared" si="370"/>
        <v xml:space="preserve"> </v>
      </c>
      <c r="AJ1681" s="586"/>
      <c r="AK1681" s="586"/>
    </row>
    <row r="1682" spans="1:39" s="394" customFormat="1" ht="20.25" outlineLevel="2" x14ac:dyDescent="0.3">
      <c r="A1682" s="447">
        <f t="shared" si="372"/>
        <v>139</v>
      </c>
      <c r="B1682" s="557"/>
      <c r="C1682" s="572"/>
      <c r="D1682" s="700"/>
      <c r="E1682" s="612"/>
      <c r="F1682" s="612"/>
      <c r="G1682" s="586"/>
      <c r="H1682" s="709"/>
      <c r="I1682" s="546"/>
      <c r="J1682" s="562"/>
      <c r="K1682" s="563" t="str">
        <f>IF(G1682&lt;&gt;0,VLOOKUP(G1682,'gia dat'!$A$1:$F$144,5,0)," ")</f>
        <v xml:space="preserve"> </v>
      </c>
      <c r="L1682" s="563" t="str">
        <f>IF(G1682&lt;&gt;0,VLOOKUP(G1682,'gia dat'!$A$1:$F$144,6,0)," ")</f>
        <v xml:space="preserve"> </v>
      </c>
      <c r="M1682" s="564" t="str">
        <f t="shared" si="355"/>
        <v xml:space="preserve"> </v>
      </c>
      <c r="N1682" s="564" t="str">
        <f t="shared" si="356"/>
        <v xml:space="preserve"> </v>
      </c>
      <c r="O1682" s="572"/>
      <c r="P1682" s="740"/>
      <c r="Q1682" s="564" t="str">
        <f>IF(O1682&lt;&gt;0,VLOOKUP(O1682,'Cây trong'!$A$2:$C$246,3,0)," ")</f>
        <v xml:space="preserve"> </v>
      </c>
      <c r="R1682" s="564" t="str">
        <f t="shared" si="363"/>
        <v xml:space="preserve"> </v>
      </c>
      <c r="S1682" s="566"/>
      <c r="T1682" s="609"/>
      <c r="U1682" s="741"/>
      <c r="V1682" s="586"/>
      <c r="W1682" s="564" t="str">
        <f>IF(S1682&lt;&gt;0,VLOOKUP(S1682,VKT!$A$2:$G$415,7,0),"")</f>
        <v/>
      </c>
      <c r="X1682" s="564" t="str">
        <f t="shared" si="373"/>
        <v xml:space="preserve"> </v>
      </c>
      <c r="Y1682" s="650"/>
      <c r="Z1682" s="586"/>
      <c r="AA1682" s="742"/>
      <c r="AB1682" s="586"/>
      <c r="AC1682" s="586"/>
      <c r="AD1682" s="586"/>
      <c r="AE1682" s="586"/>
      <c r="AF1682" s="714"/>
      <c r="AG1682" s="570" t="str">
        <f>IF(AE1682&lt;&gt;0,VLOOKUP(AE1682,ODDS!$A$2:$C$13,3,0),"")</f>
        <v/>
      </c>
      <c r="AH1682" s="570" t="str">
        <f t="shared" si="364"/>
        <v xml:space="preserve"> </v>
      </c>
      <c r="AI1682" s="571" t="str">
        <f t="shared" si="370"/>
        <v xml:space="preserve"> </v>
      </c>
      <c r="AJ1682" s="586"/>
      <c r="AK1682" s="586"/>
    </row>
    <row r="1683" spans="1:39" s="394" customFormat="1" ht="20.25" outlineLevel="2" x14ac:dyDescent="0.3">
      <c r="A1683" s="447">
        <f t="shared" si="372"/>
        <v>139</v>
      </c>
      <c r="B1683" s="557"/>
      <c r="C1683" s="572"/>
      <c r="D1683" s="700"/>
      <c r="E1683" s="612"/>
      <c r="F1683" s="612"/>
      <c r="G1683" s="586"/>
      <c r="H1683" s="709"/>
      <c r="I1683" s="546"/>
      <c r="J1683" s="558"/>
      <c r="K1683" s="563" t="str">
        <f>IF(G1683&lt;&gt;0,VLOOKUP(G1683,'gia dat'!$A$1:$F$144,5,0)," ")</f>
        <v xml:space="preserve"> </v>
      </c>
      <c r="L1683" s="563" t="str">
        <f>IF(G1683&lt;&gt;0,VLOOKUP(G1683,'gia dat'!$A$1:$F$144,6,0)," ")</f>
        <v xml:space="preserve"> </v>
      </c>
      <c r="M1683" s="564" t="str">
        <f t="shared" si="355"/>
        <v xml:space="preserve"> </v>
      </c>
      <c r="N1683" s="564" t="str">
        <f t="shared" si="356"/>
        <v xml:space="preserve"> </v>
      </c>
      <c r="O1683" s="572"/>
      <c r="P1683" s="740"/>
      <c r="Q1683" s="564" t="str">
        <f>IF(O1683&lt;&gt;0,VLOOKUP(O1683,'Cây trong'!$A$2:$C$246,3,0)," ")</f>
        <v xml:space="preserve"> </v>
      </c>
      <c r="R1683" s="564" t="str">
        <f t="shared" si="363"/>
        <v xml:space="preserve"> </v>
      </c>
      <c r="S1683" s="572"/>
      <c r="T1683" s="609"/>
      <c r="U1683" s="741"/>
      <c r="V1683" s="586"/>
      <c r="W1683" s="564" t="str">
        <f>IF(S1683&lt;&gt;0,VLOOKUP(S1683,VKT!$A$2:$G$415,7,0),"")</f>
        <v/>
      </c>
      <c r="X1683" s="564" t="str">
        <f t="shared" si="373"/>
        <v xml:space="preserve"> </v>
      </c>
      <c r="Y1683" s="650"/>
      <c r="Z1683" s="586"/>
      <c r="AA1683" s="742"/>
      <c r="AB1683" s="586"/>
      <c r="AC1683" s="586"/>
      <c r="AD1683" s="586"/>
      <c r="AE1683" s="586"/>
      <c r="AF1683" s="714"/>
      <c r="AG1683" s="570" t="str">
        <f>IF(AE1683&lt;&gt;0,VLOOKUP(AE1683,ODDS!$A$2:$C$13,3,0),"")</f>
        <v/>
      </c>
      <c r="AH1683" s="570" t="str">
        <f t="shared" si="364"/>
        <v xml:space="preserve"> </v>
      </c>
      <c r="AI1683" s="571" t="str">
        <f t="shared" si="370"/>
        <v xml:space="preserve"> </v>
      </c>
      <c r="AJ1683" s="586"/>
      <c r="AK1683" s="586"/>
    </row>
    <row r="1684" spans="1:39" s="394" customFormat="1" ht="20.25" outlineLevel="2" x14ac:dyDescent="0.3">
      <c r="A1684" s="447">
        <f t="shared" si="372"/>
        <v>139</v>
      </c>
      <c r="B1684" s="557"/>
      <c r="C1684" s="607"/>
      <c r="D1684" s="700"/>
      <c r="E1684" s="612"/>
      <c r="F1684" s="612"/>
      <c r="G1684" s="586"/>
      <c r="H1684" s="709"/>
      <c r="I1684" s="546"/>
      <c r="J1684" s="558"/>
      <c r="K1684" s="563" t="str">
        <f>IF(G1684&lt;&gt;0,VLOOKUP(G1684,'gia dat'!$A$1:$F$144,5,0)," ")</f>
        <v xml:space="preserve"> </v>
      </c>
      <c r="L1684" s="563" t="str">
        <f>IF(G1684&lt;&gt;0,VLOOKUP(G1684,'gia dat'!$A$1:$F$144,6,0)," ")</f>
        <v xml:space="preserve"> </v>
      </c>
      <c r="M1684" s="564" t="str">
        <f t="shared" ref="M1684:M1754" si="374">IF(H1684&lt;&gt;0,ROUND(H1684*K1684,-3)," ")</f>
        <v xml:space="preserve"> </v>
      </c>
      <c r="N1684" s="564" t="str">
        <f t="shared" ref="N1684:N1754" si="375">IF(H1684&lt;&gt;0,ROUND(H1684*L1684,-3)," ")</f>
        <v xml:space="preserve"> </v>
      </c>
      <c r="O1684" s="572"/>
      <c r="P1684" s="740"/>
      <c r="Q1684" s="564"/>
      <c r="R1684" s="564"/>
      <c r="S1684" s="572"/>
      <c r="T1684" s="609"/>
      <c r="U1684" s="741"/>
      <c r="V1684" s="586"/>
      <c r="W1684" s="564"/>
      <c r="X1684" s="564"/>
      <c r="Y1684" s="650"/>
      <c r="Z1684" s="586"/>
      <c r="AA1684" s="742"/>
      <c r="AB1684" s="586"/>
      <c r="AC1684" s="586"/>
      <c r="AD1684" s="586"/>
      <c r="AE1684" s="586"/>
      <c r="AF1684" s="714"/>
      <c r="AG1684" s="570"/>
      <c r="AH1684" s="570"/>
      <c r="AI1684" s="571" t="str">
        <f t="shared" si="370"/>
        <v xml:space="preserve"> </v>
      </c>
      <c r="AJ1684" s="586"/>
      <c r="AK1684" s="586"/>
    </row>
    <row r="1685" spans="1:39" s="394" customFormat="1" ht="40.5" outlineLevel="1" x14ac:dyDescent="0.25">
      <c r="A1685" s="467" t="s">
        <v>2570</v>
      </c>
      <c r="B1685" s="576">
        <v>140</v>
      </c>
      <c r="C1685" s="607" t="s">
        <v>1448</v>
      </c>
      <c r="D1685" s="706"/>
      <c r="E1685" s="642"/>
      <c r="F1685" s="642"/>
      <c r="G1685" s="578"/>
      <c r="H1685" s="707">
        <f>SUBTOTAL(9,H1686:H1692)</f>
        <v>22.5</v>
      </c>
      <c r="I1685" s="579">
        <f>SUBTOTAL(9,I1686:I1691)</f>
        <v>0</v>
      </c>
      <c r="J1685" s="574"/>
      <c r="K1685" s="581"/>
      <c r="L1685" s="581"/>
      <c r="M1685" s="571">
        <f>SUBTOTAL(9,M1686:M1692)</f>
        <v>12474000</v>
      </c>
      <c r="N1685" s="571">
        <f>SUBTOTAL(9,N1686:N1692)</f>
        <v>0</v>
      </c>
      <c r="O1685" s="607"/>
      <c r="P1685" s="738">
        <f>SUBTOTAL(9,P1686:P1692)</f>
        <v>0</v>
      </c>
      <c r="Q1685" s="571"/>
      <c r="R1685" s="571">
        <f>SUBTOTAL(9,R1686:R1692)</f>
        <v>0</v>
      </c>
      <c r="S1685" s="607"/>
      <c r="T1685" s="621"/>
      <c r="U1685" s="739">
        <f>SUBTOTAL(9,U1686:U1692)</f>
        <v>0</v>
      </c>
      <c r="V1685" s="578"/>
      <c r="W1685" s="571"/>
      <c r="X1685" s="571">
        <f>SUBTOTAL(9,X1686:X1692)</f>
        <v>0</v>
      </c>
      <c r="Y1685" s="650"/>
      <c r="Z1685" s="586"/>
      <c r="AA1685" s="742"/>
      <c r="AB1685" s="586"/>
      <c r="AC1685" s="586"/>
      <c r="AD1685" s="586"/>
      <c r="AE1685" s="578"/>
      <c r="AF1685" s="712">
        <f>SUBTOTAL(9,AF1686:AF1692)</f>
        <v>0</v>
      </c>
      <c r="AG1685" s="585"/>
      <c r="AH1685" s="585">
        <f>SUBTOTAL(9,AH1686:AH1692)</f>
        <v>0</v>
      </c>
      <c r="AI1685" s="571">
        <f t="shared" si="370"/>
        <v>12474000</v>
      </c>
      <c r="AJ1685" s="578"/>
      <c r="AK1685" s="578"/>
    </row>
    <row r="1686" spans="1:39" s="394" customFormat="1" ht="263.25" outlineLevel="2" x14ac:dyDescent="0.3">
      <c r="A1686" s="447">
        <f>IF(B1685&lt;&gt;0,B1685,A1684)</f>
        <v>140</v>
      </c>
      <c r="B1686" s="557"/>
      <c r="C1686" s="572" t="s">
        <v>1450</v>
      </c>
      <c r="D1686" s="700"/>
      <c r="E1686" s="612">
        <v>86</v>
      </c>
      <c r="F1686" s="612">
        <v>25</v>
      </c>
      <c r="G1686" s="586" t="s">
        <v>2419</v>
      </c>
      <c r="H1686" s="709">
        <v>22.5</v>
      </c>
      <c r="I1686" s="546" t="str">
        <f t="shared" ref="I1686" si="376">IF(N1686&gt;0,H1686,"")</f>
        <v/>
      </c>
      <c r="J1686" s="558"/>
      <c r="K1686" s="563">
        <f>IF(G1686&lt;&gt;0,VLOOKUP(G1686,'gia dat'!$A$1:$F$144,5,0)," ")</f>
        <v>554400</v>
      </c>
      <c r="L1686" s="563">
        <f>IF(G1686&lt;&gt;0,VLOOKUP(G1686,'gia dat'!$A$1:$F$144,6,0)," ")</f>
        <v>0</v>
      </c>
      <c r="M1686" s="564">
        <f t="shared" si="374"/>
        <v>12474000</v>
      </c>
      <c r="N1686" s="564">
        <f t="shared" si="375"/>
        <v>0</v>
      </c>
      <c r="O1686" s="572"/>
      <c r="P1686" s="740"/>
      <c r="Q1686" s="564"/>
      <c r="R1686" s="564"/>
      <c r="S1686" s="572"/>
      <c r="T1686" s="609"/>
      <c r="U1686" s="741"/>
      <c r="V1686" s="586"/>
      <c r="W1686" s="564"/>
      <c r="X1686" s="564"/>
      <c r="Y1686" s="650"/>
      <c r="Z1686" s="586"/>
      <c r="AA1686" s="742"/>
      <c r="AB1686" s="586"/>
      <c r="AC1686" s="586"/>
      <c r="AD1686" s="586"/>
      <c r="AE1686" s="586"/>
      <c r="AF1686" s="714"/>
      <c r="AG1686" s="570"/>
      <c r="AH1686" s="570"/>
      <c r="AI1686" s="571" t="str">
        <f t="shared" si="370"/>
        <v xml:space="preserve"> </v>
      </c>
      <c r="AJ1686" s="586" t="s">
        <v>2463</v>
      </c>
      <c r="AK1686" s="586" t="s">
        <v>2771</v>
      </c>
    </row>
    <row r="1687" spans="1:39" s="394" customFormat="1" ht="101.25" outlineLevel="2" x14ac:dyDescent="0.3">
      <c r="A1687" s="447">
        <f t="shared" ref="A1687:A1692" si="377">IF(B1686&lt;&gt;0,B1686,A1686)</f>
        <v>140</v>
      </c>
      <c r="B1687" s="557"/>
      <c r="C1687" s="572" t="s">
        <v>1634</v>
      </c>
      <c r="D1687" s="700"/>
      <c r="E1687" s="612"/>
      <c r="F1687" s="612"/>
      <c r="G1687" s="586"/>
      <c r="H1687" s="709"/>
      <c r="I1687" s="546"/>
      <c r="J1687" s="558"/>
      <c r="K1687" s="563" t="str">
        <f>IF(G1687&lt;&gt;0,VLOOKUP(G1687,'gia dat'!$A$1:$F$144,5,0)," ")</f>
        <v xml:space="preserve"> </v>
      </c>
      <c r="L1687" s="563" t="str">
        <f>IF(G1687&lt;&gt;0,VLOOKUP(G1687,'gia dat'!$A$1:$F$144,6,0)," ")</f>
        <v xml:space="preserve"> </v>
      </c>
      <c r="M1687" s="564" t="str">
        <f t="shared" si="374"/>
        <v xml:space="preserve"> </v>
      </c>
      <c r="N1687" s="564" t="str">
        <f t="shared" si="375"/>
        <v xml:space="preserve"> </v>
      </c>
      <c r="O1687" s="572"/>
      <c r="P1687" s="740"/>
      <c r="Q1687" s="564"/>
      <c r="R1687" s="564"/>
      <c r="S1687" s="572"/>
      <c r="T1687" s="609"/>
      <c r="U1687" s="741"/>
      <c r="V1687" s="586"/>
      <c r="W1687" s="564"/>
      <c r="X1687" s="564"/>
      <c r="Y1687" s="650"/>
      <c r="Z1687" s="586"/>
      <c r="AA1687" s="742"/>
      <c r="AB1687" s="586"/>
      <c r="AC1687" s="586"/>
      <c r="AD1687" s="586"/>
      <c r="AE1687" s="586"/>
      <c r="AF1687" s="714"/>
      <c r="AG1687" s="570"/>
      <c r="AH1687" s="570"/>
      <c r="AI1687" s="571" t="str">
        <f t="shared" si="370"/>
        <v xml:space="preserve"> </v>
      </c>
      <c r="AJ1687" s="586"/>
      <c r="AK1687" s="586"/>
    </row>
    <row r="1688" spans="1:39" s="394" customFormat="1" ht="20.25" outlineLevel="2" x14ac:dyDescent="0.3">
      <c r="A1688" s="447">
        <f t="shared" si="377"/>
        <v>140</v>
      </c>
      <c r="B1688" s="557"/>
      <c r="C1688" s="572"/>
      <c r="D1688" s="700"/>
      <c r="E1688" s="612"/>
      <c r="F1688" s="612"/>
      <c r="G1688" s="586"/>
      <c r="H1688" s="709"/>
      <c r="I1688" s="546"/>
      <c r="J1688" s="558"/>
      <c r="K1688" s="563" t="str">
        <f>IF(G1688&lt;&gt;0,VLOOKUP(G1688,'gia dat'!$A$1:$F$144,5,0)," ")</f>
        <v xml:space="preserve"> </v>
      </c>
      <c r="L1688" s="563" t="str">
        <f>IF(G1688&lt;&gt;0,VLOOKUP(G1688,'gia dat'!$A$1:$F$144,6,0)," ")</f>
        <v xml:space="preserve"> </v>
      </c>
      <c r="M1688" s="564" t="str">
        <f t="shared" si="374"/>
        <v xml:space="preserve"> </v>
      </c>
      <c r="N1688" s="564" t="str">
        <f t="shared" si="375"/>
        <v xml:space="preserve"> </v>
      </c>
      <c r="O1688" s="572"/>
      <c r="P1688" s="740"/>
      <c r="Q1688" s="564"/>
      <c r="R1688" s="564"/>
      <c r="S1688" s="572"/>
      <c r="T1688" s="609"/>
      <c r="U1688" s="741"/>
      <c r="V1688" s="586"/>
      <c r="W1688" s="564"/>
      <c r="X1688" s="564"/>
      <c r="Y1688" s="650"/>
      <c r="Z1688" s="586"/>
      <c r="AA1688" s="742"/>
      <c r="AB1688" s="586"/>
      <c r="AC1688" s="586"/>
      <c r="AD1688" s="586"/>
      <c r="AE1688" s="586"/>
      <c r="AF1688" s="714"/>
      <c r="AG1688" s="570"/>
      <c r="AH1688" s="570"/>
      <c r="AI1688" s="571" t="str">
        <f t="shared" si="370"/>
        <v xml:space="preserve"> </v>
      </c>
      <c r="AJ1688" s="586"/>
      <c r="AK1688" s="586"/>
    </row>
    <row r="1689" spans="1:39" s="394" customFormat="1" ht="20.25" outlineLevel="2" x14ac:dyDescent="0.3">
      <c r="A1689" s="447">
        <f t="shared" si="377"/>
        <v>140</v>
      </c>
      <c r="B1689" s="557"/>
      <c r="C1689" s="572"/>
      <c r="D1689" s="700"/>
      <c r="E1689" s="612"/>
      <c r="F1689" s="612"/>
      <c r="G1689" s="586"/>
      <c r="H1689" s="709"/>
      <c r="I1689" s="546"/>
      <c r="J1689" s="558"/>
      <c r="K1689" s="563" t="str">
        <f>IF(G1689&lt;&gt;0,VLOOKUP(G1689,'gia dat'!$A$1:$F$144,5,0)," ")</f>
        <v xml:space="preserve"> </v>
      </c>
      <c r="L1689" s="563" t="str">
        <f>IF(G1689&lt;&gt;0,VLOOKUP(G1689,'gia dat'!$A$1:$F$144,6,0)," ")</f>
        <v xml:space="preserve"> </v>
      </c>
      <c r="M1689" s="564" t="str">
        <f t="shared" si="374"/>
        <v xml:space="preserve"> </v>
      </c>
      <c r="N1689" s="564" t="str">
        <f t="shared" si="375"/>
        <v xml:space="preserve"> </v>
      </c>
      <c r="O1689" s="572"/>
      <c r="P1689" s="740"/>
      <c r="Q1689" s="564"/>
      <c r="R1689" s="564"/>
      <c r="S1689" s="572"/>
      <c r="T1689" s="609"/>
      <c r="U1689" s="741"/>
      <c r="V1689" s="586"/>
      <c r="W1689" s="564"/>
      <c r="X1689" s="564"/>
      <c r="Y1689" s="650"/>
      <c r="Z1689" s="586"/>
      <c r="AA1689" s="742"/>
      <c r="AB1689" s="586"/>
      <c r="AC1689" s="586"/>
      <c r="AD1689" s="586"/>
      <c r="AE1689" s="586"/>
      <c r="AF1689" s="714"/>
      <c r="AG1689" s="570"/>
      <c r="AH1689" s="570"/>
      <c r="AI1689" s="571" t="str">
        <f t="shared" si="370"/>
        <v xml:space="preserve"> </v>
      </c>
      <c r="AJ1689" s="586"/>
      <c r="AK1689" s="586"/>
    </row>
    <row r="1690" spans="1:39" s="394" customFormat="1" ht="20.25" outlineLevel="2" x14ac:dyDescent="0.3">
      <c r="A1690" s="447">
        <f t="shared" si="377"/>
        <v>140</v>
      </c>
      <c r="B1690" s="557"/>
      <c r="C1690" s="572"/>
      <c r="D1690" s="700"/>
      <c r="E1690" s="612"/>
      <c r="F1690" s="612"/>
      <c r="G1690" s="586"/>
      <c r="H1690" s="709"/>
      <c r="I1690" s="546"/>
      <c r="J1690" s="558"/>
      <c r="K1690" s="563" t="str">
        <f>IF(G1690&lt;&gt;0,VLOOKUP(G1690,'gia dat'!$A$1:$F$144,5,0)," ")</f>
        <v xml:space="preserve"> </v>
      </c>
      <c r="L1690" s="563" t="str">
        <f>IF(G1690&lt;&gt;0,VLOOKUP(G1690,'gia dat'!$A$1:$F$144,6,0)," ")</f>
        <v xml:space="preserve"> </v>
      </c>
      <c r="M1690" s="564" t="str">
        <f t="shared" si="374"/>
        <v xml:space="preserve"> </v>
      </c>
      <c r="N1690" s="564" t="str">
        <f t="shared" si="375"/>
        <v xml:space="preserve"> </v>
      </c>
      <c r="O1690" s="572"/>
      <c r="P1690" s="740"/>
      <c r="Q1690" s="564"/>
      <c r="R1690" s="564"/>
      <c r="S1690" s="572"/>
      <c r="T1690" s="609"/>
      <c r="U1690" s="741"/>
      <c r="V1690" s="586"/>
      <c r="W1690" s="564"/>
      <c r="X1690" s="564"/>
      <c r="Y1690" s="650"/>
      <c r="Z1690" s="586"/>
      <c r="AA1690" s="742"/>
      <c r="AB1690" s="586"/>
      <c r="AC1690" s="586"/>
      <c r="AD1690" s="586"/>
      <c r="AE1690" s="586"/>
      <c r="AF1690" s="714"/>
      <c r="AG1690" s="570"/>
      <c r="AH1690" s="570"/>
      <c r="AI1690" s="571" t="str">
        <f t="shared" si="370"/>
        <v xml:space="preserve"> </v>
      </c>
      <c r="AJ1690" s="586"/>
      <c r="AK1690" s="586"/>
    </row>
    <row r="1691" spans="1:39" s="394" customFormat="1" ht="20.25" outlineLevel="2" x14ac:dyDescent="0.3">
      <c r="A1691" s="447">
        <f t="shared" si="377"/>
        <v>140</v>
      </c>
      <c r="B1691" s="557"/>
      <c r="C1691" s="572"/>
      <c r="D1691" s="700"/>
      <c r="E1691" s="612"/>
      <c r="F1691" s="612"/>
      <c r="G1691" s="586"/>
      <c r="H1691" s="709"/>
      <c r="I1691" s="546"/>
      <c r="J1691" s="558"/>
      <c r="K1691" s="563" t="str">
        <f>IF(G1691&lt;&gt;0,VLOOKUP(G1691,'gia dat'!$A$1:$F$144,5,0)," ")</f>
        <v xml:space="preserve"> </v>
      </c>
      <c r="L1691" s="563" t="str">
        <f>IF(G1691&lt;&gt;0,VLOOKUP(G1691,'gia dat'!$A$1:$F$144,6,0)," ")</f>
        <v xml:space="preserve"> </v>
      </c>
      <c r="M1691" s="564" t="str">
        <f t="shared" si="374"/>
        <v xml:space="preserve"> </v>
      </c>
      <c r="N1691" s="564" t="str">
        <f t="shared" si="375"/>
        <v xml:space="preserve"> </v>
      </c>
      <c r="O1691" s="572"/>
      <c r="P1691" s="740"/>
      <c r="Q1691" s="564"/>
      <c r="R1691" s="564"/>
      <c r="S1691" s="572"/>
      <c r="T1691" s="609"/>
      <c r="U1691" s="741"/>
      <c r="V1691" s="586"/>
      <c r="W1691" s="564"/>
      <c r="X1691" s="564"/>
      <c r="Y1691" s="650"/>
      <c r="Z1691" s="586"/>
      <c r="AA1691" s="742"/>
      <c r="AB1691" s="586"/>
      <c r="AC1691" s="586"/>
      <c r="AD1691" s="586"/>
      <c r="AE1691" s="586"/>
      <c r="AF1691" s="714"/>
      <c r="AG1691" s="570"/>
      <c r="AH1691" s="570"/>
      <c r="AI1691" s="571" t="str">
        <f t="shared" si="370"/>
        <v xml:space="preserve"> </v>
      </c>
      <c r="AJ1691" s="586"/>
      <c r="AK1691" s="586"/>
    </row>
    <row r="1692" spans="1:39" s="394" customFormat="1" ht="20.25" outlineLevel="2" x14ac:dyDescent="0.3">
      <c r="A1692" s="447">
        <f t="shared" si="377"/>
        <v>140</v>
      </c>
      <c r="B1692" s="557"/>
      <c r="C1692" s="607"/>
      <c r="D1692" s="700"/>
      <c r="E1692" s="612"/>
      <c r="F1692" s="612"/>
      <c r="G1692" s="586"/>
      <c r="H1692" s="709"/>
      <c r="I1692" s="546"/>
      <c r="J1692" s="558"/>
      <c r="K1692" s="563" t="str">
        <f>IF(G1692&lt;&gt;0,VLOOKUP(G1692,'gia dat'!$A$1:$F$144,5,0)," ")</f>
        <v xml:space="preserve"> </v>
      </c>
      <c r="L1692" s="563" t="str">
        <f>IF(G1692&lt;&gt;0,VLOOKUP(G1692,'gia dat'!$A$1:$F$144,6,0)," ")</f>
        <v xml:space="preserve"> </v>
      </c>
      <c r="M1692" s="564" t="str">
        <f t="shared" si="374"/>
        <v xml:space="preserve"> </v>
      </c>
      <c r="N1692" s="564" t="str">
        <f t="shared" si="375"/>
        <v xml:space="preserve"> </v>
      </c>
      <c r="O1692" s="572"/>
      <c r="P1692" s="740"/>
      <c r="Q1692" s="564"/>
      <c r="R1692" s="564"/>
      <c r="S1692" s="572"/>
      <c r="T1692" s="609"/>
      <c r="U1692" s="741"/>
      <c r="V1692" s="586"/>
      <c r="W1692" s="564"/>
      <c r="X1692" s="564"/>
      <c r="Y1692" s="650"/>
      <c r="Z1692" s="586"/>
      <c r="AA1692" s="742"/>
      <c r="AB1692" s="586"/>
      <c r="AC1692" s="586"/>
      <c r="AD1692" s="586"/>
      <c r="AE1692" s="586"/>
      <c r="AF1692" s="714"/>
      <c r="AG1692" s="570"/>
      <c r="AH1692" s="570"/>
      <c r="AI1692" s="571" t="str">
        <f t="shared" si="370"/>
        <v xml:space="preserve"> </v>
      </c>
      <c r="AJ1692" s="586"/>
      <c r="AK1692" s="586"/>
    </row>
    <row r="1693" spans="1:39" s="394" customFormat="1" ht="20.25" outlineLevel="1" x14ac:dyDescent="0.25">
      <c r="A1693" s="467" t="s">
        <v>2569</v>
      </c>
      <c r="B1693" s="576">
        <v>141</v>
      </c>
      <c r="C1693" s="607" t="s">
        <v>1191</v>
      </c>
      <c r="D1693" s="706"/>
      <c r="E1693" s="642"/>
      <c r="F1693" s="642"/>
      <c r="G1693" s="578"/>
      <c r="H1693" s="707">
        <f>SUBTOTAL(9,H1694:H1705)</f>
        <v>77.5</v>
      </c>
      <c r="I1693" s="579">
        <f>SUBTOTAL(9,I1694:I1699)</f>
        <v>0</v>
      </c>
      <c r="J1693" s="580"/>
      <c r="K1693" s="581"/>
      <c r="L1693" s="581"/>
      <c r="M1693" s="571">
        <f>SUBTOTAL(9,M1694:M1705)</f>
        <v>42966000</v>
      </c>
      <c r="N1693" s="571">
        <f>SUBTOTAL(9,N1694:N1705)</f>
        <v>0</v>
      </c>
      <c r="O1693" s="607"/>
      <c r="P1693" s="738">
        <f>SUBTOTAL(9,P1694:P1705)</f>
        <v>2</v>
      </c>
      <c r="Q1693" s="571"/>
      <c r="R1693" s="571">
        <f>SUBTOTAL(9,R1694:R1705)</f>
        <v>4240000</v>
      </c>
      <c r="S1693" s="582"/>
      <c r="T1693" s="621"/>
      <c r="U1693" s="739">
        <f>SUBTOTAL(9,U1694:U1705)</f>
        <v>158.82000000000002</v>
      </c>
      <c r="V1693" s="578"/>
      <c r="W1693" s="571"/>
      <c r="X1693" s="571">
        <f>SUBTOTAL(9,X1694:X1705)</f>
        <v>203989000</v>
      </c>
      <c r="Y1693" s="661"/>
      <c r="Z1693" s="683"/>
      <c r="AA1693" s="683"/>
      <c r="AB1693" s="694"/>
      <c r="AC1693" s="683"/>
      <c r="AD1693" s="683"/>
      <c r="AE1693" s="650"/>
      <c r="AF1693" s="599">
        <f>SUBTOTAL(9,AF1694:AF1705)</f>
        <v>0</v>
      </c>
      <c r="AG1693" s="585"/>
      <c r="AH1693" s="585">
        <f>SUBTOTAL(9,AH1694:AH1705)</f>
        <v>0</v>
      </c>
      <c r="AI1693" s="571">
        <f t="shared" si="370"/>
        <v>251195000</v>
      </c>
      <c r="AJ1693" s="578"/>
      <c r="AK1693" s="578"/>
      <c r="AM1693" s="468"/>
    </row>
    <row r="1694" spans="1:39" s="394" customFormat="1" ht="121.5" outlineLevel="2" x14ac:dyDescent="0.3">
      <c r="A1694" s="447">
        <f>IF(B1693&lt;&gt;0,B1693,A1692)</f>
        <v>141</v>
      </c>
      <c r="B1694" s="557"/>
      <c r="C1694" s="572" t="s">
        <v>1193</v>
      </c>
      <c r="D1694" s="700">
        <v>3</v>
      </c>
      <c r="E1694" s="612">
        <v>86</v>
      </c>
      <c r="F1694" s="612">
        <v>366</v>
      </c>
      <c r="G1694" s="586" t="s">
        <v>2419</v>
      </c>
      <c r="H1694" s="709">
        <v>77.5</v>
      </c>
      <c r="I1694" s="546" t="str">
        <f t="shared" ref="I1694" si="378">IF(N1694&gt;0,H1694,"")</f>
        <v/>
      </c>
      <c r="J1694" s="562"/>
      <c r="K1694" s="563">
        <f>IF(G1694&lt;&gt;0,VLOOKUP(G1694,'gia dat'!$A$1:$F$144,5,0)," ")</f>
        <v>554400</v>
      </c>
      <c r="L1694" s="563">
        <f>IF(G1694&lt;&gt;0,VLOOKUP(G1694,'gia dat'!$A$1:$F$144,6,0)," ")</f>
        <v>0</v>
      </c>
      <c r="M1694" s="564">
        <f t="shared" si="374"/>
        <v>42966000</v>
      </c>
      <c r="N1694" s="564">
        <f t="shared" si="375"/>
        <v>0</v>
      </c>
      <c r="O1694" s="572" t="s">
        <v>145</v>
      </c>
      <c r="P1694" s="740">
        <v>1</v>
      </c>
      <c r="Q1694" s="564">
        <f>IF(O1694&lt;&gt;0,VLOOKUP(O1694,'Cây trong'!$A$2:$C$246,3,0)," ")</f>
        <v>4240000</v>
      </c>
      <c r="R1694" s="564">
        <f t="shared" si="363"/>
        <v>4240000</v>
      </c>
      <c r="S1694" s="566" t="s">
        <v>2369</v>
      </c>
      <c r="T1694" s="609" t="s">
        <v>1133</v>
      </c>
      <c r="U1694" s="741">
        <v>29.8</v>
      </c>
      <c r="V1694" s="586"/>
      <c r="W1694" s="564">
        <f>IF(S1694&lt;&gt;0,VLOOKUP(S1694,VKT!$A$2:$G$415,7,0),"")</f>
        <v>4717925</v>
      </c>
      <c r="X1694" s="564">
        <f t="shared" si="373"/>
        <v>140594000</v>
      </c>
      <c r="Y1694" s="661" t="s">
        <v>1138</v>
      </c>
      <c r="Z1694" s="683" t="s">
        <v>1139</v>
      </c>
      <c r="AA1694" s="683" t="s">
        <v>56</v>
      </c>
      <c r="AB1694" s="694" t="s">
        <v>269</v>
      </c>
      <c r="AC1694" s="683" t="s">
        <v>1138</v>
      </c>
      <c r="AD1694" s="683"/>
      <c r="AE1694" s="683"/>
      <c r="AF1694" s="590"/>
      <c r="AG1694" s="570" t="str">
        <f>IF(AE1694&lt;&gt;0,VLOOKUP(AE1694,ODDS!$A$2:$C$13,3,0),"")</f>
        <v/>
      </c>
      <c r="AH1694" s="570"/>
      <c r="AI1694" s="571" t="str">
        <f t="shared" si="370"/>
        <v xml:space="preserve"> </v>
      </c>
      <c r="AJ1694" s="586" t="s">
        <v>1192</v>
      </c>
      <c r="AK1694" s="586" t="s">
        <v>2771</v>
      </c>
      <c r="AM1694" s="380" t="s">
        <v>1923</v>
      </c>
    </row>
    <row r="1695" spans="1:39" s="394" customFormat="1" ht="121.5" outlineLevel="2" x14ac:dyDescent="0.3">
      <c r="A1695" s="447">
        <f t="shared" ref="A1695:A1705" si="379">IF(B1694&lt;&gt;0,B1694,A1694)</f>
        <v>141</v>
      </c>
      <c r="B1695" s="557"/>
      <c r="C1695" s="607" t="s">
        <v>1196</v>
      </c>
      <c r="D1695" s="700"/>
      <c r="E1695" s="744"/>
      <c r="F1695" s="744"/>
      <c r="G1695" s="731"/>
      <c r="H1695" s="745"/>
      <c r="I1695" s="546"/>
      <c r="J1695" s="562"/>
      <c r="K1695" s="563" t="str">
        <f>IF(G1695&lt;&gt;0,VLOOKUP(G1695,'gia dat'!$A$1:$F$144,5,0)," ")</f>
        <v xml:space="preserve"> </v>
      </c>
      <c r="L1695" s="563" t="str">
        <f>IF(G1695&lt;&gt;0,VLOOKUP(G1695,'gia dat'!$A$1:$F$144,6,0)," ")</f>
        <v xml:space="preserve"> </v>
      </c>
      <c r="M1695" s="564" t="str">
        <f t="shared" si="374"/>
        <v xml:space="preserve"> </v>
      </c>
      <c r="N1695" s="564" t="str">
        <f t="shared" si="375"/>
        <v xml:space="preserve"> </v>
      </c>
      <c r="O1695" s="572" t="s">
        <v>1194</v>
      </c>
      <c r="P1695" s="740">
        <v>1</v>
      </c>
      <c r="Q1695" s="564">
        <f>IF(O1695&lt;&gt;0,VLOOKUP(O1695,'Cây trong'!$A$2:$C$246,3,0)," ")</f>
        <v>0</v>
      </c>
      <c r="R1695" s="564">
        <f t="shared" si="363"/>
        <v>0</v>
      </c>
      <c r="S1695" s="566" t="s">
        <v>2370</v>
      </c>
      <c r="T1695" s="609" t="s">
        <v>1133</v>
      </c>
      <c r="U1695" s="741">
        <v>3.6</v>
      </c>
      <c r="V1695" s="586"/>
      <c r="W1695" s="564">
        <f>IF(S1695&lt;&gt;0,VLOOKUP(S1695,VKT!$A$2:$G$415,7,0),"")</f>
        <v>8308812</v>
      </c>
      <c r="X1695" s="564">
        <f t="shared" si="373"/>
        <v>29912000</v>
      </c>
      <c r="Y1695" s="650"/>
      <c r="Z1695" s="586"/>
      <c r="AA1695" s="742"/>
      <c r="AB1695" s="586"/>
      <c r="AC1695" s="586"/>
      <c r="AD1695" s="586"/>
      <c r="AE1695" s="586"/>
      <c r="AF1695" s="714"/>
      <c r="AG1695" s="570" t="str">
        <f>IF(AE1695&lt;&gt;0,VLOOKUP(AE1695,ODDS!$A$2:$C$13,3,0),"")</f>
        <v/>
      </c>
      <c r="AH1695" s="570" t="str">
        <f t="shared" si="364"/>
        <v xml:space="preserve"> </v>
      </c>
      <c r="AI1695" s="571" t="str">
        <f t="shared" si="370"/>
        <v xml:space="preserve"> </v>
      </c>
      <c r="AJ1695" s="586" t="s">
        <v>1195</v>
      </c>
      <c r="AK1695" s="558" t="s">
        <v>2450</v>
      </c>
    </row>
    <row r="1696" spans="1:39" s="394" customFormat="1" ht="101.25" outlineLevel="2" x14ac:dyDescent="0.3">
      <c r="A1696" s="447">
        <f t="shared" si="379"/>
        <v>141</v>
      </c>
      <c r="B1696" s="557"/>
      <c r="C1696" s="572" t="s">
        <v>1198</v>
      </c>
      <c r="D1696" s="700"/>
      <c r="E1696" s="612"/>
      <c r="F1696" s="612"/>
      <c r="G1696" s="586"/>
      <c r="H1696" s="709"/>
      <c r="I1696" s="546"/>
      <c r="J1696" s="562"/>
      <c r="K1696" s="563" t="str">
        <f>IF(G1696&lt;&gt;0,VLOOKUP(G1696,'gia dat'!$A$1:$F$144,5,0)," ")</f>
        <v xml:space="preserve"> </v>
      </c>
      <c r="L1696" s="563" t="str">
        <f>IF(G1696&lt;&gt;0,VLOOKUP(G1696,'gia dat'!$A$1:$F$144,6,0)," ")</f>
        <v xml:space="preserve"> </v>
      </c>
      <c r="M1696" s="564" t="str">
        <f t="shared" si="374"/>
        <v xml:space="preserve"> </v>
      </c>
      <c r="N1696" s="564" t="str">
        <f t="shared" si="375"/>
        <v xml:space="preserve"> </v>
      </c>
      <c r="O1696" s="572"/>
      <c r="P1696" s="740"/>
      <c r="Q1696" s="564" t="str">
        <f>IF(O1696&lt;&gt;0,VLOOKUP(O1696,'Cây trong'!$A$2:$C$246,3,0)," ")</f>
        <v xml:space="preserve"> </v>
      </c>
      <c r="R1696" s="564" t="str">
        <f t="shared" si="363"/>
        <v xml:space="preserve"> </v>
      </c>
      <c r="S1696" s="572" t="s">
        <v>1992</v>
      </c>
      <c r="T1696" s="609" t="s">
        <v>1133</v>
      </c>
      <c r="U1696" s="741">
        <v>9.4</v>
      </c>
      <c r="V1696" s="586"/>
      <c r="W1696" s="564">
        <f>IF(S1696&lt;&gt;0,VLOOKUP(S1696,VKT!$A$2:$G$415,7,0),"")</f>
        <v>984277</v>
      </c>
      <c r="X1696" s="564">
        <f t="shared" si="373"/>
        <v>9252000</v>
      </c>
      <c r="Y1696" s="650"/>
      <c r="Z1696" s="586"/>
      <c r="AA1696" s="742"/>
      <c r="AB1696" s="586"/>
      <c r="AC1696" s="586"/>
      <c r="AD1696" s="586"/>
      <c r="AE1696" s="586"/>
      <c r="AF1696" s="714"/>
      <c r="AG1696" s="570" t="str">
        <f>IF(AE1696&lt;&gt;0,VLOOKUP(AE1696,ODDS!$A$2:$C$13,3,0),"")</f>
        <v/>
      </c>
      <c r="AH1696" s="570" t="str">
        <f t="shared" si="364"/>
        <v xml:space="preserve"> </v>
      </c>
      <c r="AI1696" s="571" t="str">
        <f t="shared" si="370"/>
        <v xml:space="preserve"> </v>
      </c>
      <c r="AJ1696" s="586" t="s">
        <v>1197</v>
      </c>
      <c r="AK1696" s="558" t="s">
        <v>2449</v>
      </c>
    </row>
    <row r="1697" spans="1:37" s="394" customFormat="1" ht="101.25" outlineLevel="2" x14ac:dyDescent="0.3">
      <c r="A1697" s="447">
        <f t="shared" si="379"/>
        <v>141</v>
      </c>
      <c r="B1697" s="557"/>
      <c r="C1697" s="572" t="s">
        <v>1602</v>
      </c>
      <c r="D1697" s="700"/>
      <c r="E1697" s="612"/>
      <c r="F1697" s="612"/>
      <c r="G1697" s="586"/>
      <c r="H1697" s="709"/>
      <c r="I1697" s="546"/>
      <c r="J1697" s="562"/>
      <c r="K1697" s="563" t="str">
        <f>IF(G1697&lt;&gt;0,VLOOKUP(G1697,'gia dat'!$A$1:$F$144,5,0)," ")</f>
        <v xml:space="preserve"> </v>
      </c>
      <c r="L1697" s="563" t="str">
        <f>IF(G1697&lt;&gt;0,VLOOKUP(G1697,'gia dat'!$A$1:$F$144,6,0)," ")</f>
        <v xml:space="preserve"> </v>
      </c>
      <c r="M1697" s="564" t="str">
        <f t="shared" si="374"/>
        <v xml:space="preserve"> </v>
      </c>
      <c r="N1697" s="564" t="str">
        <f t="shared" si="375"/>
        <v xml:space="preserve"> </v>
      </c>
      <c r="O1697" s="572"/>
      <c r="P1697" s="740"/>
      <c r="Q1697" s="564" t="str">
        <f>IF(O1697&lt;&gt;0,VLOOKUP(O1697,'Cây trong'!$A$2:$C$246,3,0)," ")</f>
        <v xml:space="preserve"> </v>
      </c>
      <c r="R1697" s="564" t="str">
        <f t="shared" si="363"/>
        <v xml:space="preserve"> </v>
      </c>
      <c r="S1697" s="566" t="s">
        <v>2371</v>
      </c>
      <c r="T1697" s="609" t="s">
        <v>1133</v>
      </c>
      <c r="U1697" s="741">
        <v>33.5</v>
      </c>
      <c r="V1697" s="586"/>
      <c r="W1697" s="564">
        <f>IF(S1697&lt;&gt;0,VLOOKUP(S1697,VKT!$A$2:$G$415,7,0),"")</f>
        <v>684506</v>
      </c>
      <c r="X1697" s="564">
        <f t="shared" si="373"/>
        <v>22931000</v>
      </c>
      <c r="Y1697" s="650"/>
      <c r="Z1697" s="586"/>
      <c r="AA1697" s="742"/>
      <c r="AB1697" s="586"/>
      <c r="AC1697" s="586"/>
      <c r="AD1697" s="586"/>
      <c r="AE1697" s="586"/>
      <c r="AF1697" s="714"/>
      <c r="AG1697" s="570" t="str">
        <f>IF(AE1697&lt;&gt;0,VLOOKUP(AE1697,ODDS!$A$2:$C$13,3,0),"")</f>
        <v/>
      </c>
      <c r="AH1697" s="570" t="str">
        <f t="shared" si="364"/>
        <v xml:space="preserve"> </v>
      </c>
      <c r="AI1697" s="571" t="str">
        <f t="shared" si="370"/>
        <v xml:space="preserve"> </v>
      </c>
      <c r="AJ1697" s="586" t="s">
        <v>111</v>
      </c>
      <c r="AK1697" s="586" t="s">
        <v>2800</v>
      </c>
    </row>
    <row r="1698" spans="1:37" s="394" customFormat="1" ht="81" outlineLevel="2" x14ac:dyDescent="0.3">
      <c r="A1698" s="447">
        <f t="shared" si="379"/>
        <v>141</v>
      </c>
      <c r="B1698" s="557"/>
      <c r="C1698" s="572"/>
      <c r="D1698" s="700"/>
      <c r="E1698" s="612"/>
      <c r="F1698" s="612"/>
      <c r="G1698" s="586"/>
      <c r="H1698" s="709"/>
      <c r="I1698" s="546"/>
      <c r="J1698" s="562"/>
      <c r="K1698" s="563" t="str">
        <f>IF(G1698&lt;&gt;0,VLOOKUP(G1698,'gia dat'!$A$1:$F$144,5,0)," ")</f>
        <v xml:space="preserve"> </v>
      </c>
      <c r="L1698" s="563" t="str">
        <f>IF(G1698&lt;&gt;0,VLOOKUP(G1698,'gia dat'!$A$1:$F$144,6,0)," ")</f>
        <v xml:space="preserve"> </v>
      </c>
      <c r="M1698" s="564" t="str">
        <f t="shared" si="374"/>
        <v xml:space="preserve"> </v>
      </c>
      <c r="N1698" s="564" t="str">
        <f t="shared" si="375"/>
        <v xml:space="preserve"> </v>
      </c>
      <c r="O1698" s="572"/>
      <c r="P1698" s="740"/>
      <c r="Q1698" s="564" t="str">
        <f>IF(O1698&lt;&gt;0,VLOOKUP(O1698,'Cây trong'!$A$2:$C$246,3,0)," ")</f>
        <v xml:space="preserve"> </v>
      </c>
      <c r="R1698" s="564" t="str">
        <f t="shared" si="363"/>
        <v xml:space="preserve"> </v>
      </c>
      <c r="S1698" s="566" t="s">
        <v>1978</v>
      </c>
      <c r="T1698" s="609" t="s">
        <v>1133</v>
      </c>
      <c r="U1698" s="741">
        <v>5.5</v>
      </c>
      <c r="V1698" s="586"/>
      <c r="W1698" s="564">
        <f>IF(S1698&lt;&gt;0,VLOOKUP(S1698,VKT!$A$2:$G$415,7,0),"")</f>
        <v>236298</v>
      </c>
      <c r="X1698" s="564">
        <f t="shared" si="373"/>
        <v>1300000</v>
      </c>
      <c r="Y1698" s="650"/>
      <c r="Z1698" s="586"/>
      <c r="AA1698" s="742"/>
      <c r="AB1698" s="586"/>
      <c r="AC1698" s="586"/>
      <c r="AD1698" s="586"/>
      <c r="AE1698" s="586"/>
      <c r="AF1698" s="714"/>
      <c r="AG1698" s="570" t="str">
        <f>IF(AE1698&lt;&gt;0,VLOOKUP(AE1698,ODDS!$A$2:$C$13,3,0),"")</f>
        <v/>
      </c>
      <c r="AH1698" s="570" t="str">
        <f t="shared" si="364"/>
        <v xml:space="preserve"> </v>
      </c>
      <c r="AI1698" s="571" t="str">
        <f t="shared" si="370"/>
        <v xml:space="preserve"> </v>
      </c>
      <c r="AJ1698" s="731" t="s">
        <v>1199</v>
      </c>
      <c r="AK1698" s="586"/>
    </row>
    <row r="1699" spans="1:37" s="394" customFormat="1" ht="60.75" outlineLevel="2" x14ac:dyDescent="0.3">
      <c r="A1699" s="447">
        <f t="shared" si="379"/>
        <v>141</v>
      </c>
      <c r="B1699" s="557"/>
      <c r="C1699" s="572"/>
      <c r="D1699" s="700"/>
      <c r="E1699" s="612"/>
      <c r="F1699" s="612"/>
      <c r="G1699" s="586"/>
      <c r="H1699" s="709"/>
      <c r="I1699" s="546"/>
      <c r="J1699" s="562"/>
      <c r="K1699" s="563" t="str">
        <f>IF(G1699&lt;&gt;0,VLOOKUP(G1699,'gia dat'!$A$1:$F$144,5,0)," ")</f>
        <v xml:space="preserve"> </v>
      </c>
      <c r="L1699" s="563" t="str">
        <f>IF(G1699&lt;&gt;0,VLOOKUP(G1699,'gia dat'!$A$1:$F$144,6,0)," ")</f>
        <v xml:space="preserve"> </v>
      </c>
      <c r="M1699" s="564" t="str">
        <f t="shared" si="374"/>
        <v xml:space="preserve"> </v>
      </c>
      <c r="N1699" s="564" t="str">
        <f t="shared" si="375"/>
        <v xml:space="preserve"> </v>
      </c>
      <c r="O1699" s="572"/>
      <c r="P1699" s="740"/>
      <c r="Q1699" s="564" t="str">
        <f>IF(O1699&lt;&gt;0,VLOOKUP(O1699,'Cây trong'!$A$2:$C$246,3,0)," ")</f>
        <v xml:space="preserve"> </v>
      </c>
      <c r="R1699" s="564" t="str">
        <f t="shared" si="363"/>
        <v xml:space="preserve"> </v>
      </c>
      <c r="S1699" s="566" t="s">
        <v>2372</v>
      </c>
      <c r="T1699" s="609" t="s">
        <v>1133</v>
      </c>
      <c r="U1699" s="741">
        <v>9.1999999999999993</v>
      </c>
      <c r="V1699" s="586"/>
      <c r="W1699" s="564">
        <f>IF(S1699&lt;&gt;0,VLOOKUP(S1699,VKT!$A$2:$G$415,7,0),"")</f>
        <v>0</v>
      </c>
      <c r="X1699" s="564">
        <f t="shared" si="373"/>
        <v>0</v>
      </c>
      <c r="Y1699" s="650"/>
      <c r="Z1699" s="586"/>
      <c r="AA1699" s="742"/>
      <c r="AB1699" s="586"/>
      <c r="AC1699" s="586"/>
      <c r="AD1699" s="586"/>
      <c r="AE1699" s="586"/>
      <c r="AF1699" s="714"/>
      <c r="AG1699" s="570" t="str">
        <f>IF(AE1699&lt;&gt;0,VLOOKUP(AE1699,ODDS!$A$2:$C$13,3,0),"")</f>
        <v/>
      </c>
      <c r="AH1699" s="570" t="str">
        <f t="shared" si="364"/>
        <v xml:space="preserve"> </v>
      </c>
      <c r="AI1699" s="571" t="str">
        <f t="shared" si="370"/>
        <v xml:space="preserve"> </v>
      </c>
      <c r="AJ1699" s="731"/>
      <c r="AK1699" s="586"/>
    </row>
    <row r="1700" spans="1:37" s="394" customFormat="1" ht="60.75" outlineLevel="2" x14ac:dyDescent="0.3">
      <c r="A1700" s="447">
        <f t="shared" si="379"/>
        <v>141</v>
      </c>
      <c r="B1700" s="557"/>
      <c r="C1700" s="572"/>
      <c r="D1700" s="700"/>
      <c r="E1700" s="612"/>
      <c r="F1700" s="612"/>
      <c r="G1700" s="586"/>
      <c r="H1700" s="709"/>
      <c r="I1700" s="546"/>
      <c r="J1700" s="562"/>
      <c r="K1700" s="563" t="str">
        <f>IF(G1700&lt;&gt;0,VLOOKUP(G1700,'gia dat'!$A$1:$F$144,5,0)," ")</f>
        <v xml:space="preserve"> </v>
      </c>
      <c r="L1700" s="563" t="str">
        <f>IF(G1700&lt;&gt;0,VLOOKUP(G1700,'gia dat'!$A$1:$F$144,6,0)," ")</f>
        <v xml:space="preserve"> </v>
      </c>
      <c r="M1700" s="564" t="str">
        <f t="shared" si="374"/>
        <v xml:space="preserve"> </v>
      </c>
      <c r="N1700" s="564" t="str">
        <f t="shared" si="375"/>
        <v xml:space="preserve"> </v>
      </c>
      <c r="O1700" s="572"/>
      <c r="P1700" s="740"/>
      <c r="Q1700" s="564" t="str">
        <f>IF(O1700&lt;&gt;0,VLOOKUP(O1700,'Cây trong'!$A$2:$C$246,3,0)," ")</f>
        <v xml:space="preserve"> </v>
      </c>
      <c r="R1700" s="564" t="str">
        <f t="shared" si="363"/>
        <v xml:space="preserve"> </v>
      </c>
      <c r="S1700" s="566" t="s">
        <v>2373</v>
      </c>
      <c r="T1700" s="609" t="s">
        <v>1133</v>
      </c>
      <c r="U1700" s="741">
        <v>43.3</v>
      </c>
      <c r="V1700" s="586"/>
      <c r="W1700" s="564">
        <f>IF(S1700&lt;&gt;0,VLOOKUP(S1700,VKT!$A$2:$G$415,7,0),"")</f>
        <v>0</v>
      </c>
      <c r="X1700" s="564">
        <f t="shared" si="373"/>
        <v>0</v>
      </c>
      <c r="Y1700" s="650"/>
      <c r="Z1700" s="586"/>
      <c r="AA1700" s="742"/>
      <c r="AB1700" s="586"/>
      <c r="AC1700" s="586"/>
      <c r="AD1700" s="586"/>
      <c r="AE1700" s="586"/>
      <c r="AF1700" s="714"/>
      <c r="AG1700" s="570" t="str">
        <f>IF(AE1700&lt;&gt;0,VLOOKUP(AE1700,ODDS!$A$2:$C$13,3,0),"")</f>
        <v/>
      </c>
      <c r="AH1700" s="570" t="str">
        <f t="shared" si="364"/>
        <v xml:space="preserve"> </v>
      </c>
      <c r="AI1700" s="571" t="str">
        <f t="shared" si="370"/>
        <v xml:space="preserve"> </v>
      </c>
      <c r="AJ1700" s="586"/>
      <c r="AK1700" s="586"/>
    </row>
    <row r="1701" spans="1:37" s="394" customFormat="1" ht="81" outlineLevel="2" x14ac:dyDescent="0.3">
      <c r="A1701" s="447">
        <f t="shared" si="379"/>
        <v>141</v>
      </c>
      <c r="B1701" s="557"/>
      <c r="C1701" s="586"/>
      <c r="D1701" s="700"/>
      <c r="E1701" s="612"/>
      <c r="F1701" s="612"/>
      <c r="G1701" s="586"/>
      <c r="H1701" s="709"/>
      <c r="I1701" s="546"/>
      <c r="J1701" s="562"/>
      <c r="K1701" s="563" t="str">
        <f>IF(G1701&lt;&gt;0,VLOOKUP(G1701,'gia dat'!$A$1:$F$144,5,0)," ")</f>
        <v xml:space="preserve"> </v>
      </c>
      <c r="L1701" s="563" t="str">
        <f>IF(G1701&lt;&gt;0,VLOOKUP(G1701,'gia dat'!$A$1:$F$144,6,0)," ")</f>
        <v xml:space="preserve"> </v>
      </c>
      <c r="M1701" s="564" t="str">
        <f t="shared" si="374"/>
        <v xml:space="preserve"> </v>
      </c>
      <c r="N1701" s="564" t="str">
        <f t="shared" si="375"/>
        <v xml:space="preserve"> </v>
      </c>
      <c r="O1701" s="572"/>
      <c r="P1701" s="740"/>
      <c r="Q1701" s="564" t="str">
        <f>IF(O1701&lt;&gt;0,VLOOKUP(O1701,'Cây trong'!$A$2:$C$246,3,0)," ")</f>
        <v xml:space="preserve"> </v>
      </c>
      <c r="R1701" s="564" t="str">
        <f t="shared" si="363"/>
        <v xml:space="preserve"> </v>
      </c>
      <c r="S1701" s="566" t="s">
        <v>2374</v>
      </c>
      <c r="T1701" s="609" t="s">
        <v>1133</v>
      </c>
      <c r="U1701" s="741">
        <v>1.96</v>
      </c>
      <c r="V1701" s="586"/>
      <c r="W1701" s="564">
        <f>IF(S1701&lt;&gt;0,VLOOKUP(S1701,VKT!$A$2:$G$415,7,0),"")</f>
        <v>0</v>
      </c>
      <c r="X1701" s="564">
        <f t="shared" si="373"/>
        <v>0</v>
      </c>
      <c r="Y1701" s="650"/>
      <c r="Z1701" s="586"/>
      <c r="AA1701" s="742"/>
      <c r="AB1701" s="586"/>
      <c r="AC1701" s="586"/>
      <c r="AD1701" s="586"/>
      <c r="AE1701" s="586"/>
      <c r="AF1701" s="714"/>
      <c r="AG1701" s="570" t="str">
        <f>IF(AE1701&lt;&gt;0,VLOOKUP(AE1701,ODDS!$A$2:$C$13,3,0),"")</f>
        <v/>
      </c>
      <c r="AH1701" s="570" t="str">
        <f t="shared" si="364"/>
        <v xml:space="preserve"> </v>
      </c>
      <c r="AI1701" s="571" t="str">
        <f t="shared" si="370"/>
        <v xml:space="preserve"> </v>
      </c>
      <c r="AJ1701" s="586"/>
      <c r="AK1701" s="586"/>
    </row>
    <row r="1702" spans="1:37" s="394" customFormat="1" ht="60.75" outlineLevel="2" x14ac:dyDescent="0.3">
      <c r="A1702" s="447">
        <f t="shared" si="379"/>
        <v>141</v>
      </c>
      <c r="B1702" s="557"/>
      <c r="C1702" s="572"/>
      <c r="D1702" s="700"/>
      <c r="E1702" s="612"/>
      <c r="F1702" s="612"/>
      <c r="G1702" s="586"/>
      <c r="H1702" s="709"/>
      <c r="I1702" s="546"/>
      <c r="J1702" s="562"/>
      <c r="K1702" s="563" t="str">
        <f>IF(G1702&lt;&gt;0,VLOOKUP(G1702,'gia dat'!$A$1:$F$144,5,0)," ")</f>
        <v xml:space="preserve"> </v>
      </c>
      <c r="L1702" s="563" t="str">
        <f>IF(G1702&lt;&gt;0,VLOOKUP(G1702,'gia dat'!$A$1:$F$144,6,0)," ")</f>
        <v xml:space="preserve"> </v>
      </c>
      <c r="M1702" s="564" t="str">
        <f t="shared" si="374"/>
        <v xml:space="preserve"> </v>
      </c>
      <c r="N1702" s="564" t="str">
        <f t="shared" si="375"/>
        <v xml:space="preserve"> </v>
      </c>
      <c r="O1702" s="572"/>
      <c r="P1702" s="740"/>
      <c r="Q1702" s="564" t="str">
        <f>IF(O1702&lt;&gt;0,VLOOKUP(O1702,'Cây trong'!$A$2:$C$246,3,0)," ")</f>
        <v xml:space="preserve"> </v>
      </c>
      <c r="R1702" s="564" t="str">
        <f t="shared" si="363"/>
        <v xml:space="preserve"> </v>
      </c>
      <c r="S1702" s="566" t="s">
        <v>2010</v>
      </c>
      <c r="T1702" s="609" t="s">
        <v>1133</v>
      </c>
      <c r="U1702" s="741">
        <v>22.56</v>
      </c>
      <c r="V1702" s="586"/>
      <c r="W1702" s="564">
        <f>IF(S1702&lt;&gt;0,VLOOKUP(S1702,VKT!$A$2:$G$415,7,0),"")</f>
        <v>0</v>
      </c>
      <c r="X1702" s="564">
        <f t="shared" si="373"/>
        <v>0</v>
      </c>
      <c r="Y1702" s="650"/>
      <c r="Z1702" s="586"/>
      <c r="AA1702" s="742"/>
      <c r="AB1702" s="586"/>
      <c r="AC1702" s="586"/>
      <c r="AD1702" s="586"/>
      <c r="AE1702" s="586"/>
      <c r="AF1702" s="714"/>
      <c r="AG1702" s="570" t="str">
        <f>IF(AE1702&lt;&gt;0,VLOOKUP(AE1702,ODDS!$A$2:$C$13,3,0),"")</f>
        <v/>
      </c>
      <c r="AH1702" s="570" t="str">
        <f t="shared" si="364"/>
        <v xml:space="preserve"> </v>
      </c>
      <c r="AI1702" s="571" t="str">
        <f t="shared" si="370"/>
        <v xml:space="preserve"> </v>
      </c>
      <c r="AJ1702" s="572"/>
      <c r="AK1702" s="572"/>
    </row>
    <row r="1703" spans="1:37" s="394" customFormat="1" ht="20.25" outlineLevel="2" x14ac:dyDescent="0.3">
      <c r="A1703" s="447">
        <f t="shared" si="379"/>
        <v>141</v>
      </c>
      <c r="B1703" s="557"/>
      <c r="C1703" s="572"/>
      <c r="D1703" s="700"/>
      <c r="E1703" s="612"/>
      <c r="F1703" s="612"/>
      <c r="G1703" s="586"/>
      <c r="H1703" s="709"/>
      <c r="I1703" s="546"/>
      <c r="J1703" s="562"/>
      <c r="K1703" s="563" t="str">
        <f>IF(G1703&lt;&gt;0,VLOOKUP(G1703,'gia dat'!$A$1:$F$144,5,0)," ")</f>
        <v xml:space="preserve"> </v>
      </c>
      <c r="L1703" s="563" t="str">
        <f>IF(G1703&lt;&gt;0,VLOOKUP(G1703,'gia dat'!$A$1:$F$144,6,0)," ")</f>
        <v xml:space="preserve"> </v>
      </c>
      <c r="M1703" s="564" t="str">
        <f t="shared" si="374"/>
        <v xml:space="preserve"> </v>
      </c>
      <c r="N1703" s="564" t="str">
        <f t="shared" si="375"/>
        <v xml:space="preserve"> </v>
      </c>
      <c r="O1703" s="572"/>
      <c r="P1703" s="740"/>
      <c r="Q1703" s="564" t="str">
        <f>IF(O1703&lt;&gt;0,VLOOKUP(O1703,'Cây trong'!$A$2:$C$246,3,0)," ")</f>
        <v xml:space="preserve"> </v>
      </c>
      <c r="R1703" s="564" t="str">
        <f t="shared" si="363"/>
        <v xml:space="preserve"> </v>
      </c>
      <c r="S1703" s="566"/>
      <c r="T1703" s="609"/>
      <c r="U1703" s="741"/>
      <c r="V1703" s="586"/>
      <c r="W1703" s="564" t="str">
        <f>IF(S1703&lt;&gt;0,VLOOKUP(S1703,VKT!$A$2:$G$415,7,0),"")</f>
        <v/>
      </c>
      <c r="X1703" s="564" t="str">
        <f t="shared" si="373"/>
        <v xml:space="preserve"> </v>
      </c>
      <c r="Y1703" s="650"/>
      <c r="Z1703" s="586"/>
      <c r="AA1703" s="742"/>
      <c r="AB1703" s="586"/>
      <c r="AC1703" s="586"/>
      <c r="AD1703" s="586"/>
      <c r="AE1703" s="586"/>
      <c r="AF1703" s="714"/>
      <c r="AG1703" s="570" t="str">
        <f>IF(AE1703&lt;&gt;0,VLOOKUP(AE1703,ODDS!$A$2:$C$13,3,0),"")</f>
        <v/>
      </c>
      <c r="AH1703" s="570" t="str">
        <f t="shared" si="364"/>
        <v xml:space="preserve"> </v>
      </c>
      <c r="AI1703" s="571" t="str">
        <f t="shared" si="370"/>
        <v xml:space="preserve"> </v>
      </c>
      <c r="AJ1703" s="558"/>
      <c r="AK1703" s="558"/>
    </row>
    <row r="1704" spans="1:37" s="394" customFormat="1" ht="20.25" outlineLevel="2" x14ac:dyDescent="0.3">
      <c r="A1704" s="447">
        <f t="shared" si="379"/>
        <v>141</v>
      </c>
      <c r="B1704" s="557"/>
      <c r="C1704" s="572"/>
      <c r="D1704" s="700"/>
      <c r="E1704" s="612"/>
      <c r="F1704" s="612"/>
      <c r="G1704" s="586"/>
      <c r="H1704" s="709"/>
      <c r="I1704" s="546"/>
      <c r="J1704" s="562"/>
      <c r="K1704" s="563" t="str">
        <f>IF(G1704&lt;&gt;0,VLOOKUP(G1704,'gia dat'!$A$1:$F$144,5,0)," ")</f>
        <v xml:space="preserve"> </v>
      </c>
      <c r="L1704" s="563" t="str">
        <f>IF(G1704&lt;&gt;0,VLOOKUP(G1704,'gia dat'!$A$1:$F$144,6,0)," ")</f>
        <v xml:space="preserve"> </v>
      </c>
      <c r="M1704" s="564" t="str">
        <f t="shared" si="374"/>
        <v xml:space="preserve"> </v>
      </c>
      <c r="N1704" s="564" t="str">
        <f t="shared" si="375"/>
        <v xml:space="preserve"> </v>
      </c>
      <c r="O1704" s="572"/>
      <c r="P1704" s="740"/>
      <c r="Q1704" s="564" t="str">
        <f>IF(O1704&lt;&gt;0,VLOOKUP(O1704,'Cây trong'!$A$2:$C$246,3,0)," ")</f>
        <v xml:space="preserve"> </v>
      </c>
      <c r="R1704" s="564" t="str">
        <f t="shared" si="363"/>
        <v xml:space="preserve"> </v>
      </c>
      <c r="S1704" s="566"/>
      <c r="T1704" s="609"/>
      <c r="U1704" s="741"/>
      <c r="V1704" s="586"/>
      <c r="W1704" s="564" t="str">
        <f>IF(S1704&lt;&gt;0,VLOOKUP(S1704,VKT!$A$2:$G$415,7,0),"")</f>
        <v/>
      </c>
      <c r="X1704" s="564" t="str">
        <f t="shared" si="373"/>
        <v xml:space="preserve"> </v>
      </c>
      <c r="Y1704" s="650"/>
      <c r="Z1704" s="586"/>
      <c r="AA1704" s="742"/>
      <c r="AB1704" s="586"/>
      <c r="AC1704" s="586"/>
      <c r="AD1704" s="586"/>
      <c r="AE1704" s="586"/>
      <c r="AF1704" s="714"/>
      <c r="AG1704" s="570" t="str">
        <f>IF(AE1704&lt;&gt;0,VLOOKUP(AE1704,ODDS!$A$2:$C$13,3,0),"")</f>
        <v/>
      </c>
      <c r="AH1704" s="570" t="str">
        <f t="shared" si="364"/>
        <v xml:space="preserve"> </v>
      </c>
      <c r="AI1704" s="571" t="str">
        <f t="shared" si="370"/>
        <v xml:space="preserve"> </v>
      </c>
      <c r="AJ1704" s="586"/>
      <c r="AK1704" s="586"/>
    </row>
    <row r="1705" spans="1:37" s="394" customFormat="1" ht="20.25" outlineLevel="2" x14ac:dyDescent="0.3">
      <c r="A1705" s="447">
        <f t="shared" si="379"/>
        <v>141</v>
      </c>
      <c r="B1705" s="557"/>
      <c r="C1705" s="607"/>
      <c r="D1705" s="700"/>
      <c r="E1705" s="612"/>
      <c r="F1705" s="612"/>
      <c r="G1705" s="586"/>
      <c r="H1705" s="709"/>
      <c r="I1705" s="546"/>
      <c r="J1705" s="562"/>
      <c r="K1705" s="563" t="str">
        <f>IF(G1705&lt;&gt;0,VLOOKUP(G1705,'gia dat'!$A$1:$F$144,5,0)," ")</f>
        <v xml:space="preserve"> </v>
      </c>
      <c r="L1705" s="563" t="str">
        <f>IF(G1705&lt;&gt;0,VLOOKUP(G1705,'gia dat'!$A$1:$F$144,6,0)," ")</f>
        <v xml:space="preserve"> </v>
      </c>
      <c r="M1705" s="564" t="str">
        <f t="shared" si="374"/>
        <v xml:space="preserve"> </v>
      </c>
      <c r="N1705" s="564" t="str">
        <f t="shared" si="375"/>
        <v xml:space="preserve"> </v>
      </c>
      <c r="O1705" s="572"/>
      <c r="P1705" s="740"/>
      <c r="Q1705" s="564" t="str">
        <f>IF(O1705&lt;&gt;0,VLOOKUP(O1705,'Cây trong'!$A$2:$C$246,3,0)," ")</f>
        <v xml:space="preserve"> </v>
      </c>
      <c r="R1705" s="564" t="str">
        <f t="shared" si="363"/>
        <v xml:space="preserve"> </v>
      </c>
      <c r="S1705" s="566"/>
      <c r="T1705" s="609"/>
      <c r="U1705" s="741"/>
      <c r="V1705" s="586"/>
      <c r="W1705" s="564" t="str">
        <f>IF(S1705&lt;&gt;0,VLOOKUP(S1705,VKT!$A$2:$G$415,7,0),"")</f>
        <v/>
      </c>
      <c r="X1705" s="564" t="str">
        <f t="shared" si="373"/>
        <v xml:space="preserve"> </v>
      </c>
      <c r="Y1705" s="650"/>
      <c r="Z1705" s="586"/>
      <c r="AA1705" s="742"/>
      <c r="AB1705" s="586"/>
      <c r="AC1705" s="586"/>
      <c r="AD1705" s="586"/>
      <c r="AE1705" s="586"/>
      <c r="AF1705" s="714"/>
      <c r="AG1705" s="570" t="str">
        <f>IF(AE1705&lt;&gt;0,VLOOKUP(AE1705,ODDS!$A$2:$C$13,3,0),"")</f>
        <v/>
      </c>
      <c r="AH1705" s="570" t="str">
        <f t="shared" si="364"/>
        <v xml:space="preserve"> </v>
      </c>
      <c r="AI1705" s="571" t="str">
        <f t="shared" si="370"/>
        <v xml:space="preserve"> </v>
      </c>
      <c r="AJ1705" s="586"/>
      <c r="AK1705" s="586"/>
    </row>
    <row r="1706" spans="1:37" s="394" customFormat="1" ht="40.5" outlineLevel="1" x14ac:dyDescent="0.25">
      <c r="A1706" s="467" t="s">
        <v>2568</v>
      </c>
      <c r="B1706" s="576">
        <v>142</v>
      </c>
      <c r="C1706" s="607" t="s">
        <v>1448</v>
      </c>
      <c r="D1706" s="706"/>
      <c r="E1706" s="642"/>
      <c r="F1706" s="642"/>
      <c r="G1706" s="578"/>
      <c r="H1706" s="707">
        <f>SUBTOTAL(9,H1707:H1710)</f>
        <v>23.8</v>
      </c>
      <c r="I1706" s="579">
        <f>SUBTOTAL(9,I1707:I1712)</f>
        <v>115.6</v>
      </c>
      <c r="J1706" s="580"/>
      <c r="K1706" s="581"/>
      <c r="L1706" s="581"/>
      <c r="M1706" s="571">
        <f>SUBTOTAL(9,M1707:M1710)</f>
        <v>13195000</v>
      </c>
      <c r="N1706" s="571">
        <f>SUBTOTAL(9,N1707:N1710)</f>
        <v>39584000</v>
      </c>
      <c r="O1706" s="607"/>
      <c r="P1706" s="738">
        <f>SUBTOTAL(9,P1707:P1710)</f>
        <v>0</v>
      </c>
      <c r="Q1706" s="571"/>
      <c r="R1706" s="571">
        <f>SUBTOTAL(9,R1707:R1710)</f>
        <v>0</v>
      </c>
      <c r="S1706" s="582"/>
      <c r="T1706" s="621"/>
      <c r="U1706" s="739">
        <f>SUBTOTAL(9,U1707:U1710)</f>
        <v>0</v>
      </c>
      <c r="V1706" s="578"/>
      <c r="W1706" s="571"/>
      <c r="X1706" s="571">
        <f>SUBTOTAL(9,X1707:X1710)</f>
        <v>0</v>
      </c>
      <c r="Y1706" s="650"/>
      <c r="Z1706" s="586"/>
      <c r="AA1706" s="742"/>
      <c r="AB1706" s="586"/>
      <c r="AC1706" s="586"/>
      <c r="AD1706" s="586"/>
      <c r="AE1706" s="578"/>
      <c r="AF1706" s="712">
        <f>SUBTOTAL(9,AF1707:AF1710)</f>
        <v>0</v>
      </c>
      <c r="AG1706" s="585"/>
      <c r="AH1706" s="585">
        <f>SUBTOTAL(9,AH1707:AH1710)</f>
        <v>0</v>
      </c>
      <c r="AI1706" s="571">
        <f t="shared" si="370"/>
        <v>52779000</v>
      </c>
      <c r="AJ1706" s="578"/>
      <c r="AK1706" s="578"/>
    </row>
    <row r="1707" spans="1:37" s="394" customFormat="1" ht="243" outlineLevel="2" x14ac:dyDescent="0.3">
      <c r="A1707" s="447">
        <f>IF(B1706&lt;&gt;0,B1706,A1705)</f>
        <v>142</v>
      </c>
      <c r="B1707" s="557"/>
      <c r="C1707" s="572" t="s">
        <v>1450</v>
      </c>
      <c r="D1707" s="700"/>
      <c r="E1707" s="612">
        <v>86</v>
      </c>
      <c r="F1707" s="612">
        <v>25</v>
      </c>
      <c r="G1707" s="586" t="s">
        <v>2421</v>
      </c>
      <c r="H1707" s="709">
        <v>23.8</v>
      </c>
      <c r="I1707" s="546">
        <f t="shared" ref="I1707" si="380">IF(N1707&gt;0,H1707,"")</f>
        <v>23.8</v>
      </c>
      <c r="J1707" s="562"/>
      <c r="K1707" s="563">
        <f>IF(G1707&lt;&gt;0,VLOOKUP(G1707,'gia dat'!$A$1:$F$144,5,0)," ")</f>
        <v>554400</v>
      </c>
      <c r="L1707" s="563">
        <f>IF(G1707&lt;&gt;0,VLOOKUP(G1707,'gia dat'!$A$1:$F$144,6,0)," ")</f>
        <v>1663200</v>
      </c>
      <c r="M1707" s="564">
        <f t="shared" si="374"/>
        <v>13195000</v>
      </c>
      <c r="N1707" s="564">
        <f t="shared" si="375"/>
        <v>39584000</v>
      </c>
      <c r="O1707" s="572"/>
      <c r="P1707" s="740"/>
      <c r="Q1707" s="564"/>
      <c r="R1707" s="564"/>
      <c r="S1707" s="566"/>
      <c r="T1707" s="609"/>
      <c r="U1707" s="741"/>
      <c r="V1707" s="586"/>
      <c r="W1707" s="564"/>
      <c r="X1707" s="564"/>
      <c r="Y1707" s="650"/>
      <c r="Z1707" s="586"/>
      <c r="AA1707" s="742"/>
      <c r="AB1707" s="586"/>
      <c r="AC1707" s="586"/>
      <c r="AD1707" s="586"/>
      <c r="AE1707" s="586"/>
      <c r="AF1707" s="714"/>
      <c r="AG1707" s="570"/>
      <c r="AH1707" s="570"/>
      <c r="AI1707" s="571" t="str">
        <f t="shared" si="370"/>
        <v xml:space="preserve"> </v>
      </c>
      <c r="AJ1707" s="586" t="s">
        <v>2464</v>
      </c>
      <c r="AK1707" s="586" t="s">
        <v>2771</v>
      </c>
    </row>
    <row r="1708" spans="1:37" s="394" customFormat="1" ht="101.25" outlineLevel="2" x14ac:dyDescent="0.3">
      <c r="A1708" s="447">
        <f>IF(B1707&lt;&gt;0,B1707,A1707)</f>
        <v>142</v>
      </c>
      <c r="B1708" s="557"/>
      <c r="C1708" s="572" t="s">
        <v>1634</v>
      </c>
      <c r="D1708" s="700"/>
      <c r="E1708" s="612"/>
      <c r="F1708" s="612"/>
      <c r="G1708" s="586"/>
      <c r="H1708" s="709"/>
      <c r="I1708" s="546"/>
      <c r="J1708" s="562"/>
      <c r="K1708" s="563" t="str">
        <f>IF(G1708&lt;&gt;0,VLOOKUP(G1708,'gia dat'!$A$1:$F$144,5,0)," ")</f>
        <v xml:space="preserve"> </v>
      </c>
      <c r="L1708" s="563" t="str">
        <f>IF(G1708&lt;&gt;0,VLOOKUP(G1708,'gia dat'!$A$1:$F$144,6,0)," ")</f>
        <v xml:space="preserve"> </v>
      </c>
      <c r="M1708" s="564" t="str">
        <f t="shared" si="374"/>
        <v xml:space="preserve"> </v>
      </c>
      <c r="N1708" s="564" t="str">
        <f t="shared" si="375"/>
        <v xml:space="preserve"> </v>
      </c>
      <c r="O1708" s="572"/>
      <c r="P1708" s="740"/>
      <c r="Q1708" s="564"/>
      <c r="R1708" s="564"/>
      <c r="S1708" s="566"/>
      <c r="T1708" s="609"/>
      <c r="U1708" s="741"/>
      <c r="V1708" s="586"/>
      <c r="W1708" s="564"/>
      <c r="X1708" s="564"/>
      <c r="Y1708" s="650"/>
      <c r="Z1708" s="586"/>
      <c r="AA1708" s="742"/>
      <c r="AB1708" s="586"/>
      <c r="AC1708" s="586"/>
      <c r="AD1708" s="586"/>
      <c r="AE1708" s="586"/>
      <c r="AF1708" s="714"/>
      <c r="AG1708" s="570"/>
      <c r="AH1708" s="570"/>
      <c r="AI1708" s="571" t="str">
        <f t="shared" si="370"/>
        <v xml:space="preserve"> </v>
      </c>
      <c r="AJ1708" s="586" t="s">
        <v>2074</v>
      </c>
      <c r="AK1708" s="558" t="s">
        <v>2448</v>
      </c>
    </row>
    <row r="1709" spans="1:37" s="394" customFormat="1" ht="20.25" outlineLevel="2" x14ac:dyDescent="0.3">
      <c r="A1709" s="447">
        <f>IF(B1708&lt;&gt;0,B1708,A1708)</f>
        <v>142</v>
      </c>
      <c r="B1709" s="557"/>
      <c r="C1709" s="572"/>
      <c r="D1709" s="700"/>
      <c r="E1709" s="612"/>
      <c r="F1709" s="612"/>
      <c r="G1709" s="586"/>
      <c r="H1709" s="709"/>
      <c r="I1709" s="546"/>
      <c r="J1709" s="562"/>
      <c r="K1709" s="563" t="str">
        <f>IF(G1709&lt;&gt;0,VLOOKUP(G1709,'gia dat'!$A$1:$F$144,5,0)," ")</f>
        <v xml:space="preserve"> </v>
      </c>
      <c r="L1709" s="563" t="str">
        <f>IF(G1709&lt;&gt;0,VLOOKUP(G1709,'gia dat'!$A$1:$F$144,6,0)," ")</f>
        <v xml:space="preserve"> </v>
      </c>
      <c r="M1709" s="564" t="str">
        <f t="shared" si="374"/>
        <v xml:space="preserve"> </v>
      </c>
      <c r="N1709" s="564" t="str">
        <f t="shared" si="375"/>
        <v xml:space="preserve"> </v>
      </c>
      <c r="O1709" s="572"/>
      <c r="P1709" s="740"/>
      <c r="Q1709" s="564"/>
      <c r="R1709" s="564"/>
      <c r="S1709" s="566"/>
      <c r="T1709" s="609"/>
      <c r="U1709" s="741"/>
      <c r="V1709" s="586"/>
      <c r="W1709" s="564"/>
      <c r="X1709" s="564"/>
      <c r="Y1709" s="650"/>
      <c r="Z1709" s="586"/>
      <c r="AA1709" s="742"/>
      <c r="AB1709" s="586"/>
      <c r="AC1709" s="586"/>
      <c r="AD1709" s="586"/>
      <c r="AE1709" s="586"/>
      <c r="AF1709" s="714"/>
      <c r="AG1709" s="570"/>
      <c r="AH1709" s="570"/>
      <c r="AI1709" s="571" t="str">
        <f t="shared" si="370"/>
        <v xml:space="preserve"> </v>
      </c>
      <c r="AJ1709" s="586"/>
      <c r="AK1709" s="586"/>
    </row>
    <row r="1710" spans="1:37" s="394" customFormat="1" ht="20.25" outlineLevel="2" x14ac:dyDescent="0.3">
      <c r="A1710" s="447">
        <f>IF(B1709&lt;&gt;0,B1709,A1709)</f>
        <v>142</v>
      </c>
      <c r="B1710" s="557"/>
      <c r="C1710" s="607"/>
      <c r="D1710" s="700"/>
      <c r="E1710" s="612"/>
      <c r="F1710" s="612"/>
      <c r="G1710" s="586"/>
      <c r="H1710" s="709"/>
      <c r="I1710" s="546"/>
      <c r="J1710" s="562"/>
      <c r="K1710" s="563" t="str">
        <f>IF(G1710&lt;&gt;0,VLOOKUP(G1710,'gia dat'!$A$1:$F$144,5,0)," ")</f>
        <v xml:space="preserve"> </v>
      </c>
      <c r="L1710" s="563" t="str">
        <f>IF(G1710&lt;&gt;0,VLOOKUP(G1710,'gia dat'!$A$1:$F$144,6,0)," ")</f>
        <v xml:space="preserve"> </v>
      </c>
      <c r="M1710" s="564" t="str">
        <f t="shared" si="374"/>
        <v xml:space="preserve"> </v>
      </c>
      <c r="N1710" s="564" t="str">
        <f t="shared" si="375"/>
        <v xml:space="preserve"> </v>
      </c>
      <c r="O1710" s="572"/>
      <c r="P1710" s="740"/>
      <c r="Q1710" s="564"/>
      <c r="R1710" s="564"/>
      <c r="S1710" s="566"/>
      <c r="T1710" s="609"/>
      <c r="U1710" s="741"/>
      <c r="V1710" s="586"/>
      <c r="W1710" s="564"/>
      <c r="X1710" s="564"/>
      <c r="Y1710" s="650"/>
      <c r="Z1710" s="586"/>
      <c r="AA1710" s="742"/>
      <c r="AB1710" s="586"/>
      <c r="AC1710" s="586"/>
      <c r="AD1710" s="586"/>
      <c r="AE1710" s="586"/>
      <c r="AF1710" s="714"/>
      <c r="AG1710" s="570"/>
      <c r="AH1710" s="570"/>
      <c r="AI1710" s="571" t="str">
        <f t="shared" si="370"/>
        <v xml:space="preserve"> </v>
      </c>
      <c r="AJ1710" s="586"/>
      <c r="AK1710" s="586"/>
    </row>
    <row r="1711" spans="1:37" s="396" customFormat="1" ht="40.5" outlineLevel="1" x14ac:dyDescent="0.25">
      <c r="A1711" s="467" t="s">
        <v>2567</v>
      </c>
      <c r="B1711" s="576">
        <v>143</v>
      </c>
      <c r="C1711" s="607" t="s">
        <v>1201</v>
      </c>
      <c r="D1711" s="706"/>
      <c r="E1711" s="642"/>
      <c r="F1711" s="642"/>
      <c r="G1711" s="578"/>
      <c r="H1711" s="707">
        <f>SUBTOTAL(9,H1712:H1718)</f>
        <v>91.8</v>
      </c>
      <c r="I1711" s="579">
        <f>SUBTOTAL(9,I1712:I1717)</f>
        <v>91.8</v>
      </c>
      <c r="J1711" s="580"/>
      <c r="K1711" s="581"/>
      <c r="L1711" s="581"/>
      <c r="M1711" s="571">
        <f>SUBTOTAL(9,M1712:M1718)</f>
        <v>50894000</v>
      </c>
      <c r="N1711" s="571">
        <f>SUBTOTAL(9,N1712:N1718)</f>
        <v>152682000</v>
      </c>
      <c r="O1711" s="607"/>
      <c r="P1711" s="738">
        <f>SUBTOTAL(9,P1712:P1718)</f>
        <v>28</v>
      </c>
      <c r="Q1711" s="571"/>
      <c r="R1711" s="571">
        <f>SUBTOTAL(9,R1712:R1718)</f>
        <v>9030000</v>
      </c>
      <c r="S1711" s="582"/>
      <c r="T1711" s="621"/>
      <c r="U1711" s="739">
        <f>SUBTOTAL(9,U1712:U1718)</f>
        <v>0</v>
      </c>
      <c r="V1711" s="578"/>
      <c r="W1711" s="571"/>
      <c r="X1711" s="571">
        <f>SUBTOTAL(9,X1712:X1718)</f>
        <v>0</v>
      </c>
      <c r="Y1711" s="650"/>
      <c r="Z1711" s="586"/>
      <c r="AA1711" s="742"/>
      <c r="AB1711" s="586"/>
      <c r="AC1711" s="586"/>
      <c r="AD1711" s="586"/>
      <c r="AE1711" s="578"/>
      <c r="AF1711" s="712">
        <f>SUBTOTAL(9,AF1712:AF1718)</f>
        <v>0</v>
      </c>
      <c r="AG1711" s="585"/>
      <c r="AH1711" s="585">
        <f>SUBTOTAL(9,AH1712:AH1718)</f>
        <v>0</v>
      </c>
      <c r="AI1711" s="571">
        <f t="shared" si="370"/>
        <v>212606000</v>
      </c>
      <c r="AJ1711" s="578"/>
      <c r="AK1711" s="578"/>
    </row>
    <row r="1712" spans="1:37" s="396" customFormat="1" ht="121.5" outlineLevel="2" x14ac:dyDescent="0.3">
      <c r="A1712" s="447">
        <f>IF(B1711&lt;&gt;0,B1711,A1710)</f>
        <v>143</v>
      </c>
      <c r="B1712" s="557"/>
      <c r="C1712" s="572" t="s">
        <v>1203</v>
      </c>
      <c r="D1712" s="700">
        <v>3</v>
      </c>
      <c r="E1712" s="612">
        <v>86</v>
      </c>
      <c r="F1712" s="612">
        <v>397</v>
      </c>
      <c r="G1712" s="586" t="s">
        <v>2420</v>
      </c>
      <c r="H1712" s="709">
        <v>91.8</v>
      </c>
      <c r="I1712" s="546">
        <f t="shared" ref="I1712" si="381">IF(N1712&gt;0,H1712,"")</f>
        <v>91.8</v>
      </c>
      <c r="J1712" s="562"/>
      <c r="K1712" s="563">
        <f>IF(G1712&lt;&gt;0,VLOOKUP(G1712,'gia dat'!$A$1:$F$144,5,0)," ")</f>
        <v>554400</v>
      </c>
      <c r="L1712" s="563">
        <f>IF(G1712&lt;&gt;0,VLOOKUP(G1712,'gia dat'!$A$1:$F$144,6,0)," ")</f>
        <v>1663200</v>
      </c>
      <c r="M1712" s="564">
        <f t="shared" si="374"/>
        <v>50894000</v>
      </c>
      <c r="N1712" s="564">
        <f t="shared" si="375"/>
        <v>152682000</v>
      </c>
      <c r="O1712" s="572" t="s">
        <v>69</v>
      </c>
      <c r="P1712" s="740">
        <v>2</v>
      </c>
      <c r="Q1712" s="564">
        <f>IF(O1712&lt;&gt;0,VLOOKUP(O1712,'Cây trong'!$A$2:$C$246,3,0)," ")</f>
        <v>211000</v>
      </c>
      <c r="R1712" s="564">
        <f t="shared" si="363"/>
        <v>422000</v>
      </c>
      <c r="S1712" s="566"/>
      <c r="T1712" s="609"/>
      <c r="U1712" s="741"/>
      <c r="V1712" s="586"/>
      <c r="W1712" s="564" t="str">
        <f>IF(S1712&lt;&gt;0,VLOOKUP(S1712,VKT!$A$2:$G$415,7,0),"")</f>
        <v/>
      </c>
      <c r="X1712" s="564" t="str">
        <f t="shared" si="373"/>
        <v xml:space="preserve"> </v>
      </c>
      <c r="Y1712" s="650"/>
      <c r="Z1712" s="586"/>
      <c r="AA1712" s="742"/>
      <c r="AB1712" s="586"/>
      <c r="AC1712" s="586"/>
      <c r="AD1712" s="586"/>
      <c r="AE1712" s="586"/>
      <c r="AF1712" s="714"/>
      <c r="AG1712" s="570" t="str">
        <f>IF(AE1712&lt;&gt;0,VLOOKUP(AE1712,ODDS!$A$2:$C$13,3,0),"")</f>
        <v/>
      </c>
      <c r="AH1712" s="570"/>
      <c r="AI1712" s="571" t="str">
        <f t="shared" si="370"/>
        <v xml:space="preserve"> </v>
      </c>
      <c r="AJ1712" s="586" t="s">
        <v>1202</v>
      </c>
      <c r="AK1712" s="586" t="s">
        <v>2771</v>
      </c>
    </row>
    <row r="1713" spans="1:37" s="394" customFormat="1" ht="81" outlineLevel="2" x14ac:dyDescent="0.3">
      <c r="A1713" s="447">
        <f t="shared" ref="A1713:A1718" si="382">IF(B1712&lt;&gt;0,B1712,A1712)</f>
        <v>143</v>
      </c>
      <c r="B1713" s="557"/>
      <c r="C1713" s="572" t="s">
        <v>1603</v>
      </c>
      <c r="D1713" s="700"/>
      <c r="E1713" s="744"/>
      <c r="F1713" s="744"/>
      <c r="G1713" s="731"/>
      <c r="H1713" s="745"/>
      <c r="I1713" s="546"/>
      <c r="J1713" s="562"/>
      <c r="K1713" s="563" t="str">
        <f>IF(G1713&lt;&gt;0,VLOOKUP(G1713,'gia dat'!$A$1:$F$144,5,0)," ")</f>
        <v xml:space="preserve"> </v>
      </c>
      <c r="L1713" s="563" t="str">
        <f>IF(G1713&lt;&gt;0,VLOOKUP(G1713,'gia dat'!$A$1:$F$144,6,0)," ")</f>
        <v xml:space="preserve"> </v>
      </c>
      <c r="M1713" s="564" t="str">
        <f t="shared" si="374"/>
        <v xml:space="preserve"> </v>
      </c>
      <c r="N1713" s="564" t="str">
        <f t="shared" si="375"/>
        <v xml:space="preserve"> </v>
      </c>
      <c r="O1713" s="572" t="s">
        <v>77</v>
      </c>
      <c r="P1713" s="740">
        <v>1</v>
      </c>
      <c r="Q1713" s="564">
        <f>IF(O1713&lt;&gt;0,VLOOKUP(O1713,'Cây trong'!$A$2:$C$246,3,0)," ")</f>
        <v>3064000</v>
      </c>
      <c r="R1713" s="564">
        <f t="shared" si="363"/>
        <v>3064000</v>
      </c>
      <c r="S1713" s="566"/>
      <c r="T1713" s="609"/>
      <c r="U1713" s="741"/>
      <c r="V1713" s="586"/>
      <c r="W1713" s="564" t="str">
        <f>IF(S1713&lt;&gt;0,VLOOKUP(S1713,VKT!$A$2:$G$415,7,0),"")</f>
        <v/>
      </c>
      <c r="X1713" s="564" t="str">
        <f t="shared" si="373"/>
        <v xml:space="preserve"> </v>
      </c>
      <c r="Y1713" s="650"/>
      <c r="Z1713" s="586"/>
      <c r="AA1713" s="742"/>
      <c r="AB1713" s="586"/>
      <c r="AC1713" s="586"/>
      <c r="AD1713" s="586"/>
      <c r="AE1713" s="586"/>
      <c r="AF1713" s="714"/>
      <c r="AG1713" s="570" t="str">
        <f>IF(AE1713&lt;&gt;0,VLOOKUP(AE1713,ODDS!$A$2:$C$13,3,0),"")</f>
        <v/>
      </c>
      <c r="AH1713" s="570" t="str">
        <f t="shared" si="364"/>
        <v xml:space="preserve"> </v>
      </c>
      <c r="AI1713" s="571" t="str">
        <f t="shared" si="370"/>
        <v xml:space="preserve"> </v>
      </c>
      <c r="AJ1713" s="586" t="s">
        <v>1204</v>
      </c>
      <c r="AK1713" s="558" t="s">
        <v>2448</v>
      </c>
    </row>
    <row r="1714" spans="1:37" s="394" customFormat="1" ht="101.25" outlineLevel="2" x14ac:dyDescent="0.3">
      <c r="A1714" s="447">
        <f t="shared" si="382"/>
        <v>143</v>
      </c>
      <c r="B1714" s="557"/>
      <c r="C1714" s="572"/>
      <c r="D1714" s="700"/>
      <c r="E1714" s="612"/>
      <c r="F1714" s="612"/>
      <c r="G1714" s="586"/>
      <c r="H1714" s="709"/>
      <c r="I1714" s="546"/>
      <c r="J1714" s="562"/>
      <c r="K1714" s="563" t="str">
        <f>IF(G1714&lt;&gt;0,VLOOKUP(G1714,'gia dat'!$A$1:$F$144,5,0)," ")</f>
        <v xml:space="preserve"> </v>
      </c>
      <c r="L1714" s="563" t="str">
        <f>IF(G1714&lt;&gt;0,VLOOKUP(G1714,'gia dat'!$A$1:$F$144,6,0)," ")</f>
        <v xml:space="preserve"> </v>
      </c>
      <c r="M1714" s="564" t="str">
        <f t="shared" si="374"/>
        <v xml:space="preserve"> </v>
      </c>
      <c r="N1714" s="564" t="str">
        <f t="shared" si="375"/>
        <v xml:space="preserve"> </v>
      </c>
      <c r="O1714" s="572" t="s">
        <v>350</v>
      </c>
      <c r="P1714" s="740">
        <v>1</v>
      </c>
      <c r="Q1714" s="564">
        <f>IF(O1714&lt;&gt;0,VLOOKUP(O1714,'Cây trong'!$A$2:$C$246,3,0)," ")</f>
        <v>72000</v>
      </c>
      <c r="R1714" s="564">
        <f t="shared" si="363"/>
        <v>72000</v>
      </c>
      <c r="S1714" s="566"/>
      <c r="T1714" s="609"/>
      <c r="U1714" s="741"/>
      <c r="V1714" s="586"/>
      <c r="W1714" s="564" t="str">
        <f>IF(S1714&lt;&gt;0,VLOOKUP(S1714,VKT!$A$2:$G$415,7,0),"")</f>
        <v/>
      </c>
      <c r="X1714" s="564" t="str">
        <f t="shared" si="373"/>
        <v xml:space="preserve"> </v>
      </c>
      <c r="Y1714" s="650"/>
      <c r="Z1714" s="586"/>
      <c r="AA1714" s="742"/>
      <c r="AB1714" s="586"/>
      <c r="AC1714" s="586"/>
      <c r="AD1714" s="586"/>
      <c r="AE1714" s="586"/>
      <c r="AF1714" s="714"/>
      <c r="AG1714" s="570" t="str">
        <f>IF(AE1714&lt;&gt;0,VLOOKUP(AE1714,ODDS!$A$2:$C$13,3,0),"")</f>
        <v/>
      </c>
      <c r="AH1714" s="570" t="str">
        <f t="shared" si="364"/>
        <v xml:space="preserve"> </v>
      </c>
      <c r="AI1714" s="571" t="str">
        <f t="shared" si="370"/>
        <v xml:space="preserve"> </v>
      </c>
      <c r="AJ1714" s="572" t="s">
        <v>2074</v>
      </c>
      <c r="AK1714" s="558" t="s">
        <v>2449</v>
      </c>
    </row>
    <row r="1715" spans="1:37" s="394" customFormat="1" ht="40.5" outlineLevel="2" x14ac:dyDescent="0.3">
      <c r="A1715" s="447">
        <f t="shared" si="382"/>
        <v>143</v>
      </c>
      <c r="B1715" s="557"/>
      <c r="C1715" s="572"/>
      <c r="D1715" s="700"/>
      <c r="E1715" s="612"/>
      <c r="F1715" s="612"/>
      <c r="G1715" s="586"/>
      <c r="H1715" s="709"/>
      <c r="I1715" s="546"/>
      <c r="J1715" s="562"/>
      <c r="K1715" s="563" t="str">
        <f>IF(G1715&lt;&gt;0,VLOOKUP(G1715,'gia dat'!$A$1:$F$144,5,0)," ")</f>
        <v xml:space="preserve"> </v>
      </c>
      <c r="L1715" s="563" t="str">
        <f>IF(G1715&lt;&gt;0,VLOOKUP(G1715,'gia dat'!$A$1:$F$144,6,0)," ")</f>
        <v xml:space="preserve"> </v>
      </c>
      <c r="M1715" s="564" t="str">
        <f t="shared" si="374"/>
        <v xml:space="preserve"> </v>
      </c>
      <c r="N1715" s="564" t="str">
        <f t="shared" si="375"/>
        <v xml:space="preserve"> </v>
      </c>
      <c r="O1715" s="572" t="s">
        <v>400</v>
      </c>
      <c r="P1715" s="740">
        <v>24</v>
      </c>
      <c r="Q1715" s="564">
        <f>IF(O1715&lt;&gt;0,VLOOKUP(O1715,'Cây trong'!$A$2:$C$246,3,0)," ")</f>
        <v>228000</v>
      </c>
      <c r="R1715" s="564">
        <f t="shared" si="363"/>
        <v>5472000</v>
      </c>
      <c r="S1715" s="566"/>
      <c r="T1715" s="609"/>
      <c r="U1715" s="741"/>
      <c r="V1715" s="586"/>
      <c r="W1715" s="564" t="str">
        <f>IF(S1715&lt;&gt;0,VLOOKUP(S1715,VKT!$A$2:$G$415,7,0),"")</f>
        <v/>
      </c>
      <c r="X1715" s="564" t="str">
        <f t="shared" si="373"/>
        <v xml:space="preserve"> </v>
      </c>
      <c r="Y1715" s="650"/>
      <c r="Z1715" s="586"/>
      <c r="AA1715" s="742"/>
      <c r="AB1715" s="586"/>
      <c r="AC1715" s="586"/>
      <c r="AD1715" s="586"/>
      <c r="AE1715" s="586"/>
      <c r="AF1715" s="714"/>
      <c r="AG1715" s="570" t="str">
        <f>IF(AE1715&lt;&gt;0,VLOOKUP(AE1715,ODDS!$A$2:$C$13,3,0),"")</f>
        <v/>
      </c>
      <c r="AH1715" s="570" t="str">
        <f t="shared" si="364"/>
        <v xml:space="preserve"> </v>
      </c>
      <c r="AI1715" s="571" t="str">
        <f t="shared" si="370"/>
        <v xml:space="preserve"> </v>
      </c>
      <c r="AJ1715" s="731"/>
      <c r="AK1715" s="586"/>
    </row>
    <row r="1716" spans="1:37" s="394" customFormat="1" ht="20.25" outlineLevel="2" x14ac:dyDescent="0.3">
      <c r="A1716" s="447">
        <f t="shared" si="382"/>
        <v>143</v>
      </c>
      <c r="B1716" s="557"/>
      <c r="C1716" s="586"/>
      <c r="D1716" s="700"/>
      <c r="E1716" s="612"/>
      <c r="F1716" s="612"/>
      <c r="G1716" s="586"/>
      <c r="H1716" s="709"/>
      <c r="I1716" s="546"/>
      <c r="J1716" s="562"/>
      <c r="K1716" s="563" t="str">
        <f>IF(G1716&lt;&gt;0,VLOOKUP(G1716,'gia dat'!$A$1:$F$144,5,0)," ")</f>
        <v xml:space="preserve"> </v>
      </c>
      <c r="L1716" s="563" t="str">
        <f>IF(G1716&lt;&gt;0,VLOOKUP(G1716,'gia dat'!$A$1:$F$144,6,0)," ")</f>
        <v xml:space="preserve"> </v>
      </c>
      <c r="M1716" s="564" t="str">
        <f t="shared" si="374"/>
        <v xml:space="preserve"> </v>
      </c>
      <c r="N1716" s="564" t="str">
        <f t="shared" si="375"/>
        <v xml:space="preserve"> </v>
      </c>
      <c r="O1716" s="572"/>
      <c r="P1716" s="740"/>
      <c r="Q1716" s="564" t="str">
        <f>IF(O1716&lt;&gt;0,VLOOKUP(O1716,'Cây trong'!$A$2:$C$246,3,0)," ")</f>
        <v xml:space="preserve"> </v>
      </c>
      <c r="R1716" s="564" t="str">
        <f t="shared" si="363"/>
        <v xml:space="preserve"> </v>
      </c>
      <c r="S1716" s="566"/>
      <c r="T1716" s="609"/>
      <c r="U1716" s="741"/>
      <c r="V1716" s="586"/>
      <c r="W1716" s="564" t="str">
        <f>IF(S1716&lt;&gt;0,VLOOKUP(S1716,VKT!$A$2:$G$415,7,0),"")</f>
        <v/>
      </c>
      <c r="X1716" s="564" t="str">
        <f t="shared" si="373"/>
        <v xml:space="preserve"> </v>
      </c>
      <c r="Y1716" s="650"/>
      <c r="Z1716" s="586"/>
      <c r="AA1716" s="742"/>
      <c r="AB1716" s="586"/>
      <c r="AC1716" s="586"/>
      <c r="AD1716" s="586"/>
      <c r="AE1716" s="586"/>
      <c r="AF1716" s="714"/>
      <c r="AG1716" s="570" t="str">
        <f>IF(AE1716&lt;&gt;0,VLOOKUP(AE1716,ODDS!$A$2:$C$13,3,0),"")</f>
        <v/>
      </c>
      <c r="AH1716" s="570" t="str">
        <f t="shared" si="364"/>
        <v xml:space="preserve"> </v>
      </c>
      <c r="AI1716" s="571" t="str">
        <f t="shared" si="370"/>
        <v xml:space="preserve"> </v>
      </c>
      <c r="AJ1716" s="731"/>
      <c r="AK1716" s="572"/>
    </row>
    <row r="1717" spans="1:37" s="394" customFormat="1" ht="20.25" outlineLevel="2" x14ac:dyDescent="0.3">
      <c r="A1717" s="447">
        <f t="shared" si="382"/>
        <v>143</v>
      </c>
      <c r="B1717" s="557"/>
      <c r="C1717" s="572"/>
      <c r="D1717" s="700"/>
      <c r="E1717" s="612"/>
      <c r="F1717" s="612"/>
      <c r="G1717" s="586"/>
      <c r="H1717" s="709"/>
      <c r="I1717" s="546"/>
      <c r="J1717" s="562"/>
      <c r="K1717" s="563" t="str">
        <f>IF(G1717&lt;&gt;0,VLOOKUP(G1717,'gia dat'!$A$1:$F$144,5,0)," ")</f>
        <v xml:space="preserve"> </v>
      </c>
      <c r="L1717" s="563" t="str">
        <f>IF(G1717&lt;&gt;0,VLOOKUP(G1717,'gia dat'!$A$1:$F$144,6,0)," ")</f>
        <v xml:space="preserve"> </v>
      </c>
      <c r="M1717" s="564" t="str">
        <f t="shared" si="374"/>
        <v xml:space="preserve"> </v>
      </c>
      <c r="N1717" s="564" t="str">
        <f t="shared" si="375"/>
        <v xml:space="preserve"> </v>
      </c>
      <c r="O1717" s="572"/>
      <c r="P1717" s="740"/>
      <c r="Q1717" s="564" t="str">
        <f>IF(O1717&lt;&gt;0,VLOOKUP(O1717,'Cây trong'!$A$2:$C$246,3,0)," ")</f>
        <v xml:space="preserve"> </v>
      </c>
      <c r="R1717" s="564" t="str">
        <f t="shared" si="363"/>
        <v xml:space="preserve"> </v>
      </c>
      <c r="S1717" s="566"/>
      <c r="T1717" s="609"/>
      <c r="U1717" s="741"/>
      <c r="V1717" s="586"/>
      <c r="W1717" s="564" t="str">
        <f>IF(S1717&lt;&gt;0,VLOOKUP(S1717,VKT!$A$2:$G$415,7,0),"")</f>
        <v/>
      </c>
      <c r="X1717" s="564" t="str">
        <f t="shared" si="373"/>
        <v xml:space="preserve"> </v>
      </c>
      <c r="Y1717" s="650"/>
      <c r="Z1717" s="586"/>
      <c r="AA1717" s="742"/>
      <c r="AB1717" s="586"/>
      <c r="AC1717" s="586"/>
      <c r="AD1717" s="586"/>
      <c r="AE1717" s="586"/>
      <c r="AF1717" s="714"/>
      <c r="AG1717" s="570" t="str">
        <f>IF(AE1717&lt;&gt;0,VLOOKUP(AE1717,ODDS!$A$2:$C$13,3,0),"")</f>
        <v/>
      </c>
      <c r="AH1717" s="570" t="str">
        <f t="shared" si="364"/>
        <v xml:space="preserve"> </v>
      </c>
      <c r="AI1717" s="571" t="str">
        <f t="shared" si="370"/>
        <v xml:space="preserve"> </v>
      </c>
      <c r="AJ1717" s="586"/>
      <c r="AK1717" s="586"/>
    </row>
    <row r="1718" spans="1:37" s="394" customFormat="1" ht="20.25" outlineLevel="2" x14ac:dyDescent="0.3">
      <c r="A1718" s="447">
        <f t="shared" si="382"/>
        <v>143</v>
      </c>
      <c r="B1718" s="557"/>
      <c r="C1718" s="607"/>
      <c r="D1718" s="700"/>
      <c r="E1718" s="612"/>
      <c r="F1718" s="612"/>
      <c r="G1718" s="586"/>
      <c r="H1718" s="709"/>
      <c r="I1718" s="546"/>
      <c r="J1718" s="562"/>
      <c r="K1718" s="563" t="str">
        <f>IF(G1718&lt;&gt;0,VLOOKUP(G1718,'gia dat'!$A$1:$F$144,5,0)," ")</f>
        <v xml:space="preserve"> </v>
      </c>
      <c r="L1718" s="563" t="str">
        <f>IF(G1718&lt;&gt;0,VLOOKUP(G1718,'gia dat'!$A$1:$F$144,6,0)," ")</f>
        <v xml:space="preserve"> </v>
      </c>
      <c r="M1718" s="564" t="str">
        <f t="shared" si="374"/>
        <v xml:space="preserve"> </v>
      </c>
      <c r="N1718" s="564" t="str">
        <f t="shared" si="375"/>
        <v xml:space="preserve"> </v>
      </c>
      <c r="O1718" s="572"/>
      <c r="P1718" s="740"/>
      <c r="Q1718" s="564" t="str">
        <f>IF(O1718&lt;&gt;0,VLOOKUP(O1718,'Cây trong'!$A$2:$C$246,3,0)," ")</f>
        <v xml:space="preserve"> </v>
      </c>
      <c r="R1718" s="564" t="str">
        <f t="shared" si="363"/>
        <v xml:space="preserve"> </v>
      </c>
      <c r="S1718" s="566"/>
      <c r="T1718" s="609"/>
      <c r="U1718" s="741"/>
      <c r="V1718" s="586"/>
      <c r="W1718" s="564" t="str">
        <f>IF(S1718&lt;&gt;0,VLOOKUP(S1718,VKT!$A$2:$G$415,7,0),"")</f>
        <v/>
      </c>
      <c r="X1718" s="564" t="str">
        <f t="shared" si="373"/>
        <v xml:space="preserve"> </v>
      </c>
      <c r="Y1718" s="650"/>
      <c r="Z1718" s="586"/>
      <c r="AA1718" s="742"/>
      <c r="AB1718" s="586"/>
      <c r="AC1718" s="586"/>
      <c r="AD1718" s="586"/>
      <c r="AE1718" s="586"/>
      <c r="AF1718" s="714"/>
      <c r="AG1718" s="570" t="str">
        <f>IF(AE1718&lt;&gt;0,VLOOKUP(AE1718,ODDS!$A$2:$C$13,3,0),"")</f>
        <v/>
      </c>
      <c r="AH1718" s="570" t="str">
        <f t="shared" si="364"/>
        <v xml:space="preserve"> </v>
      </c>
      <c r="AI1718" s="571" t="str">
        <f t="shared" si="370"/>
        <v xml:space="preserve"> </v>
      </c>
      <c r="AJ1718" s="586"/>
      <c r="AK1718" s="586"/>
    </row>
    <row r="1719" spans="1:37" s="394" customFormat="1" ht="40.5" outlineLevel="1" x14ac:dyDescent="0.25">
      <c r="A1719" s="467" t="s">
        <v>2566</v>
      </c>
      <c r="B1719" s="576">
        <v>144</v>
      </c>
      <c r="C1719" s="607" t="s">
        <v>1201</v>
      </c>
      <c r="D1719" s="706"/>
      <c r="E1719" s="642"/>
      <c r="F1719" s="642"/>
      <c r="G1719" s="578"/>
      <c r="H1719" s="707">
        <f>SUBTOTAL(9,H1720:H1725)</f>
        <v>92.3</v>
      </c>
      <c r="I1719" s="579">
        <f>SUBTOTAL(9,I1720:I1725)</f>
        <v>92.3</v>
      </c>
      <c r="J1719" s="580"/>
      <c r="K1719" s="581"/>
      <c r="L1719" s="581"/>
      <c r="M1719" s="571">
        <f>SUBTOTAL(9,M1720:M1725)</f>
        <v>51171000</v>
      </c>
      <c r="N1719" s="571">
        <f>SUBTOTAL(9,N1720:N1725)</f>
        <v>153513000</v>
      </c>
      <c r="O1719" s="607"/>
      <c r="P1719" s="738">
        <f>SUBTOTAL(9,P1720:P1725)</f>
        <v>0</v>
      </c>
      <c r="Q1719" s="571"/>
      <c r="R1719" s="571">
        <f>SUBTOTAL(9,R1720:R1725)</f>
        <v>0</v>
      </c>
      <c r="S1719" s="582"/>
      <c r="T1719" s="621"/>
      <c r="U1719" s="739">
        <f>SUBTOTAL(9,U1720:U1725)</f>
        <v>0</v>
      </c>
      <c r="V1719" s="578"/>
      <c r="W1719" s="571"/>
      <c r="X1719" s="571">
        <f>SUBTOTAL(9,X1720:X1725)</f>
        <v>0</v>
      </c>
      <c r="Y1719" s="650"/>
      <c r="Z1719" s="586"/>
      <c r="AA1719" s="742"/>
      <c r="AB1719" s="586"/>
      <c r="AC1719" s="586"/>
      <c r="AD1719" s="586"/>
      <c r="AE1719" s="578"/>
      <c r="AF1719" s="712">
        <f>SUBTOTAL(9,AF1720:AF1725)</f>
        <v>0</v>
      </c>
      <c r="AG1719" s="585"/>
      <c r="AH1719" s="585">
        <f>SUBTOTAL(9,AH1720:AH1725)</f>
        <v>0</v>
      </c>
      <c r="AI1719" s="571">
        <f t="shared" si="370"/>
        <v>204684000</v>
      </c>
      <c r="AJ1719" s="578"/>
      <c r="AK1719" s="578"/>
    </row>
    <row r="1720" spans="1:37" s="394" customFormat="1" ht="121.5" outlineLevel="2" x14ac:dyDescent="0.3">
      <c r="A1720" s="447">
        <f>IF(B1719&lt;&gt;0,B1719,A1718)</f>
        <v>144</v>
      </c>
      <c r="B1720" s="557"/>
      <c r="C1720" s="572" t="s">
        <v>1203</v>
      </c>
      <c r="D1720" s="700"/>
      <c r="E1720" s="612">
        <v>86</v>
      </c>
      <c r="F1720" s="612">
        <v>396</v>
      </c>
      <c r="G1720" s="586" t="s">
        <v>2440</v>
      </c>
      <c r="H1720" s="709">
        <v>92.3</v>
      </c>
      <c r="I1720" s="546">
        <f t="shared" ref="I1720" si="383">IF(N1720&gt;0,H1720,"")</f>
        <v>92.3</v>
      </c>
      <c r="J1720" s="562"/>
      <c r="K1720" s="563">
        <f>IF(G1720&lt;&gt;0,VLOOKUP(G1720,'gia dat'!$A$1:$F$144,5,0)," ")</f>
        <v>554400</v>
      </c>
      <c r="L1720" s="563">
        <f>IF(G1720&lt;&gt;0,VLOOKUP(G1720,'gia dat'!$A$1:$F$144,6,0)," ")</f>
        <v>1663200</v>
      </c>
      <c r="M1720" s="564">
        <f t="shared" si="374"/>
        <v>51171000</v>
      </c>
      <c r="N1720" s="564">
        <f t="shared" si="375"/>
        <v>153513000</v>
      </c>
      <c r="O1720" s="572"/>
      <c r="P1720" s="740"/>
      <c r="Q1720" s="564" t="str">
        <f>IF(O1720&lt;&gt;0,VLOOKUP(O1720,'Cây trong'!$A$2:$C$246,3,0)," ")</f>
        <v xml:space="preserve"> </v>
      </c>
      <c r="R1720" s="564" t="str">
        <f t="shared" si="363"/>
        <v xml:space="preserve"> </v>
      </c>
      <c r="S1720" s="566"/>
      <c r="T1720" s="609"/>
      <c r="U1720" s="741"/>
      <c r="V1720" s="586"/>
      <c r="W1720" s="564" t="str">
        <f>IF(S1720&lt;&gt;0,VLOOKUP(S1720,VKT!$A$2:$G$415,7,0),"")</f>
        <v/>
      </c>
      <c r="X1720" s="564" t="str">
        <f t="shared" si="373"/>
        <v xml:space="preserve"> </v>
      </c>
      <c r="Y1720" s="650"/>
      <c r="Z1720" s="586"/>
      <c r="AA1720" s="742"/>
      <c r="AB1720" s="586"/>
      <c r="AC1720" s="586"/>
      <c r="AD1720" s="586"/>
      <c r="AE1720" s="586"/>
      <c r="AF1720" s="714"/>
      <c r="AG1720" s="570" t="str">
        <f>IF(AE1720&lt;&gt;0,VLOOKUP(AE1720,ODDS!$A$2:$C$13,3,0),"")</f>
        <v/>
      </c>
      <c r="AH1720" s="570" t="str">
        <f t="shared" si="364"/>
        <v xml:space="preserve"> </v>
      </c>
      <c r="AI1720" s="571" t="str">
        <f t="shared" si="370"/>
        <v xml:space="preserve"> </v>
      </c>
      <c r="AJ1720" s="586" t="s">
        <v>1207</v>
      </c>
      <c r="AK1720" s="586" t="s">
        <v>2771</v>
      </c>
    </row>
    <row r="1721" spans="1:37" s="394" customFormat="1" ht="81" outlineLevel="2" x14ac:dyDescent="0.3">
      <c r="A1721" s="447">
        <f>IF(B1720&lt;&gt;0,B1720,A1720)</f>
        <v>144</v>
      </c>
      <c r="B1721" s="557"/>
      <c r="C1721" s="572" t="s">
        <v>1603</v>
      </c>
      <c r="D1721" s="700"/>
      <c r="E1721" s="612"/>
      <c r="F1721" s="612"/>
      <c r="G1721" s="586"/>
      <c r="H1721" s="709"/>
      <c r="I1721" s="546"/>
      <c r="J1721" s="562"/>
      <c r="K1721" s="563" t="str">
        <f>IF(G1721&lt;&gt;0,VLOOKUP(G1721,'gia dat'!$A$1:$F$144,5,0)," ")</f>
        <v xml:space="preserve"> </v>
      </c>
      <c r="L1721" s="563" t="str">
        <f>IF(G1721&lt;&gt;0,VLOOKUP(G1721,'gia dat'!$A$1:$F$144,6,0)," ")</f>
        <v xml:space="preserve"> </v>
      </c>
      <c r="M1721" s="564" t="str">
        <f t="shared" si="374"/>
        <v xml:space="preserve"> </v>
      </c>
      <c r="N1721" s="564" t="str">
        <f t="shared" si="375"/>
        <v xml:space="preserve"> </v>
      </c>
      <c r="O1721" s="572"/>
      <c r="P1721" s="740"/>
      <c r="Q1721" s="564" t="str">
        <f>IF(O1721&lt;&gt;0,VLOOKUP(O1721,'Cây trong'!$A$2:$C$246,3,0)," ")</f>
        <v xml:space="preserve"> </v>
      </c>
      <c r="R1721" s="564" t="str">
        <f t="shared" si="363"/>
        <v xml:space="preserve"> </v>
      </c>
      <c r="S1721" s="566"/>
      <c r="T1721" s="609"/>
      <c r="U1721" s="741"/>
      <c r="V1721" s="586"/>
      <c r="W1721" s="564" t="str">
        <f>IF(S1721&lt;&gt;0,VLOOKUP(S1721,VKT!$A$2:$G$415,7,0),"")</f>
        <v/>
      </c>
      <c r="X1721" s="564" t="str">
        <f t="shared" si="373"/>
        <v xml:space="preserve"> </v>
      </c>
      <c r="Y1721" s="650"/>
      <c r="Z1721" s="586"/>
      <c r="AA1721" s="742"/>
      <c r="AB1721" s="586"/>
      <c r="AC1721" s="586"/>
      <c r="AD1721" s="586"/>
      <c r="AE1721" s="586"/>
      <c r="AF1721" s="714"/>
      <c r="AG1721" s="570" t="str">
        <f>IF(AE1721&lt;&gt;0,VLOOKUP(AE1721,ODDS!$A$2:$C$13,3,0),"")</f>
        <v/>
      </c>
      <c r="AH1721" s="570" t="str">
        <f t="shared" si="364"/>
        <v xml:space="preserve"> </v>
      </c>
      <c r="AI1721" s="571" t="str">
        <f t="shared" si="370"/>
        <v xml:space="preserve"> </v>
      </c>
      <c r="AJ1721" s="586" t="s">
        <v>1208</v>
      </c>
      <c r="AK1721" s="558" t="s">
        <v>2448</v>
      </c>
    </row>
    <row r="1722" spans="1:37" s="394" customFormat="1" ht="60.75" outlineLevel="2" x14ac:dyDescent="0.3">
      <c r="A1722" s="447">
        <f>IF(B1721&lt;&gt;0,B1721,A1721)</f>
        <v>144</v>
      </c>
      <c r="B1722" s="557"/>
      <c r="C1722" s="572"/>
      <c r="D1722" s="700"/>
      <c r="E1722" s="612"/>
      <c r="F1722" s="612"/>
      <c r="G1722" s="586"/>
      <c r="H1722" s="709"/>
      <c r="I1722" s="546"/>
      <c r="J1722" s="562"/>
      <c r="K1722" s="563" t="str">
        <f>IF(G1722&lt;&gt;0,VLOOKUP(G1722,'gia dat'!$A$1:$F$144,5,0)," ")</f>
        <v xml:space="preserve"> </v>
      </c>
      <c r="L1722" s="563" t="str">
        <f>IF(G1722&lt;&gt;0,VLOOKUP(G1722,'gia dat'!$A$1:$F$144,6,0)," ")</f>
        <v xml:space="preserve"> </v>
      </c>
      <c r="M1722" s="564" t="str">
        <f t="shared" si="374"/>
        <v xml:space="preserve"> </v>
      </c>
      <c r="N1722" s="564" t="str">
        <f t="shared" si="375"/>
        <v xml:space="preserve"> </v>
      </c>
      <c r="O1722" s="572"/>
      <c r="P1722" s="740"/>
      <c r="Q1722" s="564" t="str">
        <f>IF(O1722&lt;&gt;0,VLOOKUP(O1722,'Cây trong'!$A$2:$C$246,3,0)," ")</f>
        <v xml:space="preserve"> </v>
      </c>
      <c r="R1722" s="564" t="str">
        <f t="shared" si="363"/>
        <v xml:space="preserve"> </v>
      </c>
      <c r="S1722" s="566"/>
      <c r="T1722" s="609"/>
      <c r="U1722" s="741"/>
      <c r="V1722" s="586"/>
      <c r="W1722" s="564" t="str">
        <f>IF(S1722&lt;&gt;0,VLOOKUP(S1722,VKT!$A$2:$G$415,7,0),"")</f>
        <v/>
      </c>
      <c r="X1722" s="564" t="str">
        <f t="shared" si="373"/>
        <v xml:space="preserve"> </v>
      </c>
      <c r="Y1722" s="650"/>
      <c r="Z1722" s="586"/>
      <c r="AA1722" s="742"/>
      <c r="AB1722" s="586"/>
      <c r="AC1722" s="586"/>
      <c r="AD1722" s="586"/>
      <c r="AE1722" s="586"/>
      <c r="AF1722" s="714"/>
      <c r="AG1722" s="570" t="str">
        <f>IF(AE1722&lt;&gt;0,VLOOKUP(AE1722,ODDS!$A$2:$C$13,3,0),"")</f>
        <v/>
      </c>
      <c r="AH1722" s="570" t="str">
        <f t="shared" si="364"/>
        <v xml:space="preserve"> </v>
      </c>
      <c r="AI1722" s="571" t="str">
        <f t="shared" si="370"/>
        <v xml:space="preserve"> </v>
      </c>
      <c r="AJ1722" s="586" t="s">
        <v>2074</v>
      </c>
      <c r="AK1722" s="586"/>
    </row>
    <row r="1723" spans="1:37" s="394" customFormat="1" ht="20.25" outlineLevel="2" x14ac:dyDescent="0.3">
      <c r="A1723" s="447">
        <f>IF(B1722&lt;&gt;0,B1722,A1722)</f>
        <v>144</v>
      </c>
      <c r="B1723" s="557"/>
      <c r="C1723" s="572"/>
      <c r="D1723" s="700"/>
      <c r="E1723" s="612"/>
      <c r="F1723" s="612"/>
      <c r="G1723" s="586"/>
      <c r="H1723" s="709"/>
      <c r="I1723" s="546"/>
      <c r="J1723" s="562"/>
      <c r="K1723" s="563" t="str">
        <f>IF(G1723&lt;&gt;0,VLOOKUP(G1723,'gia dat'!$A$1:$F$144,5,0)," ")</f>
        <v xml:space="preserve"> </v>
      </c>
      <c r="L1723" s="563" t="str">
        <f>IF(G1723&lt;&gt;0,VLOOKUP(G1723,'gia dat'!$A$1:$F$144,6,0)," ")</f>
        <v xml:space="preserve"> </v>
      </c>
      <c r="M1723" s="564" t="str">
        <f t="shared" si="374"/>
        <v xml:space="preserve"> </v>
      </c>
      <c r="N1723" s="564" t="str">
        <f t="shared" si="375"/>
        <v xml:space="preserve"> </v>
      </c>
      <c r="O1723" s="572"/>
      <c r="P1723" s="740"/>
      <c r="Q1723" s="564" t="str">
        <f>IF(O1723&lt;&gt;0,VLOOKUP(O1723,'Cây trong'!$A$2:$C$246,3,0)," ")</f>
        <v xml:space="preserve"> </v>
      </c>
      <c r="R1723" s="564" t="str">
        <f t="shared" si="363"/>
        <v xml:space="preserve"> </v>
      </c>
      <c r="S1723" s="566"/>
      <c r="T1723" s="609"/>
      <c r="U1723" s="741"/>
      <c r="V1723" s="586"/>
      <c r="W1723" s="564" t="str">
        <f>IF(S1723&lt;&gt;0,VLOOKUP(S1723,VKT!$A$2:$G$415,7,0),"")</f>
        <v/>
      </c>
      <c r="X1723" s="564" t="str">
        <f t="shared" si="373"/>
        <v xml:space="preserve"> </v>
      </c>
      <c r="Y1723" s="650"/>
      <c r="Z1723" s="586"/>
      <c r="AA1723" s="742"/>
      <c r="AB1723" s="586"/>
      <c r="AC1723" s="586"/>
      <c r="AD1723" s="586"/>
      <c r="AE1723" s="586"/>
      <c r="AF1723" s="714"/>
      <c r="AG1723" s="570" t="str">
        <f>IF(AE1723&lt;&gt;0,VLOOKUP(AE1723,ODDS!$A$2:$C$13,3,0),"")</f>
        <v/>
      </c>
      <c r="AH1723" s="570" t="str">
        <f t="shared" si="364"/>
        <v xml:space="preserve"> </v>
      </c>
      <c r="AI1723" s="571" t="str">
        <f t="shared" si="370"/>
        <v xml:space="preserve"> </v>
      </c>
      <c r="AJ1723" s="731"/>
      <c r="AK1723" s="586"/>
    </row>
    <row r="1724" spans="1:37" s="394" customFormat="1" ht="20.25" outlineLevel="2" x14ac:dyDescent="0.3">
      <c r="A1724" s="447">
        <f>IF(B1723&lt;&gt;0,B1723,A1723)</f>
        <v>144</v>
      </c>
      <c r="B1724" s="557"/>
      <c r="C1724" s="572"/>
      <c r="D1724" s="700"/>
      <c r="E1724" s="612"/>
      <c r="F1724" s="612"/>
      <c r="G1724" s="586"/>
      <c r="H1724" s="709"/>
      <c r="I1724" s="546"/>
      <c r="J1724" s="562"/>
      <c r="K1724" s="563" t="str">
        <f>IF(G1724&lt;&gt;0,VLOOKUP(G1724,'gia dat'!$A$1:$F$144,5,0)," ")</f>
        <v xml:space="preserve"> </v>
      </c>
      <c r="L1724" s="563" t="str">
        <f>IF(G1724&lt;&gt;0,VLOOKUP(G1724,'gia dat'!$A$1:$F$144,6,0)," ")</f>
        <v xml:space="preserve"> </v>
      </c>
      <c r="M1724" s="564" t="str">
        <f t="shared" si="374"/>
        <v xml:space="preserve"> </v>
      </c>
      <c r="N1724" s="564" t="str">
        <f t="shared" si="375"/>
        <v xml:space="preserve"> </v>
      </c>
      <c r="O1724" s="572"/>
      <c r="P1724" s="740"/>
      <c r="Q1724" s="564" t="str">
        <f>IF(O1724&lt;&gt;0,VLOOKUP(O1724,'Cây trong'!$A$2:$C$246,3,0)," ")</f>
        <v xml:space="preserve"> </v>
      </c>
      <c r="R1724" s="564" t="str">
        <f t="shared" si="363"/>
        <v xml:space="preserve"> </v>
      </c>
      <c r="S1724" s="566"/>
      <c r="T1724" s="609"/>
      <c r="U1724" s="741"/>
      <c r="V1724" s="586"/>
      <c r="W1724" s="564" t="str">
        <f>IF(S1724&lt;&gt;0,VLOOKUP(S1724,VKT!$A$2:$G$415,7,0),"")</f>
        <v/>
      </c>
      <c r="X1724" s="564" t="str">
        <f t="shared" si="373"/>
        <v xml:space="preserve"> </v>
      </c>
      <c r="Y1724" s="650"/>
      <c r="Z1724" s="586"/>
      <c r="AA1724" s="742"/>
      <c r="AB1724" s="586"/>
      <c r="AC1724" s="586"/>
      <c r="AD1724" s="586"/>
      <c r="AE1724" s="586"/>
      <c r="AF1724" s="714"/>
      <c r="AG1724" s="570" t="str">
        <f>IF(AE1724&lt;&gt;0,VLOOKUP(AE1724,ODDS!$A$2:$C$13,3,0),"")</f>
        <v/>
      </c>
      <c r="AH1724" s="570" t="str">
        <f t="shared" si="364"/>
        <v xml:space="preserve"> </v>
      </c>
      <c r="AI1724" s="571" t="str">
        <f t="shared" si="370"/>
        <v xml:space="preserve"> </v>
      </c>
      <c r="AJ1724" s="572"/>
      <c r="AK1724" s="572"/>
    </row>
    <row r="1725" spans="1:37" s="394" customFormat="1" ht="20.25" outlineLevel="2" x14ac:dyDescent="0.3">
      <c r="A1725" s="447">
        <f>IF(B1724&lt;&gt;0,B1724,A1724)</f>
        <v>144</v>
      </c>
      <c r="B1725" s="557"/>
      <c r="C1725" s="607"/>
      <c r="D1725" s="700"/>
      <c r="E1725" s="612"/>
      <c r="F1725" s="612"/>
      <c r="G1725" s="586"/>
      <c r="H1725" s="709"/>
      <c r="I1725" s="546"/>
      <c r="J1725" s="562"/>
      <c r="K1725" s="563" t="str">
        <f>IF(G1725&lt;&gt;0,VLOOKUP(G1725,'gia dat'!$A$1:$F$144,5,0)," ")</f>
        <v xml:space="preserve"> </v>
      </c>
      <c r="L1725" s="563" t="str">
        <f>IF(G1725&lt;&gt;0,VLOOKUP(G1725,'gia dat'!$A$1:$F$144,6,0)," ")</f>
        <v xml:space="preserve"> </v>
      </c>
      <c r="M1725" s="564" t="str">
        <f t="shared" si="374"/>
        <v xml:space="preserve"> </v>
      </c>
      <c r="N1725" s="564" t="str">
        <f t="shared" si="375"/>
        <v xml:space="preserve"> </v>
      </c>
      <c r="O1725" s="572"/>
      <c r="P1725" s="740"/>
      <c r="Q1725" s="564" t="str">
        <f>IF(O1725&lt;&gt;0,VLOOKUP(O1725,'Cây trong'!$A$2:$C$246,3,0)," ")</f>
        <v xml:space="preserve"> </v>
      </c>
      <c r="R1725" s="564" t="str">
        <f t="shared" si="363"/>
        <v xml:space="preserve"> </v>
      </c>
      <c r="S1725" s="566"/>
      <c r="T1725" s="609"/>
      <c r="U1725" s="741"/>
      <c r="V1725" s="586"/>
      <c r="W1725" s="564" t="str">
        <f>IF(S1725&lt;&gt;0,VLOOKUP(S1725,VKT!$A$2:$G$415,7,0),"")</f>
        <v/>
      </c>
      <c r="X1725" s="564" t="str">
        <f t="shared" si="373"/>
        <v xml:space="preserve"> </v>
      </c>
      <c r="Y1725" s="650"/>
      <c r="Z1725" s="586"/>
      <c r="AA1725" s="742"/>
      <c r="AB1725" s="586"/>
      <c r="AC1725" s="586"/>
      <c r="AD1725" s="586"/>
      <c r="AE1725" s="586"/>
      <c r="AF1725" s="714"/>
      <c r="AG1725" s="570" t="str">
        <f>IF(AE1725&lt;&gt;0,VLOOKUP(AE1725,ODDS!$A$2:$C$13,3,0),"")</f>
        <v/>
      </c>
      <c r="AH1725" s="570" t="str">
        <f t="shared" si="364"/>
        <v xml:space="preserve"> </v>
      </c>
      <c r="AI1725" s="571" t="str">
        <f t="shared" si="370"/>
        <v xml:space="preserve"> </v>
      </c>
      <c r="AJ1725" s="586"/>
      <c r="AK1725" s="586"/>
    </row>
    <row r="1726" spans="1:37" s="396" customFormat="1" ht="20.25" outlineLevel="1" x14ac:dyDescent="0.25">
      <c r="A1726" s="467" t="s">
        <v>2565</v>
      </c>
      <c r="B1726" s="576">
        <v>145</v>
      </c>
      <c r="C1726" s="607" t="s">
        <v>1209</v>
      </c>
      <c r="D1726" s="706"/>
      <c r="E1726" s="642"/>
      <c r="F1726" s="642"/>
      <c r="G1726" s="578"/>
      <c r="H1726" s="707">
        <f>SUBTOTAL(9,H1727:H1733)</f>
        <v>37.299999999999997</v>
      </c>
      <c r="I1726" s="579">
        <f>SUBTOTAL(9,I1727:I1732)</f>
        <v>0</v>
      </c>
      <c r="J1726" s="580"/>
      <c r="K1726" s="581"/>
      <c r="L1726" s="581"/>
      <c r="M1726" s="571">
        <f>SUBTOTAL(9,M1727:M1733)</f>
        <v>17367000</v>
      </c>
      <c r="N1726" s="571">
        <f>SUBTOTAL(9,N1727:N1733)</f>
        <v>0</v>
      </c>
      <c r="O1726" s="607"/>
      <c r="P1726" s="738">
        <f>SUBTOTAL(9,P1727:P1733)</f>
        <v>1</v>
      </c>
      <c r="Q1726" s="571"/>
      <c r="R1726" s="571">
        <f>SUBTOTAL(9,R1727:R1733)</f>
        <v>4240000</v>
      </c>
      <c r="S1726" s="582"/>
      <c r="T1726" s="621"/>
      <c r="U1726" s="739">
        <f>SUBTOTAL(9,U1727:U1733)</f>
        <v>27.4</v>
      </c>
      <c r="V1726" s="578"/>
      <c r="W1726" s="571"/>
      <c r="X1726" s="571">
        <f>SUBTOTAL(9,X1727:X1733)</f>
        <v>30340000</v>
      </c>
      <c r="Y1726" s="650"/>
      <c r="Z1726" s="586"/>
      <c r="AA1726" s="742"/>
      <c r="AB1726" s="586"/>
      <c r="AC1726" s="586"/>
      <c r="AD1726" s="586"/>
      <c r="AE1726" s="578"/>
      <c r="AF1726" s="712">
        <f>SUBTOTAL(9,AF1727:AF1733)</f>
        <v>0</v>
      </c>
      <c r="AG1726" s="585"/>
      <c r="AH1726" s="585">
        <f>SUBTOTAL(9,AH1727:AH1733)</f>
        <v>0</v>
      </c>
      <c r="AI1726" s="571">
        <f t="shared" si="370"/>
        <v>51947000</v>
      </c>
      <c r="AJ1726" s="578"/>
      <c r="AK1726" s="578"/>
    </row>
    <row r="1727" spans="1:37" s="396" customFormat="1" ht="121.5" outlineLevel="2" x14ac:dyDescent="0.3">
      <c r="A1727" s="447">
        <f>IF(B1726&lt;&gt;0,B1726,A1725)</f>
        <v>145</v>
      </c>
      <c r="B1727" s="557"/>
      <c r="C1727" s="572" t="s">
        <v>1211</v>
      </c>
      <c r="D1727" s="700">
        <v>5</v>
      </c>
      <c r="E1727" s="612">
        <v>86</v>
      </c>
      <c r="F1727" s="612">
        <v>48</v>
      </c>
      <c r="G1727" s="586" t="s">
        <v>2870</v>
      </c>
      <c r="H1727" s="709">
        <f>37.3-H1728</f>
        <v>24.699999999999996</v>
      </c>
      <c r="I1727" s="546" t="str">
        <f t="shared" ref="I1727:I1728" si="384">IF(N1727&gt;0,H1727,"")</f>
        <v/>
      </c>
      <c r="J1727" s="562"/>
      <c r="K1727" s="563">
        <f>IF(G1727&lt;&gt;0,VLOOKUP(G1727,'gia dat'!$A$1:$F$144,5,0)," ")</f>
        <v>465600</v>
      </c>
      <c r="L1727" s="563">
        <f>IF(G1727&lt;&gt;0,VLOOKUP(G1727,'gia dat'!$A$1:$F$144,6,0)," ")</f>
        <v>0</v>
      </c>
      <c r="M1727" s="564">
        <f t="shared" si="374"/>
        <v>11500000</v>
      </c>
      <c r="N1727" s="564">
        <f t="shared" si="375"/>
        <v>0</v>
      </c>
      <c r="O1727" s="572" t="s">
        <v>145</v>
      </c>
      <c r="P1727" s="740">
        <v>1</v>
      </c>
      <c r="Q1727" s="564">
        <f>IF(O1727&lt;&gt;0,VLOOKUP(O1727,'Cây trong'!$A$2:$C$246,3,0)," ")</f>
        <v>4240000</v>
      </c>
      <c r="R1727" s="564">
        <f t="shared" si="363"/>
        <v>4240000</v>
      </c>
      <c r="S1727" s="566" t="s">
        <v>1916</v>
      </c>
      <c r="T1727" s="609" t="s">
        <v>1133</v>
      </c>
      <c r="U1727" s="741">
        <v>27.4</v>
      </c>
      <c r="V1727" s="586"/>
      <c r="W1727" s="564">
        <f>IF(S1727&lt;&gt;0,VLOOKUP(S1727,VKT!$A$2:$G$415,7,0),"")</f>
        <v>1107311</v>
      </c>
      <c r="X1727" s="564">
        <f t="shared" si="373"/>
        <v>30340000</v>
      </c>
      <c r="Y1727" s="650"/>
      <c r="Z1727" s="586"/>
      <c r="AA1727" s="742"/>
      <c r="AB1727" s="586"/>
      <c r="AC1727" s="586"/>
      <c r="AD1727" s="586"/>
      <c r="AE1727" s="586"/>
      <c r="AF1727" s="714"/>
      <c r="AG1727" s="570" t="str">
        <f>IF(AE1727&lt;&gt;0,VLOOKUP(AE1727,ODDS!$A$2:$C$13,3,0),"")</f>
        <v/>
      </c>
      <c r="AH1727" s="570"/>
      <c r="AI1727" s="571" t="str">
        <f t="shared" si="370"/>
        <v xml:space="preserve"> </v>
      </c>
      <c r="AJ1727" s="586" t="s">
        <v>1210</v>
      </c>
      <c r="AK1727" s="586" t="s">
        <v>2771</v>
      </c>
    </row>
    <row r="1728" spans="1:37" s="394" customFormat="1" ht="121.5" outlineLevel="2" x14ac:dyDescent="0.3">
      <c r="A1728" s="447">
        <f t="shared" ref="A1728:A1733" si="385">IF(B1727&lt;&gt;0,B1727,A1727)</f>
        <v>145</v>
      </c>
      <c r="B1728" s="557"/>
      <c r="C1728" s="572" t="s">
        <v>1604</v>
      </c>
      <c r="D1728" s="700"/>
      <c r="E1728" s="612"/>
      <c r="F1728" s="612"/>
      <c r="G1728" s="586" t="s">
        <v>2874</v>
      </c>
      <c r="H1728" s="709">
        <v>12.6</v>
      </c>
      <c r="I1728" s="546" t="str">
        <f t="shared" si="384"/>
        <v/>
      </c>
      <c r="J1728" s="562"/>
      <c r="K1728" s="563">
        <f>IF(G1728&lt;&gt;0,VLOOKUP(G1728,'gia dat'!$A$1:$F$144,5,0)," ")</f>
        <v>465600</v>
      </c>
      <c r="L1728" s="563">
        <f>IF(G1728&lt;&gt;0,VLOOKUP(G1728,'gia dat'!$A$1:$F$144,6,0)," ")</f>
        <v>0</v>
      </c>
      <c r="M1728" s="564">
        <f t="shared" si="374"/>
        <v>5867000</v>
      </c>
      <c r="N1728" s="564">
        <f t="shared" si="375"/>
        <v>0</v>
      </c>
      <c r="O1728" s="572"/>
      <c r="P1728" s="740"/>
      <c r="Q1728" s="564" t="str">
        <f>IF(O1728&lt;&gt;0,VLOOKUP(O1728,'Cây trong'!$A$2:$C$246,3,0)," ")</f>
        <v xml:space="preserve"> </v>
      </c>
      <c r="R1728" s="564" t="str">
        <f t="shared" si="363"/>
        <v xml:space="preserve"> </v>
      </c>
      <c r="S1728" s="566"/>
      <c r="T1728" s="609"/>
      <c r="U1728" s="741"/>
      <c r="V1728" s="586"/>
      <c r="W1728" s="564" t="str">
        <f>IF(S1728&lt;&gt;0,VLOOKUP(S1728,VKT!$A$2:$G$415,7,0),"")</f>
        <v/>
      </c>
      <c r="X1728" s="564" t="str">
        <f t="shared" si="373"/>
        <v xml:space="preserve"> </v>
      </c>
      <c r="Y1728" s="650"/>
      <c r="Z1728" s="586"/>
      <c r="AA1728" s="742"/>
      <c r="AB1728" s="586"/>
      <c r="AC1728" s="586"/>
      <c r="AD1728" s="586"/>
      <c r="AE1728" s="586"/>
      <c r="AF1728" s="714"/>
      <c r="AG1728" s="570" t="str">
        <f>IF(AE1728&lt;&gt;0,VLOOKUP(AE1728,ODDS!$A$2:$C$13,3,0),"")</f>
        <v/>
      </c>
      <c r="AH1728" s="570" t="str">
        <f t="shared" si="364"/>
        <v xml:space="preserve"> </v>
      </c>
      <c r="AI1728" s="571" t="str">
        <f t="shared" si="370"/>
        <v xml:space="preserve"> </v>
      </c>
      <c r="AJ1728" s="586" t="s">
        <v>1212</v>
      </c>
      <c r="AK1728" s="558" t="s">
        <v>2450</v>
      </c>
    </row>
    <row r="1729" spans="1:37" s="394" customFormat="1" ht="101.25" outlineLevel="2" x14ac:dyDescent="0.3">
      <c r="A1729" s="447">
        <f t="shared" si="385"/>
        <v>145</v>
      </c>
      <c r="B1729" s="557"/>
      <c r="C1729" s="572"/>
      <c r="D1729" s="700"/>
      <c r="E1729" s="612"/>
      <c r="F1729" s="612"/>
      <c r="G1729" s="586"/>
      <c r="H1729" s="709"/>
      <c r="I1729" s="546"/>
      <c r="J1729" s="562"/>
      <c r="K1729" s="563" t="str">
        <f>IF(G1729&lt;&gt;0,VLOOKUP(G1729,'gia dat'!$A$1:$F$144,5,0)," ")</f>
        <v xml:space="preserve"> </v>
      </c>
      <c r="L1729" s="563" t="str">
        <f>IF(G1729&lt;&gt;0,VLOOKUP(G1729,'gia dat'!$A$1:$F$144,6,0)," ")</f>
        <v xml:space="preserve"> </v>
      </c>
      <c r="M1729" s="564" t="str">
        <f t="shared" si="374"/>
        <v xml:space="preserve"> </v>
      </c>
      <c r="N1729" s="564" t="str">
        <f t="shared" si="375"/>
        <v xml:space="preserve"> </v>
      </c>
      <c r="O1729" s="572"/>
      <c r="P1729" s="740"/>
      <c r="Q1729" s="564" t="str">
        <f>IF(O1729&lt;&gt;0,VLOOKUP(O1729,'Cây trong'!$A$2:$C$246,3,0)," ")</f>
        <v xml:space="preserve"> </v>
      </c>
      <c r="R1729" s="564" t="str">
        <f t="shared" si="363"/>
        <v xml:space="preserve"> </v>
      </c>
      <c r="S1729" s="566"/>
      <c r="T1729" s="609"/>
      <c r="U1729" s="741"/>
      <c r="V1729" s="586"/>
      <c r="W1729" s="564" t="str">
        <f>IF(S1729&lt;&gt;0,VLOOKUP(S1729,VKT!$A$2:$G$415,7,0),"")</f>
        <v/>
      </c>
      <c r="X1729" s="564" t="str">
        <f t="shared" si="373"/>
        <v xml:space="preserve"> </v>
      </c>
      <c r="Y1729" s="650"/>
      <c r="Z1729" s="586"/>
      <c r="AA1729" s="742"/>
      <c r="AB1729" s="586"/>
      <c r="AC1729" s="586"/>
      <c r="AD1729" s="586"/>
      <c r="AE1729" s="586"/>
      <c r="AF1729" s="714"/>
      <c r="AG1729" s="570" t="str">
        <f>IF(AE1729&lt;&gt;0,VLOOKUP(AE1729,ODDS!$A$2:$C$13,3,0),"")</f>
        <v/>
      </c>
      <c r="AH1729" s="570" t="str">
        <f t="shared" si="364"/>
        <v xml:space="preserve"> </v>
      </c>
      <c r="AI1729" s="571" t="str">
        <f t="shared" si="370"/>
        <v xml:space="preserve"> </v>
      </c>
      <c r="AJ1729" s="586" t="s">
        <v>1146</v>
      </c>
      <c r="AK1729" s="558" t="s">
        <v>2449</v>
      </c>
    </row>
    <row r="1730" spans="1:37" s="394" customFormat="1" ht="101.25" outlineLevel="2" x14ac:dyDescent="0.3">
      <c r="A1730" s="447">
        <f t="shared" si="385"/>
        <v>145</v>
      </c>
      <c r="B1730" s="557"/>
      <c r="C1730" s="572"/>
      <c r="D1730" s="700"/>
      <c r="E1730" s="612"/>
      <c r="F1730" s="612"/>
      <c r="G1730" s="586"/>
      <c r="H1730" s="709"/>
      <c r="I1730" s="546"/>
      <c r="J1730" s="562"/>
      <c r="K1730" s="563" t="str">
        <f>IF(G1730&lt;&gt;0,VLOOKUP(G1730,'gia dat'!$A$1:$F$144,5,0)," ")</f>
        <v xml:space="preserve"> </v>
      </c>
      <c r="L1730" s="563" t="str">
        <f>IF(G1730&lt;&gt;0,VLOOKUP(G1730,'gia dat'!$A$1:$F$144,6,0)," ")</f>
        <v xml:space="preserve"> </v>
      </c>
      <c r="M1730" s="564" t="str">
        <f t="shared" si="374"/>
        <v xml:space="preserve"> </v>
      </c>
      <c r="N1730" s="564" t="str">
        <f t="shared" si="375"/>
        <v xml:space="preserve"> </v>
      </c>
      <c r="O1730" s="572"/>
      <c r="P1730" s="740"/>
      <c r="Q1730" s="564" t="str">
        <f>IF(O1730&lt;&gt;0,VLOOKUP(O1730,'Cây trong'!$A$2:$C$246,3,0)," ")</f>
        <v xml:space="preserve"> </v>
      </c>
      <c r="R1730" s="564" t="str">
        <f t="shared" si="363"/>
        <v xml:space="preserve"> </v>
      </c>
      <c r="S1730" s="566"/>
      <c r="T1730" s="609"/>
      <c r="U1730" s="741"/>
      <c r="V1730" s="586"/>
      <c r="W1730" s="564" t="str">
        <f>IF(S1730&lt;&gt;0,VLOOKUP(S1730,VKT!$A$2:$G$415,7,0),"")</f>
        <v/>
      </c>
      <c r="X1730" s="564" t="str">
        <f t="shared" si="373"/>
        <v xml:space="preserve"> </v>
      </c>
      <c r="Y1730" s="650"/>
      <c r="Z1730" s="586"/>
      <c r="AA1730" s="742"/>
      <c r="AB1730" s="586"/>
      <c r="AC1730" s="586"/>
      <c r="AD1730" s="586"/>
      <c r="AE1730" s="586"/>
      <c r="AF1730" s="714"/>
      <c r="AG1730" s="570" t="str">
        <f>IF(AE1730&lt;&gt;0,VLOOKUP(AE1730,ODDS!$A$2:$C$13,3,0),"")</f>
        <v/>
      </c>
      <c r="AH1730" s="570" t="str">
        <f t="shared" si="364"/>
        <v xml:space="preserve"> </v>
      </c>
      <c r="AI1730" s="571" t="str">
        <f t="shared" si="370"/>
        <v xml:space="preserve"> </v>
      </c>
      <c r="AJ1730" s="731"/>
      <c r="AK1730" s="586" t="s">
        <v>2800</v>
      </c>
    </row>
    <row r="1731" spans="1:37" s="394" customFormat="1" ht="20.25" outlineLevel="2" x14ac:dyDescent="0.3">
      <c r="A1731" s="447">
        <f t="shared" si="385"/>
        <v>145</v>
      </c>
      <c r="B1731" s="557"/>
      <c r="C1731" s="572"/>
      <c r="D1731" s="700"/>
      <c r="E1731" s="612"/>
      <c r="F1731" s="612"/>
      <c r="G1731" s="586"/>
      <c r="H1731" s="709"/>
      <c r="I1731" s="546"/>
      <c r="J1731" s="562"/>
      <c r="K1731" s="563" t="str">
        <f>IF(G1731&lt;&gt;0,VLOOKUP(G1731,'gia dat'!$A$1:$F$144,5,0)," ")</f>
        <v xml:space="preserve"> </v>
      </c>
      <c r="L1731" s="563" t="str">
        <f>IF(G1731&lt;&gt;0,VLOOKUP(G1731,'gia dat'!$A$1:$F$144,6,0)," ")</f>
        <v xml:space="preserve"> </v>
      </c>
      <c r="M1731" s="564" t="str">
        <f t="shared" si="374"/>
        <v xml:space="preserve"> </v>
      </c>
      <c r="N1731" s="564" t="str">
        <f t="shared" si="375"/>
        <v xml:space="preserve"> </v>
      </c>
      <c r="O1731" s="572"/>
      <c r="P1731" s="740"/>
      <c r="Q1731" s="564" t="str">
        <f>IF(O1731&lt;&gt;0,VLOOKUP(O1731,'Cây trong'!$A$2:$C$246,3,0)," ")</f>
        <v xml:space="preserve"> </v>
      </c>
      <c r="R1731" s="564" t="str">
        <f t="shared" si="363"/>
        <v xml:space="preserve"> </v>
      </c>
      <c r="S1731" s="566"/>
      <c r="T1731" s="609"/>
      <c r="U1731" s="741"/>
      <c r="V1731" s="586"/>
      <c r="W1731" s="564" t="str">
        <f>IF(S1731&lt;&gt;0,VLOOKUP(S1731,VKT!$A$2:$G$415,7,0),"")</f>
        <v/>
      </c>
      <c r="X1731" s="564" t="str">
        <f t="shared" si="373"/>
        <v xml:space="preserve"> </v>
      </c>
      <c r="Y1731" s="650"/>
      <c r="Z1731" s="586"/>
      <c r="AA1731" s="742"/>
      <c r="AB1731" s="586"/>
      <c r="AC1731" s="586"/>
      <c r="AD1731" s="586"/>
      <c r="AE1731" s="586"/>
      <c r="AF1731" s="714"/>
      <c r="AG1731" s="570" t="str">
        <f>IF(AE1731&lt;&gt;0,VLOOKUP(AE1731,ODDS!$A$2:$C$13,3,0),"")</f>
        <v/>
      </c>
      <c r="AH1731" s="570" t="str">
        <f t="shared" si="364"/>
        <v xml:space="preserve"> </v>
      </c>
      <c r="AI1731" s="571" t="str">
        <f t="shared" si="370"/>
        <v xml:space="preserve"> </v>
      </c>
      <c r="AJ1731" s="586"/>
      <c r="AK1731" s="586"/>
    </row>
    <row r="1732" spans="1:37" s="394" customFormat="1" ht="20.25" outlineLevel="2" x14ac:dyDescent="0.3">
      <c r="A1732" s="447">
        <f t="shared" si="385"/>
        <v>145</v>
      </c>
      <c r="B1732" s="557"/>
      <c r="C1732" s="572"/>
      <c r="D1732" s="700"/>
      <c r="E1732" s="612"/>
      <c r="F1732" s="612"/>
      <c r="G1732" s="586"/>
      <c r="H1732" s="709"/>
      <c r="I1732" s="546"/>
      <c r="J1732" s="562"/>
      <c r="K1732" s="563" t="str">
        <f>IF(G1732&lt;&gt;0,VLOOKUP(G1732,'gia dat'!$A$1:$F$144,5,0)," ")</f>
        <v xml:space="preserve"> </v>
      </c>
      <c r="L1732" s="563" t="str">
        <f>IF(G1732&lt;&gt;0,VLOOKUP(G1732,'gia dat'!$A$1:$F$144,6,0)," ")</f>
        <v xml:space="preserve"> </v>
      </c>
      <c r="M1732" s="564" t="str">
        <f t="shared" si="374"/>
        <v xml:space="preserve"> </v>
      </c>
      <c r="N1732" s="564" t="str">
        <f t="shared" si="375"/>
        <v xml:space="preserve"> </v>
      </c>
      <c r="O1732" s="572"/>
      <c r="P1732" s="740"/>
      <c r="Q1732" s="564" t="str">
        <f>IF(O1732&lt;&gt;0,VLOOKUP(O1732,'Cây trong'!$A$2:$C$246,3,0)," ")</f>
        <v xml:space="preserve"> </v>
      </c>
      <c r="R1732" s="564" t="str">
        <f t="shared" si="363"/>
        <v xml:space="preserve"> </v>
      </c>
      <c r="S1732" s="566"/>
      <c r="T1732" s="609"/>
      <c r="U1732" s="741"/>
      <c r="V1732" s="586"/>
      <c r="W1732" s="564" t="str">
        <f>IF(S1732&lt;&gt;0,VLOOKUP(S1732,VKT!$A$2:$G$415,7,0),"")</f>
        <v/>
      </c>
      <c r="X1732" s="564" t="str">
        <f t="shared" si="373"/>
        <v xml:space="preserve"> </v>
      </c>
      <c r="Y1732" s="650"/>
      <c r="Z1732" s="586"/>
      <c r="AA1732" s="742"/>
      <c r="AB1732" s="586"/>
      <c r="AC1732" s="586"/>
      <c r="AD1732" s="586"/>
      <c r="AE1732" s="586"/>
      <c r="AF1732" s="714"/>
      <c r="AG1732" s="570" t="str">
        <f>IF(AE1732&lt;&gt;0,VLOOKUP(AE1732,ODDS!$A$2:$C$13,3,0),"")</f>
        <v/>
      </c>
      <c r="AH1732" s="570" t="str">
        <f t="shared" si="364"/>
        <v xml:space="preserve"> </v>
      </c>
      <c r="AI1732" s="571" t="str">
        <f t="shared" si="370"/>
        <v xml:space="preserve"> </v>
      </c>
      <c r="AJ1732" s="586"/>
      <c r="AK1732" s="586"/>
    </row>
    <row r="1733" spans="1:37" s="394" customFormat="1" ht="20.25" outlineLevel="2" x14ac:dyDescent="0.3">
      <c r="A1733" s="447">
        <f t="shared" si="385"/>
        <v>145</v>
      </c>
      <c r="B1733" s="557"/>
      <c r="C1733" s="607"/>
      <c r="D1733" s="700"/>
      <c r="E1733" s="612"/>
      <c r="F1733" s="612"/>
      <c r="G1733" s="586"/>
      <c r="H1733" s="709"/>
      <c r="I1733" s="546"/>
      <c r="J1733" s="562"/>
      <c r="K1733" s="563" t="str">
        <f>IF(G1733&lt;&gt;0,VLOOKUP(G1733,'gia dat'!$A$1:$F$144,5,0)," ")</f>
        <v xml:space="preserve"> </v>
      </c>
      <c r="L1733" s="563" t="str">
        <f>IF(G1733&lt;&gt;0,VLOOKUP(G1733,'gia dat'!$A$1:$F$144,6,0)," ")</f>
        <v xml:space="preserve"> </v>
      </c>
      <c r="M1733" s="564" t="str">
        <f t="shared" si="374"/>
        <v xml:space="preserve"> </v>
      </c>
      <c r="N1733" s="564" t="str">
        <f t="shared" si="375"/>
        <v xml:space="preserve"> </v>
      </c>
      <c r="O1733" s="572"/>
      <c r="P1733" s="740"/>
      <c r="Q1733" s="564" t="str">
        <f>IF(O1733&lt;&gt;0,VLOOKUP(O1733,'Cây trong'!$A$2:$C$246,3,0)," ")</f>
        <v xml:space="preserve"> </v>
      </c>
      <c r="R1733" s="564" t="str">
        <f t="shared" si="363"/>
        <v xml:space="preserve"> </v>
      </c>
      <c r="S1733" s="566"/>
      <c r="T1733" s="609"/>
      <c r="U1733" s="741"/>
      <c r="V1733" s="586"/>
      <c r="W1733" s="564" t="str">
        <f>IF(S1733&lt;&gt;0,VLOOKUP(S1733,VKT!$A$2:$G$415,7,0),"")</f>
        <v/>
      </c>
      <c r="X1733" s="564" t="str">
        <f t="shared" si="373"/>
        <v xml:space="preserve"> </v>
      </c>
      <c r="Y1733" s="650"/>
      <c r="Z1733" s="586"/>
      <c r="AA1733" s="742"/>
      <c r="AB1733" s="586"/>
      <c r="AC1733" s="586"/>
      <c r="AD1733" s="586"/>
      <c r="AE1733" s="586"/>
      <c r="AF1733" s="714"/>
      <c r="AG1733" s="570" t="str">
        <f>IF(AE1733&lt;&gt;0,VLOOKUP(AE1733,ODDS!$A$2:$C$13,3,0),"")</f>
        <v/>
      </c>
      <c r="AH1733" s="570" t="str">
        <f t="shared" si="364"/>
        <v xml:space="preserve"> </v>
      </c>
      <c r="AI1733" s="571" t="str">
        <f t="shared" si="370"/>
        <v xml:space="preserve"> </v>
      </c>
      <c r="AJ1733" s="586"/>
      <c r="AK1733" s="586"/>
    </row>
    <row r="1734" spans="1:37" s="396" customFormat="1" ht="20.25" outlineLevel="1" x14ac:dyDescent="0.25">
      <c r="A1734" s="467" t="s">
        <v>2564</v>
      </c>
      <c r="B1734" s="576">
        <v>146</v>
      </c>
      <c r="C1734" s="607" t="s">
        <v>1214</v>
      </c>
      <c r="D1734" s="706"/>
      <c r="E1734" s="642"/>
      <c r="F1734" s="642"/>
      <c r="G1734" s="578"/>
      <c r="H1734" s="707">
        <f>SUBTOTAL(9,H1735:H1756)</f>
        <v>960.8</v>
      </c>
      <c r="I1734" s="579">
        <f>SUBTOTAL(9,I1735:I1740)</f>
        <v>889.3</v>
      </c>
      <c r="J1734" s="580"/>
      <c r="K1734" s="581"/>
      <c r="L1734" s="581"/>
      <c r="M1734" s="571">
        <f>SUBTOTAL(9,M1735:M1756)</f>
        <v>447348000</v>
      </c>
      <c r="N1734" s="571">
        <f>SUBTOTAL(9,N1735:N1756)</f>
        <v>1242174000</v>
      </c>
      <c r="O1734" s="607"/>
      <c r="P1734" s="738">
        <f>SUBTOTAL(9,P1735:P1756)</f>
        <v>843</v>
      </c>
      <c r="Q1734" s="571"/>
      <c r="R1734" s="571">
        <f>SUBTOTAL(9,R1735:R1756)</f>
        <v>75185000</v>
      </c>
      <c r="S1734" s="582"/>
      <c r="T1734" s="621"/>
      <c r="U1734" s="739">
        <f>SUBTOTAL(9,U1735:U1756)</f>
        <v>289</v>
      </c>
      <c r="V1734" s="578"/>
      <c r="W1734" s="571"/>
      <c r="X1734" s="571">
        <f>SUBTOTAL(9,X1735:X1756)</f>
        <v>201146000</v>
      </c>
      <c r="Y1734" s="650"/>
      <c r="Z1734" s="586"/>
      <c r="AA1734" s="742"/>
      <c r="AB1734" s="586"/>
      <c r="AC1734" s="586"/>
      <c r="AD1734" s="586"/>
      <c r="AE1734" s="578"/>
      <c r="AF1734" s="712">
        <f>SUBTOTAL(9,AF1735:AF1756)</f>
        <v>0</v>
      </c>
      <c r="AG1734" s="585"/>
      <c r="AH1734" s="585">
        <f>SUBTOTAL(9,AH1735:AH1756)</f>
        <v>0</v>
      </c>
      <c r="AI1734" s="571">
        <f t="shared" si="370"/>
        <v>1965853000</v>
      </c>
      <c r="AJ1734" s="578"/>
      <c r="AK1734" s="578"/>
    </row>
    <row r="1735" spans="1:37" s="396" customFormat="1" ht="121.5" outlineLevel="2" x14ac:dyDescent="0.3">
      <c r="A1735" s="447">
        <f>IF(B1734&lt;&gt;0,B1734,A1733)</f>
        <v>146</v>
      </c>
      <c r="B1735" s="557"/>
      <c r="C1735" s="572" t="s">
        <v>1217</v>
      </c>
      <c r="D1735" s="700">
        <v>4</v>
      </c>
      <c r="E1735" s="612">
        <v>86</v>
      </c>
      <c r="F1735" s="612">
        <v>714</v>
      </c>
      <c r="G1735" s="586" t="s">
        <v>2871</v>
      </c>
      <c r="H1735" s="709">
        <f>960.8-H1736</f>
        <v>889.3</v>
      </c>
      <c r="I1735" s="546">
        <f t="shared" ref="I1735:I1736" si="386">IF(N1735&gt;0,H1735,"")</f>
        <v>889.3</v>
      </c>
      <c r="J1735" s="562"/>
      <c r="K1735" s="563">
        <f>IF(G1735&lt;&gt;0,VLOOKUP(G1735,'gia dat'!$A$1:$F$144,5,0)," ")</f>
        <v>465600</v>
      </c>
      <c r="L1735" s="563">
        <f>IF(G1735&lt;&gt;0,VLOOKUP(G1735,'gia dat'!$A$1:$F$144,6,0)," ")</f>
        <v>1396800</v>
      </c>
      <c r="M1735" s="564">
        <f t="shared" si="374"/>
        <v>414058000</v>
      </c>
      <c r="N1735" s="564">
        <f t="shared" si="375"/>
        <v>1242174000</v>
      </c>
      <c r="O1735" s="572" t="s">
        <v>1215</v>
      </c>
      <c r="P1735" s="740">
        <v>5</v>
      </c>
      <c r="Q1735" s="564">
        <f>IF(O1735&lt;&gt;0,VLOOKUP(O1735,'Cây trong'!$A$2:$C$246,3,0)," ")</f>
        <v>580000</v>
      </c>
      <c r="R1735" s="564">
        <f t="shared" si="363"/>
        <v>2900000</v>
      </c>
      <c r="S1735" s="566" t="s">
        <v>1980</v>
      </c>
      <c r="T1735" s="609" t="s">
        <v>1133</v>
      </c>
      <c r="U1735" s="741">
        <v>31.5</v>
      </c>
      <c r="V1735" s="586"/>
      <c r="W1735" s="564">
        <f>IF(S1735&lt;&gt;0,VLOOKUP(S1735,VKT!$A$2:$G$415,7,0),"")</f>
        <v>684506</v>
      </c>
      <c r="X1735" s="564">
        <f t="shared" si="373"/>
        <v>21562000</v>
      </c>
      <c r="Y1735" s="650"/>
      <c r="Z1735" s="586"/>
      <c r="AA1735" s="742"/>
      <c r="AB1735" s="586"/>
      <c r="AC1735" s="586"/>
      <c r="AD1735" s="586"/>
      <c r="AE1735" s="586"/>
      <c r="AF1735" s="714"/>
      <c r="AG1735" s="570" t="str">
        <f>IF(AE1735&lt;&gt;0,VLOOKUP(AE1735,ODDS!$A$2:$C$13,3,0),"")</f>
        <v/>
      </c>
      <c r="AH1735" s="570"/>
      <c r="AI1735" s="571" t="str">
        <f t="shared" si="370"/>
        <v xml:space="preserve"> </v>
      </c>
      <c r="AJ1735" s="586" t="s">
        <v>1216</v>
      </c>
      <c r="AK1735" s="586" t="s">
        <v>2771</v>
      </c>
    </row>
    <row r="1736" spans="1:37" s="394" customFormat="1" ht="101.25" outlineLevel="2" x14ac:dyDescent="0.3">
      <c r="A1736" s="447">
        <f t="shared" ref="A1736:A1756" si="387">IF(B1735&lt;&gt;0,B1735,A1735)</f>
        <v>146</v>
      </c>
      <c r="B1736" s="557"/>
      <c r="C1736" s="572" t="s">
        <v>1605</v>
      </c>
      <c r="D1736" s="700"/>
      <c r="E1736" s="612"/>
      <c r="F1736" s="612"/>
      <c r="G1736" s="586" t="s">
        <v>2874</v>
      </c>
      <c r="H1736" s="709">
        <v>71.5</v>
      </c>
      <c r="I1736" s="546" t="str">
        <f t="shared" si="386"/>
        <v/>
      </c>
      <c r="J1736" s="562"/>
      <c r="K1736" s="563">
        <f>IF(G1736&lt;&gt;0,VLOOKUP(G1736,'gia dat'!$A$1:$F$144,5,0)," ")</f>
        <v>465600</v>
      </c>
      <c r="L1736" s="563">
        <f>IF(G1736&lt;&gt;0,VLOOKUP(G1736,'gia dat'!$A$1:$F$144,6,0)," ")</f>
        <v>0</v>
      </c>
      <c r="M1736" s="564">
        <f t="shared" si="374"/>
        <v>33290000</v>
      </c>
      <c r="N1736" s="564">
        <f t="shared" si="375"/>
        <v>0</v>
      </c>
      <c r="O1736" s="572" t="s">
        <v>1218</v>
      </c>
      <c r="P1736" s="740">
        <v>2</v>
      </c>
      <c r="Q1736" s="564">
        <f>IF(O1736&lt;&gt;0,VLOOKUP(O1736,'Cây trong'!$A$2:$C$246,3,0)," ")</f>
        <v>571000</v>
      </c>
      <c r="R1736" s="564">
        <f t="shared" si="363"/>
        <v>1142000</v>
      </c>
      <c r="S1736" s="566" t="s">
        <v>2146</v>
      </c>
      <c r="T1736" s="609" t="s">
        <v>1133</v>
      </c>
      <c r="U1736" s="741">
        <v>188.3</v>
      </c>
      <c r="V1736" s="586"/>
      <c r="W1736" s="564">
        <f>IF(S1736&lt;&gt;0,VLOOKUP(S1736,VKT!$A$2:$G$415,7,0),"")</f>
        <v>840258</v>
      </c>
      <c r="X1736" s="564">
        <f t="shared" si="373"/>
        <v>158221000</v>
      </c>
      <c r="Y1736" s="650"/>
      <c r="Z1736" s="586"/>
      <c r="AA1736" s="742"/>
      <c r="AB1736" s="586"/>
      <c r="AC1736" s="586"/>
      <c r="AD1736" s="586"/>
      <c r="AE1736" s="586"/>
      <c r="AF1736" s="714"/>
      <c r="AG1736" s="570" t="str">
        <f>IF(AE1736&lt;&gt;0,VLOOKUP(AE1736,ODDS!$A$2:$C$13,3,0),"")</f>
        <v/>
      </c>
      <c r="AH1736" s="570" t="str">
        <f t="shared" si="364"/>
        <v xml:space="preserve"> </v>
      </c>
      <c r="AI1736" s="571" t="str">
        <f t="shared" si="370"/>
        <v xml:space="preserve"> </v>
      </c>
      <c r="AJ1736" s="586" t="s">
        <v>1220</v>
      </c>
      <c r="AK1736" s="558" t="s">
        <v>2448</v>
      </c>
    </row>
    <row r="1737" spans="1:37" s="394" customFormat="1" ht="121.5" outlineLevel="2" x14ac:dyDescent="0.3">
      <c r="A1737" s="447">
        <f t="shared" si="387"/>
        <v>146</v>
      </c>
      <c r="B1737" s="557"/>
      <c r="C1737" s="572"/>
      <c r="D1737" s="700"/>
      <c r="E1737" s="612"/>
      <c r="F1737" s="612"/>
      <c r="G1737" s="586"/>
      <c r="H1737" s="709"/>
      <c r="I1737" s="546"/>
      <c r="J1737" s="562"/>
      <c r="K1737" s="563" t="str">
        <f>IF(G1737&lt;&gt;0,VLOOKUP(G1737,'gia dat'!$A$1:$F$144,5,0)," ")</f>
        <v xml:space="preserve"> </v>
      </c>
      <c r="L1737" s="563" t="str">
        <f>IF(G1737&lt;&gt;0,VLOOKUP(G1737,'gia dat'!$A$1:$F$144,6,0)," ")</f>
        <v xml:space="preserve"> </v>
      </c>
      <c r="M1737" s="564" t="str">
        <f t="shared" si="374"/>
        <v xml:space="preserve"> </v>
      </c>
      <c r="N1737" s="564" t="str">
        <f t="shared" si="375"/>
        <v xml:space="preserve"> </v>
      </c>
      <c r="O1737" s="572" t="s">
        <v>1221</v>
      </c>
      <c r="P1737" s="740">
        <v>4</v>
      </c>
      <c r="Q1737" s="564">
        <f>IF(O1737&lt;&gt;0,VLOOKUP(O1737,'Cây trong'!$A$2:$C$246,3,0)," ")</f>
        <v>280000</v>
      </c>
      <c r="R1737" s="564">
        <f t="shared" si="363"/>
        <v>1120000</v>
      </c>
      <c r="S1737" s="566" t="s">
        <v>2147</v>
      </c>
      <c r="T1737" s="609" t="s">
        <v>1133</v>
      </c>
      <c r="U1737" s="741">
        <v>29.2</v>
      </c>
      <c r="V1737" s="586"/>
      <c r="W1737" s="564">
        <f>IF(S1737&lt;&gt;0,VLOOKUP(S1737,VKT!$A$2:$G$415,7,0),"")</f>
        <v>441467</v>
      </c>
      <c r="X1737" s="564">
        <f t="shared" si="373"/>
        <v>12891000</v>
      </c>
      <c r="Y1737" s="650"/>
      <c r="Z1737" s="586"/>
      <c r="AA1737" s="742"/>
      <c r="AB1737" s="586"/>
      <c r="AC1737" s="586"/>
      <c r="AD1737" s="586"/>
      <c r="AE1737" s="586"/>
      <c r="AF1737" s="714"/>
      <c r="AG1737" s="570" t="str">
        <f>IF(AE1737&lt;&gt;0,VLOOKUP(AE1737,ODDS!$A$2:$C$13,3,0),"")</f>
        <v/>
      </c>
      <c r="AH1737" s="570" t="str">
        <f t="shared" si="364"/>
        <v xml:space="preserve"> </v>
      </c>
      <c r="AI1737" s="571" t="str">
        <f t="shared" ref="AI1737:AI1800" si="388">IF(B1737&lt;&gt;0,M1737+N1737+R1737+X1737+AH1737," ")</f>
        <v xml:space="preserve"> </v>
      </c>
      <c r="AJ1737" s="586" t="s">
        <v>1226</v>
      </c>
      <c r="AK1737" s="558" t="s">
        <v>2450</v>
      </c>
    </row>
    <row r="1738" spans="1:37" s="394" customFormat="1" ht="101.25" outlineLevel="2" x14ac:dyDescent="0.3">
      <c r="A1738" s="447">
        <f t="shared" si="387"/>
        <v>146</v>
      </c>
      <c r="B1738" s="557"/>
      <c r="C1738" s="572"/>
      <c r="D1738" s="700"/>
      <c r="E1738" s="612"/>
      <c r="F1738" s="612"/>
      <c r="G1738" s="586"/>
      <c r="H1738" s="709"/>
      <c r="I1738" s="546"/>
      <c r="J1738" s="562"/>
      <c r="K1738" s="563" t="str">
        <f>IF(G1738&lt;&gt;0,VLOOKUP(G1738,'gia dat'!$A$1:$F$144,5,0)," ")</f>
        <v xml:space="preserve"> </v>
      </c>
      <c r="L1738" s="563" t="str">
        <f>IF(G1738&lt;&gt;0,VLOOKUP(G1738,'gia dat'!$A$1:$F$144,6,0)," ")</f>
        <v xml:space="preserve"> </v>
      </c>
      <c r="M1738" s="564" t="str">
        <f t="shared" si="374"/>
        <v xml:space="preserve"> </v>
      </c>
      <c r="N1738" s="564" t="str">
        <f t="shared" si="375"/>
        <v xml:space="preserve"> </v>
      </c>
      <c r="O1738" s="572" t="s">
        <v>1224</v>
      </c>
      <c r="P1738" s="740">
        <v>1</v>
      </c>
      <c r="Q1738" s="564">
        <f>IF(O1738&lt;&gt;0,VLOOKUP(O1738,'Cây trong'!$A$2:$C$246,3,0)," ")</f>
        <v>667000</v>
      </c>
      <c r="R1738" s="564">
        <f t="shared" si="363"/>
        <v>667000</v>
      </c>
      <c r="S1738" s="566" t="s">
        <v>2148</v>
      </c>
      <c r="T1738" s="609" t="s">
        <v>1133</v>
      </c>
      <c r="U1738" s="741">
        <v>40</v>
      </c>
      <c r="V1738" s="586"/>
      <c r="W1738" s="564">
        <f>IF(S1738&lt;&gt;0,VLOOKUP(S1738,VKT!$A$2:$G$415,7,0),"")</f>
        <v>211811</v>
      </c>
      <c r="X1738" s="564">
        <f t="shared" si="373"/>
        <v>8472000</v>
      </c>
      <c r="Y1738" s="650"/>
      <c r="Z1738" s="586"/>
      <c r="AA1738" s="742"/>
      <c r="AB1738" s="586"/>
      <c r="AC1738" s="586"/>
      <c r="AD1738" s="586"/>
      <c r="AE1738" s="586"/>
      <c r="AF1738" s="714"/>
      <c r="AG1738" s="570" t="str">
        <f>IF(AE1738&lt;&gt;0,VLOOKUP(AE1738,ODDS!$A$2:$C$13,3,0),"")</f>
        <v/>
      </c>
      <c r="AH1738" s="570" t="str">
        <f t="shared" si="364"/>
        <v xml:space="preserve"> </v>
      </c>
      <c r="AI1738" s="571" t="str">
        <f t="shared" si="388"/>
        <v xml:space="preserve"> </v>
      </c>
      <c r="AJ1738" s="586" t="s">
        <v>2074</v>
      </c>
      <c r="AK1738" s="558" t="s">
        <v>2449</v>
      </c>
    </row>
    <row r="1739" spans="1:37" s="394" customFormat="1" ht="101.25" outlineLevel="2" x14ac:dyDescent="0.3">
      <c r="A1739" s="447">
        <f t="shared" si="387"/>
        <v>146</v>
      </c>
      <c r="B1739" s="557"/>
      <c r="C1739" s="572"/>
      <c r="D1739" s="700"/>
      <c r="E1739" s="612"/>
      <c r="F1739" s="612"/>
      <c r="G1739" s="586"/>
      <c r="H1739" s="709"/>
      <c r="I1739" s="546"/>
      <c r="J1739" s="562"/>
      <c r="K1739" s="563" t="str">
        <f>IF(G1739&lt;&gt;0,VLOOKUP(G1739,'gia dat'!$A$1:$F$144,5,0)," ")</f>
        <v xml:space="preserve"> </v>
      </c>
      <c r="L1739" s="563" t="str">
        <f>IF(G1739&lt;&gt;0,VLOOKUP(G1739,'gia dat'!$A$1:$F$144,6,0)," ")</f>
        <v xml:space="preserve"> </v>
      </c>
      <c r="M1739" s="564" t="str">
        <f t="shared" si="374"/>
        <v xml:space="preserve"> </v>
      </c>
      <c r="N1739" s="564" t="str">
        <f t="shared" si="375"/>
        <v xml:space="preserve"> </v>
      </c>
      <c r="O1739" s="572" t="s">
        <v>1227</v>
      </c>
      <c r="P1739" s="740">
        <v>1</v>
      </c>
      <c r="Q1739" s="564">
        <f>IF(O1739&lt;&gt;0,VLOOKUP(O1739,'Cây trong'!$A$2:$C$246,3,0)," ")</f>
        <v>800000</v>
      </c>
      <c r="R1739" s="564">
        <f t="shared" si="363"/>
        <v>800000</v>
      </c>
      <c r="S1739" s="566"/>
      <c r="T1739" s="609"/>
      <c r="U1739" s="741"/>
      <c r="V1739" s="586"/>
      <c r="W1739" s="564" t="str">
        <f>IF(S1739&lt;&gt;0,VLOOKUP(S1739,VKT!$A$2:$G$415,7,0),"")</f>
        <v/>
      </c>
      <c r="X1739" s="564" t="str">
        <f t="shared" si="373"/>
        <v xml:space="preserve"> </v>
      </c>
      <c r="Y1739" s="650"/>
      <c r="Z1739" s="586"/>
      <c r="AA1739" s="742"/>
      <c r="AB1739" s="586"/>
      <c r="AC1739" s="586"/>
      <c r="AD1739" s="586"/>
      <c r="AE1739" s="586"/>
      <c r="AF1739" s="714"/>
      <c r="AG1739" s="570" t="str">
        <f>IF(AE1739&lt;&gt;0,VLOOKUP(AE1739,ODDS!$A$2:$C$13,3,0),"")</f>
        <v/>
      </c>
      <c r="AH1739" s="570" t="str">
        <f t="shared" si="364"/>
        <v xml:space="preserve"> </v>
      </c>
      <c r="AI1739" s="571" t="str">
        <f t="shared" si="388"/>
        <v xml:space="preserve"> </v>
      </c>
      <c r="AJ1739" s="731"/>
      <c r="AK1739" s="586" t="s">
        <v>2800</v>
      </c>
    </row>
    <row r="1740" spans="1:37" s="394" customFormat="1" ht="20.25" outlineLevel="2" x14ac:dyDescent="0.3">
      <c r="A1740" s="447">
        <f t="shared" si="387"/>
        <v>146</v>
      </c>
      <c r="B1740" s="557"/>
      <c r="C1740" s="572"/>
      <c r="D1740" s="700"/>
      <c r="E1740" s="612"/>
      <c r="F1740" s="612"/>
      <c r="G1740" s="586"/>
      <c r="H1740" s="709"/>
      <c r="I1740" s="546"/>
      <c r="J1740" s="562"/>
      <c r="K1740" s="563" t="str">
        <f>IF(G1740&lt;&gt;0,VLOOKUP(G1740,'gia dat'!$A$1:$F$144,5,0)," ")</f>
        <v xml:space="preserve"> </v>
      </c>
      <c r="L1740" s="563" t="str">
        <f>IF(G1740&lt;&gt;0,VLOOKUP(G1740,'gia dat'!$A$1:$F$144,6,0)," ")</f>
        <v xml:space="preserve"> </v>
      </c>
      <c r="M1740" s="564" t="str">
        <f t="shared" si="374"/>
        <v xml:space="preserve"> </v>
      </c>
      <c r="N1740" s="564" t="str">
        <f t="shared" si="375"/>
        <v xml:space="preserve"> </v>
      </c>
      <c r="O1740" s="572" t="s">
        <v>154</v>
      </c>
      <c r="P1740" s="740">
        <v>8</v>
      </c>
      <c r="Q1740" s="564">
        <f>IF(O1740&lt;&gt;0,VLOOKUP(O1740,'Cây trong'!$A$2:$C$246,3,0)," ")</f>
        <v>248000</v>
      </c>
      <c r="R1740" s="564">
        <f t="shared" si="363"/>
        <v>1984000</v>
      </c>
      <c r="S1740" s="566"/>
      <c r="T1740" s="609"/>
      <c r="U1740" s="741"/>
      <c r="V1740" s="586"/>
      <c r="W1740" s="564" t="str">
        <f>IF(S1740&lt;&gt;0,VLOOKUP(S1740,VKT!$A$2:$G$415,7,0),"")</f>
        <v/>
      </c>
      <c r="X1740" s="564" t="str">
        <f t="shared" si="373"/>
        <v xml:space="preserve"> </v>
      </c>
      <c r="Y1740" s="650"/>
      <c r="Z1740" s="586"/>
      <c r="AA1740" s="742"/>
      <c r="AB1740" s="586"/>
      <c r="AC1740" s="586"/>
      <c r="AD1740" s="586"/>
      <c r="AE1740" s="586"/>
      <c r="AF1740" s="714"/>
      <c r="AG1740" s="570" t="str">
        <f>IF(AE1740&lt;&gt;0,VLOOKUP(AE1740,ODDS!$A$2:$C$13,3,0),"")</f>
        <v/>
      </c>
      <c r="AH1740" s="570" t="str">
        <f t="shared" si="364"/>
        <v xml:space="preserve"> </v>
      </c>
      <c r="AI1740" s="571" t="str">
        <f t="shared" si="388"/>
        <v xml:space="preserve"> </v>
      </c>
      <c r="AJ1740" s="586"/>
      <c r="AK1740" s="586"/>
    </row>
    <row r="1741" spans="1:37" s="394" customFormat="1" ht="20.25" outlineLevel="2" x14ac:dyDescent="0.3">
      <c r="A1741" s="447">
        <f t="shared" si="387"/>
        <v>146</v>
      </c>
      <c r="B1741" s="557"/>
      <c r="C1741" s="572"/>
      <c r="D1741" s="700"/>
      <c r="E1741" s="612"/>
      <c r="F1741" s="612"/>
      <c r="G1741" s="586"/>
      <c r="H1741" s="709"/>
      <c r="I1741" s="546"/>
      <c r="J1741" s="562"/>
      <c r="K1741" s="563" t="str">
        <f>IF(G1741&lt;&gt;0,VLOOKUP(G1741,'gia dat'!$A$1:$F$144,5,0)," ")</f>
        <v xml:space="preserve"> </v>
      </c>
      <c r="L1741" s="563" t="str">
        <f>IF(G1741&lt;&gt;0,VLOOKUP(G1741,'gia dat'!$A$1:$F$144,6,0)," ")</f>
        <v xml:space="preserve"> </v>
      </c>
      <c r="M1741" s="564" t="str">
        <f t="shared" si="374"/>
        <v xml:space="preserve"> </v>
      </c>
      <c r="N1741" s="564" t="str">
        <f t="shared" si="375"/>
        <v xml:space="preserve"> </v>
      </c>
      <c r="O1741" s="572" t="s">
        <v>1228</v>
      </c>
      <c r="P1741" s="740">
        <v>2</v>
      </c>
      <c r="Q1741" s="564">
        <f>IF(O1741&lt;&gt;0,VLOOKUP(O1741,'Cây trong'!$A$2:$C$246,3,0)," ")</f>
        <v>979000</v>
      </c>
      <c r="R1741" s="564">
        <f t="shared" si="363"/>
        <v>1958000</v>
      </c>
      <c r="S1741" s="566"/>
      <c r="T1741" s="609"/>
      <c r="U1741" s="741"/>
      <c r="V1741" s="586"/>
      <c r="W1741" s="564" t="str">
        <f>IF(S1741&lt;&gt;0,VLOOKUP(S1741,VKT!$A$2:$G$415,7,0),"")</f>
        <v/>
      </c>
      <c r="X1741" s="564" t="str">
        <f t="shared" si="373"/>
        <v xml:space="preserve"> </v>
      </c>
      <c r="Y1741" s="650"/>
      <c r="Z1741" s="586"/>
      <c r="AA1741" s="742"/>
      <c r="AB1741" s="586"/>
      <c r="AC1741" s="586"/>
      <c r="AD1741" s="586"/>
      <c r="AE1741" s="586"/>
      <c r="AF1741" s="714"/>
      <c r="AG1741" s="570" t="str">
        <f>IF(AE1741&lt;&gt;0,VLOOKUP(AE1741,ODDS!$A$2:$C$13,3,0),"")</f>
        <v/>
      </c>
      <c r="AH1741" s="570" t="str">
        <f t="shared" si="364"/>
        <v xml:space="preserve"> </v>
      </c>
      <c r="AI1741" s="571" t="str">
        <f t="shared" si="388"/>
        <v xml:space="preserve"> </v>
      </c>
      <c r="AJ1741" s="586"/>
      <c r="AK1741" s="586"/>
    </row>
    <row r="1742" spans="1:37" s="394" customFormat="1" ht="20.25" outlineLevel="2" x14ac:dyDescent="0.3">
      <c r="A1742" s="447">
        <f t="shared" si="387"/>
        <v>146</v>
      </c>
      <c r="B1742" s="557"/>
      <c r="C1742" s="572"/>
      <c r="D1742" s="700"/>
      <c r="E1742" s="612"/>
      <c r="F1742" s="612"/>
      <c r="G1742" s="586"/>
      <c r="H1742" s="709"/>
      <c r="I1742" s="546"/>
      <c r="J1742" s="562"/>
      <c r="K1742" s="563" t="str">
        <f>IF(G1742&lt;&gt;0,VLOOKUP(G1742,'gia dat'!$A$1:$F$144,5,0)," ")</f>
        <v xml:space="preserve"> </v>
      </c>
      <c r="L1742" s="563" t="str">
        <f>IF(G1742&lt;&gt;0,VLOOKUP(G1742,'gia dat'!$A$1:$F$144,6,0)," ")</f>
        <v xml:space="preserve"> </v>
      </c>
      <c r="M1742" s="564" t="str">
        <f t="shared" si="374"/>
        <v xml:space="preserve"> </v>
      </c>
      <c r="N1742" s="564" t="str">
        <f t="shared" si="375"/>
        <v xml:space="preserve"> </v>
      </c>
      <c r="O1742" s="572" t="s">
        <v>145</v>
      </c>
      <c r="P1742" s="740">
        <v>1</v>
      </c>
      <c r="Q1742" s="564">
        <f>IF(O1742&lt;&gt;0,VLOOKUP(O1742,'Cây trong'!$A$2:$C$246,3,0)," ")</f>
        <v>4240000</v>
      </c>
      <c r="R1742" s="564">
        <f t="shared" si="363"/>
        <v>4240000</v>
      </c>
      <c r="S1742" s="566"/>
      <c r="T1742" s="609"/>
      <c r="U1742" s="741"/>
      <c r="V1742" s="586"/>
      <c r="W1742" s="564" t="str">
        <f>IF(S1742&lt;&gt;0,VLOOKUP(S1742,VKT!$A$2:$G$415,7,0),"")</f>
        <v/>
      </c>
      <c r="X1742" s="564" t="str">
        <f t="shared" si="373"/>
        <v xml:space="preserve"> </v>
      </c>
      <c r="Y1742" s="650"/>
      <c r="Z1742" s="586"/>
      <c r="AA1742" s="742"/>
      <c r="AB1742" s="586"/>
      <c r="AC1742" s="586"/>
      <c r="AD1742" s="586"/>
      <c r="AE1742" s="586"/>
      <c r="AF1742" s="714"/>
      <c r="AG1742" s="570" t="str">
        <f>IF(AE1742&lt;&gt;0,VLOOKUP(AE1742,ODDS!$A$2:$C$13,3,0),"")</f>
        <v/>
      </c>
      <c r="AH1742" s="570" t="str">
        <f t="shared" si="364"/>
        <v xml:space="preserve"> </v>
      </c>
      <c r="AI1742" s="571" t="str">
        <f t="shared" si="388"/>
        <v xml:space="preserve"> </v>
      </c>
      <c r="AJ1742" s="586"/>
      <c r="AK1742" s="586"/>
    </row>
    <row r="1743" spans="1:37" s="394" customFormat="1" ht="20.25" outlineLevel="2" x14ac:dyDescent="0.3">
      <c r="A1743" s="447">
        <f t="shared" si="387"/>
        <v>146</v>
      </c>
      <c r="B1743" s="557"/>
      <c r="C1743" s="572"/>
      <c r="D1743" s="700"/>
      <c r="E1743" s="612"/>
      <c r="F1743" s="612"/>
      <c r="G1743" s="586"/>
      <c r="H1743" s="709"/>
      <c r="I1743" s="546"/>
      <c r="J1743" s="562"/>
      <c r="K1743" s="563" t="str">
        <f>IF(G1743&lt;&gt;0,VLOOKUP(G1743,'gia dat'!$A$1:$F$144,5,0)," ")</f>
        <v xml:space="preserve"> </v>
      </c>
      <c r="L1743" s="563" t="str">
        <f>IF(G1743&lt;&gt;0,VLOOKUP(G1743,'gia dat'!$A$1:$F$144,6,0)," ")</f>
        <v xml:space="preserve"> </v>
      </c>
      <c r="M1743" s="564" t="str">
        <f t="shared" si="374"/>
        <v xml:space="preserve"> </v>
      </c>
      <c r="N1743" s="564" t="str">
        <f t="shared" si="375"/>
        <v xml:space="preserve"> </v>
      </c>
      <c r="O1743" s="572" t="s">
        <v>1229</v>
      </c>
      <c r="P1743" s="740">
        <v>1</v>
      </c>
      <c r="Q1743" s="564">
        <f>IF(O1743&lt;&gt;0,VLOOKUP(O1743,'Cây trong'!$A$2:$C$246,3,0)," ")</f>
        <v>360000</v>
      </c>
      <c r="R1743" s="564">
        <f t="shared" ref="R1743:R1812" si="389">IF(O1743&lt;&gt;0,ROUND(P1743*Q1743,-2)," ")</f>
        <v>360000</v>
      </c>
      <c r="S1743" s="566"/>
      <c r="T1743" s="609"/>
      <c r="U1743" s="741"/>
      <c r="V1743" s="586"/>
      <c r="W1743" s="564" t="str">
        <f>IF(S1743&lt;&gt;0,VLOOKUP(S1743,VKT!$A$2:$G$415,7,0),"")</f>
        <v/>
      </c>
      <c r="X1743" s="564" t="str">
        <f t="shared" si="373"/>
        <v xml:space="preserve"> </v>
      </c>
      <c r="Y1743" s="650"/>
      <c r="Z1743" s="586"/>
      <c r="AA1743" s="742"/>
      <c r="AB1743" s="586"/>
      <c r="AC1743" s="586"/>
      <c r="AD1743" s="586"/>
      <c r="AE1743" s="586"/>
      <c r="AF1743" s="714"/>
      <c r="AG1743" s="570" t="str">
        <f>IF(AE1743&lt;&gt;0,VLOOKUP(AE1743,ODDS!$A$2:$C$13,3,0),"")</f>
        <v/>
      </c>
      <c r="AH1743" s="570" t="str">
        <f t="shared" ref="AH1743:AH1812" si="390">IF(AE1743&lt;&gt;0,ROUND(AF1743*AG1743,-2)," ")</f>
        <v xml:space="preserve"> </v>
      </c>
      <c r="AI1743" s="571" t="str">
        <f t="shared" si="388"/>
        <v xml:space="preserve"> </v>
      </c>
      <c r="AJ1743" s="586"/>
      <c r="AK1743" s="586"/>
    </row>
    <row r="1744" spans="1:37" s="394" customFormat="1" ht="20.25" outlineLevel="2" x14ac:dyDescent="0.3">
      <c r="A1744" s="447">
        <f t="shared" si="387"/>
        <v>146</v>
      </c>
      <c r="B1744" s="557"/>
      <c r="C1744" s="572"/>
      <c r="D1744" s="700"/>
      <c r="E1744" s="612"/>
      <c r="F1744" s="612"/>
      <c r="G1744" s="586"/>
      <c r="H1744" s="709"/>
      <c r="I1744" s="546"/>
      <c r="J1744" s="562"/>
      <c r="K1744" s="563" t="str">
        <f>IF(G1744&lt;&gt;0,VLOOKUP(G1744,'gia dat'!$A$1:$F$144,5,0)," ")</f>
        <v xml:space="preserve"> </v>
      </c>
      <c r="L1744" s="563" t="str">
        <f>IF(G1744&lt;&gt;0,VLOOKUP(G1744,'gia dat'!$A$1:$F$144,6,0)," ")</f>
        <v xml:space="preserve"> </v>
      </c>
      <c r="M1744" s="564" t="str">
        <f t="shared" si="374"/>
        <v xml:space="preserve"> </v>
      </c>
      <c r="N1744" s="564" t="str">
        <f t="shared" si="375"/>
        <v xml:space="preserve"> </v>
      </c>
      <c r="O1744" s="572" t="s">
        <v>91</v>
      </c>
      <c r="P1744" s="740">
        <v>2</v>
      </c>
      <c r="Q1744" s="564">
        <f>IF(O1744&lt;&gt;0,VLOOKUP(O1744,'Cây trong'!$A$2:$C$246,3,0)," ")</f>
        <v>93000</v>
      </c>
      <c r="R1744" s="564">
        <f t="shared" si="389"/>
        <v>186000</v>
      </c>
      <c r="S1744" s="566"/>
      <c r="T1744" s="609"/>
      <c r="U1744" s="741"/>
      <c r="V1744" s="586"/>
      <c r="W1744" s="564" t="str">
        <f>IF(S1744&lt;&gt;0,VLOOKUP(S1744,VKT!$A$2:$G$415,7,0),"")</f>
        <v/>
      </c>
      <c r="X1744" s="564" t="str">
        <f t="shared" si="373"/>
        <v xml:space="preserve"> </v>
      </c>
      <c r="Y1744" s="650"/>
      <c r="Z1744" s="586"/>
      <c r="AA1744" s="742"/>
      <c r="AB1744" s="586"/>
      <c r="AC1744" s="586"/>
      <c r="AD1744" s="586"/>
      <c r="AE1744" s="586"/>
      <c r="AF1744" s="714"/>
      <c r="AG1744" s="570" t="str">
        <f>IF(AE1744&lt;&gt;0,VLOOKUP(AE1744,ODDS!$A$2:$C$13,3,0),"")</f>
        <v/>
      </c>
      <c r="AH1744" s="570" t="str">
        <f t="shared" si="390"/>
        <v xml:space="preserve"> </v>
      </c>
      <c r="AI1744" s="571" t="str">
        <f t="shared" si="388"/>
        <v xml:space="preserve"> </v>
      </c>
      <c r="AJ1744" s="586"/>
      <c r="AK1744" s="586"/>
    </row>
    <row r="1745" spans="1:37" s="394" customFormat="1" ht="20.25" outlineLevel="2" x14ac:dyDescent="0.3">
      <c r="A1745" s="447">
        <f t="shared" si="387"/>
        <v>146</v>
      </c>
      <c r="B1745" s="557"/>
      <c r="C1745" s="572"/>
      <c r="D1745" s="700"/>
      <c r="E1745" s="612"/>
      <c r="F1745" s="612"/>
      <c r="G1745" s="586"/>
      <c r="H1745" s="709"/>
      <c r="I1745" s="546"/>
      <c r="J1745" s="562"/>
      <c r="K1745" s="563" t="str">
        <f>IF(G1745&lt;&gt;0,VLOOKUP(G1745,'gia dat'!$A$1:$F$144,5,0)," ")</f>
        <v xml:space="preserve"> </v>
      </c>
      <c r="L1745" s="563" t="str">
        <f>IF(G1745&lt;&gt;0,VLOOKUP(G1745,'gia dat'!$A$1:$F$144,6,0)," ")</f>
        <v xml:space="preserve"> </v>
      </c>
      <c r="M1745" s="564" t="str">
        <f t="shared" si="374"/>
        <v xml:space="preserve"> </v>
      </c>
      <c r="N1745" s="564" t="str">
        <f t="shared" si="375"/>
        <v xml:space="preserve"> </v>
      </c>
      <c r="O1745" s="572" t="s">
        <v>193</v>
      </c>
      <c r="P1745" s="740">
        <v>3</v>
      </c>
      <c r="Q1745" s="564">
        <f>IF(O1745&lt;&gt;0,VLOOKUP(O1745,'Cây trong'!$A$2:$C$246,3,0)," ")</f>
        <v>275000</v>
      </c>
      <c r="R1745" s="564">
        <f t="shared" si="389"/>
        <v>825000</v>
      </c>
      <c r="S1745" s="566"/>
      <c r="T1745" s="609"/>
      <c r="U1745" s="741"/>
      <c r="V1745" s="586"/>
      <c r="W1745" s="564" t="str">
        <f>IF(S1745&lt;&gt;0,VLOOKUP(S1745,VKT!$A$2:$G$415,7,0),"")</f>
        <v/>
      </c>
      <c r="X1745" s="564" t="str">
        <f t="shared" si="373"/>
        <v xml:space="preserve"> </v>
      </c>
      <c r="Y1745" s="650"/>
      <c r="Z1745" s="586"/>
      <c r="AA1745" s="742"/>
      <c r="AB1745" s="586"/>
      <c r="AC1745" s="586"/>
      <c r="AD1745" s="586"/>
      <c r="AE1745" s="586"/>
      <c r="AF1745" s="714"/>
      <c r="AG1745" s="570" t="str">
        <f>IF(AE1745&lt;&gt;0,VLOOKUP(AE1745,ODDS!$A$2:$C$13,3,0),"")</f>
        <v/>
      </c>
      <c r="AH1745" s="570" t="str">
        <f t="shared" si="390"/>
        <v xml:space="preserve"> </v>
      </c>
      <c r="AI1745" s="571" t="str">
        <f t="shared" si="388"/>
        <v xml:space="preserve"> </v>
      </c>
      <c r="AJ1745" s="586"/>
      <c r="AK1745" s="586"/>
    </row>
    <row r="1746" spans="1:37" s="394" customFormat="1" ht="20.25" outlineLevel="2" x14ac:dyDescent="0.3">
      <c r="A1746" s="447">
        <f t="shared" si="387"/>
        <v>146</v>
      </c>
      <c r="B1746" s="557"/>
      <c r="C1746" s="572"/>
      <c r="D1746" s="700"/>
      <c r="E1746" s="612"/>
      <c r="F1746" s="612"/>
      <c r="G1746" s="586"/>
      <c r="H1746" s="709"/>
      <c r="I1746" s="546"/>
      <c r="J1746" s="562"/>
      <c r="K1746" s="563" t="str">
        <f>IF(G1746&lt;&gt;0,VLOOKUP(G1746,'gia dat'!$A$1:$F$144,5,0)," ")</f>
        <v xml:space="preserve"> </v>
      </c>
      <c r="L1746" s="563" t="str">
        <f>IF(G1746&lt;&gt;0,VLOOKUP(G1746,'gia dat'!$A$1:$F$144,6,0)," ")</f>
        <v xml:space="preserve"> </v>
      </c>
      <c r="M1746" s="564" t="str">
        <f t="shared" si="374"/>
        <v xml:space="preserve"> </v>
      </c>
      <c r="N1746" s="564" t="str">
        <f t="shared" si="375"/>
        <v xml:space="preserve"> </v>
      </c>
      <c r="O1746" s="572" t="s">
        <v>1230</v>
      </c>
      <c r="P1746" s="740">
        <v>1</v>
      </c>
      <c r="Q1746" s="564">
        <f>IF(O1746&lt;&gt;0,VLOOKUP(O1746,'Cây trong'!$A$2:$C$246,3,0)," ")</f>
        <v>93000</v>
      </c>
      <c r="R1746" s="564">
        <f t="shared" si="389"/>
        <v>93000</v>
      </c>
      <c r="S1746" s="566"/>
      <c r="T1746" s="609"/>
      <c r="U1746" s="741"/>
      <c r="V1746" s="586"/>
      <c r="W1746" s="564" t="str">
        <f>IF(S1746&lt;&gt;0,VLOOKUP(S1746,VKT!$A$2:$G$415,7,0),"")</f>
        <v/>
      </c>
      <c r="X1746" s="564" t="str">
        <f t="shared" si="373"/>
        <v xml:space="preserve"> </v>
      </c>
      <c r="Y1746" s="650"/>
      <c r="Z1746" s="586"/>
      <c r="AA1746" s="742"/>
      <c r="AB1746" s="586"/>
      <c r="AC1746" s="586"/>
      <c r="AD1746" s="586"/>
      <c r="AE1746" s="586"/>
      <c r="AF1746" s="714"/>
      <c r="AG1746" s="570" t="str">
        <f>IF(AE1746&lt;&gt;0,VLOOKUP(AE1746,ODDS!$A$2:$C$13,3,0),"")</f>
        <v/>
      </c>
      <c r="AH1746" s="570" t="str">
        <f t="shared" si="390"/>
        <v xml:space="preserve"> </v>
      </c>
      <c r="AI1746" s="571" t="str">
        <f t="shared" si="388"/>
        <v xml:space="preserve"> </v>
      </c>
      <c r="AJ1746" s="586"/>
      <c r="AK1746" s="586"/>
    </row>
    <row r="1747" spans="1:37" s="394" customFormat="1" ht="40.5" outlineLevel="2" x14ac:dyDescent="0.3">
      <c r="A1747" s="447">
        <f t="shared" si="387"/>
        <v>146</v>
      </c>
      <c r="B1747" s="557"/>
      <c r="C1747" s="572"/>
      <c r="D1747" s="700"/>
      <c r="E1747" s="612"/>
      <c r="F1747" s="612"/>
      <c r="G1747" s="586"/>
      <c r="H1747" s="709"/>
      <c r="I1747" s="546"/>
      <c r="J1747" s="562"/>
      <c r="K1747" s="563" t="str">
        <f>IF(G1747&lt;&gt;0,VLOOKUP(G1747,'gia dat'!$A$1:$F$144,5,0)," ")</f>
        <v xml:space="preserve"> </v>
      </c>
      <c r="L1747" s="563" t="str">
        <f>IF(G1747&lt;&gt;0,VLOOKUP(G1747,'gia dat'!$A$1:$F$144,6,0)," ")</f>
        <v xml:space="preserve"> </v>
      </c>
      <c r="M1747" s="564" t="str">
        <f t="shared" si="374"/>
        <v xml:space="preserve"> </v>
      </c>
      <c r="N1747" s="564" t="str">
        <f t="shared" si="375"/>
        <v xml:space="preserve"> </v>
      </c>
      <c r="O1747" s="572" t="s">
        <v>405</v>
      </c>
      <c r="P1747" s="740">
        <v>64</v>
      </c>
      <c r="Q1747" s="564">
        <f>IF(O1747&lt;&gt;0,VLOOKUP(O1747,'Cây trong'!$A$2:$C$246,3,0)," ")</f>
        <v>72000</v>
      </c>
      <c r="R1747" s="564">
        <f t="shared" si="389"/>
        <v>4608000</v>
      </c>
      <c r="S1747" s="566"/>
      <c r="T1747" s="609"/>
      <c r="U1747" s="741"/>
      <c r="V1747" s="586"/>
      <c r="W1747" s="564" t="str">
        <f>IF(S1747&lt;&gt;0,VLOOKUP(S1747,VKT!$A$2:$G$415,7,0),"")</f>
        <v/>
      </c>
      <c r="X1747" s="564" t="str">
        <f t="shared" si="373"/>
        <v xml:space="preserve"> </v>
      </c>
      <c r="Y1747" s="650"/>
      <c r="Z1747" s="586"/>
      <c r="AA1747" s="742"/>
      <c r="AB1747" s="586"/>
      <c r="AC1747" s="586"/>
      <c r="AD1747" s="586"/>
      <c r="AE1747" s="586"/>
      <c r="AF1747" s="714"/>
      <c r="AG1747" s="570" t="str">
        <f>IF(AE1747&lt;&gt;0,VLOOKUP(AE1747,ODDS!$A$2:$C$13,3,0),"")</f>
        <v/>
      </c>
      <c r="AH1747" s="570" t="str">
        <f t="shared" si="390"/>
        <v xml:space="preserve"> </v>
      </c>
      <c r="AI1747" s="571" t="str">
        <f t="shared" si="388"/>
        <v xml:space="preserve"> </v>
      </c>
      <c r="AJ1747" s="586"/>
      <c r="AK1747" s="586"/>
    </row>
    <row r="1748" spans="1:37" s="394" customFormat="1" ht="20.25" outlineLevel="2" x14ac:dyDescent="0.3">
      <c r="A1748" s="447">
        <f t="shared" si="387"/>
        <v>146</v>
      </c>
      <c r="B1748" s="557"/>
      <c r="C1748" s="572"/>
      <c r="D1748" s="700"/>
      <c r="E1748" s="612"/>
      <c r="F1748" s="612"/>
      <c r="G1748" s="586"/>
      <c r="H1748" s="709"/>
      <c r="I1748" s="546"/>
      <c r="J1748" s="562"/>
      <c r="K1748" s="563" t="str">
        <f>IF(G1748&lt;&gt;0,VLOOKUP(G1748,'gia dat'!$A$1:$F$144,5,0)," ")</f>
        <v xml:space="preserve"> </v>
      </c>
      <c r="L1748" s="563" t="str">
        <f>IF(G1748&lt;&gt;0,VLOOKUP(G1748,'gia dat'!$A$1:$F$144,6,0)," ")</f>
        <v xml:space="preserve"> </v>
      </c>
      <c r="M1748" s="564" t="str">
        <f t="shared" si="374"/>
        <v xml:space="preserve"> </v>
      </c>
      <c r="N1748" s="564" t="str">
        <f t="shared" si="375"/>
        <v xml:space="preserve"> </v>
      </c>
      <c r="O1748" s="572" t="s">
        <v>736</v>
      </c>
      <c r="P1748" s="740">
        <v>1</v>
      </c>
      <c r="Q1748" s="564">
        <f>IF(O1748&lt;&gt;0,VLOOKUP(O1748,'Cây trong'!$A$2:$C$246,3,0)," ")</f>
        <v>32000</v>
      </c>
      <c r="R1748" s="564">
        <f t="shared" si="389"/>
        <v>32000</v>
      </c>
      <c r="S1748" s="566"/>
      <c r="T1748" s="609"/>
      <c r="U1748" s="741"/>
      <c r="V1748" s="586"/>
      <c r="W1748" s="564" t="str">
        <f>IF(S1748&lt;&gt;0,VLOOKUP(S1748,VKT!$A$2:$G$415,7,0),"")</f>
        <v/>
      </c>
      <c r="X1748" s="564" t="str">
        <f t="shared" si="373"/>
        <v xml:space="preserve"> </v>
      </c>
      <c r="Y1748" s="650"/>
      <c r="Z1748" s="586"/>
      <c r="AA1748" s="742"/>
      <c r="AB1748" s="586"/>
      <c r="AC1748" s="586"/>
      <c r="AD1748" s="586"/>
      <c r="AE1748" s="586"/>
      <c r="AF1748" s="714"/>
      <c r="AG1748" s="570" t="str">
        <f>IF(AE1748&lt;&gt;0,VLOOKUP(AE1748,ODDS!$A$2:$C$13,3,0),"")</f>
        <v/>
      </c>
      <c r="AH1748" s="570" t="str">
        <f t="shared" si="390"/>
        <v xml:space="preserve"> </v>
      </c>
      <c r="AI1748" s="571" t="str">
        <f t="shared" si="388"/>
        <v xml:space="preserve"> </v>
      </c>
      <c r="AJ1748" s="586"/>
      <c r="AK1748" s="586"/>
    </row>
    <row r="1749" spans="1:37" s="394" customFormat="1" ht="20.25" outlineLevel="2" x14ac:dyDescent="0.3">
      <c r="A1749" s="447">
        <f t="shared" si="387"/>
        <v>146</v>
      </c>
      <c r="B1749" s="557"/>
      <c r="C1749" s="572"/>
      <c r="D1749" s="700"/>
      <c r="E1749" s="612"/>
      <c r="F1749" s="612"/>
      <c r="G1749" s="586"/>
      <c r="H1749" s="709"/>
      <c r="I1749" s="546"/>
      <c r="J1749" s="562"/>
      <c r="K1749" s="563" t="str">
        <f>IF(G1749&lt;&gt;0,VLOOKUP(G1749,'gia dat'!$A$1:$F$144,5,0)," ")</f>
        <v xml:space="preserve"> </v>
      </c>
      <c r="L1749" s="563" t="str">
        <f>IF(G1749&lt;&gt;0,VLOOKUP(G1749,'gia dat'!$A$1:$F$144,6,0)," ")</f>
        <v xml:space="preserve"> </v>
      </c>
      <c r="M1749" s="564" t="str">
        <f t="shared" si="374"/>
        <v xml:space="preserve"> </v>
      </c>
      <c r="N1749" s="564" t="str">
        <f t="shared" si="375"/>
        <v xml:space="preserve"> </v>
      </c>
      <c r="O1749" s="572" t="s">
        <v>72</v>
      </c>
      <c r="P1749" s="740">
        <v>208</v>
      </c>
      <c r="Q1749" s="564">
        <f>IF(O1749&lt;&gt;0,VLOOKUP(O1749,'Cây trong'!$A$2:$C$246,3,0)," ")</f>
        <v>132000</v>
      </c>
      <c r="R1749" s="564">
        <f t="shared" si="389"/>
        <v>27456000</v>
      </c>
      <c r="S1749" s="566"/>
      <c r="T1749" s="609"/>
      <c r="U1749" s="741"/>
      <c r="V1749" s="586"/>
      <c r="W1749" s="564" t="str">
        <f>IF(S1749&lt;&gt;0,VLOOKUP(S1749,VKT!$A$2:$G$415,7,0),"")</f>
        <v/>
      </c>
      <c r="X1749" s="564" t="str">
        <f t="shared" si="373"/>
        <v xml:space="preserve"> </v>
      </c>
      <c r="Y1749" s="650"/>
      <c r="Z1749" s="586"/>
      <c r="AA1749" s="742"/>
      <c r="AB1749" s="586"/>
      <c r="AC1749" s="586"/>
      <c r="AD1749" s="586"/>
      <c r="AE1749" s="586"/>
      <c r="AF1749" s="714"/>
      <c r="AG1749" s="570" t="str">
        <f>IF(AE1749&lt;&gt;0,VLOOKUP(AE1749,ODDS!$A$2:$C$13,3,0),"")</f>
        <v/>
      </c>
      <c r="AH1749" s="570" t="str">
        <f t="shared" si="390"/>
        <v xml:space="preserve"> </v>
      </c>
      <c r="AI1749" s="571" t="str">
        <f t="shared" si="388"/>
        <v xml:space="preserve"> </v>
      </c>
      <c r="AJ1749" s="586"/>
      <c r="AK1749" s="586"/>
    </row>
    <row r="1750" spans="1:37" s="394" customFormat="1" ht="20.25" outlineLevel="2" x14ac:dyDescent="0.3">
      <c r="A1750" s="447">
        <f t="shared" si="387"/>
        <v>146</v>
      </c>
      <c r="B1750" s="557"/>
      <c r="C1750" s="572"/>
      <c r="D1750" s="700"/>
      <c r="E1750" s="612"/>
      <c r="F1750" s="612"/>
      <c r="G1750" s="586"/>
      <c r="H1750" s="709"/>
      <c r="I1750" s="546"/>
      <c r="J1750" s="562"/>
      <c r="K1750" s="563" t="str">
        <f>IF(G1750&lt;&gt;0,VLOOKUP(G1750,'gia dat'!$A$1:$F$144,5,0)," ")</f>
        <v xml:space="preserve"> </v>
      </c>
      <c r="L1750" s="563" t="str">
        <f>IF(G1750&lt;&gt;0,VLOOKUP(G1750,'gia dat'!$A$1:$F$144,6,0)," ")</f>
        <v xml:space="preserve"> </v>
      </c>
      <c r="M1750" s="564" t="str">
        <f t="shared" si="374"/>
        <v xml:space="preserve"> </v>
      </c>
      <c r="N1750" s="564" t="str">
        <f t="shared" si="375"/>
        <v xml:space="preserve"> </v>
      </c>
      <c r="O1750" s="572" t="s">
        <v>73</v>
      </c>
      <c r="P1750" s="740">
        <v>236</v>
      </c>
      <c r="Q1750" s="564">
        <f>IF(O1750&lt;&gt;0,VLOOKUP(O1750,'Cây trong'!$A$2:$C$246,3,0)," ")</f>
        <v>76000</v>
      </c>
      <c r="R1750" s="564">
        <f t="shared" si="389"/>
        <v>17936000</v>
      </c>
      <c r="S1750" s="566"/>
      <c r="T1750" s="609"/>
      <c r="U1750" s="741"/>
      <c r="V1750" s="586"/>
      <c r="W1750" s="564" t="str">
        <f>IF(S1750&lt;&gt;0,VLOOKUP(S1750,VKT!$A$2:$G$415,7,0),"")</f>
        <v/>
      </c>
      <c r="X1750" s="564" t="str">
        <f t="shared" si="373"/>
        <v xml:space="preserve"> </v>
      </c>
      <c r="Y1750" s="650"/>
      <c r="Z1750" s="586"/>
      <c r="AA1750" s="742"/>
      <c r="AB1750" s="586"/>
      <c r="AC1750" s="586"/>
      <c r="AD1750" s="586"/>
      <c r="AE1750" s="586"/>
      <c r="AF1750" s="714"/>
      <c r="AG1750" s="570" t="str">
        <f>IF(AE1750&lt;&gt;0,VLOOKUP(AE1750,ODDS!$A$2:$C$13,3,0),"")</f>
        <v/>
      </c>
      <c r="AH1750" s="570" t="str">
        <f t="shared" si="390"/>
        <v xml:space="preserve"> </v>
      </c>
      <c r="AI1750" s="571" t="str">
        <f t="shared" si="388"/>
        <v xml:space="preserve"> </v>
      </c>
      <c r="AJ1750" s="586"/>
      <c r="AK1750" s="586"/>
    </row>
    <row r="1751" spans="1:37" s="394" customFormat="1" ht="20.25" outlineLevel="2" x14ac:dyDescent="0.3">
      <c r="A1751" s="447">
        <f t="shared" si="387"/>
        <v>146</v>
      </c>
      <c r="B1751" s="557"/>
      <c r="C1751" s="572"/>
      <c r="D1751" s="700"/>
      <c r="E1751" s="612"/>
      <c r="F1751" s="612"/>
      <c r="G1751" s="586"/>
      <c r="H1751" s="709"/>
      <c r="I1751" s="546"/>
      <c r="J1751" s="562"/>
      <c r="K1751" s="563" t="str">
        <f>IF(G1751&lt;&gt;0,VLOOKUP(G1751,'gia dat'!$A$1:$F$144,5,0)," ")</f>
        <v xml:space="preserve"> </v>
      </c>
      <c r="L1751" s="563" t="str">
        <f>IF(G1751&lt;&gt;0,VLOOKUP(G1751,'gia dat'!$A$1:$F$144,6,0)," ")</f>
        <v xml:space="preserve"> </v>
      </c>
      <c r="M1751" s="564" t="str">
        <f t="shared" si="374"/>
        <v xml:space="preserve"> </v>
      </c>
      <c r="N1751" s="564" t="str">
        <f t="shared" si="375"/>
        <v xml:space="preserve"> </v>
      </c>
      <c r="O1751" s="572" t="s">
        <v>75</v>
      </c>
      <c r="P1751" s="740">
        <v>241</v>
      </c>
      <c r="Q1751" s="564">
        <f>IF(O1751&lt;&gt;0,VLOOKUP(O1751,'Cây trong'!$A$2:$C$246,3,0)," ")</f>
        <v>34000</v>
      </c>
      <c r="R1751" s="564">
        <f t="shared" si="389"/>
        <v>8194000</v>
      </c>
      <c r="S1751" s="566"/>
      <c r="T1751" s="609"/>
      <c r="U1751" s="741"/>
      <c r="V1751" s="586"/>
      <c r="W1751" s="564" t="str">
        <f>IF(S1751&lt;&gt;0,VLOOKUP(S1751,VKT!$A$2:$G$415,7,0),"")</f>
        <v/>
      </c>
      <c r="X1751" s="564" t="str">
        <f t="shared" si="373"/>
        <v xml:space="preserve"> </v>
      </c>
      <c r="Y1751" s="650"/>
      <c r="Z1751" s="586"/>
      <c r="AA1751" s="742"/>
      <c r="AB1751" s="586"/>
      <c r="AC1751" s="586"/>
      <c r="AD1751" s="586"/>
      <c r="AE1751" s="586"/>
      <c r="AF1751" s="714"/>
      <c r="AG1751" s="570" t="str">
        <f>IF(AE1751&lt;&gt;0,VLOOKUP(AE1751,ODDS!$A$2:$C$13,3,0),"")</f>
        <v/>
      </c>
      <c r="AH1751" s="570" t="str">
        <f t="shared" si="390"/>
        <v xml:space="preserve"> </v>
      </c>
      <c r="AI1751" s="571" t="str">
        <f t="shared" si="388"/>
        <v xml:space="preserve"> </v>
      </c>
      <c r="AJ1751" s="586"/>
      <c r="AK1751" s="586"/>
    </row>
    <row r="1752" spans="1:37" s="394" customFormat="1" ht="40.5" outlineLevel="2" x14ac:dyDescent="0.3">
      <c r="A1752" s="447">
        <f t="shared" si="387"/>
        <v>146</v>
      </c>
      <c r="B1752" s="557"/>
      <c r="C1752" s="572"/>
      <c r="D1752" s="700"/>
      <c r="E1752" s="612"/>
      <c r="F1752" s="612"/>
      <c r="G1752" s="586"/>
      <c r="H1752" s="709"/>
      <c r="I1752" s="546"/>
      <c r="J1752" s="562"/>
      <c r="K1752" s="563" t="str">
        <f>IF(G1752&lt;&gt;0,VLOOKUP(G1752,'gia dat'!$A$1:$F$144,5,0)," ")</f>
        <v xml:space="preserve"> </v>
      </c>
      <c r="L1752" s="563" t="str">
        <f>IF(G1752&lt;&gt;0,VLOOKUP(G1752,'gia dat'!$A$1:$F$144,6,0)," ")</f>
        <v xml:space="preserve"> </v>
      </c>
      <c r="M1752" s="564" t="str">
        <f t="shared" si="374"/>
        <v xml:space="preserve"> </v>
      </c>
      <c r="N1752" s="564" t="str">
        <f t="shared" si="375"/>
        <v xml:space="preserve"> </v>
      </c>
      <c r="O1752" s="572" t="s">
        <v>785</v>
      </c>
      <c r="P1752" s="740">
        <v>10</v>
      </c>
      <c r="Q1752" s="564">
        <f>IF(O1752&lt;&gt;0,VLOOKUP(O1752,'Cây trong'!$A$2:$C$246,3,0)," ")</f>
        <v>6000</v>
      </c>
      <c r="R1752" s="564">
        <f t="shared" si="389"/>
        <v>60000</v>
      </c>
      <c r="S1752" s="566"/>
      <c r="T1752" s="609"/>
      <c r="U1752" s="741"/>
      <c r="V1752" s="586"/>
      <c r="W1752" s="564" t="str">
        <f>IF(S1752&lt;&gt;0,VLOOKUP(S1752,VKT!$A$2:$G$415,7,0),"")</f>
        <v/>
      </c>
      <c r="X1752" s="564" t="str">
        <f t="shared" si="373"/>
        <v xml:space="preserve"> </v>
      </c>
      <c r="Y1752" s="650"/>
      <c r="Z1752" s="586"/>
      <c r="AA1752" s="742"/>
      <c r="AB1752" s="586"/>
      <c r="AC1752" s="586"/>
      <c r="AD1752" s="586"/>
      <c r="AE1752" s="586"/>
      <c r="AF1752" s="714"/>
      <c r="AG1752" s="570" t="str">
        <f>IF(AE1752&lt;&gt;0,VLOOKUP(AE1752,ODDS!$A$2:$C$13,3,0),"")</f>
        <v/>
      </c>
      <c r="AH1752" s="570" t="str">
        <f t="shared" si="390"/>
        <v xml:space="preserve"> </v>
      </c>
      <c r="AI1752" s="571" t="str">
        <f t="shared" si="388"/>
        <v xml:space="preserve"> </v>
      </c>
      <c r="AJ1752" s="586"/>
      <c r="AK1752" s="586"/>
    </row>
    <row r="1753" spans="1:37" s="394" customFormat="1" ht="60.75" outlineLevel="2" x14ac:dyDescent="0.3">
      <c r="A1753" s="447">
        <f t="shared" si="387"/>
        <v>146</v>
      </c>
      <c r="B1753" s="557"/>
      <c r="C1753" s="572"/>
      <c r="D1753" s="700"/>
      <c r="E1753" s="612"/>
      <c r="F1753" s="612"/>
      <c r="G1753" s="586"/>
      <c r="H1753" s="709"/>
      <c r="I1753" s="546"/>
      <c r="J1753" s="562"/>
      <c r="K1753" s="563" t="str">
        <f>IF(G1753&lt;&gt;0,VLOOKUP(G1753,'gia dat'!$A$1:$F$144,5,0)," ")</f>
        <v xml:space="preserve"> </v>
      </c>
      <c r="L1753" s="563" t="str">
        <f>IF(G1753&lt;&gt;0,VLOOKUP(G1753,'gia dat'!$A$1:$F$144,6,0)," ")</f>
        <v xml:space="preserve"> </v>
      </c>
      <c r="M1753" s="564" t="str">
        <f t="shared" si="374"/>
        <v xml:space="preserve"> </v>
      </c>
      <c r="N1753" s="564" t="str">
        <f t="shared" si="375"/>
        <v xml:space="preserve"> </v>
      </c>
      <c r="O1753" s="565" t="s">
        <v>429</v>
      </c>
      <c r="P1753" s="740">
        <v>52</v>
      </c>
      <c r="Q1753" s="564">
        <f>IF(O1753&lt;&gt;0,VLOOKUP(O1753,'Cây trong'!$A$2:$C$246,3,0)," ")</f>
        <v>12000</v>
      </c>
      <c r="R1753" s="564">
        <f t="shared" si="389"/>
        <v>624000</v>
      </c>
      <c r="S1753" s="566"/>
      <c r="T1753" s="609"/>
      <c r="U1753" s="741"/>
      <c r="V1753" s="586"/>
      <c r="W1753" s="564" t="str">
        <f>IF(S1753&lt;&gt;0,VLOOKUP(S1753,VKT!$A$2:$G$415,7,0),"")</f>
        <v/>
      </c>
      <c r="X1753" s="564" t="str">
        <f t="shared" si="373"/>
        <v xml:space="preserve"> </v>
      </c>
      <c r="Y1753" s="650"/>
      <c r="Z1753" s="586"/>
      <c r="AA1753" s="742"/>
      <c r="AB1753" s="586"/>
      <c r="AC1753" s="586"/>
      <c r="AD1753" s="586"/>
      <c r="AE1753" s="586"/>
      <c r="AF1753" s="714"/>
      <c r="AG1753" s="570" t="str">
        <f>IF(AE1753&lt;&gt;0,VLOOKUP(AE1753,ODDS!$A$2:$C$13,3,0),"")</f>
        <v/>
      </c>
      <c r="AH1753" s="570" t="str">
        <f t="shared" si="390"/>
        <v xml:space="preserve"> </v>
      </c>
      <c r="AI1753" s="571" t="str">
        <f t="shared" si="388"/>
        <v xml:space="preserve"> </v>
      </c>
      <c r="AJ1753" s="586"/>
      <c r="AK1753" s="586"/>
    </row>
    <row r="1754" spans="1:37" s="394" customFormat="1" ht="20.25" outlineLevel="2" x14ac:dyDescent="0.3">
      <c r="A1754" s="447">
        <f t="shared" si="387"/>
        <v>146</v>
      </c>
      <c r="B1754" s="557"/>
      <c r="C1754" s="572"/>
      <c r="D1754" s="700"/>
      <c r="E1754" s="612"/>
      <c r="F1754" s="612"/>
      <c r="G1754" s="586"/>
      <c r="H1754" s="709"/>
      <c r="I1754" s="546"/>
      <c r="J1754" s="558"/>
      <c r="K1754" s="563" t="str">
        <f>IF(G1754&lt;&gt;0,VLOOKUP(G1754,'gia dat'!$A$1:$F$144,5,0)," ")</f>
        <v xml:space="preserve"> </v>
      </c>
      <c r="L1754" s="563" t="str">
        <f>IF(G1754&lt;&gt;0,VLOOKUP(G1754,'gia dat'!$A$1:$F$144,6,0)," ")</f>
        <v xml:space="preserve"> </v>
      </c>
      <c r="M1754" s="564" t="str">
        <f t="shared" si="374"/>
        <v xml:space="preserve"> </v>
      </c>
      <c r="N1754" s="564" t="str">
        <f t="shared" si="375"/>
        <v xml:space="preserve"> </v>
      </c>
      <c r="O1754" s="572"/>
      <c r="P1754" s="740"/>
      <c r="Q1754" s="564" t="str">
        <f>IF(O1754&lt;&gt;0,VLOOKUP(O1754,'Cây trong'!$A$2:$C$246,3,0)," ")</f>
        <v xml:space="preserve"> </v>
      </c>
      <c r="R1754" s="564" t="str">
        <f t="shared" si="389"/>
        <v xml:space="preserve"> </v>
      </c>
      <c r="S1754" s="572"/>
      <c r="T1754" s="609"/>
      <c r="U1754" s="741"/>
      <c r="V1754" s="586"/>
      <c r="W1754" s="564" t="str">
        <f>IF(S1754&lt;&gt;0,VLOOKUP(S1754,VKT!$A$2:$G$415,7,0),"")</f>
        <v/>
      </c>
      <c r="X1754" s="564" t="str">
        <f t="shared" si="373"/>
        <v xml:space="preserve"> </v>
      </c>
      <c r="Y1754" s="650"/>
      <c r="Z1754" s="586"/>
      <c r="AA1754" s="742"/>
      <c r="AB1754" s="586"/>
      <c r="AC1754" s="586"/>
      <c r="AD1754" s="586"/>
      <c r="AE1754" s="586"/>
      <c r="AF1754" s="714"/>
      <c r="AG1754" s="570" t="str">
        <f>IF(AE1754&lt;&gt;0,VLOOKUP(AE1754,ODDS!$A$2:$C$13,3,0),"")</f>
        <v/>
      </c>
      <c r="AH1754" s="570" t="str">
        <f t="shared" si="390"/>
        <v xml:space="preserve"> </v>
      </c>
      <c r="AI1754" s="571" t="str">
        <f t="shared" si="388"/>
        <v xml:space="preserve"> </v>
      </c>
      <c r="AJ1754" s="586"/>
      <c r="AK1754" s="586"/>
    </row>
    <row r="1755" spans="1:37" s="394" customFormat="1" ht="20.25" outlineLevel="2" x14ac:dyDescent="0.3">
      <c r="A1755" s="447">
        <f t="shared" si="387"/>
        <v>146</v>
      </c>
      <c r="B1755" s="557"/>
      <c r="C1755" s="572"/>
      <c r="D1755" s="700"/>
      <c r="E1755" s="612"/>
      <c r="F1755" s="612"/>
      <c r="G1755" s="586"/>
      <c r="H1755" s="709"/>
      <c r="I1755" s="546"/>
      <c r="J1755" s="558"/>
      <c r="K1755" s="563" t="str">
        <f>IF(G1755&lt;&gt;0,VLOOKUP(G1755,'gia dat'!$A$1:$F$144,5,0)," ")</f>
        <v xml:space="preserve"> </v>
      </c>
      <c r="L1755" s="563" t="str">
        <f>IF(G1755&lt;&gt;0,VLOOKUP(G1755,'gia dat'!$A$1:$F$144,6,0)," ")</f>
        <v xml:space="preserve"> </v>
      </c>
      <c r="M1755" s="564" t="str">
        <f t="shared" ref="M1755:M1825" si="391">IF(H1755&lt;&gt;0,ROUND(H1755*K1755,-3)," ")</f>
        <v xml:space="preserve"> </v>
      </c>
      <c r="N1755" s="564" t="str">
        <f t="shared" ref="N1755:N1825" si="392">IF(H1755&lt;&gt;0,ROUND(H1755*L1755,-3)," ")</f>
        <v xml:space="preserve"> </v>
      </c>
      <c r="O1755" s="572"/>
      <c r="P1755" s="740"/>
      <c r="Q1755" s="564" t="str">
        <f>IF(O1755&lt;&gt;0,VLOOKUP(O1755,'Cây trong'!$A$2:$C$246,3,0)," ")</f>
        <v xml:space="preserve"> </v>
      </c>
      <c r="R1755" s="564" t="str">
        <f t="shared" si="389"/>
        <v xml:space="preserve"> </v>
      </c>
      <c r="S1755" s="572"/>
      <c r="T1755" s="609"/>
      <c r="U1755" s="741"/>
      <c r="V1755" s="586"/>
      <c r="W1755" s="564" t="str">
        <f>IF(S1755&lt;&gt;0,VLOOKUP(S1755,VKT!$A$2:$G$415,7,0),"")</f>
        <v/>
      </c>
      <c r="X1755" s="564" t="str">
        <f t="shared" si="373"/>
        <v xml:space="preserve"> </v>
      </c>
      <c r="Y1755" s="650"/>
      <c r="Z1755" s="586"/>
      <c r="AA1755" s="742"/>
      <c r="AB1755" s="586"/>
      <c r="AC1755" s="586"/>
      <c r="AD1755" s="586"/>
      <c r="AE1755" s="586"/>
      <c r="AF1755" s="714"/>
      <c r="AG1755" s="570" t="str">
        <f>IF(AE1755&lt;&gt;0,VLOOKUP(AE1755,ODDS!$A$2:$C$13,3,0),"")</f>
        <v/>
      </c>
      <c r="AH1755" s="570" t="str">
        <f t="shared" si="390"/>
        <v xml:space="preserve"> </v>
      </c>
      <c r="AI1755" s="571" t="str">
        <f t="shared" si="388"/>
        <v xml:space="preserve"> </v>
      </c>
      <c r="AJ1755" s="586"/>
      <c r="AK1755" s="586"/>
    </row>
    <row r="1756" spans="1:37" s="394" customFormat="1" ht="20.25" outlineLevel="2" x14ac:dyDescent="0.3">
      <c r="A1756" s="447">
        <f t="shared" si="387"/>
        <v>146</v>
      </c>
      <c r="B1756" s="557"/>
      <c r="C1756" s="607"/>
      <c r="D1756" s="700"/>
      <c r="E1756" s="612"/>
      <c r="F1756" s="612"/>
      <c r="G1756" s="586"/>
      <c r="H1756" s="709"/>
      <c r="I1756" s="546"/>
      <c r="J1756" s="558"/>
      <c r="K1756" s="563" t="str">
        <f>IF(G1756&lt;&gt;0,VLOOKUP(G1756,'gia dat'!$A$1:$F$144,5,0)," ")</f>
        <v xml:space="preserve"> </v>
      </c>
      <c r="L1756" s="563" t="str">
        <f>IF(G1756&lt;&gt;0,VLOOKUP(G1756,'gia dat'!$A$1:$F$144,6,0)," ")</f>
        <v xml:space="preserve"> </v>
      </c>
      <c r="M1756" s="564" t="str">
        <f t="shared" si="391"/>
        <v xml:space="preserve"> </v>
      </c>
      <c r="N1756" s="564" t="str">
        <f t="shared" si="392"/>
        <v xml:space="preserve"> </v>
      </c>
      <c r="O1756" s="572"/>
      <c r="P1756" s="740"/>
      <c r="Q1756" s="564" t="str">
        <f>IF(O1756&lt;&gt;0,VLOOKUP(O1756,'Cây trong'!$A$2:$C$246,3,0)," ")</f>
        <v xml:space="preserve"> </v>
      </c>
      <c r="R1756" s="564" t="str">
        <f t="shared" si="389"/>
        <v xml:space="preserve"> </v>
      </c>
      <c r="S1756" s="572"/>
      <c r="T1756" s="609"/>
      <c r="U1756" s="741"/>
      <c r="V1756" s="586"/>
      <c r="W1756" s="564" t="str">
        <f>IF(S1756&lt;&gt;0,VLOOKUP(S1756,VKT!$A$2:$G$415,7,0),"")</f>
        <v/>
      </c>
      <c r="X1756" s="564" t="str">
        <f t="shared" si="373"/>
        <v xml:space="preserve"> </v>
      </c>
      <c r="Y1756" s="650"/>
      <c r="Z1756" s="586"/>
      <c r="AA1756" s="742"/>
      <c r="AB1756" s="586"/>
      <c r="AC1756" s="586"/>
      <c r="AD1756" s="586"/>
      <c r="AE1756" s="586"/>
      <c r="AF1756" s="714"/>
      <c r="AG1756" s="570" t="str">
        <f>IF(AE1756&lt;&gt;0,VLOOKUP(AE1756,ODDS!$A$2:$C$13,3,0),"")</f>
        <v/>
      </c>
      <c r="AH1756" s="570" t="str">
        <f t="shared" si="390"/>
        <v xml:space="preserve"> </v>
      </c>
      <c r="AI1756" s="571" t="str">
        <f t="shared" si="388"/>
        <v xml:space="preserve"> </v>
      </c>
      <c r="AJ1756" s="586"/>
      <c r="AK1756" s="586"/>
    </row>
    <row r="1757" spans="1:37" s="396" customFormat="1" ht="20.25" outlineLevel="1" x14ac:dyDescent="0.25">
      <c r="A1757" s="467" t="s">
        <v>2563</v>
      </c>
      <c r="B1757" s="576">
        <v>147</v>
      </c>
      <c r="C1757" s="607" t="s">
        <v>1231</v>
      </c>
      <c r="D1757" s="706"/>
      <c r="E1757" s="642"/>
      <c r="F1757" s="642"/>
      <c r="G1757" s="578"/>
      <c r="H1757" s="707">
        <f>SUBTOTAL(9,H1758:H1770)</f>
        <v>861.4</v>
      </c>
      <c r="I1757" s="579">
        <f>SUBTOTAL(9,I1758:I1763)</f>
        <v>0</v>
      </c>
      <c r="J1757" s="580"/>
      <c r="K1757" s="581"/>
      <c r="L1757" s="581"/>
      <c r="M1757" s="571">
        <f>SUBTOTAL(9,M1758:M1770)</f>
        <v>401068000</v>
      </c>
      <c r="N1757" s="571">
        <f>SUBTOTAL(9,N1758:N1770)</f>
        <v>0</v>
      </c>
      <c r="O1757" s="607"/>
      <c r="P1757" s="738">
        <f>SUBTOTAL(9,P1758:P1770)</f>
        <v>416</v>
      </c>
      <c r="Q1757" s="571"/>
      <c r="R1757" s="571">
        <f>SUBTOTAL(9,R1758:R1770)</f>
        <v>11897000</v>
      </c>
      <c r="S1757" s="582"/>
      <c r="T1757" s="621"/>
      <c r="U1757" s="739">
        <f>SUBTOTAL(9,U1758:U1770)</f>
        <v>0</v>
      </c>
      <c r="V1757" s="578"/>
      <c r="W1757" s="571"/>
      <c r="X1757" s="571">
        <f>SUBTOTAL(9,X1758:X1770)</f>
        <v>0</v>
      </c>
      <c r="Y1757" s="650"/>
      <c r="Z1757" s="586"/>
      <c r="AA1757" s="742"/>
      <c r="AB1757" s="586"/>
      <c r="AC1757" s="586"/>
      <c r="AD1757" s="586"/>
      <c r="AE1757" s="578"/>
      <c r="AF1757" s="712">
        <f>SUBTOTAL(9,AF1758:AF1770)</f>
        <v>0</v>
      </c>
      <c r="AG1757" s="585"/>
      <c r="AH1757" s="585">
        <f>SUBTOTAL(9,AH1758:AH1770)</f>
        <v>0</v>
      </c>
      <c r="AI1757" s="571">
        <f t="shared" si="388"/>
        <v>412965000</v>
      </c>
      <c r="AJ1757" s="578"/>
      <c r="AK1757" s="578"/>
    </row>
    <row r="1758" spans="1:37" s="396" customFormat="1" ht="121.5" outlineLevel="2" x14ac:dyDescent="0.3">
      <c r="A1758" s="447">
        <f>IF(B1757&lt;&gt;0,B1757,A1756)</f>
        <v>147</v>
      </c>
      <c r="B1758" s="557"/>
      <c r="C1758" s="572" t="s">
        <v>1234</v>
      </c>
      <c r="D1758" s="700">
        <v>6</v>
      </c>
      <c r="E1758" s="612">
        <v>86</v>
      </c>
      <c r="F1758" s="612">
        <v>283</v>
      </c>
      <c r="G1758" s="586" t="s">
        <v>2436</v>
      </c>
      <c r="H1758" s="709">
        <v>861.4</v>
      </c>
      <c r="I1758" s="546" t="str">
        <f t="shared" ref="I1758" si="393">IF(N1758&gt;0,H1758,"")</f>
        <v/>
      </c>
      <c r="J1758" s="562"/>
      <c r="K1758" s="563">
        <f>IF(G1758&lt;&gt;0,VLOOKUP(G1758,'gia dat'!$A$1:$F$144,5,0)," ")</f>
        <v>465600</v>
      </c>
      <c r="L1758" s="563">
        <f>IF(G1758&lt;&gt;0,VLOOKUP(G1758,'gia dat'!$A$1:$F$144,6,0)," ")</f>
        <v>0</v>
      </c>
      <c r="M1758" s="564">
        <f t="shared" si="391"/>
        <v>401068000</v>
      </c>
      <c r="N1758" s="564">
        <f t="shared" si="392"/>
        <v>0</v>
      </c>
      <c r="O1758" s="572" t="s">
        <v>353</v>
      </c>
      <c r="P1758" s="740">
        <v>19</v>
      </c>
      <c r="Q1758" s="564">
        <f>IF(O1758&lt;&gt;0,VLOOKUP(O1758,'Cây trong'!$A$2:$C$246,3,0)," ")</f>
        <v>96000</v>
      </c>
      <c r="R1758" s="564">
        <f t="shared" si="389"/>
        <v>1824000</v>
      </c>
      <c r="S1758" s="566"/>
      <c r="T1758" s="609"/>
      <c r="U1758" s="741"/>
      <c r="V1758" s="586"/>
      <c r="W1758" s="564" t="str">
        <f>IF(S1758&lt;&gt;0,VLOOKUP(S1758,VKT!$A$2:$G$415,7,0),"")</f>
        <v/>
      </c>
      <c r="X1758" s="564" t="str">
        <f t="shared" si="373"/>
        <v xml:space="preserve"> </v>
      </c>
      <c r="Y1758" s="650"/>
      <c r="Z1758" s="586"/>
      <c r="AA1758" s="742"/>
      <c r="AB1758" s="586"/>
      <c r="AC1758" s="586"/>
      <c r="AD1758" s="586"/>
      <c r="AE1758" s="586"/>
      <c r="AF1758" s="714"/>
      <c r="AG1758" s="570" t="str">
        <f>IF(AE1758&lt;&gt;0,VLOOKUP(AE1758,ODDS!$A$2:$C$13,3,0),"")</f>
        <v/>
      </c>
      <c r="AH1758" s="570"/>
      <c r="AI1758" s="571" t="str">
        <f t="shared" si="388"/>
        <v xml:space="preserve"> </v>
      </c>
      <c r="AJ1758" s="586" t="s">
        <v>1233</v>
      </c>
      <c r="AK1758" s="586" t="s">
        <v>2771</v>
      </c>
    </row>
    <row r="1759" spans="1:37" s="394" customFormat="1" ht="101.25" outlineLevel="2" x14ac:dyDescent="0.3">
      <c r="A1759" s="447">
        <f t="shared" ref="A1759:A1770" si="394">IF(B1758&lt;&gt;0,B1758,A1758)</f>
        <v>147</v>
      </c>
      <c r="B1759" s="557"/>
      <c r="C1759" s="572" t="s">
        <v>1606</v>
      </c>
      <c r="D1759" s="700"/>
      <c r="E1759" s="612"/>
      <c r="F1759" s="612"/>
      <c r="G1759" s="586"/>
      <c r="H1759" s="709"/>
      <c r="I1759" s="546"/>
      <c r="J1759" s="562"/>
      <c r="K1759" s="563" t="str">
        <f>IF(G1759&lt;&gt;0,VLOOKUP(G1759,'gia dat'!$A$1:$F$144,5,0)," ")</f>
        <v xml:space="preserve"> </v>
      </c>
      <c r="L1759" s="563" t="str">
        <f>IF(G1759&lt;&gt;0,VLOOKUP(G1759,'gia dat'!$A$1:$F$144,6,0)," ")</f>
        <v xml:space="preserve"> </v>
      </c>
      <c r="M1759" s="564" t="str">
        <f t="shared" si="391"/>
        <v xml:space="preserve"> </v>
      </c>
      <c r="N1759" s="564" t="str">
        <f t="shared" si="392"/>
        <v xml:space="preserve"> </v>
      </c>
      <c r="O1759" s="572" t="s">
        <v>932</v>
      </c>
      <c r="P1759" s="740">
        <v>45</v>
      </c>
      <c r="Q1759" s="564">
        <f>IF(O1759&lt;&gt;0,VLOOKUP(O1759,'Cây trong'!$A$2:$C$246,3,0)," ")</f>
        <v>84000</v>
      </c>
      <c r="R1759" s="564">
        <f t="shared" si="389"/>
        <v>3780000</v>
      </c>
      <c r="S1759" s="566"/>
      <c r="T1759" s="609"/>
      <c r="U1759" s="741"/>
      <c r="V1759" s="586"/>
      <c r="W1759" s="564" t="str">
        <f>IF(S1759&lt;&gt;0,VLOOKUP(S1759,VKT!$A$2:$G$415,7,0),"")</f>
        <v/>
      </c>
      <c r="X1759" s="564" t="str">
        <f t="shared" si="373"/>
        <v xml:space="preserve"> </v>
      </c>
      <c r="Y1759" s="650"/>
      <c r="Z1759" s="586"/>
      <c r="AA1759" s="742"/>
      <c r="AB1759" s="586"/>
      <c r="AC1759" s="586"/>
      <c r="AD1759" s="586"/>
      <c r="AE1759" s="586"/>
      <c r="AF1759" s="714"/>
      <c r="AG1759" s="570" t="str">
        <f>IF(AE1759&lt;&gt;0,VLOOKUP(AE1759,ODDS!$A$2:$C$13,3,0),"")</f>
        <v/>
      </c>
      <c r="AH1759" s="570" t="str">
        <f t="shared" si="390"/>
        <v xml:space="preserve"> </v>
      </c>
      <c r="AI1759" s="571" t="str">
        <f t="shared" si="388"/>
        <v xml:space="preserve"> </v>
      </c>
      <c r="AJ1759" s="586" t="s">
        <v>1235</v>
      </c>
      <c r="AK1759" s="558" t="s">
        <v>2449</v>
      </c>
    </row>
    <row r="1760" spans="1:37" s="394" customFormat="1" ht="40.5" outlineLevel="2" x14ac:dyDescent="0.3">
      <c r="A1760" s="447">
        <f t="shared" si="394"/>
        <v>147</v>
      </c>
      <c r="B1760" s="557"/>
      <c r="C1760" s="572"/>
      <c r="D1760" s="700"/>
      <c r="E1760" s="612"/>
      <c r="F1760" s="612"/>
      <c r="G1760" s="586"/>
      <c r="H1760" s="709"/>
      <c r="I1760" s="546"/>
      <c r="J1760" s="562"/>
      <c r="K1760" s="563" t="str">
        <f>IF(G1760&lt;&gt;0,VLOOKUP(G1760,'gia dat'!$A$1:$F$144,5,0)," ")</f>
        <v xml:space="preserve"> </v>
      </c>
      <c r="L1760" s="563" t="str">
        <f>IF(G1760&lt;&gt;0,VLOOKUP(G1760,'gia dat'!$A$1:$F$144,6,0)," ")</f>
        <v xml:space="preserve"> </v>
      </c>
      <c r="M1760" s="564" t="str">
        <f t="shared" si="391"/>
        <v xml:space="preserve"> </v>
      </c>
      <c r="N1760" s="564" t="str">
        <f t="shared" si="392"/>
        <v xml:space="preserve"> </v>
      </c>
      <c r="O1760" s="572" t="s">
        <v>350</v>
      </c>
      <c r="P1760" s="740">
        <v>21</v>
      </c>
      <c r="Q1760" s="564">
        <f>IF(O1760&lt;&gt;0,VLOOKUP(O1760,'Cây trong'!$A$2:$C$246,3,0)," ")</f>
        <v>72000</v>
      </c>
      <c r="R1760" s="564">
        <f t="shared" si="389"/>
        <v>1512000</v>
      </c>
      <c r="S1760" s="566"/>
      <c r="T1760" s="609"/>
      <c r="U1760" s="741"/>
      <c r="V1760" s="586"/>
      <c r="W1760" s="564" t="str">
        <f>IF(S1760&lt;&gt;0,VLOOKUP(S1760,VKT!$A$2:$G$415,7,0),"")</f>
        <v/>
      </c>
      <c r="X1760" s="564" t="str">
        <f t="shared" si="373"/>
        <v xml:space="preserve"> </v>
      </c>
      <c r="Y1760" s="650"/>
      <c r="Z1760" s="586"/>
      <c r="AA1760" s="742"/>
      <c r="AB1760" s="586"/>
      <c r="AC1760" s="586"/>
      <c r="AD1760" s="586"/>
      <c r="AE1760" s="586"/>
      <c r="AF1760" s="714"/>
      <c r="AG1760" s="570" t="str">
        <f>IF(AE1760&lt;&gt;0,VLOOKUP(AE1760,ODDS!$A$2:$C$13,3,0),"")</f>
        <v/>
      </c>
      <c r="AH1760" s="570" t="str">
        <f t="shared" si="390"/>
        <v xml:space="preserve"> </v>
      </c>
      <c r="AI1760" s="571" t="str">
        <f t="shared" si="388"/>
        <v xml:space="preserve"> </v>
      </c>
      <c r="AJ1760" s="586"/>
      <c r="AK1760" s="586"/>
    </row>
    <row r="1761" spans="1:39" s="394" customFormat="1" ht="40.5" outlineLevel="2" x14ac:dyDescent="0.3">
      <c r="A1761" s="447">
        <f t="shared" si="394"/>
        <v>147</v>
      </c>
      <c r="B1761" s="557"/>
      <c r="C1761" s="572"/>
      <c r="D1761" s="700"/>
      <c r="E1761" s="612"/>
      <c r="F1761" s="612"/>
      <c r="G1761" s="586"/>
      <c r="H1761" s="709"/>
      <c r="I1761" s="546"/>
      <c r="J1761" s="558"/>
      <c r="K1761" s="563" t="str">
        <f>IF(G1761&lt;&gt;0,VLOOKUP(G1761,'gia dat'!$A$1:$F$144,5,0)," ")</f>
        <v xml:space="preserve"> </v>
      </c>
      <c r="L1761" s="563" t="str">
        <f>IF(G1761&lt;&gt;0,VLOOKUP(G1761,'gia dat'!$A$1:$F$144,6,0)," ")</f>
        <v xml:space="preserve"> </v>
      </c>
      <c r="M1761" s="564" t="str">
        <f t="shared" si="391"/>
        <v xml:space="preserve"> </v>
      </c>
      <c r="N1761" s="564" t="str">
        <f t="shared" si="392"/>
        <v xml:space="preserve"> </v>
      </c>
      <c r="O1761" s="572" t="s">
        <v>2104</v>
      </c>
      <c r="P1761" s="740">
        <v>1</v>
      </c>
      <c r="Q1761" s="564">
        <f>IF(O1761&lt;&gt;0,VLOOKUP(O1761,'Cây trong'!$A$2:$C$246,3,0)," ")</f>
        <v>600000</v>
      </c>
      <c r="R1761" s="564">
        <f t="shared" si="389"/>
        <v>600000</v>
      </c>
      <c r="S1761" s="572"/>
      <c r="T1761" s="609"/>
      <c r="U1761" s="741"/>
      <c r="V1761" s="586"/>
      <c r="W1761" s="564" t="str">
        <f>IF(S1761&lt;&gt;0,VLOOKUP(S1761,VKT!$A$2:$G$415,7,0),"")</f>
        <v/>
      </c>
      <c r="X1761" s="564" t="str">
        <f t="shared" si="373"/>
        <v xml:space="preserve"> </v>
      </c>
      <c r="Y1761" s="650"/>
      <c r="Z1761" s="586"/>
      <c r="AA1761" s="742"/>
      <c r="AB1761" s="586"/>
      <c r="AC1761" s="586"/>
      <c r="AD1761" s="586"/>
      <c r="AE1761" s="586"/>
      <c r="AF1761" s="714"/>
      <c r="AG1761" s="570" t="str">
        <f>IF(AE1761&lt;&gt;0,VLOOKUP(AE1761,ODDS!$A$2:$C$13,3,0),"")</f>
        <v/>
      </c>
      <c r="AH1761" s="570" t="str">
        <f t="shared" si="390"/>
        <v xml:space="preserve"> </v>
      </c>
      <c r="AI1761" s="571" t="str">
        <f t="shared" si="388"/>
        <v xml:space="preserve"> </v>
      </c>
      <c r="AJ1761" s="586"/>
      <c r="AK1761" s="586"/>
    </row>
    <row r="1762" spans="1:39" s="394" customFormat="1" ht="40.5" outlineLevel="2" x14ac:dyDescent="0.3">
      <c r="A1762" s="447">
        <f t="shared" si="394"/>
        <v>147</v>
      </c>
      <c r="B1762" s="557"/>
      <c r="C1762" s="572"/>
      <c r="D1762" s="700"/>
      <c r="E1762" s="612"/>
      <c r="F1762" s="612"/>
      <c r="G1762" s="586"/>
      <c r="H1762" s="709"/>
      <c r="I1762" s="546"/>
      <c r="J1762" s="558"/>
      <c r="K1762" s="563" t="str">
        <f>IF(G1762&lt;&gt;0,VLOOKUP(G1762,'gia dat'!$A$1:$F$144,5,0)," ")</f>
        <v xml:space="preserve"> </v>
      </c>
      <c r="L1762" s="563" t="str">
        <f>IF(G1762&lt;&gt;0,VLOOKUP(G1762,'gia dat'!$A$1:$F$144,6,0)," ")</f>
        <v xml:space="preserve"> </v>
      </c>
      <c r="M1762" s="564" t="str">
        <f t="shared" si="391"/>
        <v xml:space="preserve"> </v>
      </c>
      <c r="N1762" s="564" t="str">
        <f t="shared" si="392"/>
        <v xml:space="preserve"> </v>
      </c>
      <c r="O1762" s="572" t="s">
        <v>2105</v>
      </c>
      <c r="P1762" s="740">
        <v>1</v>
      </c>
      <c r="Q1762" s="564">
        <f>IF(O1762&lt;&gt;0,VLOOKUP(O1762,'Cây trong'!$A$2:$C$246,3,0)," ")</f>
        <v>165000</v>
      </c>
      <c r="R1762" s="564">
        <f t="shared" si="389"/>
        <v>165000</v>
      </c>
      <c r="S1762" s="572"/>
      <c r="T1762" s="609"/>
      <c r="U1762" s="741"/>
      <c r="V1762" s="586"/>
      <c r="W1762" s="564" t="str">
        <f>IF(S1762&lt;&gt;0,VLOOKUP(S1762,VKT!$A$2:$G$415,7,0),"")</f>
        <v/>
      </c>
      <c r="X1762" s="564" t="str">
        <f t="shared" si="373"/>
        <v xml:space="preserve"> </v>
      </c>
      <c r="Y1762" s="650"/>
      <c r="Z1762" s="586"/>
      <c r="AA1762" s="742"/>
      <c r="AB1762" s="586"/>
      <c r="AC1762" s="586"/>
      <c r="AD1762" s="586"/>
      <c r="AE1762" s="586"/>
      <c r="AF1762" s="714"/>
      <c r="AG1762" s="570" t="str">
        <f>IF(AE1762&lt;&gt;0,VLOOKUP(AE1762,ODDS!$A$2:$C$13,3,0),"")</f>
        <v/>
      </c>
      <c r="AH1762" s="570" t="str">
        <f t="shared" si="390"/>
        <v xml:space="preserve"> </v>
      </c>
      <c r="AI1762" s="571" t="str">
        <f t="shared" si="388"/>
        <v xml:space="preserve"> </v>
      </c>
      <c r="AJ1762" s="586"/>
      <c r="AK1762" s="586"/>
    </row>
    <row r="1763" spans="1:39" s="394" customFormat="1" ht="40.5" outlineLevel="2" x14ac:dyDescent="0.3">
      <c r="A1763" s="447">
        <f t="shared" si="394"/>
        <v>147</v>
      </c>
      <c r="B1763" s="557"/>
      <c r="C1763" s="572"/>
      <c r="D1763" s="700"/>
      <c r="E1763" s="612"/>
      <c r="F1763" s="612"/>
      <c r="G1763" s="586"/>
      <c r="H1763" s="709"/>
      <c r="I1763" s="546"/>
      <c r="J1763" s="558"/>
      <c r="K1763" s="563" t="str">
        <f>IF(G1763&lt;&gt;0,VLOOKUP(G1763,'gia dat'!$A$1:$F$144,5,0)," ")</f>
        <v xml:space="preserve"> </v>
      </c>
      <c r="L1763" s="563" t="str">
        <f>IF(G1763&lt;&gt;0,VLOOKUP(G1763,'gia dat'!$A$1:$F$144,6,0)," ")</f>
        <v xml:space="preserve"> </v>
      </c>
      <c r="M1763" s="564" t="str">
        <f t="shared" si="391"/>
        <v xml:space="preserve"> </v>
      </c>
      <c r="N1763" s="564" t="str">
        <f t="shared" si="392"/>
        <v xml:space="preserve"> </v>
      </c>
      <c r="O1763" s="572" t="s">
        <v>2106</v>
      </c>
      <c r="P1763" s="740">
        <v>3</v>
      </c>
      <c r="Q1763" s="564">
        <f>IF(O1763&lt;&gt;0,VLOOKUP(O1763,'Cây trong'!$A$2:$C$246,3,0)," ")</f>
        <v>32000</v>
      </c>
      <c r="R1763" s="564">
        <f t="shared" si="389"/>
        <v>96000</v>
      </c>
      <c r="S1763" s="572"/>
      <c r="T1763" s="609"/>
      <c r="U1763" s="741"/>
      <c r="V1763" s="586"/>
      <c r="W1763" s="564" t="str">
        <f>IF(S1763&lt;&gt;0,VLOOKUP(S1763,VKT!$A$2:$G$415,7,0),"")</f>
        <v/>
      </c>
      <c r="X1763" s="564" t="str">
        <f t="shared" si="373"/>
        <v xml:space="preserve"> </v>
      </c>
      <c r="Y1763" s="650"/>
      <c r="Z1763" s="586"/>
      <c r="AA1763" s="742"/>
      <c r="AB1763" s="586"/>
      <c r="AC1763" s="586"/>
      <c r="AD1763" s="586"/>
      <c r="AE1763" s="586"/>
      <c r="AF1763" s="714"/>
      <c r="AG1763" s="570" t="str">
        <f>IF(AE1763&lt;&gt;0,VLOOKUP(AE1763,ODDS!$A$2:$C$13,3,0),"")</f>
        <v/>
      </c>
      <c r="AH1763" s="570" t="str">
        <f t="shared" si="390"/>
        <v xml:space="preserve"> </v>
      </c>
      <c r="AI1763" s="571" t="str">
        <f t="shared" si="388"/>
        <v xml:space="preserve"> </v>
      </c>
      <c r="AJ1763" s="586"/>
      <c r="AK1763" s="586"/>
    </row>
    <row r="1764" spans="1:39" s="394" customFormat="1" ht="20.25" outlineLevel="2" x14ac:dyDescent="0.3">
      <c r="A1764" s="447">
        <f t="shared" si="394"/>
        <v>147</v>
      </c>
      <c r="B1764" s="557"/>
      <c r="C1764" s="572"/>
      <c r="D1764" s="700"/>
      <c r="E1764" s="612"/>
      <c r="F1764" s="612"/>
      <c r="G1764" s="586"/>
      <c r="H1764" s="709"/>
      <c r="I1764" s="546"/>
      <c r="J1764" s="558"/>
      <c r="K1764" s="563" t="str">
        <f>IF(G1764&lt;&gt;0,VLOOKUP(G1764,'gia dat'!$A$1:$F$144,5,0)," ")</f>
        <v xml:space="preserve"> </v>
      </c>
      <c r="L1764" s="563" t="str">
        <f>IF(G1764&lt;&gt;0,VLOOKUP(G1764,'gia dat'!$A$1:$F$144,6,0)," ")</f>
        <v xml:space="preserve"> </v>
      </c>
      <c r="M1764" s="564" t="str">
        <f t="shared" si="391"/>
        <v xml:space="preserve"> </v>
      </c>
      <c r="N1764" s="564" t="str">
        <f t="shared" si="392"/>
        <v xml:space="preserve"> </v>
      </c>
      <c r="O1764" s="572" t="s">
        <v>1239</v>
      </c>
      <c r="P1764" s="740">
        <v>1</v>
      </c>
      <c r="Q1764" s="564">
        <f>IF(O1764&lt;&gt;0,VLOOKUP(O1764,'Cây trong'!$A$2:$C$246,3,0)," ")</f>
        <v>32000</v>
      </c>
      <c r="R1764" s="564">
        <f t="shared" si="389"/>
        <v>32000</v>
      </c>
      <c r="S1764" s="572"/>
      <c r="T1764" s="609"/>
      <c r="U1764" s="741"/>
      <c r="V1764" s="586"/>
      <c r="W1764" s="564" t="str">
        <f>IF(S1764&lt;&gt;0,VLOOKUP(S1764,VKT!$A$2:$G$415,7,0),"")</f>
        <v/>
      </c>
      <c r="X1764" s="564" t="str">
        <f t="shared" si="373"/>
        <v xml:space="preserve"> </v>
      </c>
      <c r="Y1764" s="650"/>
      <c r="Z1764" s="586"/>
      <c r="AA1764" s="742"/>
      <c r="AB1764" s="586"/>
      <c r="AC1764" s="586"/>
      <c r="AD1764" s="586"/>
      <c r="AE1764" s="586"/>
      <c r="AF1764" s="714"/>
      <c r="AG1764" s="570" t="str">
        <f>IF(AE1764&lt;&gt;0,VLOOKUP(AE1764,ODDS!$A$2:$C$13,3,0),"")</f>
        <v/>
      </c>
      <c r="AH1764" s="570" t="str">
        <f t="shared" si="390"/>
        <v xml:space="preserve"> </v>
      </c>
      <c r="AI1764" s="571" t="str">
        <f t="shared" si="388"/>
        <v xml:space="preserve"> </v>
      </c>
      <c r="AJ1764" s="586"/>
      <c r="AK1764" s="586"/>
    </row>
    <row r="1765" spans="1:39" s="394" customFormat="1" ht="20.25" outlineLevel="2" x14ac:dyDescent="0.3">
      <c r="A1765" s="447">
        <f t="shared" si="394"/>
        <v>147</v>
      </c>
      <c r="B1765" s="557"/>
      <c r="C1765" s="572"/>
      <c r="D1765" s="700"/>
      <c r="E1765" s="612"/>
      <c r="F1765" s="612"/>
      <c r="G1765" s="586"/>
      <c r="H1765" s="709"/>
      <c r="I1765" s="546"/>
      <c r="J1765" s="558"/>
      <c r="K1765" s="563" t="str">
        <f>IF(G1765&lt;&gt;0,VLOOKUP(G1765,'gia dat'!$A$1:$F$144,5,0)," ")</f>
        <v xml:space="preserve"> </v>
      </c>
      <c r="L1765" s="563" t="str">
        <f>IF(G1765&lt;&gt;0,VLOOKUP(G1765,'gia dat'!$A$1:$F$144,6,0)," ")</f>
        <v xml:space="preserve"> </v>
      </c>
      <c r="M1765" s="564" t="str">
        <f t="shared" si="391"/>
        <v xml:space="preserve"> </v>
      </c>
      <c r="N1765" s="564" t="str">
        <f t="shared" si="392"/>
        <v xml:space="preserve"> </v>
      </c>
      <c r="O1765" s="572" t="s">
        <v>1240</v>
      </c>
      <c r="P1765" s="740">
        <v>1</v>
      </c>
      <c r="Q1765" s="564">
        <f>IF(O1765&lt;&gt;0,VLOOKUP(O1765,'Cây trong'!$A$2:$C$246,3,0)," ")</f>
        <v>0</v>
      </c>
      <c r="R1765" s="564">
        <f t="shared" si="389"/>
        <v>0</v>
      </c>
      <c r="S1765" s="572"/>
      <c r="T1765" s="609"/>
      <c r="U1765" s="741"/>
      <c r="V1765" s="586"/>
      <c r="W1765" s="564" t="str">
        <f>IF(S1765&lt;&gt;0,VLOOKUP(S1765,VKT!$A$2:$G$415,7,0),"")</f>
        <v/>
      </c>
      <c r="X1765" s="564" t="str">
        <f t="shared" ref="X1765:X1835" si="395">IF(S1765&lt;&gt;0,ROUND(U1765*W1765,-3)," ")</f>
        <v xml:space="preserve"> </v>
      </c>
      <c r="Y1765" s="650"/>
      <c r="Z1765" s="586"/>
      <c r="AA1765" s="742"/>
      <c r="AB1765" s="586"/>
      <c r="AC1765" s="586"/>
      <c r="AD1765" s="586"/>
      <c r="AE1765" s="586"/>
      <c r="AF1765" s="714"/>
      <c r="AG1765" s="570" t="str">
        <f>IF(AE1765&lt;&gt;0,VLOOKUP(AE1765,ODDS!$A$2:$C$13,3,0),"")</f>
        <v/>
      </c>
      <c r="AH1765" s="570" t="str">
        <f t="shared" si="390"/>
        <v xml:space="preserve"> </v>
      </c>
      <c r="AI1765" s="571" t="str">
        <f t="shared" si="388"/>
        <v xml:space="preserve"> </v>
      </c>
      <c r="AJ1765" s="586"/>
      <c r="AK1765" s="586"/>
    </row>
    <row r="1766" spans="1:39" s="394" customFormat="1" ht="40.5" outlineLevel="2" x14ac:dyDescent="0.3">
      <c r="A1766" s="447">
        <f t="shared" si="394"/>
        <v>147</v>
      </c>
      <c r="B1766" s="557"/>
      <c r="C1766" s="572"/>
      <c r="D1766" s="700"/>
      <c r="E1766" s="612"/>
      <c r="F1766" s="612"/>
      <c r="G1766" s="586"/>
      <c r="H1766" s="709"/>
      <c r="I1766" s="546"/>
      <c r="J1766" s="558"/>
      <c r="K1766" s="563" t="str">
        <f>IF(G1766&lt;&gt;0,VLOOKUP(G1766,'gia dat'!$A$1:$F$144,5,0)," ")</f>
        <v xml:space="preserve"> </v>
      </c>
      <c r="L1766" s="563" t="str">
        <f>IF(G1766&lt;&gt;0,VLOOKUP(G1766,'gia dat'!$A$1:$F$144,6,0)," ")</f>
        <v xml:space="preserve"> </v>
      </c>
      <c r="M1766" s="564" t="str">
        <f t="shared" si="391"/>
        <v xml:space="preserve"> </v>
      </c>
      <c r="N1766" s="564" t="str">
        <f t="shared" si="392"/>
        <v xml:space="preserve"> </v>
      </c>
      <c r="O1766" s="572" t="s">
        <v>1241</v>
      </c>
      <c r="P1766" s="740">
        <v>324</v>
      </c>
      <c r="Q1766" s="564">
        <f>IF(O1766&lt;&gt;0,VLOOKUP(O1766,'Cây trong'!$A$2:$C$246,3,0)," ")</f>
        <v>12000</v>
      </c>
      <c r="R1766" s="564">
        <f t="shared" si="389"/>
        <v>3888000</v>
      </c>
      <c r="S1766" s="572"/>
      <c r="T1766" s="609"/>
      <c r="U1766" s="741"/>
      <c r="V1766" s="586"/>
      <c r="W1766" s="564" t="str">
        <f>IF(S1766&lt;&gt;0,VLOOKUP(S1766,VKT!$A$2:$G$415,7,0),"")</f>
        <v/>
      </c>
      <c r="X1766" s="564" t="str">
        <f t="shared" si="395"/>
        <v xml:space="preserve"> </v>
      </c>
      <c r="Y1766" s="650"/>
      <c r="Z1766" s="586"/>
      <c r="AA1766" s="742"/>
      <c r="AB1766" s="586"/>
      <c r="AC1766" s="586"/>
      <c r="AD1766" s="586"/>
      <c r="AE1766" s="586"/>
      <c r="AF1766" s="714"/>
      <c r="AG1766" s="570" t="str">
        <f>IF(AE1766&lt;&gt;0,VLOOKUP(AE1766,ODDS!$A$2:$C$13,3,0),"")</f>
        <v/>
      </c>
      <c r="AH1766" s="570" t="str">
        <f t="shared" si="390"/>
        <v xml:space="preserve"> </v>
      </c>
      <c r="AI1766" s="571" t="str">
        <f t="shared" si="388"/>
        <v xml:space="preserve"> </v>
      </c>
      <c r="AJ1766" s="586"/>
      <c r="AK1766" s="586"/>
    </row>
    <row r="1767" spans="1:39" s="394" customFormat="1" ht="20.25" outlineLevel="2" x14ac:dyDescent="0.3">
      <c r="A1767" s="447">
        <f t="shared" si="394"/>
        <v>147</v>
      </c>
      <c r="B1767" s="557"/>
      <c r="C1767" s="572"/>
      <c r="D1767" s="700"/>
      <c r="E1767" s="612"/>
      <c r="F1767" s="612"/>
      <c r="G1767" s="586"/>
      <c r="H1767" s="709"/>
      <c r="I1767" s="546"/>
      <c r="J1767" s="558"/>
      <c r="K1767" s="563" t="str">
        <f>IF(G1767&lt;&gt;0,VLOOKUP(G1767,'gia dat'!$A$1:$F$144,5,0)," ")</f>
        <v xml:space="preserve"> </v>
      </c>
      <c r="L1767" s="563" t="str">
        <f>IF(G1767&lt;&gt;0,VLOOKUP(G1767,'gia dat'!$A$1:$F$144,6,0)," ")</f>
        <v xml:space="preserve"> </v>
      </c>
      <c r="M1767" s="564" t="str">
        <f t="shared" si="391"/>
        <v xml:space="preserve"> </v>
      </c>
      <c r="N1767" s="564" t="str">
        <f t="shared" si="392"/>
        <v xml:space="preserve"> </v>
      </c>
      <c r="O1767" s="572"/>
      <c r="P1767" s="740"/>
      <c r="Q1767" s="564" t="str">
        <f>IF(O1767&lt;&gt;0,VLOOKUP(O1767,'Cây trong'!$A$2:$C$246,3,0)," ")</f>
        <v xml:space="preserve"> </v>
      </c>
      <c r="R1767" s="564" t="str">
        <f t="shared" si="389"/>
        <v xml:space="preserve"> </v>
      </c>
      <c r="S1767" s="572"/>
      <c r="T1767" s="609"/>
      <c r="U1767" s="741"/>
      <c r="V1767" s="586"/>
      <c r="W1767" s="564" t="str">
        <f>IF(S1767&lt;&gt;0,VLOOKUP(S1767,VKT!$A$2:$G$415,7,0),"")</f>
        <v/>
      </c>
      <c r="X1767" s="564" t="str">
        <f t="shared" si="395"/>
        <v xml:space="preserve"> </v>
      </c>
      <c r="Y1767" s="650"/>
      <c r="Z1767" s="586"/>
      <c r="AA1767" s="742"/>
      <c r="AB1767" s="586"/>
      <c r="AC1767" s="586"/>
      <c r="AD1767" s="586"/>
      <c r="AE1767" s="586"/>
      <c r="AF1767" s="714"/>
      <c r="AG1767" s="570" t="str">
        <f>IF(AE1767&lt;&gt;0,VLOOKUP(AE1767,ODDS!$A$2:$C$13,3,0),"")</f>
        <v/>
      </c>
      <c r="AH1767" s="570" t="str">
        <f t="shared" si="390"/>
        <v xml:space="preserve"> </v>
      </c>
      <c r="AI1767" s="571" t="str">
        <f t="shared" si="388"/>
        <v xml:space="preserve"> </v>
      </c>
      <c r="AJ1767" s="586"/>
      <c r="AK1767" s="586"/>
    </row>
    <row r="1768" spans="1:39" s="394" customFormat="1" ht="20.25" outlineLevel="2" x14ac:dyDescent="0.3">
      <c r="A1768" s="447">
        <f t="shared" si="394"/>
        <v>147</v>
      </c>
      <c r="B1768" s="557"/>
      <c r="C1768" s="572"/>
      <c r="D1768" s="700"/>
      <c r="E1768" s="612"/>
      <c r="F1768" s="612"/>
      <c r="G1768" s="586"/>
      <c r="H1768" s="709"/>
      <c r="I1768" s="546"/>
      <c r="J1768" s="558"/>
      <c r="K1768" s="563" t="str">
        <f>IF(G1768&lt;&gt;0,VLOOKUP(G1768,'gia dat'!$A$1:$F$144,5,0)," ")</f>
        <v xml:space="preserve"> </v>
      </c>
      <c r="L1768" s="563" t="str">
        <f>IF(G1768&lt;&gt;0,VLOOKUP(G1768,'gia dat'!$A$1:$F$144,6,0)," ")</f>
        <v xml:space="preserve"> </v>
      </c>
      <c r="M1768" s="564" t="str">
        <f t="shared" si="391"/>
        <v xml:space="preserve"> </v>
      </c>
      <c r="N1768" s="564" t="str">
        <f t="shared" si="392"/>
        <v xml:space="preserve"> </v>
      </c>
      <c r="O1768" s="572"/>
      <c r="P1768" s="740"/>
      <c r="Q1768" s="564" t="str">
        <f>IF(O1768&lt;&gt;0,VLOOKUP(O1768,'Cây trong'!$A$2:$C$246,3,0)," ")</f>
        <v xml:space="preserve"> </v>
      </c>
      <c r="R1768" s="564" t="str">
        <f t="shared" si="389"/>
        <v xml:space="preserve"> </v>
      </c>
      <c r="S1768" s="572"/>
      <c r="T1768" s="609"/>
      <c r="U1768" s="741"/>
      <c r="V1768" s="586"/>
      <c r="W1768" s="564" t="str">
        <f>IF(S1768&lt;&gt;0,VLOOKUP(S1768,VKT!$A$2:$G$415,7,0),"")</f>
        <v/>
      </c>
      <c r="X1768" s="564" t="str">
        <f t="shared" si="395"/>
        <v xml:space="preserve"> </v>
      </c>
      <c r="Y1768" s="650"/>
      <c r="Z1768" s="586"/>
      <c r="AA1768" s="742"/>
      <c r="AB1768" s="586"/>
      <c r="AC1768" s="586"/>
      <c r="AD1768" s="586"/>
      <c r="AE1768" s="586"/>
      <c r="AF1768" s="714"/>
      <c r="AG1768" s="570" t="str">
        <f>IF(AE1768&lt;&gt;0,VLOOKUP(AE1768,ODDS!$A$2:$C$13,3,0),"")</f>
        <v/>
      </c>
      <c r="AH1768" s="570" t="str">
        <f t="shared" si="390"/>
        <v xml:space="preserve"> </v>
      </c>
      <c r="AI1768" s="571" t="str">
        <f t="shared" si="388"/>
        <v xml:space="preserve"> </v>
      </c>
      <c r="AJ1768" s="572"/>
      <c r="AK1768" s="572"/>
    </row>
    <row r="1769" spans="1:39" s="394" customFormat="1" ht="20.25" outlineLevel="2" x14ac:dyDescent="0.3">
      <c r="A1769" s="447">
        <f t="shared" si="394"/>
        <v>147</v>
      </c>
      <c r="B1769" s="557"/>
      <c r="C1769" s="572"/>
      <c r="D1769" s="700"/>
      <c r="E1769" s="612"/>
      <c r="F1769" s="612"/>
      <c r="G1769" s="586"/>
      <c r="H1769" s="709"/>
      <c r="I1769" s="546"/>
      <c r="J1769" s="558"/>
      <c r="K1769" s="563" t="str">
        <f>IF(G1769&lt;&gt;0,VLOOKUP(G1769,'gia dat'!$A$1:$F$144,5,0)," ")</f>
        <v xml:space="preserve"> </v>
      </c>
      <c r="L1769" s="563" t="str">
        <f>IF(G1769&lt;&gt;0,VLOOKUP(G1769,'gia dat'!$A$1:$F$144,6,0)," ")</f>
        <v xml:space="preserve"> </v>
      </c>
      <c r="M1769" s="564" t="str">
        <f t="shared" si="391"/>
        <v xml:space="preserve"> </v>
      </c>
      <c r="N1769" s="564" t="str">
        <f t="shared" si="392"/>
        <v xml:space="preserve"> </v>
      </c>
      <c r="O1769" s="572"/>
      <c r="P1769" s="740"/>
      <c r="Q1769" s="564" t="str">
        <f>IF(O1769&lt;&gt;0,VLOOKUP(O1769,'Cây trong'!$A$2:$C$246,3,0)," ")</f>
        <v xml:space="preserve"> </v>
      </c>
      <c r="R1769" s="564" t="str">
        <f t="shared" si="389"/>
        <v xml:space="preserve"> </v>
      </c>
      <c r="S1769" s="572"/>
      <c r="T1769" s="609"/>
      <c r="U1769" s="741"/>
      <c r="V1769" s="586"/>
      <c r="W1769" s="564" t="str">
        <f>IF(S1769&lt;&gt;0,VLOOKUP(S1769,VKT!$A$2:$G$415,7,0),"")</f>
        <v/>
      </c>
      <c r="X1769" s="564" t="str">
        <f t="shared" si="395"/>
        <v xml:space="preserve"> </v>
      </c>
      <c r="Y1769" s="650"/>
      <c r="Z1769" s="586"/>
      <c r="AA1769" s="742"/>
      <c r="AB1769" s="586"/>
      <c r="AC1769" s="586"/>
      <c r="AD1769" s="586"/>
      <c r="AE1769" s="586"/>
      <c r="AF1769" s="714"/>
      <c r="AG1769" s="570" t="str">
        <f>IF(AE1769&lt;&gt;0,VLOOKUP(AE1769,ODDS!$A$2:$C$13,3,0),"")</f>
        <v/>
      </c>
      <c r="AH1769" s="570" t="str">
        <f t="shared" si="390"/>
        <v xml:space="preserve"> </v>
      </c>
      <c r="AI1769" s="571" t="str">
        <f t="shared" si="388"/>
        <v xml:space="preserve"> </v>
      </c>
      <c r="AJ1769" s="558"/>
      <c r="AK1769" s="558"/>
    </row>
    <row r="1770" spans="1:39" s="394" customFormat="1" ht="20.25" outlineLevel="2" x14ac:dyDescent="0.3">
      <c r="A1770" s="447">
        <f t="shared" si="394"/>
        <v>147</v>
      </c>
      <c r="B1770" s="557"/>
      <c r="C1770" s="607"/>
      <c r="D1770" s="700"/>
      <c r="E1770" s="612"/>
      <c r="F1770" s="612"/>
      <c r="G1770" s="586"/>
      <c r="H1770" s="709"/>
      <c r="I1770" s="546"/>
      <c r="J1770" s="558"/>
      <c r="K1770" s="563" t="str">
        <f>IF(G1770&lt;&gt;0,VLOOKUP(G1770,'gia dat'!$A$1:$F$144,5,0)," ")</f>
        <v xml:space="preserve"> </v>
      </c>
      <c r="L1770" s="563" t="str">
        <f>IF(G1770&lt;&gt;0,VLOOKUP(G1770,'gia dat'!$A$1:$F$144,6,0)," ")</f>
        <v xml:space="preserve"> </v>
      </c>
      <c r="M1770" s="564" t="str">
        <f t="shared" si="391"/>
        <v xml:space="preserve"> </v>
      </c>
      <c r="N1770" s="564" t="str">
        <f t="shared" si="392"/>
        <v xml:space="preserve"> </v>
      </c>
      <c r="O1770" s="572"/>
      <c r="P1770" s="740"/>
      <c r="Q1770" s="564" t="str">
        <f>IF(O1770&lt;&gt;0,VLOOKUP(O1770,'Cây trong'!$A$2:$C$246,3,0)," ")</f>
        <v xml:space="preserve"> </v>
      </c>
      <c r="R1770" s="564" t="str">
        <f t="shared" si="389"/>
        <v xml:space="preserve"> </v>
      </c>
      <c r="S1770" s="572"/>
      <c r="T1770" s="609"/>
      <c r="U1770" s="741"/>
      <c r="V1770" s="586"/>
      <c r="W1770" s="564" t="str">
        <f>IF(S1770&lt;&gt;0,VLOOKUP(S1770,VKT!$A$2:$G$415,7,0),"")</f>
        <v/>
      </c>
      <c r="X1770" s="564" t="str">
        <f t="shared" si="395"/>
        <v xml:space="preserve"> </v>
      </c>
      <c r="Y1770" s="650"/>
      <c r="Z1770" s="586"/>
      <c r="AA1770" s="742"/>
      <c r="AB1770" s="586"/>
      <c r="AC1770" s="586"/>
      <c r="AD1770" s="586"/>
      <c r="AE1770" s="586"/>
      <c r="AF1770" s="714"/>
      <c r="AG1770" s="570" t="str">
        <f>IF(AE1770&lt;&gt;0,VLOOKUP(AE1770,ODDS!$A$2:$C$13,3,0),"")</f>
        <v/>
      </c>
      <c r="AH1770" s="570" t="str">
        <f t="shared" si="390"/>
        <v xml:space="preserve"> </v>
      </c>
      <c r="AI1770" s="571" t="str">
        <f t="shared" si="388"/>
        <v xml:space="preserve"> </v>
      </c>
      <c r="AJ1770" s="586"/>
      <c r="AK1770" s="586"/>
    </row>
    <row r="1771" spans="1:39" s="396" customFormat="1" ht="40.5" outlineLevel="1" x14ac:dyDescent="0.25">
      <c r="A1771" s="467" t="s">
        <v>2562</v>
      </c>
      <c r="B1771" s="576">
        <v>148</v>
      </c>
      <c r="C1771" s="607" t="s">
        <v>1242</v>
      </c>
      <c r="D1771" s="706"/>
      <c r="E1771" s="642"/>
      <c r="F1771" s="642"/>
      <c r="G1771" s="578"/>
      <c r="H1771" s="707">
        <f>SUBTOTAL(9,H1772:H1777)</f>
        <v>14.8</v>
      </c>
      <c r="I1771" s="579">
        <f>SUBTOTAL(9,I1772:I1777)</f>
        <v>0</v>
      </c>
      <c r="J1771" s="580"/>
      <c r="K1771" s="581"/>
      <c r="L1771" s="581"/>
      <c r="M1771" s="571">
        <f>SUBTOTAL(9,M1772:M1777)</f>
        <v>8205000</v>
      </c>
      <c r="N1771" s="571">
        <f>SUBTOTAL(9,N1772:N1777)</f>
        <v>0</v>
      </c>
      <c r="O1771" s="607"/>
      <c r="P1771" s="738">
        <f>SUBTOTAL(9,P1772:P1777)</f>
        <v>0</v>
      </c>
      <c r="Q1771" s="571"/>
      <c r="R1771" s="571">
        <f>SUBTOTAL(9,R1772:R1777)</f>
        <v>0</v>
      </c>
      <c r="S1771" s="582"/>
      <c r="T1771" s="621"/>
      <c r="U1771" s="739">
        <f>SUBTOTAL(9,U1772:U1777)</f>
        <v>4.3</v>
      </c>
      <c r="V1771" s="578"/>
      <c r="W1771" s="571"/>
      <c r="X1771" s="571">
        <f>SUBTOTAL(9,X1772:X1777)</f>
        <v>2956000</v>
      </c>
      <c r="Y1771" s="650"/>
      <c r="Z1771" s="586"/>
      <c r="AA1771" s="742"/>
      <c r="AB1771" s="586"/>
      <c r="AC1771" s="586"/>
      <c r="AD1771" s="586"/>
      <c r="AE1771" s="578"/>
      <c r="AF1771" s="712">
        <f>SUBTOTAL(9,AF1772:AF1777)</f>
        <v>0</v>
      </c>
      <c r="AG1771" s="585"/>
      <c r="AH1771" s="585">
        <f>SUBTOTAL(9,AH1772:AH1777)</f>
        <v>0</v>
      </c>
      <c r="AI1771" s="571">
        <f t="shared" si="388"/>
        <v>11161000</v>
      </c>
      <c r="AJ1771" s="578"/>
      <c r="AK1771" s="578"/>
      <c r="AM1771" s="468"/>
    </row>
    <row r="1772" spans="1:39" s="396" customFormat="1" ht="121.5" outlineLevel="2" x14ac:dyDescent="0.3">
      <c r="A1772" s="447">
        <f>IF(B1771&lt;&gt;0,B1771,A1770)</f>
        <v>148</v>
      </c>
      <c r="B1772" s="557"/>
      <c r="C1772" s="572" t="s">
        <v>1244</v>
      </c>
      <c r="D1772" s="700">
        <v>4</v>
      </c>
      <c r="E1772" s="612">
        <v>86</v>
      </c>
      <c r="F1772" s="612">
        <v>261</v>
      </c>
      <c r="G1772" s="586" t="s">
        <v>2897</v>
      </c>
      <c r="H1772" s="709">
        <f>14.8</f>
        <v>14.8</v>
      </c>
      <c r="I1772" s="546" t="str">
        <f t="shared" ref="I1772" si="396">IF(N1772&gt;0,H1772,"")</f>
        <v/>
      </c>
      <c r="J1772" s="562"/>
      <c r="K1772" s="563">
        <f>IF(G1772&lt;&gt;0,VLOOKUP(G1772,'gia dat'!$A$1:$F$144,5,0)," ")</f>
        <v>554400</v>
      </c>
      <c r="L1772" s="563">
        <f>IF(G1772&lt;&gt;0,VLOOKUP(G1772,'gia dat'!$A$1:$F$144,6,0)," ")</f>
        <v>0</v>
      </c>
      <c r="M1772" s="564">
        <f t="shared" si="391"/>
        <v>8205000</v>
      </c>
      <c r="N1772" s="564">
        <f t="shared" si="392"/>
        <v>0</v>
      </c>
      <c r="O1772" s="572"/>
      <c r="P1772" s="740"/>
      <c r="Q1772" s="564" t="str">
        <f>IF(O1772&lt;&gt;0,VLOOKUP(O1772,'Cây trong'!$A$2:$C$246,3,0)," ")</f>
        <v xml:space="preserve"> </v>
      </c>
      <c r="R1772" s="564" t="str">
        <f t="shared" si="389"/>
        <v xml:space="preserve"> </v>
      </c>
      <c r="S1772" s="566" t="s">
        <v>2375</v>
      </c>
      <c r="T1772" s="609" t="s">
        <v>1133</v>
      </c>
      <c r="U1772" s="741">
        <v>4.3</v>
      </c>
      <c r="V1772" s="586"/>
      <c r="W1772" s="564">
        <f>IF(S1772&lt;&gt;0,VLOOKUP(S1772,VKT!$A$2:$G$415,7,0),"")</f>
        <v>687379</v>
      </c>
      <c r="X1772" s="564">
        <f t="shared" si="395"/>
        <v>2956000</v>
      </c>
      <c r="Y1772" s="650"/>
      <c r="Z1772" s="586"/>
      <c r="AA1772" s="742"/>
      <c r="AB1772" s="586"/>
      <c r="AC1772" s="586"/>
      <c r="AD1772" s="586"/>
      <c r="AE1772" s="586"/>
      <c r="AF1772" s="714"/>
      <c r="AG1772" s="570" t="str">
        <f>IF(AE1772&lt;&gt;0,VLOOKUP(AE1772,ODDS!$A$2:$C$13,3,0),"")</f>
        <v/>
      </c>
      <c r="AH1772" s="570"/>
      <c r="AI1772" s="571" t="str">
        <f t="shared" si="388"/>
        <v xml:space="preserve"> </v>
      </c>
      <c r="AJ1772" s="586" t="s">
        <v>1243</v>
      </c>
      <c r="AK1772" s="586" t="s">
        <v>2771</v>
      </c>
      <c r="AM1772" s="380" t="s">
        <v>1924</v>
      </c>
    </row>
    <row r="1773" spans="1:39" s="394" customFormat="1" ht="121.5" outlineLevel="2" x14ac:dyDescent="0.3">
      <c r="A1773" s="447">
        <f>IF(B1772&lt;&gt;0,B1772,A1772)</f>
        <v>148</v>
      </c>
      <c r="B1773" s="557"/>
      <c r="C1773" s="572" t="s">
        <v>1607</v>
      </c>
      <c r="D1773" s="700"/>
      <c r="E1773" s="612"/>
      <c r="F1773" s="612"/>
      <c r="G1773" s="586"/>
      <c r="H1773" s="709"/>
      <c r="I1773" s="546"/>
      <c r="J1773" s="562"/>
      <c r="K1773" s="563" t="str">
        <f>IF(G1773&lt;&gt;0,VLOOKUP(G1773,'gia dat'!$A$1:$F$144,5,0)," ")</f>
        <v xml:space="preserve"> </v>
      </c>
      <c r="L1773" s="563" t="str">
        <f>IF(G1773&lt;&gt;0,VLOOKUP(G1773,'gia dat'!$A$1:$F$144,6,0)," ")</f>
        <v xml:space="preserve"> </v>
      </c>
      <c r="M1773" s="564" t="str">
        <f t="shared" si="391"/>
        <v xml:space="preserve"> </v>
      </c>
      <c r="N1773" s="564" t="str">
        <f t="shared" si="392"/>
        <v xml:space="preserve"> </v>
      </c>
      <c r="O1773" s="572"/>
      <c r="P1773" s="740"/>
      <c r="Q1773" s="564" t="str">
        <f>IF(O1773&lt;&gt;0,VLOOKUP(O1773,'Cây trong'!$A$2:$C$246,3,0)," ")</f>
        <v xml:space="preserve"> </v>
      </c>
      <c r="R1773" s="564" t="str">
        <f t="shared" si="389"/>
        <v xml:space="preserve"> </v>
      </c>
      <c r="S1773" s="566"/>
      <c r="T1773" s="609"/>
      <c r="U1773" s="741"/>
      <c r="V1773" s="586"/>
      <c r="W1773" s="564" t="str">
        <f>IF(S1773&lt;&gt;0,VLOOKUP(S1773,VKT!$A$2:$G$415,7,0),"")</f>
        <v/>
      </c>
      <c r="X1773" s="564" t="str">
        <f t="shared" si="395"/>
        <v xml:space="preserve"> </v>
      </c>
      <c r="Y1773" s="650"/>
      <c r="Z1773" s="586"/>
      <c r="AA1773" s="742"/>
      <c r="AB1773" s="586"/>
      <c r="AC1773" s="586"/>
      <c r="AD1773" s="586"/>
      <c r="AE1773" s="586"/>
      <c r="AF1773" s="714"/>
      <c r="AG1773" s="570" t="str">
        <f>IF(AE1773&lt;&gt;0,VLOOKUP(AE1773,ODDS!$A$2:$C$13,3,0),"")</f>
        <v/>
      </c>
      <c r="AH1773" s="570" t="str">
        <f t="shared" si="390"/>
        <v xml:space="preserve"> </v>
      </c>
      <c r="AI1773" s="571" t="str">
        <f t="shared" si="388"/>
        <v xml:space="preserve"> </v>
      </c>
      <c r="AJ1773" s="586" t="s">
        <v>1245</v>
      </c>
      <c r="AK1773" s="558" t="s">
        <v>2450</v>
      </c>
    </row>
    <row r="1774" spans="1:39" s="394" customFormat="1" ht="20.25" outlineLevel="2" x14ac:dyDescent="0.3">
      <c r="A1774" s="447">
        <f>IF(B1773&lt;&gt;0,B1773,A1773)</f>
        <v>148</v>
      </c>
      <c r="B1774" s="557"/>
      <c r="C1774" s="572"/>
      <c r="D1774" s="700"/>
      <c r="E1774" s="612"/>
      <c r="F1774" s="612"/>
      <c r="G1774" s="586"/>
      <c r="H1774" s="709"/>
      <c r="I1774" s="546"/>
      <c r="J1774" s="562"/>
      <c r="K1774" s="563" t="str">
        <f>IF(G1774&lt;&gt;0,VLOOKUP(G1774,'gia dat'!$A$1:$F$144,5,0)," ")</f>
        <v xml:space="preserve"> </v>
      </c>
      <c r="L1774" s="563" t="str">
        <f>IF(G1774&lt;&gt;0,VLOOKUP(G1774,'gia dat'!$A$1:$F$144,6,0)," ")</f>
        <v xml:space="preserve"> </v>
      </c>
      <c r="M1774" s="564" t="str">
        <f t="shared" si="391"/>
        <v xml:space="preserve"> </v>
      </c>
      <c r="N1774" s="564" t="str">
        <f t="shared" si="392"/>
        <v xml:space="preserve"> </v>
      </c>
      <c r="O1774" s="572"/>
      <c r="P1774" s="740"/>
      <c r="Q1774" s="564" t="str">
        <f>IF(O1774&lt;&gt;0,VLOOKUP(O1774,'Cây trong'!$A$2:$C$246,3,0)," ")</f>
        <v xml:space="preserve"> </v>
      </c>
      <c r="R1774" s="564" t="str">
        <f t="shared" si="389"/>
        <v xml:space="preserve"> </v>
      </c>
      <c r="S1774" s="566"/>
      <c r="T1774" s="609"/>
      <c r="U1774" s="741"/>
      <c r="V1774" s="586"/>
      <c r="W1774" s="564" t="str">
        <f>IF(S1774&lt;&gt;0,VLOOKUP(S1774,VKT!$A$2:$G$415,7,0),"")</f>
        <v/>
      </c>
      <c r="X1774" s="564" t="str">
        <f t="shared" si="395"/>
        <v xml:space="preserve"> </v>
      </c>
      <c r="Y1774" s="650"/>
      <c r="Z1774" s="586"/>
      <c r="AA1774" s="742"/>
      <c r="AB1774" s="586"/>
      <c r="AC1774" s="586"/>
      <c r="AD1774" s="586"/>
      <c r="AE1774" s="586"/>
      <c r="AF1774" s="714"/>
      <c r="AG1774" s="570" t="str">
        <f>IF(AE1774&lt;&gt;0,VLOOKUP(AE1774,ODDS!$A$2:$C$13,3,0),"")</f>
        <v/>
      </c>
      <c r="AH1774" s="570" t="str">
        <f t="shared" si="390"/>
        <v xml:space="preserve"> </v>
      </c>
      <c r="AI1774" s="571" t="str">
        <f t="shared" si="388"/>
        <v xml:space="preserve"> </v>
      </c>
      <c r="AJ1774" s="586" t="s">
        <v>1246</v>
      </c>
      <c r="AK1774" s="586"/>
    </row>
    <row r="1775" spans="1:39" s="394" customFormat="1" ht="40.5" outlineLevel="2" x14ac:dyDescent="0.3">
      <c r="A1775" s="447">
        <f>IF(B1774&lt;&gt;0,B1774,A1774)</f>
        <v>148</v>
      </c>
      <c r="B1775" s="557"/>
      <c r="C1775" s="572"/>
      <c r="D1775" s="700"/>
      <c r="E1775" s="612"/>
      <c r="F1775" s="612"/>
      <c r="G1775" s="586"/>
      <c r="H1775" s="709"/>
      <c r="I1775" s="546"/>
      <c r="J1775" s="558"/>
      <c r="K1775" s="563" t="str">
        <f>IF(G1775&lt;&gt;0,VLOOKUP(G1775,'gia dat'!$A$1:$F$144,5,0)," ")</f>
        <v xml:space="preserve"> </v>
      </c>
      <c r="L1775" s="563" t="str">
        <f>IF(G1775&lt;&gt;0,VLOOKUP(G1775,'gia dat'!$A$1:$F$144,6,0)," ")</f>
        <v xml:space="preserve"> </v>
      </c>
      <c r="M1775" s="564" t="str">
        <f t="shared" si="391"/>
        <v xml:space="preserve"> </v>
      </c>
      <c r="N1775" s="564" t="str">
        <f t="shared" si="392"/>
        <v xml:space="preserve"> </v>
      </c>
      <c r="O1775" s="572"/>
      <c r="P1775" s="740"/>
      <c r="Q1775" s="564" t="str">
        <f>IF(O1775&lt;&gt;0,VLOOKUP(O1775,'Cây trong'!$A$2:$C$246,3,0)," ")</f>
        <v xml:space="preserve"> </v>
      </c>
      <c r="R1775" s="564" t="str">
        <f t="shared" si="389"/>
        <v xml:space="preserve"> </v>
      </c>
      <c r="S1775" s="572"/>
      <c r="T1775" s="609"/>
      <c r="U1775" s="741"/>
      <c r="V1775" s="586"/>
      <c r="W1775" s="564" t="str">
        <f>IF(S1775&lt;&gt;0,VLOOKUP(S1775,VKT!$A$2:$G$415,7,0),"")</f>
        <v/>
      </c>
      <c r="X1775" s="564" t="str">
        <f t="shared" si="395"/>
        <v xml:space="preserve"> </v>
      </c>
      <c r="Y1775" s="650"/>
      <c r="Z1775" s="586"/>
      <c r="AA1775" s="742"/>
      <c r="AB1775" s="586"/>
      <c r="AC1775" s="586"/>
      <c r="AD1775" s="586"/>
      <c r="AE1775" s="586"/>
      <c r="AF1775" s="714"/>
      <c r="AG1775" s="570" t="str">
        <f>IF(AE1775&lt;&gt;0,VLOOKUP(AE1775,ODDS!$A$2:$C$13,3,0),"")</f>
        <v/>
      </c>
      <c r="AH1775" s="570" t="str">
        <f t="shared" si="390"/>
        <v xml:space="preserve"> </v>
      </c>
      <c r="AI1775" s="571" t="str">
        <f t="shared" si="388"/>
        <v xml:space="preserve"> </v>
      </c>
      <c r="AJ1775" s="731" t="s">
        <v>2456</v>
      </c>
      <c r="AK1775" s="586"/>
    </row>
    <row r="1776" spans="1:39" s="394" customFormat="1" ht="20.25" outlineLevel="2" x14ac:dyDescent="0.3">
      <c r="A1776" s="447">
        <f>IF(B1775&lt;&gt;0,B1775,A1775)</f>
        <v>148</v>
      </c>
      <c r="B1776" s="557"/>
      <c r="C1776" s="572"/>
      <c r="D1776" s="700"/>
      <c r="E1776" s="612"/>
      <c r="F1776" s="612"/>
      <c r="G1776" s="586"/>
      <c r="H1776" s="709"/>
      <c r="I1776" s="546"/>
      <c r="J1776" s="558"/>
      <c r="K1776" s="563" t="str">
        <f>IF(G1776&lt;&gt;0,VLOOKUP(G1776,'gia dat'!$A$1:$F$144,5,0)," ")</f>
        <v xml:space="preserve"> </v>
      </c>
      <c r="L1776" s="563" t="str">
        <f>IF(G1776&lt;&gt;0,VLOOKUP(G1776,'gia dat'!$A$1:$F$144,6,0)," ")</f>
        <v xml:space="preserve"> </v>
      </c>
      <c r="M1776" s="564" t="str">
        <f t="shared" si="391"/>
        <v xml:space="preserve"> </v>
      </c>
      <c r="N1776" s="564" t="str">
        <f t="shared" si="392"/>
        <v xml:space="preserve"> </v>
      </c>
      <c r="O1776" s="572"/>
      <c r="P1776" s="740"/>
      <c r="Q1776" s="564" t="str">
        <f>IF(O1776&lt;&gt;0,VLOOKUP(O1776,'Cây trong'!$A$2:$C$246,3,0)," ")</f>
        <v xml:space="preserve"> </v>
      </c>
      <c r="R1776" s="564" t="str">
        <f t="shared" si="389"/>
        <v xml:space="preserve"> </v>
      </c>
      <c r="S1776" s="572"/>
      <c r="T1776" s="609"/>
      <c r="U1776" s="741"/>
      <c r="V1776" s="586"/>
      <c r="W1776" s="564" t="str">
        <f>IF(S1776&lt;&gt;0,VLOOKUP(S1776,VKT!$A$2:$G$415,7,0),"")</f>
        <v/>
      </c>
      <c r="X1776" s="564" t="str">
        <f t="shared" si="395"/>
        <v xml:space="preserve"> </v>
      </c>
      <c r="Y1776" s="650"/>
      <c r="Z1776" s="586"/>
      <c r="AA1776" s="742"/>
      <c r="AB1776" s="586"/>
      <c r="AC1776" s="586"/>
      <c r="AD1776" s="586"/>
      <c r="AE1776" s="586"/>
      <c r="AF1776" s="714"/>
      <c r="AG1776" s="570" t="str">
        <f>IF(AE1776&lt;&gt;0,VLOOKUP(AE1776,ODDS!$A$2:$C$13,3,0),"")</f>
        <v/>
      </c>
      <c r="AH1776" s="570" t="str">
        <f t="shared" si="390"/>
        <v xml:space="preserve"> </v>
      </c>
      <c r="AI1776" s="571" t="str">
        <f t="shared" si="388"/>
        <v xml:space="preserve"> </v>
      </c>
      <c r="AJ1776" s="558"/>
      <c r="AK1776" s="558"/>
    </row>
    <row r="1777" spans="1:39" s="394" customFormat="1" ht="20.25" outlineLevel="2" x14ac:dyDescent="0.3">
      <c r="A1777" s="447">
        <f>IF(B1776&lt;&gt;0,B1776,A1776)</f>
        <v>148</v>
      </c>
      <c r="B1777" s="557"/>
      <c r="C1777" s="607"/>
      <c r="D1777" s="700"/>
      <c r="E1777" s="612"/>
      <c r="F1777" s="612"/>
      <c r="G1777" s="586"/>
      <c r="H1777" s="709"/>
      <c r="I1777" s="546"/>
      <c r="J1777" s="558"/>
      <c r="K1777" s="563" t="str">
        <f>IF(G1777&lt;&gt;0,VLOOKUP(G1777,'gia dat'!$A$1:$F$144,5,0)," ")</f>
        <v xml:space="preserve"> </v>
      </c>
      <c r="L1777" s="563" t="str">
        <f>IF(G1777&lt;&gt;0,VLOOKUP(G1777,'gia dat'!$A$1:$F$144,6,0)," ")</f>
        <v xml:space="preserve"> </v>
      </c>
      <c r="M1777" s="564" t="str">
        <f t="shared" si="391"/>
        <v xml:space="preserve"> </v>
      </c>
      <c r="N1777" s="564" t="str">
        <f t="shared" si="392"/>
        <v xml:space="preserve"> </v>
      </c>
      <c r="O1777" s="572"/>
      <c r="P1777" s="740"/>
      <c r="Q1777" s="564" t="str">
        <f>IF(O1777&lt;&gt;0,VLOOKUP(O1777,'Cây trong'!$A$2:$C$246,3,0)," ")</f>
        <v xml:space="preserve"> </v>
      </c>
      <c r="R1777" s="564" t="str">
        <f t="shared" si="389"/>
        <v xml:space="preserve"> </v>
      </c>
      <c r="S1777" s="572"/>
      <c r="T1777" s="609"/>
      <c r="U1777" s="741"/>
      <c r="V1777" s="586"/>
      <c r="W1777" s="564" t="str">
        <f>IF(S1777&lt;&gt;0,VLOOKUP(S1777,VKT!$A$2:$G$415,7,0),"")</f>
        <v/>
      </c>
      <c r="X1777" s="564" t="str">
        <f t="shared" si="395"/>
        <v xml:space="preserve"> </v>
      </c>
      <c r="Y1777" s="650"/>
      <c r="Z1777" s="586"/>
      <c r="AA1777" s="742"/>
      <c r="AB1777" s="586"/>
      <c r="AC1777" s="586"/>
      <c r="AD1777" s="586"/>
      <c r="AE1777" s="586"/>
      <c r="AF1777" s="714"/>
      <c r="AG1777" s="570" t="str">
        <f>IF(AE1777&lt;&gt;0,VLOOKUP(AE1777,ODDS!$A$2:$C$13,3,0),"")</f>
        <v/>
      </c>
      <c r="AH1777" s="570" t="str">
        <f t="shared" si="390"/>
        <v xml:space="preserve"> </v>
      </c>
      <c r="AI1777" s="571" t="str">
        <f t="shared" si="388"/>
        <v xml:space="preserve"> </v>
      </c>
      <c r="AJ1777" s="586"/>
      <c r="AK1777" s="586"/>
    </row>
    <row r="1778" spans="1:39" s="396" customFormat="1" ht="40.5" outlineLevel="1" x14ac:dyDescent="0.25">
      <c r="A1778" s="467" t="s">
        <v>2561</v>
      </c>
      <c r="B1778" s="576">
        <v>149</v>
      </c>
      <c r="C1778" s="607" t="s">
        <v>1247</v>
      </c>
      <c r="D1778" s="706"/>
      <c r="E1778" s="642"/>
      <c r="F1778" s="642"/>
      <c r="G1778" s="578"/>
      <c r="H1778" s="707">
        <f>SUBTOTAL(9,H1779:H1789)</f>
        <v>570</v>
      </c>
      <c r="I1778" s="579">
        <f>SUBTOTAL(9,I1779:I1784)</f>
        <v>0</v>
      </c>
      <c r="J1778" s="580"/>
      <c r="K1778" s="581"/>
      <c r="L1778" s="581"/>
      <c r="M1778" s="571">
        <f>SUBTOTAL(9,M1779:M1789)</f>
        <v>265392000</v>
      </c>
      <c r="N1778" s="571">
        <f>SUBTOTAL(9,N1779:N1789)</f>
        <v>0</v>
      </c>
      <c r="O1778" s="607"/>
      <c r="P1778" s="738">
        <f>SUBTOTAL(9,P1779:P1789)</f>
        <v>70</v>
      </c>
      <c r="Q1778" s="571"/>
      <c r="R1778" s="571">
        <f>SUBTOTAL(9,R1779:R1789)</f>
        <v>52760000</v>
      </c>
      <c r="S1778" s="582"/>
      <c r="T1778" s="621"/>
      <c r="U1778" s="739">
        <f>SUBTOTAL(9,U1779:U1789)</f>
        <v>31.9</v>
      </c>
      <c r="V1778" s="578"/>
      <c r="W1778" s="571"/>
      <c r="X1778" s="571">
        <f>SUBTOTAL(9,X1779:X1789)</f>
        <v>21927000</v>
      </c>
      <c r="Y1778" s="650"/>
      <c r="Z1778" s="586"/>
      <c r="AA1778" s="742"/>
      <c r="AB1778" s="586"/>
      <c r="AC1778" s="586"/>
      <c r="AD1778" s="586"/>
      <c r="AE1778" s="578"/>
      <c r="AF1778" s="712">
        <f>SUBTOTAL(9,AF1779:AF1789)</f>
        <v>0</v>
      </c>
      <c r="AG1778" s="585"/>
      <c r="AH1778" s="585">
        <f>SUBTOTAL(9,AH1779:AH1789)</f>
        <v>0</v>
      </c>
      <c r="AI1778" s="571">
        <f t="shared" si="388"/>
        <v>340079000</v>
      </c>
      <c r="AJ1778" s="578"/>
      <c r="AK1778" s="578"/>
      <c r="AM1778" s="468"/>
    </row>
    <row r="1779" spans="1:39" s="396" customFormat="1" ht="121.5" outlineLevel="2" x14ac:dyDescent="0.3">
      <c r="A1779" s="447">
        <f>IF(B1778&lt;&gt;0,B1778,A1777)</f>
        <v>149</v>
      </c>
      <c r="B1779" s="557"/>
      <c r="C1779" s="572" t="s">
        <v>1250</v>
      </c>
      <c r="D1779" s="700">
        <v>5</v>
      </c>
      <c r="E1779" s="612">
        <v>86</v>
      </c>
      <c r="F1779" s="612">
        <v>282</v>
      </c>
      <c r="G1779" s="586" t="s">
        <v>2436</v>
      </c>
      <c r="H1779" s="709">
        <f>570</f>
        <v>570</v>
      </c>
      <c r="I1779" s="546" t="str">
        <f t="shared" ref="I1779" si="397">IF(N1779&gt;0,H1779,"")</f>
        <v/>
      </c>
      <c r="J1779" s="562"/>
      <c r="K1779" s="563">
        <f>IF(G1779&lt;&gt;0,VLOOKUP(G1779,'gia dat'!$A$1:$F$144,5,0)," ")</f>
        <v>465600</v>
      </c>
      <c r="L1779" s="563">
        <f>IF(G1779&lt;&gt;0,VLOOKUP(G1779,'gia dat'!$A$1:$F$144,6,0)," ")</f>
        <v>0</v>
      </c>
      <c r="M1779" s="564">
        <f t="shared" si="391"/>
        <v>265392000</v>
      </c>
      <c r="N1779" s="564">
        <f t="shared" si="392"/>
        <v>0</v>
      </c>
      <c r="O1779" s="572" t="s">
        <v>1248</v>
      </c>
      <c r="P1779" s="740">
        <v>1</v>
      </c>
      <c r="Q1779" s="564">
        <f>IF(O1779&lt;&gt;0,VLOOKUP(O1779,'Cây trong'!$A$2:$C$246,3,0)," ")</f>
        <v>0</v>
      </c>
      <c r="R1779" s="564">
        <f t="shared" si="389"/>
        <v>0</v>
      </c>
      <c r="S1779" s="566" t="s">
        <v>2375</v>
      </c>
      <c r="T1779" s="609" t="s">
        <v>1133</v>
      </c>
      <c r="U1779" s="741">
        <v>31.9</v>
      </c>
      <c r="V1779" s="586"/>
      <c r="W1779" s="564">
        <f>IF(S1779&lt;&gt;0,VLOOKUP(S1779,VKT!$A$2:$G$415,7,0),"")</f>
        <v>687379</v>
      </c>
      <c r="X1779" s="564">
        <f t="shared" si="395"/>
        <v>21927000</v>
      </c>
      <c r="Y1779" s="650"/>
      <c r="Z1779" s="586"/>
      <c r="AA1779" s="742"/>
      <c r="AB1779" s="586"/>
      <c r="AC1779" s="586"/>
      <c r="AD1779" s="586"/>
      <c r="AE1779" s="586"/>
      <c r="AF1779" s="714"/>
      <c r="AG1779" s="570" t="str">
        <f>IF(AE1779&lt;&gt;0,VLOOKUP(AE1779,ODDS!$A$2:$C$13,3,0),"")</f>
        <v/>
      </c>
      <c r="AH1779" s="570"/>
      <c r="AI1779" s="571" t="str">
        <f t="shared" si="388"/>
        <v xml:space="preserve"> </v>
      </c>
      <c r="AJ1779" s="586" t="s">
        <v>1249</v>
      </c>
      <c r="AK1779" s="586" t="s">
        <v>2771</v>
      </c>
      <c r="AM1779" s="380" t="s">
        <v>1924</v>
      </c>
    </row>
    <row r="1780" spans="1:39" s="394" customFormat="1" ht="121.5" outlineLevel="2" x14ac:dyDescent="0.3">
      <c r="A1780" s="447">
        <f t="shared" ref="A1780:A1789" si="398">IF(B1779&lt;&gt;0,B1779,A1779)</f>
        <v>149</v>
      </c>
      <c r="B1780" s="557"/>
      <c r="C1780" s="572" t="s">
        <v>1608</v>
      </c>
      <c r="D1780" s="700"/>
      <c r="E1780" s="612"/>
      <c r="F1780" s="612"/>
      <c r="G1780" s="586"/>
      <c r="H1780" s="709"/>
      <c r="I1780" s="546"/>
      <c r="J1780" s="562"/>
      <c r="K1780" s="563" t="str">
        <f>IF(G1780&lt;&gt;0,VLOOKUP(G1780,'gia dat'!$A$1:$F$144,5,0)," ")</f>
        <v xml:space="preserve"> </v>
      </c>
      <c r="L1780" s="563" t="str">
        <f>IF(G1780&lt;&gt;0,VLOOKUP(G1780,'gia dat'!$A$1:$F$144,6,0)," ")</f>
        <v xml:space="preserve"> </v>
      </c>
      <c r="M1780" s="564" t="str">
        <f t="shared" si="391"/>
        <v xml:space="preserve"> </v>
      </c>
      <c r="N1780" s="564" t="str">
        <f t="shared" si="392"/>
        <v xml:space="preserve"> </v>
      </c>
      <c r="O1780" s="572" t="s">
        <v>1251</v>
      </c>
      <c r="P1780" s="740">
        <v>16</v>
      </c>
      <c r="Q1780" s="564">
        <f>IF(O1780&lt;&gt;0,VLOOKUP(O1780,'Cây trong'!$A$2:$C$246,3,0)," ")</f>
        <v>2400000</v>
      </c>
      <c r="R1780" s="564">
        <f t="shared" si="389"/>
        <v>38400000</v>
      </c>
      <c r="S1780" s="566"/>
      <c r="T1780" s="609"/>
      <c r="U1780" s="741"/>
      <c r="V1780" s="586"/>
      <c r="W1780" s="564" t="str">
        <f>IF(S1780&lt;&gt;0,VLOOKUP(S1780,VKT!$A$2:$G$415,7,0),"")</f>
        <v/>
      </c>
      <c r="X1780" s="564" t="str">
        <f t="shared" si="395"/>
        <v xml:space="preserve"> </v>
      </c>
      <c r="Y1780" s="650"/>
      <c r="Z1780" s="586"/>
      <c r="AA1780" s="742"/>
      <c r="AB1780" s="586"/>
      <c r="AC1780" s="586"/>
      <c r="AD1780" s="586"/>
      <c r="AE1780" s="586"/>
      <c r="AF1780" s="714"/>
      <c r="AG1780" s="570" t="str">
        <f>IF(AE1780&lt;&gt;0,VLOOKUP(AE1780,ODDS!$A$2:$C$13,3,0),"")</f>
        <v/>
      </c>
      <c r="AH1780" s="570" t="str">
        <f t="shared" si="390"/>
        <v xml:space="preserve"> </v>
      </c>
      <c r="AI1780" s="571" t="str">
        <f t="shared" si="388"/>
        <v xml:space="preserve"> </v>
      </c>
      <c r="AJ1780" s="586" t="s">
        <v>1252</v>
      </c>
      <c r="AK1780" s="558" t="s">
        <v>2450</v>
      </c>
    </row>
    <row r="1781" spans="1:39" s="394" customFormat="1" ht="101.25" outlineLevel="2" x14ac:dyDescent="0.3">
      <c r="A1781" s="447">
        <f t="shared" si="398"/>
        <v>149</v>
      </c>
      <c r="B1781" s="557"/>
      <c r="C1781" s="572"/>
      <c r="D1781" s="700"/>
      <c r="E1781" s="612"/>
      <c r="F1781" s="612"/>
      <c r="G1781" s="586"/>
      <c r="H1781" s="709"/>
      <c r="I1781" s="546"/>
      <c r="J1781" s="562"/>
      <c r="K1781" s="563" t="str">
        <f>IF(G1781&lt;&gt;0,VLOOKUP(G1781,'gia dat'!$A$1:$F$144,5,0)," ")</f>
        <v xml:space="preserve"> </v>
      </c>
      <c r="L1781" s="563" t="str">
        <f>IF(G1781&lt;&gt;0,VLOOKUP(G1781,'gia dat'!$A$1:$F$144,6,0)," ")</f>
        <v xml:space="preserve"> </v>
      </c>
      <c r="M1781" s="564" t="str">
        <f t="shared" si="391"/>
        <v xml:space="preserve"> </v>
      </c>
      <c r="N1781" s="564" t="str">
        <f t="shared" si="392"/>
        <v xml:space="preserve"> </v>
      </c>
      <c r="O1781" s="572" t="s">
        <v>1253</v>
      </c>
      <c r="P1781" s="740">
        <v>6</v>
      </c>
      <c r="Q1781" s="564">
        <f>IF(O1781&lt;&gt;0,VLOOKUP(O1781,'Cây trong'!$A$2:$C$246,3,0)," ")</f>
        <v>1080000</v>
      </c>
      <c r="R1781" s="564">
        <f t="shared" si="389"/>
        <v>6480000</v>
      </c>
      <c r="S1781" s="566"/>
      <c r="T1781" s="609"/>
      <c r="U1781" s="741"/>
      <c r="V1781" s="586"/>
      <c r="W1781" s="564" t="str">
        <f>IF(S1781&lt;&gt;0,VLOOKUP(S1781,VKT!$A$2:$G$415,7,0),"")</f>
        <v/>
      </c>
      <c r="X1781" s="564" t="str">
        <f t="shared" si="395"/>
        <v xml:space="preserve"> </v>
      </c>
      <c r="Y1781" s="650"/>
      <c r="Z1781" s="586"/>
      <c r="AA1781" s="742"/>
      <c r="AB1781" s="586"/>
      <c r="AC1781" s="586"/>
      <c r="AD1781" s="586"/>
      <c r="AE1781" s="586"/>
      <c r="AF1781" s="714"/>
      <c r="AG1781" s="570" t="str">
        <f>IF(AE1781&lt;&gt;0,VLOOKUP(AE1781,ODDS!$A$2:$C$13,3,0),"")</f>
        <v/>
      </c>
      <c r="AH1781" s="570" t="str">
        <f t="shared" si="390"/>
        <v xml:space="preserve"> </v>
      </c>
      <c r="AI1781" s="571" t="str">
        <f t="shared" si="388"/>
        <v xml:space="preserve"> </v>
      </c>
      <c r="AJ1781" s="586" t="s">
        <v>2457</v>
      </c>
      <c r="AK1781" s="558" t="s">
        <v>2449</v>
      </c>
    </row>
    <row r="1782" spans="1:39" s="394" customFormat="1" ht="60.75" outlineLevel="2" x14ac:dyDescent="0.3">
      <c r="A1782" s="447">
        <f t="shared" si="398"/>
        <v>149</v>
      </c>
      <c r="B1782" s="557"/>
      <c r="C1782" s="572"/>
      <c r="D1782" s="700"/>
      <c r="E1782" s="612"/>
      <c r="F1782" s="612"/>
      <c r="G1782" s="586"/>
      <c r="H1782" s="709"/>
      <c r="I1782" s="546"/>
      <c r="J1782" s="562"/>
      <c r="K1782" s="563" t="str">
        <f>IF(G1782&lt;&gt;0,VLOOKUP(G1782,'gia dat'!$A$1:$F$144,5,0)," ")</f>
        <v xml:space="preserve"> </v>
      </c>
      <c r="L1782" s="563" t="str">
        <f>IF(G1782&lt;&gt;0,VLOOKUP(G1782,'gia dat'!$A$1:$F$144,6,0)," ")</f>
        <v xml:space="preserve"> </v>
      </c>
      <c r="M1782" s="564" t="str">
        <f t="shared" si="391"/>
        <v xml:space="preserve"> </v>
      </c>
      <c r="N1782" s="564" t="str">
        <f t="shared" si="392"/>
        <v xml:space="preserve"> </v>
      </c>
      <c r="O1782" s="572" t="s">
        <v>1254</v>
      </c>
      <c r="P1782" s="740">
        <v>16</v>
      </c>
      <c r="Q1782" s="564">
        <f>IF(O1782&lt;&gt;0,VLOOKUP(O1782,'Cây trong'!$A$2:$C$246,3,0)," ")</f>
        <v>480000</v>
      </c>
      <c r="R1782" s="564">
        <f t="shared" si="389"/>
        <v>7680000</v>
      </c>
      <c r="S1782" s="566"/>
      <c r="T1782" s="609"/>
      <c r="U1782" s="741"/>
      <c r="V1782" s="586"/>
      <c r="W1782" s="564" t="str">
        <f>IF(S1782&lt;&gt;0,VLOOKUP(S1782,VKT!$A$2:$G$415,7,0),"")</f>
        <v/>
      </c>
      <c r="X1782" s="564" t="str">
        <f t="shared" si="395"/>
        <v xml:space="preserve"> </v>
      </c>
      <c r="Y1782" s="650"/>
      <c r="Z1782" s="586"/>
      <c r="AA1782" s="742"/>
      <c r="AB1782" s="586"/>
      <c r="AC1782" s="586"/>
      <c r="AD1782" s="586"/>
      <c r="AE1782" s="586"/>
      <c r="AF1782" s="714"/>
      <c r="AG1782" s="570" t="str">
        <f>IF(AE1782&lt;&gt;0,VLOOKUP(AE1782,ODDS!$A$2:$C$13,3,0),"")</f>
        <v/>
      </c>
      <c r="AH1782" s="570" t="str">
        <f t="shared" si="390"/>
        <v xml:space="preserve"> </v>
      </c>
      <c r="AI1782" s="571" t="str">
        <f t="shared" si="388"/>
        <v xml:space="preserve"> </v>
      </c>
      <c r="AJ1782" s="731"/>
      <c r="AK1782" s="586"/>
    </row>
    <row r="1783" spans="1:39" s="394" customFormat="1" ht="60.75" outlineLevel="2" x14ac:dyDescent="0.3">
      <c r="A1783" s="447">
        <f t="shared" si="398"/>
        <v>149</v>
      </c>
      <c r="B1783" s="557"/>
      <c r="C1783" s="572"/>
      <c r="D1783" s="700"/>
      <c r="E1783" s="612"/>
      <c r="F1783" s="612"/>
      <c r="G1783" s="586"/>
      <c r="H1783" s="709"/>
      <c r="I1783" s="546"/>
      <c r="J1783" s="562"/>
      <c r="K1783" s="563" t="str">
        <f>IF(G1783&lt;&gt;0,VLOOKUP(G1783,'gia dat'!$A$1:$F$144,5,0)," ")</f>
        <v xml:space="preserve"> </v>
      </c>
      <c r="L1783" s="563" t="str">
        <f>IF(G1783&lt;&gt;0,VLOOKUP(G1783,'gia dat'!$A$1:$F$144,6,0)," ")</f>
        <v xml:space="preserve"> </v>
      </c>
      <c r="M1783" s="564" t="str">
        <f t="shared" si="391"/>
        <v xml:space="preserve"> </v>
      </c>
      <c r="N1783" s="564" t="str">
        <f t="shared" si="392"/>
        <v xml:space="preserve"> </v>
      </c>
      <c r="O1783" s="572" t="s">
        <v>1255</v>
      </c>
      <c r="P1783" s="740">
        <v>28</v>
      </c>
      <c r="Q1783" s="564">
        <f>IF(O1783&lt;&gt;0,VLOOKUP(O1783,'Cây trong'!$A$2:$C$246,3,0)," ")</f>
        <v>6000</v>
      </c>
      <c r="R1783" s="564">
        <f t="shared" si="389"/>
        <v>168000</v>
      </c>
      <c r="S1783" s="566"/>
      <c r="T1783" s="609"/>
      <c r="U1783" s="741"/>
      <c r="V1783" s="586"/>
      <c r="W1783" s="564" t="str">
        <f>IF(S1783&lt;&gt;0,VLOOKUP(S1783,VKT!$A$2:$G$415,7,0),"")</f>
        <v/>
      </c>
      <c r="X1783" s="564" t="str">
        <f t="shared" si="395"/>
        <v xml:space="preserve"> </v>
      </c>
      <c r="Y1783" s="650"/>
      <c r="Z1783" s="586"/>
      <c r="AA1783" s="742"/>
      <c r="AB1783" s="586"/>
      <c r="AC1783" s="586"/>
      <c r="AD1783" s="586"/>
      <c r="AE1783" s="586"/>
      <c r="AF1783" s="714"/>
      <c r="AG1783" s="570" t="str">
        <f>IF(AE1783&lt;&gt;0,VLOOKUP(AE1783,ODDS!$A$2:$C$13,3,0),"")</f>
        <v/>
      </c>
      <c r="AH1783" s="570" t="str">
        <f t="shared" si="390"/>
        <v xml:space="preserve"> </v>
      </c>
      <c r="AI1783" s="571" t="str">
        <f t="shared" si="388"/>
        <v xml:space="preserve"> </v>
      </c>
      <c r="AJ1783" s="586"/>
      <c r="AK1783" s="586"/>
    </row>
    <row r="1784" spans="1:39" s="394" customFormat="1" ht="20.25" outlineLevel="2" x14ac:dyDescent="0.3">
      <c r="A1784" s="447">
        <f t="shared" si="398"/>
        <v>149</v>
      </c>
      <c r="B1784" s="557"/>
      <c r="C1784" s="572"/>
      <c r="D1784" s="700"/>
      <c r="E1784" s="612"/>
      <c r="F1784" s="612"/>
      <c r="G1784" s="586"/>
      <c r="H1784" s="709"/>
      <c r="I1784" s="546"/>
      <c r="J1784" s="562"/>
      <c r="K1784" s="563" t="str">
        <f>IF(G1784&lt;&gt;0,VLOOKUP(G1784,'gia dat'!$A$1:$F$144,5,0)," ")</f>
        <v xml:space="preserve"> </v>
      </c>
      <c r="L1784" s="563" t="str">
        <f>IF(G1784&lt;&gt;0,VLOOKUP(G1784,'gia dat'!$A$1:$F$144,6,0)," ")</f>
        <v xml:space="preserve"> </v>
      </c>
      <c r="M1784" s="564" t="str">
        <f t="shared" si="391"/>
        <v xml:space="preserve"> </v>
      </c>
      <c r="N1784" s="564" t="str">
        <f t="shared" si="392"/>
        <v xml:space="preserve"> </v>
      </c>
      <c r="O1784" s="572" t="s">
        <v>1256</v>
      </c>
      <c r="P1784" s="740">
        <v>1</v>
      </c>
      <c r="Q1784" s="564">
        <f>IF(O1784&lt;&gt;0,VLOOKUP(O1784,'Cây trong'!$A$2:$C$246,3,0)," ")</f>
        <v>0</v>
      </c>
      <c r="R1784" s="564">
        <f t="shared" si="389"/>
        <v>0</v>
      </c>
      <c r="S1784" s="566"/>
      <c r="T1784" s="609"/>
      <c r="U1784" s="741"/>
      <c r="V1784" s="586"/>
      <c r="W1784" s="564" t="str">
        <f>IF(S1784&lt;&gt;0,VLOOKUP(S1784,VKT!$A$2:$G$415,7,0),"")</f>
        <v/>
      </c>
      <c r="X1784" s="564" t="str">
        <f t="shared" si="395"/>
        <v xml:space="preserve"> </v>
      </c>
      <c r="Y1784" s="650"/>
      <c r="Z1784" s="586"/>
      <c r="AA1784" s="742"/>
      <c r="AB1784" s="586"/>
      <c r="AC1784" s="586"/>
      <c r="AD1784" s="586"/>
      <c r="AE1784" s="586"/>
      <c r="AF1784" s="714"/>
      <c r="AG1784" s="570" t="str">
        <f>IF(AE1784&lt;&gt;0,VLOOKUP(AE1784,ODDS!$A$2:$C$13,3,0),"")</f>
        <v/>
      </c>
      <c r="AH1784" s="570" t="str">
        <f t="shared" si="390"/>
        <v xml:space="preserve"> </v>
      </c>
      <c r="AI1784" s="571" t="str">
        <f t="shared" si="388"/>
        <v xml:space="preserve"> </v>
      </c>
      <c r="AJ1784" s="586"/>
      <c r="AK1784" s="586"/>
    </row>
    <row r="1785" spans="1:39" s="394" customFormat="1" ht="40.5" outlineLevel="2" x14ac:dyDescent="0.3">
      <c r="A1785" s="447">
        <f t="shared" si="398"/>
        <v>149</v>
      </c>
      <c r="B1785" s="557"/>
      <c r="C1785" s="572"/>
      <c r="D1785" s="700"/>
      <c r="E1785" s="612"/>
      <c r="F1785" s="612"/>
      <c r="G1785" s="586"/>
      <c r="H1785" s="709"/>
      <c r="I1785" s="546"/>
      <c r="J1785" s="562"/>
      <c r="K1785" s="563" t="str">
        <f>IF(G1785&lt;&gt;0,VLOOKUP(G1785,'gia dat'!$A$1:$F$144,5,0)," ")</f>
        <v xml:space="preserve"> </v>
      </c>
      <c r="L1785" s="563" t="str">
        <f>IF(G1785&lt;&gt;0,VLOOKUP(G1785,'gia dat'!$A$1:$F$144,6,0)," ")</f>
        <v xml:space="preserve"> </v>
      </c>
      <c r="M1785" s="564" t="str">
        <f t="shared" si="391"/>
        <v xml:space="preserve"> </v>
      </c>
      <c r="N1785" s="564" t="str">
        <f t="shared" si="392"/>
        <v xml:space="preserve"> </v>
      </c>
      <c r="O1785" s="572" t="s">
        <v>2106</v>
      </c>
      <c r="P1785" s="740">
        <v>1</v>
      </c>
      <c r="Q1785" s="564">
        <f>IF(O1785&lt;&gt;0,VLOOKUP(O1785,'Cây trong'!$A$2:$C$246,3,0)," ")</f>
        <v>32000</v>
      </c>
      <c r="R1785" s="564">
        <f t="shared" si="389"/>
        <v>32000</v>
      </c>
      <c r="S1785" s="566"/>
      <c r="T1785" s="609"/>
      <c r="U1785" s="741"/>
      <c r="V1785" s="586"/>
      <c r="W1785" s="564" t="str">
        <f>IF(S1785&lt;&gt;0,VLOOKUP(S1785,VKT!$A$2:$G$415,7,0),"")</f>
        <v/>
      </c>
      <c r="X1785" s="564" t="str">
        <f t="shared" si="395"/>
        <v xml:space="preserve"> </v>
      </c>
      <c r="Y1785" s="650"/>
      <c r="Z1785" s="586"/>
      <c r="AA1785" s="742"/>
      <c r="AB1785" s="586"/>
      <c r="AC1785" s="586"/>
      <c r="AD1785" s="586"/>
      <c r="AE1785" s="586"/>
      <c r="AF1785" s="714"/>
      <c r="AG1785" s="570" t="str">
        <f>IF(AE1785&lt;&gt;0,VLOOKUP(AE1785,ODDS!$A$2:$C$13,3,0),"")</f>
        <v/>
      </c>
      <c r="AH1785" s="570" t="str">
        <f t="shared" si="390"/>
        <v xml:space="preserve"> </v>
      </c>
      <c r="AI1785" s="571" t="str">
        <f t="shared" si="388"/>
        <v xml:space="preserve"> </v>
      </c>
      <c r="AJ1785" s="586"/>
      <c r="AK1785" s="586"/>
    </row>
    <row r="1786" spans="1:39" s="394" customFormat="1" ht="20.25" outlineLevel="2" x14ac:dyDescent="0.3">
      <c r="A1786" s="447">
        <f t="shared" si="398"/>
        <v>149</v>
      </c>
      <c r="B1786" s="557"/>
      <c r="C1786" s="572"/>
      <c r="D1786" s="700"/>
      <c r="E1786" s="612"/>
      <c r="F1786" s="612"/>
      <c r="G1786" s="586"/>
      <c r="H1786" s="709"/>
      <c r="I1786" s="546"/>
      <c r="J1786" s="562"/>
      <c r="K1786" s="563" t="str">
        <f>IF(G1786&lt;&gt;0,VLOOKUP(G1786,'gia dat'!$A$1:$F$144,5,0)," ")</f>
        <v xml:space="preserve"> </v>
      </c>
      <c r="L1786" s="563" t="str">
        <f>IF(G1786&lt;&gt;0,VLOOKUP(G1786,'gia dat'!$A$1:$F$144,6,0)," ")</f>
        <v xml:space="preserve"> </v>
      </c>
      <c r="M1786" s="564" t="str">
        <f t="shared" si="391"/>
        <v xml:space="preserve"> </v>
      </c>
      <c r="N1786" s="564" t="str">
        <f t="shared" si="392"/>
        <v xml:space="preserve"> </v>
      </c>
      <c r="O1786" s="572" t="s">
        <v>738</v>
      </c>
      <c r="P1786" s="740">
        <v>1</v>
      </c>
      <c r="Q1786" s="564">
        <f>IF(O1786&lt;&gt;0,VLOOKUP(O1786,'Cây trong'!$A$2:$C$246,3,0)," ")</f>
        <v>0</v>
      </c>
      <c r="R1786" s="564">
        <f t="shared" si="389"/>
        <v>0</v>
      </c>
      <c r="S1786" s="566"/>
      <c r="T1786" s="609"/>
      <c r="U1786" s="741"/>
      <c r="V1786" s="586"/>
      <c r="W1786" s="564" t="str">
        <f>IF(S1786&lt;&gt;0,VLOOKUP(S1786,VKT!$A$2:$G$415,7,0),"")</f>
        <v/>
      </c>
      <c r="X1786" s="564" t="str">
        <f t="shared" si="395"/>
        <v xml:space="preserve"> </v>
      </c>
      <c r="Y1786" s="650"/>
      <c r="Z1786" s="586"/>
      <c r="AA1786" s="742"/>
      <c r="AB1786" s="586"/>
      <c r="AC1786" s="586"/>
      <c r="AD1786" s="586"/>
      <c r="AE1786" s="586"/>
      <c r="AF1786" s="714"/>
      <c r="AG1786" s="570" t="str">
        <f>IF(AE1786&lt;&gt;0,VLOOKUP(AE1786,ODDS!$A$2:$C$13,3,0),"")</f>
        <v/>
      </c>
      <c r="AH1786" s="570" t="str">
        <f t="shared" si="390"/>
        <v xml:space="preserve"> </v>
      </c>
      <c r="AI1786" s="571" t="str">
        <f t="shared" si="388"/>
        <v xml:space="preserve"> </v>
      </c>
      <c r="AJ1786" s="586"/>
      <c r="AK1786" s="586"/>
    </row>
    <row r="1787" spans="1:39" s="394" customFormat="1" ht="20.25" outlineLevel="2" x14ac:dyDescent="0.3">
      <c r="A1787" s="447">
        <f t="shared" si="398"/>
        <v>149</v>
      </c>
      <c r="B1787" s="557"/>
      <c r="C1787" s="572"/>
      <c r="D1787" s="700"/>
      <c r="E1787" s="612"/>
      <c r="F1787" s="612"/>
      <c r="G1787" s="586"/>
      <c r="H1787" s="709"/>
      <c r="I1787" s="546"/>
      <c r="J1787" s="562"/>
      <c r="K1787" s="563" t="str">
        <f>IF(G1787&lt;&gt;0,VLOOKUP(G1787,'gia dat'!$A$1:$F$144,5,0)," ")</f>
        <v xml:space="preserve"> </v>
      </c>
      <c r="L1787" s="563" t="str">
        <f>IF(G1787&lt;&gt;0,VLOOKUP(G1787,'gia dat'!$A$1:$F$144,6,0)," ")</f>
        <v xml:space="preserve"> </v>
      </c>
      <c r="M1787" s="564" t="str">
        <f t="shared" si="391"/>
        <v xml:space="preserve"> </v>
      </c>
      <c r="N1787" s="564" t="str">
        <f t="shared" si="392"/>
        <v xml:space="preserve"> </v>
      </c>
      <c r="O1787" s="572"/>
      <c r="P1787" s="740"/>
      <c r="Q1787" s="564" t="str">
        <f>IF(O1787&lt;&gt;0,VLOOKUP(O1787,'Cây trong'!$A$2:$C$246,3,0)," ")</f>
        <v xml:space="preserve"> </v>
      </c>
      <c r="R1787" s="564" t="str">
        <f t="shared" si="389"/>
        <v xml:space="preserve"> </v>
      </c>
      <c r="S1787" s="566"/>
      <c r="T1787" s="609"/>
      <c r="U1787" s="741"/>
      <c r="V1787" s="586"/>
      <c r="W1787" s="564" t="str">
        <f>IF(S1787&lt;&gt;0,VLOOKUP(S1787,VKT!$A$2:$G$415,7,0),"")</f>
        <v/>
      </c>
      <c r="X1787" s="564" t="str">
        <f t="shared" si="395"/>
        <v xml:space="preserve"> </v>
      </c>
      <c r="Y1787" s="650"/>
      <c r="Z1787" s="586"/>
      <c r="AA1787" s="742"/>
      <c r="AB1787" s="586"/>
      <c r="AC1787" s="586"/>
      <c r="AD1787" s="586"/>
      <c r="AE1787" s="586"/>
      <c r="AF1787" s="714"/>
      <c r="AG1787" s="570" t="str">
        <f>IF(AE1787&lt;&gt;0,VLOOKUP(AE1787,ODDS!$A$2:$C$13,3,0),"")</f>
        <v/>
      </c>
      <c r="AH1787" s="570" t="str">
        <f t="shared" si="390"/>
        <v xml:space="preserve"> </v>
      </c>
      <c r="AI1787" s="571" t="str">
        <f t="shared" si="388"/>
        <v xml:space="preserve"> </v>
      </c>
      <c r="AJ1787" s="586"/>
      <c r="AK1787" s="586"/>
    </row>
    <row r="1788" spans="1:39" s="394" customFormat="1" ht="20.25" outlineLevel="2" x14ac:dyDescent="0.3">
      <c r="A1788" s="447">
        <f t="shared" si="398"/>
        <v>149</v>
      </c>
      <c r="B1788" s="557"/>
      <c r="C1788" s="572"/>
      <c r="D1788" s="700"/>
      <c r="E1788" s="612"/>
      <c r="F1788" s="612"/>
      <c r="G1788" s="586"/>
      <c r="H1788" s="709"/>
      <c r="I1788" s="546"/>
      <c r="J1788" s="558"/>
      <c r="K1788" s="563" t="str">
        <f>IF(G1788&lt;&gt;0,VLOOKUP(G1788,'gia dat'!$A$1:$F$144,5,0)," ")</f>
        <v xml:space="preserve"> </v>
      </c>
      <c r="L1788" s="563" t="str">
        <f>IF(G1788&lt;&gt;0,VLOOKUP(G1788,'gia dat'!$A$1:$F$144,6,0)," ")</f>
        <v xml:space="preserve"> </v>
      </c>
      <c r="M1788" s="564" t="str">
        <f t="shared" si="391"/>
        <v xml:space="preserve"> </v>
      </c>
      <c r="N1788" s="564" t="str">
        <f t="shared" si="392"/>
        <v xml:space="preserve"> </v>
      </c>
      <c r="O1788" s="572"/>
      <c r="P1788" s="740"/>
      <c r="Q1788" s="564" t="str">
        <f>IF(O1788&lt;&gt;0,VLOOKUP(O1788,'Cây trong'!$A$2:$C$246,3,0)," ")</f>
        <v xml:space="preserve"> </v>
      </c>
      <c r="R1788" s="564" t="str">
        <f t="shared" si="389"/>
        <v xml:space="preserve"> </v>
      </c>
      <c r="S1788" s="572"/>
      <c r="T1788" s="609"/>
      <c r="U1788" s="741"/>
      <c r="V1788" s="586"/>
      <c r="W1788" s="564" t="str">
        <f>IF(S1788&lt;&gt;0,VLOOKUP(S1788,VKT!$A$2:$G$415,7,0),"")</f>
        <v/>
      </c>
      <c r="X1788" s="564" t="str">
        <f t="shared" si="395"/>
        <v xml:space="preserve"> </v>
      </c>
      <c r="Y1788" s="650"/>
      <c r="Z1788" s="586"/>
      <c r="AA1788" s="742"/>
      <c r="AB1788" s="586"/>
      <c r="AC1788" s="586"/>
      <c r="AD1788" s="586"/>
      <c r="AE1788" s="586"/>
      <c r="AF1788" s="714"/>
      <c r="AG1788" s="570" t="str">
        <f>IF(AE1788&lt;&gt;0,VLOOKUP(AE1788,ODDS!$A$2:$C$13,3,0),"")</f>
        <v/>
      </c>
      <c r="AH1788" s="570" t="str">
        <f t="shared" si="390"/>
        <v xml:space="preserve"> </v>
      </c>
      <c r="AI1788" s="571" t="str">
        <f t="shared" si="388"/>
        <v xml:space="preserve"> </v>
      </c>
      <c r="AJ1788" s="558"/>
      <c r="AK1788" s="558"/>
    </row>
    <row r="1789" spans="1:39" s="394" customFormat="1" ht="20.25" outlineLevel="2" x14ac:dyDescent="0.3">
      <c r="A1789" s="447">
        <f t="shared" si="398"/>
        <v>149</v>
      </c>
      <c r="B1789" s="557"/>
      <c r="C1789" s="607"/>
      <c r="D1789" s="700"/>
      <c r="E1789" s="612"/>
      <c r="F1789" s="612"/>
      <c r="G1789" s="586"/>
      <c r="H1789" s="709"/>
      <c r="I1789" s="546"/>
      <c r="J1789" s="558"/>
      <c r="K1789" s="563" t="str">
        <f>IF(G1789&lt;&gt;0,VLOOKUP(G1789,'gia dat'!$A$1:$F$144,5,0)," ")</f>
        <v xml:space="preserve"> </v>
      </c>
      <c r="L1789" s="563" t="str">
        <f>IF(G1789&lt;&gt;0,VLOOKUP(G1789,'gia dat'!$A$1:$F$144,6,0)," ")</f>
        <v xml:space="preserve"> </v>
      </c>
      <c r="M1789" s="564" t="str">
        <f t="shared" si="391"/>
        <v xml:space="preserve"> </v>
      </c>
      <c r="N1789" s="564" t="str">
        <f t="shared" si="392"/>
        <v xml:space="preserve"> </v>
      </c>
      <c r="O1789" s="572"/>
      <c r="P1789" s="740"/>
      <c r="Q1789" s="564" t="str">
        <f>IF(O1789&lt;&gt;0,VLOOKUP(O1789,'Cây trong'!$A$2:$C$246,3,0)," ")</f>
        <v xml:space="preserve"> </v>
      </c>
      <c r="R1789" s="564" t="str">
        <f t="shared" si="389"/>
        <v xml:space="preserve"> </v>
      </c>
      <c r="S1789" s="572"/>
      <c r="T1789" s="609"/>
      <c r="U1789" s="741"/>
      <c r="V1789" s="586"/>
      <c r="W1789" s="564" t="str">
        <f>IF(S1789&lt;&gt;0,VLOOKUP(S1789,VKT!$A$2:$G$415,7,0),"")</f>
        <v/>
      </c>
      <c r="X1789" s="564" t="str">
        <f t="shared" si="395"/>
        <v xml:space="preserve"> </v>
      </c>
      <c r="Y1789" s="650"/>
      <c r="Z1789" s="586"/>
      <c r="AA1789" s="742"/>
      <c r="AB1789" s="586"/>
      <c r="AC1789" s="586"/>
      <c r="AD1789" s="586"/>
      <c r="AE1789" s="586"/>
      <c r="AF1789" s="714"/>
      <c r="AG1789" s="570" t="str">
        <f>IF(AE1789&lt;&gt;0,VLOOKUP(AE1789,ODDS!$A$2:$C$13,3,0),"")</f>
        <v/>
      </c>
      <c r="AH1789" s="570" t="str">
        <f t="shared" si="390"/>
        <v xml:space="preserve"> </v>
      </c>
      <c r="AI1789" s="571" t="str">
        <f t="shared" si="388"/>
        <v xml:space="preserve"> </v>
      </c>
      <c r="AJ1789" s="586"/>
      <c r="AK1789" s="586"/>
    </row>
    <row r="1790" spans="1:39" s="396" customFormat="1" ht="20.25" outlineLevel="1" x14ac:dyDescent="0.25">
      <c r="A1790" s="467" t="s">
        <v>2560</v>
      </c>
      <c r="B1790" s="576">
        <v>150</v>
      </c>
      <c r="C1790" s="607" t="s">
        <v>1257</v>
      </c>
      <c r="D1790" s="706"/>
      <c r="E1790" s="642"/>
      <c r="F1790" s="642"/>
      <c r="G1790" s="578"/>
      <c r="H1790" s="707">
        <f>SUBTOTAL(9,H1791:H1796)</f>
        <v>847.3</v>
      </c>
      <c r="I1790" s="579">
        <f>SUBTOTAL(9,I1791:I1796)</f>
        <v>0</v>
      </c>
      <c r="J1790" s="580"/>
      <c r="K1790" s="581"/>
      <c r="L1790" s="581"/>
      <c r="M1790" s="571">
        <f>SUBTOTAL(9,M1791:M1796)</f>
        <v>394503000</v>
      </c>
      <c r="N1790" s="571">
        <f>SUBTOTAL(9,N1791:N1796)</f>
        <v>0</v>
      </c>
      <c r="O1790" s="607"/>
      <c r="P1790" s="738">
        <f>SUBTOTAL(9,P1791:P1796)</f>
        <v>792</v>
      </c>
      <c r="Q1790" s="571"/>
      <c r="R1790" s="571">
        <f>SUBTOTAL(9,R1791:R1796)</f>
        <v>9504000</v>
      </c>
      <c r="S1790" s="582"/>
      <c r="T1790" s="621"/>
      <c r="U1790" s="739">
        <f>SUBTOTAL(9,U1791:U1796)</f>
        <v>0</v>
      </c>
      <c r="V1790" s="578"/>
      <c r="W1790" s="571"/>
      <c r="X1790" s="571">
        <f>SUBTOTAL(9,X1791:X1796)</f>
        <v>0</v>
      </c>
      <c r="Y1790" s="650"/>
      <c r="Z1790" s="586"/>
      <c r="AA1790" s="742"/>
      <c r="AB1790" s="586"/>
      <c r="AC1790" s="586"/>
      <c r="AD1790" s="586"/>
      <c r="AE1790" s="578"/>
      <c r="AF1790" s="712">
        <f>SUBTOTAL(9,AF1791:AF1796)</f>
        <v>0</v>
      </c>
      <c r="AG1790" s="585"/>
      <c r="AH1790" s="585">
        <f>SUBTOTAL(9,AH1791:AH1796)</f>
        <v>0</v>
      </c>
      <c r="AI1790" s="571">
        <f t="shared" si="388"/>
        <v>404007000</v>
      </c>
      <c r="AJ1790" s="578"/>
      <c r="AK1790" s="578"/>
    </row>
    <row r="1791" spans="1:39" s="396" customFormat="1" ht="121.5" outlineLevel="2" x14ac:dyDescent="0.3">
      <c r="A1791" s="447">
        <f>IF(B1790&lt;&gt;0,B1790,A1789)</f>
        <v>150</v>
      </c>
      <c r="B1791" s="557"/>
      <c r="C1791" s="572" t="s">
        <v>1259</v>
      </c>
      <c r="D1791" s="700">
        <v>4</v>
      </c>
      <c r="E1791" s="612">
        <v>86</v>
      </c>
      <c r="F1791" s="612">
        <v>27</v>
      </c>
      <c r="G1791" s="586" t="s">
        <v>2436</v>
      </c>
      <c r="H1791" s="709">
        <f>847.3-H1792</f>
        <v>847.3</v>
      </c>
      <c r="I1791" s="546" t="str">
        <f t="shared" ref="I1791" si="399">IF(N1791&gt;0,H1791,"")</f>
        <v/>
      </c>
      <c r="J1791" s="562"/>
      <c r="K1791" s="563">
        <f>IF(G1791&lt;&gt;0,VLOOKUP(G1791,'gia dat'!$A$1:$F$144,5,0)," ")</f>
        <v>465600</v>
      </c>
      <c r="L1791" s="563">
        <f>IF(G1791&lt;&gt;0,VLOOKUP(G1791,'gia dat'!$A$1:$F$144,6,0)," ")</f>
        <v>0</v>
      </c>
      <c r="M1791" s="564">
        <f t="shared" si="391"/>
        <v>394503000</v>
      </c>
      <c r="N1791" s="564">
        <f t="shared" si="392"/>
        <v>0</v>
      </c>
      <c r="O1791" s="572" t="s">
        <v>1241</v>
      </c>
      <c r="P1791" s="740">
        <v>792</v>
      </c>
      <c r="Q1791" s="564">
        <f>IF(O1791&lt;&gt;0,VLOOKUP(O1791,'Cây trong'!$A$2:$C$246,3,0)," ")</f>
        <v>12000</v>
      </c>
      <c r="R1791" s="564">
        <f t="shared" si="389"/>
        <v>9504000</v>
      </c>
      <c r="S1791" s="566"/>
      <c r="T1791" s="609"/>
      <c r="U1791" s="741"/>
      <c r="V1791" s="586"/>
      <c r="W1791" s="564" t="str">
        <f>IF(S1791&lt;&gt;0,VLOOKUP(S1791,VKT!$A$2:$G$415,7,0),"")</f>
        <v/>
      </c>
      <c r="X1791" s="564" t="str">
        <f t="shared" si="395"/>
        <v xml:space="preserve"> </v>
      </c>
      <c r="Y1791" s="650"/>
      <c r="Z1791" s="586"/>
      <c r="AA1791" s="742"/>
      <c r="AB1791" s="586"/>
      <c r="AC1791" s="586"/>
      <c r="AD1791" s="586"/>
      <c r="AE1791" s="586"/>
      <c r="AF1791" s="714"/>
      <c r="AG1791" s="570" t="str">
        <f>IF(AE1791&lt;&gt;0,VLOOKUP(AE1791,ODDS!$A$2:$C$13,3,0),"")</f>
        <v/>
      </c>
      <c r="AH1791" s="570"/>
      <c r="AI1791" s="571" t="str">
        <f t="shared" si="388"/>
        <v xml:space="preserve"> </v>
      </c>
      <c r="AJ1791" s="586" t="s">
        <v>1258</v>
      </c>
      <c r="AK1791" s="586" t="s">
        <v>2771</v>
      </c>
    </row>
    <row r="1792" spans="1:39" s="394" customFormat="1" ht="101.25" outlineLevel="2" x14ac:dyDescent="0.3">
      <c r="A1792" s="447">
        <f>IF(B1791&lt;&gt;0,B1791,A1791)</f>
        <v>150</v>
      </c>
      <c r="B1792" s="557"/>
      <c r="C1792" s="572" t="s">
        <v>1609</v>
      </c>
      <c r="D1792" s="700"/>
      <c r="E1792" s="612"/>
      <c r="F1792" s="612"/>
      <c r="G1792" s="586"/>
      <c r="H1792" s="709"/>
      <c r="I1792" s="546"/>
      <c r="J1792" s="562"/>
      <c r="K1792" s="563" t="str">
        <f>IF(G1792&lt;&gt;0,VLOOKUP(G1792,'gia dat'!$A$1:$F$144,5,0)," ")</f>
        <v xml:space="preserve"> </v>
      </c>
      <c r="L1792" s="563" t="str">
        <f>IF(G1792&lt;&gt;0,VLOOKUP(G1792,'gia dat'!$A$1:$F$144,6,0)," ")</f>
        <v xml:space="preserve"> </v>
      </c>
      <c r="M1792" s="564" t="str">
        <f t="shared" si="391"/>
        <v xml:space="preserve"> </v>
      </c>
      <c r="N1792" s="564" t="str">
        <f t="shared" si="392"/>
        <v xml:space="preserve"> </v>
      </c>
      <c r="O1792" s="572"/>
      <c r="P1792" s="740"/>
      <c r="Q1792" s="564" t="str">
        <f>IF(O1792&lt;&gt;0,VLOOKUP(O1792,'Cây trong'!$A$2:$C$246,3,0)," ")</f>
        <v xml:space="preserve"> </v>
      </c>
      <c r="R1792" s="564" t="str">
        <f t="shared" si="389"/>
        <v xml:space="preserve"> </v>
      </c>
      <c r="S1792" s="566"/>
      <c r="T1792" s="609"/>
      <c r="U1792" s="741"/>
      <c r="V1792" s="586"/>
      <c r="W1792" s="564" t="str">
        <f>IF(S1792&lt;&gt;0,VLOOKUP(S1792,VKT!$A$2:$G$415,7,0),"")</f>
        <v/>
      </c>
      <c r="X1792" s="564" t="str">
        <f t="shared" si="395"/>
        <v xml:space="preserve"> </v>
      </c>
      <c r="Y1792" s="650"/>
      <c r="Z1792" s="586"/>
      <c r="AA1792" s="742"/>
      <c r="AB1792" s="586"/>
      <c r="AC1792" s="586"/>
      <c r="AD1792" s="586"/>
      <c r="AE1792" s="586"/>
      <c r="AF1792" s="714"/>
      <c r="AG1792" s="570" t="str">
        <f>IF(AE1792&lt;&gt;0,VLOOKUP(AE1792,ODDS!$A$2:$C$13,3,0),"")</f>
        <v/>
      </c>
      <c r="AH1792" s="570" t="str">
        <f t="shared" si="390"/>
        <v xml:space="preserve"> </v>
      </c>
      <c r="AI1792" s="571" t="str">
        <f t="shared" si="388"/>
        <v xml:space="preserve"> </v>
      </c>
      <c r="AJ1792" s="586" t="s">
        <v>1260</v>
      </c>
      <c r="AK1792" s="558" t="s">
        <v>2449</v>
      </c>
    </row>
    <row r="1793" spans="1:37" s="394" customFormat="1" ht="20.25" outlineLevel="2" x14ac:dyDescent="0.3">
      <c r="A1793" s="447">
        <f>IF(B1792&lt;&gt;0,B1792,A1792)</f>
        <v>150</v>
      </c>
      <c r="B1793" s="557"/>
      <c r="C1793" s="572"/>
      <c r="D1793" s="700"/>
      <c r="E1793" s="612"/>
      <c r="F1793" s="612"/>
      <c r="G1793" s="586"/>
      <c r="H1793" s="709"/>
      <c r="I1793" s="546"/>
      <c r="J1793" s="562"/>
      <c r="K1793" s="563" t="str">
        <f>IF(G1793&lt;&gt;0,VLOOKUP(G1793,'gia dat'!$A$1:$F$144,5,0)," ")</f>
        <v xml:space="preserve"> </v>
      </c>
      <c r="L1793" s="563" t="str">
        <f>IF(G1793&lt;&gt;0,VLOOKUP(G1793,'gia dat'!$A$1:$F$144,6,0)," ")</f>
        <v xml:space="preserve"> </v>
      </c>
      <c r="M1793" s="564" t="str">
        <f t="shared" si="391"/>
        <v xml:space="preserve"> </v>
      </c>
      <c r="N1793" s="564" t="str">
        <f t="shared" si="392"/>
        <v xml:space="preserve"> </v>
      </c>
      <c r="O1793" s="572"/>
      <c r="P1793" s="740"/>
      <c r="Q1793" s="564" t="str">
        <f>IF(O1793&lt;&gt;0,VLOOKUP(O1793,'Cây trong'!$A$2:$C$246,3,0)," ")</f>
        <v xml:space="preserve"> </v>
      </c>
      <c r="R1793" s="564" t="str">
        <f t="shared" si="389"/>
        <v xml:space="preserve"> </v>
      </c>
      <c r="S1793" s="566"/>
      <c r="T1793" s="609"/>
      <c r="U1793" s="741"/>
      <c r="V1793" s="586"/>
      <c r="W1793" s="564" t="str">
        <f>IF(S1793&lt;&gt;0,VLOOKUP(S1793,VKT!$A$2:$G$415,7,0),"")</f>
        <v/>
      </c>
      <c r="X1793" s="564" t="str">
        <f t="shared" si="395"/>
        <v xml:space="preserve"> </v>
      </c>
      <c r="Y1793" s="650"/>
      <c r="Z1793" s="586"/>
      <c r="AA1793" s="742"/>
      <c r="AB1793" s="586"/>
      <c r="AC1793" s="586"/>
      <c r="AD1793" s="586"/>
      <c r="AE1793" s="586"/>
      <c r="AF1793" s="714"/>
      <c r="AG1793" s="570" t="str">
        <f>IF(AE1793&lt;&gt;0,VLOOKUP(AE1793,ODDS!$A$2:$C$13,3,0),"")</f>
        <v/>
      </c>
      <c r="AH1793" s="570" t="str">
        <f t="shared" si="390"/>
        <v xml:space="preserve"> </v>
      </c>
      <c r="AI1793" s="571" t="str">
        <f t="shared" si="388"/>
        <v xml:space="preserve"> </v>
      </c>
      <c r="AJ1793" s="586" t="s">
        <v>1188</v>
      </c>
      <c r="AK1793" s="586"/>
    </row>
    <row r="1794" spans="1:37" s="394" customFormat="1" ht="20.25" outlineLevel="2" x14ac:dyDescent="0.3">
      <c r="A1794" s="447">
        <f>IF(B1793&lt;&gt;0,B1793,A1793)</f>
        <v>150</v>
      </c>
      <c r="B1794" s="557"/>
      <c r="C1794" s="572"/>
      <c r="D1794" s="700"/>
      <c r="E1794" s="612"/>
      <c r="F1794" s="612"/>
      <c r="G1794" s="586"/>
      <c r="H1794" s="709"/>
      <c r="I1794" s="546"/>
      <c r="J1794" s="558"/>
      <c r="K1794" s="563" t="str">
        <f>IF(G1794&lt;&gt;0,VLOOKUP(G1794,'gia dat'!$A$1:$F$144,5,0)," ")</f>
        <v xml:space="preserve"> </v>
      </c>
      <c r="L1794" s="563" t="str">
        <f>IF(G1794&lt;&gt;0,VLOOKUP(G1794,'gia dat'!$A$1:$F$144,6,0)," ")</f>
        <v xml:space="preserve"> </v>
      </c>
      <c r="M1794" s="564" t="str">
        <f t="shared" si="391"/>
        <v xml:space="preserve"> </v>
      </c>
      <c r="N1794" s="564" t="str">
        <f t="shared" si="392"/>
        <v xml:space="preserve"> </v>
      </c>
      <c r="O1794" s="572"/>
      <c r="P1794" s="740"/>
      <c r="Q1794" s="564" t="str">
        <f>IF(O1794&lt;&gt;0,VLOOKUP(O1794,'Cây trong'!$A$2:$C$246,3,0)," ")</f>
        <v xml:space="preserve"> </v>
      </c>
      <c r="R1794" s="564" t="str">
        <f t="shared" si="389"/>
        <v xml:space="preserve"> </v>
      </c>
      <c r="S1794" s="572"/>
      <c r="T1794" s="609"/>
      <c r="U1794" s="741"/>
      <c r="V1794" s="586"/>
      <c r="W1794" s="564" t="str">
        <f>IF(S1794&lt;&gt;0,VLOOKUP(S1794,VKT!$A$2:$G$415,7,0),"")</f>
        <v/>
      </c>
      <c r="X1794" s="564" t="str">
        <f t="shared" si="395"/>
        <v xml:space="preserve"> </v>
      </c>
      <c r="Y1794" s="650"/>
      <c r="Z1794" s="586"/>
      <c r="AA1794" s="742"/>
      <c r="AB1794" s="586"/>
      <c r="AC1794" s="586"/>
      <c r="AD1794" s="586"/>
      <c r="AE1794" s="586"/>
      <c r="AF1794" s="714"/>
      <c r="AG1794" s="570" t="str">
        <f>IF(AE1794&lt;&gt;0,VLOOKUP(AE1794,ODDS!$A$2:$C$13,3,0),"")</f>
        <v/>
      </c>
      <c r="AH1794" s="570" t="str">
        <f t="shared" si="390"/>
        <v xml:space="preserve"> </v>
      </c>
      <c r="AI1794" s="571" t="str">
        <f t="shared" si="388"/>
        <v xml:space="preserve"> </v>
      </c>
      <c r="AJ1794" s="586"/>
      <c r="AK1794" s="586"/>
    </row>
    <row r="1795" spans="1:37" s="394" customFormat="1" ht="20.25" outlineLevel="2" x14ac:dyDescent="0.3">
      <c r="A1795" s="447">
        <f>IF(B1794&lt;&gt;0,B1794,A1794)</f>
        <v>150</v>
      </c>
      <c r="B1795" s="557"/>
      <c r="C1795" s="572"/>
      <c r="D1795" s="700"/>
      <c r="E1795" s="612"/>
      <c r="F1795" s="612"/>
      <c r="G1795" s="586"/>
      <c r="H1795" s="709"/>
      <c r="I1795" s="546"/>
      <c r="J1795" s="558"/>
      <c r="K1795" s="563" t="str">
        <f>IF(G1795&lt;&gt;0,VLOOKUP(G1795,'gia dat'!$A$1:$F$144,5,0)," ")</f>
        <v xml:space="preserve"> </v>
      </c>
      <c r="L1795" s="563" t="str">
        <f>IF(G1795&lt;&gt;0,VLOOKUP(G1795,'gia dat'!$A$1:$F$144,6,0)," ")</f>
        <v xml:space="preserve"> </v>
      </c>
      <c r="M1795" s="564" t="str">
        <f t="shared" si="391"/>
        <v xml:space="preserve"> </v>
      </c>
      <c r="N1795" s="564" t="str">
        <f t="shared" si="392"/>
        <v xml:space="preserve"> </v>
      </c>
      <c r="O1795" s="572"/>
      <c r="P1795" s="740"/>
      <c r="Q1795" s="564" t="str">
        <f>IF(O1795&lt;&gt;0,VLOOKUP(O1795,'Cây trong'!$A$2:$C$246,3,0)," ")</f>
        <v xml:space="preserve"> </v>
      </c>
      <c r="R1795" s="564" t="str">
        <f t="shared" si="389"/>
        <v xml:space="preserve"> </v>
      </c>
      <c r="S1795" s="572"/>
      <c r="T1795" s="609"/>
      <c r="U1795" s="741"/>
      <c r="V1795" s="586"/>
      <c r="W1795" s="564" t="str">
        <f>IF(S1795&lt;&gt;0,VLOOKUP(S1795,VKT!$A$2:$G$415,7,0),"")</f>
        <v/>
      </c>
      <c r="X1795" s="564" t="str">
        <f t="shared" si="395"/>
        <v xml:space="preserve"> </v>
      </c>
      <c r="Y1795" s="650"/>
      <c r="Z1795" s="586"/>
      <c r="AA1795" s="742"/>
      <c r="AB1795" s="586"/>
      <c r="AC1795" s="586"/>
      <c r="AD1795" s="586"/>
      <c r="AE1795" s="586"/>
      <c r="AF1795" s="714"/>
      <c r="AG1795" s="570" t="str">
        <f>IF(AE1795&lt;&gt;0,VLOOKUP(AE1795,ODDS!$A$2:$C$13,3,0),"")</f>
        <v/>
      </c>
      <c r="AH1795" s="570" t="str">
        <f t="shared" si="390"/>
        <v xml:space="preserve"> </v>
      </c>
      <c r="AI1795" s="571" t="str">
        <f t="shared" si="388"/>
        <v xml:space="preserve"> </v>
      </c>
      <c r="AJ1795" s="572"/>
      <c r="AK1795" s="572"/>
    </row>
    <row r="1796" spans="1:37" s="394" customFormat="1" ht="20.25" outlineLevel="2" x14ac:dyDescent="0.3">
      <c r="A1796" s="447">
        <f>IF(B1795&lt;&gt;0,B1795,A1795)</f>
        <v>150</v>
      </c>
      <c r="B1796" s="557"/>
      <c r="C1796" s="607"/>
      <c r="D1796" s="700"/>
      <c r="E1796" s="612"/>
      <c r="F1796" s="612"/>
      <c r="G1796" s="586"/>
      <c r="H1796" s="709"/>
      <c r="I1796" s="546"/>
      <c r="J1796" s="558"/>
      <c r="K1796" s="563" t="str">
        <f>IF(G1796&lt;&gt;0,VLOOKUP(G1796,'gia dat'!$A$1:$F$144,5,0)," ")</f>
        <v xml:space="preserve"> </v>
      </c>
      <c r="L1796" s="563" t="str">
        <f>IF(G1796&lt;&gt;0,VLOOKUP(G1796,'gia dat'!$A$1:$F$144,6,0)," ")</f>
        <v xml:space="preserve"> </v>
      </c>
      <c r="M1796" s="564" t="str">
        <f t="shared" si="391"/>
        <v xml:space="preserve"> </v>
      </c>
      <c r="N1796" s="564" t="str">
        <f t="shared" si="392"/>
        <v xml:space="preserve"> </v>
      </c>
      <c r="O1796" s="572"/>
      <c r="P1796" s="740"/>
      <c r="Q1796" s="564" t="str">
        <f>IF(O1796&lt;&gt;0,VLOOKUP(O1796,'Cây trong'!$A$2:$C$246,3,0)," ")</f>
        <v xml:space="preserve"> </v>
      </c>
      <c r="R1796" s="564" t="str">
        <f t="shared" si="389"/>
        <v xml:space="preserve"> </v>
      </c>
      <c r="S1796" s="572"/>
      <c r="T1796" s="609"/>
      <c r="U1796" s="741"/>
      <c r="V1796" s="586"/>
      <c r="W1796" s="564" t="str">
        <f>IF(S1796&lt;&gt;0,VLOOKUP(S1796,VKT!$A$2:$G$415,7,0),"")</f>
        <v/>
      </c>
      <c r="X1796" s="564" t="str">
        <f t="shared" si="395"/>
        <v xml:space="preserve"> </v>
      </c>
      <c r="Y1796" s="650"/>
      <c r="Z1796" s="586"/>
      <c r="AA1796" s="742"/>
      <c r="AB1796" s="586"/>
      <c r="AC1796" s="586"/>
      <c r="AD1796" s="586"/>
      <c r="AE1796" s="586"/>
      <c r="AF1796" s="714"/>
      <c r="AG1796" s="570" t="str">
        <f>IF(AE1796&lt;&gt;0,VLOOKUP(AE1796,ODDS!$A$2:$C$13,3,0),"")</f>
        <v/>
      </c>
      <c r="AH1796" s="570" t="str">
        <f t="shared" si="390"/>
        <v xml:space="preserve"> </v>
      </c>
      <c r="AI1796" s="571" t="str">
        <f t="shared" si="388"/>
        <v xml:space="preserve"> </v>
      </c>
      <c r="AJ1796" s="586"/>
      <c r="AK1796" s="586"/>
    </row>
    <row r="1797" spans="1:37" s="394" customFormat="1" ht="40.5" outlineLevel="1" x14ac:dyDescent="0.25">
      <c r="A1797" s="467" t="s">
        <v>2559</v>
      </c>
      <c r="B1797" s="576">
        <v>151</v>
      </c>
      <c r="C1797" s="607" t="s">
        <v>1261</v>
      </c>
      <c r="D1797" s="706"/>
      <c r="E1797" s="642"/>
      <c r="F1797" s="642"/>
      <c r="G1797" s="578"/>
      <c r="H1797" s="707">
        <f>SUBTOTAL(9,H1798:H1804)</f>
        <v>0</v>
      </c>
      <c r="I1797" s="579">
        <f>SUBTOTAL(9,I1798:I1803)</f>
        <v>0</v>
      </c>
      <c r="J1797" s="580"/>
      <c r="K1797" s="581"/>
      <c r="L1797" s="581"/>
      <c r="M1797" s="571">
        <f>SUBTOTAL(9,M1798:M1804)</f>
        <v>0</v>
      </c>
      <c r="N1797" s="571">
        <f>SUBTOTAL(9,N1798:N1804)</f>
        <v>0</v>
      </c>
      <c r="O1797" s="607"/>
      <c r="P1797" s="738">
        <f>SUBTOTAL(9,P1798:P1804)</f>
        <v>0</v>
      </c>
      <c r="Q1797" s="571"/>
      <c r="R1797" s="571">
        <f>SUBTOTAL(9,R1798:R1804)</f>
        <v>0</v>
      </c>
      <c r="S1797" s="582"/>
      <c r="T1797" s="621"/>
      <c r="U1797" s="739">
        <f>SUBTOTAL(9,U1798:U1804)</f>
        <v>44.92</v>
      </c>
      <c r="V1797" s="578"/>
      <c r="W1797" s="571"/>
      <c r="X1797" s="571">
        <f>SUBTOTAL(9,X1798:X1804)</f>
        <v>69169000</v>
      </c>
      <c r="Y1797" s="586"/>
      <c r="Z1797" s="694"/>
      <c r="AA1797" s="694"/>
      <c r="AB1797" s="694"/>
      <c r="AC1797" s="694"/>
      <c r="AD1797" s="694"/>
      <c r="AE1797" s="695"/>
      <c r="AF1797" s="581">
        <f>SUBTOTAL(9,AF1798:AF1804)</f>
        <v>0</v>
      </c>
      <c r="AG1797" s="585"/>
      <c r="AH1797" s="585">
        <f>SUBTOTAL(9,AH1798:AH1804)</f>
        <v>0</v>
      </c>
      <c r="AI1797" s="571">
        <f t="shared" si="388"/>
        <v>69169000</v>
      </c>
      <c r="AJ1797" s="578"/>
      <c r="AK1797" s="574"/>
    </row>
    <row r="1798" spans="1:37" s="394" customFormat="1" ht="121.5" outlineLevel="2" x14ac:dyDescent="0.3">
      <c r="A1798" s="447">
        <f>IF(B1797&lt;&gt;0,B1797,A1796)</f>
        <v>151</v>
      </c>
      <c r="B1798" s="557"/>
      <c r="C1798" s="572" t="s">
        <v>1266</v>
      </c>
      <c r="D1798" s="700"/>
      <c r="E1798" s="612"/>
      <c r="F1798" s="612"/>
      <c r="G1798" s="586"/>
      <c r="H1798" s="709"/>
      <c r="I1798" s="546"/>
      <c r="J1798" s="562"/>
      <c r="K1798" s="563" t="str">
        <f>IF(G1798&lt;&gt;0,VLOOKUP(G1798,'gia dat'!$A$1:$F$144,5,0)," ")</f>
        <v xml:space="preserve"> </v>
      </c>
      <c r="L1798" s="563" t="str">
        <f>IF(G1798&lt;&gt;0,VLOOKUP(G1798,'gia dat'!$A$1:$F$144,6,0)," ")</f>
        <v xml:space="preserve"> </v>
      </c>
      <c r="M1798" s="564" t="str">
        <f t="shared" si="391"/>
        <v xml:space="preserve"> </v>
      </c>
      <c r="N1798" s="564" t="str">
        <f t="shared" si="392"/>
        <v xml:space="preserve"> </v>
      </c>
      <c r="O1798" s="572"/>
      <c r="P1798" s="740"/>
      <c r="Q1798" s="564" t="str">
        <f>IF(O1798&lt;&gt;0,VLOOKUP(O1798,'Cây trong'!$A$2:$C$246,3,0)," ")</f>
        <v xml:space="preserve"> </v>
      </c>
      <c r="R1798" s="564" t="str">
        <f t="shared" si="389"/>
        <v xml:space="preserve"> </v>
      </c>
      <c r="S1798" s="566" t="s">
        <v>1926</v>
      </c>
      <c r="T1798" s="609" t="s">
        <v>1133</v>
      </c>
      <c r="U1798" s="741">
        <v>28.8</v>
      </c>
      <c r="V1798" s="586"/>
      <c r="W1798" s="564">
        <f>IF(S1798&lt;&gt;0,VLOOKUP(S1798,VKT!$A$2:$G$415,7,0),"")</f>
        <v>1458856</v>
      </c>
      <c r="X1798" s="564">
        <f t="shared" si="395"/>
        <v>42015000</v>
      </c>
      <c r="Y1798" s="586" t="s">
        <v>139</v>
      </c>
      <c r="Z1798" s="694" t="s">
        <v>1139</v>
      </c>
      <c r="AA1798" s="694" t="s">
        <v>1262</v>
      </c>
      <c r="AB1798" s="694" t="s">
        <v>1263</v>
      </c>
      <c r="AC1798" s="694" t="s">
        <v>1264</v>
      </c>
      <c r="AD1798" s="694"/>
      <c r="AE1798" s="694"/>
      <c r="AF1798" s="563"/>
      <c r="AG1798" s="570" t="str">
        <f>IF(AE1798&lt;&gt;0,VLOOKUP(AE1798,ODDS!$A$2:$C$13,3,0),"")</f>
        <v/>
      </c>
      <c r="AH1798" s="570" t="str">
        <f t="shared" si="390"/>
        <v xml:space="preserve"> </v>
      </c>
      <c r="AI1798" s="571" t="str">
        <f t="shared" si="388"/>
        <v xml:space="preserve"> </v>
      </c>
      <c r="AJ1798" s="586" t="s">
        <v>1265</v>
      </c>
      <c r="AK1798" s="558" t="s">
        <v>2450</v>
      </c>
    </row>
    <row r="1799" spans="1:37" s="394" customFormat="1" ht="101.25" outlineLevel="2" x14ac:dyDescent="0.3">
      <c r="A1799" s="447">
        <f t="shared" ref="A1799:A1804" si="400">IF(B1798&lt;&gt;0,B1798,A1798)</f>
        <v>151</v>
      </c>
      <c r="B1799" s="557"/>
      <c r="C1799" s="572" t="s">
        <v>1610</v>
      </c>
      <c r="D1799" s="700"/>
      <c r="E1799" s="612"/>
      <c r="F1799" s="612"/>
      <c r="G1799" s="586"/>
      <c r="H1799" s="709"/>
      <c r="I1799" s="546"/>
      <c r="J1799" s="562"/>
      <c r="K1799" s="563" t="str">
        <f>IF(G1799&lt;&gt;0,VLOOKUP(G1799,'gia dat'!$A$1:$F$144,5,0)," ")</f>
        <v xml:space="preserve"> </v>
      </c>
      <c r="L1799" s="563" t="str">
        <f>IF(G1799&lt;&gt;0,VLOOKUP(G1799,'gia dat'!$A$1:$F$144,6,0)," ")</f>
        <v xml:space="preserve"> </v>
      </c>
      <c r="M1799" s="564" t="str">
        <f t="shared" si="391"/>
        <v xml:space="preserve"> </v>
      </c>
      <c r="N1799" s="564" t="str">
        <f t="shared" si="392"/>
        <v xml:space="preserve"> </v>
      </c>
      <c r="O1799" s="572"/>
      <c r="P1799" s="740"/>
      <c r="Q1799" s="564" t="str">
        <f>IF(O1799&lt;&gt;0,VLOOKUP(O1799,'Cây trong'!$A$2:$C$246,3,0)," ")</f>
        <v xml:space="preserve"> </v>
      </c>
      <c r="R1799" s="564" t="str">
        <f t="shared" si="389"/>
        <v xml:space="preserve"> </v>
      </c>
      <c r="S1799" s="566" t="s">
        <v>1927</v>
      </c>
      <c r="T1799" s="609" t="s">
        <v>1133</v>
      </c>
      <c r="U1799" s="741">
        <v>9.52</v>
      </c>
      <c r="V1799" s="586"/>
      <c r="W1799" s="564">
        <f>IF(S1799&lt;&gt;0,VLOOKUP(S1799,VKT!$A$2:$G$415,7,0),"")</f>
        <v>684506</v>
      </c>
      <c r="X1799" s="564">
        <f t="shared" si="395"/>
        <v>6516000</v>
      </c>
      <c r="Y1799" s="650"/>
      <c r="Z1799" s="586"/>
      <c r="AA1799" s="742"/>
      <c r="AB1799" s="586"/>
      <c r="AC1799" s="586"/>
      <c r="AD1799" s="586"/>
      <c r="AE1799" s="586"/>
      <c r="AF1799" s="714"/>
      <c r="AG1799" s="570" t="str">
        <f>IF(AE1799&lt;&gt;0,VLOOKUP(AE1799,ODDS!$A$2:$C$13,3,0),"")</f>
        <v/>
      </c>
      <c r="AH1799" s="570" t="str">
        <f t="shared" si="390"/>
        <v xml:space="preserve"> </v>
      </c>
      <c r="AI1799" s="571" t="str">
        <f t="shared" si="388"/>
        <v xml:space="preserve"> </v>
      </c>
      <c r="AJ1799" s="586" t="s">
        <v>1267</v>
      </c>
      <c r="AK1799" s="586" t="s">
        <v>2800</v>
      </c>
    </row>
    <row r="1800" spans="1:37" s="394" customFormat="1" ht="121.5" outlineLevel="2" x14ac:dyDescent="0.3">
      <c r="A1800" s="447">
        <f t="shared" si="400"/>
        <v>151</v>
      </c>
      <c r="B1800" s="557"/>
      <c r="C1800" s="572"/>
      <c r="D1800" s="700"/>
      <c r="E1800" s="612"/>
      <c r="F1800" s="612"/>
      <c r="G1800" s="586"/>
      <c r="H1800" s="709"/>
      <c r="I1800" s="546"/>
      <c r="J1800" s="562"/>
      <c r="K1800" s="563" t="str">
        <f>IF(G1800&lt;&gt;0,VLOOKUP(G1800,'gia dat'!$A$1:$F$144,5,0)," ")</f>
        <v xml:space="preserve"> </v>
      </c>
      <c r="L1800" s="563" t="str">
        <f>IF(G1800&lt;&gt;0,VLOOKUP(G1800,'gia dat'!$A$1:$F$144,6,0)," ")</f>
        <v xml:space="preserve"> </v>
      </c>
      <c r="M1800" s="564" t="str">
        <f t="shared" si="391"/>
        <v xml:space="preserve"> </v>
      </c>
      <c r="N1800" s="564" t="str">
        <f t="shared" si="392"/>
        <v xml:space="preserve"> </v>
      </c>
      <c r="O1800" s="572"/>
      <c r="P1800" s="740"/>
      <c r="Q1800" s="564" t="str">
        <f>IF(O1800&lt;&gt;0,VLOOKUP(O1800,'Cây trong'!$A$2:$C$246,3,0)," ")</f>
        <v xml:space="preserve"> </v>
      </c>
      <c r="R1800" s="564" t="str">
        <f t="shared" si="389"/>
        <v xml:space="preserve"> </v>
      </c>
      <c r="S1800" s="566" t="s">
        <v>1928</v>
      </c>
      <c r="T1800" s="609" t="s">
        <v>1133</v>
      </c>
      <c r="U1800" s="741">
        <v>2.52</v>
      </c>
      <c r="V1800" s="586"/>
      <c r="W1800" s="564">
        <f>IF(S1800&lt;&gt;0,VLOOKUP(S1800,VKT!$A$2:$G$415,7,0),"")</f>
        <v>8189638</v>
      </c>
      <c r="X1800" s="564">
        <f t="shared" si="395"/>
        <v>20638000</v>
      </c>
      <c r="Y1800" s="650"/>
      <c r="Z1800" s="586"/>
      <c r="AA1800" s="742"/>
      <c r="AB1800" s="586"/>
      <c r="AC1800" s="586"/>
      <c r="AD1800" s="586"/>
      <c r="AE1800" s="586"/>
      <c r="AF1800" s="714"/>
      <c r="AG1800" s="570" t="str">
        <f>IF(AE1800&lt;&gt;0,VLOOKUP(AE1800,ODDS!$A$2:$C$13,3,0),"")</f>
        <v/>
      </c>
      <c r="AH1800" s="570" t="str">
        <f t="shared" si="390"/>
        <v xml:space="preserve"> </v>
      </c>
      <c r="AI1800" s="571" t="str">
        <f t="shared" si="388"/>
        <v xml:space="preserve"> </v>
      </c>
      <c r="AJ1800" s="578"/>
      <c r="AK1800" s="586"/>
    </row>
    <row r="1801" spans="1:37" s="394" customFormat="1" ht="60.75" outlineLevel="2" x14ac:dyDescent="0.3">
      <c r="A1801" s="447">
        <f t="shared" si="400"/>
        <v>151</v>
      </c>
      <c r="B1801" s="557"/>
      <c r="C1801" s="572"/>
      <c r="D1801" s="700"/>
      <c r="E1801" s="612"/>
      <c r="F1801" s="612"/>
      <c r="G1801" s="586"/>
      <c r="H1801" s="709"/>
      <c r="I1801" s="546"/>
      <c r="J1801" s="558"/>
      <c r="K1801" s="563" t="str">
        <f>IF(G1801&lt;&gt;0,VLOOKUP(G1801,'gia dat'!$A$1:$F$144,5,0)," ")</f>
        <v xml:space="preserve"> </v>
      </c>
      <c r="L1801" s="563" t="str">
        <f>IF(G1801&lt;&gt;0,VLOOKUP(G1801,'gia dat'!$A$1:$F$144,6,0)," ")</f>
        <v xml:space="preserve"> </v>
      </c>
      <c r="M1801" s="564" t="str">
        <f t="shared" si="391"/>
        <v xml:space="preserve"> </v>
      </c>
      <c r="N1801" s="564" t="str">
        <f t="shared" si="392"/>
        <v xml:space="preserve"> </v>
      </c>
      <c r="O1801" s="572"/>
      <c r="P1801" s="740"/>
      <c r="Q1801" s="564" t="str">
        <f>IF(O1801&lt;&gt;0,VLOOKUP(O1801,'Cây trong'!$A$2:$C$246,3,0)," ")</f>
        <v xml:space="preserve"> </v>
      </c>
      <c r="R1801" s="564" t="str">
        <f t="shared" si="389"/>
        <v xml:space="preserve"> </v>
      </c>
      <c r="S1801" s="572" t="s">
        <v>1929</v>
      </c>
      <c r="T1801" s="609" t="s">
        <v>1133</v>
      </c>
      <c r="U1801" s="741">
        <v>4.08</v>
      </c>
      <c r="V1801" s="586"/>
      <c r="W1801" s="564">
        <f>IF(S1801&lt;&gt;0,VLOOKUP(S1801,VKT!$A$2:$G$415,7,0),"")</f>
        <v>0</v>
      </c>
      <c r="X1801" s="564">
        <f t="shared" si="395"/>
        <v>0</v>
      </c>
      <c r="Y1801" s="650"/>
      <c r="Z1801" s="586"/>
      <c r="AA1801" s="742"/>
      <c r="AB1801" s="586"/>
      <c r="AC1801" s="586"/>
      <c r="AD1801" s="586"/>
      <c r="AE1801" s="586"/>
      <c r="AF1801" s="714"/>
      <c r="AG1801" s="570" t="str">
        <f>IF(AE1801&lt;&gt;0,VLOOKUP(AE1801,ODDS!$A$2:$C$13,3,0),"")</f>
        <v/>
      </c>
      <c r="AH1801" s="570" t="str">
        <f t="shared" si="390"/>
        <v xml:space="preserve"> </v>
      </c>
      <c r="AI1801" s="571" t="str">
        <f t="shared" ref="AI1801:AI1864" si="401">IF(B1801&lt;&gt;0,M1801+N1801+R1801+X1801+AH1801," ")</f>
        <v xml:space="preserve"> </v>
      </c>
      <c r="AJ1801" s="586"/>
      <c r="AK1801" s="586"/>
    </row>
    <row r="1802" spans="1:37" s="394" customFormat="1" ht="20.25" outlineLevel="2" x14ac:dyDescent="0.3">
      <c r="A1802" s="447">
        <f t="shared" si="400"/>
        <v>151</v>
      </c>
      <c r="B1802" s="557"/>
      <c r="C1802" s="572"/>
      <c r="D1802" s="700"/>
      <c r="E1802" s="612"/>
      <c r="F1802" s="612"/>
      <c r="G1802" s="586"/>
      <c r="H1802" s="709"/>
      <c r="I1802" s="546"/>
      <c r="J1802" s="558"/>
      <c r="K1802" s="563" t="str">
        <f>IF(G1802&lt;&gt;0,VLOOKUP(G1802,'gia dat'!$A$1:$F$144,5,0)," ")</f>
        <v xml:space="preserve"> </v>
      </c>
      <c r="L1802" s="563" t="str">
        <f>IF(G1802&lt;&gt;0,VLOOKUP(G1802,'gia dat'!$A$1:$F$144,6,0)," ")</f>
        <v xml:space="preserve"> </v>
      </c>
      <c r="M1802" s="564" t="str">
        <f t="shared" si="391"/>
        <v xml:space="preserve"> </v>
      </c>
      <c r="N1802" s="564" t="str">
        <f t="shared" si="392"/>
        <v xml:space="preserve"> </v>
      </c>
      <c r="O1802" s="572"/>
      <c r="P1802" s="740"/>
      <c r="Q1802" s="564" t="str">
        <f>IF(O1802&lt;&gt;0,VLOOKUP(O1802,'Cây trong'!$A$2:$C$246,3,0)," ")</f>
        <v xml:space="preserve"> </v>
      </c>
      <c r="R1802" s="564" t="str">
        <f t="shared" si="389"/>
        <v xml:space="preserve"> </v>
      </c>
      <c r="S1802" s="566"/>
      <c r="T1802" s="609"/>
      <c r="U1802" s="741"/>
      <c r="V1802" s="586"/>
      <c r="W1802" s="564" t="str">
        <f>IF(S1802&lt;&gt;0,VLOOKUP(S1802,VKT!$A$2:$G$415,7,0),"")</f>
        <v/>
      </c>
      <c r="X1802" s="564" t="str">
        <f t="shared" si="395"/>
        <v xml:space="preserve"> </v>
      </c>
      <c r="Y1802" s="650"/>
      <c r="Z1802" s="586"/>
      <c r="AA1802" s="742"/>
      <c r="AB1802" s="586"/>
      <c r="AC1802" s="586"/>
      <c r="AD1802" s="586"/>
      <c r="AE1802" s="586"/>
      <c r="AF1802" s="714"/>
      <c r="AG1802" s="570" t="str">
        <f>IF(AE1802&lt;&gt;0,VLOOKUP(AE1802,ODDS!$A$2:$C$13,3,0),"")</f>
        <v/>
      </c>
      <c r="AH1802" s="570" t="str">
        <f t="shared" si="390"/>
        <v xml:space="preserve"> </v>
      </c>
      <c r="AI1802" s="571" t="str">
        <f t="shared" si="401"/>
        <v xml:space="preserve"> </v>
      </c>
      <c r="AJ1802" s="572"/>
      <c r="AK1802" s="572"/>
    </row>
    <row r="1803" spans="1:37" s="394" customFormat="1" ht="20.25" outlineLevel="2" x14ac:dyDescent="0.3">
      <c r="A1803" s="447">
        <f t="shared" si="400"/>
        <v>151</v>
      </c>
      <c r="B1803" s="557"/>
      <c r="C1803" s="572"/>
      <c r="D1803" s="700"/>
      <c r="E1803" s="612"/>
      <c r="F1803" s="612"/>
      <c r="G1803" s="586"/>
      <c r="H1803" s="709"/>
      <c r="I1803" s="546"/>
      <c r="J1803" s="558"/>
      <c r="K1803" s="563" t="str">
        <f>IF(G1803&lt;&gt;0,VLOOKUP(G1803,'gia dat'!$A$1:$F$144,5,0)," ")</f>
        <v xml:space="preserve"> </v>
      </c>
      <c r="L1803" s="563" t="str">
        <f>IF(G1803&lt;&gt;0,VLOOKUP(G1803,'gia dat'!$A$1:$F$144,6,0)," ")</f>
        <v xml:space="preserve"> </v>
      </c>
      <c r="M1803" s="564" t="str">
        <f t="shared" si="391"/>
        <v xml:space="preserve"> </v>
      </c>
      <c r="N1803" s="564" t="str">
        <f t="shared" si="392"/>
        <v xml:space="preserve"> </v>
      </c>
      <c r="O1803" s="572"/>
      <c r="P1803" s="740"/>
      <c r="Q1803" s="564" t="str">
        <f>IF(O1803&lt;&gt;0,VLOOKUP(O1803,'Cây trong'!$A$2:$C$246,3,0)," ")</f>
        <v xml:space="preserve"> </v>
      </c>
      <c r="R1803" s="564" t="str">
        <f t="shared" si="389"/>
        <v xml:space="preserve"> </v>
      </c>
      <c r="S1803" s="572"/>
      <c r="T1803" s="609"/>
      <c r="U1803" s="741"/>
      <c r="V1803" s="586"/>
      <c r="W1803" s="564" t="str">
        <f>IF(S1803&lt;&gt;0,VLOOKUP(S1803,VKT!$A$2:$G$415,7,0),"")</f>
        <v/>
      </c>
      <c r="X1803" s="564" t="str">
        <f t="shared" si="395"/>
        <v xml:space="preserve"> </v>
      </c>
      <c r="Y1803" s="650"/>
      <c r="Z1803" s="586"/>
      <c r="AA1803" s="742"/>
      <c r="AB1803" s="586"/>
      <c r="AC1803" s="586"/>
      <c r="AD1803" s="586"/>
      <c r="AE1803" s="586"/>
      <c r="AF1803" s="714"/>
      <c r="AG1803" s="570" t="str">
        <f>IF(AE1803&lt;&gt;0,VLOOKUP(AE1803,ODDS!$A$2:$C$13,3,0),"")</f>
        <v/>
      </c>
      <c r="AH1803" s="570" t="str">
        <f t="shared" si="390"/>
        <v xml:space="preserve"> </v>
      </c>
      <c r="AI1803" s="571" t="str">
        <f t="shared" si="401"/>
        <v xml:space="preserve"> </v>
      </c>
      <c r="AJ1803" s="586"/>
      <c r="AK1803" s="586"/>
    </row>
    <row r="1804" spans="1:37" s="394" customFormat="1" ht="20.25" outlineLevel="2" x14ac:dyDescent="0.3">
      <c r="A1804" s="447">
        <f t="shared" si="400"/>
        <v>151</v>
      </c>
      <c r="B1804" s="557"/>
      <c r="C1804" s="607"/>
      <c r="D1804" s="700"/>
      <c r="E1804" s="612"/>
      <c r="F1804" s="612"/>
      <c r="G1804" s="586"/>
      <c r="H1804" s="709"/>
      <c r="I1804" s="546"/>
      <c r="J1804" s="558"/>
      <c r="K1804" s="563" t="str">
        <f>IF(G1804&lt;&gt;0,VLOOKUP(G1804,'gia dat'!$A$1:$F$144,5,0)," ")</f>
        <v xml:space="preserve"> </v>
      </c>
      <c r="L1804" s="563" t="str">
        <f>IF(G1804&lt;&gt;0,VLOOKUP(G1804,'gia dat'!$A$1:$F$144,6,0)," ")</f>
        <v xml:space="preserve"> </v>
      </c>
      <c r="M1804" s="564" t="str">
        <f t="shared" si="391"/>
        <v xml:space="preserve"> </v>
      </c>
      <c r="N1804" s="564" t="str">
        <f t="shared" si="392"/>
        <v xml:space="preserve"> </v>
      </c>
      <c r="O1804" s="572"/>
      <c r="P1804" s="740"/>
      <c r="Q1804" s="564" t="str">
        <f>IF(O1804&lt;&gt;0,VLOOKUP(O1804,'Cây trong'!$A$2:$C$246,3,0)," ")</f>
        <v xml:space="preserve"> </v>
      </c>
      <c r="R1804" s="564" t="str">
        <f t="shared" si="389"/>
        <v xml:space="preserve"> </v>
      </c>
      <c r="S1804" s="572"/>
      <c r="T1804" s="609"/>
      <c r="U1804" s="741"/>
      <c r="V1804" s="586"/>
      <c r="W1804" s="564" t="str">
        <f>IF(S1804&lt;&gt;0,VLOOKUP(S1804,VKT!$A$2:$G$415,7,0),"")</f>
        <v/>
      </c>
      <c r="X1804" s="564" t="str">
        <f t="shared" si="395"/>
        <v xml:space="preserve"> </v>
      </c>
      <c r="Y1804" s="650"/>
      <c r="Z1804" s="586"/>
      <c r="AA1804" s="742"/>
      <c r="AB1804" s="586"/>
      <c r="AC1804" s="586"/>
      <c r="AD1804" s="586"/>
      <c r="AE1804" s="586"/>
      <c r="AF1804" s="714"/>
      <c r="AG1804" s="570" t="str">
        <f>IF(AE1804&lt;&gt;0,VLOOKUP(AE1804,ODDS!$A$2:$C$13,3,0),"")</f>
        <v/>
      </c>
      <c r="AH1804" s="570" t="str">
        <f t="shared" si="390"/>
        <v xml:space="preserve"> </v>
      </c>
      <c r="AI1804" s="571" t="str">
        <f t="shared" si="401"/>
        <v xml:space="preserve"> </v>
      </c>
      <c r="AJ1804" s="586"/>
      <c r="AK1804" s="586"/>
    </row>
    <row r="1805" spans="1:37" s="394" customFormat="1" ht="20.25" outlineLevel="1" x14ac:dyDescent="0.25">
      <c r="A1805" s="467" t="s">
        <v>2558</v>
      </c>
      <c r="B1805" s="576">
        <v>152</v>
      </c>
      <c r="C1805" s="607" t="s">
        <v>1268</v>
      </c>
      <c r="D1805" s="706"/>
      <c r="E1805" s="642"/>
      <c r="F1805" s="642"/>
      <c r="G1805" s="578"/>
      <c r="H1805" s="707">
        <f>SUBTOTAL(9,H1806:H1823)</f>
        <v>250.3</v>
      </c>
      <c r="I1805" s="579">
        <f>SUBTOTAL(9,I1806:I1811)</f>
        <v>0</v>
      </c>
      <c r="J1805" s="580"/>
      <c r="K1805" s="581"/>
      <c r="L1805" s="581"/>
      <c r="M1805" s="571">
        <f>SUBTOTAL(9,M1806:M1823)</f>
        <v>1817334000</v>
      </c>
      <c r="N1805" s="571">
        <f>SUBTOTAL(9,N1806:N1823)</f>
        <v>0</v>
      </c>
      <c r="O1805" s="607"/>
      <c r="P1805" s="738">
        <f>SUBTOTAL(9,P1806:P1823)</f>
        <v>41</v>
      </c>
      <c r="Q1805" s="571"/>
      <c r="R1805" s="571">
        <f>SUBTOTAL(9,R1806:R1823)</f>
        <v>5388000</v>
      </c>
      <c r="S1805" s="582"/>
      <c r="T1805" s="621"/>
      <c r="U1805" s="739">
        <f>SUBTOTAL(9,U1806:U1823)</f>
        <v>482.52749999999997</v>
      </c>
      <c r="V1805" s="578"/>
      <c r="W1805" s="571"/>
      <c r="X1805" s="571">
        <f>SUBTOTAL(9,X1806:X1823)</f>
        <v>1407724000</v>
      </c>
      <c r="Y1805" s="650"/>
      <c r="Z1805" s="586"/>
      <c r="AA1805" s="742"/>
      <c r="AB1805" s="586"/>
      <c r="AC1805" s="586"/>
      <c r="AD1805" s="586"/>
      <c r="AE1805" s="578"/>
      <c r="AF1805" s="712">
        <f>SUBTOTAL(9,AF1806:AF1823)</f>
        <v>2</v>
      </c>
      <c r="AG1805" s="585"/>
      <c r="AH1805" s="585">
        <f>SUBTOTAL(9,AH1806:AH1823)</f>
        <v>22000000</v>
      </c>
      <c r="AI1805" s="571">
        <f t="shared" si="401"/>
        <v>3252446000</v>
      </c>
      <c r="AJ1805" s="578"/>
      <c r="AK1805" s="578"/>
    </row>
    <row r="1806" spans="1:37" s="394" customFormat="1" ht="121.5" outlineLevel="2" x14ac:dyDescent="0.3">
      <c r="A1806" s="447">
        <f>IF(B1805&lt;&gt;0,B1805,A1804)</f>
        <v>152</v>
      </c>
      <c r="B1806" s="557"/>
      <c r="C1806" s="572" t="s">
        <v>1274</v>
      </c>
      <c r="D1806" s="700">
        <v>2</v>
      </c>
      <c r="E1806" s="612">
        <v>86</v>
      </c>
      <c r="F1806" s="612" t="s">
        <v>1269</v>
      </c>
      <c r="G1806" s="586" t="s">
        <v>2049</v>
      </c>
      <c r="H1806" s="709">
        <v>250.3</v>
      </c>
      <c r="I1806" s="546" t="str">
        <f t="shared" ref="I1806" si="402">IF(N1806&gt;0,H1806,"")</f>
        <v/>
      </c>
      <c r="J1806" s="562"/>
      <c r="K1806" s="563">
        <f>IF(G1806&lt;&gt;0,VLOOKUP(G1806,'gia dat'!$A$1:$F$144,5,0)," ")</f>
        <v>7260624</v>
      </c>
      <c r="L1806" s="563">
        <f>IF(G1806&lt;&gt;0,VLOOKUP(G1806,'gia dat'!$A$1:$F$144,6,0)," ")</f>
        <v>0</v>
      </c>
      <c r="M1806" s="564">
        <f t="shared" si="391"/>
        <v>1817334000</v>
      </c>
      <c r="N1806" s="564">
        <f t="shared" si="392"/>
        <v>0</v>
      </c>
      <c r="O1806" s="572" t="s">
        <v>2142</v>
      </c>
      <c r="P1806" s="740">
        <v>1</v>
      </c>
      <c r="Q1806" s="564">
        <f>IF(O1806&lt;&gt;0,VLOOKUP(O1806,'Cây trong'!$A$2:$C$246,3,0)," ")</f>
        <v>1025000</v>
      </c>
      <c r="R1806" s="564">
        <f t="shared" si="389"/>
        <v>1025000</v>
      </c>
      <c r="S1806" s="566" t="s">
        <v>2376</v>
      </c>
      <c r="T1806" s="609" t="s">
        <v>1133</v>
      </c>
      <c r="U1806" s="741">
        <v>56.62</v>
      </c>
      <c r="V1806" s="586"/>
      <c r="W1806" s="564">
        <f>IF(S1806&lt;&gt;0,VLOOKUP(S1806,VKT!$A$2:$G$415,7,0),"")</f>
        <v>945291</v>
      </c>
      <c r="X1806" s="564">
        <f t="shared" si="395"/>
        <v>53522000</v>
      </c>
      <c r="Y1806" s="650"/>
      <c r="Z1806" s="586"/>
      <c r="AA1806" s="742"/>
      <c r="AB1806" s="586"/>
      <c r="AC1806" s="586"/>
      <c r="AD1806" s="586"/>
      <c r="AE1806" s="586" t="s">
        <v>2137</v>
      </c>
      <c r="AF1806" s="714">
        <v>1</v>
      </c>
      <c r="AG1806" s="570">
        <f>IF(AE1806&lt;&gt;0,VLOOKUP(AE1806,ODDS!$A$2:$C$13,3,0),"")</f>
        <v>5000000</v>
      </c>
      <c r="AH1806" s="570">
        <f t="shared" si="390"/>
        <v>5000000</v>
      </c>
      <c r="AI1806" s="571" t="str">
        <f t="shared" si="401"/>
        <v xml:space="preserve"> </v>
      </c>
      <c r="AJ1806" s="586" t="s">
        <v>1273</v>
      </c>
      <c r="AK1806" s="586" t="s">
        <v>2771</v>
      </c>
    </row>
    <row r="1807" spans="1:37" s="394" customFormat="1" ht="121.5" outlineLevel="2" x14ac:dyDescent="0.3">
      <c r="A1807" s="447">
        <f t="shared" ref="A1807:A1823" si="403">IF(B1806&lt;&gt;0,B1806,A1806)</f>
        <v>152</v>
      </c>
      <c r="B1807" s="557"/>
      <c r="C1807" s="572" t="s">
        <v>1611</v>
      </c>
      <c r="D1807" s="700"/>
      <c r="E1807" s="612"/>
      <c r="F1807" s="612"/>
      <c r="G1807" s="586"/>
      <c r="H1807" s="709"/>
      <c r="I1807" s="546"/>
      <c r="J1807" s="562"/>
      <c r="K1807" s="563" t="str">
        <f>IF(G1807&lt;&gt;0,VLOOKUP(G1807,'gia dat'!$A$1:$F$144,5,0)," ")</f>
        <v xml:space="preserve"> </v>
      </c>
      <c r="L1807" s="563" t="str">
        <f>IF(G1807&lt;&gt;0,VLOOKUP(G1807,'gia dat'!$A$1:$F$144,6,0)," ")</f>
        <v xml:space="preserve"> </v>
      </c>
      <c r="M1807" s="564" t="str">
        <f t="shared" si="391"/>
        <v xml:space="preserve"> </v>
      </c>
      <c r="N1807" s="564" t="str">
        <f t="shared" si="392"/>
        <v xml:space="preserve"> </v>
      </c>
      <c r="O1807" s="572" t="s">
        <v>147</v>
      </c>
      <c r="P1807" s="740">
        <v>2</v>
      </c>
      <c r="Q1807" s="564">
        <f>IF(O1807&lt;&gt;0,VLOOKUP(O1807,'Cây trong'!$A$2:$C$246,3,0)," ")</f>
        <v>979000</v>
      </c>
      <c r="R1807" s="564">
        <f t="shared" si="389"/>
        <v>1958000</v>
      </c>
      <c r="S1807" s="566" t="s">
        <v>2377</v>
      </c>
      <c r="T1807" s="609" t="s">
        <v>1133</v>
      </c>
      <c r="U1807" s="741">
        <v>105.60000000000001</v>
      </c>
      <c r="V1807" s="586"/>
      <c r="W1807" s="564">
        <f>IF(S1807&lt;&gt;0,VLOOKUP(S1807,VKT!$A$2:$G$415,7,0),"")</f>
        <v>890132</v>
      </c>
      <c r="X1807" s="564">
        <f t="shared" si="395"/>
        <v>93998000</v>
      </c>
      <c r="Y1807" s="650"/>
      <c r="Z1807" s="586"/>
      <c r="AA1807" s="742"/>
      <c r="AB1807" s="586"/>
      <c r="AC1807" s="586"/>
      <c r="AD1807" s="586"/>
      <c r="AE1807" s="569"/>
      <c r="AF1807" s="563"/>
      <c r="AG1807" s="570"/>
      <c r="AH1807" s="570"/>
      <c r="AI1807" s="571" t="str">
        <f t="shared" si="401"/>
        <v xml:space="preserve"> </v>
      </c>
      <c r="AJ1807" s="586" t="s">
        <v>1276</v>
      </c>
      <c r="AK1807" s="558" t="s">
        <v>2450</v>
      </c>
    </row>
    <row r="1808" spans="1:37" s="394" customFormat="1" ht="101.25" outlineLevel="2" x14ac:dyDescent="0.3">
      <c r="A1808" s="447">
        <f t="shared" si="403"/>
        <v>152</v>
      </c>
      <c r="B1808" s="557"/>
      <c r="C1808" s="572"/>
      <c r="D1808" s="700"/>
      <c r="E1808" s="612"/>
      <c r="F1808" s="612"/>
      <c r="G1808" s="586"/>
      <c r="H1808" s="709"/>
      <c r="I1808" s="546"/>
      <c r="J1808" s="562"/>
      <c r="K1808" s="563" t="str">
        <f>IF(G1808&lt;&gt;0,VLOOKUP(G1808,'gia dat'!$A$1:$F$144,5,0)," ")</f>
        <v xml:space="preserve"> </v>
      </c>
      <c r="L1808" s="563" t="str">
        <f>IF(G1808&lt;&gt;0,VLOOKUP(G1808,'gia dat'!$A$1:$F$144,6,0)," ")</f>
        <v xml:space="preserve"> </v>
      </c>
      <c r="M1808" s="564" t="str">
        <f t="shared" si="391"/>
        <v xml:space="preserve"> </v>
      </c>
      <c r="N1808" s="564" t="str">
        <f t="shared" si="392"/>
        <v xml:space="preserve"> </v>
      </c>
      <c r="O1808" s="572" t="s">
        <v>178</v>
      </c>
      <c r="P1808" s="740">
        <v>1</v>
      </c>
      <c r="Q1808" s="564">
        <f>IF(O1808&lt;&gt;0,VLOOKUP(O1808,'Cây trong'!$A$2:$C$246,3,0)," ")</f>
        <v>554000</v>
      </c>
      <c r="R1808" s="564">
        <f t="shared" si="389"/>
        <v>554000</v>
      </c>
      <c r="S1808" s="566" t="s">
        <v>1827</v>
      </c>
      <c r="T1808" s="609" t="s">
        <v>1133</v>
      </c>
      <c r="U1808" s="741">
        <v>100.3</v>
      </c>
      <c r="V1808" s="586"/>
      <c r="W1808" s="564">
        <f>IF(S1808&lt;&gt;0,VLOOKUP(S1808,VKT!$A$2:$G$415,7,0),"")</f>
        <v>5469063</v>
      </c>
      <c r="X1808" s="564">
        <f t="shared" si="395"/>
        <v>548547000</v>
      </c>
      <c r="Y1808" s="661" t="s">
        <v>1138</v>
      </c>
      <c r="Z1808" s="683" t="s">
        <v>1139</v>
      </c>
      <c r="AA1808" s="683" t="s">
        <v>56</v>
      </c>
      <c r="AB1808" s="694" t="s">
        <v>269</v>
      </c>
      <c r="AC1808" s="683" t="s">
        <v>1138</v>
      </c>
      <c r="AD1808" s="683"/>
      <c r="AE1808" s="569" t="s">
        <v>2791</v>
      </c>
      <c r="AF1808" s="590">
        <v>1</v>
      </c>
      <c r="AG1808" s="570">
        <f>IF(AE1808&lt;&gt;0,VLOOKUP(AE1808,ODDS!$A$2:$C$13,3,0),"")</f>
        <v>17000000</v>
      </c>
      <c r="AH1808" s="570">
        <f t="shared" si="390"/>
        <v>17000000</v>
      </c>
      <c r="AI1808" s="571" t="str">
        <f t="shared" si="401"/>
        <v xml:space="preserve"> </v>
      </c>
      <c r="AJ1808" s="586" t="s">
        <v>1279</v>
      </c>
      <c r="AK1808" s="558" t="s">
        <v>2449</v>
      </c>
    </row>
    <row r="1809" spans="1:37" s="394" customFormat="1" ht="81" outlineLevel="2" x14ac:dyDescent="0.3">
      <c r="A1809" s="447">
        <f t="shared" si="403"/>
        <v>152</v>
      </c>
      <c r="B1809" s="557"/>
      <c r="C1809" s="572"/>
      <c r="D1809" s="700"/>
      <c r="E1809" s="612"/>
      <c r="F1809" s="612"/>
      <c r="G1809" s="586"/>
      <c r="H1809" s="709"/>
      <c r="I1809" s="546"/>
      <c r="J1809" s="562"/>
      <c r="K1809" s="563" t="str">
        <f>IF(G1809&lt;&gt;0,VLOOKUP(G1809,'gia dat'!$A$1:$F$144,5,0)," ")</f>
        <v xml:space="preserve"> </v>
      </c>
      <c r="L1809" s="563" t="str">
        <f>IF(G1809&lt;&gt;0,VLOOKUP(G1809,'gia dat'!$A$1:$F$144,6,0)," ")</f>
        <v xml:space="preserve"> </v>
      </c>
      <c r="M1809" s="564" t="str">
        <f t="shared" si="391"/>
        <v xml:space="preserve"> </v>
      </c>
      <c r="N1809" s="564" t="str">
        <f t="shared" si="392"/>
        <v xml:space="preserve"> </v>
      </c>
      <c r="O1809" s="572" t="s">
        <v>1278</v>
      </c>
      <c r="P1809" s="740">
        <v>3</v>
      </c>
      <c r="Q1809" s="564">
        <f>IF(O1809&lt;&gt;0,VLOOKUP(O1809,'Cây trong'!$A$2:$C$246,3,0)," ")</f>
        <v>360000</v>
      </c>
      <c r="R1809" s="564">
        <f t="shared" si="389"/>
        <v>1080000</v>
      </c>
      <c r="S1809" s="566" t="s">
        <v>2251</v>
      </c>
      <c r="T1809" s="609" t="s">
        <v>1133</v>
      </c>
      <c r="U1809" s="741">
        <v>49.4</v>
      </c>
      <c r="V1809" s="586"/>
      <c r="W1809" s="564">
        <f>IF(S1809&lt;&gt;0,VLOOKUP(S1809,VKT!$A$2:$G$415,7,0),"")</f>
        <v>5789151</v>
      </c>
      <c r="X1809" s="564">
        <f t="shared" si="395"/>
        <v>285984000</v>
      </c>
      <c r="Y1809" s="661" t="s">
        <v>1138</v>
      </c>
      <c r="Z1809" s="683" t="s">
        <v>1139</v>
      </c>
      <c r="AA1809" s="683" t="s">
        <v>56</v>
      </c>
      <c r="AB1809" s="694" t="s">
        <v>269</v>
      </c>
      <c r="AC1809" s="683" t="s">
        <v>1138</v>
      </c>
      <c r="AD1809" s="683"/>
      <c r="AE1809" s="606"/>
      <c r="AF1809" s="590"/>
      <c r="AG1809" s="570" t="str">
        <f>IF(AE1809&lt;&gt;0,VLOOKUP(AE1809,ODDS!$A$2:$C$13,3,0),"")</f>
        <v/>
      </c>
      <c r="AH1809" s="570" t="str">
        <f t="shared" si="390"/>
        <v xml:space="preserve"> </v>
      </c>
      <c r="AI1809" s="571" t="str">
        <f t="shared" si="401"/>
        <v xml:space="preserve"> </v>
      </c>
      <c r="AJ1809" s="731"/>
      <c r="AK1809" s="558" t="s">
        <v>2447</v>
      </c>
    </row>
    <row r="1810" spans="1:37" s="394" customFormat="1" ht="101.25" outlineLevel="2" x14ac:dyDescent="0.3">
      <c r="A1810" s="447">
        <f t="shared" si="403"/>
        <v>152</v>
      </c>
      <c r="B1810" s="557"/>
      <c r="C1810" s="572"/>
      <c r="D1810" s="700"/>
      <c r="E1810" s="612"/>
      <c r="F1810" s="612"/>
      <c r="G1810" s="586"/>
      <c r="H1810" s="709"/>
      <c r="I1810" s="546"/>
      <c r="J1810" s="562"/>
      <c r="K1810" s="563" t="str">
        <f>IF(G1810&lt;&gt;0,VLOOKUP(G1810,'gia dat'!$A$1:$F$144,5,0)," ")</f>
        <v xml:space="preserve"> </v>
      </c>
      <c r="L1810" s="563" t="str">
        <f>IF(G1810&lt;&gt;0,VLOOKUP(G1810,'gia dat'!$A$1:$F$144,6,0)," ")</f>
        <v xml:space="preserve"> </v>
      </c>
      <c r="M1810" s="564" t="str">
        <f t="shared" si="391"/>
        <v xml:space="preserve"> </v>
      </c>
      <c r="N1810" s="564" t="str">
        <f t="shared" si="392"/>
        <v xml:space="preserve"> </v>
      </c>
      <c r="O1810" s="572" t="s">
        <v>76</v>
      </c>
      <c r="P1810" s="740">
        <v>11</v>
      </c>
      <c r="Q1810" s="564">
        <f>IF(O1810&lt;&gt;0,VLOOKUP(O1810,'Cây trong'!$A$2:$C$246,3,0)," ")</f>
        <v>45000</v>
      </c>
      <c r="R1810" s="564">
        <f t="shared" si="389"/>
        <v>495000</v>
      </c>
      <c r="S1810" s="566" t="s">
        <v>2378</v>
      </c>
      <c r="T1810" s="609" t="s">
        <v>1133</v>
      </c>
      <c r="U1810" s="741">
        <v>11.7</v>
      </c>
      <c r="V1810" s="586"/>
      <c r="W1810" s="564">
        <f>IF(S1810&lt;&gt;0,VLOOKUP(S1810,VKT!$A$2:$G$415,7,0),"")</f>
        <v>9347414</v>
      </c>
      <c r="X1810" s="564">
        <f t="shared" si="395"/>
        <v>109365000</v>
      </c>
      <c r="Y1810" s="650"/>
      <c r="Z1810" s="586"/>
      <c r="AA1810" s="742"/>
      <c r="AB1810" s="586"/>
      <c r="AC1810" s="586"/>
      <c r="AD1810" s="586"/>
      <c r="AE1810" s="586"/>
      <c r="AF1810" s="714"/>
      <c r="AG1810" s="570" t="str">
        <f>IF(AE1810&lt;&gt;0,VLOOKUP(AE1810,ODDS!$A$2:$C$13,3,0),"")</f>
        <v/>
      </c>
      <c r="AH1810" s="570" t="str">
        <f t="shared" si="390"/>
        <v xml:space="preserve"> </v>
      </c>
      <c r="AI1810" s="571" t="str">
        <f t="shared" si="401"/>
        <v xml:space="preserve"> </v>
      </c>
      <c r="AJ1810" s="586"/>
      <c r="AK1810" s="586" t="s">
        <v>2451</v>
      </c>
    </row>
    <row r="1811" spans="1:37" s="394" customFormat="1" ht="101.25" outlineLevel="2" x14ac:dyDescent="0.3">
      <c r="A1811" s="447">
        <f t="shared" si="403"/>
        <v>152</v>
      </c>
      <c r="B1811" s="557"/>
      <c r="C1811" s="572"/>
      <c r="D1811" s="700"/>
      <c r="E1811" s="612"/>
      <c r="F1811" s="612"/>
      <c r="G1811" s="586"/>
      <c r="H1811" s="709"/>
      <c r="I1811" s="546"/>
      <c r="J1811" s="562"/>
      <c r="K1811" s="563" t="str">
        <f>IF(G1811&lt;&gt;0,VLOOKUP(G1811,'gia dat'!$A$1:$F$144,5,0)," ")</f>
        <v xml:space="preserve"> </v>
      </c>
      <c r="L1811" s="563" t="str">
        <f>IF(G1811&lt;&gt;0,VLOOKUP(G1811,'gia dat'!$A$1:$F$144,6,0)," ")</f>
        <v xml:space="preserve"> </v>
      </c>
      <c r="M1811" s="564" t="str">
        <f t="shared" si="391"/>
        <v xml:space="preserve"> </v>
      </c>
      <c r="N1811" s="564" t="str">
        <f t="shared" si="392"/>
        <v xml:space="preserve"> </v>
      </c>
      <c r="O1811" s="565" t="s">
        <v>429</v>
      </c>
      <c r="P1811" s="740">
        <v>23</v>
      </c>
      <c r="Q1811" s="564">
        <f>IF(O1811&lt;&gt;0,VLOOKUP(O1811,'Cây trong'!$A$2:$C$246,3,0)," ")</f>
        <v>12000</v>
      </c>
      <c r="R1811" s="564">
        <f t="shared" si="389"/>
        <v>276000</v>
      </c>
      <c r="S1811" s="566" t="s">
        <v>2379</v>
      </c>
      <c r="T1811" s="609" t="s">
        <v>1133</v>
      </c>
      <c r="U1811" s="741">
        <v>7.4</v>
      </c>
      <c r="V1811" s="586"/>
      <c r="W1811" s="564">
        <f>IF(S1811&lt;&gt;0,VLOOKUP(S1811,VKT!$A$2:$G$415,7,0),"")</f>
        <v>9599897</v>
      </c>
      <c r="X1811" s="564">
        <f t="shared" si="395"/>
        <v>71039000</v>
      </c>
      <c r="Y1811" s="650"/>
      <c r="Z1811" s="586"/>
      <c r="AA1811" s="742"/>
      <c r="AB1811" s="586"/>
      <c r="AC1811" s="586"/>
      <c r="AD1811" s="586"/>
      <c r="AE1811" s="586"/>
      <c r="AF1811" s="714"/>
      <c r="AG1811" s="570" t="str">
        <f>IF(AE1811&lt;&gt;0,VLOOKUP(AE1811,ODDS!$A$2:$C$13,3,0),"")</f>
        <v/>
      </c>
      <c r="AH1811" s="570" t="str">
        <f t="shared" si="390"/>
        <v xml:space="preserve"> </v>
      </c>
      <c r="AI1811" s="571" t="str">
        <f t="shared" si="401"/>
        <v xml:space="preserve"> </v>
      </c>
      <c r="AJ1811" s="586"/>
      <c r="AK1811" s="586" t="s">
        <v>2800</v>
      </c>
    </row>
    <row r="1812" spans="1:37" s="394" customFormat="1" ht="81" outlineLevel="2" x14ac:dyDescent="0.3">
      <c r="A1812" s="447">
        <f t="shared" si="403"/>
        <v>152</v>
      </c>
      <c r="B1812" s="557"/>
      <c r="C1812" s="572"/>
      <c r="D1812" s="700"/>
      <c r="E1812" s="612"/>
      <c r="F1812" s="612"/>
      <c r="G1812" s="586"/>
      <c r="H1812" s="709"/>
      <c r="I1812" s="546"/>
      <c r="J1812" s="562"/>
      <c r="K1812" s="563" t="str">
        <f>IF(G1812&lt;&gt;0,VLOOKUP(G1812,'gia dat'!$A$1:$F$144,5,0)," ")</f>
        <v xml:space="preserve"> </v>
      </c>
      <c r="L1812" s="563" t="str">
        <f>IF(G1812&lt;&gt;0,VLOOKUP(G1812,'gia dat'!$A$1:$F$144,6,0)," ")</f>
        <v xml:space="preserve"> </v>
      </c>
      <c r="M1812" s="564" t="str">
        <f t="shared" si="391"/>
        <v xml:space="preserve"> </v>
      </c>
      <c r="N1812" s="564" t="str">
        <f t="shared" si="392"/>
        <v xml:space="preserve"> </v>
      </c>
      <c r="O1812" s="572"/>
      <c r="P1812" s="740"/>
      <c r="Q1812" s="564" t="str">
        <f>IF(O1812&lt;&gt;0,VLOOKUP(O1812,'Cây trong'!$A$2:$C$246,3,0)," ")</f>
        <v xml:space="preserve"> </v>
      </c>
      <c r="R1812" s="564" t="str">
        <f t="shared" si="389"/>
        <v xml:space="preserve"> </v>
      </c>
      <c r="S1812" s="566" t="s">
        <v>1945</v>
      </c>
      <c r="T1812" s="609" t="s">
        <v>1133</v>
      </c>
      <c r="U1812" s="741">
        <v>30.87</v>
      </c>
      <c r="V1812" s="586"/>
      <c r="W1812" s="564">
        <f>IF(S1812&lt;&gt;0,VLOOKUP(S1812,VKT!$A$2:$G$415,7,0),"")</f>
        <v>770070</v>
      </c>
      <c r="X1812" s="564">
        <f t="shared" si="395"/>
        <v>23772000</v>
      </c>
      <c r="Y1812" s="650"/>
      <c r="Z1812" s="586"/>
      <c r="AA1812" s="742"/>
      <c r="AB1812" s="586"/>
      <c r="AC1812" s="586"/>
      <c r="AD1812" s="586"/>
      <c r="AE1812" s="586"/>
      <c r="AF1812" s="714"/>
      <c r="AG1812" s="570" t="str">
        <f>IF(AE1812&lt;&gt;0,VLOOKUP(AE1812,ODDS!$A$2:$C$13,3,0),"")</f>
        <v/>
      </c>
      <c r="AH1812" s="570" t="str">
        <f t="shared" si="390"/>
        <v xml:space="preserve"> </v>
      </c>
      <c r="AI1812" s="571" t="str">
        <f t="shared" si="401"/>
        <v xml:space="preserve"> </v>
      </c>
      <c r="AJ1812" s="586"/>
      <c r="AK1812" s="586"/>
    </row>
    <row r="1813" spans="1:37" s="394" customFormat="1" ht="81" outlineLevel="2" x14ac:dyDescent="0.3">
      <c r="A1813" s="447">
        <f t="shared" si="403"/>
        <v>152</v>
      </c>
      <c r="B1813" s="557"/>
      <c r="C1813" s="572"/>
      <c r="D1813" s="700"/>
      <c r="E1813" s="612"/>
      <c r="F1813" s="612"/>
      <c r="G1813" s="586"/>
      <c r="H1813" s="709"/>
      <c r="I1813" s="546"/>
      <c r="J1813" s="562"/>
      <c r="K1813" s="563" t="str">
        <f>IF(G1813&lt;&gt;0,VLOOKUP(G1813,'gia dat'!$A$1:$F$144,5,0)," ")</f>
        <v xml:space="preserve"> </v>
      </c>
      <c r="L1813" s="563" t="str">
        <f>IF(G1813&lt;&gt;0,VLOOKUP(G1813,'gia dat'!$A$1:$F$144,6,0)," ")</f>
        <v xml:space="preserve"> </v>
      </c>
      <c r="M1813" s="564" t="str">
        <f t="shared" si="391"/>
        <v xml:space="preserve"> </v>
      </c>
      <c r="N1813" s="564" t="str">
        <f t="shared" si="392"/>
        <v xml:space="preserve"> </v>
      </c>
      <c r="O1813" s="572"/>
      <c r="P1813" s="740"/>
      <c r="Q1813" s="564" t="str">
        <f>IF(O1813&lt;&gt;0,VLOOKUP(O1813,'Cây trong'!$A$2:$C$246,3,0)," ")</f>
        <v xml:space="preserve"> </v>
      </c>
      <c r="R1813" s="564" t="str">
        <f t="shared" ref="R1813:R1901" si="404">IF(O1813&lt;&gt;0,ROUND(P1813*Q1813,-2)," ")</f>
        <v xml:space="preserve"> </v>
      </c>
      <c r="S1813" s="566" t="s">
        <v>1945</v>
      </c>
      <c r="T1813" s="609" t="s">
        <v>1133</v>
      </c>
      <c r="U1813" s="741">
        <v>10.199999999999999</v>
      </c>
      <c r="V1813" s="586"/>
      <c r="W1813" s="564">
        <f>IF(S1813&lt;&gt;0,VLOOKUP(S1813,VKT!$A$2:$G$415,7,0),"")</f>
        <v>770070</v>
      </c>
      <c r="X1813" s="564">
        <f t="shared" si="395"/>
        <v>7855000</v>
      </c>
      <c r="Y1813" s="650"/>
      <c r="Z1813" s="586"/>
      <c r="AA1813" s="742"/>
      <c r="AB1813" s="586"/>
      <c r="AC1813" s="586"/>
      <c r="AD1813" s="586"/>
      <c r="AE1813" s="586"/>
      <c r="AF1813" s="714"/>
      <c r="AG1813" s="570" t="str">
        <f>IF(AE1813&lt;&gt;0,VLOOKUP(AE1813,ODDS!$A$2:$C$13,3,0),"")</f>
        <v/>
      </c>
      <c r="AH1813" s="570" t="str">
        <f t="shared" ref="AH1813:AH1901" si="405">IF(AE1813&lt;&gt;0,ROUND(AF1813*AG1813,-2)," ")</f>
        <v xml:space="preserve"> </v>
      </c>
      <c r="AI1813" s="571" t="str">
        <f t="shared" si="401"/>
        <v xml:space="preserve"> </v>
      </c>
      <c r="AJ1813" s="586"/>
      <c r="AK1813" s="586"/>
    </row>
    <row r="1814" spans="1:37" s="394" customFormat="1" ht="40.5" outlineLevel="2" x14ac:dyDescent="0.3">
      <c r="A1814" s="447">
        <f t="shared" si="403"/>
        <v>152</v>
      </c>
      <c r="B1814" s="557"/>
      <c r="C1814" s="572"/>
      <c r="D1814" s="700"/>
      <c r="E1814" s="612"/>
      <c r="F1814" s="612"/>
      <c r="G1814" s="586"/>
      <c r="H1814" s="709"/>
      <c r="I1814" s="546"/>
      <c r="J1814" s="562"/>
      <c r="K1814" s="563" t="str">
        <f>IF(G1814&lt;&gt;0,VLOOKUP(G1814,'gia dat'!$A$1:$F$144,5,0)," ")</f>
        <v xml:space="preserve"> </v>
      </c>
      <c r="L1814" s="563" t="str">
        <f>IF(G1814&lt;&gt;0,VLOOKUP(G1814,'gia dat'!$A$1:$F$144,6,0)," ")</f>
        <v xml:space="preserve"> </v>
      </c>
      <c r="M1814" s="564" t="str">
        <f t="shared" si="391"/>
        <v xml:space="preserve"> </v>
      </c>
      <c r="N1814" s="564" t="str">
        <f t="shared" si="392"/>
        <v xml:space="preserve"> </v>
      </c>
      <c r="O1814" s="572"/>
      <c r="P1814" s="740"/>
      <c r="Q1814" s="564" t="str">
        <f>IF(O1814&lt;&gt;0,VLOOKUP(O1814,'Cây trong'!$A$2:$C$246,3,0)," ")</f>
        <v xml:space="preserve"> </v>
      </c>
      <c r="R1814" s="564" t="str">
        <f t="shared" si="404"/>
        <v xml:space="preserve"> </v>
      </c>
      <c r="S1814" s="566" t="s">
        <v>1820</v>
      </c>
      <c r="T1814" s="609" t="s">
        <v>1133</v>
      </c>
      <c r="U1814" s="741">
        <v>24.8</v>
      </c>
      <c r="V1814" s="586"/>
      <c r="W1814" s="564">
        <f>IF(S1814&lt;&gt;0,VLOOKUP(S1814,VKT!$A$2:$G$415,7,0),"")</f>
        <v>5307665</v>
      </c>
      <c r="X1814" s="564">
        <f t="shared" si="395"/>
        <v>131630000</v>
      </c>
      <c r="Y1814" s="661" t="s">
        <v>1138</v>
      </c>
      <c r="Z1814" s="683" t="s">
        <v>1139</v>
      </c>
      <c r="AA1814" s="683" t="s">
        <v>56</v>
      </c>
      <c r="AB1814" s="694" t="s">
        <v>269</v>
      </c>
      <c r="AC1814" s="683" t="s">
        <v>1138</v>
      </c>
      <c r="AD1814" s="683"/>
      <c r="AE1814" s="683"/>
      <c r="AF1814" s="590"/>
      <c r="AG1814" s="570" t="str">
        <f>IF(AE1814&lt;&gt;0,VLOOKUP(AE1814,ODDS!$A$2:$C$13,3,0),"")</f>
        <v/>
      </c>
      <c r="AH1814" s="570" t="str">
        <f t="shared" si="405"/>
        <v xml:space="preserve"> </v>
      </c>
      <c r="AI1814" s="571" t="str">
        <f t="shared" si="401"/>
        <v xml:space="preserve"> </v>
      </c>
      <c r="AJ1814" s="586"/>
      <c r="AK1814" s="586"/>
    </row>
    <row r="1815" spans="1:37" s="394" customFormat="1" ht="40.5" outlineLevel="2" x14ac:dyDescent="0.3">
      <c r="A1815" s="447">
        <f t="shared" si="403"/>
        <v>152</v>
      </c>
      <c r="B1815" s="557"/>
      <c r="C1815" s="572"/>
      <c r="D1815" s="700"/>
      <c r="E1815" s="612"/>
      <c r="F1815" s="612"/>
      <c r="G1815" s="586"/>
      <c r="H1815" s="709"/>
      <c r="I1815" s="546"/>
      <c r="J1815" s="562"/>
      <c r="K1815" s="563" t="str">
        <f>IF(G1815&lt;&gt;0,VLOOKUP(G1815,'gia dat'!$A$1:$F$144,5,0)," ")</f>
        <v xml:space="preserve"> </v>
      </c>
      <c r="L1815" s="563" t="str">
        <f>IF(G1815&lt;&gt;0,VLOOKUP(G1815,'gia dat'!$A$1:$F$144,6,0)," ")</f>
        <v xml:space="preserve"> </v>
      </c>
      <c r="M1815" s="564" t="str">
        <f t="shared" si="391"/>
        <v xml:space="preserve"> </v>
      </c>
      <c r="N1815" s="564" t="str">
        <f t="shared" si="392"/>
        <v xml:space="preserve"> </v>
      </c>
      <c r="O1815" s="572"/>
      <c r="P1815" s="740"/>
      <c r="Q1815" s="564" t="str">
        <f>IF(O1815&lt;&gt;0,VLOOKUP(O1815,'Cây trong'!$A$2:$C$246,3,0)," ")</f>
        <v xml:space="preserve"> </v>
      </c>
      <c r="R1815" s="564" t="str">
        <f t="shared" si="404"/>
        <v xml:space="preserve"> </v>
      </c>
      <c r="S1815" s="566" t="s">
        <v>2380</v>
      </c>
      <c r="T1815" s="609" t="s">
        <v>1133</v>
      </c>
      <c r="U1815" s="741">
        <v>30.659999999999997</v>
      </c>
      <c r="V1815" s="586"/>
      <c r="W1815" s="564">
        <f>IF(S1815&lt;&gt;0,VLOOKUP(S1815,VKT!$A$2:$G$415,7,0),"")</f>
        <v>121350</v>
      </c>
      <c r="X1815" s="564">
        <f t="shared" si="395"/>
        <v>3721000</v>
      </c>
      <c r="Y1815" s="650"/>
      <c r="Z1815" s="586"/>
      <c r="AA1815" s="742"/>
      <c r="AB1815" s="586"/>
      <c r="AC1815" s="586"/>
      <c r="AD1815" s="586"/>
      <c r="AE1815" s="586"/>
      <c r="AF1815" s="714"/>
      <c r="AG1815" s="570" t="str">
        <f>IF(AE1815&lt;&gt;0,VLOOKUP(AE1815,ODDS!$A$2:$C$13,3,0),"")</f>
        <v/>
      </c>
      <c r="AH1815" s="570" t="str">
        <f t="shared" si="405"/>
        <v xml:space="preserve"> </v>
      </c>
      <c r="AI1815" s="571" t="str">
        <f t="shared" si="401"/>
        <v xml:space="preserve"> </v>
      </c>
      <c r="AJ1815" s="586"/>
      <c r="AK1815" s="586"/>
    </row>
    <row r="1816" spans="1:37" s="394" customFormat="1" ht="40.5" outlineLevel="2" x14ac:dyDescent="0.3">
      <c r="A1816" s="447">
        <f t="shared" si="403"/>
        <v>152</v>
      </c>
      <c r="B1816" s="557"/>
      <c r="C1816" s="572"/>
      <c r="D1816" s="700"/>
      <c r="E1816" s="612"/>
      <c r="F1816" s="612"/>
      <c r="G1816" s="586"/>
      <c r="H1816" s="709"/>
      <c r="I1816" s="546"/>
      <c r="J1816" s="562"/>
      <c r="K1816" s="563" t="str">
        <f>IF(G1816&lt;&gt;0,VLOOKUP(G1816,'gia dat'!$A$1:$F$144,5,0)," ")</f>
        <v xml:space="preserve"> </v>
      </c>
      <c r="L1816" s="563" t="str">
        <f>IF(G1816&lt;&gt;0,VLOOKUP(G1816,'gia dat'!$A$1:$F$144,6,0)," ")</f>
        <v xml:space="preserve"> </v>
      </c>
      <c r="M1816" s="564" t="str">
        <f t="shared" si="391"/>
        <v xml:space="preserve"> </v>
      </c>
      <c r="N1816" s="564" t="str">
        <f t="shared" si="392"/>
        <v xml:space="preserve"> </v>
      </c>
      <c r="O1816" s="572"/>
      <c r="P1816" s="740"/>
      <c r="Q1816" s="564" t="str">
        <f>IF(O1816&lt;&gt;0,VLOOKUP(O1816,'Cây trong'!$A$2:$C$246,3,0)," ")</f>
        <v xml:space="preserve"> </v>
      </c>
      <c r="R1816" s="564" t="str">
        <f t="shared" si="404"/>
        <v xml:space="preserve"> </v>
      </c>
      <c r="S1816" s="566" t="s">
        <v>2381</v>
      </c>
      <c r="T1816" s="609" t="s">
        <v>1133</v>
      </c>
      <c r="U1816" s="741">
        <v>39.077500000000001</v>
      </c>
      <c r="V1816" s="586"/>
      <c r="W1816" s="564">
        <f>IF(S1816&lt;&gt;0,VLOOKUP(S1816,VKT!$A$2:$G$415,7,0),"")</f>
        <v>275180</v>
      </c>
      <c r="X1816" s="564">
        <f t="shared" si="395"/>
        <v>10753000</v>
      </c>
      <c r="Y1816" s="650"/>
      <c r="Z1816" s="586"/>
      <c r="AA1816" s="742"/>
      <c r="AB1816" s="586"/>
      <c r="AC1816" s="586"/>
      <c r="AD1816" s="586"/>
      <c r="AE1816" s="586"/>
      <c r="AF1816" s="714"/>
      <c r="AG1816" s="570" t="str">
        <f>IF(AE1816&lt;&gt;0,VLOOKUP(AE1816,ODDS!$A$2:$C$13,3,0),"")</f>
        <v/>
      </c>
      <c r="AH1816" s="570" t="str">
        <f t="shared" si="405"/>
        <v xml:space="preserve"> </v>
      </c>
      <c r="AI1816" s="571" t="str">
        <f t="shared" si="401"/>
        <v xml:space="preserve"> </v>
      </c>
      <c r="AJ1816" s="586"/>
      <c r="AK1816" s="586"/>
    </row>
    <row r="1817" spans="1:37" s="394" customFormat="1" ht="60.75" outlineLevel="2" x14ac:dyDescent="0.3">
      <c r="A1817" s="447">
        <f t="shared" si="403"/>
        <v>152</v>
      </c>
      <c r="B1817" s="557"/>
      <c r="C1817" s="572"/>
      <c r="D1817" s="700"/>
      <c r="E1817" s="612"/>
      <c r="F1817" s="612"/>
      <c r="G1817" s="586"/>
      <c r="H1817" s="709"/>
      <c r="I1817" s="546"/>
      <c r="J1817" s="562"/>
      <c r="K1817" s="563" t="str">
        <f>IF(G1817&lt;&gt;0,VLOOKUP(G1817,'gia dat'!$A$1:$F$144,5,0)," ")</f>
        <v xml:space="preserve"> </v>
      </c>
      <c r="L1817" s="563" t="str">
        <f>IF(G1817&lt;&gt;0,VLOOKUP(G1817,'gia dat'!$A$1:$F$144,6,0)," ")</f>
        <v xml:space="preserve"> </v>
      </c>
      <c r="M1817" s="564" t="str">
        <f t="shared" si="391"/>
        <v xml:space="preserve"> </v>
      </c>
      <c r="N1817" s="564" t="str">
        <f t="shared" si="392"/>
        <v xml:space="preserve"> </v>
      </c>
      <c r="O1817" s="572"/>
      <c r="P1817" s="740"/>
      <c r="Q1817" s="564" t="str">
        <f>IF(O1817&lt;&gt;0,VLOOKUP(O1817,'Cây trong'!$A$2:$C$246,3,0)," ")</f>
        <v xml:space="preserve"> </v>
      </c>
      <c r="R1817" s="564" t="str">
        <f t="shared" si="404"/>
        <v xml:space="preserve"> </v>
      </c>
      <c r="S1817" s="566" t="s">
        <v>2382</v>
      </c>
      <c r="T1817" s="609" t="s">
        <v>1133</v>
      </c>
      <c r="U1817" s="741">
        <v>7.8</v>
      </c>
      <c r="V1817" s="586"/>
      <c r="W1817" s="564">
        <f>IF(S1817&lt;&gt;0,VLOOKUP(S1817,VKT!$A$2:$G$415,7,0),"")</f>
        <v>4631321</v>
      </c>
      <c r="X1817" s="564">
        <f t="shared" si="395"/>
        <v>36124000</v>
      </c>
      <c r="Y1817" s="650"/>
      <c r="Z1817" s="586"/>
      <c r="AA1817" s="742"/>
      <c r="AB1817" s="586"/>
      <c r="AC1817" s="586"/>
      <c r="AD1817" s="586"/>
      <c r="AE1817" s="586"/>
      <c r="AF1817" s="714"/>
      <c r="AG1817" s="570" t="str">
        <f>IF(AE1817&lt;&gt;0,VLOOKUP(AE1817,ODDS!$A$2:$C$13,3,0),"")</f>
        <v/>
      </c>
      <c r="AH1817" s="570" t="str">
        <f t="shared" si="405"/>
        <v xml:space="preserve"> </v>
      </c>
      <c r="AI1817" s="571" t="str">
        <f t="shared" si="401"/>
        <v xml:space="preserve"> </v>
      </c>
      <c r="AJ1817" s="586"/>
      <c r="AK1817" s="586"/>
    </row>
    <row r="1818" spans="1:37" s="394" customFormat="1" ht="101.25" outlineLevel="2" x14ac:dyDescent="0.3">
      <c r="A1818" s="447">
        <f t="shared" si="403"/>
        <v>152</v>
      </c>
      <c r="B1818" s="557"/>
      <c r="C1818" s="572"/>
      <c r="D1818" s="700"/>
      <c r="E1818" s="612"/>
      <c r="F1818" s="612"/>
      <c r="G1818" s="586"/>
      <c r="H1818" s="709"/>
      <c r="I1818" s="546"/>
      <c r="J1818" s="562"/>
      <c r="K1818" s="563" t="str">
        <f>IF(G1818&lt;&gt;0,VLOOKUP(G1818,'gia dat'!$A$1:$F$144,5,0)," ")</f>
        <v xml:space="preserve"> </v>
      </c>
      <c r="L1818" s="563" t="str">
        <f>IF(G1818&lt;&gt;0,VLOOKUP(G1818,'gia dat'!$A$1:$F$144,6,0)," ")</f>
        <v xml:space="preserve"> </v>
      </c>
      <c r="M1818" s="564" t="str">
        <f t="shared" si="391"/>
        <v xml:space="preserve"> </v>
      </c>
      <c r="N1818" s="564" t="str">
        <f t="shared" si="392"/>
        <v xml:space="preserve"> </v>
      </c>
      <c r="O1818" s="572"/>
      <c r="P1818" s="740"/>
      <c r="Q1818" s="564" t="str">
        <f>IF(O1818&lt;&gt;0,VLOOKUP(O1818,'Cây trong'!$A$2:$C$246,3,0)," ")</f>
        <v xml:space="preserve"> </v>
      </c>
      <c r="R1818" s="564" t="str">
        <f t="shared" si="404"/>
        <v xml:space="preserve"> </v>
      </c>
      <c r="S1818" s="566" t="s">
        <v>2383</v>
      </c>
      <c r="T1818" s="609" t="s">
        <v>1286</v>
      </c>
      <c r="U1818" s="741">
        <v>8.1</v>
      </c>
      <c r="V1818" s="586"/>
      <c r="W1818" s="564">
        <f>IF(S1818&lt;&gt;0,VLOOKUP(S1818,VKT!$A$2:$G$415,7,0),"")</f>
        <v>3878211</v>
      </c>
      <c r="X1818" s="564">
        <f t="shared" si="395"/>
        <v>31414000</v>
      </c>
      <c r="Y1818" s="650"/>
      <c r="Z1818" s="586"/>
      <c r="AA1818" s="742"/>
      <c r="AB1818" s="586"/>
      <c r="AC1818" s="586"/>
      <c r="AD1818" s="586"/>
      <c r="AE1818" s="586"/>
      <c r="AF1818" s="714"/>
      <c r="AG1818" s="570" t="str">
        <f>IF(AE1818&lt;&gt;0,VLOOKUP(AE1818,ODDS!$A$2:$C$13,3,0),"")</f>
        <v/>
      </c>
      <c r="AH1818" s="570" t="str">
        <f t="shared" si="405"/>
        <v xml:space="preserve"> </v>
      </c>
      <c r="AI1818" s="571" t="str">
        <f t="shared" si="401"/>
        <v xml:space="preserve"> </v>
      </c>
      <c r="AJ1818" s="586"/>
      <c r="AK1818" s="586"/>
    </row>
    <row r="1819" spans="1:37" s="394" customFormat="1" ht="20.25" outlineLevel="2" x14ac:dyDescent="0.3">
      <c r="A1819" s="447">
        <f t="shared" si="403"/>
        <v>152</v>
      </c>
      <c r="B1819" s="557"/>
      <c r="C1819" s="572"/>
      <c r="D1819" s="700"/>
      <c r="E1819" s="612"/>
      <c r="F1819" s="612"/>
      <c r="G1819" s="586"/>
      <c r="H1819" s="709"/>
      <c r="I1819" s="546"/>
      <c r="J1819" s="562"/>
      <c r="K1819" s="563" t="str">
        <f>IF(G1819&lt;&gt;0,VLOOKUP(G1819,'gia dat'!$A$1:$F$144,5,0)," ")</f>
        <v xml:space="preserve"> </v>
      </c>
      <c r="L1819" s="563" t="str">
        <f>IF(G1819&lt;&gt;0,VLOOKUP(G1819,'gia dat'!$A$1:$F$144,6,0)," ")</f>
        <v xml:space="preserve"> </v>
      </c>
      <c r="M1819" s="564" t="str">
        <f t="shared" si="391"/>
        <v xml:space="preserve"> </v>
      </c>
      <c r="N1819" s="564" t="str">
        <f t="shared" si="392"/>
        <v xml:space="preserve"> </v>
      </c>
      <c r="O1819" s="572"/>
      <c r="P1819" s="740"/>
      <c r="Q1819" s="564" t="str">
        <f>IF(O1819&lt;&gt;0,VLOOKUP(O1819,'Cây trong'!$A$2:$C$246,3,0)," ")</f>
        <v xml:space="preserve"> </v>
      </c>
      <c r="R1819" s="564" t="str">
        <f t="shared" si="404"/>
        <v xml:space="preserve"> </v>
      </c>
      <c r="S1819" s="566"/>
      <c r="T1819" s="609"/>
      <c r="U1819" s="741"/>
      <c r="V1819" s="586"/>
      <c r="W1819" s="564" t="str">
        <f>IF(S1819&lt;&gt;0,VLOOKUP(S1819,VKT!$A$2:$G$415,7,0),"")</f>
        <v/>
      </c>
      <c r="X1819" s="564" t="str">
        <f t="shared" si="395"/>
        <v xml:space="preserve"> </v>
      </c>
      <c r="Y1819" s="650"/>
      <c r="Z1819" s="586"/>
      <c r="AA1819" s="742"/>
      <c r="AB1819" s="586"/>
      <c r="AC1819" s="586"/>
      <c r="AD1819" s="586"/>
      <c r="AE1819" s="586"/>
      <c r="AF1819" s="714"/>
      <c r="AG1819" s="570" t="str">
        <f>IF(AE1819&lt;&gt;0,VLOOKUP(AE1819,ODDS!$A$2:$C$13,3,0),"")</f>
        <v/>
      </c>
      <c r="AH1819" s="570" t="str">
        <f t="shared" si="405"/>
        <v xml:space="preserve"> </v>
      </c>
      <c r="AI1819" s="571" t="str">
        <f t="shared" si="401"/>
        <v xml:space="preserve"> </v>
      </c>
      <c r="AJ1819" s="586"/>
      <c r="AK1819" s="586"/>
    </row>
    <row r="1820" spans="1:37" s="394" customFormat="1" ht="20.25" outlineLevel="2" x14ac:dyDescent="0.3">
      <c r="A1820" s="447">
        <f t="shared" si="403"/>
        <v>152</v>
      </c>
      <c r="B1820" s="557"/>
      <c r="C1820" s="572"/>
      <c r="D1820" s="700"/>
      <c r="E1820" s="612"/>
      <c r="F1820" s="612"/>
      <c r="G1820" s="586"/>
      <c r="H1820" s="709"/>
      <c r="I1820" s="546"/>
      <c r="J1820" s="558"/>
      <c r="K1820" s="563" t="str">
        <f>IF(G1820&lt;&gt;0,VLOOKUP(G1820,'gia dat'!$A$1:$F$144,5,0)," ")</f>
        <v xml:space="preserve"> </v>
      </c>
      <c r="L1820" s="563" t="str">
        <f>IF(G1820&lt;&gt;0,VLOOKUP(G1820,'gia dat'!$A$1:$F$144,6,0)," ")</f>
        <v xml:space="preserve"> </v>
      </c>
      <c r="M1820" s="564" t="str">
        <f t="shared" si="391"/>
        <v xml:space="preserve"> </v>
      </c>
      <c r="N1820" s="564" t="str">
        <f t="shared" si="392"/>
        <v xml:space="preserve"> </v>
      </c>
      <c r="O1820" s="572"/>
      <c r="P1820" s="740"/>
      <c r="Q1820" s="564" t="str">
        <f>IF(O1820&lt;&gt;0,VLOOKUP(O1820,'Cây trong'!$A$2:$C$246,3,0)," ")</f>
        <v xml:space="preserve"> </v>
      </c>
      <c r="R1820" s="564" t="str">
        <f t="shared" si="404"/>
        <v xml:space="preserve"> </v>
      </c>
      <c r="S1820" s="572"/>
      <c r="T1820" s="609"/>
      <c r="U1820" s="741"/>
      <c r="V1820" s="586"/>
      <c r="W1820" s="564" t="str">
        <f>IF(S1820&lt;&gt;0,VLOOKUP(S1820,VKT!$A$2:$G$415,7,0),"")</f>
        <v/>
      </c>
      <c r="X1820" s="564" t="str">
        <f t="shared" si="395"/>
        <v xml:space="preserve"> </v>
      </c>
      <c r="Y1820" s="650"/>
      <c r="Z1820" s="586"/>
      <c r="AA1820" s="742"/>
      <c r="AB1820" s="586"/>
      <c r="AC1820" s="586"/>
      <c r="AD1820" s="586"/>
      <c r="AE1820" s="586"/>
      <c r="AF1820" s="714"/>
      <c r="AG1820" s="570" t="str">
        <f>IF(AE1820&lt;&gt;0,VLOOKUP(AE1820,ODDS!$A$2:$C$13,3,0),"")</f>
        <v/>
      </c>
      <c r="AH1820" s="570" t="str">
        <f t="shared" si="405"/>
        <v xml:space="preserve"> </v>
      </c>
      <c r="AI1820" s="571" t="str">
        <f t="shared" si="401"/>
        <v xml:space="preserve"> </v>
      </c>
      <c r="AJ1820" s="586"/>
      <c r="AK1820" s="586"/>
    </row>
    <row r="1821" spans="1:37" s="394" customFormat="1" ht="20.25" outlineLevel="2" x14ac:dyDescent="0.3">
      <c r="A1821" s="447">
        <f t="shared" si="403"/>
        <v>152</v>
      </c>
      <c r="B1821" s="557"/>
      <c r="C1821" s="572"/>
      <c r="D1821" s="700"/>
      <c r="E1821" s="612"/>
      <c r="F1821" s="612"/>
      <c r="G1821" s="586"/>
      <c r="H1821" s="709"/>
      <c r="I1821" s="546"/>
      <c r="J1821" s="558"/>
      <c r="K1821" s="563" t="str">
        <f>IF(G1821&lt;&gt;0,VLOOKUP(G1821,'gia dat'!$A$1:$F$144,5,0)," ")</f>
        <v xml:space="preserve"> </v>
      </c>
      <c r="L1821" s="563" t="str">
        <f>IF(G1821&lt;&gt;0,VLOOKUP(G1821,'gia dat'!$A$1:$F$144,6,0)," ")</f>
        <v xml:space="preserve"> </v>
      </c>
      <c r="M1821" s="564" t="str">
        <f t="shared" si="391"/>
        <v xml:space="preserve"> </v>
      </c>
      <c r="N1821" s="564" t="str">
        <f t="shared" si="392"/>
        <v xml:space="preserve"> </v>
      </c>
      <c r="O1821" s="572"/>
      <c r="P1821" s="740"/>
      <c r="Q1821" s="564" t="str">
        <f>IF(O1821&lt;&gt;0,VLOOKUP(O1821,'Cây trong'!$A$2:$C$246,3,0)," ")</f>
        <v xml:space="preserve"> </v>
      </c>
      <c r="R1821" s="564" t="str">
        <f t="shared" si="404"/>
        <v xml:space="preserve"> </v>
      </c>
      <c r="S1821" s="572"/>
      <c r="T1821" s="609"/>
      <c r="U1821" s="741"/>
      <c r="V1821" s="586"/>
      <c r="W1821" s="564" t="str">
        <f>IF(S1821&lt;&gt;0,VLOOKUP(S1821,VKT!$A$2:$G$415,7,0),"")</f>
        <v/>
      </c>
      <c r="X1821" s="564" t="str">
        <f t="shared" si="395"/>
        <v xml:space="preserve"> </v>
      </c>
      <c r="Y1821" s="650"/>
      <c r="Z1821" s="586"/>
      <c r="AA1821" s="742"/>
      <c r="AB1821" s="586"/>
      <c r="AC1821" s="586"/>
      <c r="AD1821" s="586"/>
      <c r="AE1821" s="586"/>
      <c r="AF1821" s="714"/>
      <c r="AG1821" s="570" t="str">
        <f>IF(AE1821&lt;&gt;0,VLOOKUP(AE1821,ODDS!$A$2:$C$13,3,0),"")</f>
        <v/>
      </c>
      <c r="AH1821" s="570" t="str">
        <f t="shared" si="405"/>
        <v xml:space="preserve"> </v>
      </c>
      <c r="AI1821" s="571" t="str">
        <f t="shared" si="401"/>
        <v xml:space="preserve"> </v>
      </c>
      <c r="AJ1821" s="572"/>
      <c r="AK1821" s="572"/>
    </row>
    <row r="1822" spans="1:37" s="394" customFormat="1" ht="20.25" outlineLevel="2" x14ac:dyDescent="0.3">
      <c r="A1822" s="447">
        <f t="shared" si="403"/>
        <v>152</v>
      </c>
      <c r="B1822" s="557"/>
      <c r="C1822" s="572"/>
      <c r="D1822" s="700"/>
      <c r="E1822" s="612"/>
      <c r="F1822" s="612"/>
      <c r="G1822" s="586"/>
      <c r="H1822" s="709"/>
      <c r="I1822" s="546"/>
      <c r="J1822" s="558"/>
      <c r="K1822" s="563" t="str">
        <f>IF(G1822&lt;&gt;0,VLOOKUP(G1822,'gia dat'!$A$1:$F$144,5,0)," ")</f>
        <v xml:space="preserve"> </v>
      </c>
      <c r="L1822" s="563" t="str">
        <f>IF(G1822&lt;&gt;0,VLOOKUP(G1822,'gia dat'!$A$1:$F$144,6,0)," ")</f>
        <v xml:space="preserve"> </v>
      </c>
      <c r="M1822" s="564" t="str">
        <f t="shared" si="391"/>
        <v xml:space="preserve"> </v>
      </c>
      <c r="N1822" s="564" t="str">
        <f t="shared" si="392"/>
        <v xml:space="preserve"> </v>
      </c>
      <c r="O1822" s="572"/>
      <c r="P1822" s="740"/>
      <c r="Q1822" s="564" t="str">
        <f>IF(O1822&lt;&gt;0,VLOOKUP(O1822,'Cây trong'!$A$2:$C$246,3,0)," ")</f>
        <v xml:space="preserve"> </v>
      </c>
      <c r="R1822" s="564" t="str">
        <f t="shared" si="404"/>
        <v xml:space="preserve"> </v>
      </c>
      <c r="S1822" s="572"/>
      <c r="T1822" s="609"/>
      <c r="U1822" s="741"/>
      <c r="V1822" s="586"/>
      <c r="W1822" s="564" t="str">
        <f>IF(S1822&lt;&gt;0,VLOOKUP(S1822,VKT!$A$2:$G$415,7,0),"")</f>
        <v/>
      </c>
      <c r="X1822" s="564" t="str">
        <f t="shared" si="395"/>
        <v xml:space="preserve"> </v>
      </c>
      <c r="Y1822" s="650"/>
      <c r="Z1822" s="586"/>
      <c r="AA1822" s="742"/>
      <c r="AB1822" s="586"/>
      <c r="AC1822" s="586"/>
      <c r="AD1822" s="586"/>
      <c r="AE1822" s="586"/>
      <c r="AF1822" s="714"/>
      <c r="AG1822" s="570" t="str">
        <f>IF(AE1822&lt;&gt;0,VLOOKUP(AE1822,ODDS!$A$2:$C$13,3,0),"")</f>
        <v/>
      </c>
      <c r="AH1822" s="570" t="str">
        <f t="shared" si="405"/>
        <v xml:space="preserve"> </v>
      </c>
      <c r="AI1822" s="571" t="str">
        <f t="shared" si="401"/>
        <v xml:space="preserve"> </v>
      </c>
      <c r="AJ1822" s="558"/>
      <c r="AK1822" s="558"/>
    </row>
    <row r="1823" spans="1:37" s="394" customFormat="1" ht="20.25" outlineLevel="2" x14ac:dyDescent="0.3">
      <c r="A1823" s="447">
        <f t="shared" si="403"/>
        <v>152</v>
      </c>
      <c r="B1823" s="557"/>
      <c r="C1823" s="607"/>
      <c r="D1823" s="700"/>
      <c r="E1823" s="612"/>
      <c r="F1823" s="612"/>
      <c r="G1823" s="586"/>
      <c r="H1823" s="709"/>
      <c r="I1823" s="546"/>
      <c r="J1823" s="558"/>
      <c r="K1823" s="563" t="str">
        <f>IF(G1823&lt;&gt;0,VLOOKUP(G1823,'gia dat'!$A$1:$F$144,5,0)," ")</f>
        <v xml:space="preserve"> </v>
      </c>
      <c r="L1823" s="563" t="str">
        <f>IF(G1823&lt;&gt;0,VLOOKUP(G1823,'gia dat'!$A$1:$F$144,6,0)," ")</f>
        <v xml:space="preserve"> </v>
      </c>
      <c r="M1823" s="564" t="str">
        <f t="shared" si="391"/>
        <v xml:space="preserve"> </v>
      </c>
      <c r="N1823" s="564" t="str">
        <f t="shared" si="392"/>
        <v xml:space="preserve"> </v>
      </c>
      <c r="O1823" s="572"/>
      <c r="P1823" s="740"/>
      <c r="Q1823" s="564" t="str">
        <f>IF(O1823&lt;&gt;0,VLOOKUP(O1823,'Cây trong'!$A$2:$C$246,3,0)," ")</f>
        <v xml:space="preserve"> </v>
      </c>
      <c r="R1823" s="564" t="str">
        <f t="shared" si="404"/>
        <v xml:space="preserve"> </v>
      </c>
      <c r="S1823" s="572"/>
      <c r="T1823" s="609"/>
      <c r="U1823" s="741"/>
      <c r="V1823" s="586"/>
      <c r="W1823" s="564" t="str">
        <f>IF(S1823&lt;&gt;0,VLOOKUP(S1823,VKT!$A$2:$G$415,7,0),"")</f>
        <v/>
      </c>
      <c r="X1823" s="564" t="str">
        <f t="shared" si="395"/>
        <v xml:space="preserve"> </v>
      </c>
      <c r="Y1823" s="650"/>
      <c r="Z1823" s="586"/>
      <c r="AA1823" s="742"/>
      <c r="AB1823" s="586"/>
      <c r="AC1823" s="586"/>
      <c r="AD1823" s="586"/>
      <c r="AE1823" s="586"/>
      <c r="AF1823" s="714"/>
      <c r="AG1823" s="570" t="str">
        <f>IF(AE1823&lt;&gt;0,VLOOKUP(AE1823,ODDS!$A$2:$C$13,3,0),"")</f>
        <v/>
      </c>
      <c r="AH1823" s="570" t="str">
        <f t="shared" si="405"/>
        <v xml:space="preserve"> </v>
      </c>
      <c r="AI1823" s="571" t="str">
        <f t="shared" si="401"/>
        <v xml:space="preserve"> </v>
      </c>
      <c r="AJ1823" s="586"/>
      <c r="AK1823" s="586"/>
    </row>
    <row r="1824" spans="1:37" s="396" customFormat="1" ht="20.25" outlineLevel="1" x14ac:dyDescent="0.25">
      <c r="A1824" s="467" t="s">
        <v>2557</v>
      </c>
      <c r="B1824" s="576">
        <v>153</v>
      </c>
      <c r="C1824" s="607" t="s">
        <v>1287</v>
      </c>
      <c r="D1824" s="706"/>
      <c r="E1824" s="642"/>
      <c r="F1824" s="642"/>
      <c r="G1824" s="578"/>
      <c r="H1824" s="707">
        <f>SUBTOTAL(9,H1825:H1830)</f>
        <v>14.1</v>
      </c>
      <c r="I1824" s="579">
        <f>SUBTOTAL(9,I1825:I1830)</f>
        <v>0</v>
      </c>
      <c r="J1824" s="580"/>
      <c r="K1824" s="581"/>
      <c r="L1824" s="581"/>
      <c r="M1824" s="571">
        <f>SUBTOTAL(9,M1825:M1830)</f>
        <v>7817000</v>
      </c>
      <c r="N1824" s="571">
        <f>SUBTOTAL(9,N1825:N1830)</f>
        <v>0</v>
      </c>
      <c r="O1824" s="607"/>
      <c r="P1824" s="738">
        <f>SUBTOTAL(9,P1825:P1830)</f>
        <v>1</v>
      </c>
      <c r="Q1824" s="571"/>
      <c r="R1824" s="571">
        <f>SUBTOTAL(9,R1825:R1830)</f>
        <v>0</v>
      </c>
      <c r="S1824" s="582"/>
      <c r="T1824" s="621"/>
      <c r="U1824" s="739">
        <f>SUBTOTAL(9,U1825:U1830)</f>
        <v>0</v>
      </c>
      <c r="V1824" s="578"/>
      <c r="W1824" s="571"/>
      <c r="X1824" s="571">
        <f>SUBTOTAL(9,X1825:X1830)</f>
        <v>0</v>
      </c>
      <c r="Y1824" s="650"/>
      <c r="Z1824" s="586"/>
      <c r="AA1824" s="742"/>
      <c r="AB1824" s="586"/>
      <c r="AC1824" s="586"/>
      <c r="AD1824" s="586"/>
      <c r="AE1824" s="578"/>
      <c r="AF1824" s="712">
        <f>SUBTOTAL(9,AF1825:AF1830)</f>
        <v>0</v>
      </c>
      <c r="AG1824" s="585"/>
      <c r="AH1824" s="585">
        <f>SUBTOTAL(9,AH1825:AH1830)</f>
        <v>0</v>
      </c>
      <c r="AI1824" s="571">
        <f t="shared" si="401"/>
        <v>7817000</v>
      </c>
      <c r="AJ1824" s="578"/>
      <c r="AK1824" s="578"/>
    </row>
    <row r="1825" spans="1:39" s="396" customFormat="1" ht="121.5" outlineLevel="2" x14ac:dyDescent="0.3">
      <c r="A1825" s="447">
        <f>IF(B1824&lt;&gt;0,B1824,A1823)</f>
        <v>153</v>
      </c>
      <c r="B1825" s="557"/>
      <c r="C1825" s="572" t="s">
        <v>1289</v>
      </c>
      <c r="D1825" s="700">
        <v>4</v>
      </c>
      <c r="E1825" s="612">
        <v>86</v>
      </c>
      <c r="F1825" s="612">
        <v>380</v>
      </c>
      <c r="G1825" s="586" t="s">
        <v>2897</v>
      </c>
      <c r="H1825" s="709">
        <f>14.1-H1826</f>
        <v>14.1</v>
      </c>
      <c r="I1825" s="546" t="str">
        <f t="shared" ref="I1825" si="406">IF(N1825&gt;0,H1825,"")</f>
        <v/>
      </c>
      <c r="J1825" s="562"/>
      <c r="K1825" s="563">
        <f>IF(G1825&lt;&gt;0,VLOOKUP(G1825,'gia dat'!$A$1:$F$144,5,0)," ")</f>
        <v>554400</v>
      </c>
      <c r="L1825" s="563">
        <f>IF(G1825&lt;&gt;0,VLOOKUP(G1825,'gia dat'!$A$1:$F$144,6,0)," ")</f>
        <v>0</v>
      </c>
      <c r="M1825" s="564">
        <f t="shared" si="391"/>
        <v>7817000</v>
      </c>
      <c r="N1825" s="564">
        <f t="shared" si="392"/>
        <v>0</v>
      </c>
      <c r="O1825" s="572" t="s">
        <v>1240</v>
      </c>
      <c r="P1825" s="740">
        <v>1</v>
      </c>
      <c r="Q1825" s="564">
        <f>IF(O1825&lt;&gt;0,VLOOKUP(O1825,'Cây trong'!$A$2:$C$246,3,0)," ")</f>
        <v>0</v>
      </c>
      <c r="R1825" s="564">
        <f t="shared" si="404"/>
        <v>0</v>
      </c>
      <c r="S1825" s="566"/>
      <c r="T1825" s="609"/>
      <c r="U1825" s="741"/>
      <c r="V1825" s="586"/>
      <c r="W1825" s="564" t="str">
        <f>IF(S1825&lt;&gt;0,VLOOKUP(S1825,VKT!$A$2:$G$415,7,0),"")</f>
        <v/>
      </c>
      <c r="X1825" s="564" t="str">
        <f t="shared" si="395"/>
        <v xml:space="preserve"> </v>
      </c>
      <c r="Y1825" s="650"/>
      <c r="Z1825" s="586"/>
      <c r="AA1825" s="742"/>
      <c r="AB1825" s="586"/>
      <c r="AC1825" s="586"/>
      <c r="AD1825" s="586"/>
      <c r="AE1825" s="586"/>
      <c r="AF1825" s="714"/>
      <c r="AG1825" s="570" t="str">
        <f>IF(AE1825&lt;&gt;0,VLOOKUP(AE1825,ODDS!$A$2:$C$13,3,0),"")</f>
        <v/>
      </c>
      <c r="AH1825" s="570"/>
      <c r="AI1825" s="571" t="str">
        <f t="shared" si="401"/>
        <v xml:space="preserve"> </v>
      </c>
      <c r="AJ1825" s="586" t="s">
        <v>1288</v>
      </c>
      <c r="AK1825" s="586" t="s">
        <v>2771</v>
      </c>
    </row>
    <row r="1826" spans="1:39" s="394" customFormat="1" ht="101.25" outlineLevel="2" x14ac:dyDescent="0.3">
      <c r="A1826" s="447">
        <f>IF(B1825&lt;&gt;0,B1825,A1825)</f>
        <v>153</v>
      </c>
      <c r="B1826" s="557"/>
      <c r="C1826" s="572" t="s">
        <v>1612</v>
      </c>
      <c r="D1826" s="700"/>
      <c r="E1826" s="612"/>
      <c r="F1826" s="612"/>
      <c r="G1826" s="586"/>
      <c r="H1826" s="709"/>
      <c r="I1826" s="546"/>
      <c r="J1826" s="562"/>
      <c r="K1826" s="563" t="str">
        <f>IF(G1826&lt;&gt;0,VLOOKUP(G1826,'gia dat'!$A$1:$F$144,5,0)," ")</f>
        <v xml:space="preserve"> </v>
      </c>
      <c r="L1826" s="563" t="str">
        <f>IF(G1826&lt;&gt;0,VLOOKUP(G1826,'gia dat'!$A$1:$F$144,6,0)," ")</f>
        <v xml:space="preserve"> </v>
      </c>
      <c r="M1826" s="564" t="str">
        <f t="shared" ref="M1826:M1897" si="407">IF(H1826&lt;&gt;0,ROUND(H1826*K1826,-3)," ")</f>
        <v xml:space="preserve"> </v>
      </c>
      <c r="N1826" s="564" t="str">
        <f t="shared" ref="N1826:N1897" si="408">IF(H1826&lt;&gt;0,ROUND(H1826*L1826,-3)," ")</f>
        <v xml:space="preserve"> </v>
      </c>
      <c r="O1826" s="572"/>
      <c r="P1826" s="740"/>
      <c r="Q1826" s="564" t="str">
        <f>IF(O1826&lt;&gt;0,VLOOKUP(O1826,'Cây trong'!$A$2:$C$246,3,0)," ")</f>
        <v xml:space="preserve"> </v>
      </c>
      <c r="R1826" s="564" t="str">
        <f t="shared" si="404"/>
        <v xml:space="preserve"> </v>
      </c>
      <c r="S1826" s="566"/>
      <c r="T1826" s="609"/>
      <c r="U1826" s="741"/>
      <c r="V1826" s="586"/>
      <c r="W1826" s="564" t="str">
        <f>IF(S1826&lt;&gt;0,VLOOKUP(S1826,VKT!$A$2:$G$415,7,0),"")</f>
        <v/>
      </c>
      <c r="X1826" s="564" t="str">
        <f t="shared" si="395"/>
        <v xml:space="preserve"> </v>
      </c>
      <c r="Y1826" s="650"/>
      <c r="Z1826" s="586"/>
      <c r="AA1826" s="742"/>
      <c r="AB1826" s="586"/>
      <c r="AC1826" s="586"/>
      <c r="AD1826" s="586"/>
      <c r="AE1826" s="586"/>
      <c r="AF1826" s="714"/>
      <c r="AG1826" s="570" t="str">
        <f>IF(AE1826&lt;&gt;0,VLOOKUP(AE1826,ODDS!$A$2:$C$13,3,0),"")</f>
        <v/>
      </c>
      <c r="AH1826" s="570" t="str">
        <f t="shared" si="405"/>
        <v xml:space="preserve"> </v>
      </c>
      <c r="AI1826" s="571" t="str">
        <f t="shared" si="401"/>
        <v xml:space="preserve"> </v>
      </c>
      <c r="AJ1826" s="586" t="s">
        <v>1290</v>
      </c>
      <c r="AK1826" s="558" t="s">
        <v>2449</v>
      </c>
    </row>
    <row r="1827" spans="1:39" s="394" customFormat="1" ht="20.25" outlineLevel="2" x14ac:dyDescent="0.3">
      <c r="A1827" s="447">
        <f>IF(B1826&lt;&gt;0,B1826,A1826)</f>
        <v>153</v>
      </c>
      <c r="B1827" s="557"/>
      <c r="C1827" s="572"/>
      <c r="D1827" s="700"/>
      <c r="E1827" s="612"/>
      <c r="F1827" s="612"/>
      <c r="G1827" s="586"/>
      <c r="H1827" s="709"/>
      <c r="I1827" s="546"/>
      <c r="J1827" s="562"/>
      <c r="K1827" s="563" t="str">
        <f>IF(G1827&lt;&gt;0,VLOOKUP(G1827,'gia dat'!$A$1:$F$144,5,0)," ")</f>
        <v xml:space="preserve"> </v>
      </c>
      <c r="L1827" s="563" t="str">
        <f>IF(G1827&lt;&gt;0,VLOOKUP(G1827,'gia dat'!$A$1:$F$144,6,0)," ")</f>
        <v xml:space="preserve"> </v>
      </c>
      <c r="M1827" s="564" t="str">
        <f t="shared" si="407"/>
        <v xml:space="preserve"> </v>
      </c>
      <c r="N1827" s="564" t="str">
        <f t="shared" si="408"/>
        <v xml:space="preserve"> </v>
      </c>
      <c r="O1827" s="572"/>
      <c r="P1827" s="740"/>
      <c r="Q1827" s="564" t="str">
        <f>IF(O1827&lt;&gt;0,VLOOKUP(O1827,'Cây trong'!$A$2:$C$246,3,0)," ")</f>
        <v xml:space="preserve"> </v>
      </c>
      <c r="R1827" s="564" t="str">
        <f t="shared" si="404"/>
        <v xml:space="preserve"> </v>
      </c>
      <c r="S1827" s="566"/>
      <c r="T1827" s="609"/>
      <c r="U1827" s="741"/>
      <c r="V1827" s="586"/>
      <c r="W1827" s="564" t="str">
        <f>IF(S1827&lt;&gt;0,VLOOKUP(S1827,VKT!$A$2:$G$415,7,0),"")</f>
        <v/>
      </c>
      <c r="X1827" s="564" t="str">
        <f t="shared" si="395"/>
        <v xml:space="preserve"> </v>
      </c>
      <c r="Y1827" s="650"/>
      <c r="Z1827" s="586"/>
      <c r="AA1827" s="742"/>
      <c r="AB1827" s="586"/>
      <c r="AC1827" s="586"/>
      <c r="AD1827" s="586"/>
      <c r="AE1827" s="586"/>
      <c r="AF1827" s="714"/>
      <c r="AG1827" s="570" t="str">
        <f>IF(AE1827&lt;&gt;0,VLOOKUP(AE1827,ODDS!$A$2:$C$13,3,0),"")</f>
        <v/>
      </c>
      <c r="AH1827" s="570" t="str">
        <f t="shared" si="405"/>
        <v xml:space="preserve"> </v>
      </c>
      <c r="AI1827" s="571" t="str">
        <f t="shared" si="401"/>
        <v xml:space="preserve"> </v>
      </c>
      <c r="AJ1827" s="586" t="s">
        <v>1291</v>
      </c>
      <c r="AK1827" s="586"/>
    </row>
    <row r="1828" spans="1:39" s="394" customFormat="1" ht="101.25" outlineLevel="2" x14ac:dyDescent="0.3">
      <c r="A1828" s="447">
        <f>IF(B1827&lt;&gt;0,B1827,A1827)</f>
        <v>153</v>
      </c>
      <c r="B1828" s="557"/>
      <c r="C1828" s="572"/>
      <c r="D1828" s="700"/>
      <c r="E1828" s="612"/>
      <c r="F1828" s="612"/>
      <c r="G1828" s="586"/>
      <c r="H1828" s="709"/>
      <c r="I1828" s="546"/>
      <c r="J1828" s="558"/>
      <c r="K1828" s="563" t="str">
        <f>IF(G1828&lt;&gt;0,VLOOKUP(G1828,'gia dat'!$A$1:$F$144,5,0)," ")</f>
        <v xml:space="preserve"> </v>
      </c>
      <c r="L1828" s="563" t="str">
        <f>IF(G1828&lt;&gt;0,VLOOKUP(G1828,'gia dat'!$A$1:$F$144,6,0)," ")</f>
        <v xml:space="preserve"> </v>
      </c>
      <c r="M1828" s="564" t="str">
        <f t="shared" si="407"/>
        <v xml:space="preserve"> </v>
      </c>
      <c r="N1828" s="564" t="str">
        <f t="shared" si="408"/>
        <v xml:space="preserve"> </v>
      </c>
      <c r="O1828" s="572"/>
      <c r="P1828" s="740"/>
      <c r="Q1828" s="564" t="str">
        <f>IF(O1828&lt;&gt;0,VLOOKUP(O1828,'Cây trong'!$A$2:$C$246,3,0)," ")</f>
        <v xml:space="preserve"> </v>
      </c>
      <c r="R1828" s="564" t="str">
        <f t="shared" si="404"/>
        <v xml:space="preserve"> </v>
      </c>
      <c r="S1828" s="572"/>
      <c r="T1828" s="609"/>
      <c r="U1828" s="741"/>
      <c r="V1828" s="586"/>
      <c r="W1828" s="564" t="str">
        <f>IF(S1828&lt;&gt;0,VLOOKUP(S1828,VKT!$A$2:$G$415,7,0),"")</f>
        <v/>
      </c>
      <c r="X1828" s="564" t="str">
        <f t="shared" si="395"/>
        <v xml:space="preserve"> </v>
      </c>
      <c r="Y1828" s="650"/>
      <c r="Z1828" s="586"/>
      <c r="AA1828" s="742"/>
      <c r="AB1828" s="586"/>
      <c r="AC1828" s="586"/>
      <c r="AD1828" s="586"/>
      <c r="AE1828" s="586"/>
      <c r="AF1828" s="714"/>
      <c r="AG1828" s="570" t="str">
        <f>IF(AE1828&lt;&gt;0,VLOOKUP(AE1828,ODDS!$A$2:$C$13,3,0),"")</f>
        <v/>
      </c>
      <c r="AH1828" s="570" t="str">
        <f t="shared" si="405"/>
        <v xml:space="preserve"> </v>
      </c>
      <c r="AI1828" s="571" t="str">
        <f t="shared" si="401"/>
        <v xml:space="preserve"> </v>
      </c>
      <c r="AJ1828" s="586" t="s">
        <v>2238</v>
      </c>
      <c r="AK1828" s="586"/>
    </row>
    <row r="1829" spans="1:39" s="394" customFormat="1" ht="20.25" outlineLevel="2" x14ac:dyDescent="0.3">
      <c r="A1829" s="447">
        <f>IF(B1828&lt;&gt;0,B1828,A1828)</f>
        <v>153</v>
      </c>
      <c r="B1829" s="557"/>
      <c r="C1829" s="572"/>
      <c r="D1829" s="700"/>
      <c r="E1829" s="612"/>
      <c r="F1829" s="612"/>
      <c r="G1829" s="586"/>
      <c r="H1829" s="709"/>
      <c r="I1829" s="546"/>
      <c r="J1829" s="558"/>
      <c r="K1829" s="563" t="str">
        <f>IF(G1829&lt;&gt;0,VLOOKUP(G1829,'gia dat'!$A$1:$F$144,5,0)," ")</f>
        <v xml:space="preserve"> </v>
      </c>
      <c r="L1829" s="563" t="str">
        <f>IF(G1829&lt;&gt;0,VLOOKUP(G1829,'gia dat'!$A$1:$F$144,6,0)," ")</f>
        <v xml:space="preserve"> </v>
      </c>
      <c r="M1829" s="564" t="str">
        <f t="shared" si="407"/>
        <v xml:space="preserve"> </v>
      </c>
      <c r="N1829" s="564" t="str">
        <f t="shared" si="408"/>
        <v xml:space="preserve"> </v>
      </c>
      <c r="O1829" s="572"/>
      <c r="P1829" s="740"/>
      <c r="Q1829" s="564" t="str">
        <f>IF(O1829&lt;&gt;0,VLOOKUP(O1829,'Cây trong'!$A$2:$C$246,3,0)," ")</f>
        <v xml:space="preserve"> </v>
      </c>
      <c r="R1829" s="564" t="str">
        <f t="shared" si="404"/>
        <v xml:space="preserve"> </v>
      </c>
      <c r="S1829" s="572"/>
      <c r="T1829" s="609"/>
      <c r="U1829" s="741"/>
      <c r="V1829" s="586"/>
      <c r="W1829" s="564" t="str">
        <f>IF(S1829&lt;&gt;0,VLOOKUP(S1829,VKT!$A$2:$G$415,7,0),"")</f>
        <v/>
      </c>
      <c r="X1829" s="564" t="str">
        <f t="shared" si="395"/>
        <v xml:space="preserve"> </v>
      </c>
      <c r="Y1829" s="650"/>
      <c r="Z1829" s="586"/>
      <c r="AA1829" s="742"/>
      <c r="AB1829" s="586"/>
      <c r="AC1829" s="586"/>
      <c r="AD1829" s="586"/>
      <c r="AE1829" s="586"/>
      <c r="AF1829" s="714"/>
      <c r="AG1829" s="570" t="str">
        <f>IF(AE1829&lt;&gt;0,VLOOKUP(AE1829,ODDS!$A$2:$C$13,3,0),"")</f>
        <v/>
      </c>
      <c r="AH1829" s="570" t="str">
        <f t="shared" si="405"/>
        <v xml:space="preserve"> </v>
      </c>
      <c r="AI1829" s="571" t="str">
        <f t="shared" si="401"/>
        <v xml:space="preserve"> </v>
      </c>
      <c r="AJ1829" s="558"/>
      <c r="AK1829" s="558"/>
    </row>
    <row r="1830" spans="1:39" s="394" customFormat="1" ht="20.25" outlineLevel="2" x14ac:dyDescent="0.3">
      <c r="A1830" s="447">
        <f>IF(B1829&lt;&gt;0,B1829,A1829)</f>
        <v>153</v>
      </c>
      <c r="B1830" s="557"/>
      <c r="C1830" s="607"/>
      <c r="D1830" s="700"/>
      <c r="E1830" s="612"/>
      <c r="F1830" s="612"/>
      <c r="G1830" s="586"/>
      <c r="H1830" s="709"/>
      <c r="I1830" s="546"/>
      <c r="J1830" s="558"/>
      <c r="K1830" s="563" t="str">
        <f>IF(G1830&lt;&gt;0,VLOOKUP(G1830,'gia dat'!$A$1:$F$144,5,0)," ")</f>
        <v xml:space="preserve"> </v>
      </c>
      <c r="L1830" s="563" t="str">
        <f>IF(G1830&lt;&gt;0,VLOOKUP(G1830,'gia dat'!$A$1:$F$144,6,0)," ")</f>
        <v xml:space="preserve"> </v>
      </c>
      <c r="M1830" s="564" t="str">
        <f t="shared" si="407"/>
        <v xml:space="preserve"> </v>
      </c>
      <c r="N1830" s="564" t="str">
        <f t="shared" si="408"/>
        <v xml:space="preserve"> </v>
      </c>
      <c r="O1830" s="572"/>
      <c r="P1830" s="740"/>
      <c r="Q1830" s="564" t="str">
        <f>IF(O1830&lt;&gt;0,VLOOKUP(O1830,'Cây trong'!$A$2:$C$246,3,0)," ")</f>
        <v xml:space="preserve"> </v>
      </c>
      <c r="R1830" s="564" t="str">
        <f t="shared" si="404"/>
        <v xml:space="preserve"> </v>
      </c>
      <c r="S1830" s="572"/>
      <c r="T1830" s="609"/>
      <c r="U1830" s="741"/>
      <c r="V1830" s="586"/>
      <c r="W1830" s="564" t="str">
        <f>IF(S1830&lt;&gt;0,VLOOKUP(S1830,VKT!$A$2:$G$415,7,0),"")</f>
        <v/>
      </c>
      <c r="X1830" s="564" t="str">
        <f t="shared" si="395"/>
        <v xml:space="preserve"> </v>
      </c>
      <c r="Y1830" s="650"/>
      <c r="Z1830" s="586"/>
      <c r="AA1830" s="742"/>
      <c r="AB1830" s="586"/>
      <c r="AC1830" s="586"/>
      <c r="AD1830" s="586"/>
      <c r="AE1830" s="586"/>
      <c r="AF1830" s="714"/>
      <c r="AG1830" s="570" t="str">
        <f>IF(AE1830&lt;&gt;0,VLOOKUP(AE1830,ODDS!$A$2:$C$13,3,0),"")</f>
        <v/>
      </c>
      <c r="AH1830" s="570" t="str">
        <f t="shared" si="405"/>
        <v xml:space="preserve"> </v>
      </c>
      <c r="AI1830" s="571" t="str">
        <f t="shared" si="401"/>
        <v xml:space="preserve"> </v>
      </c>
      <c r="AJ1830" s="586"/>
      <c r="AK1830" s="586"/>
    </row>
    <row r="1831" spans="1:39" s="394" customFormat="1" ht="40.5" outlineLevel="1" x14ac:dyDescent="0.25">
      <c r="A1831" s="467" t="s">
        <v>2556</v>
      </c>
      <c r="B1831" s="576">
        <v>154</v>
      </c>
      <c r="C1831" s="607" t="s">
        <v>1292</v>
      </c>
      <c r="D1831" s="706"/>
      <c r="E1831" s="642"/>
      <c r="F1831" s="642"/>
      <c r="G1831" s="578"/>
      <c r="H1831" s="707">
        <f>SUBTOTAL(9,H1832:H1838)</f>
        <v>14.3</v>
      </c>
      <c r="I1831" s="579">
        <f>SUBTOTAL(9,I1832:I1837)</f>
        <v>0</v>
      </c>
      <c r="J1831" s="580"/>
      <c r="K1831" s="581"/>
      <c r="L1831" s="581"/>
      <c r="M1831" s="571">
        <f>SUBTOTAL(9,M1832:M1838)</f>
        <v>103827000</v>
      </c>
      <c r="N1831" s="571">
        <f>SUBTOTAL(9,N1832:N1838)</f>
        <v>0</v>
      </c>
      <c r="O1831" s="607"/>
      <c r="P1831" s="738">
        <f>SUBTOTAL(9,P1832:P1838)</f>
        <v>22</v>
      </c>
      <c r="Q1831" s="571"/>
      <c r="R1831" s="571">
        <f>SUBTOTAL(9,R1832:R1838)</f>
        <v>1424000</v>
      </c>
      <c r="S1831" s="582"/>
      <c r="T1831" s="621"/>
      <c r="U1831" s="739">
        <f>SUBTOTAL(9,U1832:U1838)</f>
        <v>22</v>
      </c>
      <c r="V1831" s="578"/>
      <c r="W1831" s="571"/>
      <c r="X1831" s="571">
        <f>SUBTOTAL(9,X1832:X1838)</f>
        <v>13762000</v>
      </c>
      <c r="Y1831" s="650"/>
      <c r="Z1831" s="586"/>
      <c r="AA1831" s="742"/>
      <c r="AB1831" s="586"/>
      <c r="AC1831" s="586"/>
      <c r="AD1831" s="586"/>
      <c r="AE1831" s="578"/>
      <c r="AF1831" s="712">
        <f>SUBTOTAL(9,AF1832:AF1838)</f>
        <v>0</v>
      </c>
      <c r="AG1831" s="585"/>
      <c r="AH1831" s="585">
        <f>SUBTOTAL(9,AH1832:AH1838)</f>
        <v>0</v>
      </c>
      <c r="AI1831" s="571">
        <f t="shared" si="401"/>
        <v>119013000</v>
      </c>
      <c r="AJ1831" s="578"/>
      <c r="AK1831" s="578"/>
      <c r="AM1831" s="471"/>
    </row>
    <row r="1832" spans="1:39" s="394" customFormat="1" ht="141.75" outlineLevel="2" x14ac:dyDescent="0.3">
      <c r="A1832" s="447">
        <f>IF(B1831&lt;&gt;0,B1831,A1830)</f>
        <v>154</v>
      </c>
      <c r="B1832" s="557"/>
      <c r="C1832" s="572" t="s">
        <v>1295</v>
      </c>
      <c r="D1832" s="700">
        <v>1</v>
      </c>
      <c r="E1832" s="612">
        <v>86</v>
      </c>
      <c r="F1832" s="612">
        <v>393</v>
      </c>
      <c r="G1832" s="586" t="s">
        <v>2049</v>
      </c>
      <c r="H1832" s="709">
        <v>14.3</v>
      </c>
      <c r="I1832" s="546" t="str">
        <f t="shared" ref="I1832" si="409">IF(N1832&gt;0,H1832,"")</f>
        <v/>
      </c>
      <c r="J1832" s="562"/>
      <c r="K1832" s="563">
        <f>IF(G1832&lt;&gt;0,VLOOKUP(G1832,'gia dat'!$A$1:$F$144,5,0)," ")</f>
        <v>7260624</v>
      </c>
      <c r="L1832" s="563">
        <f>IF(G1832&lt;&gt;0,VLOOKUP(G1832,'gia dat'!$A$1:$F$144,6,0)," ")</f>
        <v>0</v>
      </c>
      <c r="M1832" s="564">
        <f t="shared" si="407"/>
        <v>103827000</v>
      </c>
      <c r="N1832" s="564">
        <f t="shared" si="408"/>
        <v>0</v>
      </c>
      <c r="O1832" s="572" t="s">
        <v>72</v>
      </c>
      <c r="P1832" s="740">
        <v>5</v>
      </c>
      <c r="Q1832" s="564">
        <f>IF(O1832&lt;&gt;0,VLOOKUP(O1832,'Cây trong'!$A$2:$C$246,3,0)," ")</f>
        <v>132000</v>
      </c>
      <c r="R1832" s="564">
        <f t="shared" si="404"/>
        <v>660000</v>
      </c>
      <c r="S1832" s="566" t="s">
        <v>2384</v>
      </c>
      <c r="T1832" s="609" t="s">
        <v>1133</v>
      </c>
      <c r="U1832" s="741">
        <v>22</v>
      </c>
      <c r="V1832" s="586"/>
      <c r="W1832" s="564">
        <f>IF(S1832&lt;&gt;0,VLOOKUP(S1832,VKT!$A$2:$G$415,7,0),"")</f>
        <v>625568</v>
      </c>
      <c r="X1832" s="564">
        <f t="shared" si="395"/>
        <v>13762000</v>
      </c>
      <c r="Y1832" s="650"/>
      <c r="Z1832" s="586"/>
      <c r="AA1832" s="742"/>
      <c r="AB1832" s="586"/>
      <c r="AC1832" s="586"/>
      <c r="AD1832" s="586"/>
      <c r="AE1832" s="586"/>
      <c r="AF1832" s="714"/>
      <c r="AG1832" s="570" t="str">
        <f>IF(AE1832&lt;&gt;0,VLOOKUP(AE1832,ODDS!$A$2:$C$13,3,0),"")</f>
        <v/>
      </c>
      <c r="AH1832" s="570"/>
      <c r="AI1832" s="571" t="str">
        <f t="shared" si="401"/>
        <v xml:space="preserve"> </v>
      </c>
      <c r="AJ1832" s="586" t="s">
        <v>1294</v>
      </c>
      <c r="AK1832" s="586" t="s">
        <v>2771</v>
      </c>
      <c r="AM1832" s="182" t="s">
        <v>2162</v>
      </c>
    </row>
    <row r="1833" spans="1:39" s="394" customFormat="1" ht="121.5" outlineLevel="2" x14ac:dyDescent="0.3">
      <c r="A1833" s="447">
        <f t="shared" ref="A1833:A1838" si="410">IF(B1832&lt;&gt;0,B1832,A1832)</f>
        <v>154</v>
      </c>
      <c r="B1833" s="557"/>
      <c r="C1833" s="572" t="s">
        <v>1613</v>
      </c>
      <c r="D1833" s="700"/>
      <c r="E1833" s="612"/>
      <c r="F1833" s="612"/>
      <c r="G1833" s="586"/>
      <c r="H1833" s="709"/>
      <c r="I1833" s="546"/>
      <c r="J1833" s="562"/>
      <c r="K1833" s="563" t="str">
        <f>IF(G1833&lt;&gt;0,VLOOKUP(G1833,'gia dat'!$A$1:$F$144,5,0)," ")</f>
        <v xml:space="preserve"> </v>
      </c>
      <c r="L1833" s="563" t="str">
        <f>IF(G1833&lt;&gt;0,VLOOKUP(G1833,'gia dat'!$A$1:$F$144,6,0)," ")</f>
        <v xml:space="preserve"> </v>
      </c>
      <c r="M1833" s="564" t="str">
        <f t="shared" si="407"/>
        <v xml:space="preserve"> </v>
      </c>
      <c r="N1833" s="564" t="str">
        <f t="shared" si="408"/>
        <v xml:space="preserve"> </v>
      </c>
      <c r="O1833" s="572" t="s">
        <v>73</v>
      </c>
      <c r="P1833" s="740">
        <v>6</v>
      </c>
      <c r="Q1833" s="564">
        <f>IF(O1833&lt;&gt;0,VLOOKUP(O1833,'Cây trong'!$A$2:$C$246,3,0)," ")</f>
        <v>76000</v>
      </c>
      <c r="R1833" s="564">
        <f t="shared" si="404"/>
        <v>456000</v>
      </c>
      <c r="S1833" s="566"/>
      <c r="T1833" s="609"/>
      <c r="U1833" s="741"/>
      <c r="V1833" s="586"/>
      <c r="W1833" s="564" t="str">
        <f>IF(S1833&lt;&gt;0,VLOOKUP(S1833,VKT!$A$2:$G$415,7,0),"")</f>
        <v/>
      </c>
      <c r="X1833" s="564" t="str">
        <f t="shared" si="395"/>
        <v xml:space="preserve"> </v>
      </c>
      <c r="Y1833" s="650"/>
      <c r="Z1833" s="586"/>
      <c r="AA1833" s="742"/>
      <c r="AB1833" s="586"/>
      <c r="AC1833" s="586"/>
      <c r="AD1833" s="586"/>
      <c r="AE1833" s="586"/>
      <c r="AF1833" s="714"/>
      <c r="AG1833" s="570" t="str">
        <f>IF(AE1833&lt;&gt;0,VLOOKUP(AE1833,ODDS!$A$2:$C$13,3,0),"")</f>
        <v/>
      </c>
      <c r="AH1833" s="570" t="str">
        <f t="shared" si="405"/>
        <v xml:space="preserve"> </v>
      </c>
      <c r="AI1833" s="571" t="str">
        <f t="shared" si="401"/>
        <v xml:space="preserve"> </v>
      </c>
      <c r="AJ1833" s="586" t="s">
        <v>1296</v>
      </c>
      <c r="AK1833" s="558" t="s">
        <v>2450</v>
      </c>
    </row>
    <row r="1834" spans="1:39" s="394" customFormat="1" ht="101.25" outlineLevel="2" x14ac:dyDescent="0.3">
      <c r="A1834" s="447">
        <f t="shared" si="410"/>
        <v>154</v>
      </c>
      <c r="B1834" s="557"/>
      <c r="C1834" s="572"/>
      <c r="D1834" s="700"/>
      <c r="E1834" s="612"/>
      <c r="F1834" s="612"/>
      <c r="G1834" s="586"/>
      <c r="H1834" s="709"/>
      <c r="I1834" s="546"/>
      <c r="J1834" s="562"/>
      <c r="K1834" s="563" t="str">
        <f>IF(G1834&lt;&gt;0,VLOOKUP(G1834,'gia dat'!$A$1:$F$144,5,0)," ")</f>
        <v xml:space="preserve"> </v>
      </c>
      <c r="L1834" s="563" t="str">
        <f>IF(G1834&lt;&gt;0,VLOOKUP(G1834,'gia dat'!$A$1:$F$144,6,0)," ")</f>
        <v xml:space="preserve"> </v>
      </c>
      <c r="M1834" s="564" t="str">
        <f t="shared" si="407"/>
        <v xml:space="preserve"> </v>
      </c>
      <c r="N1834" s="564" t="str">
        <f t="shared" si="408"/>
        <v xml:space="preserve"> </v>
      </c>
      <c r="O1834" s="572" t="s">
        <v>75</v>
      </c>
      <c r="P1834" s="740">
        <v>8</v>
      </c>
      <c r="Q1834" s="564">
        <f>IF(O1834&lt;&gt;0,VLOOKUP(O1834,'Cây trong'!$A$2:$C$246,3,0)," ")</f>
        <v>34000</v>
      </c>
      <c r="R1834" s="564">
        <f t="shared" si="404"/>
        <v>272000</v>
      </c>
      <c r="S1834" s="566"/>
      <c r="T1834" s="609"/>
      <c r="U1834" s="741"/>
      <c r="V1834" s="586"/>
      <c r="W1834" s="564" t="str">
        <f>IF(S1834&lt;&gt;0,VLOOKUP(S1834,VKT!$A$2:$G$415,7,0),"")</f>
        <v/>
      </c>
      <c r="X1834" s="564" t="str">
        <f t="shared" si="395"/>
        <v xml:space="preserve"> </v>
      </c>
      <c r="Y1834" s="650"/>
      <c r="Z1834" s="586"/>
      <c r="AA1834" s="742"/>
      <c r="AB1834" s="586"/>
      <c r="AC1834" s="586"/>
      <c r="AD1834" s="586"/>
      <c r="AE1834" s="586"/>
      <c r="AF1834" s="714"/>
      <c r="AG1834" s="570" t="str">
        <f>IF(AE1834&lt;&gt;0,VLOOKUP(AE1834,ODDS!$A$2:$C$13,3,0),"")</f>
        <v/>
      </c>
      <c r="AH1834" s="570" t="str">
        <f t="shared" si="405"/>
        <v xml:space="preserve"> </v>
      </c>
      <c r="AI1834" s="571" t="str">
        <f t="shared" si="401"/>
        <v xml:space="preserve"> </v>
      </c>
      <c r="AJ1834" s="586" t="s">
        <v>1297</v>
      </c>
      <c r="AK1834" s="558" t="s">
        <v>2449</v>
      </c>
    </row>
    <row r="1835" spans="1:39" s="394" customFormat="1" ht="60.75" outlineLevel="2" x14ac:dyDescent="0.3">
      <c r="A1835" s="447">
        <f t="shared" si="410"/>
        <v>154</v>
      </c>
      <c r="B1835" s="557"/>
      <c r="C1835" s="572"/>
      <c r="D1835" s="700"/>
      <c r="E1835" s="612"/>
      <c r="F1835" s="612"/>
      <c r="G1835" s="586"/>
      <c r="H1835" s="709"/>
      <c r="I1835" s="546"/>
      <c r="J1835" s="558"/>
      <c r="K1835" s="563" t="str">
        <f>IF(G1835&lt;&gt;0,VLOOKUP(G1835,'gia dat'!$A$1:$F$144,5,0)," ")</f>
        <v xml:space="preserve"> </v>
      </c>
      <c r="L1835" s="563" t="str">
        <f>IF(G1835&lt;&gt;0,VLOOKUP(G1835,'gia dat'!$A$1:$F$144,6,0)," ")</f>
        <v xml:space="preserve"> </v>
      </c>
      <c r="M1835" s="564" t="str">
        <f t="shared" si="407"/>
        <v xml:space="preserve"> </v>
      </c>
      <c r="N1835" s="564" t="str">
        <f t="shared" si="408"/>
        <v xml:space="preserve"> </v>
      </c>
      <c r="O1835" s="565" t="s">
        <v>429</v>
      </c>
      <c r="P1835" s="740">
        <v>3</v>
      </c>
      <c r="Q1835" s="564">
        <f>IF(O1835&lt;&gt;0,VLOOKUP(O1835,'Cây trong'!$A$2:$C$246,3,0)," ")</f>
        <v>12000</v>
      </c>
      <c r="R1835" s="564">
        <f t="shared" si="404"/>
        <v>36000</v>
      </c>
      <c r="S1835" s="572"/>
      <c r="T1835" s="609"/>
      <c r="U1835" s="741"/>
      <c r="V1835" s="586"/>
      <c r="W1835" s="564" t="str">
        <f>IF(S1835&lt;&gt;0,VLOOKUP(S1835,VKT!$A$2:$G$415,7,0),"")</f>
        <v/>
      </c>
      <c r="X1835" s="564" t="str">
        <f t="shared" si="395"/>
        <v xml:space="preserve"> </v>
      </c>
      <c r="Y1835" s="650"/>
      <c r="Z1835" s="586"/>
      <c r="AA1835" s="742"/>
      <c r="AB1835" s="586"/>
      <c r="AC1835" s="586"/>
      <c r="AD1835" s="586"/>
      <c r="AE1835" s="586"/>
      <c r="AF1835" s="714"/>
      <c r="AG1835" s="570" t="str">
        <f>IF(AE1835&lt;&gt;0,VLOOKUP(AE1835,ODDS!$A$2:$C$13,3,0),"")</f>
        <v/>
      </c>
      <c r="AH1835" s="570" t="str">
        <f t="shared" si="405"/>
        <v xml:space="preserve"> </v>
      </c>
      <c r="AI1835" s="571" t="str">
        <f t="shared" si="401"/>
        <v xml:space="preserve"> </v>
      </c>
      <c r="AJ1835" s="731"/>
      <c r="AK1835" s="586"/>
    </row>
    <row r="1836" spans="1:39" s="394" customFormat="1" ht="20.25" outlineLevel="2" x14ac:dyDescent="0.3">
      <c r="A1836" s="447">
        <f t="shared" si="410"/>
        <v>154</v>
      </c>
      <c r="B1836" s="557"/>
      <c r="C1836" s="572"/>
      <c r="D1836" s="700"/>
      <c r="E1836" s="612"/>
      <c r="F1836" s="612"/>
      <c r="G1836" s="586"/>
      <c r="H1836" s="709"/>
      <c r="I1836" s="546"/>
      <c r="J1836" s="558"/>
      <c r="K1836" s="563" t="str">
        <f>IF(G1836&lt;&gt;0,VLOOKUP(G1836,'gia dat'!$A$1:$F$144,5,0)," ")</f>
        <v xml:space="preserve"> </v>
      </c>
      <c r="L1836" s="563" t="str">
        <f>IF(G1836&lt;&gt;0,VLOOKUP(G1836,'gia dat'!$A$1:$F$144,6,0)," ")</f>
        <v xml:space="preserve"> </v>
      </c>
      <c r="M1836" s="564" t="str">
        <f t="shared" si="407"/>
        <v xml:space="preserve"> </v>
      </c>
      <c r="N1836" s="564" t="str">
        <f t="shared" si="408"/>
        <v xml:space="preserve"> </v>
      </c>
      <c r="O1836" s="572"/>
      <c r="P1836" s="740"/>
      <c r="Q1836" s="564" t="str">
        <f>IF(O1836&lt;&gt;0,VLOOKUP(O1836,'Cây trong'!$A$2:$C$246,3,0)," ")</f>
        <v xml:space="preserve"> </v>
      </c>
      <c r="R1836" s="564" t="str">
        <f t="shared" si="404"/>
        <v xml:space="preserve"> </v>
      </c>
      <c r="S1836" s="572"/>
      <c r="T1836" s="609"/>
      <c r="U1836" s="741"/>
      <c r="V1836" s="586"/>
      <c r="W1836" s="564" t="str">
        <f>IF(S1836&lt;&gt;0,VLOOKUP(S1836,VKT!$A$2:$G$415,7,0),"")</f>
        <v/>
      </c>
      <c r="X1836" s="564" t="str">
        <f t="shared" ref="X1836:X1908" si="411">IF(S1836&lt;&gt;0,ROUND(U1836*W1836,-3)," ")</f>
        <v xml:space="preserve"> </v>
      </c>
      <c r="Y1836" s="650"/>
      <c r="Z1836" s="586"/>
      <c r="AA1836" s="742"/>
      <c r="AB1836" s="586"/>
      <c r="AC1836" s="586"/>
      <c r="AD1836" s="586"/>
      <c r="AE1836" s="586"/>
      <c r="AF1836" s="714"/>
      <c r="AG1836" s="570" t="str">
        <f>IF(AE1836&lt;&gt;0,VLOOKUP(AE1836,ODDS!$A$2:$C$13,3,0),"")</f>
        <v/>
      </c>
      <c r="AH1836" s="570" t="str">
        <f t="shared" si="405"/>
        <v xml:space="preserve"> </v>
      </c>
      <c r="AI1836" s="571" t="str">
        <f t="shared" si="401"/>
        <v xml:space="preserve"> </v>
      </c>
      <c r="AJ1836" s="586"/>
      <c r="AK1836" s="586"/>
    </row>
    <row r="1837" spans="1:39" s="394" customFormat="1" ht="20.25" outlineLevel="2" x14ac:dyDescent="0.3">
      <c r="A1837" s="447">
        <f t="shared" si="410"/>
        <v>154</v>
      </c>
      <c r="B1837" s="557"/>
      <c r="C1837" s="572"/>
      <c r="D1837" s="700"/>
      <c r="E1837" s="612"/>
      <c r="F1837" s="612"/>
      <c r="G1837" s="586"/>
      <c r="H1837" s="709"/>
      <c r="I1837" s="546"/>
      <c r="J1837" s="558"/>
      <c r="K1837" s="563" t="str">
        <f>IF(G1837&lt;&gt;0,VLOOKUP(G1837,'gia dat'!$A$1:$F$144,5,0)," ")</f>
        <v xml:space="preserve"> </v>
      </c>
      <c r="L1837" s="563" t="str">
        <f>IF(G1837&lt;&gt;0,VLOOKUP(G1837,'gia dat'!$A$1:$F$144,6,0)," ")</f>
        <v xml:space="preserve"> </v>
      </c>
      <c r="M1837" s="564" t="str">
        <f t="shared" si="407"/>
        <v xml:space="preserve"> </v>
      </c>
      <c r="N1837" s="564" t="str">
        <f t="shared" si="408"/>
        <v xml:space="preserve"> </v>
      </c>
      <c r="O1837" s="572"/>
      <c r="P1837" s="740"/>
      <c r="Q1837" s="564" t="str">
        <f>IF(O1837&lt;&gt;0,VLOOKUP(O1837,'Cây trong'!$A$2:$C$246,3,0)," ")</f>
        <v xml:space="preserve"> </v>
      </c>
      <c r="R1837" s="564" t="str">
        <f t="shared" si="404"/>
        <v xml:space="preserve"> </v>
      </c>
      <c r="S1837" s="572"/>
      <c r="T1837" s="609"/>
      <c r="U1837" s="741"/>
      <c r="V1837" s="586"/>
      <c r="W1837" s="564" t="str">
        <f>IF(S1837&lt;&gt;0,VLOOKUP(S1837,VKT!$A$2:$G$415,7,0),"")</f>
        <v/>
      </c>
      <c r="X1837" s="564" t="str">
        <f t="shared" si="411"/>
        <v xml:space="preserve"> </v>
      </c>
      <c r="Y1837" s="650"/>
      <c r="Z1837" s="586"/>
      <c r="AA1837" s="742"/>
      <c r="AB1837" s="586"/>
      <c r="AC1837" s="586"/>
      <c r="AD1837" s="586"/>
      <c r="AE1837" s="586"/>
      <c r="AF1837" s="714"/>
      <c r="AG1837" s="570" t="str">
        <f>IF(AE1837&lt;&gt;0,VLOOKUP(AE1837,ODDS!$A$2:$C$13,3,0),"")</f>
        <v/>
      </c>
      <c r="AH1837" s="570" t="str">
        <f t="shared" si="405"/>
        <v xml:space="preserve"> </v>
      </c>
      <c r="AI1837" s="571" t="str">
        <f t="shared" si="401"/>
        <v xml:space="preserve"> </v>
      </c>
      <c r="AJ1837" s="586"/>
      <c r="AK1837" s="586"/>
    </row>
    <row r="1838" spans="1:39" s="394" customFormat="1" ht="20.25" outlineLevel="2" x14ac:dyDescent="0.3">
      <c r="A1838" s="447">
        <f t="shared" si="410"/>
        <v>154</v>
      </c>
      <c r="B1838" s="557"/>
      <c r="C1838" s="607"/>
      <c r="D1838" s="700"/>
      <c r="E1838" s="612"/>
      <c r="F1838" s="612"/>
      <c r="G1838" s="586"/>
      <c r="H1838" s="709"/>
      <c r="I1838" s="546"/>
      <c r="J1838" s="558"/>
      <c r="K1838" s="563" t="str">
        <f>IF(G1838&lt;&gt;0,VLOOKUP(G1838,'gia dat'!$A$1:$F$144,5,0)," ")</f>
        <v xml:space="preserve"> </v>
      </c>
      <c r="L1838" s="563" t="str">
        <f>IF(G1838&lt;&gt;0,VLOOKUP(G1838,'gia dat'!$A$1:$F$144,6,0)," ")</f>
        <v xml:space="preserve"> </v>
      </c>
      <c r="M1838" s="564" t="str">
        <f t="shared" si="407"/>
        <v xml:space="preserve"> </v>
      </c>
      <c r="N1838" s="564" t="str">
        <f t="shared" si="408"/>
        <v xml:space="preserve"> </v>
      </c>
      <c r="O1838" s="572"/>
      <c r="P1838" s="740"/>
      <c r="Q1838" s="564" t="str">
        <f>IF(O1838&lt;&gt;0,VLOOKUP(O1838,'Cây trong'!$A$2:$C$246,3,0)," ")</f>
        <v xml:space="preserve"> </v>
      </c>
      <c r="R1838" s="564" t="str">
        <f t="shared" si="404"/>
        <v xml:space="preserve"> </v>
      </c>
      <c r="S1838" s="572"/>
      <c r="T1838" s="609"/>
      <c r="U1838" s="741"/>
      <c r="V1838" s="586"/>
      <c r="W1838" s="564" t="str">
        <f>IF(S1838&lt;&gt;0,VLOOKUP(S1838,VKT!$A$2:$G$415,7,0),"")</f>
        <v/>
      </c>
      <c r="X1838" s="564" t="str">
        <f t="shared" si="411"/>
        <v xml:space="preserve"> </v>
      </c>
      <c r="Y1838" s="650"/>
      <c r="Z1838" s="586"/>
      <c r="AA1838" s="742"/>
      <c r="AB1838" s="586"/>
      <c r="AC1838" s="586"/>
      <c r="AD1838" s="586"/>
      <c r="AE1838" s="586"/>
      <c r="AF1838" s="714"/>
      <c r="AG1838" s="570" t="str">
        <f>IF(AE1838&lt;&gt;0,VLOOKUP(AE1838,ODDS!$A$2:$C$13,3,0),"")</f>
        <v/>
      </c>
      <c r="AH1838" s="570" t="str">
        <f t="shared" si="405"/>
        <v xml:space="preserve"> </v>
      </c>
      <c r="AI1838" s="571" t="str">
        <f t="shared" si="401"/>
        <v xml:space="preserve"> </v>
      </c>
      <c r="AJ1838" s="586"/>
      <c r="AK1838" s="586"/>
    </row>
    <row r="1839" spans="1:39" s="396" customFormat="1" ht="40.5" outlineLevel="1" x14ac:dyDescent="0.25">
      <c r="A1839" s="467" t="s">
        <v>2555</v>
      </c>
      <c r="B1839" s="576">
        <v>155</v>
      </c>
      <c r="C1839" s="607" t="s">
        <v>1298</v>
      </c>
      <c r="D1839" s="706"/>
      <c r="E1839" s="642"/>
      <c r="F1839" s="642"/>
      <c r="G1839" s="578"/>
      <c r="H1839" s="707">
        <f>SUBTOTAL(9,H1840:H1847)</f>
        <v>17.899999999999999</v>
      </c>
      <c r="I1839" s="579">
        <f>SUBTOTAL(9,I1840:I1845)</f>
        <v>0</v>
      </c>
      <c r="J1839" s="580"/>
      <c r="K1839" s="581"/>
      <c r="L1839" s="581"/>
      <c r="M1839" s="571">
        <f>SUBTOTAL(9,M1840:M1847)</f>
        <v>9924000</v>
      </c>
      <c r="N1839" s="571">
        <f>SUBTOTAL(9,N1840:N1847)</f>
        <v>0</v>
      </c>
      <c r="O1839" s="607"/>
      <c r="P1839" s="738">
        <f>SUBTOTAL(9,P1840:P1847)</f>
        <v>0</v>
      </c>
      <c r="Q1839" s="571"/>
      <c r="R1839" s="571">
        <f>SUBTOTAL(9,R1840:R1847)</f>
        <v>0</v>
      </c>
      <c r="S1839" s="582"/>
      <c r="T1839" s="621"/>
      <c r="U1839" s="739">
        <f>SUBTOTAL(9,U1840:U1847)</f>
        <v>50.8</v>
      </c>
      <c r="V1839" s="578"/>
      <c r="W1839" s="571"/>
      <c r="X1839" s="571">
        <f>SUBTOTAL(9,X1840:X1847)</f>
        <v>103880000</v>
      </c>
      <c r="Y1839" s="661"/>
      <c r="Z1839" s="683"/>
      <c r="AA1839" s="683"/>
      <c r="AB1839" s="694"/>
      <c r="AC1839" s="683"/>
      <c r="AD1839" s="683"/>
      <c r="AE1839" s="578"/>
      <c r="AF1839" s="599">
        <f>SUBTOTAL(9,AF1840:AF1847)</f>
        <v>1</v>
      </c>
      <c r="AG1839" s="585"/>
      <c r="AH1839" s="585">
        <f>SUBTOTAL(9,AH1840:AH1847)</f>
        <v>5000000</v>
      </c>
      <c r="AI1839" s="571">
        <f t="shared" si="401"/>
        <v>118804000</v>
      </c>
      <c r="AJ1839" s="578"/>
      <c r="AK1839" s="578"/>
      <c r="AM1839" s="468"/>
    </row>
    <row r="1840" spans="1:39" s="396" customFormat="1" ht="121.5" outlineLevel="2" x14ac:dyDescent="0.3">
      <c r="A1840" s="447">
        <f>IF(B1839&lt;&gt;0,B1839,A1838)</f>
        <v>155</v>
      </c>
      <c r="B1840" s="557"/>
      <c r="C1840" s="572" t="s">
        <v>1300</v>
      </c>
      <c r="D1840" s="700"/>
      <c r="E1840" s="612">
        <v>86</v>
      </c>
      <c r="F1840" s="612">
        <v>411</v>
      </c>
      <c r="G1840" s="586" t="s">
        <v>2895</v>
      </c>
      <c r="H1840" s="709">
        <v>17.899999999999999</v>
      </c>
      <c r="I1840" s="546" t="str">
        <f t="shared" ref="I1840" si="412">IF(N1840&gt;0,H1840,"")</f>
        <v/>
      </c>
      <c r="J1840" s="562"/>
      <c r="K1840" s="563">
        <f>IF(G1840&lt;&gt;0,VLOOKUP(G1840,'gia dat'!$A$1:$F$144,5,0)," ")</f>
        <v>554400</v>
      </c>
      <c r="L1840" s="563">
        <f>IF(G1840&lt;&gt;0,VLOOKUP(G1840,'gia dat'!$A$1:$F$144,6,0)," ")</f>
        <v>0</v>
      </c>
      <c r="M1840" s="564">
        <f t="shared" si="407"/>
        <v>9924000</v>
      </c>
      <c r="N1840" s="564">
        <f t="shared" si="408"/>
        <v>0</v>
      </c>
      <c r="O1840" s="572"/>
      <c r="P1840" s="740"/>
      <c r="Q1840" s="564" t="str">
        <f>IF(O1840&lt;&gt;0,VLOOKUP(O1840,'Cây trong'!$A$2:$C$246,3,0)," ")</f>
        <v xml:space="preserve"> </v>
      </c>
      <c r="R1840" s="564" t="str">
        <f t="shared" si="404"/>
        <v xml:space="preserve"> </v>
      </c>
      <c r="S1840" s="566" t="s">
        <v>1820</v>
      </c>
      <c r="T1840" s="609" t="s">
        <v>1133</v>
      </c>
      <c r="U1840" s="741">
        <v>13.5</v>
      </c>
      <c r="V1840" s="586"/>
      <c r="W1840" s="564">
        <f>IF(S1840&lt;&gt;0,VLOOKUP(S1840,VKT!$A$2:$G$415,7,0),"")</f>
        <v>5307665</v>
      </c>
      <c r="X1840" s="564">
        <f t="shared" si="411"/>
        <v>71653000</v>
      </c>
      <c r="Y1840" s="661" t="s">
        <v>1138</v>
      </c>
      <c r="Z1840" s="683" t="s">
        <v>1139</v>
      </c>
      <c r="AA1840" s="683" t="s">
        <v>56</v>
      </c>
      <c r="AB1840" s="694" t="s">
        <v>269</v>
      </c>
      <c r="AC1840" s="683" t="s">
        <v>1138</v>
      </c>
      <c r="AD1840" s="683"/>
      <c r="AE1840" s="586" t="s">
        <v>2137</v>
      </c>
      <c r="AF1840" s="590">
        <v>1</v>
      </c>
      <c r="AG1840" s="570">
        <f>IF(AE1840&lt;&gt;0,VLOOKUP(AE1840,ODDS!$A$2:$C$13,3,0),"")</f>
        <v>5000000</v>
      </c>
      <c r="AH1840" s="570">
        <f t="shared" si="405"/>
        <v>5000000</v>
      </c>
      <c r="AI1840" s="571" t="str">
        <f t="shared" si="401"/>
        <v xml:space="preserve"> </v>
      </c>
      <c r="AJ1840" s="586" t="s">
        <v>1299</v>
      </c>
      <c r="AK1840" s="586" t="s">
        <v>2771</v>
      </c>
      <c r="AM1840" s="380"/>
    </row>
    <row r="1841" spans="1:37" s="394" customFormat="1" ht="121.5" outlineLevel="2" x14ac:dyDescent="0.3">
      <c r="A1841" s="447">
        <f t="shared" ref="A1841:A1847" si="413">IF(B1840&lt;&gt;0,B1840,A1840)</f>
        <v>155</v>
      </c>
      <c r="B1841" s="557"/>
      <c r="C1841" s="572" t="s">
        <v>1614</v>
      </c>
      <c r="D1841" s="700"/>
      <c r="E1841" s="612"/>
      <c r="F1841" s="612"/>
      <c r="G1841" s="586"/>
      <c r="H1841" s="709"/>
      <c r="I1841" s="546"/>
      <c r="J1841" s="562"/>
      <c r="K1841" s="563" t="str">
        <f>IF(G1841&lt;&gt;0,VLOOKUP(G1841,'gia dat'!$A$1:$F$144,5,0)," ")</f>
        <v xml:space="preserve"> </v>
      </c>
      <c r="L1841" s="563" t="str">
        <f>IF(G1841&lt;&gt;0,VLOOKUP(G1841,'gia dat'!$A$1:$F$144,6,0)," ")</f>
        <v xml:space="preserve"> </v>
      </c>
      <c r="M1841" s="564" t="str">
        <f t="shared" si="407"/>
        <v xml:space="preserve"> </v>
      </c>
      <c r="N1841" s="564" t="str">
        <f t="shared" si="408"/>
        <v xml:space="preserve"> </v>
      </c>
      <c r="O1841" s="572"/>
      <c r="P1841" s="740"/>
      <c r="Q1841" s="564" t="str">
        <f>IF(O1841&lt;&gt;0,VLOOKUP(O1841,'Cây trong'!$A$2:$C$246,3,0)," ")</f>
        <v xml:space="preserve"> </v>
      </c>
      <c r="R1841" s="564" t="str">
        <f t="shared" si="404"/>
        <v xml:space="preserve"> </v>
      </c>
      <c r="S1841" s="566" t="s">
        <v>1930</v>
      </c>
      <c r="T1841" s="609" t="s">
        <v>1133</v>
      </c>
      <c r="U1841" s="741">
        <v>2.5</v>
      </c>
      <c r="V1841" s="586"/>
      <c r="W1841" s="564">
        <f>IF(S1841&lt;&gt;0,VLOOKUP(S1841,VKT!$A$2:$G$415,7,0),"")</f>
        <v>9347414</v>
      </c>
      <c r="X1841" s="564">
        <f t="shared" si="411"/>
        <v>23369000</v>
      </c>
      <c r="Y1841" s="650"/>
      <c r="Z1841" s="586"/>
      <c r="AA1841" s="742"/>
      <c r="AB1841" s="586"/>
      <c r="AC1841" s="586"/>
      <c r="AD1841" s="586"/>
      <c r="AE1841" s="586"/>
      <c r="AF1841" s="714"/>
      <c r="AG1841" s="570" t="str">
        <f>IF(AE1841&lt;&gt;0,VLOOKUP(AE1841,ODDS!$A$2:$C$13,3,0),"")</f>
        <v/>
      </c>
      <c r="AH1841" s="570"/>
      <c r="AI1841" s="571" t="str">
        <f t="shared" si="401"/>
        <v xml:space="preserve"> </v>
      </c>
      <c r="AJ1841" s="586" t="s">
        <v>1301</v>
      </c>
      <c r="AK1841" s="558" t="s">
        <v>2450</v>
      </c>
    </row>
    <row r="1842" spans="1:37" s="394" customFormat="1" ht="81" outlineLevel="2" x14ac:dyDescent="0.3">
      <c r="A1842" s="447">
        <f t="shared" si="413"/>
        <v>155</v>
      </c>
      <c r="B1842" s="557"/>
      <c r="C1842" s="572"/>
      <c r="D1842" s="700"/>
      <c r="E1842" s="612"/>
      <c r="F1842" s="612"/>
      <c r="G1842" s="586"/>
      <c r="H1842" s="709"/>
      <c r="I1842" s="546"/>
      <c r="J1842" s="562"/>
      <c r="K1842" s="563" t="str">
        <f>IF(G1842&lt;&gt;0,VLOOKUP(G1842,'gia dat'!$A$1:$F$144,5,0)," ")</f>
        <v xml:space="preserve"> </v>
      </c>
      <c r="L1842" s="563" t="str">
        <f>IF(G1842&lt;&gt;0,VLOOKUP(G1842,'gia dat'!$A$1:$F$144,6,0)," ")</f>
        <v xml:space="preserve"> </v>
      </c>
      <c r="M1842" s="564" t="str">
        <f t="shared" si="407"/>
        <v xml:space="preserve"> </v>
      </c>
      <c r="N1842" s="564" t="str">
        <f t="shared" si="408"/>
        <v xml:space="preserve"> </v>
      </c>
      <c r="O1842" s="572"/>
      <c r="P1842" s="740"/>
      <c r="Q1842" s="564" t="str">
        <f>IF(O1842&lt;&gt;0,VLOOKUP(O1842,'Cây trong'!$A$2:$C$246,3,0)," ")</f>
        <v xml:space="preserve"> </v>
      </c>
      <c r="R1842" s="564" t="str">
        <f t="shared" si="404"/>
        <v xml:space="preserve"> </v>
      </c>
      <c r="S1842" s="572" t="s">
        <v>1931</v>
      </c>
      <c r="T1842" s="609" t="s">
        <v>1133</v>
      </c>
      <c r="U1842" s="741">
        <v>8</v>
      </c>
      <c r="V1842" s="586"/>
      <c r="W1842" s="564">
        <f>IF(S1842&lt;&gt;0,VLOOKUP(S1842,VKT!$A$2:$G$415,7,0),"")</f>
        <v>1107311</v>
      </c>
      <c r="X1842" s="564">
        <f t="shared" si="411"/>
        <v>8858000</v>
      </c>
      <c r="Y1842" s="661" t="s">
        <v>1138</v>
      </c>
      <c r="Z1842" s="683" t="s">
        <v>1139</v>
      </c>
      <c r="AA1842" s="683" t="s">
        <v>56</v>
      </c>
      <c r="AB1842" s="694"/>
      <c r="AC1842" s="683" t="s">
        <v>1138</v>
      </c>
      <c r="AD1842" s="683"/>
      <c r="AE1842" s="683"/>
      <c r="AF1842" s="590"/>
      <c r="AG1842" s="570" t="str">
        <f>IF(AE1842&lt;&gt;0,VLOOKUP(AE1842,ODDS!$A$2:$C$13,3,0),"")</f>
        <v/>
      </c>
      <c r="AH1842" s="570" t="str">
        <f t="shared" si="405"/>
        <v xml:space="preserve"> </v>
      </c>
      <c r="AI1842" s="571" t="str">
        <f t="shared" si="401"/>
        <v xml:space="preserve"> </v>
      </c>
      <c r="AJ1842" s="586" t="s">
        <v>1303</v>
      </c>
      <c r="AK1842" s="558" t="s">
        <v>2447</v>
      </c>
    </row>
    <row r="1843" spans="1:37" s="394" customFormat="1" ht="60.75" outlineLevel="2" x14ac:dyDescent="0.3">
      <c r="A1843" s="447">
        <f t="shared" si="413"/>
        <v>155</v>
      </c>
      <c r="B1843" s="557"/>
      <c r="C1843" s="572"/>
      <c r="D1843" s="700"/>
      <c r="E1843" s="612"/>
      <c r="F1843" s="612"/>
      <c r="G1843" s="586"/>
      <c r="H1843" s="709"/>
      <c r="I1843" s="546"/>
      <c r="J1843" s="558"/>
      <c r="K1843" s="563" t="str">
        <f>IF(G1843&lt;&gt;0,VLOOKUP(G1843,'gia dat'!$A$1:$F$144,5,0)," ")</f>
        <v xml:space="preserve"> </v>
      </c>
      <c r="L1843" s="563" t="str">
        <f>IF(G1843&lt;&gt;0,VLOOKUP(G1843,'gia dat'!$A$1:$F$144,6,0)," ")</f>
        <v xml:space="preserve"> </v>
      </c>
      <c r="M1843" s="564" t="str">
        <f t="shared" si="407"/>
        <v xml:space="preserve"> </v>
      </c>
      <c r="N1843" s="564" t="str">
        <f t="shared" si="408"/>
        <v xml:space="preserve"> </v>
      </c>
      <c r="O1843" s="572"/>
      <c r="P1843" s="740"/>
      <c r="Q1843" s="564" t="str">
        <f>IF(O1843&lt;&gt;0,VLOOKUP(O1843,'Cây trong'!$A$2:$C$246,3,0)," ")</f>
        <v xml:space="preserve"> </v>
      </c>
      <c r="R1843" s="564" t="str">
        <f t="shared" si="404"/>
        <v xml:space="preserve"> </v>
      </c>
      <c r="S1843" s="566" t="s">
        <v>1932</v>
      </c>
      <c r="T1843" s="609" t="s">
        <v>1133</v>
      </c>
      <c r="U1843" s="741">
        <v>9.6</v>
      </c>
      <c r="V1843" s="586"/>
      <c r="W1843" s="564">
        <f>IF(S1843&lt;&gt;0,VLOOKUP(S1843,VKT!$A$2:$G$415,7,0),"")</f>
        <v>0</v>
      </c>
      <c r="X1843" s="564">
        <f t="shared" si="411"/>
        <v>0</v>
      </c>
      <c r="Y1843" s="650"/>
      <c r="Z1843" s="586"/>
      <c r="AA1843" s="742"/>
      <c r="AB1843" s="586"/>
      <c r="AC1843" s="586"/>
      <c r="AD1843" s="586"/>
      <c r="AE1843" s="586"/>
      <c r="AF1843" s="714"/>
      <c r="AG1843" s="570" t="str">
        <f>IF(AE1843&lt;&gt;0,VLOOKUP(AE1843,ODDS!$A$2:$C$13,3,0),"")</f>
        <v/>
      </c>
      <c r="AH1843" s="570" t="str">
        <f t="shared" si="405"/>
        <v xml:space="preserve"> </v>
      </c>
      <c r="AI1843" s="571" t="str">
        <f t="shared" si="401"/>
        <v xml:space="preserve"> </v>
      </c>
      <c r="AJ1843" s="731"/>
      <c r="AK1843" s="586"/>
    </row>
    <row r="1844" spans="1:37" s="394" customFormat="1" ht="60.75" outlineLevel="2" x14ac:dyDescent="0.3">
      <c r="A1844" s="447">
        <f t="shared" si="413"/>
        <v>155</v>
      </c>
      <c r="B1844" s="557"/>
      <c r="C1844" s="572"/>
      <c r="D1844" s="700"/>
      <c r="E1844" s="612"/>
      <c r="F1844" s="612"/>
      <c r="G1844" s="586"/>
      <c r="H1844" s="709"/>
      <c r="I1844" s="546"/>
      <c r="J1844" s="558"/>
      <c r="K1844" s="563" t="str">
        <f>IF(G1844&lt;&gt;0,VLOOKUP(G1844,'gia dat'!$A$1:$F$144,5,0)," ")</f>
        <v xml:space="preserve"> </v>
      </c>
      <c r="L1844" s="563" t="str">
        <f>IF(G1844&lt;&gt;0,VLOOKUP(G1844,'gia dat'!$A$1:$F$144,6,0)," ")</f>
        <v xml:space="preserve"> </v>
      </c>
      <c r="M1844" s="564" t="str">
        <f t="shared" si="407"/>
        <v xml:space="preserve"> </v>
      </c>
      <c r="N1844" s="564" t="str">
        <f t="shared" si="408"/>
        <v xml:space="preserve"> </v>
      </c>
      <c r="O1844" s="572"/>
      <c r="P1844" s="740"/>
      <c r="Q1844" s="564" t="str">
        <f>IF(O1844&lt;&gt;0,VLOOKUP(O1844,'Cây trong'!$A$2:$C$246,3,0)," ")</f>
        <v xml:space="preserve"> </v>
      </c>
      <c r="R1844" s="564" t="str">
        <f t="shared" si="404"/>
        <v xml:space="preserve"> </v>
      </c>
      <c r="S1844" s="572" t="s">
        <v>1933</v>
      </c>
      <c r="T1844" s="609" t="s">
        <v>1133</v>
      </c>
      <c r="U1844" s="741">
        <v>17.2</v>
      </c>
      <c r="V1844" s="586"/>
      <c r="W1844" s="564">
        <f>IF(S1844&lt;&gt;0,VLOOKUP(S1844,VKT!$A$2:$G$415,7,0),"")</f>
        <v>0</v>
      </c>
      <c r="X1844" s="564">
        <f t="shared" si="411"/>
        <v>0</v>
      </c>
      <c r="Y1844" s="650"/>
      <c r="Z1844" s="586"/>
      <c r="AA1844" s="742"/>
      <c r="AB1844" s="586"/>
      <c r="AC1844" s="586"/>
      <c r="AD1844" s="586"/>
      <c r="AE1844" s="586"/>
      <c r="AF1844" s="714"/>
      <c r="AG1844" s="570" t="str">
        <f>IF(AE1844&lt;&gt;0,VLOOKUP(AE1844,ODDS!$A$2:$C$13,3,0),"")</f>
        <v/>
      </c>
      <c r="AH1844" s="570" t="str">
        <f t="shared" si="405"/>
        <v xml:space="preserve"> </v>
      </c>
      <c r="AI1844" s="571" t="str">
        <f t="shared" si="401"/>
        <v xml:space="preserve"> </v>
      </c>
      <c r="AJ1844" s="558"/>
      <c r="AK1844" s="558"/>
    </row>
    <row r="1845" spans="1:37" s="394" customFormat="1" ht="20.25" outlineLevel="2" x14ac:dyDescent="0.3">
      <c r="A1845" s="447">
        <f t="shared" si="413"/>
        <v>155</v>
      </c>
      <c r="B1845" s="557"/>
      <c r="C1845" s="572"/>
      <c r="D1845" s="700"/>
      <c r="E1845" s="612"/>
      <c r="F1845" s="612"/>
      <c r="G1845" s="586"/>
      <c r="H1845" s="709"/>
      <c r="I1845" s="546"/>
      <c r="J1845" s="558"/>
      <c r="K1845" s="563" t="str">
        <f>IF(G1845&lt;&gt;0,VLOOKUP(G1845,'gia dat'!$A$1:$F$144,5,0)," ")</f>
        <v xml:space="preserve"> </v>
      </c>
      <c r="L1845" s="563" t="str">
        <f>IF(G1845&lt;&gt;0,VLOOKUP(G1845,'gia dat'!$A$1:$F$144,6,0)," ")</f>
        <v xml:space="preserve"> </v>
      </c>
      <c r="M1845" s="564" t="str">
        <f t="shared" si="407"/>
        <v xml:space="preserve"> </v>
      </c>
      <c r="N1845" s="564" t="str">
        <f t="shared" si="408"/>
        <v xml:space="preserve"> </v>
      </c>
      <c r="O1845" s="572"/>
      <c r="P1845" s="740"/>
      <c r="Q1845" s="564" t="str">
        <f>IF(O1845&lt;&gt;0,VLOOKUP(O1845,'Cây trong'!$A$2:$C$246,3,0)," ")</f>
        <v xml:space="preserve"> </v>
      </c>
      <c r="R1845" s="564" t="str">
        <f t="shared" si="404"/>
        <v xml:space="preserve"> </v>
      </c>
      <c r="S1845" s="572"/>
      <c r="T1845" s="609"/>
      <c r="U1845" s="741"/>
      <c r="V1845" s="586"/>
      <c r="W1845" s="564" t="str">
        <f>IF(S1845&lt;&gt;0,VLOOKUP(S1845,VKT!$A$2:$G$415,7,0),"")</f>
        <v/>
      </c>
      <c r="X1845" s="564" t="str">
        <f t="shared" si="411"/>
        <v xml:space="preserve"> </v>
      </c>
      <c r="Y1845" s="650"/>
      <c r="Z1845" s="586"/>
      <c r="AA1845" s="742"/>
      <c r="AB1845" s="586"/>
      <c r="AC1845" s="586"/>
      <c r="AD1845" s="586"/>
      <c r="AE1845" s="586"/>
      <c r="AF1845" s="714"/>
      <c r="AG1845" s="570" t="str">
        <f>IF(AE1845&lt;&gt;0,VLOOKUP(AE1845,ODDS!$A$2:$C$13,3,0),"")</f>
        <v/>
      </c>
      <c r="AH1845" s="570" t="str">
        <f t="shared" si="405"/>
        <v xml:space="preserve"> </v>
      </c>
      <c r="AI1845" s="571" t="str">
        <f t="shared" si="401"/>
        <v xml:space="preserve"> </v>
      </c>
      <c r="AJ1845" s="586"/>
      <c r="AK1845" s="586"/>
    </row>
    <row r="1846" spans="1:37" s="394" customFormat="1" ht="20.25" outlineLevel="2" x14ac:dyDescent="0.3">
      <c r="A1846" s="447">
        <f t="shared" si="413"/>
        <v>155</v>
      </c>
      <c r="B1846" s="557"/>
      <c r="C1846" s="572"/>
      <c r="D1846" s="700"/>
      <c r="E1846" s="612"/>
      <c r="F1846" s="612"/>
      <c r="G1846" s="586"/>
      <c r="H1846" s="709"/>
      <c r="I1846" s="546"/>
      <c r="J1846" s="558"/>
      <c r="K1846" s="563" t="str">
        <f>IF(G1846&lt;&gt;0,VLOOKUP(G1846,'gia dat'!$A$1:$F$144,5,0)," ")</f>
        <v xml:space="preserve"> </v>
      </c>
      <c r="L1846" s="563" t="str">
        <f>IF(G1846&lt;&gt;0,VLOOKUP(G1846,'gia dat'!$A$1:$F$144,6,0)," ")</f>
        <v xml:space="preserve"> </v>
      </c>
      <c r="M1846" s="564" t="str">
        <f t="shared" si="407"/>
        <v xml:space="preserve"> </v>
      </c>
      <c r="N1846" s="564" t="str">
        <f t="shared" si="408"/>
        <v xml:space="preserve"> </v>
      </c>
      <c r="O1846" s="572"/>
      <c r="P1846" s="740"/>
      <c r="Q1846" s="564" t="str">
        <f>IF(O1846&lt;&gt;0,VLOOKUP(O1846,'Cây trong'!$A$2:$C$246,3,0)," ")</f>
        <v xml:space="preserve"> </v>
      </c>
      <c r="R1846" s="564" t="str">
        <f t="shared" si="404"/>
        <v xml:space="preserve"> </v>
      </c>
      <c r="S1846" s="572"/>
      <c r="T1846" s="609"/>
      <c r="U1846" s="741"/>
      <c r="V1846" s="586"/>
      <c r="W1846" s="564" t="str">
        <f>IF(S1846&lt;&gt;0,VLOOKUP(S1846,VKT!$A$2:$G$415,7,0),"")</f>
        <v/>
      </c>
      <c r="X1846" s="564" t="str">
        <f t="shared" si="411"/>
        <v xml:space="preserve"> </v>
      </c>
      <c r="Y1846" s="650"/>
      <c r="Z1846" s="586"/>
      <c r="AA1846" s="742"/>
      <c r="AB1846" s="586"/>
      <c r="AC1846" s="586"/>
      <c r="AD1846" s="586"/>
      <c r="AE1846" s="586"/>
      <c r="AF1846" s="714"/>
      <c r="AG1846" s="570" t="str">
        <f>IF(AE1846&lt;&gt;0,VLOOKUP(AE1846,ODDS!$A$2:$C$13,3,0),"")</f>
        <v/>
      </c>
      <c r="AH1846" s="570" t="str">
        <f t="shared" si="405"/>
        <v xml:space="preserve"> </v>
      </c>
      <c r="AI1846" s="571" t="str">
        <f t="shared" si="401"/>
        <v xml:space="preserve"> </v>
      </c>
      <c r="AJ1846" s="586"/>
      <c r="AK1846" s="586"/>
    </row>
    <row r="1847" spans="1:37" s="394" customFormat="1" ht="20.25" outlineLevel="2" x14ac:dyDescent="0.3">
      <c r="A1847" s="447">
        <f t="shared" si="413"/>
        <v>155</v>
      </c>
      <c r="B1847" s="557"/>
      <c r="C1847" s="607"/>
      <c r="D1847" s="700"/>
      <c r="E1847" s="612"/>
      <c r="F1847" s="612"/>
      <c r="G1847" s="586"/>
      <c r="H1847" s="709"/>
      <c r="I1847" s="546"/>
      <c r="J1847" s="558"/>
      <c r="K1847" s="563" t="str">
        <f>IF(G1847&lt;&gt;0,VLOOKUP(G1847,'gia dat'!$A$1:$F$144,5,0)," ")</f>
        <v xml:space="preserve"> </v>
      </c>
      <c r="L1847" s="563" t="str">
        <f>IF(G1847&lt;&gt;0,VLOOKUP(G1847,'gia dat'!$A$1:$F$144,6,0)," ")</f>
        <v xml:space="preserve"> </v>
      </c>
      <c r="M1847" s="564" t="str">
        <f t="shared" si="407"/>
        <v xml:space="preserve"> </v>
      </c>
      <c r="N1847" s="564" t="str">
        <f t="shared" si="408"/>
        <v xml:space="preserve"> </v>
      </c>
      <c r="O1847" s="572"/>
      <c r="P1847" s="740"/>
      <c r="Q1847" s="564" t="str">
        <f>IF(O1847&lt;&gt;0,VLOOKUP(O1847,'Cây trong'!$A$2:$C$246,3,0)," ")</f>
        <v xml:space="preserve"> </v>
      </c>
      <c r="R1847" s="564" t="str">
        <f t="shared" si="404"/>
        <v xml:space="preserve"> </v>
      </c>
      <c r="S1847" s="572"/>
      <c r="T1847" s="609"/>
      <c r="U1847" s="741"/>
      <c r="V1847" s="586"/>
      <c r="W1847" s="564" t="str">
        <f>IF(S1847&lt;&gt;0,VLOOKUP(S1847,VKT!$A$2:$G$415,7,0),"")</f>
        <v/>
      </c>
      <c r="X1847" s="564" t="str">
        <f t="shared" si="411"/>
        <v xml:space="preserve"> </v>
      </c>
      <c r="Y1847" s="650"/>
      <c r="Z1847" s="586"/>
      <c r="AA1847" s="742"/>
      <c r="AB1847" s="586"/>
      <c r="AC1847" s="586"/>
      <c r="AD1847" s="586"/>
      <c r="AE1847" s="586"/>
      <c r="AF1847" s="714"/>
      <c r="AG1847" s="570" t="str">
        <f>IF(AE1847&lt;&gt;0,VLOOKUP(AE1847,ODDS!$A$2:$C$13,3,0),"")</f>
        <v/>
      </c>
      <c r="AH1847" s="570" t="str">
        <f t="shared" si="405"/>
        <v xml:space="preserve"> </v>
      </c>
      <c r="AI1847" s="571" t="str">
        <f t="shared" si="401"/>
        <v xml:space="preserve"> </v>
      </c>
      <c r="AJ1847" s="586"/>
      <c r="AK1847" s="586"/>
    </row>
    <row r="1848" spans="1:37" s="396" customFormat="1" ht="40.5" outlineLevel="1" x14ac:dyDescent="0.25">
      <c r="A1848" s="467" t="s">
        <v>2554</v>
      </c>
      <c r="B1848" s="576">
        <v>156</v>
      </c>
      <c r="C1848" s="607" t="s">
        <v>1304</v>
      </c>
      <c r="D1848" s="577"/>
      <c r="E1848" s="642"/>
      <c r="F1848" s="642"/>
      <c r="G1848" s="578"/>
      <c r="H1848" s="707">
        <f>SUBTOTAL(9,H1849:H1854)</f>
        <v>29.5</v>
      </c>
      <c r="I1848" s="579">
        <f>SUBTOTAL(9,I1849:I1854)</f>
        <v>0</v>
      </c>
      <c r="J1848" s="580"/>
      <c r="K1848" s="581"/>
      <c r="L1848" s="581"/>
      <c r="M1848" s="571">
        <f>SUBTOTAL(9,M1849:M1854)</f>
        <v>16355000</v>
      </c>
      <c r="N1848" s="571">
        <f>SUBTOTAL(9,N1849:N1854)</f>
        <v>0</v>
      </c>
      <c r="O1848" s="607"/>
      <c r="P1848" s="738">
        <f>SUBTOTAL(9,P1849:P1854)</f>
        <v>0</v>
      </c>
      <c r="Q1848" s="571"/>
      <c r="R1848" s="571">
        <f>SUBTOTAL(9,R1849:R1854)</f>
        <v>0</v>
      </c>
      <c r="S1848" s="582"/>
      <c r="T1848" s="621"/>
      <c r="U1848" s="739">
        <f>SUBTOTAL(9,U1849:U1854)</f>
        <v>1</v>
      </c>
      <c r="V1848" s="578"/>
      <c r="W1848" s="571"/>
      <c r="X1848" s="571">
        <f>SUBTOTAL(9,X1849:X1854)</f>
        <v>0</v>
      </c>
      <c r="Y1848" s="650"/>
      <c r="Z1848" s="586"/>
      <c r="AA1848" s="742"/>
      <c r="AB1848" s="586"/>
      <c r="AC1848" s="586"/>
      <c r="AD1848" s="586"/>
      <c r="AE1848" s="578"/>
      <c r="AF1848" s="712">
        <f>SUBTOTAL(9,AF1849:AF1854)</f>
        <v>0</v>
      </c>
      <c r="AG1848" s="585"/>
      <c r="AH1848" s="585">
        <f>SUBTOTAL(9,AH1849:AH1854)</f>
        <v>0</v>
      </c>
      <c r="AI1848" s="571">
        <f t="shared" si="401"/>
        <v>16355000</v>
      </c>
      <c r="AJ1848" s="578"/>
      <c r="AK1848" s="578"/>
    </row>
    <row r="1849" spans="1:37" s="396" customFormat="1" ht="121.5" outlineLevel="2" x14ac:dyDescent="0.3">
      <c r="A1849" s="447">
        <f>IF(B1848&lt;&gt;0,B1848,A1847)</f>
        <v>156</v>
      </c>
      <c r="B1849" s="557"/>
      <c r="C1849" s="572" t="s">
        <v>1307</v>
      </c>
      <c r="D1849" s="560">
        <v>1</v>
      </c>
      <c r="E1849" s="612">
        <v>86</v>
      </c>
      <c r="F1849" s="612">
        <v>413</v>
      </c>
      <c r="G1849" s="586" t="s">
        <v>2897</v>
      </c>
      <c r="H1849" s="709">
        <f>29.5-H1850</f>
        <v>23.4</v>
      </c>
      <c r="I1849" s="546" t="str">
        <f t="shared" ref="I1849:I1850" si="414">IF(N1849&gt;0,H1849,"")</f>
        <v/>
      </c>
      <c r="J1849" s="562"/>
      <c r="K1849" s="563">
        <f>IF(G1849&lt;&gt;0,VLOOKUP(G1849,'gia dat'!$A$1:$F$144,5,0)," ")</f>
        <v>554400</v>
      </c>
      <c r="L1849" s="563">
        <f>IF(G1849&lt;&gt;0,VLOOKUP(G1849,'gia dat'!$A$1:$F$144,6,0)," ")</f>
        <v>0</v>
      </c>
      <c r="M1849" s="564">
        <f t="shared" si="407"/>
        <v>12973000</v>
      </c>
      <c r="N1849" s="564">
        <f t="shared" si="408"/>
        <v>0</v>
      </c>
      <c r="O1849" s="572"/>
      <c r="P1849" s="740"/>
      <c r="Q1849" s="564" t="str">
        <f>IF(O1849&lt;&gt;0,VLOOKUP(O1849,'Cây trong'!$A$2:$C$246,3,0)," ")</f>
        <v xml:space="preserve"> </v>
      </c>
      <c r="R1849" s="564" t="str">
        <f t="shared" si="404"/>
        <v xml:space="preserve"> </v>
      </c>
      <c r="S1849" s="566" t="s">
        <v>1305</v>
      </c>
      <c r="T1849" s="609" t="s">
        <v>93</v>
      </c>
      <c r="U1849" s="741">
        <v>1</v>
      </c>
      <c r="V1849" s="586"/>
      <c r="W1849" s="564">
        <f>IF(S1849&lt;&gt;0,VLOOKUP(S1849,VKT!$A$2:$G$415,7,0),"")</f>
        <v>0</v>
      </c>
      <c r="X1849" s="564">
        <f t="shared" si="411"/>
        <v>0</v>
      </c>
      <c r="Y1849" s="650"/>
      <c r="Z1849" s="586"/>
      <c r="AA1849" s="742"/>
      <c r="AB1849" s="586"/>
      <c r="AC1849" s="586"/>
      <c r="AD1849" s="586"/>
      <c r="AE1849" s="586"/>
      <c r="AF1849" s="714"/>
      <c r="AG1849" s="570" t="str">
        <f>IF(AE1849&lt;&gt;0,VLOOKUP(AE1849,ODDS!$A$2:$C$13,3,0),"")</f>
        <v/>
      </c>
      <c r="AH1849" s="570"/>
      <c r="AI1849" s="571" t="str">
        <f t="shared" si="401"/>
        <v xml:space="preserve"> </v>
      </c>
      <c r="AJ1849" s="586" t="s">
        <v>1306</v>
      </c>
      <c r="AK1849" s="586" t="s">
        <v>2771</v>
      </c>
    </row>
    <row r="1850" spans="1:37" s="396" customFormat="1" ht="101.25" outlineLevel="2" x14ac:dyDescent="0.3">
      <c r="A1850" s="447">
        <f>IF(B1849&lt;&gt;0,B1849,A1849)</f>
        <v>156</v>
      </c>
      <c r="B1850" s="557"/>
      <c r="C1850" s="572" t="s">
        <v>1615</v>
      </c>
      <c r="D1850" s="700"/>
      <c r="E1850" s="612"/>
      <c r="F1850" s="612"/>
      <c r="G1850" s="586" t="s">
        <v>2895</v>
      </c>
      <c r="H1850" s="709">
        <v>6.1</v>
      </c>
      <c r="I1850" s="546" t="str">
        <f t="shared" si="414"/>
        <v/>
      </c>
      <c r="J1850" s="562"/>
      <c r="K1850" s="563">
        <f>IF(G1850&lt;&gt;0,VLOOKUP(G1850,'gia dat'!$A$1:$F$144,5,0)," ")</f>
        <v>554400</v>
      </c>
      <c r="L1850" s="563">
        <f>IF(G1850&lt;&gt;0,VLOOKUP(G1850,'gia dat'!$A$1:$F$144,6,0)," ")</f>
        <v>0</v>
      </c>
      <c r="M1850" s="564">
        <f t="shared" si="407"/>
        <v>3382000</v>
      </c>
      <c r="N1850" s="564">
        <f t="shared" si="408"/>
        <v>0</v>
      </c>
      <c r="O1850" s="572"/>
      <c r="P1850" s="740"/>
      <c r="Q1850" s="564" t="str">
        <f>IF(O1850&lt;&gt;0,VLOOKUP(O1850,'Cây trong'!$A$2:$C$246,3,0)," ")</f>
        <v xml:space="preserve"> </v>
      </c>
      <c r="R1850" s="564" t="str">
        <f t="shared" si="404"/>
        <v xml:space="preserve"> </v>
      </c>
      <c r="S1850" s="566"/>
      <c r="T1850" s="609"/>
      <c r="U1850" s="741"/>
      <c r="V1850" s="586"/>
      <c r="W1850" s="564" t="str">
        <f>IF(S1850&lt;&gt;0,VLOOKUP(S1850,VKT!$A$2:$G$415,7,0),"")</f>
        <v/>
      </c>
      <c r="X1850" s="564" t="str">
        <f t="shared" si="411"/>
        <v xml:space="preserve"> </v>
      </c>
      <c r="Y1850" s="650"/>
      <c r="Z1850" s="586"/>
      <c r="AA1850" s="742"/>
      <c r="AB1850" s="586"/>
      <c r="AC1850" s="586"/>
      <c r="AD1850" s="586"/>
      <c r="AE1850" s="586"/>
      <c r="AF1850" s="714"/>
      <c r="AG1850" s="570" t="str">
        <f>IF(AE1850&lt;&gt;0,VLOOKUP(AE1850,ODDS!$A$2:$C$13,3,0),"")</f>
        <v/>
      </c>
      <c r="AH1850" s="570" t="str">
        <f t="shared" si="405"/>
        <v xml:space="preserve"> </v>
      </c>
      <c r="AI1850" s="571" t="str">
        <f t="shared" si="401"/>
        <v xml:space="preserve"> </v>
      </c>
      <c r="AJ1850" s="586" t="s">
        <v>1308</v>
      </c>
      <c r="AK1850" s="558"/>
    </row>
    <row r="1851" spans="1:37" s="394" customFormat="1" ht="20.25" outlineLevel="2" x14ac:dyDescent="0.3">
      <c r="A1851" s="447">
        <f>IF(B1850&lt;&gt;0,B1850,A1850)</f>
        <v>156</v>
      </c>
      <c r="B1851" s="557"/>
      <c r="C1851" s="572"/>
      <c r="D1851" s="700"/>
      <c r="E1851" s="612"/>
      <c r="F1851" s="612"/>
      <c r="G1851" s="586"/>
      <c r="H1851" s="709"/>
      <c r="I1851" s="546"/>
      <c r="J1851" s="562"/>
      <c r="K1851" s="563" t="str">
        <f>IF(G1851&lt;&gt;0,VLOOKUP(G1851,'gia dat'!$A$1:$F$144,5,0)," ")</f>
        <v xml:space="preserve"> </v>
      </c>
      <c r="L1851" s="563" t="str">
        <f>IF(G1851&lt;&gt;0,VLOOKUP(G1851,'gia dat'!$A$1:$F$144,6,0)," ")</f>
        <v xml:space="preserve"> </v>
      </c>
      <c r="M1851" s="564" t="str">
        <f t="shared" si="407"/>
        <v xml:space="preserve"> </v>
      </c>
      <c r="N1851" s="564" t="str">
        <f t="shared" si="408"/>
        <v xml:space="preserve"> </v>
      </c>
      <c r="O1851" s="572"/>
      <c r="P1851" s="740"/>
      <c r="Q1851" s="564" t="str">
        <f>IF(O1851&lt;&gt;0,VLOOKUP(O1851,'Cây trong'!$A$2:$C$246,3,0)," ")</f>
        <v xml:space="preserve"> </v>
      </c>
      <c r="R1851" s="564" t="str">
        <f t="shared" si="404"/>
        <v xml:space="preserve"> </v>
      </c>
      <c r="S1851" s="566"/>
      <c r="T1851" s="609"/>
      <c r="U1851" s="741"/>
      <c r="V1851" s="586"/>
      <c r="W1851" s="564" t="str">
        <f>IF(S1851&lt;&gt;0,VLOOKUP(S1851,VKT!$A$2:$G$415,7,0),"")</f>
        <v/>
      </c>
      <c r="X1851" s="564" t="str">
        <f t="shared" si="411"/>
        <v xml:space="preserve"> </v>
      </c>
      <c r="Y1851" s="650"/>
      <c r="Z1851" s="586"/>
      <c r="AA1851" s="742"/>
      <c r="AB1851" s="586"/>
      <c r="AC1851" s="586"/>
      <c r="AD1851" s="586"/>
      <c r="AE1851" s="586"/>
      <c r="AF1851" s="714"/>
      <c r="AG1851" s="570" t="str">
        <f>IF(AE1851&lt;&gt;0,VLOOKUP(AE1851,ODDS!$A$2:$C$13,3,0),"")</f>
        <v/>
      </c>
      <c r="AH1851" s="570" t="str">
        <f t="shared" si="405"/>
        <v xml:space="preserve"> </v>
      </c>
      <c r="AI1851" s="571" t="str">
        <f t="shared" si="401"/>
        <v xml:space="preserve"> </v>
      </c>
      <c r="AJ1851" s="586" t="s">
        <v>1309</v>
      </c>
      <c r="AK1851" s="586"/>
    </row>
    <row r="1852" spans="1:37" s="394" customFormat="1" ht="20.25" outlineLevel="2" x14ac:dyDescent="0.3">
      <c r="A1852" s="447">
        <f>IF(B1851&lt;&gt;0,B1851,A1851)</f>
        <v>156</v>
      </c>
      <c r="B1852" s="557"/>
      <c r="C1852" s="572"/>
      <c r="D1852" s="700"/>
      <c r="E1852" s="612"/>
      <c r="F1852" s="612"/>
      <c r="G1852" s="586"/>
      <c r="H1852" s="709"/>
      <c r="I1852" s="546"/>
      <c r="J1852" s="558"/>
      <c r="K1852" s="563" t="str">
        <f>IF(G1852&lt;&gt;0,VLOOKUP(G1852,'gia dat'!$A$1:$F$144,5,0)," ")</f>
        <v xml:space="preserve"> </v>
      </c>
      <c r="L1852" s="563" t="str">
        <f>IF(G1852&lt;&gt;0,VLOOKUP(G1852,'gia dat'!$A$1:$F$144,6,0)," ")</f>
        <v xml:space="preserve"> </v>
      </c>
      <c r="M1852" s="564" t="str">
        <f t="shared" si="407"/>
        <v xml:space="preserve"> </v>
      </c>
      <c r="N1852" s="564" t="str">
        <f t="shared" si="408"/>
        <v xml:space="preserve"> </v>
      </c>
      <c r="O1852" s="572"/>
      <c r="P1852" s="740"/>
      <c r="Q1852" s="564" t="str">
        <f>IF(O1852&lt;&gt;0,VLOOKUP(O1852,'Cây trong'!$A$2:$C$246,3,0)," ")</f>
        <v xml:space="preserve"> </v>
      </c>
      <c r="R1852" s="564" t="str">
        <f t="shared" si="404"/>
        <v xml:space="preserve"> </v>
      </c>
      <c r="S1852" s="572"/>
      <c r="T1852" s="609"/>
      <c r="U1852" s="741"/>
      <c r="V1852" s="586"/>
      <c r="W1852" s="564" t="str">
        <f>IF(S1852&lt;&gt;0,VLOOKUP(S1852,VKT!$A$2:$G$415,7,0),"")</f>
        <v/>
      </c>
      <c r="X1852" s="564" t="str">
        <f t="shared" si="411"/>
        <v xml:space="preserve"> </v>
      </c>
      <c r="Y1852" s="650"/>
      <c r="Z1852" s="586"/>
      <c r="AA1852" s="742"/>
      <c r="AB1852" s="586"/>
      <c r="AC1852" s="586"/>
      <c r="AD1852" s="586"/>
      <c r="AE1852" s="586"/>
      <c r="AF1852" s="714"/>
      <c r="AG1852" s="570" t="str">
        <f>IF(AE1852&lt;&gt;0,VLOOKUP(AE1852,ODDS!$A$2:$C$13,3,0),"")</f>
        <v/>
      </c>
      <c r="AH1852" s="570" t="str">
        <f t="shared" si="405"/>
        <v xml:space="preserve"> </v>
      </c>
      <c r="AI1852" s="571" t="str">
        <f t="shared" si="401"/>
        <v xml:space="preserve"> </v>
      </c>
      <c r="AJ1852" s="663" t="s">
        <v>2072</v>
      </c>
      <c r="AK1852" s="586"/>
    </row>
    <row r="1853" spans="1:37" s="394" customFormat="1" ht="121.5" outlineLevel="2" x14ac:dyDescent="0.3">
      <c r="A1853" s="447">
        <f>IF(B1852&lt;&gt;0,B1852,A1852)</f>
        <v>156</v>
      </c>
      <c r="B1853" s="557"/>
      <c r="C1853" s="572"/>
      <c r="D1853" s="700"/>
      <c r="E1853" s="612"/>
      <c r="F1853" s="612"/>
      <c r="G1853" s="586"/>
      <c r="H1853" s="709"/>
      <c r="I1853" s="546"/>
      <c r="J1853" s="558"/>
      <c r="K1853" s="563" t="str">
        <f>IF(G1853&lt;&gt;0,VLOOKUP(G1853,'gia dat'!$A$1:$F$144,5,0)," ")</f>
        <v xml:space="preserve"> </v>
      </c>
      <c r="L1853" s="563" t="str">
        <f>IF(G1853&lt;&gt;0,VLOOKUP(G1853,'gia dat'!$A$1:$F$144,6,0)," ")</f>
        <v xml:space="preserve"> </v>
      </c>
      <c r="M1853" s="564" t="str">
        <f t="shared" si="407"/>
        <v xml:space="preserve"> </v>
      </c>
      <c r="N1853" s="564" t="str">
        <f t="shared" si="408"/>
        <v xml:space="preserve"> </v>
      </c>
      <c r="O1853" s="572"/>
      <c r="P1853" s="740"/>
      <c r="Q1853" s="564" t="str">
        <f>IF(O1853&lt;&gt;0,VLOOKUP(O1853,'Cây trong'!$A$2:$C$246,3,0)," ")</f>
        <v xml:space="preserve"> </v>
      </c>
      <c r="R1853" s="564" t="str">
        <f t="shared" si="404"/>
        <v xml:space="preserve"> </v>
      </c>
      <c r="S1853" s="572"/>
      <c r="T1853" s="609"/>
      <c r="U1853" s="741"/>
      <c r="V1853" s="586"/>
      <c r="W1853" s="564" t="str">
        <f>IF(S1853&lt;&gt;0,VLOOKUP(S1853,VKT!$A$2:$G$415,7,0),"")</f>
        <v/>
      </c>
      <c r="X1853" s="564" t="str">
        <f t="shared" si="411"/>
        <v xml:space="preserve"> </v>
      </c>
      <c r="Y1853" s="650"/>
      <c r="Z1853" s="586"/>
      <c r="AA1853" s="742"/>
      <c r="AB1853" s="586"/>
      <c r="AC1853" s="586"/>
      <c r="AD1853" s="586"/>
      <c r="AE1853" s="586"/>
      <c r="AF1853" s="714"/>
      <c r="AG1853" s="570" t="str">
        <f>IF(AE1853&lt;&gt;0,VLOOKUP(AE1853,ODDS!$A$2:$C$13,3,0),"")</f>
        <v/>
      </c>
      <c r="AH1853" s="570" t="str">
        <f t="shared" si="405"/>
        <v xml:space="preserve"> </v>
      </c>
      <c r="AI1853" s="571" t="str">
        <f t="shared" si="401"/>
        <v xml:space="preserve"> </v>
      </c>
      <c r="AJ1853" s="586" t="s">
        <v>2239</v>
      </c>
      <c r="AK1853" s="586"/>
    </row>
    <row r="1854" spans="1:37" s="394" customFormat="1" ht="20.25" outlineLevel="2" x14ac:dyDescent="0.3">
      <c r="A1854" s="447">
        <f>IF(B1853&lt;&gt;0,B1853,A1853)</f>
        <v>156</v>
      </c>
      <c r="B1854" s="557"/>
      <c r="C1854" s="607"/>
      <c r="D1854" s="700"/>
      <c r="E1854" s="612"/>
      <c r="F1854" s="612"/>
      <c r="G1854" s="586"/>
      <c r="H1854" s="709"/>
      <c r="I1854" s="546"/>
      <c r="J1854" s="558"/>
      <c r="K1854" s="563" t="str">
        <f>IF(G1854&lt;&gt;0,VLOOKUP(G1854,'gia dat'!$A$1:$F$144,5,0)," ")</f>
        <v xml:space="preserve"> </v>
      </c>
      <c r="L1854" s="563" t="str">
        <f>IF(G1854&lt;&gt;0,VLOOKUP(G1854,'gia dat'!$A$1:$F$144,6,0)," ")</f>
        <v xml:space="preserve"> </v>
      </c>
      <c r="M1854" s="564" t="str">
        <f t="shared" si="407"/>
        <v xml:space="preserve"> </v>
      </c>
      <c r="N1854" s="564" t="str">
        <f t="shared" si="408"/>
        <v xml:space="preserve"> </v>
      </c>
      <c r="O1854" s="572"/>
      <c r="P1854" s="740"/>
      <c r="Q1854" s="564" t="str">
        <f>IF(O1854&lt;&gt;0,VLOOKUP(O1854,'Cây trong'!$A$2:$C$246,3,0)," ")</f>
        <v xml:space="preserve"> </v>
      </c>
      <c r="R1854" s="564" t="str">
        <f t="shared" si="404"/>
        <v xml:space="preserve"> </v>
      </c>
      <c r="S1854" s="572"/>
      <c r="T1854" s="609"/>
      <c r="U1854" s="741"/>
      <c r="V1854" s="586"/>
      <c r="W1854" s="564" t="str">
        <f>IF(S1854&lt;&gt;0,VLOOKUP(S1854,VKT!$A$2:$G$415,7,0),"")</f>
        <v/>
      </c>
      <c r="X1854" s="564" t="str">
        <f t="shared" si="411"/>
        <v xml:space="preserve"> </v>
      </c>
      <c r="Y1854" s="650"/>
      <c r="Z1854" s="586"/>
      <c r="AA1854" s="742"/>
      <c r="AB1854" s="586"/>
      <c r="AC1854" s="586"/>
      <c r="AD1854" s="586"/>
      <c r="AE1854" s="586"/>
      <c r="AF1854" s="714"/>
      <c r="AG1854" s="570" t="str">
        <f>IF(AE1854&lt;&gt;0,VLOOKUP(AE1854,ODDS!$A$2:$C$13,3,0),"")</f>
        <v/>
      </c>
      <c r="AH1854" s="570" t="str">
        <f t="shared" si="405"/>
        <v xml:space="preserve"> </v>
      </c>
      <c r="AI1854" s="571" t="str">
        <f t="shared" si="401"/>
        <v xml:space="preserve"> </v>
      </c>
      <c r="AJ1854" s="586"/>
      <c r="AK1854" s="586"/>
    </row>
    <row r="1855" spans="1:37" s="396" customFormat="1" ht="40.5" outlineLevel="1" x14ac:dyDescent="0.3">
      <c r="A1855" s="467" t="s">
        <v>2553</v>
      </c>
      <c r="B1855" s="576">
        <v>157</v>
      </c>
      <c r="C1855" s="607" t="s">
        <v>1310</v>
      </c>
      <c r="D1855" s="577"/>
      <c r="E1855" s="642"/>
      <c r="F1855" s="642"/>
      <c r="G1855" s="578"/>
      <c r="H1855" s="707">
        <f>SUBTOTAL(9,H1856:H1865)</f>
        <v>19.600000000000001</v>
      </c>
      <c r="I1855" s="579">
        <f>SUBTOTAL(9,I1856:I1861)</f>
        <v>9.8000000000000007</v>
      </c>
      <c r="J1855" s="580"/>
      <c r="K1855" s="581"/>
      <c r="L1855" s="581"/>
      <c r="M1855" s="571">
        <f>SUBTOTAL(9,M1856:M1865)</f>
        <v>10866000</v>
      </c>
      <c r="N1855" s="571">
        <f>SUBTOTAL(9,N1856:N1865)</f>
        <v>16299000</v>
      </c>
      <c r="O1855" s="607"/>
      <c r="P1855" s="738">
        <f>SUBTOTAL(9,P1856:P1865)</f>
        <v>85</v>
      </c>
      <c r="Q1855" s="571"/>
      <c r="R1855" s="571">
        <f>SUBTOTAL(9,R1856:R1865)</f>
        <v>6308000</v>
      </c>
      <c r="S1855" s="582"/>
      <c r="T1855" s="621"/>
      <c r="U1855" s="739">
        <f>SUBTOTAL(9,U1856:U1865)</f>
        <v>0</v>
      </c>
      <c r="V1855" s="578"/>
      <c r="W1855" s="571"/>
      <c r="X1855" s="571">
        <f>SUBTOTAL(9,X1856:X1865)</f>
        <v>0</v>
      </c>
      <c r="Y1855" s="650"/>
      <c r="Z1855" s="586"/>
      <c r="AA1855" s="742"/>
      <c r="AB1855" s="586"/>
      <c r="AC1855" s="586"/>
      <c r="AD1855" s="586"/>
      <c r="AE1855" s="746"/>
      <c r="AF1855" s="712">
        <f>SUBTOTAL(9,AF1856:AF1865)</f>
        <v>0</v>
      </c>
      <c r="AG1855" s="585"/>
      <c r="AH1855" s="585">
        <f>SUBTOTAL(9,AH1856:AH1865)</f>
        <v>0</v>
      </c>
      <c r="AI1855" s="571">
        <f t="shared" si="401"/>
        <v>33473000</v>
      </c>
      <c r="AJ1855" s="578"/>
      <c r="AK1855" s="578"/>
    </row>
    <row r="1856" spans="1:37" s="396" customFormat="1" ht="121.5" outlineLevel="2" x14ac:dyDescent="0.3">
      <c r="A1856" s="447">
        <f>IF(B1855&lt;&gt;0,B1855,A1854)</f>
        <v>157</v>
      </c>
      <c r="B1856" s="557"/>
      <c r="C1856" s="572" t="s">
        <v>1312</v>
      </c>
      <c r="D1856" s="560">
        <v>6</v>
      </c>
      <c r="E1856" s="612">
        <v>86</v>
      </c>
      <c r="F1856" s="612">
        <v>483</v>
      </c>
      <c r="G1856" s="586" t="s">
        <v>2897</v>
      </c>
      <c r="H1856" s="709">
        <f>19.6-H1857</f>
        <v>9.8000000000000007</v>
      </c>
      <c r="I1856" s="546" t="str">
        <f t="shared" ref="I1856:I1857" si="415">IF(N1856&gt;0,H1856,"")</f>
        <v/>
      </c>
      <c r="J1856" s="562"/>
      <c r="K1856" s="563">
        <f>IF(G1856&lt;&gt;0,VLOOKUP(G1856,'gia dat'!$A$1:$F$144,5,0)," ")</f>
        <v>554400</v>
      </c>
      <c r="L1856" s="563">
        <f>IF(G1856&lt;&gt;0,VLOOKUP(G1856,'gia dat'!$A$1:$F$144,6,0)," ")</f>
        <v>0</v>
      </c>
      <c r="M1856" s="564">
        <f t="shared" si="407"/>
        <v>5433000</v>
      </c>
      <c r="N1856" s="564">
        <f t="shared" si="408"/>
        <v>0</v>
      </c>
      <c r="O1856" s="572" t="s">
        <v>738</v>
      </c>
      <c r="P1856" s="740">
        <v>1</v>
      </c>
      <c r="Q1856" s="564">
        <f>IF(O1856&lt;&gt;0,VLOOKUP(O1856,'Cây trong'!$A$2:$C$246,3,0)," ")</f>
        <v>0</v>
      </c>
      <c r="R1856" s="564">
        <f t="shared" si="404"/>
        <v>0</v>
      </c>
      <c r="S1856" s="566"/>
      <c r="T1856" s="609"/>
      <c r="U1856" s="741"/>
      <c r="V1856" s="586"/>
      <c r="W1856" s="564" t="str">
        <f>IF(S1856&lt;&gt;0,VLOOKUP(S1856,VKT!$A$2:$G$415,7,0),"")</f>
        <v/>
      </c>
      <c r="X1856" s="564" t="str">
        <f t="shared" si="411"/>
        <v xml:space="preserve"> </v>
      </c>
      <c r="Y1856" s="650"/>
      <c r="Z1856" s="586"/>
      <c r="AA1856" s="742"/>
      <c r="AB1856" s="586"/>
      <c r="AC1856" s="586"/>
      <c r="AD1856" s="586"/>
      <c r="AE1856" s="731"/>
      <c r="AF1856" s="714"/>
      <c r="AG1856" s="570" t="str">
        <f>IF(AE1856&lt;&gt;0,VLOOKUP(AE1856,ODDS!$A$2:$C$13,3,0),"")</f>
        <v/>
      </c>
      <c r="AH1856" s="570"/>
      <c r="AI1856" s="571" t="str">
        <f t="shared" si="401"/>
        <v xml:space="preserve"> </v>
      </c>
      <c r="AJ1856" s="586" t="s">
        <v>1311</v>
      </c>
      <c r="AK1856" s="586" t="s">
        <v>2771</v>
      </c>
    </row>
    <row r="1857" spans="1:37" s="394" customFormat="1" ht="81" outlineLevel="2" x14ac:dyDescent="0.3">
      <c r="A1857" s="447">
        <f t="shared" ref="A1857:A1865" si="416">IF(B1856&lt;&gt;0,B1856,A1856)</f>
        <v>157</v>
      </c>
      <c r="B1857" s="557"/>
      <c r="C1857" s="607" t="s">
        <v>1313</v>
      </c>
      <c r="D1857" s="700"/>
      <c r="E1857" s="612"/>
      <c r="F1857" s="612"/>
      <c r="G1857" s="586" t="s">
        <v>2896</v>
      </c>
      <c r="H1857" s="709">
        <v>9.8000000000000007</v>
      </c>
      <c r="I1857" s="546">
        <f t="shared" si="415"/>
        <v>9.8000000000000007</v>
      </c>
      <c r="J1857" s="562"/>
      <c r="K1857" s="563">
        <f>IF(G1857&lt;&gt;0,VLOOKUP(G1857,'gia dat'!$A$1:$F$144,5,0)," ")</f>
        <v>554400</v>
      </c>
      <c r="L1857" s="563">
        <f>IF(G1857&lt;&gt;0,VLOOKUP(G1857,'gia dat'!$A$1:$F$144,6,0)," ")</f>
        <v>1663200</v>
      </c>
      <c r="M1857" s="564">
        <f t="shared" si="407"/>
        <v>5433000</v>
      </c>
      <c r="N1857" s="564">
        <f t="shared" si="408"/>
        <v>16299000</v>
      </c>
      <c r="O1857" s="572" t="s">
        <v>1240</v>
      </c>
      <c r="P1857" s="740">
        <v>1</v>
      </c>
      <c r="Q1857" s="564">
        <f>IF(O1857&lt;&gt;0,VLOOKUP(O1857,'Cây trong'!$A$2:$C$246,3,0)," ")</f>
        <v>0</v>
      </c>
      <c r="R1857" s="564">
        <f t="shared" si="404"/>
        <v>0</v>
      </c>
      <c r="S1857" s="566"/>
      <c r="T1857" s="609"/>
      <c r="U1857" s="741"/>
      <c r="V1857" s="586"/>
      <c r="W1857" s="564" t="str">
        <f>IF(S1857&lt;&gt;0,VLOOKUP(S1857,VKT!$A$2:$G$415,7,0),"")</f>
        <v/>
      </c>
      <c r="X1857" s="564" t="str">
        <f t="shared" si="411"/>
        <v xml:space="preserve"> </v>
      </c>
      <c r="Y1857" s="650"/>
      <c r="Z1857" s="586"/>
      <c r="AA1857" s="742"/>
      <c r="AB1857" s="586"/>
      <c r="AC1857" s="586"/>
      <c r="AD1857" s="586"/>
      <c r="AE1857" s="586"/>
      <c r="AF1857" s="714"/>
      <c r="AG1857" s="570" t="str">
        <f>IF(AE1857&lt;&gt;0,VLOOKUP(AE1857,ODDS!$A$2:$C$13,3,0),"")</f>
        <v/>
      </c>
      <c r="AH1857" s="570" t="str">
        <f t="shared" si="405"/>
        <v xml:space="preserve"> </v>
      </c>
      <c r="AI1857" s="571" t="str">
        <f t="shared" si="401"/>
        <v xml:space="preserve"> </v>
      </c>
      <c r="AJ1857" s="586" t="s">
        <v>1734</v>
      </c>
      <c r="AK1857" s="558" t="s">
        <v>2448</v>
      </c>
    </row>
    <row r="1858" spans="1:37" s="394" customFormat="1" ht="101.25" outlineLevel="2" x14ac:dyDescent="0.3">
      <c r="A1858" s="447">
        <f t="shared" si="416"/>
        <v>157</v>
      </c>
      <c r="B1858" s="557"/>
      <c r="C1858" s="572" t="s">
        <v>1315</v>
      </c>
      <c r="D1858" s="700"/>
      <c r="E1858" s="612"/>
      <c r="F1858" s="612"/>
      <c r="G1858" s="586"/>
      <c r="H1858" s="709"/>
      <c r="I1858" s="546"/>
      <c r="J1858" s="562"/>
      <c r="K1858" s="563" t="str">
        <f>IF(G1858&lt;&gt;0,VLOOKUP(G1858,'gia dat'!$A$1:$F$144,5,0)," ")</f>
        <v xml:space="preserve"> </v>
      </c>
      <c r="L1858" s="563" t="str">
        <f>IF(G1858&lt;&gt;0,VLOOKUP(G1858,'gia dat'!$A$1:$F$144,6,0)," ")</f>
        <v xml:space="preserve"> </v>
      </c>
      <c r="M1858" s="564" t="str">
        <f t="shared" si="407"/>
        <v xml:space="preserve"> </v>
      </c>
      <c r="N1858" s="564" t="str">
        <f t="shared" si="408"/>
        <v xml:space="preserve"> </v>
      </c>
      <c r="O1858" s="572" t="s">
        <v>72</v>
      </c>
      <c r="P1858" s="740">
        <v>24</v>
      </c>
      <c r="Q1858" s="564">
        <f>IF(O1858&lt;&gt;0,VLOOKUP(O1858,'Cây trong'!$A$2:$C$246,3,0)," ")</f>
        <v>132000</v>
      </c>
      <c r="R1858" s="564">
        <f t="shared" si="404"/>
        <v>3168000</v>
      </c>
      <c r="S1858" s="566"/>
      <c r="T1858" s="609"/>
      <c r="U1858" s="741"/>
      <c r="V1858" s="586"/>
      <c r="W1858" s="564" t="str">
        <f>IF(S1858&lt;&gt;0,VLOOKUP(S1858,VKT!$A$2:$G$415,7,0),"")</f>
        <v/>
      </c>
      <c r="X1858" s="564" t="str">
        <f t="shared" si="411"/>
        <v xml:space="preserve"> </v>
      </c>
      <c r="Y1858" s="650"/>
      <c r="Z1858" s="586"/>
      <c r="AA1858" s="742"/>
      <c r="AB1858" s="586"/>
      <c r="AC1858" s="586"/>
      <c r="AD1858" s="586"/>
      <c r="AE1858" s="586"/>
      <c r="AF1858" s="714"/>
      <c r="AG1858" s="570" t="str">
        <f>IF(AE1858&lt;&gt;0,VLOOKUP(AE1858,ODDS!$A$2:$C$13,3,0),"")</f>
        <v/>
      </c>
      <c r="AH1858" s="570" t="str">
        <f t="shared" si="405"/>
        <v xml:space="preserve"> </v>
      </c>
      <c r="AI1858" s="571" t="str">
        <f t="shared" si="401"/>
        <v xml:space="preserve"> </v>
      </c>
      <c r="AJ1858" s="586" t="s">
        <v>1314</v>
      </c>
      <c r="AK1858" s="558" t="s">
        <v>2449</v>
      </c>
    </row>
    <row r="1859" spans="1:37" s="394" customFormat="1" ht="121.5" outlineLevel="2" x14ac:dyDescent="0.3">
      <c r="A1859" s="447">
        <f t="shared" si="416"/>
        <v>157</v>
      </c>
      <c r="B1859" s="557"/>
      <c r="C1859" s="572" t="s">
        <v>1615</v>
      </c>
      <c r="D1859" s="700"/>
      <c r="E1859" s="612"/>
      <c r="F1859" s="612"/>
      <c r="G1859" s="586"/>
      <c r="H1859" s="709"/>
      <c r="I1859" s="546"/>
      <c r="J1859" s="558"/>
      <c r="K1859" s="563" t="str">
        <f>IF(G1859&lt;&gt;0,VLOOKUP(G1859,'gia dat'!$A$1:$F$144,5,0)," ")</f>
        <v xml:space="preserve"> </v>
      </c>
      <c r="L1859" s="563" t="str">
        <f>IF(G1859&lt;&gt;0,VLOOKUP(G1859,'gia dat'!$A$1:$F$144,6,0)," ")</f>
        <v xml:space="preserve"> </v>
      </c>
      <c r="M1859" s="564" t="str">
        <f t="shared" si="407"/>
        <v xml:space="preserve"> </v>
      </c>
      <c r="N1859" s="564" t="str">
        <f t="shared" si="408"/>
        <v xml:space="preserve"> </v>
      </c>
      <c r="O1859" s="572" t="s">
        <v>73</v>
      </c>
      <c r="P1859" s="740">
        <v>27</v>
      </c>
      <c r="Q1859" s="564">
        <f>IF(O1859&lt;&gt;0,VLOOKUP(O1859,'Cây trong'!$A$2:$C$246,3,0)," ")</f>
        <v>76000</v>
      </c>
      <c r="R1859" s="564">
        <f t="shared" si="404"/>
        <v>2052000</v>
      </c>
      <c r="S1859" s="572"/>
      <c r="T1859" s="609"/>
      <c r="U1859" s="741"/>
      <c r="V1859" s="586"/>
      <c r="W1859" s="564" t="str">
        <f>IF(S1859&lt;&gt;0,VLOOKUP(S1859,VKT!$A$2:$G$415,7,0),"")</f>
        <v/>
      </c>
      <c r="X1859" s="564" t="str">
        <f t="shared" si="411"/>
        <v xml:space="preserve"> </v>
      </c>
      <c r="Y1859" s="650"/>
      <c r="Z1859" s="586"/>
      <c r="AA1859" s="742"/>
      <c r="AB1859" s="586"/>
      <c r="AC1859" s="586"/>
      <c r="AD1859" s="586"/>
      <c r="AE1859" s="586"/>
      <c r="AF1859" s="714"/>
      <c r="AG1859" s="570" t="str">
        <f>IF(AE1859&lt;&gt;0,VLOOKUP(AE1859,ODDS!$A$2:$C$13,3,0),"")</f>
        <v/>
      </c>
      <c r="AH1859" s="570" t="str">
        <f t="shared" si="405"/>
        <v xml:space="preserve"> </v>
      </c>
      <c r="AI1859" s="571" t="str">
        <f t="shared" si="401"/>
        <v xml:space="preserve"> </v>
      </c>
      <c r="AJ1859" s="586" t="s">
        <v>2240</v>
      </c>
      <c r="AK1859" s="586"/>
    </row>
    <row r="1860" spans="1:37" s="394" customFormat="1" ht="20.25" outlineLevel="2" x14ac:dyDescent="0.3">
      <c r="A1860" s="447">
        <f t="shared" si="416"/>
        <v>157</v>
      </c>
      <c r="B1860" s="557"/>
      <c r="C1860" s="572"/>
      <c r="D1860" s="700"/>
      <c r="E1860" s="612"/>
      <c r="F1860" s="612"/>
      <c r="G1860" s="586"/>
      <c r="H1860" s="709"/>
      <c r="I1860" s="546"/>
      <c r="J1860" s="558"/>
      <c r="K1860" s="563" t="str">
        <f>IF(G1860&lt;&gt;0,VLOOKUP(G1860,'gia dat'!$A$1:$F$144,5,0)," ")</f>
        <v xml:space="preserve"> </v>
      </c>
      <c r="L1860" s="563" t="str">
        <f>IF(G1860&lt;&gt;0,VLOOKUP(G1860,'gia dat'!$A$1:$F$144,6,0)," ")</f>
        <v xml:space="preserve"> </v>
      </c>
      <c r="M1860" s="564" t="str">
        <f t="shared" si="407"/>
        <v xml:space="preserve"> </v>
      </c>
      <c r="N1860" s="564" t="str">
        <f t="shared" si="408"/>
        <v xml:space="preserve"> </v>
      </c>
      <c r="O1860" s="572" t="s">
        <v>75</v>
      </c>
      <c r="P1860" s="740">
        <v>32</v>
      </c>
      <c r="Q1860" s="564">
        <f>IF(O1860&lt;&gt;0,VLOOKUP(O1860,'Cây trong'!$A$2:$C$246,3,0)," ")</f>
        <v>34000</v>
      </c>
      <c r="R1860" s="564">
        <f t="shared" si="404"/>
        <v>1088000</v>
      </c>
      <c r="S1860" s="572"/>
      <c r="T1860" s="609"/>
      <c r="U1860" s="741"/>
      <c r="V1860" s="586"/>
      <c r="W1860" s="564" t="str">
        <f>IF(S1860&lt;&gt;0,VLOOKUP(S1860,VKT!$A$2:$G$415,7,0),"")</f>
        <v/>
      </c>
      <c r="X1860" s="564" t="str">
        <f t="shared" si="411"/>
        <v xml:space="preserve"> </v>
      </c>
      <c r="Y1860" s="650"/>
      <c r="Z1860" s="586"/>
      <c r="AA1860" s="742"/>
      <c r="AB1860" s="586"/>
      <c r="AC1860" s="586"/>
      <c r="AD1860" s="586"/>
      <c r="AE1860" s="586"/>
      <c r="AF1860" s="714"/>
      <c r="AG1860" s="570" t="str">
        <f>IF(AE1860&lt;&gt;0,VLOOKUP(AE1860,ODDS!$A$2:$C$13,3,0),"")</f>
        <v/>
      </c>
      <c r="AH1860" s="570" t="str">
        <f t="shared" si="405"/>
        <v xml:space="preserve"> </v>
      </c>
      <c r="AI1860" s="571" t="str">
        <f t="shared" si="401"/>
        <v xml:space="preserve"> </v>
      </c>
      <c r="AJ1860" s="572"/>
      <c r="AK1860" s="572"/>
    </row>
    <row r="1861" spans="1:37" s="394" customFormat="1" ht="20.25" outlineLevel="2" x14ac:dyDescent="0.3">
      <c r="A1861" s="447">
        <f t="shared" si="416"/>
        <v>157</v>
      </c>
      <c r="B1861" s="557"/>
      <c r="C1861" s="572"/>
      <c r="D1861" s="700"/>
      <c r="E1861" s="612"/>
      <c r="F1861" s="612"/>
      <c r="G1861" s="586"/>
      <c r="H1861" s="709"/>
      <c r="I1861" s="546"/>
      <c r="J1861" s="558"/>
      <c r="K1861" s="563" t="str">
        <f>IF(G1861&lt;&gt;0,VLOOKUP(G1861,'gia dat'!$A$1:$F$144,5,0)," ")</f>
        <v xml:space="preserve"> </v>
      </c>
      <c r="L1861" s="563" t="str">
        <f>IF(G1861&lt;&gt;0,VLOOKUP(G1861,'gia dat'!$A$1:$F$144,6,0)," ")</f>
        <v xml:space="preserve"> </v>
      </c>
      <c r="M1861" s="564" t="str">
        <f t="shared" si="407"/>
        <v xml:space="preserve"> </v>
      </c>
      <c r="N1861" s="564" t="str">
        <f t="shared" si="408"/>
        <v xml:space="preserve"> </v>
      </c>
      <c r="O1861" s="572"/>
      <c r="P1861" s="740"/>
      <c r="Q1861" s="564" t="str">
        <f>IF(O1861&lt;&gt;0,VLOOKUP(O1861,'Cây trong'!$A$2:$C$246,3,0)," ")</f>
        <v xml:space="preserve"> </v>
      </c>
      <c r="R1861" s="564" t="str">
        <f t="shared" si="404"/>
        <v xml:space="preserve"> </v>
      </c>
      <c r="S1861" s="572"/>
      <c r="T1861" s="609"/>
      <c r="U1861" s="741"/>
      <c r="V1861" s="586"/>
      <c r="W1861" s="564" t="str">
        <f>IF(S1861&lt;&gt;0,VLOOKUP(S1861,VKT!$A$2:$G$415,7,0),"")</f>
        <v/>
      </c>
      <c r="X1861" s="564" t="str">
        <f t="shared" si="411"/>
        <v xml:space="preserve"> </v>
      </c>
      <c r="Y1861" s="650"/>
      <c r="Z1861" s="586"/>
      <c r="AA1861" s="742"/>
      <c r="AB1861" s="586"/>
      <c r="AC1861" s="586"/>
      <c r="AD1861" s="586"/>
      <c r="AE1861" s="586"/>
      <c r="AF1861" s="714"/>
      <c r="AG1861" s="570" t="str">
        <f>IF(AE1861&lt;&gt;0,VLOOKUP(AE1861,ODDS!$A$2:$C$13,3,0),"")</f>
        <v/>
      </c>
      <c r="AH1861" s="570" t="str">
        <f t="shared" si="405"/>
        <v xml:space="preserve"> </v>
      </c>
      <c r="AI1861" s="571" t="str">
        <f t="shared" si="401"/>
        <v xml:space="preserve"> </v>
      </c>
      <c r="AJ1861" s="558"/>
      <c r="AK1861" s="558"/>
    </row>
    <row r="1862" spans="1:37" s="394" customFormat="1" ht="20.25" outlineLevel="2" x14ac:dyDescent="0.3">
      <c r="A1862" s="447">
        <f t="shared" si="416"/>
        <v>157</v>
      </c>
      <c r="B1862" s="557"/>
      <c r="C1862" s="572"/>
      <c r="D1862" s="700"/>
      <c r="E1862" s="612"/>
      <c r="F1862" s="612"/>
      <c r="G1862" s="586"/>
      <c r="H1862" s="709"/>
      <c r="I1862" s="546"/>
      <c r="J1862" s="558"/>
      <c r="K1862" s="563" t="str">
        <f>IF(G1862&lt;&gt;0,VLOOKUP(G1862,'gia dat'!$A$1:$F$144,5,0)," ")</f>
        <v xml:space="preserve"> </v>
      </c>
      <c r="L1862" s="563" t="str">
        <f>IF(G1862&lt;&gt;0,VLOOKUP(G1862,'gia dat'!$A$1:$F$144,6,0)," ")</f>
        <v xml:space="preserve"> </v>
      </c>
      <c r="M1862" s="564" t="str">
        <f t="shared" si="407"/>
        <v xml:space="preserve"> </v>
      </c>
      <c r="N1862" s="564" t="str">
        <f t="shared" si="408"/>
        <v xml:space="preserve"> </v>
      </c>
      <c r="O1862" s="572"/>
      <c r="P1862" s="740"/>
      <c r="Q1862" s="564" t="str">
        <f>IF(O1862&lt;&gt;0,VLOOKUP(O1862,'Cây trong'!$A$2:$C$246,3,0)," ")</f>
        <v xml:space="preserve"> </v>
      </c>
      <c r="R1862" s="564" t="str">
        <f t="shared" si="404"/>
        <v xml:space="preserve"> </v>
      </c>
      <c r="S1862" s="572"/>
      <c r="T1862" s="609"/>
      <c r="U1862" s="741"/>
      <c r="V1862" s="586"/>
      <c r="W1862" s="564" t="str">
        <f>IF(S1862&lt;&gt;0,VLOOKUP(S1862,VKT!$A$2:$G$415,7,0),"")</f>
        <v/>
      </c>
      <c r="X1862" s="564" t="str">
        <f t="shared" si="411"/>
        <v xml:space="preserve"> </v>
      </c>
      <c r="Y1862" s="650"/>
      <c r="Z1862" s="586"/>
      <c r="AA1862" s="742"/>
      <c r="AB1862" s="586"/>
      <c r="AC1862" s="586"/>
      <c r="AD1862" s="586"/>
      <c r="AE1862" s="586"/>
      <c r="AF1862" s="714"/>
      <c r="AG1862" s="570" t="str">
        <f>IF(AE1862&lt;&gt;0,VLOOKUP(AE1862,ODDS!$A$2:$C$13,3,0),"")</f>
        <v/>
      </c>
      <c r="AH1862" s="570" t="str">
        <f t="shared" si="405"/>
        <v xml:space="preserve"> </v>
      </c>
      <c r="AI1862" s="571" t="str">
        <f t="shared" si="401"/>
        <v xml:space="preserve"> </v>
      </c>
      <c r="AJ1862" s="558"/>
      <c r="AK1862" s="558"/>
    </row>
    <row r="1863" spans="1:37" s="394" customFormat="1" ht="20.25" outlineLevel="2" x14ac:dyDescent="0.3">
      <c r="A1863" s="447">
        <f t="shared" si="416"/>
        <v>157</v>
      </c>
      <c r="B1863" s="557"/>
      <c r="C1863" s="572"/>
      <c r="D1863" s="700"/>
      <c r="E1863" s="612"/>
      <c r="F1863" s="612"/>
      <c r="G1863" s="586"/>
      <c r="H1863" s="709"/>
      <c r="I1863" s="546"/>
      <c r="J1863" s="558"/>
      <c r="K1863" s="563" t="str">
        <f>IF(G1863&lt;&gt;0,VLOOKUP(G1863,'gia dat'!$A$1:$F$144,5,0)," ")</f>
        <v xml:space="preserve"> </v>
      </c>
      <c r="L1863" s="563" t="str">
        <f>IF(G1863&lt;&gt;0,VLOOKUP(G1863,'gia dat'!$A$1:$F$144,6,0)," ")</f>
        <v xml:space="preserve"> </v>
      </c>
      <c r="M1863" s="564" t="str">
        <f t="shared" si="407"/>
        <v xml:space="preserve"> </v>
      </c>
      <c r="N1863" s="564" t="str">
        <f t="shared" si="408"/>
        <v xml:space="preserve"> </v>
      </c>
      <c r="O1863" s="572"/>
      <c r="P1863" s="740"/>
      <c r="Q1863" s="564" t="str">
        <f>IF(O1863&lt;&gt;0,VLOOKUP(O1863,'Cây trong'!$A$2:$C$246,3,0)," ")</f>
        <v xml:space="preserve"> </v>
      </c>
      <c r="R1863" s="564" t="str">
        <f t="shared" si="404"/>
        <v xml:space="preserve"> </v>
      </c>
      <c r="S1863" s="572"/>
      <c r="T1863" s="609"/>
      <c r="U1863" s="741"/>
      <c r="V1863" s="586"/>
      <c r="W1863" s="564" t="str">
        <f>IF(S1863&lt;&gt;0,VLOOKUP(S1863,VKT!$A$2:$G$415,7,0),"")</f>
        <v/>
      </c>
      <c r="X1863" s="564" t="str">
        <f t="shared" si="411"/>
        <v xml:space="preserve"> </v>
      </c>
      <c r="Y1863" s="650"/>
      <c r="Z1863" s="586"/>
      <c r="AA1863" s="742"/>
      <c r="AB1863" s="586"/>
      <c r="AC1863" s="586"/>
      <c r="AD1863" s="586"/>
      <c r="AE1863" s="586"/>
      <c r="AF1863" s="714"/>
      <c r="AG1863" s="570" t="str">
        <f>IF(AE1863&lt;&gt;0,VLOOKUP(AE1863,ODDS!$A$2:$C$13,3,0),"")</f>
        <v/>
      </c>
      <c r="AH1863" s="570" t="str">
        <f t="shared" si="405"/>
        <v xml:space="preserve"> </v>
      </c>
      <c r="AI1863" s="571" t="str">
        <f t="shared" si="401"/>
        <v xml:space="preserve"> </v>
      </c>
      <c r="AJ1863" s="558"/>
      <c r="AK1863" s="558"/>
    </row>
    <row r="1864" spans="1:37" s="394" customFormat="1" ht="20.25" outlineLevel="2" x14ac:dyDescent="0.3">
      <c r="A1864" s="447">
        <f t="shared" si="416"/>
        <v>157</v>
      </c>
      <c r="B1864" s="557"/>
      <c r="C1864" s="572"/>
      <c r="D1864" s="700"/>
      <c r="E1864" s="612"/>
      <c r="F1864" s="612"/>
      <c r="G1864" s="586"/>
      <c r="H1864" s="709"/>
      <c r="I1864" s="546"/>
      <c r="J1864" s="558"/>
      <c r="K1864" s="563" t="str">
        <f>IF(G1864&lt;&gt;0,VLOOKUP(G1864,'gia dat'!$A$1:$F$144,5,0)," ")</f>
        <v xml:space="preserve"> </v>
      </c>
      <c r="L1864" s="563" t="str">
        <f>IF(G1864&lt;&gt;0,VLOOKUP(G1864,'gia dat'!$A$1:$F$144,6,0)," ")</f>
        <v xml:space="preserve"> </v>
      </c>
      <c r="M1864" s="564" t="str">
        <f t="shared" si="407"/>
        <v xml:space="preserve"> </v>
      </c>
      <c r="N1864" s="564" t="str">
        <f t="shared" si="408"/>
        <v xml:space="preserve"> </v>
      </c>
      <c r="O1864" s="572"/>
      <c r="P1864" s="740"/>
      <c r="Q1864" s="564" t="str">
        <f>IF(O1864&lt;&gt;0,VLOOKUP(O1864,'Cây trong'!$A$2:$C$246,3,0)," ")</f>
        <v xml:space="preserve"> </v>
      </c>
      <c r="R1864" s="564" t="str">
        <f t="shared" si="404"/>
        <v xml:space="preserve"> </v>
      </c>
      <c r="S1864" s="572"/>
      <c r="T1864" s="609"/>
      <c r="U1864" s="741"/>
      <c r="V1864" s="586"/>
      <c r="W1864" s="564" t="str">
        <f>IF(S1864&lt;&gt;0,VLOOKUP(S1864,VKT!$A$2:$G$415,7,0),"")</f>
        <v/>
      </c>
      <c r="X1864" s="564" t="str">
        <f t="shared" si="411"/>
        <v xml:space="preserve"> </v>
      </c>
      <c r="Y1864" s="650"/>
      <c r="Z1864" s="586"/>
      <c r="AA1864" s="742"/>
      <c r="AB1864" s="586"/>
      <c r="AC1864" s="586"/>
      <c r="AD1864" s="586"/>
      <c r="AE1864" s="586"/>
      <c r="AF1864" s="714"/>
      <c r="AG1864" s="570" t="str">
        <f>IF(AE1864&lt;&gt;0,VLOOKUP(AE1864,ODDS!$A$2:$C$13,3,0),"")</f>
        <v/>
      </c>
      <c r="AH1864" s="570" t="str">
        <f t="shared" si="405"/>
        <v xml:space="preserve"> </v>
      </c>
      <c r="AI1864" s="571" t="str">
        <f t="shared" si="401"/>
        <v xml:space="preserve"> </v>
      </c>
      <c r="AJ1864" s="558"/>
      <c r="AK1864" s="558"/>
    </row>
    <row r="1865" spans="1:37" s="394" customFormat="1" ht="20.25" outlineLevel="2" x14ac:dyDescent="0.3">
      <c r="A1865" s="447">
        <f t="shared" si="416"/>
        <v>157</v>
      </c>
      <c r="B1865" s="557"/>
      <c r="C1865" s="607"/>
      <c r="D1865" s="700"/>
      <c r="E1865" s="612"/>
      <c r="F1865" s="612"/>
      <c r="G1865" s="586"/>
      <c r="H1865" s="709"/>
      <c r="I1865" s="546"/>
      <c r="J1865" s="558"/>
      <c r="K1865" s="563" t="str">
        <f>IF(G1865&lt;&gt;0,VLOOKUP(G1865,'gia dat'!$A$1:$F$144,5,0)," ")</f>
        <v xml:space="preserve"> </v>
      </c>
      <c r="L1865" s="563" t="str">
        <f>IF(G1865&lt;&gt;0,VLOOKUP(G1865,'gia dat'!$A$1:$F$144,6,0)," ")</f>
        <v xml:space="preserve"> </v>
      </c>
      <c r="M1865" s="564" t="str">
        <f t="shared" si="407"/>
        <v xml:space="preserve"> </v>
      </c>
      <c r="N1865" s="564" t="str">
        <f t="shared" si="408"/>
        <v xml:space="preserve"> </v>
      </c>
      <c r="O1865" s="572"/>
      <c r="P1865" s="740"/>
      <c r="Q1865" s="564" t="str">
        <f>IF(O1865&lt;&gt;0,VLOOKUP(O1865,'Cây trong'!$A$2:$C$246,3,0)," ")</f>
        <v xml:space="preserve"> </v>
      </c>
      <c r="R1865" s="564" t="str">
        <f t="shared" si="404"/>
        <v xml:space="preserve"> </v>
      </c>
      <c r="S1865" s="572"/>
      <c r="T1865" s="609"/>
      <c r="U1865" s="741"/>
      <c r="V1865" s="586"/>
      <c r="W1865" s="564" t="str">
        <f>IF(S1865&lt;&gt;0,VLOOKUP(S1865,VKT!$A$2:$G$415,7,0),"")</f>
        <v/>
      </c>
      <c r="X1865" s="564" t="str">
        <f t="shared" si="411"/>
        <v xml:space="preserve"> </v>
      </c>
      <c r="Y1865" s="650"/>
      <c r="Z1865" s="586"/>
      <c r="AA1865" s="742"/>
      <c r="AB1865" s="586"/>
      <c r="AC1865" s="586"/>
      <c r="AD1865" s="586"/>
      <c r="AE1865" s="586"/>
      <c r="AF1865" s="714"/>
      <c r="AG1865" s="570" t="str">
        <f>IF(AE1865&lt;&gt;0,VLOOKUP(AE1865,ODDS!$A$2:$C$13,3,0),"")</f>
        <v/>
      </c>
      <c r="AH1865" s="570" t="str">
        <f t="shared" si="405"/>
        <v xml:space="preserve"> </v>
      </c>
      <c r="AI1865" s="571" t="str">
        <f t="shared" ref="AI1865:AI1928" si="417">IF(B1865&lt;&gt;0,M1865+N1865+R1865+X1865+AH1865," ")</f>
        <v xml:space="preserve"> </v>
      </c>
      <c r="AJ1865" s="586"/>
      <c r="AK1865" s="586"/>
    </row>
    <row r="1866" spans="1:37" s="394" customFormat="1" ht="40.5" outlineLevel="1" x14ac:dyDescent="0.25">
      <c r="A1866" s="467" t="s">
        <v>2552</v>
      </c>
      <c r="B1866" s="576">
        <v>158</v>
      </c>
      <c r="C1866" s="607" t="s">
        <v>1316</v>
      </c>
      <c r="D1866" s="706"/>
      <c r="E1866" s="642"/>
      <c r="F1866" s="642"/>
      <c r="G1866" s="578"/>
      <c r="H1866" s="707">
        <f>SUBTOTAL(9,H1867:H1873)</f>
        <v>2166.5</v>
      </c>
      <c r="I1866" s="579">
        <f>SUBTOTAL(9,I1867:I1872)</f>
        <v>0</v>
      </c>
      <c r="J1866" s="580"/>
      <c r="K1866" s="581"/>
      <c r="L1866" s="581"/>
      <c r="M1866" s="571">
        <f>SUBTOTAL(9,M1867:M1873)</f>
        <v>1151566000</v>
      </c>
      <c r="N1866" s="571">
        <f>SUBTOTAL(9,N1867:N1873)</f>
        <v>0</v>
      </c>
      <c r="O1866" s="607"/>
      <c r="P1866" s="738">
        <f>SUBTOTAL(9,P1867:P1873)</f>
        <v>1785</v>
      </c>
      <c r="Q1866" s="571"/>
      <c r="R1866" s="571">
        <f>SUBTOTAL(9,R1867:R1873)</f>
        <v>23436000</v>
      </c>
      <c r="S1866" s="582"/>
      <c r="T1866" s="621"/>
      <c r="U1866" s="739">
        <f>SUBTOTAL(9,U1867:U1873)</f>
        <v>0</v>
      </c>
      <c r="V1866" s="578"/>
      <c r="W1866" s="571"/>
      <c r="X1866" s="571">
        <f>SUBTOTAL(9,X1867:X1873)</f>
        <v>0</v>
      </c>
      <c r="Y1866" s="650"/>
      <c r="Z1866" s="586"/>
      <c r="AA1866" s="742"/>
      <c r="AB1866" s="586"/>
      <c r="AC1866" s="586"/>
      <c r="AD1866" s="586"/>
      <c r="AE1866" s="578"/>
      <c r="AF1866" s="712">
        <f>SUBTOTAL(9,AF1867:AF1873)</f>
        <v>0</v>
      </c>
      <c r="AG1866" s="585"/>
      <c r="AH1866" s="585">
        <f>SUBTOTAL(9,AH1867:AH1873)</f>
        <v>0</v>
      </c>
      <c r="AI1866" s="571">
        <f t="shared" si="417"/>
        <v>1175002000</v>
      </c>
      <c r="AJ1866" s="578"/>
      <c r="AK1866" s="578"/>
    </row>
    <row r="1867" spans="1:37" s="394" customFormat="1" ht="141.75" outlineLevel="2" x14ac:dyDescent="0.3">
      <c r="A1867" s="447">
        <f>IF(B1866&lt;&gt;0,B1866,A1865)</f>
        <v>158</v>
      </c>
      <c r="B1867" s="557"/>
      <c r="C1867" s="572" t="s">
        <v>1319</v>
      </c>
      <c r="D1867" s="700">
        <v>1</v>
      </c>
      <c r="E1867" s="612">
        <v>86</v>
      </c>
      <c r="F1867" s="612">
        <v>50</v>
      </c>
      <c r="G1867" s="586" t="s">
        <v>2423</v>
      </c>
      <c r="H1867" s="709">
        <v>499</v>
      </c>
      <c r="I1867" s="546" t="str">
        <f t="shared" ref="I1867:I1869" si="418">IF(N1867&gt;0,H1867,"")</f>
        <v/>
      </c>
      <c r="J1867" s="562"/>
      <c r="K1867" s="563">
        <f>IF(G1867&lt;&gt;0,VLOOKUP(G1867,'gia dat'!$A$1:$F$144,5,0)," ")</f>
        <v>465600</v>
      </c>
      <c r="L1867" s="563">
        <f>IF(G1867&lt;&gt;0,VLOOKUP(G1867,'gia dat'!$A$1:$F$144,6,0)," ")</f>
        <v>0</v>
      </c>
      <c r="M1867" s="564">
        <f t="shared" si="407"/>
        <v>232334000</v>
      </c>
      <c r="N1867" s="564">
        <f t="shared" si="408"/>
        <v>0</v>
      </c>
      <c r="O1867" s="572" t="s">
        <v>347</v>
      </c>
      <c r="P1867" s="740">
        <v>1757</v>
      </c>
      <c r="Q1867" s="564">
        <f>IF(O1867&lt;&gt;0,VLOOKUP(O1867,'Cây trong'!$A$2:$C$246,3,0)," ")</f>
        <v>12000</v>
      </c>
      <c r="R1867" s="564">
        <f t="shared" si="404"/>
        <v>21084000</v>
      </c>
      <c r="S1867" s="566"/>
      <c r="T1867" s="609"/>
      <c r="U1867" s="741"/>
      <c r="V1867" s="586"/>
      <c r="W1867" s="564" t="str">
        <f>IF(S1867&lt;&gt;0,VLOOKUP(S1867,VKT!$A$2:$G$415,7,0),"")</f>
        <v/>
      </c>
      <c r="X1867" s="564" t="str">
        <f t="shared" si="411"/>
        <v xml:space="preserve"> </v>
      </c>
      <c r="Y1867" s="650"/>
      <c r="Z1867" s="586"/>
      <c r="AA1867" s="742"/>
      <c r="AB1867" s="586"/>
      <c r="AC1867" s="586"/>
      <c r="AD1867" s="586"/>
      <c r="AE1867" s="586"/>
      <c r="AF1867" s="714"/>
      <c r="AG1867" s="570" t="str">
        <f>IF(AE1867&lt;&gt;0,VLOOKUP(AE1867,ODDS!$A$2:$C$13,3,0),"")</f>
        <v/>
      </c>
      <c r="AH1867" s="570"/>
      <c r="AI1867" s="571" t="str">
        <f t="shared" si="417"/>
        <v xml:space="preserve"> </v>
      </c>
      <c r="AJ1867" s="586" t="s">
        <v>1318</v>
      </c>
      <c r="AK1867" s="586" t="s">
        <v>2771</v>
      </c>
    </row>
    <row r="1868" spans="1:37" s="394" customFormat="1" ht="121.5" outlineLevel="2" x14ac:dyDescent="0.3">
      <c r="A1868" s="447">
        <f t="shared" ref="A1868:A1873" si="419">IF(B1867&lt;&gt;0,B1867,A1867)</f>
        <v>158</v>
      </c>
      <c r="B1868" s="557"/>
      <c r="C1868" s="572" t="s">
        <v>1616</v>
      </c>
      <c r="D1868" s="700"/>
      <c r="E1868" s="612">
        <v>86</v>
      </c>
      <c r="F1868" s="612">
        <v>50</v>
      </c>
      <c r="G1868" s="586" t="s">
        <v>2424</v>
      </c>
      <c r="H1868" s="709">
        <v>1608.6</v>
      </c>
      <c r="I1868" s="546" t="str">
        <f t="shared" si="418"/>
        <v/>
      </c>
      <c r="J1868" s="562"/>
      <c r="K1868" s="563">
        <f>IF(G1868&lt;&gt;0,VLOOKUP(G1868,'gia dat'!$A$1:$F$144,5,0)," ")</f>
        <v>554400</v>
      </c>
      <c r="L1868" s="563">
        <f>IF(G1868&lt;&gt;0,VLOOKUP(G1868,'gia dat'!$A$1:$F$144,6,0)," ")</f>
        <v>0</v>
      </c>
      <c r="M1868" s="564">
        <f t="shared" si="407"/>
        <v>891808000</v>
      </c>
      <c r="N1868" s="564">
        <f t="shared" si="408"/>
        <v>0</v>
      </c>
      <c r="O1868" s="572" t="s">
        <v>932</v>
      </c>
      <c r="P1868" s="740">
        <v>28</v>
      </c>
      <c r="Q1868" s="564">
        <f>IF(O1868&lt;&gt;0,VLOOKUP(O1868,'Cây trong'!$A$2:$C$246,3,0)," ")</f>
        <v>84000</v>
      </c>
      <c r="R1868" s="564">
        <f t="shared" si="404"/>
        <v>2352000</v>
      </c>
      <c r="S1868" s="566"/>
      <c r="T1868" s="609"/>
      <c r="U1868" s="741"/>
      <c r="V1868" s="586"/>
      <c r="W1868" s="564" t="str">
        <f>IF(S1868&lt;&gt;0,VLOOKUP(S1868,VKT!$A$2:$G$415,7,0),"")</f>
        <v/>
      </c>
      <c r="X1868" s="564" t="str">
        <f t="shared" si="411"/>
        <v xml:space="preserve"> </v>
      </c>
      <c r="Y1868" s="650"/>
      <c r="Z1868" s="586"/>
      <c r="AA1868" s="742"/>
      <c r="AB1868" s="586"/>
      <c r="AC1868" s="586"/>
      <c r="AD1868" s="586"/>
      <c r="AE1868" s="586"/>
      <c r="AF1868" s="714"/>
      <c r="AG1868" s="570" t="str">
        <f>IF(AE1868&lt;&gt;0,VLOOKUP(AE1868,ODDS!$A$2:$C$13,3,0),"")</f>
        <v/>
      </c>
      <c r="AH1868" s="570" t="str">
        <f t="shared" si="405"/>
        <v xml:space="preserve"> </v>
      </c>
      <c r="AI1868" s="571" t="str">
        <f t="shared" si="417"/>
        <v xml:space="preserve"> </v>
      </c>
      <c r="AJ1868" s="586" t="s">
        <v>2073</v>
      </c>
      <c r="AK1868" s="558" t="s">
        <v>2449</v>
      </c>
    </row>
    <row r="1869" spans="1:37" s="394" customFormat="1" ht="71.25" customHeight="1" outlineLevel="2" x14ac:dyDescent="0.3">
      <c r="A1869" s="447">
        <f t="shared" si="419"/>
        <v>158</v>
      </c>
      <c r="B1869" s="557"/>
      <c r="C1869" s="572"/>
      <c r="D1869" s="700"/>
      <c r="E1869" s="612">
        <v>86</v>
      </c>
      <c r="F1869" s="612" t="s">
        <v>1321</v>
      </c>
      <c r="G1869" s="586" t="s">
        <v>2425</v>
      </c>
      <c r="H1869" s="709">
        <v>58.9</v>
      </c>
      <c r="I1869" s="546" t="str">
        <f t="shared" si="418"/>
        <v/>
      </c>
      <c r="J1869" s="562"/>
      <c r="K1869" s="563">
        <f>IF(G1869&lt;&gt;0,VLOOKUP(G1869,'gia dat'!$A$1:$F$144,5,0)," ")</f>
        <v>465600</v>
      </c>
      <c r="L1869" s="563">
        <f>IF(G1869&lt;&gt;0,VLOOKUP(G1869,'gia dat'!$A$1:$F$144,6,0)," ")</f>
        <v>0</v>
      </c>
      <c r="M1869" s="564">
        <f t="shared" si="407"/>
        <v>27424000</v>
      </c>
      <c r="N1869" s="564">
        <f t="shared" si="408"/>
        <v>0</v>
      </c>
      <c r="O1869" s="572"/>
      <c r="P1869" s="740"/>
      <c r="Q1869" s="564" t="str">
        <f>IF(O1869&lt;&gt;0,VLOOKUP(O1869,'Cây trong'!$A$2:$C$246,3,0)," ")</f>
        <v xml:space="preserve"> </v>
      </c>
      <c r="R1869" s="564" t="str">
        <f t="shared" si="404"/>
        <v xml:space="preserve"> </v>
      </c>
      <c r="S1869" s="566"/>
      <c r="T1869" s="609"/>
      <c r="U1869" s="741"/>
      <c r="V1869" s="586"/>
      <c r="W1869" s="564" t="str">
        <f>IF(S1869&lt;&gt;0,VLOOKUP(S1869,VKT!$A$2:$G$415,7,0),"")</f>
        <v/>
      </c>
      <c r="X1869" s="564" t="str">
        <f t="shared" si="411"/>
        <v xml:space="preserve"> </v>
      </c>
      <c r="Y1869" s="650"/>
      <c r="Z1869" s="586"/>
      <c r="AA1869" s="742"/>
      <c r="AB1869" s="586"/>
      <c r="AC1869" s="586"/>
      <c r="AD1869" s="586"/>
      <c r="AE1869" s="586"/>
      <c r="AF1869" s="714"/>
      <c r="AG1869" s="570" t="str">
        <f>IF(AE1869&lt;&gt;0,VLOOKUP(AE1869,ODDS!$A$2:$C$13,3,0),"")</f>
        <v/>
      </c>
      <c r="AH1869" s="570" t="str">
        <f t="shared" si="405"/>
        <v xml:space="preserve"> </v>
      </c>
      <c r="AI1869" s="571" t="str">
        <f t="shared" si="417"/>
        <v xml:space="preserve"> </v>
      </c>
      <c r="AJ1869" s="586" t="s">
        <v>1726</v>
      </c>
      <c r="AK1869" s="586"/>
    </row>
    <row r="1870" spans="1:37" s="394" customFormat="1" ht="20.25" outlineLevel="2" x14ac:dyDescent="0.3">
      <c r="A1870" s="447">
        <f t="shared" si="419"/>
        <v>158</v>
      </c>
      <c r="B1870" s="557"/>
      <c r="C1870" s="572"/>
      <c r="D1870" s="700"/>
      <c r="E1870" s="612"/>
      <c r="F1870" s="612"/>
      <c r="G1870" s="586"/>
      <c r="H1870" s="709"/>
      <c r="I1870" s="546"/>
      <c r="J1870" s="562"/>
      <c r="K1870" s="563" t="str">
        <f>IF(G1870&lt;&gt;0,VLOOKUP(G1870,'gia dat'!$A$1:$F$144,5,0)," ")</f>
        <v xml:space="preserve"> </v>
      </c>
      <c r="L1870" s="563" t="str">
        <f>IF(G1870&lt;&gt;0,VLOOKUP(G1870,'gia dat'!$A$1:$F$144,6,0)," ")</f>
        <v xml:space="preserve"> </v>
      </c>
      <c r="M1870" s="564" t="str">
        <f t="shared" si="407"/>
        <v xml:space="preserve"> </v>
      </c>
      <c r="N1870" s="564" t="str">
        <f t="shared" si="408"/>
        <v xml:space="preserve"> </v>
      </c>
      <c r="O1870" s="572"/>
      <c r="P1870" s="740"/>
      <c r="Q1870" s="564" t="str">
        <f>IF(O1870&lt;&gt;0,VLOOKUP(O1870,'Cây trong'!$A$2:$C$246,3,0)," ")</f>
        <v xml:space="preserve"> </v>
      </c>
      <c r="R1870" s="564" t="str">
        <f t="shared" si="404"/>
        <v xml:space="preserve"> </v>
      </c>
      <c r="S1870" s="566"/>
      <c r="T1870" s="609"/>
      <c r="U1870" s="741"/>
      <c r="V1870" s="586"/>
      <c r="W1870" s="564" t="str">
        <f>IF(S1870&lt;&gt;0,VLOOKUP(S1870,VKT!$A$2:$G$415,7,0),"")</f>
        <v/>
      </c>
      <c r="X1870" s="564" t="str">
        <f t="shared" si="411"/>
        <v xml:space="preserve"> </v>
      </c>
      <c r="Y1870" s="650"/>
      <c r="Z1870" s="586"/>
      <c r="AA1870" s="742"/>
      <c r="AB1870" s="586"/>
      <c r="AC1870" s="586"/>
      <c r="AD1870" s="586"/>
      <c r="AE1870" s="586"/>
      <c r="AF1870" s="714"/>
      <c r="AG1870" s="570" t="str">
        <f>IF(AE1870&lt;&gt;0,VLOOKUP(AE1870,ODDS!$A$2:$C$13,3,0),"")</f>
        <v/>
      </c>
      <c r="AH1870" s="570" t="str">
        <f t="shared" si="405"/>
        <v xml:space="preserve"> </v>
      </c>
      <c r="AI1870" s="571" t="str">
        <f t="shared" si="417"/>
        <v xml:space="preserve"> </v>
      </c>
      <c r="AJ1870" s="586"/>
      <c r="AK1870" s="586"/>
    </row>
    <row r="1871" spans="1:37" s="394" customFormat="1" ht="20.25" outlineLevel="2" x14ac:dyDescent="0.3">
      <c r="A1871" s="447">
        <f t="shared" si="419"/>
        <v>158</v>
      </c>
      <c r="B1871" s="557"/>
      <c r="C1871" s="572"/>
      <c r="D1871" s="700"/>
      <c r="E1871" s="612"/>
      <c r="F1871" s="612"/>
      <c r="G1871" s="586"/>
      <c r="H1871" s="709"/>
      <c r="I1871" s="546"/>
      <c r="J1871" s="562"/>
      <c r="K1871" s="563" t="str">
        <f>IF(G1871&lt;&gt;0,VLOOKUP(G1871,'gia dat'!$A$1:$F$144,5,0)," ")</f>
        <v xml:space="preserve"> </v>
      </c>
      <c r="L1871" s="563" t="str">
        <f>IF(G1871&lt;&gt;0,VLOOKUP(G1871,'gia dat'!$A$1:$F$144,6,0)," ")</f>
        <v xml:space="preserve"> </v>
      </c>
      <c r="M1871" s="564" t="str">
        <f t="shared" si="407"/>
        <v xml:space="preserve"> </v>
      </c>
      <c r="N1871" s="564" t="str">
        <f t="shared" si="408"/>
        <v xml:space="preserve"> </v>
      </c>
      <c r="O1871" s="572"/>
      <c r="P1871" s="740"/>
      <c r="Q1871" s="564" t="str">
        <f>IF(O1871&lt;&gt;0,VLOOKUP(O1871,'Cây trong'!$A$2:$C$246,3,0)," ")</f>
        <v xml:space="preserve"> </v>
      </c>
      <c r="R1871" s="564" t="str">
        <f t="shared" si="404"/>
        <v xml:space="preserve"> </v>
      </c>
      <c r="S1871" s="566"/>
      <c r="T1871" s="609"/>
      <c r="U1871" s="741"/>
      <c r="V1871" s="586"/>
      <c r="W1871" s="564" t="str">
        <f>IF(S1871&lt;&gt;0,VLOOKUP(S1871,VKT!$A$2:$G$415,7,0),"")</f>
        <v/>
      </c>
      <c r="X1871" s="564" t="str">
        <f t="shared" si="411"/>
        <v xml:space="preserve"> </v>
      </c>
      <c r="Y1871" s="650"/>
      <c r="Z1871" s="586"/>
      <c r="AA1871" s="742"/>
      <c r="AB1871" s="586"/>
      <c r="AC1871" s="586"/>
      <c r="AD1871" s="586"/>
      <c r="AE1871" s="586"/>
      <c r="AF1871" s="714"/>
      <c r="AG1871" s="570" t="str">
        <f>IF(AE1871&lt;&gt;0,VLOOKUP(AE1871,ODDS!$A$2:$C$13,3,0),"")</f>
        <v/>
      </c>
      <c r="AH1871" s="570" t="str">
        <f t="shared" si="405"/>
        <v xml:space="preserve"> </v>
      </c>
      <c r="AI1871" s="571" t="str">
        <f t="shared" si="417"/>
        <v xml:space="preserve"> </v>
      </c>
      <c r="AJ1871" s="586"/>
      <c r="AK1871" s="586"/>
    </row>
    <row r="1872" spans="1:37" s="394" customFormat="1" ht="20.25" outlineLevel="2" x14ac:dyDescent="0.3">
      <c r="A1872" s="447">
        <f t="shared" si="419"/>
        <v>158</v>
      </c>
      <c r="B1872" s="557"/>
      <c r="C1872" s="572"/>
      <c r="D1872" s="700"/>
      <c r="E1872" s="612"/>
      <c r="F1872" s="612"/>
      <c r="G1872" s="586"/>
      <c r="H1872" s="709"/>
      <c r="I1872" s="546"/>
      <c r="J1872" s="562"/>
      <c r="K1872" s="563" t="str">
        <f>IF(G1872&lt;&gt;0,VLOOKUP(G1872,'gia dat'!$A$1:$F$144,5,0)," ")</f>
        <v xml:space="preserve"> </v>
      </c>
      <c r="L1872" s="563" t="str">
        <f>IF(G1872&lt;&gt;0,VLOOKUP(G1872,'gia dat'!$A$1:$F$144,6,0)," ")</f>
        <v xml:space="preserve"> </v>
      </c>
      <c r="M1872" s="564" t="str">
        <f t="shared" si="407"/>
        <v xml:space="preserve"> </v>
      </c>
      <c r="N1872" s="564" t="str">
        <f t="shared" si="408"/>
        <v xml:space="preserve"> </v>
      </c>
      <c r="O1872" s="572"/>
      <c r="P1872" s="740"/>
      <c r="Q1872" s="564" t="str">
        <f>IF(O1872&lt;&gt;0,VLOOKUP(O1872,'Cây trong'!$A$2:$C$246,3,0)," ")</f>
        <v xml:space="preserve"> </v>
      </c>
      <c r="R1872" s="564" t="str">
        <f t="shared" si="404"/>
        <v xml:space="preserve"> </v>
      </c>
      <c r="S1872" s="566"/>
      <c r="T1872" s="609"/>
      <c r="U1872" s="741"/>
      <c r="V1872" s="586"/>
      <c r="W1872" s="564" t="str">
        <f>IF(S1872&lt;&gt;0,VLOOKUP(S1872,VKT!$A$2:$G$415,7,0),"")</f>
        <v/>
      </c>
      <c r="X1872" s="564" t="str">
        <f t="shared" si="411"/>
        <v xml:space="preserve"> </v>
      </c>
      <c r="Y1872" s="650"/>
      <c r="Z1872" s="586"/>
      <c r="AA1872" s="742"/>
      <c r="AB1872" s="586"/>
      <c r="AC1872" s="586"/>
      <c r="AD1872" s="586"/>
      <c r="AE1872" s="586"/>
      <c r="AF1872" s="714"/>
      <c r="AG1872" s="570" t="str">
        <f>IF(AE1872&lt;&gt;0,VLOOKUP(AE1872,ODDS!$A$2:$C$13,3,0),"")</f>
        <v/>
      </c>
      <c r="AH1872" s="570" t="str">
        <f t="shared" si="405"/>
        <v xml:space="preserve"> </v>
      </c>
      <c r="AI1872" s="571" t="str">
        <f t="shared" si="417"/>
        <v xml:space="preserve"> </v>
      </c>
      <c r="AJ1872" s="586"/>
      <c r="AK1872" s="586"/>
    </row>
    <row r="1873" spans="1:37" s="394" customFormat="1" ht="20.25" outlineLevel="2" x14ac:dyDescent="0.3">
      <c r="A1873" s="447">
        <f t="shared" si="419"/>
        <v>158</v>
      </c>
      <c r="B1873" s="576"/>
      <c r="C1873" s="607"/>
      <c r="D1873" s="700"/>
      <c r="E1873" s="612"/>
      <c r="F1873" s="612"/>
      <c r="G1873" s="586"/>
      <c r="H1873" s="709"/>
      <c r="I1873" s="546"/>
      <c r="J1873" s="558"/>
      <c r="K1873" s="563" t="str">
        <f>IF(G1873&lt;&gt;0,VLOOKUP(G1873,'gia dat'!$A$1:$F$144,5,0)," ")</f>
        <v xml:space="preserve"> </v>
      </c>
      <c r="L1873" s="563" t="str">
        <f>IF(G1873&lt;&gt;0,VLOOKUP(G1873,'gia dat'!$A$1:$F$144,6,0)," ")</f>
        <v xml:space="preserve"> </v>
      </c>
      <c r="M1873" s="564" t="str">
        <f t="shared" si="407"/>
        <v xml:space="preserve"> </v>
      </c>
      <c r="N1873" s="564" t="str">
        <f t="shared" si="408"/>
        <v xml:space="preserve"> </v>
      </c>
      <c r="O1873" s="572"/>
      <c r="P1873" s="740"/>
      <c r="Q1873" s="564" t="str">
        <f>IF(O1873&lt;&gt;0,VLOOKUP(O1873,'Cây trong'!$A$2:$C$246,3,0)," ")</f>
        <v xml:space="preserve"> </v>
      </c>
      <c r="R1873" s="564" t="str">
        <f t="shared" si="404"/>
        <v xml:space="preserve"> </v>
      </c>
      <c r="S1873" s="572"/>
      <c r="T1873" s="609"/>
      <c r="U1873" s="741"/>
      <c r="V1873" s="586"/>
      <c r="W1873" s="564" t="str">
        <f>IF(S1873&lt;&gt;0,VLOOKUP(S1873,VKT!$A$2:$G$415,7,0),"")</f>
        <v/>
      </c>
      <c r="X1873" s="564" t="str">
        <f t="shared" si="411"/>
        <v xml:space="preserve"> </v>
      </c>
      <c r="Y1873" s="650"/>
      <c r="Z1873" s="586"/>
      <c r="AA1873" s="742"/>
      <c r="AB1873" s="586"/>
      <c r="AC1873" s="586"/>
      <c r="AD1873" s="586"/>
      <c r="AE1873" s="586"/>
      <c r="AF1873" s="714"/>
      <c r="AG1873" s="570" t="str">
        <f>IF(AE1873&lt;&gt;0,VLOOKUP(AE1873,ODDS!$A$2:$C$13,3,0),"")</f>
        <v/>
      </c>
      <c r="AH1873" s="570" t="str">
        <f t="shared" si="405"/>
        <v xml:space="preserve"> </v>
      </c>
      <c r="AI1873" s="571" t="str">
        <f t="shared" si="417"/>
        <v xml:space="preserve"> </v>
      </c>
      <c r="AJ1873" s="586"/>
      <c r="AK1873" s="586"/>
    </row>
    <row r="1874" spans="1:37" s="432" customFormat="1" ht="40.5" outlineLevel="1" x14ac:dyDescent="0.25">
      <c r="A1874" s="467" t="s">
        <v>2551</v>
      </c>
      <c r="B1874" s="576">
        <v>159</v>
      </c>
      <c r="C1874" s="607" t="s">
        <v>2173</v>
      </c>
      <c r="D1874" s="706"/>
      <c r="E1874" s="642"/>
      <c r="F1874" s="642"/>
      <c r="G1874" s="578"/>
      <c r="H1874" s="707">
        <f>SUBTOTAL(9,H1875:H1879)</f>
        <v>14</v>
      </c>
      <c r="I1874" s="579">
        <f>SUBTOTAL(9,I1875:I1880)</f>
        <v>0</v>
      </c>
      <c r="J1874" s="574"/>
      <c r="K1874" s="581"/>
      <c r="L1874" s="581"/>
      <c r="M1874" s="571">
        <f>SUBTOTAL(9,M1875:M1879)</f>
        <v>6518000</v>
      </c>
      <c r="N1874" s="571">
        <f>SUBTOTAL(9,N1875:N1879)</f>
        <v>0</v>
      </c>
      <c r="O1874" s="607"/>
      <c r="P1874" s="738">
        <f>SUBTOTAL(9,P1875:P1879)</f>
        <v>0</v>
      </c>
      <c r="Q1874" s="571"/>
      <c r="R1874" s="571">
        <f>SUBTOTAL(9,R1875:R1879)</f>
        <v>0</v>
      </c>
      <c r="S1874" s="607"/>
      <c r="T1874" s="621"/>
      <c r="U1874" s="739">
        <f>SUBTOTAL(9,U1875:U1879)</f>
        <v>0</v>
      </c>
      <c r="V1874" s="578"/>
      <c r="W1874" s="571"/>
      <c r="X1874" s="571">
        <f>SUBTOTAL(9,X1875:X1879)</f>
        <v>0</v>
      </c>
      <c r="Y1874" s="650"/>
      <c r="Z1874" s="578"/>
      <c r="AA1874" s="747"/>
      <c r="AB1874" s="578"/>
      <c r="AC1874" s="578"/>
      <c r="AD1874" s="578"/>
      <c r="AE1874" s="578"/>
      <c r="AF1874" s="712">
        <f>SUBTOTAL(9,AF1875:AF1879)</f>
        <v>0</v>
      </c>
      <c r="AG1874" s="585"/>
      <c r="AH1874" s="585">
        <f>SUBTOTAL(9,AH1875:AH1879)</f>
        <v>0</v>
      </c>
      <c r="AI1874" s="571">
        <f t="shared" si="417"/>
        <v>6518000</v>
      </c>
      <c r="AJ1874" s="578"/>
      <c r="AK1874" s="578"/>
    </row>
    <row r="1875" spans="1:37" s="432" customFormat="1" ht="162" outlineLevel="2" x14ac:dyDescent="0.3">
      <c r="A1875" s="447">
        <f>IF(B1874&lt;&gt;0,B1874,A1873)</f>
        <v>159</v>
      </c>
      <c r="B1875" s="557"/>
      <c r="C1875" s="572" t="s">
        <v>2458</v>
      </c>
      <c r="D1875" s="706"/>
      <c r="E1875" s="612">
        <v>86</v>
      </c>
      <c r="F1875" s="612">
        <v>52</v>
      </c>
      <c r="G1875" s="586" t="s">
        <v>2874</v>
      </c>
      <c r="H1875" s="709">
        <v>14</v>
      </c>
      <c r="I1875" s="546" t="str">
        <f t="shared" ref="I1875" si="420">IF(N1875&gt;0,H1875,"")</f>
        <v/>
      </c>
      <c r="J1875" s="574"/>
      <c r="K1875" s="563">
        <f>IF(G1875&lt;&gt;0,VLOOKUP(G1875,'gia dat'!$A$1:$F$144,5,0)," ")</f>
        <v>465600</v>
      </c>
      <c r="L1875" s="563">
        <f>IF(G1875&lt;&gt;0,VLOOKUP(G1875,'gia dat'!$A$1:$F$144,6,0)," ")</f>
        <v>0</v>
      </c>
      <c r="M1875" s="564">
        <f t="shared" si="407"/>
        <v>6518000</v>
      </c>
      <c r="N1875" s="564">
        <f t="shared" si="408"/>
        <v>0</v>
      </c>
      <c r="O1875" s="607"/>
      <c r="P1875" s="738"/>
      <c r="Q1875" s="571"/>
      <c r="R1875" s="571"/>
      <c r="S1875" s="607"/>
      <c r="T1875" s="621"/>
      <c r="U1875" s="739"/>
      <c r="V1875" s="578"/>
      <c r="W1875" s="564" t="str">
        <f>IF(S1875&lt;&gt;0,VLOOKUP(S1875,VKT!$A$2:$G$415,7,0),"")</f>
        <v/>
      </c>
      <c r="X1875" s="564" t="str">
        <f t="shared" si="411"/>
        <v xml:space="preserve"> </v>
      </c>
      <c r="Y1875" s="650"/>
      <c r="Z1875" s="578"/>
      <c r="AA1875" s="747"/>
      <c r="AB1875" s="578"/>
      <c r="AC1875" s="578"/>
      <c r="AD1875" s="578"/>
      <c r="AE1875" s="578"/>
      <c r="AF1875" s="712"/>
      <c r="AG1875" s="570" t="str">
        <f>IF(AE1875&lt;&gt;0,VLOOKUP(AE1875,ODDS!$A$2:$C$13,3,0),"")</f>
        <v/>
      </c>
      <c r="AH1875" s="585"/>
      <c r="AI1875" s="571" t="str">
        <f t="shared" si="417"/>
        <v xml:space="preserve"> </v>
      </c>
      <c r="AJ1875" s="586" t="s">
        <v>2241</v>
      </c>
      <c r="AK1875" s="586" t="s">
        <v>2771</v>
      </c>
    </row>
    <row r="1876" spans="1:37" s="394" customFormat="1" ht="101.25" outlineLevel="2" x14ac:dyDescent="0.3">
      <c r="A1876" s="447">
        <f>IF(B1875&lt;&gt;0,B1875,A1875)</f>
        <v>159</v>
      </c>
      <c r="B1876" s="557"/>
      <c r="C1876" s="572" t="s">
        <v>1617</v>
      </c>
      <c r="D1876" s="700"/>
      <c r="E1876" s="612"/>
      <c r="F1876" s="612"/>
      <c r="G1876" s="586"/>
      <c r="H1876" s="709"/>
      <c r="I1876" s="546"/>
      <c r="J1876" s="558"/>
      <c r="K1876" s="563" t="str">
        <f>IF(G1876&lt;&gt;0,VLOOKUP(G1876,'gia dat'!$A$1:$F$144,5,0)," ")</f>
        <v xml:space="preserve"> </v>
      </c>
      <c r="L1876" s="563" t="str">
        <f>IF(G1876&lt;&gt;0,VLOOKUP(G1876,'gia dat'!$A$1:$F$144,6,0)," ")</f>
        <v xml:space="preserve"> </v>
      </c>
      <c r="M1876" s="564" t="str">
        <f t="shared" si="407"/>
        <v xml:space="preserve"> </v>
      </c>
      <c r="N1876" s="564" t="str">
        <f t="shared" si="408"/>
        <v xml:space="preserve"> </v>
      </c>
      <c r="O1876" s="572"/>
      <c r="P1876" s="740"/>
      <c r="Q1876" s="564"/>
      <c r="R1876" s="564"/>
      <c r="S1876" s="572"/>
      <c r="T1876" s="609"/>
      <c r="U1876" s="741"/>
      <c r="V1876" s="586"/>
      <c r="W1876" s="564" t="str">
        <f>IF(S1876&lt;&gt;0,VLOOKUP(S1876,VKT!$A$2:$G$415,7,0),"")</f>
        <v/>
      </c>
      <c r="X1876" s="564" t="str">
        <f t="shared" si="411"/>
        <v xml:space="preserve"> </v>
      </c>
      <c r="Y1876" s="650"/>
      <c r="Z1876" s="586"/>
      <c r="AA1876" s="742"/>
      <c r="AB1876" s="586"/>
      <c r="AC1876" s="586"/>
      <c r="AD1876" s="586"/>
      <c r="AE1876" s="586"/>
      <c r="AF1876" s="714"/>
      <c r="AG1876" s="570" t="str">
        <f>IF(AE1876&lt;&gt;0,VLOOKUP(AE1876,ODDS!$A$2:$C$13,3,0),"")</f>
        <v/>
      </c>
      <c r="AH1876" s="570"/>
      <c r="AI1876" s="571" t="str">
        <f t="shared" si="417"/>
        <v xml:space="preserve"> </v>
      </c>
      <c r="AJ1876" s="586"/>
      <c r="AK1876" s="586"/>
    </row>
    <row r="1877" spans="1:37" s="394" customFormat="1" ht="20.25" outlineLevel="2" x14ac:dyDescent="0.3">
      <c r="A1877" s="447">
        <f>IF(B1876&lt;&gt;0,B1876,A1876)</f>
        <v>159</v>
      </c>
      <c r="B1877" s="557"/>
      <c r="C1877" s="572"/>
      <c r="D1877" s="700"/>
      <c r="E1877" s="612"/>
      <c r="F1877" s="612"/>
      <c r="G1877" s="586"/>
      <c r="H1877" s="709"/>
      <c r="I1877" s="546"/>
      <c r="J1877" s="558"/>
      <c r="K1877" s="563" t="str">
        <f>IF(G1877&lt;&gt;0,VLOOKUP(G1877,'gia dat'!$A$1:$F$144,5,0)," ")</f>
        <v xml:space="preserve"> </v>
      </c>
      <c r="L1877" s="563" t="str">
        <f>IF(G1877&lt;&gt;0,VLOOKUP(G1877,'gia dat'!$A$1:$F$144,6,0)," ")</f>
        <v xml:space="preserve"> </v>
      </c>
      <c r="M1877" s="564" t="str">
        <f t="shared" si="407"/>
        <v xml:space="preserve"> </v>
      </c>
      <c r="N1877" s="564" t="str">
        <f t="shared" si="408"/>
        <v xml:space="preserve"> </v>
      </c>
      <c r="O1877" s="572"/>
      <c r="P1877" s="740"/>
      <c r="Q1877" s="564"/>
      <c r="R1877" s="564"/>
      <c r="S1877" s="572"/>
      <c r="T1877" s="609"/>
      <c r="U1877" s="741"/>
      <c r="V1877" s="586"/>
      <c r="W1877" s="564" t="str">
        <f>IF(S1877&lt;&gt;0,VLOOKUP(S1877,VKT!$A$2:$G$415,7,0),"")</f>
        <v/>
      </c>
      <c r="X1877" s="564" t="str">
        <f t="shared" si="411"/>
        <v xml:space="preserve"> </v>
      </c>
      <c r="Y1877" s="650"/>
      <c r="Z1877" s="586"/>
      <c r="AA1877" s="742"/>
      <c r="AB1877" s="586"/>
      <c r="AC1877" s="586"/>
      <c r="AD1877" s="586"/>
      <c r="AE1877" s="586"/>
      <c r="AF1877" s="714"/>
      <c r="AG1877" s="570" t="str">
        <f>IF(AE1877&lt;&gt;0,VLOOKUP(AE1877,ODDS!$A$2:$C$13,3,0),"")</f>
        <v/>
      </c>
      <c r="AH1877" s="570"/>
      <c r="AI1877" s="571" t="str">
        <f t="shared" si="417"/>
        <v xml:space="preserve"> </v>
      </c>
      <c r="AJ1877" s="586"/>
      <c r="AK1877" s="586"/>
    </row>
    <row r="1878" spans="1:37" s="394" customFormat="1" ht="20.25" outlineLevel="2" x14ac:dyDescent="0.3">
      <c r="A1878" s="447">
        <f>IF(B1877&lt;&gt;0,B1877,A1877)</f>
        <v>159</v>
      </c>
      <c r="B1878" s="557"/>
      <c r="C1878" s="572"/>
      <c r="D1878" s="700"/>
      <c r="E1878" s="612"/>
      <c r="F1878" s="612"/>
      <c r="G1878" s="586"/>
      <c r="H1878" s="709"/>
      <c r="I1878" s="546"/>
      <c r="J1878" s="558"/>
      <c r="K1878" s="563" t="str">
        <f>IF(G1878&lt;&gt;0,VLOOKUP(G1878,'gia dat'!$A$1:$F$144,5,0)," ")</f>
        <v xml:space="preserve"> </v>
      </c>
      <c r="L1878" s="563" t="str">
        <f>IF(G1878&lt;&gt;0,VLOOKUP(G1878,'gia dat'!$A$1:$F$144,6,0)," ")</f>
        <v xml:space="preserve"> </v>
      </c>
      <c r="M1878" s="564" t="str">
        <f t="shared" si="407"/>
        <v xml:space="preserve"> </v>
      </c>
      <c r="N1878" s="564" t="str">
        <f t="shared" si="408"/>
        <v xml:space="preserve"> </v>
      </c>
      <c r="O1878" s="572"/>
      <c r="P1878" s="740"/>
      <c r="Q1878" s="564"/>
      <c r="R1878" s="564"/>
      <c r="S1878" s="572"/>
      <c r="T1878" s="609"/>
      <c r="U1878" s="741"/>
      <c r="V1878" s="586"/>
      <c r="W1878" s="564" t="str">
        <f>IF(S1878&lt;&gt;0,VLOOKUP(S1878,VKT!$A$2:$G$415,7,0),"")</f>
        <v/>
      </c>
      <c r="X1878" s="564" t="str">
        <f t="shared" si="411"/>
        <v xml:space="preserve"> </v>
      </c>
      <c r="Y1878" s="650"/>
      <c r="Z1878" s="586"/>
      <c r="AA1878" s="742"/>
      <c r="AB1878" s="586"/>
      <c r="AC1878" s="586"/>
      <c r="AD1878" s="586"/>
      <c r="AE1878" s="586"/>
      <c r="AF1878" s="714"/>
      <c r="AG1878" s="570" t="str">
        <f>IF(AE1878&lt;&gt;0,VLOOKUP(AE1878,ODDS!$A$2:$C$13,3,0),"")</f>
        <v/>
      </c>
      <c r="AH1878" s="570"/>
      <c r="AI1878" s="571" t="str">
        <f t="shared" si="417"/>
        <v xml:space="preserve"> </v>
      </c>
      <c r="AJ1878" s="586"/>
      <c r="AK1878" s="586"/>
    </row>
    <row r="1879" spans="1:37" s="394" customFormat="1" ht="20.25" outlineLevel="2" x14ac:dyDescent="0.3">
      <c r="A1879" s="447">
        <f>IF(B1878&lt;&gt;0,B1878,A1878)</f>
        <v>159</v>
      </c>
      <c r="B1879" s="576"/>
      <c r="C1879" s="607"/>
      <c r="D1879" s="700"/>
      <c r="E1879" s="612"/>
      <c r="F1879" s="612"/>
      <c r="G1879" s="586"/>
      <c r="H1879" s="709"/>
      <c r="I1879" s="546"/>
      <c r="J1879" s="558"/>
      <c r="K1879" s="563" t="str">
        <f>IF(G1879&lt;&gt;0,VLOOKUP(G1879,'gia dat'!$A$1:$F$144,5,0)," ")</f>
        <v xml:space="preserve"> </v>
      </c>
      <c r="L1879" s="563" t="str">
        <f>IF(G1879&lt;&gt;0,VLOOKUP(G1879,'gia dat'!$A$1:$F$144,6,0)," ")</f>
        <v xml:space="preserve"> </v>
      </c>
      <c r="M1879" s="564" t="str">
        <f t="shared" si="407"/>
        <v xml:space="preserve"> </v>
      </c>
      <c r="N1879" s="564" t="str">
        <f t="shared" si="408"/>
        <v xml:space="preserve"> </v>
      </c>
      <c r="O1879" s="572"/>
      <c r="P1879" s="740"/>
      <c r="Q1879" s="564"/>
      <c r="R1879" s="564"/>
      <c r="S1879" s="572"/>
      <c r="T1879" s="609"/>
      <c r="U1879" s="741"/>
      <c r="V1879" s="586"/>
      <c r="W1879" s="564" t="str">
        <f>IF(S1879&lt;&gt;0,VLOOKUP(S1879,VKT!$A$2:$G$415,7,0),"")</f>
        <v/>
      </c>
      <c r="X1879" s="564" t="str">
        <f t="shared" si="411"/>
        <v xml:space="preserve"> </v>
      </c>
      <c r="Y1879" s="650"/>
      <c r="Z1879" s="586"/>
      <c r="AA1879" s="742"/>
      <c r="AB1879" s="586"/>
      <c r="AC1879" s="586"/>
      <c r="AD1879" s="586"/>
      <c r="AE1879" s="586"/>
      <c r="AF1879" s="714"/>
      <c r="AG1879" s="570" t="str">
        <f>IF(AE1879&lt;&gt;0,VLOOKUP(AE1879,ODDS!$A$2:$C$13,3,0),"")</f>
        <v/>
      </c>
      <c r="AH1879" s="570"/>
      <c r="AI1879" s="571" t="str">
        <f t="shared" si="417"/>
        <v xml:space="preserve"> </v>
      </c>
      <c r="AJ1879" s="586"/>
      <c r="AK1879" s="586"/>
    </row>
    <row r="1880" spans="1:37" s="396" customFormat="1" ht="40.5" outlineLevel="1" x14ac:dyDescent="0.25">
      <c r="A1880" s="467" t="s">
        <v>2550</v>
      </c>
      <c r="B1880" s="576">
        <v>160</v>
      </c>
      <c r="C1880" s="607" t="s">
        <v>2173</v>
      </c>
      <c r="D1880" s="706"/>
      <c r="E1880" s="642"/>
      <c r="F1880" s="642"/>
      <c r="G1880" s="578"/>
      <c r="H1880" s="707">
        <f>SUBTOTAL(9,H1881:H1890)</f>
        <v>8.1</v>
      </c>
      <c r="I1880" s="579">
        <f>SUBTOTAL(9,I1881:I1886)</f>
        <v>0</v>
      </c>
      <c r="J1880" s="574"/>
      <c r="K1880" s="581"/>
      <c r="L1880" s="581"/>
      <c r="M1880" s="571">
        <f>SUBTOTAL(9,M1881:M1890)</f>
        <v>3772000</v>
      </c>
      <c r="N1880" s="571">
        <f>SUBTOTAL(9,N1881:N1890)</f>
        <v>0</v>
      </c>
      <c r="O1880" s="607"/>
      <c r="P1880" s="738">
        <f>SUBTOTAL(9,P1881:P1890)</f>
        <v>0</v>
      </c>
      <c r="Q1880" s="571"/>
      <c r="R1880" s="571">
        <f>SUBTOTAL(9,R1881:R1890)</f>
        <v>0</v>
      </c>
      <c r="S1880" s="607"/>
      <c r="T1880" s="621"/>
      <c r="U1880" s="739">
        <f>SUBTOTAL(9,U1881:U1890)</f>
        <v>0</v>
      </c>
      <c r="V1880" s="578"/>
      <c r="W1880" s="571"/>
      <c r="X1880" s="571">
        <f>SUBTOTAL(9,X1881:X1890)</f>
        <v>0</v>
      </c>
      <c r="Y1880" s="650"/>
      <c r="Z1880" s="586"/>
      <c r="AA1880" s="742"/>
      <c r="AB1880" s="586"/>
      <c r="AC1880" s="586"/>
      <c r="AD1880" s="586"/>
      <c r="AE1880" s="578"/>
      <c r="AF1880" s="712">
        <f>SUBTOTAL(9,AF1881:AF1890)</f>
        <v>0</v>
      </c>
      <c r="AG1880" s="585"/>
      <c r="AH1880" s="585">
        <f>SUBTOTAL(9,AH1881:AH1890)</f>
        <v>0</v>
      </c>
      <c r="AI1880" s="571">
        <f t="shared" si="417"/>
        <v>3772000</v>
      </c>
      <c r="AJ1880" s="578"/>
      <c r="AK1880" s="578"/>
    </row>
    <row r="1881" spans="1:37" s="396" customFormat="1" ht="162" outlineLevel="2" x14ac:dyDescent="0.3">
      <c r="A1881" s="447">
        <f>IF(B1880&lt;&gt;0,B1880,A1879)</f>
        <v>160</v>
      </c>
      <c r="B1881" s="557"/>
      <c r="C1881" s="572" t="s">
        <v>2458</v>
      </c>
      <c r="D1881" s="700"/>
      <c r="E1881" s="612">
        <v>86</v>
      </c>
      <c r="F1881" s="612">
        <v>52</v>
      </c>
      <c r="G1881" s="586" t="s">
        <v>2874</v>
      </c>
      <c r="H1881" s="709">
        <v>7.6</v>
      </c>
      <c r="I1881" s="546" t="str">
        <f t="shared" ref="I1881:I1882" si="421">IF(N1881&gt;0,H1881,"")</f>
        <v/>
      </c>
      <c r="J1881" s="558"/>
      <c r="K1881" s="563">
        <f>IF(G1881&lt;&gt;0,VLOOKUP(G1881,'gia dat'!$A$1:$F$144,5,0)," ")</f>
        <v>465600</v>
      </c>
      <c r="L1881" s="563">
        <f>IF(G1881&lt;&gt;0,VLOOKUP(G1881,'gia dat'!$A$1:$F$144,6,0)," ")</f>
        <v>0</v>
      </c>
      <c r="M1881" s="564">
        <f t="shared" si="407"/>
        <v>3539000</v>
      </c>
      <c r="N1881" s="564">
        <f t="shared" si="408"/>
        <v>0</v>
      </c>
      <c r="O1881" s="572"/>
      <c r="P1881" s="740"/>
      <c r="Q1881" s="564"/>
      <c r="R1881" s="564"/>
      <c r="S1881" s="572"/>
      <c r="T1881" s="609"/>
      <c r="U1881" s="741"/>
      <c r="V1881" s="586"/>
      <c r="W1881" s="564" t="str">
        <f>IF(S1881&lt;&gt;0,VLOOKUP(S1881,VKT!$A$2:$G$415,7,0),"")</f>
        <v/>
      </c>
      <c r="X1881" s="564" t="str">
        <f t="shared" si="411"/>
        <v xml:space="preserve"> </v>
      </c>
      <c r="Y1881" s="650"/>
      <c r="Z1881" s="586"/>
      <c r="AA1881" s="742"/>
      <c r="AB1881" s="586"/>
      <c r="AC1881" s="586"/>
      <c r="AD1881" s="586"/>
      <c r="AE1881" s="586"/>
      <c r="AF1881" s="714"/>
      <c r="AG1881" s="570" t="str">
        <f>IF(AE1881&lt;&gt;0,VLOOKUP(AE1881,ODDS!$A$2:$C$13,3,0),"")</f>
        <v/>
      </c>
      <c r="AH1881" s="570"/>
      <c r="AI1881" s="571" t="str">
        <f t="shared" si="417"/>
        <v xml:space="preserve"> </v>
      </c>
      <c r="AJ1881" s="586" t="s">
        <v>2242</v>
      </c>
      <c r="AK1881" s="586" t="s">
        <v>2771</v>
      </c>
    </row>
    <row r="1882" spans="1:37" s="394" customFormat="1" ht="101.25" outlineLevel="2" x14ac:dyDescent="0.3">
      <c r="A1882" s="447">
        <f t="shared" ref="A1882:A1890" si="422">IF(B1881&lt;&gt;0,B1881,A1881)</f>
        <v>160</v>
      </c>
      <c r="B1882" s="557"/>
      <c r="C1882" s="572" t="s">
        <v>1617</v>
      </c>
      <c r="D1882" s="700"/>
      <c r="E1882" s="612">
        <v>86</v>
      </c>
      <c r="F1882" s="612" t="s">
        <v>1329</v>
      </c>
      <c r="G1882" s="586" t="s">
        <v>2877</v>
      </c>
      <c r="H1882" s="709">
        <v>0.5</v>
      </c>
      <c r="I1882" s="546" t="str">
        <f t="shared" si="421"/>
        <v/>
      </c>
      <c r="J1882" s="558"/>
      <c r="K1882" s="563">
        <f>IF(G1882&lt;&gt;0,VLOOKUP(G1882,'gia dat'!$A$1:$F$144,5,0)," ")</f>
        <v>465600</v>
      </c>
      <c r="L1882" s="563">
        <f>IF(G1882&lt;&gt;0,VLOOKUP(G1882,'gia dat'!$A$1:$F$144,6,0)," ")</f>
        <v>0</v>
      </c>
      <c r="M1882" s="564">
        <f t="shared" si="407"/>
        <v>233000</v>
      </c>
      <c r="N1882" s="564">
        <f t="shared" si="408"/>
        <v>0</v>
      </c>
      <c r="O1882" s="572"/>
      <c r="P1882" s="740"/>
      <c r="Q1882" s="564"/>
      <c r="R1882" s="564"/>
      <c r="S1882" s="572"/>
      <c r="T1882" s="609"/>
      <c r="U1882" s="741"/>
      <c r="V1882" s="586"/>
      <c r="W1882" s="564" t="str">
        <f>IF(S1882&lt;&gt;0,VLOOKUP(S1882,VKT!$A$2:$G$415,7,0),"")</f>
        <v/>
      </c>
      <c r="X1882" s="564" t="str">
        <f t="shared" si="411"/>
        <v xml:space="preserve"> </v>
      </c>
      <c r="Y1882" s="650"/>
      <c r="Z1882" s="586"/>
      <c r="AA1882" s="742"/>
      <c r="AB1882" s="586"/>
      <c r="AC1882" s="586"/>
      <c r="AD1882" s="586"/>
      <c r="AE1882" s="586"/>
      <c r="AF1882" s="714"/>
      <c r="AG1882" s="570" t="str">
        <f>IF(AE1882&lt;&gt;0,VLOOKUP(AE1882,ODDS!$A$2:$C$13,3,0),"")</f>
        <v/>
      </c>
      <c r="AH1882" s="570"/>
      <c r="AI1882" s="571" t="str">
        <f t="shared" si="417"/>
        <v xml:space="preserve"> </v>
      </c>
      <c r="AJ1882" s="586" t="s">
        <v>1330</v>
      </c>
      <c r="AK1882" s="586"/>
    </row>
    <row r="1883" spans="1:37" s="394" customFormat="1" ht="20.25" outlineLevel="2" x14ac:dyDescent="0.3">
      <c r="A1883" s="447">
        <f t="shared" si="422"/>
        <v>160</v>
      </c>
      <c r="B1883" s="557"/>
      <c r="C1883" s="572"/>
      <c r="D1883" s="700"/>
      <c r="E1883" s="612"/>
      <c r="F1883" s="612"/>
      <c r="G1883" s="586"/>
      <c r="H1883" s="709"/>
      <c r="I1883" s="546"/>
      <c r="J1883" s="558"/>
      <c r="K1883" s="563" t="str">
        <f>IF(G1883&lt;&gt;0,VLOOKUP(G1883,'gia dat'!$A$1:$F$144,5,0)," ")</f>
        <v xml:space="preserve"> </v>
      </c>
      <c r="L1883" s="563" t="str">
        <f>IF(G1883&lt;&gt;0,VLOOKUP(G1883,'gia dat'!$A$1:$F$144,6,0)," ")</f>
        <v xml:space="preserve"> </v>
      </c>
      <c r="M1883" s="564" t="str">
        <f t="shared" si="407"/>
        <v xml:space="preserve"> </v>
      </c>
      <c r="N1883" s="564" t="str">
        <f t="shared" si="408"/>
        <v xml:space="preserve"> </v>
      </c>
      <c r="O1883" s="572"/>
      <c r="P1883" s="740"/>
      <c r="Q1883" s="564"/>
      <c r="R1883" s="564"/>
      <c r="S1883" s="572"/>
      <c r="T1883" s="609"/>
      <c r="U1883" s="741"/>
      <c r="V1883" s="586"/>
      <c r="W1883" s="564" t="str">
        <f>IF(S1883&lt;&gt;0,VLOOKUP(S1883,VKT!$A$2:$G$415,7,0),"")</f>
        <v/>
      </c>
      <c r="X1883" s="564" t="str">
        <f t="shared" si="411"/>
        <v xml:space="preserve"> </v>
      </c>
      <c r="Y1883" s="650"/>
      <c r="Z1883" s="586"/>
      <c r="AA1883" s="742"/>
      <c r="AB1883" s="586"/>
      <c r="AC1883" s="586"/>
      <c r="AD1883" s="586"/>
      <c r="AE1883" s="586"/>
      <c r="AF1883" s="714"/>
      <c r="AG1883" s="570" t="str">
        <f>IF(AE1883&lt;&gt;0,VLOOKUP(AE1883,ODDS!$A$2:$C$13,3,0),"")</f>
        <v/>
      </c>
      <c r="AH1883" s="570"/>
      <c r="AI1883" s="571" t="str">
        <f t="shared" si="417"/>
        <v xml:space="preserve"> </v>
      </c>
      <c r="AJ1883" s="586"/>
      <c r="AK1883" s="586"/>
    </row>
    <row r="1884" spans="1:37" s="394" customFormat="1" ht="20.25" outlineLevel="2" x14ac:dyDescent="0.3">
      <c r="A1884" s="447">
        <f t="shared" si="422"/>
        <v>160</v>
      </c>
      <c r="B1884" s="557"/>
      <c r="C1884" s="572"/>
      <c r="D1884" s="700"/>
      <c r="E1884" s="612"/>
      <c r="F1884" s="612"/>
      <c r="G1884" s="586"/>
      <c r="H1884" s="709"/>
      <c r="I1884" s="546"/>
      <c r="J1884" s="558"/>
      <c r="K1884" s="563" t="str">
        <f>IF(G1884&lt;&gt;0,VLOOKUP(G1884,'gia dat'!$A$1:$F$144,5,0)," ")</f>
        <v xml:space="preserve"> </v>
      </c>
      <c r="L1884" s="563" t="str">
        <f>IF(G1884&lt;&gt;0,VLOOKUP(G1884,'gia dat'!$A$1:$F$144,6,0)," ")</f>
        <v xml:space="preserve"> </v>
      </c>
      <c r="M1884" s="564" t="str">
        <f t="shared" si="407"/>
        <v xml:space="preserve"> </v>
      </c>
      <c r="N1884" s="564" t="str">
        <f t="shared" si="408"/>
        <v xml:space="preserve"> </v>
      </c>
      <c r="O1884" s="572"/>
      <c r="P1884" s="740"/>
      <c r="Q1884" s="564"/>
      <c r="R1884" s="564"/>
      <c r="S1884" s="572"/>
      <c r="T1884" s="609"/>
      <c r="U1884" s="741"/>
      <c r="V1884" s="586"/>
      <c r="W1884" s="564" t="str">
        <f>IF(S1884&lt;&gt;0,VLOOKUP(S1884,VKT!$A$2:$G$415,7,0),"")</f>
        <v/>
      </c>
      <c r="X1884" s="564" t="str">
        <f t="shared" si="411"/>
        <v xml:space="preserve"> </v>
      </c>
      <c r="Y1884" s="650"/>
      <c r="Z1884" s="586"/>
      <c r="AA1884" s="742"/>
      <c r="AB1884" s="586"/>
      <c r="AC1884" s="586"/>
      <c r="AD1884" s="586"/>
      <c r="AE1884" s="586"/>
      <c r="AF1884" s="714"/>
      <c r="AG1884" s="570" t="str">
        <f>IF(AE1884&lt;&gt;0,VLOOKUP(AE1884,ODDS!$A$2:$C$13,3,0),"")</f>
        <v/>
      </c>
      <c r="AH1884" s="570"/>
      <c r="AI1884" s="571" t="str">
        <f t="shared" si="417"/>
        <v xml:space="preserve"> </v>
      </c>
      <c r="AJ1884" s="586"/>
      <c r="AK1884" s="586"/>
    </row>
    <row r="1885" spans="1:37" s="394" customFormat="1" ht="20.25" outlineLevel="2" x14ac:dyDescent="0.3">
      <c r="A1885" s="447">
        <f t="shared" si="422"/>
        <v>160</v>
      </c>
      <c r="B1885" s="557"/>
      <c r="C1885" s="572"/>
      <c r="D1885" s="700"/>
      <c r="E1885" s="612"/>
      <c r="F1885" s="612"/>
      <c r="G1885" s="586"/>
      <c r="H1885" s="709"/>
      <c r="I1885" s="546"/>
      <c r="J1885" s="558"/>
      <c r="K1885" s="563" t="str">
        <f>IF(G1885&lt;&gt;0,VLOOKUP(G1885,'gia dat'!$A$1:$F$144,5,0)," ")</f>
        <v xml:space="preserve"> </v>
      </c>
      <c r="L1885" s="563" t="str">
        <f>IF(G1885&lt;&gt;0,VLOOKUP(G1885,'gia dat'!$A$1:$F$144,6,0)," ")</f>
        <v xml:space="preserve"> </v>
      </c>
      <c r="M1885" s="564" t="str">
        <f t="shared" si="407"/>
        <v xml:space="preserve"> </v>
      </c>
      <c r="N1885" s="564" t="str">
        <f t="shared" si="408"/>
        <v xml:space="preserve"> </v>
      </c>
      <c r="O1885" s="572"/>
      <c r="P1885" s="740"/>
      <c r="Q1885" s="564"/>
      <c r="R1885" s="564"/>
      <c r="S1885" s="572"/>
      <c r="T1885" s="609"/>
      <c r="U1885" s="741"/>
      <c r="V1885" s="586"/>
      <c r="W1885" s="564" t="str">
        <f>IF(S1885&lt;&gt;0,VLOOKUP(S1885,VKT!$A$2:$G$415,7,0),"")</f>
        <v/>
      </c>
      <c r="X1885" s="564" t="str">
        <f t="shared" si="411"/>
        <v xml:space="preserve"> </v>
      </c>
      <c r="Y1885" s="650"/>
      <c r="Z1885" s="586"/>
      <c r="AA1885" s="742"/>
      <c r="AB1885" s="586"/>
      <c r="AC1885" s="586"/>
      <c r="AD1885" s="586"/>
      <c r="AE1885" s="586"/>
      <c r="AF1885" s="714"/>
      <c r="AG1885" s="570" t="str">
        <f>IF(AE1885&lt;&gt;0,VLOOKUP(AE1885,ODDS!$A$2:$C$13,3,0),"")</f>
        <v/>
      </c>
      <c r="AH1885" s="570"/>
      <c r="AI1885" s="571" t="str">
        <f t="shared" si="417"/>
        <v xml:space="preserve"> </v>
      </c>
      <c r="AJ1885" s="586"/>
      <c r="AK1885" s="586"/>
    </row>
    <row r="1886" spans="1:37" s="394" customFormat="1" ht="20.25" outlineLevel="2" x14ac:dyDescent="0.3">
      <c r="A1886" s="447">
        <f t="shared" si="422"/>
        <v>160</v>
      </c>
      <c r="B1886" s="557"/>
      <c r="C1886" s="572"/>
      <c r="D1886" s="700"/>
      <c r="E1886" s="612"/>
      <c r="F1886" s="612"/>
      <c r="G1886" s="586"/>
      <c r="H1886" s="709"/>
      <c r="I1886" s="546"/>
      <c r="J1886" s="558"/>
      <c r="K1886" s="563" t="str">
        <f>IF(G1886&lt;&gt;0,VLOOKUP(G1886,'gia dat'!$A$1:$F$144,5,0)," ")</f>
        <v xml:space="preserve"> </v>
      </c>
      <c r="L1886" s="563" t="str">
        <f>IF(G1886&lt;&gt;0,VLOOKUP(G1886,'gia dat'!$A$1:$F$144,6,0)," ")</f>
        <v xml:space="preserve"> </v>
      </c>
      <c r="M1886" s="564" t="str">
        <f t="shared" si="407"/>
        <v xml:space="preserve"> </v>
      </c>
      <c r="N1886" s="564" t="str">
        <f t="shared" si="408"/>
        <v xml:space="preserve"> </v>
      </c>
      <c r="O1886" s="572"/>
      <c r="P1886" s="740"/>
      <c r="Q1886" s="564"/>
      <c r="R1886" s="564"/>
      <c r="S1886" s="572"/>
      <c r="T1886" s="609"/>
      <c r="U1886" s="741"/>
      <c r="V1886" s="586"/>
      <c r="W1886" s="564" t="str">
        <f>IF(S1886&lt;&gt;0,VLOOKUP(S1886,VKT!$A$2:$G$415,7,0),"")</f>
        <v/>
      </c>
      <c r="X1886" s="564" t="str">
        <f t="shared" si="411"/>
        <v xml:space="preserve"> </v>
      </c>
      <c r="Y1886" s="650"/>
      <c r="Z1886" s="586"/>
      <c r="AA1886" s="742"/>
      <c r="AB1886" s="586"/>
      <c r="AC1886" s="586"/>
      <c r="AD1886" s="586"/>
      <c r="AE1886" s="586"/>
      <c r="AF1886" s="714"/>
      <c r="AG1886" s="570" t="str">
        <f>IF(AE1886&lt;&gt;0,VLOOKUP(AE1886,ODDS!$A$2:$C$13,3,0),"")</f>
        <v/>
      </c>
      <c r="AH1886" s="570"/>
      <c r="AI1886" s="571" t="str">
        <f t="shared" si="417"/>
        <v xml:space="preserve"> </v>
      </c>
      <c r="AJ1886" s="586"/>
      <c r="AK1886" s="586"/>
    </row>
    <row r="1887" spans="1:37" s="394" customFormat="1" ht="20.25" outlineLevel="2" x14ac:dyDescent="0.3">
      <c r="A1887" s="447">
        <f t="shared" si="422"/>
        <v>160</v>
      </c>
      <c r="B1887" s="557"/>
      <c r="C1887" s="572"/>
      <c r="D1887" s="700"/>
      <c r="E1887" s="612"/>
      <c r="F1887" s="612"/>
      <c r="G1887" s="586"/>
      <c r="H1887" s="709"/>
      <c r="I1887" s="546"/>
      <c r="J1887" s="558"/>
      <c r="K1887" s="563" t="str">
        <f>IF(G1887&lt;&gt;0,VLOOKUP(G1887,'gia dat'!$A$1:$F$144,5,0)," ")</f>
        <v xml:space="preserve"> </v>
      </c>
      <c r="L1887" s="563" t="str">
        <f>IF(G1887&lt;&gt;0,VLOOKUP(G1887,'gia dat'!$A$1:$F$144,6,0)," ")</f>
        <v xml:space="preserve"> </v>
      </c>
      <c r="M1887" s="564" t="str">
        <f t="shared" si="407"/>
        <v xml:space="preserve"> </v>
      </c>
      <c r="N1887" s="564" t="str">
        <f t="shared" si="408"/>
        <v xml:space="preserve"> </v>
      </c>
      <c r="O1887" s="572"/>
      <c r="P1887" s="740"/>
      <c r="Q1887" s="564"/>
      <c r="R1887" s="564"/>
      <c r="S1887" s="572"/>
      <c r="T1887" s="609"/>
      <c r="U1887" s="741"/>
      <c r="V1887" s="586"/>
      <c r="W1887" s="564" t="str">
        <f>IF(S1887&lt;&gt;0,VLOOKUP(S1887,VKT!$A$2:$G$415,7,0),"")</f>
        <v/>
      </c>
      <c r="X1887" s="564" t="str">
        <f t="shared" si="411"/>
        <v xml:space="preserve"> </v>
      </c>
      <c r="Y1887" s="650"/>
      <c r="Z1887" s="586"/>
      <c r="AA1887" s="742"/>
      <c r="AB1887" s="586"/>
      <c r="AC1887" s="586"/>
      <c r="AD1887" s="586"/>
      <c r="AE1887" s="586"/>
      <c r="AF1887" s="714"/>
      <c r="AG1887" s="570" t="str">
        <f>IF(AE1887&lt;&gt;0,VLOOKUP(AE1887,ODDS!$A$2:$C$13,3,0),"")</f>
        <v/>
      </c>
      <c r="AH1887" s="570"/>
      <c r="AI1887" s="571" t="str">
        <f t="shared" si="417"/>
        <v xml:space="preserve"> </v>
      </c>
      <c r="AJ1887" s="586"/>
      <c r="AK1887" s="586"/>
    </row>
    <row r="1888" spans="1:37" s="394" customFormat="1" ht="20.25" outlineLevel="2" x14ac:dyDescent="0.3">
      <c r="A1888" s="447">
        <f t="shared" si="422"/>
        <v>160</v>
      </c>
      <c r="B1888" s="557"/>
      <c r="C1888" s="572"/>
      <c r="D1888" s="700"/>
      <c r="E1888" s="612"/>
      <c r="F1888" s="612"/>
      <c r="G1888" s="586"/>
      <c r="H1888" s="709"/>
      <c r="I1888" s="546"/>
      <c r="J1888" s="558"/>
      <c r="K1888" s="563" t="str">
        <f>IF(G1888&lt;&gt;0,VLOOKUP(G1888,'gia dat'!$A$1:$F$144,5,0)," ")</f>
        <v xml:space="preserve"> </v>
      </c>
      <c r="L1888" s="563" t="str">
        <f>IF(G1888&lt;&gt;0,VLOOKUP(G1888,'gia dat'!$A$1:$F$144,6,0)," ")</f>
        <v xml:space="preserve"> </v>
      </c>
      <c r="M1888" s="564" t="str">
        <f t="shared" si="407"/>
        <v xml:space="preserve"> </v>
      </c>
      <c r="N1888" s="564" t="str">
        <f t="shared" si="408"/>
        <v xml:space="preserve"> </v>
      </c>
      <c r="O1888" s="572"/>
      <c r="P1888" s="740"/>
      <c r="Q1888" s="564"/>
      <c r="R1888" s="564"/>
      <c r="S1888" s="572"/>
      <c r="T1888" s="609"/>
      <c r="U1888" s="741"/>
      <c r="V1888" s="586"/>
      <c r="W1888" s="564" t="str">
        <f>IF(S1888&lt;&gt;0,VLOOKUP(S1888,VKT!$A$2:$G$415,7,0),"")</f>
        <v/>
      </c>
      <c r="X1888" s="564" t="str">
        <f t="shared" si="411"/>
        <v xml:space="preserve"> </v>
      </c>
      <c r="Y1888" s="650"/>
      <c r="Z1888" s="586"/>
      <c r="AA1888" s="742"/>
      <c r="AB1888" s="586"/>
      <c r="AC1888" s="586"/>
      <c r="AD1888" s="586"/>
      <c r="AE1888" s="586"/>
      <c r="AF1888" s="714"/>
      <c r="AG1888" s="570" t="str">
        <f>IF(AE1888&lt;&gt;0,VLOOKUP(AE1888,ODDS!$A$2:$C$13,3,0),"")</f>
        <v/>
      </c>
      <c r="AH1888" s="570"/>
      <c r="AI1888" s="571" t="str">
        <f t="shared" si="417"/>
        <v xml:space="preserve"> </v>
      </c>
      <c r="AJ1888" s="586"/>
      <c r="AK1888" s="586"/>
    </row>
    <row r="1889" spans="1:37" s="394" customFormat="1" ht="20.25" outlineLevel="2" x14ac:dyDescent="0.3">
      <c r="A1889" s="447">
        <f t="shared" si="422"/>
        <v>160</v>
      </c>
      <c r="B1889" s="557"/>
      <c r="C1889" s="572"/>
      <c r="D1889" s="700"/>
      <c r="E1889" s="612"/>
      <c r="F1889" s="612"/>
      <c r="G1889" s="586"/>
      <c r="H1889" s="709"/>
      <c r="I1889" s="546"/>
      <c r="J1889" s="558"/>
      <c r="K1889" s="563" t="str">
        <f>IF(G1889&lt;&gt;0,VLOOKUP(G1889,'gia dat'!$A$1:$F$144,5,0)," ")</f>
        <v xml:space="preserve"> </v>
      </c>
      <c r="L1889" s="563" t="str">
        <f>IF(G1889&lt;&gt;0,VLOOKUP(G1889,'gia dat'!$A$1:$F$144,6,0)," ")</f>
        <v xml:space="preserve"> </v>
      </c>
      <c r="M1889" s="564" t="str">
        <f t="shared" si="407"/>
        <v xml:space="preserve"> </v>
      </c>
      <c r="N1889" s="564" t="str">
        <f t="shared" si="408"/>
        <v xml:space="preserve"> </v>
      </c>
      <c r="O1889" s="572"/>
      <c r="P1889" s="740"/>
      <c r="Q1889" s="564"/>
      <c r="R1889" s="564"/>
      <c r="S1889" s="572"/>
      <c r="T1889" s="609"/>
      <c r="U1889" s="741"/>
      <c r="V1889" s="586"/>
      <c r="W1889" s="564" t="str">
        <f>IF(S1889&lt;&gt;0,VLOOKUP(S1889,VKT!$A$2:$G$415,7,0),"")</f>
        <v/>
      </c>
      <c r="X1889" s="564" t="str">
        <f t="shared" si="411"/>
        <v xml:space="preserve"> </v>
      </c>
      <c r="Y1889" s="650"/>
      <c r="Z1889" s="586"/>
      <c r="AA1889" s="742"/>
      <c r="AB1889" s="586"/>
      <c r="AC1889" s="586"/>
      <c r="AD1889" s="586"/>
      <c r="AE1889" s="586"/>
      <c r="AF1889" s="714"/>
      <c r="AG1889" s="570" t="str">
        <f>IF(AE1889&lt;&gt;0,VLOOKUP(AE1889,ODDS!$A$2:$C$13,3,0),"")</f>
        <v/>
      </c>
      <c r="AH1889" s="570"/>
      <c r="AI1889" s="571" t="str">
        <f t="shared" si="417"/>
        <v xml:space="preserve"> </v>
      </c>
      <c r="AJ1889" s="586"/>
      <c r="AK1889" s="586"/>
    </row>
    <row r="1890" spans="1:37" s="394" customFormat="1" ht="20.25" outlineLevel="2" x14ac:dyDescent="0.3">
      <c r="A1890" s="447">
        <f t="shared" si="422"/>
        <v>160</v>
      </c>
      <c r="B1890" s="557"/>
      <c r="C1890" s="607"/>
      <c r="D1890" s="700"/>
      <c r="E1890" s="612"/>
      <c r="F1890" s="612"/>
      <c r="G1890" s="586"/>
      <c r="H1890" s="709"/>
      <c r="I1890" s="546"/>
      <c r="J1890" s="558"/>
      <c r="K1890" s="563" t="str">
        <f>IF(G1890&lt;&gt;0,VLOOKUP(G1890,'gia dat'!$A$1:$F$144,5,0)," ")</f>
        <v xml:space="preserve"> </v>
      </c>
      <c r="L1890" s="563" t="str">
        <f>IF(G1890&lt;&gt;0,VLOOKUP(G1890,'gia dat'!$A$1:$F$144,6,0)," ")</f>
        <v xml:space="preserve"> </v>
      </c>
      <c r="M1890" s="564" t="str">
        <f t="shared" si="407"/>
        <v xml:space="preserve"> </v>
      </c>
      <c r="N1890" s="564" t="str">
        <f t="shared" si="408"/>
        <v xml:space="preserve"> </v>
      </c>
      <c r="O1890" s="572"/>
      <c r="P1890" s="740"/>
      <c r="Q1890" s="564"/>
      <c r="R1890" s="564"/>
      <c r="S1890" s="572"/>
      <c r="T1890" s="609"/>
      <c r="U1890" s="741"/>
      <c r="V1890" s="586"/>
      <c r="W1890" s="564" t="str">
        <f>IF(S1890&lt;&gt;0,VLOOKUP(S1890,VKT!$A$2:$G$415,7,0),"")</f>
        <v/>
      </c>
      <c r="X1890" s="564" t="str">
        <f t="shared" si="411"/>
        <v xml:space="preserve"> </v>
      </c>
      <c r="Y1890" s="650"/>
      <c r="Z1890" s="586"/>
      <c r="AA1890" s="742"/>
      <c r="AB1890" s="586"/>
      <c r="AC1890" s="586"/>
      <c r="AD1890" s="586"/>
      <c r="AE1890" s="586"/>
      <c r="AF1890" s="714"/>
      <c r="AG1890" s="570" t="str">
        <f>IF(AE1890&lt;&gt;0,VLOOKUP(AE1890,ODDS!$A$2:$C$13,3,0),"")</f>
        <v/>
      </c>
      <c r="AH1890" s="570"/>
      <c r="AI1890" s="571" t="str">
        <f t="shared" si="417"/>
        <v xml:space="preserve"> </v>
      </c>
      <c r="AJ1890" s="586"/>
      <c r="AK1890" s="586"/>
    </row>
    <row r="1891" spans="1:37" s="394" customFormat="1" ht="20.25" outlineLevel="1" x14ac:dyDescent="0.3">
      <c r="A1891" s="467" t="s">
        <v>2549</v>
      </c>
      <c r="B1891" s="576">
        <v>161</v>
      </c>
      <c r="C1891" s="607" t="s">
        <v>2174</v>
      </c>
      <c r="D1891" s="706"/>
      <c r="E1891" s="748"/>
      <c r="F1891" s="748"/>
      <c r="G1891" s="746"/>
      <c r="H1891" s="749">
        <f>SUBTOTAL(9,H1892:H1898)</f>
        <v>0</v>
      </c>
      <c r="I1891" s="579">
        <f>SUBTOTAL(9,I1892:I1897)</f>
        <v>0</v>
      </c>
      <c r="J1891" s="580"/>
      <c r="K1891" s="581"/>
      <c r="L1891" s="581"/>
      <c r="M1891" s="571">
        <f>SUBTOTAL(9,M1892:M1898)</f>
        <v>0</v>
      </c>
      <c r="N1891" s="571">
        <f>SUBTOTAL(9,N1892:N1898)</f>
        <v>0</v>
      </c>
      <c r="O1891" s="607"/>
      <c r="P1891" s="738">
        <f>SUBTOTAL(9,P1892:P1898)</f>
        <v>0</v>
      </c>
      <c r="Q1891" s="571"/>
      <c r="R1891" s="571">
        <f>SUBTOTAL(9,R1892:R1898)</f>
        <v>0</v>
      </c>
      <c r="S1891" s="582"/>
      <c r="T1891" s="621"/>
      <c r="U1891" s="739">
        <f>SUBTOTAL(9,U1892:U1898)</f>
        <v>19.600000000000001</v>
      </c>
      <c r="V1891" s="578"/>
      <c r="W1891" s="571"/>
      <c r="X1891" s="571">
        <f>SUBTOTAL(9,X1892:X1898)</f>
        <v>117426000</v>
      </c>
      <c r="Y1891" s="661"/>
      <c r="Z1891" s="683"/>
      <c r="AA1891" s="683"/>
      <c r="AB1891" s="694"/>
      <c r="AC1891" s="683"/>
      <c r="AD1891" s="683"/>
      <c r="AE1891" s="650"/>
      <c r="AF1891" s="599">
        <f>SUBTOTAL(9,AF1892:AF1898)</f>
        <v>0</v>
      </c>
      <c r="AG1891" s="585"/>
      <c r="AH1891" s="585">
        <f>SUBTOTAL(9,AH1892:AH1898)</f>
        <v>0</v>
      </c>
      <c r="AI1891" s="571">
        <f t="shared" si="417"/>
        <v>117426000</v>
      </c>
      <c r="AJ1891" s="578"/>
      <c r="AK1891" s="574"/>
    </row>
    <row r="1892" spans="1:37" s="394" customFormat="1" ht="121.5" outlineLevel="2" x14ac:dyDescent="0.3">
      <c r="A1892" s="447">
        <f>IF(B1891&lt;&gt;0,B1891,A1890)</f>
        <v>161</v>
      </c>
      <c r="B1892" s="557"/>
      <c r="C1892" s="572" t="s">
        <v>1324</v>
      </c>
      <c r="D1892" s="700">
        <v>1</v>
      </c>
      <c r="E1892" s="744"/>
      <c r="F1892" s="744"/>
      <c r="G1892" s="731"/>
      <c r="H1892" s="745"/>
      <c r="I1892" s="546"/>
      <c r="J1892" s="562"/>
      <c r="K1892" s="563" t="str">
        <f>IF(G1892&lt;&gt;0,VLOOKUP(G1892,'gia dat'!$A$1:$F$144,5,0)," ")</f>
        <v xml:space="preserve"> </v>
      </c>
      <c r="L1892" s="563" t="str">
        <f>IF(G1892&lt;&gt;0,VLOOKUP(G1892,'gia dat'!$A$1:$F$144,6,0)," ")</f>
        <v xml:space="preserve"> </v>
      </c>
      <c r="M1892" s="564" t="str">
        <f t="shared" si="407"/>
        <v xml:space="preserve"> </v>
      </c>
      <c r="N1892" s="564" t="str">
        <f t="shared" si="408"/>
        <v xml:space="preserve"> </v>
      </c>
      <c r="O1892" s="572"/>
      <c r="P1892" s="740"/>
      <c r="Q1892" s="564" t="str">
        <f>IF(O1892&lt;&gt;0,VLOOKUP(O1892,'Cây trong'!$A$2:$C$246,3,0)," ")</f>
        <v xml:space="preserve"> </v>
      </c>
      <c r="R1892" s="564" t="str">
        <f t="shared" si="404"/>
        <v xml:space="preserve"> </v>
      </c>
      <c r="S1892" s="566" t="s">
        <v>1934</v>
      </c>
      <c r="T1892" s="609" t="s">
        <v>1133</v>
      </c>
      <c r="U1892" s="741">
        <v>16</v>
      </c>
      <c r="V1892" s="586"/>
      <c r="W1892" s="564">
        <f>IF(S1892&lt;&gt;0,VLOOKUP(S1892,VKT!$A$2:$G$415,7,0),"")</f>
        <v>5307665</v>
      </c>
      <c r="X1892" s="564">
        <f t="shared" si="411"/>
        <v>84923000</v>
      </c>
      <c r="Y1892" s="661" t="s">
        <v>1138</v>
      </c>
      <c r="Z1892" s="683" t="s">
        <v>1139</v>
      </c>
      <c r="AA1892" s="683" t="s">
        <v>56</v>
      </c>
      <c r="AB1892" s="694" t="s">
        <v>269</v>
      </c>
      <c r="AC1892" s="683" t="s">
        <v>1138</v>
      </c>
      <c r="AD1892" s="683"/>
      <c r="AE1892" s="683"/>
      <c r="AF1892" s="590"/>
      <c r="AG1892" s="570" t="str">
        <f>IF(AE1892&lt;&gt;0,VLOOKUP(AE1892,ODDS!$A$2:$C$13,3,0),"")</f>
        <v/>
      </c>
      <c r="AH1892" s="570" t="str">
        <f t="shared" si="405"/>
        <v xml:space="preserve"> </v>
      </c>
      <c r="AI1892" s="571" t="str">
        <f t="shared" si="417"/>
        <v xml:space="preserve"> </v>
      </c>
      <c r="AJ1892" s="586" t="s">
        <v>1325</v>
      </c>
      <c r="AK1892" s="558" t="s">
        <v>2450</v>
      </c>
    </row>
    <row r="1893" spans="1:37" s="394" customFormat="1" ht="101.25" outlineLevel="2" x14ac:dyDescent="0.3">
      <c r="A1893" s="447">
        <f t="shared" ref="A1893:A1898" si="423">IF(B1892&lt;&gt;0,B1892,A1892)</f>
        <v>161</v>
      </c>
      <c r="B1893" s="557"/>
      <c r="C1893" s="572" t="s">
        <v>1617</v>
      </c>
      <c r="D1893" s="700"/>
      <c r="E1893" s="612"/>
      <c r="F1893" s="612"/>
      <c r="G1893" s="586"/>
      <c r="H1893" s="709"/>
      <c r="I1893" s="546"/>
      <c r="J1893" s="562"/>
      <c r="K1893" s="563" t="str">
        <f>IF(G1893&lt;&gt;0,VLOOKUP(G1893,'gia dat'!$A$1:$F$144,5,0)," ")</f>
        <v xml:space="preserve"> </v>
      </c>
      <c r="L1893" s="563" t="str">
        <f>IF(G1893&lt;&gt;0,VLOOKUP(G1893,'gia dat'!$A$1:$F$144,6,0)," ")</f>
        <v xml:space="preserve"> </v>
      </c>
      <c r="M1893" s="564" t="str">
        <f t="shared" si="407"/>
        <v xml:space="preserve"> </v>
      </c>
      <c r="N1893" s="564" t="str">
        <f t="shared" si="408"/>
        <v xml:space="preserve"> </v>
      </c>
      <c r="O1893" s="572"/>
      <c r="P1893" s="740"/>
      <c r="Q1893" s="564" t="str">
        <f>IF(O1893&lt;&gt;0,VLOOKUP(O1893,'Cây trong'!$A$2:$C$246,3,0)," ")</f>
        <v xml:space="preserve"> </v>
      </c>
      <c r="R1893" s="564" t="str">
        <f t="shared" si="404"/>
        <v xml:space="preserve"> </v>
      </c>
      <c r="S1893" s="566" t="s">
        <v>1935</v>
      </c>
      <c r="T1893" s="609" t="s">
        <v>1133</v>
      </c>
      <c r="U1893" s="741">
        <v>3.6</v>
      </c>
      <c r="V1893" s="586"/>
      <c r="W1893" s="564">
        <f>IF(S1893&lt;&gt;0,VLOOKUP(S1893,VKT!$A$2:$G$415,7,0),"")</f>
        <v>9028527</v>
      </c>
      <c r="X1893" s="564">
        <f t="shared" si="411"/>
        <v>32503000</v>
      </c>
      <c r="Y1893" s="650"/>
      <c r="Z1893" s="586"/>
      <c r="AA1893" s="742"/>
      <c r="AB1893" s="586"/>
      <c r="AC1893" s="586"/>
      <c r="AD1893" s="586"/>
      <c r="AE1893" s="586"/>
      <c r="AF1893" s="714"/>
      <c r="AG1893" s="570" t="str">
        <f>IF(AE1893&lt;&gt;0,VLOOKUP(AE1893,ODDS!$A$2:$C$13,3,0),"")</f>
        <v/>
      </c>
      <c r="AH1893" s="570" t="str">
        <f t="shared" si="405"/>
        <v xml:space="preserve"> </v>
      </c>
      <c r="AI1893" s="571" t="str">
        <f t="shared" si="417"/>
        <v xml:space="preserve"> </v>
      </c>
      <c r="AJ1893" s="731"/>
      <c r="AK1893" s="586"/>
    </row>
    <row r="1894" spans="1:37" s="394" customFormat="1" ht="60.75" outlineLevel="2" x14ac:dyDescent="0.3">
      <c r="A1894" s="447">
        <f t="shared" si="423"/>
        <v>161</v>
      </c>
      <c r="B1894" s="557"/>
      <c r="C1894" s="572"/>
      <c r="D1894" s="700"/>
      <c r="E1894" s="612"/>
      <c r="F1894" s="612"/>
      <c r="G1894" s="586"/>
      <c r="H1894" s="709"/>
      <c r="I1894" s="546"/>
      <c r="J1894" s="562"/>
      <c r="K1894" s="563" t="str">
        <f>IF(G1894&lt;&gt;0,VLOOKUP(G1894,'gia dat'!$A$1:$F$144,5,0)," ")</f>
        <v xml:space="preserve"> </v>
      </c>
      <c r="L1894" s="563" t="str">
        <f>IF(G1894&lt;&gt;0,VLOOKUP(G1894,'gia dat'!$A$1:$F$144,6,0)," ")</f>
        <v xml:space="preserve"> </v>
      </c>
      <c r="M1894" s="564" t="str">
        <f t="shared" si="407"/>
        <v xml:space="preserve"> </v>
      </c>
      <c r="N1894" s="564" t="str">
        <f t="shared" si="408"/>
        <v xml:space="preserve"> </v>
      </c>
      <c r="O1894" s="572"/>
      <c r="P1894" s="740"/>
      <c r="Q1894" s="564" t="str">
        <f>IF(O1894&lt;&gt;0,VLOOKUP(O1894,'Cây trong'!$A$2:$C$246,3,0)," ")</f>
        <v xml:space="preserve"> </v>
      </c>
      <c r="R1894" s="564" t="str">
        <f t="shared" si="404"/>
        <v xml:space="preserve"> </v>
      </c>
      <c r="S1894" s="572" t="s">
        <v>1932</v>
      </c>
      <c r="T1894" s="609" t="s">
        <v>1133</v>
      </c>
      <c r="U1894" s="741"/>
      <c r="V1894" s="586">
        <v>14.4</v>
      </c>
      <c r="W1894" s="564">
        <f>IF(S1894&lt;&gt;0,VLOOKUP(S1894,VKT!$A$2:$G$415,7,0),"")</f>
        <v>0</v>
      </c>
      <c r="X1894" s="564">
        <f t="shared" si="411"/>
        <v>0</v>
      </c>
      <c r="Y1894" s="650"/>
      <c r="Z1894" s="586"/>
      <c r="AA1894" s="742"/>
      <c r="AB1894" s="586"/>
      <c r="AC1894" s="586"/>
      <c r="AD1894" s="586"/>
      <c r="AE1894" s="586"/>
      <c r="AF1894" s="714"/>
      <c r="AG1894" s="570" t="str">
        <f>IF(AE1894&lt;&gt;0,VLOOKUP(AE1894,ODDS!$A$2:$C$13,3,0),"")</f>
        <v/>
      </c>
      <c r="AH1894" s="570" t="str">
        <f t="shared" si="405"/>
        <v xml:space="preserve"> </v>
      </c>
      <c r="AI1894" s="571" t="str">
        <f t="shared" si="417"/>
        <v xml:space="preserve"> </v>
      </c>
      <c r="AJ1894" s="586"/>
      <c r="AK1894" s="586"/>
    </row>
    <row r="1895" spans="1:37" s="394" customFormat="1" ht="60.75" outlineLevel="2" x14ac:dyDescent="0.3">
      <c r="A1895" s="447">
        <f t="shared" si="423"/>
        <v>161</v>
      </c>
      <c r="B1895" s="557"/>
      <c r="C1895" s="572"/>
      <c r="D1895" s="700"/>
      <c r="E1895" s="612"/>
      <c r="F1895" s="612"/>
      <c r="G1895" s="586"/>
      <c r="H1895" s="709"/>
      <c r="I1895" s="546"/>
      <c r="J1895" s="562"/>
      <c r="K1895" s="563" t="str">
        <f>IF(G1895&lt;&gt;0,VLOOKUP(G1895,'gia dat'!$A$1:$F$144,5,0)," ")</f>
        <v xml:space="preserve"> </v>
      </c>
      <c r="L1895" s="563" t="str">
        <f>IF(G1895&lt;&gt;0,VLOOKUP(G1895,'gia dat'!$A$1:$F$144,6,0)," ")</f>
        <v xml:space="preserve"> </v>
      </c>
      <c r="M1895" s="564" t="str">
        <f t="shared" si="407"/>
        <v xml:space="preserve"> </v>
      </c>
      <c r="N1895" s="564" t="str">
        <f t="shared" si="408"/>
        <v xml:space="preserve"> </v>
      </c>
      <c r="O1895" s="572"/>
      <c r="P1895" s="740"/>
      <c r="Q1895" s="564" t="str">
        <f>IF(O1895&lt;&gt;0,VLOOKUP(O1895,'Cây trong'!$A$2:$C$246,3,0)," ")</f>
        <v xml:space="preserve"> </v>
      </c>
      <c r="R1895" s="564" t="str">
        <f t="shared" si="404"/>
        <v xml:space="preserve"> </v>
      </c>
      <c r="S1895" s="566" t="s">
        <v>1936</v>
      </c>
      <c r="T1895" s="609" t="s">
        <v>1133</v>
      </c>
      <c r="U1895" s="741"/>
      <c r="V1895" s="586">
        <v>14.4</v>
      </c>
      <c r="W1895" s="564">
        <f>IF(S1895&lt;&gt;0,VLOOKUP(S1895,VKT!$A$2:$G$415,7,0),"")</f>
        <v>5307665</v>
      </c>
      <c r="X1895" s="564">
        <f t="shared" si="411"/>
        <v>0</v>
      </c>
      <c r="Y1895" s="661" t="s">
        <v>1138</v>
      </c>
      <c r="Z1895" s="683" t="s">
        <v>1139</v>
      </c>
      <c r="AA1895" s="683" t="s">
        <v>56</v>
      </c>
      <c r="AB1895" s="694" t="s">
        <v>269</v>
      </c>
      <c r="AC1895" s="683" t="s">
        <v>1138</v>
      </c>
      <c r="AD1895" s="683"/>
      <c r="AE1895" s="683"/>
      <c r="AF1895" s="590"/>
      <c r="AG1895" s="570" t="str">
        <f>IF(AE1895&lt;&gt;0,VLOOKUP(AE1895,ODDS!$A$2:$C$13,3,0),"")</f>
        <v/>
      </c>
      <c r="AH1895" s="570" t="str">
        <f t="shared" si="405"/>
        <v xml:space="preserve"> </v>
      </c>
      <c r="AI1895" s="571" t="str">
        <f t="shared" si="417"/>
        <v xml:space="preserve"> </v>
      </c>
      <c r="AJ1895" s="586"/>
      <c r="AK1895" s="586"/>
    </row>
    <row r="1896" spans="1:37" s="394" customFormat="1" ht="20.25" outlineLevel="2" x14ac:dyDescent="0.3">
      <c r="A1896" s="447">
        <f t="shared" si="423"/>
        <v>161</v>
      </c>
      <c r="B1896" s="557"/>
      <c r="C1896" s="572"/>
      <c r="D1896" s="700"/>
      <c r="E1896" s="612"/>
      <c r="F1896" s="612"/>
      <c r="G1896" s="586"/>
      <c r="H1896" s="709"/>
      <c r="I1896" s="546"/>
      <c r="J1896" s="562"/>
      <c r="K1896" s="563" t="str">
        <f>IF(G1896&lt;&gt;0,VLOOKUP(G1896,'gia dat'!$A$1:$F$144,5,0)," ")</f>
        <v xml:space="preserve"> </v>
      </c>
      <c r="L1896" s="563" t="str">
        <f>IF(G1896&lt;&gt;0,VLOOKUP(G1896,'gia dat'!$A$1:$F$144,6,0)," ")</f>
        <v xml:space="preserve"> </v>
      </c>
      <c r="M1896" s="564" t="str">
        <f t="shared" si="407"/>
        <v xml:space="preserve"> </v>
      </c>
      <c r="N1896" s="564" t="str">
        <f t="shared" si="408"/>
        <v xml:space="preserve"> </v>
      </c>
      <c r="O1896" s="572"/>
      <c r="P1896" s="740"/>
      <c r="Q1896" s="564" t="str">
        <f>IF(O1896&lt;&gt;0,VLOOKUP(O1896,'Cây trong'!$A$2:$C$246,3,0)," ")</f>
        <v xml:space="preserve"> </v>
      </c>
      <c r="R1896" s="564" t="str">
        <f t="shared" si="404"/>
        <v xml:space="preserve"> </v>
      </c>
      <c r="S1896" s="566"/>
      <c r="T1896" s="609"/>
      <c r="U1896" s="741"/>
      <c r="V1896" s="586"/>
      <c r="W1896" s="564" t="str">
        <f>IF(S1896&lt;&gt;0,VLOOKUP(S1896,VKT!$A$2:$G$415,7,0),"")</f>
        <v/>
      </c>
      <c r="X1896" s="564" t="str">
        <f t="shared" si="411"/>
        <v xml:space="preserve"> </v>
      </c>
      <c r="Y1896" s="650"/>
      <c r="Z1896" s="586"/>
      <c r="AA1896" s="742"/>
      <c r="AB1896" s="586"/>
      <c r="AC1896" s="586"/>
      <c r="AD1896" s="586"/>
      <c r="AE1896" s="586"/>
      <c r="AF1896" s="714"/>
      <c r="AG1896" s="570" t="str">
        <f>IF(AE1896&lt;&gt;0,VLOOKUP(AE1896,ODDS!$A$2:$C$13,3,0),"")</f>
        <v/>
      </c>
      <c r="AH1896" s="570" t="str">
        <f t="shared" si="405"/>
        <v xml:space="preserve"> </v>
      </c>
      <c r="AI1896" s="571" t="str">
        <f t="shared" si="417"/>
        <v xml:space="preserve"> </v>
      </c>
      <c r="AJ1896" s="586"/>
      <c r="AK1896" s="586"/>
    </row>
    <row r="1897" spans="1:37" s="394" customFormat="1" ht="20.25" outlineLevel="2" x14ac:dyDescent="0.3">
      <c r="A1897" s="447">
        <f t="shared" si="423"/>
        <v>161</v>
      </c>
      <c r="B1897" s="557"/>
      <c r="C1897" s="572"/>
      <c r="D1897" s="700"/>
      <c r="E1897" s="612"/>
      <c r="F1897" s="612"/>
      <c r="G1897" s="586"/>
      <c r="H1897" s="709"/>
      <c r="I1897" s="546"/>
      <c r="J1897" s="562"/>
      <c r="K1897" s="563" t="str">
        <f>IF(G1897&lt;&gt;0,VLOOKUP(G1897,'gia dat'!$A$1:$F$144,5,0)," ")</f>
        <v xml:space="preserve"> </v>
      </c>
      <c r="L1897" s="563" t="str">
        <f>IF(G1897&lt;&gt;0,VLOOKUP(G1897,'gia dat'!$A$1:$F$144,6,0)," ")</f>
        <v xml:space="preserve"> </v>
      </c>
      <c r="M1897" s="564" t="str">
        <f t="shared" si="407"/>
        <v xml:space="preserve"> </v>
      </c>
      <c r="N1897" s="564" t="str">
        <f t="shared" si="408"/>
        <v xml:space="preserve"> </v>
      </c>
      <c r="O1897" s="572"/>
      <c r="P1897" s="740"/>
      <c r="Q1897" s="564" t="str">
        <f>IF(O1897&lt;&gt;0,VLOOKUP(O1897,'Cây trong'!$A$2:$C$246,3,0)," ")</f>
        <v xml:space="preserve"> </v>
      </c>
      <c r="R1897" s="564" t="str">
        <f t="shared" si="404"/>
        <v xml:space="preserve"> </v>
      </c>
      <c r="S1897" s="566"/>
      <c r="T1897" s="609"/>
      <c r="U1897" s="741"/>
      <c r="V1897" s="586"/>
      <c r="W1897" s="564" t="str">
        <f>IF(S1897&lt;&gt;0,VLOOKUP(S1897,VKT!$A$2:$G$415,7,0),"")</f>
        <v/>
      </c>
      <c r="X1897" s="564" t="str">
        <f t="shared" si="411"/>
        <v xml:space="preserve"> </v>
      </c>
      <c r="Y1897" s="650"/>
      <c r="Z1897" s="586"/>
      <c r="AA1897" s="742"/>
      <c r="AB1897" s="586"/>
      <c r="AC1897" s="586"/>
      <c r="AD1897" s="586"/>
      <c r="AE1897" s="586"/>
      <c r="AF1897" s="714"/>
      <c r="AG1897" s="570" t="str">
        <f>IF(AE1897&lt;&gt;0,VLOOKUP(AE1897,ODDS!$A$2:$C$13,3,0),"")</f>
        <v/>
      </c>
      <c r="AH1897" s="570" t="str">
        <f t="shared" si="405"/>
        <v xml:space="preserve"> </v>
      </c>
      <c r="AI1897" s="571" t="str">
        <f t="shared" si="417"/>
        <v xml:space="preserve"> </v>
      </c>
      <c r="AJ1897" s="586"/>
      <c r="AK1897" s="586"/>
    </row>
    <row r="1898" spans="1:37" s="394" customFormat="1" ht="20.25" outlineLevel="2" x14ac:dyDescent="0.3">
      <c r="A1898" s="447">
        <f t="shared" si="423"/>
        <v>161</v>
      </c>
      <c r="B1898" s="557"/>
      <c r="C1898" s="607"/>
      <c r="D1898" s="700"/>
      <c r="E1898" s="612"/>
      <c r="F1898" s="612"/>
      <c r="G1898" s="586"/>
      <c r="H1898" s="709"/>
      <c r="I1898" s="546"/>
      <c r="J1898" s="562"/>
      <c r="K1898" s="563" t="str">
        <f>IF(G1898&lt;&gt;0,VLOOKUP(G1898,'gia dat'!$A$1:$F$144,5,0)," ")</f>
        <v xml:space="preserve"> </v>
      </c>
      <c r="L1898" s="563" t="str">
        <f>IF(G1898&lt;&gt;0,VLOOKUP(G1898,'gia dat'!$A$1:$F$144,6,0)," ")</f>
        <v xml:space="preserve"> </v>
      </c>
      <c r="M1898" s="564" t="str">
        <f t="shared" ref="M1898:M1966" si="424">IF(H1898&lt;&gt;0,ROUND(H1898*K1898,-3)," ")</f>
        <v xml:space="preserve"> </v>
      </c>
      <c r="N1898" s="564" t="str">
        <f t="shared" ref="N1898:N1966" si="425">IF(H1898&lt;&gt;0,ROUND(H1898*L1898,-3)," ")</f>
        <v xml:space="preserve"> </v>
      </c>
      <c r="O1898" s="572"/>
      <c r="P1898" s="740"/>
      <c r="Q1898" s="564" t="str">
        <f>IF(O1898&lt;&gt;0,VLOOKUP(O1898,'Cây trong'!$A$2:$C$246,3,0)," ")</f>
        <v xml:space="preserve"> </v>
      </c>
      <c r="R1898" s="564" t="str">
        <f t="shared" si="404"/>
        <v xml:space="preserve"> </v>
      </c>
      <c r="S1898" s="566"/>
      <c r="T1898" s="609"/>
      <c r="U1898" s="741"/>
      <c r="V1898" s="586"/>
      <c r="W1898" s="564" t="str">
        <f>IF(S1898&lt;&gt;0,VLOOKUP(S1898,VKT!$A$2:$G$415,7,0),"")</f>
        <v/>
      </c>
      <c r="X1898" s="564" t="str">
        <f t="shared" si="411"/>
        <v xml:space="preserve"> </v>
      </c>
      <c r="Y1898" s="650"/>
      <c r="Z1898" s="586"/>
      <c r="AA1898" s="742"/>
      <c r="AB1898" s="586"/>
      <c r="AC1898" s="586"/>
      <c r="AD1898" s="586"/>
      <c r="AE1898" s="586"/>
      <c r="AF1898" s="714"/>
      <c r="AG1898" s="570" t="str">
        <f>IF(AE1898&lt;&gt;0,VLOOKUP(AE1898,ODDS!$A$2:$C$13,3,0),"")</f>
        <v/>
      </c>
      <c r="AH1898" s="570" t="str">
        <f t="shared" si="405"/>
        <v xml:space="preserve"> </v>
      </c>
      <c r="AI1898" s="571" t="str">
        <f t="shared" si="417"/>
        <v xml:space="preserve"> </v>
      </c>
      <c r="AJ1898" s="586"/>
      <c r="AK1898" s="586"/>
    </row>
    <row r="1899" spans="1:37" s="394" customFormat="1" ht="40.5" outlineLevel="1" x14ac:dyDescent="0.3">
      <c r="A1899" s="467" t="s">
        <v>2548</v>
      </c>
      <c r="B1899" s="576">
        <v>162</v>
      </c>
      <c r="C1899" s="607" t="s">
        <v>2175</v>
      </c>
      <c r="D1899" s="706"/>
      <c r="E1899" s="748"/>
      <c r="F1899" s="748"/>
      <c r="G1899" s="746"/>
      <c r="H1899" s="749">
        <f>SUBTOTAL(9,H1900:H1906)</f>
        <v>0</v>
      </c>
      <c r="I1899" s="579">
        <f>SUBTOTAL(9,I1900:I1905)</f>
        <v>0</v>
      </c>
      <c r="J1899" s="580"/>
      <c r="K1899" s="581"/>
      <c r="L1899" s="581"/>
      <c r="M1899" s="571">
        <f>SUBTOTAL(9,M1900:M1906)</f>
        <v>0</v>
      </c>
      <c r="N1899" s="571">
        <f>SUBTOTAL(9,N1900:N1906)</f>
        <v>0</v>
      </c>
      <c r="O1899" s="607"/>
      <c r="P1899" s="738">
        <f>SUBTOTAL(9,P1900:P1906)</f>
        <v>0</v>
      </c>
      <c r="Q1899" s="571"/>
      <c r="R1899" s="571">
        <f>SUBTOTAL(9,R1900:R1906)</f>
        <v>0</v>
      </c>
      <c r="S1899" s="582"/>
      <c r="T1899" s="621"/>
      <c r="U1899" s="739">
        <f>SUBTOTAL(9,U1900:U1906)</f>
        <v>33.599999999999994</v>
      </c>
      <c r="V1899" s="578"/>
      <c r="W1899" s="571"/>
      <c r="X1899" s="571">
        <f>SUBTOTAL(9,X1900:X1906)</f>
        <v>39566000</v>
      </c>
      <c r="Y1899" s="661"/>
      <c r="Z1899" s="683"/>
      <c r="AA1899" s="683"/>
      <c r="AB1899" s="694"/>
      <c r="AC1899" s="683"/>
      <c r="AD1899" s="683"/>
      <c r="AE1899" s="650"/>
      <c r="AF1899" s="599">
        <f>SUBTOTAL(9,AF1900:AF1906)</f>
        <v>0</v>
      </c>
      <c r="AG1899" s="585"/>
      <c r="AH1899" s="585">
        <f>SUBTOTAL(9,AH1900:AH1906)</f>
        <v>0</v>
      </c>
      <c r="AI1899" s="571">
        <f t="shared" si="417"/>
        <v>39566000</v>
      </c>
      <c r="AJ1899" s="578"/>
      <c r="AK1899" s="574"/>
    </row>
    <row r="1900" spans="1:37" s="394" customFormat="1" ht="121.5" outlineLevel="2" x14ac:dyDescent="0.3">
      <c r="A1900" s="447">
        <f>IF(B1899&lt;&gt;0,B1899,A1898)</f>
        <v>162</v>
      </c>
      <c r="B1900" s="557"/>
      <c r="C1900" s="572" t="s">
        <v>1328</v>
      </c>
      <c r="D1900" s="700">
        <v>1</v>
      </c>
      <c r="E1900" s="744"/>
      <c r="F1900" s="744"/>
      <c r="G1900" s="731"/>
      <c r="H1900" s="745"/>
      <c r="I1900" s="546"/>
      <c r="J1900" s="562"/>
      <c r="K1900" s="563" t="str">
        <f>IF(G1900&lt;&gt;0,VLOOKUP(G1900,'gia dat'!$A$1:$F$144,5,0)," ")</f>
        <v xml:space="preserve"> </v>
      </c>
      <c r="L1900" s="563" t="str">
        <f>IF(G1900&lt;&gt;0,VLOOKUP(G1900,'gia dat'!$A$1:$F$144,6,0)," ")</f>
        <v xml:space="preserve"> </v>
      </c>
      <c r="M1900" s="564" t="str">
        <f t="shared" si="424"/>
        <v xml:space="preserve"> </v>
      </c>
      <c r="N1900" s="564" t="str">
        <f t="shared" si="425"/>
        <v xml:space="preserve"> </v>
      </c>
      <c r="O1900" s="572"/>
      <c r="P1900" s="740"/>
      <c r="Q1900" s="564" t="str">
        <f>IF(O1900&lt;&gt;0,VLOOKUP(O1900,'Cây trong'!$A$2:$C$246,3,0)," ")</f>
        <v xml:space="preserve"> </v>
      </c>
      <c r="R1900" s="564" t="str">
        <f t="shared" si="404"/>
        <v xml:space="preserve"> </v>
      </c>
      <c r="S1900" s="566" t="s">
        <v>1852</v>
      </c>
      <c r="T1900" s="609" t="s">
        <v>1133</v>
      </c>
      <c r="U1900" s="741">
        <v>7.7</v>
      </c>
      <c r="V1900" s="586"/>
      <c r="W1900" s="564">
        <f>IF(S1900&lt;&gt;0,VLOOKUP(S1900,VKT!$A$2:$G$415,7,0),"")</f>
        <v>1490563</v>
      </c>
      <c r="X1900" s="564">
        <f t="shared" si="411"/>
        <v>11477000</v>
      </c>
      <c r="Y1900" s="661" t="s">
        <v>139</v>
      </c>
      <c r="Z1900" s="683" t="s">
        <v>1139</v>
      </c>
      <c r="AA1900" s="683" t="s">
        <v>56</v>
      </c>
      <c r="AB1900" s="694" t="s">
        <v>1263</v>
      </c>
      <c r="AC1900" s="683" t="s">
        <v>1326</v>
      </c>
      <c r="AD1900" s="683"/>
      <c r="AE1900" s="683"/>
      <c r="AF1900" s="590"/>
      <c r="AG1900" s="570" t="str">
        <f>IF(AE1900&lt;&gt;0,VLOOKUP(AE1900,ODDS!$A$2:$C$13,3,0),"")</f>
        <v/>
      </c>
      <c r="AH1900" s="570" t="str">
        <f t="shared" si="405"/>
        <v xml:space="preserve"> </v>
      </c>
      <c r="AI1900" s="571" t="str">
        <f t="shared" si="417"/>
        <v xml:space="preserve"> </v>
      </c>
      <c r="AJ1900" s="586" t="s">
        <v>1267</v>
      </c>
      <c r="AK1900" s="558" t="s">
        <v>2450</v>
      </c>
    </row>
    <row r="1901" spans="1:37" s="394" customFormat="1" ht="101.25" outlineLevel="2" x14ac:dyDescent="0.3">
      <c r="A1901" s="447">
        <f t="shared" ref="A1901:A1906" si="426">IF(B1900&lt;&gt;0,B1900,A1900)</f>
        <v>162</v>
      </c>
      <c r="B1901" s="557"/>
      <c r="C1901" s="572" t="s">
        <v>1617</v>
      </c>
      <c r="D1901" s="700"/>
      <c r="E1901" s="744"/>
      <c r="F1901" s="744"/>
      <c r="G1901" s="731"/>
      <c r="H1901" s="745"/>
      <c r="I1901" s="546"/>
      <c r="J1901" s="562"/>
      <c r="K1901" s="563" t="str">
        <f>IF(G1901&lt;&gt;0,VLOOKUP(G1901,'gia dat'!$A$1:$F$144,5,0)," ")</f>
        <v xml:space="preserve"> </v>
      </c>
      <c r="L1901" s="563" t="str">
        <f>IF(G1901&lt;&gt;0,VLOOKUP(G1901,'gia dat'!$A$1:$F$144,6,0)," ")</f>
        <v xml:space="preserve"> </v>
      </c>
      <c r="M1901" s="564" t="str">
        <f t="shared" si="424"/>
        <v xml:space="preserve"> </v>
      </c>
      <c r="N1901" s="564" t="str">
        <f t="shared" si="425"/>
        <v xml:space="preserve"> </v>
      </c>
      <c r="O1901" s="572"/>
      <c r="P1901" s="740"/>
      <c r="Q1901" s="564" t="str">
        <f>IF(O1901&lt;&gt;0,VLOOKUP(O1901,'Cây trong'!$A$2:$C$246,3,0)," ")</f>
        <v xml:space="preserve"> </v>
      </c>
      <c r="R1901" s="564" t="str">
        <f t="shared" si="404"/>
        <v xml:space="preserve"> </v>
      </c>
      <c r="S1901" s="566" t="s">
        <v>1937</v>
      </c>
      <c r="T1901" s="609" t="s">
        <v>1133</v>
      </c>
      <c r="U1901" s="741">
        <v>3.5</v>
      </c>
      <c r="V1901" s="586"/>
      <c r="W1901" s="564">
        <f>IF(S1901&lt;&gt;0,VLOOKUP(S1901,VKT!$A$2:$G$415,7,0),"")</f>
        <v>8025358</v>
      </c>
      <c r="X1901" s="564">
        <f t="shared" si="411"/>
        <v>28089000</v>
      </c>
      <c r="Y1901" s="650"/>
      <c r="Z1901" s="586"/>
      <c r="AA1901" s="742"/>
      <c r="AB1901" s="586"/>
      <c r="AC1901" s="586"/>
      <c r="AD1901" s="586"/>
      <c r="AE1901" s="586"/>
      <c r="AF1901" s="714"/>
      <c r="AG1901" s="570" t="str">
        <f>IF(AE1901&lt;&gt;0,VLOOKUP(AE1901,ODDS!$A$2:$C$13,3,0),"")</f>
        <v/>
      </c>
      <c r="AH1901" s="570" t="str">
        <f t="shared" si="405"/>
        <v xml:space="preserve"> </v>
      </c>
      <c r="AI1901" s="571" t="str">
        <f t="shared" si="417"/>
        <v xml:space="preserve"> </v>
      </c>
      <c r="AJ1901" s="731"/>
      <c r="AK1901" s="586"/>
    </row>
    <row r="1902" spans="1:37" s="394" customFormat="1" ht="60.75" outlineLevel="2" x14ac:dyDescent="0.3">
      <c r="A1902" s="447">
        <f t="shared" si="426"/>
        <v>162</v>
      </c>
      <c r="B1902" s="557"/>
      <c r="C1902" s="572"/>
      <c r="D1902" s="700"/>
      <c r="E1902" s="612"/>
      <c r="F1902" s="612"/>
      <c r="G1902" s="586"/>
      <c r="H1902" s="709"/>
      <c r="I1902" s="546"/>
      <c r="J1902" s="562"/>
      <c r="K1902" s="563" t="str">
        <f>IF(G1902&lt;&gt;0,VLOOKUP(G1902,'gia dat'!$A$1:$F$144,5,0)," ")</f>
        <v xml:space="preserve"> </v>
      </c>
      <c r="L1902" s="563" t="str">
        <f>IF(G1902&lt;&gt;0,VLOOKUP(G1902,'gia dat'!$A$1:$F$144,6,0)," ")</f>
        <v xml:space="preserve"> </v>
      </c>
      <c r="M1902" s="564" t="str">
        <f t="shared" si="424"/>
        <v xml:space="preserve"> </v>
      </c>
      <c r="N1902" s="564" t="str">
        <f t="shared" si="425"/>
        <v xml:space="preserve"> </v>
      </c>
      <c r="O1902" s="572"/>
      <c r="P1902" s="740"/>
      <c r="Q1902" s="564" t="str">
        <f>IF(O1902&lt;&gt;0,VLOOKUP(O1902,'Cây trong'!$A$2:$C$246,3,0)," ")</f>
        <v xml:space="preserve"> </v>
      </c>
      <c r="R1902" s="564" t="str">
        <f t="shared" ref="R1902:R1993" si="427">IF(O1902&lt;&gt;0,ROUND(P1902*Q1902,-2)," ")</f>
        <v xml:space="preserve"> </v>
      </c>
      <c r="S1902" s="572" t="s">
        <v>1938</v>
      </c>
      <c r="T1902" s="609" t="s">
        <v>1133</v>
      </c>
      <c r="U1902" s="741">
        <v>22.4</v>
      </c>
      <c r="V1902" s="586"/>
      <c r="W1902" s="564">
        <f>IF(S1902&lt;&gt;0,VLOOKUP(S1902,VKT!$A$2:$G$415,7,0),"")</f>
        <v>0</v>
      </c>
      <c r="X1902" s="564">
        <f t="shared" si="411"/>
        <v>0</v>
      </c>
      <c r="Y1902" s="650"/>
      <c r="Z1902" s="586"/>
      <c r="AA1902" s="742"/>
      <c r="AB1902" s="586"/>
      <c r="AC1902" s="586"/>
      <c r="AD1902" s="586"/>
      <c r="AE1902" s="586"/>
      <c r="AF1902" s="714"/>
      <c r="AG1902" s="570" t="str">
        <f>IF(AE1902&lt;&gt;0,VLOOKUP(AE1902,ODDS!$A$2:$C$13,3,0),"")</f>
        <v/>
      </c>
      <c r="AH1902" s="570" t="str">
        <f t="shared" ref="AH1902:AH1993" si="428">IF(AE1902&lt;&gt;0,ROUND(AF1902*AG1902,-2)," ")</f>
        <v xml:space="preserve"> </v>
      </c>
      <c r="AI1902" s="571" t="str">
        <f t="shared" si="417"/>
        <v xml:space="preserve"> </v>
      </c>
      <c r="AJ1902" s="731"/>
      <c r="AK1902" s="586"/>
    </row>
    <row r="1903" spans="1:37" s="394" customFormat="1" ht="60.75" outlineLevel="2" x14ac:dyDescent="0.3">
      <c r="A1903" s="447">
        <f t="shared" si="426"/>
        <v>162</v>
      </c>
      <c r="B1903" s="557"/>
      <c r="C1903" s="572"/>
      <c r="D1903" s="700"/>
      <c r="E1903" s="612"/>
      <c r="F1903" s="612"/>
      <c r="G1903" s="586"/>
      <c r="H1903" s="709"/>
      <c r="I1903" s="546"/>
      <c r="J1903" s="562"/>
      <c r="K1903" s="563" t="str">
        <f>IF(G1903&lt;&gt;0,VLOOKUP(G1903,'gia dat'!$A$1:$F$144,5,0)," ")</f>
        <v xml:space="preserve"> </v>
      </c>
      <c r="L1903" s="563" t="str">
        <f>IF(G1903&lt;&gt;0,VLOOKUP(G1903,'gia dat'!$A$1:$F$144,6,0)," ")</f>
        <v xml:space="preserve"> </v>
      </c>
      <c r="M1903" s="564" t="str">
        <f t="shared" si="424"/>
        <v xml:space="preserve"> </v>
      </c>
      <c r="N1903" s="564" t="str">
        <f t="shared" si="425"/>
        <v xml:space="preserve"> </v>
      </c>
      <c r="O1903" s="572"/>
      <c r="P1903" s="740"/>
      <c r="Q1903" s="564" t="str">
        <f>IF(O1903&lt;&gt;0,VLOOKUP(O1903,'Cây trong'!$A$2:$C$246,3,0)," ")</f>
        <v xml:space="preserve"> </v>
      </c>
      <c r="R1903" s="564" t="str">
        <f t="shared" si="427"/>
        <v xml:space="preserve"> </v>
      </c>
      <c r="S1903" s="566" t="s">
        <v>1939</v>
      </c>
      <c r="T1903" s="609" t="s">
        <v>1133</v>
      </c>
      <c r="U1903" s="741"/>
      <c r="V1903" s="586">
        <v>11.2</v>
      </c>
      <c r="W1903" s="564">
        <f>IF(S1903&lt;&gt;0,VLOOKUP(S1903,VKT!$A$2:$G$415,7,0),"")</f>
        <v>1490563</v>
      </c>
      <c r="X1903" s="564">
        <f t="shared" si="411"/>
        <v>0</v>
      </c>
      <c r="Y1903" s="650"/>
      <c r="Z1903" s="586"/>
      <c r="AA1903" s="742"/>
      <c r="AB1903" s="586"/>
      <c r="AC1903" s="586"/>
      <c r="AD1903" s="586"/>
      <c r="AE1903" s="586"/>
      <c r="AF1903" s="714"/>
      <c r="AG1903" s="570" t="str">
        <f>IF(AE1903&lt;&gt;0,VLOOKUP(AE1903,ODDS!$A$2:$C$13,3,0),"")</f>
        <v/>
      </c>
      <c r="AH1903" s="570" t="str">
        <f t="shared" si="428"/>
        <v xml:space="preserve"> </v>
      </c>
      <c r="AI1903" s="571" t="str">
        <f t="shared" si="417"/>
        <v xml:space="preserve"> </v>
      </c>
      <c r="AJ1903" s="586"/>
      <c r="AK1903" s="586"/>
    </row>
    <row r="1904" spans="1:37" s="394" customFormat="1" ht="20.25" outlineLevel="2" x14ac:dyDescent="0.3">
      <c r="A1904" s="447">
        <f t="shared" si="426"/>
        <v>162</v>
      </c>
      <c r="B1904" s="557"/>
      <c r="C1904" s="572"/>
      <c r="D1904" s="700"/>
      <c r="E1904" s="612"/>
      <c r="F1904" s="612"/>
      <c r="G1904" s="586"/>
      <c r="H1904" s="709"/>
      <c r="I1904" s="546"/>
      <c r="J1904" s="562"/>
      <c r="K1904" s="563" t="str">
        <f>IF(G1904&lt;&gt;0,VLOOKUP(G1904,'gia dat'!$A$1:$F$144,5,0)," ")</f>
        <v xml:space="preserve"> </v>
      </c>
      <c r="L1904" s="563" t="str">
        <f>IF(G1904&lt;&gt;0,VLOOKUP(G1904,'gia dat'!$A$1:$F$144,6,0)," ")</f>
        <v xml:space="preserve"> </v>
      </c>
      <c r="M1904" s="564" t="str">
        <f t="shared" si="424"/>
        <v xml:space="preserve"> </v>
      </c>
      <c r="N1904" s="564" t="str">
        <f t="shared" si="425"/>
        <v xml:space="preserve"> </v>
      </c>
      <c r="O1904" s="572"/>
      <c r="P1904" s="740"/>
      <c r="Q1904" s="564" t="str">
        <f>IF(O1904&lt;&gt;0,VLOOKUP(O1904,'Cây trong'!$A$2:$C$246,3,0)," ")</f>
        <v xml:space="preserve"> </v>
      </c>
      <c r="R1904" s="564" t="str">
        <f t="shared" si="427"/>
        <v xml:space="preserve"> </v>
      </c>
      <c r="S1904" s="566"/>
      <c r="T1904" s="609"/>
      <c r="U1904" s="741"/>
      <c r="V1904" s="586"/>
      <c r="W1904" s="564" t="str">
        <f>IF(S1904&lt;&gt;0,VLOOKUP(S1904,VKT!$A$2:$G$415,7,0),"")</f>
        <v/>
      </c>
      <c r="X1904" s="564" t="str">
        <f t="shared" si="411"/>
        <v xml:space="preserve"> </v>
      </c>
      <c r="Y1904" s="650"/>
      <c r="Z1904" s="586"/>
      <c r="AA1904" s="742"/>
      <c r="AB1904" s="586"/>
      <c r="AC1904" s="586"/>
      <c r="AD1904" s="586"/>
      <c r="AE1904" s="586"/>
      <c r="AF1904" s="714"/>
      <c r="AG1904" s="570" t="str">
        <f>IF(AE1904&lt;&gt;0,VLOOKUP(AE1904,ODDS!$A$2:$C$13,3,0),"")</f>
        <v/>
      </c>
      <c r="AH1904" s="570" t="str">
        <f t="shared" si="428"/>
        <v xml:space="preserve"> </v>
      </c>
      <c r="AI1904" s="571" t="str">
        <f t="shared" si="417"/>
        <v xml:space="preserve"> </v>
      </c>
      <c r="AJ1904" s="586"/>
      <c r="AK1904" s="586"/>
    </row>
    <row r="1905" spans="1:37" s="394" customFormat="1" ht="20.25" outlineLevel="2" x14ac:dyDescent="0.3">
      <c r="A1905" s="447">
        <f t="shared" si="426"/>
        <v>162</v>
      </c>
      <c r="B1905" s="557"/>
      <c r="C1905" s="572"/>
      <c r="D1905" s="700"/>
      <c r="E1905" s="612"/>
      <c r="F1905" s="612"/>
      <c r="G1905" s="586"/>
      <c r="H1905" s="709"/>
      <c r="I1905" s="546"/>
      <c r="J1905" s="562"/>
      <c r="K1905" s="563" t="str">
        <f>IF(G1905&lt;&gt;0,VLOOKUP(G1905,'gia dat'!$A$1:$F$144,5,0)," ")</f>
        <v xml:space="preserve"> </v>
      </c>
      <c r="L1905" s="563" t="str">
        <f>IF(G1905&lt;&gt;0,VLOOKUP(G1905,'gia dat'!$A$1:$F$144,6,0)," ")</f>
        <v xml:space="preserve"> </v>
      </c>
      <c r="M1905" s="564" t="str">
        <f t="shared" si="424"/>
        <v xml:space="preserve"> </v>
      </c>
      <c r="N1905" s="564" t="str">
        <f t="shared" si="425"/>
        <v xml:space="preserve"> </v>
      </c>
      <c r="O1905" s="572"/>
      <c r="P1905" s="740"/>
      <c r="Q1905" s="564" t="str">
        <f>IF(O1905&lt;&gt;0,VLOOKUP(O1905,'Cây trong'!$A$2:$C$246,3,0)," ")</f>
        <v xml:space="preserve"> </v>
      </c>
      <c r="R1905" s="564" t="str">
        <f t="shared" si="427"/>
        <v xml:space="preserve"> </v>
      </c>
      <c r="S1905" s="566"/>
      <c r="T1905" s="609"/>
      <c r="U1905" s="741"/>
      <c r="V1905" s="586"/>
      <c r="W1905" s="564" t="str">
        <f>IF(S1905&lt;&gt;0,VLOOKUP(S1905,VKT!$A$2:$G$415,7,0),"")</f>
        <v/>
      </c>
      <c r="X1905" s="564" t="str">
        <f t="shared" si="411"/>
        <v xml:space="preserve"> </v>
      </c>
      <c r="Y1905" s="650"/>
      <c r="Z1905" s="586"/>
      <c r="AA1905" s="742"/>
      <c r="AB1905" s="586"/>
      <c r="AC1905" s="586"/>
      <c r="AD1905" s="586"/>
      <c r="AE1905" s="586"/>
      <c r="AF1905" s="714"/>
      <c r="AG1905" s="570" t="str">
        <f>IF(AE1905&lt;&gt;0,VLOOKUP(AE1905,ODDS!$A$2:$C$13,3,0),"")</f>
        <v/>
      </c>
      <c r="AH1905" s="570" t="str">
        <f t="shared" si="428"/>
        <v xml:space="preserve"> </v>
      </c>
      <c r="AI1905" s="571" t="str">
        <f t="shared" si="417"/>
        <v xml:space="preserve"> </v>
      </c>
      <c r="AJ1905" s="586"/>
      <c r="AK1905" s="586"/>
    </row>
    <row r="1906" spans="1:37" s="394" customFormat="1" ht="20.25" outlineLevel="2" x14ac:dyDescent="0.3">
      <c r="A1906" s="447">
        <f t="shared" si="426"/>
        <v>162</v>
      </c>
      <c r="B1906" s="557"/>
      <c r="C1906" s="607"/>
      <c r="D1906" s="700"/>
      <c r="E1906" s="612"/>
      <c r="F1906" s="612"/>
      <c r="G1906" s="586"/>
      <c r="H1906" s="709"/>
      <c r="I1906" s="546"/>
      <c r="J1906" s="562"/>
      <c r="K1906" s="563" t="str">
        <f>IF(G1906&lt;&gt;0,VLOOKUP(G1906,'gia dat'!$A$1:$F$144,5,0)," ")</f>
        <v xml:space="preserve"> </v>
      </c>
      <c r="L1906" s="563" t="str">
        <f>IF(G1906&lt;&gt;0,VLOOKUP(G1906,'gia dat'!$A$1:$F$144,6,0)," ")</f>
        <v xml:space="preserve"> </v>
      </c>
      <c r="M1906" s="564" t="str">
        <f t="shared" si="424"/>
        <v xml:space="preserve"> </v>
      </c>
      <c r="N1906" s="564" t="str">
        <f t="shared" si="425"/>
        <v xml:space="preserve"> </v>
      </c>
      <c r="O1906" s="572"/>
      <c r="P1906" s="740"/>
      <c r="Q1906" s="564" t="str">
        <f>IF(O1906&lt;&gt;0,VLOOKUP(O1906,'Cây trong'!$A$2:$C$246,3,0)," ")</f>
        <v xml:space="preserve"> </v>
      </c>
      <c r="R1906" s="564" t="str">
        <f t="shared" si="427"/>
        <v xml:space="preserve"> </v>
      </c>
      <c r="S1906" s="566"/>
      <c r="T1906" s="609"/>
      <c r="U1906" s="741"/>
      <c r="V1906" s="586"/>
      <c r="W1906" s="564" t="str">
        <f>IF(S1906&lt;&gt;0,VLOOKUP(S1906,VKT!$A$2:$G$415,7,0),"")</f>
        <v/>
      </c>
      <c r="X1906" s="564" t="str">
        <f t="shared" si="411"/>
        <v xml:space="preserve"> </v>
      </c>
      <c r="Y1906" s="650"/>
      <c r="Z1906" s="586"/>
      <c r="AA1906" s="742"/>
      <c r="AB1906" s="586"/>
      <c r="AC1906" s="586"/>
      <c r="AD1906" s="586"/>
      <c r="AE1906" s="586"/>
      <c r="AF1906" s="714"/>
      <c r="AG1906" s="570" t="str">
        <f>IF(AE1906&lt;&gt;0,VLOOKUP(AE1906,ODDS!$A$2:$C$13,3,0),"")</f>
        <v/>
      </c>
      <c r="AH1906" s="570" t="str">
        <f t="shared" si="428"/>
        <v xml:space="preserve"> </v>
      </c>
      <c r="AI1906" s="571" t="str">
        <f t="shared" si="417"/>
        <v xml:space="preserve"> </v>
      </c>
      <c r="AJ1906" s="586"/>
      <c r="AK1906" s="586"/>
    </row>
    <row r="1907" spans="1:37" s="804" customFormat="1" ht="40.5" outlineLevel="1" x14ac:dyDescent="0.25">
      <c r="A1907" s="784" t="s">
        <v>2547</v>
      </c>
      <c r="B1907" s="785">
        <v>163</v>
      </c>
      <c r="C1907" s="786" t="s">
        <v>1331</v>
      </c>
      <c r="D1907" s="787"/>
      <c r="E1907" s="788"/>
      <c r="F1907" s="788"/>
      <c r="G1907" s="789"/>
      <c r="H1907" s="790">
        <f>SUBTOTAL(9,H1908:H1914)</f>
        <v>2657.2</v>
      </c>
      <c r="I1907" s="791">
        <f>SUBTOTAL(9,I1908:I1913)</f>
        <v>2457.1999999999998</v>
      </c>
      <c r="J1907" s="792"/>
      <c r="K1907" s="793"/>
      <c r="L1907" s="793"/>
      <c r="M1907" s="794">
        <f>SUBTOTAL(9,M1908:M1914)</f>
        <v>3218536000</v>
      </c>
      <c r="N1907" s="794">
        <f>SUBTOTAL(9,N1908:N1914)</f>
        <v>3432217000</v>
      </c>
      <c r="O1907" s="786"/>
      <c r="P1907" s="795">
        <f>SUBTOTAL(9,P1908:P1914)</f>
        <v>483</v>
      </c>
      <c r="Q1907" s="794"/>
      <c r="R1907" s="794">
        <f>SUBTOTAL(9,R1908:R1914)</f>
        <v>5796000</v>
      </c>
      <c r="S1907" s="796"/>
      <c r="T1907" s="797"/>
      <c r="U1907" s="798">
        <f>SUBTOTAL(9,U1908:U1914)</f>
        <v>0</v>
      </c>
      <c r="V1907" s="789"/>
      <c r="W1907" s="794"/>
      <c r="X1907" s="794">
        <f>SUBTOTAL(9,X1908:X1914)</f>
        <v>0</v>
      </c>
      <c r="Y1907" s="799"/>
      <c r="Z1907" s="800"/>
      <c r="AA1907" s="801"/>
      <c r="AB1907" s="800"/>
      <c r="AC1907" s="800"/>
      <c r="AD1907" s="800"/>
      <c r="AE1907" s="809"/>
      <c r="AF1907" s="793">
        <f>SUBTOTAL(9,AF1908:AF1914)</f>
        <v>0</v>
      </c>
      <c r="AG1907" s="803"/>
      <c r="AH1907" s="803">
        <f>SUBTOTAL(9,AH1908:AH1914)</f>
        <v>0</v>
      </c>
      <c r="AI1907" s="794">
        <f t="shared" si="417"/>
        <v>6656549000</v>
      </c>
      <c r="AJ1907" s="789"/>
      <c r="AK1907" s="789"/>
    </row>
    <row r="1908" spans="1:37" s="396" customFormat="1" ht="121.5" outlineLevel="2" x14ac:dyDescent="0.3">
      <c r="A1908" s="447">
        <f>IF(B1907&lt;&gt;0,B1907,A1906)</f>
        <v>163</v>
      </c>
      <c r="B1908" s="557"/>
      <c r="C1908" s="572" t="s">
        <v>1334</v>
      </c>
      <c r="D1908" s="700">
        <v>4</v>
      </c>
      <c r="E1908" s="612">
        <v>86</v>
      </c>
      <c r="F1908" s="612">
        <v>27</v>
      </c>
      <c r="G1908" s="586" t="s">
        <v>2418</v>
      </c>
      <c r="H1908" s="709">
        <v>2457.1999999999998</v>
      </c>
      <c r="I1908" s="546">
        <f t="shared" ref="I1908:I1909" si="429">IF(N1908&gt;0,H1908,"")</f>
        <v>2457.1999999999998</v>
      </c>
      <c r="J1908" s="562"/>
      <c r="K1908" s="563">
        <f>IF(G1908&lt;&gt;0,VLOOKUP(G1908,'gia dat'!$A$1:$F$144,5,0)," ")</f>
        <v>465600</v>
      </c>
      <c r="L1908" s="563">
        <f>IF(G1908&lt;&gt;0,VLOOKUP(G1908,'gia dat'!$A$1:$F$144,6,0)," ")</f>
        <v>1396800</v>
      </c>
      <c r="M1908" s="564">
        <f t="shared" si="424"/>
        <v>1144072000</v>
      </c>
      <c r="N1908" s="564">
        <f t="shared" si="425"/>
        <v>3432217000</v>
      </c>
      <c r="O1908" s="572" t="s">
        <v>1332</v>
      </c>
      <c r="P1908" s="740">
        <v>483</v>
      </c>
      <c r="Q1908" s="564">
        <f>IF(O1908&lt;&gt;0,VLOOKUP(O1908,'Cây trong'!$A$2:$C$246,3,0)," ")</f>
        <v>12000</v>
      </c>
      <c r="R1908" s="564">
        <f t="shared" si="427"/>
        <v>5796000</v>
      </c>
      <c r="S1908" s="566"/>
      <c r="T1908" s="609"/>
      <c r="U1908" s="741"/>
      <c r="V1908" s="586"/>
      <c r="W1908" s="564" t="str">
        <f>IF(S1908&lt;&gt;0,VLOOKUP(S1908,VKT!$A$2:$G$415,7,0),"")</f>
        <v/>
      </c>
      <c r="X1908" s="564" t="str">
        <f t="shared" si="411"/>
        <v xml:space="preserve"> </v>
      </c>
      <c r="Y1908" s="650"/>
      <c r="Z1908" s="586"/>
      <c r="AA1908" s="742"/>
      <c r="AB1908" s="586"/>
      <c r="AC1908" s="586"/>
      <c r="AD1908" s="586"/>
      <c r="AE1908" s="569"/>
      <c r="AF1908" s="563"/>
      <c r="AG1908" s="570"/>
      <c r="AH1908" s="570"/>
      <c r="AI1908" s="571" t="str">
        <f t="shared" si="417"/>
        <v xml:space="preserve"> </v>
      </c>
      <c r="AJ1908" s="586" t="s">
        <v>1333</v>
      </c>
      <c r="AK1908" s="586" t="s">
        <v>2771</v>
      </c>
    </row>
    <row r="1909" spans="1:37" s="394" customFormat="1" ht="202.5" outlineLevel="2" x14ac:dyDescent="0.3">
      <c r="A1909" s="447">
        <f t="shared" ref="A1909:A1914" si="430">IF(B1908&lt;&gt;0,B1908,A1908)</f>
        <v>163</v>
      </c>
      <c r="B1909" s="557"/>
      <c r="C1909" s="572" t="s">
        <v>1336</v>
      </c>
      <c r="D1909" s="700"/>
      <c r="E1909" s="612">
        <v>86</v>
      </c>
      <c r="F1909" s="612">
        <v>27</v>
      </c>
      <c r="G1909" s="782" t="s">
        <v>2905</v>
      </c>
      <c r="H1909" s="783">
        <f>200-H1911</f>
        <v>200</v>
      </c>
      <c r="I1909" s="546" t="str">
        <f t="shared" si="429"/>
        <v/>
      </c>
      <c r="J1909" s="562"/>
      <c r="K1909" s="563">
        <f>IF(G1909&lt;&gt;0,VLOOKUP(G1909,'gia dat'!$A$1:$F$144,5,0)," ")</f>
        <v>10372320</v>
      </c>
      <c r="L1909" s="563">
        <f>IF(G1909&lt;&gt;0,VLOOKUP(G1909,'gia dat'!$A$1:$F$144,6,0)," ")</f>
        <v>0</v>
      </c>
      <c r="M1909" s="564">
        <f t="shared" si="424"/>
        <v>2074464000</v>
      </c>
      <c r="N1909" s="564">
        <f t="shared" si="425"/>
        <v>0</v>
      </c>
      <c r="O1909" s="572"/>
      <c r="P1909" s="740"/>
      <c r="Q1909" s="564" t="str">
        <f>IF(O1909&lt;&gt;0,VLOOKUP(O1909,'Cây trong'!$A$2:$C$246,3,0)," ")</f>
        <v xml:space="preserve"> </v>
      </c>
      <c r="R1909" s="564" t="str">
        <f t="shared" si="427"/>
        <v xml:space="preserve"> </v>
      </c>
      <c r="S1909" s="566"/>
      <c r="T1909" s="609"/>
      <c r="U1909" s="741"/>
      <c r="V1909" s="586"/>
      <c r="W1909" s="564" t="str">
        <f>IF(S1909&lt;&gt;0,VLOOKUP(S1909,VKT!$A$2:$G$415,7,0),"")</f>
        <v/>
      </c>
      <c r="X1909" s="564" t="str">
        <f t="shared" ref="X1909:X1977" si="431">IF(S1909&lt;&gt;0,ROUND(U1909*W1909,-3)," ")</f>
        <v xml:space="preserve"> </v>
      </c>
      <c r="Y1909" s="650"/>
      <c r="Z1909" s="586"/>
      <c r="AA1909" s="742"/>
      <c r="AB1909" s="586"/>
      <c r="AC1909" s="586"/>
      <c r="AD1909" s="586"/>
      <c r="AE1909" s="569"/>
      <c r="AF1909" s="590"/>
      <c r="AG1909" s="570" t="str">
        <f>IF(AE1909&lt;&gt;0,VLOOKUP(AE1909,ODDS!$A$2:$C$13,3,0),"")</f>
        <v/>
      </c>
      <c r="AH1909" s="570" t="str">
        <f t="shared" si="428"/>
        <v xml:space="preserve"> </v>
      </c>
      <c r="AI1909" s="571" t="str">
        <f t="shared" si="417"/>
        <v xml:space="preserve"> </v>
      </c>
      <c r="AJ1909" s="586" t="s">
        <v>1335</v>
      </c>
      <c r="AK1909" s="558" t="s">
        <v>2448</v>
      </c>
    </row>
    <row r="1910" spans="1:37" s="394" customFormat="1" ht="101.25" outlineLevel="2" x14ac:dyDescent="0.3">
      <c r="A1910" s="447">
        <f t="shared" si="430"/>
        <v>163</v>
      </c>
      <c r="B1910" s="557"/>
      <c r="C1910" s="572"/>
      <c r="D1910" s="700"/>
      <c r="E1910" s="612"/>
      <c r="F1910" s="612"/>
      <c r="G1910" s="586"/>
      <c r="H1910" s="709"/>
      <c r="I1910" s="546"/>
      <c r="J1910" s="562"/>
      <c r="K1910" s="563" t="str">
        <f>IF(G1910&lt;&gt;0,VLOOKUP(G1910,'gia dat'!$A$1:$F$144,5,0)," ")</f>
        <v xml:space="preserve"> </v>
      </c>
      <c r="L1910" s="563" t="str">
        <f>IF(G1910&lt;&gt;0,VLOOKUP(G1910,'gia dat'!$A$1:$F$144,6,0)," ")</f>
        <v xml:space="preserve"> </v>
      </c>
      <c r="M1910" s="564" t="str">
        <f t="shared" si="424"/>
        <v xml:space="preserve"> </v>
      </c>
      <c r="N1910" s="564" t="str">
        <f t="shared" si="425"/>
        <v xml:space="preserve"> </v>
      </c>
      <c r="O1910" s="572"/>
      <c r="P1910" s="740"/>
      <c r="Q1910" s="564" t="str">
        <f>IF(O1910&lt;&gt;0,VLOOKUP(O1910,'Cây trong'!$A$2:$C$246,3,0)," ")</f>
        <v xml:space="preserve"> </v>
      </c>
      <c r="R1910" s="564" t="str">
        <f t="shared" si="427"/>
        <v xml:space="preserve"> </v>
      </c>
      <c r="S1910" s="566"/>
      <c r="T1910" s="609"/>
      <c r="U1910" s="741"/>
      <c r="V1910" s="586"/>
      <c r="W1910" s="564" t="str">
        <f>IF(S1910&lt;&gt;0,VLOOKUP(S1910,VKT!$A$2:$G$415,7,0),"")</f>
        <v/>
      </c>
      <c r="X1910" s="564" t="str">
        <f t="shared" si="431"/>
        <v xml:space="preserve"> </v>
      </c>
      <c r="Y1910" s="650"/>
      <c r="Z1910" s="586"/>
      <c r="AA1910" s="742"/>
      <c r="AB1910" s="586"/>
      <c r="AC1910" s="586"/>
      <c r="AD1910" s="586"/>
      <c r="AE1910" s="606"/>
      <c r="AF1910" s="590"/>
      <c r="AG1910" s="570" t="str">
        <f>IF(AE1910&lt;&gt;0,VLOOKUP(AE1910,ODDS!$A$2:$C$13,3,0),"")</f>
        <v/>
      </c>
      <c r="AH1910" s="570" t="str">
        <f t="shared" si="428"/>
        <v xml:space="preserve"> </v>
      </c>
      <c r="AI1910" s="571" t="str">
        <f t="shared" si="417"/>
        <v xml:space="preserve"> </v>
      </c>
      <c r="AJ1910" s="586" t="s">
        <v>2074</v>
      </c>
      <c r="AK1910" s="558" t="s">
        <v>2449</v>
      </c>
    </row>
    <row r="1911" spans="1:37" s="394" customFormat="1" ht="20.25" outlineLevel="2" x14ac:dyDescent="0.3">
      <c r="A1911" s="447">
        <f t="shared" si="430"/>
        <v>163</v>
      </c>
      <c r="B1911" s="557"/>
      <c r="C1911" s="572"/>
      <c r="D1911" s="700"/>
      <c r="E1911" s="612"/>
      <c r="F1911" s="612"/>
      <c r="G1911" s="586"/>
      <c r="H1911" s="709"/>
      <c r="I1911" s="546"/>
      <c r="J1911" s="562"/>
      <c r="K1911" s="563" t="str">
        <f>IF(G1911&lt;&gt;0,VLOOKUP(G1911,'gia dat'!$A$1:$F$144,5,0)," ")</f>
        <v xml:space="preserve"> </v>
      </c>
      <c r="L1911" s="563" t="str">
        <f>IF(G1911&lt;&gt;0,VLOOKUP(G1911,'gia dat'!$A$1:$F$144,6,0)," ")</f>
        <v xml:space="preserve"> </v>
      </c>
      <c r="M1911" s="564" t="str">
        <f t="shared" si="424"/>
        <v xml:space="preserve"> </v>
      </c>
      <c r="N1911" s="564" t="str">
        <f t="shared" si="425"/>
        <v xml:space="preserve"> </v>
      </c>
      <c r="O1911" s="572"/>
      <c r="P1911" s="740"/>
      <c r="Q1911" s="564" t="str">
        <f>IF(O1911&lt;&gt;0,VLOOKUP(O1911,'Cây trong'!$A$2:$C$246,3,0)," ")</f>
        <v xml:space="preserve"> </v>
      </c>
      <c r="R1911" s="564" t="str">
        <f t="shared" si="427"/>
        <v xml:space="preserve"> </v>
      </c>
      <c r="S1911" s="566"/>
      <c r="T1911" s="609"/>
      <c r="U1911" s="741"/>
      <c r="V1911" s="586"/>
      <c r="W1911" s="564" t="str">
        <f>IF(S1911&lt;&gt;0,VLOOKUP(S1911,VKT!$A$2:$G$415,7,0),"")</f>
        <v/>
      </c>
      <c r="X1911" s="564" t="str">
        <f t="shared" si="431"/>
        <v xml:space="preserve"> </v>
      </c>
      <c r="Y1911" s="650"/>
      <c r="Z1911" s="586"/>
      <c r="AA1911" s="742"/>
      <c r="AB1911" s="586"/>
      <c r="AC1911" s="586"/>
      <c r="AD1911" s="586"/>
      <c r="AE1911" s="586"/>
      <c r="AF1911" s="714"/>
      <c r="AG1911" s="570" t="str">
        <f>IF(AE1911&lt;&gt;0,VLOOKUP(AE1911,ODDS!$A$2:$C$13,3,0),"")</f>
        <v/>
      </c>
      <c r="AH1911" s="570" t="str">
        <f t="shared" si="428"/>
        <v xml:space="preserve"> </v>
      </c>
      <c r="AI1911" s="571" t="str">
        <f t="shared" si="417"/>
        <v xml:space="preserve"> </v>
      </c>
      <c r="AJ1911" s="731"/>
      <c r="AK1911" s="586"/>
    </row>
    <row r="1912" spans="1:37" s="394" customFormat="1" ht="20.25" outlineLevel="2" x14ac:dyDescent="0.3">
      <c r="A1912" s="447">
        <f t="shared" si="430"/>
        <v>163</v>
      </c>
      <c r="B1912" s="557"/>
      <c r="C1912" s="572"/>
      <c r="D1912" s="700"/>
      <c r="E1912" s="612"/>
      <c r="F1912" s="612"/>
      <c r="G1912" s="586"/>
      <c r="H1912" s="709"/>
      <c r="I1912" s="546"/>
      <c r="J1912" s="562"/>
      <c r="K1912" s="563" t="str">
        <f>IF(G1912&lt;&gt;0,VLOOKUP(G1912,'gia dat'!$A$1:$F$144,5,0)," ")</f>
        <v xml:space="preserve"> </v>
      </c>
      <c r="L1912" s="563" t="str">
        <f>IF(G1912&lt;&gt;0,VLOOKUP(G1912,'gia dat'!$A$1:$F$144,6,0)," ")</f>
        <v xml:space="preserve"> </v>
      </c>
      <c r="M1912" s="564" t="str">
        <f t="shared" si="424"/>
        <v xml:space="preserve"> </v>
      </c>
      <c r="N1912" s="564" t="str">
        <f t="shared" si="425"/>
        <v xml:space="preserve"> </v>
      </c>
      <c r="O1912" s="572"/>
      <c r="P1912" s="740"/>
      <c r="Q1912" s="564" t="str">
        <f>IF(O1912&lt;&gt;0,VLOOKUP(O1912,'Cây trong'!$A$2:$C$246,3,0)," ")</f>
        <v xml:space="preserve"> </v>
      </c>
      <c r="R1912" s="564" t="str">
        <f t="shared" si="427"/>
        <v xml:space="preserve"> </v>
      </c>
      <c r="S1912" s="566"/>
      <c r="T1912" s="609"/>
      <c r="U1912" s="741"/>
      <c r="V1912" s="586"/>
      <c r="W1912" s="564" t="str">
        <f>IF(S1912&lt;&gt;0,VLOOKUP(S1912,VKT!$A$2:$G$415,7,0),"")</f>
        <v/>
      </c>
      <c r="X1912" s="564" t="str">
        <f t="shared" si="431"/>
        <v xml:space="preserve"> </v>
      </c>
      <c r="Y1912" s="650"/>
      <c r="Z1912" s="586"/>
      <c r="AA1912" s="742"/>
      <c r="AB1912" s="586"/>
      <c r="AC1912" s="586"/>
      <c r="AD1912" s="586"/>
      <c r="AE1912" s="586"/>
      <c r="AF1912" s="714"/>
      <c r="AG1912" s="570" t="str">
        <f>IF(AE1912&lt;&gt;0,VLOOKUP(AE1912,ODDS!$A$2:$C$13,3,0),"")</f>
        <v/>
      </c>
      <c r="AH1912" s="570" t="str">
        <f t="shared" si="428"/>
        <v xml:space="preserve"> </v>
      </c>
      <c r="AI1912" s="571" t="str">
        <f t="shared" si="417"/>
        <v xml:space="preserve"> </v>
      </c>
      <c r="AJ1912" s="572"/>
      <c r="AK1912" s="572"/>
    </row>
    <row r="1913" spans="1:37" s="394" customFormat="1" ht="20.25" outlineLevel="2" x14ac:dyDescent="0.3">
      <c r="A1913" s="447">
        <f t="shared" si="430"/>
        <v>163</v>
      </c>
      <c r="B1913" s="557"/>
      <c r="C1913" s="572"/>
      <c r="D1913" s="700"/>
      <c r="E1913" s="612"/>
      <c r="F1913" s="612"/>
      <c r="G1913" s="586"/>
      <c r="H1913" s="709"/>
      <c r="I1913" s="546"/>
      <c r="J1913" s="562"/>
      <c r="K1913" s="563" t="str">
        <f>IF(G1913&lt;&gt;0,VLOOKUP(G1913,'gia dat'!$A$1:$F$144,5,0)," ")</f>
        <v xml:space="preserve"> </v>
      </c>
      <c r="L1913" s="563" t="str">
        <f>IF(G1913&lt;&gt;0,VLOOKUP(G1913,'gia dat'!$A$1:$F$144,6,0)," ")</f>
        <v xml:space="preserve"> </v>
      </c>
      <c r="M1913" s="564" t="str">
        <f t="shared" si="424"/>
        <v xml:space="preserve"> </v>
      </c>
      <c r="N1913" s="564" t="str">
        <f t="shared" si="425"/>
        <v xml:space="preserve"> </v>
      </c>
      <c r="O1913" s="572"/>
      <c r="P1913" s="740"/>
      <c r="Q1913" s="564" t="str">
        <f>IF(O1913&lt;&gt;0,VLOOKUP(O1913,'Cây trong'!$A$2:$C$246,3,0)," ")</f>
        <v xml:space="preserve"> </v>
      </c>
      <c r="R1913" s="564" t="str">
        <f t="shared" si="427"/>
        <v xml:space="preserve"> </v>
      </c>
      <c r="S1913" s="566"/>
      <c r="T1913" s="609"/>
      <c r="U1913" s="741"/>
      <c r="V1913" s="586"/>
      <c r="W1913" s="564" t="str">
        <f>IF(S1913&lt;&gt;0,VLOOKUP(S1913,VKT!$A$2:$G$415,7,0),"")</f>
        <v/>
      </c>
      <c r="X1913" s="564" t="str">
        <f t="shared" si="431"/>
        <v xml:space="preserve"> </v>
      </c>
      <c r="Y1913" s="650"/>
      <c r="Z1913" s="586"/>
      <c r="AA1913" s="742"/>
      <c r="AB1913" s="586"/>
      <c r="AC1913" s="586"/>
      <c r="AD1913" s="586"/>
      <c r="AE1913" s="586"/>
      <c r="AF1913" s="714"/>
      <c r="AG1913" s="570" t="str">
        <f>IF(AE1913&lt;&gt;0,VLOOKUP(AE1913,ODDS!$A$2:$C$13,3,0),"")</f>
        <v/>
      </c>
      <c r="AH1913" s="570" t="str">
        <f t="shared" si="428"/>
        <v xml:space="preserve"> </v>
      </c>
      <c r="AI1913" s="571" t="str">
        <f t="shared" si="417"/>
        <v xml:space="preserve"> </v>
      </c>
      <c r="AJ1913" s="586"/>
      <c r="AK1913" s="586"/>
    </row>
    <row r="1914" spans="1:37" s="394" customFormat="1" ht="20.25" outlineLevel="2" x14ac:dyDescent="0.3">
      <c r="A1914" s="447">
        <f t="shared" si="430"/>
        <v>163</v>
      </c>
      <c r="B1914" s="557"/>
      <c r="C1914" s="607"/>
      <c r="D1914" s="700"/>
      <c r="E1914" s="612"/>
      <c r="F1914" s="612"/>
      <c r="G1914" s="586"/>
      <c r="H1914" s="709"/>
      <c r="I1914" s="546"/>
      <c r="J1914" s="562"/>
      <c r="K1914" s="563" t="str">
        <f>IF(G1914&lt;&gt;0,VLOOKUP(G1914,'gia dat'!$A$1:$F$144,5,0)," ")</f>
        <v xml:space="preserve"> </v>
      </c>
      <c r="L1914" s="563" t="str">
        <f>IF(G1914&lt;&gt;0,VLOOKUP(G1914,'gia dat'!$A$1:$F$144,6,0)," ")</f>
        <v xml:space="preserve"> </v>
      </c>
      <c r="M1914" s="564" t="str">
        <f t="shared" si="424"/>
        <v xml:space="preserve"> </v>
      </c>
      <c r="N1914" s="564" t="str">
        <f t="shared" si="425"/>
        <v xml:space="preserve"> </v>
      </c>
      <c r="O1914" s="572"/>
      <c r="P1914" s="740"/>
      <c r="Q1914" s="564" t="str">
        <f>IF(O1914&lt;&gt;0,VLOOKUP(O1914,'Cây trong'!$A$2:$C$246,3,0)," ")</f>
        <v xml:space="preserve"> </v>
      </c>
      <c r="R1914" s="564" t="str">
        <f t="shared" si="427"/>
        <v xml:space="preserve"> </v>
      </c>
      <c r="S1914" s="566"/>
      <c r="T1914" s="609"/>
      <c r="U1914" s="741"/>
      <c r="V1914" s="586"/>
      <c r="W1914" s="564" t="str">
        <f>IF(S1914&lt;&gt;0,VLOOKUP(S1914,VKT!$A$2:$G$415,7,0),"")</f>
        <v/>
      </c>
      <c r="X1914" s="564" t="str">
        <f t="shared" si="431"/>
        <v xml:space="preserve"> </v>
      </c>
      <c r="Y1914" s="650"/>
      <c r="Z1914" s="586"/>
      <c r="AA1914" s="742"/>
      <c r="AB1914" s="586"/>
      <c r="AC1914" s="586"/>
      <c r="AD1914" s="586"/>
      <c r="AE1914" s="586"/>
      <c r="AF1914" s="714"/>
      <c r="AG1914" s="570" t="str">
        <f>IF(AE1914&lt;&gt;0,VLOOKUP(AE1914,ODDS!$A$2:$C$13,3,0),"")</f>
        <v/>
      </c>
      <c r="AH1914" s="570" t="str">
        <f t="shared" si="428"/>
        <v xml:space="preserve"> </v>
      </c>
      <c r="AI1914" s="571" t="str">
        <f t="shared" si="417"/>
        <v xml:space="preserve"> </v>
      </c>
      <c r="AJ1914" s="586"/>
      <c r="AK1914" s="586"/>
    </row>
    <row r="1915" spans="1:37" s="396" customFormat="1" ht="30" customHeight="1" outlineLevel="1" x14ac:dyDescent="0.25">
      <c r="A1915" s="467" t="s">
        <v>2546</v>
      </c>
      <c r="B1915" s="576">
        <v>164</v>
      </c>
      <c r="C1915" s="607" t="s">
        <v>1338</v>
      </c>
      <c r="D1915" s="706"/>
      <c r="E1915" s="642"/>
      <c r="F1915" s="642"/>
      <c r="G1915" s="578"/>
      <c r="H1915" s="707">
        <f>SUBTOTAL(9,H1916:H1941)</f>
        <v>1000</v>
      </c>
      <c r="I1915" s="579">
        <f>SUBTOTAL(9,I1916:I1921)</f>
        <v>550</v>
      </c>
      <c r="J1915" s="580"/>
      <c r="K1915" s="581"/>
      <c r="L1915" s="581"/>
      <c r="M1915" s="571">
        <f>SUBTOTAL(9,M1916:M1941)</f>
        <v>465600000</v>
      </c>
      <c r="N1915" s="571">
        <f>SUBTOTAL(9,N1916:N1941)</f>
        <v>768240000</v>
      </c>
      <c r="O1915" s="607"/>
      <c r="P1915" s="738">
        <f>SUBTOTAL(9,P1916:P1941)</f>
        <v>1092</v>
      </c>
      <c r="Q1915" s="571"/>
      <c r="R1915" s="571">
        <f>SUBTOTAL(9,R1916:R1941)</f>
        <v>375355000</v>
      </c>
      <c r="S1915" s="582"/>
      <c r="T1915" s="621"/>
      <c r="U1915" s="739">
        <f>SUBTOTAL(9,U1916:U1941)</f>
        <v>505.45499999999993</v>
      </c>
      <c r="V1915" s="578"/>
      <c r="W1915" s="571"/>
      <c r="X1915" s="571">
        <f>SUBTOTAL(9,X1916:X1941)</f>
        <v>635628000</v>
      </c>
      <c r="Y1915" s="661"/>
      <c r="Z1915" s="683"/>
      <c r="AA1915" s="683"/>
      <c r="AB1915" s="694"/>
      <c r="AC1915" s="683"/>
      <c r="AD1915" s="586"/>
      <c r="AE1915" s="578"/>
      <c r="AF1915" s="712">
        <f>SUBTOTAL(9,AF1916:AF1941)</f>
        <v>2</v>
      </c>
      <c r="AG1915" s="585"/>
      <c r="AH1915" s="585">
        <f>SUBTOTAL(9,AH1916:AH1941)</f>
        <v>22000000</v>
      </c>
      <c r="AI1915" s="571">
        <f t="shared" si="417"/>
        <v>2266823000</v>
      </c>
      <c r="AJ1915" s="578"/>
      <c r="AK1915" s="578"/>
    </row>
    <row r="1916" spans="1:37" s="396" customFormat="1" ht="121.5" outlineLevel="2" x14ac:dyDescent="0.3">
      <c r="A1916" s="447">
        <f>IF(B1915&lt;&gt;0,B1915,A1914)</f>
        <v>164</v>
      </c>
      <c r="B1916" s="557"/>
      <c r="C1916" s="572" t="s">
        <v>1341</v>
      </c>
      <c r="D1916" s="700">
        <v>3</v>
      </c>
      <c r="E1916" s="612">
        <v>86</v>
      </c>
      <c r="F1916" s="612">
        <v>275</v>
      </c>
      <c r="G1916" s="586" t="s">
        <v>2438</v>
      </c>
      <c r="H1916" s="709">
        <f>1000-H1917</f>
        <v>550</v>
      </c>
      <c r="I1916" s="546">
        <f t="shared" ref="I1916:I1917" si="432">IF(N1916&gt;0,H1916,"")</f>
        <v>550</v>
      </c>
      <c r="J1916" s="562"/>
      <c r="K1916" s="563">
        <f>IF(G1916&lt;&gt;0,VLOOKUP(G1916,'gia dat'!$A$1:$F$144,5,0)," ")</f>
        <v>465600</v>
      </c>
      <c r="L1916" s="563">
        <f>IF(G1916&lt;&gt;0,VLOOKUP(G1916,'gia dat'!$A$1:$F$144,6,0)," ")</f>
        <v>1396800</v>
      </c>
      <c r="M1916" s="564">
        <f t="shared" si="424"/>
        <v>256080000</v>
      </c>
      <c r="N1916" s="564">
        <f t="shared" si="425"/>
        <v>768240000</v>
      </c>
      <c r="O1916" s="572" t="s">
        <v>1339</v>
      </c>
      <c r="P1916" s="740">
        <v>1</v>
      </c>
      <c r="Q1916" s="564">
        <f>IF(O1916&lt;&gt;0,VLOOKUP(O1916,'Cây trong'!$A$2:$C$246,3,0)," ")</f>
        <v>554000</v>
      </c>
      <c r="R1916" s="564">
        <f t="shared" si="427"/>
        <v>554000</v>
      </c>
      <c r="S1916" s="566" t="s">
        <v>1820</v>
      </c>
      <c r="T1916" s="609" t="s">
        <v>1133</v>
      </c>
      <c r="U1916" s="741">
        <v>73.44</v>
      </c>
      <c r="V1916" s="586"/>
      <c r="W1916" s="564">
        <f>IF(S1916&lt;&gt;0,VLOOKUP(S1916,VKT!$A$2:$G$415,7,0),"")</f>
        <v>5307665</v>
      </c>
      <c r="X1916" s="564">
        <f t="shared" si="431"/>
        <v>389795000</v>
      </c>
      <c r="Y1916" s="661" t="s">
        <v>1138</v>
      </c>
      <c r="Z1916" s="683" t="s">
        <v>1139</v>
      </c>
      <c r="AA1916" s="683" t="s">
        <v>56</v>
      </c>
      <c r="AB1916" s="694" t="s">
        <v>269</v>
      </c>
      <c r="AC1916" s="683" t="s">
        <v>1138</v>
      </c>
      <c r="AD1916" s="586"/>
      <c r="AE1916" s="586" t="s">
        <v>2137</v>
      </c>
      <c r="AF1916" s="714">
        <v>1</v>
      </c>
      <c r="AG1916" s="570">
        <f>IF(AE1916&lt;&gt;0,VLOOKUP(AE1916,ODDS!$A$2:$C$13,3,0),"")</f>
        <v>5000000</v>
      </c>
      <c r="AH1916" s="570">
        <f t="shared" si="428"/>
        <v>5000000</v>
      </c>
      <c r="AI1916" s="571" t="str">
        <f t="shared" si="417"/>
        <v xml:space="preserve"> </v>
      </c>
      <c r="AJ1916" s="586" t="s">
        <v>1340</v>
      </c>
      <c r="AK1916" s="586" t="s">
        <v>2771</v>
      </c>
    </row>
    <row r="1917" spans="1:37" s="394" customFormat="1" ht="101.25" outlineLevel="2" x14ac:dyDescent="0.3">
      <c r="A1917" s="447">
        <f t="shared" ref="A1917:A1941" si="433">IF(B1916&lt;&gt;0,B1916,A1916)</f>
        <v>164</v>
      </c>
      <c r="B1917" s="557"/>
      <c r="C1917" s="572" t="s">
        <v>1618</v>
      </c>
      <c r="D1917" s="700"/>
      <c r="E1917" s="612"/>
      <c r="F1917" s="612"/>
      <c r="G1917" s="586" t="s">
        <v>2439</v>
      </c>
      <c r="H1917" s="709">
        <v>450</v>
      </c>
      <c r="I1917" s="546" t="str">
        <f t="shared" si="432"/>
        <v/>
      </c>
      <c r="J1917" s="562"/>
      <c r="K1917" s="563">
        <f>IF(G1917&lt;&gt;0,VLOOKUP(G1917,'gia dat'!$A$1:$F$144,5,0)," ")</f>
        <v>465600</v>
      </c>
      <c r="L1917" s="563">
        <f>IF(G1917&lt;&gt;0,VLOOKUP(G1917,'gia dat'!$A$1:$F$144,6,0)," ")</f>
        <v>0</v>
      </c>
      <c r="M1917" s="564">
        <f t="shared" si="424"/>
        <v>209520000</v>
      </c>
      <c r="N1917" s="564">
        <f t="shared" si="425"/>
        <v>0</v>
      </c>
      <c r="O1917" s="572" t="s">
        <v>61</v>
      </c>
      <c r="P1917" s="740">
        <v>27</v>
      </c>
      <c r="Q1917" s="564">
        <f>IF(O1917&lt;&gt;0,VLOOKUP(O1917,'Cây trong'!$A$2:$C$246,3,0)," ")</f>
        <v>1708000</v>
      </c>
      <c r="R1917" s="564">
        <f t="shared" si="427"/>
        <v>46116000</v>
      </c>
      <c r="S1917" s="566" t="s">
        <v>1944</v>
      </c>
      <c r="T1917" s="609" t="s">
        <v>1133</v>
      </c>
      <c r="U1917" s="741">
        <v>10.709999999999999</v>
      </c>
      <c r="V1917" s="586"/>
      <c r="W1917" s="564">
        <f>IF(S1917&lt;&gt;0,VLOOKUP(S1917,VKT!$A$2:$G$415,7,0),"")</f>
        <v>4246132</v>
      </c>
      <c r="X1917" s="564">
        <f t="shared" si="431"/>
        <v>45476000</v>
      </c>
      <c r="Y1917" s="661" t="s">
        <v>1138</v>
      </c>
      <c r="Z1917" s="683" t="s">
        <v>1139</v>
      </c>
      <c r="AA1917" s="683" t="s">
        <v>56</v>
      </c>
      <c r="AB1917" s="694"/>
      <c r="AC1917" s="683" t="s">
        <v>1138</v>
      </c>
      <c r="AD1917" s="586"/>
      <c r="AE1917" s="569"/>
      <c r="AF1917" s="563"/>
      <c r="AG1917" s="570"/>
      <c r="AH1917" s="570"/>
      <c r="AI1917" s="571" t="str">
        <f t="shared" si="417"/>
        <v xml:space="preserve"> </v>
      </c>
      <c r="AJ1917" s="586" t="s">
        <v>1342</v>
      </c>
      <c r="AK1917" s="586" t="s">
        <v>2448</v>
      </c>
    </row>
    <row r="1918" spans="1:37" s="394" customFormat="1" ht="121.5" outlineLevel="2" x14ac:dyDescent="0.3">
      <c r="A1918" s="447">
        <f t="shared" si="433"/>
        <v>164</v>
      </c>
      <c r="B1918" s="557"/>
      <c r="C1918" s="572"/>
      <c r="D1918" s="700"/>
      <c r="E1918" s="612"/>
      <c r="F1918" s="612"/>
      <c r="G1918" s="586"/>
      <c r="H1918" s="709"/>
      <c r="I1918" s="546"/>
      <c r="J1918" s="562"/>
      <c r="K1918" s="563" t="str">
        <f>IF(G1918&lt;&gt;0,VLOOKUP(G1918,'gia dat'!$A$1:$F$144,5,0)," ")</f>
        <v xml:space="preserve"> </v>
      </c>
      <c r="L1918" s="563" t="str">
        <f>IF(G1918&lt;&gt;0,VLOOKUP(G1918,'gia dat'!$A$1:$F$144,6,0)," ")</f>
        <v xml:space="preserve"> </v>
      </c>
      <c r="M1918" s="564" t="str">
        <f t="shared" si="424"/>
        <v xml:space="preserve"> </v>
      </c>
      <c r="N1918" s="564" t="str">
        <f t="shared" si="425"/>
        <v xml:space="preserve"> </v>
      </c>
      <c r="O1918" s="572" t="s">
        <v>64</v>
      </c>
      <c r="P1918" s="740">
        <v>2</v>
      </c>
      <c r="Q1918" s="564">
        <f>IF(O1918&lt;&gt;0,VLOOKUP(O1918,'Cây trong'!$A$2:$C$246,3,0)," ")</f>
        <v>1122000</v>
      </c>
      <c r="R1918" s="564">
        <f t="shared" si="427"/>
        <v>2244000</v>
      </c>
      <c r="S1918" s="566" t="s">
        <v>1915</v>
      </c>
      <c r="T1918" s="609" t="s">
        <v>1133</v>
      </c>
      <c r="U1918" s="741">
        <v>6.12</v>
      </c>
      <c r="V1918" s="586"/>
      <c r="W1918" s="564">
        <f>IF(S1918&lt;&gt;0,VLOOKUP(S1918,VKT!$A$2:$G$415,7,0),"")</f>
        <v>9347414</v>
      </c>
      <c r="X1918" s="564">
        <f t="shared" si="431"/>
        <v>57206000</v>
      </c>
      <c r="Y1918" s="650"/>
      <c r="Z1918" s="586"/>
      <c r="AA1918" s="742"/>
      <c r="AB1918" s="586"/>
      <c r="AC1918" s="586"/>
      <c r="AD1918" s="586"/>
      <c r="AE1918" s="569" t="s">
        <v>2791</v>
      </c>
      <c r="AF1918" s="590">
        <v>1</v>
      </c>
      <c r="AG1918" s="570">
        <f>IF(AE1918&lt;&gt;0,VLOOKUP(AE1918,ODDS!$A$2:$C$13,3,0),"")</f>
        <v>17000000</v>
      </c>
      <c r="AH1918" s="570">
        <f t="shared" si="428"/>
        <v>17000000</v>
      </c>
      <c r="AI1918" s="571" t="str">
        <f t="shared" si="417"/>
        <v xml:space="preserve"> </v>
      </c>
      <c r="AJ1918" s="586" t="s">
        <v>1343</v>
      </c>
      <c r="AK1918" s="558" t="s">
        <v>2450</v>
      </c>
    </row>
    <row r="1919" spans="1:37" s="394" customFormat="1" ht="101.25" outlineLevel="2" x14ac:dyDescent="0.3">
      <c r="A1919" s="447">
        <f t="shared" si="433"/>
        <v>164</v>
      </c>
      <c r="B1919" s="557"/>
      <c r="C1919" s="572"/>
      <c r="D1919" s="700"/>
      <c r="E1919" s="612"/>
      <c r="F1919" s="612"/>
      <c r="G1919" s="586"/>
      <c r="H1919" s="709"/>
      <c r="I1919" s="546"/>
      <c r="J1919" s="562"/>
      <c r="K1919" s="563" t="str">
        <f>IF(G1919&lt;&gt;0,VLOOKUP(G1919,'gia dat'!$A$1:$F$144,5,0)," ")</f>
        <v xml:space="preserve"> </v>
      </c>
      <c r="L1919" s="563" t="str">
        <f>IF(G1919&lt;&gt;0,VLOOKUP(G1919,'gia dat'!$A$1:$F$144,6,0)," ")</f>
        <v xml:space="preserve"> </v>
      </c>
      <c r="M1919" s="564" t="str">
        <f t="shared" si="424"/>
        <v xml:space="preserve"> </v>
      </c>
      <c r="N1919" s="564" t="str">
        <f t="shared" si="425"/>
        <v xml:space="preserve"> </v>
      </c>
      <c r="O1919" s="572" t="s">
        <v>67</v>
      </c>
      <c r="P1919" s="740">
        <v>2</v>
      </c>
      <c r="Q1919" s="564">
        <f>IF(O1919&lt;&gt;0,VLOOKUP(O1919,'Cây trong'!$A$2:$C$246,3,0)," ")</f>
        <v>494000</v>
      </c>
      <c r="R1919" s="564">
        <f t="shared" si="427"/>
        <v>988000</v>
      </c>
      <c r="S1919" s="566" t="s">
        <v>1945</v>
      </c>
      <c r="T1919" s="609" t="s">
        <v>1133</v>
      </c>
      <c r="U1919" s="741">
        <v>33.840000000000003</v>
      </c>
      <c r="V1919" s="586"/>
      <c r="W1919" s="564">
        <f>IF(S1919&lt;&gt;0,VLOOKUP(S1919,VKT!$A$2:$G$415,7,0),"")</f>
        <v>770070</v>
      </c>
      <c r="X1919" s="564">
        <f t="shared" si="431"/>
        <v>26059000</v>
      </c>
      <c r="Y1919" s="650"/>
      <c r="Z1919" s="586"/>
      <c r="AA1919" s="742"/>
      <c r="AB1919" s="586"/>
      <c r="AC1919" s="586"/>
      <c r="AD1919" s="586"/>
      <c r="AE1919" s="606"/>
      <c r="AF1919" s="590"/>
      <c r="AG1919" s="570" t="str">
        <f>IF(AE1919&lt;&gt;0,VLOOKUP(AE1919,ODDS!$A$2:$C$13,3,0),"")</f>
        <v/>
      </c>
      <c r="AH1919" s="570" t="str">
        <f t="shared" si="428"/>
        <v xml:space="preserve"> </v>
      </c>
      <c r="AI1919" s="571" t="str">
        <f t="shared" si="417"/>
        <v xml:space="preserve"> </v>
      </c>
      <c r="AJ1919" s="586" t="s">
        <v>2074</v>
      </c>
      <c r="AK1919" s="558" t="s">
        <v>2449</v>
      </c>
    </row>
    <row r="1920" spans="1:37" s="394" customFormat="1" ht="81" outlineLevel="2" x14ac:dyDescent="0.3">
      <c r="A1920" s="447">
        <f t="shared" si="433"/>
        <v>164</v>
      </c>
      <c r="B1920" s="557"/>
      <c r="C1920" s="586"/>
      <c r="D1920" s="700"/>
      <c r="E1920" s="612"/>
      <c r="F1920" s="612"/>
      <c r="G1920" s="586"/>
      <c r="H1920" s="709"/>
      <c r="I1920" s="546"/>
      <c r="J1920" s="562"/>
      <c r="K1920" s="563" t="str">
        <f>IF(G1920&lt;&gt;0,VLOOKUP(G1920,'gia dat'!$A$1:$F$144,5,0)," ")</f>
        <v xml:space="preserve"> </v>
      </c>
      <c r="L1920" s="563" t="str">
        <f>IF(G1920&lt;&gt;0,VLOOKUP(G1920,'gia dat'!$A$1:$F$144,6,0)," ")</f>
        <v xml:space="preserve"> </v>
      </c>
      <c r="M1920" s="564" t="str">
        <f t="shared" si="424"/>
        <v xml:space="preserve"> </v>
      </c>
      <c r="N1920" s="564" t="str">
        <f t="shared" si="425"/>
        <v xml:space="preserve"> </v>
      </c>
      <c r="O1920" s="572" t="s">
        <v>69</v>
      </c>
      <c r="P1920" s="740">
        <v>22</v>
      </c>
      <c r="Q1920" s="564">
        <f>IF(O1920&lt;&gt;0,VLOOKUP(O1920,'Cây trong'!$A$2:$C$246,3,0)," ")</f>
        <v>211000</v>
      </c>
      <c r="R1920" s="564">
        <f t="shared" si="427"/>
        <v>4642000</v>
      </c>
      <c r="S1920" s="566" t="s">
        <v>1946</v>
      </c>
      <c r="T1920" s="609" t="s">
        <v>1133</v>
      </c>
      <c r="U1920" s="741">
        <v>4.08</v>
      </c>
      <c r="V1920" s="586"/>
      <c r="W1920" s="564">
        <f>IF(S1920&lt;&gt;0,VLOOKUP(S1920,VKT!$A$2:$G$415,7,0),"")</f>
        <v>0</v>
      </c>
      <c r="X1920" s="564">
        <f t="shared" si="431"/>
        <v>0</v>
      </c>
      <c r="Y1920" s="650"/>
      <c r="Z1920" s="586"/>
      <c r="AA1920" s="742"/>
      <c r="AB1920" s="586"/>
      <c r="AC1920" s="586"/>
      <c r="AD1920" s="586"/>
      <c r="AE1920" s="586"/>
      <c r="AF1920" s="714"/>
      <c r="AG1920" s="570" t="str">
        <f>IF(AE1920&lt;&gt;0,VLOOKUP(AE1920,ODDS!$A$2:$C$13,3,0),"")</f>
        <v/>
      </c>
      <c r="AH1920" s="570" t="str">
        <f t="shared" si="428"/>
        <v xml:space="preserve"> </v>
      </c>
      <c r="AI1920" s="571" t="str">
        <f t="shared" si="417"/>
        <v xml:space="preserve"> </v>
      </c>
      <c r="AJ1920" s="731"/>
      <c r="AK1920" s="558" t="s">
        <v>2447</v>
      </c>
    </row>
    <row r="1921" spans="1:37" s="394" customFormat="1" ht="81" outlineLevel="2" x14ac:dyDescent="0.3">
      <c r="A1921" s="447">
        <f t="shared" si="433"/>
        <v>164</v>
      </c>
      <c r="B1921" s="557"/>
      <c r="C1921" s="586"/>
      <c r="D1921" s="700"/>
      <c r="E1921" s="612"/>
      <c r="F1921" s="612"/>
      <c r="G1921" s="586"/>
      <c r="H1921" s="709"/>
      <c r="I1921" s="546"/>
      <c r="J1921" s="562"/>
      <c r="K1921" s="563" t="str">
        <f>IF(G1921&lt;&gt;0,VLOOKUP(G1921,'gia dat'!$A$1:$F$144,5,0)," ")</f>
        <v xml:space="preserve"> </v>
      </c>
      <c r="L1921" s="563" t="str">
        <f>IF(G1921&lt;&gt;0,VLOOKUP(G1921,'gia dat'!$A$1:$F$144,6,0)," ")</f>
        <v xml:space="preserve"> </v>
      </c>
      <c r="M1921" s="564" t="str">
        <f t="shared" si="424"/>
        <v xml:space="preserve"> </v>
      </c>
      <c r="N1921" s="564" t="str">
        <f t="shared" si="425"/>
        <v xml:space="preserve"> </v>
      </c>
      <c r="O1921" s="572" t="s">
        <v>145</v>
      </c>
      <c r="P1921" s="740">
        <v>61</v>
      </c>
      <c r="Q1921" s="564">
        <f>IF(O1921&lt;&gt;0,VLOOKUP(O1921,'Cây trong'!$A$2:$C$246,3,0)," ")</f>
        <v>4240000</v>
      </c>
      <c r="R1921" s="564">
        <f t="shared" si="427"/>
        <v>258640000</v>
      </c>
      <c r="S1921" s="566" t="s">
        <v>1912</v>
      </c>
      <c r="T1921" s="609" t="s">
        <v>1133</v>
      </c>
      <c r="U1921" s="741">
        <v>50.7</v>
      </c>
      <c r="V1921" s="586"/>
      <c r="W1921" s="564">
        <f>IF(S1921&lt;&gt;0,VLOOKUP(S1921,VKT!$A$2:$G$415,7,0),"")</f>
        <v>265836</v>
      </c>
      <c r="X1921" s="564">
        <f t="shared" si="431"/>
        <v>13478000</v>
      </c>
      <c r="Y1921" s="650"/>
      <c r="Z1921" s="586"/>
      <c r="AA1921" s="742"/>
      <c r="AB1921" s="586"/>
      <c r="AC1921" s="586"/>
      <c r="AD1921" s="586"/>
      <c r="AE1921" s="586"/>
      <c r="AF1921" s="714"/>
      <c r="AG1921" s="570" t="str">
        <f>IF(AE1921&lt;&gt;0,VLOOKUP(AE1921,ODDS!$A$2:$C$13,3,0),"")</f>
        <v/>
      </c>
      <c r="AH1921" s="570" t="str">
        <f t="shared" si="428"/>
        <v xml:space="preserve"> </v>
      </c>
      <c r="AI1921" s="571" t="str">
        <f t="shared" si="417"/>
        <v xml:space="preserve"> </v>
      </c>
      <c r="AJ1921" s="572"/>
      <c r="AK1921" s="572" t="s">
        <v>2451</v>
      </c>
    </row>
    <row r="1922" spans="1:37" s="394" customFormat="1" ht="101.25" outlineLevel="2" x14ac:dyDescent="0.3">
      <c r="A1922" s="447">
        <f t="shared" si="433"/>
        <v>164</v>
      </c>
      <c r="B1922" s="557"/>
      <c r="C1922" s="586"/>
      <c r="D1922" s="700"/>
      <c r="E1922" s="612"/>
      <c r="F1922" s="612"/>
      <c r="G1922" s="586"/>
      <c r="H1922" s="709"/>
      <c r="I1922" s="546"/>
      <c r="J1922" s="562"/>
      <c r="K1922" s="563" t="str">
        <f>IF(G1922&lt;&gt;0,VLOOKUP(G1922,'gia dat'!$A$1:$F$144,5,0)," ")</f>
        <v xml:space="preserve"> </v>
      </c>
      <c r="L1922" s="563" t="str">
        <f>IF(G1922&lt;&gt;0,VLOOKUP(G1922,'gia dat'!$A$1:$F$144,6,0)," ")</f>
        <v xml:space="preserve"> </v>
      </c>
      <c r="M1922" s="564" t="str">
        <f t="shared" si="424"/>
        <v xml:space="preserve"> </v>
      </c>
      <c r="N1922" s="564" t="str">
        <f t="shared" si="425"/>
        <v xml:space="preserve"> </v>
      </c>
      <c r="O1922" s="572" t="s">
        <v>77</v>
      </c>
      <c r="P1922" s="740">
        <v>3</v>
      </c>
      <c r="Q1922" s="564">
        <f>IF(O1922&lt;&gt;0,VLOOKUP(O1922,'Cây trong'!$A$2:$C$246,3,0)," ")</f>
        <v>3064000</v>
      </c>
      <c r="R1922" s="564">
        <f t="shared" si="427"/>
        <v>9192000</v>
      </c>
      <c r="S1922" s="566" t="s">
        <v>1799</v>
      </c>
      <c r="T1922" s="609" t="s">
        <v>1133</v>
      </c>
      <c r="U1922" s="741">
        <v>4.32</v>
      </c>
      <c r="V1922" s="586"/>
      <c r="W1922" s="564">
        <f>IF(S1922&lt;&gt;0,VLOOKUP(S1922,VKT!$A$2:$G$415,7,0),"")</f>
        <v>275180</v>
      </c>
      <c r="X1922" s="564">
        <f t="shared" si="431"/>
        <v>1189000</v>
      </c>
      <c r="Y1922" s="650"/>
      <c r="Z1922" s="586"/>
      <c r="AA1922" s="742"/>
      <c r="AB1922" s="586"/>
      <c r="AC1922" s="586"/>
      <c r="AD1922" s="586"/>
      <c r="AE1922" s="586"/>
      <c r="AF1922" s="714"/>
      <c r="AG1922" s="570" t="str">
        <f>IF(AE1922&lt;&gt;0,VLOOKUP(AE1922,ODDS!$A$2:$C$13,3,0),"")</f>
        <v/>
      </c>
      <c r="AH1922" s="570" t="str">
        <f t="shared" si="428"/>
        <v xml:space="preserve"> </v>
      </c>
      <c r="AI1922" s="571" t="str">
        <f t="shared" si="417"/>
        <v xml:space="preserve"> </v>
      </c>
      <c r="AJ1922" s="572"/>
      <c r="AK1922" s="572" t="s">
        <v>2800</v>
      </c>
    </row>
    <row r="1923" spans="1:37" s="394" customFormat="1" ht="101.25" outlineLevel="2" x14ac:dyDescent="0.3">
      <c r="A1923" s="447">
        <f t="shared" si="433"/>
        <v>164</v>
      </c>
      <c r="B1923" s="557"/>
      <c r="C1923" s="586"/>
      <c r="D1923" s="700"/>
      <c r="E1923" s="612"/>
      <c r="F1923" s="612"/>
      <c r="G1923" s="586"/>
      <c r="H1923" s="709"/>
      <c r="I1923" s="546"/>
      <c r="J1923" s="562"/>
      <c r="K1923" s="563" t="str">
        <f>IF(G1923&lt;&gt;0,VLOOKUP(G1923,'gia dat'!$A$1:$F$144,5,0)," ")</f>
        <v xml:space="preserve"> </v>
      </c>
      <c r="L1923" s="563" t="str">
        <f>IF(G1923&lt;&gt;0,VLOOKUP(G1923,'gia dat'!$A$1:$F$144,6,0)," ")</f>
        <v xml:space="preserve"> </v>
      </c>
      <c r="M1923" s="564" t="str">
        <f t="shared" si="424"/>
        <v xml:space="preserve"> </v>
      </c>
      <c r="N1923" s="564" t="str">
        <f t="shared" si="425"/>
        <v xml:space="preserve"> </v>
      </c>
      <c r="O1923" s="572" t="s">
        <v>1228</v>
      </c>
      <c r="P1923" s="740">
        <v>1</v>
      </c>
      <c r="Q1923" s="564">
        <f>IF(O1923&lt;&gt;0,VLOOKUP(O1923,'Cây trong'!$A$2:$C$246,3,0)," ")</f>
        <v>979000</v>
      </c>
      <c r="R1923" s="564">
        <f t="shared" si="427"/>
        <v>979000</v>
      </c>
      <c r="S1923" s="566" t="s">
        <v>1948</v>
      </c>
      <c r="T1923" s="609" t="s">
        <v>1133</v>
      </c>
      <c r="U1923" s="741">
        <v>20.979999999999997</v>
      </c>
      <c r="V1923" s="586"/>
      <c r="W1923" s="564">
        <f>IF(S1923&lt;&gt;0,VLOOKUP(S1923,VKT!$A$2:$G$415,7,0),"")</f>
        <v>890132</v>
      </c>
      <c r="X1923" s="564">
        <f t="shared" si="431"/>
        <v>18675000</v>
      </c>
      <c r="Y1923" s="650"/>
      <c r="Z1923" s="586"/>
      <c r="AA1923" s="742"/>
      <c r="AB1923" s="586"/>
      <c r="AC1923" s="586"/>
      <c r="AD1923" s="586"/>
      <c r="AE1923" s="586"/>
      <c r="AF1923" s="714"/>
      <c r="AG1923" s="570" t="str">
        <f>IF(AE1923&lt;&gt;0,VLOOKUP(AE1923,ODDS!$A$2:$C$13,3,0),"")</f>
        <v/>
      </c>
      <c r="AH1923" s="570" t="str">
        <f t="shared" si="428"/>
        <v xml:space="preserve"> </v>
      </c>
      <c r="AI1923" s="571" t="str">
        <f t="shared" si="417"/>
        <v xml:space="preserve"> </v>
      </c>
      <c r="AJ1923" s="572"/>
      <c r="AK1923" s="572"/>
    </row>
    <row r="1924" spans="1:37" s="394" customFormat="1" ht="60.75" outlineLevel="2" x14ac:dyDescent="0.3">
      <c r="A1924" s="447">
        <f t="shared" si="433"/>
        <v>164</v>
      </c>
      <c r="B1924" s="557"/>
      <c r="C1924" s="586"/>
      <c r="D1924" s="700"/>
      <c r="E1924" s="612"/>
      <c r="F1924" s="612"/>
      <c r="G1924" s="586"/>
      <c r="H1924" s="709"/>
      <c r="I1924" s="546"/>
      <c r="J1924" s="562"/>
      <c r="K1924" s="563" t="str">
        <f>IF(G1924&lt;&gt;0,VLOOKUP(G1924,'gia dat'!$A$1:$F$144,5,0)," ")</f>
        <v xml:space="preserve"> </v>
      </c>
      <c r="L1924" s="563" t="str">
        <f>IF(G1924&lt;&gt;0,VLOOKUP(G1924,'gia dat'!$A$1:$F$144,6,0)," ")</f>
        <v xml:space="preserve"> </v>
      </c>
      <c r="M1924" s="564" t="str">
        <f t="shared" si="424"/>
        <v xml:space="preserve"> </v>
      </c>
      <c r="N1924" s="564" t="str">
        <f t="shared" si="425"/>
        <v xml:space="preserve"> </v>
      </c>
      <c r="O1924" s="572" t="s">
        <v>1218</v>
      </c>
      <c r="P1924" s="740">
        <v>1</v>
      </c>
      <c r="Q1924" s="564">
        <f>IF(O1924&lt;&gt;0,VLOOKUP(O1924,'Cây trong'!$A$2:$C$246,3,0)," ")</f>
        <v>571000</v>
      </c>
      <c r="R1924" s="564">
        <f t="shared" si="427"/>
        <v>571000</v>
      </c>
      <c r="S1924" s="566" t="s">
        <v>1916</v>
      </c>
      <c r="T1924" s="609" t="s">
        <v>1133</v>
      </c>
      <c r="U1924" s="741">
        <v>31.000000000000004</v>
      </c>
      <c r="V1924" s="586"/>
      <c r="W1924" s="564">
        <f>IF(S1924&lt;&gt;0,VLOOKUP(S1924,VKT!$A$2:$G$415,7,0),"")</f>
        <v>1107311</v>
      </c>
      <c r="X1924" s="564">
        <f t="shared" si="431"/>
        <v>34327000</v>
      </c>
      <c r="Y1924" s="650"/>
      <c r="Z1924" s="586"/>
      <c r="AA1924" s="742"/>
      <c r="AB1924" s="586"/>
      <c r="AC1924" s="586"/>
      <c r="AD1924" s="586"/>
      <c r="AE1924" s="586"/>
      <c r="AF1924" s="714"/>
      <c r="AG1924" s="570" t="str">
        <f>IF(AE1924&lt;&gt;0,VLOOKUP(AE1924,ODDS!$A$2:$C$13,3,0),"")</f>
        <v/>
      </c>
      <c r="AH1924" s="570" t="str">
        <f t="shared" si="428"/>
        <v xml:space="preserve"> </v>
      </c>
      <c r="AI1924" s="571" t="str">
        <f t="shared" si="417"/>
        <v xml:space="preserve"> </v>
      </c>
      <c r="AJ1924" s="572"/>
      <c r="AK1924" s="572"/>
    </row>
    <row r="1925" spans="1:37" s="394" customFormat="1" ht="101.25" outlineLevel="2" x14ac:dyDescent="0.3">
      <c r="A1925" s="447">
        <f t="shared" si="433"/>
        <v>164</v>
      </c>
      <c r="B1925" s="557"/>
      <c r="C1925" s="586"/>
      <c r="D1925" s="700"/>
      <c r="E1925" s="612"/>
      <c r="F1925" s="612"/>
      <c r="G1925" s="586"/>
      <c r="H1925" s="709"/>
      <c r="I1925" s="546"/>
      <c r="J1925" s="562"/>
      <c r="K1925" s="563" t="str">
        <f>IF(G1925&lt;&gt;0,VLOOKUP(G1925,'gia dat'!$A$1:$F$144,5,0)," ")</f>
        <v xml:space="preserve"> </v>
      </c>
      <c r="L1925" s="563" t="str">
        <f>IF(G1925&lt;&gt;0,VLOOKUP(G1925,'gia dat'!$A$1:$F$144,6,0)," ")</f>
        <v xml:space="preserve"> </v>
      </c>
      <c r="M1925" s="564" t="str">
        <f t="shared" si="424"/>
        <v xml:space="preserve"> </v>
      </c>
      <c r="N1925" s="564" t="str">
        <f t="shared" si="425"/>
        <v xml:space="preserve"> </v>
      </c>
      <c r="O1925" s="572" t="s">
        <v>408</v>
      </c>
      <c r="P1925" s="740">
        <v>1</v>
      </c>
      <c r="Q1925" s="564">
        <f>IF(O1925&lt;&gt;0,VLOOKUP(O1925,'Cây trong'!$A$2:$C$246,3,0)," ")</f>
        <v>337000</v>
      </c>
      <c r="R1925" s="564">
        <f t="shared" si="427"/>
        <v>337000</v>
      </c>
      <c r="S1925" s="566" t="s">
        <v>1949</v>
      </c>
      <c r="T1925" s="609" t="s">
        <v>1133</v>
      </c>
      <c r="U1925" s="741">
        <v>3.2</v>
      </c>
      <c r="V1925" s="586"/>
      <c r="W1925" s="564">
        <f>IF(S1925&lt;&gt;0,VLOOKUP(S1925,VKT!$A$2:$G$415,7,0),"")</f>
        <v>9347414</v>
      </c>
      <c r="X1925" s="564">
        <f t="shared" si="431"/>
        <v>29912000</v>
      </c>
      <c r="Y1925" s="650"/>
      <c r="Z1925" s="586"/>
      <c r="AA1925" s="742"/>
      <c r="AB1925" s="586"/>
      <c r="AC1925" s="586"/>
      <c r="AD1925" s="586"/>
      <c r="AE1925" s="586"/>
      <c r="AF1925" s="714"/>
      <c r="AG1925" s="570" t="str">
        <f>IF(AE1925&lt;&gt;0,VLOOKUP(AE1925,ODDS!$A$2:$C$13,3,0),"")</f>
        <v/>
      </c>
      <c r="AH1925" s="570" t="str">
        <f t="shared" si="428"/>
        <v xml:space="preserve"> </v>
      </c>
      <c r="AI1925" s="571" t="str">
        <f t="shared" si="417"/>
        <v xml:space="preserve"> </v>
      </c>
      <c r="AJ1925" s="572"/>
      <c r="AK1925" s="572"/>
    </row>
    <row r="1926" spans="1:37" s="394" customFormat="1" ht="40.5" outlineLevel="2" x14ac:dyDescent="0.3">
      <c r="A1926" s="447">
        <f t="shared" si="433"/>
        <v>164</v>
      </c>
      <c r="B1926" s="557"/>
      <c r="C1926" s="586"/>
      <c r="D1926" s="700"/>
      <c r="E1926" s="612"/>
      <c r="F1926" s="612"/>
      <c r="G1926" s="586"/>
      <c r="H1926" s="709"/>
      <c r="I1926" s="546"/>
      <c r="J1926" s="562"/>
      <c r="K1926" s="563" t="str">
        <f>IF(G1926&lt;&gt;0,VLOOKUP(G1926,'gia dat'!$A$1:$F$144,5,0)," ")</f>
        <v xml:space="preserve"> </v>
      </c>
      <c r="L1926" s="563" t="str">
        <f>IF(G1926&lt;&gt;0,VLOOKUP(G1926,'gia dat'!$A$1:$F$144,6,0)," ")</f>
        <v xml:space="preserve"> </v>
      </c>
      <c r="M1926" s="564" t="str">
        <f t="shared" si="424"/>
        <v xml:space="preserve"> </v>
      </c>
      <c r="N1926" s="564" t="str">
        <f t="shared" si="425"/>
        <v xml:space="preserve"> </v>
      </c>
      <c r="O1926" s="572" t="s">
        <v>165</v>
      </c>
      <c r="P1926" s="740">
        <v>3</v>
      </c>
      <c r="Q1926" s="564">
        <f>IF(O1926&lt;&gt;0,VLOOKUP(O1926,'Cây trong'!$A$2:$C$246,3,0)," ")</f>
        <v>180000</v>
      </c>
      <c r="R1926" s="564">
        <f t="shared" si="427"/>
        <v>540000</v>
      </c>
      <c r="S1926" s="566" t="s">
        <v>1902</v>
      </c>
      <c r="T1926" s="609" t="s">
        <v>1133</v>
      </c>
      <c r="U1926" s="741">
        <v>127.2</v>
      </c>
      <c r="V1926" s="586"/>
      <c r="W1926" s="564">
        <f>IF(S1926&lt;&gt;0,VLOOKUP(S1926,VKT!$A$2:$G$415,7,0),"")</f>
        <v>0</v>
      </c>
      <c r="X1926" s="564">
        <f t="shared" si="431"/>
        <v>0</v>
      </c>
      <c r="Y1926" s="650"/>
      <c r="Z1926" s="586"/>
      <c r="AA1926" s="742"/>
      <c r="AB1926" s="586"/>
      <c r="AC1926" s="586"/>
      <c r="AD1926" s="586"/>
      <c r="AE1926" s="586"/>
      <c r="AF1926" s="714"/>
      <c r="AG1926" s="570" t="str">
        <f>IF(AE1926&lt;&gt;0,VLOOKUP(AE1926,ODDS!$A$2:$C$13,3,0),"")</f>
        <v/>
      </c>
      <c r="AH1926" s="570" t="str">
        <f t="shared" si="428"/>
        <v xml:space="preserve"> </v>
      </c>
      <c r="AI1926" s="571" t="str">
        <f t="shared" si="417"/>
        <v xml:space="preserve"> </v>
      </c>
      <c r="AJ1926" s="572"/>
      <c r="AK1926" s="572"/>
    </row>
    <row r="1927" spans="1:37" s="394" customFormat="1" ht="40.5" outlineLevel="2" x14ac:dyDescent="0.3">
      <c r="A1927" s="447">
        <f t="shared" si="433"/>
        <v>164</v>
      </c>
      <c r="B1927" s="557"/>
      <c r="C1927" s="586"/>
      <c r="D1927" s="700"/>
      <c r="E1927" s="612"/>
      <c r="F1927" s="612"/>
      <c r="G1927" s="586"/>
      <c r="H1927" s="709"/>
      <c r="I1927" s="546"/>
      <c r="J1927" s="562"/>
      <c r="K1927" s="563" t="str">
        <f>IF(G1927&lt;&gt;0,VLOOKUP(G1927,'gia dat'!$A$1:$F$144,5,0)," ")</f>
        <v xml:space="preserve"> </v>
      </c>
      <c r="L1927" s="563" t="str">
        <f>IF(G1927&lt;&gt;0,VLOOKUP(G1927,'gia dat'!$A$1:$F$144,6,0)," ")</f>
        <v xml:space="preserve"> </v>
      </c>
      <c r="M1927" s="564" t="str">
        <f t="shared" si="424"/>
        <v xml:space="preserve"> </v>
      </c>
      <c r="N1927" s="564" t="str">
        <f t="shared" si="425"/>
        <v xml:space="preserve"> </v>
      </c>
      <c r="O1927" s="572" t="s">
        <v>1345</v>
      </c>
      <c r="P1927" s="740">
        <v>4</v>
      </c>
      <c r="Q1927" s="564">
        <f>IF(O1927&lt;&gt;0,VLOOKUP(O1927,'Cây trong'!$A$2:$C$246,3,0)," ")</f>
        <v>1200000</v>
      </c>
      <c r="R1927" s="564">
        <f t="shared" si="427"/>
        <v>4800000</v>
      </c>
      <c r="S1927" s="566" t="s">
        <v>1950</v>
      </c>
      <c r="T1927" s="609" t="s">
        <v>1286</v>
      </c>
      <c r="U1927" s="741">
        <v>65.024999999999991</v>
      </c>
      <c r="V1927" s="586"/>
      <c r="W1927" s="564">
        <f>IF(S1927&lt;&gt;0,VLOOKUP(S1927,VKT!$A$2:$G$415,7,0),"")</f>
        <v>0</v>
      </c>
      <c r="X1927" s="564">
        <f t="shared" si="431"/>
        <v>0</v>
      </c>
      <c r="Y1927" s="650"/>
      <c r="Z1927" s="586"/>
      <c r="AA1927" s="742"/>
      <c r="AB1927" s="586"/>
      <c r="AC1927" s="586"/>
      <c r="AD1927" s="586"/>
      <c r="AE1927" s="586"/>
      <c r="AF1927" s="714"/>
      <c r="AG1927" s="570" t="str">
        <f>IF(AE1927&lt;&gt;0,VLOOKUP(AE1927,ODDS!$A$2:$C$13,3,0),"")</f>
        <v/>
      </c>
      <c r="AH1927" s="570" t="str">
        <f t="shared" si="428"/>
        <v xml:space="preserve"> </v>
      </c>
      <c r="AI1927" s="571" t="str">
        <f t="shared" si="417"/>
        <v xml:space="preserve"> </v>
      </c>
      <c r="AJ1927" s="572"/>
      <c r="AK1927" s="572"/>
    </row>
    <row r="1928" spans="1:37" s="394" customFormat="1" ht="81" outlineLevel="2" x14ac:dyDescent="0.3">
      <c r="A1928" s="447">
        <f t="shared" si="433"/>
        <v>164</v>
      </c>
      <c r="B1928" s="557"/>
      <c r="C1928" s="586"/>
      <c r="D1928" s="700"/>
      <c r="E1928" s="612"/>
      <c r="F1928" s="612"/>
      <c r="G1928" s="586"/>
      <c r="H1928" s="709"/>
      <c r="I1928" s="546"/>
      <c r="J1928" s="562"/>
      <c r="K1928" s="563" t="str">
        <f>IF(G1928&lt;&gt;0,VLOOKUP(G1928,'gia dat'!$A$1:$F$144,5,0)," ")</f>
        <v xml:space="preserve"> </v>
      </c>
      <c r="L1928" s="563" t="str">
        <f>IF(G1928&lt;&gt;0,VLOOKUP(G1928,'gia dat'!$A$1:$F$144,6,0)," ")</f>
        <v xml:space="preserve"> </v>
      </c>
      <c r="M1928" s="564" t="str">
        <f t="shared" si="424"/>
        <v xml:space="preserve"> </v>
      </c>
      <c r="N1928" s="564" t="str">
        <f t="shared" si="425"/>
        <v xml:space="preserve"> </v>
      </c>
      <c r="O1928" s="572" t="s">
        <v>1346</v>
      </c>
      <c r="P1928" s="740">
        <v>3</v>
      </c>
      <c r="Q1928" s="564">
        <f>IF(O1928&lt;&gt;0,VLOOKUP(O1928,'Cây trong'!$A$2:$C$246,3,0)," ")</f>
        <v>165000</v>
      </c>
      <c r="R1928" s="564">
        <f t="shared" si="427"/>
        <v>495000</v>
      </c>
      <c r="S1928" s="566" t="s">
        <v>1951</v>
      </c>
      <c r="T1928" s="609" t="s">
        <v>93</v>
      </c>
      <c r="U1928" s="741">
        <v>1</v>
      </c>
      <c r="V1928" s="586"/>
      <c r="W1928" s="564">
        <f>IF(S1928&lt;&gt;0,VLOOKUP(S1928,VKT!$A$2:$G$415,7,0),"")</f>
        <v>0</v>
      </c>
      <c r="X1928" s="564">
        <f t="shared" si="431"/>
        <v>0</v>
      </c>
      <c r="Y1928" s="650"/>
      <c r="Z1928" s="586"/>
      <c r="AA1928" s="742"/>
      <c r="AB1928" s="586"/>
      <c r="AC1928" s="586"/>
      <c r="AD1928" s="586"/>
      <c r="AE1928" s="586"/>
      <c r="AF1928" s="714"/>
      <c r="AG1928" s="570" t="str">
        <f>IF(AE1928&lt;&gt;0,VLOOKUP(AE1928,ODDS!$A$2:$C$13,3,0),"")</f>
        <v/>
      </c>
      <c r="AH1928" s="570" t="str">
        <f t="shared" si="428"/>
        <v xml:space="preserve"> </v>
      </c>
      <c r="AI1928" s="571" t="str">
        <f t="shared" si="417"/>
        <v xml:space="preserve"> </v>
      </c>
      <c r="AJ1928" s="572"/>
      <c r="AK1928" s="572"/>
    </row>
    <row r="1929" spans="1:37" s="394" customFormat="1" ht="81" outlineLevel="2" x14ac:dyDescent="0.3">
      <c r="A1929" s="447">
        <f t="shared" si="433"/>
        <v>164</v>
      </c>
      <c r="B1929" s="557"/>
      <c r="C1929" s="586"/>
      <c r="D1929" s="700"/>
      <c r="E1929" s="612"/>
      <c r="F1929" s="612"/>
      <c r="G1929" s="586"/>
      <c r="H1929" s="709"/>
      <c r="I1929" s="546"/>
      <c r="J1929" s="562"/>
      <c r="K1929" s="563" t="str">
        <f>IF(G1929&lt;&gt;0,VLOOKUP(G1929,'gia dat'!$A$1:$F$144,5,0)," ")</f>
        <v xml:space="preserve"> </v>
      </c>
      <c r="L1929" s="563" t="str">
        <f>IF(G1929&lt;&gt;0,VLOOKUP(G1929,'gia dat'!$A$1:$F$144,6,0)," ")</f>
        <v xml:space="preserve"> </v>
      </c>
      <c r="M1929" s="564" t="str">
        <f t="shared" si="424"/>
        <v xml:space="preserve"> </v>
      </c>
      <c r="N1929" s="564" t="str">
        <f t="shared" si="425"/>
        <v xml:space="preserve"> </v>
      </c>
      <c r="O1929" s="572" t="s">
        <v>1348</v>
      </c>
      <c r="P1929" s="740">
        <v>1</v>
      </c>
      <c r="Q1929" s="564">
        <f>IF(O1929&lt;&gt;0,VLOOKUP(O1929,'Cây trong'!$A$2:$C$246,3,0)," ")</f>
        <v>3600000</v>
      </c>
      <c r="R1929" s="564">
        <f t="shared" si="427"/>
        <v>3600000</v>
      </c>
      <c r="S1929" s="566" t="s">
        <v>1952</v>
      </c>
      <c r="T1929" s="609" t="s">
        <v>93</v>
      </c>
      <c r="U1929" s="741">
        <v>1</v>
      </c>
      <c r="V1929" s="586"/>
      <c r="W1929" s="564">
        <f>IF(S1929&lt;&gt;0,VLOOKUP(S1929,VKT!$A$2:$G$415,7,0),"")</f>
        <v>0</v>
      </c>
      <c r="X1929" s="564">
        <f t="shared" si="431"/>
        <v>0</v>
      </c>
      <c r="Y1929" s="650"/>
      <c r="Z1929" s="586"/>
      <c r="AA1929" s="742"/>
      <c r="AB1929" s="586"/>
      <c r="AC1929" s="586"/>
      <c r="AD1929" s="586"/>
      <c r="AE1929" s="586"/>
      <c r="AF1929" s="714"/>
      <c r="AG1929" s="570" t="str">
        <f>IF(AE1929&lt;&gt;0,VLOOKUP(AE1929,ODDS!$A$2:$C$13,3,0),"")</f>
        <v/>
      </c>
      <c r="AH1929" s="570" t="str">
        <f t="shared" si="428"/>
        <v xml:space="preserve"> </v>
      </c>
      <c r="AI1929" s="571" t="str">
        <f t="shared" ref="AI1929:AI1992" si="434">IF(B1929&lt;&gt;0,M1929+N1929+R1929+X1929+AH1929," ")</f>
        <v xml:space="preserve"> </v>
      </c>
      <c r="AJ1929" s="572"/>
      <c r="AK1929" s="572"/>
    </row>
    <row r="1930" spans="1:37" s="394" customFormat="1" ht="81" outlineLevel="2" x14ac:dyDescent="0.3">
      <c r="A1930" s="447">
        <f t="shared" si="433"/>
        <v>164</v>
      </c>
      <c r="B1930" s="557"/>
      <c r="C1930" s="586"/>
      <c r="D1930" s="700"/>
      <c r="E1930" s="612"/>
      <c r="F1930" s="612"/>
      <c r="G1930" s="586"/>
      <c r="H1930" s="709"/>
      <c r="I1930" s="546"/>
      <c r="J1930" s="562"/>
      <c r="K1930" s="563" t="str">
        <f>IF(G1930&lt;&gt;0,VLOOKUP(G1930,'gia dat'!$A$1:$F$144,5,0)," ")</f>
        <v xml:space="preserve"> </v>
      </c>
      <c r="L1930" s="563" t="str">
        <f>IF(G1930&lt;&gt;0,VLOOKUP(G1930,'gia dat'!$A$1:$F$144,6,0)," ")</f>
        <v xml:space="preserve"> </v>
      </c>
      <c r="M1930" s="564" t="str">
        <f t="shared" si="424"/>
        <v xml:space="preserve"> </v>
      </c>
      <c r="N1930" s="564" t="str">
        <f t="shared" si="425"/>
        <v xml:space="preserve"> </v>
      </c>
      <c r="O1930" s="572" t="s">
        <v>1349</v>
      </c>
      <c r="P1930" s="740">
        <v>1</v>
      </c>
      <c r="Q1930" s="564">
        <f>IF(O1930&lt;&gt;0,VLOOKUP(O1930,'Cây trong'!$A$2:$C$246,3,0)," ")</f>
        <v>2400000</v>
      </c>
      <c r="R1930" s="564">
        <f t="shared" si="427"/>
        <v>2400000</v>
      </c>
      <c r="S1930" s="566" t="s">
        <v>1912</v>
      </c>
      <c r="T1930" s="609" t="s">
        <v>1133</v>
      </c>
      <c r="U1930" s="741">
        <v>25.7</v>
      </c>
      <c r="V1930" s="586"/>
      <c r="W1930" s="564">
        <f>IF(S1930&lt;&gt;0,VLOOKUP(S1930,VKT!$A$2:$G$415,7,0),"")</f>
        <v>265836</v>
      </c>
      <c r="X1930" s="564">
        <f t="shared" si="431"/>
        <v>6832000</v>
      </c>
      <c r="Y1930" s="650"/>
      <c r="Z1930" s="586"/>
      <c r="AA1930" s="742"/>
      <c r="AB1930" s="586"/>
      <c r="AC1930" s="586"/>
      <c r="AD1930" s="586"/>
      <c r="AE1930" s="586"/>
      <c r="AF1930" s="714"/>
      <c r="AG1930" s="570" t="str">
        <f>IF(AE1930&lt;&gt;0,VLOOKUP(AE1930,ODDS!$A$2:$C$13,3,0),"")</f>
        <v/>
      </c>
      <c r="AH1930" s="570" t="str">
        <f t="shared" si="428"/>
        <v xml:space="preserve"> </v>
      </c>
      <c r="AI1930" s="571" t="str">
        <f t="shared" si="434"/>
        <v xml:space="preserve"> </v>
      </c>
      <c r="AJ1930" s="572"/>
      <c r="AK1930" s="572"/>
    </row>
    <row r="1931" spans="1:37" s="394" customFormat="1" ht="60.75" outlineLevel="2" x14ac:dyDescent="0.3">
      <c r="A1931" s="447">
        <f t="shared" si="433"/>
        <v>164</v>
      </c>
      <c r="B1931" s="557"/>
      <c r="C1931" s="586"/>
      <c r="D1931" s="700"/>
      <c r="E1931" s="612"/>
      <c r="F1931" s="612"/>
      <c r="G1931" s="586"/>
      <c r="H1931" s="709"/>
      <c r="I1931" s="546"/>
      <c r="J1931" s="562"/>
      <c r="K1931" s="563" t="str">
        <f>IF(G1931&lt;&gt;0,VLOOKUP(G1931,'gia dat'!$A$1:$F$144,5,0)," ")</f>
        <v xml:space="preserve"> </v>
      </c>
      <c r="L1931" s="563" t="str">
        <f>IF(G1931&lt;&gt;0,VLOOKUP(G1931,'gia dat'!$A$1:$F$144,6,0)," ")</f>
        <v xml:space="preserve"> </v>
      </c>
      <c r="M1931" s="564" t="str">
        <f t="shared" si="424"/>
        <v xml:space="preserve"> </v>
      </c>
      <c r="N1931" s="564" t="str">
        <f t="shared" si="425"/>
        <v xml:space="preserve"> </v>
      </c>
      <c r="O1931" s="572" t="s">
        <v>1350</v>
      </c>
      <c r="P1931" s="740">
        <v>6</v>
      </c>
      <c r="Q1931" s="564">
        <f>IF(O1931&lt;&gt;0,VLOOKUP(O1931,'Cây trong'!$A$2:$C$246,3,0)," ")</f>
        <v>1200000</v>
      </c>
      <c r="R1931" s="564">
        <f t="shared" si="427"/>
        <v>7200000</v>
      </c>
      <c r="S1931" s="566" t="s">
        <v>2130</v>
      </c>
      <c r="T1931" s="609" t="s">
        <v>1133</v>
      </c>
      <c r="U1931" s="741">
        <v>0.52</v>
      </c>
      <c r="V1931" s="586"/>
      <c r="W1931" s="564">
        <f>IF(S1931&lt;&gt;0,VLOOKUP(S1931,VKT!$A$2:$G$415,7,0),"")</f>
        <v>438095</v>
      </c>
      <c r="X1931" s="564">
        <f t="shared" si="431"/>
        <v>228000</v>
      </c>
      <c r="Y1931" s="650"/>
      <c r="Z1931" s="586"/>
      <c r="AA1931" s="742"/>
      <c r="AB1931" s="586"/>
      <c r="AC1931" s="586"/>
      <c r="AD1931" s="586"/>
      <c r="AE1931" s="586"/>
      <c r="AF1931" s="714"/>
      <c r="AG1931" s="570" t="str">
        <f>IF(AE1931&lt;&gt;0,VLOOKUP(AE1931,ODDS!$A$2:$C$13,3,0),"")</f>
        <v/>
      </c>
      <c r="AH1931" s="570" t="str">
        <f t="shared" si="428"/>
        <v xml:space="preserve"> </v>
      </c>
      <c r="AI1931" s="571" t="str">
        <f t="shared" si="434"/>
        <v xml:space="preserve"> </v>
      </c>
      <c r="AJ1931" s="572"/>
      <c r="AK1931" s="572"/>
    </row>
    <row r="1932" spans="1:37" s="394" customFormat="1" ht="81" outlineLevel="2" x14ac:dyDescent="0.3">
      <c r="A1932" s="447">
        <f t="shared" si="433"/>
        <v>164</v>
      </c>
      <c r="B1932" s="557"/>
      <c r="C1932" s="586"/>
      <c r="D1932" s="700"/>
      <c r="E1932" s="612"/>
      <c r="F1932" s="612"/>
      <c r="G1932" s="586"/>
      <c r="H1932" s="709"/>
      <c r="I1932" s="546"/>
      <c r="J1932" s="562"/>
      <c r="K1932" s="563" t="str">
        <f>IF(G1932&lt;&gt;0,VLOOKUP(G1932,'gia dat'!$A$1:$F$144,5,0)," ")</f>
        <v xml:space="preserve"> </v>
      </c>
      <c r="L1932" s="563" t="str">
        <f>IF(G1932&lt;&gt;0,VLOOKUP(G1932,'gia dat'!$A$1:$F$144,6,0)," ")</f>
        <v xml:space="preserve"> </v>
      </c>
      <c r="M1932" s="564" t="str">
        <f t="shared" si="424"/>
        <v xml:space="preserve"> </v>
      </c>
      <c r="N1932" s="564" t="str">
        <f t="shared" si="425"/>
        <v xml:space="preserve"> </v>
      </c>
      <c r="O1932" s="572" t="s">
        <v>798</v>
      </c>
      <c r="P1932" s="740">
        <v>13</v>
      </c>
      <c r="Q1932" s="564">
        <f>IF(O1932&lt;&gt;0,VLOOKUP(O1932,'Cây trong'!$A$2:$C$246,3,0)," ")</f>
        <v>32000</v>
      </c>
      <c r="R1932" s="564">
        <f t="shared" si="427"/>
        <v>416000</v>
      </c>
      <c r="S1932" s="566" t="s">
        <v>1954</v>
      </c>
      <c r="T1932" s="609" t="s">
        <v>1133</v>
      </c>
      <c r="U1932" s="741">
        <v>11.440000000000001</v>
      </c>
      <c r="V1932" s="586"/>
      <c r="W1932" s="564">
        <f>IF(S1932&lt;&gt;0,VLOOKUP(S1932,VKT!$A$2:$G$415,7,0),"")</f>
        <v>0</v>
      </c>
      <c r="X1932" s="564">
        <f t="shared" si="431"/>
        <v>0</v>
      </c>
      <c r="Y1932" s="650"/>
      <c r="Z1932" s="586"/>
      <c r="AA1932" s="742"/>
      <c r="AB1932" s="586"/>
      <c r="AC1932" s="586"/>
      <c r="AD1932" s="586"/>
      <c r="AE1932" s="586"/>
      <c r="AF1932" s="714"/>
      <c r="AG1932" s="570" t="str">
        <f>IF(AE1932&lt;&gt;0,VLOOKUP(AE1932,ODDS!$A$2:$C$13,3,0),"")</f>
        <v/>
      </c>
      <c r="AH1932" s="570" t="str">
        <f t="shared" si="428"/>
        <v xml:space="preserve"> </v>
      </c>
      <c r="AI1932" s="571" t="str">
        <f t="shared" si="434"/>
        <v xml:space="preserve"> </v>
      </c>
      <c r="AJ1932" s="572"/>
      <c r="AK1932" s="572"/>
    </row>
    <row r="1933" spans="1:37" s="394" customFormat="1" ht="60.75" outlineLevel="2" x14ac:dyDescent="0.3">
      <c r="A1933" s="447">
        <f t="shared" si="433"/>
        <v>164</v>
      </c>
      <c r="B1933" s="557"/>
      <c r="C1933" s="586"/>
      <c r="D1933" s="700"/>
      <c r="E1933" s="612"/>
      <c r="F1933" s="612"/>
      <c r="G1933" s="586"/>
      <c r="H1933" s="709"/>
      <c r="I1933" s="546"/>
      <c r="J1933" s="562"/>
      <c r="K1933" s="563" t="str">
        <f>IF(G1933&lt;&gt;0,VLOOKUP(G1933,'gia dat'!$A$1:$F$144,5,0)," ")</f>
        <v xml:space="preserve"> </v>
      </c>
      <c r="L1933" s="563" t="str">
        <f>IF(G1933&lt;&gt;0,VLOOKUP(G1933,'gia dat'!$A$1:$F$144,6,0)," ")</f>
        <v xml:space="preserve"> </v>
      </c>
      <c r="M1933" s="564" t="str">
        <f t="shared" si="424"/>
        <v xml:space="preserve"> </v>
      </c>
      <c r="N1933" s="564" t="str">
        <f t="shared" si="425"/>
        <v xml:space="preserve"> </v>
      </c>
      <c r="O1933" s="572" t="s">
        <v>1351</v>
      </c>
      <c r="P1933" s="740">
        <v>5</v>
      </c>
      <c r="Q1933" s="564">
        <f>IF(O1933&lt;&gt;0,VLOOKUP(O1933,'Cây trong'!$A$2:$C$246,3,0)," ")</f>
        <v>2400000</v>
      </c>
      <c r="R1933" s="564">
        <f t="shared" si="427"/>
        <v>12000000</v>
      </c>
      <c r="S1933" s="566" t="s">
        <v>1771</v>
      </c>
      <c r="T1933" s="609" t="s">
        <v>1133</v>
      </c>
      <c r="U1933" s="741">
        <v>19.8</v>
      </c>
      <c r="V1933" s="586"/>
      <c r="W1933" s="564">
        <f>IF(S1933&lt;&gt;0,VLOOKUP(S1933,VKT!$A$2:$G$415,7,0),"")</f>
        <v>348773</v>
      </c>
      <c r="X1933" s="564">
        <f t="shared" si="431"/>
        <v>6906000</v>
      </c>
      <c r="Y1933" s="650"/>
      <c r="Z1933" s="586"/>
      <c r="AA1933" s="742"/>
      <c r="AB1933" s="586"/>
      <c r="AC1933" s="586"/>
      <c r="AD1933" s="586"/>
      <c r="AE1933" s="586"/>
      <c r="AF1933" s="714"/>
      <c r="AG1933" s="570" t="str">
        <f>IF(AE1933&lt;&gt;0,VLOOKUP(AE1933,ODDS!$A$2:$C$13,3,0),"")</f>
        <v/>
      </c>
      <c r="AH1933" s="570" t="str">
        <f t="shared" si="428"/>
        <v xml:space="preserve"> </v>
      </c>
      <c r="AI1933" s="571" t="str">
        <f t="shared" si="434"/>
        <v xml:space="preserve"> </v>
      </c>
      <c r="AJ1933" s="572"/>
      <c r="AK1933" s="572"/>
    </row>
    <row r="1934" spans="1:37" s="394" customFormat="1" ht="60.75" outlineLevel="2" x14ac:dyDescent="0.3">
      <c r="A1934" s="447">
        <f t="shared" si="433"/>
        <v>164</v>
      </c>
      <c r="B1934" s="557"/>
      <c r="C1934" s="586"/>
      <c r="D1934" s="700"/>
      <c r="E1934" s="612"/>
      <c r="F1934" s="612"/>
      <c r="G1934" s="586"/>
      <c r="H1934" s="709"/>
      <c r="I1934" s="546"/>
      <c r="J1934" s="562"/>
      <c r="K1934" s="563" t="str">
        <f>IF(G1934&lt;&gt;0,VLOOKUP(G1934,'gia dat'!$A$1:$F$144,5,0)," ")</f>
        <v xml:space="preserve"> </v>
      </c>
      <c r="L1934" s="563" t="str">
        <f>IF(G1934&lt;&gt;0,VLOOKUP(G1934,'gia dat'!$A$1:$F$144,6,0)," ")</f>
        <v xml:space="preserve"> </v>
      </c>
      <c r="M1934" s="564" t="str">
        <f t="shared" si="424"/>
        <v xml:space="preserve"> </v>
      </c>
      <c r="N1934" s="564" t="str">
        <f t="shared" si="425"/>
        <v xml:space="preserve"> </v>
      </c>
      <c r="O1934" s="572" t="s">
        <v>400</v>
      </c>
      <c r="P1934" s="740">
        <v>26</v>
      </c>
      <c r="Q1934" s="564">
        <f>IF(O1934&lt;&gt;0,VLOOKUP(O1934,'Cây trong'!$A$2:$C$246,3,0)," ")</f>
        <v>228000</v>
      </c>
      <c r="R1934" s="564">
        <f t="shared" si="427"/>
        <v>5928000</v>
      </c>
      <c r="S1934" s="566" t="s">
        <v>1956</v>
      </c>
      <c r="T1934" s="609" t="s">
        <v>1286</v>
      </c>
      <c r="U1934" s="741">
        <v>0.18000000000000005</v>
      </c>
      <c r="V1934" s="586"/>
      <c r="W1934" s="564">
        <f>IF(S1934&lt;&gt;0,VLOOKUP(S1934,VKT!$A$2:$G$415,7,0),"")</f>
        <v>0</v>
      </c>
      <c r="X1934" s="564">
        <f t="shared" si="431"/>
        <v>0</v>
      </c>
      <c r="Y1934" s="650"/>
      <c r="Z1934" s="586"/>
      <c r="AA1934" s="742"/>
      <c r="AB1934" s="586"/>
      <c r="AC1934" s="586"/>
      <c r="AD1934" s="586"/>
      <c r="AE1934" s="586"/>
      <c r="AF1934" s="714"/>
      <c r="AG1934" s="570" t="str">
        <f>IF(AE1934&lt;&gt;0,VLOOKUP(AE1934,ODDS!$A$2:$C$13,3,0),"")</f>
        <v/>
      </c>
      <c r="AH1934" s="570" t="str">
        <f t="shared" si="428"/>
        <v xml:space="preserve"> </v>
      </c>
      <c r="AI1934" s="571" t="str">
        <f t="shared" si="434"/>
        <v xml:space="preserve"> </v>
      </c>
      <c r="AJ1934" s="572"/>
      <c r="AK1934" s="572"/>
    </row>
    <row r="1935" spans="1:37" s="394" customFormat="1" ht="60.75" outlineLevel="2" x14ac:dyDescent="0.3">
      <c r="A1935" s="447">
        <f t="shared" si="433"/>
        <v>164</v>
      </c>
      <c r="B1935" s="557"/>
      <c r="C1935" s="586"/>
      <c r="D1935" s="700"/>
      <c r="E1935" s="612"/>
      <c r="F1935" s="612"/>
      <c r="G1935" s="586"/>
      <c r="H1935" s="709"/>
      <c r="I1935" s="546"/>
      <c r="J1935" s="562"/>
      <c r="K1935" s="563" t="str">
        <f>IF(G1935&lt;&gt;0,VLOOKUP(G1935,'gia dat'!$A$1:$F$144,5,0)," ")</f>
        <v xml:space="preserve"> </v>
      </c>
      <c r="L1935" s="563" t="str">
        <f>IF(G1935&lt;&gt;0,VLOOKUP(G1935,'gia dat'!$A$1:$F$144,6,0)," ")</f>
        <v xml:space="preserve"> </v>
      </c>
      <c r="M1935" s="564" t="str">
        <f t="shared" si="424"/>
        <v xml:space="preserve"> </v>
      </c>
      <c r="N1935" s="564" t="str">
        <f t="shared" si="425"/>
        <v xml:space="preserve"> </v>
      </c>
      <c r="O1935" s="661" t="s">
        <v>1409</v>
      </c>
      <c r="P1935" s="740">
        <v>5</v>
      </c>
      <c r="Q1935" s="564">
        <f>IF(O1935&lt;&gt;0,VLOOKUP(O1935,'Cây trong'!$A$2:$C$246,3,0)," ")</f>
        <v>2400000</v>
      </c>
      <c r="R1935" s="564">
        <f t="shared" si="427"/>
        <v>12000000</v>
      </c>
      <c r="S1935" s="566" t="s">
        <v>1957</v>
      </c>
      <c r="T1935" s="609" t="s">
        <v>1133</v>
      </c>
      <c r="U1935" s="741">
        <v>8</v>
      </c>
      <c r="V1935" s="586"/>
      <c r="W1935" s="564">
        <f>IF(S1935&lt;&gt;0,VLOOKUP(S1935,VKT!$A$2:$G$415,7,0),"")</f>
        <v>0</v>
      </c>
      <c r="X1935" s="564">
        <f t="shared" si="431"/>
        <v>0</v>
      </c>
      <c r="Y1935" s="650"/>
      <c r="Z1935" s="586"/>
      <c r="AA1935" s="742"/>
      <c r="AB1935" s="586"/>
      <c r="AC1935" s="586"/>
      <c r="AD1935" s="586"/>
      <c r="AE1935" s="586"/>
      <c r="AF1935" s="714"/>
      <c r="AG1935" s="570" t="str">
        <f>IF(AE1935&lt;&gt;0,VLOOKUP(AE1935,ODDS!$A$2:$C$13,3,0),"")</f>
        <v/>
      </c>
      <c r="AH1935" s="570" t="str">
        <f t="shared" si="428"/>
        <v xml:space="preserve"> </v>
      </c>
      <c r="AI1935" s="571" t="str">
        <f t="shared" si="434"/>
        <v xml:space="preserve"> </v>
      </c>
      <c r="AJ1935" s="572"/>
      <c r="AK1935" s="572"/>
    </row>
    <row r="1936" spans="1:37" s="394" customFormat="1" ht="81" outlineLevel="2" x14ac:dyDescent="0.3">
      <c r="A1936" s="447">
        <f t="shared" si="433"/>
        <v>164</v>
      </c>
      <c r="B1936" s="557"/>
      <c r="C1936" s="586"/>
      <c r="D1936" s="700"/>
      <c r="E1936" s="612"/>
      <c r="F1936" s="612"/>
      <c r="G1936" s="586"/>
      <c r="H1936" s="709"/>
      <c r="I1936" s="546"/>
      <c r="J1936" s="562"/>
      <c r="K1936" s="563" t="str">
        <f>IF(G1936&lt;&gt;0,VLOOKUP(G1936,'gia dat'!$A$1:$F$144,5,0)," ")</f>
        <v xml:space="preserve"> </v>
      </c>
      <c r="L1936" s="563" t="str">
        <f>IF(G1936&lt;&gt;0,VLOOKUP(G1936,'gia dat'!$A$1:$F$144,6,0)," ")</f>
        <v xml:space="preserve"> </v>
      </c>
      <c r="M1936" s="564" t="str">
        <f t="shared" si="424"/>
        <v xml:space="preserve"> </v>
      </c>
      <c r="N1936" s="564" t="str">
        <f t="shared" si="425"/>
        <v xml:space="preserve"> </v>
      </c>
      <c r="O1936" s="572" t="s">
        <v>1353</v>
      </c>
      <c r="P1936" s="740">
        <v>1</v>
      </c>
      <c r="Q1936" s="564">
        <f>IF(O1936&lt;&gt;0,VLOOKUP(O1936,'Cây trong'!$A$2:$C$246,3,0)," ")</f>
        <v>1713000</v>
      </c>
      <c r="R1936" s="564">
        <f t="shared" si="427"/>
        <v>1713000</v>
      </c>
      <c r="S1936" s="566" t="s">
        <v>1945</v>
      </c>
      <c r="T1936" s="609" t="s">
        <v>1133</v>
      </c>
      <c r="U1936" s="741">
        <v>7.2</v>
      </c>
      <c r="V1936" s="586"/>
      <c r="W1936" s="564">
        <f>IF(S1936&lt;&gt;0,VLOOKUP(S1936,VKT!$A$2:$G$415,7,0),"")</f>
        <v>770070</v>
      </c>
      <c r="X1936" s="564">
        <f t="shared" si="431"/>
        <v>5545000</v>
      </c>
      <c r="Y1936" s="650"/>
      <c r="Z1936" s="586"/>
      <c r="AA1936" s="742"/>
      <c r="AB1936" s="586"/>
      <c r="AC1936" s="586"/>
      <c r="AD1936" s="586"/>
      <c r="AE1936" s="586"/>
      <c r="AF1936" s="714"/>
      <c r="AG1936" s="570" t="str">
        <f>IF(AE1936&lt;&gt;0,VLOOKUP(AE1936,ODDS!$A$2:$C$13,3,0),"")</f>
        <v/>
      </c>
      <c r="AH1936" s="570" t="str">
        <f t="shared" si="428"/>
        <v xml:space="preserve"> </v>
      </c>
      <c r="AI1936" s="571" t="str">
        <f t="shared" si="434"/>
        <v xml:space="preserve"> </v>
      </c>
      <c r="AJ1936" s="572"/>
      <c r="AK1936" s="572"/>
    </row>
    <row r="1937" spans="1:37" s="394" customFormat="1" ht="81" outlineLevel="2" x14ac:dyDescent="0.3">
      <c r="A1937" s="447">
        <f t="shared" si="433"/>
        <v>164</v>
      </c>
      <c r="B1937" s="557"/>
      <c r="C1937" s="586"/>
      <c r="D1937" s="700"/>
      <c r="E1937" s="612"/>
      <c r="F1937" s="612"/>
      <c r="G1937" s="586"/>
      <c r="H1937" s="709"/>
      <c r="I1937" s="546"/>
      <c r="J1937" s="562"/>
      <c r="K1937" s="563" t="str">
        <f>IF(G1937&lt;&gt;0,VLOOKUP(G1937,'gia dat'!$A$1:$F$144,5,0)," ")</f>
        <v xml:space="preserve"> </v>
      </c>
      <c r="L1937" s="563" t="str">
        <f>IF(G1937&lt;&gt;0,VLOOKUP(G1937,'gia dat'!$A$1:$F$144,6,0)," ")</f>
        <v xml:space="preserve"> </v>
      </c>
      <c r="M1937" s="564" t="str">
        <f t="shared" si="424"/>
        <v xml:space="preserve"> </v>
      </c>
      <c r="N1937" s="564" t="str">
        <f t="shared" si="425"/>
        <v xml:space="preserve"> </v>
      </c>
      <c r="O1937" s="572" t="s">
        <v>1354</v>
      </c>
      <c r="P1937" s="740">
        <v>903</v>
      </c>
      <c r="Q1937" s="564">
        <f>IF(O1937&lt;&gt;0,VLOOKUP(O1937,'Cây trong'!$A$2:$C$246,3,0)," ")</f>
        <v>0</v>
      </c>
      <c r="R1937" s="564">
        <f t="shared" si="427"/>
        <v>0</v>
      </c>
      <c r="S1937" s="566"/>
      <c r="T1937" s="609"/>
      <c r="U1937" s="741"/>
      <c r="V1937" s="586"/>
      <c r="W1937" s="564" t="str">
        <f>IF(S1937&lt;&gt;0,VLOOKUP(S1937,VKT!$A$2:$G$415,7,0),"")</f>
        <v/>
      </c>
      <c r="X1937" s="564" t="str">
        <f t="shared" si="431"/>
        <v xml:space="preserve"> </v>
      </c>
      <c r="Y1937" s="650"/>
      <c r="Z1937" s="586"/>
      <c r="AA1937" s="742"/>
      <c r="AB1937" s="586"/>
      <c r="AC1937" s="586"/>
      <c r="AD1937" s="586"/>
      <c r="AE1937" s="586"/>
      <c r="AF1937" s="714"/>
      <c r="AG1937" s="570" t="str">
        <f>IF(AE1937&lt;&gt;0,VLOOKUP(AE1937,ODDS!$A$2:$C$13,3,0),"")</f>
        <v/>
      </c>
      <c r="AH1937" s="570" t="str">
        <f t="shared" si="428"/>
        <v xml:space="preserve"> </v>
      </c>
      <c r="AI1937" s="571" t="str">
        <f t="shared" si="434"/>
        <v xml:space="preserve"> </v>
      </c>
      <c r="AJ1937" s="572"/>
      <c r="AK1937" s="572"/>
    </row>
    <row r="1938" spans="1:37" s="394" customFormat="1" ht="20.25" outlineLevel="2" x14ac:dyDescent="0.3">
      <c r="A1938" s="447">
        <f t="shared" si="433"/>
        <v>164</v>
      </c>
      <c r="B1938" s="557"/>
      <c r="C1938" s="586"/>
      <c r="D1938" s="700"/>
      <c r="E1938" s="612"/>
      <c r="F1938" s="612"/>
      <c r="G1938" s="586"/>
      <c r="H1938" s="709"/>
      <c r="I1938" s="546"/>
      <c r="J1938" s="562"/>
      <c r="K1938" s="563" t="str">
        <f>IF(G1938&lt;&gt;0,VLOOKUP(G1938,'gia dat'!$A$1:$F$144,5,0)," ")</f>
        <v xml:space="preserve"> </v>
      </c>
      <c r="L1938" s="563" t="str">
        <f>IF(G1938&lt;&gt;0,VLOOKUP(G1938,'gia dat'!$A$1:$F$144,6,0)," ")</f>
        <v xml:space="preserve"> </v>
      </c>
      <c r="M1938" s="564" t="str">
        <f t="shared" si="424"/>
        <v xml:space="preserve"> </v>
      </c>
      <c r="N1938" s="564" t="str">
        <f t="shared" si="425"/>
        <v xml:space="preserve"> </v>
      </c>
      <c r="O1938" s="572"/>
      <c r="P1938" s="740"/>
      <c r="Q1938" s="564" t="str">
        <f>IF(O1938&lt;&gt;0,VLOOKUP(O1938,'Cây trong'!$A$2:$C$246,3,0)," ")</f>
        <v xml:space="preserve"> </v>
      </c>
      <c r="R1938" s="564" t="str">
        <f t="shared" si="427"/>
        <v xml:space="preserve"> </v>
      </c>
      <c r="S1938" s="566"/>
      <c r="T1938" s="609"/>
      <c r="U1938" s="741"/>
      <c r="V1938" s="586"/>
      <c r="W1938" s="564" t="str">
        <f>IF(S1938&lt;&gt;0,VLOOKUP(S1938,VKT!$A$2:$G$415,7,0),"")</f>
        <v/>
      </c>
      <c r="X1938" s="564" t="str">
        <f t="shared" si="431"/>
        <v xml:space="preserve"> </v>
      </c>
      <c r="Y1938" s="650"/>
      <c r="Z1938" s="586"/>
      <c r="AA1938" s="742"/>
      <c r="AB1938" s="586"/>
      <c r="AC1938" s="586"/>
      <c r="AD1938" s="586"/>
      <c r="AE1938" s="586"/>
      <c r="AF1938" s="714"/>
      <c r="AG1938" s="570" t="str">
        <f>IF(AE1938&lt;&gt;0,VLOOKUP(AE1938,ODDS!$A$2:$C$13,3,0),"")</f>
        <v/>
      </c>
      <c r="AH1938" s="570" t="str">
        <f t="shared" si="428"/>
        <v xml:space="preserve"> </v>
      </c>
      <c r="AI1938" s="571" t="str">
        <f t="shared" si="434"/>
        <v xml:space="preserve"> </v>
      </c>
      <c r="AJ1938" s="572"/>
      <c r="AK1938" s="572"/>
    </row>
    <row r="1939" spans="1:37" s="394" customFormat="1" ht="20.25" outlineLevel="2" x14ac:dyDescent="0.3">
      <c r="A1939" s="447">
        <f t="shared" si="433"/>
        <v>164</v>
      </c>
      <c r="B1939" s="557"/>
      <c r="C1939" s="572"/>
      <c r="D1939" s="700"/>
      <c r="E1939" s="612"/>
      <c r="F1939" s="612"/>
      <c r="G1939" s="586"/>
      <c r="H1939" s="709"/>
      <c r="I1939" s="546"/>
      <c r="J1939" s="562"/>
      <c r="K1939" s="563" t="str">
        <f>IF(G1939&lt;&gt;0,VLOOKUP(G1939,'gia dat'!$A$1:$F$144,5,0)," ")</f>
        <v xml:space="preserve"> </v>
      </c>
      <c r="L1939" s="563" t="str">
        <f>IF(G1939&lt;&gt;0,VLOOKUP(G1939,'gia dat'!$A$1:$F$144,6,0)," ")</f>
        <v xml:space="preserve"> </v>
      </c>
      <c r="M1939" s="564" t="str">
        <f t="shared" si="424"/>
        <v xml:space="preserve"> </v>
      </c>
      <c r="N1939" s="564" t="str">
        <f t="shared" si="425"/>
        <v xml:space="preserve"> </v>
      </c>
      <c r="O1939" s="572"/>
      <c r="P1939" s="740"/>
      <c r="Q1939" s="564" t="str">
        <f>IF(O1939&lt;&gt;0,VLOOKUP(O1939,'Cây trong'!$A$2:$C$246,3,0)," ")</f>
        <v xml:space="preserve"> </v>
      </c>
      <c r="R1939" s="564" t="str">
        <f t="shared" si="427"/>
        <v xml:space="preserve"> </v>
      </c>
      <c r="S1939" s="566"/>
      <c r="T1939" s="609"/>
      <c r="U1939" s="741"/>
      <c r="V1939" s="586"/>
      <c r="W1939" s="564" t="str">
        <f>IF(S1939&lt;&gt;0,VLOOKUP(S1939,VKT!$A$2:$G$415,7,0),"")</f>
        <v/>
      </c>
      <c r="X1939" s="564" t="str">
        <f t="shared" si="431"/>
        <v xml:space="preserve"> </v>
      </c>
      <c r="Y1939" s="650"/>
      <c r="Z1939" s="586"/>
      <c r="AA1939" s="742"/>
      <c r="AB1939" s="586"/>
      <c r="AC1939" s="586"/>
      <c r="AD1939" s="586"/>
      <c r="AE1939" s="586"/>
      <c r="AF1939" s="714"/>
      <c r="AG1939" s="570" t="str">
        <f>IF(AE1939&lt;&gt;0,VLOOKUP(AE1939,ODDS!$A$2:$C$13,3,0),"")</f>
        <v/>
      </c>
      <c r="AH1939" s="570" t="str">
        <f t="shared" si="428"/>
        <v xml:space="preserve"> </v>
      </c>
      <c r="AI1939" s="571" t="str">
        <f t="shared" si="434"/>
        <v xml:space="preserve"> </v>
      </c>
      <c r="AJ1939" s="558"/>
      <c r="AK1939" s="558"/>
    </row>
    <row r="1940" spans="1:37" s="394" customFormat="1" ht="20.25" outlineLevel="2" x14ac:dyDescent="0.3">
      <c r="A1940" s="447">
        <f t="shared" si="433"/>
        <v>164</v>
      </c>
      <c r="B1940" s="557"/>
      <c r="C1940" s="572"/>
      <c r="D1940" s="700"/>
      <c r="E1940" s="612"/>
      <c r="F1940" s="612"/>
      <c r="G1940" s="586"/>
      <c r="H1940" s="709"/>
      <c r="I1940" s="546"/>
      <c r="J1940" s="562"/>
      <c r="K1940" s="563" t="str">
        <f>IF(G1940&lt;&gt;0,VLOOKUP(G1940,'gia dat'!$A$1:$F$144,5,0)," ")</f>
        <v xml:space="preserve"> </v>
      </c>
      <c r="L1940" s="563" t="str">
        <f>IF(G1940&lt;&gt;0,VLOOKUP(G1940,'gia dat'!$A$1:$F$144,6,0)," ")</f>
        <v xml:space="preserve"> </v>
      </c>
      <c r="M1940" s="564" t="str">
        <f t="shared" si="424"/>
        <v xml:space="preserve"> </v>
      </c>
      <c r="N1940" s="564" t="str">
        <f t="shared" si="425"/>
        <v xml:space="preserve"> </v>
      </c>
      <c r="O1940" s="572"/>
      <c r="P1940" s="740"/>
      <c r="Q1940" s="564" t="str">
        <f>IF(O1940&lt;&gt;0,VLOOKUP(O1940,'Cây trong'!$A$2:$C$246,3,0)," ")</f>
        <v xml:space="preserve"> </v>
      </c>
      <c r="R1940" s="564" t="str">
        <f t="shared" si="427"/>
        <v xml:space="preserve"> </v>
      </c>
      <c r="S1940" s="566"/>
      <c r="T1940" s="609"/>
      <c r="U1940" s="741"/>
      <c r="V1940" s="586"/>
      <c r="W1940" s="564" t="str">
        <f>IF(S1940&lt;&gt;0,VLOOKUP(S1940,VKT!$A$2:$G$415,7,0),"")</f>
        <v/>
      </c>
      <c r="X1940" s="564" t="str">
        <f t="shared" si="431"/>
        <v xml:space="preserve"> </v>
      </c>
      <c r="Y1940" s="650"/>
      <c r="Z1940" s="586"/>
      <c r="AA1940" s="742"/>
      <c r="AB1940" s="586"/>
      <c r="AC1940" s="586"/>
      <c r="AD1940" s="586"/>
      <c r="AE1940" s="586"/>
      <c r="AF1940" s="714"/>
      <c r="AG1940" s="570" t="str">
        <f>IF(AE1940&lt;&gt;0,VLOOKUP(AE1940,ODDS!$A$2:$C$13,3,0),"")</f>
        <v/>
      </c>
      <c r="AH1940" s="570" t="str">
        <f t="shared" si="428"/>
        <v xml:space="preserve"> </v>
      </c>
      <c r="AI1940" s="571" t="str">
        <f t="shared" si="434"/>
        <v xml:space="preserve"> </v>
      </c>
      <c r="AJ1940" s="586"/>
      <c r="AK1940" s="586"/>
    </row>
    <row r="1941" spans="1:37" s="394" customFormat="1" ht="20.25" outlineLevel="2" x14ac:dyDescent="0.3">
      <c r="A1941" s="447">
        <f t="shared" si="433"/>
        <v>164</v>
      </c>
      <c r="B1941" s="557"/>
      <c r="C1941" s="607"/>
      <c r="D1941" s="700"/>
      <c r="E1941" s="612"/>
      <c r="F1941" s="612"/>
      <c r="G1941" s="586"/>
      <c r="H1941" s="709"/>
      <c r="I1941" s="546"/>
      <c r="J1941" s="562"/>
      <c r="K1941" s="563" t="str">
        <f>IF(G1941&lt;&gt;0,VLOOKUP(G1941,'gia dat'!$A$1:$F$144,5,0)," ")</f>
        <v xml:space="preserve"> </v>
      </c>
      <c r="L1941" s="563" t="str">
        <f>IF(G1941&lt;&gt;0,VLOOKUP(G1941,'gia dat'!$A$1:$F$144,6,0)," ")</f>
        <v xml:space="preserve"> </v>
      </c>
      <c r="M1941" s="564" t="str">
        <f t="shared" si="424"/>
        <v xml:space="preserve"> </v>
      </c>
      <c r="N1941" s="564" t="str">
        <f t="shared" si="425"/>
        <v xml:space="preserve"> </v>
      </c>
      <c r="O1941" s="572"/>
      <c r="P1941" s="740"/>
      <c r="Q1941" s="564" t="str">
        <f>IF(O1941&lt;&gt;0,VLOOKUP(O1941,'Cây trong'!$A$2:$C$246,3,0)," ")</f>
        <v xml:space="preserve"> </v>
      </c>
      <c r="R1941" s="564" t="str">
        <f t="shared" si="427"/>
        <v xml:space="preserve"> </v>
      </c>
      <c r="S1941" s="566"/>
      <c r="T1941" s="609"/>
      <c r="U1941" s="741"/>
      <c r="V1941" s="586"/>
      <c r="W1941" s="564" t="str">
        <f>IF(S1941&lt;&gt;0,VLOOKUP(S1941,VKT!$A$2:$G$415,7,0),"")</f>
        <v/>
      </c>
      <c r="X1941" s="564" t="str">
        <f t="shared" si="431"/>
        <v xml:space="preserve"> </v>
      </c>
      <c r="Y1941" s="650"/>
      <c r="Z1941" s="586"/>
      <c r="AA1941" s="742"/>
      <c r="AB1941" s="586"/>
      <c r="AC1941" s="586"/>
      <c r="AD1941" s="586"/>
      <c r="AE1941" s="586"/>
      <c r="AF1941" s="714"/>
      <c r="AG1941" s="570" t="str">
        <f>IF(AE1941&lt;&gt;0,VLOOKUP(AE1941,ODDS!$A$2:$C$13,3,0),"")</f>
        <v/>
      </c>
      <c r="AH1941" s="570" t="str">
        <f t="shared" si="428"/>
        <v xml:space="preserve"> </v>
      </c>
      <c r="AI1941" s="571" t="str">
        <f t="shared" si="434"/>
        <v xml:space="preserve"> </v>
      </c>
      <c r="AJ1941" s="586"/>
      <c r="AK1941" s="586"/>
    </row>
    <row r="1942" spans="1:37" s="394" customFormat="1" ht="20.25" outlineLevel="1" x14ac:dyDescent="0.25">
      <c r="A1942" s="467" t="s">
        <v>2545</v>
      </c>
      <c r="B1942" s="576">
        <v>165</v>
      </c>
      <c r="C1942" s="607" t="s">
        <v>1355</v>
      </c>
      <c r="D1942" s="706"/>
      <c r="E1942" s="642"/>
      <c r="F1942" s="642"/>
      <c r="G1942" s="578"/>
      <c r="H1942" s="707">
        <f>SUBTOTAL(9,H1943:H1958)</f>
        <v>0</v>
      </c>
      <c r="I1942" s="579">
        <f>SUBTOTAL(9,I1943:I1948)</f>
        <v>0</v>
      </c>
      <c r="J1942" s="580"/>
      <c r="K1942" s="581"/>
      <c r="L1942" s="581"/>
      <c r="M1942" s="571">
        <f>SUBTOTAL(9,M1943:M1958)</f>
        <v>0</v>
      </c>
      <c r="N1942" s="571">
        <f>SUBTOTAL(9,N1943:N1958)</f>
        <v>0</v>
      </c>
      <c r="O1942" s="607"/>
      <c r="P1942" s="738">
        <f>SUBTOTAL(9,P1943:P1958)</f>
        <v>0</v>
      </c>
      <c r="Q1942" s="571"/>
      <c r="R1942" s="571">
        <f>SUBTOTAL(9,R1943:R1958)</f>
        <v>0</v>
      </c>
      <c r="S1942" s="582"/>
      <c r="T1942" s="621"/>
      <c r="U1942" s="739">
        <f>SUBTOTAL(9,U1943:U1958)</f>
        <v>362.01799999999997</v>
      </c>
      <c r="V1942" s="578"/>
      <c r="W1942" s="571"/>
      <c r="X1942" s="571">
        <f>SUBTOTAL(9,X1943:X1958)</f>
        <v>815393000</v>
      </c>
      <c r="Y1942" s="661"/>
      <c r="Z1942" s="683"/>
      <c r="AA1942" s="683"/>
      <c r="AB1942" s="694"/>
      <c r="AC1942" s="683"/>
      <c r="AD1942" s="683"/>
      <c r="AE1942" s="650"/>
      <c r="AF1942" s="599">
        <f>SUBTOTAL(9,AF1943:AF1958)</f>
        <v>0</v>
      </c>
      <c r="AG1942" s="585"/>
      <c r="AH1942" s="585">
        <f>SUBTOTAL(9,AH1943:AH1958)</f>
        <v>0</v>
      </c>
      <c r="AI1942" s="571">
        <f t="shared" si="434"/>
        <v>815393000</v>
      </c>
      <c r="AJ1942" s="578"/>
      <c r="AK1942" s="574"/>
    </row>
    <row r="1943" spans="1:37" s="394" customFormat="1" ht="121.5" outlineLevel="2" x14ac:dyDescent="0.3">
      <c r="A1943" s="447">
        <f>IF(B1942&lt;&gt;0,B1942,A1941)</f>
        <v>165</v>
      </c>
      <c r="B1943" s="557"/>
      <c r="C1943" s="572" t="s">
        <v>1357</v>
      </c>
      <c r="D1943" s="700"/>
      <c r="E1943" s="612"/>
      <c r="F1943" s="612"/>
      <c r="G1943" s="586"/>
      <c r="H1943" s="709"/>
      <c r="I1943" s="546"/>
      <c r="J1943" s="562"/>
      <c r="K1943" s="563" t="str">
        <f>IF(G1943&lt;&gt;0,VLOOKUP(G1943,'gia dat'!$A$1:$F$144,5,0)," ")</f>
        <v xml:space="preserve"> </v>
      </c>
      <c r="L1943" s="563" t="str">
        <f>IF(G1943&lt;&gt;0,VLOOKUP(G1943,'gia dat'!$A$1:$F$144,6,0)," ")</f>
        <v xml:space="preserve"> </v>
      </c>
      <c r="M1943" s="564" t="str">
        <f t="shared" si="424"/>
        <v xml:space="preserve"> </v>
      </c>
      <c r="N1943" s="564" t="str">
        <f t="shared" si="425"/>
        <v xml:space="preserve"> </v>
      </c>
      <c r="O1943" s="572"/>
      <c r="P1943" s="740"/>
      <c r="Q1943" s="564" t="str">
        <f>IF(O1943&lt;&gt;0,VLOOKUP(O1943,'Cây trong'!$A$2:$C$246,3,0)," ")</f>
        <v xml:space="preserve"> </v>
      </c>
      <c r="R1943" s="564" t="str">
        <f t="shared" si="427"/>
        <v xml:space="preserve"> </v>
      </c>
      <c r="S1943" s="566" t="s">
        <v>1958</v>
      </c>
      <c r="T1943" s="609" t="s">
        <v>1133</v>
      </c>
      <c r="U1943" s="741">
        <v>162.57000000000002</v>
      </c>
      <c r="V1943" s="586"/>
      <c r="W1943" s="564">
        <f>IF(S1943&lt;&gt;0,VLOOKUP(S1943,VKT!$A$2:$G$415,7,0),"")</f>
        <v>3550600</v>
      </c>
      <c r="X1943" s="564">
        <f t="shared" si="431"/>
        <v>577221000</v>
      </c>
      <c r="Y1943" s="661" t="s">
        <v>1138</v>
      </c>
      <c r="Z1943" s="683" t="s">
        <v>1139</v>
      </c>
      <c r="AA1943" s="683" t="s">
        <v>56</v>
      </c>
      <c r="AB1943" s="694" t="s">
        <v>269</v>
      </c>
      <c r="AC1943" s="683" t="s">
        <v>1138</v>
      </c>
      <c r="AD1943" s="683"/>
      <c r="AE1943" s="683"/>
      <c r="AF1943" s="590"/>
      <c r="AG1943" s="570" t="str">
        <f>IF(AE1943&lt;&gt;0,VLOOKUP(AE1943,ODDS!$A$2:$C$13,3,0),"")</f>
        <v/>
      </c>
      <c r="AH1943" s="570" t="str">
        <f t="shared" si="428"/>
        <v xml:space="preserve"> </v>
      </c>
      <c r="AI1943" s="571" t="str">
        <f t="shared" si="434"/>
        <v xml:space="preserve"> </v>
      </c>
      <c r="AJ1943" s="586" t="s">
        <v>1356</v>
      </c>
      <c r="AK1943" s="558" t="s">
        <v>2450</v>
      </c>
    </row>
    <row r="1944" spans="1:37" s="394" customFormat="1" ht="101.25" outlineLevel="2" x14ac:dyDescent="0.3">
      <c r="A1944" s="447">
        <f t="shared" ref="A1944:A1958" si="435">IF(B1943&lt;&gt;0,B1943,A1943)</f>
        <v>165</v>
      </c>
      <c r="B1944" s="557"/>
      <c r="C1944" s="572" t="s">
        <v>1619</v>
      </c>
      <c r="D1944" s="700"/>
      <c r="E1944" s="612"/>
      <c r="F1944" s="612"/>
      <c r="G1944" s="586"/>
      <c r="H1944" s="709"/>
      <c r="I1944" s="546"/>
      <c r="J1944" s="562"/>
      <c r="K1944" s="563" t="str">
        <f>IF(G1944&lt;&gt;0,VLOOKUP(G1944,'gia dat'!$A$1:$F$144,5,0)," ")</f>
        <v xml:space="preserve"> </v>
      </c>
      <c r="L1944" s="563" t="str">
        <f>IF(G1944&lt;&gt;0,VLOOKUP(G1944,'gia dat'!$A$1:$F$144,6,0)," ")</f>
        <v xml:space="preserve"> </v>
      </c>
      <c r="M1944" s="564" t="str">
        <f t="shared" si="424"/>
        <v xml:space="preserve"> </v>
      </c>
      <c r="N1944" s="564" t="str">
        <f t="shared" si="425"/>
        <v xml:space="preserve"> </v>
      </c>
      <c r="O1944" s="572"/>
      <c r="P1944" s="740"/>
      <c r="Q1944" s="564" t="str">
        <f>IF(O1944&lt;&gt;0,VLOOKUP(O1944,'Cây trong'!$A$2:$C$246,3,0)," ")</f>
        <v xml:space="preserve"> </v>
      </c>
      <c r="R1944" s="564" t="str">
        <f t="shared" si="427"/>
        <v xml:space="preserve"> </v>
      </c>
      <c r="S1944" s="566" t="s">
        <v>1959</v>
      </c>
      <c r="T1944" s="609" t="s">
        <v>1133</v>
      </c>
      <c r="U1944" s="741">
        <v>17.849999999999998</v>
      </c>
      <c r="V1944" s="586"/>
      <c r="W1944" s="564">
        <f>IF(S1944&lt;&gt;0,VLOOKUP(S1944,VKT!$A$2:$G$415,7,0),"")</f>
        <v>9347414</v>
      </c>
      <c r="X1944" s="564">
        <f t="shared" si="431"/>
        <v>166851000</v>
      </c>
      <c r="Y1944" s="650"/>
      <c r="Z1944" s="586"/>
      <c r="AA1944" s="742"/>
      <c r="AB1944" s="586"/>
      <c r="AC1944" s="586"/>
      <c r="AD1944" s="586"/>
      <c r="AE1944" s="586"/>
      <c r="AF1944" s="714"/>
      <c r="AG1944" s="570" t="str">
        <f>IF(AE1944&lt;&gt;0,VLOOKUP(AE1944,ODDS!$A$2:$C$13,3,0),"")</f>
        <v/>
      </c>
      <c r="AH1944" s="570" t="str">
        <f t="shared" si="428"/>
        <v xml:space="preserve"> </v>
      </c>
      <c r="AI1944" s="571" t="str">
        <f t="shared" si="434"/>
        <v xml:space="preserve"> </v>
      </c>
      <c r="AJ1944" s="586" t="s">
        <v>1146</v>
      </c>
      <c r="AK1944" s="586" t="s">
        <v>2800</v>
      </c>
    </row>
    <row r="1945" spans="1:37" s="394" customFormat="1" ht="60.75" outlineLevel="2" x14ac:dyDescent="0.3">
      <c r="A1945" s="447">
        <f t="shared" si="435"/>
        <v>165</v>
      </c>
      <c r="B1945" s="557"/>
      <c r="C1945" s="572"/>
      <c r="D1945" s="700"/>
      <c r="E1945" s="612"/>
      <c r="F1945" s="612"/>
      <c r="G1945" s="586"/>
      <c r="H1945" s="709"/>
      <c r="I1945" s="546"/>
      <c r="J1945" s="562"/>
      <c r="K1945" s="563" t="str">
        <f>IF(G1945&lt;&gt;0,VLOOKUP(G1945,'gia dat'!$A$1:$F$144,5,0)," ")</f>
        <v xml:space="preserve"> </v>
      </c>
      <c r="L1945" s="563" t="str">
        <f>IF(G1945&lt;&gt;0,VLOOKUP(G1945,'gia dat'!$A$1:$F$144,6,0)," ")</f>
        <v xml:space="preserve"> </v>
      </c>
      <c r="M1945" s="564" t="str">
        <f t="shared" si="424"/>
        <v xml:space="preserve"> </v>
      </c>
      <c r="N1945" s="564" t="str">
        <f t="shared" si="425"/>
        <v xml:space="preserve"> </v>
      </c>
      <c r="O1945" s="572"/>
      <c r="P1945" s="740"/>
      <c r="Q1945" s="564" t="str">
        <f>IF(O1945&lt;&gt;0,VLOOKUP(O1945,'Cây trong'!$A$2:$C$246,3,0)," ")</f>
        <v xml:space="preserve"> </v>
      </c>
      <c r="R1945" s="564" t="str">
        <f t="shared" si="427"/>
        <v xml:space="preserve"> </v>
      </c>
      <c r="S1945" s="566" t="s">
        <v>1347</v>
      </c>
      <c r="T1945" s="609" t="s">
        <v>93</v>
      </c>
      <c r="U1945" s="741">
        <v>1</v>
      </c>
      <c r="V1945" s="586"/>
      <c r="W1945" s="564">
        <f>IF(S1945&lt;&gt;0,VLOOKUP(S1945,VKT!$A$2:$G$415,7,0),"")</f>
        <v>0</v>
      </c>
      <c r="X1945" s="564">
        <f t="shared" si="431"/>
        <v>0</v>
      </c>
      <c r="Y1945" s="650"/>
      <c r="Z1945" s="586"/>
      <c r="AA1945" s="742"/>
      <c r="AB1945" s="586"/>
      <c r="AC1945" s="586"/>
      <c r="AD1945" s="586"/>
      <c r="AE1945" s="586"/>
      <c r="AF1945" s="714"/>
      <c r="AG1945" s="570" t="str">
        <f>IF(AE1945&lt;&gt;0,VLOOKUP(AE1945,ODDS!$A$2:$C$13,3,0),"")</f>
        <v/>
      </c>
      <c r="AH1945" s="570" t="str">
        <f t="shared" si="428"/>
        <v xml:space="preserve"> </v>
      </c>
      <c r="AI1945" s="571" t="str">
        <f t="shared" si="434"/>
        <v xml:space="preserve"> </v>
      </c>
      <c r="AJ1945" s="586"/>
      <c r="AK1945" s="586"/>
    </row>
    <row r="1946" spans="1:37" s="394" customFormat="1" ht="81" outlineLevel="2" x14ac:dyDescent="0.3">
      <c r="A1946" s="447">
        <f t="shared" si="435"/>
        <v>165</v>
      </c>
      <c r="B1946" s="557"/>
      <c r="C1946" s="572"/>
      <c r="D1946" s="700"/>
      <c r="E1946" s="612"/>
      <c r="F1946" s="612"/>
      <c r="G1946" s="586"/>
      <c r="H1946" s="709"/>
      <c r="I1946" s="546"/>
      <c r="J1946" s="562"/>
      <c r="K1946" s="563" t="str">
        <f>IF(G1946&lt;&gt;0,VLOOKUP(G1946,'gia dat'!$A$1:$F$144,5,0)," ")</f>
        <v xml:space="preserve"> </v>
      </c>
      <c r="L1946" s="563" t="str">
        <f>IF(G1946&lt;&gt;0,VLOOKUP(G1946,'gia dat'!$A$1:$F$144,6,0)," ")</f>
        <v xml:space="preserve"> </v>
      </c>
      <c r="M1946" s="564" t="str">
        <f t="shared" si="424"/>
        <v xml:space="preserve"> </v>
      </c>
      <c r="N1946" s="564" t="str">
        <f t="shared" si="425"/>
        <v xml:space="preserve"> </v>
      </c>
      <c r="O1946" s="572"/>
      <c r="P1946" s="740"/>
      <c r="Q1946" s="564" t="str">
        <f>IF(O1946&lt;&gt;0,VLOOKUP(O1946,'Cây trong'!$A$2:$C$246,3,0)," ")</f>
        <v xml:space="preserve"> </v>
      </c>
      <c r="R1946" s="564" t="str">
        <f t="shared" si="427"/>
        <v xml:space="preserve"> </v>
      </c>
      <c r="S1946" s="566" t="s">
        <v>1912</v>
      </c>
      <c r="T1946" s="609" t="s">
        <v>1133</v>
      </c>
      <c r="U1946" s="741">
        <v>52.3</v>
      </c>
      <c r="V1946" s="586"/>
      <c r="W1946" s="564">
        <f>IF(S1946&lt;&gt;0,VLOOKUP(S1946,VKT!$A$2:$G$415,7,0),"")</f>
        <v>265836</v>
      </c>
      <c r="X1946" s="564">
        <f t="shared" si="431"/>
        <v>13903000</v>
      </c>
      <c r="Y1946" s="650"/>
      <c r="Z1946" s="586"/>
      <c r="AA1946" s="742"/>
      <c r="AB1946" s="586"/>
      <c r="AC1946" s="586"/>
      <c r="AD1946" s="586"/>
      <c r="AE1946" s="586"/>
      <c r="AF1946" s="714"/>
      <c r="AG1946" s="570" t="str">
        <f>IF(AE1946&lt;&gt;0,VLOOKUP(AE1946,ODDS!$A$2:$C$13,3,0),"")</f>
        <v/>
      </c>
      <c r="AH1946" s="570" t="str">
        <f t="shared" si="428"/>
        <v xml:space="preserve"> </v>
      </c>
      <c r="AI1946" s="571" t="str">
        <f t="shared" si="434"/>
        <v xml:space="preserve"> </v>
      </c>
      <c r="AJ1946" s="586"/>
      <c r="AK1946" s="586"/>
    </row>
    <row r="1947" spans="1:37" s="394" customFormat="1" ht="81" outlineLevel="2" x14ac:dyDescent="0.3">
      <c r="A1947" s="447">
        <f t="shared" si="435"/>
        <v>165</v>
      </c>
      <c r="B1947" s="557"/>
      <c r="C1947" s="572"/>
      <c r="D1947" s="700"/>
      <c r="E1947" s="612"/>
      <c r="F1947" s="612"/>
      <c r="G1947" s="586"/>
      <c r="H1947" s="709"/>
      <c r="I1947" s="546"/>
      <c r="J1947" s="562"/>
      <c r="K1947" s="563" t="str">
        <f>IF(G1947&lt;&gt;0,VLOOKUP(G1947,'gia dat'!$A$1:$F$144,5,0)," ")</f>
        <v xml:space="preserve"> </v>
      </c>
      <c r="L1947" s="563" t="str">
        <f>IF(G1947&lt;&gt;0,VLOOKUP(G1947,'gia dat'!$A$1:$F$144,6,0)," ")</f>
        <v xml:space="preserve"> </v>
      </c>
      <c r="M1947" s="564" t="str">
        <f t="shared" si="424"/>
        <v xml:space="preserve"> </v>
      </c>
      <c r="N1947" s="564" t="str">
        <f t="shared" si="425"/>
        <v xml:space="preserve"> </v>
      </c>
      <c r="O1947" s="572"/>
      <c r="P1947" s="740"/>
      <c r="Q1947" s="564" t="str">
        <f>IF(O1947&lt;&gt;0,VLOOKUP(O1947,'Cây trong'!$A$2:$C$246,3,0)," ")</f>
        <v xml:space="preserve"> </v>
      </c>
      <c r="R1947" s="564" t="str">
        <f t="shared" si="427"/>
        <v xml:space="preserve"> </v>
      </c>
      <c r="S1947" s="566" t="s">
        <v>1960</v>
      </c>
      <c r="T1947" s="609" t="s">
        <v>1133</v>
      </c>
      <c r="U1947" s="741">
        <v>34.200000000000003</v>
      </c>
      <c r="V1947" s="586"/>
      <c r="W1947" s="564">
        <f>IF(S1947&lt;&gt;0,VLOOKUP(S1947,VKT!$A$2:$G$415,7,0),"")</f>
        <v>770070</v>
      </c>
      <c r="X1947" s="564">
        <f t="shared" si="431"/>
        <v>26336000</v>
      </c>
      <c r="Y1947" s="650"/>
      <c r="Z1947" s="586"/>
      <c r="AA1947" s="742"/>
      <c r="AB1947" s="586"/>
      <c r="AC1947" s="586"/>
      <c r="AD1947" s="586"/>
      <c r="AE1947" s="586"/>
      <c r="AF1947" s="714"/>
      <c r="AG1947" s="570" t="str">
        <f>IF(AE1947&lt;&gt;0,VLOOKUP(AE1947,ODDS!$A$2:$C$13,3,0),"")</f>
        <v/>
      </c>
      <c r="AH1947" s="570" t="str">
        <f t="shared" si="428"/>
        <v xml:space="preserve"> </v>
      </c>
      <c r="AI1947" s="571" t="str">
        <f t="shared" si="434"/>
        <v xml:space="preserve"> </v>
      </c>
      <c r="AJ1947" s="586"/>
      <c r="AK1947" s="586"/>
    </row>
    <row r="1948" spans="1:37" s="394" customFormat="1" ht="101.25" outlineLevel="2" x14ac:dyDescent="0.3">
      <c r="A1948" s="447">
        <f t="shared" si="435"/>
        <v>165</v>
      </c>
      <c r="B1948" s="557"/>
      <c r="C1948" s="572"/>
      <c r="D1948" s="700"/>
      <c r="E1948" s="612"/>
      <c r="F1948" s="612"/>
      <c r="G1948" s="586"/>
      <c r="H1948" s="709"/>
      <c r="I1948" s="546"/>
      <c r="J1948" s="562"/>
      <c r="K1948" s="563" t="str">
        <f>IF(G1948&lt;&gt;0,VLOOKUP(G1948,'gia dat'!$A$1:$F$144,5,0)," ")</f>
        <v xml:space="preserve"> </v>
      </c>
      <c r="L1948" s="563" t="str">
        <f>IF(G1948&lt;&gt;0,VLOOKUP(G1948,'gia dat'!$A$1:$F$144,6,0)," ")</f>
        <v xml:space="preserve"> </v>
      </c>
      <c r="M1948" s="564" t="str">
        <f t="shared" si="424"/>
        <v xml:space="preserve"> </v>
      </c>
      <c r="N1948" s="564" t="str">
        <f t="shared" si="425"/>
        <v xml:space="preserve"> </v>
      </c>
      <c r="O1948" s="572"/>
      <c r="P1948" s="740"/>
      <c r="Q1948" s="564" t="str">
        <f>IF(O1948&lt;&gt;0,VLOOKUP(O1948,'Cây trong'!$A$2:$C$246,3,0)," ")</f>
        <v xml:space="preserve"> </v>
      </c>
      <c r="R1948" s="564" t="str">
        <f t="shared" si="427"/>
        <v xml:space="preserve"> </v>
      </c>
      <c r="S1948" s="566" t="s">
        <v>1961</v>
      </c>
      <c r="T1948" s="609" t="s">
        <v>1133</v>
      </c>
      <c r="U1948" s="741">
        <v>44.4</v>
      </c>
      <c r="V1948" s="586"/>
      <c r="W1948" s="564">
        <f>IF(S1948&lt;&gt;0,VLOOKUP(S1948,VKT!$A$2:$G$415,7,0),"")</f>
        <v>700040</v>
      </c>
      <c r="X1948" s="564">
        <f t="shared" si="431"/>
        <v>31082000</v>
      </c>
      <c r="Y1948" s="650"/>
      <c r="Z1948" s="586"/>
      <c r="AA1948" s="742"/>
      <c r="AB1948" s="586"/>
      <c r="AC1948" s="586"/>
      <c r="AD1948" s="586"/>
      <c r="AE1948" s="586"/>
      <c r="AF1948" s="714"/>
      <c r="AG1948" s="570" t="str">
        <f>IF(AE1948&lt;&gt;0,VLOOKUP(AE1948,ODDS!$A$2:$C$13,3,0),"")</f>
        <v/>
      </c>
      <c r="AH1948" s="570" t="str">
        <f t="shared" si="428"/>
        <v xml:space="preserve"> </v>
      </c>
      <c r="AI1948" s="571" t="str">
        <f t="shared" si="434"/>
        <v xml:space="preserve"> </v>
      </c>
      <c r="AJ1948" s="586"/>
      <c r="AK1948" s="586"/>
    </row>
    <row r="1949" spans="1:37" s="394" customFormat="1" ht="60.75" outlineLevel="2" x14ac:dyDescent="0.3">
      <c r="A1949" s="447">
        <f t="shared" si="435"/>
        <v>165</v>
      </c>
      <c r="B1949" s="557"/>
      <c r="C1949" s="572"/>
      <c r="D1949" s="700"/>
      <c r="E1949" s="612"/>
      <c r="F1949" s="612"/>
      <c r="G1949" s="586"/>
      <c r="H1949" s="709"/>
      <c r="I1949" s="546"/>
      <c r="J1949" s="562"/>
      <c r="K1949" s="563" t="str">
        <f>IF(G1949&lt;&gt;0,VLOOKUP(G1949,'gia dat'!$A$1:$F$144,5,0)," ")</f>
        <v xml:space="preserve"> </v>
      </c>
      <c r="L1949" s="563" t="str">
        <f>IF(G1949&lt;&gt;0,VLOOKUP(G1949,'gia dat'!$A$1:$F$144,6,0)," ")</f>
        <v xml:space="preserve"> </v>
      </c>
      <c r="M1949" s="564" t="str">
        <f t="shared" si="424"/>
        <v xml:space="preserve"> </v>
      </c>
      <c r="N1949" s="564" t="str">
        <f t="shared" si="425"/>
        <v xml:space="preserve"> </v>
      </c>
      <c r="O1949" s="572"/>
      <c r="P1949" s="740"/>
      <c r="Q1949" s="564" t="str">
        <f>IF(O1949&lt;&gt;0,VLOOKUP(O1949,'Cây trong'!$A$2:$C$246,3,0)," ")</f>
        <v xml:space="preserve"> </v>
      </c>
      <c r="R1949" s="564" t="str">
        <f t="shared" si="427"/>
        <v xml:space="preserve"> </v>
      </c>
      <c r="S1949" s="566" t="s">
        <v>1962</v>
      </c>
      <c r="T1949" s="609" t="s">
        <v>1286</v>
      </c>
      <c r="U1949" s="741">
        <v>0.19800000000000001</v>
      </c>
      <c r="V1949" s="586"/>
      <c r="W1949" s="564">
        <f>IF(S1949&lt;&gt;0,VLOOKUP(S1949,VKT!$A$2:$G$415,7,0),"")</f>
        <v>0</v>
      </c>
      <c r="X1949" s="564">
        <f t="shared" si="431"/>
        <v>0</v>
      </c>
      <c r="Y1949" s="650"/>
      <c r="Z1949" s="586"/>
      <c r="AA1949" s="742"/>
      <c r="AB1949" s="586"/>
      <c r="AC1949" s="586"/>
      <c r="AD1949" s="586"/>
      <c r="AE1949" s="586"/>
      <c r="AF1949" s="714"/>
      <c r="AG1949" s="570" t="str">
        <f>IF(AE1949&lt;&gt;0,VLOOKUP(AE1949,ODDS!$A$2:$C$13,3,0),"")</f>
        <v/>
      </c>
      <c r="AH1949" s="570" t="str">
        <f t="shared" si="428"/>
        <v xml:space="preserve"> </v>
      </c>
      <c r="AI1949" s="571" t="str">
        <f t="shared" si="434"/>
        <v xml:space="preserve"> </v>
      </c>
      <c r="AJ1949" s="586"/>
      <c r="AK1949" s="586"/>
    </row>
    <row r="1950" spans="1:37" s="394" customFormat="1" ht="60.75" outlineLevel="2" x14ac:dyDescent="0.3">
      <c r="A1950" s="447">
        <f t="shared" si="435"/>
        <v>165</v>
      </c>
      <c r="B1950" s="557"/>
      <c r="C1950" s="572"/>
      <c r="D1950" s="700"/>
      <c r="E1950" s="612"/>
      <c r="F1950" s="612"/>
      <c r="G1950" s="586"/>
      <c r="H1950" s="709"/>
      <c r="I1950" s="546"/>
      <c r="J1950" s="562"/>
      <c r="K1950" s="563" t="str">
        <f>IF(G1950&lt;&gt;0,VLOOKUP(G1950,'gia dat'!$A$1:$F$144,5,0)," ")</f>
        <v xml:space="preserve"> </v>
      </c>
      <c r="L1950" s="563" t="str">
        <f>IF(G1950&lt;&gt;0,VLOOKUP(G1950,'gia dat'!$A$1:$F$144,6,0)," ")</f>
        <v xml:space="preserve"> </v>
      </c>
      <c r="M1950" s="564" t="str">
        <f t="shared" si="424"/>
        <v xml:space="preserve"> </v>
      </c>
      <c r="N1950" s="564" t="str">
        <f t="shared" si="425"/>
        <v xml:space="preserve"> </v>
      </c>
      <c r="O1950" s="572"/>
      <c r="P1950" s="740"/>
      <c r="Q1950" s="564" t="str">
        <f>IF(O1950&lt;&gt;0,VLOOKUP(O1950,'Cây trong'!$A$2:$C$246,3,0)," ")</f>
        <v xml:space="preserve"> </v>
      </c>
      <c r="R1950" s="564" t="str">
        <f t="shared" si="427"/>
        <v xml:space="preserve"> </v>
      </c>
      <c r="S1950" s="566" t="s">
        <v>1956</v>
      </c>
      <c r="T1950" s="609" t="s">
        <v>1286</v>
      </c>
      <c r="U1950" s="741">
        <v>0.26999999999999996</v>
      </c>
      <c r="V1950" s="586"/>
      <c r="W1950" s="564">
        <f>IF(S1950&lt;&gt;0,VLOOKUP(S1950,VKT!$A$2:$G$415,7,0),"")</f>
        <v>0</v>
      </c>
      <c r="X1950" s="564">
        <f t="shared" si="431"/>
        <v>0</v>
      </c>
      <c r="Y1950" s="650"/>
      <c r="Z1950" s="586"/>
      <c r="AA1950" s="742"/>
      <c r="AB1950" s="586"/>
      <c r="AC1950" s="586"/>
      <c r="AD1950" s="586"/>
      <c r="AE1950" s="586"/>
      <c r="AF1950" s="714"/>
      <c r="AG1950" s="570" t="str">
        <f>IF(AE1950&lt;&gt;0,VLOOKUP(AE1950,ODDS!$A$2:$C$13,3,0),"")</f>
        <v/>
      </c>
      <c r="AH1950" s="570" t="str">
        <f t="shared" si="428"/>
        <v xml:space="preserve"> </v>
      </c>
      <c r="AI1950" s="571" t="str">
        <f t="shared" si="434"/>
        <v xml:space="preserve"> </v>
      </c>
      <c r="AJ1950" s="586"/>
      <c r="AK1950" s="586"/>
    </row>
    <row r="1951" spans="1:37" s="394" customFormat="1" ht="60.75" outlineLevel="2" x14ac:dyDescent="0.3">
      <c r="A1951" s="447">
        <f t="shared" si="435"/>
        <v>165</v>
      </c>
      <c r="B1951" s="557"/>
      <c r="C1951" s="572"/>
      <c r="D1951" s="700"/>
      <c r="E1951" s="612"/>
      <c r="F1951" s="612"/>
      <c r="G1951" s="586"/>
      <c r="H1951" s="709"/>
      <c r="I1951" s="546"/>
      <c r="J1951" s="562"/>
      <c r="K1951" s="563" t="str">
        <f>IF(G1951&lt;&gt;0,VLOOKUP(G1951,'gia dat'!$A$1:$F$144,5,0)," ")</f>
        <v xml:space="preserve"> </v>
      </c>
      <c r="L1951" s="563" t="str">
        <f>IF(G1951&lt;&gt;0,VLOOKUP(G1951,'gia dat'!$A$1:$F$144,6,0)," ")</f>
        <v xml:space="preserve"> </v>
      </c>
      <c r="M1951" s="564" t="str">
        <f t="shared" si="424"/>
        <v xml:space="preserve"> </v>
      </c>
      <c r="N1951" s="564" t="str">
        <f t="shared" si="425"/>
        <v xml:space="preserve"> </v>
      </c>
      <c r="O1951" s="572"/>
      <c r="P1951" s="740"/>
      <c r="Q1951" s="564" t="str">
        <f>IF(O1951&lt;&gt;0,VLOOKUP(O1951,'Cây trong'!$A$2:$C$246,3,0)," ")</f>
        <v xml:space="preserve"> </v>
      </c>
      <c r="R1951" s="564" t="str">
        <f t="shared" si="427"/>
        <v xml:space="preserve"> </v>
      </c>
      <c r="S1951" s="566" t="s">
        <v>1963</v>
      </c>
      <c r="T1951" s="609" t="s">
        <v>93</v>
      </c>
      <c r="U1951" s="741">
        <v>1</v>
      </c>
      <c r="V1951" s="586"/>
      <c r="W1951" s="564">
        <f>IF(S1951&lt;&gt;0,VLOOKUP(S1951,VKT!$A$2:$G$415,7,0),"")</f>
        <v>0</v>
      </c>
      <c r="X1951" s="564">
        <f t="shared" si="431"/>
        <v>0</v>
      </c>
      <c r="Y1951" s="650"/>
      <c r="Z1951" s="586"/>
      <c r="AA1951" s="742"/>
      <c r="AB1951" s="586"/>
      <c r="AC1951" s="586"/>
      <c r="AD1951" s="586"/>
      <c r="AE1951" s="586"/>
      <c r="AF1951" s="714"/>
      <c r="AG1951" s="570" t="str">
        <f>IF(AE1951&lt;&gt;0,VLOOKUP(AE1951,ODDS!$A$2:$C$13,3,0),"")</f>
        <v/>
      </c>
      <c r="AH1951" s="570" t="str">
        <f t="shared" si="428"/>
        <v xml:space="preserve"> </v>
      </c>
      <c r="AI1951" s="571" t="str">
        <f t="shared" si="434"/>
        <v xml:space="preserve"> </v>
      </c>
      <c r="AJ1951" s="586"/>
      <c r="AK1951" s="586"/>
    </row>
    <row r="1952" spans="1:37" s="394" customFormat="1" ht="60.75" outlineLevel="2" x14ac:dyDescent="0.3">
      <c r="A1952" s="447">
        <f t="shared" si="435"/>
        <v>165</v>
      </c>
      <c r="B1952" s="557"/>
      <c r="C1952" s="572"/>
      <c r="D1952" s="700"/>
      <c r="E1952" s="612"/>
      <c r="F1952" s="612"/>
      <c r="G1952" s="586"/>
      <c r="H1952" s="709"/>
      <c r="I1952" s="546"/>
      <c r="J1952" s="562"/>
      <c r="K1952" s="563" t="str">
        <f>IF(G1952&lt;&gt;0,VLOOKUP(G1952,'gia dat'!$A$1:$F$144,5,0)," ")</f>
        <v xml:space="preserve"> </v>
      </c>
      <c r="L1952" s="563" t="str">
        <f>IF(G1952&lt;&gt;0,VLOOKUP(G1952,'gia dat'!$A$1:$F$144,6,0)," ")</f>
        <v xml:space="preserve"> </v>
      </c>
      <c r="M1952" s="564" t="str">
        <f t="shared" si="424"/>
        <v xml:space="preserve"> </v>
      </c>
      <c r="N1952" s="564" t="str">
        <f t="shared" si="425"/>
        <v xml:space="preserve"> </v>
      </c>
      <c r="O1952" s="572"/>
      <c r="P1952" s="740"/>
      <c r="Q1952" s="564" t="str">
        <f>IF(O1952&lt;&gt;0,VLOOKUP(O1952,'Cây trong'!$A$2:$C$246,3,0)," ")</f>
        <v xml:space="preserve"> </v>
      </c>
      <c r="R1952" s="564" t="str">
        <f t="shared" si="427"/>
        <v xml:space="preserve"> </v>
      </c>
      <c r="S1952" s="566" t="s">
        <v>1964</v>
      </c>
      <c r="T1952" s="609" t="s">
        <v>1133</v>
      </c>
      <c r="U1952" s="741">
        <v>34.339999999999996</v>
      </c>
      <c r="V1952" s="586"/>
      <c r="W1952" s="564">
        <f>IF(S1952&lt;&gt;0,VLOOKUP(S1952,VKT!$A$2:$G$415,7,0),"")</f>
        <v>0</v>
      </c>
      <c r="X1952" s="564">
        <f t="shared" si="431"/>
        <v>0</v>
      </c>
      <c r="Y1952" s="650"/>
      <c r="Z1952" s="586"/>
      <c r="AA1952" s="742"/>
      <c r="AB1952" s="586"/>
      <c r="AC1952" s="586"/>
      <c r="AD1952" s="586"/>
      <c r="AE1952" s="586"/>
      <c r="AF1952" s="714"/>
      <c r="AG1952" s="570" t="str">
        <f>IF(AE1952&lt;&gt;0,VLOOKUP(AE1952,ODDS!$A$2:$C$13,3,0),"")</f>
        <v/>
      </c>
      <c r="AH1952" s="570" t="str">
        <f t="shared" si="428"/>
        <v xml:space="preserve"> </v>
      </c>
      <c r="AI1952" s="571" t="str">
        <f t="shared" si="434"/>
        <v xml:space="preserve"> </v>
      </c>
      <c r="AJ1952" s="586"/>
      <c r="AK1952" s="586"/>
    </row>
    <row r="1953" spans="1:37" s="394" customFormat="1" ht="60.75" outlineLevel="2" x14ac:dyDescent="0.3">
      <c r="A1953" s="447">
        <f t="shared" si="435"/>
        <v>165</v>
      </c>
      <c r="B1953" s="557"/>
      <c r="C1953" s="572"/>
      <c r="D1953" s="700"/>
      <c r="E1953" s="612"/>
      <c r="F1953" s="612"/>
      <c r="G1953" s="586"/>
      <c r="H1953" s="709"/>
      <c r="I1953" s="546"/>
      <c r="J1953" s="562"/>
      <c r="K1953" s="563" t="str">
        <f>IF(G1953&lt;&gt;0,VLOOKUP(G1953,'gia dat'!$A$1:$F$144,5,0)," ")</f>
        <v xml:space="preserve"> </v>
      </c>
      <c r="L1953" s="563" t="str">
        <f>IF(G1953&lt;&gt;0,VLOOKUP(G1953,'gia dat'!$A$1:$F$144,6,0)," ")</f>
        <v xml:space="preserve"> </v>
      </c>
      <c r="M1953" s="564" t="str">
        <f t="shared" si="424"/>
        <v xml:space="preserve"> </v>
      </c>
      <c r="N1953" s="564" t="str">
        <f t="shared" si="425"/>
        <v xml:space="preserve"> </v>
      </c>
      <c r="O1953" s="572"/>
      <c r="P1953" s="740"/>
      <c r="Q1953" s="564" t="str">
        <f>IF(O1953&lt;&gt;0,VLOOKUP(O1953,'Cây trong'!$A$2:$C$246,3,0)," ")</f>
        <v xml:space="preserve"> </v>
      </c>
      <c r="R1953" s="564" t="str">
        <f t="shared" si="427"/>
        <v xml:space="preserve"> </v>
      </c>
      <c r="S1953" s="566" t="s">
        <v>1918</v>
      </c>
      <c r="T1953" s="609" t="s">
        <v>1133</v>
      </c>
      <c r="U1953" s="741">
        <v>11.729999999999999</v>
      </c>
      <c r="V1953" s="586"/>
      <c r="W1953" s="564">
        <f>IF(S1953&lt;&gt;0,VLOOKUP(S1953,VKT!$A$2:$G$415,7,0),"")</f>
        <v>0</v>
      </c>
      <c r="X1953" s="564">
        <f t="shared" si="431"/>
        <v>0</v>
      </c>
      <c r="Y1953" s="650"/>
      <c r="Z1953" s="586"/>
      <c r="AA1953" s="742"/>
      <c r="AB1953" s="586"/>
      <c r="AC1953" s="586"/>
      <c r="AD1953" s="586"/>
      <c r="AE1953" s="586"/>
      <c r="AF1953" s="714"/>
      <c r="AG1953" s="570" t="str">
        <f>IF(AE1953&lt;&gt;0,VLOOKUP(AE1953,ODDS!$A$2:$C$13,3,0),"")</f>
        <v/>
      </c>
      <c r="AH1953" s="570" t="str">
        <f t="shared" si="428"/>
        <v xml:space="preserve"> </v>
      </c>
      <c r="AI1953" s="571" t="str">
        <f t="shared" si="434"/>
        <v xml:space="preserve"> </v>
      </c>
      <c r="AJ1953" s="586"/>
      <c r="AK1953" s="586"/>
    </row>
    <row r="1954" spans="1:37" s="394" customFormat="1" ht="60.75" outlineLevel="2" x14ac:dyDescent="0.3">
      <c r="A1954" s="447">
        <f t="shared" si="435"/>
        <v>165</v>
      </c>
      <c r="B1954" s="557"/>
      <c r="C1954" s="572"/>
      <c r="D1954" s="700"/>
      <c r="E1954" s="612"/>
      <c r="F1954" s="612"/>
      <c r="G1954" s="586"/>
      <c r="H1954" s="709"/>
      <c r="I1954" s="546"/>
      <c r="J1954" s="562"/>
      <c r="K1954" s="563" t="str">
        <f>IF(G1954&lt;&gt;0,VLOOKUP(G1954,'gia dat'!$A$1:$F$144,5,0)," ")</f>
        <v xml:space="preserve"> </v>
      </c>
      <c r="L1954" s="563" t="str">
        <f>IF(G1954&lt;&gt;0,VLOOKUP(G1954,'gia dat'!$A$1:$F$144,6,0)," ")</f>
        <v xml:space="preserve"> </v>
      </c>
      <c r="M1954" s="564" t="str">
        <f t="shared" si="424"/>
        <v xml:space="preserve"> </v>
      </c>
      <c r="N1954" s="564" t="str">
        <f t="shared" si="425"/>
        <v xml:space="preserve"> </v>
      </c>
      <c r="O1954" s="572"/>
      <c r="P1954" s="740"/>
      <c r="Q1954" s="564" t="str">
        <f>IF(O1954&lt;&gt;0,VLOOKUP(O1954,'Cây trong'!$A$2:$C$246,3,0)," ")</f>
        <v xml:space="preserve"> </v>
      </c>
      <c r="R1954" s="564" t="str">
        <f t="shared" si="427"/>
        <v xml:space="preserve"> </v>
      </c>
      <c r="S1954" s="566" t="s">
        <v>1965</v>
      </c>
      <c r="T1954" s="609" t="s">
        <v>1133</v>
      </c>
      <c r="U1954" s="741">
        <v>2.16</v>
      </c>
      <c r="V1954" s="586"/>
      <c r="W1954" s="564">
        <f>IF(S1954&lt;&gt;0,VLOOKUP(S1954,VKT!$A$2:$G$415,7,0),"")</f>
        <v>0</v>
      </c>
      <c r="X1954" s="564">
        <f t="shared" si="431"/>
        <v>0</v>
      </c>
      <c r="Y1954" s="650"/>
      <c r="Z1954" s="586"/>
      <c r="AA1954" s="742"/>
      <c r="AB1954" s="586"/>
      <c r="AC1954" s="586"/>
      <c r="AD1954" s="586"/>
      <c r="AE1954" s="586"/>
      <c r="AF1954" s="714"/>
      <c r="AG1954" s="570" t="str">
        <f>IF(AE1954&lt;&gt;0,VLOOKUP(AE1954,ODDS!$A$2:$C$13,3,0),"")</f>
        <v/>
      </c>
      <c r="AH1954" s="570" t="str">
        <f t="shared" si="428"/>
        <v xml:space="preserve"> </v>
      </c>
      <c r="AI1954" s="571" t="str">
        <f t="shared" si="434"/>
        <v xml:space="preserve"> </v>
      </c>
      <c r="AJ1954" s="586"/>
      <c r="AK1954" s="586"/>
    </row>
    <row r="1955" spans="1:37" s="394" customFormat="1" ht="20.25" outlineLevel="2" x14ac:dyDescent="0.3">
      <c r="A1955" s="447">
        <f t="shared" si="435"/>
        <v>165</v>
      </c>
      <c r="B1955" s="557"/>
      <c r="C1955" s="572"/>
      <c r="D1955" s="700"/>
      <c r="E1955" s="612"/>
      <c r="F1955" s="612"/>
      <c r="G1955" s="586"/>
      <c r="H1955" s="709"/>
      <c r="I1955" s="546"/>
      <c r="J1955" s="562"/>
      <c r="K1955" s="563" t="str">
        <f>IF(G1955&lt;&gt;0,VLOOKUP(G1955,'gia dat'!$A$1:$F$144,5,0)," ")</f>
        <v xml:space="preserve"> </v>
      </c>
      <c r="L1955" s="563" t="str">
        <f>IF(G1955&lt;&gt;0,VLOOKUP(G1955,'gia dat'!$A$1:$F$144,6,0)," ")</f>
        <v xml:space="preserve"> </v>
      </c>
      <c r="M1955" s="564" t="str">
        <f t="shared" si="424"/>
        <v xml:space="preserve"> </v>
      </c>
      <c r="N1955" s="564" t="str">
        <f t="shared" si="425"/>
        <v xml:space="preserve"> </v>
      </c>
      <c r="O1955" s="572"/>
      <c r="P1955" s="740"/>
      <c r="Q1955" s="564" t="str">
        <f>IF(O1955&lt;&gt;0,VLOOKUP(O1955,'Cây trong'!$A$2:$C$246,3,0)," ")</f>
        <v xml:space="preserve"> </v>
      </c>
      <c r="R1955" s="564" t="str">
        <f t="shared" si="427"/>
        <v xml:space="preserve"> </v>
      </c>
      <c r="S1955" s="566"/>
      <c r="T1955" s="609"/>
      <c r="U1955" s="741"/>
      <c r="V1955" s="586"/>
      <c r="W1955" s="564" t="str">
        <f>IF(S1955&lt;&gt;0,VLOOKUP(S1955,VKT!$A$2:$G$415,7,0),"")</f>
        <v/>
      </c>
      <c r="X1955" s="564" t="str">
        <f t="shared" si="431"/>
        <v xml:space="preserve"> </v>
      </c>
      <c r="Y1955" s="650"/>
      <c r="Z1955" s="586"/>
      <c r="AA1955" s="742"/>
      <c r="AB1955" s="586"/>
      <c r="AC1955" s="586"/>
      <c r="AD1955" s="586"/>
      <c r="AE1955" s="586"/>
      <c r="AF1955" s="714"/>
      <c r="AG1955" s="570" t="str">
        <f>IF(AE1955&lt;&gt;0,VLOOKUP(AE1955,ODDS!$A$2:$C$13,3,0),"")</f>
        <v/>
      </c>
      <c r="AH1955" s="570" t="str">
        <f t="shared" si="428"/>
        <v xml:space="preserve"> </v>
      </c>
      <c r="AI1955" s="571" t="str">
        <f t="shared" si="434"/>
        <v xml:space="preserve"> </v>
      </c>
      <c r="AJ1955" s="586"/>
      <c r="AK1955" s="586"/>
    </row>
    <row r="1956" spans="1:37" s="394" customFormat="1" ht="20.25" outlineLevel="2" x14ac:dyDescent="0.3">
      <c r="A1956" s="447">
        <f t="shared" si="435"/>
        <v>165</v>
      </c>
      <c r="B1956" s="557"/>
      <c r="C1956" s="572"/>
      <c r="D1956" s="700"/>
      <c r="E1956" s="612"/>
      <c r="F1956" s="612"/>
      <c r="G1956" s="586"/>
      <c r="H1956" s="709"/>
      <c r="I1956" s="546"/>
      <c r="J1956" s="562"/>
      <c r="K1956" s="563" t="str">
        <f>IF(G1956&lt;&gt;0,VLOOKUP(G1956,'gia dat'!$A$1:$F$144,5,0)," ")</f>
        <v xml:space="preserve"> </v>
      </c>
      <c r="L1956" s="563" t="str">
        <f>IF(G1956&lt;&gt;0,VLOOKUP(G1956,'gia dat'!$A$1:$F$144,6,0)," ")</f>
        <v xml:space="preserve"> </v>
      </c>
      <c r="M1956" s="564" t="str">
        <f t="shared" si="424"/>
        <v xml:space="preserve"> </v>
      </c>
      <c r="N1956" s="564" t="str">
        <f t="shared" si="425"/>
        <v xml:space="preserve"> </v>
      </c>
      <c r="O1956" s="572"/>
      <c r="P1956" s="740"/>
      <c r="Q1956" s="564" t="str">
        <f>IF(O1956&lt;&gt;0,VLOOKUP(O1956,'Cây trong'!$A$2:$C$246,3,0)," ")</f>
        <v xml:space="preserve"> </v>
      </c>
      <c r="R1956" s="564" t="str">
        <f t="shared" si="427"/>
        <v xml:space="preserve"> </v>
      </c>
      <c r="S1956" s="566"/>
      <c r="T1956" s="609"/>
      <c r="U1956" s="741"/>
      <c r="V1956" s="586"/>
      <c r="W1956" s="564" t="str">
        <f>IF(S1956&lt;&gt;0,VLOOKUP(S1956,VKT!$A$2:$G$415,7,0),"")</f>
        <v/>
      </c>
      <c r="X1956" s="564" t="str">
        <f t="shared" si="431"/>
        <v xml:space="preserve"> </v>
      </c>
      <c r="Y1956" s="650"/>
      <c r="Z1956" s="586"/>
      <c r="AA1956" s="742"/>
      <c r="AB1956" s="586"/>
      <c r="AC1956" s="586"/>
      <c r="AD1956" s="586"/>
      <c r="AE1956" s="586"/>
      <c r="AF1956" s="714"/>
      <c r="AG1956" s="570" t="str">
        <f>IF(AE1956&lt;&gt;0,VLOOKUP(AE1956,ODDS!$A$2:$C$13,3,0),"")</f>
        <v/>
      </c>
      <c r="AH1956" s="570" t="str">
        <f t="shared" si="428"/>
        <v xml:space="preserve"> </v>
      </c>
      <c r="AI1956" s="571" t="str">
        <f t="shared" si="434"/>
        <v xml:space="preserve"> </v>
      </c>
      <c r="AJ1956" s="586"/>
      <c r="AK1956" s="586"/>
    </row>
    <row r="1957" spans="1:37" s="394" customFormat="1" ht="20.25" outlineLevel="2" x14ac:dyDescent="0.3">
      <c r="A1957" s="447">
        <f t="shared" si="435"/>
        <v>165</v>
      </c>
      <c r="B1957" s="557"/>
      <c r="C1957" s="572"/>
      <c r="D1957" s="700"/>
      <c r="E1957" s="612"/>
      <c r="F1957" s="612"/>
      <c r="G1957" s="586"/>
      <c r="H1957" s="709"/>
      <c r="I1957" s="546"/>
      <c r="J1957" s="562"/>
      <c r="K1957" s="563" t="str">
        <f>IF(G1957&lt;&gt;0,VLOOKUP(G1957,'gia dat'!$A$1:$F$144,5,0)," ")</f>
        <v xml:space="preserve"> </v>
      </c>
      <c r="L1957" s="563" t="str">
        <f>IF(G1957&lt;&gt;0,VLOOKUP(G1957,'gia dat'!$A$1:$F$144,6,0)," ")</f>
        <v xml:space="preserve"> </v>
      </c>
      <c r="M1957" s="564" t="str">
        <f t="shared" si="424"/>
        <v xml:space="preserve"> </v>
      </c>
      <c r="N1957" s="564" t="str">
        <f t="shared" si="425"/>
        <v xml:space="preserve"> </v>
      </c>
      <c r="O1957" s="572"/>
      <c r="P1957" s="740"/>
      <c r="Q1957" s="564" t="str">
        <f>IF(O1957&lt;&gt;0,VLOOKUP(O1957,'Cây trong'!$A$2:$C$246,3,0)," ")</f>
        <v xml:space="preserve"> </v>
      </c>
      <c r="R1957" s="564" t="str">
        <f t="shared" si="427"/>
        <v xml:space="preserve"> </v>
      </c>
      <c r="S1957" s="566"/>
      <c r="T1957" s="609"/>
      <c r="U1957" s="741"/>
      <c r="V1957" s="586"/>
      <c r="W1957" s="564" t="str">
        <f>IF(S1957&lt;&gt;0,VLOOKUP(S1957,VKT!$A$2:$G$415,7,0),"")</f>
        <v/>
      </c>
      <c r="X1957" s="564" t="str">
        <f t="shared" si="431"/>
        <v xml:space="preserve"> </v>
      </c>
      <c r="Y1957" s="650"/>
      <c r="Z1957" s="586"/>
      <c r="AA1957" s="742"/>
      <c r="AB1957" s="586"/>
      <c r="AC1957" s="586"/>
      <c r="AD1957" s="586"/>
      <c r="AE1957" s="586"/>
      <c r="AF1957" s="714"/>
      <c r="AG1957" s="570" t="str">
        <f>IF(AE1957&lt;&gt;0,VLOOKUP(AE1957,ODDS!$A$2:$C$13,3,0),"")</f>
        <v/>
      </c>
      <c r="AH1957" s="570" t="str">
        <f t="shared" si="428"/>
        <v xml:space="preserve"> </v>
      </c>
      <c r="AI1957" s="571" t="str">
        <f t="shared" si="434"/>
        <v xml:space="preserve"> </v>
      </c>
      <c r="AJ1957" s="586"/>
      <c r="AK1957" s="586"/>
    </row>
    <row r="1958" spans="1:37" s="394" customFormat="1" ht="20.25" outlineLevel="2" x14ac:dyDescent="0.3">
      <c r="A1958" s="447">
        <f t="shared" si="435"/>
        <v>165</v>
      </c>
      <c r="B1958" s="557"/>
      <c r="C1958" s="607"/>
      <c r="D1958" s="700"/>
      <c r="E1958" s="612"/>
      <c r="F1958" s="612"/>
      <c r="G1958" s="586"/>
      <c r="H1958" s="709"/>
      <c r="I1958" s="546"/>
      <c r="J1958" s="562"/>
      <c r="K1958" s="563" t="str">
        <f>IF(G1958&lt;&gt;0,VLOOKUP(G1958,'gia dat'!$A$1:$F$144,5,0)," ")</f>
        <v xml:space="preserve"> </v>
      </c>
      <c r="L1958" s="563" t="str">
        <f>IF(G1958&lt;&gt;0,VLOOKUP(G1958,'gia dat'!$A$1:$F$144,6,0)," ")</f>
        <v xml:space="preserve"> </v>
      </c>
      <c r="M1958" s="564" t="str">
        <f t="shared" si="424"/>
        <v xml:space="preserve"> </v>
      </c>
      <c r="N1958" s="564" t="str">
        <f t="shared" si="425"/>
        <v xml:space="preserve"> </v>
      </c>
      <c r="O1958" s="572"/>
      <c r="P1958" s="740"/>
      <c r="Q1958" s="564" t="str">
        <f>IF(O1958&lt;&gt;0,VLOOKUP(O1958,'Cây trong'!$A$2:$C$246,3,0)," ")</f>
        <v xml:space="preserve"> </v>
      </c>
      <c r="R1958" s="564" t="str">
        <f t="shared" si="427"/>
        <v xml:space="preserve"> </v>
      </c>
      <c r="S1958" s="566"/>
      <c r="T1958" s="609"/>
      <c r="U1958" s="741"/>
      <c r="V1958" s="586"/>
      <c r="W1958" s="564" t="str">
        <f>IF(S1958&lt;&gt;0,VLOOKUP(S1958,VKT!$A$2:$G$415,7,0),"")</f>
        <v/>
      </c>
      <c r="X1958" s="564" t="str">
        <f t="shared" si="431"/>
        <v xml:space="preserve"> </v>
      </c>
      <c r="Y1958" s="650"/>
      <c r="Z1958" s="586"/>
      <c r="AA1958" s="742"/>
      <c r="AB1958" s="586"/>
      <c r="AC1958" s="586"/>
      <c r="AD1958" s="586"/>
      <c r="AE1958" s="586"/>
      <c r="AF1958" s="714"/>
      <c r="AG1958" s="570" t="str">
        <f>IF(AE1958&lt;&gt;0,VLOOKUP(AE1958,ODDS!$A$2:$C$13,3,0),"")</f>
        <v/>
      </c>
      <c r="AH1958" s="570" t="str">
        <f t="shared" si="428"/>
        <v xml:space="preserve"> </v>
      </c>
      <c r="AI1958" s="571" t="str">
        <f t="shared" si="434"/>
        <v xml:space="preserve"> </v>
      </c>
      <c r="AJ1958" s="586"/>
      <c r="AK1958" s="586"/>
    </row>
    <row r="1959" spans="1:37" s="810" customFormat="1" ht="54" customHeight="1" outlineLevel="1" x14ac:dyDescent="0.25">
      <c r="A1959" s="784" t="s">
        <v>2544</v>
      </c>
      <c r="B1959" s="785">
        <v>166</v>
      </c>
      <c r="C1959" s="786" t="s">
        <v>1358</v>
      </c>
      <c r="D1959" s="787"/>
      <c r="E1959" s="788"/>
      <c r="F1959" s="788"/>
      <c r="G1959" s="789"/>
      <c r="H1959" s="790">
        <f>SUBTOTAL(9,H1960:H1966)</f>
        <v>95</v>
      </c>
      <c r="I1959" s="791">
        <f>SUBTOTAL(9,I1960:I1965)</f>
        <v>0</v>
      </c>
      <c r="J1959" s="792"/>
      <c r="K1959" s="793"/>
      <c r="L1959" s="793"/>
      <c r="M1959" s="794">
        <f>SUBTOTAL(9,M1960:M1966)</f>
        <v>689759000</v>
      </c>
      <c r="N1959" s="794">
        <f>SUBTOTAL(9,N1960:N1966)</f>
        <v>0</v>
      </c>
      <c r="O1959" s="786"/>
      <c r="P1959" s="795">
        <f>SUBTOTAL(9,P1960:P1966)</f>
        <v>0</v>
      </c>
      <c r="Q1959" s="794"/>
      <c r="R1959" s="794">
        <f>SUBTOTAL(9,R1960:R1966)</f>
        <v>0</v>
      </c>
      <c r="S1959" s="796"/>
      <c r="T1959" s="797"/>
      <c r="U1959" s="798">
        <f>SUBTOTAL(9,U1960:U1966)</f>
        <v>109.8</v>
      </c>
      <c r="V1959" s="789"/>
      <c r="W1959" s="794"/>
      <c r="X1959" s="794">
        <f>SUBTOTAL(9,X1960:X1966)</f>
        <v>360340000</v>
      </c>
      <c r="Y1959" s="811"/>
      <c r="Z1959" s="812"/>
      <c r="AA1959" s="812"/>
      <c r="AB1959" s="813"/>
      <c r="AC1959" s="812"/>
      <c r="AD1959" s="812"/>
      <c r="AE1959" s="814"/>
      <c r="AF1959" s="815">
        <f>SUBTOTAL(9,AF1960:AF1966)</f>
        <v>2</v>
      </c>
      <c r="AG1959" s="803"/>
      <c r="AH1959" s="803">
        <f>SUBTOTAL(9,AH1960:AH1966)</f>
        <v>18000000</v>
      </c>
      <c r="AI1959" s="794">
        <f t="shared" si="434"/>
        <v>1068099000</v>
      </c>
      <c r="AJ1959" s="789"/>
      <c r="AK1959" s="789"/>
    </row>
    <row r="1960" spans="1:37" s="394" customFormat="1" ht="121.5" outlineLevel="2" x14ac:dyDescent="0.3">
      <c r="A1960" s="447">
        <f>IF(B1959&lt;&gt;0,B1959,A1958)</f>
        <v>166</v>
      </c>
      <c r="B1960" s="557"/>
      <c r="C1960" s="572" t="s">
        <v>1360</v>
      </c>
      <c r="D1960" s="700">
        <v>6</v>
      </c>
      <c r="E1960" s="612">
        <v>86</v>
      </c>
      <c r="F1960" s="612">
        <v>220</v>
      </c>
      <c r="G1960" s="782" t="s">
        <v>2049</v>
      </c>
      <c r="H1960" s="783">
        <v>95</v>
      </c>
      <c r="I1960" s="546" t="str">
        <f t="shared" ref="I1960" si="436">IF(N1960&gt;0,H1960,"")</f>
        <v/>
      </c>
      <c r="J1960" s="562"/>
      <c r="K1960" s="563">
        <f>IF(G1960&lt;&gt;0,VLOOKUP(G1960,'gia dat'!$A$1:$F$144,5,0)," ")</f>
        <v>7260624</v>
      </c>
      <c r="L1960" s="563">
        <f>IF(G1960&lt;&gt;0,VLOOKUP(G1960,'gia dat'!$A$1:$F$144,6,0)," ")</f>
        <v>0</v>
      </c>
      <c r="M1960" s="564">
        <f t="shared" si="424"/>
        <v>689759000</v>
      </c>
      <c r="N1960" s="564">
        <f t="shared" si="425"/>
        <v>0</v>
      </c>
      <c r="O1960" s="572"/>
      <c r="P1960" s="740"/>
      <c r="Q1960" s="564" t="str">
        <f>IF(O1960&lt;&gt;0,VLOOKUP(O1960,'Cây trong'!$A$2:$C$246,3,0)," ")</f>
        <v xml:space="preserve"> </v>
      </c>
      <c r="R1960" s="564" t="str">
        <f t="shared" si="427"/>
        <v xml:space="preserve"> </v>
      </c>
      <c r="S1960" s="566" t="s">
        <v>1838</v>
      </c>
      <c r="T1960" s="609" t="s">
        <v>1133</v>
      </c>
      <c r="U1960" s="741">
        <v>87.36</v>
      </c>
      <c r="V1960" s="586"/>
      <c r="W1960" s="564">
        <f>IF(S1960&lt;&gt;0,VLOOKUP(S1960,VKT!$A$2:$G$415,7,0),"")</f>
        <v>3156089</v>
      </c>
      <c r="X1960" s="564">
        <f t="shared" si="431"/>
        <v>275716000</v>
      </c>
      <c r="Y1960" s="661" t="s">
        <v>1138</v>
      </c>
      <c r="Z1960" s="683" t="s">
        <v>1139</v>
      </c>
      <c r="AA1960" s="683" t="s">
        <v>56</v>
      </c>
      <c r="AB1960" s="694" t="s">
        <v>269</v>
      </c>
      <c r="AC1960" s="683" t="s">
        <v>1138</v>
      </c>
      <c r="AD1960" s="683"/>
      <c r="AE1960" s="694" t="s">
        <v>2137</v>
      </c>
      <c r="AF1960" s="590">
        <v>1</v>
      </c>
      <c r="AG1960" s="570">
        <f>IF(AE1960&lt;&gt;0,VLOOKUP(AE1960,ODDS!$A$2:$C$13,3,0),"")</f>
        <v>5000000</v>
      </c>
      <c r="AH1960" s="570">
        <f t="shared" si="428"/>
        <v>5000000</v>
      </c>
      <c r="AI1960" s="571" t="str">
        <f t="shared" si="434"/>
        <v xml:space="preserve"> </v>
      </c>
      <c r="AJ1960" s="586" t="s">
        <v>1359</v>
      </c>
      <c r="AK1960" s="586" t="s">
        <v>2771</v>
      </c>
    </row>
    <row r="1961" spans="1:37" s="394" customFormat="1" ht="121.5" outlineLevel="2" x14ac:dyDescent="0.3">
      <c r="A1961" s="447">
        <f t="shared" ref="A1961:A1966" si="437">IF(B1960&lt;&gt;0,B1960,A1960)</f>
        <v>166</v>
      </c>
      <c r="B1961" s="557"/>
      <c r="C1961" s="572" t="s">
        <v>1620</v>
      </c>
      <c r="D1961" s="700"/>
      <c r="E1961" s="612"/>
      <c r="F1961" s="612"/>
      <c r="G1961" s="586"/>
      <c r="H1961" s="709"/>
      <c r="I1961" s="546"/>
      <c r="J1961" s="562"/>
      <c r="K1961" s="563" t="str">
        <f>IF(G1961&lt;&gt;0,VLOOKUP(G1961,'gia dat'!$A$1:$F$144,5,0)," ")</f>
        <v xml:space="preserve"> </v>
      </c>
      <c r="L1961" s="563" t="str">
        <f>IF(G1961&lt;&gt;0,VLOOKUP(G1961,'gia dat'!$A$1:$F$144,6,0)," ")</f>
        <v xml:space="preserve"> </v>
      </c>
      <c r="M1961" s="564" t="str">
        <f t="shared" si="424"/>
        <v xml:space="preserve"> </v>
      </c>
      <c r="N1961" s="564" t="str">
        <f t="shared" si="425"/>
        <v xml:space="preserve"> </v>
      </c>
      <c r="O1961" s="572"/>
      <c r="P1961" s="740"/>
      <c r="Q1961" s="564" t="str">
        <f>IF(O1961&lt;&gt;0,VLOOKUP(O1961,'Cây trong'!$A$2:$C$246,3,0)," ")</f>
        <v xml:space="preserve"> </v>
      </c>
      <c r="R1961" s="564" t="str">
        <f t="shared" si="427"/>
        <v xml:space="preserve"> </v>
      </c>
      <c r="S1961" s="566" t="s">
        <v>2385</v>
      </c>
      <c r="T1961" s="609" t="s">
        <v>1133</v>
      </c>
      <c r="U1961" s="741">
        <v>8.64</v>
      </c>
      <c r="V1961" s="586"/>
      <c r="W1961" s="564">
        <f>IF(S1961&lt;&gt;0,VLOOKUP(S1961,VKT!$A$2:$G$415,7,0),"")</f>
        <v>9028527</v>
      </c>
      <c r="X1961" s="564">
        <f t="shared" si="431"/>
        <v>78006000</v>
      </c>
      <c r="Y1961" s="650"/>
      <c r="Z1961" s="586"/>
      <c r="AA1961" s="742"/>
      <c r="AB1961" s="586"/>
      <c r="AC1961" s="586"/>
      <c r="AD1961" s="586"/>
      <c r="AE1961" s="569"/>
      <c r="AF1961" s="563"/>
      <c r="AG1961" s="570"/>
      <c r="AH1961" s="570"/>
      <c r="AI1961" s="571" t="str">
        <f t="shared" si="434"/>
        <v xml:space="preserve"> </v>
      </c>
      <c r="AJ1961" s="586" t="s">
        <v>1362</v>
      </c>
      <c r="AK1961" s="558" t="s">
        <v>2450</v>
      </c>
    </row>
    <row r="1962" spans="1:37" s="394" customFormat="1" ht="101.25" outlineLevel="2" x14ac:dyDescent="0.3">
      <c r="A1962" s="447">
        <f t="shared" si="437"/>
        <v>166</v>
      </c>
      <c r="B1962" s="557"/>
      <c r="C1962" s="572"/>
      <c r="D1962" s="700"/>
      <c r="E1962" s="612"/>
      <c r="F1962" s="612"/>
      <c r="G1962" s="586"/>
      <c r="H1962" s="709"/>
      <c r="I1962" s="546"/>
      <c r="J1962" s="562"/>
      <c r="K1962" s="563" t="str">
        <f>IF(G1962&lt;&gt;0,VLOOKUP(G1962,'gia dat'!$A$1:$F$144,5,0)," ")</f>
        <v xml:space="preserve"> </v>
      </c>
      <c r="L1962" s="563" t="str">
        <f>IF(G1962&lt;&gt;0,VLOOKUP(G1962,'gia dat'!$A$1:$F$144,6,0)," ")</f>
        <v xml:space="preserve"> </v>
      </c>
      <c r="M1962" s="564" t="str">
        <f t="shared" si="424"/>
        <v xml:space="preserve"> </v>
      </c>
      <c r="N1962" s="564" t="str">
        <f t="shared" si="425"/>
        <v xml:space="preserve"> </v>
      </c>
      <c r="O1962" s="572"/>
      <c r="P1962" s="740"/>
      <c r="Q1962" s="564" t="str">
        <f>IF(O1962&lt;&gt;0,VLOOKUP(O1962,'Cây trong'!$A$2:$C$246,3,0)," ")</f>
        <v xml:space="preserve"> </v>
      </c>
      <c r="R1962" s="564" t="str">
        <f t="shared" si="427"/>
        <v xml:space="preserve"> </v>
      </c>
      <c r="S1962" s="572" t="s">
        <v>1945</v>
      </c>
      <c r="T1962" s="609" t="s">
        <v>1133</v>
      </c>
      <c r="U1962" s="741">
        <v>5.7</v>
      </c>
      <c r="V1962" s="586"/>
      <c r="W1962" s="564">
        <f>IF(S1962&lt;&gt;0,VLOOKUP(S1962,VKT!$A$2:$G$415,7,0),"")</f>
        <v>770070</v>
      </c>
      <c r="X1962" s="564">
        <f t="shared" si="431"/>
        <v>4389000</v>
      </c>
      <c r="Y1962" s="650"/>
      <c r="Z1962" s="586"/>
      <c r="AA1962" s="742"/>
      <c r="AB1962" s="586"/>
      <c r="AC1962" s="586"/>
      <c r="AD1962" s="586"/>
      <c r="AE1962" s="569" t="s">
        <v>2789</v>
      </c>
      <c r="AF1962" s="590">
        <v>1</v>
      </c>
      <c r="AG1962" s="570">
        <f>IF(AE1962&lt;&gt;0,VLOOKUP(AE1962,ODDS!$A$2:$C$13,3,0),"")</f>
        <v>13000000</v>
      </c>
      <c r="AH1962" s="570">
        <f t="shared" si="428"/>
        <v>13000000</v>
      </c>
      <c r="AI1962" s="571" t="str">
        <f t="shared" si="434"/>
        <v xml:space="preserve"> </v>
      </c>
      <c r="AJ1962" s="586" t="s">
        <v>1199</v>
      </c>
      <c r="AK1962" s="586" t="s">
        <v>2447</v>
      </c>
    </row>
    <row r="1963" spans="1:37" s="394" customFormat="1" ht="81" outlineLevel="2" x14ac:dyDescent="0.3">
      <c r="A1963" s="447">
        <f t="shared" si="437"/>
        <v>166</v>
      </c>
      <c r="B1963" s="557"/>
      <c r="C1963" s="572"/>
      <c r="D1963" s="700"/>
      <c r="E1963" s="612"/>
      <c r="F1963" s="612"/>
      <c r="G1963" s="586"/>
      <c r="H1963" s="709"/>
      <c r="I1963" s="546"/>
      <c r="J1963" s="558"/>
      <c r="K1963" s="563" t="str">
        <f>IF(G1963&lt;&gt;0,VLOOKUP(G1963,'gia dat'!$A$1:$F$144,5,0)," ")</f>
        <v xml:space="preserve"> </v>
      </c>
      <c r="L1963" s="563" t="str">
        <f>IF(G1963&lt;&gt;0,VLOOKUP(G1963,'gia dat'!$A$1:$F$144,6,0)," ")</f>
        <v xml:space="preserve"> </v>
      </c>
      <c r="M1963" s="564" t="str">
        <f t="shared" si="424"/>
        <v xml:space="preserve"> </v>
      </c>
      <c r="N1963" s="564" t="str">
        <f t="shared" si="425"/>
        <v xml:space="preserve"> </v>
      </c>
      <c r="O1963" s="572"/>
      <c r="P1963" s="740"/>
      <c r="Q1963" s="564" t="str">
        <f>IF(O1963&lt;&gt;0,VLOOKUP(O1963,'Cây trong'!$A$2:$C$246,3,0)," ")</f>
        <v xml:space="preserve"> </v>
      </c>
      <c r="R1963" s="564" t="str">
        <f t="shared" si="427"/>
        <v xml:space="preserve"> </v>
      </c>
      <c r="S1963" s="572" t="s">
        <v>1799</v>
      </c>
      <c r="T1963" s="609" t="s">
        <v>1133</v>
      </c>
      <c r="U1963" s="741">
        <v>8.1</v>
      </c>
      <c r="V1963" s="586"/>
      <c r="W1963" s="564">
        <f>IF(S1963&lt;&gt;0,VLOOKUP(S1963,VKT!$A$2:$G$415,7,0),"")</f>
        <v>275180</v>
      </c>
      <c r="X1963" s="564">
        <f t="shared" si="431"/>
        <v>2229000</v>
      </c>
      <c r="Y1963" s="650"/>
      <c r="Z1963" s="586"/>
      <c r="AA1963" s="742"/>
      <c r="AB1963" s="586"/>
      <c r="AC1963" s="586"/>
      <c r="AD1963" s="586"/>
      <c r="AE1963" s="606"/>
      <c r="AF1963" s="590"/>
      <c r="AG1963" s="570" t="str">
        <f>IF(AE1963&lt;&gt;0,VLOOKUP(AE1963,ODDS!$A$2:$C$13,3,0),"")</f>
        <v/>
      </c>
      <c r="AH1963" s="570" t="str">
        <f t="shared" si="428"/>
        <v xml:space="preserve"> </v>
      </c>
      <c r="AI1963" s="571" t="str">
        <f t="shared" si="434"/>
        <v xml:space="preserve"> </v>
      </c>
      <c r="AJ1963" s="586"/>
      <c r="AK1963" s="586" t="s">
        <v>2451</v>
      </c>
    </row>
    <row r="1964" spans="1:37" s="394" customFormat="1" ht="101.25" outlineLevel="2" x14ac:dyDescent="0.3">
      <c r="A1964" s="447">
        <f t="shared" si="437"/>
        <v>166</v>
      </c>
      <c r="B1964" s="557"/>
      <c r="C1964" s="572"/>
      <c r="D1964" s="700"/>
      <c r="E1964" s="612"/>
      <c r="F1964" s="612"/>
      <c r="G1964" s="586"/>
      <c r="H1964" s="709"/>
      <c r="I1964" s="546"/>
      <c r="J1964" s="558"/>
      <c r="K1964" s="563" t="str">
        <f>IF(G1964&lt;&gt;0,VLOOKUP(G1964,'gia dat'!$A$1:$F$144,5,0)," ")</f>
        <v xml:space="preserve"> </v>
      </c>
      <c r="L1964" s="563" t="str">
        <f>IF(G1964&lt;&gt;0,VLOOKUP(G1964,'gia dat'!$A$1:$F$144,6,0)," ")</f>
        <v xml:space="preserve"> </v>
      </c>
      <c r="M1964" s="564" t="str">
        <f t="shared" si="424"/>
        <v xml:space="preserve"> </v>
      </c>
      <c r="N1964" s="564" t="str">
        <f t="shared" si="425"/>
        <v xml:space="preserve"> </v>
      </c>
      <c r="O1964" s="572"/>
      <c r="P1964" s="740"/>
      <c r="Q1964" s="564" t="str">
        <f>IF(O1964&lt;&gt;0,VLOOKUP(O1964,'Cây trong'!$A$2:$C$246,3,0)," ")</f>
        <v xml:space="preserve"> </v>
      </c>
      <c r="R1964" s="564" t="str">
        <f t="shared" si="427"/>
        <v xml:space="preserve"> </v>
      </c>
      <c r="S1964" s="572"/>
      <c r="T1964" s="609"/>
      <c r="U1964" s="741"/>
      <c r="V1964" s="586"/>
      <c r="W1964" s="564" t="str">
        <f>IF(S1964&lt;&gt;0,VLOOKUP(S1964,VKT!$A$2:$G$415,7,0),"")</f>
        <v/>
      </c>
      <c r="X1964" s="564" t="str">
        <f t="shared" si="431"/>
        <v xml:space="preserve"> </v>
      </c>
      <c r="Y1964" s="650"/>
      <c r="Z1964" s="586"/>
      <c r="AA1964" s="742"/>
      <c r="AB1964" s="586"/>
      <c r="AC1964" s="586"/>
      <c r="AD1964" s="586"/>
      <c r="AE1964" s="586"/>
      <c r="AF1964" s="714"/>
      <c r="AG1964" s="570" t="str">
        <f>IF(AE1964&lt;&gt;0,VLOOKUP(AE1964,ODDS!$A$2:$C$13,3,0),"")</f>
        <v/>
      </c>
      <c r="AH1964" s="570" t="str">
        <f t="shared" si="428"/>
        <v xml:space="preserve"> </v>
      </c>
      <c r="AI1964" s="571" t="str">
        <f t="shared" si="434"/>
        <v xml:space="preserve"> </v>
      </c>
      <c r="AJ1964" s="586"/>
      <c r="AK1964" s="586" t="s">
        <v>2800</v>
      </c>
    </row>
    <row r="1965" spans="1:37" s="394" customFormat="1" ht="20.25" outlineLevel="2" x14ac:dyDescent="0.3">
      <c r="A1965" s="447">
        <f t="shared" si="437"/>
        <v>166</v>
      </c>
      <c r="B1965" s="557"/>
      <c r="C1965" s="572"/>
      <c r="D1965" s="700"/>
      <c r="E1965" s="612"/>
      <c r="F1965" s="612"/>
      <c r="G1965" s="586"/>
      <c r="H1965" s="709"/>
      <c r="I1965" s="546"/>
      <c r="J1965" s="558"/>
      <c r="K1965" s="563" t="str">
        <f>IF(G1965&lt;&gt;0,VLOOKUP(G1965,'gia dat'!$A$1:$F$144,5,0)," ")</f>
        <v xml:space="preserve"> </v>
      </c>
      <c r="L1965" s="563" t="str">
        <f>IF(G1965&lt;&gt;0,VLOOKUP(G1965,'gia dat'!$A$1:$F$144,6,0)," ")</f>
        <v xml:space="preserve"> </v>
      </c>
      <c r="M1965" s="564" t="str">
        <f t="shared" si="424"/>
        <v xml:space="preserve"> </v>
      </c>
      <c r="N1965" s="564" t="str">
        <f t="shared" si="425"/>
        <v xml:space="preserve"> </v>
      </c>
      <c r="O1965" s="572"/>
      <c r="P1965" s="740"/>
      <c r="Q1965" s="564" t="str">
        <f>IF(O1965&lt;&gt;0,VLOOKUP(O1965,'Cây trong'!$A$2:$C$246,3,0)," ")</f>
        <v xml:space="preserve"> </v>
      </c>
      <c r="R1965" s="564" t="str">
        <f t="shared" si="427"/>
        <v xml:space="preserve"> </v>
      </c>
      <c r="S1965" s="572"/>
      <c r="T1965" s="609"/>
      <c r="U1965" s="741"/>
      <c r="V1965" s="586"/>
      <c r="W1965" s="564" t="str">
        <f>IF(S1965&lt;&gt;0,VLOOKUP(S1965,VKT!$A$2:$G$415,7,0),"")</f>
        <v/>
      </c>
      <c r="X1965" s="564" t="str">
        <f t="shared" si="431"/>
        <v xml:space="preserve"> </v>
      </c>
      <c r="Y1965" s="650"/>
      <c r="Z1965" s="586"/>
      <c r="AA1965" s="742"/>
      <c r="AB1965" s="586"/>
      <c r="AC1965" s="586"/>
      <c r="AD1965" s="586"/>
      <c r="AE1965" s="586"/>
      <c r="AF1965" s="714"/>
      <c r="AG1965" s="570" t="str">
        <f>IF(AE1965&lt;&gt;0,VLOOKUP(AE1965,ODDS!$A$2:$C$13,3,0),"")</f>
        <v/>
      </c>
      <c r="AH1965" s="570" t="str">
        <f t="shared" si="428"/>
        <v xml:space="preserve"> </v>
      </c>
      <c r="AI1965" s="571" t="str">
        <f t="shared" si="434"/>
        <v xml:space="preserve"> </v>
      </c>
      <c r="AJ1965" s="558"/>
      <c r="AK1965" s="558"/>
    </row>
    <row r="1966" spans="1:37" s="394" customFormat="1" ht="20.25" outlineLevel="2" x14ac:dyDescent="0.3">
      <c r="A1966" s="447">
        <f t="shared" si="437"/>
        <v>166</v>
      </c>
      <c r="B1966" s="557"/>
      <c r="C1966" s="607"/>
      <c r="D1966" s="700"/>
      <c r="E1966" s="612"/>
      <c r="F1966" s="612"/>
      <c r="G1966" s="586"/>
      <c r="H1966" s="709"/>
      <c r="I1966" s="546"/>
      <c r="J1966" s="558"/>
      <c r="K1966" s="563" t="str">
        <f>IF(G1966&lt;&gt;0,VLOOKUP(G1966,'gia dat'!$A$1:$F$144,5,0)," ")</f>
        <v xml:space="preserve"> </v>
      </c>
      <c r="L1966" s="563" t="str">
        <f>IF(G1966&lt;&gt;0,VLOOKUP(G1966,'gia dat'!$A$1:$F$144,6,0)," ")</f>
        <v xml:space="preserve"> </v>
      </c>
      <c r="M1966" s="564" t="str">
        <f t="shared" si="424"/>
        <v xml:space="preserve"> </v>
      </c>
      <c r="N1966" s="564" t="str">
        <f t="shared" si="425"/>
        <v xml:space="preserve"> </v>
      </c>
      <c r="O1966" s="572"/>
      <c r="P1966" s="740"/>
      <c r="Q1966" s="564" t="str">
        <f>IF(O1966&lt;&gt;0,VLOOKUP(O1966,'Cây trong'!$A$2:$C$246,3,0)," ")</f>
        <v xml:space="preserve"> </v>
      </c>
      <c r="R1966" s="564" t="str">
        <f t="shared" si="427"/>
        <v xml:space="preserve"> </v>
      </c>
      <c r="S1966" s="572"/>
      <c r="T1966" s="609"/>
      <c r="U1966" s="741"/>
      <c r="V1966" s="586"/>
      <c r="W1966" s="564" t="str">
        <f>IF(S1966&lt;&gt;0,VLOOKUP(S1966,VKT!$A$2:$G$415,7,0),"")</f>
        <v/>
      </c>
      <c r="X1966" s="564" t="str">
        <f t="shared" si="431"/>
        <v xml:space="preserve"> </v>
      </c>
      <c r="Y1966" s="650"/>
      <c r="Z1966" s="586"/>
      <c r="AA1966" s="742"/>
      <c r="AB1966" s="586"/>
      <c r="AC1966" s="586"/>
      <c r="AD1966" s="586"/>
      <c r="AE1966" s="586"/>
      <c r="AF1966" s="714"/>
      <c r="AG1966" s="570" t="str">
        <f>IF(AE1966&lt;&gt;0,VLOOKUP(AE1966,ODDS!$A$2:$C$13,3,0),"")</f>
        <v/>
      </c>
      <c r="AH1966" s="570" t="str">
        <f t="shared" si="428"/>
        <v xml:space="preserve"> </v>
      </c>
      <c r="AI1966" s="571" t="str">
        <f t="shared" si="434"/>
        <v xml:space="preserve"> </v>
      </c>
      <c r="AJ1966" s="586"/>
      <c r="AK1966" s="586"/>
    </row>
    <row r="1967" spans="1:37" s="396" customFormat="1" ht="40.5" outlineLevel="1" x14ac:dyDescent="0.25">
      <c r="A1967" s="467" t="s">
        <v>2543</v>
      </c>
      <c r="B1967" s="576">
        <v>167</v>
      </c>
      <c r="C1967" s="607" t="s">
        <v>1363</v>
      </c>
      <c r="D1967" s="706"/>
      <c r="E1967" s="642"/>
      <c r="F1967" s="642"/>
      <c r="G1967" s="578"/>
      <c r="H1967" s="707">
        <f>SUBTOTAL(9,H1968:H1972)</f>
        <v>89.9</v>
      </c>
      <c r="I1967" s="579">
        <f>SUBTOTAL(9,I1968:I1973)</f>
        <v>45.8</v>
      </c>
      <c r="J1967" s="574"/>
      <c r="K1967" s="581"/>
      <c r="L1967" s="581"/>
      <c r="M1967" s="571">
        <f>SUBTOTAL(9,M1968:M1972)</f>
        <v>41857000</v>
      </c>
      <c r="N1967" s="571">
        <f>SUBTOTAL(9,N1968:N1972)</f>
        <v>63973000</v>
      </c>
      <c r="O1967" s="607"/>
      <c r="P1967" s="738">
        <f>SUBTOTAL(9,P1968:P1972)</f>
        <v>0</v>
      </c>
      <c r="Q1967" s="571"/>
      <c r="R1967" s="571">
        <f>SUBTOTAL(9,R1968:R1972)</f>
        <v>0</v>
      </c>
      <c r="S1967" s="607"/>
      <c r="T1967" s="621"/>
      <c r="U1967" s="739">
        <f>SUBTOTAL(9,U1968:U1972)</f>
        <v>0</v>
      </c>
      <c r="V1967" s="578"/>
      <c r="W1967" s="571"/>
      <c r="X1967" s="571">
        <f>SUBTOTAL(9,X1968:X1972)</f>
        <v>0</v>
      </c>
      <c r="Y1967" s="650"/>
      <c r="Z1967" s="586"/>
      <c r="AA1967" s="742"/>
      <c r="AB1967" s="586"/>
      <c r="AC1967" s="586"/>
      <c r="AD1967" s="586"/>
      <c r="AE1967" s="578"/>
      <c r="AF1967" s="712">
        <f>SUBTOTAL(9,AF1968:AF1972)</f>
        <v>0</v>
      </c>
      <c r="AG1967" s="585"/>
      <c r="AH1967" s="585">
        <f>SUBTOTAL(9,AH1968:AH1972)</f>
        <v>0</v>
      </c>
      <c r="AI1967" s="571">
        <f t="shared" si="434"/>
        <v>105830000</v>
      </c>
      <c r="AJ1967" s="574"/>
      <c r="AK1967" s="578"/>
    </row>
    <row r="1968" spans="1:37" s="396" customFormat="1" ht="246.75" outlineLevel="2" x14ac:dyDescent="0.3">
      <c r="A1968" s="447">
        <f>IF(B1967&lt;&gt;0,B1967,A1966)</f>
        <v>167</v>
      </c>
      <c r="B1968" s="557"/>
      <c r="C1968" s="572" t="s">
        <v>1366</v>
      </c>
      <c r="D1968" s="700"/>
      <c r="E1968" s="612">
        <v>86</v>
      </c>
      <c r="F1968" s="612" t="s">
        <v>2180</v>
      </c>
      <c r="G1968" s="586" t="s">
        <v>2438</v>
      </c>
      <c r="H1968" s="709">
        <f>45.8</f>
        <v>45.8</v>
      </c>
      <c r="I1968" s="546">
        <f t="shared" ref="I1968:I1969" si="438">IF(N1968&gt;0,H1968,"")</f>
        <v>45.8</v>
      </c>
      <c r="J1968" s="558"/>
      <c r="K1968" s="563">
        <f>IF(G1968&lt;&gt;0,VLOOKUP(G1968,'gia dat'!$A$1:$F$144,5,0)," ")</f>
        <v>465600</v>
      </c>
      <c r="L1968" s="563">
        <f>IF(G1968&lt;&gt;0,VLOOKUP(G1968,'gia dat'!$A$1:$F$144,6,0)," ")</f>
        <v>1396800</v>
      </c>
      <c r="M1968" s="564">
        <f t="shared" ref="M1968:M2038" si="439">IF(H1968&lt;&gt;0,ROUND(H1968*K1968,-3)," ")</f>
        <v>21324000</v>
      </c>
      <c r="N1968" s="564">
        <f t="shared" ref="N1968:N2038" si="440">IF(H1968&lt;&gt;0,ROUND(H1968*L1968,-3)," ")</f>
        <v>63973000</v>
      </c>
      <c r="O1968" s="572"/>
      <c r="P1968" s="740"/>
      <c r="Q1968" s="564"/>
      <c r="R1968" s="564"/>
      <c r="S1968" s="572"/>
      <c r="T1968" s="609"/>
      <c r="U1968" s="741"/>
      <c r="V1968" s="586"/>
      <c r="W1968" s="564" t="str">
        <f>IF(S1968&lt;&gt;0,VLOOKUP(S1968,VKT!$A$2:$G$415,7,0),"")</f>
        <v/>
      </c>
      <c r="X1968" s="564" t="str">
        <f t="shared" si="431"/>
        <v xml:space="preserve"> </v>
      </c>
      <c r="Y1968" s="650"/>
      <c r="Z1968" s="586"/>
      <c r="AA1968" s="742"/>
      <c r="AB1968" s="586"/>
      <c r="AC1968" s="586"/>
      <c r="AD1968" s="586"/>
      <c r="AE1968" s="586"/>
      <c r="AF1968" s="714"/>
      <c r="AG1968" s="570" t="str">
        <f>IF(AE1968&lt;&gt;0,VLOOKUP(AE1968,ODDS!$A$2:$C$13,3,0),"")</f>
        <v/>
      </c>
      <c r="AH1968" s="570"/>
      <c r="AI1968" s="571" t="str">
        <f t="shared" si="434"/>
        <v xml:space="preserve"> </v>
      </c>
      <c r="AJ1968" s="558" t="s">
        <v>2848</v>
      </c>
      <c r="AK1968" s="586" t="s">
        <v>2771</v>
      </c>
    </row>
    <row r="1969" spans="1:37" s="394" customFormat="1" ht="81" outlineLevel="2" x14ac:dyDescent="0.3">
      <c r="A1969" s="447">
        <f>IF(B1968&lt;&gt;0,B1968,A1968)</f>
        <v>167</v>
      </c>
      <c r="B1969" s="557"/>
      <c r="C1969" s="572" t="s">
        <v>1621</v>
      </c>
      <c r="D1969" s="700"/>
      <c r="E1969" s="612"/>
      <c r="F1969" s="612"/>
      <c r="G1969" s="586" t="s">
        <v>2434</v>
      </c>
      <c r="H1969" s="709">
        <v>44.1</v>
      </c>
      <c r="I1969" s="546" t="str">
        <f t="shared" si="438"/>
        <v/>
      </c>
      <c r="J1969" s="558"/>
      <c r="K1969" s="563">
        <f>IF(G1969&lt;&gt;0,VLOOKUP(G1969,'gia dat'!$A$1:$F$144,5,0)," ")</f>
        <v>465600</v>
      </c>
      <c r="L1969" s="563">
        <f>IF(G1969&lt;&gt;0,VLOOKUP(G1969,'gia dat'!$A$1:$F$144,6,0)," ")</f>
        <v>0</v>
      </c>
      <c r="M1969" s="564">
        <f t="shared" si="439"/>
        <v>20533000</v>
      </c>
      <c r="N1969" s="564">
        <f t="shared" si="440"/>
        <v>0</v>
      </c>
      <c r="O1969" s="572"/>
      <c r="P1969" s="740"/>
      <c r="Q1969" s="564"/>
      <c r="R1969" s="564"/>
      <c r="S1969" s="572"/>
      <c r="T1969" s="609"/>
      <c r="U1969" s="741"/>
      <c r="V1969" s="586"/>
      <c r="W1969" s="564" t="str">
        <f>IF(S1969&lt;&gt;0,VLOOKUP(S1969,VKT!$A$2:$G$415,7,0),"")</f>
        <v/>
      </c>
      <c r="X1969" s="564" t="str">
        <f t="shared" si="431"/>
        <v xml:space="preserve"> </v>
      </c>
      <c r="Y1969" s="650"/>
      <c r="Z1969" s="586"/>
      <c r="AA1969" s="742"/>
      <c r="AB1969" s="586"/>
      <c r="AC1969" s="586"/>
      <c r="AD1969" s="586"/>
      <c r="AE1969" s="586"/>
      <c r="AF1969" s="714"/>
      <c r="AG1969" s="570" t="str">
        <f>IF(AE1969&lt;&gt;0,VLOOKUP(AE1969,ODDS!$A$2:$C$13,3,0),"")</f>
        <v/>
      </c>
      <c r="AH1969" s="570"/>
      <c r="AI1969" s="571" t="str">
        <f t="shared" si="434"/>
        <v xml:space="preserve"> </v>
      </c>
      <c r="AJ1969" s="586" t="s">
        <v>2074</v>
      </c>
      <c r="AK1969" s="558" t="s">
        <v>2448</v>
      </c>
    </row>
    <row r="1970" spans="1:37" s="394" customFormat="1" ht="20.25" outlineLevel="2" x14ac:dyDescent="0.3">
      <c r="A1970" s="447">
        <f>IF(B1969&lt;&gt;0,B1969,A1969)</f>
        <v>167</v>
      </c>
      <c r="B1970" s="557"/>
      <c r="C1970" s="572"/>
      <c r="D1970" s="700"/>
      <c r="E1970" s="612"/>
      <c r="F1970" s="612"/>
      <c r="G1970" s="586"/>
      <c r="H1970" s="709"/>
      <c r="I1970" s="546"/>
      <c r="J1970" s="558"/>
      <c r="K1970" s="563" t="str">
        <f>IF(G1970&lt;&gt;0,VLOOKUP(G1970,'gia dat'!$A$1:$F$144,5,0)," ")</f>
        <v xml:space="preserve"> </v>
      </c>
      <c r="L1970" s="563" t="str">
        <f>IF(G1970&lt;&gt;0,VLOOKUP(G1970,'gia dat'!$A$1:$F$144,6,0)," ")</f>
        <v xml:space="preserve"> </v>
      </c>
      <c r="M1970" s="564" t="str">
        <f t="shared" si="439"/>
        <v xml:space="preserve"> </v>
      </c>
      <c r="N1970" s="564" t="str">
        <f t="shared" si="440"/>
        <v xml:space="preserve"> </v>
      </c>
      <c r="O1970" s="572"/>
      <c r="P1970" s="740"/>
      <c r="Q1970" s="564"/>
      <c r="R1970" s="564"/>
      <c r="S1970" s="572"/>
      <c r="T1970" s="609"/>
      <c r="U1970" s="741"/>
      <c r="V1970" s="586"/>
      <c r="W1970" s="564" t="str">
        <f>IF(S1970&lt;&gt;0,VLOOKUP(S1970,VKT!$A$2:$G$415,7,0),"")</f>
        <v/>
      </c>
      <c r="X1970" s="564" t="str">
        <f t="shared" si="431"/>
        <v xml:space="preserve"> </v>
      </c>
      <c r="Y1970" s="650"/>
      <c r="Z1970" s="586"/>
      <c r="AA1970" s="742"/>
      <c r="AB1970" s="586"/>
      <c r="AC1970" s="586"/>
      <c r="AD1970" s="586"/>
      <c r="AE1970" s="586"/>
      <c r="AF1970" s="714"/>
      <c r="AG1970" s="570" t="str">
        <f>IF(AE1970&lt;&gt;0,VLOOKUP(AE1970,ODDS!$A$2:$C$13,3,0),"")</f>
        <v/>
      </c>
      <c r="AH1970" s="570"/>
      <c r="AI1970" s="571" t="str">
        <f t="shared" si="434"/>
        <v xml:space="preserve"> </v>
      </c>
      <c r="AJ1970" s="586"/>
      <c r="AK1970" s="586"/>
    </row>
    <row r="1971" spans="1:37" s="394" customFormat="1" ht="20.25" outlineLevel="2" x14ac:dyDescent="0.3">
      <c r="A1971" s="447">
        <f>IF(B1970&lt;&gt;0,B1970,A1970)</f>
        <v>167</v>
      </c>
      <c r="B1971" s="557"/>
      <c r="C1971" s="572"/>
      <c r="D1971" s="700"/>
      <c r="E1971" s="612"/>
      <c r="F1971" s="612"/>
      <c r="G1971" s="586"/>
      <c r="H1971" s="709"/>
      <c r="I1971" s="546"/>
      <c r="J1971" s="558"/>
      <c r="K1971" s="563" t="str">
        <f>IF(G1971&lt;&gt;0,VLOOKUP(G1971,'gia dat'!$A$1:$F$144,5,0)," ")</f>
        <v xml:space="preserve"> </v>
      </c>
      <c r="L1971" s="563" t="str">
        <f>IF(G1971&lt;&gt;0,VLOOKUP(G1971,'gia dat'!$A$1:$F$144,6,0)," ")</f>
        <v xml:space="preserve"> </v>
      </c>
      <c r="M1971" s="564" t="str">
        <f t="shared" si="439"/>
        <v xml:space="preserve"> </v>
      </c>
      <c r="N1971" s="564" t="str">
        <f t="shared" si="440"/>
        <v xml:space="preserve"> </v>
      </c>
      <c r="O1971" s="572"/>
      <c r="P1971" s="740"/>
      <c r="Q1971" s="564"/>
      <c r="R1971" s="564"/>
      <c r="S1971" s="572"/>
      <c r="T1971" s="609"/>
      <c r="U1971" s="741"/>
      <c r="V1971" s="586"/>
      <c r="W1971" s="564" t="str">
        <f>IF(S1971&lt;&gt;0,VLOOKUP(S1971,VKT!$A$2:$G$415,7,0),"")</f>
        <v/>
      </c>
      <c r="X1971" s="564" t="str">
        <f t="shared" si="431"/>
        <v xml:space="preserve"> </v>
      </c>
      <c r="Y1971" s="650"/>
      <c r="Z1971" s="586"/>
      <c r="AA1971" s="742"/>
      <c r="AB1971" s="586"/>
      <c r="AC1971" s="586"/>
      <c r="AD1971" s="586"/>
      <c r="AE1971" s="586"/>
      <c r="AF1971" s="714"/>
      <c r="AG1971" s="570" t="str">
        <f>IF(AE1971&lt;&gt;0,VLOOKUP(AE1971,ODDS!$A$2:$C$13,3,0),"")</f>
        <v/>
      </c>
      <c r="AH1971" s="570"/>
      <c r="AI1971" s="571" t="str">
        <f t="shared" si="434"/>
        <v xml:space="preserve"> </v>
      </c>
      <c r="AJ1971" s="586"/>
      <c r="AK1971" s="586"/>
    </row>
    <row r="1972" spans="1:37" s="394" customFormat="1" ht="20.25" outlineLevel="2" x14ac:dyDescent="0.3">
      <c r="A1972" s="447">
        <f>IF(B1971&lt;&gt;0,B1971,A1971)</f>
        <v>167</v>
      </c>
      <c r="B1972" s="557"/>
      <c r="C1972" s="607"/>
      <c r="D1972" s="700"/>
      <c r="E1972" s="612"/>
      <c r="F1972" s="612"/>
      <c r="G1972" s="586"/>
      <c r="H1972" s="709"/>
      <c r="I1972" s="546"/>
      <c r="J1972" s="558"/>
      <c r="K1972" s="563" t="str">
        <f>IF(G1972&lt;&gt;0,VLOOKUP(G1972,'gia dat'!$A$1:$F$144,5,0)," ")</f>
        <v xml:space="preserve"> </v>
      </c>
      <c r="L1972" s="563" t="str">
        <f>IF(G1972&lt;&gt;0,VLOOKUP(G1972,'gia dat'!$A$1:$F$144,6,0)," ")</f>
        <v xml:space="preserve"> </v>
      </c>
      <c r="M1972" s="564" t="str">
        <f t="shared" si="439"/>
        <v xml:space="preserve"> </v>
      </c>
      <c r="N1972" s="564" t="str">
        <f t="shared" si="440"/>
        <v xml:space="preserve"> </v>
      </c>
      <c r="O1972" s="572"/>
      <c r="P1972" s="740"/>
      <c r="Q1972" s="564"/>
      <c r="R1972" s="564"/>
      <c r="S1972" s="572"/>
      <c r="T1972" s="609"/>
      <c r="U1972" s="741"/>
      <c r="V1972" s="586"/>
      <c r="W1972" s="564" t="str">
        <f>IF(S1972&lt;&gt;0,VLOOKUP(S1972,VKT!$A$2:$G$415,7,0),"")</f>
        <v/>
      </c>
      <c r="X1972" s="564" t="str">
        <f t="shared" si="431"/>
        <v xml:space="preserve"> </v>
      </c>
      <c r="Y1972" s="650"/>
      <c r="Z1972" s="586"/>
      <c r="AA1972" s="742"/>
      <c r="AB1972" s="586"/>
      <c r="AC1972" s="586"/>
      <c r="AD1972" s="586"/>
      <c r="AE1972" s="586"/>
      <c r="AF1972" s="714"/>
      <c r="AG1972" s="570" t="str">
        <f>IF(AE1972&lt;&gt;0,VLOOKUP(AE1972,ODDS!$A$2:$C$13,3,0),"")</f>
        <v/>
      </c>
      <c r="AH1972" s="570"/>
      <c r="AI1972" s="571" t="str">
        <f t="shared" si="434"/>
        <v xml:space="preserve"> </v>
      </c>
      <c r="AJ1972" s="586"/>
      <c r="AK1972" s="586"/>
    </row>
    <row r="1973" spans="1:37" s="396" customFormat="1" ht="40.5" outlineLevel="1" x14ac:dyDescent="0.25">
      <c r="A1973" s="467" t="s">
        <v>2542</v>
      </c>
      <c r="B1973" s="576">
        <v>168</v>
      </c>
      <c r="C1973" s="607" t="s">
        <v>1363</v>
      </c>
      <c r="D1973" s="706"/>
      <c r="E1973" s="642"/>
      <c r="F1973" s="642"/>
      <c r="G1973" s="578"/>
      <c r="H1973" s="707">
        <f>SUBTOTAL(9,H1974:H1979)</f>
        <v>79.099999999999994</v>
      </c>
      <c r="I1973" s="579">
        <f>SUBTOTAL(9,I1974:I1979)</f>
        <v>29.6</v>
      </c>
      <c r="J1973" s="574"/>
      <c r="K1973" s="581"/>
      <c r="L1973" s="581"/>
      <c r="M1973" s="571">
        <f>SUBTOTAL(9,M1974:M1979)</f>
        <v>36829000</v>
      </c>
      <c r="N1973" s="571">
        <f>SUBTOTAL(9,N1974:N1979)</f>
        <v>41345000</v>
      </c>
      <c r="O1973" s="607"/>
      <c r="P1973" s="738">
        <f>SUBTOTAL(9,P1974:P1979)</f>
        <v>0</v>
      </c>
      <c r="Q1973" s="571"/>
      <c r="R1973" s="571">
        <f>SUBTOTAL(9,R1974:R1979)</f>
        <v>0</v>
      </c>
      <c r="S1973" s="607"/>
      <c r="T1973" s="621"/>
      <c r="U1973" s="739">
        <f>SUBTOTAL(9,U1974:U1979)</f>
        <v>0</v>
      </c>
      <c r="V1973" s="578"/>
      <c r="W1973" s="571"/>
      <c r="X1973" s="571">
        <f>SUBTOTAL(9,X1974:X1979)</f>
        <v>0</v>
      </c>
      <c r="Y1973" s="650"/>
      <c r="Z1973" s="586"/>
      <c r="AA1973" s="742"/>
      <c r="AB1973" s="586"/>
      <c r="AC1973" s="586"/>
      <c r="AD1973" s="586"/>
      <c r="AE1973" s="578"/>
      <c r="AF1973" s="712">
        <f>SUBTOTAL(9,AF1974:AF1979)</f>
        <v>0</v>
      </c>
      <c r="AG1973" s="585"/>
      <c r="AH1973" s="585">
        <f>SUBTOTAL(9,AH1974:AH1979)</f>
        <v>0</v>
      </c>
      <c r="AI1973" s="571">
        <f t="shared" si="434"/>
        <v>78174000</v>
      </c>
      <c r="AJ1973" s="574"/>
      <c r="AK1973" s="578"/>
    </row>
    <row r="1974" spans="1:37" s="396" customFormat="1" ht="243" outlineLevel="2" x14ac:dyDescent="0.3">
      <c r="A1974" s="447">
        <f>IF(B1973&lt;&gt;0,B1973,A1972)</f>
        <v>168</v>
      </c>
      <c r="B1974" s="557"/>
      <c r="C1974" s="572" t="s">
        <v>1366</v>
      </c>
      <c r="D1974" s="700"/>
      <c r="E1974" s="612">
        <v>86</v>
      </c>
      <c r="F1974" s="612" t="s">
        <v>2180</v>
      </c>
      <c r="G1974" s="586" t="s">
        <v>2435</v>
      </c>
      <c r="H1974" s="709">
        <v>29.6</v>
      </c>
      <c r="I1974" s="546">
        <f t="shared" ref="I1974:I1975" si="441">IF(N1974&gt;0,H1974,"")</f>
        <v>29.6</v>
      </c>
      <c r="J1974" s="558"/>
      <c r="K1974" s="563">
        <f>IF(G1974&lt;&gt;0,VLOOKUP(G1974,'gia dat'!$A$1:$F$144,5,0)," ")</f>
        <v>465600</v>
      </c>
      <c r="L1974" s="563">
        <f>IF(G1974&lt;&gt;0,VLOOKUP(G1974,'gia dat'!$A$1:$F$144,6,0)," ")</f>
        <v>1396800</v>
      </c>
      <c r="M1974" s="564">
        <f t="shared" si="439"/>
        <v>13782000</v>
      </c>
      <c r="N1974" s="564">
        <f t="shared" si="440"/>
        <v>41345000</v>
      </c>
      <c r="O1974" s="572"/>
      <c r="P1974" s="740"/>
      <c r="Q1974" s="564"/>
      <c r="R1974" s="564"/>
      <c r="S1974" s="572"/>
      <c r="T1974" s="609"/>
      <c r="U1974" s="741"/>
      <c r="V1974" s="586"/>
      <c r="W1974" s="564" t="str">
        <f>IF(S1974&lt;&gt;0,VLOOKUP(S1974,VKT!$A$2:$G$415,7,0),"")</f>
        <v/>
      </c>
      <c r="X1974" s="564" t="str">
        <f t="shared" si="431"/>
        <v xml:space="preserve"> </v>
      </c>
      <c r="Y1974" s="650"/>
      <c r="Z1974" s="586"/>
      <c r="AA1974" s="742"/>
      <c r="AB1974" s="586"/>
      <c r="AC1974" s="586"/>
      <c r="AD1974" s="586"/>
      <c r="AE1974" s="586"/>
      <c r="AF1974" s="714"/>
      <c r="AG1974" s="570" t="str">
        <f>IF(AE1974&lt;&gt;0,VLOOKUP(AE1974,ODDS!$A$2:$C$13,3,0),"")</f>
        <v/>
      </c>
      <c r="AH1974" s="570"/>
      <c r="AI1974" s="571" t="str">
        <f t="shared" si="434"/>
        <v xml:space="preserve"> </v>
      </c>
      <c r="AJ1974" s="558" t="s">
        <v>2243</v>
      </c>
      <c r="AK1974" s="586" t="s">
        <v>2771</v>
      </c>
    </row>
    <row r="1975" spans="1:37" s="394" customFormat="1" ht="81" outlineLevel="2" x14ac:dyDescent="0.3">
      <c r="A1975" s="447">
        <f>IF(B1974&lt;&gt;0,B1974,A1974)</f>
        <v>168</v>
      </c>
      <c r="B1975" s="557"/>
      <c r="C1975" s="572" t="s">
        <v>1621</v>
      </c>
      <c r="D1975" s="700"/>
      <c r="E1975" s="612"/>
      <c r="F1975" s="612"/>
      <c r="G1975" s="586" t="s">
        <v>2434</v>
      </c>
      <c r="H1975" s="709">
        <v>49.5</v>
      </c>
      <c r="I1975" s="546" t="str">
        <f t="shared" si="441"/>
        <v/>
      </c>
      <c r="J1975" s="558"/>
      <c r="K1975" s="563">
        <f>IF(G1975&lt;&gt;0,VLOOKUP(G1975,'gia dat'!$A$1:$F$144,5,0)," ")</f>
        <v>465600</v>
      </c>
      <c r="L1975" s="563">
        <f>IF(G1975&lt;&gt;0,VLOOKUP(G1975,'gia dat'!$A$1:$F$144,6,0)," ")</f>
        <v>0</v>
      </c>
      <c r="M1975" s="564">
        <f t="shared" si="439"/>
        <v>23047000</v>
      </c>
      <c r="N1975" s="564">
        <f t="shared" si="440"/>
        <v>0</v>
      </c>
      <c r="O1975" s="572"/>
      <c r="P1975" s="740"/>
      <c r="Q1975" s="564"/>
      <c r="R1975" s="564"/>
      <c r="S1975" s="572"/>
      <c r="T1975" s="609"/>
      <c r="U1975" s="741"/>
      <c r="V1975" s="586"/>
      <c r="W1975" s="564" t="str">
        <f>IF(S1975&lt;&gt;0,VLOOKUP(S1975,VKT!$A$2:$G$415,7,0),"")</f>
        <v/>
      </c>
      <c r="X1975" s="564" t="str">
        <f t="shared" si="431"/>
        <v xml:space="preserve"> </v>
      </c>
      <c r="Y1975" s="650"/>
      <c r="Z1975" s="586"/>
      <c r="AA1975" s="742"/>
      <c r="AB1975" s="586"/>
      <c r="AC1975" s="586"/>
      <c r="AD1975" s="586"/>
      <c r="AE1975" s="586"/>
      <c r="AF1975" s="714"/>
      <c r="AG1975" s="570" t="str">
        <f>IF(AE1975&lt;&gt;0,VLOOKUP(AE1975,ODDS!$A$2:$C$13,3,0),"")</f>
        <v/>
      </c>
      <c r="AH1975" s="570"/>
      <c r="AI1975" s="571" t="str">
        <f t="shared" si="434"/>
        <v xml:space="preserve"> </v>
      </c>
      <c r="AJ1975" s="586" t="s">
        <v>2074</v>
      </c>
      <c r="AK1975" s="558" t="s">
        <v>2448</v>
      </c>
    </row>
    <row r="1976" spans="1:37" s="394" customFormat="1" ht="20.25" outlineLevel="2" x14ac:dyDescent="0.3">
      <c r="A1976" s="447">
        <f>IF(B1975&lt;&gt;0,B1975,A1975)</f>
        <v>168</v>
      </c>
      <c r="B1976" s="557"/>
      <c r="C1976" s="572"/>
      <c r="D1976" s="700"/>
      <c r="E1976" s="612"/>
      <c r="F1976" s="612"/>
      <c r="G1976" s="586"/>
      <c r="H1976" s="709"/>
      <c r="I1976" s="546"/>
      <c r="J1976" s="558"/>
      <c r="K1976" s="563" t="str">
        <f>IF(G1976&lt;&gt;0,VLOOKUP(G1976,'gia dat'!$A$1:$F$144,5,0)," ")</f>
        <v xml:space="preserve"> </v>
      </c>
      <c r="L1976" s="563" t="str">
        <f>IF(G1976&lt;&gt;0,VLOOKUP(G1976,'gia dat'!$A$1:$F$144,6,0)," ")</f>
        <v xml:space="preserve"> </v>
      </c>
      <c r="M1976" s="564" t="str">
        <f t="shared" si="439"/>
        <v xml:space="preserve"> </v>
      </c>
      <c r="N1976" s="564" t="str">
        <f t="shared" si="440"/>
        <v xml:space="preserve"> </v>
      </c>
      <c r="O1976" s="572"/>
      <c r="P1976" s="740"/>
      <c r="Q1976" s="564"/>
      <c r="R1976" s="564"/>
      <c r="S1976" s="572"/>
      <c r="T1976" s="609"/>
      <c r="U1976" s="741"/>
      <c r="V1976" s="586"/>
      <c r="W1976" s="564" t="str">
        <f>IF(S1976&lt;&gt;0,VLOOKUP(S1976,VKT!$A$2:$G$415,7,0),"")</f>
        <v/>
      </c>
      <c r="X1976" s="564" t="str">
        <f t="shared" si="431"/>
        <v xml:space="preserve"> </v>
      </c>
      <c r="Y1976" s="650"/>
      <c r="Z1976" s="586"/>
      <c r="AA1976" s="742"/>
      <c r="AB1976" s="586"/>
      <c r="AC1976" s="586"/>
      <c r="AD1976" s="586"/>
      <c r="AE1976" s="586"/>
      <c r="AF1976" s="714"/>
      <c r="AG1976" s="570" t="str">
        <f>IF(AE1976&lt;&gt;0,VLOOKUP(AE1976,ODDS!$A$2:$C$13,3,0),"")</f>
        <v/>
      </c>
      <c r="AH1976" s="570"/>
      <c r="AI1976" s="571" t="str">
        <f t="shared" si="434"/>
        <v xml:space="preserve"> </v>
      </c>
      <c r="AJ1976" s="586"/>
      <c r="AK1976" s="586"/>
    </row>
    <row r="1977" spans="1:37" s="394" customFormat="1" ht="20.25" outlineLevel="2" x14ac:dyDescent="0.3">
      <c r="A1977" s="447">
        <f>IF(B1976&lt;&gt;0,B1976,A1976)</f>
        <v>168</v>
      </c>
      <c r="B1977" s="557"/>
      <c r="C1977" s="572"/>
      <c r="D1977" s="700"/>
      <c r="E1977" s="612"/>
      <c r="F1977" s="612"/>
      <c r="G1977" s="586"/>
      <c r="H1977" s="709"/>
      <c r="I1977" s="546"/>
      <c r="J1977" s="558"/>
      <c r="K1977" s="563" t="str">
        <f>IF(G1977&lt;&gt;0,VLOOKUP(G1977,'gia dat'!$A$1:$F$144,5,0)," ")</f>
        <v xml:space="preserve"> </v>
      </c>
      <c r="L1977" s="563" t="str">
        <f>IF(G1977&lt;&gt;0,VLOOKUP(G1977,'gia dat'!$A$1:$F$144,6,0)," ")</f>
        <v xml:space="preserve"> </v>
      </c>
      <c r="M1977" s="564" t="str">
        <f t="shared" si="439"/>
        <v xml:space="preserve"> </v>
      </c>
      <c r="N1977" s="564" t="str">
        <f t="shared" si="440"/>
        <v xml:space="preserve"> </v>
      </c>
      <c r="O1977" s="572"/>
      <c r="P1977" s="740"/>
      <c r="Q1977" s="564"/>
      <c r="R1977" s="564"/>
      <c r="S1977" s="572"/>
      <c r="T1977" s="609"/>
      <c r="U1977" s="741"/>
      <c r="V1977" s="586"/>
      <c r="W1977" s="564" t="str">
        <f>IF(S1977&lt;&gt;0,VLOOKUP(S1977,VKT!$A$2:$G$415,7,0),"")</f>
        <v/>
      </c>
      <c r="X1977" s="564" t="str">
        <f t="shared" si="431"/>
        <v xml:space="preserve"> </v>
      </c>
      <c r="Y1977" s="650"/>
      <c r="Z1977" s="586"/>
      <c r="AA1977" s="742"/>
      <c r="AB1977" s="586"/>
      <c r="AC1977" s="586"/>
      <c r="AD1977" s="586"/>
      <c r="AE1977" s="586"/>
      <c r="AF1977" s="714"/>
      <c r="AG1977" s="570" t="str">
        <f>IF(AE1977&lt;&gt;0,VLOOKUP(AE1977,ODDS!$A$2:$C$13,3,0),"")</f>
        <v/>
      </c>
      <c r="AH1977" s="570"/>
      <c r="AI1977" s="571" t="str">
        <f t="shared" si="434"/>
        <v xml:space="preserve"> </v>
      </c>
      <c r="AJ1977" s="586"/>
      <c r="AK1977" s="586"/>
    </row>
    <row r="1978" spans="1:37" s="394" customFormat="1" ht="20.25" outlineLevel="2" x14ac:dyDescent="0.3">
      <c r="A1978" s="447">
        <f>IF(B1977&lt;&gt;0,B1977,A1977)</f>
        <v>168</v>
      </c>
      <c r="B1978" s="557"/>
      <c r="C1978" s="572"/>
      <c r="D1978" s="700"/>
      <c r="E1978" s="612"/>
      <c r="F1978" s="612"/>
      <c r="G1978" s="586"/>
      <c r="H1978" s="709"/>
      <c r="I1978" s="546"/>
      <c r="J1978" s="558"/>
      <c r="K1978" s="563" t="str">
        <f>IF(G1978&lt;&gt;0,VLOOKUP(G1978,'gia dat'!$A$1:$F$144,5,0)," ")</f>
        <v xml:space="preserve"> </v>
      </c>
      <c r="L1978" s="563" t="str">
        <f>IF(G1978&lt;&gt;0,VLOOKUP(G1978,'gia dat'!$A$1:$F$144,6,0)," ")</f>
        <v xml:space="preserve"> </v>
      </c>
      <c r="M1978" s="564" t="str">
        <f t="shared" si="439"/>
        <v xml:space="preserve"> </v>
      </c>
      <c r="N1978" s="564" t="str">
        <f t="shared" si="440"/>
        <v xml:space="preserve"> </v>
      </c>
      <c r="O1978" s="572"/>
      <c r="P1978" s="740"/>
      <c r="Q1978" s="564"/>
      <c r="R1978" s="564"/>
      <c r="S1978" s="572"/>
      <c r="T1978" s="609"/>
      <c r="U1978" s="741"/>
      <c r="V1978" s="586"/>
      <c r="W1978" s="564" t="str">
        <f>IF(S1978&lt;&gt;0,VLOOKUP(S1978,VKT!$A$2:$G$415,7,0),"")</f>
        <v/>
      </c>
      <c r="X1978" s="564" t="str">
        <f t="shared" ref="X1978:X2048" si="442">IF(S1978&lt;&gt;0,ROUND(U1978*W1978,-3)," ")</f>
        <v xml:space="preserve"> </v>
      </c>
      <c r="Y1978" s="650"/>
      <c r="Z1978" s="586"/>
      <c r="AA1978" s="742"/>
      <c r="AB1978" s="586"/>
      <c r="AC1978" s="586"/>
      <c r="AD1978" s="586"/>
      <c r="AE1978" s="586"/>
      <c r="AF1978" s="714"/>
      <c r="AG1978" s="570" t="str">
        <f>IF(AE1978&lt;&gt;0,VLOOKUP(AE1978,ODDS!$A$2:$C$13,3,0),"")</f>
        <v/>
      </c>
      <c r="AH1978" s="570"/>
      <c r="AI1978" s="571" t="str">
        <f t="shared" si="434"/>
        <v xml:space="preserve"> </v>
      </c>
      <c r="AJ1978" s="586"/>
      <c r="AK1978" s="586"/>
    </row>
    <row r="1979" spans="1:37" s="394" customFormat="1" ht="20.25" outlineLevel="2" x14ac:dyDescent="0.3">
      <c r="A1979" s="447">
        <f>IF(B1978&lt;&gt;0,B1978,A1978)</f>
        <v>168</v>
      </c>
      <c r="B1979" s="557"/>
      <c r="C1979" s="607"/>
      <c r="D1979" s="700"/>
      <c r="E1979" s="612"/>
      <c r="F1979" s="612"/>
      <c r="G1979" s="586"/>
      <c r="H1979" s="709"/>
      <c r="I1979" s="546"/>
      <c r="J1979" s="558"/>
      <c r="K1979" s="563" t="str">
        <f>IF(G1979&lt;&gt;0,VLOOKUP(G1979,'gia dat'!$A$1:$F$144,5,0)," ")</f>
        <v xml:space="preserve"> </v>
      </c>
      <c r="L1979" s="563" t="str">
        <f>IF(G1979&lt;&gt;0,VLOOKUP(G1979,'gia dat'!$A$1:$F$144,6,0)," ")</f>
        <v xml:space="preserve"> </v>
      </c>
      <c r="M1979" s="564" t="str">
        <f t="shared" si="439"/>
        <v xml:space="preserve"> </v>
      </c>
      <c r="N1979" s="564" t="str">
        <f t="shared" si="440"/>
        <v xml:space="preserve"> </v>
      </c>
      <c r="O1979" s="572"/>
      <c r="P1979" s="740"/>
      <c r="Q1979" s="564"/>
      <c r="R1979" s="564"/>
      <c r="S1979" s="572"/>
      <c r="T1979" s="609"/>
      <c r="U1979" s="741"/>
      <c r="V1979" s="586"/>
      <c r="W1979" s="564" t="str">
        <f>IF(S1979&lt;&gt;0,VLOOKUP(S1979,VKT!$A$2:$G$415,7,0),"")</f>
        <v/>
      </c>
      <c r="X1979" s="564" t="str">
        <f t="shared" si="442"/>
        <v xml:space="preserve"> </v>
      </c>
      <c r="Y1979" s="650"/>
      <c r="Z1979" s="586"/>
      <c r="AA1979" s="742"/>
      <c r="AB1979" s="586"/>
      <c r="AC1979" s="586"/>
      <c r="AD1979" s="586"/>
      <c r="AE1979" s="586"/>
      <c r="AF1979" s="714"/>
      <c r="AG1979" s="570" t="str">
        <f>IF(AE1979&lt;&gt;0,VLOOKUP(AE1979,ODDS!$A$2:$C$13,3,0),"")</f>
        <v/>
      </c>
      <c r="AH1979" s="570"/>
      <c r="AI1979" s="571" t="str">
        <f t="shared" si="434"/>
        <v xml:space="preserve"> </v>
      </c>
      <c r="AJ1979" s="586"/>
      <c r="AK1979" s="586"/>
    </row>
    <row r="1980" spans="1:37" s="396" customFormat="1" ht="40.5" outlineLevel="1" x14ac:dyDescent="0.25">
      <c r="A1980" s="467" t="s">
        <v>2541</v>
      </c>
      <c r="B1980" s="576">
        <v>169</v>
      </c>
      <c r="C1980" s="607" t="s">
        <v>1363</v>
      </c>
      <c r="D1980" s="706"/>
      <c r="E1980" s="642"/>
      <c r="F1980" s="642"/>
      <c r="G1980" s="578"/>
      <c r="H1980" s="707">
        <f>SUBTOTAL(9,H1981:H1989)</f>
        <v>112.9</v>
      </c>
      <c r="I1980" s="579">
        <f>SUBTOTAL(9,I1981:I1986)</f>
        <v>0</v>
      </c>
      <c r="J1980" s="574"/>
      <c r="K1980" s="581"/>
      <c r="L1980" s="581"/>
      <c r="M1980" s="571">
        <f>SUBTOTAL(9,M1981:M1989)</f>
        <v>52566000</v>
      </c>
      <c r="N1980" s="571">
        <f>SUBTOTAL(9,N1981:N1989)</f>
        <v>0</v>
      </c>
      <c r="O1980" s="607"/>
      <c r="P1980" s="738">
        <f>SUBTOTAL(9,P1981:P1989)</f>
        <v>0</v>
      </c>
      <c r="Q1980" s="571"/>
      <c r="R1980" s="571">
        <f>SUBTOTAL(9,R1981:R1989)</f>
        <v>0</v>
      </c>
      <c r="S1980" s="607"/>
      <c r="T1980" s="621"/>
      <c r="U1980" s="739">
        <f>SUBTOTAL(9,U1981:U1989)</f>
        <v>0</v>
      </c>
      <c r="V1980" s="578"/>
      <c r="W1980" s="571"/>
      <c r="X1980" s="571">
        <f>SUBTOTAL(9,X1981:X1989)</f>
        <v>0</v>
      </c>
      <c r="Y1980" s="650"/>
      <c r="Z1980" s="586"/>
      <c r="AA1980" s="742"/>
      <c r="AB1980" s="586"/>
      <c r="AC1980" s="586"/>
      <c r="AD1980" s="586"/>
      <c r="AE1980" s="578"/>
      <c r="AF1980" s="712">
        <f>SUBTOTAL(9,AF1981:AF1989)</f>
        <v>0</v>
      </c>
      <c r="AG1980" s="585"/>
      <c r="AH1980" s="585">
        <f>SUBTOTAL(9,AH1981:AH1989)</f>
        <v>0</v>
      </c>
      <c r="AI1980" s="571">
        <f t="shared" si="434"/>
        <v>52566000</v>
      </c>
      <c r="AJ1980" s="574"/>
      <c r="AK1980" s="578"/>
    </row>
    <row r="1981" spans="1:37" s="396" customFormat="1" ht="246.75" outlineLevel="2" x14ac:dyDescent="0.3">
      <c r="A1981" s="447">
        <f>IF(B1980&lt;&gt;0,B1980,A1979)</f>
        <v>169</v>
      </c>
      <c r="B1981" s="557"/>
      <c r="C1981" s="572" t="s">
        <v>1366</v>
      </c>
      <c r="D1981" s="700"/>
      <c r="E1981" s="612">
        <v>86</v>
      </c>
      <c r="F1981" s="612" t="s">
        <v>2180</v>
      </c>
      <c r="G1981" s="586" t="s">
        <v>2434</v>
      </c>
      <c r="H1981" s="709">
        <v>112.9</v>
      </c>
      <c r="I1981" s="546" t="str">
        <f t="shared" ref="I1981" si="443">IF(N1981&gt;0,H1981,"")</f>
        <v/>
      </c>
      <c r="J1981" s="558"/>
      <c r="K1981" s="563">
        <f>IF(G1981&lt;&gt;0,VLOOKUP(G1981,'gia dat'!$A$1:$F$144,5,0)," ")</f>
        <v>465600</v>
      </c>
      <c r="L1981" s="563">
        <f>IF(G1981&lt;&gt;0,VLOOKUP(G1981,'gia dat'!$A$1:$F$144,6,0)," ")</f>
        <v>0</v>
      </c>
      <c r="M1981" s="564">
        <f t="shared" si="439"/>
        <v>52566000</v>
      </c>
      <c r="N1981" s="564">
        <f t="shared" si="440"/>
        <v>0</v>
      </c>
      <c r="O1981" s="572"/>
      <c r="P1981" s="740"/>
      <c r="Q1981" s="564"/>
      <c r="R1981" s="564"/>
      <c r="S1981" s="572"/>
      <c r="T1981" s="609"/>
      <c r="U1981" s="741"/>
      <c r="V1981" s="586"/>
      <c r="W1981" s="564" t="str">
        <f>IF(S1981&lt;&gt;0,VLOOKUP(S1981,VKT!$A$2:$G$415,7,0),"")</f>
        <v/>
      </c>
      <c r="X1981" s="564" t="str">
        <f t="shared" si="442"/>
        <v xml:space="preserve"> </v>
      </c>
      <c r="Y1981" s="650"/>
      <c r="Z1981" s="586"/>
      <c r="AA1981" s="742"/>
      <c r="AB1981" s="586"/>
      <c r="AC1981" s="586"/>
      <c r="AD1981" s="586"/>
      <c r="AE1981" s="586"/>
      <c r="AF1981" s="714"/>
      <c r="AG1981" s="570" t="str">
        <f>IF(AE1981&lt;&gt;0,VLOOKUP(AE1981,ODDS!$A$2:$C$13,3,0),"")</f>
        <v/>
      </c>
      <c r="AH1981" s="570"/>
      <c r="AI1981" s="571" t="str">
        <f t="shared" si="434"/>
        <v xml:space="preserve"> </v>
      </c>
      <c r="AJ1981" s="558" t="s">
        <v>2849</v>
      </c>
      <c r="AK1981" s="586" t="s">
        <v>2771</v>
      </c>
    </row>
    <row r="1982" spans="1:37" s="394" customFormat="1" ht="81" outlineLevel="2" x14ac:dyDescent="0.3">
      <c r="A1982" s="447">
        <f t="shared" ref="A1982:A1989" si="444">IF(B1981&lt;&gt;0,B1981,A1981)</f>
        <v>169</v>
      </c>
      <c r="B1982" s="557"/>
      <c r="C1982" s="572" t="s">
        <v>1621</v>
      </c>
      <c r="D1982" s="700"/>
      <c r="E1982" s="612"/>
      <c r="F1982" s="612"/>
      <c r="G1982" s="731"/>
      <c r="H1982" s="745"/>
      <c r="I1982" s="546"/>
      <c r="J1982" s="558"/>
      <c r="K1982" s="563" t="str">
        <f>IF(G1982&lt;&gt;0,VLOOKUP(G1982,'gia dat'!$A$1:$F$144,5,0)," ")</f>
        <v xml:space="preserve"> </v>
      </c>
      <c r="L1982" s="563" t="str">
        <f>IF(G1982&lt;&gt;0,VLOOKUP(G1982,'gia dat'!$A$1:$F$144,6,0)," ")</f>
        <v xml:space="preserve"> </v>
      </c>
      <c r="M1982" s="564" t="str">
        <f t="shared" si="439"/>
        <v xml:space="preserve"> </v>
      </c>
      <c r="N1982" s="564" t="str">
        <f t="shared" si="440"/>
        <v xml:space="preserve"> </v>
      </c>
      <c r="O1982" s="572"/>
      <c r="P1982" s="740"/>
      <c r="Q1982" s="564"/>
      <c r="R1982" s="564"/>
      <c r="S1982" s="572"/>
      <c r="T1982" s="609"/>
      <c r="U1982" s="741"/>
      <c r="V1982" s="586"/>
      <c r="W1982" s="564" t="str">
        <f>IF(S1982&lt;&gt;0,VLOOKUP(S1982,VKT!$A$2:$G$415,7,0),"")</f>
        <v/>
      </c>
      <c r="X1982" s="564" t="str">
        <f t="shared" si="442"/>
        <v xml:space="preserve"> </v>
      </c>
      <c r="Y1982" s="650"/>
      <c r="Z1982" s="586"/>
      <c r="AA1982" s="742"/>
      <c r="AB1982" s="586"/>
      <c r="AC1982" s="586"/>
      <c r="AD1982" s="586"/>
      <c r="AE1982" s="586"/>
      <c r="AF1982" s="714"/>
      <c r="AG1982" s="570" t="str">
        <f>IF(AE1982&lt;&gt;0,VLOOKUP(AE1982,ODDS!$A$2:$C$13,3,0),"")</f>
        <v/>
      </c>
      <c r="AH1982" s="570"/>
      <c r="AI1982" s="571" t="str">
        <f t="shared" si="434"/>
        <v xml:space="preserve"> </v>
      </c>
      <c r="AJ1982" s="586"/>
      <c r="AK1982" s="586"/>
    </row>
    <row r="1983" spans="1:37" s="394" customFormat="1" ht="20.25" outlineLevel="2" x14ac:dyDescent="0.3">
      <c r="A1983" s="447">
        <f t="shared" si="444"/>
        <v>169</v>
      </c>
      <c r="B1983" s="557"/>
      <c r="C1983" s="572"/>
      <c r="D1983" s="700"/>
      <c r="E1983" s="612"/>
      <c r="F1983" s="612"/>
      <c r="G1983" s="586"/>
      <c r="H1983" s="709"/>
      <c r="I1983" s="546"/>
      <c r="J1983" s="558"/>
      <c r="K1983" s="563" t="str">
        <f>IF(G1983&lt;&gt;0,VLOOKUP(G1983,'gia dat'!$A$1:$F$144,5,0)," ")</f>
        <v xml:space="preserve"> </v>
      </c>
      <c r="L1983" s="563" t="str">
        <f>IF(G1983&lt;&gt;0,VLOOKUP(G1983,'gia dat'!$A$1:$F$144,6,0)," ")</f>
        <v xml:space="preserve"> </v>
      </c>
      <c r="M1983" s="564" t="str">
        <f t="shared" si="439"/>
        <v xml:space="preserve"> </v>
      </c>
      <c r="N1983" s="564" t="str">
        <f t="shared" si="440"/>
        <v xml:space="preserve"> </v>
      </c>
      <c r="O1983" s="572"/>
      <c r="P1983" s="740"/>
      <c r="Q1983" s="564"/>
      <c r="R1983" s="564"/>
      <c r="S1983" s="572"/>
      <c r="T1983" s="609"/>
      <c r="U1983" s="741"/>
      <c r="V1983" s="586"/>
      <c r="W1983" s="564" t="str">
        <f>IF(S1983&lt;&gt;0,VLOOKUP(S1983,VKT!$A$2:$G$415,7,0),"")</f>
        <v/>
      </c>
      <c r="X1983" s="564" t="str">
        <f t="shared" si="442"/>
        <v xml:space="preserve"> </v>
      </c>
      <c r="Y1983" s="650"/>
      <c r="Z1983" s="586"/>
      <c r="AA1983" s="742"/>
      <c r="AB1983" s="586"/>
      <c r="AC1983" s="586"/>
      <c r="AD1983" s="586"/>
      <c r="AE1983" s="586"/>
      <c r="AF1983" s="714"/>
      <c r="AG1983" s="570" t="str">
        <f>IF(AE1983&lt;&gt;0,VLOOKUP(AE1983,ODDS!$A$2:$C$13,3,0),"")</f>
        <v/>
      </c>
      <c r="AH1983" s="570"/>
      <c r="AI1983" s="571" t="str">
        <f t="shared" si="434"/>
        <v xml:space="preserve"> </v>
      </c>
      <c r="AJ1983" s="586"/>
      <c r="AK1983" s="586"/>
    </row>
    <row r="1984" spans="1:37" s="394" customFormat="1" ht="20.25" outlineLevel="2" x14ac:dyDescent="0.3">
      <c r="A1984" s="447">
        <f t="shared" si="444"/>
        <v>169</v>
      </c>
      <c r="B1984" s="557"/>
      <c r="C1984" s="572"/>
      <c r="D1984" s="700"/>
      <c r="E1984" s="612"/>
      <c r="F1984" s="612"/>
      <c r="G1984" s="586"/>
      <c r="H1984" s="709"/>
      <c r="I1984" s="546"/>
      <c r="J1984" s="558"/>
      <c r="K1984" s="563" t="str">
        <f>IF(G1984&lt;&gt;0,VLOOKUP(G1984,'gia dat'!$A$1:$F$144,5,0)," ")</f>
        <v xml:space="preserve"> </v>
      </c>
      <c r="L1984" s="563" t="str">
        <f>IF(G1984&lt;&gt;0,VLOOKUP(G1984,'gia dat'!$A$1:$F$144,6,0)," ")</f>
        <v xml:space="preserve"> </v>
      </c>
      <c r="M1984" s="564" t="str">
        <f t="shared" si="439"/>
        <v xml:space="preserve"> </v>
      </c>
      <c r="N1984" s="564" t="str">
        <f t="shared" si="440"/>
        <v xml:space="preserve"> </v>
      </c>
      <c r="O1984" s="572"/>
      <c r="P1984" s="740"/>
      <c r="Q1984" s="564"/>
      <c r="R1984" s="564"/>
      <c r="S1984" s="572"/>
      <c r="T1984" s="609"/>
      <c r="U1984" s="741"/>
      <c r="V1984" s="586"/>
      <c r="W1984" s="564" t="str">
        <f>IF(S1984&lt;&gt;0,VLOOKUP(S1984,VKT!$A$2:$G$415,7,0),"")</f>
        <v/>
      </c>
      <c r="X1984" s="564" t="str">
        <f t="shared" si="442"/>
        <v xml:space="preserve"> </v>
      </c>
      <c r="Y1984" s="650"/>
      <c r="Z1984" s="586"/>
      <c r="AA1984" s="742"/>
      <c r="AB1984" s="586"/>
      <c r="AC1984" s="586"/>
      <c r="AD1984" s="586"/>
      <c r="AE1984" s="586"/>
      <c r="AF1984" s="714"/>
      <c r="AG1984" s="570" t="str">
        <f>IF(AE1984&lt;&gt;0,VLOOKUP(AE1984,ODDS!$A$2:$C$13,3,0),"")</f>
        <v/>
      </c>
      <c r="AH1984" s="570"/>
      <c r="AI1984" s="571" t="str">
        <f t="shared" si="434"/>
        <v xml:space="preserve"> </v>
      </c>
      <c r="AJ1984" s="586"/>
      <c r="AK1984" s="586"/>
    </row>
    <row r="1985" spans="1:37" s="394" customFormat="1" ht="20.25" outlineLevel="2" x14ac:dyDescent="0.3">
      <c r="A1985" s="447">
        <f t="shared" si="444"/>
        <v>169</v>
      </c>
      <c r="B1985" s="557"/>
      <c r="C1985" s="572"/>
      <c r="D1985" s="700"/>
      <c r="E1985" s="612"/>
      <c r="F1985" s="612"/>
      <c r="G1985" s="586"/>
      <c r="H1985" s="709"/>
      <c r="I1985" s="546"/>
      <c r="J1985" s="558"/>
      <c r="K1985" s="563" t="str">
        <f>IF(G1985&lt;&gt;0,VLOOKUP(G1985,'gia dat'!$A$1:$F$144,5,0)," ")</f>
        <v xml:space="preserve"> </v>
      </c>
      <c r="L1985" s="563" t="str">
        <f>IF(G1985&lt;&gt;0,VLOOKUP(G1985,'gia dat'!$A$1:$F$144,6,0)," ")</f>
        <v xml:space="preserve"> </v>
      </c>
      <c r="M1985" s="564" t="str">
        <f t="shared" si="439"/>
        <v xml:space="preserve"> </v>
      </c>
      <c r="N1985" s="564" t="str">
        <f t="shared" si="440"/>
        <v xml:space="preserve"> </v>
      </c>
      <c r="O1985" s="572"/>
      <c r="P1985" s="740"/>
      <c r="Q1985" s="564"/>
      <c r="R1985" s="564"/>
      <c r="S1985" s="572"/>
      <c r="T1985" s="609"/>
      <c r="U1985" s="741"/>
      <c r="V1985" s="586"/>
      <c r="W1985" s="564" t="str">
        <f>IF(S1985&lt;&gt;0,VLOOKUP(S1985,VKT!$A$2:$G$415,7,0),"")</f>
        <v/>
      </c>
      <c r="X1985" s="564" t="str">
        <f t="shared" si="442"/>
        <v xml:space="preserve"> </v>
      </c>
      <c r="Y1985" s="650"/>
      <c r="Z1985" s="586"/>
      <c r="AA1985" s="742"/>
      <c r="AB1985" s="586"/>
      <c r="AC1985" s="586"/>
      <c r="AD1985" s="586"/>
      <c r="AE1985" s="586"/>
      <c r="AF1985" s="714"/>
      <c r="AG1985" s="570" t="str">
        <f>IF(AE1985&lt;&gt;0,VLOOKUP(AE1985,ODDS!$A$2:$C$13,3,0),"")</f>
        <v/>
      </c>
      <c r="AH1985" s="570"/>
      <c r="AI1985" s="571" t="str">
        <f t="shared" si="434"/>
        <v xml:space="preserve"> </v>
      </c>
      <c r="AJ1985" s="586"/>
      <c r="AK1985" s="586"/>
    </row>
    <row r="1986" spans="1:37" s="394" customFormat="1" ht="20.25" outlineLevel="2" x14ac:dyDescent="0.3">
      <c r="A1986" s="447">
        <f t="shared" si="444"/>
        <v>169</v>
      </c>
      <c r="B1986" s="557"/>
      <c r="C1986" s="572"/>
      <c r="D1986" s="700"/>
      <c r="E1986" s="612"/>
      <c r="F1986" s="612"/>
      <c r="G1986" s="586"/>
      <c r="H1986" s="709"/>
      <c r="I1986" s="546"/>
      <c r="J1986" s="558"/>
      <c r="K1986" s="563" t="str">
        <f>IF(G1986&lt;&gt;0,VLOOKUP(G1986,'gia dat'!$A$1:$F$144,5,0)," ")</f>
        <v xml:space="preserve"> </v>
      </c>
      <c r="L1986" s="563" t="str">
        <f>IF(G1986&lt;&gt;0,VLOOKUP(G1986,'gia dat'!$A$1:$F$144,6,0)," ")</f>
        <v xml:space="preserve"> </v>
      </c>
      <c r="M1986" s="564" t="str">
        <f t="shared" si="439"/>
        <v xml:space="preserve"> </v>
      </c>
      <c r="N1986" s="564" t="str">
        <f t="shared" si="440"/>
        <v xml:space="preserve"> </v>
      </c>
      <c r="O1986" s="572"/>
      <c r="P1986" s="740"/>
      <c r="Q1986" s="564"/>
      <c r="R1986" s="564"/>
      <c r="S1986" s="572"/>
      <c r="T1986" s="609"/>
      <c r="U1986" s="741"/>
      <c r="V1986" s="586"/>
      <c r="W1986" s="564" t="str">
        <f>IF(S1986&lt;&gt;0,VLOOKUP(S1986,VKT!$A$2:$G$415,7,0),"")</f>
        <v/>
      </c>
      <c r="X1986" s="564" t="str">
        <f t="shared" si="442"/>
        <v xml:space="preserve"> </v>
      </c>
      <c r="Y1986" s="650"/>
      <c r="Z1986" s="586"/>
      <c r="AA1986" s="742"/>
      <c r="AB1986" s="586"/>
      <c r="AC1986" s="586"/>
      <c r="AD1986" s="586"/>
      <c r="AE1986" s="586"/>
      <c r="AF1986" s="714"/>
      <c r="AG1986" s="570" t="str">
        <f>IF(AE1986&lt;&gt;0,VLOOKUP(AE1986,ODDS!$A$2:$C$13,3,0),"")</f>
        <v/>
      </c>
      <c r="AH1986" s="570"/>
      <c r="AI1986" s="571" t="str">
        <f t="shared" si="434"/>
        <v xml:space="preserve"> </v>
      </c>
      <c r="AJ1986" s="586"/>
      <c r="AK1986" s="586"/>
    </row>
    <row r="1987" spans="1:37" s="394" customFormat="1" ht="20.25" outlineLevel="2" x14ac:dyDescent="0.3">
      <c r="A1987" s="447">
        <f t="shared" si="444"/>
        <v>169</v>
      </c>
      <c r="B1987" s="557"/>
      <c r="C1987" s="572"/>
      <c r="D1987" s="700"/>
      <c r="E1987" s="612"/>
      <c r="F1987" s="612"/>
      <c r="G1987" s="586"/>
      <c r="H1987" s="709"/>
      <c r="I1987" s="546"/>
      <c r="J1987" s="558"/>
      <c r="K1987" s="563" t="str">
        <f>IF(G1987&lt;&gt;0,VLOOKUP(G1987,'gia dat'!$A$1:$F$144,5,0)," ")</f>
        <v xml:space="preserve"> </v>
      </c>
      <c r="L1987" s="563" t="str">
        <f>IF(G1987&lt;&gt;0,VLOOKUP(G1987,'gia dat'!$A$1:$F$144,6,0)," ")</f>
        <v xml:space="preserve"> </v>
      </c>
      <c r="M1987" s="564" t="str">
        <f t="shared" si="439"/>
        <v xml:space="preserve"> </v>
      </c>
      <c r="N1987" s="564" t="str">
        <f t="shared" si="440"/>
        <v xml:space="preserve"> </v>
      </c>
      <c r="O1987" s="572"/>
      <c r="P1987" s="740"/>
      <c r="Q1987" s="564"/>
      <c r="R1987" s="564"/>
      <c r="S1987" s="572"/>
      <c r="T1987" s="609"/>
      <c r="U1987" s="741"/>
      <c r="V1987" s="586"/>
      <c r="W1987" s="564" t="str">
        <f>IF(S1987&lt;&gt;0,VLOOKUP(S1987,VKT!$A$2:$G$415,7,0),"")</f>
        <v/>
      </c>
      <c r="X1987" s="564" t="str">
        <f t="shared" si="442"/>
        <v xml:space="preserve"> </v>
      </c>
      <c r="Y1987" s="650"/>
      <c r="Z1987" s="586"/>
      <c r="AA1987" s="742"/>
      <c r="AB1987" s="586"/>
      <c r="AC1987" s="586"/>
      <c r="AD1987" s="586"/>
      <c r="AE1987" s="586"/>
      <c r="AF1987" s="714"/>
      <c r="AG1987" s="570" t="str">
        <f>IF(AE1987&lt;&gt;0,VLOOKUP(AE1987,ODDS!$A$2:$C$13,3,0),"")</f>
        <v/>
      </c>
      <c r="AH1987" s="570"/>
      <c r="AI1987" s="571" t="str">
        <f t="shared" si="434"/>
        <v xml:space="preserve"> </v>
      </c>
      <c r="AJ1987" s="586"/>
      <c r="AK1987" s="586"/>
    </row>
    <row r="1988" spans="1:37" s="394" customFormat="1" ht="20.25" outlineLevel="2" x14ac:dyDescent="0.3">
      <c r="A1988" s="447">
        <f t="shared" si="444"/>
        <v>169</v>
      </c>
      <c r="B1988" s="557"/>
      <c r="C1988" s="572"/>
      <c r="D1988" s="700"/>
      <c r="E1988" s="612"/>
      <c r="F1988" s="612"/>
      <c r="G1988" s="586"/>
      <c r="H1988" s="709"/>
      <c r="I1988" s="546"/>
      <c r="J1988" s="558"/>
      <c r="K1988" s="563" t="str">
        <f>IF(G1988&lt;&gt;0,VLOOKUP(G1988,'gia dat'!$A$1:$F$144,5,0)," ")</f>
        <v xml:space="preserve"> </v>
      </c>
      <c r="L1988" s="563" t="str">
        <f>IF(G1988&lt;&gt;0,VLOOKUP(G1988,'gia dat'!$A$1:$F$144,6,0)," ")</f>
        <v xml:space="preserve"> </v>
      </c>
      <c r="M1988" s="564" t="str">
        <f t="shared" si="439"/>
        <v xml:space="preserve"> </v>
      </c>
      <c r="N1988" s="564" t="str">
        <f t="shared" si="440"/>
        <v xml:space="preserve"> </v>
      </c>
      <c r="O1988" s="572"/>
      <c r="P1988" s="740"/>
      <c r="Q1988" s="564"/>
      <c r="R1988" s="564"/>
      <c r="S1988" s="572"/>
      <c r="T1988" s="609"/>
      <c r="U1988" s="741"/>
      <c r="V1988" s="586"/>
      <c r="W1988" s="564" t="str">
        <f>IF(S1988&lt;&gt;0,VLOOKUP(S1988,VKT!$A$2:$G$415,7,0),"")</f>
        <v/>
      </c>
      <c r="X1988" s="564" t="str">
        <f t="shared" si="442"/>
        <v xml:space="preserve"> </v>
      </c>
      <c r="Y1988" s="650"/>
      <c r="Z1988" s="586"/>
      <c r="AA1988" s="742"/>
      <c r="AB1988" s="586"/>
      <c r="AC1988" s="586"/>
      <c r="AD1988" s="586"/>
      <c r="AE1988" s="586"/>
      <c r="AF1988" s="714"/>
      <c r="AG1988" s="570" t="str">
        <f>IF(AE1988&lt;&gt;0,VLOOKUP(AE1988,ODDS!$A$2:$C$13,3,0),"")</f>
        <v/>
      </c>
      <c r="AH1988" s="570"/>
      <c r="AI1988" s="571" t="str">
        <f t="shared" si="434"/>
        <v xml:space="preserve"> </v>
      </c>
      <c r="AJ1988" s="586"/>
      <c r="AK1988" s="586"/>
    </row>
    <row r="1989" spans="1:37" s="394" customFormat="1" ht="20.25" outlineLevel="2" x14ac:dyDescent="0.3">
      <c r="A1989" s="447">
        <f t="shared" si="444"/>
        <v>169</v>
      </c>
      <c r="B1989" s="557"/>
      <c r="C1989" s="607"/>
      <c r="D1989" s="700"/>
      <c r="E1989" s="612"/>
      <c r="F1989" s="612"/>
      <c r="G1989" s="586"/>
      <c r="H1989" s="709"/>
      <c r="I1989" s="546"/>
      <c r="J1989" s="558"/>
      <c r="K1989" s="563" t="str">
        <f>IF(G1989&lt;&gt;0,VLOOKUP(G1989,'gia dat'!$A$1:$F$144,5,0)," ")</f>
        <v xml:space="preserve"> </v>
      </c>
      <c r="L1989" s="563" t="str">
        <f>IF(G1989&lt;&gt;0,VLOOKUP(G1989,'gia dat'!$A$1:$F$144,6,0)," ")</f>
        <v xml:space="preserve"> </v>
      </c>
      <c r="M1989" s="564" t="str">
        <f t="shared" si="439"/>
        <v xml:space="preserve"> </v>
      </c>
      <c r="N1989" s="564" t="str">
        <f t="shared" si="440"/>
        <v xml:space="preserve"> </v>
      </c>
      <c r="O1989" s="572"/>
      <c r="P1989" s="740"/>
      <c r="Q1989" s="564"/>
      <c r="R1989" s="564"/>
      <c r="S1989" s="572"/>
      <c r="T1989" s="609"/>
      <c r="U1989" s="741"/>
      <c r="V1989" s="586"/>
      <c r="W1989" s="564" t="str">
        <f>IF(S1989&lt;&gt;0,VLOOKUP(S1989,VKT!$A$2:$G$415,7,0),"")</f>
        <v/>
      </c>
      <c r="X1989" s="564" t="str">
        <f t="shared" si="442"/>
        <v xml:space="preserve"> </v>
      </c>
      <c r="Y1989" s="650"/>
      <c r="Z1989" s="586"/>
      <c r="AA1989" s="742"/>
      <c r="AB1989" s="586"/>
      <c r="AC1989" s="586"/>
      <c r="AD1989" s="586"/>
      <c r="AE1989" s="586"/>
      <c r="AF1989" s="714"/>
      <c r="AG1989" s="570" t="str">
        <f>IF(AE1989&lt;&gt;0,VLOOKUP(AE1989,ODDS!$A$2:$C$13,3,0),"")</f>
        <v/>
      </c>
      <c r="AH1989" s="570"/>
      <c r="AI1989" s="571" t="str">
        <f t="shared" si="434"/>
        <v xml:space="preserve"> </v>
      </c>
      <c r="AJ1989" s="586"/>
      <c r="AK1989" s="586"/>
    </row>
    <row r="1990" spans="1:37" s="396" customFormat="1" ht="40.5" outlineLevel="1" x14ac:dyDescent="0.25">
      <c r="A1990" s="467" t="s">
        <v>2540</v>
      </c>
      <c r="B1990" s="576">
        <v>170</v>
      </c>
      <c r="C1990" s="607" t="s">
        <v>1363</v>
      </c>
      <c r="D1990" s="706"/>
      <c r="E1990" s="642"/>
      <c r="F1990" s="642"/>
      <c r="G1990" s="578"/>
      <c r="H1990" s="707">
        <f>SUBTOTAL(9,H1991:H2011)</f>
        <v>2591.6</v>
      </c>
      <c r="I1990" s="579">
        <f>SUBTOTAL(9,I1991:I1996)</f>
        <v>1878.7</v>
      </c>
      <c r="J1990" s="580"/>
      <c r="K1990" s="581"/>
      <c r="L1990" s="581"/>
      <c r="M1990" s="571">
        <f>SUBTOTAL(9,M1991:M2011)</f>
        <v>1206649000</v>
      </c>
      <c r="N1990" s="571">
        <f>SUBTOTAL(9,N1991:N2011)</f>
        <v>2624168000</v>
      </c>
      <c r="O1990" s="607"/>
      <c r="P1990" s="738">
        <f>SUBTOTAL(9,P1991:P2011)</f>
        <v>6</v>
      </c>
      <c r="Q1990" s="571"/>
      <c r="R1990" s="571">
        <f>SUBTOTAL(9,R1991:R2011)</f>
        <v>4199000</v>
      </c>
      <c r="S1990" s="582"/>
      <c r="T1990" s="621"/>
      <c r="U1990" s="739">
        <f>SUBTOTAL(9,U1991:U2011)</f>
        <v>511.77</v>
      </c>
      <c r="V1990" s="578"/>
      <c r="W1990" s="571"/>
      <c r="X1990" s="571">
        <f>SUBTOTAL(9,X1991:X2011)</f>
        <v>419115000</v>
      </c>
      <c r="Y1990" s="650"/>
      <c r="Z1990" s="586"/>
      <c r="AA1990" s="742"/>
      <c r="AB1990" s="586"/>
      <c r="AC1990" s="586"/>
      <c r="AD1990" s="586"/>
      <c r="AE1990" s="578"/>
      <c r="AF1990" s="712">
        <f>SUBTOTAL(9,AF1991:AF2011)</f>
        <v>0</v>
      </c>
      <c r="AG1990" s="585"/>
      <c r="AH1990" s="585">
        <f>SUBTOTAL(9,AH1991:AH2011)</f>
        <v>0</v>
      </c>
      <c r="AI1990" s="571">
        <f t="shared" si="434"/>
        <v>4254131000</v>
      </c>
      <c r="AJ1990" s="578"/>
      <c r="AK1990" s="578"/>
    </row>
    <row r="1991" spans="1:37" s="396" customFormat="1" ht="121.5" outlineLevel="2" x14ac:dyDescent="0.3">
      <c r="A1991" s="447">
        <f>IF(B1990&lt;&gt;0,B1990,A1989)</f>
        <v>170</v>
      </c>
      <c r="B1991" s="557"/>
      <c r="C1991" s="572" t="s">
        <v>1366</v>
      </c>
      <c r="D1991" s="700">
        <v>4</v>
      </c>
      <c r="E1991" s="612">
        <v>86</v>
      </c>
      <c r="F1991" s="612" t="s">
        <v>1364</v>
      </c>
      <c r="G1991" s="586" t="s">
        <v>2438</v>
      </c>
      <c r="H1991" s="709">
        <f>1954.1-H1968-H1974</f>
        <v>1878.7</v>
      </c>
      <c r="I1991" s="546">
        <f t="shared" ref="I1991:I1992" si="445">IF(N1991&gt;0,H1991,"")</f>
        <v>1878.7</v>
      </c>
      <c r="J1991" s="562"/>
      <c r="K1991" s="563">
        <f>IF(G1991&lt;&gt;0,VLOOKUP(G1991,'gia dat'!$A$1:$F$144,5,0)," ")</f>
        <v>465600</v>
      </c>
      <c r="L1991" s="563">
        <f>IF(G1991&lt;&gt;0,VLOOKUP(G1991,'gia dat'!$A$1:$F$144,6,0)," ")</f>
        <v>1396800</v>
      </c>
      <c r="M1991" s="564">
        <f t="shared" si="439"/>
        <v>874723000</v>
      </c>
      <c r="N1991" s="564">
        <f t="shared" si="440"/>
        <v>2624168000</v>
      </c>
      <c r="O1991" s="572" t="s">
        <v>1218</v>
      </c>
      <c r="P1991" s="740">
        <v>1</v>
      </c>
      <c r="Q1991" s="564">
        <f>IF(O1991&lt;&gt;0,VLOOKUP(O1991,'Cây trong'!$A$2:$C$246,3,0)," ")</f>
        <v>571000</v>
      </c>
      <c r="R1991" s="564">
        <f t="shared" si="427"/>
        <v>571000</v>
      </c>
      <c r="S1991" s="566" t="s">
        <v>1966</v>
      </c>
      <c r="T1991" s="609" t="s">
        <v>1133</v>
      </c>
      <c r="U1991" s="741">
        <v>83.6</v>
      </c>
      <c r="V1991" s="586"/>
      <c r="W1991" s="564">
        <f>IF(S1991&lt;&gt;0,VLOOKUP(S1991,VKT!$A$2:$G$415,7,0),"")</f>
        <v>945291</v>
      </c>
      <c r="X1991" s="564">
        <f t="shared" si="442"/>
        <v>79026000</v>
      </c>
      <c r="Y1991" s="650"/>
      <c r="Z1991" s="586"/>
      <c r="AA1991" s="742"/>
      <c r="AB1991" s="586"/>
      <c r="AC1991" s="586"/>
      <c r="AD1991" s="586"/>
      <c r="AE1991" s="586"/>
      <c r="AF1991" s="714"/>
      <c r="AG1991" s="570" t="str">
        <f>IF(AE1991&lt;&gt;0,VLOOKUP(AE1991,ODDS!$A$2:$C$13,3,0),"")</f>
        <v/>
      </c>
      <c r="AH1991" s="570"/>
      <c r="AI1991" s="571" t="str">
        <f t="shared" si="434"/>
        <v xml:space="preserve"> </v>
      </c>
      <c r="AJ1991" s="586" t="s">
        <v>1365</v>
      </c>
      <c r="AK1991" s="586" t="s">
        <v>2771</v>
      </c>
    </row>
    <row r="1992" spans="1:37" s="394" customFormat="1" ht="81" outlineLevel="2" x14ac:dyDescent="0.3">
      <c r="A1992" s="447">
        <f t="shared" ref="A1992:A2011" si="446">IF(B1991&lt;&gt;0,B1991,A1991)</f>
        <v>170</v>
      </c>
      <c r="B1992" s="557"/>
      <c r="C1992" s="572" t="s">
        <v>1621</v>
      </c>
      <c r="D1992" s="700"/>
      <c r="E1992" s="612"/>
      <c r="F1992" s="612"/>
      <c r="G1992" s="586" t="s">
        <v>2439</v>
      </c>
      <c r="H1992" s="709">
        <f>919.4-H1981-H1975-H1969</f>
        <v>712.9</v>
      </c>
      <c r="I1992" s="546" t="str">
        <f t="shared" si="445"/>
        <v/>
      </c>
      <c r="J1992" s="562"/>
      <c r="K1992" s="563">
        <f>IF(G1992&lt;&gt;0,VLOOKUP(G1992,'gia dat'!$A$1:$F$144,5,0)," ")</f>
        <v>465600</v>
      </c>
      <c r="L1992" s="563">
        <f>IF(G1992&lt;&gt;0,VLOOKUP(G1992,'gia dat'!$A$1:$F$144,6,0)," ")</f>
        <v>0</v>
      </c>
      <c r="M1992" s="564">
        <f t="shared" si="439"/>
        <v>331926000</v>
      </c>
      <c r="N1992" s="564">
        <f t="shared" si="440"/>
        <v>0</v>
      </c>
      <c r="O1992" s="572" t="s">
        <v>408</v>
      </c>
      <c r="P1992" s="740">
        <v>2</v>
      </c>
      <c r="Q1992" s="564">
        <f>IF(O1992&lt;&gt;0,VLOOKUP(O1992,'Cây trong'!$A$2:$C$246,3,0)," ")</f>
        <v>337000</v>
      </c>
      <c r="R1992" s="564">
        <f t="shared" si="427"/>
        <v>674000</v>
      </c>
      <c r="S1992" s="566" t="s">
        <v>1763</v>
      </c>
      <c r="T1992" s="609" t="s">
        <v>1133</v>
      </c>
      <c r="U1992" s="741">
        <v>31.079999999999995</v>
      </c>
      <c r="V1992" s="586"/>
      <c r="W1992" s="564">
        <f>IF(S1992&lt;&gt;0,VLOOKUP(S1992,VKT!$A$2:$G$415,7,0),"")</f>
        <v>3550600</v>
      </c>
      <c r="X1992" s="564">
        <f t="shared" si="442"/>
        <v>110353000</v>
      </c>
      <c r="Y1992" s="661" t="s">
        <v>1138</v>
      </c>
      <c r="Z1992" s="683" t="s">
        <v>1139</v>
      </c>
      <c r="AA1992" s="683" t="s">
        <v>56</v>
      </c>
      <c r="AB1992" s="694" t="s">
        <v>269</v>
      </c>
      <c r="AC1992" s="683" t="s">
        <v>1138</v>
      </c>
      <c r="AD1992" s="683"/>
      <c r="AE1992" s="683"/>
      <c r="AF1992" s="590"/>
      <c r="AG1992" s="570" t="str">
        <f>IF(AE1992&lt;&gt;0,VLOOKUP(AE1992,ODDS!$A$2:$C$13,3,0),"")</f>
        <v/>
      </c>
      <c r="AH1992" s="570" t="str">
        <f t="shared" si="428"/>
        <v xml:space="preserve"> </v>
      </c>
      <c r="AI1992" s="571" t="str">
        <f t="shared" si="434"/>
        <v xml:space="preserve"> </v>
      </c>
      <c r="AJ1992" s="586" t="s">
        <v>1367</v>
      </c>
      <c r="AK1992" s="558" t="s">
        <v>2448</v>
      </c>
    </row>
    <row r="1993" spans="1:37" s="394" customFormat="1" ht="121.5" outlineLevel="2" x14ac:dyDescent="0.3">
      <c r="A1993" s="447">
        <f t="shared" si="446"/>
        <v>170</v>
      </c>
      <c r="B1993" s="557"/>
      <c r="C1993" s="572"/>
      <c r="D1993" s="700"/>
      <c r="E1993" s="612"/>
      <c r="F1993" s="612"/>
      <c r="G1993" s="586"/>
      <c r="H1993" s="709"/>
      <c r="I1993" s="546"/>
      <c r="J1993" s="562"/>
      <c r="K1993" s="563" t="str">
        <f>IF(G1993&lt;&gt;0,VLOOKUP(G1993,'gia dat'!$A$1:$F$144,5,0)," ")</f>
        <v xml:space="preserve"> </v>
      </c>
      <c r="L1993" s="563" t="str">
        <f>IF(G1993&lt;&gt;0,VLOOKUP(G1993,'gia dat'!$A$1:$F$144,6,0)," ")</f>
        <v xml:space="preserve"> </v>
      </c>
      <c r="M1993" s="564" t="str">
        <f t="shared" si="439"/>
        <v xml:space="preserve"> </v>
      </c>
      <c r="N1993" s="564" t="str">
        <f t="shared" si="440"/>
        <v xml:space="preserve"> </v>
      </c>
      <c r="O1993" s="572" t="s">
        <v>1368</v>
      </c>
      <c r="P1993" s="740">
        <v>1</v>
      </c>
      <c r="Q1993" s="564">
        <f>IF(O1993&lt;&gt;0,VLOOKUP(O1993,'Cây trong'!$A$2:$C$246,3,0)," ")</f>
        <v>554000</v>
      </c>
      <c r="R1993" s="564">
        <f t="shared" si="427"/>
        <v>554000</v>
      </c>
      <c r="S1993" s="566" t="s">
        <v>1959</v>
      </c>
      <c r="T1993" s="609" t="s">
        <v>1133</v>
      </c>
      <c r="U1993" s="741">
        <v>2.52</v>
      </c>
      <c r="V1993" s="586"/>
      <c r="W1993" s="564">
        <f>IF(S1993&lt;&gt;0,VLOOKUP(S1993,VKT!$A$2:$G$415,7,0),"")</f>
        <v>9347414</v>
      </c>
      <c r="X1993" s="564">
        <f t="shared" si="442"/>
        <v>23555000</v>
      </c>
      <c r="Y1993" s="650"/>
      <c r="Z1993" s="586"/>
      <c r="AA1993" s="742"/>
      <c r="AB1993" s="586"/>
      <c r="AC1993" s="586"/>
      <c r="AD1993" s="586"/>
      <c r="AE1993" s="586"/>
      <c r="AF1993" s="714"/>
      <c r="AG1993" s="570" t="str">
        <f>IF(AE1993&lt;&gt;0,VLOOKUP(AE1993,ODDS!$A$2:$C$13,3,0),"")</f>
        <v/>
      </c>
      <c r="AH1993" s="570" t="str">
        <f t="shared" si="428"/>
        <v xml:space="preserve"> </v>
      </c>
      <c r="AI1993" s="571" t="str">
        <f t="shared" ref="AI1993:AI2056" si="447">IF(B1993&lt;&gt;0,M1993+N1993+R1993+X1993+AH1993," ")</f>
        <v xml:space="preserve"> </v>
      </c>
      <c r="AJ1993" s="586" t="s">
        <v>1303</v>
      </c>
      <c r="AK1993" s="558" t="s">
        <v>2450</v>
      </c>
    </row>
    <row r="1994" spans="1:37" s="394" customFormat="1" ht="101.25" outlineLevel="2" x14ac:dyDescent="0.3">
      <c r="A1994" s="447">
        <f t="shared" si="446"/>
        <v>170</v>
      </c>
      <c r="B1994" s="557"/>
      <c r="C1994" s="572"/>
      <c r="D1994" s="700"/>
      <c r="E1994" s="612"/>
      <c r="F1994" s="612"/>
      <c r="G1994" s="586"/>
      <c r="H1994" s="709"/>
      <c r="I1994" s="546"/>
      <c r="J1994" s="562"/>
      <c r="K1994" s="563" t="str">
        <f>IF(G1994&lt;&gt;0,VLOOKUP(G1994,'gia dat'!$A$1:$F$144,5,0)," ")</f>
        <v xml:space="preserve"> </v>
      </c>
      <c r="L1994" s="563" t="str">
        <f>IF(G1994&lt;&gt;0,VLOOKUP(G1994,'gia dat'!$A$1:$F$144,6,0)," ")</f>
        <v xml:space="preserve"> </v>
      </c>
      <c r="M1994" s="564" t="str">
        <f t="shared" si="439"/>
        <v xml:space="preserve"> </v>
      </c>
      <c r="N1994" s="564" t="str">
        <f t="shared" si="440"/>
        <v xml:space="preserve"> </v>
      </c>
      <c r="O1994" s="572" t="s">
        <v>1351</v>
      </c>
      <c r="P1994" s="740">
        <v>1</v>
      </c>
      <c r="Q1994" s="564">
        <f>IF(O1994&lt;&gt;0,VLOOKUP(O1994,'Cây trong'!$A$2:$C$246,3,0)," ")</f>
        <v>2400000</v>
      </c>
      <c r="R1994" s="564">
        <f t="shared" ref="R1994:R2063" si="448">IF(O1994&lt;&gt;0,ROUND(P1994*Q1994,-2)," ")</f>
        <v>2400000</v>
      </c>
      <c r="S1994" s="566" t="s">
        <v>1960</v>
      </c>
      <c r="T1994" s="609" t="s">
        <v>1133</v>
      </c>
      <c r="U1994" s="741">
        <v>24</v>
      </c>
      <c r="V1994" s="586"/>
      <c r="W1994" s="564">
        <f>IF(S1994&lt;&gt;0,VLOOKUP(S1994,VKT!$A$2:$G$415,7,0),"")</f>
        <v>770070</v>
      </c>
      <c r="X1994" s="564">
        <f t="shared" si="442"/>
        <v>18482000</v>
      </c>
      <c r="Y1994" s="650"/>
      <c r="Z1994" s="586"/>
      <c r="AA1994" s="742"/>
      <c r="AB1994" s="586"/>
      <c r="AC1994" s="586"/>
      <c r="AD1994" s="586"/>
      <c r="AE1994" s="586"/>
      <c r="AF1994" s="714"/>
      <c r="AG1994" s="570" t="str">
        <f>IF(AE1994&lt;&gt;0,VLOOKUP(AE1994,ODDS!$A$2:$C$13,3,0),"")</f>
        <v/>
      </c>
      <c r="AH1994" s="570" t="str">
        <f t="shared" ref="AH1994:AH2063" si="449">IF(AE1994&lt;&gt;0,ROUND(AF1994*AG1994,-2)," ")</f>
        <v xml:space="preserve"> </v>
      </c>
      <c r="AI1994" s="571" t="str">
        <f t="shared" si="447"/>
        <v xml:space="preserve"> </v>
      </c>
      <c r="AJ1994" s="586" t="s">
        <v>2074</v>
      </c>
      <c r="AK1994" s="558" t="s">
        <v>2449</v>
      </c>
    </row>
    <row r="1995" spans="1:37" s="394" customFormat="1" ht="101.25" outlineLevel="2" x14ac:dyDescent="0.3">
      <c r="A1995" s="447">
        <f t="shared" si="446"/>
        <v>170</v>
      </c>
      <c r="B1995" s="557"/>
      <c r="C1995" s="572"/>
      <c r="D1995" s="700"/>
      <c r="E1995" s="612"/>
      <c r="F1995" s="612"/>
      <c r="G1995" s="586"/>
      <c r="H1995" s="709"/>
      <c r="I1995" s="546"/>
      <c r="J1995" s="562"/>
      <c r="K1995" s="563" t="str">
        <f>IF(G1995&lt;&gt;0,VLOOKUP(G1995,'gia dat'!$A$1:$F$144,5,0)," ")</f>
        <v xml:space="preserve"> </v>
      </c>
      <c r="L1995" s="563" t="str">
        <f>IF(G1995&lt;&gt;0,VLOOKUP(G1995,'gia dat'!$A$1:$F$144,6,0)," ")</f>
        <v xml:space="preserve"> </v>
      </c>
      <c r="M1995" s="564" t="str">
        <f t="shared" si="439"/>
        <v xml:space="preserve"> </v>
      </c>
      <c r="N1995" s="564" t="str">
        <f t="shared" si="440"/>
        <v xml:space="preserve"> </v>
      </c>
      <c r="O1995" s="572" t="s">
        <v>1369</v>
      </c>
      <c r="P1995" s="740">
        <v>1</v>
      </c>
      <c r="Q1995" s="564">
        <f>IF(O1995&lt;&gt;0,VLOOKUP(O1995,'Cây trong'!$A$2:$C$246,3,0)," ")</f>
        <v>0</v>
      </c>
      <c r="R1995" s="564">
        <f t="shared" si="448"/>
        <v>0</v>
      </c>
      <c r="S1995" s="566" t="s">
        <v>1961</v>
      </c>
      <c r="T1995" s="609" t="s">
        <v>1133</v>
      </c>
      <c r="U1995" s="741">
        <v>63.5</v>
      </c>
      <c r="V1995" s="586"/>
      <c r="W1995" s="564">
        <f>IF(S1995&lt;&gt;0,VLOOKUP(S1995,VKT!$A$2:$G$415,7,0),"")</f>
        <v>700040</v>
      </c>
      <c r="X1995" s="564">
        <f t="shared" si="442"/>
        <v>44453000</v>
      </c>
      <c r="Y1995" s="650"/>
      <c r="Z1995" s="586"/>
      <c r="AA1995" s="742"/>
      <c r="AB1995" s="586"/>
      <c r="AC1995" s="586"/>
      <c r="AD1995" s="586"/>
      <c r="AE1995" s="586"/>
      <c r="AF1995" s="714"/>
      <c r="AG1995" s="570" t="str">
        <f>IF(AE1995&lt;&gt;0,VLOOKUP(AE1995,ODDS!$A$2:$C$13,3,0),"")</f>
        <v/>
      </c>
      <c r="AH1995" s="570" t="str">
        <f t="shared" si="449"/>
        <v xml:space="preserve"> </v>
      </c>
      <c r="AI1995" s="571" t="str">
        <f t="shared" si="447"/>
        <v xml:space="preserve"> </v>
      </c>
      <c r="AJ1995" s="750"/>
      <c r="AK1995" s="586" t="s">
        <v>2800</v>
      </c>
    </row>
    <row r="1996" spans="1:37" s="394" customFormat="1" ht="60.75" outlineLevel="2" x14ac:dyDescent="0.3">
      <c r="A1996" s="447">
        <f t="shared" si="446"/>
        <v>170</v>
      </c>
      <c r="B1996" s="557"/>
      <c r="C1996" s="572"/>
      <c r="D1996" s="700"/>
      <c r="E1996" s="612"/>
      <c r="F1996" s="612"/>
      <c r="G1996" s="586"/>
      <c r="H1996" s="709"/>
      <c r="I1996" s="546"/>
      <c r="J1996" s="562"/>
      <c r="K1996" s="563" t="str">
        <f>IF(G1996&lt;&gt;0,VLOOKUP(G1996,'gia dat'!$A$1:$F$144,5,0)," ")</f>
        <v xml:space="preserve"> </v>
      </c>
      <c r="L1996" s="563" t="str">
        <f>IF(G1996&lt;&gt;0,VLOOKUP(G1996,'gia dat'!$A$1:$F$144,6,0)," ")</f>
        <v xml:space="preserve"> </v>
      </c>
      <c r="M1996" s="564" t="str">
        <f t="shared" si="439"/>
        <v xml:space="preserve"> </v>
      </c>
      <c r="N1996" s="564" t="str">
        <f t="shared" si="440"/>
        <v xml:space="preserve"> </v>
      </c>
      <c r="O1996" s="572"/>
      <c r="P1996" s="740"/>
      <c r="Q1996" s="564" t="str">
        <f>IF(O1996&lt;&gt;0,VLOOKUP(O1996,'Cây trong'!$A$2:$C$246,3,0)," ")</f>
        <v xml:space="preserve"> </v>
      </c>
      <c r="R1996" s="564" t="str">
        <f t="shared" si="448"/>
        <v xml:space="preserve"> </v>
      </c>
      <c r="S1996" s="566" t="s">
        <v>2131</v>
      </c>
      <c r="T1996" s="609" t="s">
        <v>1133</v>
      </c>
      <c r="U1996" s="741">
        <v>0.95</v>
      </c>
      <c r="V1996" s="586"/>
      <c r="W1996" s="564">
        <f>IF(S1996&lt;&gt;0,VLOOKUP(S1996,VKT!$A$2:$G$415,7,0),"")</f>
        <v>532230</v>
      </c>
      <c r="X1996" s="564">
        <f t="shared" si="442"/>
        <v>506000</v>
      </c>
      <c r="Y1996" s="650"/>
      <c r="Z1996" s="586"/>
      <c r="AA1996" s="742"/>
      <c r="AB1996" s="586"/>
      <c r="AC1996" s="586"/>
      <c r="AD1996" s="586"/>
      <c r="AE1996" s="586"/>
      <c r="AF1996" s="714"/>
      <c r="AG1996" s="570" t="str">
        <f>IF(AE1996&lt;&gt;0,VLOOKUP(AE1996,ODDS!$A$2:$C$13,3,0),"")</f>
        <v/>
      </c>
      <c r="AH1996" s="570" t="str">
        <f t="shared" si="449"/>
        <v xml:space="preserve"> </v>
      </c>
      <c r="AI1996" s="571" t="str">
        <f t="shared" si="447"/>
        <v xml:space="preserve"> </v>
      </c>
      <c r="AJ1996" s="572"/>
      <c r="AK1996" s="572"/>
    </row>
    <row r="1997" spans="1:37" s="394" customFormat="1" ht="40.5" outlineLevel="2" x14ac:dyDescent="0.3">
      <c r="A1997" s="447">
        <f t="shared" si="446"/>
        <v>170</v>
      </c>
      <c r="B1997" s="557"/>
      <c r="C1997" s="572"/>
      <c r="D1997" s="700"/>
      <c r="E1997" s="612"/>
      <c r="F1997" s="612"/>
      <c r="G1997" s="586"/>
      <c r="H1997" s="709"/>
      <c r="I1997" s="546"/>
      <c r="J1997" s="562"/>
      <c r="K1997" s="563" t="str">
        <f>IF(G1997&lt;&gt;0,VLOOKUP(G1997,'gia dat'!$A$1:$F$144,5,0)," ")</f>
        <v xml:space="preserve"> </v>
      </c>
      <c r="L1997" s="563" t="str">
        <f>IF(G1997&lt;&gt;0,VLOOKUP(G1997,'gia dat'!$A$1:$F$144,6,0)," ")</f>
        <v xml:space="preserve"> </v>
      </c>
      <c r="M1997" s="564" t="str">
        <f t="shared" si="439"/>
        <v xml:space="preserve"> </v>
      </c>
      <c r="N1997" s="564" t="str">
        <f t="shared" si="440"/>
        <v xml:space="preserve"> </v>
      </c>
      <c r="O1997" s="572"/>
      <c r="P1997" s="740"/>
      <c r="Q1997" s="564" t="str">
        <f>IF(O1997&lt;&gt;0,VLOOKUP(O1997,'Cây trong'!$A$2:$C$246,3,0)," ")</f>
        <v xml:space="preserve"> </v>
      </c>
      <c r="R1997" s="564" t="str">
        <f t="shared" si="448"/>
        <v xml:space="preserve"> </v>
      </c>
      <c r="S1997" s="566" t="s">
        <v>2129</v>
      </c>
      <c r="T1997" s="609" t="s">
        <v>1133</v>
      </c>
      <c r="U1997" s="741">
        <v>2.2799999999999998</v>
      </c>
      <c r="V1997" s="586"/>
      <c r="W1997" s="564">
        <f>IF(S1997&lt;&gt;0,VLOOKUP(S1997,VKT!$A$2:$G$415,7,0),"")</f>
        <v>1842140</v>
      </c>
      <c r="X1997" s="564">
        <f t="shared" si="442"/>
        <v>4200000</v>
      </c>
      <c r="Y1997" s="650"/>
      <c r="Z1997" s="586"/>
      <c r="AA1997" s="742"/>
      <c r="AB1997" s="586"/>
      <c r="AC1997" s="586"/>
      <c r="AD1997" s="586"/>
      <c r="AE1997" s="586"/>
      <c r="AF1997" s="714"/>
      <c r="AG1997" s="570" t="str">
        <f>IF(AE1997&lt;&gt;0,VLOOKUP(AE1997,ODDS!$A$2:$C$13,3,0),"")</f>
        <v/>
      </c>
      <c r="AH1997" s="570" t="str">
        <f t="shared" si="449"/>
        <v xml:space="preserve"> </v>
      </c>
      <c r="AI1997" s="571" t="str">
        <f t="shared" si="447"/>
        <v xml:space="preserve"> </v>
      </c>
      <c r="AJ1997" s="572"/>
      <c r="AK1997" s="572"/>
    </row>
    <row r="1998" spans="1:37" s="394" customFormat="1" ht="60.75" outlineLevel="2" x14ac:dyDescent="0.3">
      <c r="A1998" s="447">
        <f t="shared" si="446"/>
        <v>170</v>
      </c>
      <c r="B1998" s="557"/>
      <c r="C1998" s="572"/>
      <c r="D1998" s="700"/>
      <c r="E1998" s="612"/>
      <c r="F1998" s="612"/>
      <c r="G1998" s="586"/>
      <c r="H1998" s="709"/>
      <c r="I1998" s="546"/>
      <c r="J1998" s="562"/>
      <c r="K1998" s="563" t="str">
        <f>IF(G1998&lt;&gt;0,VLOOKUP(G1998,'gia dat'!$A$1:$F$144,5,0)," ")</f>
        <v xml:space="preserve"> </v>
      </c>
      <c r="L1998" s="563" t="str">
        <f>IF(G1998&lt;&gt;0,VLOOKUP(G1998,'gia dat'!$A$1:$F$144,6,0)," ")</f>
        <v xml:space="preserve"> </v>
      </c>
      <c r="M1998" s="564" t="str">
        <f t="shared" si="439"/>
        <v xml:space="preserve"> </v>
      </c>
      <c r="N1998" s="564" t="str">
        <f t="shared" si="440"/>
        <v xml:space="preserve"> </v>
      </c>
      <c r="O1998" s="572"/>
      <c r="P1998" s="740"/>
      <c r="Q1998" s="564" t="str">
        <f>IF(O1998&lt;&gt;0,VLOOKUP(O1998,'Cây trong'!$A$2:$C$246,3,0)," ")</f>
        <v xml:space="preserve"> </v>
      </c>
      <c r="R1998" s="564" t="str">
        <f t="shared" si="448"/>
        <v xml:space="preserve"> </v>
      </c>
      <c r="S1998" s="566" t="s">
        <v>1969</v>
      </c>
      <c r="T1998" s="609" t="s">
        <v>1133</v>
      </c>
      <c r="U1998" s="741">
        <v>50.61</v>
      </c>
      <c r="V1998" s="586"/>
      <c r="W1998" s="564">
        <f>IF(S1998&lt;&gt;0,VLOOKUP(S1998,VKT!$A$2:$G$415,7,0),"")</f>
        <v>0</v>
      </c>
      <c r="X1998" s="564">
        <f t="shared" si="442"/>
        <v>0</v>
      </c>
      <c r="Y1998" s="650"/>
      <c r="Z1998" s="586"/>
      <c r="AA1998" s="742"/>
      <c r="AB1998" s="586"/>
      <c r="AC1998" s="586"/>
      <c r="AD1998" s="586"/>
      <c r="AE1998" s="586"/>
      <c r="AF1998" s="714"/>
      <c r="AG1998" s="570" t="str">
        <f>IF(AE1998&lt;&gt;0,VLOOKUP(AE1998,ODDS!$A$2:$C$13,3,0),"")</f>
        <v/>
      </c>
      <c r="AH1998" s="570" t="str">
        <f t="shared" si="449"/>
        <v xml:space="preserve"> </v>
      </c>
      <c r="AI1998" s="571" t="str">
        <f t="shared" si="447"/>
        <v xml:space="preserve"> </v>
      </c>
      <c r="AJ1998" s="572"/>
      <c r="AK1998" s="572"/>
    </row>
    <row r="1999" spans="1:37" s="394" customFormat="1" ht="60.75" outlineLevel="2" x14ac:dyDescent="0.3">
      <c r="A1999" s="447">
        <f t="shared" si="446"/>
        <v>170</v>
      </c>
      <c r="B1999" s="557"/>
      <c r="C1999" s="572"/>
      <c r="D1999" s="700"/>
      <c r="E1999" s="612"/>
      <c r="F1999" s="612"/>
      <c r="G1999" s="586"/>
      <c r="H1999" s="709"/>
      <c r="I1999" s="546"/>
      <c r="J1999" s="562"/>
      <c r="K1999" s="563" t="str">
        <f>IF(G1999&lt;&gt;0,VLOOKUP(G1999,'gia dat'!$A$1:$F$144,5,0)," ")</f>
        <v xml:space="preserve"> </v>
      </c>
      <c r="L1999" s="563" t="str">
        <f>IF(G1999&lt;&gt;0,VLOOKUP(G1999,'gia dat'!$A$1:$F$144,6,0)," ")</f>
        <v xml:space="preserve"> </v>
      </c>
      <c r="M1999" s="564" t="str">
        <f t="shared" si="439"/>
        <v xml:space="preserve"> </v>
      </c>
      <c r="N1999" s="564" t="str">
        <f t="shared" si="440"/>
        <v xml:space="preserve"> </v>
      </c>
      <c r="O1999" s="572"/>
      <c r="P1999" s="740"/>
      <c r="Q1999" s="564" t="str">
        <f>IF(O1999&lt;&gt;0,VLOOKUP(O1999,'Cây trong'!$A$2:$C$246,3,0)," ")</f>
        <v xml:space="preserve"> </v>
      </c>
      <c r="R1999" s="564" t="str">
        <f t="shared" si="448"/>
        <v xml:space="preserve"> </v>
      </c>
      <c r="S1999" s="566" t="s">
        <v>1956</v>
      </c>
      <c r="T1999" s="609" t="s">
        <v>1286</v>
      </c>
      <c r="U1999" s="741">
        <v>0.05</v>
      </c>
      <c r="V1999" s="586"/>
      <c r="W1999" s="564">
        <f>IF(S1999&lt;&gt;0,VLOOKUP(S1999,VKT!$A$2:$G$415,7,0),"")</f>
        <v>0</v>
      </c>
      <c r="X1999" s="564">
        <f t="shared" si="442"/>
        <v>0</v>
      </c>
      <c r="Y1999" s="650"/>
      <c r="Z1999" s="586"/>
      <c r="AA1999" s="742"/>
      <c r="AB1999" s="586"/>
      <c r="AC1999" s="586"/>
      <c r="AD1999" s="586"/>
      <c r="AE1999" s="586"/>
      <c r="AF1999" s="714"/>
      <c r="AG1999" s="570" t="str">
        <f>IF(AE1999&lt;&gt;0,VLOOKUP(AE1999,ODDS!$A$2:$C$13,3,0),"")</f>
        <v/>
      </c>
      <c r="AH1999" s="570" t="str">
        <f t="shared" si="449"/>
        <v xml:space="preserve"> </v>
      </c>
      <c r="AI1999" s="571" t="str">
        <f t="shared" si="447"/>
        <v xml:space="preserve"> </v>
      </c>
      <c r="AJ1999" s="572"/>
      <c r="AK1999" s="572"/>
    </row>
    <row r="2000" spans="1:37" s="394" customFormat="1" ht="60.75" outlineLevel="2" x14ac:dyDescent="0.3">
      <c r="A2000" s="447">
        <f t="shared" si="446"/>
        <v>170</v>
      </c>
      <c r="B2000" s="557"/>
      <c r="C2000" s="572"/>
      <c r="D2000" s="700"/>
      <c r="E2000" s="612"/>
      <c r="F2000" s="612"/>
      <c r="G2000" s="586"/>
      <c r="H2000" s="709"/>
      <c r="I2000" s="546"/>
      <c r="J2000" s="562"/>
      <c r="K2000" s="563" t="str">
        <f>IF(G2000&lt;&gt;0,VLOOKUP(G2000,'gia dat'!$A$1:$F$144,5,0)," ")</f>
        <v xml:space="preserve"> </v>
      </c>
      <c r="L2000" s="563" t="str">
        <f>IF(G2000&lt;&gt;0,VLOOKUP(G2000,'gia dat'!$A$1:$F$144,6,0)," ")</f>
        <v xml:space="preserve"> </v>
      </c>
      <c r="M2000" s="564" t="str">
        <f t="shared" si="439"/>
        <v xml:space="preserve"> </v>
      </c>
      <c r="N2000" s="564" t="str">
        <f t="shared" si="440"/>
        <v xml:space="preserve"> </v>
      </c>
      <c r="O2000" s="572"/>
      <c r="P2000" s="740"/>
      <c r="Q2000" s="564" t="str">
        <f>IF(O2000&lt;&gt;0,VLOOKUP(O2000,'Cây trong'!$A$2:$C$246,3,0)," ")</f>
        <v xml:space="preserve"> </v>
      </c>
      <c r="R2000" s="564" t="str">
        <f t="shared" si="448"/>
        <v xml:space="preserve"> </v>
      </c>
      <c r="S2000" s="566" t="s">
        <v>1970</v>
      </c>
      <c r="T2000" s="609" t="s">
        <v>1133</v>
      </c>
      <c r="U2000" s="741">
        <v>7.8</v>
      </c>
      <c r="V2000" s="586"/>
      <c r="W2000" s="564">
        <f>IF(S2000&lt;&gt;0,VLOOKUP(S2000,VKT!$A$2:$G$415,7,0),"")</f>
        <v>0</v>
      </c>
      <c r="X2000" s="564">
        <f t="shared" si="442"/>
        <v>0</v>
      </c>
      <c r="Y2000" s="650"/>
      <c r="Z2000" s="586"/>
      <c r="AA2000" s="742"/>
      <c r="AB2000" s="586"/>
      <c r="AC2000" s="586"/>
      <c r="AD2000" s="586"/>
      <c r="AE2000" s="586"/>
      <c r="AF2000" s="714"/>
      <c r="AG2000" s="570" t="str">
        <f>IF(AE2000&lt;&gt;0,VLOOKUP(AE2000,ODDS!$A$2:$C$13,3,0),"")</f>
        <v/>
      </c>
      <c r="AH2000" s="570" t="str">
        <f t="shared" si="449"/>
        <v xml:space="preserve"> </v>
      </c>
      <c r="AI2000" s="571" t="str">
        <f t="shared" si="447"/>
        <v xml:space="preserve"> </v>
      </c>
      <c r="AJ2000" s="572"/>
      <c r="AK2000" s="572"/>
    </row>
    <row r="2001" spans="1:37" s="394" customFormat="1" ht="60.75" outlineLevel="2" x14ac:dyDescent="0.3">
      <c r="A2001" s="447">
        <f t="shared" si="446"/>
        <v>170</v>
      </c>
      <c r="B2001" s="557"/>
      <c r="C2001" s="572"/>
      <c r="D2001" s="700"/>
      <c r="E2001" s="612"/>
      <c r="F2001" s="612"/>
      <c r="G2001" s="586"/>
      <c r="H2001" s="709"/>
      <c r="I2001" s="546"/>
      <c r="J2001" s="562"/>
      <c r="K2001" s="563" t="str">
        <f>IF(G2001&lt;&gt;0,VLOOKUP(G2001,'gia dat'!$A$1:$F$144,5,0)," ")</f>
        <v xml:space="preserve"> </v>
      </c>
      <c r="L2001" s="563" t="str">
        <f>IF(G2001&lt;&gt;0,VLOOKUP(G2001,'gia dat'!$A$1:$F$144,6,0)," ")</f>
        <v xml:space="preserve"> </v>
      </c>
      <c r="M2001" s="564" t="str">
        <f t="shared" si="439"/>
        <v xml:space="preserve"> </v>
      </c>
      <c r="N2001" s="564" t="str">
        <f t="shared" si="440"/>
        <v xml:space="preserve"> </v>
      </c>
      <c r="O2001" s="572"/>
      <c r="P2001" s="740"/>
      <c r="Q2001" s="564" t="str">
        <f>IF(O2001&lt;&gt;0,VLOOKUP(O2001,'Cây trong'!$A$2:$C$246,3,0)," ")</f>
        <v xml:space="preserve"> </v>
      </c>
      <c r="R2001" s="564" t="str">
        <f t="shared" si="448"/>
        <v xml:space="preserve"> </v>
      </c>
      <c r="S2001" s="566" t="s">
        <v>1971</v>
      </c>
      <c r="T2001" s="589" t="s">
        <v>2804</v>
      </c>
      <c r="U2001" s="591">
        <v>2.48</v>
      </c>
      <c r="V2001" s="586"/>
      <c r="W2001" s="564">
        <f>IF(S2001&lt;&gt;0,VLOOKUP(S2001,VKT!$A$2:$G$415,7,0),"")</f>
        <v>160256</v>
      </c>
      <c r="X2001" s="564">
        <f t="shared" si="442"/>
        <v>397000</v>
      </c>
      <c r="Y2001" s="650"/>
      <c r="Z2001" s="586"/>
      <c r="AA2001" s="742"/>
      <c r="AB2001" s="586"/>
      <c r="AC2001" s="586"/>
      <c r="AD2001" s="586"/>
      <c r="AE2001" s="586"/>
      <c r="AF2001" s="714"/>
      <c r="AG2001" s="570" t="str">
        <f>IF(AE2001&lt;&gt;0,VLOOKUP(AE2001,ODDS!$A$2:$C$13,3,0),"")</f>
        <v/>
      </c>
      <c r="AH2001" s="570" t="str">
        <f t="shared" si="449"/>
        <v xml:space="preserve"> </v>
      </c>
      <c r="AI2001" s="571" t="str">
        <f t="shared" si="447"/>
        <v xml:space="preserve"> </v>
      </c>
      <c r="AJ2001" s="572"/>
      <c r="AK2001" s="572"/>
    </row>
    <row r="2002" spans="1:37" s="394" customFormat="1" ht="40.5" outlineLevel="2" x14ac:dyDescent="0.3">
      <c r="A2002" s="447">
        <f t="shared" si="446"/>
        <v>170</v>
      </c>
      <c r="B2002" s="557"/>
      <c r="C2002" s="572"/>
      <c r="D2002" s="700"/>
      <c r="E2002" s="612"/>
      <c r="F2002" s="612"/>
      <c r="G2002" s="586"/>
      <c r="H2002" s="709"/>
      <c r="I2002" s="546"/>
      <c r="J2002" s="562"/>
      <c r="K2002" s="563" t="str">
        <f>IF(G2002&lt;&gt;0,VLOOKUP(G2002,'gia dat'!$A$1:$F$144,5,0)," ")</f>
        <v xml:space="preserve"> </v>
      </c>
      <c r="L2002" s="563" t="str">
        <f>IF(G2002&lt;&gt;0,VLOOKUP(G2002,'gia dat'!$A$1:$F$144,6,0)," ")</f>
        <v xml:space="preserve"> </v>
      </c>
      <c r="M2002" s="564" t="str">
        <f t="shared" si="439"/>
        <v xml:space="preserve"> </v>
      </c>
      <c r="N2002" s="564" t="str">
        <f t="shared" si="440"/>
        <v xml:space="preserve"> </v>
      </c>
      <c r="O2002" s="572"/>
      <c r="P2002" s="740"/>
      <c r="Q2002" s="564" t="str">
        <f>IF(O2002&lt;&gt;0,VLOOKUP(O2002,'Cây trong'!$A$2:$C$246,3,0)," ")</f>
        <v xml:space="preserve"> </v>
      </c>
      <c r="R2002" s="564" t="str">
        <f t="shared" si="448"/>
        <v xml:space="preserve"> </v>
      </c>
      <c r="S2002" s="566" t="s">
        <v>1972</v>
      </c>
      <c r="T2002" s="589" t="s">
        <v>2827</v>
      </c>
      <c r="U2002" s="591">
        <v>4</v>
      </c>
      <c r="V2002" s="586"/>
      <c r="W2002" s="564">
        <f>IF(S2002&lt;&gt;0,VLOOKUP(S2002,VKT!$A$2:$G$415,7,0),"")</f>
        <v>757794</v>
      </c>
      <c r="X2002" s="564">
        <f t="shared" si="442"/>
        <v>3031000</v>
      </c>
      <c r="Y2002" s="650"/>
      <c r="Z2002" s="586"/>
      <c r="AA2002" s="742"/>
      <c r="AB2002" s="586"/>
      <c r="AC2002" s="586"/>
      <c r="AD2002" s="586"/>
      <c r="AE2002" s="586"/>
      <c r="AF2002" s="714"/>
      <c r="AG2002" s="570" t="str">
        <f>IF(AE2002&lt;&gt;0,VLOOKUP(AE2002,ODDS!$A$2:$C$13,3,0),"")</f>
        <v/>
      </c>
      <c r="AH2002" s="570" t="str">
        <f t="shared" si="449"/>
        <v xml:space="preserve"> </v>
      </c>
      <c r="AI2002" s="571" t="str">
        <f t="shared" si="447"/>
        <v xml:space="preserve"> </v>
      </c>
      <c r="AJ2002" s="572"/>
      <c r="AK2002" s="572"/>
    </row>
    <row r="2003" spans="1:37" s="394" customFormat="1" ht="81" outlineLevel="2" x14ac:dyDescent="0.3">
      <c r="A2003" s="447">
        <f t="shared" si="446"/>
        <v>170</v>
      </c>
      <c r="B2003" s="557"/>
      <c r="C2003" s="572"/>
      <c r="D2003" s="700"/>
      <c r="E2003" s="612"/>
      <c r="F2003" s="612"/>
      <c r="G2003" s="586"/>
      <c r="H2003" s="709"/>
      <c r="I2003" s="546"/>
      <c r="J2003" s="562"/>
      <c r="K2003" s="563" t="str">
        <f>IF(G2003&lt;&gt;0,VLOOKUP(G2003,'gia dat'!$A$1:$F$144,5,0)," ")</f>
        <v xml:space="preserve"> </v>
      </c>
      <c r="L2003" s="563" t="str">
        <f>IF(G2003&lt;&gt;0,VLOOKUP(G2003,'gia dat'!$A$1:$F$144,6,0)," ")</f>
        <v xml:space="preserve"> </v>
      </c>
      <c r="M2003" s="564" t="str">
        <f t="shared" si="439"/>
        <v xml:space="preserve"> </v>
      </c>
      <c r="N2003" s="564" t="str">
        <f t="shared" si="440"/>
        <v xml:space="preserve"> </v>
      </c>
      <c r="O2003" s="572"/>
      <c r="P2003" s="740"/>
      <c r="Q2003" s="564" t="str">
        <f>IF(O2003&lt;&gt;0,VLOOKUP(O2003,'Cây trong'!$A$2:$C$246,3,0)," ")</f>
        <v xml:space="preserve"> </v>
      </c>
      <c r="R2003" s="564" t="str">
        <f t="shared" si="448"/>
        <v xml:space="preserve"> </v>
      </c>
      <c r="S2003" s="566" t="s">
        <v>1973</v>
      </c>
      <c r="T2003" s="589" t="s">
        <v>2804</v>
      </c>
      <c r="U2003" s="591">
        <v>64.3</v>
      </c>
      <c r="V2003" s="586"/>
      <c r="W2003" s="564">
        <f>IF(S2003&lt;&gt;0,VLOOKUP(S2003,VKT!$A$2:$G$415,7,0),"")</f>
        <v>700040</v>
      </c>
      <c r="X2003" s="564">
        <f t="shared" si="442"/>
        <v>45013000</v>
      </c>
      <c r="Y2003" s="650"/>
      <c r="Z2003" s="586"/>
      <c r="AA2003" s="742"/>
      <c r="AB2003" s="586"/>
      <c r="AC2003" s="586"/>
      <c r="AD2003" s="586"/>
      <c r="AE2003" s="586"/>
      <c r="AF2003" s="714"/>
      <c r="AG2003" s="570" t="str">
        <f>IF(AE2003&lt;&gt;0,VLOOKUP(AE2003,ODDS!$A$2:$C$13,3,0),"")</f>
        <v/>
      </c>
      <c r="AH2003" s="570" t="str">
        <f t="shared" si="449"/>
        <v xml:space="preserve"> </v>
      </c>
      <c r="AI2003" s="571" t="str">
        <f t="shared" si="447"/>
        <v xml:space="preserve"> </v>
      </c>
      <c r="AJ2003" s="572"/>
      <c r="AK2003" s="572"/>
    </row>
    <row r="2004" spans="1:37" s="394" customFormat="1" ht="81" outlineLevel="2" x14ac:dyDescent="0.3">
      <c r="A2004" s="447">
        <f t="shared" si="446"/>
        <v>170</v>
      </c>
      <c r="B2004" s="557"/>
      <c r="C2004" s="572"/>
      <c r="D2004" s="700"/>
      <c r="E2004" s="612"/>
      <c r="F2004" s="612"/>
      <c r="G2004" s="586"/>
      <c r="H2004" s="709"/>
      <c r="I2004" s="546"/>
      <c r="J2004" s="562"/>
      <c r="K2004" s="563" t="str">
        <f>IF(G2004&lt;&gt;0,VLOOKUP(G2004,'gia dat'!$A$1:$F$144,5,0)," ")</f>
        <v xml:space="preserve"> </v>
      </c>
      <c r="L2004" s="563" t="str">
        <f>IF(G2004&lt;&gt;0,VLOOKUP(G2004,'gia dat'!$A$1:$F$144,6,0)," ")</f>
        <v xml:space="preserve"> </v>
      </c>
      <c r="M2004" s="564" t="str">
        <f t="shared" si="439"/>
        <v xml:space="preserve"> </v>
      </c>
      <c r="N2004" s="564" t="str">
        <f t="shared" si="440"/>
        <v xml:space="preserve"> </v>
      </c>
      <c r="O2004" s="572"/>
      <c r="P2004" s="740"/>
      <c r="Q2004" s="564" t="str">
        <f>IF(O2004&lt;&gt;0,VLOOKUP(O2004,'Cây trong'!$A$2:$C$246,3,0)," ")</f>
        <v xml:space="preserve"> </v>
      </c>
      <c r="R2004" s="564" t="str">
        <f t="shared" si="448"/>
        <v xml:space="preserve"> </v>
      </c>
      <c r="S2004" s="566" t="s">
        <v>1973</v>
      </c>
      <c r="T2004" s="589" t="s">
        <v>2804</v>
      </c>
      <c r="U2004" s="591">
        <v>38.700000000000003</v>
      </c>
      <c r="V2004" s="586"/>
      <c r="W2004" s="564">
        <f>IF(S2004&lt;&gt;0,VLOOKUP(S2004,VKT!$A$2:$G$415,7,0),"")</f>
        <v>700040</v>
      </c>
      <c r="X2004" s="564">
        <f t="shared" si="442"/>
        <v>27092000</v>
      </c>
      <c r="Y2004" s="650"/>
      <c r="Z2004" s="586"/>
      <c r="AA2004" s="742"/>
      <c r="AB2004" s="586"/>
      <c r="AC2004" s="586"/>
      <c r="AD2004" s="586"/>
      <c r="AE2004" s="586"/>
      <c r="AF2004" s="714"/>
      <c r="AG2004" s="570" t="str">
        <f>IF(AE2004&lt;&gt;0,VLOOKUP(AE2004,ODDS!$A$2:$C$13,3,0),"")</f>
        <v/>
      </c>
      <c r="AH2004" s="570" t="str">
        <f t="shared" si="449"/>
        <v xml:space="preserve"> </v>
      </c>
      <c r="AI2004" s="571" t="str">
        <f t="shared" si="447"/>
        <v xml:space="preserve"> </v>
      </c>
      <c r="AJ2004" s="572"/>
      <c r="AK2004" s="572"/>
    </row>
    <row r="2005" spans="1:37" s="394" customFormat="1" ht="60.75" outlineLevel="2" x14ac:dyDescent="0.3">
      <c r="A2005" s="447">
        <f t="shared" si="446"/>
        <v>170</v>
      </c>
      <c r="B2005" s="557"/>
      <c r="C2005" s="572"/>
      <c r="D2005" s="700"/>
      <c r="E2005" s="612"/>
      <c r="F2005" s="612"/>
      <c r="G2005" s="586"/>
      <c r="H2005" s="709"/>
      <c r="I2005" s="546"/>
      <c r="J2005" s="562"/>
      <c r="K2005" s="563" t="str">
        <f>IF(G2005&lt;&gt;0,VLOOKUP(G2005,'gia dat'!$A$1:$F$144,5,0)," ")</f>
        <v xml:space="preserve"> </v>
      </c>
      <c r="L2005" s="563" t="str">
        <f>IF(G2005&lt;&gt;0,VLOOKUP(G2005,'gia dat'!$A$1:$F$144,6,0)," ")</f>
        <v xml:space="preserve"> </v>
      </c>
      <c r="M2005" s="564" t="str">
        <f t="shared" si="439"/>
        <v xml:space="preserve"> </v>
      </c>
      <c r="N2005" s="564" t="str">
        <f t="shared" si="440"/>
        <v xml:space="preserve"> </v>
      </c>
      <c r="O2005" s="572"/>
      <c r="P2005" s="740"/>
      <c r="Q2005" s="564" t="str">
        <f>IF(O2005&lt;&gt;0,VLOOKUP(O2005,'Cây trong'!$A$2:$C$246,3,0)," ")</f>
        <v xml:space="preserve"> </v>
      </c>
      <c r="R2005" s="564" t="str">
        <f t="shared" si="448"/>
        <v xml:space="preserve"> </v>
      </c>
      <c r="S2005" s="566" t="s">
        <v>1846</v>
      </c>
      <c r="T2005" s="589" t="s">
        <v>2804</v>
      </c>
      <c r="U2005" s="591">
        <v>10</v>
      </c>
      <c r="V2005" s="586"/>
      <c r="W2005" s="564">
        <f>IF(S2005&lt;&gt;0,VLOOKUP(S2005,VKT!$A$2:$G$415,7,0),"")</f>
        <v>238288</v>
      </c>
      <c r="X2005" s="564">
        <f t="shared" si="442"/>
        <v>2383000</v>
      </c>
      <c r="Y2005" s="650"/>
      <c r="Z2005" s="586"/>
      <c r="AA2005" s="742"/>
      <c r="AB2005" s="586"/>
      <c r="AC2005" s="586"/>
      <c r="AD2005" s="586"/>
      <c r="AE2005" s="586"/>
      <c r="AF2005" s="714"/>
      <c r="AG2005" s="570" t="str">
        <f>IF(AE2005&lt;&gt;0,VLOOKUP(AE2005,ODDS!$A$2:$C$13,3,0),"")</f>
        <v/>
      </c>
      <c r="AH2005" s="570" t="str">
        <f t="shared" si="449"/>
        <v xml:space="preserve"> </v>
      </c>
      <c r="AI2005" s="571" t="str">
        <f t="shared" si="447"/>
        <v xml:space="preserve"> </v>
      </c>
      <c r="AJ2005" s="572"/>
      <c r="AK2005" s="572"/>
    </row>
    <row r="2006" spans="1:37" s="394" customFormat="1" ht="40.5" outlineLevel="2" x14ac:dyDescent="0.3">
      <c r="A2006" s="447">
        <f t="shared" si="446"/>
        <v>170</v>
      </c>
      <c r="B2006" s="557"/>
      <c r="C2006" s="572"/>
      <c r="D2006" s="700"/>
      <c r="E2006" s="612"/>
      <c r="F2006" s="612"/>
      <c r="G2006" s="586"/>
      <c r="H2006" s="709"/>
      <c r="I2006" s="546"/>
      <c r="J2006" s="562"/>
      <c r="K2006" s="563" t="str">
        <f>IF(G2006&lt;&gt;0,VLOOKUP(G2006,'gia dat'!$A$1:$F$144,5,0)," ")</f>
        <v xml:space="preserve"> </v>
      </c>
      <c r="L2006" s="563" t="str">
        <f>IF(G2006&lt;&gt;0,VLOOKUP(G2006,'gia dat'!$A$1:$F$144,6,0)," ")</f>
        <v xml:space="preserve"> </v>
      </c>
      <c r="M2006" s="564" t="str">
        <f t="shared" si="439"/>
        <v xml:space="preserve"> </v>
      </c>
      <c r="N2006" s="564" t="str">
        <f t="shared" si="440"/>
        <v xml:space="preserve"> </v>
      </c>
      <c r="O2006" s="572"/>
      <c r="P2006" s="740"/>
      <c r="Q2006" s="564" t="str">
        <f>IF(O2006&lt;&gt;0,VLOOKUP(O2006,'Cây trong'!$A$2:$C$246,3,0)," ")</f>
        <v xml:space="preserve"> </v>
      </c>
      <c r="R2006" s="564" t="str">
        <f t="shared" si="448"/>
        <v xml:space="preserve"> </v>
      </c>
      <c r="S2006" s="566" t="s">
        <v>1974</v>
      </c>
      <c r="T2006" s="589" t="s">
        <v>2827</v>
      </c>
      <c r="U2006" s="591">
        <v>80</v>
      </c>
      <c r="V2006" s="586"/>
      <c r="W2006" s="564">
        <f>IF(S2006&lt;&gt;0,VLOOKUP(S2006,VKT!$A$2:$G$415,7,0),"")</f>
        <v>757794</v>
      </c>
      <c r="X2006" s="564">
        <f t="shared" si="442"/>
        <v>60624000</v>
      </c>
      <c r="Y2006" s="650"/>
      <c r="Z2006" s="586"/>
      <c r="AA2006" s="742"/>
      <c r="AB2006" s="586"/>
      <c r="AC2006" s="586"/>
      <c r="AD2006" s="586"/>
      <c r="AE2006" s="586"/>
      <c r="AF2006" s="714"/>
      <c r="AG2006" s="570" t="str">
        <f>IF(AE2006&lt;&gt;0,VLOOKUP(AE2006,ODDS!$A$2:$C$13,3,0),"")</f>
        <v/>
      </c>
      <c r="AH2006" s="570" t="str">
        <f t="shared" si="449"/>
        <v xml:space="preserve"> </v>
      </c>
      <c r="AI2006" s="571" t="str">
        <f t="shared" si="447"/>
        <v xml:space="preserve"> </v>
      </c>
      <c r="AJ2006" s="572"/>
      <c r="AK2006" s="572"/>
    </row>
    <row r="2007" spans="1:37" s="394" customFormat="1" ht="60.75" outlineLevel="2" x14ac:dyDescent="0.3">
      <c r="A2007" s="447">
        <f t="shared" si="446"/>
        <v>170</v>
      </c>
      <c r="B2007" s="557"/>
      <c r="C2007" s="572"/>
      <c r="D2007" s="700"/>
      <c r="E2007" s="612"/>
      <c r="F2007" s="612"/>
      <c r="G2007" s="586"/>
      <c r="H2007" s="709"/>
      <c r="I2007" s="546"/>
      <c r="J2007" s="562"/>
      <c r="K2007" s="563" t="str">
        <f>IF(G2007&lt;&gt;0,VLOOKUP(G2007,'gia dat'!$A$1:$F$144,5,0)," ")</f>
        <v xml:space="preserve"> </v>
      </c>
      <c r="L2007" s="563" t="str">
        <f>IF(G2007&lt;&gt;0,VLOOKUP(G2007,'gia dat'!$A$1:$F$144,6,0)," ")</f>
        <v xml:space="preserve"> </v>
      </c>
      <c r="M2007" s="564" t="str">
        <f t="shared" si="439"/>
        <v xml:space="preserve"> </v>
      </c>
      <c r="N2007" s="564" t="str">
        <f t="shared" si="440"/>
        <v xml:space="preserve"> </v>
      </c>
      <c r="O2007" s="572"/>
      <c r="P2007" s="740"/>
      <c r="Q2007" s="564" t="str">
        <f>IF(O2007&lt;&gt;0,VLOOKUP(O2007,'Cây trong'!$A$2:$C$246,3,0)," ")</f>
        <v xml:space="preserve"> </v>
      </c>
      <c r="R2007" s="564" t="str">
        <f t="shared" si="448"/>
        <v xml:space="preserve"> </v>
      </c>
      <c r="S2007" s="566" t="s">
        <v>1975</v>
      </c>
      <c r="T2007" s="589" t="s">
        <v>2804</v>
      </c>
      <c r="U2007" s="591">
        <v>45.9</v>
      </c>
      <c r="V2007" s="586"/>
      <c r="W2007" s="564">
        <f>IF(S2007&lt;&gt;0,VLOOKUP(S2007,VKT!$A$2:$G$415,7,0),"")</f>
        <v>0</v>
      </c>
      <c r="X2007" s="564">
        <f t="shared" si="442"/>
        <v>0</v>
      </c>
      <c r="Y2007" s="650"/>
      <c r="Z2007" s="586"/>
      <c r="AA2007" s="742"/>
      <c r="AB2007" s="586"/>
      <c r="AC2007" s="586"/>
      <c r="AD2007" s="586"/>
      <c r="AE2007" s="586"/>
      <c r="AF2007" s="714"/>
      <c r="AG2007" s="570" t="str">
        <f>IF(AE2007&lt;&gt;0,VLOOKUP(AE2007,ODDS!$A$2:$C$13,3,0),"")</f>
        <v/>
      </c>
      <c r="AH2007" s="570" t="str">
        <f t="shared" si="449"/>
        <v xml:space="preserve"> </v>
      </c>
      <c r="AI2007" s="571" t="str">
        <f t="shared" si="447"/>
        <v xml:space="preserve"> </v>
      </c>
      <c r="AJ2007" s="572"/>
      <c r="AK2007" s="572"/>
    </row>
    <row r="2008" spans="1:37" s="394" customFormat="1" ht="20.25" outlineLevel="2" x14ac:dyDescent="0.3">
      <c r="A2008" s="447">
        <f t="shared" si="446"/>
        <v>170</v>
      </c>
      <c r="B2008" s="557"/>
      <c r="C2008" s="572"/>
      <c r="D2008" s="700"/>
      <c r="E2008" s="612"/>
      <c r="F2008" s="612"/>
      <c r="G2008" s="586"/>
      <c r="H2008" s="709"/>
      <c r="I2008" s="546"/>
      <c r="J2008" s="562"/>
      <c r="K2008" s="563" t="str">
        <f>IF(G2008&lt;&gt;0,VLOOKUP(G2008,'gia dat'!$A$1:$F$144,5,0)," ")</f>
        <v xml:space="preserve"> </v>
      </c>
      <c r="L2008" s="563" t="str">
        <f>IF(G2008&lt;&gt;0,VLOOKUP(G2008,'gia dat'!$A$1:$F$144,6,0)," ")</f>
        <v xml:space="preserve"> </v>
      </c>
      <c r="M2008" s="564" t="str">
        <f t="shared" si="439"/>
        <v xml:space="preserve"> </v>
      </c>
      <c r="N2008" s="564" t="str">
        <f t="shared" si="440"/>
        <v xml:space="preserve"> </v>
      </c>
      <c r="O2008" s="572"/>
      <c r="P2008" s="740"/>
      <c r="Q2008" s="564" t="str">
        <f>IF(O2008&lt;&gt;0,VLOOKUP(O2008,'Cây trong'!$A$2:$C$246,3,0)," ")</f>
        <v xml:space="preserve"> </v>
      </c>
      <c r="R2008" s="564" t="str">
        <f t="shared" si="448"/>
        <v xml:space="preserve"> </v>
      </c>
      <c r="S2008" s="566"/>
      <c r="T2008" s="609"/>
      <c r="U2008" s="741"/>
      <c r="V2008" s="586"/>
      <c r="W2008" s="564" t="str">
        <f>IF(S2008&lt;&gt;0,VLOOKUP(S2008,VKT!$A$2:$G$415,7,0),"")</f>
        <v/>
      </c>
      <c r="X2008" s="564" t="str">
        <f t="shared" si="442"/>
        <v xml:space="preserve"> </v>
      </c>
      <c r="Y2008" s="650"/>
      <c r="Z2008" s="586"/>
      <c r="AA2008" s="742"/>
      <c r="AB2008" s="586"/>
      <c r="AC2008" s="586"/>
      <c r="AD2008" s="586"/>
      <c r="AE2008" s="586"/>
      <c r="AF2008" s="714"/>
      <c r="AG2008" s="570" t="str">
        <f>IF(AE2008&lt;&gt;0,VLOOKUP(AE2008,ODDS!$A$2:$C$13,3,0),"")</f>
        <v/>
      </c>
      <c r="AH2008" s="570" t="str">
        <f t="shared" si="449"/>
        <v xml:space="preserve"> </v>
      </c>
      <c r="AI2008" s="571" t="str">
        <f t="shared" si="447"/>
        <v xml:space="preserve"> </v>
      </c>
      <c r="AJ2008" s="572"/>
      <c r="AK2008" s="572"/>
    </row>
    <row r="2009" spans="1:37" s="394" customFormat="1" ht="20.25" outlineLevel="2" x14ac:dyDescent="0.3">
      <c r="A2009" s="447">
        <f t="shared" si="446"/>
        <v>170</v>
      </c>
      <c r="B2009" s="557"/>
      <c r="C2009" s="572"/>
      <c r="D2009" s="700"/>
      <c r="E2009" s="612"/>
      <c r="F2009" s="612"/>
      <c r="G2009" s="586"/>
      <c r="H2009" s="709"/>
      <c r="I2009" s="546"/>
      <c r="J2009" s="562"/>
      <c r="K2009" s="563" t="str">
        <f>IF(G2009&lt;&gt;0,VLOOKUP(G2009,'gia dat'!$A$1:$F$144,5,0)," ")</f>
        <v xml:space="preserve"> </v>
      </c>
      <c r="L2009" s="563" t="str">
        <f>IF(G2009&lt;&gt;0,VLOOKUP(G2009,'gia dat'!$A$1:$F$144,6,0)," ")</f>
        <v xml:space="preserve"> </v>
      </c>
      <c r="M2009" s="564" t="str">
        <f t="shared" si="439"/>
        <v xml:space="preserve"> </v>
      </c>
      <c r="N2009" s="564" t="str">
        <f t="shared" si="440"/>
        <v xml:space="preserve"> </v>
      </c>
      <c r="O2009" s="572"/>
      <c r="P2009" s="740"/>
      <c r="Q2009" s="564" t="str">
        <f>IF(O2009&lt;&gt;0,VLOOKUP(O2009,'Cây trong'!$A$2:$C$246,3,0)," ")</f>
        <v xml:space="preserve"> </v>
      </c>
      <c r="R2009" s="564" t="str">
        <f t="shared" si="448"/>
        <v xml:space="preserve"> </v>
      </c>
      <c r="S2009" s="566"/>
      <c r="T2009" s="609"/>
      <c r="U2009" s="741"/>
      <c r="V2009" s="586"/>
      <c r="W2009" s="564" t="str">
        <f>IF(S2009&lt;&gt;0,VLOOKUP(S2009,VKT!$A$2:$G$415,7,0),"")</f>
        <v/>
      </c>
      <c r="X2009" s="564" t="str">
        <f t="shared" si="442"/>
        <v xml:space="preserve"> </v>
      </c>
      <c r="Y2009" s="650"/>
      <c r="Z2009" s="586"/>
      <c r="AA2009" s="742"/>
      <c r="AB2009" s="586"/>
      <c r="AC2009" s="586"/>
      <c r="AD2009" s="586"/>
      <c r="AE2009" s="586"/>
      <c r="AF2009" s="714"/>
      <c r="AG2009" s="570" t="str">
        <f>IF(AE2009&lt;&gt;0,VLOOKUP(AE2009,ODDS!$A$2:$C$13,3,0),"")</f>
        <v/>
      </c>
      <c r="AH2009" s="570" t="str">
        <f t="shared" si="449"/>
        <v xml:space="preserve"> </v>
      </c>
      <c r="AI2009" s="571" t="str">
        <f t="shared" si="447"/>
        <v xml:space="preserve"> </v>
      </c>
      <c r="AJ2009" s="572"/>
      <c r="AK2009" s="572"/>
    </row>
    <row r="2010" spans="1:37" s="394" customFormat="1" ht="20.25" outlineLevel="2" x14ac:dyDescent="0.3">
      <c r="A2010" s="447">
        <f t="shared" si="446"/>
        <v>170</v>
      </c>
      <c r="B2010" s="557"/>
      <c r="C2010" s="572"/>
      <c r="D2010" s="700"/>
      <c r="E2010" s="612"/>
      <c r="F2010" s="612"/>
      <c r="G2010" s="586"/>
      <c r="H2010" s="709"/>
      <c r="I2010" s="546"/>
      <c r="J2010" s="562"/>
      <c r="K2010" s="563" t="str">
        <f>IF(G2010&lt;&gt;0,VLOOKUP(G2010,'gia dat'!$A$1:$F$144,5,0)," ")</f>
        <v xml:space="preserve"> </v>
      </c>
      <c r="L2010" s="563" t="str">
        <f>IF(G2010&lt;&gt;0,VLOOKUP(G2010,'gia dat'!$A$1:$F$144,6,0)," ")</f>
        <v xml:space="preserve"> </v>
      </c>
      <c r="M2010" s="564" t="str">
        <f t="shared" si="439"/>
        <v xml:space="preserve"> </v>
      </c>
      <c r="N2010" s="564" t="str">
        <f t="shared" si="440"/>
        <v xml:space="preserve"> </v>
      </c>
      <c r="O2010" s="572"/>
      <c r="P2010" s="740"/>
      <c r="Q2010" s="564" t="str">
        <f>IF(O2010&lt;&gt;0,VLOOKUP(O2010,'Cây trong'!$A$2:$C$246,3,0)," ")</f>
        <v xml:space="preserve"> </v>
      </c>
      <c r="R2010" s="564" t="str">
        <f t="shared" si="448"/>
        <v xml:space="preserve"> </v>
      </c>
      <c r="S2010" s="566"/>
      <c r="T2010" s="609"/>
      <c r="U2010" s="741"/>
      <c r="V2010" s="586"/>
      <c r="W2010" s="564" t="str">
        <f>IF(S2010&lt;&gt;0,VLOOKUP(S2010,VKT!$A$2:$G$415,7,0),"")</f>
        <v/>
      </c>
      <c r="X2010" s="564" t="str">
        <f t="shared" si="442"/>
        <v xml:space="preserve"> </v>
      </c>
      <c r="Y2010" s="650"/>
      <c r="Z2010" s="586"/>
      <c r="AA2010" s="742"/>
      <c r="AB2010" s="586"/>
      <c r="AC2010" s="586"/>
      <c r="AD2010" s="586"/>
      <c r="AE2010" s="586"/>
      <c r="AF2010" s="714"/>
      <c r="AG2010" s="570" t="str">
        <f>IF(AE2010&lt;&gt;0,VLOOKUP(AE2010,ODDS!$A$2:$C$13,3,0),"")</f>
        <v/>
      </c>
      <c r="AH2010" s="570" t="str">
        <f t="shared" si="449"/>
        <v xml:space="preserve"> </v>
      </c>
      <c r="AI2010" s="571" t="str">
        <f t="shared" si="447"/>
        <v xml:space="preserve"> </v>
      </c>
      <c r="AJ2010" s="586"/>
      <c r="AK2010" s="586"/>
    </row>
    <row r="2011" spans="1:37" s="394" customFormat="1" ht="20.25" outlineLevel="2" x14ac:dyDescent="0.3">
      <c r="A2011" s="447">
        <f t="shared" si="446"/>
        <v>170</v>
      </c>
      <c r="B2011" s="557"/>
      <c r="C2011" s="607"/>
      <c r="D2011" s="700"/>
      <c r="E2011" s="612"/>
      <c r="F2011" s="612"/>
      <c r="G2011" s="586"/>
      <c r="H2011" s="709"/>
      <c r="I2011" s="546"/>
      <c r="J2011" s="562"/>
      <c r="K2011" s="563" t="str">
        <f>IF(G2011&lt;&gt;0,VLOOKUP(G2011,'gia dat'!$A$1:$F$144,5,0)," ")</f>
        <v xml:space="preserve"> </v>
      </c>
      <c r="L2011" s="563" t="str">
        <f>IF(G2011&lt;&gt;0,VLOOKUP(G2011,'gia dat'!$A$1:$F$144,6,0)," ")</f>
        <v xml:space="preserve"> </v>
      </c>
      <c r="M2011" s="564" t="str">
        <f t="shared" si="439"/>
        <v xml:space="preserve"> </v>
      </c>
      <c r="N2011" s="564" t="str">
        <f t="shared" si="440"/>
        <v xml:space="preserve"> </v>
      </c>
      <c r="O2011" s="572"/>
      <c r="P2011" s="740"/>
      <c r="Q2011" s="564" t="str">
        <f>IF(O2011&lt;&gt;0,VLOOKUP(O2011,'Cây trong'!$A$2:$C$246,3,0)," ")</f>
        <v xml:space="preserve"> </v>
      </c>
      <c r="R2011" s="564" t="str">
        <f t="shared" si="448"/>
        <v xml:space="preserve"> </v>
      </c>
      <c r="S2011" s="566"/>
      <c r="T2011" s="609"/>
      <c r="U2011" s="741"/>
      <c r="V2011" s="586"/>
      <c r="W2011" s="564" t="str">
        <f>IF(S2011&lt;&gt;0,VLOOKUP(S2011,VKT!$A$2:$G$415,7,0),"")</f>
        <v/>
      </c>
      <c r="X2011" s="564" t="str">
        <f t="shared" si="442"/>
        <v xml:space="preserve"> </v>
      </c>
      <c r="Y2011" s="650"/>
      <c r="Z2011" s="586"/>
      <c r="AA2011" s="742"/>
      <c r="AB2011" s="586"/>
      <c r="AC2011" s="586"/>
      <c r="AD2011" s="586"/>
      <c r="AE2011" s="586"/>
      <c r="AF2011" s="714"/>
      <c r="AG2011" s="570" t="str">
        <f>IF(AE2011&lt;&gt;0,VLOOKUP(AE2011,ODDS!$A$2:$C$13,3,0),"")</f>
        <v/>
      </c>
      <c r="AH2011" s="570" t="str">
        <f t="shared" si="449"/>
        <v xml:space="preserve"> </v>
      </c>
      <c r="AI2011" s="571" t="str">
        <f t="shared" si="447"/>
        <v xml:space="preserve"> </v>
      </c>
      <c r="AJ2011" s="586"/>
      <c r="AK2011" s="586"/>
    </row>
    <row r="2012" spans="1:37" s="396" customFormat="1" ht="40.5" outlineLevel="1" x14ac:dyDescent="0.25">
      <c r="A2012" s="467" t="s">
        <v>2539</v>
      </c>
      <c r="B2012" s="576">
        <v>171</v>
      </c>
      <c r="C2012" s="607" t="s">
        <v>1363</v>
      </c>
      <c r="D2012" s="706"/>
      <c r="E2012" s="642"/>
      <c r="F2012" s="642"/>
      <c r="G2012" s="578"/>
      <c r="H2012" s="707">
        <f>SUBTOTAL(9,H2013:H2019)</f>
        <v>95</v>
      </c>
      <c r="I2012" s="579">
        <f>SUBTOTAL(9,I2013:I2018)</f>
        <v>95</v>
      </c>
      <c r="J2012" s="580"/>
      <c r="K2012" s="581"/>
      <c r="L2012" s="581"/>
      <c r="M2012" s="571">
        <f>SUBTOTAL(9,M2013:M2019)</f>
        <v>35796000</v>
      </c>
      <c r="N2012" s="571">
        <f>SUBTOTAL(9,N2013:N2019)</f>
        <v>107388000</v>
      </c>
      <c r="O2012" s="607"/>
      <c r="P2012" s="738">
        <f>SUBTOTAL(9,P2013:P2019)</f>
        <v>0</v>
      </c>
      <c r="Q2012" s="571"/>
      <c r="R2012" s="571">
        <f>SUBTOTAL(9,R2013:R2019)</f>
        <v>0</v>
      </c>
      <c r="S2012" s="582"/>
      <c r="T2012" s="621"/>
      <c r="U2012" s="739">
        <f>SUBTOTAL(9,U2013:U2019)</f>
        <v>0</v>
      </c>
      <c r="V2012" s="578"/>
      <c r="W2012" s="571"/>
      <c r="X2012" s="571">
        <f>SUBTOTAL(9,X2013:X2019)</f>
        <v>0</v>
      </c>
      <c r="Y2012" s="650"/>
      <c r="Z2012" s="586"/>
      <c r="AA2012" s="742"/>
      <c r="AB2012" s="586"/>
      <c r="AC2012" s="586"/>
      <c r="AD2012" s="586"/>
      <c r="AE2012" s="578"/>
      <c r="AF2012" s="712">
        <f>SUBTOTAL(9,AF2013:AF2019)</f>
        <v>0</v>
      </c>
      <c r="AG2012" s="585"/>
      <c r="AH2012" s="585">
        <f>SUBTOTAL(9,AH2013:AH2019)</f>
        <v>0</v>
      </c>
      <c r="AI2012" s="571">
        <f t="shared" si="447"/>
        <v>143184000</v>
      </c>
      <c r="AJ2012" s="578"/>
      <c r="AK2012" s="578"/>
    </row>
    <row r="2013" spans="1:37" s="396" customFormat="1" ht="121.5" outlineLevel="2" x14ac:dyDescent="0.3">
      <c r="A2013" s="447">
        <f>IF(B2012&lt;&gt;0,B2012,A2011)</f>
        <v>171</v>
      </c>
      <c r="B2013" s="557"/>
      <c r="C2013" s="572" t="s">
        <v>1366</v>
      </c>
      <c r="D2013" s="700"/>
      <c r="E2013" s="612">
        <v>86</v>
      </c>
      <c r="F2013" s="612">
        <v>222</v>
      </c>
      <c r="G2013" s="586" t="s">
        <v>2433</v>
      </c>
      <c r="H2013" s="709">
        <v>95</v>
      </c>
      <c r="I2013" s="546">
        <f t="shared" ref="I2013" si="450">IF(N2013&gt;0,H2013,"")</f>
        <v>95</v>
      </c>
      <c r="J2013" s="562"/>
      <c r="K2013" s="563">
        <f>IF(G2013&lt;&gt;0,VLOOKUP(G2013,'gia dat'!$A$1:$F$144,5,0)," ")</f>
        <v>376800</v>
      </c>
      <c r="L2013" s="563">
        <f>IF(G2013&lt;&gt;0,VLOOKUP(G2013,'gia dat'!$A$1:$F$144,6,0)," ")</f>
        <v>1130400</v>
      </c>
      <c r="M2013" s="564">
        <f t="shared" si="439"/>
        <v>35796000</v>
      </c>
      <c r="N2013" s="564">
        <f t="shared" si="440"/>
        <v>107388000</v>
      </c>
      <c r="O2013" s="572"/>
      <c r="P2013" s="740"/>
      <c r="Q2013" s="564" t="str">
        <f>IF(O2013&lt;&gt;0,VLOOKUP(O2013,'Cây trong'!$A$2:$C$246,3,0)," ")</f>
        <v xml:space="preserve"> </v>
      </c>
      <c r="R2013" s="564" t="str">
        <f t="shared" si="448"/>
        <v xml:space="preserve"> </v>
      </c>
      <c r="S2013" s="566"/>
      <c r="T2013" s="609"/>
      <c r="U2013" s="741"/>
      <c r="V2013" s="586"/>
      <c r="W2013" s="564" t="str">
        <f>IF(S2013&lt;&gt;0,VLOOKUP(S2013,VKT!$A$2:$G$415,7,0),"")</f>
        <v/>
      </c>
      <c r="X2013" s="564" t="str">
        <f t="shared" si="442"/>
        <v xml:space="preserve"> </v>
      </c>
      <c r="Y2013" s="650"/>
      <c r="Z2013" s="586"/>
      <c r="AA2013" s="742"/>
      <c r="AB2013" s="586"/>
      <c r="AC2013" s="586"/>
      <c r="AD2013" s="586"/>
      <c r="AE2013" s="586"/>
      <c r="AF2013" s="714"/>
      <c r="AG2013" s="570" t="str">
        <f>IF(AE2013&lt;&gt;0,VLOOKUP(AE2013,ODDS!$A$2:$C$13,3,0),"")</f>
        <v/>
      </c>
      <c r="AH2013" s="570" t="str">
        <f t="shared" si="449"/>
        <v xml:space="preserve"> </v>
      </c>
      <c r="AI2013" s="571" t="str">
        <f t="shared" si="447"/>
        <v xml:space="preserve"> </v>
      </c>
      <c r="AJ2013" s="586" t="s">
        <v>1371</v>
      </c>
      <c r="AK2013" s="586" t="s">
        <v>2771</v>
      </c>
    </row>
    <row r="2014" spans="1:37" s="394" customFormat="1" ht="81" outlineLevel="2" x14ac:dyDescent="0.3">
      <c r="A2014" s="447">
        <f t="shared" ref="A2014:A2019" si="451">IF(B2013&lt;&gt;0,B2013,A2013)</f>
        <v>171</v>
      </c>
      <c r="B2014" s="557"/>
      <c r="C2014" s="572" t="s">
        <v>1621</v>
      </c>
      <c r="D2014" s="700"/>
      <c r="E2014" s="612"/>
      <c r="F2014" s="612"/>
      <c r="G2014" s="586"/>
      <c r="H2014" s="709"/>
      <c r="I2014" s="546"/>
      <c r="J2014" s="562"/>
      <c r="K2014" s="563" t="str">
        <f>IF(G2014&lt;&gt;0,VLOOKUP(G2014,'gia dat'!$A$1:$F$144,5,0)," ")</f>
        <v xml:space="preserve"> </v>
      </c>
      <c r="L2014" s="563" t="str">
        <f>IF(G2014&lt;&gt;0,VLOOKUP(G2014,'gia dat'!$A$1:$F$144,6,0)," ")</f>
        <v xml:space="preserve"> </v>
      </c>
      <c r="M2014" s="564" t="str">
        <f t="shared" si="439"/>
        <v xml:space="preserve"> </v>
      </c>
      <c r="N2014" s="564" t="str">
        <f t="shared" si="440"/>
        <v xml:space="preserve"> </v>
      </c>
      <c r="O2014" s="572"/>
      <c r="P2014" s="740"/>
      <c r="Q2014" s="564" t="str">
        <f>IF(O2014&lt;&gt;0,VLOOKUP(O2014,'Cây trong'!$A$2:$C$246,3,0)," ")</f>
        <v xml:space="preserve"> </v>
      </c>
      <c r="R2014" s="564" t="str">
        <f t="shared" si="448"/>
        <v xml:space="preserve"> </v>
      </c>
      <c r="S2014" s="566"/>
      <c r="T2014" s="609"/>
      <c r="U2014" s="741"/>
      <c r="V2014" s="586"/>
      <c r="W2014" s="564" t="str">
        <f>IF(S2014&lt;&gt;0,VLOOKUP(S2014,VKT!$A$2:$G$415,7,0),"")</f>
        <v/>
      </c>
      <c r="X2014" s="564" t="str">
        <f t="shared" si="442"/>
        <v xml:space="preserve"> </v>
      </c>
      <c r="Y2014" s="650"/>
      <c r="Z2014" s="586"/>
      <c r="AA2014" s="742"/>
      <c r="AB2014" s="586"/>
      <c r="AC2014" s="586"/>
      <c r="AD2014" s="586"/>
      <c r="AE2014" s="586"/>
      <c r="AF2014" s="714"/>
      <c r="AG2014" s="570" t="str">
        <f>IF(AE2014&lt;&gt;0,VLOOKUP(AE2014,ODDS!$A$2:$C$13,3,0),"")</f>
        <v/>
      </c>
      <c r="AH2014" s="570" t="str">
        <f t="shared" si="449"/>
        <v xml:space="preserve"> </v>
      </c>
      <c r="AI2014" s="571" t="str">
        <f t="shared" si="447"/>
        <v xml:space="preserve"> </v>
      </c>
      <c r="AJ2014" s="586" t="s">
        <v>1736</v>
      </c>
      <c r="AK2014" s="558" t="s">
        <v>2448</v>
      </c>
    </row>
    <row r="2015" spans="1:37" s="394" customFormat="1" ht="60.75" outlineLevel="2" x14ac:dyDescent="0.3">
      <c r="A2015" s="447">
        <f t="shared" si="451"/>
        <v>171</v>
      </c>
      <c r="B2015" s="557"/>
      <c r="C2015" s="572"/>
      <c r="D2015" s="700"/>
      <c r="E2015" s="612"/>
      <c r="F2015" s="612"/>
      <c r="G2015" s="586"/>
      <c r="H2015" s="709"/>
      <c r="I2015" s="546"/>
      <c r="J2015" s="562"/>
      <c r="K2015" s="563" t="str">
        <f>IF(G2015&lt;&gt;0,VLOOKUP(G2015,'gia dat'!$A$1:$F$144,5,0)," ")</f>
        <v xml:space="preserve"> </v>
      </c>
      <c r="L2015" s="563" t="str">
        <f>IF(G2015&lt;&gt;0,VLOOKUP(G2015,'gia dat'!$A$1:$F$144,6,0)," ")</f>
        <v xml:space="preserve"> </v>
      </c>
      <c r="M2015" s="564" t="str">
        <f t="shared" si="439"/>
        <v xml:space="preserve"> </v>
      </c>
      <c r="N2015" s="564" t="str">
        <f t="shared" si="440"/>
        <v xml:space="preserve"> </v>
      </c>
      <c r="O2015" s="572"/>
      <c r="P2015" s="740"/>
      <c r="Q2015" s="564" t="str">
        <f>IF(O2015&lt;&gt;0,VLOOKUP(O2015,'Cây trong'!$A$2:$C$246,3,0)," ")</f>
        <v xml:space="preserve"> </v>
      </c>
      <c r="R2015" s="564" t="str">
        <f t="shared" si="448"/>
        <v xml:space="preserve"> </v>
      </c>
      <c r="S2015" s="566"/>
      <c r="T2015" s="609"/>
      <c r="U2015" s="741"/>
      <c r="V2015" s="586"/>
      <c r="W2015" s="564" t="str">
        <f>IF(S2015&lt;&gt;0,VLOOKUP(S2015,VKT!$A$2:$G$415,7,0),"")</f>
        <v/>
      </c>
      <c r="X2015" s="564" t="str">
        <f t="shared" si="442"/>
        <v xml:space="preserve"> </v>
      </c>
      <c r="Y2015" s="650"/>
      <c r="Z2015" s="586"/>
      <c r="AA2015" s="742"/>
      <c r="AB2015" s="586"/>
      <c r="AC2015" s="586"/>
      <c r="AD2015" s="586"/>
      <c r="AE2015" s="586"/>
      <c r="AF2015" s="714"/>
      <c r="AG2015" s="570" t="str">
        <f>IF(AE2015&lt;&gt;0,VLOOKUP(AE2015,ODDS!$A$2:$C$13,3,0),"")</f>
        <v/>
      </c>
      <c r="AH2015" s="570" t="str">
        <f t="shared" si="449"/>
        <v xml:space="preserve"> </v>
      </c>
      <c r="AI2015" s="571" t="str">
        <f t="shared" si="447"/>
        <v xml:space="preserve"> </v>
      </c>
      <c r="AJ2015" s="586" t="s">
        <v>2074</v>
      </c>
      <c r="AK2015" s="586"/>
    </row>
    <row r="2016" spans="1:37" s="394" customFormat="1" ht="20.25" outlineLevel="2" x14ac:dyDescent="0.3">
      <c r="A2016" s="447">
        <f t="shared" si="451"/>
        <v>171</v>
      </c>
      <c r="B2016" s="557"/>
      <c r="C2016" s="572"/>
      <c r="D2016" s="700"/>
      <c r="E2016" s="612"/>
      <c r="F2016" s="612"/>
      <c r="G2016" s="586"/>
      <c r="H2016" s="709"/>
      <c r="I2016" s="546"/>
      <c r="J2016" s="562"/>
      <c r="K2016" s="563" t="str">
        <f>IF(G2016&lt;&gt;0,VLOOKUP(G2016,'gia dat'!$A$1:$F$144,5,0)," ")</f>
        <v xml:space="preserve"> </v>
      </c>
      <c r="L2016" s="563" t="str">
        <f>IF(G2016&lt;&gt;0,VLOOKUP(G2016,'gia dat'!$A$1:$F$144,6,0)," ")</f>
        <v xml:space="preserve"> </v>
      </c>
      <c r="M2016" s="564" t="str">
        <f t="shared" si="439"/>
        <v xml:space="preserve"> </v>
      </c>
      <c r="N2016" s="564" t="str">
        <f t="shared" si="440"/>
        <v xml:space="preserve"> </v>
      </c>
      <c r="O2016" s="572"/>
      <c r="P2016" s="740"/>
      <c r="Q2016" s="564" t="str">
        <f>IF(O2016&lt;&gt;0,VLOOKUP(O2016,'Cây trong'!$A$2:$C$246,3,0)," ")</f>
        <v xml:space="preserve"> </v>
      </c>
      <c r="R2016" s="564" t="str">
        <f t="shared" si="448"/>
        <v xml:space="preserve"> </v>
      </c>
      <c r="S2016" s="566"/>
      <c r="T2016" s="609"/>
      <c r="U2016" s="741"/>
      <c r="V2016" s="586"/>
      <c r="W2016" s="564" t="str">
        <f>IF(S2016&lt;&gt;0,VLOOKUP(S2016,VKT!$A$2:$G$415,7,0),"")</f>
        <v/>
      </c>
      <c r="X2016" s="564" t="str">
        <f t="shared" si="442"/>
        <v xml:space="preserve"> </v>
      </c>
      <c r="Y2016" s="650"/>
      <c r="Z2016" s="586"/>
      <c r="AA2016" s="742"/>
      <c r="AB2016" s="586"/>
      <c r="AC2016" s="586"/>
      <c r="AD2016" s="586"/>
      <c r="AE2016" s="586"/>
      <c r="AF2016" s="714"/>
      <c r="AG2016" s="570" t="str">
        <f>IF(AE2016&lt;&gt;0,VLOOKUP(AE2016,ODDS!$A$2:$C$13,3,0),"")</f>
        <v/>
      </c>
      <c r="AH2016" s="570" t="str">
        <f t="shared" si="449"/>
        <v xml:space="preserve"> </v>
      </c>
      <c r="AI2016" s="571" t="str">
        <f t="shared" si="447"/>
        <v xml:space="preserve"> </v>
      </c>
      <c r="AJ2016" s="731"/>
      <c r="AK2016" s="586"/>
    </row>
    <row r="2017" spans="1:37" s="394" customFormat="1" ht="20.25" outlineLevel="2" x14ac:dyDescent="0.3">
      <c r="A2017" s="447">
        <f t="shared" si="451"/>
        <v>171</v>
      </c>
      <c r="B2017" s="557"/>
      <c r="C2017" s="572"/>
      <c r="D2017" s="700"/>
      <c r="E2017" s="612"/>
      <c r="F2017" s="612"/>
      <c r="G2017" s="586"/>
      <c r="H2017" s="709"/>
      <c r="I2017" s="546"/>
      <c r="J2017" s="562"/>
      <c r="K2017" s="563" t="str">
        <f>IF(G2017&lt;&gt;0,VLOOKUP(G2017,'gia dat'!$A$1:$F$144,5,0)," ")</f>
        <v xml:space="preserve"> </v>
      </c>
      <c r="L2017" s="563" t="str">
        <f>IF(G2017&lt;&gt;0,VLOOKUP(G2017,'gia dat'!$A$1:$F$144,6,0)," ")</f>
        <v xml:space="preserve"> </v>
      </c>
      <c r="M2017" s="564" t="str">
        <f t="shared" si="439"/>
        <v xml:space="preserve"> </v>
      </c>
      <c r="N2017" s="564" t="str">
        <f t="shared" si="440"/>
        <v xml:space="preserve"> </v>
      </c>
      <c r="O2017" s="572"/>
      <c r="P2017" s="740"/>
      <c r="Q2017" s="564" t="str">
        <f>IF(O2017&lt;&gt;0,VLOOKUP(O2017,'Cây trong'!$A$2:$C$246,3,0)," ")</f>
        <v xml:space="preserve"> </v>
      </c>
      <c r="R2017" s="564" t="str">
        <f t="shared" si="448"/>
        <v xml:space="preserve"> </v>
      </c>
      <c r="S2017" s="566"/>
      <c r="T2017" s="609"/>
      <c r="U2017" s="741"/>
      <c r="V2017" s="586"/>
      <c r="W2017" s="564" t="str">
        <f>IF(S2017&lt;&gt;0,VLOOKUP(S2017,VKT!$A$2:$G$415,7,0),"")</f>
        <v/>
      </c>
      <c r="X2017" s="564" t="str">
        <f t="shared" si="442"/>
        <v xml:space="preserve"> </v>
      </c>
      <c r="Y2017" s="650"/>
      <c r="Z2017" s="586"/>
      <c r="AA2017" s="742"/>
      <c r="AB2017" s="586"/>
      <c r="AC2017" s="586"/>
      <c r="AD2017" s="586"/>
      <c r="AE2017" s="586"/>
      <c r="AF2017" s="714"/>
      <c r="AG2017" s="570" t="str">
        <f>IF(AE2017&lt;&gt;0,VLOOKUP(AE2017,ODDS!$A$2:$C$13,3,0),"")</f>
        <v/>
      </c>
      <c r="AH2017" s="570" t="str">
        <f t="shared" si="449"/>
        <v xml:space="preserve"> </v>
      </c>
      <c r="AI2017" s="571" t="str">
        <f t="shared" si="447"/>
        <v xml:space="preserve"> </v>
      </c>
      <c r="AJ2017" s="586"/>
      <c r="AK2017" s="586"/>
    </row>
    <row r="2018" spans="1:37" s="394" customFormat="1" ht="20.25" outlineLevel="2" x14ac:dyDescent="0.3">
      <c r="A2018" s="447">
        <f t="shared" si="451"/>
        <v>171</v>
      </c>
      <c r="B2018" s="557"/>
      <c r="C2018" s="572"/>
      <c r="D2018" s="700"/>
      <c r="E2018" s="612"/>
      <c r="F2018" s="612"/>
      <c r="G2018" s="586"/>
      <c r="H2018" s="709"/>
      <c r="I2018" s="546"/>
      <c r="J2018" s="562"/>
      <c r="K2018" s="563" t="str">
        <f>IF(G2018&lt;&gt;0,VLOOKUP(G2018,'gia dat'!$A$1:$F$144,5,0)," ")</f>
        <v xml:space="preserve"> </v>
      </c>
      <c r="L2018" s="563" t="str">
        <f>IF(G2018&lt;&gt;0,VLOOKUP(G2018,'gia dat'!$A$1:$F$144,6,0)," ")</f>
        <v xml:space="preserve"> </v>
      </c>
      <c r="M2018" s="564" t="str">
        <f t="shared" si="439"/>
        <v xml:space="preserve"> </v>
      </c>
      <c r="N2018" s="564" t="str">
        <f t="shared" si="440"/>
        <v xml:space="preserve"> </v>
      </c>
      <c r="O2018" s="572"/>
      <c r="P2018" s="740"/>
      <c r="Q2018" s="564" t="str">
        <f>IF(O2018&lt;&gt;0,VLOOKUP(O2018,'Cây trong'!$A$2:$C$246,3,0)," ")</f>
        <v xml:space="preserve"> </v>
      </c>
      <c r="R2018" s="564" t="str">
        <f t="shared" si="448"/>
        <v xml:space="preserve"> </v>
      </c>
      <c r="S2018" s="566"/>
      <c r="T2018" s="609"/>
      <c r="U2018" s="741"/>
      <c r="V2018" s="586"/>
      <c r="W2018" s="564" t="str">
        <f>IF(S2018&lt;&gt;0,VLOOKUP(S2018,VKT!$A$2:$G$415,7,0),"")</f>
        <v/>
      </c>
      <c r="X2018" s="564" t="str">
        <f t="shared" si="442"/>
        <v xml:space="preserve"> </v>
      </c>
      <c r="Y2018" s="650"/>
      <c r="Z2018" s="586"/>
      <c r="AA2018" s="742"/>
      <c r="AB2018" s="586"/>
      <c r="AC2018" s="586"/>
      <c r="AD2018" s="586"/>
      <c r="AE2018" s="586"/>
      <c r="AF2018" s="714"/>
      <c r="AG2018" s="570" t="str">
        <f>IF(AE2018&lt;&gt;0,VLOOKUP(AE2018,ODDS!$A$2:$C$13,3,0),"")</f>
        <v/>
      </c>
      <c r="AH2018" s="570" t="str">
        <f t="shared" si="449"/>
        <v xml:space="preserve"> </v>
      </c>
      <c r="AI2018" s="571" t="str">
        <f t="shared" si="447"/>
        <v xml:space="preserve"> </v>
      </c>
      <c r="AJ2018" s="586"/>
      <c r="AK2018" s="586"/>
    </row>
    <row r="2019" spans="1:37" s="394" customFormat="1" ht="20.25" outlineLevel="2" x14ac:dyDescent="0.3">
      <c r="A2019" s="447">
        <f t="shared" si="451"/>
        <v>171</v>
      </c>
      <c r="B2019" s="557"/>
      <c r="C2019" s="607"/>
      <c r="D2019" s="700"/>
      <c r="E2019" s="612"/>
      <c r="F2019" s="612"/>
      <c r="G2019" s="586"/>
      <c r="H2019" s="709"/>
      <c r="I2019" s="546"/>
      <c r="J2019" s="562"/>
      <c r="K2019" s="563" t="str">
        <f>IF(G2019&lt;&gt;0,VLOOKUP(G2019,'gia dat'!$A$1:$F$144,5,0)," ")</f>
        <v xml:space="preserve"> </v>
      </c>
      <c r="L2019" s="563" t="str">
        <f>IF(G2019&lt;&gt;0,VLOOKUP(G2019,'gia dat'!$A$1:$F$144,6,0)," ")</f>
        <v xml:space="preserve"> </v>
      </c>
      <c r="M2019" s="564" t="str">
        <f t="shared" si="439"/>
        <v xml:space="preserve"> </v>
      </c>
      <c r="N2019" s="564" t="str">
        <f t="shared" si="440"/>
        <v xml:space="preserve"> </v>
      </c>
      <c r="O2019" s="572"/>
      <c r="P2019" s="740"/>
      <c r="Q2019" s="564" t="str">
        <f>IF(O2019&lt;&gt;0,VLOOKUP(O2019,'Cây trong'!$A$2:$C$246,3,0)," ")</f>
        <v xml:space="preserve"> </v>
      </c>
      <c r="R2019" s="564" t="str">
        <f t="shared" si="448"/>
        <v xml:space="preserve"> </v>
      </c>
      <c r="S2019" s="566"/>
      <c r="T2019" s="609"/>
      <c r="U2019" s="741"/>
      <c r="V2019" s="586"/>
      <c r="W2019" s="564" t="str">
        <f>IF(S2019&lt;&gt;0,VLOOKUP(S2019,VKT!$A$2:$G$415,7,0),"")</f>
        <v/>
      </c>
      <c r="X2019" s="564" t="str">
        <f t="shared" si="442"/>
        <v xml:space="preserve"> </v>
      </c>
      <c r="Y2019" s="650"/>
      <c r="Z2019" s="586"/>
      <c r="AA2019" s="742"/>
      <c r="AB2019" s="586"/>
      <c r="AC2019" s="586"/>
      <c r="AD2019" s="586"/>
      <c r="AE2019" s="586"/>
      <c r="AF2019" s="714"/>
      <c r="AG2019" s="570" t="str">
        <f>IF(AE2019&lt;&gt;0,VLOOKUP(AE2019,ODDS!$A$2:$C$13,3,0),"")</f>
        <v/>
      </c>
      <c r="AH2019" s="570" t="str">
        <f t="shared" si="449"/>
        <v xml:space="preserve"> </v>
      </c>
      <c r="AI2019" s="571" t="str">
        <f t="shared" si="447"/>
        <v xml:space="preserve"> </v>
      </c>
      <c r="AJ2019" s="586"/>
      <c r="AK2019" s="586"/>
    </row>
    <row r="2020" spans="1:37" s="394" customFormat="1" ht="20.25" outlineLevel="1" x14ac:dyDescent="0.25">
      <c r="A2020" s="467" t="s">
        <v>2538</v>
      </c>
      <c r="B2020" s="576">
        <v>172</v>
      </c>
      <c r="C2020" s="607" t="s">
        <v>1373</v>
      </c>
      <c r="D2020" s="706"/>
      <c r="E2020" s="642"/>
      <c r="F2020" s="642"/>
      <c r="G2020" s="578"/>
      <c r="H2020" s="707">
        <f>SUBTOTAL(9,H2021:H2027)</f>
        <v>0</v>
      </c>
      <c r="I2020" s="579">
        <f>SUBTOTAL(9,I2021:I2026)</f>
        <v>0</v>
      </c>
      <c r="J2020" s="580"/>
      <c r="K2020" s="581"/>
      <c r="L2020" s="581"/>
      <c r="M2020" s="571">
        <f>SUBTOTAL(9,M2021:M2027)</f>
        <v>0</v>
      </c>
      <c r="N2020" s="571">
        <f>SUBTOTAL(9,N2021:N2027)</f>
        <v>0</v>
      </c>
      <c r="O2020" s="607"/>
      <c r="P2020" s="738">
        <f>SUBTOTAL(9,P2021:P2027)</f>
        <v>0</v>
      </c>
      <c r="Q2020" s="571"/>
      <c r="R2020" s="571">
        <f>SUBTOTAL(9,R2021:R2027)</f>
        <v>0</v>
      </c>
      <c r="S2020" s="582"/>
      <c r="T2020" s="621"/>
      <c r="U2020" s="739">
        <f>SUBTOTAL(9,U2021:U2027)</f>
        <v>51.870000000000005</v>
      </c>
      <c r="V2020" s="578"/>
      <c r="W2020" s="571"/>
      <c r="X2020" s="571">
        <f>SUBTOTAL(9,X2021:X2027)</f>
        <v>101345000</v>
      </c>
      <c r="Y2020" s="661"/>
      <c r="Z2020" s="683"/>
      <c r="AA2020" s="683"/>
      <c r="AB2020" s="694"/>
      <c r="AC2020" s="683"/>
      <c r="AD2020" s="683"/>
      <c r="AE2020" s="650"/>
      <c r="AF2020" s="599">
        <f>SUBTOTAL(9,AF2021:AF2027)</f>
        <v>0</v>
      </c>
      <c r="AG2020" s="585"/>
      <c r="AH2020" s="585">
        <f>SUBTOTAL(9,AH2021:AH2027)</f>
        <v>0</v>
      </c>
      <c r="AI2020" s="571">
        <f t="shared" si="447"/>
        <v>101345000</v>
      </c>
      <c r="AJ2020" s="578"/>
      <c r="AK2020" s="574"/>
    </row>
    <row r="2021" spans="1:37" s="394" customFormat="1" ht="121.5" outlineLevel="2" x14ac:dyDescent="0.3">
      <c r="A2021" s="447">
        <f>IF(B2020&lt;&gt;0,B2020,A2019)</f>
        <v>172</v>
      </c>
      <c r="B2021" s="557"/>
      <c r="C2021" s="572" t="s">
        <v>1375</v>
      </c>
      <c r="D2021" s="700"/>
      <c r="E2021" s="612"/>
      <c r="F2021" s="612"/>
      <c r="G2021" s="586"/>
      <c r="H2021" s="709"/>
      <c r="I2021" s="546"/>
      <c r="J2021" s="562"/>
      <c r="K2021" s="563" t="str">
        <f>IF(G2021&lt;&gt;0,VLOOKUP(G2021,'gia dat'!$A$1:$F$144,5,0)," ")</f>
        <v xml:space="preserve"> </v>
      </c>
      <c r="L2021" s="563" t="str">
        <f>IF(G2021&lt;&gt;0,VLOOKUP(G2021,'gia dat'!$A$1:$F$144,6,0)," ")</f>
        <v xml:space="preserve"> </v>
      </c>
      <c r="M2021" s="564" t="str">
        <f t="shared" si="439"/>
        <v xml:space="preserve"> </v>
      </c>
      <c r="N2021" s="564" t="str">
        <f t="shared" si="440"/>
        <v xml:space="preserve"> </v>
      </c>
      <c r="O2021" s="572"/>
      <c r="P2021" s="740"/>
      <c r="Q2021" s="564" t="str">
        <f>IF(O2021&lt;&gt;0,VLOOKUP(O2021,'Cây trong'!$A$2:$C$246,3,0)," ")</f>
        <v xml:space="preserve"> </v>
      </c>
      <c r="R2021" s="564" t="str">
        <f t="shared" si="448"/>
        <v xml:space="preserve"> </v>
      </c>
      <c r="S2021" s="566" t="s">
        <v>1838</v>
      </c>
      <c r="T2021" s="609" t="s">
        <v>1133</v>
      </c>
      <c r="U2021" s="741">
        <v>19.73</v>
      </c>
      <c r="V2021" s="586"/>
      <c r="W2021" s="564">
        <f>IF(S2021&lt;&gt;0,VLOOKUP(S2021,VKT!$A$2:$G$415,7,0),"")</f>
        <v>3156089</v>
      </c>
      <c r="X2021" s="564">
        <f t="shared" si="442"/>
        <v>62270000</v>
      </c>
      <c r="Y2021" s="661" t="s">
        <v>1138</v>
      </c>
      <c r="Z2021" s="683" t="s">
        <v>1139</v>
      </c>
      <c r="AA2021" s="683" t="s">
        <v>56</v>
      </c>
      <c r="AB2021" s="694" t="s">
        <v>269</v>
      </c>
      <c r="AC2021" s="683" t="s">
        <v>1138</v>
      </c>
      <c r="AD2021" s="683"/>
      <c r="AE2021" s="683"/>
      <c r="AF2021" s="590"/>
      <c r="AG2021" s="570" t="str">
        <f>IF(AE2021&lt;&gt;0,VLOOKUP(AE2021,ODDS!$A$2:$C$13,3,0),"")</f>
        <v/>
      </c>
      <c r="AH2021" s="570" t="str">
        <f t="shared" si="449"/>
        <v xml:space="preserve"> </v>
      </c>
      <c r="AI2021" s="571" t="str">
        <f t="shared" si="447"/>
        <v xml:space="preserve"> </v>
      </c>
      <c r="AJ2021" s="586" t="s">
        <v>1374</v>
      </c>
      <c r="AK2021" s="558" t="s">
        <v>2450</v>
      </c>
    </row>
    <row r="2022" spans="1:37" s="394" customFormat="1" ht="101.25" outlineLevel="2" x14ac:dyDescent="0.3">
      <c r="A2022" s="447">
        <f t="shared" ref="A2022:A2027" si="452">IF(B2021&lt;&gt;0,B2021,A2021)</f>
        <v>172</v>
      </c>
      <c r="B2022" s="557"/>
      <c r="C2022" s="572" t="s">
        <v>1622</v>
      </c>
      <c r="D2022" s="700"/>
      <c r="E2022" s="612"/>
      <c r="F2022" s="612"/>
      <c r="G2022" s="586"/>
      <c r="H2022" s="709"/>
      <c r="I2022" s="546"/>
      <c r="J2022" s="562"/>
      <c r="K2022" s="563" t="str">
        <f>IF(G2022&lt;&gt;0,VLOOKUP(G2022,'gia dat'!$A$1:$F$144,5,0)," ")</f>
        <v xml:space="preserve"> </v>
      </c>
      <c r="L2022" s="563" t="str">
        <f>IF(G2022&lt;&gt;0,VLOOKUP(G2022,'gia dat'!$A$1:$F$144,6,0)," ")</f>
        <v xml:space="preserve"> </v>
      </c>
      <c r="M2022" s="564" t="str">
        <f t="shared" si="439"/>
        <v xml:space="preserve"> </v>
      </c>
      <c r="N2022" s="564" t="str">
        <f t="shared" si="440"/>
        <v xml:space="preserve"> </v>
      </c>
      <c r="O2022" s="572"/>
      <c r="P2022" s="740"/>
      <c r="Q2022" s="564" t="str">
        <f>IF(O2022&lt;&gt;0,VLOOKUP(O2022,'Cây trong'!$A$2:$C$246,3,0)," ")</f>
        <v xml:space="preserve"> </v>
      </c>
      <c r="R2022" s="564" t="str">
        <f t="shared" si="448"/>
        <v xml:space="preserve"> </v>
      </c>
      <c r="S2022" s="566" t="s">
        <v>2386</v>
      </c>
      <c r="T2022" s="609" t="s">
        <v>1133</v>
      </c>
      <c r="U2022" s="741">
        <v>3.2199999999999998</v>
      </c>
      <c r="V2022" s="586"/>
      <c r="W2022" s="564">
        <f>IF(S2022&lt;&gt;0,VLOOKUP(S2022,VKT!$A$2:$G$415,7,0),"")</f>
        <v>8308812</v>
      </c>
      <c r="X2022" s="564">
        <f t="shared" si="442"/>
        <v>26754000</v>
      </c>
      <c r="Y2022" s="650"/>
      <c r="Z2022" s="586"/>
      <c r="AA2022" s="742"/>
      <c r="AB2022" s="586"/>
      <c r="AC2022" s="586"/>
      <c r="AD2022" s="586"/>
      <c r="AE2022" s="586"/>
      <c r="AF2022" s="714"/>
      <c r="AG2022" s="570" t="str">
        <f>IF(AE2022&lt;&gt;0,VLOOKUP(AE2022,ODDS!$A$2:$C$13,3,0),"")</f>
        <v/>
      </c>
      <c r="AH2022" s="570" t="str">
        <f t="shared" si="449"/>
        <v xml:space="preserve"> </v>
      </c>
      <c r="AI2022" s="571" t="str">
        <f t="shared" si="447"/>
        <v xml:space="preserve"> </v>
      </c>
      <c r="AJ2022" s="586" t="s">
        <v>169</v>
      </c>
      <c r="AK2022" s="586" t="s">
        <v>2800</v>
      </c>
    </row>
    <row r="2023" spans="1:37" s="394" customFormat="1" ht="81" outlineLevel="2" x14ac:dyDescent="0.3">
      <c r="A2023" s="447">
        <f t="shared" si="452"/>
        <v>172</v>
      </c>
      <c r="B2023" s="557"/>
      <c r="C2023" s="572"/>
      <c r="D2023" s="700"/>
      <c r="E2023" s="612"/>
      <c r="F2023" s="612"/>
      <c r="G2023" s="586"/>
      <c r="H2023" s="709"/>
      <c r="I2023" s="546"/>
      <c r="J2023" s="562"/>
      <c r="K2023" s="563" t="str">
        <f>IF(G2023&lt;&gt;0,VLOOKUP(G2023,'gia dat'!$A$1:$F$144,5,0)," ")</f>
        <v xml:space="preserve"> </v>
      </c>
      <c r="L2023" s="563" t="str">
        <f>IF(G2023&lt;&gt;0,VLOOKUP(G2023,'gia dat'!$A$1:$F$144,6,0)," ")</f>
        <v xml:space="preserve"> </v>
      </c>
      <c r="M2023" s="564" t="str">
        <f t="shared" si="439"/>
        <v xml:space="preserve"> </v>
      </c>
      <c r="N2023" s="564" t="str">
        <f t="shared" si="440"/>
        <v xml:space="preserve"> </v>
      </c>
      <c r="O2023" s="572"/>
      <c r="P2023" s="740"/>
      <c r="Q2023" s="564" t="str">
        <f>IF(O2023&lt;&gt;0,VLOOKUP(O2023,'Cây trong'!$A$2:$C$246,3,0)," ")</f>
        <v xml:space="preserve"> </v>
      </c>
      <c r="R2023" s="564" t="str">
        <f t="shared" si="448"/>
        <v xml:space="preserve"> </v>
      </c>
      <c r="S2023" s="566" t="s">
        <v>1927</v>
      </c>
      <c r="T2023" s="609" t="s">
        <v>1133</v>
      </c>
      <c r="U2023" s="741">
        <v>18</v>
      </c>
      <c r="V2023" s="586"/>
      <c r="W2023" s="564">
        <f>IF(S2023&lt;&gt;0,VLOOKUP(S2023,VKT!$A$2:$G$415,7,0),"")</f>
        <v>684506</v>
      </c>
      <c r="X2023" s="564">
        <f t="shared" si="442"/>
        <v>12321000</v>
      </c>
      <c r="Y2023" s="650"/>
      <c r="Z2023" s="586"/>
      <c r="AA2023" s="742"/>
      <c r="AB2023" s="586"/>
      <c r="AC2023" s="586"/>
      <c r="AD2023" s="586"/>
      <c r="AE2023" s="586"/>
      <c r="AF2023" s="714"/>
      <c r="AG2023" s="570" t="str">
        <f>IF(AE2023&lt;&gt;0,VLOOKUP(AE2023,ODDS!$A$2:$C$13,3,0),"")</f>
        <v/>
      </c>
      <c r="AH2023" s="570" t="str">
        <f t="shared" si="449"/>
        <v xml:space="preserve"> </v>
      </c>
      <c r="AI2023" s="571" t="str">
        <f t="shared" si="447"/>
        <v xml:space="preserve"> </v>
      </c>
      <c r="AJ2023" s="586"/>
      <c r="AK2023" s="586"/>
    </row>
    <row r="2024" spans="1:37" s="394" customFormat="1" ht="60.75" outlineLevel="2" x14ac:dyDescent="0.3">
      <c r="A2024" s="447">
        <f t="shared" si="452"/>
        <v>172</v>
      </c>
      <c r="B2024" s="557"/>
      <c r="C2024" s="572"/>
      <c r="D2024" s="700"/>
      <c r="E2024" s="612"/>
      <c r="F2024" s="612"/>
      <c r="G2024" s="586"/>
      <c r="H2024" s="709"/>
      <c r="I2024" s="546"/>
      <c r="J2024" s="558"/>
      <c r="K2024" s="563" t="str">
        <f>IF(G2024&lt;&gt;0,VLOOKUP(G2024,'gia dat'!$A$1:$F$144,5,0)," ")</f>
        <v xml:space="preserve"> </v>
      </c>
      <c r="L2024" s="563" t="str">
        <f>IF(G2024&lt;&gt;0,VLOOKUP(G2024,'gia dat'!$A$1:$F$144,6,0)," ")</f>
        <v xml:space="preserve"> </v>
      </c>
      <c r="M2024" s="564" t="str">
        <f t="shared" si="439"/>
        <v xml:space="preserve"> </v>
      </c>
      <c r="N2024" s="564" t="str">
        <f t="shared" si="440"/>
        <v xml:space="preserve"> </v>
      </c>
      <c r="O2024" s="572"/>
      <c r="P2024" s="740"/>
      <c r="Q2024" s="564" t="str">
        <f>IF(O2024&lt;&gt;0,VLOOKUP(O2024,'Cây trong'!$A$2:$C$246,3,0)," ")</f>
        <v xml:space="preserve"> </v>
      </c>
      <c r="R2024" s="564" t="str">
        <f t="shared" si="448"/>
        <v xml:space="preserve"> </v>
      </c>
      <c r="S2024" s="566" t="s">
        <v>2387</v>
      </c>
      <c r="T2024" s="609" t="s">
        <v>1133</v>
      </c>
      <c r="U2024" s="741">
        <v>10.920000000000002</v>
      </c>
      <c r="V2024" s="586"/>
      <c r="W2024" s="564">
        <f>IF(S2024&lt;&gt;0,VLOOKUP(S2024,VKT!$A$2:$G$415,7,0),"")</f>
        <v>0</v>
      </c>
      <c r="X2024" s="564">
        <f t="shared" si="442"/>
        <v>0</v>
      </c>
      <c r="Y2024" s="650"/>
      <c r="Z2024" s="586"/>
      <c r="AA2024" s="742"/>
      <c r="AB2024" s="586"/>
      <c r="AC2024" s="586"/>
      <c r="AD2024" s="586"/>
      <c r="AE2024" s="586"/>
      <c r="AF2024" s="714"/>
      <c r="AG2024" s="570" t="str">
        <f>IF(AE2024&lt;&gt;0,VLOOKUP(AE2024,ODDS!$A$2:$C$13,3,0),"")</f>
        <v/>
      </c>
      <c r="AH2024" s="570" t="str">
        <f t="shared" si="449"/>
        <v xml:space="preserve"> </v>
      </c>
      <c r="AI2024" s="571" t="str">
        <f t="shared" si="447"/>
        <v xml:space="preserve"> </v>
      </c>
      <c r="AJ2024" s="586"/>
      <c r="AK2024" s="586"/>
    </row>
    <row r="2025" spans="1:37" s="394" customFormat="1" ht="20.25" outlineLevel="2" x14ac:dyDescent="0.3">
      <c r="A2025" s="447">
        <f t="shared" si="452"/>
        <v>172</v>
      </c>
      <c r="B2025" s="557"/>
      <c r="C2025" s="572"/>
      <c r="D2025" s="700"/>
      <c r="E2025" s="612"/>
      <c r="F2025" s="612"/>
      <c r="G2025" s="586"/>
      <c r="H2025" s="709"/>
      <c r="I2025" s="546"/>
      <c r="J2025" s="558"/>
      <c r="K2025" s="563" t="str">
        <f>IF(G2025&lt;&gt;0,VLOOKUP(G2025,'gia dat'!$A$1:$F$144,5,0)," ")</f>
        <v xml:space="preserve"> </v>
      </c>
      <c r="L2025" s="563" t="str">
        <f>IF(G2025&lt;&gt;0,VLOOKUP(G2025,'gia dat'!$A$1:$F$144,6,0)," ")</f>
        <v xml:space="preserve"> </v>
      </c>
      <c r="M2025" s="564" t="str">
        <f t="shared" si="439"/>
        <v xml:space="preserve"> </v>
      </c>
      <c r="N2025" s="564" t="str">
        <f t="shared" si="440"/>
        <v xml:space="preserve"> </v>
      </c>
      <c r="O2025" s="572"/>
      <c r="P2025" s="740"/>
      <c r="Q2025" s="564" t="str">
        <f>IF(O2025&lt;&gt;0,VLOOKUP(O2025,'Cây trong'!$A$2:$C$246,3,0)," ")</f>
        <v xml:space="preserve"> </v>
      </c>
      <c r="R2025" s="564" t="str">
        <f t="shared" si="448"/>
        <v xml:space="preserve"> </v>
      </c>
      <c r="S2025" s="566"/>
      <c r="T2025" s="609"/>
      <c r="U2025" s="741"/>
      <c r="V2025" s="586"/>
      <c r="W2025" s="564" t="str">
        <f>IF(S2025&lt;&gt;0,VLOOKUP(S2025,VKT!$A$2:$G$415,7,0),"")</f>
        <v/>
      </c>
      <c r="X2025" s="564" t="str">
        <f t="shared" si="442"/>
        <v xml:space="preserve"> </v>
      </c>
      <c r="Y2025" s="650"/>
      <c r="Z2025" s="586"/>
      <c r="AA2025" s="742"/>
      <c r="AB2025" s="586"/>
      <c r="AC2025" s="586"/>
      <c r="AD2025" s="586"/>
      <c r="AE2025" s="586"/>
      <c r="AF2025" s="714"/>
      <c r="AG2025" s="570" t="str">
        <f>IF(AE2025&lt;&gt;0,VLOOKUP(AE2025,ODDS!$A$2:$C$13,3,0),"")</f>
        <v/>
      </c>
      <c r="AH2025" s="570" t="str">
        <f t="shared" si="449"/>
        <v xml:space="preserve"> </v>
      </c>
      <c r="AI2025" s="571" t="str">
        <f t="shared" si="447"/>
        <v xml:space="preserve"> </v>
      </c>
      <c r="AJ2025" s="586"/>
      <c r="AK2025" s="586"/>
    </row>
    <row r="2026" spans="1:37" s="394" customFormat="1" ht="20.25" outlineLevel="2" x14ac:dyDescent="0.3">
      <c r="A2026" s="447">
        <f t="shared" si="452"/>
        <v>172</v>
      </c>
      <c r="B2026" s="557"/>
      <c r="C2026" s="572"/>
      <c r="D2026" s="700"/>
      <c r="E2026" s="612"/>
      <c r="F2026" s="612"/>
      <c r="G2026" s="586"/>
      <c r="H2026" s="709"/>
      <c r="I2026" s="546"/>
      <c r="J2026" s="558"/>
      <c r="K2026" s="563" t="str">
        <f>IF(G2026&lt;&gt;0,VLOOKUP(G2026,'gia dat'!$A$1:$F$144,5,0)," ")</f>
        <v xml:space="preserve"> </v>
      </c>
      <c r="L2026" s="563" t="str">
        <f>IF(G2026&lt;&gt;0,VLOOKUP(G2026,'gia dat'!$A$1:$F$144,6,0)," ")</f>
        <v xml:space="preserve"> </v>
      </c>
      <c r="M2026" s="564" t="str">
        <f t="shared" si="439"/>
        <v xml:space="preserve"> </v>
      </c>
      <c r="N2026" s="564" t="str">
        <f t="shared" si="440"/>
        <v xml:space="preserve"> </v>
      </c>
      <c r="O2026" s="572"/>
      <c r="P2026" s="740"/>
      <c r="Q2026" s="564" t="str">
        <f>IF(O2026&lt;&gt;0,VLOOKUP(O2026,'Cây trong'!$A$2:$C$246,3,0)," ")</f>
        <v xml:space="preserve"> </v>
      </c>
      <c r="R2026" s="564" t="str">
        <f t="shared" si="448"/>
        <v xml:space="preserve"> </v>
      </c>
      <c r="S2026" s="572"/>
      <c r="T2026" s="609"/>
      <c r="U2026" s="741"/>
      <c r="V2026" s="586"/>
      <c r="W2026" s="564" t="str">
        <f>IF(S2026&lt;&gt;0,VLOOKUP(S2026,VKT!$A$2:$G$415,7,0),"")</f>
        <v/>
      </c>
      <c r="X2026" s="564" t="str">
        <f t="shared" si="442"/>
        <v xml:space="preserve"> </v>
      </c>
      <c r="Y2026" s="650"/>
      <c r="Z2026" s="586"/>
      <c r="AA2026" s="742"/>
      <c r="AB2026" s="586"/>
      <c r="AC2026" s="586"/>
      <c r="AD2026" s="586"/>
      <c r="AE2026" s="586"/>
      <c r="AF2026" s="714"/>
      <c r="AG2026" s="570" t="str">
        <f>IF(AE2026&lt;&gt;0,VLOOKUP(AE2026,ODDS!$A$2:$C$13,3,0),"")</f>
        <v/>
      </c>
      <c r="AH2026" s="570" t="str">
        <f t="shared" si="449"/>
        <v xml:space="preserve"> </v>
      </c>
      <c r="AI2026" s="571" t="str">
        <f t="shared" si="447"/>
        <v xml:space="preserve"> </v>
      </c>
      <c r="AJ2026" s="572"/>
      <c r="AK2026" s="572"/>
    </row>
    <row r="2027" spans="1:37" s="394" customFormat="1" ht="20.25" outlineLevel="2" x14ac:dyDescent="0.3">
      <c r="A2027" s="447">
        <f t="shared" si="452"/>
        <v>172</v>
      </c>
      <c r="B2027" s="557"/>
      <c r="C2027" s="607"/>
      <c r="D2027" s="700"/>
      <c r="E2027" s="612"/>
      <c r="F2027" s="612"/>
      <c r="G2027" s="586"/>
      <c r="H2027" s="709"/>
      <c r="I2027" s="546"/>
      <c r="J2027" s="558"/>
      <c r="K2027" s="563" t="str">
        <f>IF(G2027&lt;&gt;0,VLOOKUP(G2027,'gia dat'!$A$1:$F$144,5,0)," ")</f>
        <v xml:space="preserve"> </v>
      </c>
      <c r="L2027" s="563" t="str">
        <f>IF(G2027&lt;&gt;0,VLOOKUP(G2027,'gia dat'!$A$1:$F$144,6,0)," ")</f>
        <v xml:space="preserve"> </v>
      </c>
      <c r="M2027" s="564" t="str">
        <f t="shared" si="439"/>
        <v xml:space="preserve"> </v>
      </c>
      <c r="N2027" s="564" t="str">
        <f t="shared" si="440"/>
        <v xml:space="preserve"> </v>
      </c>
      <c r="O2027" s="572"/>
      <c r="P2027" s="740"/>
      <c r="Q2027" s="564" t="str">
        <f>IF(O2027&lt;&gt;0,VLOOKUP(O2027,'Cây trong'!$A$2:$C$246,3,0)," ")</f>
        <v xml:space="preserve"> </v>
      </c>
      <c r="R2027" s="564" t="str">
        <f t="shared" si="448"/>
        <v xml:space="preserve"> </v>
      </c>
      <c r="S2027" s="572"/>
      <c r="T2027" s="609"/>
      <c r="U2027" s="741"/>
      <c r="V2027" s="586"/>
      <c r="W2027" s="564" t="str">
        <f>IF(S2027&lt;&gt;0,VLOOKUP(S2027,VKT!$A$2:$G$415,7,0),"")</f>
        <v/>
      </c>
      <c r="X2027" s="564" t="str">
        <f t="shared" si="442"/>
        <v xml:space="preserve"> </v>
      </c>
      <c r="Y2027" s="650"/>
      <c r="Z2027" s="586"/>
      <c r="AA2027" s="742"/>
      <c r="AB2027" s="586"/>
      <c r="AC2027" s="586"/>
      <c r="AD2027" s="586"/>
      <c r="AE2027" s="586"/>
      <c r="AF2027" s="714"/>
      <c r="AG2027" s="570" t="str">
        <f>IF(AE2027&lt;&gt;0,VLOOKUP(AE2027,ODDS!$A$2:$C$13,3,0),"")</f>
        <v/>
      </c>
      <c r="AH2027" s="570" t="str">
        <f t="shared" si="449"/>
        <v xml:space="preserve"> </v>
      </c>
      <c r="AI2027" s="571" t="str">
        <f t="shared" si="447"/>
        <v xml:space="preserve"> </v>
      </c>
      <c r="AJ2027" s="572"/>
      <c r="AK2027" s="572"/>
    </row>
    <row r="2028" spans="1:37" s="394" customFormat="1" ht="40.5" outlineLevel="1" x14ac:dyDescent="0.25">
      <c r="A2028" s="467" t="s">
        <v>2537</v>
      </c>
      <c r="B2028" s="576">
        <v>173</v>
      </c>
      <c r="C2028" s="607" t="s">
        <v>1376</v>
      </c>
      <c r="D2028" s="706"/>
      <c r="E2028" s="642"/>
      <c r="F2028" s="642"/>
      <c r="G2028" s="578"/>
      <c r="H2028" s="707">
        <f>SUBTOTAL(9,H2029:H2035)</f>
        <v>0</v>
      </c>
      <c r="I2028" s="579">
        <f>SUBTOTAL(9,I2029:I2034)</f>
        <v>0</v>
      </c>
      <c r="J2028" s="580"/>
      <c r="K2028" s="581"/>
      <c r="L2028" s="581"/>
      <c r="M2028" s="571">
        <f>SUBTOTAL(9,M2029:M2035)</f>
        <v>0</v>
      </c>
      <c r="N2028" s="571">
        <f>SUBTOTAL(9,N2029:N2035)</f>
        <v>0</v>
      </c>
      <c r="O2028" s="607"/>
      <c r="P2028" s="738">
        <f>SUBTOTAL(9,P2029:P2035)</f>
        <v>0</v>
      </c>
      <c r="Q2028" s="571"/>
      <c r="R2028" s="571">
        <f>SUBTOTAL(9,R2029:R2035)</f>
        <v>0</v>
      </c>
      <c r="S2028" s="582"/>
      <c r="T2028" s="621"/>
      <c r="U2028" s="739">
        <f>SUBTOTAL(9,U2029:U2035)</f>
        <v>52.44</v>
      </c>
      <c r="V2028" s="578"/>
      <c r="W2028" s="571"/>
      <c r="X2028" s="571">
        <f>SUBTOTAL(9,X2029:X2035)</f>
        <v>125745000</v>
      </c>
      <c r="Y2028" s="661"/>
      <c r="Z2028" s="683"/>
      <c r="AA2028" s="683"/>
      <c r="AB2028" s="694"/>
      <c r="AC2028" s="683"/>
      <c r="AD2028" s="683"/>
      <c r="AE2028" s="650"/>
      <c r="AF2028" s="599">
        <f>SUBTOTAL(9,AF2029:AF2035)</f>
        <v>0</v>
      </c>
      <c r="AG2028" s="585"/>
      <c r="AH2028" s="585">
        <f>SUBTOTAL(9,AH2029:AH2035)</f>
        <v>0</v>
      </c>
      <c r="AI2028" s="571">
        <f t="shared" si="447"/>
        <v>125745000</v>
      </c>
      <c r="AJ2028" s="578"/>
      <c r="AK2028" s="574"/>
    </row>
    <row r="2029" spans="1:37" s="394" customFormat="1" ht="121.5" outlineLevel="2" x14ac:dyDescent="0.3">
      <c r="A2029" s="447">
        <f>IF(B2028&lt;&gt;0,B2028,A2027)</f>
        <v>173</v>
      </c>
      <c r="B2029" s="557"/>
      <c r="C2029" s="572" t="s">
        <v>1378</v>
      </c>
      <c r="D2029" s="700"/>
      <c r="E2029" s="612"/>
      <c r="F2029" s="612"/>
      <c r="G2029" s="586"/>
      <c r="H2029" s="709"/>
      <c r="I2029" s="546"/>
      <c r="J2029" s="562"/>
      <c r="K2029" s="563" t="str">
        <f>IF(G2029&lt;&gt;0,VLOOKUP(G2029,'gia dat'!$A$1:$F$144,5,0)," ")</f>
        <v xml:space="preserve"> </v>
      </c>
      <c r="L2029" s="563" t="str">
        <f>IF(G2029&lt;&gt;0,VLOOKUP(G2029,'gia dat'!$A$1:$F$144,6,0)," ")</f>
        <v xml:space="preserve"> </v>
      </c>
      <c r="M2029" s="564" t="str">
        <f t="shared" si="439"/>
        <v xml:space="preserve"> </v>
      </c>
      <c r="N2029" s="564" t="str">
        <f t="shared" si="440"/>
        <v xml:space="preserve"> </v>
      </c>
      <c r="O2029" s="572"/>
      <c r="P2029" s="740"/>
      <c r="Q2029" s="564" t="str">
        <f>IF(O2029&lt;&gt;0,VLOOKUP(O2029,'Cây trong'!$A$2:$C$246,3,0)," ")</f>
        <v xml:space="preserve"> </v>
      </c>
      <c r="R2029" s="564" t="str">
        <f t="shared" si="448"/>
        <v xml:space="preserve"> </v>
      </c>
      <c r="S2029" s="566" t="s">
        <v>1838</v>
      </c>
      <c r="T2029" s="609" t="s">
        <v>1133</v>
      </c>
      <c r="U2029" s="741">
        <v>26.42</v>
      </c>
      <c r="V2029" s="586"/>
      <c r="W2029" s="564">
        <f>IF(S2029&lt;&gt;0,VLOOKUP(S2029,VKT!$A$2:$G$415,7,0),"")</f>
        <v>3156089</v>
      </c>
      <c r="X2029" s="564">
        <f t="shared" si="442"/>
        <v>83384000</v>
      </c>
      <c r="Y2029" s="661" t="s">
        <v>1138</v>
      </c>
      <c r="Z2029" s="683" t="s">
        <v>1139</v>
      </c>
      <c r="AA2029" s="683" t="s">
        <v>56</v>
      </c>
      <c r="AB2029" s="694" t="s">
        <v>269</v>
      </c>
      <c r="AC2029" s="683" t="s">
        <v>1138</v>
      </c>
      <c r="AD2029" s="683"/>
      <c r="AE2029" s="683"/>
      <c r="AF2029" s="590"/>
      <c r="AG2029" s="570" t="str">
        <f>IF(AE2029&lt;&gt;0,VLOOKUP(AE2029,ODDS!$A$2:$C$13,3,0),"")</f>
        <v/>
      </c>
      <c r="AH2029" s="570" t="str">
        <f t="shared" si="449"/>
        <v xml:space="preserve"> </v>
      </c>
      <c r="AI2029" s="571" t="str">
        <f t="shared" si="447"/>
        <v xml:space="preserve"> </v>
      </c>
      <c r="AJ2029" s="586" t="s">
        <v>1377</v>
      </c>
      <c r="AK2029" s="558" t="s">
        <v>2450</v>
      </c>
    </row>
    <row r="2030" spans="1:37" s="394" customFormat="1" ht="101.25" outlineLevel="2" x14ac:dyDescent="0.3">
      <c r="A2030" s="447">
        <f t="shared" ref="A2030:A2035" si="453">IF(B2029&lt;&gt;0,B2029,A2029)</f>
        <v>173</v>
      </c>
      <c r="B2030" s="557"/>
      <c r="C2030" s="572" t="s">
        <v>1623</v>
      </c>
      <c r="D2030" s="700"/>
      <c r="E2030" s="612"/>
      <c r="F2030" s="612"/>
      <c r="G2030" s="586"/>
      <c r="H2030" s="709"/>
      <c r="I2030" s="546"/>
      <c r="J2030" s="562"/>
      <c r="K2030" s="563" t="str">
        <f>IF(G2030&lt;&gt;0,VLOOKUP(G2030,'gia dat'!$A$1:$F$144,5,0)," ")</f>
        <v xml:space="preserve"> </v>
      </c>
      <c r="L2030" s="563" t="str">
        <f>IF(G2030&lt;&gt;0,VLOOKUP(G2030,'gia dat'!$A$1:$F$144,6,0)," ")</f>
        <v xml:space="preserve"> </v>
      </c>
      <c r="M2030" s="564" t="str">
        <f t="shared" si="439"/>
        <v xml:space="preserve"> </v>
      </c>
      <c r="N2030" s="564" t="str">
        <f t="shared" si="440"/>
        <v xml:space="preserve"> </v>
      </c>
      <c r="O2030" s="572"/>
      <c r="P2030" s="740"/>
      <c r="Q2030" s="564" t="str">
        <f>IF(O2030&lt;&gt;0,VLOOKUP(O2030,'Cây trong'!$A$2:$C$246,3,0)," ")</f>
        <v xml:space="preserve"> </v>
      </c>
      <c r="R2030" s="564" t="str">
        <f t="shared" si="448"/>
        <v xml:space="preserve"> </v>
      </c>
      <c r="S2030" s="566" t="s">
        <v>2386</v>
      </c>
      <c r="T2030" s="609" t="s">
        <v>1133</v>
      </c>
      <c r="U2030" s="741">
        <v>3.2199999999999998</v>
      </c>
      <c r="V2030" s="586"/>
      <c r="W2030" s="564">
        <f>IF(S2030&lt;&gt;0,VLOOKUP(S2030,VKT!$A$2:$G$415,7,0),"")</f>
        <v>8308812</v>
      </c>
      <c r="X2030" s="564">
        <f t="shared" si="442"/>
        <v>26754000</v>
      </c>
      <c r="Y2030" s="650"/>
      <c r="Z2030" s="586"/>
      <c r="AA2030" s="742"/>
      <c r="AB2030" s="586"/>
      <c r="AC2030" s="586"/>
      <c r="AD2030" s="586"/>
      <c r="AE2030" s="586"/>
      <c r="AF2030" s="714"/>
      <c r="AG2030" s="570" t="str">
        <f>IF(AE2030&lt;&gt;0,VLOOKUP(AE2030,ODDS!$A$2:$C$13,3,0),"")</f>
        <v/>
      </c>
      <c r="AH2030" s="570" t="str">
        <f t="shared" si="449"/>
        <v xml:space="preserve"> </v>
      </c>
      <c r="AI2030" s="571" t="str">
        <f t="shared" si="447"/>
        <v xml:space="preserve"> </v>
      </c>
      <c r="AJ2030" s="586" t="s">
        <v>169</v>
      </c>
      <c r="AK2030" s="586" t="s">
        <v>2800</v>
      </c>
    </row>
    <row r="2031" spans="1:37" s="394" customFormat="1" ht="81" outlineLevel="2" x14ac:dyDescent="0.3">
      <c r="A2031" s="447">
        <f t="shared" si="453"/>
        <v>173</v>
      </c>
      <c r="B2031" s="557"/>
      <c r="C2031" s="572"/>
      <c r="D2031" s="700"/>
      <c r="E2031" s="612"/>
      <c r="F2031" s="612"/>
      <c r="G2031" s="586"/>
      <c r="H2031" s="709"/>
      <c r="I2031" s="546"/>
      <c r="J2031" s="562"/>
      <c r="K2031" s="563" t="str">
        <f>IF(G2031&lt;&gt;0,VLOOKUP(G2031,'gia dat'!$A$1:$F$144,5,0)," ")</f>
        <v xml:space="preserve"> </v>
      </c>
      <c r="L2031" s="563" t="str">
        <f>IF(G2031&lt;&gt;0,VLOOKUP(G2031,'gia dat'!$A$1:$F$144,6,0)," ")</f>
        <v xml:space="preserve"> </v>
      </c>
      <c r="M2031" s="564" t="str">
        <f t="shared" si="439"/>
        <v xml:space="preserve"> </v>
      </c>
      <c r="N2031" s="564" t="str">
        <f t="shared" si="440"/>
        <v xml:space="preserve"> </v>
      </c>
      <c r="O2031" s="572"/>
      <c r="P2031" s="740"/>
      <c r="Q2031" s="564" t="str">
        <f>IF(O2031&lt;&gt;0,VLOOKUP(O2031,'Cây trong'!$A$2:$C$246,3,0)," ")</f>
        <v xml:space="preserve"> </v>
      </c>
      <c r="R2031" s="564" t="str">
        <f t="shared" si="448"/>
        <v xml:space="preserve"> </v>
      </c>
      <c r="S2031" s="566" t="s">
        <v>1927</v>
      </c>
      <c r="T2031" s="609" t="s">
        <v>1133</v>
      </c>
      <c r="U2031" s="741">
        <v>22.8</v>
      </c>
      <c r="V2031" s="586"/>
      <c r="W2031" s="564">
        <f>IF(S2031&lt;&gt;0,VLOOKUP(S2031,VKT!$A$2:$G$415,7,0),"")</f>
        <v>684506</v>
      </c>
      <c r="X2031" s="564">
        <f t="shared" si="442"/>
        <v>15607000</v>
      </c>
      <c r="Y2031" s="650"/>
      <c r="Z2031" s="586"/>
      <c r="AA2031" s="742"/>
      <c r="AB2031" s="586"/>
      <c r="AC2031" s="586"/>
      <c r="AD2031" s="586"/>
      <c r="AE2031" s="586"/>
      <c r="AF2031" s="714"/>
      <c r="AG2031" s="570" t="str">
        <f>IF(AE2031&lt;&gt;0,VLOOKUP(AE2031,ODDS!$A$2:$C$13,3,0),"")</f>
        <v/>
      </c>
      <c r="AH2031" s="570" t="str">
        <f t="shared" si="449"/>
        <v xml:space="preserve"> </v>
      </c>
      <c r="AI2031" s="571" t="str">
        <f t="shared" si="447"/>
        <v xml:space="preserve"> </v>
      </c>
      <c r="AJ2031" s="586"/>
      <c r="AK2031" s="586"/>
    </row>
    <row r="2032" spans="1:37" s="394" customFormat="1" ht="20.25" outlineLevel="2" x14ac:dyDescent="0.3">
      <c r="A2032" s="447">
        <f t="shared" si="453"/>
        <v>173</v>
      </c>
      <c r="B2032" s="557"/>
      <c r="C2032" s="572"/>
      <c r="D2032" s="700"/>
      <c r="E2032" s="612"/>
      <c r="F2032" s="612"/>
      <c r="G2032" s="586"/>
      <c r="H2032" s="709"/>
      <c r="I2032" s="546"/>
      <c r="J2032" s="558"/>
      <c r="K2032" s="563" t="str">
        <f>IF(G2032&lt;&gt;0,VLOOKUP(G2032,'gia dat'!$A$1:$F$144,5,0)," ")</f>
        <v xml:space="preserve"> </v>
      </c>
      <c r="L2032" s="563" t="str">
        <f>IF(G2032&lt;&gt;0,VLOOKUP(G2032,'gia dat'!$A$1:$F$144,6,0)," ")</f>
        <v xml:space="preserve"> </v>
      </c>
      <c r="M2032" s="564" t="str">
        <f t="shared" si="439"/>
        <v xml:space="preserve"> </v>
      </c>
      <c r="N2032" s="564" t="str">
        <f t="shared" si="440"/>
        <v xml:space="preserve"> </v>
      </c>
      <c r="O2032" s="572"/>
      <c r="P2032" s="740"/>
      <c r="Q2032" s="564" t="str">
        <f>IF(O2032&lt;&gt;0,VLOOKUP(O2032,'Cây trong'!$A$2:$C$246,3,0)," ")</f>
        <v xml:space="preserve"> </v>
      </c>
      <c r="R2032" s="564" t="str">
        <f t="shared" si="448"/>
        <v xml:space="preserve"> </v>
      </c>
      <c r="S2032" s="566"/>
      <c r="T2032" s="609"/>
      <c r="U2032" s="741"/>
      <c r="V2032" s="586"/>
      <c r="W2032" s="564" t="str">
        <f>IF(S2032&lt;&gt;0,VLOOKUP(S2032,VKT!$A$2:$G$415,7,0),"")</f>
        <v/>
      </c>
      <c r="X2032" s="564" t="str">
        <f t="shared" si="442"/>
        <v xml:space="preserve"> </v>
      </c>
      <c r="Y2032" s="650"/>
      <c r="Z2032" s="586"/>
      <c r="AA2032" s="742"/>
      <c r="AB2032" s="586"/>
      <c r="AC2032" s="586"/>
      <c r="AD2032" s="586"/>
      <c r="AE2032" s="586"/>
      <c r="AF2032" s="714"/>
      <c r="AG2032" s="570" t="str">
        <f>IF(AE2032&lt;&gt;0,VLOOKUP(AE2032,ODDS!$A$2:$C$13,3,0),"")</f>
        <v/>
      </c>
      <c r="AH2032" s="570" t="str">
        <f t="shared" si="449"/>
        <v xml:space="preserve"> </v>
      </c>
      <c r="AI2032" s="571" t="str">
        <f t="shared" si="447"/>
        <v xml:space="preserve"> </v>
      </c>
      <c r="AJ2032" s="586"/>
      <c r="AK2032" s="586"/>
    </row>
    <row r="2033" spans="1:38" s="394" customFormat="1" ht="20.25" outlineLevel="2" x14ac:dyDescent="0.3">
      <c r="A2033" s="447">
        <f t="shared" si="453"/>
        <v>173</v>
      </c>
      <c r="B2033" s="557"/>
      <c r="C2033" s="572"/>
      <c r="D2033" s="700"/>
      <c r="E2033" s="612"/>
      <c r="F2033" s="612"/>
      <c r="G2033" s="586"/>
      <c r="H2033" s="709"/>
      <c r="I2033" s="546"/>
      <c r="J2033" s="558"/>
      <c r="K2033" s="563" t="str">
        <f>IF(G2033&lt;&gt;0,VLOOKUP(G2033,'gia dat'!$A$1:$F$144,5,0)," ")</f>
        <v xml:space="preserve"> </v>
      </c>
      <c r="L2033" s="563" t="str">
        <f>IF(G2033&lt;&gt;0,VLOOKUP(G2033,'gia dat'!$A$1:$F$144,6,0)," ")</f>
        <v xml:space="preserve"> </v>
      </c>
      <c r="M2033" s="564" t="str">
        <f t="shared" si="439"/>
        <v xml:space="preserve"> </v>
      </c>
      <c r="N2033" s="564" t="str">
        <f t="shared" si="440"/>
        <v xml:space="preserve"> </v>
      </c>
      <c r="O2033" s="572"/>
      <c r="P2033" s="740"/>
      <c r="Q2033" s="564" t="str">
        <f>IF(O2033&lt;&gt;0,VLOOKUP(O2033,'Cây trong'!$A$2:$C$246,3,0)," ")</f>
        <v xml:space="preserve"> </v>
      </c>
      <c r="R2033" s="564" t="str">
        <f t="shared" si="448"/>
        <v xml:space="preserve"> </v>
      </c>
      <c r="S2033" s="566"/>
      <c r="T2033" s="609"/>
      <c r="U2033" s="741"/>
      <c r="V2033" s="586"/>
      <c r="W2033" s="564" t="str">
        <f>IF(S2033&lt;&gt;0,VLOOKUP(S2033,VKT!$A$2:$G$415,7,0),"")</f>
        <v/>
      </c>
      <c r="X2033" s="564" t="str">
        <f t="shared" si="442"/>
        <v xml:space="preserve"> </v>
      </c>
      <c r="Y2033" s="650"/>
      <c r="Z2033" s="586"/>
      <c r="AA2033" s="742"/>
      <c r="AB2033" s="586"/>
      <c r="AC2033" s="586"/>
      <c r="AD2033" s="586"/>
      <c r="AE2033" s="586"/>
      <c r="AF2033" s="714"/>
      <c r="AG2033" s="570" t="str">
        <f>IF(AE2033&lt;&gt;0,VLOOKUP(AE2033,ODDS!$A$2:$C$13,3,0),"")</f>
        <v/>
      </c>
      <c r="AH2033" s="570" t="str">
        <f t="shared" si="449"/>
        <v xml:space="preserve"> </v>
      </c>
      <c r="AI2033" s="571" t="str">
        <f t="shared" si="447"/>
        <v xml:space="preserve"> </v>
      </c>
      <c r="AJ2033" s="586"/>
      <c r="AK2033" s="586"/>
    </row>
    <row r="2034" spans="1:38" s="394" customFormat="1" ht="20.25" outlineLevel="2" x14ac:dyDescent="0.3">
      <c r="A2034" s="447">
        <f t="shared" si="453"/>
        <v>173</v>
      </c>
      <c r="B2034" s="557"/>
      <c r="C2034" s="586"/>
      <c r="D2034" s="700"/>
      <c r="E2034" s="612"/>
      <c r="F2034" s="612"/>
      <c r="G2034" s="586"/>
      <c r="H2034" s="709"/>
      <c r="I2034" s="546"/>
      <c r="J2034" s="558"/>
      <c r="K2034" s="563" t="str">
        <f>IF(G2034&lt;&gt;0,VLOOKUP(G2034,'gia dat'!$A$1:$F$144,5,0)," ")</f>
        <v xml:space="preserve"> </v>
      </c>
      <c r="L2034" s="563" t="str">
        <f>IF(G2034&lt;&gt;0,VLOOKUP(G2034,'gia dat'!$A$1:$F$144,6,0)," ")</f>
        <v xml:space="preserve"> </v>
      </c>
      <c r="M2034" s="564" t="str">
        <f t="shared" si="439"/>
        <v xml:space="preserve"> </v>
      </c>
      <c r="N2034" s="564" t="str">
        <f t="shared" si="440"/>
        <v xml:space="preserve"> </v>
      </c>
      <c r="O2034" s="572"/>
      <c r="P2034" s="740"/>
      <c r="Q2034" s="564" t="str">
        <f>IF(O2034&lt;&gt;0,VLOOKUP(O2034,'Cây trong'!$A$2:$C$246,3,0)," ")</f>
        <v xml:space="preserve"> </v>
      </c>
      <c r="R2034" s="564" t="str">
        <f t="shared" si="448"/>
        <v xml:space="preserve"> </v>
      </c>
      <c r="S2034" s="572"/>
      <c r="T2034" s="609"/>
      <c r="U2034" s="741"/>
      <c r="V2034" s="586"/>
      <c r="W2034" s="564" t="str">
        <f>IF(S2034&lt;&gt;0,VLOOKUP(S2034,VKT!$A$2:$G$415,7,0),"")</f>
        <v/>
      </c>
      <c r="X2034" s="564" t="str">
        <f t="shared" si="442"/>
        <v xml:space="preserve"> </v>
      </c>
      <c r="Y2034" s="650"/>
      <c r="Z2034" s="586"/>
      <c r="AA2034" s="742"/>
      <c r="AB2034" s="586"/>
      <c r="AC2034" s="586"/>
      <c r="AD2034" s="586"/>
      <c r="AE2034" s="586"/>
      <c r="AF2034" s="714"/>
      <c r="AG2034" s="570" t="str">
        <f>IF(AE2034&lt;&gt;0,VLOOKUP(AE2034,ODDS!$A$2:$C$13,3,0),"")</f>
        <v/>
      </c>
      <c r="AH2034" s="570" t="str">
        <f t="shared" si="449"/>
        <v xml:space="preserve"> </v>
      </c>
      <c r="AI2034" s="571" t="str">
        <f t="shared" si="447"/>
        <v xml:space="preserve"> </v>
      </c>
      <c r="AJ2034" s="586"/>
      <c r="AK2034" s="586"/>
    </row>
    <row r="2035" spans="1:38" s="394" customFormat="1" ht="20.25" outlineLevel="2" x14ac:dyDescent="0.3">
      <c r="A2035" s="447">
        <f t="shared" si="453"/>
        <v>173</v>
      </c>
      <c r="B2035" s="557"/>
      <c r="C2035" s="607"/>
      <c r="D2035" s="700"/>
      <c r="E2035" s="612"/>
      <c r="F2035" s="612"/>
      <c r="G2035" s="586"/>
      <c r="H2035" s="709"/>
      <c r="I2035" s="546"/>
      <c r="J2035" s="558"/>
      <c r="K2035" s="563" t="str">
        <f>IF(G2035&lt;&gt;0,VLOOKUP(G2035,'gia dat'!$A$1:$F$144,5,0)," ")</f>
        <v xml:space="preserve"> </v>
      </c>
      <c r="L2035" s="563" t="str">
        <f>IF(G2035&lt;&gt;0,VLOOKUP(G2035,'gia dat'!$A$1:$F$144,6,0)," ")</f>
        <v xml:space="preserve"> </v>
      </c>
      <c r="M2035" s="564" t="str">
        <f t="shared" si="439"/>
        <v xml:space="preserve"> </v>
      </c>
      <c r="N2035" s="564" t="str">
        <f t="shared" si="440"/>
        <v xml:space="preserve"> </v>
      </c>
      <c r="O2035" s="572"/>
      <c r="P2035" s="740"/>
      <c r="Q2035" s="564" t="str">
        <f>IF(O2035&lt;&gt;0,VLOOKUP(O2035,'Cây trong'!$A$2:$C$246,3,0)," ")</f>
        <v xml:space="preserve"> </v>
      </c>
      <c r="R2035" s="564" t="str">
        <f t="shared" si="448"/>
        <v xml:space="preserve"> </v>
      </c>
      <c r="S2035" s="572"/>
      <c r="T2035" s="609"/>
      <c r="U2035" s="741"/>
      <c r="V2035" s="586"/>
      <c r="W2035" s="564" t="str">
        <f>IF(S2035&lt;&gt;0,VLOOKUP(S2035,VKT!$A$2:$G$415,7,0),"")</f>
        <v/>
      </c>
      <c r="X2035" s="564" t="str">
        <f t="shared" si="442"/>
        <v xml:space="preserve"> </v>
      </c>
      <c r="Y2035" s="650"/>
      <c r="Z2035" s="586"/>
      <c r="AA2035" s="742"/>
      <c r="AB2035" s="586"/>
      <c r="AC2035" s="586"/>
      <c r="AD2035" s="586"/>
      <c r="AE2035" s="586"/>
      <c r="AF2035" s="714"/>
      <c r="AG2035" s="570" t="str">
        <f>IF(AE2035&lt;&gt;0,VLOOKUP(AE2035,ODDS!$A$2:$C$13,3,0),"")</f>
        <v/>
      </c>
      <c r="AH2035" s="570" t="str">
        <f t="shared" si="449"/>
        <v xml:space="preserve"> </v>
      </c>
      <c r="AI2035" s="571" t="str">
        <f t="shared" si="447"/>
        <v xml:space="preserve"> </v>
      </c>
      <c r="AJ2035" s="572"/>
      <c r="AK2035" s="572"/>
    </row>
    <row r="2036" spans="1:38" s="394" customFormat="1" ht="20.25" outlineLevel="1" x14ac:dyDescent="0.25">
      <c r="A2036" s="467" t="s">
        <v>2536</v>
      </c>
      <c r="B2036" s="576">
        <v>174</v>
      </c>
      <c r="C2036" s="607" t="s">
        <v>1379</v>
      </c>
      <c r="D2036" s="706"/>
      <c r="E2036" s="642"/>
      <c r="F2036" s="642"/>
      <c r="G2036" s="578"/>
      <c r="H2036" s="707">
        <f>SUBTOTAL(9,H2037:H2043)</f>
        <v>0</v>
      </c>
      <c r="I2036" s="579">
        <f>SUBTOTAL(9,I2037:I2042)</f>
        <v>0</v>
      </c>
      <c r="J2036" s="580"/>
      <c r="K2036" s="581"/>
      <c r="L2036" s="581"/>
      <c r="M2036" s="571">
        <f>SUBTOTAL(9,M2037:M2043)</f>
        <v>0</v>
      </c>
      <c r="N2036" s="571">
        <f>SUBTOTAL(9,N2037:N2043)</f>
        <v>0</v>
      </c>
      <c r="O2036" s="607"/>
      <c r="P2036" s="738">
        <f>SUBTOTAL(9,P2037:P2043)</f>
        <v>0</v>
      </c>
      <c r="Q2036" s="571"/>
      <c r="R2036" s="571">
        <f>SUBTOTAL(9,R2037:R2043)</f>
        <v>0</v>
      </c>
      <c r="S2036" s="582"/>
      <c r="T2036" s="621"/>
      <c r="U2036" s="739">
        <f>SUBTOTAL(9,U2037:U2043)</f>
        <v>51.870000000000005</v>
      </c>
      <c r="V2036" s="578"/>
      <c r="W2036" s="571"/>
      <c r="X2036" s="571">
        <f>SUBTOTAL(9,X2037:X2043)</f>
        <v>100211000</v>
      </c>
      <c r="Y2036" s="661"/>
      <c r="Z2036" s="683"/>
      <c r="AA2036" s="683"/>
      <c r="AB2036" s="694"/>
      <c r="AC2036" s="683"/>
      <c r="AD2036" s="683"/>
      <c r="AE2036" s="650"/>
      <c r="AF2036" s="599">
        <f>SUBTOTAL(9,AF2037:AF2043)</f>
        <v>0</v>
      </c>
      <c r="AG2036" s="585"/>
      <c r="AH2036" s="585">
        <f>SUBTOTAL(9,AH2037:AH2043)</f>
        <v>0</v>
      </c>
      <c r="AI2036" s="571">
        <f t="shared" si="447"/>
        <v>100211000</v>
      </c>
      <c r="AJ2036" s="578"/>
      <c r="AK2036" s="574"/>
    </row>
    <row r="2037" spans="1:38" s="394" customFormat="1" ht="121.5" outlineLevel="2" x14ac:dyDescent="0.3">
      <c r="A2037" s="447">
        <f>IF(B2036&lt;&gt;0,B2036,A2035)</f>
        <v>174</v>
      </c>
      <c r="B2037" s="557"/>
      <c r="C2037" s="572" t="s">
        <v>1381</v>
      </c>
      <c r="D2037" s="700"/>
      <c r="E2037" s="612"/>
      <c r="F2037" s="612"/>
      <c r="G2037" s="586"/>
      <c r="H2037" s="709"/>
      <c r="I2037" s="546"/>
      <c r="J2037" s="562"/>
      <c r="K2037" s="563" t="str">
        <f>IF(G2037&lt;&gt;0,VLOOKUP(G2037,'gia dat'!$A$1:$F$144,5,0)," ")</f>
        <v xml:space="preserve"> </v>
      </c>
      <c r="L2037" s="563" t="str">
        <f>IF(G2037&lt;&gt;0,VLOOKUP(G2037,'gia dat'!$A$1:$F$144,6,0)," ")</f>
        <v xml:space="preserve"> </v>
      </c>
      <c r="M2037" s="564" t="str">
        <f t="shared" si="439"/>
        <v xml:space="preserve"> </v>
      </c>
      <c r="N2037" s="564" t="str">
        <f t="shared" si="440"/>
        <v xml:space="preserve"> </v>
      </c>
      <c r="O2037" s="572"/>
      <c r="P2037" s="740"/>
      <c r="Q2037" s="564" t="str">
        <f>IF(O2037&lt;&gt;0,VLOOKUP(O2037,'Cây trong'!$A$2:$C$246,3,0)," ")</f>
        <v xml:space="preserve"> </v>
      </c>
      <c r="R2037" s="564" t="str">
        <f t="shared" si="448"/>
        <v xml:space="preserve"> </v>
      </c>
      <c r="S2037" s="566" t="s">
        <v>1838</v>
      </c>
      <c r="T2037" s="609" t="s">
        <v>1133</v>
      </c>
      <c r="U2037" s="741">
        <v>19.95</v>
      </c>
      <c r="V2037" s="586"/>
      <c r="W2037" s="564">
        <f>IF(S2037&lt;&gt;0,VLOOKUP(S2037,VKT!$A$2:$G$415,7,0),"")</f>
        <v>3156089</v>
      </c>
      <c r="X2037" s="564">
        <f t="shared" si="442"/>
        <v>62964000</v>
      </c>
      <c r="Y2037" s="661" t="s">
        <v>1138</v>
      </c>
      <c r="Z2037" s="683" t="s">
        <v>1139</v>
      </c>
      <c r="AA2037" s="683" t="s">
        <v>56</v>
      </c>
      <c r="AB2037" s="694" t="s">
        <v>269</v>
      </c>
      <c r="AC2037" s="683" t="s">
        <v>1138</v>
      </c>
      <c r="AD2037" s="683"/>
      <c r="AE2037" s="683"/>
      <c r="AF2037" s="590"/>
      <c r="AG2037" s="570" t="str">
        <f>IF(AE2037&lt;&gt;0,VLOOKUP(AE2037,ODDS!$A$2:$C$13,3,0),"")</f>
        <v/>
      </c>
      <c r="AH2037" s="570" t="str">
        <f t="shared" si="449"/>
        <v xml:space="preserve"> </v>
      </c>
      <c r="AI2037" s="571" t="str">
        <f t="shared" si="447"/>
        <v xml:space="preserve"> </v>
      </c>
      <c r="AJ2037" s="586" t="s">
        <v>1380</v>
      </c>
      <c r="AK2037" s="558" t="s">
        <v>2450</v>
      </c>
    </row>
    <row r="2038" spans="1:38" s="394" customFormat="1" ht="101.25" outlineLevel="2" x14ac:dyDescent="0.3">
      <c r="A2038" s="447">
        <f t="shared" ref="A2038:A2043" si="454">IF(B2037&lt;&gt;0,B2037,A2037)</f>
        <v>174</v>
      </c>
      <c r="B2038" s="557"/>
      <c r="C2038" s="572" t="s">
        <v>1624</v>
      </c>
      <c r="D2038" s="700"/>
      <c r="E2038" s="612"/>
      <c r="F2038" s="612"/>
      <c r="G2038" s="586"/>
      <c r="H2038" s="709"/>
      <c r="I2038" s="546"/>
      <c r="J2038" s="562"/>
      <c r="K2038" s="563" t="str">
        <f>IF(G2038&lt;&gt;0,VLOOKUP(G2038,'gia dat'!$A$1:$F$144,5,0)," ")</f>
        <v xml:space="preserve"> </v>
      </c>
      <c r="L2038" s="563" t="str">
        <f>IF(G2038&lt;&gt;0,VLOOKUP(G2038,'gia dat'!$A$1:$F$144,6,0)," ")</f>
        <v xml:space="preserve"> </v>
      </c>
      <c r="M2038" s="564" t="str">
        <f t="shared" si="439"/>
        <v xml:space="preserve"> </v>
      </c>
      <c r="N2038" s="564" t="str">
        <f t="shared" si="440"/>
        <v xml:space="preserve"> </v>
      </c>
      <c r="O2038" s="572"/>
      <c r="P2038" s="740"/>
      <c r="Q2038" s="564" t="str">
        <f>IF(O2038&lt;&gt;0,VLOOKUP(O2038,'Cây trong'!$A$2:$C$246,3,0)," ")</f>
        <v xml:space="preserve"> </v>
      </c>
      <c r="R2038" s="564" t="str">
        <f t="shared" si="448"/>
        <v xml:space="preserve"> </v>
      </c>
      <c r="S2038" s="566" t="s">
        <v>2386</v>
      </c>
      <c r="T2038" s="609" t="s">
        <v>1133</v>
      </c>
      <c r="U2038" s="741">
        <v>3</v>
      </c>
      <c r="V2038" s="586"/>
      <c r="W2038" s="564">
        <f>IF(S2038&lt;&gt;0,VLOOKUP(S2038,VKT!$A$2:$G$415,7,0),"")</f>
        <v>8308812</v>
      </c>
      <c r="X2038" s="564">
        <f t="shared" si="442"/>
        <v>24926000</v>
      </c>
      <c r="Y2038" s="650"/>
      <c r="Z2038" s="586"/>
      <c r="AA2038" s="742"/>
      <c r="AB2038" s="586"/>
      <c r="AC2038" s="586"/>
      <c r="AD2038" s="586"/>
      <c r="AE2038" s="586"/>
      <c r="AF2038" s="714"/>
      <c r="AG2038" s="570" t="str">
        <f>IF(AE2038&lt;&gt;0,VLOOKUP(AE2038,ODDS!$A$2:$C$13,3,0),"")</f>
        <v/>
      </c>
      <c r="AH2038" s="570" t="str">
        <f t="shared" si="449"/>
        <v xml:space="preserve"> </v>
      </c>
      <c r="AI2038" s="571" t="str">
        <f t="shared" si="447"/>
        <v xml:space="preserve"> </v>
      </c>
      <c r="AJ2038" s="586" t="s">
        <v>169</v>
      </c>
      <c r="AK2038" s="586" t="s">
        <v>2800</v>
      </c>
    </row>
    <row r="2039" spans="1:38" s="394" customFormat="1" ht="81" outlineLevel="2" x14ac:dyDescent="0.3">
      <c r="A2039" s="447">
        <f t="shared" si="454"/>
        <v>174</v>
      </c>
      <c r="B2039" s="557"/>
      <c r="C2039" s="572"/>
      <c r="D2039" s="700"/>
      <c r="E2039" s="612"/>
      <c r="F2039" s="612"/>
      <c r="G2039" s="586"/>
      <c r="H2039" s="709"/>
      <c r="I2039" s="546"/>
      <c r="J2039" s="562"/>
      <c r="K2039" s="563" t="str">
        <f>IF(G2039&lt;&gt;0,VLOOKUP(G2039,'gia dat'!$A$1:$F$144,5,0)," ")</f>
        <v xml:space="preserve"> </v>
      </c>
      <c r="L2039" s="563" t="str">
        <f>IF(G2039&lt;&gt;0,VLOOKUP(G2039,'gia dat'!$A$1:$F$144,6,0)," ")</f>
        <v xml:space="preserve"> </v>
      </c>
      <c r="M2039" s="564" t="str">
        <f t="shared" ref="M2039:M2106" si="455">IF(H2039&lt;&gt;0,ROUND(H2039*K2039,-3)," ")</f>
        <v xml:space="preserve"> </v>
      </c>
      <c r="N2039" s="564" t="str">
        <f t="shared" ref="N2039:N2106" si="456">IF(H2039&lt;&gt;0,ROUND(H2039*L2039,-3)," ")</f>
        <v xml:space="preserve"> </v>
      </c>
      <c r="O2039" s="572"/>
      <c r="P2039" s="740"/>
      <c r="Q2039" s="564" t="str">
        <f>IF(O2039&lt;&gt;0,VLOOKUP(O2039,'Cây trong'!$A$2:$C$246,3,0)," ")</f>
        <v xml:space="preserve"> </v>
      </c>
      <c r="R2039" s="564" t="str">
        <f t="shared" si="448"/>
        <v xml:space="preserve"> </v>
      </c>
      <c r="S2039" s="566" t="s">
        <v>1927</v>
      </c>
      <c r="T2039" s="609" t="s">
        <v>1133</v>
      </c>
      <c r="U2039" s="741">
        <v>18</v>
      </c>
      <c r="V2039" s="586"/>
      <c r="W2039" s="564">
        <f>IF(S2039&lt;&gt;0,VLOOKUP(S2039,VKT!$A$2:$G$415,7,0),"")</f>
        <v>684506</v>
      </c>
      <c r="X2039" s="564">
        <f t="shared" si="442"/>
        <v>12321000</v>
      </c>
      <c r="Y2039" s="650"/>
      <c r="Z2039" s="586"/>
      <c r="AA2039" s="742"/>
      <c r="AB2039" s="586"/>
      <c r="AC2039" s="586"/>
      <c r="AD2039" s="586"/>
      <c r="AE2039" s="586"/>
      <c r="AF2039" s="714"/>
      <c r="AG2039" s="570" t="str">
        <f>IF(AE2039&lt;&gt;0,VLOOKUP(AE2039,ODDS!$A$2:$C$13,3,0),"")</f>
        <v/>
      </c>
      <c r="AH2039" s="570" t="str">
        <f t="shared" si="449"/>
        <v xml:space="preserve"> </v>
      </c>
      <c r="AI2039" s="571" t="str">
        <f t="shared" si="447"/>
        <v xml:space="preserve"> </v>
      </c>
      <c r="AJ2039" s="586"/>
      <c r="AK2039" s="586"/>
    </row>
    <row r="2040" spans="1:38" s="394" customFormat="1" ht="60.75" outlineLevel="2" x14ac:dyDescent="0.3">
      <c r="A2040" s="447">
        <f t="shared" si="454"/>
        <v>174</v>
      </c>
      <c r="B2040" s="557"/>
      <c r="C2040" s="572"/>
      <c r="D2040" s="700"/>
      <c r="E2040" s="612"/>
      <c r="F2040" s="612"/>
      <c r="G2040" s="586"/>
      <c r="H2040" s="709"/>
      <c r="I2040" s="546"/>
      <c r="J2040" s="558"/>
      <c r="K2040" s="563" t="str">
        <f>IF(G2040&lt;&gt;0,VLOOKUP(G2040,'gia dat'!$A$1:$F$144,5,0)," ")</f>
        <v xml:space="preserve"> </v>
      </c>
      <c r="L2040" s="563" t="str">
        <f>IF(G2040&lt;&gt;0,VLOOKUP(G2040,'gia dat'!$A$1:$F$144,6,0)," ")</f>
        <v xml:space="preserve"> </v>
      </c>
      <c r="M2040" s="564" t="str">
        <f t="shared" si="455"/>
        <v xml:space="preserve"> </v>
      </c>
      <c r="N2040" s="564" t="str">
        <f t="shared" si="456"/>
        <v xml:space="preserve"> </v>
      </c>
      <c r="O2040" s="572"/>
      <c r="P2040" s="740"/>
      <c r="Q2040" s="564" t="str">
        <f>IF(O2040&lt;&gt;0,VLOOKUP(O2040,'Cây trong'!$A$2:$C$246,3,0)," ")</f>
        <v xml:space="preserve"> </v>
      </c>
      <c r="R2040" s="564" t="str">
        <f t="shared" si="448"/>
        <v xml:space="preserve"> </v>
      </c>
      <c r="S2040" s="566" t="s">
        <v>2387</v>
      </c>
      <c r="T2040" s="609" t="s">
        <v>1133</v>
      </c>
      <c r="U2040" s="741">
        <v>10.920000000000002</v>
      </c>
      <c r="V2040" s="586"/>
      <c r="W2040" s="564">
        <f>IF(S2040&lt;&gt;0,VLOOKUP(S2040,VKT!$A$2:$G$415,7,0),"")</f>
        <v>0</v>
      </c>
      <c r="X2040" s="564">
        <f t="shared" si="442"/>
        <v>0</v>
      </c>
      <c r="Y2040" s="650"/>
      <c r="Z2040" s="586"/>
      <c r="AA2040" s="742"/>
      <c r="AB2040" s="586"/>
      <c r="AC2040" s="586"/>
      <c r="AD2040" s="586"/>
      <c r="AE2040" s="586"/>
      <c r="AF2040" s="714"/>
      <c r="AG2040" s="570" t="str">
        <f>IF(AE2040&lt;&gt;0,VLOOKUP(AE2040,ODDS!$A$2:$C$13,3,0),"")</f>
        <v/>
      </c>
      <c r="AH2040" s="570" t="str">
        <f t="shared" si="449"/>
        <v xml:space="preserve"> </v>
      </c>
      <c r="AI2040" s="571" t="str">
        <f t="shared" si="447"/>
        <v xml:space="preserve"> </v>
      </c>
      <c r="AJ2040" s="586"/>
      <c r="AK2040" s="586"/>
    </row>
    <row r="2041" spans="1:38" s="394" customFormat="1" ht="20.25" outlineLevel="2" x14ac:dyDescent="0.3">
      <c r="A2041" s="447">
        <f t="shared" si="454"/>
        <v>174</v>
      </c>
      <c r="B2041" s="557"/>
      <c r="C2041" s="572"/>
      <c r="D2041" s="700"/>
      <c r="E2041" s="612"/>
      <c r="F2041" s="612"/>
      <c r="G2041" s="586"/>
      <c r="H2041" s="709"/>
      <c r="I2041" s="546"/>
      <c r="J2041" s="558"/>
      <c r="K2041" s="563" t="str">
        <f>IF(G2041&lt;&gt;0,VLOOKUP(G2041,'gia dat'!$A$1:$F$144,5,0)," ")</f>
        <v xml:space="preserve"> </v>
      </c>
      <c r="L2041" s="563" t="str">
        <f>IF(G2041&lt;&gt;0,VLOOKUP(G2041,'gia dat'!$A$1:$F$144,6,0)," ")</f>
        <v xml:space="preserve"> </v>
      </c>
      <c r="M2041" s="564" t="str">
        <f t="shared" si="455"/>
        <v xml:space="preserve"> </v>
      </c>
      <c r="N2041" s="564" t="str">
        <f t="shared" si="456"/>
        <v xml:space="preserve"> </v>
      </c>
      <c r="O2041" s="572"/>
      <c r="P2041" s="740"/>
      <c r="Q2041" s="564" t="str">
        <f>IF(O2041&lt;&gt;0,VLOOKUP(O2041,'Cây trong'!$A$2:$C$246,3,0)," ")</f>
        <v xml:space="preserve"> </v>
      </c>
      <c r="R2041" s="564" t="str">
        <f t="shared" si="448"/>
        <v xml:space="preserve"> </v>
      </c>
      <c r="S2041" s="566"/>
      <c r="T2041" s="609"/>
      <c r="U2041" s="741"/>
      <c r="V2041" s="586"/>
      <c r="W2041" s="564" t="str">
        <f>IF(S2041&lt;&gt;0,VLOOKUP(S2041,VKT!$A$2:$G$415,7,0),"")</f>
        <v/>
      </c>
      <c r="X2041" s="564" t="str">
        <f t="shared" si="442"/>
        <v xml:space="preserve"> </v>
      </c>
      <c r="Y2041" s="650"/>
      <c r="Z2041" s="586"/>
      <c r="AA2041" s="742"/>
      <c r="AB2041" s="586"/>
      <c r="AC2041" s="586"/>
      <c r="AD2041" s="586"/>
      <c r="AE2041" s="586"/>
      <c r="AF2041" s="714"/>
      <c r="AG2041" s="570" t="str">
        <f>IF(AE2041&lt;&gt;0,VLOOKUP(AE2041,ODDS!$A$2:$C$13,3,0),"")</f>
        <v/>
      </c>
      <c r="AH2041" s="570" t="str">
        <f t="shared" si="449"/>
        <v xml:space="preserve"> </v>
      </c>
      <c r="AI2041" s="571" t="str">
        <f t="shared" si="447"/>
        <v xml:space="preserve"> </v>
      </c>
      <c r="AJ2041" s="586"/>
      <c r="AK2041" s="586"/>
    </row>
    <row r="2042" spans="1:38" s="394" customFormat="1" ht="20.25" outlineLevel="2" x14ac:dyDescent="0.3">
      <c r="A2042" s="447">
        <f t="shared" si="454"/>
        <v>174</v>
      </c>
      <c r="B2042" s="557"/>
      <c r="C2042" s="586"/>
      <c r="D2042" s="700"/>
      <c r="E2042" s="612"/>
      <c r="F2042" s="612"/>
      <c r="G2042" s="586"/>
      <c r="H2042" s="709"/>
      <c r="I2042" s="546"/>
      <c r="J2042" s="558"/>
      <c r="K2042" s="563" t="str">
        <f>IF(G2042&lt;&gt;0,VLOOKUP(G2042,'gia dat'!$A$1:$F$144,5,0)," ")</f>
        <v xml:space="preserve"> </v>
      </c>
      <c r="L2042" s="563" t="str">
        <f>IF(G2042&lt;&gt;0,VLOOKUP(G2042,'gia dat'!$A$1:$F$144,6,0)," ")</f>
        <v xml:space="preserve"> </v>
      </c>
      <c r="M2042" s="564" t="str">
        <f t="shared" si="455"/>
        <v xml:space="preserve"> </v>
      </c>
      <c r="N2042" s="564" t="str">
        <f t="shared" si="456"/>
        <v xml:space="preserve"> </v>
      </c>
      <c r="O2042" s="572"/>
      <c r="P2042" s="740"/>
      <c r="Q2042" s="564" t="str">
        <f>IF(O2042&lt;&gt;0,VLOOKUP(O2042,'Cây trong'!$A$2:$C$246,3,0)," ")</f>
        <v xml:space="preserve"> </v>
      </c>
      <c r="R2042" s="564" t="str">
        <f t="shared" si="448"/>
        <v xml:space="preserve"> </v>
      </c>
      <c r="S2042" s="572"/>
      <c r="T2042" s="609"/>
      <c r="U2042" s="741"/>
      <c r="V2042" s="586"/>
      <c r="W2042" s="564" t="str">
        <f>IF(S2042&lt;&gt;0,VLOOKUP(S2042,VKT!$A$2:$G$415,7,0),"")</f>
        <v/>
      </c>
      <c r="X2042" s="564" t="str">
        <f t="shared" si="442"/>
        <v xml:space="preserve"> </v>
      </c>
      <c r="Y2042" s="650"/>
      <c r="Z2042" s="586"/>
      <c r="AA2042" s="742"/>
      <c r="AB2042" s="586"/>
      <c r="AC2042" s="586"/>
      <c r="AD2042" s="586"/>
      <c r="AE2042" s="586"/>
      <c r="AF2042" s="714"/>
      <c r="AG2042" s="570" t="str">
        <f>IF(AE2042&lt;&gt;0,VLOOKUP(AE2042,ODDS!$A$2:$C$13,3,0),"")</f>
        <v/>
      </c>
      <c r="AH2042" s="570" t="str">
        <f t="shared" si="449"/>
        <v xml:space="preserve"> </v>
      </c>
      <c r="AI2042" s="571" t="str">
        <f t="shared" si="447"/>
        <v xml:space="preserve"> </v>
      </c>
      <c r="AJ2042" s="586"/>
      <c r="AK2042" s="586"/>
    </row>
    <row r="2043" spans="1:38" s="394" customFormat="1" ht="20.25" outlineLevel="2" x14ac:dyDescent="0.3">
      <c r="A2043" s="447">
        <f t="shared" si="454"/>
        <v>174</v>
      </c>
      <c r="B2043" s="557"/>
      <c r="C2043" s="607"/>
      <c r="D2043" s="700"/>
      <c r="E2043" s="612"/>
      <c r="F2043" s="612"/>
      <c r="G2043" s="586"/>
      <c r="H2043" s="709"/>
      <c r="I2043" s="546"/>
      <c r="J2043" s="558"/>
      <c r="K2043" s="563" t="str">
        <f>IF(G2043&lt;&gt;0,VLOOKUP(G2043,'gia dat'!$A$1:$F$144,5,0)," ")</f>
        <v xml:space="preserve"> </v>
      </c>
      <c r="L2043" s="563" t="str">
        <f>IF(G2043&lt;&gt;0,VLOOKUP(G2043,'gia dat'!$A$1:$F$144,6,0)," ")</f>
        <v xml:space="preserve"> </v>
      </c>
      <c r="M2043" s="564" t="str">
        <f t="shared" si="455"/>
        <v xml:space="preserve"> </v>
      </c>
      <c r="N2043" s="564" t="str">
        <f t="shared" si="456"/>
        <v xml:space="preserve"> </v>
      </c>
      <c r="O2043" s="572"/>
      <c r="P2043" s="740"/>
      <c r="Q2043" s="564" t="str">
        <f>IF(O2043&lt;&gt;0,VLOOKUP(O2043,'Cây trong'!$A$2:$C$246,3,0)," ")</f>
        <v xml:space="preserve"> </v>
      </c>
      <c r="R2043" s="564" t="str">
        <f t="shared" si="448"/>
        <v xml:space="preserve"> </v>
      </c>
      <c r="S2043" s="572"/>
      <c r="T2043" s="609"/>
      <c r="U2043" s="741"/>
      <c r="V2043" s="586"/>
      <c r="W2043" s="564" t="str">
        <f>IF(S2043&lt;&gt;0,VLOOKUP(S2043,VKT!$A$2:$G$415,7,0),"")</f>
        <v/>
      </c>
      <c r="X2043" s="564" t="str">
        <f t="shared" si="442"/>
        <v xml:space="preserve"> </v>
      </c>
      <c r="Y2043" s="650"/>
      <c r="Z2043" s="586"/>
      <c r="AA2043" s="742"/>
      <c r="AB2043" s="586"/>
      <c r="AC2043" s="586"/>
      <c r="AD2043" s="586"/>
      <c r="AE2043" s="586"/>
      <c r="AF2043" s="714"/>
      <c r="AG2043" s="570" t="str">
        <f>IF(AE2043&lt;&gt;0,VLOOKUP(AE2043,ODDS!$A$2:$C$13,3,0),"")</f>
        <v/>
      </c>
      <c r="AH2043" s="570" t="str">
        <f t="shared" si="449"/>
        <v xml:space="preserve"> </v>
      </c>
      <c r="AI2043" s="571" t="str">
        <f t="shared" si="447"/>
        <v xml:space="preserve"> </v>
      </c>
      <c r="AJ2043" s="572"/>
      <c r="AK2043" s="572"/>
    </row>
    <row r="2044" spans="1:38" s="810" customFormat="1" ht="40.5" outlineLevel="1" x14ac:dyDescent="0.25">
      <c r="A2044" s="784" t="s">
        <v>2535</v>
      </c>
      <c r="B2044" s="785">
        <v>175</v>
      </c>
      <c r="C2044" s="786" t="s">
        <v>1382</v>
      </c>
      <c r="D2044" s="787"/>
      <c r="E2044" s="788"/>
      <c r="F2044" s="788"/>
      <c r="G2044" s="789"/>
      <c r="H2044" s="790">
        <f>SUBTOTAL(9,H2045:H2053)</f>
        <v>166.79999999999998</v>
      </c>
      <c r="I2044" s="791">
        <f>SUBTOTAL(9,I2045:I2050)</f>
        <v>71.699999999999989</v>
      </c>
      <c r="J2044" s="792"/>
      <c r="K2044" s="793"/>
      <c r="L2044" s="793"/>
      <c r="M2044" s="794">
        <f>SUBTOTAL(9,M2045:M2053)</f>
        <v>417414000</v>
      </c>
      <c r="N2044" s="794">
        <f>SUBTOTAL(9,N2045:N2053)</f>
        <v>100151000</v>
      </c>
      <c r="O2044" s="786"/>
      <c r="P2044" s="795">
        <f>SUBTOTAL(9,P2045:P2053)</f>
        <v>64</v>
      </c>
      <c r="Q2044" s="794"/>
      <c r="R2044" s="794">
        <f>SUBTOTAL(9,R2045:R2053)</f>
        <v>2556000</v>
      </c>
      <c r="S2044" s="796"/>
      <c r="T2044" s="797"/>
      <c r="U2044" s="798">
        <f>SUBTOTAL(9,U2045:U2053)</f>
        <v>141.66</v>
      </c>
      <c r="V2044" s="789"/>
      <c r="W2044" s="794"/>
      <c r="X2044" s="794">
        <f>SUBTOTAL(9,X2045:X2053)</f>
        <v>131706000</v>
      </c>
      <c r="Y2044" s="811"/>
      <c r="Z2044" s="812"/>
      <c r="AA2044" s="812"/>
      <c r="AB2044" s="813"/>
      <c r="AC2044" s="812"/>
      <c r="AD2044" s="812"/>
      <c r="AE2044" s="814"/>
      <c r="AF2044" s="815">
        <f>SUBTOTAL(9,AF2045:AF2053)</f>
        <v>2</v>
      </c>
      <c r="AG2044" s="803"/>
      <c r="AH2044" s="803">
        <f>SUBTOTAL(9,AH2045:AH2053)</f>
        <v>18000000</v>
      </c>
      <c r="AI2044" s="794">
        <f t="shared" si="447"/>
        <v>669827000</v>
      </c>
      <c r="AJ2044" s="789"/>
      <c r="AK2044" s="789"/>
      <c r="AL2044" s="816"/>
    </row>
    <row r="2045" spans="1:38" s="394" customFormat="1" ht="121.5" outlineLevel="2" x14ac:dyDescent="0.3">
      <c r="A2045" s="447">
        <f>IF(B2044&lt;&gt;0,B2044,A2043)</f>
        <v>175</v>
      </c>
      <c r="B2045" s="557"/>
      <c r="C2045" s="572" t="s">
        <v>1385</v>
      </c>
      <c r="D2045" s="700">
        <v>1</v>
      </c>
      <c r="E2045" s="612">
        <v>86</v>
      </c>
      <c r="F2045" s="612">
        <v>293</v>
      </c>
      <c r="G2045" s="586" t="s">
        <v>2860</v>
      </c>
      <c r="H2045" s="709">
        <f>116.8-H2047</f>
        <v>71.699999999999989</v>
      </c>
      <c r="I2045" s="546">
        <f t="shared" ref="I2045:I2047" si="457">IF(N2045&gt;0,H2045,"")</f>
        <v>71.699999999999989</v>
      </c>
      <c r="J2045" s="562"/>
      <c r="K2045" s="563">
        <f>IF(G2045&lt;&gt;0,VLOOKUP(G2045,'gia dat'!$A$1:$F$144,5,0)," ")</f>
        <v>465600</v>
      </c>
      <c r="L2045" s="563">
        <f>IF(G2045&lt;&gt;0,VLOOKUP(G2045,'gia dat'!$A$1:$F$144,6,0)," ")</f>
        <v>1396800</v>
      </c>
      <c r="M2045" s="564">
        <f t="shared" si="455"/>
        <v>33384000</v>
      </c>
      <c r="N2045" s="564">
        <f t="shared" si="456"/>
        <v>100151000</v>
      </c>
      <c r="O2045" s="572" t="s">
        <v>1383</v>
      </c>
      <c r="P2045" s="740">
        <v>1</v>
      </c>
      <c r="Q2045" s="564">
        <f>IF(O2045&lt;&gt;0,VLOOKUP(O2045,'Cây trong'!$A$2:$C$246,3,0)," ")</f>
        <v>1800000</v>
      </c>
      <c r="R2045" s="564">
        <f t="shared" si="448"/>
        <v>1800000</v>
      </c>
      <c r="S2045" s="566" t="s">
        <v>1779</v>
      </c>
      <c r="T2045" s="609" t="s">
        <v>1133</v>
      </c>
      <c r="U2045" s="741">
        <v>50.9</v>
      </c>
      <c r="V2045" s="586"/>
      <c r="W2045" s="564">
        <f>IF(S2045&lt;&gt;0,VLOOKUP(S2045,VKT!$A$2:$G$415,7,0),"")</f>
        <v>1399121</v>
      </c>
      <c r="X2045" s="564">
        <f t="shared" si="442"/>
        <v>71215000</v>
      </c>
      <c r="Y2045" s="661" t="s">
        <v>139</v>
      </c>
      <c r="Z2045" s="683" t="s">
        <v>1139</v>
      </c>
      <c r="AA2045" s="683" t="s">
        <v>1262</v>
      </c>
      <c r="AB2045" s="694" t="s">
        <v>1263</v>
      </c>
      <c r="AC2045" s="683" t="s">
        <v>1326</v>
      </c>
      <c r="AD2045" s="683"/>
      <c r="AE2045" s="694" t="s">
        <v>2137</v>
      </c>
      <c r="AF2045" s="590">
        <v>1</v>
      </c>
      <c r="AG2045" s="570">
        <f>IF(AE2045&lt;&gt;0,VLOOKUP(AE2045,ODDS!$A$2:$C$13,3,0),"")</f>
        <v>5000000</v>
      </c>
      <c r="AH2045" s="570">
        <f t="shared" si="449"/>
        <v>5000000</v>
      </c>
      <c r="AI2045" s="571" t="str">
        <f t="shared" si="447"/>
        <v xml:space="preserve"> </v>
      </c>
      <c r="AJ2045" s="586" t="s">
        <v>1384</v>
      </c>
      <c r="AK2045" s="586" t="s">
        <v>2771</v>
      </c>
      <c r="AL2045" s="466" t="s">
        <v>2462</v>
      </c>
    </row>
    <row r="2046" spans="1:38" s="394" customFormat="1" ht="121.5" outlineLevel="2" x14ac:dyDescent="0.3">
      <c r="A2046" s="447">
        <f t="shared" ref="A2046:A2053" si="458">IF(B2045&lt;&gt;0,B2045,A2045)</f>
        <v>175</v>
      </c>
      <c r="B2046" s="557"/>
      <c r="C2046" s="572" t="s">
        <v>1625</v>
      </c>
      <c r="D2046" s="700"/>
      <c r="E2046" s="612">
        <v>86</v>
      </c>
      <c r="F2046" s="612">
        <v>293</v>
      </c>
      <c r="G2046" s="782" t="s">
        <v>2049</v>
      </c>
      <c r="H2046" s="783">
        <v>50</v>
      </c>
      <c r="I2046" s="546" t="str">
        <f t="shared" si="457"/>
        <v/>
      </c>
      <c r="J2046" s="562"/>
      <c r="K2046" s="563">
        <f>IF(G2046&lt;&gt;0,VLOOKUP(G2046,'gia dat'!$A$1:$F$144,5,0)," ")</f>
        <v>7260624</v>
      </c>
      <c r="L2046" s="563">
        <f>IF(G2046&lt;&gt;0,VLOOKUP(G2046,'gia dat'!$A$1:$F$144,6,0)," ")</f>
        <v>0</v>
      </c>
      <c r="M2046" s="564">
        <f t="shared" si="455"/>
        <v>363031000</v>
      </c>
      <c r="N2046" s="564">
        <f t="shared" si="456"/>
        <v>0</v>
      </c>
      <c r="O2046" s="572" t="s">
        <v>1332</v>
      </c>
      <c r="P2046" s="740">
        <v>63</v>
      </c>
      <c r="Q2046" s="564">
        <f>IF(O2046&lt;&gt;0,VLOOKUP(O2046,'Cây trong'!$A$2:$C$246,3,0)," ")</f>
        <v>12000</v>
      </c>
      <c r="R2046" s="564">
        <f t="shared" si="448"/>
        <v>756000</v>
      </c>
      <c r="S2046" s="566" t="s">
        <v>2388</v>
      </c>
      <c r="T2046" s="609" t="s">
        <v>1133</v>
      </c>
      <c r="U2046" s="741">
        <v>3.8</v>
      </c>
      <c r="V2046" s="586"/>
      <c r="W2046" s="564">
        <f>IF(S2046&lt;&gt;0,VLOOKUP(S2046,VKT!$A$2:$G$415,7,0),"")</f>
        <v>8533242</v>
      </c>
      <c r="X2046" s="564">
        <f t="shared" si="442"/>
        <v>32426000</v>
      </c>
      <c r="Y2046" s="650"/>
      <c r="Z2046" s="586"/>
      <c r="AA2046" s="742"/>
      <c r="AB2046" s="586"/>
      <c r="AC2046" s="586"/>
      <c r="AD2046" s="586"/>
      <c r="AE2046" s="569"/>
      <c r="AF2046" s="563"/>
      <c r="AG2046" s="570"/>
      <c r="AH2046" s="570"/>
      <c r="AI2046" s="571" t="str">
        <f t="shared" si="447"/>
        <v xml:space="preserve"> </v>
      </c>
      <c r="AJ2046" s="586" t="s">
        <v>1387</v>
      </c>
      <c r="AK2046" s="558" t="s">
        <v>2448</v>
      </c>
      <c r="AL2046" s="394">
        <f>140-116.8</f>
        <v>23.200000000000003</v>
      </c>
    </row>
    <row r="2047" spans="1:38" s="394" customFormat="1" ht="121.5" outlineLevel="2" x14ac:dyDescent="0.3">
      <c r="A2047" s="447">
        <f t="shared" si="458"/>
        <v>175</v>
      </c>
      <c r="B2047" s="557"/>
      <c r="C2047" s="572"/>
      <c r="D2047" s="700"/>
      <c r="E2047" s="612"/>
      <c r="F2047" s="612"/>
      <c r="G2047" s="586" t="s">
        <v>2861</v>
      </c>
      <c r="H2047" s="709">
        <v>45.1</v>
      </c>
      <c r="I2047" s="546" t="str">
        <f t="shared" si="457"/>
        <v/>
      </c>
      <c r="J2047" s="562"/>
      <c r="K2047" s="563">
        <f>IF(G2047&lt;&gt;0,VLOOKUP(G2047,'gia dat'!$A$1:$F$144,5,0)," ")</f>
        <v>465600</v>
      </c>
      <c r="L2047" s="563">
        <f>IF(G2047&lt;&gt;0,VLOOKUP(G2047,'gia dat'!$A$1:$F$144,6,0)," ")</f>
        <v>0</v>
      </c>
      <c r="M2047" s="564">
        <f t="shared" si="455"/>
        <v>20999000</v>
      </c>
      <c r="N2047" s="564">
        <f t="shared" si="456"/>
        <v>0</v>
      </c>
      <c r="O2047" s="572"/>
      <c r="P2047" s="740"/>
      <c r="Q2047" s="564" t="str">
        <f>IF(O2047&lt;&gt;0,VLOOKUP(O2047,'Cây trong'!$A$2:$C$246,3,0)," ")</f>
        <v xml:space="preserve"> </v>
      </c>
      <c r="R2047" s="564" t="str">
        <f t="shared" si="448"/>
        <v xml:space="preserve"> </v>
      </c>
      <c r="S2047" s="566" t="s">
        <v>1978</v>
      </c>
      <c r="T2047" s="609" t="s">
        <v>1133</v>
      </c>
      <c r="U2047" s="741">
        <v>22.8</v>
      </c>
      <c r="V2047" s="586"/>
      <c r="W2047" s="564">
        <f>IF(S2047&lt;&gt;0,VLOOKUP(S2047,VKT!$A$2:$G$415,7,0),"")</f>
        <v>236298</v>
      </c>
      <c r="X2047" s="564">
        <f t="shared" si="442"/>
        <v>5388000</v>
      </c>
      <c r="Y2047" s="650"/>
      <c r="Z2047" s="586"/>
      <c r="AA2047" s="742"/>
      <c r="AB2047" s="586"/>
      <c r="AC2047" s="586"/>
      <c r="AD2047" s="586"/>
      <c r="AE2047" s="569" t="s">
        <v>2789</v>
      </c>
      <c r="AF2047" s="590">
        <v>1</v>
      </c>
      <c r="AG2047" s="570">
        <f>IF(AE2047&lt;&gt;0,VLOOKUP(AE2047,ODDS!$A$2:$C$13,3,0),"")</f>
        <v>13000000</v>
      </c>
      <c r="AH2047" s="570">
        <f t="shared" si="449"/>
        <v>13000000</v>
      </c>
      <c r="AI2047" s="571" t="str">
        <f t="shared" si="447"/>
        <v xml:space="preserve"> </v>
      </c>
      <c r="AJ2047" s="586" t="s">
        <v>2141</v>
      </c>
      <c r="AK2047" s="558" t="s">
        <v>2450</v>
      </c>
    </row>
    <row r="2048" spans="1:38" s="394" customFormat="1" ht="101.25" outlineLevel="2" x14ac:dyDescent="0.3">
      <c r="A2048" s="447">
        <f t="shared" si="458"/>
        <v>175</v>
      </c>
      <c r="B2048" s="557"/>
      <c r="C2048" s="572"/>
      <c r="D2048" s="700"/>
      <c r="E2048" s="612"/>
      <c r="F2048" s="612"/>
      <c r="G2048" s="586"/>
      <c r="H2048" s="709"/>
      <c r="I2048" s="546"/>
      <c r="J2048" s="558"/>
      <c r="K2048" s="563" t="str">
        <f>IF(G2048&lt;&gt;0,VLOOKUP(G2048,'gia dat'!$A$1:$F$144,5,0)," ")</f>
        <v xml:space="preserve"> </v>
      </c>
      <c r="L2048" s="563" t="str">
        <f>IF(G2048&lt;&gt;0,VLOOKUP(G2048,'gia dat'!$A$1:$F$144,6,0)," ")</f>
        <v xml:space="preserve"> </v>
      </c>
      <c r="M2048" s="564" t="str">
        <f t="shared" si="455"/>
        <v xml:space="preserve"> </v>
      </c>
      <c r="N2048" s="564" t="str">
        <f t="shared" si="456"/>
        <v xml:space="preserve"> </v>
      </c>
      <c r="O2048" s="572"/>
      <c r="P2048" s="740"/>
      <c r="Q2048" s="564" t="str">
        <f>IF(O2048&lt;&gt;0,VLOOKUP(O2048,'Cây trong'!$A$2:$C$246,3,0)," ")</f>
        <v xml:space="preserve"> </v>
      </c>
      <c r="R2048" s="564" t="str">
        <f t="shared" si="448"/>
        <v xml:space="preserve"> </v>
      </c>
      <c r="S2048" s="572" t="s">
        <v>2389</v>
      </c>
      <c r="T2048" s="609" t="s">
        <v>1133</v>
      </c>
      <c r="U2048" s="741">
        <v>27.7</v>
      </c>
      <c r="V2048" s="586">
        <v>4.2</v>
      </c>
      <c r="W2048" s="564">
        <f>IF(S2048&lt;&gt;0,VLOOKUP(S2048,VKT!$A$2:$G$415,7,0),"")</f>
        <v>471229</v>
      </c>
      <c r="X2048" s="564">
        <f t="shared" si="442"/>
        <v>13053000</v>
      </c>
      <c r="Y2048" s="650"/>
      <c r="Z2048" s="586"/>
      <c r="AA2048" s="742"/>
      <c r="AB2048" s="586"/>
      <c r="AC2048" s="586"/>
      <c r="AD2048" s="586"/>
      <c r="AE2048" s="606"/>
      <c r="AF2048" s="590"/>
      <c r="AG2048" s="570" t="str">
        <f>IF(AE2048&lt;&gt;0,VLOOKUP(AE2048,ODDS!$A$2:$C$13,3,0),"")</f>
        <v/>
      </c>
      <c r="AH2048" s="570" t="str">
        <f t="shared" si="449"/>
        <v xml:space="preserve"> </v>
      </c>
      <c r="AI2048" s="571" t="str">
        <f t="shared" si="447"/>
        <v xml:space="preserve"> </v>
      </c>
      <c r="AJ2048" s="586" t="s">
        <v>1388</v>
      </c>
      <c r="AK2048" s="558" t="s">
        <v>2449</v>
      </c>
    </row>
    <row r="2049" spans="1:37" s="394" customFormat="1" ht="81" outlineLevel="2" x14ac:dyDescent="0.3">
      <c r="A2049" s="447">
        <f t="shared" si="458"/>
        <v>175</v>
      </c>
      <c r="B2049" s="557"/>
      <c r="C2049" s="572"/>
      <c r="D2049" s="700"/>
      <c r="E2049" s="612"/>
      <c r="F2049" s="612"/>
      <c r="G2049" s="586"/>
      <c r="H2049" s="709"/>
      <c r="I2049" s="546"/>
      <c r="J2049" s="558"/>
      <c r="K2049" s="563" t="str">
        <f>IF(G2049&lt;&gt;0,VLOOKUP(G2049,'gia dat'!$A$1:$F$144,5,0)," ")</f>
        <v xml:space="preserve"> </v>
      </c>
      <c r="L2049" s="563" t="str">
        <f>IF(G2049&lt;&gt;0,VLOOKUP(G2049,'gia dat'!$A$1:$F$144,6,0)," ")</f>
        <v xml:space="preserve"> </v>
      </c>
      <c r="M2049" s="564" t="str">
        <f t="shared" si="455"/>
        <v xml:space="preserve"> </v>
      </c>
      <c r="N2049" s="564" t="str">
        <f t="shared" si="456"/>
        <v xml:space="preserve"> </v>
      </c>
      <c r="O2049" s="572"/>
      <c r="P2049" s="740"/>
      <c r="Q2049" s="564" t="str">
        <f>IF(O2049&lt;&gt;0,VLOOKUP(O2049,'Cây trong'!$A$2:$C$246,3,0)," ")</f>
        <v xml:space="preserve"> </v>
      </c>
      <c r="R2049" s="564" t="str">
        <f t="shared" si="448"/>
        <v xml:space="preserve"> </v>
      </c>
      <c r="S2049" s="572" t="s">
        <v>1980</v>
      </c>
      <c r="T2049" s="609" t="s">
        <v>1133</v>
      </c>
      <c r="U2049" s="741">
        <v>14.06</v>
      </c>
      <c r="V2049" s="586"/>
      <c r="W2049" s="564">
        <f>IF(S2049&lt;&gt;0,VLOOKUP(S2049,VKT!$A$2:$G$415,7,0),"")</f>
        <v>684506</v>
      </c>
      <c r="X2049" s="564">
        <f t="shared" ref="X2049:X2115" si="459">IF(S2049&lt;&gt;0,ROUND(U2049*W2049,-3)," ")</f>
        <v>9624000</v>
      </c>
      <c r="Y2049" s="650"/>
      <c r="Z2049" s="586"/>
      <c r="AA2049" s="742"/>
      <c r="AB2049" s="586"/>
      <c r="AC2049" s="586"/>
      <c r="AD2049" s="586"/>
      <c r="AE2049" s="586"/>
      <c r="AF2049" s="714"/>
      <c r="AG2049" s="570" t="str">
        <f>IF(AE2049&lt;&gt;0,VLOOKUP(AE2049,ODDS!$A$2:$C$13,3,0),"")</f>
        <v/>
      </c>
      <c r="AH2049" s="570" t="str">
        <f t="shared" si="449"/>
        <v xml:space="preserve"> </v>
      </c>
      <c r="AI2049" s="571" t="str">
        <f t="shared" si="447"/>
        <v xml:space="preserve"> </v>
      </c>
      <c r="AJ2049" s="572" t="s">
        <v>1389</v>
      </c>
      <c r="AK2049" s="572" t="s">
        <v>2447</v>
      </c>
    </row>
    <row r="2050" spans="1:37" s="394" customFormat="1" ht="81" outlineLevel="2" x14ac:dyDescent="0.3">
      <c r="A2050" s="447">
        <f t="shared" si="458"/>
        <v>175</v>
      </c>
      <c r="B2050" s="557"/>
      <c r="C2050" s="572"/>
      <c r="D2050" s="700"/>
      <c r="E2050" s="612"/>
      <c r="F2050" s="612"/>
      <c r="G2050" s="586"/>
      <c r="H2050" s="709"/>
      <c r="I2050" s="546"/>
      <c r="J2050" s="558"/>
      <c r="K2050" s="563" t="str">
        <f>IF(G2050&lt;&gt;0,VLOOKUP(G2050,'gia dat'!$A$1:$F$144,5,0)," ")</f>
        <v xml:space="preserve"> </v>
      </c>
      <c r="L2050" s="563" t="str">
        <f>IF(G2050&lt;&gt;0,VLOOKUP(G2050,'gia dat'!$A$1:$F$144,6,0)," ")</f>
        <v xml:space="preserve"> </v>
      </c>
      <c r="M2050" s="564" t="str">
        <f t="shared" si="455"/>
        <v xml:space="preserve"> </v>
      </c>
      <c r="N2050" s="564" t="str">
        <f t="shared" si="456"/>
        <v xml:space="preserve"> </v>
      </c>
      <c r="O2050" s="572"/>
      <c r="P2050" s="740"/>
      <c r="Q2050" s="564" t="str">
        <f>IF(O2050&lt;&gt;0,VLOOKUP(O2050,'Cây trong'!$A$2:$C$246,3,0)," ")</f>
        <v xml:space="preserve"> </v>
      </c>
      <c r="R2050" s="564" t="str">
        <f t="shared" si="448"/>
        <v xml:space="preserve"> </v>
      </c>
      <c r="S2050" s="572" t="s">
        <v>2390</v>
      </c>
      <c r="T2050" s="609" t="s">
        <v>1133</v>
      </c>
      <c r="U2050" s="741">
        <v>22.4</v>
      </c>
      <c r="V2050" s="586"/>
      <c r="W2050" s="564">
        <f>IF(S2050&lt;&gt;0,VLOOKUP(S2050,VKT!$A$2:$G$415,7,0),"")</f>
        <v>0</v>
      </c>
      <c r="X2050" s="564">
        <f t="shared" si="459"/>
        <v>0</v>
      </c>
      <c r="Y2050" s="650"/>
      <c r="Z2050" s="586"/>
      <c r="AA2050" s="742"/>
      <c r="AB2050" s="586"/>
      <c r="AC2050" s="586"/>
      <c r="AD2050" s="586"/>
      <c r="AE2050" s="586"/>
      <c r="AF2050" s="714"/>
      <c r="AG2050" s="570" t="str">
        <f>IF(AE2050&lt;&gt;0,VLOOKUP(AE2050,ODDS!$A$2:$C$13,3,0),"")</f>
        <v/>
      </c>
      <c r="AH2050" s="570" t="str">
        <f t="shared" si="449"/>
        <v xml:space="preserve"> </v>
      </c>
      <c r="AI2050" s="571" t="str">
        <f t="shared" si="447"/>
        <v xml:space="preserve"> </v>
      </c>
      <c r="AJ2050" s="558" t="s">
        <v>2074</v>
      </c>
      <c r="AK2050" s="558" t="s">
        <v>2451</v>
      </c>
    </row>
    <row r="2051" spans="1:37" s="394" customFormat="1" ht="101.25" outlineLevel="2" x14ac:dyDescent="0.3">
      <c r="A2051" s="447">
        <f t="shared" si="458"/>
        <v>175</v>
      </c>
      <c r="B2051" s="557"/>
      <c r="C2051" s="572"/>
      <c r="D2051" s="700"/>
      <c r="E2051" s="612"/>
      <c r="F2051" s="612"/>
      <c r="G2051" s="586"/>
      <c r="H2051" s="709"/>
      <c r="I2051" s="546"/>
      <c r="J2051" s="558"/>
      <c r="K2051" s="563" t="str">
        <f>IF(G2051&lt;&gt;0,VLOOKUP(G2051,'gia dat'!$A$1:$F$144,5,0)," ")</f>
        <v xml:space="preserve"> </v>
      </c>
      <c r="L2051" s="563" t="str">
        <f>IF(G2051&lt;&gt;0,VLOOKUP(G2051,'gia dat'!$A$1:$F$144,6,0)," ")</f>
        <v xml:space="preserve"> </v>
      </c>
      <c r="M2051" s="564" t="str">
        <f t="shared" si="455"/>
        <v xml:space="preserve"> </v>
      </c>
      <c r="N2051" s="564" t="str">
        <f t="shared" si="456"/>
        <v xml:space="preserve"> </v>
      </c>
      <c r="O2051" s="572"/>
      <c r="P2051" s="740"/>
      <c r="Q2051" s="564" t="str">
        <f>IF(O2051&lt;&gt;0,VLOOKUP(O2051,'Cây trong'!$A$2:$C$246,3,0)," ")</f>
        <v xml:space="preserve"> </v>
      </c>
      <c r="R2051" s="564" t="str">
        <f t="shared" si="448"/>
        <v xml:space="preserve"> </v>
      </c>
      <c r="S2051" s="572"/>
      <c r="T2051" s="609"/>
      <c r="U2051" s="741"/>
      <c r="V2051" s="586"/>
      <c r="W2051" s="564" t="str">
        <f>IF(S2051&lt;&gt;0,VLOOKUP(S2051,VKT!$A$2:$G$415,7,0),"")</f>
        <v/>
      </c>
      <c r="X2051" s="564" t="str">
        <f t="shared" si="459"/>
        <v xml:space="preserve"> </v>
      </c>
      <c r="Y2051" s="650"/>
      <c r="Z2051" s="586"/>
      <c r="AA2051" s="742"/>
      <c r="AB2051" s="586"/>
      <c r="AC2051" s="586"/>
      <c r="AD2051" s="586"/>
      <c r="AE2051" s="586"/>
      <c r="AF2051" s="714"/>
      <c r="AG2051" s="570" t="str">
        <f>IF(AE2051&lt;&gt;0,VLOOKUP(AE2051,ODDS!$A$2:$C$13,3,0),"")</f>
        <v/>
      </c>
      <c r="AH2051" s="570" t="str">
        <f t="shared" si="449"/>
        <v xml:space="preserve"> </v>
      </c>
      <c r="AI2051" s="571" t="str">
        <f t="shared" si="447"/>
        <v xml:space="preserve"> </v>
      </c>
      <c r="AJ2051" s="558"/>
      <c r="AK2051" s="558" t="s">
        <v>2800</v>
      </c>
    </row>
    <row r="2052" spans="1:37" s="394" customFormat="1" ht="20.25" outlineLevel="2" x14ac:dyDescent="0.3">
      <c r="A2052" s="447">
        <f t="shared" si="458"/>
        <v>175</v>
      </c>
      <c r="B2052" s="557"/>
      <c r="C2052" s="572"/>
      <c r="D2052" s="700"/>
      <c r="E2052" s="612"/>
      <c r="F2052" s="612"/>
      <c r="G2052" s="586"/>
      <c r="H2052" s="709"/>
      <c r="I2052" s="546"/>
      <c r="J2052" s="558"/>
      <c r="K2052" s="563" t="str">
        <f>IF(G2052&lt;&gt;0,VLOOKUP(G2052,'gia dat'!$A$1:$F$144,5,0)," ")</f>
        <v xml:space="preserve"> </v>
      </c>
      <c r="L2052" s="563" t="str">
        <f>IF(G2052&lt;&gt;0,VLOOKUP(G2052,'gia dat'!$A$1:$F$144,6,0)," ")</f>
        <v xml:space="preserve"> </v>
      </c>
      <c r="M2052" s="564" t="str">
        <f t="shared" si="455"/>
        <v xml:space="preserve"> </v>
      </c>
      <c r="N2052" s="564" t="str">
        <f t="shared" si="456"/>
        <v xml:space="preserve"> </v>
      </c>
      <c r="O2052" s="572"/>
      <c r="P2052" s="740"/>
      <c r="Q2052" s="564" t="str">
        <f>IF(O2052&lt;&gt;0,VLOOKUP(O2052,'Cây trong'!$A$2:$C$246,3,0)," ")</f>
        <v xml:space="preserve"> </v>
      </c>
      <c r="R2052" s="564" t="str">
        <f t="shared" si="448"/>
        <v xml:space="preserve"> </v>
      </c>
      <c r="S2052" s="572"/>
      <c r="T2052" s="609"/>
      <c r="U2052" s="741"/>
      <c r="V2052" s="586"/>
      <c r="W2052" s="564" t="str">
        <f>IF(S2052&lt;&gt;0,VLOOKUP(S2052,VKT!$A$2:$G$415,7,0),"")</f>
        <v/>
      </c>
      <c r="X2052" s="564" t="str">
        <f t="shared" si="459"/>
        <v xml:space="preserve"> </v>
      </c>
      <c r="Y2052" s="650"/>
      <c r="Z2052" s="586"/>
      <c r="AA2052" s="742"/>
      <c r="AB2052" s="586"/>
      <c r="AC2052" s="586"/>
      <c r="AD2052" s="586"/>
      <c r="AE2052" s="586"/>
      <c r="AF2052" s="714"/>
      <c r="AG2052" s="570" t="str">
        <f>IF(AE2052&lt;&gt;0,VLOOKUP(AE2052,ODDS!$A$2:$C$13,3,0),"")</f>
        <v/>
      </c>
      <c r="AH2052" s="570" t="str">
        <f t="shared" si="449"/>
        <v xml:space="preserve"> </v>
      </c>
      <c r="AI2052" s="571" t="str">
        <f t="shared" si="447"/>
        <v xml:space="preserve"> </v>
      </c>
      <c r="AJ2052" s="558"/>
      <c r="AK2052" s="558"/>
    </row>
    <row r="2053" spans="1:37" s="394" customFormat="1" ht="20.25" outlineLevel="2" x14ac:dyDescent="0.3">
      <c r="A2053" s="447">
        <f t="shared" si="458"/>
        <v>175</v>
      </c>
      <c r="B2053" s="557"/>
      <c r="C2053" s="607"/>
      <c r="D2053" s="700"/>
      <c r="E2053" s="612"/>
      <c r="F2053" s="612"/>
      <c r="G2053" s="586"/>
      <c r="H2053" s="709"/>
      <c r="I2053" s="546"/>
      <c r="J2053" s="558"/>
      <c r="K2053" s="563" t="str">
        <f>IF(G2053&lt;&gt;0,VLOOKUP(G2053,'gia dat'!$A$1:$F$144,5,0)," ")</f>
        <v xml:space="preserve"> </v>
      </c>
      <c r="L2053" s="563" t="str">
        <f>IF(G2053&lt;&gt;0,VLOOKUP(G2053,'gia dat'!$A$1:$F$144,6,0)," ")</f>
        <v xml:space="preserve"> </v>
      </c>
      <c r="M2053" s="564" t="str">
        <f t="shared" si="455"/>
        <v xml:space="preserve"> </v>
      </c>
      <c r="N2053" s="564" t="str">
        <f t="shared" si="456"/>
        <v xml:space="preserve"> </v>
      </c>
      <c r="O2053" s="572"/>
      <c r="P2053" s="740"/>
      <c r="Q2053" s="564" t="str">
        <f>IF(O2053&lt;&gt;0,VLOOKUP(O2053,'Cây trong'!$A$2:$C$246,3,0)," ")</f>
        <v xml:space="preserve"> </v>
      </c>
      <c r="R2053" s="564" t="str">
        <f t="shared" si="448"/>
        <v xml:space="preserve"> </v>
      </c>
      <c r="S2053" s="572"/>
      <c r="T2053" s="609"/>
      <c r="U2053" s="741"/>
      <c r="V2053" s="586"/>
      <c r="W2053" s="564" t="str">
        <f>IF(S2053&lt;&gt;0,VLOOKUP(S2053,VKT!$A$2:$G$415,7,0),"")</f>
        <v/>
      </c>
      <c r="X2053" s="564" t="str">
        <f t="shared" si="459"/>
        <v xml:space="preserve"> </v>
      </c>
      <c r="Y2053" s="650"/>
      <c r="Z2053" s="586"/>
      <c r="AA2053" s="742"/>
      <c r="AB2053" s="586"/>
      <c r="AC2053" s="586"/>
      <c r="AD2053" s="586"/>
      <c r="AE2053" s="586"/>
      <c r="AF2053" s="714"/>
      <c r="AG2053" s="570" t="str">
        <f>IF(AE2053&lt;&gt;0,VLOOKUP(AE2053,ODDS!$A$2:$C$13,3,0),"")</f>
        <v/>
      </c>
      <c r="AH2053" s="570" t="str">
        <f t="shared" si="449"/>
        <v xml:space="preserve"> </v>
      </c>
      <c r="AI2053" s="571" t="str">
        <f t="shared" si="447"/>
        <v xml:space="preserve"> </v>
      </c>
      <c r="AJ2053" s="586"/>
      <c r="AK2053" s="586"/>
    </row>
    <row r="2054" spans="1:37" s="394" customFormat="1" ht="20.25" outlineLevel="1" x14ac:dyDescent="0.25">
      <c r="A2054" s="467" t="s">
        <v>2534</v>
      </c>
      <c r="B2054" s="576">
        <v>176</v>
      </c>
      <c r="C2054" s="607" t="s">
        <v>1391</v>
      </c>
      <c r="D2054" s="706"/>
      <c r="E2054" s="642"/>
      <c r="F2054" s="642"/>
      <c r="G2054" s="578"/>
      <c r="H2054" s="707">
        <f>SUBTOTAL(9,H2055:H2063)</f>
        <v>153.1</v>
      </c>
      <c r="I2054" s="579">
        <f>SUBTOTAL(9,I2055:I2060)</f>
        <v>0</v>
      </c>
      <c r="J2054" s="580"/>
      <c r="K2054" s="581"/>
      <c r="L2054" s="581"/>
      <c r="M2054" s="571">
        <f>SUBTOTAL(9,M2055:M2063)</f>
        <v>57688000</v>
      </c>
      <c r="N2054" s="571">
        <f>SUBTOTAL(9,N2055:N2063)</f>
        <v>0</v>
      </c>
      <c r="O2054" s="607"/>
      <c r="P2054" s="738">
        <f>SUBTOTAL(9,P2055:P2063)</f>
        <v>92.6</v>
      </c>
      <c r="Q2054" s="571"/>
      <c r="R2054" s="571">
        <f>SUBTOTAL(9,R2055:R2063)</f>
        <v>1111200</v>
      </c>
      <c r="S2054" s="582"/>
      <c r="T2054" s="621"/>
      <c r="U2054" s="739">
        <f>SUBTOTAL(9,U2055:U2063)</f>
        <v>0</v>
      </c>
      <c r="V2054" s="578"/>
      <c r="W2054" s="571"/>
      <c r="X2054" s="571">
        <f>SUBTOTAL(9,X2055:X2063)</f>
        <v>0</v>
      </c>
      <c r="Y2054" s="650"/>
      <c r="Z2054" s="586"/>
      <c r="AA2054" s="742"/>
      <c r="AB2054" s="586"/>
      <c r="AC2054" s="586"/>
      <c r="AD2054" s="586"/>
      <c r="AE2054" s="578"/>
      <c r="AF2054" s="712">
        <f>SUBTOTAL(9,AF2055:AF2063)</f>
        <v>0</v>
      </c>
      <c r="AG2054" s="585"/>
      <c r="AH2054" s="585">
        <f>SUBTOTAL(9,AH2055:AH2063)</f>
        <v>0</v>
      </c>
      <c r="AI2054" s="571">
        <f t="shared" si="447"/>
        <v>58799200</v>
      </c>
      <c r="AJ2054" s="578"/>
      <c r="AK2054" s="578"/>
    </row>
    <row r="2055" spans="1:37" s="394" customFormat="1" ht="121.5" outlineLevel="2" x14ac:dyDescent="0.3">
      <c r="A2055" s="447">
        <f>IF(B2054&lt;&gt;0,B2054,A2053)</f>
        <v>176</v>
      </c>
      <c r="B2055" s="557"/>
      <c r="C2055" s="572" t="s">
        <v>1393</v>
      </c>
      <c r="D2055" s="700">
        <v>3</v>
      </c>
      <c r="E2055" s="612">
        <v>86</v>
      </c>
      <c r="F2055" s="612">
        <v>406</v>
      </c>
      <c r="G2055" s="586" t="s">
        <v>2432</v>
      </c>
      <c r="H2055" s="709">
        <f>144.1-H2057</f>
        <v>144.1</v>
      </c>
      <c r="I2055" s="546" t="str">
        <f t="shared" ref="I2055:I2056" si="460">IF(N2055&gt;0,H2055,"")</f>
        <v/>
      </c>
      <c r="J2055" s="562"/>
      <c r="K2055" s="563">
        <f>IF(G2055&lt;&gt;0,VLOOKUP(G2055,'gia dat'!$A$1:$F$144,5,0)," ")</f>
        <v>376800</v>
      </c>
      <c r="L2055" s="563">
        <f>IF(G2055&lt;&gt;0,VLOOKUP(G2055,'gia dat'!$A$1:$F$144,6,0)," ")</f>
        <v>0</v>
      </c>
      <c r="M2055" s="564">
        <f t="shared" si="455"/>
        <v>54297000</v>
      </c>
      <c r="N2055" s="564">
        <f t="shared" si="456"/>
        <v>0</v>
      </c>
      <c r="O2055" s="572" t="s">
        <v>347</v>
      </c>
      <c r="P2055" s="740">
        <v>92.6</v>
      </c>
      <c r="Q2055" s="564">
        <f>IF(O2055&lt;&gt;0,VLOOKUP(O2055,'Cây trong'!$A$2:$C$246,3,0)," ")</f>
        <v>12000</v>
      </c>
      <c r="R2055" s="564">
        <f t="shared" si="448"/>
        <v>1111200</v>
      </c>
      <c r="S2055" s="566"/>
      <c r="T2055" s="609"/>
      <c r="U2055" s="741"/>
      <c r="V2055" s="586"/>
      <c r="W2055" s="564" t="str">
        <f>IF(S2055&lt;&gt;0,VLOOKUP(S2055,VKT!$A$2:$G$415,7,0),"")</f>
        <v/>
      </c>
      <c r="X2055" s="564" t="str">
        <f t="shared" si="459"/>
        <v xml:space="preserve"> </v>
      </c>
      <c r="Y2055" s="650"/>
      <c r="Z2055" s="586"/>
      <c r="AA2055" s="742"/>
      <c r="AB2055" s="586"/>
      <c r="AC2055" s="586"/>
      <c r="AD2055" s="586"/>
      <c r="AE2055" s="586"/>
      <c r="AF2055" s="714"/>
      <c r="AG2055" s="570" t="str">
        <f>IF(AE2055&lt;&gt;0,VLOOKUP(AE2055,ODDS!$A$2:$C$13,3,0),"")</f>
        <v/>
      </c>
      <c r="AH2055" s="570"/>
      <c r="AI2055" s="571" t="str">
        <f t="shared" si="447"/>
        <v xml:space="preserve"> </v>
      </c>
      <c r="AJ2055" s="586" t="s">
        <v>1392</v>
      </c>
      <c r="AK2055" s="586" t="s">
        <v>2771</v>
      </c>
    </row>
    <row r="2056" spans="1:37" s="394" customFormat="1" ht="101.25" outlineLevel="2" x14ac:dyDescent="0.3">
      <c r="A2056" s="447">
        <f t="shared" ref="A2056:A2063" si="461">IF(B2055&lt;&gt;0,B2055,A2055)</f>
        <v>176</v>
      </c>
      <c r="B2056" s="557"/>
      <c r="C2056" s="607" t="s">
        <v>1396</v>
      </c>
      <c r="D2056" s="700"/>
      <c r="E2056" s="612">
        <v>86</v>
      </c>
      <c r="F2056" s="612" t="s">
        <v>1394</v>
      </c>
      <c r="G2056" s="586" t="s">
        <v>2429</v>
      </c>
      <c r="H2056" s="709">
        <v>9</v>
      </c>
      <c r="I2056" s="546" t="str">
        <f t="shared" si="460"/>
        <v/>
      </c>
      <c r="J2056" s="562"/>
      <c r="K2056" s="563">
        <f>IF(G2056&lt;&gt;0,VLOOKUP(G2056,'gia dat'!$A$1:$F$144,5,0)," ")</f>
        <v>376800</v>
      </c>
      <c r="L2056" s="563">
        <f>IF(G2056&lt;&gt;0,VLOOKUP(G2056,'gia dat'!$A$1:$F$144,6,0)," ")</f>
        <v>0</v>
      </c>
      <c r="M2056" s="564">
        <f t="shared" si="455"/>
        <v>3391000</v>
      </c>
      <c r="N2056" s="564">
        <f t="shared" si="456"/>
        <v>0</v>
      </c>
      <c r="O2056" s="572"/>
      <c r="P2056" s="740"/>
      <c r="Q2056" s="564" t="str">
        <f>IF(O2056&lt;&gt;0,VLOOKUP(O2056,'Cây trong'!$A$2:$C$246,3,0)," ")</f>
        <v xml:space="preserve"> </v>
      </c>
      <c r="R2056" s="564" t="str">
        <f t="shared" si="448"/>
        <v xml:space="preserve"> </v>
      </c>
      <c r="S2056" s="566"/>
      <c r="T2056" s="609"/>
      <c r="U2056" s="741"/>
      <c r="V2056" s="586"/>
      <c r="W2056" s="564" t="str">
        <f>IF(S2056&lt;&gt;0,VLOOKUP(S2056,VKT!$A$2:$G$415,7,0),"")</f>
        <v/>
      </c>
      <c r="X2056" s="564" t="str">
        <f t="shared" si="459"/>
        <v xml:space="preserve"> </v>
      </c>
      <c r="Y2056" s="650"/>
      <c r="Z2056" s="586"/>
      <c r="AA2056" s="742"/>
      <c r="AB2056" s="586"/>
      <c r="AC2056" s="586"/>
      <c r="AD2056" s="586"/>
      <c r="AE2056" s="586"/>
      <c r="AF2056" s="714"/>
      <c r="AG2056" s="570" t="str">
        <f>IF(AE2056&lt;&gt;0,VLOOKUP(AE2056,ODDS!$A$2:$C$13,3,0),"")</f>
        <v/>
      </c>
      <c r="AH2056" s="570" t="str">
        <f t="shared" si="449"/>
        <v xml:space="preserve"> </v>
      </c>
      <c r="AI2056" s="571" t="str">
        <f t="shared" si="447"/>
        <v xml:space="preserve"> </v>
      </c>
      <c r="AJ2056" s="586" t="s">
        <v>1395</v>
      </c>
      <c r="AK2056" s="558" t="s">
        <v>2449</v>
      </c>
    </row>
    <row r="2057" spans="1:37" s="394" customFormat="1" ht="40.5" outlineLevel="2" x14ac:dyDescent="0.3">
      <c r="A2057" s="447">
        <f t="shared" si="461"/>
        <v>176</v>
      </c>
      <c r="B2057" s="557"/>
      <c r="C2057" s="572" t="s">
        <v>1397</v>
      </c>
      <c r="D2057" s="700"/>
      <c r="E2057" s="612"/>
      <c r="F2057" s="612"/>
      <c r="G2057" s="586"/>
      <c r="H2057" s="709"/>
      <c r="I2057" s="546"/>
      <c r="J2057" s="562"/>
      <c r="K2057" s="563" t="str">
        <f>IF(G2057&lt;&gt;0,VLOOKUP(G2057,'gia dat'!$A$1:$F$144,5,0)," ")</f>
        <v xml:space="preserve"> </v>
      </c>
      <c r="L2057" s="563" t="str">
        <f>IF(G2057&lt;&gt;0,VLOOKUP(G2057,'gia dat'!$A$1:$F$144,6,0)," ")</f>
        <v xml:space="preserve"> </v>
      </c>
      <c r="M2057" s="564" t="str">
        <f t="shared" si="455"/>
        <v xml:space="preserve"> </v>
      </c>
      <c r="N2057" s="564" t="str">
        <f t="shared" si="456"/>
        <v xml:space="preserve"> </v>
      </c>
      <c r="O2057" s="572"/>
      <c r="P2057" s="740"/>
      <c r="Q2057" s="564" t="str">
        <f>IF(O2057&lt;&gt;0,VLOOKUP(O2057,'Cây trong'!$A$2:$C$246,3,0)," ")</f>
        <v xml:space="preserve"> </v>
      </c>
      <c r="R2057" s="564" t="str">
        <f t="shared" si="448"/>
        <v xml:space="preserve"> </v>
      </c>
      <c r="S2057" s="566"/>
      <c r="T2057" s="609"/>
      <c r="U2057" s="741"/>
      <c r="V2057" s="586"/>
      <c r="W2057" s="564" t="str">
        <f>IF(S2057&lt;&gt;0,VLOOKUP(S2057,VKT!$A$2:$G$415,7,0),"")</f>
        <v/>
      </c>
      <c r="X2057" s="564" t="str">
        <f t="shared" si="459"/>
        <v xml:space="preserve"> </v>
      </c>
      <c r="Y2057" s="650"/>
      <c r="Z2057" s="586"/>
      <c r="AA2057" s="742"/>
      <c r="AB2057" s="586"/>
      <c r="AC2057" s="586"/>
      <c r="AD2057" s="586"/>
      <c r="AE2057" s="586"/>
      <c r="AF2057" s="714"/>
      <c r="AG2057" s="570" t="str">
        <f>IF(AE2057&lt;&gt;0,VLOOKUP(AE2057,ODDS!$A$2:$C$13,3,0),"")</f>
        <v/>
      </c>
      <c r="AH2057" s="570" t="str">
        <f t="shared" si="449"/>
        <v xml:space="preserve"> </v>
      </c>
      <c r="AI2057" s="571" t="str">
        <f t="shared" ref="AI2057:AI2120" si="462">IF(B2057&lt;&gt;0,M2057+N2057+R2057+X2057+AH2057," ")</f>
        <v xml:space="preserve"> </v>
      </c>
      <c r="AJ2057" s="586" t="s">
        <v>1188</v>
      </c>
      <c r="AK2057" s="586"/>
    </row>
    <row r="2058" spans="1:37" s="394" customFormat="1" ht="101.25" outlineLevel="2" x14ac:dyDescent="0.3">
      <c r="A2058" s="447">
        <f t="shared" si="461"/>
        <v>176</v>
      </c>
      <c r="B2058" s="557"/>
      <c r="C2058" s="572" t="s">
        <v>1626</v>
      </c>
      <c r="D2058" s="700"/>
      <c r="E2058" s="612"/>
      <c r="F2058" s="612"/>
      <c r="G2058" s="586"/>
      <c r="H2058" s="709"/>
      <c r="I2058" s="546"/>
      <c r="J2058" s="558"/>
      <c r="K2058" s="563" t="str">
        <f>IF(G2058&lt;&gt;0,VLOOKUP(G2058,'gia dat'!$A$1:$F$144,5,0)," ")</f>
        <v xml:space="preserve"> </v>
      </c>
      <c r="L2058" s="563" t="str">
        <f>IF(G2058&lt;&gt;0,VLOOKUP(G2058,'gia dat'!$A$1:$F$144,6,0)," ")</f>
        <v xml:space="preserve"> </v>
      </c>
      <c r="M2058" s="564" t="str">
        <f t="shared" si="455"/>
        <v xml:space="preserve"> </v>
      </c>
      <c r="N2058" s="564" t="str">
        <f t="shared" si="456"/>
        <v xml:space="preserve"> </v>
      </c>
      <c r="O2058" s="572"/>
      <c r="P2058" s="740"/>
      <c r="Q2058" s="564" t="str">
        <f>IF(O2058&lt;&gt;0,VLOOKUP(O2058,'Cây trong'!$A$2:$C$246,3,0)," ")</f>
        <v xml:space="preserve"> </v>
      </c>
      <c r="R2058" s="564" t="str">
        <f t="shared" si="448"/>
        <v xml:space="preserve"> </v>
      </c>
      <c r="S2058" s="572"/>
      <c r="T2058" s="609"/>
      <c r="U2058" s="741"/>
      <c r="V2058" s="586"/>
      <c r="W2058" s="564" t="str">
        <f>IF(S2058&lt;&gt;0,VLOOKUP(S2058,VKT!$A$2:$G$415,7,0),"")</f>
        <v/>
      </c>
      <c r="X2058" s="564" t="str">
        <f t="shared" si="459"/>
        <v xml:space="preserve"> </v>
      </c>
      <c r="Y2058" s="650"/>
      <c r="Z2058" s="586"/>
      <c r="AA2058" s="742"/>
      <c r="AB2058" s="586"/>
      <c r="AC2058" s="586"/>
      <c r="AD2058" s="586"/>
      <c r="AE2058" s="586"/>
      <c r="AF2058" s="714"/>
      <c r="AG2058" s="570" t="str">
        <f>IF(AE2058&lt;&gt;0,VLOOKUP(AE2058,ODDS!$A$2:$C$13,3,0),"")</f>
        <v/>
      </c>
      <c r="AH2058" s="570" t="str">
        <f t="shared" si="449"/>
        <v xml:space="preserve"> </v>
      </c>
      <c r="AI2058" s="571" t="str">
        <f t="shared" si="462"/>
        <v xml:space="preserve"> </v>
      </c>
      <c r="AJ2058" s="586" t="s">
        <v>1398</v>
      </c>
      <c r="AK2058" s="586"/>
    </row>
    <row r="2059" spans="1:37" s="394" customFormat="1" ht="101.25" outlineLevel="2" x14ac:dyDescent="0.3">
      <c r="A2059" s="447">
        <f t="shared" si="461"/>
        <v>176</v>
      </c>
      <c r="B2059" s="557"/>
      <c r="C2059" s="572"/>
      <c r="D2059" s="700"/>
      <c r="E2059" s="612"/>
      <c r="F2059" s="612"/>
      <c r="G2059" s="586"/>
      <c r="H2059" s="709"/>
      <c r="I2059" s="546"/>
      <c r="J2059" s="558"/>
      <c r="K2059" s="563" t="str">
        <f>IF(G2059&lt;&gt;0,VLOOKUP(G2059,'gia dat'!$A$1:$F$144,5,0)," ")</f>
        <v xml:space="preserve"> </v>
      </c>
      <c r="L2059" s="563" t="str">
        <f>IF(G2059&lt;&gt;0,VLOOKUP(G2059,'gia dat'!$A$1:$F$144,6,0)," ")</f>
        <v xml:space="preserve"> </v>
      </c>
      <c r="M2059" s="564" t="str">
        <f t="shared" si="455"/>
        <v xml:space="preserve"> </v>
      </c>
      <c r="N2059" s="564" t="str">
        <f t="shared" si="456"/>
        <v xml:space="preserve"> </v>
      </c>
      <c r="O2059" s="572"/>
      <c r="P2059" s="740"/>
      <c r="Q2059" s="564" t="str">
        <f>IF(O2059&lt;&gt;0,VLOOKUP(O2059,'Cây trong'!$A$2:$C$246,3,0)," ")</f>
        <v xml:space="preserve"> </v>
      </c>
      <c r="R2059" s="564" t="str">
        <f t="shared" si="448"/>
        <v xml:space="preserve"> </v>
      </c>
      <c r="S2059" s="572"/>
      <c r="T2059" s="609"/>
      <c r="U2059" s="741"/>
      <c r="V2059" s="586"/>
      <c r="W2059" s="564" t="str">
        <f>IF(S2059&lt;&gt;0,VLOOKUP(S2059,VKT!$A$2:$G$415,7,0),"")</f>
        <v/>
      </c>
      <c r="X2059" s="564" t="str">
        <f t="shared" si="459"/>
        <v xml:space="preserve"> </v>
      </c>
      <c r="Y2059" s="650"/>
      <c r="Z2059" s="586"/>
      <c r="AA2059" s="742"/>
      <c r="AB2059" s="586"/>
      <c r="AC2059" s="586"/>
      <c r="AD2059" s="586"/>
      <c r="AE2059" s="586"/>
      <c r="AF2059" s="714"/>
      <c r="AG2059" s="570" t="str">
        <f>IF(AE2059&lt;&gt;0,VLOOKUP(AE2059,ODDS!$A$2:$C$13,3,0),"")</f>
        <v/>
      </c>
      <c r="AH2059" s="570" t="str">
        <f t="shared" si="449"/>
        <v xml:space="preserve"> </v>
      </c>
      <c r="AI2059" s="571" t="str">
        <f t="shared" si="462"/>
        <v xml:space="preserve"> </v>
      </c>
      <c r="AJ2059" s="572" t="s">
        <v>2446</v>
      </c>
      <c r="AK2059" s="572"/>
    </row>
    <row r="2060" spans="1:37" s="394" customFormat="1" ht="20.25" outlineLevel="2" x14ac:dyDescent="0.3">
      <c r="A2060" s="447">
        <f t="shared" si="461"/>
        <v>176</v>
      </c>
      <c r="B2060" s="557"/>
      <c r="C2060" s="572"/>
      <c r="D2060" s="700"/>
      <c r="E2060" s="612"/>
      <c r="F2060" s="612"/>
      <c r="G2060" s="586"/>
      <c r="H2060" s="709"/>
      <c r="I2060" s="546"/>
      <c r="J2060" s="558"/>
      <c r="K2060" s="563" t="str">
        <f>IF(G2060&lt;&gt;0,VLOOKUP(G2060,'gia dat'!$A$1:$F$144,5,0)," ")</f>
        <v xml:space="preserve"> </v>
      </c>
      <c r="L2060" s="563" t="str">
        <f>IF(G2060&lt;&gt;0,VLOOKUP(G2060,'gia dat'!$A$1:$F$144,6,0)," ")</f>
        <v xml:space="preserve"> </v>
      </c>
      <c r="M2060" s="564" t="str">
        <f t="shared" si="455"/>
        <v xml:space="preserve"> </v>
      </c>
      <c r="N2060" s="564" t="str">
        <f t="shared" si="456"/>
        <v xml:space="preserve"> </v>
      </c>
      <c r="O2060" s="572"/>
      <c r="P2060" s="740"/>
      <c r="Q2060" s="564" t="str">
        <f>IF(O2060&lt;&gt;0,VLOOKUP(O2060,'Cây trong'!$A$2:$C$246,3,0)," ")</f>
        <v xml:space="preserve"> </v>
      </c>
      <c r="R2060" s="564" t="str">
        <f t="shared" si="448"/>
        <v xml:space="preserve"> </v>
      </c>
      <c r="S2060" s="572"/>
      <c r="T2060" s="609"/>
      <c r="U2060" s="741"/>
      <c r="V2060" s="586"/>
      <c r="W2060" s="564" t="str">
        <f>IF(S2060&lt;&gt;0,VLOOKUP(S2060,VKT!$A$2:$G$415,7,0),"")</f>
        <v/>
      </c>
      <c r="X2060" s="564" t="str">
        <f t="shared" si="459"/>
        <v xml:space="preserve"> </v>
      </c>
      <c r="Y2060" s="650"/>
      <c r="Z2060" s="586"/>
      <c r="AA2060" s="742"/>
      <c r="AB2060" s="586"/>
      <c r="AC2060" s="586"/>
      <c r="AD2060" s="586"/>
      <c r="AE2060" s="586"/>
      <c r="AF2060" s="714"/>
      <c r="AG2060" s="570" t="str">
        <f>IF(AE2060&lt;&gt;0,VLOOKUP(AE2060,ODDS!$A$2:$C$13,3,0),"")</f>
        <v/>
      </c>
      <c r="AH2060" s="570" t="str">
        <f t="shared" si="449"/>
        <v xml:space="preserve"> </v>
      </c>
      <c r="AI2060" s="571" t="str">
        <f t="shared" si="462"/>
        <v xml:space="preserve"> </v>
      </c>
      <c r="AJ2060" s="572"/>
      <c r="AK2060" s="572"/>
    </row>
    <row r="2061" spans="1:37" s="394" customFormat="1" ht="20.25" outlineLevel="2" x14ac:dyDescent="0.3">
      <c r="A2061" s="447">
        <f t="shared" si="461"/>
        <v>176</v>
      </c>
      <c r="B2061" s="557"/>
      <c r="C2061" s="572"/>
      <c r="D2061" s="700"/>
      <c r="E2061" s="612"/>
      <c r="F2061" s="612"/>
      <c r="G2061" s="586"/>
      <c r="H2061" s="709"/>
      <c r="I2061" s="546"/>
      <c r="J2061" s="558"/>
      <c r="K2061" s="563" t="str">
        <f>IF(G2061&lt;&gt;0,VLOOKUP(G2061,'gia dat'!$A$1:$F$144,5,0)," ")</f>
        <v xml:space="preserve"> </v>
      </c>
      <c r="L2061" s="563" t="str">
        <f>IF(G2061&lt;&gt;0,VLOOKUP(G2061,'gia dat'!$A$1:$F$144,6,0)," ")</f>
        <v xml:space="preserve"> </v>
      </c>
      <c r="M2061" s="564" t="str">
        <f t="shared" si="455"/>
        <v xml:space="preserve"> </v>
      </c>
      <c r="N2061" s="564" t="str">
        <f t="shared" si="456"/>
        <v xml:space="preserve"> </v>
      </c>
      <c r="O2061" s="572"/>
      <c r="P2061" s="740"/>
      <c r="Q2061" s="564" t="str">
        <f>IF(O2061&lt;&gt;0,VLOOKUP(O2061,'Cây trong'!$A$2:$C$246,3,0)," ")</f>
        <v xml:space="preserve"> </v>
      </c>
      <c r="R2061" s="564" t="str">
        <f t="shared" si="448"/>
        <v xml:space="preserve"> </v>
      </c>
      <c r="S2061" s="572"/>
      <c r="T2061" s="609"/>
      <c r="U2061" s="741"/>
      <c r="V2061" s="586"/>
      <c r="W2061" s="564" t="str">
        <f>IF(S2061&lt;&gt;0,VLOOKUP(S2061,VKT!$A$2:$G$415,7,0),"")</f>
        <v/>
      </c>
      <c r="X2061" s="564" t="str">
        <f t="shared" si="459"/>
        <v xml:space="preserve"> </v>
      </c>
      <c r="Y2061" s="650"/>
      <c r="Z2061" s="586"/>
      <c r="AA2061" s="742"/>
      <c r="AB2061" s="586"/>
      <c r="AC2061" s="586"/>
      <c r="AD2061" s="586"/>
      <c r="AE2061" s="586"/>
      <c r="AF2061" s="714"/>
      <c r="AG2061" s="570" t="str">
        <f>IF(AE2061&lt;&gt;0,VLOOKUP(AE2061,ODDS!$A$2:$C$13,3,0),"")</f>
        <v/>
      </c>
      <c r="AH2061" s="570" t="str">
        <f t="shared" si="449"/>
        <v xml:space="preserve"> </v>
      </c>
      <c r="AI2061" s="571" t="str">
        <f t="shared" si="462"/>
        <v xml:space="preserve"> </v>
      </c>
      <c r="AJ2061" s="572"/>
      <c r="AK2061" s="572"/>
    </row>
    <row r="2062" spans="1:37" s="394" customFormat="1" ht="20.25" outlineLevel="2" x14ac:dyDescent="0.3">
      <c r="A2062" s="447">
        <f t="shared" si="461"/>
        <v>176</v>
      </c>
      <c r="B2062" s="557"/>
      <c r="C2062" s="572"/>
      <c r="D2062" s="700"/>
      <c r="E2062" s="612"/>
      <c r="F2062" s="612"/>
      <c r="G2062" s="586"/>
      <c r="H2062" s="709"/>
      <c r="I2062" s="546"/>
      <c r="J2062" s="558"/>
      <c r="K2062" s="563" t="str">
        <f>IF(G2062&lt;&gt;0,VLOOKUP(G2062,'gia dat'!$A$1:$F$144,5,0)," ")</f>
        <v xml:space="preserve"> </v>
      </c>
      <c r="L2062" s="563" t="str">
        <f>IF(G2062&lt;&gt;0,VLOOKUP(G2062,'gia dat'!$A$1:$F$144,6,0)," ")</f>
        <v xml:space="preserve"> </v>
      </c>
      <c r="M2062" s="564" t="str">
        <f t="shared" si="455"/>
        <v xml:space="preserve"> </v>
      </c>
      <c r="N2062" s="564" t="str">
        <f t="shared" si="456"/>
        <v xml:space="preserve"> </v>
      </c>
      <c r="O2062" s="572"/>
      <c r="P2062" s="740"/>
      <c r="Q2062" s="564" t="str">
        <f>IF(O2062&lt;&gt;0,VLOOKUP(O2062,'Cây trong'!$A$2:$C$246,3,0)," ")</f>
        <v xml:space="preserve"> </v>
      </c>
      <c r="R2062" s="564" t="str">
        <f t="shared" si="448"/>
        <v xml:space="preserve"> </v>
      </c>
      <c r="S2062" s="572"/>
      <c r="T2062" s="609"/>
      <c r="U2062" s="741"/>
      <c r="V2062" s="586"/>
      <c r="W2062" s="564" t="str">
        <f>IF(S2062&lt;&gt;0,VLOOKUP(S2062,VKT!$A$2:$G$415,7,0),"")</f>
        <v/>
      </c>
      <c r="X2062" s="564" t="str">
        <f t="shared" si="459"/>
        <v xml:space="preserve"> </v>
      </c>
      <c r="Y2062" s="650"/>
      <c r="Z2062" s="586"/>
      <c r="AA2062" s="742"/>
      <c r="AB2062" s="586"/>
      <c r="AC2062" s="586"/>
      <c r="AD2062" s="586"/>
      <c r="AE2062" s="586"/>
      <c r="AF2062" s="714"/>
      <c r="AG2062" s="570" t="str">
        <f>IF(AE2062&lt;&gt;0,VLOOKUP(AE2062,ODDS!$A$2:$C$13,3,0),"")</f>
        <v/>
      </c>
      <c r="AH2062" s="570" t="str">
        <f t="shared" si="449"/>
        <v xml:space="preserve"> </v>
      </c>
      <c r="AI2062" s="571" t="str">
        <f t="shared" si="462"/>
        <v xml:space="preserve"> </v>
      </c>
      <c r="AJ2062" s="558"/>
      <c r="AK2062" s="558"/>
    </row>
    <row r="2063" spans="1:37" s="394" customFormat="1" ht="20.25" outlineLevel="2" x14ac:dyDescent="0.3">
      <c r="A2063" s="447">
        <f t="shared" si="461"/>
        <v>176</v>
      </c>
      <c r="B2063" s="557"/>
      <c r="C2063" s="607"/>
      <c r="D2063" s="700"/>
      <c r="E2063" s="612"/>
      <c r="F2063" s="612"/>
      <c r="G2063" s="586"/>
      <c r="H2063" s="709"/>
      <c r="I2063" s="546"/>
      <c r="J2063" s="558"/>
      <c r="K2063" s="563" t="str">
        <f>IF(G2063&lt;&gt;0,VLOOKUP(G2063,'gia dat'!$A$1:$F$144,5,0)," ")</f>
        <v xml:space="preserve"> </v>
      </c>
      <c r="L2063" s="563" t="str">
        <f>IF(G2063&lt;&gt;0,VLOOKUP(G2063,'gia dat'!$A$1:$F$144,6,0)," ")</f>
        <v xml:space="preserve"> </v>
      </c>
      <c r="M2063" s="564" t="str">
        <f t="shared" si="455"/>
        <v xml:space="preserve"> </v>
      </c>
      <c r="N2063" s="564" t="str">
        <f t="shared" si="456"/>
        <v xml:space="preserve"> </v>
      </c>
      <c r="O2063" s="572"/>
      <c r="P2063" s="740"/>
      <c r="Q2063" s="564" t="str">
        <f>IF(O2063&lt;&gt;0,VLOOKUP(O2063,'Cây trong'!$A$2:$C$246,3,0)," ")</f>
        <v xml:space="preserve"> </v>
      </c>
      <c r="R2063" s="564" t="str">
        <f t="shared" si="448"/>
        <v xml:space="preserve"> </v>
      </c>
      <c r="S2063" s="572"/>
      <c r="T2063" s="609"/>
      <c r="U2063" s="741"/>
      <c r="V2063" s="586"/>
      <c r="W2063" s="564" t="str">
        <f>IF(S2063&lt;&gt;0,VLOOKUP(S2063,VKT!$A$2:$G$415,7,0),"")</f>
        <v/>
      </c>
      <c r="X2063" s="564" t="str">
        <f t="shared" si="459"/>
        <v xml:space="preserve"> </v>
      </c>
      <c r="Y2063" s="650"/>
      <c r="Z2063" s="586"/>
      <c r="AA2063" s="742"/>
      <c r="AB2063" s="586"/>
      <c r="AC2063" s="586"/>
      <c r="AD2063" s="586"/>
      <c r="AE2063" s="586"/>
      <c r="AF2063" s="714"/>
      <c r="AG2063" s="570" t="str">
        <f>IF(AE2063&lt;&gt;0,VLOOKUP(AE2063,ODDS!$A$2:$C$13,3,0),"")</f>
        <v/>
      </c>
      <c r="AH2063" s="570" t="str">
        <f t="shared" si="449"/>
        <v xml:space="preserve"> </v>
      </c>
      <c r="AI2063" s="571" t="str">
        <f t="shared" si="462"/>
        <v xml:space="preserve"> </v>
      </c>
      <c r="AJ2063" s="586"/>
      <c r="AK2063" s="586"/>
    </row>
    <row r="2064" spans="1:37" s="394" customFormat="1" ht="20.25" outlineLevel="1" x14ac:dyDescent="0.25">
      <c r="A2064" s="467" t="s">
        <v>2533</v>
      </c>
      <c r="B2064" s="576">
        <v>177</v>
      </c>
      <c r="C2064" s="607" t="s">
        <v>1399</v>
      </c>
      <c r="D2064" s="706"/>
      <c r="E2064" s="642"/>
      <c r="F2064" s="642"/>
      <c r="G2064" s="578"/>
      <c r="H2064" s="707">
        <f>SUBTOTAL(9,H2065:H2074)</f>
        <v>153.5</v>
      </c>
      <c r="I2064" s="579">
        <f>SUBTOTAL(9,I2065:I2070)</f>
        <v>0</v>
      </c>
      <c r="J2064" s="580"/>
      <c r="K2064" s="581"/>
      <c r="L2064" s="581"/>
      <c r="M2064" s="571">
        <f>SUBTOTAL(9,M2065:M2074)</f>
        <v>57839000</v>
      </c>
      <c r="N2064" s="571">
        <f>SUBTOTAL(9,N2065:N2074)</f>
        <v>0</v>
      </c>
      <c r="O2064" s="607"/>
      <c r="P2064" s="738">
        <f>SUBTOTAL(9,P2065:P2074)</f>
        <v>93.4</v>
      </c>
      <c r="Q2064" s="571"/>
      <c r="R2064" s="571">
        <f>SUBTOTAL(9,R2065:R2074)</f>
        <v>1120800</v>
      </c>
      <c r="S2064" s="582"/>
      <c r="T2064" s="621"/>
      <c r="U2064" s="739">
        <f>SUBTOTAL(9,U2065:U2074)</f>
        <v>0</v>
      </c>
      <c r="V2064" s="578"/>
      <c r="W2064" s="571"/>
      <c r="X2064" s="571">
        <f>SUBTOTAL(9,X2065:X2074)</f>
        <v>0</v>
      </c>
      <c r="Y2064" s="650"/>
      <c r="Z2064" s="586"/>
      <c r="AA2064" s="742"/>
      <c r="AB2064" s="586"/>
      <c r="AC2064" s="586"/>
      <c r="AD2064" s="586"/>
      <c r="AE2064" s="578"/>
      <c r="AF2064" s="712">
        <f>SUBTOTAL(9,AF2065:AF2074)</f>
        <v>0</v>
      </c>
      <c r="AG2064" s="585"/>
      <c r="AH2064" s="585">
        <f>SUBTOTAL(9,AH2065:AH2074)</f>
        <v>0</v>
      </c>
      <c r="AI2064" s="571">
        <f t="shared" si="462"/>
        <v>58959800</v>
      </c>
      <c r="AJ2064" s="578"/>
      <c r="AK2064" s="578"/>
    </row>
    <row r="2065" spans="1:37" s="394" customFormat="1" ht="121.5" outlineLevel="2" x14ac:dyDescent="0.3">
      <c r="A2065" s="447">
        <f>IF(B2064&lt;&gt;0,B2064,A2063)</f>
        <v>177</v>
      </c>
      <c r="B2065" s="557"/>
      <c r="C2065" s="572" t="s">
        <v>1401</v>
      </c>
      <c r="D2065" s="700"/>
      <c r="E2065" s="612">
        <v>86</v>
      </c>
      <c r="F2065" s="612">
        <v>405</v>
      </c>
      <c r="G2065" s="586" t="s">
        <v>2432</v>
      </c>
      <c r="H2065" s="709">
        <v>142.9</v>
      </c>
      <c r="I2065" s="546" t="str">
        <f t="shared" ref="I2065:I2066" si="463">IF(N2065&gt;0,H2065,"")</f>
        <v/>
      </c>
      <c r="J2065" s="562"/>
      <c r="K2065" s="563">
        <f>IF(G2065&lt;&gt;0,VLOOKUP(G2065,'gia dat'!$A$1:$F$144,5,0)," ")</f>
        <v>376800</v>
      </c>
      <c r="L2065" s="563">
        <f>IF(G2065&lt;&gt;0,VLOOKUP(G2065,'gia dat'!$A$1:$F$144,6,0)," ")</f>
        <v>0</v>
      </c>
      <c r="M2065" s="564">
        <f t="shared" si="455"/>
        <v>53845000</v>
      </c>
      <c r="N2065" s="564">
        <f t="shared" si="456"/>
        <v>0</v>
      </c>
      <c r="O2065" s="572" t="s">
        <v>347</v>
      </c>
      <c r="P2065" s="740">
        <v>93.4</v>
      </c>
      <c r="Q2065" s="564">
        <f>IF(O2065&lt;&gt;0,VLOOKUP(O2065,'Cây trong'!$A$2:$C$246,3,0)," ")</f>
        <v>12000</v>
      </c>
      <c r="R2065" s="564">
        <f t="shared" ref="R2065:R2129" si="464">IF(O2065&lt;&gt;0,ROUND(P2065*Q2065,-2)," ")</f>
        <v>1120800</v>
      </c>
      <c r="S2065" s="566"/>
      <c r="T2065" s="609"/>
      <c r="U2065" s="741"/>
      <c r="V2065" s="586"/>
      <c r="W2065" s="564" t="str">
        <f>IF(S2065&lt;&gt;0,VLOOKUP(S2065,VKT!$A$2:$G$415,7,0),"")</f>
        <v/>
      </c>
      <c r="X2065" s="564" t="str">
        <f t="shared" si="459"/>
        <v xml:space="preserve"> </v>
      </c>
      <c r="Y2065" s="650"/>
      <c r="Z2065" s="586"/>
      <c r="AA2065" s="742"/>
      <c r="AB2065" s="586"/>
      <c r="AC2065" s="586"/>
      <c r="AD2065" s="586"/>
      <c r="AE2065" s="586"/>
      <c r="AF2065" s="714"/>
      <c r="AG2065" s="570" t="str">
        <f>IF(AE2065&lt;&gt;0,VLOOKUP(AE2065,ODDS!$A$2:$C$13,3,0),"")</f>
        <v/>
      </c>
      <c r="AH2065" s="570"/>
      <c r="AI2065" s="571" t="str">
        <f t="shared" si="462"/>
        <v xml:space="preserve"> </v>
      </c>
      <c r="AJ2065" s="586" t="s">
        <v>1400</v>
      </c>
      <c r="AK2065" s="586" t="s">
        <v>2771</v>
      </c>
    </row>
    <row r="2066" spans="1:37" s="394" customFormat="1" ht="101.25" outlineLevel="2" x14ac:dyDescent="0.3">
      <c r="A2066" s="447">
        <f t="shared" ref="A2066:A2074" si="465">IF(B2065&lt;&gt;0,B2065,A2065)</f>
        <v>177</v>
      </c>
      <c r="B2066" s="557"/>
      <c r="C2066" s="572" t="s">
        <v>1627</v>
      </c>
      <c r="D2066" s="700"/>
      <c r="E2066" s="612">
        <v>86</v>
      </c>
      <c r="F2066" s="612" t="s">
        <v>1402</v>
      </c>
      <c r="G2066" s="586" t="s">
        <v>2429</v>
      </c>
      <c r="H2066" s="709">
        <v>10.6</v>
      </c>
      <c r="I2066" s="546" t="str">
        <f t="shared" si="463"/>
        <v/>
      </c>
      <c r="J2066" s="562"/>
      <c r="K2066" s="563">
        <f>IF(G2066&lt;&gt;0,VLOOKUP(G2066,'gia dat'!$A$1:$F$144,5,0)," ")</f>
        <v>376800</v>
      </c>
      <c r="L2066" s="563">
        <f>IF(G2066&lt;&gt;0,VLOOKUP(G2066,'gia dat'!$A$1:$F$144,6,0)," ")</f>
        <v>0</v>
      </c>
      <c r="M2066" s="564">
        <f t="shared" si="455"/>
        <v>3994000</v>
      </c>
      <c r="N2066" s="564">
        <f t="shared" si="456"/>
        <v>0</v>
      </c>
      <c r="O2066" s="572"/>
      <c r="P2066" s="740"/>
      <c r="Q2066" s="564" t="str">
        <f>IF(O2066&lt;&gt;0,VLOOKUP(O2066,'Cây trong'!$A$2:$C$246,3,0)," ")</f>
        <v xml:space="preserve"> </v>
      </c>
      <c r="R2066" s="564" t="str">
        <f t="shared" si="464"/>
        <v xml:space="preserve"> </v>
      </c>
      <c r="S2066" s="566"/>
      <c r="T2066" s="609"/>
      <c r="U2066" s="741"/>
      <c r="V2066" s="586"/>
      <c r="W2066" s="564" t="str">
        <f>IF(S2066&lt;&gt;0,VLOOKUP(S2066,VKT!$A$2:$G$415,7,0),"")</f>
        <v/>
      </c>
      <c r="X2066" s="564" t="str">
        <f t="shared" si="459"/>
        <v xml:space="preserve"> </v>
      </c>
      <c r="Y2066" s="650"/>
      <c r="Z2066" s="586"/>
      <c r="AA2066" s="742"/>
      <c r="AB2066" s="586"/>
      <c r="AC2066" s="586"/>
      <c r="AD2066" s="586"/>
      <c r="AE2066" s="586"/>
      <c r="AF2066" s="714"/>
      <c r="AG2066" s="570" t="str">
        <f>IF(AE2066&lt;&gt;0,VLOOKUP(AE2066,ODDS!$A$2:$C$13,3,0),"")</f>
        <v/>
      </c>
      <c r="AH2066" s="570" t="str">
        <f t="shared" ref="AH2066:AH2129" si="466">IF(AE2066&lt;&gt;0,ROUND(AF2066*AG2066,-2)," ")</f>
        <v xml:space="preserve"> </v>
      </c>
      <c r="AI2066" s="571" t="str">
        <f t="shared" si="462"/>
        <v xml:space="preserve"> </v>
      </c>
      <c r="AJ2066" s="586" t="s">
        <v>1403</v>
      </c>
      <c r="AK2066" s="558" t="s">
        <v>2449</v>
      </c>
    </row>
    <row r="2067" spans="1:37" s="394" customFormat="1" ht="40.5" outlineLevel="2" x14ac:dyDescent="0.3">
      <c r="A2067" s="447">
        <f t="shared" si="465"/>
        <v>177</v>
      </c>
      <c r="B2067" s="557"/>
      <c r="C2067" s="607" t="s">
        <v>1404</v>
      </c>
      <c r="D2067" s="700"/>
      <c r="E2067" s="612"/>
      <c r="F2067" s="612"/>
      <c r="G2067" s="586"/>
      <c r="H2067" s="709"/>
      <c r="I2067" s="546"/>
      <c r="J2067" s="562"/>
      <c r="K2067" s="563" t="str">
        <f>IF(G2067&lt;&gt;0,VLOOKUP(G2067,'gia dat'!$A$1:$F$144,5,0)," ")</f>
        <v xml:space="preserve"> </v>
      </c>
      <c r="L2067" s="563" t="str">
        <f>IF(G2067&lt;&gt;0,VLOOKUP(G2067,'gia dat'!$A$1:$F$144,6,0)," ")</f>
        <v xml:space="preserve"> </v>
      </c>
      <c r="M2067" s="564" t="str">
        <f t="shared" si="455"/>
        <v xml:space="preserve"> </v>
      </c>
      <c r="N2067" s="564" t="str">
        <f t="shared" si="456"/>
        <v xml:space="preserve"> </v>
      </c>
      <c r="O2067" s="572"/>
      <c r="P2067" s="740"/>
      <c r="Q2067" s="564" t="str">
        <f>IF(O2067&lt;&gt;0,VLOOKUP(O2067,'Cây trong'!$A$2:$C$246,3,0)," ")</f>
        <v xml:space="preserve"> </v>
      </c>
      <c r="R2067" s="564" t="str">
        <f t="shared" si="464"/>
        <v xml:space="preserve"> </v>
      </c>
      <c r="S2067" s="566"/>
      <c r="T2067" s="609"/>
      <c r="U2067" s="741"/>
      <c r="V2067" s="586"/>
      <c r="W2067" s="564" t="str">
        <f>IF(S2067&lt;&gt;0,VLOOKUP(S2067,VKT!$A$2:$G$415,7,0),"")</f>
        <v/>
      </c>
      <c r="X2067" s="564" t="str">
        <f t="shared" si="459"/>
        <v xml:space="preserve"> </v>
      </c>
      <c r="Y2067" s="650"/>
      <c r="Z2067" s="586"/>
      <c r="AA2067" s="742"/>
      <c r="AB2067" s="586"/>
      <c r="AC2067" s="586"/>
      <c r="AD2067" s="586"/>
      <c r="AE2067" s="586"/>
      <c r="AF2067" s="714"/>
      <c r="AG2067" s="570" t="str">
        <f>IF(AE2067&lt;&gt;0,VLOOKUP(AE2067,ODDS!$A$2:$C$13,3,0),"")</f>
        <v/>
      </c>
      <c r="AH2067" s="570" t="str">
        <f t="shared" si="466"/>
        <v xml:space="preserve"> </v>
      </c>
      <c r="AI2067" s="571" t="str">
        <f t="shared" si="462"/>
        <v xml:space="preserve"> </v>
      </c>
      <c r="AJ2067" s="586" t="s">
        <v>404</v>
      </c>
      <c r="AK2067" s="586"/>
    </row>
    <row r="2068" spans="1:37" s="394" customFormat="1" ht="101.25" outlineLevel="2" x14ac:dyDescent="0.3">
      <c r="A2068" s="447">
        <f t="shared" si="465"/>
        <v>177</v>
      </c>
      <c r="B2068" s="557"/>
      <c r="C2068" s="572" t="s">
        <v>1406</v>
      </c>
      <c r="D2068" s="700"/>
      <c r="E2068" s="612"/>
      <c r="F2068" s="612"/>
      <c r="G2068" s="586"/>
      <c r="H2068" s="709"/>
      <c r="I2068" s="546"/>
      <c r="J2068" s="558"/>
      <c r="K2068" s="563" t="str">
        <f>IF(G2068&lt;&gt;0,VLOOKUP(G2068,'gia dat'!$A$1:$F$144,5,0)," ")</f>
        <v xml:space="preserve"> </v>
      </c>
      <c r="L2068" s="563" t="str">
        <f>IF(G2068&lt;&gt;0,VLOOKUP(G2068,'gia dat'!$A$1:$F$144,6,0)," ")</f>
        <v xml:space="preserve"> </v>
      </c>
      <c r="M2068" s="564" t="str">
        <f t="shared" si="455"/>
        <v xml:space="preserve"> </v>
      </c>
      <c r="N2068" s="564" t="str">
        <f t="shared" si="456"/>
        <v xml:space="preserve"> </v>
      </c>
      <c r="O2068" s="572"/>
      <c r="P2068" s="740"/>
      <c r="Q2068" s="564" t="str">
        <f>IF(O2068&lt;&gt;0,VLOOKUP(O2068,'Cây trong'!$A$2:$C$246,3,0)," ")</f>
        <v xml:space="preserve"> </v>
      </c>
      <c r="R2068" s="564" t="str">
        <f t="shared" si="464"/>
        <v xml:space="preserve"> </v>
      </c>
      <c r="S2068" s="572"/>
      <c r="T2068" s="609"/>
      <c r="U2068" s="741"/>
      <c r="V2068" s="586"/>
      <c r="W2068" s="564" t="str">
        <f>IF(S2068&lt;&gt;0,VLOOKUP(S2068,VKT!$A$2:$G$415,7,0),"")</f>
        <v/>
      </c>
      <c r="X2068" s="564" t="str">
        <f t="shared" si="459"/>
        <v xml:space="preserve"> </v>
      </c>
      <c r="Y2068" s="650"/>
      <c r="Z2068" s="586"/>
      <c r="AA2068" s="742"/>
      <c r="AB2068" s="586"/>
      <c r="AC2068" s="586"/>
      <c r="AD2068" s="586"/>
      <c r="AE2068" s="586"/>
      <c r="AF2068" s="714"/>
      <c r="AG2068" s="570" t="str">
        <f>IF(AE2068&lt;&gt;0,VLOOKUP(AE2068,ODDS!$A$2:$C$13,3,0),"")</f>
        <v/>
      </c>
      <c r="AH2068" s="570" t="str">
        <f t="shared" si="466"/>
        <v xml:space="preserve"> </v>
      </c>
      <c r="AI2068" s="571" t="str">
        <f t="shared" si="462"/>
        <v xml:space="preserve"> </v>
      </c>
      <c r="AJ2068" s="586" t="s">
        <v>1405</v>
      </c>
      <c r="AK2068" s="586"/>
    </row>
    <row r="2069" spans="1:37" s="394" customFormat="1" ht="81" outlineLevel="2" x14ac:dyDescent="0.3">
      <c r="A2069" s="447">
        <f t="shared" si="465"/>
        <v>177</v>
      </c>
      <c r="B2069" s="557"/>
      <c r="C2069" s="572" t="s">
        <v>1628</v>
      </c>
      <c r="D2069" s="700"/>
      <c r="E2069" s="612"/>
      <c r="F2069" s="612"/>
      <c r="G2069" s="586"/>
      <c r="H2069" s="709"/>
      <c r="I2069" s="546"/>
      <c r="J2069" s="558"/>
      <c r="K2069" s="563" t="str">
        <f>IF(G2069&lt;&gt;0,VLOOKUP(G2069,'gia dat'!$A$1:$F$144,5,0)," ")</f>
        <v xml:space="preserve"> </v>
      </c>
      <c r="L2069" s="563" t="str">
        <f>IF(G2069&lt;&gt;0,VLOOKUP(G2069,'gia dat'!$A$1:$F$144,6,0)," ")</f>
        <v xml:space="preserve"> </v>
      </c>
      <c r="M2069" s="564" t="str">
        <f t="shared" si="455"/>
        <v xml:space="preserve"> </v>
      </c>
      <c r="N2069" s="564" t="str">
        <f t="shared" si="456"/>
        <v xml:space="preserve"> </v>
      </c>
      <c r="O2069" s="572"/>
      <c r="P2069" s="740"/>
      <c r="Q2069" s="564" t="str">
        <f>IF(O2069&lt;&gt;0,VLOOKUP(O2069,'Cây trong'!$A$2:$C$246,3,0)," ")</f>
        <v xml:space="preserve"> </v>
      </c>
      <c r="R2069" s="564" t="str">
        <f t="shared" si="464"/>
        <v xml:space="preserve"> </v>
      </c>
      <c r="S2069" s="572"/>
      <c r="T2069" s="609"/>
      <c r="U2069" s="741"/>
      <c r="V2069" s="586"/>
      <c r="W2069" s="564" t="str">
        <f>IF(S2069&lt;&gt;0,VLOOKUP(S2069,VKT!$A$2:$G$415,7,0),"")</f>
        <v/>
      </c>
      <c r="X2069" s="564" t="str">
        <f t="shared" si="459"/>
        <v xml:space="preserve"> </v>
      </c>
      <c r="Y2069" s="650"/>
      <c r="Z2069" s="586"/>
      <c r="AA2069" s="742"/>
      <c r="AB2069" s="586"/>
      <c r="AC2069" s="586"/>
      <c r="AD2069" s="586"/>
      <c r="AE2069" s="586"/>
      <c r="AF2069" s="714"/>
      <c r="AG2069" s="570" t="str">
        <f>IF(AE2069&lt;&gt;0,VLOOKUP(AE2069,ODDS!$A$2:$C$13,3,0),"")</f>
        <v/>
      </c>
      <c r="AH2069" s="570" t="str">
        <f t="shared" si="466"/>
        <v xml:space="preserve"> </v>
      </c>
      <c r="AI2069" s="571" t="str">
        <f t="shared" si="462"/>
        <v xml:space="preserve"> </v>
      </c>
      <c r="AJ2069" s="586"/>
      <c r="AK2069" s="586"/>
    </row>
    <row r="2070" spans="1:37" s="394" customFormat="1" ht="20.25" outlineLevel="2" x14ac:dyDescent="0.3">
      <c r="A2070" s="447">
        <f t="shared" si="465"/>
        <v>177</v>
      </c>
      <c r="B2070" s="557"/>
      <c r="C2070" s="572"/>
      <c r="D2070" s="700"/>
      <c r="E2070" s="612"/>
      <c r="F2070" s="612"/>
      <c r="G2070" s="586"/>
      <c r="H2070" s="709"/>
      <c r="I2070" s="546"/>
      <c r="J2070" s="558"/>
      <c r="K2070" s="563" t="str">
        <f>IF(G2070&lt;&gt;0,VLOOKUP(G2070,'gia dat'!$A$1:$F$144,5,0)," ")</f>
        <v xml:space="preserve"> </v>
      </c>
      <c r="L2070" s="563" t="str">
        <f>IF(G2070&lt;&gt;0,VLOOKUP(G2070,'gia dat'!$A$1:$F$144,6,0)," ")</f>
        <v xml:space="preserve"> </v>
      </c>
      <c r="M2070" s="564" t="str">
        <f t="shared" si="455"/>
        <v xml:space="preserve"> </v>
      </c>
      <c r="N2070" s="564" t="str">
        <f t="shared" si="456"/>
        <v xml:space="preserve"> </v>
      </c>
      <c r="O2070" s="572"/>
      <c r="P2070" s="740"/>
      <c r="Q2070" s="564" t="str">
        <f>IF(O2070&lt;&gt;0,VLOOKUP(O2070,'Cây trong'!$A$2:$C$246,3,0)," ")</f>
        <v xml:space="preserve"> </v>
      </c>
      <c r="R2070" s="564" t="str">
        <f t="shared" si="464"/>
        <v xml:space="preserve"> </v>
      </c>
      <c r="S2070" s="572"/>
      <c r="T2070" s="609"/>
      <c r="U2070" s="741"/>
      <c r="V2070" s="586"/>
      <c r="W2070" s="564" t="str">
        <f>IF(S2070&lt;&gt;0,VLOOKUP(S2070,VKT!$A$2:$G$415,7,0),"")</f>
        <v/>
      </c>
      <c r="X2070" s="564" t="str">
        <f t="shared" si="459"/>
        <v xml:space="preserve"> </v>
      </c>
      <c r="Y2070" s="650"/>
      <c r="Z2070" s="586"/>
      <c r="AA2070" s="742"/>
      <c r="AB2070" s="586"/>
      <c r="AC2070" s="586"/>
      <c r="AD2070" s="586"/>
      <c r="AE2070" s="586"/>
      <c r="AF2070" s="714"/>
      <c r="AG2070" s="570" t="str">
        <f>IF(AE2070&lt;&gt;0,VLOOKUP(AE2070,ODDS!$A$2:$C$13,3,0),"")</f>
        <v/>
      </c>
      <c r="AH2070" s="570" t="str">
        <f t="shared" si="466"/>
        <v xml:space="preserve"> </v>
      </c>
      <c r="AI2070" s="571" t="str">
        <f t="shared" si="462"/>
        <v xml:space="preserve"> </v>
      </c>
      <c r="AJ2070" s="586"/>
      <c r="AK2070" s="586"/>
    </row>
    <row r="2071" spans="1:37" s="394" customFormat="1" ht="20.25" outlineLevel="2" x14ac:dyDescent="0.3">
      <c r="A2071" s="447">
        <f t="shared" si="465"/>
        <v>177</v>
      </c>
      <c r="B2071" s="557"/>
      <c r="C2071" s="572"/>
      <c r="D2071" s="700"/>
      <c r="E2071" s="612"/>
      <c r="F2071" s="612"/>
      <c r="G2071" s="586"/>
      <c r="H2071" s="709"/>
      <c r="I2071" s="546"/>
      <c r="J2071" s="558"/>
      <c r="K2071" s="563" t="str">
        <f>IF(G2071&lt;&gt;0,VLOOKUP(G2071,'gia dat'!$A$1:$F$144,5,0)," ")</f>
        <v xml:space="preserve"> </v>
      </c>
      <c r="L2071" s="563" t="str">
        <f>IF(G2071&lt;&gt;0,VLOOKUP(G2071,'gia dat'!$A$1:$F$144,6,0)," ")</f>
        <v xml:space="preserve"> </v>
      </c>
      <c r="M2071" s="564" t="str">
        <f t="shared" si="455"/>
        <v xml:space="preserve"> </v>
      </c>
      <c r="N2071" s="564" t="str">
        <f t="shared" si="456"/>
        <v xml:space="preserve"> </v>
      </c>
      <c r="O2071" s="572"/>
      <c r="P2071" s="740"/>
      <c r="Q2071" s="564" t="str">
        <f>IF(O2071&lt;&gt;0,VLOOKUP(O2071,'Cây trong'!$A$2:$C$246,3,0)," ")</f>
        <v xml:space="preserve"> </v>
      </c>
      <c r="R2071" s="564" t="str">
        <f t="shared" si="464"/>
        <v xml:space="preserve"> </v>
      </c>
      <c r="S2071" s="572"/>
      <c r="T2071" s="609"/>
      <c r="U2071" s="741"/>
      <c r="V2071" s="586"/>
      <c r="W2071" s="564" t="str">
        <f>IF(S2071&lt;&gt;0,VLOOKUP(S2071,VKT!$A$2:$G$415,7,0),"")</f>
        <v/>
      </c>
      <c r="X2071" s="564" t="str">
        <f t="shared" si="459"/>
        <v xml:space="preserve"> </v>
      </c>
      <c r="Y2071" s="650"/>
      <c r="Z2071" s="586"/>
      <c r="AA2071" s="742"/>
      <c r="AB2071" s="586"/>
      <c r="AC2071" s="586"/>
      <c r="AD2071" s="586"/>
      <c r="AE2071" s="586"/>
      <c r="AF2071" s="714"/>
      <c r="AG2071" s="570" t="str">
        <f>IF(AE2071&lt;&gt;0,VLOOKUP(AE2071,ODDS!$A$2:$C$13,3,0),"")</f>
        <v/>
      </c>
      <c r="AH2071" s="570" t="str">
        <f t="shared" si="466"/>
        <v xml:space="preserve"> </v>
      </c>
      <c r="AI2071" s="571" t="str">
        <f t="shared" si="462"/>
        <v xml:space="preserve"> </v>
      </c>
      <c r="AJ2071" s="586"/>
      <c r="AK2071" s="586"/>
    </row>
    <row r="2072" spans="1:37" s="394" customFormat="1" ht="20.25" outlineLevel="2" x14ac:dyDescent="0.3">
      <c r="A2072" s="447">
        <f t="shared" si="465"/>
        <v>177</v>
      </c>
      <c r="B2072" s="557"/>
      <c r="C2072" s="572"/>
      <c r="D2072" s="700"/>
      <c r="E2072" s="612"/>
      <c r="F2072" s="612"/>
      <c r="G2072" s="586"/>
      <c r="H2072" s="709"/>
      <c r="I2072" s="546"/>
      <c r="J2072" s="558"/>
      <c r="K2072" s="563" t="str">
        <f>IF(G2072&lt;&gt;0,VLOOKUP(G2072,'gia dat'!$A$1:$F$144,5,0)," ")</f>
        <v xml:space="preserve"> </v>
      </c>
      <c r="L2072" s="563" t="str">
        <f>IF(G2072&lt;&gt;0,VLOOKUP(G2072,'gia dat'!$A$1:$F$144,6,0)," ")</f>
        <v xml:space="preserve"> </v>
      </c>
      <c r="M2072" s="564" t="str">
        <f t="shared" si="455"/>
        <v xml:space="preserve"> </v>
      </c>
      <c r="N2072" s="564" t="str">
        <f t="shared" si="456"/>
        <v xml:space="preserve"> </v>
      </c>
      <c r="O2072" s="572"/>
      <c r="P2072" s="740"/>
      <c r="Q2072" s="564" t="str">
        <f>IF(O2072&lt;&gt;0,VLOOKUP(O2072,'Cây trong'!$A$2:$C$246,3,0)," ")</f>
        <v xml:space="preserve"> </v>
      </c>
      <c r="R2072" s="564" t="str">
        <f t="shared" si="464"/>
        <v xml:space="preserve"> </v>
      </c>
      <c r="S2072" s="572"/>
      <c r="T2072" s="609"/>
      <c r="U2072" s="741"/>
      <c r="V2072" s="586"/>
      <c r="W2072" s="564" t="str">
        <f>IF(S2072&lt;&gt;0,VLOOKUP(S2072,VKT!$A$2:$G$415,7,0),"")</f>
        <v/>
      </c>
      <c r="X2072" s="564" t="str">
        <f t="shared" si="459"/>
        <v xml:space="preserve"> </v>
      </c>
      <c r="Y2072" s="650"/>
      <c r="Z2072" s="586"/>
      <c r="AA2072" s="742"/>
      <c r="AB2072" s="586"/>
      <c r="AC2072" s="586"/>
      <c r="AD2072" s="586"/>
      <c r="AE2072" s="586"/>
      <c r="AF2072" s="714"/>
      <c r="AG2072" s="570" t="str">
        <f>IF(AE2072&lt;&gt;0,VLOOKUP(AE2072,ODDS!$A$2:$C$13,3,0),"")</f>
        <v/>
      </c>
      <c r="AH2072" s="570" t="str">
        <f t="shared" si="466"/>
        <v xml:space="preserve"> </v>
      </c>
      <c r="AI2072" s="571" t="str">
        <f t="shared" si="462"/>
        <v xml:space="preserve"> </v>
      </c>
      <c r="AJ2072" s="572"/>
      <c r="AK2072" s="572"/>
    </row>
    <row r="2073" spans="1:37" s="394" customFormat="1" ht="20.25" outlineLevel="2" x14ac:dyDescent="0.3">
      <c r="A2073" s="447">
        <f t="shared" si="465"/>
        <v>177</v>
      </c>
      <c r="B2073" s="557"/>
      <c r="C2073" s="572"/>
      <c r="D2073" s="700"/>
      <c r="E2073" s="612"/>
      <c r="F2073" s="612"/>
      <c r="G2073" s="586"/>
      <c r="H2073" s="709"/>
      <c r="I2073" s="546"/>
      <c r="J2073" s="558"/>
      <c r="K2073" s="563" t="str">
        <f>IF(G2073&lt;&gt;0,VLOOKUP(G2073,'gia dat'!$A$1:$F$144,5,0)," ")</f>
        <v xml:space="preserve"> </v>
      </c>
      <c r="L2073" s="563" t="str">
        <f>IF(G2073&lt;&gt;0,VLOOKUP(G2073,'gia dat'!$A$1:$F$144,6,0)," ")</f>
        <v xml:space="preserve"> </v>
      </c>
      <c r="M2073" s="564" t="str">
        <f t="shared" si="455"/>
        <v xml:space="preserve"> </v>
      </c>
      <c r="N2073" s="564" t="str">
        <f t="shared" si="456"/>
        <v xml:space="preserve"> </v>
      </c>
      <c r="O2073" s="572"/>
      <c r="P2073" s="740"/>
      <c r="Q2073" s="564" t="str">
        <f>IF(O2073&lt;&gt;0,VLOOKUP(O2073,'Cây trong'!$A$2:$C$246,3,0)," ")</f>
        <v xml:space="preserve"> </v>
      </c>
      <c r="R2073" s="564" t="str">
        <f t="shared" si="464"/>
        <v xml:space="preserve"> </v>
      </c>
      <c r="S2073" s="572"/>
      <c r="T2073" s="609"/>
      <c r="U2073" s="741"/>
      <c r="V2073" s="586"/>
      <c r="W2073" s="564" t="str">
        <f>IF(S2073&lt;&gt;0,VLOOKUP(S2073,VKT!$A$2:$G$415,7,0),"")</f>
        <v/>
      </c>
      <c r="X2073" s="564" t="str">
        <f t="shared" si="459"/>
        <v xml:space="preserve"> </v>
      </c>
      <c r="Y2073" s="650"/>
      <c r="Z2073" s="586"/>
      <c r="AA2073" s="742"/>
      <c r="AB2073" s="586"/>
      <c r="AC2073" s="586"/>
      <c r="AD2073" s="586"/>
      <c r="AE2073" s="586"/>
      <c r="AF2073" s="714"/>
      <c r="AG2073" s="570" t="str">
        <f>IF(AE2073&lt;&gt;0,VLOOKUP(AE2073,ODDS!$A$2:$C$13,3,0),"")</f>
        <v/>
      </c>
      <c r="AH2073" s="570" t="str">
        <f t="shared" si="466"/>
        <v xml:space="preserve"> </v>
      </c>
      <c r="AI2073" s="571" t="str">
        <f t="shared" si="462"/>
        <v xml:space="preserve"> </v>
      </c>
      <c r="AJ2073" s="558"/>
      <c r="AK2073" s="558"/>
    </row>
    <row r="2074" spans="1:37" s="394" customFormat="1" ht="20.25" outlineLevel="2" x14ac:dyDescent="0.3">
      <c r="A2074" s="447">
        <f t="shared" si="465"/>
        <v>177</v>
      </c>
      <c r="B2074" s="557"/>
      <c r="C2074" s="607"/>
      <c r="D2074" s="700"/>
      <c r="E2074" s="612"/>
      <c r="F2074" s="612"/>
      <c r="G2074" s="586"/>
      <c r="H2074" s="709"/>
      <c r="I2074" s="546"/>
      <c r="J2074" s="558"/>
      <c r="K2074" s="563" t="str">
        <f>IF(G2074&lt;&gt;0,VLOOKUP(G2074,'gia dat'!$A$1:$F$144,5,0)," ")</f>
        <v xml:space="preserve"> </v>
      </c>
      <c r="L2074" s="563" t="str">
        <f>IF(G2074&lt;&gt;0,VLOOKUP(G2074,'gia dat'!$A$1:$F$144,6,0)," ")</f>
        <v xml:space="preserve"> </v>
      </c>
      <c r="M2074" s="564" t="str">
        <f t="shared" si="455"/>
        <v xml:space="preserve"> </v>
      </c>
      <c r="N2074" s="564" t="str">
        <f t="shared" si="456"/>
        <v xml:space="preserve"> </v>
      </c>
      <c r="O2074" s="572"/>
      <c r="P2074" s="740"/>
      <c r="Q2074" s="564" t="str">
        <f>IF(O2074&lt;&gt;0,VLOOKUP(O2074,'Cây trong'!$A$2:$C$246,3,0)," ")</f>
        <v xml:space="preserve"> </v>
      </c>
      <c r="R2074" s="564" t="str">
        <f t="shared" si="464"/>
        <v xml:space="preserve"> </v>
      </c>
      <c r="S2074" s="572"/>
      <c r="T2074" s="609"/>
      <c r="U2074" s="741"/>
      <c r="V2074" s="586"/>
      <c r="W2074" s="564" t="str">
        <f>IF(S2074&lt;&gt;0,VLOOKUP(S2074,VKT!$A$2:$G$415,7,0),"")</f>
        <v/>
      </c>
      <c r="X2074" s="564" t="str">
        <f t="shared" si="459"/>
        <v xml:space="preserve"> </v>
      </c>
      <c r="Y2074" s="650"/>
      <c r="Z2074" s="586"/>
      <c r="AA2074" s="742"/>
      <c r="AB2074" s="586"/>
      <c r="AC2074" s="586"/>
      <c r="AD2074" s="586"/>
      <c r="AE2074" s="586"/>
      <c r="AF2074" s="714"/>
      <c r="AG2074" s="570" t="str">
        <f>IF(AE2074&lt;&gt;0,VLOOKUP(AE2074,ODDS!$A$2:$C$13,3,0),"")</f>
        <v/>
      </c>
      <c r="AH2074" s="570" t="str">
        <f t="shared" si="466"/>
        <v xml:space="preserve"> </v>
      </c>
      <c r="AI2074" s="571" t="str">
        <f t="shared" si="462"/>
        <v xml:space="preserve"> </v>
      </c>
      <c r="AJ2074" s="586"/>
      <c r="AK2074" s="586"/>
    </row>
    <row r="2075" spans="1:37" s="394" customFormat="1" ht="20.25" outlineLevel="1" x14ac:dyDescent="0.25">
      <c r="A2075" s="467" t="s">
        <v>2532</v>
      </c>
      <c r="B2075" s="576">
        <v>178</v>
      </c>
      <c r="C2075" s="607" t="s">
        <v>1407</v>
      </c>
      <c r="D2075" s="706"/>
      <c r="E2075" s="642"/>
      <c r="F2075" s="642"/>
      <c r="G2075" s="578"/>
      <c r="H2075" s="707">
        <f>SUBTOTAL(9,H2076:H2129)</f>
        <v>1745.8000000000004</v>
      </c>
      <c r="I2075" s="579">
        <f>SUBTOTAL(9,I2076:I2081)</f>
        <v>1553.4000000000003</v>
      </c>
      <c r="J2075" s="580"/>
      <c r="K2075" s="581"/>
      <c r="L2075" s="581"/>
      <c r="M2075" s="571">
        <f>SUBTOTAL(9,M2076:M2129)</f>
        <v>785353000</v>
      </c>
      <c r="N2075" s="571">
        <f>SUBTOTAL(9,N2076:N2129)</f>
        <v>2087312000</v>
      </c>
      <c r="O2075" s="663"/>
      <c r="P2075" s="738">
        <f>SUBTOTAL(9,P2076:P2129)</f>
        <v>1022</v>
      </c>
      <c r="Q2075" s="571"/>
      <c r="R2075" s="571">
        <f>SUBTOTAL(9,R2076:R2129)</f>
        <v>194302000</v>
      </c>
      <c r="S2075" s="582"/>
      <c r="T2075" s="621"/>
      <c r="U2075" s="739">
        <f>SUBTOTAL(9,U2076:U2129)</f>
        <v>798.48000000000013</v>
      </c>
      <c r="V2075" s="578"/>
      <c r="W2075" s="571"/>
      <c r="X2075" s="571">
        <f>SUBTOTAL(9,X2076:X2129)</f>
        <v>612264000</v>
      </c>
      <c r="Y2075" s="650"/>
      <c r="Z2075" s="586"/>
      <c r="AA2075" s="742"/>
      <c r="AB2075" s="586"/>
      <c r="AC2075" s="586"/>
      <c r="AD2075" s="586"/>
      <c r="AE2075" s="578"/>
      <c r="AF2075" s="712">
        <f>SUBTOTAL(9,AF2076:AF2129)</f>
        <v>1</v>
      </c>
      <c r="AG2075" s="585"/>
      <c r="AH2075" s="585">
        <f>SUBTOTAL(9,AH2076:AH2129)</f>
        <v>5000000</v>
      </c>
      <c r="AI2075" s="571">
        <f t="shared" si="462"/>
        <v>3684231000</v>
      </c>
      <c r="AJ2075" s="578"/>
      <c r="AK2075" s="578"/>
    </row>
    <row r="2076" spans="1:37" s="394" customFormat="1" ht="121.5" outlineLevel="2" x14ac:dyDescent="0.3">
      <c r="A2076" s="447">
        <f>IF(B2075&lt;&gt;0,B2075,A2074)</f>
        <v>178</v>
      </c>
      <c r="B2076" s="557"/>
      <c r="C2076" s="572" t="s">
        <v>1411</v>
      </c>
      <c r="D2076" s="700">
        <v>2</v>
      </c>
      <c r="E2076" s="612">
        <v>86</v>
      </c>
      <c r="F2076" s="612" t="s">
        <v>1408</v>
      </c>
      <c r="G2076" s="586" t="s">
        <v>2442</v>
      </c>
      <c r="H2076" s="709">
        <f>1145.4-H2080</f>
        <v>953.00000000000011</v>
      </c>
      <c r="I2076" s="546">
        <f t="shared" ref="I2076:I2081" si="467">IF(N2076&gt;0,H2076,"")</f>
        <v>953.00000000000011</v>
      </c>
      <c r="J2076" s="562"/>
      <c r="K2076" s="563">
        <f>IF(G2076&lt;&gt;0,VLOOKUP(G2076,'gia dat'!$A$1:$F$144,5,0)," ")</f>
        <v>465600</v>
      </c>
      <c r="L2076" s="563">
        <f>IF(G2076&lt;&gt;0,VLOOKUP(G2076,'gia dat'!$A$1:$F$144,6,0)," ")</f>
        <v>1396800</v>
      </c>
      <c r="M2076" s="564">
        <f t="shared" si="455"/>
        <v>443717000</v>
      </c>
      <c r="N2076" s="564">
        <f t="shared" si="456"/>
        <v>1331150000</v>
      </c>
      <c r="O2076" s="661" t="s">
        <v>1409</v>
      </c>
      <c r="P2076" s="740">
        <v>1</v>
      </c>
      <c r="Q2076" s="564">
        <f>IF(O2076&lt;&gt;0,VLOOKUP(O2076,'Cây trong'!$A$2:$C$246,3,0)," ")</f>
        <v>2400000</v>
      </c>
      <c r="R2076" s="564">
        <f t="shared" si="464"/>
        <v>2400000</v>
      </c>
      <c r="S2076" s="566" t="s">
        <v>1978</v>
      </c>
      <c r="T2076" s="609" t="s">
        <v>1133</v>
      </c>
      <c r="U2076" s="741">
        <v>2.16</v>
      </c>
      <c r="V2076" s="586"/>
      <c r="W2076" s="564">
        <f>IF(S2076&lt;&gt;0,VLOOKUP(S2076,VKT!$A$2:$G$415,7,0),"")</f>
        <v>236298</v>
      </c>
      <c r="X2076" s="564">
        <f t="shared" si="459"/>
        <v>510000</v>
      </c>
      <c r="Y2076" s="650"/>
      <c r="Z2076" s="586"/>
      <c r="AA2076" s="742"/>
      <c r="AB2076" s="586"/>
      <c r="AC2076" s="586"/>
      <c r="AD2076" s="586"/>
      <c r="AE2076" s="586" t="s">
        <v>2137</v>
      </c>
      <c r="AF2076" s="714">
        <v>1</v>
      </c>
      <c r="AG2076" s="570">
        <f>IF(AE2076&lt;&gt;0,VLOOKUP(AE2076,ODDS!$A$2:$C$13,3,0),"")</f>
        <v>5000000</v>
      </c>
      <c r="AH2076" s="570">
        <f t="shared" si="466"/>
        <v>5000000</v>
      </c>
      <c r="AI2076" s="571" t="str">
        <f t="shared" si="462"/>
        <v xml:space="preserve"> </v>
      </c>
      <c r="AJ2076" s="586" t="s">
        <v>1410</v>
      </c>
      <c r="AK2076" s="586" t="s">
        <v>2771</v>
      </c>
    </row>
    <row r="2077" spans="1:37" s="394" customFormat="1" ht="101.25" outlineLevel="2" x14ac:dyDescent="0.3">
      <c r="A2077" s="447">
        <f t="shared" ref="A2077:A2129" si="468">IF(B2076&lt;&gt;0,B2076,A2076)</f>
        <v>178</v>
      </c>
      <c r="B2077" s="557"/>
      <c r="C2077" s="572" t="s">
        <v>1629</v>
      </c>
      <c r="D2077" s="700"/>
      <c r="E2077" s="612">
        <v>86</v>
      </c>
      <c r="F2077" s="612" t="s">
        <v>1569</v>
      </c>
      <c r="G2077" s="586" t="s">
        <v>2443</v>
      </c>
      <c r="H2077" s="709">
        <v>38.5</v>
      </c>
      <c r="I2077" s="546">
        <f t="shared" si="467"/>
        <v>38.5</v>
      </c>
      <c r="J2077" s="562"/>
      <c r="K2077" s="563">
        <f>IF(G2077&lt;&gt;0,VLOOKUP(G2077,'gia dat'!$A$1:$F$144,5,0)," ")</f>
        <v>465600</v>
      </c>
      <c r="L2077" s="563">
        <f>IF(G2077&lt;&gt;0,VLOOKUP(G2077,'gia dat'!$A$1:$F$144,6,0)," ")</f>
        <v>1396800</v>
      </c>
      <c r="M2077" s="564">
        <f t="shared" si="455"/>
        <v>17926000</v>
      </c>
      <c r="N2077" s="564">
        <f t="shared" si="456"/>
        <v>53777000</v>
      </c>
      <c r="O2077" s="661" t="s">
        <v>1412</v>
      </c>
      <c r="P2077" s="740">
        <v>4</v>
      </c>
      <c r="Q2077" s="564">
        <f>IF(O2077&lt;&gt;0,VLOOKUP(O2077,'Cây trong'!$A$2:$C$246,3,0)," ")</f>
        <v>1200000</v>
      </c>
      <c r="R2077" s="564">
        <f t="shared" si="464"/>
        <v>4800000</v>
      </c>
      <c r="S2077" s="566" t="s">
        <v>1839</v>
      </c>
      <c r="T2077" s="609" t="s">
        <v>1133</v>
      </c>
      <c r="U2077" s="741">
        <v>8.6999999999999993</v>
      </c>
      <c r="V2077" s="586"/>
      <c r="W2077" s="564">
        <f>IF(S2077&lt;&gt;0,VLOOKUP(S2077,VKT!$A$2:$G$415,7,0),"")</f>
        <v>244604</v>
      </c>
      <c r="X2077" s="564">
        <f t="shared" si="459"/>
        <v>2128000</v>
      </c>
      <c r="Y2077" s="650"/>
      <c r="Z2077" s="586"/>
      <c r="AA2077" s="742"/>
      <c r="AB2077" s="586"/>
      <c r="AC2077" s="586"/>
      <c r="AD2077" s="586"/>
      <c r="AE2077" s="586"/>
      <c r="AF2077" s="714"/>
      <c r="AG2077" s="570" t="str">
        <f>IF(AE2077&lt;&gt;0,VLOOKUP(AE2077,ODDS!$A$2:$C$13,3,0),"")</f>
        <v/>
      </c>
      <c r="AH2077" s="570"/>
      <c r="AI2077" s="571" t="str">
        <f t="shared" si="462"/>
        <v xml:space="preserve"> </v>
      </c>
      <c r="AJ2077" s="586" t="s">
        <v>1566</v>
      </c>
      <c r="AK2077" s="572" t="s">
        <v>2448</v>
      </c>
    </row>
    <row r="2078" spans="1:37" s="394" customFormat="1" ht="121.5" outlineLevel="2" x14ac:dyDescent="0.3">
      <c r="A2078" s="447">
        <f t="shared" si="468"/>
        <v>178</v>
      </c>
      <c r="B2078" s="557"/>
      <c r="C2078" s="607" t="s">
        <v>1414</v>
      </c>
      <c r="D2078" s="700"/>
      <c r="E2078" s="612">
        <v>86</v>
      </c>
      <c r="F2078" s="612" t="s">
        <v>1563</v>
      </c>
      <c r="G2078" s="586" t="s">
        <v>2444</v>
      </c>
      <c r="H2078" s="709">
        <v>252.3</v>
      </c>
      <c r="I2078" s="546">
        <f t="shared" si="467"/>
        <v>252.3</v>
      </c>
      <c r="J2078" s="562"/>
      <c r="K2078" s="563">
        <f>IF(G2078&lt;&gt;0,VLOOKUP(G2078,'gia dat'!$A$1:$F$144,5,0)," ")</f>
        <v>465600</v>
      </c>
      <c r="L2078" s="563">
        <f>IF(G2078&lt;&gt;0,VLOOKUP(G2078,'gia dat'!$A$1:$F$144,6,0)," ")</f>
        <v>1396800</v>
      </c>
      <c r="M2078" s="564">
        <f t="shared" si="455"/>
        <v>117471000</v>
      </c>
      <c r="N2078" s="564">
        <f t="shared" si="456"/>
        <v>352413000</v>
      </c>
      <c r="O2078" s="661" t="s">
        <v>1413</v>
      </c>
      <c r="P2078" s="740">
        <v>4</v>
      </c>
      <c r="Q2078" s="564">
        <f>IF(O2078&lt;&gt;0,VLOOKUP(O2078,'Cây trong'!$A$2:$C$246,3,0)," ")</f>
        <v>600000</v>
      </c>
      <c r="R2078" s="564">
        <f t="shared" si="464"/>
        <v>2400000</v>
      </c>
      <c r="S2078" s="566" t="s">
        <v>1980</v>
      </c>
      <c r="T2078" s="609" t="s">
        <v>1133</v>
      </c>
      <c r="U2078" s="741">
        <v>14.4</v>
      </c>
      <c r="V2078" s="586"/>
      <c r="W2078" s="564">
        <f>IF(S2078&lt;&gt;0,VLOOKUP(S2078,VKT!$A$2:$G$415,7,0),"")</f>
        <v>684506</v>
      </c>
      <c r="X2078" s="564">
        <f t="shared" si="459"/>
        <v>9857000</v>
      </c>
      <c r="Y2078" s="650"/>
      <c r="Z2078" s="586"/>
      <c r="AA2078" s="742"/>
      <c r="AB2078" s="586"/>
      <c r="AC2078" s="586"/>
      <c r="AD2078" s="586"/>
      <c r="AE2078" s="586"/>
      <c r="AF2078" s="714"/>
      <c r="AG2078" s="570" t="str">
        <f>IF(AE2078&lt;&gt;0,VLOOKUP(AE2078,ODDS!$A$2:$C$13,3,0),"")</f>
        <v/>
      </c>
      <c r="AH2078" s="570" t="str">
        <f t="shared" si="466"/>
        <v xml:space="preserve"> </v>
      </c>
      <c r="AI2078" s="571" t="str">
        <f t="shared" si="462"/>
        <v xml:space="preserve"> </v>
      </c>
      <c r="AJ2078" s="586" t="s">
        <v>1416</v>
      </c>
      <c r="AK2078" s="558" t="s">
        <v>2450</v>
      </c>
    </row>
    <row r="2079" spans="1:37" s="394" customFormat="1" ht="101.25" outlineLevel="2" x14ac:dyDescent="0.3">
      <c r="A2079" s="447">
        <f t="shared" si="468"/>
        <v>178</v>
      </c>
      <c r="B2079" s="557"/>
      <c r="C2079" s="572" t="s">
        <v>1417</v>
      </c>
      <c r="D2079" s="700"/>
      <c r="E2079" s="612">
        <v>86</v>
      </c>
      <c r="F2079" s="612" t="s">
        <v>1565</v>
      </c>
      <c r="G2079" s="586" t="s">
        <v>2445</v>
      </c>
      <c r="H2079" s="709">
        <v>170.4</v>
      </c>
      <c r="I2079" s="546">
        <f t="shared" si="467"/>
        <v>170.4</v>
      </c>
      <c r="J2079" s="558"/>
      <c r="K2079" s="563">
        <f>IF(G2079&lt;&gt;0,VLOOKUP(G2079,'gia dat'!$A$1:$F$144,5,0)," ")</f>
        <v>376800</v>
      </c>
      <c r="L2079" s="563">
        <f>IF(G2079&lt;&gt;0,VLOOKUP(G2079,'gia dat'!$A$1:$F$144,6,0)," ")</f>
        <v>1130400</v>
      </c>
      <c r="M2079" s="564">
        <f t="shared" si="455"/>
        <v>64207000</v>
      </c>
      <c r="N2079" s="564">
        <f t="shared" si="456"/>
        <v>192620000</v>
      </c>
      <c r="O2079" s="661" t="s">
        <v>1415</v>
      </c>
      <c r="P2079" s="740">
        <v>1</v>
      </c>
      <c r="Q2079" s="564">
        <f>IF(O2079&lt;&gt;0,VLOOKUP(O2079,'Cây trong'!$A$2:$C$246,3,0)," ")</f>
        <v>180000</v>
      </c>
      <c r="R2079" s="564">
        <f t="shared" si="464"/>
        <v>180000</v>
      </c>
      <c r="S2079" s="566" t="s">
        <v>1838</v>
      </c>
      <c r="T2079" s="609" t="s">
        <v>1133</v>
      </c>
      <c r="U2079" s="741">
        <v>55.52</v>
      </c>
      <c r="V2079" s="586"/>
      <c r="W2079" s="564">
        <f>IF(S2079&lt;&gt;0,VLOOKUP(S2079,VKT!$A$2:$G$415,7,0),"")</f>
        <v>3156089</v>
      </c>
      <c r="X2079" s="564">
        <f t="shared" si="459"/>
        <v>175226000</v>
      </c>
      <c r="Y2079" s="661" t="s">
        <v>1138</v>
      </c>
      <c r="Z2079" s="683" t="s">
        <v>1139</v>
      </c>
      <c r="AA2079" s="683" t="s">
        <v>56</v>
      </c>
      <c r="AB2079" s="694" t="s">
        <v>269</v>
      </c>
      <c r="AC2079" s="683" t="s">
        <v>1138</v>
      </c>
      <c r="AD2079" s="586"/>
      <c r="AE2079" s="586"/>
      <c r="AF2079" s="714"/>
      <c r="AG2079" s="570" t="str">
        <f>IF(AE2079&lt;&gt;0,VLOOKUP(AE2079,ODDS!$A$2:$C$13,3,0),"")</f>
        <v/>
      </c>
      <c r="AH2079" s="570" t="str">
        <f t="shared" si="466"/>
        <v xml:space="preserve"> </v>
      </c>
      <c r="AI2079" s="571" t="str">
        <f t="shared" si="462"/>
        <v xml:space="preserve"> </v>
      </c>
      <c r="AJ2079" s="586" t="s">
        <v>1567</v>
      </c>
      <c r="AK2079" s="558" t="s">
        <v>2449</v>
      </c>
    </row>
    <row r="2080" spans="1:37" s="394" customFormat="1" ht="141.75" outlineLevel="2" x14ac:dyDescent="0.3">
      <c r="A2080" s="447">
        <f t="shared" si="468"/>
        <v>178</v>
      </c>
      <c r="B2080" s="557"/>
      <c r="C2080" s="572" t="s">
        <v>1630</v>
      </c>
      <c r="D2080" s="700"/>
      <c r="E2080" s="612"/>
      <c r="F2080" s="612"/>
      <c r="G2080" s="586" t="s">
        <v>2459</v>
      </c>
      <c r="H2080" s="709">
        <v>192.4</v>
      </c>
      <c r="I2080" s="546" t="str">
        <f t="shared" si="467"/>
        <v/>
      </c>
      <c r="J2080" s="558"/>
      <c r="K2080" s="563">
        <f>IF(G2080&lt;&gt;0,VLOOKUP(G2080,'gia dat'!$A$1:$F$144,5,0)," ")</f>
        <v>465600</v>
      </c>
      <c r="L2080" s="563">
        <f>IF(G2080&lt;&gt;0,VLOOKUP(G2080,'gia dat'!$A$1:$F$144,6,0)," ")</f>
        <v>0</v>
      </c>
      <c r="M2080" s="564">
        <f t="shared" si="455"/>
        <v>89581000</v>
      </c>
      <c r="N2080" s="564">
        <f t="shared" si="456"/>
        <v>0</v>
      </c>
      <c r="O2080" s="572" t="s">
        <v>1418</v>
      </c>
      <c r="P2080" s="740">
        <v>1</v>
      </c>
      <c r="Q2080" s="564">
        <f>IF(O2080&lt;&gt;0,VLOOKUP(O2080,'Cây trong'!$A$2:$C$246,3,0)," ")</f>
        <v>1950000</v>
      </c>
      <c r="R2080" s="564">
        <f t="shared" si="464"/>
        <v>1950000</v>
      </c>
      <c r="S2080" s="566" t="s">
        <v>1981</v>
      </c>
      <c r="T2080" s="609" t="s">
        <v>1133</v>
      </c>
      <c r="U2080" s="741">
        <v>2.8</v>
      </c>
      <c r="V2080" s="586"/>
      <c r="W2080" s="564">
        <f>IF(S2080&lt;&gt;0,VLOOKUP(S2080,VKT!$A$2:$G$415,7,0),"")</f>
        <v>8308812</v>
      </c>
      <c r="X2080" s="564">
        <f t="shared" si="459"/>
        <v>23265000</v>
      </c>
      <c r="Y2080" s="650"/>
      <c r="Z2080" s="586"/>
      <c r="AA2080" s="742"/>
      <c r="AB2080" s="586"/>
      <c r="AC2080" s="586"/>
      <c r="AD2080" s="586"/>
      <c r="AE2080" s="586"/>
      <c r="AF2080" s="714"/>
      <c r="AG2080" s="570" t="str">
        <f>IF(AE2080&lt;&gt;0,VLOOKUP(AE2080,ODDS!$A$2:$C$13,3,0),"")</f>
        <v/>
      </c>
      <c r="AH2080" s="570" t="str">
        <f t="shared" si="466"/>
        <v xml:space="preserve"> </v>
      </c>
      <c r="AI2080" s="571" t="str">
        <f t="shared" si="462"/>
        <v xml:space="preserve"> </v>
      </c>
      <c r="AJ2080" s="586" t="s">
        <v>1568</v>
      </c>
      <c r="AK2080" s="572" t="s">
        <v>2447</v>
      </c>
    </row>
    <row r="2081" spans="1:37" s="394" customFormat="1" ht="101.25" outlineLevel="2" x14ac:dyDescent="0.3">
      <c r="A2081" s="447">
        <f t="shared" si="468"/>
        <v>178</v>
      </c>
      <c r="B2081" s="557"/>
      <c r="C2081" s="572"/>
      <c r="D2081" s="700"/>
      <c r="E2081" s="612">
        <v>86</v>
      </c>
      <c r="F2081" s="612" t="s">
        <v>1408</v>
      </c>
      <c r="G2081" s="586" t="s">
        <v>2493</v>
      </c>
      <c r="H2081" s="709">
        <v>139.19999999999999</v>
      </c>
      <c r="I2081" s="546">
        <f t="shared" si="467"/>
        <v>139.19999999999999</v>
      </c>
      <c r="J2081" s="558"/>
      <c r="K2081" s="563">
        <f>IF(G2081&lt;&gt;0,VLOOKUP(G2081,'gia dat'!$A$1:$F$144,5,0)," ")</f>
        <v>376800</v>
      </c>
      <c r="L2081" s="563">
        <f>IF(G2081&lt;&gt;0,VLOOKUP(G2081,'gia dat'!$A$1:$F$144,6,0)," ")</f>
        <v>1130400</v>
      </c>
      <c r="M2081" s="564">
        <f t="shared" si="455"/>
        <v>52451000</v>
      </c>
      <c r="N2081" s="564">
        <f t="shared" si="456"/>
        <v>157352000</v>
      </c>
      <c r="O2081" s="572" t="s">
        <v>1419</v>
      </c>
      <c r="P2081" s="740">
        <v>1</v>
      </c>
      <c r="Q2081" s="564">
        <f>IF(O2081&lt;&gt;0,VLOOKUP(O2081,'Cây trong'!$A$2:$C$246,3,0)," ")</f>
        <v>4000</v>
      </c>
      <c r="R2081" s="564">
        <f t="shared" si="464"/>
        <v>4000</v>
      </c>
      <c r="S2081" s="572" t="s">
        <v>1938</v>
      </c>
      <c r="T2081" s="609" t="s">
        <v>1133</v>
      </c>
      <c r="U2081" s="741">
        <v>13.32</v>
      </c>
      <c r="V2081" s="586"/>
      <c r="W2081" s="564">
        <f>IF(S2081&lt;&gt;0,VLOOKUP(S2081,VKT!$A$2:$G$415,7,0),"")</f>
        <v>0</v>
      </c>
      <c r="X2081" s="564">
        <f t="shared" si="459"/>
        <v>0</v>
      </c>
      <c r="Y2081" s="650"/>
      <c r="Z2081" s="586"/>
      <c r="AA2081" s="742"/>
      <c r="AB2081" s="586"/>
      <c r="AC2081" s="586"/>
      <c r="AD2081" s="586"/>
      <c r="AE2081" s="586"/>
      <c r="AF2081" s="714"/>
      <c r="AG2081" s="570" t="str">
        <f>IF(AE2081&lt;&gt;0,VLOOKUP(AE2081,ODDS!$A$2:$C$13,3,0),"")</f>
        <v/>
      </c>
      <c r="AH2081" s="570" t="str">
        <f t="shared" si="466"/>
        <v xml:space="preserve"> </v>
      </c>
      <c r="AI2081" s="571" t="str">
        <f t="shared" si="462"/>
        <v xml:space="preserve"> </v>
      </c>
      <c r="AJ2081" s="558" t="s">
        <v>2074</v>
      </c>
      <c r="AK2081" s="558" t="s">
        <v>2800</v>
      </c>
    </row>
    <row r="2082" spans="1:37" s="394" customFormat="1" ht="81" outlineLevel="2" x14ac:dyDescent="0.3">
      <c r="A2082" s="447">
        <f t="shared" si="468"/>
        <v>178</v>
      </c>
      <c r="B2082" s="557"/>
      <c r="C2082" s="572"/>
      <c r="D2082" s="700"/>
      <c r="E2082" s="612"/>
      <c r="F2082" s="612"/>
      <c r="G2082" s="586"/>
      <c r="H2082" s="709"/>
      <c r="I2082" s="546"/>
      <c r="J2082" s="558"/>
      <c r="K2082" s="563" t="str">
        <f>IF(G2082&lt;&gt;0,VLOOKUP(G2082,'gia dat'!$A$1:$F$144,5,0)," ")</f>
        <v xml:space="preserve"> </v>
      </c>
      <c r="L2082" s="563" t="str">
        <f>IF(G2082&lt;&gt;0,VLOOKUP(G2082,'gia dat'!$A$1:$F$144,6,0)," ")</f>
        <v xml:space="preserve"> </v>
      </c>
      <c r="M2082" s="564" t="str">
        <f t="shared" si="455"/>
        <v xml:space="preserve"> </v>
      </c>
      <c r="N2082" s="564" t="str">
        <f t="shared" si="456"/>
        <v xml:space="preserve"> </v>
      </c>
      <c r="O2082" s="565" t="s">
        <v>429</v>
      </c>
      <c r="P2082" s="740">
        <v>22</v>
      </c>
      <c r="Q2082" s="564">
        <f>IF(O2082&lt;&gt;0,VLOOKUP(O2082,'Cây trong'!$A$2:$C$246,3,0)," ")</f>
        <v>12000</v>
      </c>
      <c r="R2082" s="564">
        <f t="shared" si="464"/>
        <v>264000</v>
      </c>
      <c r="S2082" s="566" t="s">
        <v>1980</v>
      </c>
      <c r="T2082" s="609" t="s">
        <v>1133</v>
      </c>
      <c r="U2082" s="741">
        <v>76.400000000000006</v>
      </c>
      <c r="V2082" s="586"/>
      <c r="W2082" s="564">
        <f>IF(S2082&lt;&gt;0,VLOOKUP(S2082,VKT!$A$2:$G$415,7,0),"")</f>
        <v>684506</v>
      </c>
      <c r="X2082" s="564">
        <f t="shared" si="459"/>
        <v>52296000</v>
      </c>
      <c r="Y2082" s="650"/>
      <c r="Z2082" s="586"/>
      <c r="AA2082" s="742"/>
      <c r="AB2082" s="586"/>
      <c r="AC2082" s="586"/>
      <c r="AD2082" s="586"/>
      <c r="AE2082" s="586"/>
      <c r="AF2082" s="714"/>
      <c r="AG2082" s="570" t="str">
        <f>IF(AE2082&lt;&gt;0,VLOOKUP(AE2082,ODDS!$A$2:$C$13,3,0),"")</f>
        <v/>
      </c>
      <c r="AH2082" s="570" t="str">
        <f t="shared" si="466"/>
        <v xml:space="preserve"> </v>
      </c>
      <c r="AI2082" s="571" t="str">
        <f t="shared" si="462"/>
        <v xml:space="preserve"> </v>
      </c>
      <c r="AJ2082" s="731"/>
      <c r="AK2082" s="558"/>
    </row>
    <row r="2083" spans="1:37" s="394" customFormat="1" ht="40.5" outlineLevel="2" x14ac:dyDescent="0.3">
      <c r="A2083" s="447">
        <f t="shared" si="468"/>
        <v>178</v>
      </c>
      <c r="B2083" s="557"/>
      <c r="C2083" s="572"/>
      <c r="D2083" s="700"/>
      <c r="E2083" s="612"/>
      <c r="F2083" s="612"/>
      <c r="G2083" s="586"/>
      <c r="H2083" s="709"/>
      <c r="I2083" s="546"/>
      <c r="J2083" s="558"/>
      <c r="K2083" s="563" t="str">
        <f>IF(G2083&lt;&gt;0,VLOOKUP(G2083,'gia dat'!$A$1:$F$144,5,0)," ")</f>
        <v xml:space="preserve"> </v>
      </c>
      <c r="L2083" s="563" t="str">
        <f>IF(G2083&lt;&gt;0,VLOOKUP(G2083,'gia dat'!$A$1:$F$144,6,0)," ")</f>
        <v xml:space="preserve"> </v>
      </c>
      <c r="M2083" s="564" t="str">
        <f t="shared" si="455"/>
        <v xml:space="preserve"> </v>
      </c>
      <c r="N2083" s="564" t="str">
        <f t="shared" si="456"/>
        <v xml:space="preserve"> </v>
      </c>
      <c r="O2083" s="572" t="s">
        <v>145</v>
      </c>
      <c r="P2083" s="740">
        <v>6</v>
      </c>
      <c r="Q2083" s="564">
        <f>IF(O2083&lt;&gt;0,VLOOKUP(O2083,'Cây trong'!$A$2:$C$246,3,0)," ")</f>
        <v>4240000</v>
      </c>
      <c r="R2083" s="564">
        <f t="shared" si="464"/>
        <v>25440000</v>
      </c>
      <c r="S2083" s="566" t="s">
        <v>1838</v>
      </c>
      <c r="T2083" s="609" t="s">
        <v>1133</v>
      </c>
      <c r="U2083" s="741">
        <v>15.12</v>
      </c>
      <c r="V2083" s="586"/>
      <c r="W2083" s="564">
        <f>IF(S2083&lt;&gt;0,VLOOKUP(S2083,VKT!$A$2:$G$415,7,0),"")</f>
        <v>3156089</v>
      </c>
      <c r="X2083" s="564">
        <f t="shared" si="459"/>
        <v>47720000</v>
      </c>
      <c r="Y2083" s="650"/>
      <c r="Z2083" s="586"/>
      <c r="AA2083" s="742"/>
      <c r="AB2083" s="586"/>
      <c r="AC2083" s="586"/>
      <c r="AD2083" s="586"/>
      <c r="AE2083" s="586"/>
      <c r="AF2083" s="714"/>
      <c r="AG2083" s="570" t="str">
        <f>IF(AE2083&lt;&gt;0,VLOOKUP(AE2083,ODDS!$A$2:$C$13,3,0),"")</f>
        <v/>
      </c>
      <c r="AH2083" s="570" t="str">
        <f t="shared" si="466"/>
        <v xml:space="preserve"> </v>
      </c>
      <c r="AI2083" s="571" t="str">
        <f t="shared" si="462"/>
        <v xml:space="preserve"> </v>
      </c>
      <c r="AJ2083" s="558"/>
      <c r="AK2083" s="558"/>
    </row>
    <row r="2084" spans="1:37" s="394" customFormat="1" ht="81" outlineLevel="2" x14ac:dyDescent="0.3">
      <c r="A2084" s="447">
        <f t="shared" si="468"/>
        <v>178</v>
      </c>
      <c r="B2084" s="557"/>
      <c r="C2084" s="572"/>
      <c r="D2084" s="700"/>
      <c r="E2084" s="612"/>
      <c r="F2084" s="612"/>
      <c r="G2084" s="586"/>
      <c r="H2084" s="709"/>
      <c r="I2084" s="546"/>
      <c r="J2084" s="558"/>
      <c r="K2084" s="563" t="str">
        <f>IF(G2084&lt;&gt;0,VLOOKUP(G2084,'gia dat'!$A$1:$F$144,5,0)," ")</f>
        <v xml:space="preserve"> </v>
      </c>
      <c r="L2084" s="563" t="str">
        <f>IF(G2084&lt;&gt;0,VLOOKUP(G2084,'gia dat'!$A$1:$F$144,6,0)," ")</f>
        <v xml:space="preserve"> </v>
      </c>
      <c r="M2084" s="564" t="str">
        <f t="shared" si="455"/>
        <v xml:space="preserve"> </v>
      </c>
      <c r="N2084" s="564" t="str">
        <f t="shared" si="456"/>
        <v xml:space="preserve"> </v>
      </c>
      <c r="O2084" s="572" t="s">
        <v>80</v>
      </c>
      <c r="P2084" s="740">
        <v>1</v>
      </c>
      <c r="Q2084" s="564">
        <f>IF(O2084&lt;&gt;0,VLOOKUP(O2084,'Cây trong'!$A$2:$C$246,3,0)," ")</f>
        <v>400000</v>
      </c>
      <c r="R2084" s="564">
        <f t="shared" si="464"/>
        <v>400000</v>
      </c>
      <c r="S2084" s="572" t="s">
        <v>1980</v>
      </c>
      <c r="T2084" s="609" t="s">
        <v>1133</v>
      </c>
      <c r="U2084" s="741">
        <v>152</v>
      </c>
      <c r="V2084" s="586"/>
      <c r="W2084" s="564">
        <f>IF(S2084&lt;&gt;0,VLOOKUP(S2084,VKT!$A$2:$G$415,7,0),"")</f>
        <v>684506</v>
      </c>
      <c r="X2084" s="564">
        <f t="shared" si="459"/>
        <v>104045000</v>
      </c>
      <c r="Y2084" s="650"/>
      <c r="Z2084" s="586"/>
      <c r="AA2084" s="742"/>
      <c r="AB2084" s="586"/>
      <c r="AC2084" s="586"/>
      <c r="AD2084" s="586"/>
      <c r="AE2084" s="586"/>
      <c r="AF2084" s="714"/>
      <c r="AG2084" s="570" t="str">
        <f>IF(AE2084&lt;&gt;0,VLOOKUP(AE2084,ODDS!$A$2:$C$13,3,0),"")</f>
        <v/>
      </c>
      <c r="AH2084" s="570" t="str">
        <f t="shared" si="466"/>
        <v xml:space="preserve"> </v>
      </c>
      <c r="AI2084" s="571" t="str">
        <f t="shared" si="462"/>
        <v xml:space="preserve"> </v>
      </c>
      <c r="AJ2084" s="558"/>
      <c r="AK2084" s="558"/>
    </row>
    <row r="2085" spans="1:37" s="394" customFormat="1" ht="101.25" outlineLevel="2" x14ac:dyDescent="0.3">
      <c r="A2085" s="447">
        <f t="shared" si="468"/>
        <v>178</v>
      </c>
      <c r="B2085" s="557"/>
      <c r="C2085" s="572"/>
      <c r="D2085" s="700"/>
      <c r="E2085" s="612"/>
      <c r="F2085" s="612"/>
      <c r="G2085" s="586"/>
      <c r="H2085" s="709"/>
      <c r="I2085" s="546"/>
      <c r="J2085" s="558"/>
      <c r="K2085" s="563" t="str">
        <f>IF(G2085&lt;&gt;0,VLOOKUP(G2085,'gia dat'!$A$1:$F$144,5,0)," ")</f>
        <v xml:space="preserve"> </v>
      </c>
      <c r="L2085" s="563" t="str">
        <f>IF(G2085&lt;&gt;0,VLOOKUP(G2085,'gia dat'!$A$1:$F$144,6,0)," ")</f>
        <v xml:space="preserve"> </v>
      </c>
      <c r="M2085" s="564" t="str">
        <f t="shared" si="455"/>
        <v xml:space="preserve"> </v>
      </c>
      <c r="N2085" s="564" t="str">
        <f t="shared" si="456"/>
        <v xml:space="preserve"> </v>
      </c>
      <c r="O2085" s="572" t="s">
        <v>61</v>
      </c>
      <c r="P2085" s="740">
        <v>25</v>
      </c>
      <c r="Q2085" s="564">
        <f>IF(O2085&lt;&gt;0,VLOOKUP(O2085,'Cây trong'!$A$2:$C$246,3,0)," ")</f>
        <v>1708000</v>
      </c>
      <c r="R2085" s="564">
        <f t="shared" si="464"/>
        <v>42700000</v>
      </c>
      <c r="S2085" s="572" t="s">
        <v>1981</v>
      </c>
      <c r="T2085" s="609" t="s">
        <v>1133</v>
      </c>
      <c r="U2085" s="741">
        <v>4</v>
      </c>
      <c r="V2085" s="586"/>
      <c r="W2085" s="564">
        <f>IF(S2085&lt;&gt;0,VLOOKUP(S2085,VKT!$A$2:$G$415,7,0),"")</f>
        <v>8308812</v>
      </c>
      <c r="X2085" s="564">
        <f t="shared" si="459"/>
        <v>33235000</v>
      </c>
      <c r="Y2085" s="650"/>
      <c r="Z2085" s="586"/>
      <c r="AA2085" s="742"/>
      <c r="AB2085" s="586"/>
      <c r="AC2085" s="586"/>
      <c r="AD2085" s="586"/>
      <c r="AE2085" s="586"/>
      <c r="AF2085" s="714"/>
      <c r="AG2085" s="570" t="str">
        <f>IF(AE2085&lt;&gt;0,VLOOKUP(AE2085,ODDS!$A$2:$C$13,3,0),"")</f>
        <v/>
      </c>
      <c r="AH2085" s="570" t="str">
        <f t="shared" si="466"/>
        <v xml:space="preserve"> </v>
      </c>
      <c r="AI2085" s="571" t="str">
        <f t="shared" si="462"/>
        <v xml:space="preserve"> </v>
      </c>
      <c r="AJ2085" s="558"/>
      <c r="AK2085" s="558"/>
    </row>
    <row r="2086" spans="1:37" s="394" customFormat="1" ht="60.75" outlineLevel="2" x14ac:dyDescent="0.3">
      <c r="A2086" s="447">
        <f t="shared" si="468"/>
        <v>178</v>
      </c>
      <c r="B2086" s="557"/>
      <c r="C2086" s="572"/>
      <c r="D2086" s="700"/>
      <c r="E2086" s="612"/>
      <c r="F2086" s="612"/>
      <c r="G2086" s="586"/>
      <c r="H2086" s="709"/>
      <c r="I2086" s="546"/>
      <c r="J2086" s="558"/>
      <c r="K2086" s="563" t="str">
        <f>IF(G2086&lt;&gt;0,VLOOKUP(G2086,'gia dat'!$A$1:$F$144,5,0)," ")</f>
        <v xml:space="preserve"> </v>
      </c>
      <c r="L2086" s="563" t="str">
        <f>IF(G2086&lt;&gt;0,VLOOKUP(G2086,'gia dat'!$A$1:$F$144,6,0)," ")</f>
        <v xml:space="preserve"> </v>
      </c>
      <c r="M2086" s="564" t="str">
        <f t="shared" si="455"/>
        <v xml:space="preserve"> </v>
      </c>
      <c r="N2086" s="564" t="str">
        <f t="shared" si="456"/>
        <v xml:space="preserve"> </v>
      </c>
      <c r="O2086" s="572" t="s">
        <v>64</v>
      </c>
      <c r="P2086" s="740">
        <v>18</v>
      </c>
      <c r="Q2086" s="564">
        <f>IF(O2086&lt;&gt;0,VLOOKUP(O2086,'Cây trong'!$A$2:$C$246,3,0)," ")</f>
        <v>1122000</v>
      </c>
      <c r="R2086" s="564">
        <f t="shared" si="464"/>
        <v>20196000</v>
      </c>
      <c r="S2086" s="572" t="s">
        <v>1938</v>
      </c>
      <c r="T2086" s="609" t="s">
        <v>1133</v>
      </c>
      <c r="U2086" s="741">
        <v>15.120000000000001</v>
      </c>
      <c r="V2086" s="586"/>
      <c r="W2086" s="564">
        <f>IF(S2086&lt;&gt;0,VLOOKUP(S2086,VKT!$A$2:$G$415,7,0),"")</f>
        <v>0</v>
      </c>
      <c r="X2086" s="564">
        <f t="shared" si="459"/>
        <v>0</v>
      </c>
      <c r="Y2086" s="650"/>
      <c r="Z2086" s="586"/>
      <c r="AA2086" s="742"/>
      <c r="AB2086" s="586"/>
      <c r="AC2086" s="586"/>
      <c r="AD2086" s="586"/>
      <c r="AE2086" s="586"/>
      <c r="AF2086" s="714"/>
      <c r="AG2086" s="570" t="str">
        <f>IF(AE2086&lt;&gt;0,VLOOKUP(AE2086,ODDS!$A$2:$C$13,3,0),"")</f>
        <v/>
      </c>
      <c r="AH2086" s="570" t="str">
        <f t="shared" si="466"/>
        <v xml:space="preserve"> </v>
      </c>
      <c r="AI2086" s="571" t="str">
        <f t="shared" si="462"/>
        <v xml:space="preserve"> </v>
      </c>
      <c r="AJ2086" s="558"/>
      <c r="AK2086" s="558"/>
    </row>
    <row r="2087" spans="1:37" s="394" customFormat="1" ht="81" outlineLevel="2" x14ac:dyDescent="0.3">
      <c r="A2087" s="447">
        <f t="shared" si="468"/>
        <v>178</v>
      </c>
      <c r="B2087" s="557"/>
      <c r="C2087" s="572"/>
      <c r="D2087" s="700"/>
      <c r="E2087" s="612"/>
      <c r="F2087" s="612"/>
      <c r="G2087" s="586"/>
      <c r="H2087" s="709"/>
      <c r="I2087" s="546"/>
      <c r="J2087" s="558"/>
      <c r="K2087" s="563" t="str">
        <f>IF(G2087&lt;&gt;0,VLOOKUP(G2087,'gia dat'!$A$1:$F$144,5,0)," ")</f>
        <v xml:space="preserve"> </v>
      </c>
      <c r="L2087" s="563" t="str">
        <f>IF(G2087&lt;&gt;0,VLOOKUP(G2087,'gia dat'!$A$1:$F$144,6,0)," ")</f>
        <v xml:space="preserve"> </v>
      </c>
      <c r="M2087" s="564" t="str">
        <f t="shared" si="455"/>
        <v xml:space="preserve"> </v>
      </c>
      <c r="N2087" s="564" t="str">
        <f t="shared" si="456"/>
        <v xml:space="preserve"> </v>
      </c>
      <c r="O2087" s="572" t="s">
        <v>67</v>
      </c>
      <c r="P2087" s="740">
        <v>25</v>
      </c>
      <c r="Q2087" s="564">
        <f>IF(O2087&lt;&gt;0,VLOOKUP(O2087,'Cây trong'!$A$2:$C$246,3,0)," ")</f>
        <v>494000</v>
      </c>
      <c r="R2087" s="564">
        <f t="shared" si="464"/>
        <v>12350000</v>
      </c>
      <c r="S2087" s="572" t="s">
        <v>1978</v>
      </c>
      <c r="T2087" s="609" t="s">
        <v>1133</v>
      </c>
      <c r="U2087" s="741">
        <v>81.900000000000006</v>
      </c>
      <c r="V2087" s="586">
        <v>6.4</v>
      </c>
      <c r="W2087" s="564">
        <f>IF(S2087&lt;&gt;0,VLOOKUP(S2087,VKT!$A$2:$G$415,7,0),"")</f>
        <v>236298</v>
      </c>
      <c r="X2087" s="564">
        <f t="shared" si="459"/>
        <v>19353000</v>
      </c>
      <c r="Y2087" s="650"/>
      <c r="Z2087" s="586"/>
      <c r="AA2087" s="742"/>
      <c r="AB2087" s="586"/>
      <c r="AC2087" s="586"/>
      <c r="AD2087" s="586"/>
      <c r="AE2087" s="586"/>
      <c r="AF2087" s="714"/>
      <c r="AG2087" s="570" t="str">
        <f>IF(AE2087&lt;&gt;0,VLOOKUP(AE2087,ODDS!$A$2:$C$13,3,0),"")</f>
        <v/>
      </c>
      <c r="AH2087" s="570" t="str">
        <f t="shared" si="466"/>
        <v xml:space="preserve"> </v>
      </c>
      <c r="AI2087" s="571" t="str">
        <f t="shared" si="462"/>
        <v xml:space="preserve"> </v>
      </c>
      <c r="AJ2087" s="558"/>
      <c r="AK2087" s="558"/>
    </row>
    <row r="2088" spans="1:37" s="394" customFormat="1" ht="81" outlineLevel="2" x14ac:dyDescent="0.3">
      <c r="A2088" s="447">
        <f t="shared" si="468"/>
        <v>178</v>
      </c>
      <c r="B2088" s="557"/>
      <c r="C2088" s="572"/>
      <c r="D2088" s="700"/>
      <c r="E2088" s="612"/>
      <c r="F2088" s="612"/>
      <c r="G2088" s="586"/>
      <c r="H2088" s="709"/>
      <c r="I2088" s="546"/>
      <c r="J2088" s="558"/>
      <c r="K2088" s="563" t="str">
        <f>IF(G2088&lt;&gt;0,VLOOKUP(G2088,'gia dat'!$A$1:$F$144,5,0)," ")</f>
        <v xml:space="preserve"> </v>
      </c>
      <c r="L2088" s="563" t="str">
        <f>IF(G2088&lt;&gt;0,VLOOKUP(G2088,'gia dat'!$A$1:$F$144,6,0)," ")</f>
        <v xml:space="preserve"> </v>
      </c>
      <c r="M2088" s="564" t="str">
        <f t="shared" si="455"/>
        <v xml:space="preserve"> </v>
      </c>
      <c r="N2088" s="564" t="str">
        <f t="shared" si="456"/>
        <v xml:space="preserve"> </v>
      </c>
      <c r="O2088" s="572" t="s">
        <v>69</v>
      </c>
      <c r="P2088" s="740">
        <v>15</v>
      </c>
      <c r="Q2088" s="564">
        <f>IF(O2088&lt;&gt;0,VLOOKUP(O2088,'Cây trong'!$A$2:$C$246,3,0)," ")</f>
        <v>211000</v>
      </c>
      <c r="R2088" s="564">
        <f t="shared" si="464"/>
        <v>3165000</v>
      </c>
      <c r="S2088" s="566" t="s">
        <v>1982</v>
      </c>
      <c r="T2088" s="609" t="s">
        <v>1420</v>
      </c>
      <c r="U2088" s="741">
        <v>1</v>
      </c>
      <c r="V2088" s="586"/>
      <c r="W2088" s="564">
        <f>IF(S2088&lt;&gt;0,VLOOKUP(S2088,VKT!$A$2:$G$415,7,0),"")</f>
        <v>0</v>
      </c>
      <c r="X2088" s="564">
        <f t="shared" si="459"/>
        <v>0</v>
      </c>
      <c r="Y2088" s="650"/>
      <c r="Z2088" s="586"/>
      <c r="AA2088" s="742"/>
      <c r="AB2088" s="586"/>
      <c r="AC2088" s="586"/>
      <c r="AD2088" s="586"/>
      <c r="AE2088" s="586"/>
      <c r="AF2088" s="714"/>
      <c r="AG2088" s="570" t="str">
        <f>IF(AE2088&lt;&gt;0,VLOOKUP(AE2088,ODDS!$A$2:$C$13,3,0),"")</f>
        <v/>
      </c>
      <c r="AH2088" s="570" t="str">
        <f t="shared" si="466"/>
        <v xml:space="preserve"> </v>
      </c>
      <c r="AI2088" s="571" t="str">
        <f t="shared" si="462"/>
        <v xml:space="preserve"> </v>
      </c>
      <c r="AJ2088" s="558"/>
      <c r="AK2088" s="558"/>
    </row>
    <row r="2089" spans="1:37" s="394" customFormat="1" ht="40.5" outlineLevel="2" x14ac:dyDescent="0.3">
      <c r="A2089" s="447">
        <f t="shared" si="468"/>
        <v>178</v>
      </c>
      <c r="B2089" s="557"/>
      <c r="C2089" s="572"/>
      <c r="D2089" s="700"/>
      <c r="E2089" s="612"/>
      <c r="F2089" s="612"/>
      <c r="G2089" s="586"/>
      <c r="H2089" s="709"/>
      <c r="I2089" s="546"/>
      <c r="J2089" s="558"/>
      <c r="K2089" s="563" t="str">
        <f>IF(G2089&lt;&gt;0,VLOOKUP(G2089,'gia dat'!$A$1:$F$144,5,0)," ")</f>
        <v xml:space="preserve"> </v>
      </c>
      <c r="L2089" s="563" t="str">
        <f>IF(G2089&lt;&gt;0,VLOOKUP(G2089,'gia dat'!$A$1:$F$144,6,0)," ")</f>
        <v xml:space="preserve"> </v>
      </c>
      <c r="M2089" s="564" t="str">
        <f t="shared" si="455"/>
        <v xml:space="preserve"> </v>
      </c>
      <c r="N2089" s="564" t="str">
        <f t="shared" si="456"/>
        <v xml:space="preserve"> </v>
      </c>
      <c r="O2089" s="572" t="s">
        <v>76</v>
      </c>
      <c r="P2089" s="740">
        <v>29</v>
      </c>
      <c r="Q2089" s="564">
        <f>IF(O2089&lt;&gt;0,VLOOKUP(O2089,'Cây trong'!$A$2:$C$246,3,0)," ")</f>
        <v>45000</v>
      </c>
      <c r="R2089" s="564">
        <f t="shared" si="464"/>
        <v>1305000</v>
      </c>
      <c r="S2089" s="572" t="s">
        <v>1839</v>
      </c>
      <c r="T2089" s="609" t="s">
        <v>1133</v>
      </c>
      <c r="U2089" s="741">
        <v>12.48</v>
      </c>
      <c r="V2089" s="586"/>
      <c r="W2089" s="564">
        <f>IF(S2089&lt;&gt;0,VLOOKUP(S2089,VKT!$A$2:$G$415,7,0),"")</f>
        <v>244604</v>
      </c>
      <c r="X2089" s="564">
        <f t="shared" si="459"/>
        <v>3053000</v>
      </c>
      <c r="Y2089" s="650"/>
      <c r="Z2089" s="586"/>
      <c r="AA2089" s="742"/>
      <c r="AB2089" s="586"/>
      <c r="AC2089" s="586"/>
      <c r="AD2089" s="586"/>
      <c r="AE2089" s="586"/>
      <c r="AF2089" s="714"/>
      <c r="AG2089" s="570" t="str">
        <f>IF(AE2089&lt;&gt;0,VLOOKUP(AE2089,ODDS!$A$2:$C$13,3,0),"")</f>
        <v/>
      </c>
      <c r="AH2089" s="570" t="str">
        <f t="shared" si="466"/>
        <v xml:space="preserve"> </v>
      </c>
      <c r="AI2089" s="571" t="str">
        <f t="shared" si="462"/>
        <v xml:space="preserve"> </v>
      </c>
      <c r="AJ2089" s="558"/>
      <c r="AK2089" s="558"/>
    </row>
    <row r="2090" spans="1:37" s="394" customFormat="1" ht="81" outlineLevel="2" x14ac:dyDescent="0.3">
      <c r="A2090" s="447">
        <f t="shared" si="468"/>
        <v>178</v>
      </c>
      <c r="B2090" s="557"/>
      <c r="C2090" s="572"/>
      <c r="D2090" s="700"/>
      <c r="E2090" s="612"/>
      <c r="F2090" s="612"/>
      <c r="G2090" s="586"/>
      <c r="H2090" s="709"/>
      <c r="I2090" s="546"/>
      <c r="J2090" s="558"/>
      <c r="K2090" s="563" t="str">
        <f>IF(G2090&lt;&gt;0,VLOOKUP(G2090,'gia dat'!$A$1:$F$144,5,0)," ")</f>
        <v xml:space="preserve"> </v>
      </c>
      <c r="L2090" s="563" t="str">
        <f>IF(G2090&lt;&gt;0,VLOOKUP(G2090,'gia dat'!$A$1:$F$144,6,0)," ")</f>
        <v xml:space="preserve"> </v>
      </c>
      <c r="M2090" s="564" t="str">
        <f t="shared" si="455"/>
        <v xml:space="preserve"> </v>
      </c>
      <c r="N2090" s="564" t="str">
        <f t="shared" si="456"/>
        <v xml:space="preserve"> </v>
      </c>
      <c r="O2090" s="572" t="s">
        <v>156</v>
      </c>
      <c r="P2090" s="740">
        <v>3</v>
      </c>
      <c r="Q2090" s="564">
        <f>IF(O2090&lt;&gt;0,VLOOKUP(O2090,'Cây trong'!$A$2:$C$246,3,0)," ")</f>
        <v>288000</v>
      </c>
      <c r="R2090" s="564">
        <f t="shared" si="464"/>
        <v>864000</v>
      </c>
      <c r="S2090" s="572" t="s">
        <v>1978</v>
      </c>
      <c r="T2090" s="609" t="s">
        <v>1133</v>
      </c>
      <c r="U2090" s="741">
        <v>16.100000000000001</v>
      </c>
      <c r="V2090" s="586"/>
      <c r="W2090" s="564">
        <f>IF(S2090&lt;&gt;0,VLOOKUP(S2090,VKT!$A$2:$G$415,7,0),"")</f>
        <v>236298</v>
      </c>
      <c r="X2090" s="564">
        <f t="shared" si="459"/>
        <v>3804000</v>
      </c>
      <c r="Y2090" s="650"/>
      <c r="Z2090" s="586"/>
      <c r="AA2090" s="742"/>
      <c r="AB2090" s="586"/>
      <c r="AC2090" s="586"/>
      <c r="AD2090" s="586"/>
      <c r="AE2090" s="586"/>
      <c r="AF2090" s="714"/>
      <c r="AG2090" s="570" t="str">
        <f>IF(AE2090&lt;&gt;0,VLOOKUP(AE2090,ODDS!$A$2:$C$13,3,0),"")</f>
        <v/>
      </c>
      <c r="AH2090" s="570" t="str">
        <f t="shared" si="466"/>
        <v xml:space="preserve"> </v>
      </c>
      <c r="AI2090" s="571" t="str">
        <f t="shared" si="462"/>
        <v xml:space="preserve"> </v>
      </c>
      <c r="AJ2090" s="558"/>
      <c r="AK2090" s="558"/>
    </row>
    <row r="2091" spans="1:37" s="394" customFormat="1" ht="81" outlineLevel="2" x14ac:dyDescent="0.3">
      <c r="A2091" s="447">
        <f t="shared" si="468"/>
        <v>178</v>
      </c>
      <c r="B2091" s="557"/>
      <c r="C2091" s="572"/>
      <c r="D2091" s="700"/>
      <c r="E2091" s="612"/>
      <c r="F2091" s="612"/>
      <c r="G2091" s="586"/>
      <c r="H2091" s="709"/>
      <c r="I2091" s="546"/>
      <c r="J2091" s="558"/>
      <c r="K2091" s="563" t="str">
        <f>IF(G2091&lt;&gt;0,VLOOKUP(G2091,'gia dat'!$A$1:$F$144,5,0)," ")</f>
        <v xml:space="preserve"> </v>
      </c>
      <c r="L2091" s="563" t="str">
        <f>IF(G2091&lt;&gt;0,VLOOKUP(G2091,'gia dat'!$A$1:$F$144,6,0)," ")</f>
        <v xml:space="preserve"> </v>
      </c>
      <c r="M2091" s="564" t="str">
        <f t="shared" si="455"/>
        <v xml:space="preserve"> </v>
      </c>
      <c r="N2091" s="564" t="str">
        <f t="shared" si="456"/>
        <v xml:space="preserve"> </v>
      </c>
      <c r="O2091" s="572" t="s">
        <v>405</v>
      </c>
      <c r="P2091" s="740">
        <v>15</v>
      </c>
      <c r="Q2091" s="564">
        <f>IF(O2091&lt;&gt;0,VLOOKUP(O2091,'Cây trong'!$A$2:$C$246,3,0)," ")</f>
        <v>72000</v>
      </c>
      <c r="R2091" s="564">
        <f t="shared" si="464"/>
        <v>1080000</v>
      </c>
      <c r="S2091" s="572" t="s">
        <v>1978</v>
      </c>
      <c r="T2091" s="609" t="s">
        <v>1133</v>
      </c>
      <c r="U2091" s="741">
        <v>25.9</v>
      </c>
      <c r="V2091" s="586"/>
      <c r="W2091" s="564">
        <f>IF(S2091&lt;&gt;0,VLOOKUP(S2091,VKT!$A$2:$G$415,7,0),"")</f>
        <v>236298</v>
      </c>
      <c r="X2091" s="564">
        <f t="shared" si="459"/>
        <v>6120000</v>
      </c>
      <c r="Y2091" s="650"/>
      <c r="Z2091" s="586"/>
      <c r="AA2091" s="742"/>
      <c r="AB2091" s="586"/>
      <c r="AC2091" s="586"/>
      <c r="AD2091" s="586"/>
      <c r="AE2091" s="586"/>
      <c r="AF2091" s="714"/>
      <c r="AG2091" s="570" t="str">
        <f>IF(AE2091&lt;&gt;0,VLOOKUP(AE2091,ODDS!$A$2:$C$13,3,0),"")</f>
        <v/>
      </c>
      <c r="AH2091" s="570" t="str">
        <f t="shared" si="466"/>
        <v xml:space="preserve"> </v>
      </c>
      <c r="AI2091" s="571" t="str">
        <f t="shared" si="462"/>
        <v xml:space="preserve"> </v>
      </c>
      <c r="AJ2091" s="558"/>
      <c r="AK2091" s="558"/>
    </row>
    <row r="2092" spans="1:37" s="394" customFormat="1" ht="60.75" outlineLevel="2" x14ac:dyDescent="0.3">
      <c r="A2092" s="447">
        <f t="shared" si="468"/>
        <v>178</v>
      </c>
      <c r="B2092" s="557"/>
      <c r="C2092" s="572"/>
      <c r="D2092" s="700"/>
      <c r="E2092" s="612"/>
      <c r="F2092" s="612"/>
      <c r="G2092" s="586"/>
      <c r="H2092" s="709"/>
      <c r="I2092" s="546"/>
      <c r="J2092" s="558"/>
      <c r="K2092" s="563" t="str">
        <f>IF(G2092&lt;&gt;0,VLOOKUP(G2092,'gia dat'!$A$1:$F$144,5,0)," ")</f>
        <v xml:space="preserve"> </v>
      </c>
      <c r="L2092" s="563" t="str">
        <f>IF(G2092&lt;&gt;0,VLOOKUP(G2092,'gia dat'!$A$1:$F$144,6,0)," ")</f>
        <v xml:space="preserve"> </v>
      </c>
      <c r="M2092" s="564" t="str">
        <f t="shared" si="455"/>
        <v xml:space="preserve"> </v>
      </c>
      <c r="N2092" s="564" t="str">
        <f t="shared" si="456"/>
        <v xml:space="preserve"> </v>
      </c>
      <c r="O2092" s="572" t="s">
        <v>72</v>
      </c>
      <c r="P2092" s="740">
        <v>31</v>
      </c>
      <c r="Q2092" s="564">
        <f>IF(O2092&lt;&gt;0,VLOOKUP(O2092,'Cây trong'!$A$2:$C$246,3,0)," ")</f>
        <v>132000</v>
      </c>
      <c r="R2092" s="564">
        <f t="shared" si="464"/>
        <v>4092000</v>
      </c>
      <c r="S2092" s="572" t="s">
        <v>1983</v>
      </c>
      <c r="T2092" s="609" t="s">
        <v>1133</v>
      </c>
      <c r="U2092" s="741">
        <v>13.2</v>
      </c>
      <c r="V2092" s="586"/>
      <c r="W2092" s="564">
        <f>IF(S2092&lt;&gt;0,VLOOKUP(S2092,VKT!$A$2:$G$415,7,0),"")</f>
        <v>625568</v>
      </c>
      <c r="X2092" s="564">
        <f t="shared" si="459"/>
        <v>8257000</v>
      </c>
      <c r="Y2092" s="650"/>
      <c r="Z2092" s="586"/>
      <c r="AA2092" s="742"/>
      <c r="AB2092" s="586"/>
      <c r="AC2092" s="586"/>
      <c r="AD2092" s="586"/>
      <c r="AE2092" s="586"/>
      <c r="AF2092" s="714"/>
      <c r="AG2092" s="570" t="str">
        <f>IF(AE2092&lt;&gt;0,VLOOKUP(AE2092,ODDS!$A$2:$C$13,3,0),"")</f>
        <v/>
      </c>
      <c r="AH2092" s="570" t="str">
        <f t="shared" si="466"/>
        <v xml:space="preserve"> </v>
      </c>
      <c r="AI2092" s="571" t="str">
        <f t="shared" si="462"/>
        <v xml:space="preserve"> </v>
      </c>
      <c r="AJ2092" s="558"/>
      <c r="AK2092" s="558"/>
    </row>
    <row r="2093" spans="1:37" s="394" customFormat="1" ht="60.75" outlineLevel="2" x14ac:dyDescent="0.3">
      <c r="A2093" s="447">
        <f t="shared" si="468"/>
        <v>178</v>
      </c>
      <c r="B2093" s="557"/>
      <c r="C2093" s="572"/>
      <c r="D2093" s="700"/>
      <c r="E2093" s="612"/>
      <c r="F2093" s="612"/>
      <c r="G2093" s="586"/>
      <c r="H2093" s="709"/>
      <c r="I2093" s="546"/>
      <c r="J2093" s="558"/>
      <c r="K2093" s="563" t="str">
        <f>IF(G2093&lt;&gt;0,VLOOKUP(G2093,'gia dat'!$A$1:$F$144,5,0)," ")</f>
        <v xml:space="preserve"> </v>
      </c>
      <c r="L2093" s="563" t="str">
        <f>IF(G2093&lt;&gt;0,VLOOKUP(G2093,'gia dat'!$A$1:$F$144,6,0)," ")</f>
        <v xml:space="preserve"> </v>
      </c>
      <c r="M2093" s="564" t="str">
        <f t="shared" si="455"/>
        <v xml:space="preserve"> </v>
      </c>
      <c r="N2093" s="564" t="str">
        <f t="shared" si="456"/>
        <v xml:space="preserve"> </v>
      </c>
      <c r="O2093" s="572" t="s">
        <v>73</v>
      </c>
      <c r="P2093" s="740">
        <v>27</v>
      </c>
      <c r="Q2093" s="564">
        <f>IF(O2093&lt;&gt;0,VLOOKUP(O2093,'Cây trong'!$A$2:$C$246,3,0)," ")</f>
        <v>76000</v>
      </c>
      <c r="R2093" s="564">
        <f t="shared" si="464"/>
        <v>2052000</v>
      </c>
      <c r="S2093" s="572" t="s">
        <v>1983</v>
      </c>
      <c r="T2093" s="609" t="s">
        <v>1133</v>
      </c>
      <c r="U2093" s="741">
        <v>14.04</v>
      </c>
      <c r="V2093" s="586"/>
      <c r="W2093" s="564">
        <f>IF(S2093&lt;&gt;0,VLOOKUP(S2093,VKT!$A$2:$G$415,7,0),"")</f>
        <v>625568</v>
      </c>
      <c r="X2093" s="564">
        <f t="shared" si="459"/>
        <v>8783000</v>
      </c>
      <c r="Y2093" s="650"/>
      <c r="Z2093" s="586"/>
      <c r="AA2093" s="742"/>
      <c r="AB2093" s="586"/>
      <c r="AC2093" s="586"/>
      <c r="AD2093" s="586"/>
      <c r="AE2093" s="586"/>
      <c r="AF2093" s="714"/>
      <c r="AG2093" s="570" t="str">
        <f>IF(AE2093&lt;&gt;0,VLOOKUP(AE2093,ODDS!$A$2:$C$13,3,0),"")</f>
        <v/>
      </c>
      <c r="AH2093" s="570" t="str">
        <f t="shared" si="466"/>
        <v xml:space="preserve"> </v>
      </c>
      <c r="AI2093" s="571" t="str">
        <f t="shared" si="462"/>
        <v xml:space="preserve"> </v>
      </c>
      <c r="AJ2093" s="558"/>
      <c r="AK2093" s="558"/>
    </row>
    <row r="2094" spans="1:37" s="394" customFormat="1" ht="60.75" outlineLevel="2" x14ac:dyDescent="0.3">
      <c r="A2094" s="447">
        <f t="shared" si="468"/>
        <v>178</v>
      </c>
      <c r="B2094" s="557"/>
      <c r="C2094" s="572"/>
      <c r="D2094" s="700"/>
      <c r="E2094" s="612"/>
      <c r="F2094" s="612"/>
      <c r="G2094" s="586"/>
      <c r="H2094" s="709"/>
      <c r="I2094" s="546"/>
      <c r="J2094" s="558"/>
      <c r="K2094" s="563" t="str">
        <f>IF(G2094&lt;&gt;0,VLOOKUP(G2094,'gia dat'!$A$1:$F$144,5,0)," ")</f>
        <v xml:space="preserve"> </v>
      </c>
      <c r="L2094" s="563" t="str">
        <f>IF(G2094&lt;&gt;0,VLOOKUP(G2094,'gia dat'!$A$1:$F$144,6,0)," ")</f>
        <v xml:space="preserve"> </v>
      </c>
      <c r="M2094" s="564" t="str">
        <f t="shared" si="455"/>
        <v xml:space="preserve"> </v>
      </c>
      <c r="N2094" s="564" t="str">
        <f t="shared" si="456"/>
        <v xml:space="preserve"> </v>
      </c>
      <c r="O2094" s="572" t="s">
        <v>75</v>
      </c>
      <c r="P2094" s="740">
        <v>38</v>
      </c>
      <c r="Q2094" s="564">
        <f>IF(O2094&lt;&gt;0,VLOOKUP(O2094,'Cây trong'!$A$2:$C$246,3,0)," ")</f>
        <v>34000</v>
      </c>
      <c r="R2094" s="564">
        <f t="shared" si="464"/>
        <v>1292000</v>
      </c>
      <c r="S2094" s="572" t="s">
        <v>1984</v>
      </c>
      <c r="T2094" s="609" t="s">
        <v>1133</v>
      </c>
      <c r="U2094" s="741">
        <v>25.92</v>
      </c>
      <c r="V2094" s="586"/>
      <c r="W2094" s="564">
        <f>IF(S2094&lt;&gt;0,VLOOKUP(S2094,VKT!$A$2:$G$415,7,0),"")</f>
        <v>791229</v>
      </c>
      <c r="X2094" s="564">
        <f t="shared" si="459"/>
        <v>20509000</v>
      </c>
      <c r="Y2094" s="650"/>
      <c r="Z2094" s="586"/>
      <c r="AA2094" s="742"/>
      <c r="AB2094" s="586"/>
      <c r="AC2094" s="586"/>
      <c r="AD2094" s="586"/>
      <c r="AE2094" s="586"/>
      <c r="AF2094" s="714"/>
      <c r="AG2094" s="570" t="str">
        <f>IF(AE2094&lt;&gt;0,VLOOKUP(AE2094,ODDS!$A$2:$C$13,3,0),"")</f>
        <v/>
      </c>
      <c r="AH2094" s="570" t="str">
        <f t="shared" si="466"/>
        <v xml:space="preserve"> </v>
      </c>
      <c r="AI2094" s="571" t="str">
        <f t="shared" si="462"/>
        <v xml:space="preserve"> </v>
      </c>
      <c r="AJ2094" s="558"/>
      <c r="AK2094" s="558"/>
    </row>
    <row r="2095" spans="1:37" s="394" customFormat="1" ht="81" outlineLevel="2" x14ac:dyDescent="0.3">
      <c r="A2095" s="447">
        <f t="shared" si="468"/>
        <v>178</v>
      </c>
      <c r="B2095" s="557"/>
      <c r="C2095" s="572"/>
      <c r="D2095" s="700"/>
      <c r="E2095" s="612"/>
      <c r="F2095" s="612"/>
      <c r="G2095" s="586"/>
      <c r="H2095" s="709"/>
      <c r="I2095" s="546"/>
      <c r="J2095" s="558"/>
      <c r="K2095" s="563" t="str">
        <f>IF(G2095&lt;&gt;0,VLOOKUP(G2095,'gia dat'!$A$1:$F$144,5,0)," ")</f>
        <v xml:space="preserve"> </v>
      </c>
      <c r="L2095" s="563" t="str">
        <f>IF(G2095&lt;&gt;0,VLOOKUP(G2095,'gia dat'!$A$1:$F$144,6,0)," ")</f>
        <v xml:space="preserve"> </v>
      </c>
      <c r="M2095" s="564" t="str">
        <f t="shared" si="455"/>
        <v xml:space="preserve"> </v>
      </c>
      <c r="N2095" s="564" t="str">
        <f t="shared" si="456"/>
        <v xml:space="preserve"> </v>
      </c>
      <c r="O2095" s="572" t="s">
        <v>1353</v>
      </c>
      <c r="P2095" s="740">
        <v>1</v>
      </c>
      <c r="Q2095" s="564">
        <f>IF(O2095&lt;&gt;0,VLOOKUP(O2095,'Cây trong'!$A$2:$C$246,3,0)," ")</f>
        <v>1713000</v>
      </c>
      <c r="R2095" s="564">
        <f t="shared" si="464"/>
        <v>1713000</v>
      </c>
      <c r="S2095" s="572" t="s">
        <v>1985</v>
      </c>
      <c r="T2095" s="609" t="s">
        <v>1133</v>
      </c>
      <c r="U2095" s="741">
        <v>144</v>
      </c>
      <c r="V2095" s="586"/>
      <c r="W2095" s="564">
        <f>IF(S2095&lt;&gt;0,VLOOKUP(S2095,VKT!$A$2:$G$415,7,0),"")</f>
        <v>625568</v>
      </c>
      <c r="X2095" s="564">
        <f t="shared" si="459"/>
        <v>90082000</v>
      </c>
      <c r="Y2095" s="650"/>
      <c r="Z2095" s="586"/>
      <c r="AA2095" s="742"/>
      <c r="AB2095" s="586"/>
      <c r="AC2095" s="586"/>
      <c r="AD2095" s="586"/>
      <c r="AE2095" s="586"/>
      <c r="AF2095" s="714"/>
      <c r="AG2095" s="570" t="str">
        <f>IF(AE2095&lt;&gt;0,VLOOKUP(AE2095,ODDS!$A$2:$C$13,3,0),"")</f>
        <v/>
      </c>
      <c r="AH2095" s="570" t="str">
        <f t="shared" si="466"/>
        <v xml:space="preserve"> </v>
      </c>
      <c r="AI2095" s="571" t="str">
        <f t="shared" si="462"/>
        <v xml:space="preserve"> </v>
      </c>
      <c r="AJ2095" s="558"/>
      <c r="AK2095" s="558"/>
    </row>
    <row r="2096" spans="1:37" s="394" customFormat="1" ht="40.5" outlineLevel="2" x14ac:dyDescent="0.3">
      <c r="A2096" s="447">
        <f t="shared" si="468"/>
        <v>178</v>
      </c>
      <c r="B2096" s="557"/>
      <c r="C2096" s="572"/>
      <c r="D2096" s="700"/>
      <c r="E2096" s="612"/>
      <c r="F2096" s="612"/>
      <c r="G2096" s="586"/>
      <c r="H2096" s="709"/>
      <c r="I2096" s="546"/>
      <c r="J2096" s="558"/>
      <c r="K2096" s="563" t="str">
        <f>IF(G2096&lt;&gt;0,VLOOKUP(G2096,'gia dat'!$A$1:$F$144,5,0)," ")</f>
        <v xml:space="preserve"> </v>
      </c>
      <c r="L2096" s="563" t="str">
        <f>IF(G2096&lt;&gt;0,VLOOKUP(G2096,'gia dat'!$A$1:$F$144,6,0)," ")</f>
        <v xml:space="preserve"> </v>
      </c>
      <c r="M2096" s="564" t="str">
        <f t="shared" si="455"/>
        <v xml:space="preserve"> </v>
      </c>
      <c r="N2096" s="564" t="str">
        <f t="shared" si="456"/>
        <v xml:space="preserve"> </v>
      </c>
      <c r="O2096" s="572" t="s">
        <v>132</v>
      </c>
      <c r="P2096" s="740">
        <v>1</v>
      </c>
      <c r="Q2096" s="564">
        <f>IF(O2096&lt;&gt;0,VLOOKUP(O2096,'Cây trong'!$A$2:$C$246,3,0)," ")</f>
        <v>473000</v>
      </c>
      <c r="R2096" s="564">
        <f t="shared" si="464"/>
        <v>473000</v>
      </c>
      <c r="S2096" s="572" t="s">
        <v>1986</v>
      </c>
      <c r="T2096" s="609" t="s">
        <v>1286</v>
      </c>
      <c r="U2096" s="741">
        <v>0.2</v>
      </c>
      <c r="V2096" s="586"/>
      <c r="W2096" s="564">
        <f>IF(S2096&lt;&gt;0,VLOOKUP(S2096,VKT!$A$2:$G$415,7,0),"")</f>
        <v>0</v>
      </c>
      <c r="X2096" s="564">
        <f t="shared" si="459"/>
        <v>0</v>
      </c>
      <c r="Y2096" s="650"/>
      <c r="Z2096" s="586"/>
      <c r="AA2096" s="742"/>
      <c r="AB2096" s="586"/>
      <c r="AC2096" s="586"/>
      <c r="AD2096" s="586"/>
      <c r="AE2096" s="586"/>
      <c r="AF2096" s="714"/>
      <c r="AG2096" s="570" t="str">
        <f>IF(AE2096&lt;&gt;0,VLOOKUP(AE2096,ODDS!$A$2:$C$13,3,0),"")</f>
        <v/>
      </c>
      <c r="AH2096" s="570" t="str">
        <f t="shared" si="466"/>
        <v xml:space="preserve"> </v>
      </c>
      <c r="AI2096" s="571" t="str">
        <f t="shared" si="462"/>
        <v xml:space="preserve"> </v>
      </c>
      <c r="AJ2096" s="558"/>
      <c r="AK2096" s="558"/>
    </row>
    <row r="2097" spans="1:37" s="394" customFormat="1" ht="60.75" outlineLevel="2" x14ac:dyDescent="0.3">
      <c r="A2097" s="447">
        <f t="shared" si="468"/>
        <v>178</v>
      </c>
      <c r="B2097" s="557"/>
      <c r="C2097" s="572"/>
      <c r="D2097" s="700"/>
      <c r="E2097" s="612"/>
      <c r="F2097" s="612"/>
      <c r="G2097" s="586"/>
      <c r="H2097" s="709"/>
      <c r="I2097" s="546"/>
      <c r="J2097" s="558"/>
      <c r="K2097" s="563" t="str">
        <f>IF(G2097&lt;&gt;0,VLOOKUP(G2097,'gia dat'!$A$1:$F$144,5,0)," ")</f>
        <v xml:space="preserve"> </v>
      </c>
      <c r="L2097" s="563" t="str">
        <f>IF(G2097&lt;&gt;0,VLOOKUP(G2097,'gia dat'!$A$1:$F$144,6,0)," ")</f>
        <v xml:space="preserve"> </v>
      </c>
      <c r="M2097" s="564" t="str">
        <f t="shared" si="455"/>
        <v xml:space="preserve"> </v>
      </c>
      <c r="N2097" s="564" t="str">
        <f t="shared" si="456"/>
        <v xml:space="preserve"> </v>
      </c>
      <c r="O2097" s="572" t="s">
        <v>1421</v>
      </c>
      <c r="P2097" s="740">
        <v>5</v>
      </c>
      <c r="Q2097" s="564">
        <f>IF(O2097&lt;&gt;0,VLOOKUP(O2097,'Cây trong'!$A$2:$C$246,3,0)," ")</f>
        <v>4800000</v>
      </c>
      <c r="R2097" s="564">
        <f t="shared" si="464"/>
        <v>24000000</v>
      </c>
      <c r="S2097" s="572" t="s">
        <v>1987</v>
      </c>
      <c r="T2097" s="609" t="s">
        <v>101</v>
      </c>
      <c r="U2097" s="741">
        <v>5</v>
      </c>
      <c r="V2097" s="586"/>
      <c r="W2097" s="564">
        <f>IF(S2097&lt;&gt;0,VLOOKUP(S2097,VKT!$A$2:$G$415,7,0),"")</f>
        <v>674018</v>
      </c>
      <c r="X2097" s="564">
        <f t="shared" si="459"/>
        <v>3370000</v>
      </c>
      <c r="Y2097" s="650"/>
      <c r="Z2097" s="586"/>
      <c r="AA2097" s="742"/>
      <c r="AB2097" s="586"/>
      <c r="AC2097" s="586"/>
      <c r="AD2097" s="586"/>
      <c r="AE2097" s="586"/>
      <c r="AF2097" s="714"/>
      <c r="AG2097" s="570" t="str">
        <f>IF(AE2097&lt;&gt;0,VLOOKUP(AE2097,ODDS!$A$2:$C$13,3,0),"")</f>
        <v/>
      </c>
      <c r="AH2097" s="570" t="str">
        <f t="shared" si="466"/>
        <v xml:space="preserve"> </v>
      </c>
      <c r="AI2097" s="571" t="str">
        <f t="shared" si="462"/>
        <v xml:space="preserve"> </v>
      </c>
      <c r="AJ2097" s="558"/>
      <c r="AK2097" s="558"/>
    </row>
    <row r="2098" spans="1:37" s="394" customFormat="1" ht="60.75" outlineLevel="2" x14ac:dyDescent="0.3">
      <c r="A2098" s="447">
        <f t="shared" si="468"/>
        <v>178</v>
      </c>
      <c r="B2098" s="557"/>
      <c r="C2098" s="572"/>
      <c r="D2098" s="700"/>
      <c r="E2098" s="612"/>
      <c r="F2098" s="612"/>
      <c r="G2098" s="586"/>
      <c r="H2098" s="709"/>
      <c r="I2098" s="546"/>
      <c r="J2098" s="558"/>
      <c r="K2098" s="563" t="str">
        <f>IF(G2098&lt;&gt;0,VLOOKUP(G2098,'gia dat'!$A$1:$F$144,5,0)," ")</f>
        <v xml:space="preserve"> </v>
      </c>
      <c r="L2098" s="563" t="str">
        <f>IF(G2098&lt;&gt;0,VLOOKUP(G2098,'gia dat'!$A$1:$F$144,6,0)," ")</f>
        <v xml:space="preserve"> </v>
      </c>
      <c r="M2098" s="564" t="str">
        <f t="shared" si="455"/>
        <v xml:space="preserve"> </v>
      </c>
      <c r="N2098" s="564" t="str">
        <f t="shared" si="456"/>
        <v xml:space="preserve"> </v>
      </c>
      <c r="O2098" s="572" t="s">
        <v>1253</v>
      </c>
      <c r="P2098" s="740">
        <v>1</v>
      </c>
      <c r="Q2098" s="564">
        <f>IF(O2098&lt;&gt;0,VLOOKUP(O2098,'Cây trong'!$A$2:$C$246,3,0)," ")</f>
        <v>1080000</v>
      </c>
      <c r="R2098" s="564">
        <f t="shared" si="464"/>
        <v>1080000</v>
      </c>
      <c r="S2098" s="572" t="s">
        <v>1988</v>
      </c>
      <c r="T2098" s="609" t="s">
        <v>1133</v>
      </c>
      <c r="U2098" s="741">
        <v>96</v>
      </c>
      <c r="V2098" s="586"/>
      <c r="W2098" s="564">
        <f>IF(S2098&lt;&gt;0,VLOOKUP(S2098,VKT!$A$2:$G$415,7,0),"")</f>
        <v>0</v>
      </c>
      <c r="X2098" s="564">
        <f t="shared" si="459"/>
        <v>0</v>
      </c>
      <c r="Y2098" s="650"/>
      <c r="Z2098" s="586"/>
      <c r="AA2098" s="742"/>
      <c r="AB2098" s="586"/>
      <c r="AC2098" s="586"/>
      <c r="AD2098" s="586"/>
      <c r="AE2098" s="586"/>
      <c r="AF2098" s="714"/>
      <c r="AG2098" s="570" t="str">
        <f>IF(AE2098&lt;&gt;0,VLOOKUP(AE2098,ODDS!$A$2:$C$13,3,0),"")</f>
        <v/>
      </c>
      <c r="AH2098" s="570" t="str">
        <f t="shared" si="466"/>
        <v xml:space="preserve"> </v>
      </c>
      <c r="AI2098" s="571" t="str">
        <f t="shared" si="462"/>
        <v xml:space="preserve"> </v>
      </c>
      <c r="AJ2098" s="558"/>
      <c r="AK2098" s="558"/>
    </row>
    <row r="2099" spans="1:37" s="394" customFormat="1" ht="60.75" outlineLevel="2" x14ac:dyDescent="0.3">
      <c r="A2099" s="447">
        <f t="shared" si="468"/>
        <v>178</v>
      </c>
      <c r="B2099" s="557"/>
      <c r="C2099" s="572"/>
      <c r="D2099" s="700"/>
      <c r="E2099" s="612"/>
      <c r="F2099" s="612"/>
      <c r="G2099" s="586"/>
      <c r="H2099" s="709"/>
      <c r="I2099" s="546"/>
      <c r="J2099" s="558"/>
      <c r="K2099" s="563" t="str">
        <f>IF(G2099&lt;&gt;0,VLOOKUP(G2099,'gia dat'!$A$1:$F$144,5,0)," ")</f>
        <v xml:space="preserve"> </v>
      </c>
      <c r="L2099" s="563" t="str">
        <f>IF(G2099&lt;&gt;0,VLOOKUP(G2099,'gia dat'!$A$1:$F$144,6,0)," ")</f>
        <v xml:space="preserve"> </v>
      </c>
      <c r="M2099" s="564" t="str">
        <f t="shared" si="455"/>
        <v xml:space="preserve"> </v>
      </c>
      <c r="N2099" s="564" t="str">
        <f t="shared" si="456"/>
        <v xml:space="preserve"> </v>
      </c>
      <c r="O2099" s="572" t="s">
        <v>1254</v>
      </c>
      <c r="P2099" s="740">
        <v>1</v>
      </c>
      <c r="Q2099" s="564">
        <f>IF(O2099&lt;&gt;0,VLOOKUP(O2099,'Cây trong'!$A$2:$C$246,3,0)," ")</f>
        <v>480000</v>
      </c>
      <c r="R2099" s="564">
        <f t="shared" si="464"/>
        <v>480000</v>
      </c>
      <c r="S2099" s="572" t="s">
        <v>1989</v>
      </c>
      <c r="T2099" s="609" t="s">
        <v>1133</v>
      </c>
      <c r="U2099" s="741">
        <v>2.1</v>
      </c>
      <c r="V2099" s="586"/>
      <c r="W2099" s="564">
        <f>IF(S2099&lt;&gt;0,VLOOKUP(S2099,VKT!$A$2:$G$415,7,0),"")</f>
        <v>310020</v>
      </c>
      <c r="X2099" s="564">
        <f t="shared" si="459"/>
        <v>651000</v>
      </c>
      <c r="Y2099" s="650"/>
      <c r="Z2099" s="586"/>
      <c r="AA2099" s="742"/>
      <c r="AB2099" s="586"/>
      <c r="AC2099" s="586"/>
      <c r="AD2099" s="586"/>
      <c r="AE2099" s="586"/>
      <c r="AF2099" s="714"/>
      <c r="AG2099" s="570" t="str">
        <f>IF(AE2099&lt;&gt;0,VLOOKUP(AE2099,ODDS!$A$2:$C$13,3,0),"")</f>
        <v/>
      </c>
      <c r="AH2099" s="570" t="str">
        <f t="shared" si="466"/>
        <v xml:space="preserve"> </v>
      </c>
      <c r="AI2099" s="571" t="str">
        <f t="shared" si="462"/>
        <v xml:space="preserve"> </v>
      </c>
      <c r="AJ2099" s="558"/>
      <c r="AK2099" s="558"/>
    </row>
    <row r="2100" spans="1:37" s="394" customFormat="1" ht="40.5" outlineLevel="2" x14ac:dyDescent="0.3">
      <c r="A2100" s="447">
        <f t="shared" si="468"/>
        <v>178</v>
      </c>
      <c r="B2100" s="557"/>
      <c r="C2100" s="572"/>
      <c r="D2100" s="700"/>
      <c r="E2100" s="612"/>
      <c r="F2100" s="612"/>
      <c r="G2100" s="586"/>
      <c r="H2100" s="709"/>
      <c r="I2100" s="546"/>
      <c r="J2100" s="558"/>
      <c r="K2100" s="563" t="str">
        <f>IF(G2100&lt;&gt;0,VLOOKUP(G2100,'gia dat'!$A$1:$F$144,5,0)," ")</f>
        <v xml:space="preserve"> </v>
      </c>
      <c r="L2100" s="563" t="str">
        <f>IF(G2100&lt;&gt;0,VLOOKUP(G2100,'gia dat'!$A$1:$F$144,6,0)," ")</f>
        <v xml:space="preserve"> </v>
      </c>
      <c r="M2100" s="564" t="str">
        <f t="shared" si="455"/>
        <v xml:space="preserve"> </v>
      </c>
      <c r="N2100" s="564" t="str">
        <f t="shared" si="456"/>
        <v xml:space="preserve"> </v>
      </c>
      <c r="O2100" s="572" t="s">
        <v>1424</v>
      </c>
      <c r="P2100" s="740">
        <v>16</v>
      </c>
      <c r="Q2100" s="564">
        <f>IF(O2100&lt;&gt;0,VLOOKUP(O2100,'Cây trong'!$A$2:$C$246,3,0)," ")</f>
        <v>120000</v>
      </c>
      <c r="R2100" s="564">
        <f t="shared" si="464"/>
        <v>1920000</v>
      </c>
      <c r="S2100" s="572" t="s">
        <v>1990</v>
      </c>
      <c r="T2100" s="609" t="s">
        <v>1133</v>
      </c>
      <c r="U2100" s="741">
        <v>1.1000000000000001</v>
      </c>
      <c r="V2100" s="586"/>
      <c r="W2100" s="564">
        <f>IF(S2100&lt;&gt;0,VLOOKUP(S2100,VKT!$A$2:$G$415,7,0),"")</f>
        <v>0</v>
      </c>
      <c r="X2100" s="564">
        <f t="shared" si="459"/>
        <v>0</v>
      </c>
      <c r="Y2100" s="650"/>
      <c r="Z2100" s="586"/>
      <c r="AA2100" s="742"/>
      <c r="AB2100" s="586"/>
      <c r="AC2100" s="586"/>
      <c r="AD2100" s="586"/>
      <c r="AE2100" s="586"/>
      <c r="AF2100" s="714"/>
      <c r="AG2100" s="570" t="str">
        <f>IF(AE2100&lt;&gt;0,VLOOKUP(AE2100,ODDS!$A$2:$C$13,3,0),"")</f>
        <v/>
      </c>
      <c r="AH2100" s="570" t="str">
        <f t="shared" si="466"/>
        <v xml:space="preserve"> </v>
      </c>
      <c r="AI2100" s="571" t="str">
        <f t="shared" si="462"/>
        <v xml:space="preserve"> </v>
      </c>
      <c r="AJ2100" s="558"/>
      <c r="AK2100" s="558"/>
    </row>
    <row r="2101" spans="1:37" s="394" customFormat="1" ht="40.5" outlineLevel="2" x14ac:dyDescent="0.3">
      <c r="A2101" s="447">
        <f t="shared" si="468"/>
        <v>178</v>
      </c>
      <c r="B2101" s="557"/>
      <c r="C2101" s="572"/>
      <c r="D2101" s="700"/>
      <c r="E2101" s="612"/>
      <c r="F2101" s="612"/>
      <c r="G2101" s="586"/>
      <c r="H2101" s="709"/>
      <c r="I2101" s="546"/>
      <c r="J2101" s="558"/>
      <c r="K2101" s="563" t="str">
        <f>IF(G2101&lt;&gt;0,VLOOKUP(G2101,'gia dat'!$A$1:$F$144,5,0)," ")</f>
        <v xml:space="preserve"> </v>
      </c>
      <c r="L2101" s="563" t="str">
        <f>IF(G2101&lt;&gt;0,VLOOKUP(G2101,'gia dat'!$A$1:$F$144,6,0)," ")</f>
        <v xml:space="preserve"> </v>
      </c>
      <c r="M2101" s="564" t="str">
        <f t="shared" si="455"/>
        <v xml:space="preserve"> </v>
      </c>
      <c r="N2101" s="564" t="str">
        <f t="shared" si="456"/>
        <v xml:space="preserve"> </v>
      </c>
      <c r="O2101" s="572" t="s">
        <v>2090</v>
      </c>
      <c r="P2101" s="740">
        <v>3</v>
      </c>
      <c r="Q2101" s="564">
        <f>IF(O2101&lt;&gt;0,VLOOKUP(O2101,'Cây trong'!$A$2:$C$246,3,0)," ")</f>
        <v>24000</v>
      </c>
      <c r="R2101" s="564">
        <f t="shared" si="464"/>
        <v>72000</v>
      </c>
      <c r="S2101" s="572"/>
      <c r="T2101" s="609"/>
      <c r="U2101" s="741"/>
      <c r="V2101" s="586"/>
      <c r="W2101" s="564" t="str">
        <f>IF(S2101&lt;&gt;0,VLOOKUP(S2101,VKT!$A$2:$G$415,7,0),"")</f>
        <v/>
      </c>
      <c r="X2101" s="564" t="str">
        <f t="shared" si="459"/>
        <v xml:space="preserve"> </v>
      </c>
      <c r="Y2101" s="650"/>
      <c r="Z2101" s="586"/>
      <c r="AA2101" s="742"/>
      <c r="AB2101" s="586"/>
      <c r="AC2101" s="586"/>
      <c r="AD2101" s="586"/>
      <c r="AE2101" s="586"/>
      <c r="AF2101" s="714"/>
      <c r="AG2101" s="570" t="str">
        <f>IF(AE2101&lt;&gt;0,VLOOKUP(AE2101,ODDS!$A$2:$C$13,3,0),"")</f>
        <v/>
      </c>
      <c r="AH2101" s="570" t="str">
        <f t="shared" si="466"/>
        <v xml:space="preserve"> </v>
      </c>
      <c r="AI2101" s="571" t="str">
        <f t="shared" si="462"/>
        <v xml:space="preserve"> </v>
      </c>
      <c r="AJ2101" s="558"/>
      <c r="AK2101" s="558"/>
    </row>
    <row r="2102" spans="1:37" s="394" customFormat="1" ht="40.5" outlineLevel="2" x14ac:dyDescent="0.3">
      <c r="A2102" s="447">
        <f t="shared" si="468"/>
        <v>178</v>
      </c>
      <c r="B2102" s="557"/>
      <c r="C2102" s="572"/>
      <c r="D2102" s="700"/>
      <c r="E2102" s="612"/>
      <c r="F2102" s="612"/>
      <c r="G2102" s="586"/>
      <c r="H2102" s="709"/>
      <c r="I2102" s="546"/>
      <c r="J2102" s="558"/>
      <c r="K2102" s="563" t="str">
        <f>IF(G2102&lt;&gt;0,VLOOKUP(G2102,'gia dat'!$A$1:$F$144,5,0)," ")</f>
        <v xml:space="preserve"> </v>
      </c>
      <c r="L2102" s="563" t="str">
        <f>IF(G2102&lt;&gt;0,VLOOKUP(G2102,'gia dat'!$A$1:$F$144,6,0)," ")</f>
        <v xml:space="preserve"> </v>
      </c>
      <c r="M2102" s="564" t="str">
        <f t="shared" si="455"/>
        <v xml:space="preserve"> </v>
      </c>
      <c r="N2102" s="564" t="str">
        <f t="shared" si="456"/>
        <v xml:space="preserve"> </v>
      </c>
      <c r="O2102" s="572" t="s">
        <v>1424</v>
      </c>
      <c r="P2102" s="740">
        <v>1</v>
      </c>
      <c r="Q2102" s="564">
        <f>IF(O2102&lt;&gt;0,VLOOKUP(O2102,'Cây trong'!$A$2:$C$246,3,0)," ")</f>
        <v>120000</v>
      </c>
      <c r="R2102" s="564">
        <f t="shared" si="464"/>
        <v>120000</v>
      </c>
      <c r="S2102" s="572"/>
      <c r="T2102" s="609"/>
      <c r="U2102" s="741"/>
      <c r="V2102" s="586"/>
      <c r="W2102" s="564" t="str">
        <f>IF(S2102&lt;&gt;0,VLOOKUP(S2102,VKT!$A$2:$G$415,7,0),"")</f>
        <v/>
      </c>
      <c r="X2102" s="564" t="str">
        <f t="shared" si="459"/>
        <v xml:space="preserve"> </v>
      </c>
      <c r="Y2102" s="650"/>
      <c r="Z2102" s="586"/>
      <c r="AA2102" s="742"/>
      <c r="AB2102" s="586"/>
      <c r="AC2102" s="586"/>
      <c r="AD2102" s="586"/>
      <c r="AE2102" s="586"/>
      <c r="AF2102" s="714"/>
      <c r="AG2102" s="570" t="str">
        <f>IF(AE2102&lt;&gt;0,VLOOKUP(AE2102,ODDS!$A$2:$C$13,3,0),"")</f>
        <v/>
      </c>
      <c r="AH2102" s="570" t="str">
        <f t="shared" si="466"/>
        <v xml:space="preserve"> </v>
      </c>
      <c r="AI2102" s="571" t="str">
        <f t="shared" si="462"/>
        <v xml:space="preserve"> </v>
      </c>
      <c r="AJ2102" s="558"/>
      <c r="AK2102" s="558"/>
    </row>
    <row r="2103" spans="1:37" s="394" customFormat="1" ht="20.25" outlineLevel="2" x14ac:dyDescent="0.3">
      <c r="A2103" s="447">
        <f t="shared" si="468"/>
        <v>178</v>
      </c>
      <c r="B2103" s="557"/>
      <c r="C2103" s="572"/>
      <c r="D2103" s="700"/>
      <c r="E2103" s="612"/>
      <c r="F2103" s="612"/>
      <c r="G2103" s="586"/>
      <c r="H2103" s="709"/>
      <c r="I2103" s="546"/>
      <c r="J2103" s="558"/>
      <c r="K2103" s="563" t="str">
        <f>IF(G2103&lt;&gt;0,VLOOKUP(G2103,'gia dat'!$A$1:$F$144,5,0)," ")</f>
        <v xml:space="preserve"> </v>
      </c>
      <c r="L2103" s="563" t="str">
        <f>IF(G2103&lt;&gt;0,VLOOKUP(G2103,'gia dat'!$A$1:$F$144,6,0)," ")</f>
        <v xml:space="preserve"> </v>
      </c>
      <c r="M2103" s="564" t="str">
        <f t="shared" si="455"/>
        <v xml:space="preserve"> </v>
      </c>
      <c r="N2103" s="564" t="str">
        <f t="shared" si="456"/>
        <v xml:space="preserve"> </v>
      </c>
      <c r="O2103" s="572" t="s">
        <v>1425</v>
      </c>
      <c r="P2103" s="740">
        <v>1</v>
      </c>
      <c r="Q2103" s="564">
        <f>IF(O2103&lt;&gt;0,VLOOKUP(O2103,'Cây trong'!$A$2:$C$246,3,0)," ")</f>
        <v>1007000</v>
      </c>
      <c r="R2103" s="564">
        <f t="shared" si="464"/>
        <v>1007000</v>
      </c>
      <c r="S2103" s="572"/>
      <c r="T2103" s="609"/>
      <c r="U2103" s="741"/>
      <c r="V2103" s="586"/>
      <c r="W2103" s="564" t="str">
        <f>IF(S2103&lt;&gt;0,VLOOKUP(S2103,VKT!$A$2:$G$415,7,0),"")</f>
        <v/>
      </c>
      <c r="X2103" s="564" t="str">
        <f t="shared" si="459"/>
        <v xml:space="preserve"> </v>
      </c>
      <c r="Y2103" s="650"/>
      <c r="Z2103" s="586"/>
      <c r="AA2103" s="742"/>
      <c r="AB2103" s="586"/>
      <c r="AC2103" s="586"/>
      <c r="AD2103" s="586"/>
      <c r="AE2103" s="586"/>
      <c r="AF2103" s="714"/>
      <c r="AG2103" s="570" t="str">
        <f>IF(AE2103&lt;&gt;0,VLOOKUP(AE2103,ODDS!$A$2:$C$13,3,0),"")</f>
        <v/>
      </c>
      <c r="AH2103" s="570" t="str">
        <f t="shared" si="466"/>
        <v xml:space="preserve"> </v>
      </c>
      <c r="AI2103" s="571" t="str">
        <f t="shared" si="462"/>
        <v xml:space="preserve"> </v>
      </c>
      <c r="AJ2103" s="558"/>
      <c r="AK2103" s="558"/>
    </row>
    <row r="2104" spans="1:37" s="394" customFormat="1" ht="20.25" outlineLevel="2" x14ac:dyDescent="0.3">
      <c r="A2104" s="447">
        <f t="shared" si="468"/>
        <v>178</v>
      </c>
      <c r="B2104" s="557"/>
      <c r="C2104" s="572"/>
      <c r="D2104" s="700"/>
      <c r="E2104" s="612"/>
      <c r="F2104" s="612"/>
      <c r="G2104" s="586"/>
      <c r="H2104" s="709"/>
      <c r="I2104" s="546"/>
      <c r="J2104" s="558"/>
      <c r="K2104" s="563" t="str">
        <f>IF(G2104&lt;&gt;0,VLOOKUP(G2104,'gia dat'!$A$1:$F$144,5,0)," ")</f>
        <v xml:space="preserve"> </v>
      </c>
      <c r="L2104" s="563" t="str">
        <f>IF(G2104&lt;&gt;0,VLOOKUP(G2104,'gia dat'!$A$1:$F$144,6,0)," ")</f>
        <v xml:space="preserve"> </v>
      </c>
      <c r="M2104" s="564" t="str">
        <f t="shared" si="455"/>
        <v xml:space="preserve"> </v>
      </c>
      <c r="N2104" s="564" t="str">
        <f t="shared" si="456"/>
        <v xml:space="preserve"> </v>
      </c>
      <c r="O2104" s="572" t="s">
        <v>1224</v>
      </c>
      <c r="P2104" s="740">
        <v>1</v>
      </c>
      <c r="Q2104" s="564">
        <f>IF(O2104&lt;&gt;0,VLOOKUP(O2104,'Cây trong'!$A$2:$C$246,3,0)," ")</f>
        <v>667000</v>
      </c>
      <c r="R2104" s="564">
        <f t="shared" si="464"/>
        <v>667000</v>
      </c>
      <c r="S2104" s="572"/>
      <c r="T2104" s="609"/>
      <c r="U2104" s="741"/>
      <c r="V2104" s="586"/>
      <c r="W2104" s="564" t="str">
        <f>IF(S2104&lt;&gt;0,VLOOKUP(S2104,VKT!$A$2:$G$415,7,0),"")</f>
        <v/>
      </c>
      <c r="X2104" s="564" t="str">
        <f t="shared" si="459"/>
        <v xml:space="preserve"> </v>
      </c>
      <c r="Y2104" s="650"/>
      <c r="Z2104" s="586"/>
      <c r="AA2104" s="742"/>
      <c r="AB2104" s="586"/>
      <c r="AC2104" s="586"/>
      <c r="AD2104" s="586"/>
      <c r="AE2104" s="586"/>
      <c r="AF2104" s="714"/>
      <c r="AG2104" s="570" t="str">
        <f>IF(AE2104&lt;&gt;0,VLOOKUP(AE2104,ODDS!$A$2:$C$13,3,0),"")</f>
        <v/>
      </c>
      <c r="AH2104" s="570" t="str">
        <f t="shared" si="466"/>
        <v xml:space="preserve"> </v>
      </c>
      <c r="AI2104" s="571" t="str">
        <f t="shared" si="462"/>
        <v xml:space="preserve"> </v>
      </c>
      <c r="AJ2104" s="558"/>
      <c r="AK2104" s="558"/>
    </row>
    <row r="2105" spans="1:37" s="394" customFormat="1" ht="20.25" outlineLevel="2" x14ac:dyDescent="0.3">
      <c r="A2105" s="447">
        <f t="shared" si="468"/>
        <v>178</v>
      </c>
      <c r="B2105" s="557"/>
      <c r="C2105" s="572"/>
      <c r="D2105" s="700"/>
      <c r="E2105" s="612"/>
      <c r="F2105" s="612"/>
      <c r="G2105" s="586"/>
      <c r="H2105" s="709"/>
      <c r="I2105" s="546"/>
      <c r="J2105" s="558"/>
      <c r="K2105" s="563" t="str">
        <f>IF(G2105&lt;&gt;0,VLOOKUP(G2105,'gia dat'!$A$1:$F$144,5,0)," ")</f>
        <v xml:space="preserve"> </v>
      </c>
      <c r="L2105" s="563" t="str">
        <f>IF(G2105&lt;&gt;0,VLOOKUP(G2105,'gia dat'!$A$1:$F$144,6,0)," ")</f>
        <v xml:space="preserve"> </v>
      </c>
      <c r="M2105" s="564" t="str">
        <f t="shared" si="455"/>
        <v xml:space="preserve"> </v>
      </c>
      <c r="N2105" s="564" t="str">
        <f t="shared" si="456"/>
        <v xml:space="preserve"> </v>
      </c>
      <c r="O2105" s="572" t="s">
        <v>1278</v>
      </c>
      <c r="P2105" s="740">
        <v>1</v>
      </c>
      <c r="Q2105" s="564">
        <f>IF(O2105&lt;&gt;0,VLOOKUP(O2105,'Cây trong'!$A$2:$C$246,3,0)," ")</f>
        <v>360000</v>
      </c>
      <c r="R2105" s="564">
        <f t="shared" si="464"/>
        <v>360000</v>
      </c>
      <c r="S2105" s="572"/>
      <c r="T2105" s="609"/>
      <c r="U2105" s="741"/>
      <c r="V2105" s="586"/>
      <c r="W2105" s="564" t="str">
        <f>IF(S2105&lt;&gt;0,VLOOKUP(S2105,VKT!$A$2:$G$415,7,0),"")</f>
        <v/>
      </c>
      <c r="X2105" s="564" t="str">
        <f t="shared" si="459"/>
        <v xml:space="preserve"> </v>
      </c>
      <c r="Y2105" s="650"/>
      <c r="Z2105" s="586"/>
      <c r="AA2105" s="742"/>
      <c r="AB2105" s="586"/>
      <c r="AC2105" s="586"/>
      <c r="AD2105" s="586"/>
      <c r="AE2105" s="586"/>
      <c r="AF2105" s="714"/>
      <c r="AG2105" s="570" t="str">
        <f>IF(AE2105&lt;&gt;0,VLOOKUP(AE2105,ODDS!$A$2:$C$13,3,0),"")</f>
        <v/>
      </c>
      <c r="AH2105" s="570" t="str">
        <f t="shared" si="466"/>
        <v xml:space="preserve"> </v>
      </c>
      <c r="AI2105" s="571" t="str">
        <f t="shared" si="462"/>
        <v xml:space="preserve"> </v>
      </c>
      <c r="AJ2105" s="558"/>
      <c r="AK2105" s="558"/>
    </row>
    <row r="2106" spans="1:37" s="394" customFormat="1" ht="40.5" outlineLevel="2" x14ac:dyDescent="0.3">
      <c r="A2106" s="447">
        <f t="shared" si="468"/>
        <v>178</v>
      </c>
      <c r="B2106" s="557"/>
      <c r="C2106" s="572"/>
      <c r="D2106" s="700"/>
      <c r="E2106" s="612"/>
      <c r="F2106" s="612"/>
      <c r="G2106" s="586"/>
      <c r="H2106" s="709"/>
      <c r="I2106" s="546"/>
      <c r="J2106" s="558"/>
      <c r="K2106" s="563" t="str">
        <f>IF(G2106&lt;&gt;0,VLOOKUP(G2106,'gia dat'!$A$1:$F$144,5,0)," ")</f>
        <v xml:space="preserve"> </v>
      </c>
      <c r="L2106" s="563" t="str">
        <f>IF(G2106&lt;&gt;0,VLOOKUP(G2106,'gia dat'!$A$1:$F$144,6,0)," ")</f>
        <v xml:space="preserve"> </v>
      </c>
      <c r="M2106" s="564" t="str">
        <f t="shared" si="455"/>
        <v xml:space="preserve"> </v>
      </c>
      <c r="N2106" s="564" t="str">
        <f t="shared" si="456"/>
        <v xml:space="preserve"> </v>
      </c>
      <c r="O2106" s="572" t="s">
        <v>409</v>
      </c>
      <c r="P2106" s="740">
        <v>1</v>
      </c>
      <c r="Q2106" s="564">
        <f>IF(O2106&lt;&gt;0,VLOOKUP(O2106,'Cây trong'!$A$2:$C$246,3,0)," ")</f>
        <v>72000</v>
      </c>
      <c r="R2106" s="564">
        <f t="shared" si="464"/>
        <v>72000</v>
      </c>
      <c r="S2106" s="572"/>
      <c r="T2106" s="609"/>
      <c r="U2106" s="741"/>
      <c r="V2106" s="586"/>
      <c r="W2106" s="564" t="str">
        <f>IF(S2106&lt;&gt;0,VLOOKUP(S2106,VKT!$A$2:$G$415,7,0),"")</f>
        <v/>
      </c>
      <c r="X2106" s="564" t="str">
        <f t="shared" si="459"/>
        <v xml:space="preserve"> </v>
      </c>
      <c r="Y2106" s="650"/>
      <c r="Z2106" s="586"/>
      <c r="AA2106" s="742"/>
      <c r="AB2106" s="586"/>
      <c r="AC2106" s="586"/>
      <c r="AD2106" s="586"/>
      <c r="AE2106" s="586"/>
      <c r="AF2106" s="714"/>
      <c r="AG2106" s="570" t="str">
        <f>IF(AE2106&lt;&gt;0,VLOOKUP(AE2106,ODDS!$A$2:$C$13,3,0),"")</f>
        <v/>
      </c>
      <c r="AH2106" s="570" t="str">
        <f t="shared" si="466"/>
        <v xml:space="preserve"> </v>
      </c>
      <c r="AI2106" s="571" t="str">
        <f t="shared" si="462"/>
        <v xml:space="preserve"> </v>
      </c>
      <c r="AJ2106" s="558"/>
      <c r="AK2106" s="558"/>
    </row>
    <row r="2107" spans="1:37" s="394" customFormat="1" ht="40.5" outlineLevel="2" x14ac:dyDescent="0.3">
      <c r="A2107" s="447">
        <f t="shared" si="468"/>
        <v>178</v>
      </c>
      <c r="B2107" s="557"/>
      <c r="C2107" s="572"/>
      <c r="D2107" s="700"/>
      <c r="E2107" s="612"/>
      <c r="F2107" s="612"/>
      <c r="G2107" s="586"/>
      <c r="H2107" s="709"/>
      <c r="I2107" s="546"/>
      <c r="J2107" s="558"/>
      <c r="K2107" s="563" t="str">
        <f>IF(G2107&lt;&gt;0,VLOOKUP(G2107,'gia dat'!$A$1:$F$144,5,0)," ")</f>
        <v xml:space="preserve"> </v>
      </c>
      <c r="L2107" s="563" t="str">
        <f>IF(G2107&lt;&gt;0,VLOOKUP(G2107,'gia dat'!$A$1:$F$144,6,0)," ")</f>
        <v xml:space="preserve"> </v>
      </c>
      <c r="M2107" s="564" t="str">
        <f t="shared" ref="M2107:M2174" si="469">IF(H2107&lt;&gt;0,ROUND(H2107*K2107,-3)," ")</f>
        <v xml:space="preserve"> </v>
      </c>
      <c r="N2107" s="564" t="str">
        <f t="shared" ref="N2107:N2174" si="470">IF(H2107&lt;&gt;0,ROUND(H2107*L2107,-3)," ")</f>
        <v xml:space="preserve"> </v>
      </c>
      <c r="O2107" s="572" t="s">
        <v>1426</v>
      </c>
      <c r="P2107" s="740">
        <v>1</v>
      </c>
      <c r="Q2107" s="564">
        <f>IF(O2107&lt;&gt;0,VLOOKUP(O2107,'Cây trong'!$A$2:$C$246,3,0)," ")</f>
        <v>0</v>
      </c>
      <c r="R2107" s="564">
        <f t="shared" si="464"/>
        <v>0</v>
      </c>
      <c r="S2107" s="572"/>
      <c r="T2107" s="609"/>
      <c r="U2107" s="741"/>
      <c r="V2107" s="586"/>
      <c r="W2107" s="564" t="str">
        <f>IF(S2107&lt;&gt;0,VLOOKUP(S2107,VKT!$A$2:$G$415,7,0),"")</f>
        <v/>
      </c>
      <c r="X2107" s="564" t="str">
        <f t="shared" si="459"/>
        <v xml:space="preserve"> </v>
      </c>
      <c r="Y2107" s="650"/>
      <c r="Z2107" s="586"/>
      <c r="AA2107" s="742"/>
      <c r="AB2107" s="586"/>
      <c r="AC2107" s="586"/>
      <c r="AD2107" s="586"/>
      <c r="AE2107" s="586"/>
      <c r="AF2107" s="714"/>
      <c r="AG2107" s="570" t="str">
        <f>IF(AE2107&lt;&gt;0,VLOOKUP(AE2107,ODDS!$A$2:$C$13,3,0),"")</f>
        <v/>
      </c>
      <c r="AH2107" s="570" t="str">
        <f t="shared" si="466"/>
        <v xml:space="preserve"> </v>
      </c>
      <c r="AI2107" s="571" t="str">
        <f t="shared" si="462"/>
        <v xml:space="preserve"> </v>
      </c>
      <c r="AJ2107" s="558"/>
      <c r="AK2107" s="558"/>
    </row>
    <row r="2108" spans="1:37" s="394" customFormat="1" ht="40.5" outlineLevel="2" x14ac:dyDescent="0.3">
      <c r="A2108" s="447">
        <f t="shared" si="468"/>
        <v>178</v>
      </c>
      <c r="B2108" s="557"/>
      <c r="C2108" s="572"/>
      <c r="D2108" s="700"/>
      <c r="E2108" s="612"/>
      <c r="F2108" s="612"/>
      <c r="G2108" s="586"/>
      <c r="H2108" s="709"/>
      <c r="I2108" s="546"/>
      <c r="J2108" s="558"/>
      <c r="K2108" s="563" t="str">
        <f>IF(G2108&lt;&gt;0,VLOOKUP(G2108,'gia dat'!$A$1:$F$144,5,0)," ")</f>
        <v xml:space="preserve"> </v>
      </c>
      <c r="L2108" s="563" t="str">
        <f>IF(G2108&lt;&gt;0,VLOOKUP(G2108,'gia dat'!$A$1:$F$144,6,0)," ")</f>
        <v xml:space="preserve"> </v>
      </c>
      <c r="M2108" s="564" t="str">
        <f t="shared" si="469"/>
        <v xml:space="preserve"> </v>
      </c>
      <c r="N2108" s="564" t="str">
        <f t="shared" si="470"/>
        <v xml:space="preserve"> </v>
      </c>
      <c r="O2108" s="572" t="s">
        <v>1427</v>
      </c>
      <c r="P2108" s="740">
        <v>2</v>
      </c>
      <c r="Q2108" s="564">
        <f>IF(O2108&lt;&gt;0,VLOOKUP(O2108,'Cây trong'!$A$2:$C$246,3,0)," ")</f>
        <v>360000</v>
      </c>
      <c r="R2108" s="564">
        <f t="shared" si="464"/>
        <v>720000</v>
      </c>
      <c r="S2108" s="572"/>
      <c r="T2108" s="609"/>
      <c r="U2108" s="741"/>
      <c r="V2108" s="586"/>
      <c r="W2108" s="564" t="str">
        <f>IF(S2108&lt;&gt;0,VLOOKUP(S2108,VKT!$A$2:$G$415,7,0),"")</f>
        <v/>
      </c>
      <c r="X2108" s="564" t="str">
        <f t="shared" si="459"/>
        <v xml:space="preserve"> </v>
      </c>
      <c r="Y2108" s="650"/>
      <c r="Z2108" s="586"/>
      <c r="AA2108" s="742"/>
      <c r="AB2108" s="586"/>
      <c r="AC2108" s="586"/>
      <c r="AD2108" s="586"/>
      <c r="AE2108" s="586"/>
      <c r="AF2108" s="714"/>
      <c r="AG2108" s="570" t="str">
        <f>IF(AE2108&lt;&gt;0,VLOOKUP(AE2108,ODDS!$A$2:$C$13,3,0),"")</f>
        <v/>
      </c>
      <c r="AH2108" s="570" t="str">
        <f t="shared" si="466"/>
        <v xml:space="preserve"> </v>
      </c>
      <c r="AI2108" s="571" t="str">
        <f t="shared" si="462"/>
        <v xml:space="preserve"> </v>
      </c>
      <c r="AJ2108" s="558"/>
      <c r="AK2108" s="558"/>
    </row>
    <row r="2109" spans="1:37" s="394" customFormat="1" ht="40.5" outlineLevel="2" x14ac:dyDescent="0.3">
      <c r="A2109" s="447">
        <f t="shared" si="468"/>
        <v>178</v>
      </c>
      <c r="B2109" s="557"/>
      <c r="C2109" s="572"/>
      <c r="D2109" s="700"/>
      <c r="E2109" s="612"/>
      <c r="F2109" s="612"/>
      <c r="G2109" s="586"/>
      <c r="H2109" s="709"/>
      <c r="I2109" s="546"/>
      <c r="J2109" s="558"/>
      <c r="K2109" s="563" t="str">
        <f>IF(G2109&lt;&gt;0,VLOOKUP(G2109,'gia dat'!$A$1:$F$144,5,0)," ")</f>
        <v xml:space="preserve"> </v>
      </c>
      <c r="L2109" s="563" t="str">
        <f>IF(G2109&lt;&gt;0,VLOOKUP(G2109,'gia dat'!$A$1:$F$144,6,0)," ")</f>
        <v xml:space="preserve"> </v>
      </c>
      <c r="M2109" s="564" t="str">
        <f t="shared" si="469"/>
        <v xml:space="preserve"> </v>
      </c>
      <c r="N2109" s="564" t="str">
        <f t="shared" si="470"/>
        <v xml:space="preserve"> </v>
      </c>
      <c r="O2109" s="572" t="s">
        <v>401</v>
      </c>
      <c r="P2109" s="740">
        <v>95</v>
      </c>
      <c r="Q2109" s="564">
        <f>IF(O2109&lt;&gt;0,VLOOKUP(O2109,'Cây trong'!$A$2:$C$246,3,0)," ")</f>
        <v>80000</v>
      </c>
      <c r="R2109" s="564">
        <f t="shared" si="464"/>
        <v>7600000</v>
      </c>
      <c r="S2109" s="572"/>
      <c r="T2109" s="609"/>
      <c r="U2109" s="741"/>
      <c r="V2109" s="586"/>
      <c r="W2109" s="564" t="str">
        <f>IF(S2109&lt;&gt;0,VLOOKUP(S2109,VKT!$A$2:$G$415,7,0),"")</f>
        <v/>
      </c>
      <c r="X2109" s="564" t="str">
        <f t="shared" si="459"/>
        <v xml:space="preserve"> </v>
      </c>
      <c r="Y2109" s="650"/>
      <c r="Z2109" s="586"/>
      <c r="AA2109" s="742"/>
      <c r="AB2109" s="586"/>
      <c r="AC2109" s="586"/>
      <c r="AD2109" s="586"/>
      <c r="AE2109" s="586"/>
      <c r="AF2109" s="714"/>
      <c r="AG2109" s="570" t="str">
        <f>IF(AE2109&lt;&gt;0,VLOOKUP(AE2109,ODDS!$A$2:$C$13,3,0),"")</f>
        <v/>
      </c>
      <c r="AH2109" s="570" t="str">
        <f t="shared" si="466"/>
        <v xml:space="preserve"> </v>
      </c>
      <c r="AI2109" s="571" t="str">
        <f t="shared" si="462"/>
        <v xml:space="preserve"> </v>
      </c>
      <c r="AJ2109" s="558"/>
      <c r="AK2109" s="558"/>
    </row>
    <row r="2110" spans="1:37" s="394" customFormat="1" ht="20.25" outlineLevel="2" x14ac:dyDescent="0.3">
      <c r="A2110" s="447">
        <f t="shared" si="468"/>
        <v>178</v>
      </c>
      <c r="B2110" s="557"/>
      <c r="C2110" s="572"/>
      <c r="D2110" s="700"/>
      <c r="E2110" s="612"/>
      <c r="F2110" s="612"/>
      <c r="G2110" s="586"/>
      <c r="H2110" s="709"/>
      <c r="I2110" s="546"/>
      <c r="J2110" s="558"/>
      <c r="K2110" s="563" t="str">
        <f>IF(G2110&lt;&gt;0,VLOOKUP(G2110,'gia dat'!$A$1:$F$144,5,0)," ")</f>
        <v xml:space="preserve"> </v>
      </c>
      <c r="L2110" s="563" t="str">
        <f>IF(G2110&lt;&gt;0,VLOOKUP(G2110,'gia dat'!$A$1:$F$144,6,0)," ")</f>
        <v xml:space="preserve"> </v>
      </c>
      <c r="M2110" s="564" t="str">
        <f t="shared" si="469"/>
        <v xml:space="preserve"> </v>
      </c>
      <c r="N2110" s="564" t="str">
        <f t="shared" si="470"/>
        <v xml:space="preserve"> </v>
      </c>
      <c r="O2110" s="572" t="s">
        <v>1383</v>
      </c>
      <c r="P2110" s="740">
        <v>2</v>
      </c>
      <c r="Q2110" s="564">
        <f>IF(O2110&lt;&gt;0,VLOOKUP(O2110,'Cây trong'!$A$2:$C$246,3,0)," ")</f>
        <v>1800000</v>
      </c>
      <c r="R2110" s="564">
        <f t="shared" si="464"/>
        <v>3600000</v>
      </c>
      <c r="S2110" s="572"/>
      <c r="T2110" s="609"/>
      <c r="U2110" s="741"/>
      <c r="V2110" s="586"/>
      <c r="W2110" s="564" t="str">
        <f>IF(S2110&lt;&gt;0,VLOOKUP(S2110,VKT!$A$2:$G$415,7,0),"")</f>
        <v/>
      </c>
      <c r="X2110" s="564" t="str">
        <f t="shared" si="459"/>
        <v xml:space="preserve"> </v>
      </c>
      <c r="Y2110" s="650"/>
      <c r="Z2110" s="586"/>
      <c r="AA2110" s="742"/>
      <c r="AB2110" s="586"/>
      <c r="AC2110" s="586"/>
      <c r="AD2110" s="586"/>
      <c r="AE2110" s="586"/>
      <c r="AF2110" s="714"/>
      <c r="AG2110" s="570" t="str">
        <f>IF(AE2110&lt;&gt;0,VLOOKUP(AE2110,ODDS!$A$2:$C$13,3,0),"")</f>
        <v/>
      </c>
      <c r="AH2110" s="570" t="str">
        <f t="shared" si="466"/>
        <v xml:space="preserve"> </v>
      </c>
      <c r="AI2110" s="571" t="str">
        <f t="shared" si="462"/>
        <v xml:space="preserve"> </v>
      </c>
      <c r="AJ2110" s="558"/>
      <c r="AK2110" s="558"/>
    </row>
    <row r="2111" spans="1:37" s="394" customFormat="1" ht="20.25" outlineLevel="2" x14ac:dyDescent="0.3">
      <c r="A2111" s="447">
        <f t="shared" si="468"/>
        <v>178</v>
      </c>
      <c r="B2111" s="557"/>
      <c r="C2111" s="572"/>
      <c r="D2111" s="700"/>
      <c r="E2111" s="612"/>
      <c r="F2111" s="612"/>
      <c r="G2111" s="586"/>
      <c r="H2111" s="709"/>
      <c r="I2111" s="546"/>
      <c r="J2111" s="558"/>
      <c r="K2111" s="563" t="str">
        <f>IF(G2111&lt;&gt;0,VLOOKUP(G2111,'gia dat'!$A$1:$F$144,5,0)," ")</f>
        <v xml:space="preserve"> </v>
      </c>
      <c r="L2111" s="563" t="str">
        <f>IF(G2111&lt;&gt;0,VLOOKUP(G2111,'gia dat'!$A$1:$F$144,6,0)," ")</f>
        <v xml:space="preserve"> </v>
      </c>
      <c r="M2111" s="564" t="str">
        <f t="shared" si="469"/>
        <v xml:space="preserve"> </v>
      </c>
      <c r="N2111" s="564" t="str">
        <f t="shared" si="470"/>
        <v xml:space="preserve"> </v>
      </c>
      <c r="O2111" s="572" t="s">
        <v>352</v>
      </c>
      <c r="P2111" s="740">
        <v>3</v>
      </c>
      <c r="Q2111" s="564">
        <f>IF(O2111&lt;&gt;0,VLOOKUP(O2111,'Cây trong'!$A$2:$C$246,3,0)," ")</f>
        <v>60000</v>
      </c>
      <c r="R2111" s="564">
        <f t="shared" si="464"/>
        <v>180000</v>
      </c>
      <c r="S2111" s="572"/>
      <c r="T2111" s="609"/>
      <c r="U2111" s="741"/>
      <c r="V2111" s="586"/>
      <c r="W2111" s="564" t="str">
        <f>IF(S2111&lt;&gt;0,VLOOKUP(S2111,VKT!$A$2:$G$415,7,0),"")</f>
        <v/>
      </c>
      <c r="X2111" s="564" t="str">
        <f t="shared" si="459"/>
        <v xml:space="preserve"> </v>
      </c>
      <c r="Y2111" s="650"/>
      <c r="Z2111" s="586"/>
      <c r="AA2111" s="742"/>
      <c r="AB2111" s="586"/>
      <c r="AC2111" s="586"/>
      <c r="AD2111" s="586"/>
      <c r="AE2111" s="586"/>
      <c r="AF2111" s="714"/>
      <c r="AG2111" s="570" t="str">
        <f>IF(AE2111&lt;&gt;0,VLOOKUP(AE2111,ODDS!$A$2:$C$13,3,0),"")</f>
        <v/>
      </c>
      <c r="AH2111" s="570" t="str">
        <f t="shared" si="466"/>
        <v xml:space="preserve"> </v>
      </c>
      <c r="AI2111" s="571" t="str">
        <f t="shared" si="462"/>
        <v xml:space="preserve"> </v>
      </c>
      <c r="AJ2111" s="558"/>
      <c r="AK2111" s="558"/>
    </row>
    <row r="2112" spans="1:37" s="394" customFormat="1" ht="60.75" outlineLevel="2" x14ac:dyDescent="0.3">
      <c r="A2112" s="447">
        <f t="shared" si="468"/>
        <v>178</v>
      </c>
      <c r="B2112" s="557"/>
      <c r="C2112" s="572"/>
      <c r="D2112" s="700"/>
      <c r="E2112" s="612"/>
      <c r="F2112" s="612"/>
      <c r="G2112" s="586"/>
      <c r="H2112" s="709"/>
      <c r="I2112" s="546"/>
      <c r="J2112" s="558"/>
      <c r="K2112" s="563" t="str">
        <f>IF(G2112&lt;&gt;0,VLOOKUP(G2112,'gia dat'!$A$1:$F$144,5,0)," ")</f>
        <v xml:space="preserve"> </v>
      </c>
      <c r="L2112" s="563" t="str">
        <f>IF(G2112&lt;&gt;0,VLOOKUP(G2112,'gia dat'!$A$1:$F$144,6,0)," ")</f>
        <v xml:space="preserve"> </v>
      </c>
      <c r="M2112" s="564" t="str">
        <f t="shared" si="469"/>
        <v xml:space="preserve"> </v>
      </c>
      <c r="N2112" s="564" t="str">
        <f t="shared" si="470"/>
        <v xml:space="preserve"> </v>
      </c>
      <c r="O2112" s="572" t="s">
        <v>1428</v>
      </c>
      <c r="P2112" s="740">
        <v>1</v>
      </c>
      <c r="Q2112" s="564">
        <f>IF(O2112&lt;&gt;0,VLOOKUP(O2112,'Cây trong'!$A$2:$C$246,3,0)," ")</f>
        <v>450000</v>
      </c>
      <c r="R2112" s="564">
        <f t="shared" si="464"/>
        <v>450000</v>
      </c>
      <c r="S2112" s="572"/>
      <c r="T2112" s="609"/>
      <c r="U2112" s="741"/>
      <c r="V2112" s="586"/>
      <c r="W2112" s="564" t="str">
        <f>IF(S2112&lt;&gt;0,VLOOKUP(S2112,VKT!$A$2:$G$415,7,0),"")</f>
        <v/>
      </c>
      <c r="X2112" s="564" t="str">
        <f t="shared" si="459"/>
        <v xml:space="preserve"> </v>
      </c>
      <c r="Y2112" s="650"/>
      <c r="Z2112" s="586"/>
      <c r="AA2112" s="742"/>
      <c r="AB2112" s="586"/>
      <c r="AC2112" s="586"/>
      <c r="AD2112" s="586"/>
      <c r="AE2112" s="586"/>
      <c r="AF2112" s="714"/>
      <c r="AG2112" s="570" t="str">
        <f>IF(AE2112&lt;&gt;0,VLOOKUP(AE2112,ODDS!$A$2:$C$13,3,0),"")</f>
        <v/>
      </c>
      <c r="AH2112" s="570" t="str">
        <f t="shared" si="466"/>
        <v xml:space="preserve"> </v>
      </c>
      <c r="AI2112" s="571" t="str">
        <f t="shared" si="462"/>
        <v xml:space="preserve"> </v>
      </c>
      <c r="AJ2112" s="558"/>
      <c r="AK2112" s="558"/>
    </row>
    <row r="2113" spans="1:37" s="394" customFormat="1" ht="20.25" outlineLevel="2" x14ac:dyDescent="0.3">
      <c r="A2113" s="447">
        <f t="shared" si="468"/>
        <v>178</v>
      </c>
      <c r="B2113" s="557"/>
      <c r="C2113" s="572"/>
      <c r="D2113" s="700"/>
      <c r="E2113" s="612"/>
      <c r="F2113" s="612"/>
      <c r="G2113" s="586"/>
      <c r="H2113" s="709"/>
      <c r="I2113" s="546"/>
      <c r="J2113" s="558"/>
      <c r="K2113" s="563" t="str">
        <f>IF(G2113&lt;&gt;0,VLOOKUP(G2113,'gia dat'!$A$1:$F$144,5,0)," ")</f>
        <v xml:space="preserve"> </v>
      </c>
      <c r="L2113" s="563" t="str">
        <f>IF(G2113&lt;&gt;0,VLOOKUP(G2113,'gia dat'!$A$1:$F$144,6,0)," ")</f>
        <v xml:space="preserve"> </v>
      </c>
      <c r="M2113" s="564" t="str">
        <f t="shared" si="469"/>
        <v xml:space="preserve"> </v>
      </c>
      <c r="N2113" s="564" t="str">
        <f t="shared" si="470"/>
        <v xml:space="preserve"> </v>
      </c>
      <c r="O2113" s="572" t="s">
        <v>1351</v>
      </c>
      <c r="P2113" s="740">
        <v>1</v>
      </c>
      <c r="Q2113" s="564">
        <f>IF(O2113&lt;&gt;0,VLOOKUP(O2113,'Cây trong'!$A$2:$C$246,3,0)," ")</f>
        <v>2400000</v>
      </c>
      <c r="R2113" s="564">
        <f t="shared" si="464"/>
        <v>2400000</v>
      </c>
      <c r="S2113" s="572"/>
      <c r="T2113" s="609"/>
      <c r="U2113" s="741"/>
      <c r="V2113" s="586"/>
      <c r="W2113" s="564" t="str">
        <f>IF(S2113&lt;&gt;0,VLOOKUP(S2113,VKT!$A$2:$G$415,7,0),"")</f>
        <v/>
      </c>
      <c r="X2113" s="564" t="str">
        <f t="shared" si="459"/>
        <v xml:space="preserve"> </v>
      </c>
      <c r="Y2113" s="650"/>
      <c r="Z2113" s="586"/>
      <c r="AA2113" s="742"/>
      <c r="AB2113" s="586"/>
      <c r="AC2113" s="586"/>
      <c r="AD2113" s="586"/>
      <c r="AE2113" s="586"/>
      <c r="AF2113" s="714"/>
      <c r="AG2113" s="570" t="str">
        <f>IF(AE2113&lt;&gt;0,VLOOKUP(AE2113,ODDS!$A$2:$C$13,3,0),"")</f>
        <v/>
      </c>
      <c r="AH2113" s="570" t="str">
        <f t="shared" si="466"/>
        <v xml:space="preserve"> </v>
      </c>
      <c r="AI2113" s="571" t="str">
        <f t="shared" si="462"/>
        <v xml:space="preserve"> </v>
      </c>
      <c r="AJ2113" s="558"/>
      <c r="AK2113" s="558"/>
    </row>
    <row r="2114" spans="1:37" s="394" customFormat="1" ht="20.25" outlineLevel="2" x14ac:dyDescent="0.3">
      <c r="A2114" s="447">
        <f t="shared" si="468"/>
        <v>178</v>
      </c>
      <c r="B2114" s="557"/>
      <c r="C2114" s="572"/>
      <c r="D2114" s="700"/>
      <c r="E2114" s="612"/>
      <c r="F2114" s="612"/>
      <c r="G2114" s="586"/>
      <c r="H2114" s="709"/>
      <c r="I2114" s="546"/>
      <c r="J2114" s="558"/>
      <c r="K2114" s="563" t="str">
        <f>IF(G2114&lt;&gt;0,VLOOKUP(G2114,'gia dat'!$A$1:$F$144,5,0)," ")</f>
        <v xml:space="preserve"> </v>
      </c>
      <c r="L2114" s="563" t="str">
        <f>IF(G2114&lt;&gt;0,VLOOKUP(G2114,'gia dat'!$A$1:$F$144,6,0)," ")</f>
        <v xml:space="preserve"> </v>
      </c>
      <c r="M2114" s="564" t="str">
        <f t="shared" si="469"/>
        <v xml:space="preserve"> </v>
      </c>
      <c r="N2114" s="564" t="str">
        <f t="shared" si="470"/>
        <v xml:space="preserve"> </v>
      </c>
      <c r="O2114" s="572" t="s">
        <v>1429</v>
      </c>
      <c r="P2114" s="740">
        <v>3</v>
      </c>
      <c r="Q2114" s="564">
        <f>IF(O2114&lt;&gt;0,VLOOKUP(O2114,'Cây trong'!$A$2:$C$246,3,0)," ")</f>
        <v>1200000</v>
      </c>
      <c r="R2114" s="564">
        <f t="shared" si="464"/>
        <v>3600000</v>
      </c>
      <c r="S2114" s="572"/>
      <c r="T2114" s="609"/>
      <c r="U2114" s="741"/>
      <c r="V2114" s="586"/>
      <c r="W2114" s="564" t="str">
        <f>IF(S2114&lt;&gt;0,VLOOKUP(S2114,VKT!$A$2:$G$415,7,0),"")</f>
        <v/>
      </c>
      <c r="X2114" s="564" t="str">
        <f t="shared" si="459"/>
        <v xml:space="preserve"> </v>
      </c>
      <c r="Y2114" s="650"/>
      <c r="Z2114" s="586"/>
      <c r="AA2114" s="742"/>
      <c r="AB2114" s="586"/>
      <c r="AC2114" s="586"/>
      <c r="AD2114" s="586"/>
      <c r="AE2114" s="586"/>
      <c r="AF2114" s="714"/>
      <c r="AG2114" s="570" t="str">
        <f>IF(AE2114&lt;&gt;0,VLOOKUP(AE2114,ODDS!$A$2:$C$13,3,0),"")</f>
        <v/>
      </c>
      <c r="AH2114" s="570" t="str">
        <f t="shared" si="466"/>
        <v xml:space="preserve"> </v>
      </c>
      <c r="AI2114" s="571" t="str">
        <f t="shared" si="462"/>
        <v xml:space="preserve"> </v>
      </c>
      <c r="AJ2114" s="558"/>
      <c r="AK2114" s="558"/>
    </row>
    <row r="2115" spans="1:37" s="394" customFormat="1" ht="20.25" outlineLevel="2" x14ac:dyDescent="0.3">
      <c r="A2115" s="447">
        <f t="shared" si="468"/>
        <v>178</v>
      </c>
      <c r="B2115" s="557"/>
      <c r="C2115" s="572"/>
      <c r="D2115" s="700"/>
      <c r="E2115" s="612"/>
      <c r="F2115" s="612"/>
      <c r="G2115" s="586"/>
      <c r="H2115" s="709"/>
      <c r="I2115" s="546"/>
      <c r="J2115" s="558"/>
      <c r="K2115" s="563" t="str">
        <f>IF(G2115&lt;&gt;0,VLOOKUP(G2115,'gia dat'!$A$1:$F$144,5,0)," ")</f>
        <v xml:space="preserve"> </v>
      </c>
      <c r="L2115" s="563" t="str">
        <f>IF(G2115&lt;&gt;0,VLOOKUP(G2115,'gia dat'!$A$1:$F$144,6,0)," ")</f>
        <v xml:space="preserve"> </v>
      </c>
      <c r="M2115" s="564" t="str">
        <f t="shared" si="469"/>
        <v xml:space="preserve"> </v>
      </c>
      <c r="N2115" s="564" t="str">
        <f t="shared" si="470"/>
        <v xml:space="preserve"> </v>
      </c>
      <c r="O2115" s="572" t="s">
        <v>1430</v>
      </c>
      <c r="P2115" s="740">
        <v>1</v>
      </c>
      <c r="Q2115" s="564">
        <f>IF(O2115&lt;&gt;0,VLOOKUP(O2115,'Cây trong'!$A$2:$C$246,3,0)," ")</f>
        <v>600000</v>
      </c>
      <c r="R2115" s="564">
        <f t="shared" si="464"/>
        <v>600000</v>
      </c>
      <c r="S2115" s="572"/>
      <c r="T2115" s="609"/>
      <c r="U2115" s="741"/>
      <c r="V2115" s="586"/>
      <c r="W2115" s="564" t="str">
        <f>IF(S2115&lt;&gt;0,VLOOKUP(S2115,VKT!$A$2:$G$415,7,0),"")</f>
        <v/>
      </c>
      <c r="X2115" s="564" t="str">
        <f t="shared" si="459"/>
        <v xml:space="preserve"> </v>
      </c>
      <c r="Y2115" s="650"/>
      <c r="Z2115" s="586"/>
      <c r="AA2115" s="742"/>
      <c r="AB2115" s="586"/>
      <c r="AC2115" s="586"/>
      <c r="AD2115" s="586"/>
      <c r="AE2115" s="586"/>
      <c r="AF2115" s="714"/>
      <c r="AG2115" s="570" t="str">
        <f>IF(AE2115&lt;&gt;0,VLOOKUP(AE2115,ODDS!$A$2:$C$13,3,0),"")</f>
        <v/>
      </c>
      <c r="AH2115" s="570" t="str">
        <f t="shared" si="466"/>
        <v xml:space="preserve"> </v>
      </c>
      <c r="AI2115" s="571" t="str">
        <f t="shared" si="462"/>
        <v xml:space="preserve"> </v>
      </c>
      <c r="AJ2115" s="558"/>
      <c r="AK2115" s="558"/>
    </row>
    <row r="2116" spans="1:37" s="394" customFormat="1" ht="20.25" outlineLevel="2" x14ac:dyDescent="0.3">
      <c r="A2116" s="447">
        <f t="shared" si="468"/>
        <v>178</v>
      </c>
      <c r="B2116" s="557"/>
      <c r="C2116" s="572"/>
      <c r="D2116" s="700"/>
      <c r="E2116" s="612"/>
      <c r="F2116" s="612"/>
      <c r="G2116" s="586"/>
      <c r="H2116" s="709"/>
      <c r="I2116" s="546"/>
      <c r="J2116" s="558"/>
      <c r="K2116" s="563" t="str">
        <f>IF(G2116&lt;&gt;0,VLOOKUP(G2116,'gia dat'!$A$1:$F$144,5,0)," ")</f>
        <v xml:space="preserve"> </v>
      </c>
      <c r="L2116" s="563" t="str">
        <f>IF(G2116&lt;&gt;0,VLOOKUP(G2116,'gia dat'!$A$1:$F$144,6,0)," ")</f>
        <v xml:space="preserve"> </v>
      </c>
      <c r="M2116" s="564" t="str">
        <f t="shared" si="469"/>
        <v xml:space="preserve"> </v>
      </c>
      <c r="N2116" s="564" t="str">
        <f t="shared" si="470"/>
        <v xml:space="preserve"> </v>
      </c>
      <c r="O2116" s="572" t="s">
        <v>1431</v>
      </c>
      <c r="P2116" s="740">
        <v>1</v>
      </c>
      <c r="Q2116" s="564">
        <f>IF(O2116&lt;&gt;0,VLOOKUP(O2116,'Cây trong'!$A$2:$C$246,3,0)," ")</f>
        <v>165000</v>
      </c>
      <c r="R2116" s="564">
        <f t="shared" si="464"/>
        <v>165000</v>
      </c>
      <c r="S2116" s="572"/>
      <c r="T2116" s="609"/>
      <c r="U2116" s="741"/>
      <c r="V2116" s="586"/>
      <c r="W2116" s="564" t="str">
        <f>IF(S2116&lt;&gt;0,VLOOKUP(S2116,VKT!$A$2:$G$415,7,0),"")</f>
        <v/>
      </c>
      <c r="X2116" s="564" t="str">
        <f t="shared" ref="X2116:X2184" si="471">IF(S2116&lt;&gt;0,ROUND(U2116*W2116,-3)," ")</f>
        <v xml:space="preserve"> </v>
      </c>
      <c r="Y2116" s="650"/>
      <c r="Z2116" s="586"/>
      <c r="AA2116" s="742"/>
      <c r="AB2116" s="586"/>
      <c r="AC2116" s="586"/>
      <c r="AD2116" s="586"/>
      <c r="AE2116" s="586"/>
      <c r="AF2116" s="714"/>
      <c r="AG2116" s="570" t="str">
        <f>IF(AE2116&lt;&gt;0,VLOOKUP(AE2116,ODDS!$A$2:$C$13,3,0),"")</f>
        <v/>
      </c>
      <c r="AH2116" s="570" t="str">
        <f t="shared" si="466"/>
        <v xml:space="preserve"> </v>
      </c>
      <c r="AI2116" s="571" t="str">
        <f t="shared" si="462"/>
        <v xml:space="preserve"> </v>
      </c>
      <c r="AJ2116" s="558"/>
      <c r="AK2116" s="558"/>
    </row>
    <row r="2117" spans="1:37" s="394" customFormat="1" ht="40.5" outlineLevel="2" x14ac:dyDescent="0.3">
      <c r="A2117" s="447">
        <f t="shared" si="468"/>
        <v>178</v>
      </c>
      <c r="B2117" s="557"/>
      <c r="C2117" s="572"/>
      <c r="D2117" s="700"/>
      <c r="E2117" s="612"/>
      <c r="F2117" s="612"/>
      <c r="G2117" s="586"/>
      <c r="H2117" s="709"/>
      <c r="I2117" s="546"/>
      <c r="J2117" s="558"/>
      <c r="K2117" s="563" t="str">
        <f>IF(G2117&lt;&gt;0,VLOOKUP(G2117,'gia dat'!$A$1:$F$144,5,0)," ")</f>
        <v xml:space="preserve"> </v>
      </c>
      <c r="L2117" s="563" t="str">
        <f>IF(G2117&lt;&gt;0,VLOOKUP(G2117,'gia dat'!$A$1:$F$144,6,0)," ")</f>
        <v xml:space="preserve"> </v>
      </c>
      <c r="M2117" s="564" t="str">
        <f t="shared" si="469"/>
        <v xml:space="preserve"> </v>
      </c>
      <c r="N2117" s="564" t="str">
        <f t="shared" si="470"/>
        <v xml:space="preserve"> </v>
      </c>
      <c r="O2117" s="572" t="s">
        <v>1432</v>
      </c>
      <c r="P2117" s="740">
        <v>9</v>
      </c>
      <c r="Q2117" s="564">
        <f>IF(O2117&lt;&gt;0,VLOOKUP(O2117,'Cây trong'!$A$2:$C$246,3,0)," ")</f>
        <v>165000</v>
      </c>
      <c r="R2117" s="564">
        <f t="shared" si="464"/>
        <v>1485000</v>
      </c>
      <c r="S2117" s="572"/>
      <c r="T2117" s="609"/>
      <c r="U2117" s="741"/>
      <c r="V2117" s="586"/>
      <c r="W2117" s="564" t="str">
        <f>IF(S2117&lt;&gt;0,VLOOKUP(S2117,VKT!$A$2:$G$415,7,0),"")</f>
        <v/>
      </c>
      <c r="X2117" s="564" t="str">
        <f t="shared" si="471"/>
        <v xml:space="preserve"> </v>
      </c>
      <c r="Y2117" s="650"/>
      <c r="Z2117" s="586"/>
      <c r="AA2117" s="742"/>
      <c r="AB2117" s="586"/>
      <c r="AC2117" s="586"/>
      <c r="AD2117" s="586"/>
      <c r="AE2117" s="586"/>
      <c r="AF2117" s="714"/>
      <c r="AG2117" s="570" t="str">
        <f>IF(AE2117&lt;&gt;0,VLOOKUP(AE2117,ODDS!$A$2:$C$13,3,0),"")</f>
        <v/>
      </c>
      <c r="AH2117" s="570" t="str">
        <f t="shared" si="466"/>
        <v xml:space="preserve"> </v>
      </c>
      <c r="AI2117" s="571" t="str">
        <f t="shared" si="462"/>
        <v xml:space="preserve"> </v>
      </c>
      <c r="AJ2117" s="558"/>
      <c r="AK2117" s="558"/>
    </row>
    <row r="2118" spans="1:37" s="394" customFormat="1" ht="20.25" outlineLevel="2" x14ac:dyDescent="0.3">
      <c r="A2118" s="447">
        <f t="shared" si="468"/>
        <v>178</v>
      </c>
      <c r="B2118" s="557"/>
      <c r="C2118" s="572"/>
      <c r="D2118" s="700"/>
      <c r="E2118" s="612"/>
      <c r="F2118" s="612"/>
      <c r="G2118" s="586"/>
      <c r="H2118" s="709"/>
      <c r="I2118" s="546"/>
      <c r="J2118" s="558"/>
      <c r="K2118" s="563" t="str">
        <f>IF(G2118&lt;&gt;0,VLOOKUP(G2118,'gia dat'!$A$1:$F$144,5,0)," ")</f>
        <v xml:space="preserve"> </v>
      </c>
      <c r="L2118" s="563" t="str">
        <f>IF(G2118&lt;&gt;0,VLOOKUP(G2118,'gia dat'!$A$1:$F$144,6,0)," ")</f>
        <v xml:space="preserve"> </v>
      </c>
      <c r="M2118" s="564" t="str">
        <f t="shared" si="469"/>
        <v xml:space="preserve"> </v>
      </c>
      <c r="N2118" s="564" t="str">
        <f t="shared" si="470"/>
        <v xml:space="preserve"> </v>
      </c>
      <c r="O2118" s="572" t="s">
        <v>1433</v>
      </c>
      <c r="P2118" s="740">
        <v>1</v>
      </c>
      <c r="Q2118" s="564">
        <f>IF(O2118&lt;&gt;0,VLOOKUP(O2118,'Cây trong'!$A$2:$C$246,3,0)," ")</f>
        <v>2200000</v>
      </c>
      <c r="R2118" s="564">
        <f t="shared" si="464"/>
        <v>2200000</v>
      </c>
      <c r="S2118" s="572"/>
      <c r="T2118" s="609"/>
      <c r="U2118" s="741"/>
      <c r="V2118" s="586"/>
      <c r="W2118" s="564" t="str">
        <f>IF(S2118&lt;&gt;0,VLOOKUP(S2118,VKT!$A$2:$G$415,7,0),"")</f>
        <v/>
      </c>
      <c r="X2118" s="564" t="str">
        <f t="shared" si="471"/>
        <v xml:space="preserve"> </v>
      </c>
      <c r="Y2118" s="650"/>
      <c r="Z2118" s="586"/>
      <c r="AA2118" s="742"/>
      <c r="AB2118" s="586"/>
      <c r="AC2118" s="586"/>
      <c r="AD2118" s="586"/>
      <c r="AE2118" s="586"/>
      <c r="AF2118" s="714"/>
      <c r="AG2118" s="570" t="str">
        <f>IF(AE2118&lt;&gt;0,VLOOKUP(AE2118,ODDS!$A$2:$C$13,3,0),"")</f>
        <v/>
      </c>
      <c r="AH2118" s="570" t="str">
        <f t="shared" si="466"/>
        <v xml:space="preserve"> </v>
      </c>
      <c r="AI2118" s="571" t="str">
        <f t="shared" si="462"/>
        <v xml:space="preserve"> </v>
      </c>
      <c r="AJ2118" s="558"/>
      <c r="AK2118" s="558"/>
    </row>
    <row r="2119" spans="1:37" s="394" customFormat="1" ht="20.25" outlineLevel="2" x14ac:dyDescent="0.3">
      <c r="A2119" s="447">
        <f t="shared" si="468"/>
        <v>178</v>
      </c>
      <c r="B2119" s="557"/>
      <c r="C2119" s="572"/>
      <c r="D2119" s="700"/>
      <c r="E2119" s="612"/>
      <c r="F2119" s="612"/>
      <c r="G2119" s="586"/>
      <c r="H2119" s="709"/>
      <c r="I2119" s="546"/>
      <c r="J2119" s="558"/>
      <c r="K2119" s="563" t="str">
        <f>IF(G2119&lt;&gt;0,VLOOKUP(G2119,'gia dat'!$A$1:$F$144,5,0)," ")</f>
        <v xml:space="preserve"> </v>
      </c>
      <c r="L2119" s="563" t="str">
        <f>IF(G2119&lt;&gt;0,VLOOKUP(G2119,'gia dat'!$A$1:$F$144,6,0)," ")</f>
        <v xml:space="preserve"> </v>
      </c>
      <c r="M2119" s="564" t="str">
        <f t="shared" si="469"/>
        <v xml:space="preserve"> </v>
      </c>
      <c r="N2119" s="564" t="str">
        <f t="shared" si="470"/>
        <v xml:space="preserve"> </v>
      </c>
      <c r="O2119" s="572" t="s">
        <v>1434</v>
      </c>
      <c r="P2119" s="740">
        <v>1</v>
      </c>
      <c r="Q2119" s="564">
        <f>IF(O2119&lt;&gt;0,VLOOKUP(O2119,'Cây trong'!$A$2:$C$246,3,0)," ")</f>
        <v>1280000</v>
      </c>
      <c r="R2119" s="564">
        <f t="shared" si="464"/>
        <v>1280000</v>
      </c>
      <c r="S2119" s="572"/>
      <c r="T2119" s="609"/>
      <c r="U2119" s="741"/>
      <c r="V2119" s="586"/>
      <c r="W2119" s="564" t="str">
        <f>IF(S2119&lt;&gt;0,VLOOKUP(S2119,VKT!$A$2:$G$415,7,0),"")</f>
        <v/>
      </c>
      <c r="X2119" s="564" t="str">
        <f t="shared" si="471"/>
        <v xml:space="preserve"> </v>
      </c>
      <c r="Y2119" s="650"/>
      <c r="Z2119" s="586"/>
      <c r="AA2119" s="742"/>
      <c r="AB2119" s="586"/>
      <c r="AC2119" s="586"/>
      <c r="AD2119" s="586"/>
      <c r="AE2119" s="586"/>
      <c r="AF2119" s="714"/>
      <c r="AG2119" s="570" t="str">
        <f>IF(AE2119&lt;&gt;0,VLOOKUP(AE2119,ODDS!$A$2:$C$13,3,0),"")</f>
        <v/>
      </c>
      <c r="AH2119" s="570" t="str">
        <f t="shared" si="466"/>
        <v xml:space="preserve"> </v>
      </c>
      <c r="AI2119" s="571" t="str">
        <f t="shared" si="462"/>
        <v xml:space="preserve"> </v>
      </c>
      <c r="AJ2119" s="558"/>
      <c r="AK2119" s="558"/>
    </row>
    <row r="2120" spans="1:37" s="394" customFormat="1" ht="20.25" outlineLevel="2" x14ac:dyDescent="0.3">
      <c r="A2120" s="447">
        <f t="shared" si="468"/>
        <v>178</v>
      </c>
      <c r="B2120" s="557"/>
      <c r="C2120" s="572"/>
      <c r="D2120" s="700"/>
      <c r="E2120" s="612"/>
      <c r="F2120" s="612"/>
      <c r="G2120" s="586"/>
      <c r="H2120" s="709"/>
      <c r="I2120" s="546"/>
      <c r="J2120" s="558"/>
      <c r="K2120" s="563" t="str">
        <f>IF(G2120&lt;&gt;0,VLOOKUP(G2120,'gia dat'!$A$1:$F$144,5,0)," ")</f>
        <v xml:space="preserve"> </v>
      </c>
      <c r="L2120" s="563" t="str">
        <f>IF(G2120&lt;&gt;0,VLOOKUP(G2120,'gia dat'!$A$1:$F$144,6,0)," ")</f>
        <v xml:space="preserve"> </v>
      </c>
      <c r="M2120" s="564" t="str">
        <f t="shared" si="469"/>
        <v xml:space="preserve"> </v>
      </c>
      <c r="N2120" s="564" t="str">
        <f t="shared" si="470"/>
        <v xml:space="preserve"> </v>
      </c>
      <c r="O2120" s="572" t="s">
        <v>1435</v>
      </c>
      <c r="P2120" s="740">
        <v>3</v>
      </c>
      <c r="Q2120" s="564">
        <f>IF(O2120&lt;&gt;0,VLOOKUP(O2120,'Cây trong'!$A$2:$C$246,3,0)," ")</f>
        <v>550000</v>
      </c>
      <c r="R2120" s="564">
        <f t="shared" si="464"/>
        <v>1650000</v>
      </c>
      <c r="S2120" s="572"/>
      <c r="T2120" s="609"/>
      <c r="U2120" s="741"/>
      <c r="V2120" s="586"/>
      <c r="W2120" s="564" t="str">
        <f>IF(S2120&lt;&gt;0,VLOOKUP(S2120,VKT!$A$2:$G$415,7,0),"")</f>
        <v/>
      </c>
      <c r="X2120" s="564" t="str">
        <f t="shared" si="471"/>
        <v xml:space="preserve"> </v>
      </c>
      <c r="Y2120" s="650"/>
      <c r="Z2120" s="586"/>
      <c r="AA2120" s="742"/>
      <c r="AB2120" s="586"/>
      <c r="AC2120" s="586"/>
      <c r="AD2120" s="586"/>
      <c r="AE2120" s="586"/>
      <c r="AF2120" s="714"/>
      <c r="AG2120" s="570" t="str">
        <f>IF(AE2120&lt;&gt;0,VLOOKUP(AE2120,ODDS!$A$2:$C$13,3,0),"")</f>
        <v/>
      </c>
      <c r="AH2120" s="570" t="str">
        <f t="shared" si="466"/>
        <v xml:space="preserve"> </v>
      </c>
      <c r="AI2120" s="571" t="str">
        <f t="shared" si="462"/>
        <v xml:space="preserve"> </v>
      </c>
      <c r="AJ2120" s="558"/>
      <c r="AK2120" s="558"/>
    </row>
    <row r="2121" spans="1:37" s="394" customFormat="1" ht="20.25" outlineLevel="2" x14ac:dyDescent="0.3">
      <c r="A2121" s="447">
        <f t="shared" si="468"/>
        <v>178</v>
      </c>
      <c r="B2121" s="557"/>
      <c r="C2121" s="572"/>
      <c r="D2121" s="700"/>
      <c r="E2121" s="612"/>
      <c r="F2121" s="612"/>
      <c r="G2121" s="586"/>
      <c r="H2121" s="709"/>
      <c r="I2121" s="546"/>
      <c r="J2121" s="558"/>
      <c r="K2121" s="563" t="str">
        <f>IF(G2121&lt;&gt;0,VLOOKUP(G2121,'gia dat'!$A$1:$F$144,5,0)," ")</f>
        <v xml:space="preserve"> </v>
      </c>
      <c r="L2121" s="563" t="str">
        <f>IF(G2121&lt;&gt;0,VLOOKUP(G2121,'gia dat'!$A$1:$F$144,6,0)," ")</f>
        <v xml:space="preserve"> </v>
      </c>
      <c r="M2121" s="564" t="str">
        <f t="shared" si="469"/>
        <v xml:space="preserve"> </v>
      </c>
      <c r="N2121" s="564" t="str">
        <f t="shared" si="470"/>
        <v xml:space="preserve"> </v>
      </c>
      <c r="O2121" s="572" t="s">
        <v>193</v>
      </c>
      <c r="P2121" s="740">
        <v>2</v>
      </c>
      <c r="Q2121" s="564">
        <f>IF(O2121&lt;&gt;0,VLOOKUP(O2121,'Cây trong'!$A$2:$C$246,3,0)," ")</f>
        <v>275000</v>
      </c>
      <c r="R2121" s="564">
        <f t="shared" si="464"/>
        <v>550000</v>
      </c>
      <c r="S2121" s="572"/>
      <c r="T2121" s="609"/>
      <c r="U2121" s="741"/>
      <c r="V2121" s="586"/>
      <c r="W2121" s="564" t="str">
        <f>IF(S2121&lt;&gt;0,VLOOKUP(S2121,VKT!$A$2:$G$415,7,0),"")</f>
        <v/>
      </c>
      <c r="X2121" s="564" t="str">
        <f t="shared" si="471"/>
        <v xml:space="preserve"> </v>
      </c>
      <c r="Y2121" s="650"/>
      <c r="Z2121" s="586"/>
      <c r="AA2121" s="742"/>
      <c r="AB2121" s="586"/>
      <c r="AC2121" s="586"/>
      <c r="AD2121" s="586"/>
      <c r="AE2121" s="586"/>
      <c r="AF2121" s="714"/>
      <c r="AG2121" s="570" t="str">
        <f>IF(AE2121&lt;&gt;0,VLOOKUP(AE2121,ODDS!$A$2:$C$13,3,0),"")</f>
        <v/>
      </c>
      <c r="AH2121" s="570" t="str">
        <f t="shared" si="466"/>
        <v xml:space="preserve"> </v>
      </c>
      <c r="AI2121" s="571" t="str">
        <f t="shared" ref="AI2121:AI2184" si="472">IF(B2121&lt;&gt;0,M2121+N2121+R2121+X2121+AH2121," ")</f>
        <v xml:space="preserve"> </v>
      </c>
      <c r="AJ2121" s="558"/>
      <c r="AK2121" s="558"/>
    </row>
    <row r="2122" spans="1:37" s="394" customFormat="1" ht="20.25" outlineLevel="2" x14ac:dyDescent="0.3">
      <c r="A2122" s="447">
        <f t="shared" si="468"/>
        <v>178</v>
      </c>
      <c r="B2122" s="557"/>
      <c r="C2122" s="572"/>
      <c r="D2122" s="700"/>
      <c r="E2122" s="612"/>
      <c r="F2122" s="612"/>
      <c r="G2122" s="586"/>
      <c r="H2122" s="709"/>
      <c r="I2122" s="546"/>
      <c r="J2122" s="558"/>
      <c r="K2122" s="563" t="str">
        <f>IF(G2122&lt;&gt;0,VLOOKUP(G2122,'gia dat'!$A$1:$F$144,5,0)," ")</f>
        <v xml:space="preserve"> </v>
      </c>
      <c r="L2122" s="563" t="str">
        <f>IF(G2122&lt;&gt;0,VLOOKUP(G2122,'gia dat'!$A$1:$F$144,6,0)," ")</f>
        <v xml:space="preserve"> </v>
      </c>
      <c r="M2122" s="564" t="str">
        <f t="shared" si="469"/>
        <v xml:space="preserve"> </v>
      </c>
      <c r="N2122" s="564" t="str">
        <f t="shared" si="470"/>
        <v xml:space="preserve"> </v>
      </c>
      <c r="O2122" s="572" t="s">
        <v>1436</v>
      </c>
      <c r="P2122" s="740">
        <v>3</v>
      </c>
      <c r="Q2122" s="564">
        <f>IF(O2122&lt;&gt;0,VLOOKUP(O2122,'Cây trong'!$A$2:$C$246,3,0)," ")</f>
        <v>600000</v>
      </c>
      <c r="R2122" s="564">
        <f t="shared" si="464"/>
        <v>1800000</v>
      </c>
      <c r="S2122" s="572"/>
      <c r="T2122" s="609"/>
      <c r="U2122" s="741"/>
      <c r="V2122" s="586"/>
      <c r="W2122" s="564" t="str">
        <f>IF(S2122&lt;&gt;0,VLOOKUP(S2122,VKT!$A$2:$G$415,7,0),"")</f>
        <v/>
      </c>
      <c r="X2122" s="564" t="str">
        <f t="shared" si="471"/>
        <v xml:space="preserve"> </v>
      </c>
      <c r="Y2122" s="650"/>
      <c r="Z2122" s="586"/>
      <c r="AA2122" s="742"/>
      <c r="AB2122" s="586"/>
      <c r="AC2122" s="586"/>
      <c r="AD2122" s="586"/>
      <c r="AE2122" s="586"/>
      <c r="AF2122" s="714"/>
      <c r="AG2122" s="570" t="str">
        <f>IF(AE2122&lt;&gt;0,VLOOKUP(AE2122,ODDS!$A$2:$C$13,3,0),"")</f>
        <v/>
      </c>
      <c r="AH2122" s="570" t="str">
        <f t="shared" si="466"/>
        <v xml:space="preserve"> </v>
      </c>
      <c r="AI2122" s="571" t="str">
        <f t="shared" si="472"/>
        <v xml:space="preserve"> </v>
      </c>
      <c r="AJ2122" s="558"/>
      <c r="AK2122" s="558"/>
    </row>
    <row r="2123" spans="1:37" s="394" customFormat="1" ht="20.25" outlineLevel="2" x14ac:dyDescent="0.3">
      <c r="A2123" s="447">
        <f t="shared" si="468"/>
        <v>178</v>
      </c>
      <c r="B2123" s="557"/>
      <c r="C2123" s="572"/>
      <c r="D2123" s="700"/>
      <c r="E2123" s="612"/>
      <c r="F2123" s="612"/>
      <c r="G2123" s="586"/>
      <c r="H2123" s="709"/>
      <c r="I2123" s="546"/>
      <c r="J2123" s="558"/>
      <c r="K2123" s="563" t="str">
        <f>IF(G2123&lt;&gt;0,VLOOKUP(G2123,'gia dat'!$A$1:$F$144,5,0)," ")</f>
        <v xml:space="preserve"> </v>
      </c>
      <c r="L2123" s="563" t="str">
        <f>IF(G2123&lt;&gt;0,VLOOKUP(G2123,'gia dat'!$A$1:$F$144,6,0)," ")</f>
        <v xml:space="preserve"> </v>
      </c>
      <c r="M2123" s="564" t="str">
        <f t="shared" si="469"/>
        <v xml:space="preserve"> </v>
      </c>
      <c r="N2123" s="564" t="str">
        <f t="shared" si="470"/>
        <v xml:space="preserve"> </v>
      </c>
      <c r="O2123" s="572" t="s">
        <v>736</v>
      </c>
      <c r="P2123" s="740">
        <v>1</v>
      </c>
      <c r="Q2123" s="564">
        <f>IF(O2123&lt;&gt;0,VLOOKUP(O2123,'Cây trong'!$A$2:$C$246,3,0)," ")</f>
        <v>32000</v>
      </c>
      <c r="R2123" s="564">
        <f t="shared" si="464"/>
        <v>32000</v>
      </c>
      <c r="S2123" s="572"/>
      <c r="T2123" s="609"/>
      <c r="U2123" s="741"/>
      <c r="V2123" s="586"/>
      <c r="W2123" s="564" t="str">
        <f>IF(S2123&lt;&gt;0,VLOOKUP(S2123,VKT!$A$2:$G$415,7,0),"")</f>
        <v/>
      </c>
      <c r="X2123" s="564" t="str">
        <f t="shared" si="471"/>
        <v xml:space="preserve"> </v>
      </c>
      <c r="Y2123" s="650"/>
      <c r="Z2123" s="586"/>
      <c r="AA2123" s="742"/>
      <c r="AB2123" s="586"/>
      <c r="AC2123" s="586"/>
      <c r="AD2123" s="586"/>
      <c r="AE2123" s="586"/>
      <c r="AF2123" s="714"/>
      <c r="AG2123" s="570" t="str">
        <f>IF(AE2123&lt;&gt;0,VLOOKUP(AE2123,ODDS!$A$2:$C$13,3,0),"")</f>
        <v/>
      </c>
      <c r="AH2123" s="570" t="str">
        <f t="shared" si="466"/>
        <v xml:space="preserve"> </v>
      </c>
      <c r="AI2123" s="571" t="str">
        <f t="shared" si="472"/>
        <v xml:space="preserve"> </v>
      </c>
      <c r="AJ2123" s="558"/>
      <c r="AK2123" s="558"/>
    </row>
    <row r="2124" spans="1:37" s="394" customFormat="1" ht="20.25" outlineLevel="2" x14ac:dyDescent="0.3">
      <c r="A2124" s="447">
        <f t="shared" si="468"/>
        <v>178</v>
      </c>
      <c r="B2124" s="557"/>
      <c r="C2124" s="572"/>
      <c r="D2124" s="700"/>
      <c r="E2124" s="612"/>
      <c r="F2124" s="612"/>
      <c r="G2124" s="586"/>
      <c r="H2124" s="709"/>
      <c r="I2124" s="546"/>
      <c r="J2124" s="558"/>
      <c r="K2124" s="563" t="str">
        <f>IF(G2124&lt;&gt;0,VLOOKUP(G2124,'gia dat'!$A$1:$F$144,5,0)," ")</f>
        <v xml:space="preserve"> </v>
      </c>
      <c r="L2124" s="563" t="str">
        <f>IF(G2124&lt;&gt;0,VLOOKUP(G2124,'gia dat'!$A$1:$F$144,6,0)," ")</f>
        <v xml:space="preserve"> </v>
      </c>
      <c r="M2124" s="564" t="str">
        <f t="shared" si="469"/>
        <v xml:space="preserve"> </v>
      </c>
      <c r="N2124" s="564" t="str">
        <f t="shared" si="470"/>
        <v xml:space="preserve"> </v>
      </c>
      <c r="O2124" s="572" t="s">
        <v>1437</v>
      </c>
      <c r="P2124" s="740">
        <v>1</v>
      </c>
      <c r="Q2124" s="564">
        <f>IF(O2124&lt;&gt;0,VLOOKUP(O2124,'Cây trong'!$A$2:$C$246,3,0)," ")</f>
        <v>0</v>
      </c>
      <c r="R2124" s="564">
        <f t="shared" si="464"/>
        <v>0</v>
      </c>
      <c r="S2124" s="572"/>
      <c r="T2124" s="609"/>
      <c r="U2124" s="741"/>
      <c r="V2124" s="586"/>
      <c r="W2124" s="564" t="str">
        <f>IF(S2124&lt;&gt;0,VLOOKUP(S2124,VKT!$A$2:$G$415,7,0),"")</f>
        <v/>
      </c>
      <c r="X2124" s="564" t="str">
        <f t="shared" si="471"/>
        <v xml:space="preserve"> </v>
      </c>
      <c r="Y2124" s="650"/>
      <c r="Z2124" s="586"/>
      <c r="AA2124" s="742"/>
      <c r="AB2124" s="586"/>
      <c r="AC2124" s="586"/>
      <c r="AD2124" s="586"/>
      <c r="AE2124" s="586"/>
      <c r="AF2124" s="714"/>
      <c r="AG2124" s="570" t="str">
        <f>IF(AE2124&lt;&gt;0,VLOOKUP(AE2124,ODDS!$A$2:$C$13,3,0),"")</f>
        <v/>
      </c>
      <c r="AH2124" s="570" t="str">
        <f t="shared" si="466"/>
        <v xml:space="preserve"> </v>
      </c>
      <c r="AI2124" s="571" t="str">
        <f t="shared" si="472"/>
        <v xml:space="preserve"> </v>
      </c>
      <c r="AJ2124" s="558"/>
      <c r="AK2124" s="558"/>
    </row>
    <row r="2125" spans="1:37" s="394" customFormat="1" ht="40.5" outlineLevel="2" x14ac:dyDescent="0.3">
      <c r="A2125" s="447">
        <f t="shared" si="468"/>
        <v>178</v>
      </c>
      <c r="B2125" s="557"/>
      <c r="C2125" s="572"/>
      <c r="D2125" s="700"/>
      <c r="E2125" s="612"/>
      <c r="F2125" s="612"/>
      <c r="G2125" s="586"/>
      <c r="H2125" s="709"/>
      <c r="I2125" s="546"/>
      <c r="J2125" s="558"/>
      <c r="K2125" s="563" t="str">
        <f>IF(G2125&lt;&gt;0,VLOOKUP(G2125,'gia dat'!$A$1:$F$144,5,0)," ")</f>
        <v xml:space="preserve"> </v>
      </c>
      <c r="L2125" s="563" t="str">
        <f>IF(G2125&lt;&gt;0,VLOOKUP(G2125,'gia dat'!$A$1:$F$144,6,0)," ")</f>
        <v xml:space="preserve"> </v>
      </c>
      <c r="M2125" s="564" t="str">
        <f t="shared" si="469"/>
        <v xml:space="preserve"> </v>
      </c>
      <c r="N2125" s="564" t="str">
        <f t="shared" si="470"/>
        <v xml:space="preserve"> </v>
      </c>
      <c r="O2125" s="572" t="s">
        <v>347</v>
      </c>
      <c r="P2125" s="740">
        <v>591</v>
      </c>
      <c r="Q2125" s="564">
        <f>IF(O2125&lt;&gt;0,VLOOKUP(O2125,'Cây trong'!$A$2:$C$246,3,0)," ")</f>
        <v>12000</v>
      </c>
      <c r="R2125" s="564">
        <f t="shared" si="464"/>
        <v>7092000</v>
      </c>
      <c r="S2125" s="572"/>
      <c r="T2125" s="609"/>
      <c r="U2125" s="741"/>
      <c r="V2125" s="586"/>
      <c r="W2125" s="564" t="str">
        <f>IF(S2125&lt;&gt;0,VLOOKUP(S2125,VKT!$A$2:$G$415,7,0),"")</f>
        <v/>
      </c>
      <c r="X2125" s="564" t="str">
        <f t="shared" si="471"/>
        <v xml:space="preserve"> </v>
      </c>
      <c r="Y2125" s="650"/>
      <c r="Z2125" s="586"/>
      <c r="AA2125" s="742"/>
      <c r="AB2125" s="586"/>
      <c r="AC2125" s="586"/>
      <c r="AD2125" s="586"/>
      <c r="AE2125" s="586"/>
      <c r="AF2125" s="714"/>
      <c r="AG2125" s="570" t="str">
        <f>IF(AE2125&lt;&gt;0,VLOOKUP(AE2125,ODDS!$A$2:$C$13,3,0),"")</f>
        <v/>
      </c>
      <c r="AH2125" s="570" t="str">
        <f t="shared" si="466"/>
        <v xml:space="preserve"> </v>
      </c>
      <c r="AI2125" s="571" t="str">
        <f t="shared" si="472"/>
        <v xml:space="preserve"> </v>
      </c>
      <c r="AJ2125" s="558"/>
      <c r="AK2125" s="558"/>
    </row>
    <row r="2126" spans="1:37" s="394" customFormat="1" ht="20.25" outlineLevel="2" x14ac:dyDescent="0.3">
      <c r="A2126" s="447">
        <f t="shared" si="468"/>
        <v>178</v>
      </c>
      <c r="B2126" s="557"/>
      <c r="C2126" s="572"/>
      <c r="D2126" s="700"/>
      <c r="E2126" s="612"/>
      <c r="F2126" s="612"/>
      <c r="G2126" s="586"/>
      <c r="H2126" s="709"/>
      <c r="I2126" s="546"/>
      <c r="J2126" s="558"/>
      <c r="K2126" s="563" t="str">
        <f>IF(G2126&lt;&gt;0,VLOOKUP(G2126,'gia dat'!$A$1:$F$144,5,0)," ")</f>
        <v xml:space="preserve"> </v>
      </c>
      <c r="L2126" s="563" t="str">
        <f>IF(G2126&lt;&gt;0,VLOOKUP(G2126,'gia dat'!$A$1:$F$144,6,0)," ")</f>
        <v xml:space="preserve"> </v>
      </c>
      <c r="M2126" s="564" t="str">
        <f t="shared" si="469"/>
        <v xml:space="preserve"> </v>
      </c>
      <c r="N2126" s="564" t="str">
        <f t="shared" si="470"/>
        <v xml:space="preserve"> </v>
      </c>
      <c r="O2126" s="572"/>
      <c r="P2126" s="740"/>
      <c r="Q2126" s="564" t="str">
        <f>IF(O2126&lt;&gt;0,VLOOKUP(O2126,'Cây trong'!$A$2:$C$246,3,0)," ")</f>
        <v xml:space="preserve"> </v>
      </c>
      <c r="R2126" s="564" t="str">
        <f t="shared" si="464"/>
        <v xml:space="preserve"> </v>
      </c>
      <c r="S2126" s="572"/>
      <c r="T2126" s="609"/>
      <c r="U2126" s="741"/>
      <c r="V2126" s="586"/>
      <c r="W2126" s="564" t="str">
        <f>IF(S2126&lt;&gt;0,VLOOKUP(S2126,VKT!$A$2:$G$415,7,0),"")</f>
        <v/>
      </c>
      <c r="X2126" s="564" t="str">
        <f t="shared" si="471"/>
        <v xml:space="preserve"> </v>
      </c>
      <c r="Y2126" s="650"/>
      <c r="Z2126" s="586"/>
      <c r="AA2126" s="742"/>
      <c r="AB2126" s="586"/>
      <c r="AC2126" s="586"/>
      <c r="AD2126" s="586"/>
      <c r="AE2126" s="586"/>
      <c r="AF2126" s="714"/>
      <c r="AG2126" s="570" t="str">
        <f>IF(AE2126&lt;&gt;0,VLOOKUP(AE2126,ODDS!$A$2:$C$13,3,0),"")</f>
        <v/>
      </c>
      <c r="AH2126" s="570" t="str">
        <f t="shared" si="466"/>
        <v xml:space="preserve"> </v>
      </c>
      <c r="AI2126" s="571" t="str">
        <f t="shared" si="472"/>
        <v xml:space="preserve"> </v>
      </c>
      <c r="AJ2126" s="558"/>
      <c r="AK2126" s="558"/>
    </row>
    <row r="2127" spans="1:37" s="394" customFormat="1" ht="20.25" outlineLevel="2" x14ac:dyDescent="0.3">
      <c r="A2127" s="447">
        <f t="shared" si="468"/>
        <v>178</v>
      </c>
      <c r="B2127" s="557"/>
      <c r="C2127" s="572"/>
      <c r="D2127" s="700"/>
      <c r="E2127" s="612"/>
      <c r="F2127" s="612"/>
      <c r="G2127" s="586"/>
      <c r="H2127" s="709"/>
      <c r="I2127" s="546"/>
      <c r="J2127" s="558"/>
      <c r="K2127" s="563" t="str">
        <f>IF(G2127&lt;&gt;0,VLOOKUP(G2127,'gia dat'!$A$1:$F$144,5,0)," ")</f>
        <v xml:space="preserve"> </v>
      </c>
      <c r="L2127" s="563" t="str">
        <f>IF(G2127&lt;&gt;0,VLOOKUP(G2127,'gia dat'!$A$1:$F$144,6,0)," ")</f>
        <v xml:space="preserve"> </v>
      </c>
      <c r="M2127" s="564" t="str">
        <f t="shared" si="469"/>
        <v xml:space="preserve"> </v>
      </c>
      <c r="N2127" s="564" t="str">
        <f t="shared" si="470"/>
        <v xml:space="preserve"> </v>
      </c>
      <c r="O2127" s="572"/>
      <c r="P2127" s="740"/>
      <c r="Q2127" s="564" t="str">
        <f>IF(O2127&lt;&gt;0,VLOOKUP(O2127,'Cây trong'!$A$2:$C$246,3,0)," ")</f>
        <v xml:space="preserve"> </v>
      </c>
      <c r="R2127" s="564" t="str">
        <f t="shared" si="464"/>
        <v xml:space="preserve"> </v>
      </c>
      <c r="S2127" s="572"/>
      <c r="T2127" s="609"/>
      <c r="U2127" s="741"/>
      <c r="V2127" s="586"/>
      <c r="W2127" s="564" t="str">
        <f>IF(S2127&lt;&gt;0,VLOOKUP(S2127,VKT!$A$2:$G$415,7,0),"")</f>
        <v/>
      </c>
      <c r="X2127" s="564" t="str">
        <f t="shared" si="471"/>
        <v xml:space="preserve"> </v>
      </c>
      <c r="Y2127" s="650"/>
      <c r="Z2127" s="586"/>
      <c r="AA2127" s="742"/>
      <c r="AB2127" s="586"/>
      <c r="AC2127" s="586"/>
      <c r="AD2127" s="586"/>
      <c r="AE2127" s="586"/>
      <c r="AF2127" s="714"/>
      <c r="AG2127" s="570" t="str">
        <f>IF(AE2127&lt;&gt;0,VLOOKUP(AE2127,ODDS!$A$2:$C$13,3,0),"")</f>
        <v/>
      </c>
      <c r="AH2127" s="570" t="str">
        <f t="shared" si="466"/>
        <v xml:space="preserve"> </v>
      </c>
      <c r="AI2127" s="571" t="str">
        <f t="shared" si="472"/>
        <v xml:space="preserve"> </v>
      </c>
      <c r="AJ2127" s="558"/>
      <c r="AK2127" s="558"/>
    </row>
    <row r="2128" spans="1:37" s="394" customFormat="1" ht="20.25" outlineLevel="2" x14ac:dyDescent="0.3">
      <c r="A2128" s="447">
        <f t="shared" si="468"/>
        <v>178</v>
      </c>
      <c r="B2128" s="557"/>
      <c r="C2128" s="572"/>
      <c r="D2128" s="700"/>
      <c r="E2128" s="612"/>
      <c r="F2128" s="612"/>
      <c r="G2128" s="586"/>
      <c r="H2128" s="709"/>
      <c r="I2128" s="546"/>
      <c r="J2128" s="558"/>
      <c r="K2128" s="563" t="str">
        <f>IF(G2128&lt;&gt;0,VLOOKUP(G2128,'gia dat'!$A$1:$F$144,5,0)," ")</f>
        <v xml:space="preserve"> </v>
      </c>
      <c r="L2128" s="563" t="str">
        <f>IF(G2128&lt;&gt;0,VLOOKUP(G2128,'gia dat'!$A$1:$F$144,6,0)," ")</f>
        <v xml:space="preserve"> </v>
      </c>
      <c r="M2128" s="564" t="str">
        <f t="shared" si="469"/>
        <v xml:space="preserve"> </v>
      </c>
      <c r="N2128" s="564" t="str">
        <f t="shared" si="470"/>
        <v xml:space="preserve"> </v>
      </c>
      <c r="O2128" s="572"/>
      <c r="P2128" s="740"/>
      <c r="Q2128" s="564" t="str">
        <f>IF(O2128&lt;&gt;0,VLOOKUP(O2128,'Cây trong'!$A$2:$C$246,3,0)," ")</f>
        <v xml:space="preserve"> </v>
      </c>
      <c r="R2128" s="564" t="str">
        <f t="shared" si="464"/>
        <v xml:space="preserve"> </v>
      </c>
      <c r="S2128" s="572"/>
      <c r="T2128" s="609"/>
      <c r="U2128" s="741"/>
      <c r="V2128" s="586"/>
      <c r="W2128" s="564" t="str">
        <f>IF(S2128&lt;&gt;0,VLOOKUP(S2128,VKT!$A$2:$G$415,7,0),"")</f>
        <v/>
      </c>
      <c r="X2128" s="564" t="str">
        <f t="shared" si="471"/>
        <v xml:space="preserve"> </v>
      </c>
      <c r="Y2128" s="650"/>
      <c r="Z2128" s="586"/>
      <c r="AA2128" s="742"/>
      <c r="AB2128" s="586"/>
      <c r="AC2128" s="586"/>
      <c r="AD2128" s="586"/>
      <c r="AE2128" s="586"/>
      <c r="AF2128" s="714"/>
      <c r="AG2128" s="570" t="str">
        <f>IF(AE2128&lt;&gt;0,VLOOKUP(AE2128,ODDS!$A$2:$C$13,3,0),"")</f>
        <v/>
      </c>
      <c r="AH2128" s="570" t="str">
        <f t="shared" si="466"/>
        <v xml:space="preserve"> </v>
      </c>
      <c r="AI2128" s="571" t="str">
        <f t="shared" si="472"/>
        <v xml:space="preserve"> </v>
      </c>
      <c r="AJ2128" s="558"/>
      <c r="AK2128" s="558"/>
    </row>
    <row r="2129" spans="1:37" s="394" customFormat="1" ht="20.25" outlineLevel="2" x14ac:dyDescent="0.3">
      <c r="A2129" s="447">
        <f t="shared" si="468"/>
        <v>178</v>
      </c>
      <c r="B2129" s="557"/>
      <c r="C2129" s="607"/>
      <c r="D2129" s="700"/>
      <c r="E2129" s="612"/>
      <c r="F2129" s="612"/>
      <c r="G2129" s="586"/>
      <c r="H2129" s="709"/>
      <c r="I2129" s="546"/>
      <c r="J2129" s="558"/>
      <c r="K2129" s="563" t="str">
        <f>IF(G2129&lt;&gt;0,VLOOKUP(G2129,'gia dat'!$A$1:$F$144,5,0)," ")</f>
        <v xml:space="preserve"> </v>
      </c>
      <c r="L2129" s="563" t="str">
        <f>IF(G2129&lt;&gt;0,VLOOKUP(G2129,'gia dat'!$A$1:$F$144,6,0)," ")</f>
        <v xml:space="preserve"> </v>
      </c>
      <c r="M2129" s="564" t="str">
        <f t="shared" si="469"/>
        <v xml:space="preserve"> </v>
      </c>
      <c r="N2129" s="564" t="str">
        <f t="shared" si="470"/>
        <v xml:space="preserve"> </v>
      </c>
      <c r="O2129" s="572"/>
      <c r="P2129" s="740"/>
      <c r="Q2129" s="564" t="str">
        <f>IF(O2129&lt;&gt;0,VLOOKUP(O2129,'Cây trong'!$A$2:$C$246,3,0)," ")</f>
        <v xml:space="preserve"> </v>
      </c>
      <c r="R2129" s="564" t="str">
        <f t="shared" si="464"/>
        <v xml:space="preserve"> </v>
      </c>
      <c r="S2129" s="572"/>
      <c r="T2129" s="609"/>
      <c r="U2129" s="741"/>
      <c r="V2129" s="586"/>
      <c r="W2129" s="564" t="str">
        <f>IF(S2129&lt;&gt;0,VLOOKUP(S2129,VKT!$A$2:$G$415,7,0),"")</f>
        <v/>
      </c>
      <c r="X2129" s="564" t="str">
        <f t="shared" si="471"/>
        <v xml:space="preserve"> </v>
      </c>
      <c r="Y2129" s="650"/>
      <c r="Z2129" s="586"/>
      <c r="AA2129" s="742"/>
      <c r="AB2129" s="586"/>
      <c r="AC2129" s="586"/>
      <c r="AD2129" s="586"/>
      <c r="AE2129" s="586"/>
      <c r="AF2129" s="714"/>
      <c r="AG2129" s="570" t="str">
        <f>IF(AE2129&lt;&gt;0,VLOOKUP(AE2129,ODDS!$A$2:$C$13,3,0),"")</f>
        <v/>
      </c>
      <c r="AH2129" s="570" t="str">
        <f t="shared" si="466"/>
        <v xml:space="preserve"> </v>
      </c>
      <c r="AI2129" s="571" t="str">
        <f t="shared" si="472"/>
        <v xml:space="preserve"> </v>
      </c>
      <c r="AJ2129" s="558"/>
      <c r="AK2129" s="558"/>
    </row>
    <row r="2130" spans="1:37" s="394" customFormat="1" ht="20.25" outlineLevel="1" x14ac:dyDescent="0.25">
      <c r="A2130" s="467" t="s">
        <v>2531</v>
      </c>
      <c r="B2130" s="576">
        <v>179</v>
      </c>
      <c r="C2130" s="607" t="s">
        <v>1438</v>
      </c>
      <c r="D2130" s="706"/>
      <c r="E2130" s="642"/>
      <c r="F2130" s="642"/>
      <c r="G2130" s="578"/>
      <c r="H2130" s="707">
        <f>SUBTOTAL(9,H2131:H2136)</f>
        <v>0</v>
      </c>
      <c r="I2130" s="579">
        <f>SUBTOTAL(9,I2131:I2136)</f>
        <v>0</v>
      </c>
      <c r="J2130" s="580"/>
      <c r="K2130" s="581"/>
      <c r="L2130" s="581"/>
      <c r="M2130" s="571">
        <f>SUBTOTAL(9,M2131:M2136)</f>
        <v>0</v>
      </c>
      <c r="N2130" s="571">
        <f>SUBTOTAL(9,N2131:N2136)</f>
        <v>0</v>
      </c>
      <c r="O2130" s="607"/>
      <c r="P2130" s="738">
        <f>SUBTOTAL(9,P2131:P2136)</f>
        <v>0</v>
      </c>
      <c r="Q2130" s="571"/>
      <c r="R2130" s="571">
        <f>SUBTOTAL(9,R2131:R2136)</f>
        <v>0</v>
      </c>
      <c r="S2130" s="582"/>
      <c r="T2130" s="621"/>
      <c r="U2130" s="739">
        <f>SUBTOTAL(9,U2131:U2136)</f>
        <v>30.849999999999998</v>
      </c>
      <c r="V2130" s="578"/>
      <c r="W2130" s="571"/>
      <c r="X2130" s="571">
        <f>SUBTOTAL(9,X2131:X2136)</f>
        <v>56937000</v>
      </c>
      <c r="Y2130" s="586"/>
      <c r="Z2130" s="694"/>
      <c r="AA2130" s="694"/>
      <c r="AB2130" s="694"/>
      <c r="AC2130" s="694"/>
      <c r="AD2130" s="694"/>
      <c r="AE2130" s="695"/>
      <c r="AF2130" s="581">
        <f>SUBTOTAL(9,AF2131:AF2136)</f>
        <v>0</v>
      </c>
      <c r="AG2130" s="585"/>
      <c r="AH2130" s="585">
        <f>SUBTOTAL(9,AH2131:AH2136)</f>
        <v>0</v>
      </c>
      <c r="AI2130" s="571">
        <f t="shared" si="472"/>
        <v>56937000</v>
      </c>
      <c r="AJ2130" s="578"/>
      <c r="AK2130" s="574"/>
    </row>
    <row r="2131" spans="1:37" s="394" customFormat="1" ht="121.5" outlineLevel="2" x14ac:dyDescent="0.3">
      <c r="A2131" s="447">
        <f>IF(B2130&lt;&gt;0,B2130,A2129)</f>
        <v>179</v>
      </c>
      <c r="B2131" s="557"/>
      <c r="C2131" s="572" t="s">
        <v>1440</v>
      </c>
      <c r="D2131" s="700"/>
      <c r="E2131" s="612"/>
      <c r="F2131" s="612"/>
      <c r="G2131" s="586"/>
      <c r="H2131" s="709"/>
      <c r="I2131" s="546"/>
      <c r="J2131" s="562"/>
      <c r="K2131" s="563" t="str">
        <f>IF(G2131&lt;&gt;0,VLOOKUP(G2131,'gia dat'!$A$1:$F$144,5,0)," ")</f>
        <v xml:space="preserve"> </v>
      </c>
      <c r="L2131" s="563" t="str">
        <f>IF(G2131&lt;&gt;0,VLOOKUP(G2131,'gia dat'!$A$1:$F$144,6,0)," ")</f>
        <v xml:space="preserve"> </v>
      </c>
      <c r="M2131" s="564" t="str">
        <f t="shared" si="469"/>
        <v xml:space="preserve"> </v>
      </c>
      <c r="N2131" s="564" t="str">
        <f t="shared" si="470"/>
        <v xml:space="preserve"> </v>
      </c>
      <c r="O2131" s="572"/>
      <c r="P2131" s="740"/>
      <c r="Q2131" s="564" t="str">
        <f>IF(O2131&lt;&gt;0,VLOOKUP(O2131,'Cây trong'!$A$2:$C$246,3,0)," ")</f>
        <v xml:space="preserve"> </v>
      </c>
      <c r="R2131" s="564" t="str">
        <f t="shared" ref="R2131:R2198" si="473">IF(O2131&lt;&gt;0,ROUND(P2131*Q2131,-2)," ")</f>
        <v xml:space="preserve"> </v>
      </c>
      <c r="S2131" s="566" t="s">
        <v>1926</v>
      </c>
      <c r="T2131" s="609" t="s">
        <v>1133</v>
      </c>
      <c r="U2131" s="741">
        <v>28.9</v>
      </c>
      <c r="V2131" s="586"/>
      <c r="W2131" s="564">
        <f>IF(S2131&lt;&gt;0,VLOOKUP(S2131,VKT!$A$2:$G$415,7,0),"")</f>
        <v>1458856</v>
      </c>
      <c r="X2131" s="564">
        <f t="shared" si="471"/>
        <v>42161000</v>
      </c>
      <c r="Y2131" s="586" t="s">
        <v>139</v>
      </c>
      <c r="Z2131" s="694" t="s">
        <v>1139</v>
      </c>
      <c r="AA2131" s="694" t="s">
        <v>1262</v>
      </c>
      <c r="AB2131" s="694" t="s">
        <v>1263</v>
      </c>
      <c r="AC2131" s="694" t="s">
        <v>1264</v>
      </c>
      <c r="AD2131" s="694"/>
      <c r="AE2131" s="694"/>
      <c r="AF2131" s="563"/>
      <c r="AG2131" s="570" t="str">
        <f>IF(AE2131&lt;&gt;0,VLOOKUP(AE2131,ODDS!$A$2:$C$13,3,0),"")</f>
        <v/>
      </c>
      <c r="AH2131" s="570" t="str">
        <f t="shared" ref="AH2131:AH2198" si="474">IF(AE2131&lt;&gt;0,ROUND(AF2131*AG2131,-2)," ")</f>
        <v xml:space="preserve"> </v>
      </c>
      <c r="AI2131" s="571" t="str">
        <f t="shared" si="472"/>
        <v xml:space="preserve"> </v>
      </c>
      <c r="AJ2131" s="586" t="s">
        <v>1439</v>
      </c>
      <c r="AK2131" s="558" t="s">
        <v>2450</v>
      </c>
    </row>
    <row r="2132" spans="1:37" s="394" customFormat="1" ht="121.5" outlineLevel="2" x14ac:dyDescent="0.3">
      <c r="A2132" s="447">
        <f>IF(B2131&lt;&gt;0,B2131,A2131)</f>
        <v>179</v>
      </c>
      <c r="B2132" s="557"/>
      <c r="C2132" s="572" t="s">
        <v>1631</v>
      </c>
      <c r="D2132" s="700"/>
      <c r="E2132" s="612"/>
      <c r="F2132" s="612"/>
      <c r="G2132" s="586"/>
      <c r="H2132" s="709"/>
      <c r="I2132" s="546"/>
      <c r="J2132" s="562"/>
      <c r="K2132" s="563" t="str">
        <f>IF(G2132&lt;&gt;0,VLOOKUP(G2132,'gia dat'!$A$1:$F$144,5,0)," ")</f>
        <v xml:space="preserve"> </v>
      </c>
      <c r="L2132" s="563" t="str">
        <f>IF(G2132&lt;&gt;0,VLOOKUP(G2132,'gia dat'!$A$1:$F$144,6,0)," ")</f>
        <v xml:space="preserve"> </v>
      </c>
      <c r="M2132" s="564" t="str">
        <f t="shared" si="469"/>
        <v xml:space="preserve"> </v>
      </c>
      <c r="N2132" s="564" t="str">
        <f t="shared" si="470"/>
        <v xml:space="preserve"> </v>
      </c>
      <c r="O2132" s="572"/>
      <c r="P2132" s="740"/>
      <c r="Q2132" s="564" t="str">
        <f>IF(O2132&lt;&gt;0,VLOOKUP(O2132,'Cây trong'!$A$2:$C$246,3,0)," ")</f>
        <v xml:space="preserve"> </v>
      </c>
      <c r="R2132" s="564" t="str">
        <f t="shared" si="473"/>
        <v xml:space="preserve"> </v>
      </c>
      <c r="S2132" s="566" t="s">
        <v>1991</v>
      </c>
      <c r="T2132" s="609" t="s">
        <v>1133</v>
      </c>
      <c r="U2132" s="741">
        <v>1.95</v>
      </c>
      <c r="V2132" s="586"/>
      <c r="W2132" s="564">
        <f>IF(S2132&lt;&gt;0,VLOOKUP(S2132,VKT!$A$2:$G$415,7,0),"")</f>
        <v>7577429</v>
      </c>
      <c r="X2132" s="564">
        <f t="shared" si="471"/>
        <v>14776000</v>
      </c>
      <c r="Y2132" s="650"/>
      <c r="Z2132" s="586"/>
      <c r="AA2132" s="742"/>
      <c r="AB2132" s="586"/>
      <c r="AC2132" s="586"/>
      <c r="AD2132" s="586"/>
      <c r="AE2132" s="586"/>
      <c r="AF2132" s="714"/>
      <c r="AG2132" s="570" t="str">
        <f>IF(AE2132&lt;&gt;0,VLOOKUP(AE2132,ODDS!$A$2:$C$13,3,0),"")</f>
        <v/>
      </c>
      <c r="AH2132" s="570" t="str">
        <f t="shared" si="474"/>
        <v xml:space="preserve"> </v>
      </c>
      <c r="AI2132" s="571" t="str">
        <f t="shared" si="472"/>
        <v xml:space="preserve"> </v>
      </c>
      <c r="AJ2132" s="586" t="s">
        <v>1416</v>
      </c>
      <c r="AK2132" s="586" t="s">
        <v>2800</v>
      </c>
    </row>
    <row r="2133" spans="1:37" s="394" customFormat="1" ht="20.25" outlineLevel="2" x14ac:dyDescent="0.3">
      <c r="A2133" s="447">
        <f>IF(B2132&lt;&gt;0,B2132,A2132)</f>
        <v>179</v>
      </c>
      <c r="B2133" s="557"/>
      <c r="C2133" s="572"/>
      <c r="D2133" s="700"/>
      <c r="E2133" s="612"/>
      <c r="F2133" s="612"/>
      <c r="G2133" s="586"/>
      <c r="H2133" s="709"/>
      <c r="I2133" s="546"/>
      <c r="J2133" s="562"/>
      <c r="K2133" s="563" t="str">
        <f>IF(G2133&lt;&gt;0,VLOOKUP(G2133,'gia dat'!$A$1:$F$144,5,0)," ")</f>
        <v xml:space="preserve"> </v>
      </c>
      <c r="L2133" s="563" t="str">
        <f>IF(G2133&lt;&gt;0,VLOOKUP(G2133,'gia dat'!$A$1:$F$144,6,0)," ")</f>
        <v xml:space="preserve"> </v>
      </c>
      <c r="M2133" s="564" t="str">
        <f t="shared" si="469"/>
        <v xml:space="preserve"> </v>
      </c>
      <c r="N2133" s="564" t="str">
        <f t="shared" si="470"/>
        <v xml:space="preserve"> </v>
      </c>
      <c r="O2133" s="572"/>
      <c r="P2133" s="740"/>
      <c r="Q2133" s="564" t="str">
        <f>IF(O2133&lt;&gt;0,VLOOKUP(O2133,'Cây trong'!$A$2:$C$246,3,0)," ")</f>
        <v xml:space="preserve"> </v>
      </c>
      <c r="R2133" s="564" t="str">
        <f t="shared" si="473"/>
        <v xml:space="preserve"> </v>
      </c>
      <c r="S2133" s="566"/>
      <c r="T2133" s="609"/>
      <c r="U2133" s="741"/>
      <c r="V2133" s="586"/>
      <c r="W2133" s="564" t="str">
        <f>IF(S2133&lt;&gt;0,VLOOKUP(S2133,VKT!$A$2:$G$415,7,0),"")</f>
        <v/>
      </c>
      <c r="X2133" s="564" t="str">
        <f t="shared" si="471"/>
        <v xml:space="preserve"> </v>
      </c>
      <c r="Y2133" s="650"/>
      <c r="Z2133" s="586"/>
      <c r="AA2133" s="742"/>
      <c r="AB2133" s="586"/>
      <c r="AC2133" s="586"/>
      <c r="AD2133" s="586"/>
      <c r="AE2133" s="586"/>
      <c r="AF2133" s="714"/>
      <c r="AG2133" s="570" t="str">
        <f>IF(AE2133&lt;&gt;0,VLOOKUP(AE2133,ODDS!$A$2:$C$13,3,0),"")</f>
        <v/>
      </c>
      <c r="AH2133" s="570" t="str">
        <f t="shared" si="474"/>
        <v xml:space="preserve"> </v>
      </c>
      <c r="AI2133" s="571" t="str">
        <f t="shared" si="472"/>
        <v xml:space="preserve"> </v>
      </c>
      <c r="AJ2133" s="586"/>
      <c r="AK2133" s="586"/>
    </row>
    <row r="2134" spans="1:37" s="394" customFormat="1" ht="20.25" outlineLevel="2" x14ac:dyDescent="0.3">
      <c r="A2134" s="447">
        <f>IF(B2133&lt;&gt;0,B2133,A2133)</f>
        <v>179</v>
      </c>
      <c r="B2134" s="557"/>
      <c r="C2134" s="572"/>
      <c r="D2134" s="700"/>
      <c r="E2134" s="612"/>
      <c r="F2134" s="612"/>
      <c r="G2134" s="586"/>
      <c r="H2134" s="709"/>
      <c r="I2134" s="546"/>
      <c r="J2134" s="562"/>
      <c r="K2134" s="563" t="str">
        <f>IF(G2134&lt;&gt;0,VLOOKUP(G2134,'gia dat'!$A$1:$F$144,5,0)," ")</f>
        <v xml:space="preserve"> </v>
      </c>
      <c r="L2134" s="563" t="str">
        <f>IF(G2134&lt;&gt;0,VLOOKUP(G2134,'gia dat'!$A$1:$F$144,6,0)," ")</f>
        <v xml:space="preserve"> </v>
      </c>
      <c r="M2134" s="564" t="str">
        <f t="shared" si="469"/>
        <v xml:space="preserve"> </v>
      </c>
      <c r="N2134" s="564" t="str">
        <f t="shared" si="470"/>
        <v xml:space="preserve"> </v>
      </c>
      <c r="O2134" s="572"/>
      <c r="P2134" s="740"/>
      <c r="Q2134" s="564" t="str">
        <f>IF(O2134&lt;&gt;0,VLOOKUP(O2134,'Cây trong'!$A$2:$C$246,3,0)," ")</f>
        <v xml:space="preserve"> </v>
      </c>
      <c r="R2134" s="564" t="str">
        <f t="shared" si="473"/>
        <v xml:space="preserve"> </v>
      </c>
      <c r="S2134" s="566"/>
      <c r="T2134" s="609"/>
      <c r="U2134" s="741"/>
      <c r="V2134" s="586"/>
      <c r="W2134" s="564" t="str">
        <f>IF(S2134&lt;&gt;0,VLOOKUP(S2134,VKT!$A$2:$G$415,7,0),"")</f>
        <v/>
      </c>
      <c r="X2134" s="564" t="str">
        <f t="shared" si="471"/>
        <v xml:space="preserve"> </v>
      </c>
      <c r="Y2134" s="650"/>
      <c r="Z2134" s="586"/>
      <c r="AA2134" s="742"/>
      <c r="AB2134" s="586"/>
      <c r="AC2134" s="586"/>
      <c r="AD2134" s="586"/>
      <c r="AE2134" s="586"/>
      <c r="AF2134" s="714"/>
      <c r="AG2134" s="570" t="str">
        <f>IF(AE2134&lt;&gt;0,VLOOKUP(AE2134,ODDS!$A$2:$C$13,3,0),"")</f>
        <v/>
      </c>
      <c r="AH2134" s="570" t="str">
        <f t="shared" si="474"/>
        <v xml:space="preserve"> </v>
      </c>
      <c r="AI2134" s="571" t="str">
        <f t="shared" si="472"/>
        <v xml:space="preserve"> </v>
      </c>
      <c r="AJ2134" s="586"/>
      <c r="AK2134" s="586"/>
    </row>
    <row r="2135" spans="1:37" s="394" customFormat="1" ht="20.25" outlineLevel="2" x14ac:dyDescent="0.3">
      <c r="A2135" s="447">
        <f>IF(B2134&lt;&gt;0,B2134,A2134)</f>
        <v>179</v>
      </c>
      <c r="B2135" s="557"/>
      <c r="C2135" s="572"/>
      <c r="D2135" s="700"/>
      <c r="E2135" s="612"/>
      <c r="F2135" s="612"/>
      <c r="G2135" s="586"/>
      <c r="H2135" s="709"/>
      <c r="I2135" s="546"/>
      <c r="J2135" s="562"/>
      <c r="K2135" s="563" t="str">
        <f>IF(G2135&lt;&gt;0,VLOOKUP(G2135,'gia dat'!$A$1:$F$144,5,0)," ")</f>
        <v xml:space="preserve"> </v>
      </c>
      <c r="L2135" s="563" t="str">
        <f>IF(G2135&lt;&gt;0,VLOOKUP(G2135,'gia dat'!$A$1:$F$144,6,0)," ")</f>
        <v xml:space="preserve"> </v>
      </c>
      <c r="M2135" s="564" t="str">
        <f t="shared" si="469"/>
        <v xml:space="preserve"> </v>
      </c>
      <c r="N2135" s="564" t="str">
        <f t="shared" si="470"/>
        <v xml:space="preserve"> </v>
      </c>
      <c r="O2135" s="572"/>
      <c r="P2135" s="740"/>
      <c r="Q2135" s="564" t="str">
        <f>IF(O2135&lt;&gt;0,VLOOKUP(O2135,'Cây trong'!$A$2:$C$246,3,0)," ")</f>
        <v xml:space="preserve"> </v>
      </c>
      <c r="R2135" s="564" t="str">
        <f t="shared" si="473"/>
        <v xml:space="preserve"> </v>
      </c>
      <c r="S2135" s="566"/>
      <c r="T2135" s="609"/>
      <c r="U2135" s="741"/>
      <c r="V2135" s="586"/>
      <c r="W2135" s="564" t="str">
        <f>IF(S2135&lt;&gt;0,VLOOKUP(S2135,VKT!$A$2:$G$415,7,0),"")</f>
        <v/>
      </c>
      <c r="X2135" s="564" t="str">
        <f t="shared" si="471"/>
        <v xml:space="preserve"> </v>
      </c>
      <c r="Y2135" s="650"/>
      <c r="Z2135" s="586"/>
      <c r="AA2135" s="742"/>
      <c r="AB2135" s="586"/>
      <c r="AC2135" s="586"/>
      <c r="AD2135" s="586"/>
      <c r="AE2135" s="586"/>
      <c r="AF2135" s="714"/>
      <c r="AG2135" s="570" t="str">
        <f>IF(AE2135&lt;&gt;0,VLOOKUP(AE2135,ODDS!$A$2:$C$13,3,0),"")</f>
        <v/>
      </c>
      <c r="AH2135" s="570" t="str">
        <f t="shared" si="474"/>
        <v xml:space="preserve"> </v>
      </c>
      <c r="AI2135" s="571" t="str">
        <f t="shared" si="472"/>
        <v xml:space="preserve"> </v>
      </c>
      <c r="AJ2135" s="586"/>
      <c r="AK2135" s="586"/>
    </row>
    <row r="2136" spans="1:37" s="394" customFormat="1" ht="20.25" outlineLevel="2" x14ac:dyDescent="0.3">
      <c r="A2136" s="447">
        <f>IF(B2135&lt;&gt;0,B2135,A2135)</f>
        <v>179</v>
      </c>
      <c r="B2136" s="557"/>
      <c r="C2136" s="607"/>
      <c r="D2136" s="700"/>
      <c r="E2136" s="612"/>
      <c r="F2136" s="612"/>
      <c r="G2136" s="586"/>
      <c r="H2136" s="709"/>
      <c r="I2136" s="546"/>
      <c r="J2136" s="562"/>
      <c r="K2136" s="563" t="str">
        <f>IF(G2136&lt;&gt;0,VLOOKUP(G2136,'gia dat'!$A$1:$F$144,5,0)," ")</f>
        <v xml:space="preserve"> </v>
      </c>
      <c r="L2136" s="563" t="str">
        <f>IF(G2136&lt;&gt;0,VLOOKUP(G2136,'gia dat'!$A$1:$F$144,6,0)," ")</f>
        <v xml:space="preserve"> </v>
      </c>
      <c r="M2136" s="564" t="str">
        <f t="shared" si="469"/>
        <v xml:space="preserve"> </v>
      </c>
      <c r="N2136" s="564" t="str">
        <f t="shared" si="470"/>
        <v xml:space="preserve"> </v>
      </c>
      <c r="O2136" s="572"/>
      <c r="P2136" s="740"/>
      <c r="Q2136" s="564" t="str">
        <f>IF(O2136&lt;&gt;0,VLOOKUP(O2136,'Cây trong'!$A$2:$C$246,3,0)," ")</f>
        <v xml:space="preserve"> </v>
      </c>
      <c r="R2136" s="564" t="str">
        <f t="shared" si="473"/>
        <v xml:space="preserve"> </v>
      </c>
      <c r="S2136" s="566"/>
      <c r="T2136" s="609"/>
      <c r="U2136" s="741"/>
      <c r="V2136" s="586"/>
      <c r="W2136" s="564" t="str">
        <f>IF(S2136&lt;&gt;0,VLOOKUP(S2136,VKT!$A$2:$G$415,7,0),"")</f>
        <v/>
      </c>
      <c r="X2136" s="564" t="str">
        <f t="shared" si="471"/>
        <v xml:space="preserve"> </v>
      </c>
      <c r="Y2136" s="650"/>
      <c r="Z2136" s="586"/>
      <c r="AA2136" s="742"/>
      <c r="AB2136" s="586"/>
      <c r="AC2136" s="586"/>
      <c r="AD2136" s="586"/>
      <c r="AE2136" s="586"/>
      <c r="AF2136" s="714"/>
      <c r="AG2136" s="570" t="str">
        <f>IF(AE2136&lt;&gt;0,VLOOKUP(AE2136,ODDS!$A$2:$C$13,3,0),"")</f>
        <v/>
      </c>
      <c r="AH2136" s="570" t="str">
        <f t="shared" si="474"/>
        <v xml:space="preserve"> </v>
      </c>
      <c r="AI2136" s="571" t="str">
        <f t="shared" si="472"/>
        <v xml:space="preserve"> </v>
      </c>
      <c r="AJ2136" s="586"/>
      <c r="AK2136" s="586"/>
    </row>
    <row r="2137" spans="1:37" s="394" customFormat="1" ht="40.5" outlineLevel="1" x14ac:dyDescent="0.25">
      <c r="A2137" s="467" t="s">
        <v>2530</v>
      </c>
      <c r="B2137" s="576">
        <v>180</v>
      </c>
      <c r="C2137" s="607" t="s">
        <v>1441</v>
      </c>
      <c r="D2137" s="706"/>
      <c r="E2137" s="642"/>
      <c r="F2137" s="642"/>
      <c r="G2137" s="578"/>
      <c r="H2137" s="707">
        <f>SUBTOTAL(9,H2138:H2144)</f>
        <v>0</v>
      </c>
      <c r="I2137" s="579">
        <f>SUBTOTAL(9,I2138:I2143)</f>
        <v>0</v>
      </c>
      <c r="J2137" s="580"/>
      <c r="K2137" s="581"/>
      <c r="L2137" s="581"/>
      <c r="M2137" s="571">
        <f>SUBTOTAL(9,M2138:M2144)</f>
        <v>0</v>
      </c>
      <c r="N2137" s="571">
        <f>SUBTOTAL(9,N2138:N2144)</f>
        <v>0</v>
      </c>
      <c r="O2137" s="607"/>
      <c r="P2137" s="738">
        <f>SUBTOTAL(9,P2138:P2144)</f>
        <v>0</v>
      </c>
      <c r="Q2137" s="571"/>
      <c r="R2137" s="571">
        <f>SUBTOTAL(9,R2138:R2144)</f>
        <v>0</v>
      </c>
      <c r="S2137" s="582"/>
      <c r="T2137" s="621"/>
      <c r="U2137" s="739">
        <f>SUBTOTAL(9,U2138:U2144)</f>
        <v>25.2</v>
      </c>
      <c r="V2137" s="578"/>
      <c r="W2137" s="571"/>
      <c r="X2137" s="571">
        <f>SUBTOTAL(9,X2138:X2144)</f>
        <v>36763000</v>
      </c>
      <c r="Y2137" s="586"/>
      <c r="Z2137" s="694"/>
      <c r="AA2137" s="694"/>
      <c r="AB2137" s="694"/>
      <c r="AC2137" s="694"/>
      <c r="AD2137" s="694"/>
      <c r="AE2137" s="695"/>
      <c r="AF2137" s="581">
        <f>SUBTOTAL(9,AF2138:AF2144)</f>
        <v>0</v>
      </c>
      <c r="AG2137" s="585"/>
      <c r="AH2137" s="585">
        <f>SUBTOTAL(9,AH2138:AH2144)</f>
        <v>0</v>
      </c>
      <c r="AI2137" s="571">
        <f t="shared" si="472"/>
        <v>36763000</v>
      </c>
      <c r="AJ2137" s="578"/>
      <c r="AK2137" s="574"/>
    </row>
    <row r="2138" spans="1:37" s="394" customFormat="1" ht="121.5" outlineLevel="2" x14ac:dyDescent="0.3">
      <c r="A2138" s="447">
        <f>IF(B2137&lt;&gt;0,B2137,A2136)</f>
        <v>180</v>
      </c>
      <c r="B2138" s="557"/>
      <c r="C2138" s="572" t="s">
        <v>1443</v>
      </c>
      <c r="D2138" s="700"/>
      <c r="E2138" s="612"/>
      <c r="F2138" s="612"/>
      <c r="G2138" s="586"/>
      <c r="H2138" s="709"/>
      <c r="I2138" s="546"/>
      <c r="J2138" s="562"/>
      <c r="K2138" s="563" t="str">
        <f>IF(G2138&lt;&gt;0,VLOOKUP(G2138,'gia dat'!$A$1:$F$144,5,0)," ")</f>
        <v xml:space="preserve"> </v>
      </c>
      <c r="L2138" s="563" t="str">
        <f>IF(G2138&lt;&gt;0,VLOOKUP(G2138,'gia dat'!$A$1:$F$144,6,0)," ")</f>
        <v xml:space="preserve"> </v>
      </c>
      <c r="M2138" s="564" t="str">
        <f t="shared" si="469"/>
        <v xml:space="preserve"> </v>
      </c>
      <c r="N2138" s="564" t="str">
        <f t="shared" si="470"/>
        <v xml:space="preserve"> </v>
      </c>
      <c r="O2138" s="572"/>
      <c r="P2138" s="740"/>
      <c r="Q2138" s="564" t="str">
        <f>IF(O2138&lt;&gt;0,VLOOKUP(O2138,'Cây trong'!$A$2:$C$246,3,0)," ")</f>
        <v xml:space="preserve"> </v>
      </c>
      <c r="R2138" s="564" t="str">
        <f t="shared" si="473"/>
        <v xml:space="preserve"> </v>
      </c>
      <c r="S2138" s="566" t="s">
        <v>1926</v>
      </c>
      <c r="T2138" s="609" t="s">
        <v>1133</v>
      </c>
      <c r="U2138" s="741">
        <v>25.2</v>
      </c>
      <c r="V2138" s="586"/>
      <c r="W2138" s="564">
        <f>IF(S2138&lt;&gt;0,VLOOKUP(S2138,VKT!$A$2:$G$415,7,0),"")</f>
        <v>1458856</v>
      </c>
      <c r="X2138" s="564">
        <f t="shared" si="471"/>
        <v>36763000</v>
      </c>
      <c r="Y2138" s="586" t="s">
        <v>139</v>
      </c>
      <c r="Z2138" s="694" t="s">
        <v>1139</v>
      </c>
      <c r="AA2138" s="694" t="s">
        <v>1262</v>
      </c>
      <c r="AB2138" s="694" t="s">
        <v>1263</v>
      </c>
      <c r="AC2138" s="694" t="s">
        <v>1264</v>
      </c>
      <c r="AD2138" s="694"/>
      <c r="AE2138" s="694"/>
      <c r="AF2138" s="563"/>
      <c r="AG2138" s="570" t="str">
        <f>IF(AE2138&lt;&gt;0,VLOOKUP(AE2138,ODDS!$A$2:$C$13,3,0),"")</f>
        <v/>
      </c>
      <c r="AH2138" s="570" t="str">
        <f t="shared" si="474"/>
        <v xml:space="preserve"> </v>
      </c>
      <c r="AI2138" s="571" t="str">
        <f t="shared" si="472"/>
        <v xml:space="preserve"> </v>
      </c>
      <c r="AJ2138" s="586" t="s">
        <v>1442</v>
      </c>
      <c r="AK2138" s="558" t="s">
        <v>2450</v>
      </c>
    </row>
    <row r="2139" spans="1:37" s="394" customFormat="1" ht="101.25" outlineLevel="2" x14ac:dyDescent="0.3">
      <c r="A2139" s="447">
        <f t="shared" ref="A2139:A2144" si="475">IF(B2138&lt;&gt;0,B2138,A2138)</f>
        <v>180</v>
      </c>
      <c r="B2139" s="557"/>
      <c r="C2139" s="572" t="s">
        <v>1632</v>
      </c>
      <c r="D2139" s="700"/>
      <c r="E2139" s="612"/>
      <c r="F2139" s="612"/>
      <c r="G2139" s="586"/>
      <c r="H2139" s="709"/>
      <c r="I2139" s="546"/>
      <c r="J2139" s="562"/>
      <c r="K2139" s="563" t="str">
        <f>IF(G2139&lt;&gt;0,VLOOKUP(G2139,'gia dat'!$A$1:$F$144,5,0)," ")</f>
        <v xml:space="preserve"> </v>
      </c>
      <c r="L2139" s="563" t="str">
        <f>IF(G2139&lt;&gt;0,VLOOKUP(G2139,'gia dat'!$A$1:$F$144,6,0)," ")</f>
        <v xml:space="preserve"> </v>
      </c>
      <c r="M2139" s="564" t="str">
        <f t="shared" si="469"/>
        <v xml:space="preserve"> </v>
      </c>
      <c r="N2139" s="564" t="str">
        <f t="shared" si="470"/>
        <v xml:space="preserve"> </v>
      </c>
      <c r="O2139" s="572"/>
      <c r="P2139" s="740"/>
      <c r="Q2139" s="564" t="str">
        <f>IF(O2139&lt;&gt;0,VLOOKUP(O2139,'Cây trong'!$A$2:$C$246,3,0)," ")</f>
        <v xml:space="preserve"> </v>
      </c>
      <c r="R2139" s="564" t="str">
        <f t="shared" si="473"/>
        <v xml:space="preserve"> </v>
      </c>
      <c r="S2139" s="566"/>
      <c r="T2139" s="609"/>
      <c r="U2139" s="741"/>
      <c r="V2139" s="586"/>
      <c r="W2139" s="564" t="str">
        <f>IF(S2139&lt;&gt;0,VLOOKUP(S2139,VKT!$A$2:$G$415,7,0),"")</f>
        <v/>
      </c>
      <c r="X2139" s="564" t="str">
        <f t="shared" si="471"/>
        <v xml:space="preserve"> </v>
      </c>
      <c r="Y2139" s="650"/>
      <c r="Z2139" s="586"/>
      <c r="AA2139" s="742"/>
      <c r="AB2139" s="586"/>
      <c r="AC2139" s="586"/>
      <c r="AD2139" s="586"/>
      <c r="AE2139" s="586"/>
      <c r="AF2139" s="714"/>
      <c r="AG2139" s="570" t="str">
        <f>IF(AE2139&lt;&gt;0,VLOOKUP(AE2139,ODDS!$A$2:$C$13,3,0),"")</f>
        <v/>
      </c>
      <c r="AH2139" s="570" t="str">
        <f t="shared" si="474"/>
        <v xml:space="preserve"> </v>
      </c>
      <c r="AI2139" s="571" t="str">
        <f t="shared" si="472"/>
        <v xml:space="preserve"> </v>
      </c>
      <c r="AJ2139" s="586" t="s">
        <v>1416</v>
      </c>
      <c r="AK2139" s="586" t="s">
        <v>2800</v>
      </c>
    </row>
    <row r="2140" spans="1:37" s="394" customFormat="1" ht="20.25" outlineLevel="2" x14ac:dyDescent="0.3">
      <c r="A2140" s="447">
        <f t="shared" si="475"/>
        <v>180</v>
      </c>
      <c r="B2140" s="557"/>
      <c r="C2140" s="572"/>
      <c r="D2140" s="700"/>
      <c r="E2140" s="612"/>
      <c r="F2140" s="612"/>
      <c r="G2140" s="586"/>
      <c r="H2140" s="709"/>
      <c r="I2140" s="546"/>
      <c r="J2140" s="562"/>
      <c r="K2140" s="563" t="str">
        <f>IF(G2140&lt;&gt;0,VLOOKUP(G2140,'gia dat'!$A$1:$F$144,5,0)," ")</f>
        <v xml:space="preserve"> </v>
      </c>
      <c r="L2140" s="563" t="str">
        <f>IF(G2140&lt;&gt;0,VLOOKUP(G2140,'gia dat'!$A$1:$F$144,6,0)," ")</f>
        <v xml:space="preserve"> </v>
      </c>
      <c r="M2140" s="564" t="str">
        <f t="shared" si="469"/>
        <v xml:space="preserve"> </v>
      </c>
      <c r="N2140" s="564" t="str">
        <f t="shared" si="470"/>
        <v xml:space="preserve"> </v>
      </c>
      <c r="O2140" s="572"/>
      <c r="P2140" s="740"/>
      <c r="Q2140" s="564" t="str">
        <f>IF(O2140&lt;&gt;0,VLOOKUP(O2140,'Cây trong'!$A$2:$C$246,3,0)," ")</f>
        <v xml:space="preserve"> </v>
      </c>
      <c r="R2140" s="564" t="str">
        <f t="shared" si="473"/>
        <v xml:space="preserve"> </v>
      </c>
      <c r="S2140" s="566"/>
      <c r="T2140" s="609"/>
      <c r="U2140" s="741"/>
      <c r="V2140" s="586"/>
      <c r="W2140" s="564" t="str">
        <f>IF(S2140&lt;&gt;0,VLOOKUP(S2140,VKT!$A$2:$G$415,7,0),"")</f>
        <v/>
      </c>
      <c r="X2140" s="564" t="str">
        <f t="shared" si="471"/>
        <v xml:space="preserve"> </v>
      </c>
      <c r="Y2140" s="650"/>
      <c r="Z2140" s="586"/>
      <c r="AA2140" s="742"/>
      <c r="AB2140" s="586"/>
      <c r="AC2140" s="586"/>
      <c r="AD2140" s="586"/>
      <c r="AE2140" s="586"/>
      <c r="AF2140" s="714"/>
      <c r="AG2140" s="570" t="str">
        <f>IF(AE2140&lt;&gt;0,VLOOKUP(AE2140,ODDS!$A$2:$C$13,3,0),"")</f>
        <v/>
      </c>
      <c r="AH2140" s="570" t="str">
        <f t="shared" si="474"/>
        <v xml:space="preserve"> </v>
      </c>
      <c r="AI2140" s="571" t="str">
        <f t="shared" si="472"/>
        <v xml:space="preserve"> </v>
      </c>
      <c r="AJ2140" s="586"/>
      <c r="AK2140" s="586"/>
    </row>
    <row r="2141" spans="1:37" s="394" customFormat="1" ht="20.25" outlineLevel="2" x14ac:dyDescent="0.3">
      <c r="A2141" s="447">
        <f t="shared" si="475"/>
        <v>180</v>
      </c>
      <c r="B2141" s="557"/>
      <c r="C2141" s="572"/>
      <c r="D2141" s="700"/>
      <c r="E2141" s="612"/>
      <c r="F2141" s="612"/>
      <c r="G2141" s="586"/>
      <c r="H2141" s="709"/>
      <c r="I2141" s="546"/>
      <c r="J2141" s="562"/>
      <c r="K2141" s="563" t="str">
        <f>IF(G2141&lt;&gt;0,VLOOKUP(G2141,'gia dat'!$A$1:$F$144,5,0)," ")</f>
        <v xml:space="preserve"> </v>
      </c>
      <c r="L2141" s="563" t="str">
        <f>IF(G2141&lt;&gt;0,VLOOKUP(G2141,'gia dat'!$A$1:$F$144,6,0)," ")</f>
        <v xml:space="preserve"> </v>
      </c>
      <c r="M2141" s="564" t="str">
        <f t="shared" si="469"/>
        <v xml:space="preserve"> </v>
      </c>
      <c r="N2141" s="564" t="str">
        <f t="shared" si="470"/>
        <v xml:space="preserve"> </v>
      </c>
      <c r="O2141" s="572"/>
      <c r="P2141" s="740"/>
      <c r="Q2141" s="564" t="str">
        <f>IF(O2141&lt;&gt;0,VLOOKUP(O2141,'Cây trong'!$A$2:$C$246,3,0)," ")</f>
        <v xml:space="preserve"> </v>
      </c>
      <c r="R2141" s="564" t="str">
        <f t="shared" si="473"/>
        <v xml:space="preserve"> </v>
      </c>
      <c r="S2141" s="566"/>
      <c r="T2141" s="609"/>
      <c r="U2141" s="741"/>
      <c r="V2141" s="586"/>
      <c r="W2141" s="564" t="str">
        <f>IF(S2141&lt;&gt;0,VLOOKUP(S2141,VKT!$A$2:$G$415,7,0),"")</f>
        <v/>
      </c>
      <c r="X2141" s="564" t="str">
        <f t="shared" si="471"/>
        <v xml:space="preserve"> </v>
      </c>
      <c r="Y2141" s="650"/>
      <c r="Z2141" s="586"/>
      <c r="AA2141" s="742"/>
      <c r="AB2141" s="586"/>
      <c r="AC2141" s="586"/>
      <c r="AD2141" s="586"/>
      <c r="AE2141" s="586"/>
      <c r="AF2141" s="714"/>
      <c r="AG2141" s="570" t="str">
        <f>IF(AE2141&lt;&gt;0,VLOOKUP(AE2141,ODDS!$A$2:$C$13,3,0),"")</f>
        <v/>
      </c>
      <c r="AH2141" s="570" t="str">
        <f t="shared" si="474"/>
        <v xml:space="preserve"> </v>
      </c>
      <c r="AI2141" s="571" t="str">
        <f t="shared" si="472"/>
        <v xml:space="preserve"> </v>
      </c>
      <c r="AJ2141" s="586"/>
      <c r="AK2141" s="586"/>
    </row>
    <row r="2142" spans="1:37" s="394" customFormat="1" ht="20.25" outlineLevel="2" x14ac:dyDescent="0.3">
      <c r="A2142" s="447">
        <f t="shared" si="475"/>
        <v>180</v>
      </c>
      <c r="B2142" s="557"/>
      <c r="C2142" s="572"/>
      <c r="D2142" s="700"/>
      <c r="E2142" s="612"/>
      <c r="F2142" s="612"/>
      <c r="G2142" s="586"/>
      <c r="H2142" s="709"/>
      <c r="I2142" s="546"/>
      <c r="J2142" s="558"/>
      <c r="K2142" s="563" t="str">
        <f>IF(G2142&lt;&gt;0,VLOOKUP(G2142,'gia dat'!$A$1:$F$144,5,0)," ")</f>
        <v xml:space="preserve"> </v>
      </c>
      <c r="L2142" s="563" t="str">
        <f>IF(G2142&lt;&gt;0,VLOOKUP(G2142,'gia dat'!$A$1:$F$144,6,0)," ")</f>
        <v xml:space="preserve"> </v>
      </c>
      <c r="M2142" s="564" t="str">
        <f t="shared" si="469"/>
        <v xml:space="preserve"> </v>
      </c>
      <c r="N2142" s="564" t="str">
        <f t="shared" si="470"/>
        <v xml:space="preserve"> </v>
      </c>
      <c r="O2142" s="572"/>
      <c r="P2142" s="740"/>
      <c r="Q2142" s="564" t="str">
        <f>IF(O2142&lt;&gt;0,VLOOKUP(O2142,'Cây trong'!$A$2:$C$246,3,0)," ")</f>
        <v xml:space="preserve"> </v>
      </c>
      <c r="R2142" s="564" t="str">
        <f t="shared" si="473"/>
        <v xml:space="preserve"> </v>
      </c>
      <c r="S2142" s="572"/>
      <c r="T2142" s="609"/>
      <c r="U2142" s="741"/>
      <c r="V2142" s="586"/>
      <c r="W2142" s="564" t="str">
        <f>IF(S2142&lt;&gt;0,VLOOKUP(S2142,VKT!$A$2:$G$415,7,0),"")</f>
        <v/>
      </c>
      <c r="X2142" s="564" t="str">
        <f t="shared" si="471"/>
        <v xml:space="preserve"> </v>
      </c>
      <c r="Y2142" s="650"/>
      <c r="Z2142" s="586"/>
      <c r="AA2142" s="742"/>
      <c r="AB2142" s="586"/>
      <c r="AC2142" s="586"/>
      <c r="AD2142" s="586"/>
      <c r="AE2142" s="586"/>
      <c r="AF2142" s="714"/>
      <c r="AG2142" s="570" t="str">
        <f>IF(AE2142&lt;&gt;0,VLOOKUP(AE2142,ODDS!$A$2:$C$13,3,0),"")</f>
        <v/>
      </c>
      <c r="AH2142" s="570" t="str">
        <f t="shared" si="474"/>
        <v xml:space="preserve"> </v>
      </c>
      <c r="AI2142" s="571" t="str">
        <f t="shared" si="472"/>
        <v xml:space="preserve"> </v>
      </c>
      <c r="AJ2142" s="586"/>
      <c r="AK2142" s="586"/>
    </row>
    <row r="2143" spans="1:37" s="394" customFormat="1" ht="20.25" outlineLevel="2" x14ac:dyDescent="0.3">
      <c r="A2143" s="447">
        <f t="shared" si="475"/>
        <v>180</v>
      </c>
      <c r="B2143" s="557"/>
      <c r="C2143" s="572"/>
      <c r="D2143" s="700"/>
      <c r="E2143" s="612"/>
      <c r="F2143" s="612"/>
      <c r="G2143" s="586"/>
      <c r="H2143" s="709"/>
      <c r="I2143" s="546"/>
      <c r="J2143" s="558"/>
      <c r="K2143" s="563" t="str">
        <f>IF(G2143&lt;&gt;0,VLOOKUP(G2143,'gia dat'!$A$1:$F$144,5,0)," ")</f>
        <v xml:space="preserve"> </v>
      </c>
      <c r="L2143" s="563" t="str">
        <f>IF(G2143&lt;&gt;0,VLOOKUP(G2143,'gia dat'!$A$1:$F$144,6,0)," ")</f>
        <v xml:space="preserve"> </v>
      </c>
      <c r="M2143" s="564" t="str">
        <f t="shared" si="469"/>
        <v xml:space="preserve"> </v>
      </c>
      <c r="N2143" s="564" t="str">
        <f t="shared" si="470"/>
        <v xml:space="preserve"> </v>
      </c>
      <c r="O2143" s="572"/>
      <c r="P2143" s="740"/>
      <c r="Q2143" s="564" t="str">
        <f>IF(O2143&lt;&gt;0,VLOOKUP(O2143,'Cây trong'!$A$2:$C$246,3,0)," ")</f>
        <v xml:space="preserve"> </v>
      </c>
      <c r="R2143" s="564" t="str">
        <f t="shared" si="473"/>
        <v xml:space="preserve"> </v>
      </c>
      <c r="S2143" s="572"/>
      <c r="T2143" s="609"/>
      <c r="U2143" s="741"/>
      <c r="V2143" s="586"/>
      <c r="W2143" s="564" t="str">
        <f>IF(S2143&lt;&gt;0,VLOOKUP(S2143,VKT!$A$2:$G$415,7,0),"")</f>
        <v/>
      </c>
      <c r="X2143" s="564" t="str">
        <f t="shared" si="471"/>
        <v xml:space="preserve"> </v>
      </c>
      <c r="Y2143" s="650"/>
      <c r="Z2143" s="586"/>
      <c r="AA2143" s="742"/>
      <c r="AB2143" s="586"/>
      <c r="AC2143" s="586"/>
      <c r="AD2143" s="586"/>
      <c r="AE2143" s="586"/>
      <c r="AF2143" s="714"/>
      <c r="AG2143" s="570" t="str">
        <f>IF(AE2143&lt;&gt;0,VLOOKUP(AE2143,ODDS!$A$2:$C$13,3,0),"")</f>
        <v/>
      </c>
      <c r="AH2143" s="570" t="str">
        <f t="shared" si="474"/>
        <v xml:space="preserve"> </v>
      </c>
      <c r="AI2143" s="571" t="str">
        <f t="shared" si="472"/>
        <v xml:space="preserve"> </v>
      </c>
      <c r="AJ2143" s="586"/>
      <c r="AK2143" s="586"/>
    </row>
    <row r="2144" spans="1:37" s="394" customFormat="1" ht="20.25" outlineLevel="2" x14ac:dyDescent="0.3">
      <c r="A2144" s="447">
        <f t="shared" si="475"/>
        <v>180</v>
      </c>
      <c r="B2144" s="557"/>
      <c r="C2144" s="607"/>
      <c r="D2144" s="700"/>
      <c r="E2144" s="612"/>
      <c r="F2144" s="612"/>
      <c r="G2144" s="586"/>
      <c r="H2144" s="709"/>
      <c r="I2144" s="546"/>
      <c r="J2144" s="558"/>
      <c r="K2144" s="563" t="str">
        <f>IF(G2144&lt;&gt;0,VLOOKUP(G2144,'gia dat'!$A$1:$F$144,5,0)," ")</f>
        <v xml:space="preserve"> </v>
      </c>
      <c r="L2144" s="563" t="str">
        <f>IF(G2144&lt;&gt;0,VLOOKUP(G2144,'gia dat'!$A$1:$F$144,6,0)," ")</f>
        <v xml:space="preserve"> </v>
      </c>
      <c r="M2144" s="564" t="str">
        <f t="shared" si="469"/>
        <v xml:space="preserve"> </v>
      </c>
      <c r="N2144" s="564" t="str">
        <f t="shared" si="470"/>
        <v xml:space="preserve"> </v>
      </c>
      <c r="O2144" s="572"/>
      <c r="P2144" s="740"/>
      <c r="Q2144" s="564" t="str">
        <f>IF(O2144&lt;&gt;0,VLOOKUP(O2144,'Cây trong'!$A$2:$C$246,3,0)," ")</f>
        <v xml:space="preserve"> </v>
      </c>
      <c r="R2144" s="564" t="str">
        <f t="shared" si="473"/>
        <v xml:space="preserve"> </v>
      </c>
      <c r="S2144" s="572"/>
      <c r="T2144" s="609"/>
      <c r="U2144" s="741"/>
      <c r="V2144" s="586"/>
      <c r="W2144" s="564" t="str">
        <f>IF(S2144&lt;&gt;0,VLOOKUP(S2144,VKT!$A$2:$G$415,7,0),"")</f>
        <v/>
      </c>
      <c r="X2144" s="564" t="str">
        <f t="shared" si="471"/>
        <v xml:space="preserve"> </v>
      </c>
      <c r="Y2144" s="650"/>
      <c r="Z2144" s="586"/>
      <c r="AA2144" s="742"/>
      <c r="AB2144" s="586"/>
      <c r="AC2144" s="586"/>
      <c r="AD2144" s="586"/>
      <c r="AE2144" s="586"/>
      <c r="AF2144" s="714"/>
      <c r="AG2144" s="570" t="str">
        <f>IF(AE2144&lt;&gt;0,VLOOKUP(AE2144,ODDS!$A$2:$C$13,3,0),"")</f>
        <v/>
      </c>
      <c r="AH2144" s="570" t="str">
        <f t="shared" si="474"/>
        <v xml:space="preserve"> </v>
      </c>
      <c r="AI2144" s="571" t="str">
        <f t="shared" si="472"/>
        <v xml:space="preserve"> </v>
      </c>
      <c r="AJ2144" s="586"/>
      <c r="AK2144" s="586"/>
    </row>
    <row r="2145" spans="1:37" s="394" customFormat="1" ht="20.25" outlineLevel="1" x14ac:dyDescent="0.25">
      <c r="A2145" s="467" t="s">
        <v>2529</v>
      </c>
      <c r="B2145" s="576">
        <v>181</v>
      </c>
      <c r="C2145" s="607" t="s">
        <v>2801</v>
      </c>
      <c r="D2145" s="706"/>
      <c r="E2145" s="642"/>
      <c r="F2145" s="642"/>
      <c r="G2145" s="578"/>
      <c r="H2145" s="707">
        <f>SUBTOTAL(9,H2146:H2158)</f>
        <v>596</v>
      </c>
      <c r="I2145" s="579">
        <f>SUBTOTAL(9,I2146:I2151)</f>
        <v>164</v>
      </c>
      <c r="J2145" s="580"/>
      <c r="K2145" s="581"/>
      <c r="L2145" s="581"/>
      <c r="M2145" s="571">
        <f>SUBTOTAL(9,M2146:M2158)</f>
        <v>277497000</v>
      </c>
      <c r="N2145" s="571">
        <f>SUBTOTAL(9,N2146:N2158)</f>
        <v>229075000</v>
      </c>
      <c r="O2145" s="607"/>
      <c r="P2145" s="738">
        <f>SUBTOTAL(9,P2146:P2158)</f>
        <v>0</v>
      </c>
      <c r="Q2145" s="571"/>
      <c r="R2145" s="571">
        <f>SUBTOTAL(9,R2146:R2158)</f>
        <v>0</v>
      </c>
      <c r="S2145" s="582"/>
      <c r="T2145" s="621"/>
      <c r="U2145" s="739">
        <f>SUBTOTAL(9,U2146:U2158)</f>
        <v>149.30000000000001</v>
      </c>
      <c r="V2145" s="578"/>
      <c r="W2145" s="571"/>
      <c r="X2145" s="571">
        <f>SUBTOTAL(9,X2146:X2158)</f>
        <v>393578000</v>
      </c>
      <c r="Y2145" s="650"/>
      <c r="Z2145" s="586"/>
      <c r="AA2145" s="742"/>
      <c r="AB2145" s="586"/>
      <c r="AC2145" s="586"/>
      <c r="AD2145" s="586"/>
      <c r="AE2145" s="602"/>
      <c r="AF2145" s="581">
        <f>SUBTOTAL(9,AF2146:AF2158)</f>
        <v>1</v>
      </c>
      <c r="AG2145" s="585"/>
      <c r="AH2145" s="585">
        <f>SUBTOTAL(9,AH2146:AH2158)</f>
        <v>17000000</v>
      </c>
      <c r="AI2145" s="571">
        <f t="shared" si="472"/>
        <v>917150000</v>
      </c>
      <c r="AJ2145" s="578"/>
      <c r="AK2145" s="578"/>
    </row>
    <row r="2146" spans="1:37" s="394" customFormat="1" ht="121.5" outlineLevel="2" x14ac:dyDescent="0.3">
      <c r="A2146" s="447">
        <f>IF(B2145&lt;&gt;0,B2145,A2144)</f>
        <v>181</v>
      </c>
      <c r="B2146" s="557"/>
      <c r="C2146" s="572" t="s">
        <v>1446</v>
      </c>
      <c r="D2146" s="700">
        <v>4</v>
      </c>
      <c r="E2146" s="612">
        <v>86</v>
      </c>
      <c r="F2146" s="612">
        <v>351</v>
      </c>
      <c r="G2146" s="586" t="s">
        <v>2080</v>
      </c>
      <c r="H2146" s="709">
        <f>596-H2147</f>
        <v>164</v>
      </c>
      <c r="I2146" s="546">
        <f t="shared" ref="I2146:I2147" si="476">IF(N2146&gt;0,H2146,"")</f>
        <v>164</v>
      </c>
      <c r="J2146" s="562"/>
      <c r="K2146" s="563">
        <f>IF(G2146&lt;&gt;0,VLOOKUP(G2146,'gia dat'!$A$1:$F$144,5,0)," ")</f>
        <v>465600</v>
      </c>
      <c r="L2146" s="563">
        <f>IF(G2146&lt;&gt;0,VLOOKUP(G2146,'gia dat'!$A$1:$F$144,6,0)," ")</f>
        <v>1396800</v>
      </c>
      <c r="M2146" s="564">
        <f t="shared" si="469"/>
        <v>76358000</v>
      </c>
      <c r="N2146" s="564">
        <f t="shared" si="470"/>
        <v>229075000</v>
      </c>
      <c r="O2146" s="572"/>
      <c r="P2146" s="740"/>
      <c r="Q2146" s="564" t="str">
        <f>IF(O2146&lt;&gt;0,VLOOKUP(O2146,'Cây trong'!$A$2:$C$246,3,0)," ")</f>
        <v xml:space="preserve"> </v>
      </c>
      <c r="R2146" s="564" t="str">
        <f t="shared" si="473"/>
        <v xml:space="preserve"> </v>
      </c>
      <c r="S2146" s="566" t="s">
        <v>1978</v>
      </c>
      <c r="T2146" s="609" t="s">
        <v>1133</v>
      </c>
      <c r="U2146" s="741">
        <v>2.9</v>
      </c>
      <c r="V2146" s="586"/>
      <c r="W2146" s="564">
        <f>IF(S2146&lt;&gt;0,VLOOKUP(S2146,VKT!$A$2:$G$415,7,0),"")</f>
        <v>236298</v>
      </c>
      <c r="X2146" s="564">
        <f t="shared" si="471"/>
        <v>685000</v>
      </c>
      <c r="Y2146" s="650"/>
      <c r="Z2146" s="586"/>
      <c r="AA2146" s="742"/>
      <c r="AB2146" s="586"/>
      <c r="AC2146" s="586"/>
      <c r="AD2146" s="586"/>
      <c r="AE2146" s="569"/>
      <c r="AF2146" s="563"/>
      <c r="AG2146" s="570"/>
      <c r="AH2146" s="570"/>
      <c r="AI2146" s="571" t="str">
        <f t="shared" si="472"/>
        <v xml:space="preserve"> </v>
      </c>
      <c r="AJ2146" s="586" t="s">
        <v>1445</v>
      </c>
      <c r="AK2146" s="586" t="s">
        <v>2771</v>
      </c>
    </row>
    <row r="2147" spans="1:37" s="394" customFormat="1" ht="101.25" outlineLevel="2" x14ac:dyDescent="0.3">
      <c r="A2147" s="447">
        <f t="shared" ref="A2147:A2158" si="477">IF(B2146&lt;&gt;0,B2146,A2146)</f>
        <v>181</v>
      </c>
      <c r="B2147" s="557"/>
      <c r="C2147" s="572" t="s">
        <v>1633</v>
      </c>
      <c r="D2147" s="700"/>
      <c r="E2147" s="612"/>
      <c r="F2147" s="612"/>
      <c r="G2147" s="586" t="s">
        <v>2065</v>
      </c>
      <c r="H2147" s="709">
        <v>432</v>
      </c>
      <c r="I2147" s="546" t="str">
        <f t="shared" si="476"/>
        <v/>
      </c>
      <c r="J2147" s="562"/>
      <c r="K2147" s="563">
        <f>IF(G2147&lt;&gt;0,VLOOKUP(G2147,'gia dat'!$A$1:$F$144,5,0)," ")</f>
        <v>465600</v>
      </c>
      <c r="L2147" s="563">
        <f>IF(G2147&lt;&gt;0,VLOOKUP(G2147,'gia dat'!$A$1:$F$144,6,0)," ")</f>
        <v>0</v>
      </c>
      <c r="M2147" s="564">
        <f t="shared" si="469"/>
        <v>201139000</v>
      </c>
      <c r="N2147" s="564">
        <f t="shared" si="470"/>
        <v>0</v>
      </c>
      <c r="O2147" s="572"/>
      <c r="P2147" s="740"/>
      <c r="Q2147" s="564" t="str">
        <f>IF(O2147&lt;&gt;0,VLOOKUP(O2147,'Cây trong'!$A$2:$C$246,3,0)," ")</f>
        <v xml:space="preserve"> </v>
      </c>
      <c r="R2147" s="564" t="str">
        <f t="shared" si="473"/>
        <v xml:space="preserve"> </v>
      </c>
      <c r="S2147" s="566" t="s">
        <v>1839</v>
      </c>
      <c r="T2147" s="609" t="s">
        <v>1133</v>
      </c>
      <c r="U2147" s="741">
        <v>12</v>
      </c>
      <c r="V2147" s="586"/>
      <c r="W2147" s="564">
        <f>IF(S2147&lt;&gt;0,VLOOKUP(S2147,VKT!$A$2:$G$415,7,0),"")</f>
        <v>244604</v>
      </c>
      <c r="X2147" s="564">
        <f t="shared" si="471"/>
        <v>2935000</v>
      </c>
      <c r="Y2147" s="650"/>
      <c r="Z2147" s="586"/>
      <c r="AA2147" s="742"/>
      <c r="AB2147" s="586"/>
      <c r="AC2147" s="586"/>
      <c r="AD2147" s="586"/>
      <c r="AE2147" s="569" t="s">
        <v>2791</v>
      </c>
      <c r="AF2147" s="590">
        <v>1</v>
      </c>
      <c r="AG2147" s="570">
        <f>IF(AE2147&lt;&gt;0,VLOOKUP(AE2147,ODDS!$A$2:$C$13,3,0),"")</f>
        <v>17000000</v>
      </c>
      <c r="AH2147" s="570">
        <f t="shared" si="474"/>
        <v>17000000</v>
      </c>
      <c r="AI2147" s="571" t="str">
        <f t="shared" si="472"/>
        <v xml:space="preserve"> </v>
      </c>
      <c r="AJ2147" s="586" t="s">
        <v>1447</v>
      </c>
      <c r="AK2147" s="558" t="s">
        <v>2448</v>
      </c>
    </row>
    <row r="2148" spans="1:37" s="394" customFormat="1" ht="121.5" outlineLevel="2" x14ac:dyDescent="0.3">
      <c r="A2148" s="447">
        <f t="shared" si="477"/>
        <v>181</v>
      </c>
      <c r="B2148" s="557"/>
      <c r="C2148" s="572"/>
      <c r="D2148" s="700"/>
      <c r="E2148" s="612"/>
      <c r="F2148" s="612"/>
      <c r="G2148" s="586"/>
      <c r="H2148" s="709"/>
      <c r="I2148" s="546"/>
      <c r="J2148" s="562"/>
      <c r="K2148" s="563" t="str">
        <f>IF(G2148&lt;&gt;0,VLOOKUP(G2148,'gia dat'!$A$1:$F$144,5,0)," ")</f>
        <v xml:space="preserve"> </v>
      </c>
      <c r="L2148" s="563" t="str">
        <f>IF(G2148&lt;&gt;0,VLOOKUP(G2148,'gia dat'!$A$1:$F$144,6,0)," ")</f>
        <v xml:space="preserve"> </v>
      </c>
      <c r="M2148" s="564" t="str">
        <f t="shared" si="469"/>
        <v xml:space="preserve"> </v>
      </c>
      <c r="N2148" s="564" t="str">
        <f t="shared" si="470"/>
        <v xml:space="preserve"> </v>
      </c>
      <c r="O2148" s="572"/>
      <c r="P2148" s="740"/>
      <c r="Q2148" s="564" t="str">
        <f>IF(O2148&lt;&gt;0,VLOOKUP(O2148,'Cây trong'!$A$2:$C$246,3,0)," ")</f>
        <v xml:space="preserve"> </v>
      </c>
      <c r="R2148" s="564" t="str">
        <f t="shared" si="473"/>
        <v xml:space="preserve"> </v>
      </c>
      <c r="S2148" s="566" t="s">
        <v>1992</v>
      </c>
      <c r="T2148" s="609" t="s">
        <v>1133</v>
      </c>
      <c r="U2148" s="741">
        <v>22.4</v>
      </c>
      <c r="V2148" s="586"/>
      <c r="W2148" s="564">
        <f>IF(S2148&lt;&gt;0,VLOOKUP(S2148,VKT!$A$2:$G$415,7,0),"")</f>
        <v>984277</v>
      </c>
      <c r="X2148" s="564">
        <f t="shared" si="471"/>
        <v>22048000</v>
      </c>
      <c r="Y2148" s="683" t="s">
        <v>1139</v>
      </c>
      <c r="Z2148" s="683" t="s">
        <v>56</v>
      </c>
      <c r="AA2148" s="683"/>
      <c r="AB2148" s="694" t="s">
        <v>1138</v>
      </c>
      <c r="AC2148" s="586"/>
      <c r="AD2148" s="586"/>
      <c r="AE2148" s="606"/>
      <c r="AF2148" s="590"/>
      <c r="AG2148" s="570" t="str">
        <f>IF(AE2148&lt;&gt;0,VLOOKUP(AE2148,ODDS!$A$2:$C$13,3,0),"")</f>
        <v/>
      </c>
      <c r="AH2148" s="570" t="str">
        <f t="shared" si="474"/>
        <v xml:space="preserve"> </v>
      </c>
      <c r="AI2148" s="571" t="str">
        <f t="shared" si="472"/>
        <v xml:space="preserve"> </v>
      </c>
      <c r="AJ2148" s="586" t="s">
        <v>1416</v>
      </c>
      <c r="AK2148" s="558" t="s">
        <v>2450</v>
      </c>
    </row>
    <row r="2149" spans="1:37" s="394" customFormat="1" ht="81" outlineLevel="2" x14ac:dyDescent="0.3">
      <c r="A2149" s="447">
        <f t="shared" si="477"/>
        <v>181</v>
      </c>
      <c r="B2149" s="557"/>
      <c r="C2149" s="572"/>
      <c r="D2149" s="700"/>
      <c r="E2149" s="612"/>
      <c r="F2149" s="612"/>
      <c r="G2149" s="586"/>
      <c r="H2149" s="709"/>
      <c r="I2149" s="546"/>
      <c r="J2149" s="562"/>
      <c r="K2149" s="563" t="str">
        <f>IF(G2149&lt;&gt;0,VLOOKUP(G2149,'gia dat'!$A$1:$F$144,5,0)," ")</f>
        <v xml:space="preserve"> </v>
      </c>
      <c r="L2149" s="563" t="str">
        <f>IF(G2149&lt;&gt;0,VLOOKUP(G2149,'gia dat'!$A$1:$F$144,6,0)," ")</f>
        <v xml:space="preserve"> </v>
      </c>
      <c r="M2149" s="564" t="str">
        <f t="shared" si="469"/>
        <v xml:space="preserve"> </v>
      </c>
      <c r="N2149" s="564" t="str">
        <f t="shared" si="470"/>
        <v xml:space="preserve"> </v>
      </c>
      <c r="O2149" s="572"/>
      <c r="P2149" s="740"/>
      <c r="Q2149" s="564" t="str">
        <f>IF(O2149&lt;&gt;0,VLOOKUP(O2149,'Cây trong'!$A$2:$C$246,3,0)," ")</f>
        <v xml:space="preserve"> </v>
      </c>
      <c r="R2149" s="564" t="str">
        <f t="shared" si="473"/>
        <v xml:space="preserve"> </v>
      </c>
      <c r="S2149" s="566" t="s">
        <v>1838</v>
      </c>
      <c r="T2149" s="609" t="s">
        <v>1133</v>
      </c>
      <c r="U2149" s="741">
        <v>87.9</v>
      </c>
      <c r="V2149" s="586"/>
      <c r="W2149" s="564">
        <f>IF(S2149&lt;&gt;0,VLOOKUP(S2149,VKT!$A$2:$G$415,7,0),"")</f>
        <v>3156089</v>
      </c>
      <c r="X2149" s="564">
        <f t="shared" si="471"/>
        <v>277420000</v>
      </c>
      <c r="Y2149" s="683" t="s">
        <v>1139</v>
      </c>
      <c r="Z2149" s="683" t="s">
        <v>56</v>
      </c>
      <c r="AA2149" s="683" t="s">
        <v>269</v>
      </c>
      <c r="AB2149" s="694" t="s">
        <v>1138</v>
      </c>
      <c r="AC2149" s="586"/>
      <c r="AD2149" s="586"/>
      <c r="AE2149" s="586"/>
      <c r="AF2149" s="714"/>
      <c r="AG2149" s="570" t="str">
        <f>IF(AE2149&lt;&gt;0,VLOOKUP(AE2149,ODDS!$A$2:$C$13,3,0),"")</f>
        <v/>
      </c>
      <c r="AH2149" s="570" t="str">
        <f t="shared" si="474"/>
        <v xml:space="preserve"> </v>
      </c>
      <c r="AI2149" s="571" t="str">
        <f t="shared" si="472"/>
        <v xml:space="preserve"> </v>
      </c>
      <c r="AJ2149" s="586" t="s">
        <v>2074</v>
      </c>
      <c r="AK2149" s="586" t="s">
        <v>2451</v>
      </c>
    </row>
    <row r="2150" spans="1:37" s="394" customFormat="1" ht="101.25" outlineLevel="2" x14ac:dyDescent="0.3">
      <c r="A2150" s="447">
        <f t="shared" si="477"/>
        <v>181</v>
      </c>
      <c r="B2150" s="557"/>
      <c r="C2150" s="572"/>
      <c r="D2150" s="700"/>
      <c r="E2150" s="612"/>
      <c r="F2150" s="612"/>
      <c r="G2150" s="586"/>
      <c r="H2150" s="709"/>
      <c r="I2150" s="546"/>
      <c r="J2150" s="562"/>
      <c r="K2150" s="563" t="str">
        <f>IF(G2150&lt;&gt;0,VLOOKUP(G2150,'gia dat'!$A$1:$F$144,5,0)," ")</f>
        <v xml:space="preserve"> </v>
      </c>
      <c r="L2150" s="563" t="str">
        <f>IF(G2150&lt;&gt;0,VLOOKUP(G2150,'gia dat'!$A$1:$F$144,6,0)," ")</f>
        <v xml:space="preserve"> </v>
      </c>
      <c r="M2150" s="564" t="str">
        <f t="shared" si="469"/>
        <v xml:space="preserve"> </v>
      </c>
      <c r="N2150" s="564" t="str">
        <f t="shared" si="470"/>
        <v xml:space="preserve"> </v>
      </c>
      <c r="O2150" s="572"/>
      <c r="P2150" s="740"/>
      <c r="Q2150" s="564" t="str">
        <f>IF(O2150&lt;&gt;0,VLOOKUP(O2150,'Cây trong'!$A$2:$C$246,3,0)," ")</f>
        <v xml:space="preserve"> </v>
      </c>
      <c r="R2150" s="564" t="str">
        <f t="shared" si="473"/>
        <v xml:space="preserve"> </v>
      </c>
      <c r="S2150" s="566" t="s">
        <v>1981</v>
      </c>
      <c r="T2150" s="609" t="s">
        <v>1133</v>
      </c>
      <c r="U2150" s="741">
        <v>2.8</v>
      </c>
      <c r="V2150" s="586"/>
      <c r="W2150" s="564">
        <f>IF(S2150&lt;&gt;0,VLOOKUP(S2150,VKT!$A$2:$G$415,7,0),"")</f>
        <v>8308812</v>
      </c>
      <c r="X2150" s="564">
        <f t="shared" si="471"/>
        <v>23265000</v>
      </c>
      <c r="Y2150" s="683"/>
      <c r="Z2150" s="683"/>
      <c r="AA2150" s="683"/>
      <c r="AB2150" s="694"/>
      <c r="AC2150" s="586"/>
      <c r="AD2150" s="586"/>
      <c r="AE2150" s="586"/>
      <c r="AF2150" s="714"/>
      <c r="AG2150" s="570" t="str">
        <f>IF(AE2150&lt;&gt;0,VLOOKUP(AE2150,ODDS!$A$2:$C$13,3,0),"")</f>
        <v/>
      </c>
      <c r="AH2150" s="570" t="str">
        <f t="shared" si="474"/>
        <v xml:space="preserve"> </v>
      </c>
      <c r="AI2150" s="571" t="str">
        <f t="shared" si="472"/>
        <v xml:space="preserve"> </v>
      </c>
      <c r="AJ2150" s="731"/>
      <c r="AK2150" s="586" t="s">
        <v>2800</v>
      </c>
    </row>
    <row r="2151" spans="1:37" s="394" customFormat="1" ht="40.5" outlineLevel="2" x14ac:dyDescent="0.3">
      <c r="A2151" s="447">
        <f t="shared" si="477"/>
        <v>181</v>
      </c>
      <c r="B2151" s="557"/>
      <c r="C2151" s="572"/>
      <c r="D2151" s="700"/>
      <c r="E2151" s="612"/>
      <c r="F2151" s="612"/>
      <c r="G2151" s="586"/>
      <c r="H2151" s="709"/>
      <c r="I2151" s="546"/>
      <c r="J2151" s="562"/>
      <c r="K2151" s="563" t="str">
        <f>IF(G2151&lt;&gt;0,VLOOKUP(G2151,'gia dat'!$A$1:$F$144,5,0)," ")</f>
        <v xml:space="preserve"> </v>
      </c>
      <c r="L2151" s="563" t="str">
        <f>IF(G2151&lt;&gt;0,VLOOKUP(G2151,'gia dat'!$A$1:$F$144,6,0)," ")</f>
        <v xml:space="preserve"> </v>
      </c>
      <c r="M2151" s="564" t="str">
        <f t="shared" si="469"/>
        <v xml:space="preserve"> </v>
      </c>
      <c r="N2151" s="564" t="str">
        <f t="shared" si="470"/>
        <v xml:space="preserve"> </v>
      </c>
      <c r="O2151" s="572"/>
      <c r="P2151" s="740"/>
      <c r="Q2151" s="564" t="str">
        <f>IF(O2151&lt;&gt;0,VLOOKUP(O2151,'Cây trong'!$A$2:$C$246,3,0)," ")</f>
        <v xml:space="preserve"> </v>
      </c>
      <c r="R2151" s="564" t="str">
        <f t="shared" si="473"/>
        <v xml:space="preserve"> </v>
      </c>
      <c r="S2151" s="572" t="s">
        <v>1838</v>
      </c>
      <c r="T2151" s="609" t="s">
        <v>1133</v>
      </c>
      <c r="U2151" s="741">
        <v>21.3</v>
      </c>
      <c r="V2151" s="586"/>
      <c r="W2151" s="564">
        <f>IF(S2151&lt;&gt;0,VLOOKUP(S2151,VKT!$A$2:$G$415,7,0),"")</f>
        <v>3156089</v>
      </c>
      <c r="X2151" s="564">
        <f t="shared" si="471"/>
        <v>67225000</v>
      </c>
      <c r="Y2151" s="683" t="s">
        <v>1139</v>
      </c>
      <c r="Z2151" s="683" t="s">
        <v>56</v>
      </c>
      <c r="AA2151" s="683" t="s">
        <v>269</v>
      </c>
      <c r="AB2151" s="694" t="s">
        <v>139</v>
      </c>
      <c r="AC2151" s="586"/>
      <c r="AD2151" s="586"/>
      <c r="AE2151" s="586"/>
      <c r="AF2151" s="714"/>
      <c r="AG2151" s="570" t="str">
        <f>IF(AE2151&lt;&gt;0,VLOOKUP(AE2151,ODDS!$A$2:$C$13,3,0),"")</f>
        <v/>
      </c>
      <c r="AH2151" s="570" t="str">
        <f t="shared" si="474"/>
        <v xml:space="preserve"> </v>
      </c>
      <c r="AI2151" s="571" t="str">
        <f t="shared" si="472"/>
        <v xml:space="preserve"> </v>
      </c>
      <c r="AJ2151" s="586"/>
      <c r="AK2151" s="586"/>
    </row>
    <row r="2152" spans="1:37" s="394" customFormat="1" ht="20.25" outlineLevel="2" x14ac:dyDescent="0.3">
      <c r="A2152" s="447">
        <f t="shared" si="477"/>
        <v>181</v>
      </c>
      <c r="B2152" s="557"/>
      <c r="C2152" s="572"/>
      <c r="D2152" s="700"/>
      <c r="E2152" s="612"/>
      <c r="F2152" s="612"/>
      <c r="G2152" s="586"/>
      <c r="H2152" s="709"/>
      <c r="I2152" s="546"/>
      <c r="J2152" s="562"/>
      <c r="K2152" s="563" t="str">
        <f>IF(G2152&lt;&gt;0,VLOOKUP(G2152,'gia dat'!$A$1:$F$144,5,0)," ")</f>
        <v xml:space="preserve"> </v>
      </c>
      <c r="L2152" s="563" t="str">
        <f>IF(G2152&lt;&gt;0,VLOOKUP(G2152,'gia dat'!$A$1:$F$144,6,0)," ")</f>
        <v xml:space="preserve"> </v>
      </c>
      <c r="M2152" s="564" t="str">
        <f t="shared" si="469"/>
        <v xml:space="preserve"> </v>
      </c>
      <c r="N2152" s="564" t="str">
        <f t="shared" si="470"/>
        <v xml:space="preserve"> </v>
      </c>
      <c r="O2152" s="572"/>
      <c r="P2152" s="740"/>
      <c r="Q2152" s="564" t="str">
        <f>IF(O2152&lt;&gt;0,VLOOKUP(O2152,'Cây trong'!$A$2:$C$246,3,0)," ")</f>
        <v xml:space="preserve"> </v>
      </c>
      <c r="R2152" s="564" t="str">
        <f t="shared" si="473"/>
        <v xml:space="preserve"> </v>
      </c>
      <c r="S2152" s="566"/>
      <c r="T2152" s="609"/>
      <c r="U2152" s="741"/>
      <c r="V2152" s="586"/>
      <c r="W2152" s="564" t="str">
        <f>IF(S2152&lt;&gt;0,VLOOKUP(S2152,VKT!$A$2:$G$415,7,0),"")</f>
        <v/>
      </c>
      <c r="X2152" s="564" t="str">
        <f t="shared" si="471"/>
        <v xml:space="preserve"> </v>
      </c>
      <c r="Y2152" s="650"/>
      <c r="Z2152" s="586"/>
      <c r="AA2152" s="742"/>
      <c r="AB2152" s="586"/>
      <c r="AC2152" s="586"/>
      <c r="AD2152" s="586"/>
      <c r="AE2152" s="586"/>
      <c r="AF2152" s="714"/>
      <c r="AG2152" s="570" t="str">
        <f>IF(AE2152&lt;&gt;0,VLOOKUP(AE2152,ODDS!$A$2:$C$13,3,0),"")</f>
        <v/>
      </c>
      <c r="AH2152" s="570" t="str">
        <f t="shared" si="474"/>
        <v xml:space="preserve"> </v>
      </c>
      <c r="AI2152" s="571" t="str">
        <f t="shared" si="472"/>
        <v xml:space="preserve"> </v>
      </c>
      <c r="AJ2152" s="586"/>
      <c r="AK2152" s="586"/>
    </row>
    <row r="2153" spans="1:37" s="394" customFormat="1" ht="20.25" outlineLevel="2" x14ac:dyDescent="0.3">
      <c r="A2153" s="447">
        <f t="shared" si="477"/>
        <v>181</v>
      </c>
      <c r="B2153" s="557"/>
      <c r="C2153" s="572"/>
      <c r="D2153" s="700"/>
      <c r="E2153" s="612"/>
      <c r="F2153" s="612"/>
      <c r="G2153" s="586"/>
      <c r="H2153" s="709"/>
      <c r="I2153" s="546"/>
      <c r="J2153" s="562"/>
      <c r="K2153" s="563" t="str">
        <f>IF(G2153&lt;&gt;0,VLOOKUP(G2153,'gia dat'!$A$1:$F$144,5,0)," ")</f>
        <v xml:space="preserve"> </v>
      </c>
      <c r="L2153" s="563" t="str">
        <f>IF(G2153&lt;&gt;0,VLOOKUP(G2153,'gia dat'!$A$1:$F$144,6,0)," ")</f>
        <v xml:space="preserve"> </v>
      </c>
      <c r="M2153" s="564" t="str">
        <f t="shared" si="469"/>
        <v xml:space="preserve"> </v>
      </c>
      <c r="N2153" s="564" t="str">
        <f t="shared" si="470"/>
        <v xml:space="preserve"> </v>
      </c>
      <c r="O2153" s="572"/>
      <c r="P2153" s="740"/>
      <c r="Q2153" s="564" t="str">
        <f>IF(O2153&lt;&gt;0,VLOOKUP(O2153,'Cây trong'!$A$2:$C$246,3,0)," ")</f>
        <v xml:space="preserve"> </v>
      </c>
      <c r="R2153" s="564" t="str">
        <f t="shared" si="473"/>
        <v xml:space="preserve"> </v>
      </c>
      <c r="S2153" s="566"/>
      <c r="T2153" s="609"/>
      <c r="U2153" s="741"/>
      <c r="V2153" s="586"/>
      <c r="W2153" s="564" t="str">
        <f>IF(S2153&lt;&gt;0,VLOOKUP(S2153,VKT!$A$2:$G$415,7,0),"")</f>
        <v/>
      </c>
      <c r="X2153" s="564" t="str">
        <f t="shared" si="471"/>
        <v xml:space="preserve"> </v>
      </c>
      <c r="Y2153" s="650"/>
      <c r="Z2153" s="586"/>
      <c r="AA2153" s="742"/>
      <c r="AB2153" s="586"/>
      <c r="AC2153" s="586"/>
      <c r="AD2153" s="586"/>
      <c r="AE2153" s="586"/>
      <c r="AF2153" s="714"/>
      <c r="AG2153" s="570" t="str">
        <f>IF(AE2153&lt;&gt;0,VLOOKUP(AE2153,ODDS!$A$2:$C$13,3,0),"")</f>
        <v/>
      </c>
      <c r="AH2153" s="570" t="str">
        <f t="shared" si="474"/>
        <v xml:space="preserve"> </v>
      </c>
      <c r="AI2153" s="571" t="str">
        <f t="shared" si="472"/>
        <v xml:space="preserve"> </v>
      </c>
      <c r="AJ2153" s="586"/>
      <c r="AK2153" s="586"/>
    </row>
    <row r="2154" spans="1:37" s="394" customFormat="1" ht="20.25" outlineLevel="2" x14ac:dyDescent="0.3">
      <c r="A2154" s="447">
        <f t="shared" si="477"/>
        <v>181</v>
      </c>
      <c r="B2154" s="557"/>
      <c r="C2154" s="572"/>
      <c r="D2154" s="700"/>
      <c r="E2154" s="612"/>
      <c r="F2154" s="612"/>
      <c r="G2154" s="586"/>
      <c r="H2154" s="709"/>
      <c r="I2154" s="546"/>
      <c r="J2154" s="562"/>
      <c r="K2154" s="563" t="str">
        <f>IF(G2154&lt;&gt;0,VLOOKUP(G2154,'gia dat'!$A$1:$F$144,5,0)," ")</f>
        <v xml:space="preserve"> </v>
      </c>
      <c r="L2154" s="563" t="str">
        <f>IF(G2154&lt;&gt;0,VLOOKUP(G2154,'gia dat'!$A$1:$F$144,6,0)," ")</f>
        <v xml:space="preserve"> </v>
      </c>
      <c r="M2154" s="564" t="str">
        <f t="shared" si="469"/>
        <v xml:space="preserve"> </v>
      </c>
      <c r="N2154" s="564" t="str">
        <f t="shared" si="470"/>
        <v xml:space="preserve"> </v>
      </c>
      <c r="O2154" s="572"/>
      <c r="P2154" s="740"/>
      <c r="Q2154" s="564" t="str">
        <f>IF(O2154&lt;&gt;0,VLOOKUP(O2154,'Cây trong'!$A$2:$C$246,3,0)," ")</f>
        <v xml:space="preserve"> </v>
      </c>
      <c r="R2154" s="564" t="str">
        <f t="shared" si="473"/>
        <v xml:space="preserve"> </v>
      </c>
      <c r="S2154" s="566"/>
      <c r="T2154" s="609"/>
      <c r="U2154" s="741"/>
      <c r="V2154" s="586"/>
      <c r="W2154" s="564" t="str">
        <f>IF(S2154&lt;&gt;0,VLOOKUP(S2154,VKT!$A$2:$G$415,7,0),"")</f>
        <v/>
      </c>
      <c r="X2154" s="564" t="str">
        <f t="shared" si="471"/>
        <v xml:space="preserve"> </v>
      </c>
      <c r="Y2154" s="650"/>
      <c r="Z2154" s="586"/>
      <c r="AA2154" s="742"/>
      <c r="AB2154" s="586"/>
      <c r="AC2154" s="586"/>
      <c r="AD2154" s="586"/>
      <c r="AE2154" s="586"/>
      <c r="AF2154" s="714"/>
      <c r="AG2154" s="570" t="str">
        <f>IF(AE2154&lt;&gt;0,VLOOKUP(AE2154,ODDS!$A$2:$C$13,3,0),"")</f>
        <v/>
      </c>
      <c r="AH2154" s="570" t="str">
        <f t="shared" si="474"/>
        <v xml:space="preserve"> </v>
      </c>
      <c r="AI2154" s="571" t="str">
        <f t="shared" si="472"/>
        <v xml:space="preserve"> </v>
      </c>
      <c r="AJ2154" s="586"/>
      <c r="AK2154" s="586"/>
    </row>
    <row r="2155" spans="1:37" s="394" customFormat="1" ht="20.25" outlineLevel="2" x14ac:dyDescent="0.3">
      <c r="A2155" s="447">
        <f t="shared" si="477"/>
        <v>181</v>
      </c>
      <c r="B2155" s="557"/>
      <c r="C2155" s="572"/>
      <c r="D2155" s="700"/>
      <c r="E2155" s="612"/>
      <c r="F2155" s="612"/>
      <c r="G2155" s="586"/>
      <c r="H2155" s="709"/>
      <c r="I2155" s="546"/>
      <c r="J2155" s="562"/>
      <c r="K2155" s="563" t="str">
        <f>IF(G2155&lt;&gt;0,VLOOKUP(G2155,'gia dat'!$A$1:$F$144,5,0)," ")</f>
        <v xml:space="preserve"> </v>
      </c>
      <c r="L2155" s="563" t="str">
        <f>IF(G2155&lt;&gt;0,VLOOKUP(G2155,'gia dat'!$A$1:$F$144,6,0)," ")</f>
        <v xml:space="preserve"> </v>
      </c>
      <c r="M2155" s="564" t="str">
        <f t="shared" si="469"/>
        <v xml:space="preserve"> </v>
      </c>
      <c r="N2155" s="564" t="str">
        <f t="shared" si="470"/>
        <v xml:space="preserve"> </v>
      </c>
      <c r="O2155" s="572"/>
      <c r="P2155" s="740"/>
      <c r="Q2155" s="564" t="str">
        <f>IF(O2155&lt;&gt;0,VLOOKUP(O2155,'Cây trong'!$A$2:$C$246,3,0)," ")</f>
        <v xml:space="preserve"> </v>
      </c>
      <c r="R2155" s="564" t="str">
        <f t="shared" si="473"/>
        <v xml:space="preserve"> </v>
      </c>
      <c r="S2155" s="566"/>
      <c r="T2155" s="609"/>
      <c r="U2155" s="741"/>
      <c r="V2155" s="586"/>
      <c r="W2155" s="564" t="str">
        <f>IF(S2155&lt;&gt;0,VLOOKUP(S2155,VKT!$A$2:$G$415,7,0),"")</f>
        <v/>
      </c>
      <c r="X2155" s="564" t="str">
        <f t="shared" si="471"/>
        <v xml:space="preserve"> </v>
      </c>
      <c r="Y2155" s="650"/>
      <c r="Z2155" s="586"/>
      <c r="AA2155" s="742"/>
      <c r="AB2155" s="586"/>
      <c r="AC2155" s="586"/>
      <c r="AD2155" s="586"/>
      <c r="AE2155" s="586"/>
      <c r="AF2155" s="714"/>
      <c r="AG2155" s="570" t="str">
        <f>IF(AE2155&lt;&gt;0,VLOOKUP(AE2155,ODDS!$A$2:$C$13,3,0),"")</f>
        <v/>
      </c>
      <c r="AH2155" s="570" t="str">
        <f t="shared" si="474"/>
        <v xml:space="preserve"> </v>
      </c>
      <c r="AI2155" s="571" t="str">
        <f t="shared" si="472"/>
        <v xml:space="preserve"> </v>
      </c>
      <c r="AJ2155" s="586"/>
      <c r="AK2155" s="586"/>
    </row>
    <row r="2156" spans="1:37" s="394" customFormat="1" ht="20.25" outlineLevel="2" x14ac:dyDescent="0.3">
      <c r="A2156" s="447">
        <f t="shared" si="477"/>
        <v>181</v>
      </c>
      <c r="B2156" s="557"/>
      <c r="C2156" s="572"/>
      <c r="D2156" s="700"/>
      <c r="E2156" s="612"/>
      <c r="F2156" s="612"/>
      <c r="G2156" s="586"/>
      <c r="H2156" s="709"/>
      <c r="I2156" s="546"/>
      <c r="J2156" s="562"/>
      <c r="K2156" s="563" t="str">
        <f>IF(G2156&lt;&gt;0,VLOOKUP(G2156,'gia dat'!$A$1:$F$144,5,0)," ")</f>
        <v xml:space="preserve"> </v>
      </c>
      <c r="L2156" s="563" t="str">
        <f>IF(G2156&lt;&gt;0,VLOOKUP(G2156,'gia dat'!$A$1:$F$144,6,0)," ")</f>
        <v xml:space="preserve"> </v>
      </c>
      <c r="M2156" s="564" t="str">
        <f t="shared" si="469"/>
        <v xml:space="preserve"> </v>
      </c>
      <c r="N2156" s="564" t="str">
        <f t="shared" si="470"/>
        <v xml:space="preserve"> </v>
      </c>
      <c r="O2156" s="572"/>
      <c r="P2156" s="740"/>
      <c r="Q2156" s="564" t="str">
        <f>IF(O2156&lt;&gt;0,VLOOKUP(O2156,'Cây trong'!$A$2:$C$246,3,0)," ")</f>
        <v xml:space="preserve"> </v>
      </c>
      <c r="R2156" s="564" t="str">
        <f t="shared" si="473"/>
        <v xml:space="preserve"> </v>
      </c>
      <c r="S2156" s="566"/>
      <c r="T2156" s="609"/>
      <c r="U2156" s="741"/>
      <c r="V2156" s="586"/>
      <c r="W2156" s="564" t="str">
        <f>IF(S2156&lt;&gt;0,VLOOKUP(S2156,VKT!$A$2:$G$415,7,0),"")</f>
        <v/>
      </c>
      <c r="X2156" s="564" t="str">
        <f t="shared" si="471"/>
        <v xml:space="preserve"> </v>
      </c>
      <c r="Y2156" s="650"/>
      <c r="Z2156" s="586"/>
      <c r="AA2156" s="742"/>
      <c r="AB2156" s="586"/>
      <c r="AC2156" s="586"/>
      <c r="AD2156" s="586"/>
      <c r="AE2156" s="586"/>
      <c r="AF2156" s="714"/>
      <c r="AG2156" s="570" t="str">
        <f>IF(AE2156&lt;&gt;0,VLOOKUP(AE2156,ODDS!$A$2:$C$13,3,0),"")</f>
        <v/>
      </c>
      <c r="AH2156" s="570" t="str">
        <f t="shared" si="474"/>
        <v xml:space="preserve"> </v>
      </c>
      <c r="AI2156" s="571" t="str">
        <f t="shared" si="472"/>
        <v xml:space="preserve"> </v>
      </c>
      <c r="AJ2156" s="572"/>
      <c r="AK2156" s="572"/>
    </row>
    <row r="2157" spans="1:37" s="394" customFormat="1" ht="20.25" outlineLevel="2" x14ac:dyDescent="0.3">
      <c r="A2157" s="447">
        <f t="shared" si="477"/>
        <v>181</v>
      </c>
      <c r="B2157" s="557"/>
      <c r="C2157" s="572"/>
      <c r="D2157" s="700"/>
      <c r="E2157" s="612"/>
      <c r="F2157" s="612"/>
      <c r="G2157" s="586"/>
      <c r="H2157" s="709"/>
      <c r="I2157" s="546"/>
      <c r="J2157" s="562"/>
      <c r="K2157" s="563" t="str">
        <f>IF(G2157&lt;&gt;0,VLOOKUP(G2157,'gia dat'!$A$1:$F$144,5,0)," ")</f>
        <v xml:space="preserve"> </v>
      </c>
      <c r="L2157" s="563" t="str">
        <f>IF(G2157&lt;&gt;0,VLOOKUP(G2157,'gia dat'!$A$1:$F$144,6,0)," ")</f>
        <v xml:space="preserve"> </v>
      </c>
      <c r="M2157" s="564" t="str">
        <f t="shared" si="469"/>
        <v xml:space="preserve"> </v>
      </c>
      <c r="N2157" s="564" t="str">
        <f t="shared" si="470"/>
        <v xml:space="preserve"> </v>
      </c>
      <c r="O2157" s="572"/>
      <c r="P2157" s="740"/>
      <c r="Q2157" s="564" t="str">
        <f>IF(O2157&lt;&gt;0,VLOOKUP(O2157,'Cây trong'!$A$2:$C$246,3,0)," ")</f>
        <v xml:space="preserve"> </v>
      </c>
      <c r="R2157" s="564" t="str">
        <f t="shared" si="473"/>
        <v xml:space="preserve"> </v>
      </c>
      <c r="S2157" s="566"/>
      <c r="T2157" s="609"/>
      <c r="U2157" s="741"/>
      <c r="V2157" s="586"/>
      <c r="W2157" s="564" t="str">
        <f>IF(S2157&lt;&gt;0,VLOOKUP(S2157,VKT!$A$2:$G$415,7,0),"")</f>
        <v/>
      </c>
      <c r="X2157" s="564" t="str">
        <f t="shared" si="471"/>
        <v xml:space="preserve"> </v>
      </c>
      <c r="Y2157" s="650"/>
      <c r="Z2157" s="586"/>
      <c r="AA2157" s="742"/>
      <c r="AB2157" s="586"/>
      <c r="AC2157" s="586"/>
      <c r="AD2157" s="586"/>
      <c r="AE2157" s="586"/>
      <c r="AF2157" s="714"/>
      <c r="AG2157" s="570" t="str">
        <f>IF(AE2157&lt;&gt;0,VLOOKUP(AE2157,ODDS!$A$2:$C$13,3,0),"")</f>
        <v/>
      </c>
      <c r="AH2157" s="570" t="str">
        <f t="shared" si="474"/>
        <v xml:space="preserve"> </v>
      </c>
      <c r="AI2157" s="571" t="str">
        <f t="shared" si="472"/>
        <v xml:space="preserve"> </v>
      </c>
      <c r="AJ2157" s="558"/>
      <c r="AK2157" s="558"/>
    </row>
    <row r="2158" spans="1:37" s="394" customFormat="1" ht="20.25" outlineLevel="2" x14ac:dyDescent="0.3">
      <c r="A2158" s="447">
        <f t="shared" si="477"/>
        <v>181</v>
      </c>
      <c r="B2158" s="557"/>
      <c r="C2158" s="607"/>
      <c r="D2158" s="700"/>
      <c r="E2158" s="612"/>
      <c r="F2158" s="612"/>
      <c r="G2158" s="586"/>
      <c r="H2158" s="709"/>
      <c r="I2158" s="546"/>
      <c r="J2158" s="562"/>
      <c r="K2158" s="563" t="str">
        <f>IF(G2158&lt;&gt;0,VLOOKUP(G2158,'gia dat'!$A$1:$F$144,5,0)," ")</f>
        <v xml:space="preserve"> </v>
      </c>
      <c r="L2158" s="563" t="str">
        <f>IF(G2158&lt;&gt;0,VLOOKUP(G2158,'gia dat'!$A$1:$F$144,6,0)," ")</f>
        <v xml:space="preserve"> </v>
      </c>
      <c r="M2158" s="564" t="str">
        <f t="shared" si="469"/>
        <v xml:space="preserve"> </v>
      </c>
      <c r="N2158" s="564" t="str">
        <f t="shared" si="470"/>
        <v xml:space="preserve"> </v>
      </c>
      <c r="O2158" s="572"/>
      <c r="P2158" s="740"/>
      <c r="Q2158" s="564" t="str">
        <f>IF(O2158&lt;&gt;0,VLOOKUP(O2158,'Cây trong'!$A$2:$C$246,3,0)," ")</f>
        <v xml:space="preserve"> </v>
      </c>
      <c r="R2158" s="564" t="str">
        <f t="shared" si="473"/>
        <v xml:space="preserve"> </v>
      </c>
      <c r="S2158" s="566"/>
      <c r="T2158" s="609"/>
      <c r="U2158" s="741"/>
      <c r="V2158" s="586"/>
      <c r="W2158" s="564" t="str">
        <f>IF(S2158&lt;&gt;0,VLOOKUP(S2158,VKT!$A$2:$G$415,7,0),"")</f>
        <v/>
      </c>
      <c r="X2158" s="564" t="str">
        <f t="shared" si="471"/>
        <v xml:space="preserve"> </v>
      </c>
      <c r="Y2158" s="650"/>
      <c r="Z2158" s="586"/>
      <c r="AA2158" s="742"/>
      <c r="AB2158" s="586"/>
      <c r="AC2158" s="586"/>
      <c r="AD2158" s="586"/>
      <c r="AE2158" s="586"/>
      <c r="AF2158" s="714"/>
      <c r="AG2158" s="570" t="str">
        <f>IF(AE2158&lt;&gt;0,VLOOKUP(AE2158,ODDS!$A$2:$C$13,3,0),"")</f>
        <v/>
      </c>
      <c r="AH2158" s="570" t="str">
        <f t="shared" si="474"/>
        <v xml:space="preserve"> </v>
      </c>
      <c r="AI2158" s="571" t="str">
        <f t="shared" si="472"/>
        <v xml:space="preserve"> </v>
      </c>
      <c r="AJ2158" s="586"/>
      <c r="AK2158" s="586"/>
    </row>
    <row r="2159" spans="1:37" s="394" customFormat="1" ht="40.5" outlineLevel="1" x14ac:dyDescent="0.25">
      <c r="A2159" s="467" t="s">
        <v>2528</v>
      </c>
      <c r="B2159" s="576">
        <v>182</v>
      </c>
      <c r="C2159" s="607" t="s">
        <v>1448</v>
      </c>
      <c r="D2159" s="706"/>
      <c r="E2159" s="642"/>
      <c r="F2159" s="642"/>
      <c r="G2159" s="578"/>
      <c r="H2159" s="707">
        <f>SUBTOTAL(9,H2160:H2175)</f>
        <v>1145.4000000000001</v>
      </c>
      <c r="I2159" s="579">
        <f>SUBTOTAL(9,I2160:I2165)</f>
        <v>996.50000000000011</v>
      </c>
      <c r="J2159" s="580"/>
      <c r="K2159" s="581"/>
      <c r="L2159" s="581"/>
      <c r="M2159" s="571">
        <f>SUBTOTAL(9,M2160:M2175)</f>
        <v>635010000</v>
      </c>
      <c r="N2159" s="571">
        <f>SUBTOTAL(9,N2160:N2175)</f>
        <v>1657379000</v>
      </c>
      <c r="O2159" s="607"/>
      <c r="P2159" s="738">
        <f>SUBTOTAL(9,P2160:P2175)</f>
        <v>269</v>
      </c>
      <c r="Q2159" s="571"/>
      <c r="R2159" s="571">
        <f>SUBTOTAL(9,R2160:R2175)</f>
        <v>78597000</v>
      </c>
      <c r="S2159" s="582"/>
      <c r="T2159" s="621"/>
      <c r="U2159" s="739">
        <f>SUBTOTAL(9,U2160:U2175)</f>
        <v>241.36</v>
      </c>
      <c r="V2159" s="578"/>
      <c r="W2159" s="571"/>
      <c r="X2159" s="571">
        <f>SUBTOTAL(9,X2160:X2175)</f>
        <v>155092000</v>
      </c>
      <c r="Y2159" s="650"/>
      <c r="Z2159" s="586"/>
      <c r="AA2159" s="742"/>
      <c r="AB2159" s="586"/>
      <c r="AC2159" s="586"/>
      <c r="AD2159" s="586"/>
      <c r="AE2159" s="578"/>
      <c r="AF2159" s="712">
        <f>SUBTOTAL(9,AF2160:AF2175)</f>
        <v>0</v>
      </c>
      <c r="AG2159" s="585"/>
      <c r="AH2159" s="585">
        <f>SUBTOTAL(9,AH2160:AH2175)</f>
        <v>0</v>
      </c>
      <c r="AI2159" s="571">
        <f t="shared" si="472"/>
        <v>2526078000</v>
      </c>
      <c r="AJ2159" s="578"/>
      <c r="AK2159" s="578"/>
    </row>
    <row r="2160" spans="1:37" s="394" customFormat="1" ht="121.5" outlineLevel="2" x14ac:dyDescent="0.3">
      <c r="A2160" s="447">
        <f>IF(B2159&lt;&gt;0,B2159,A2158)</f>
        <v>182</v>
      </c>
      <c r="B2160" s="557"/>
      <c r="C2160" s="572" t="s">
        <v>1450</v>
      </c>
      <c r="D2160" s="700">
        <v>8</v>
      </c>
      <c r="E2160" s="612">
        <v>86</v>
      </c>
      <c r="F2160" s="612">
        <v>25</v>
      </c>
      <c r="G2160" s="586" t="s">
        <v>2494</v>
      </c>
      <c r="H2160" s="709">
        <f>1145.4-H2161</f>
        <v>996.50000000000011</v>
      </c>
      <c r="I2160" s="546">
        <f t="shared" ref="I2160:I2161" si="478">IF(N2160&gt;0,H2160,"")</f>
        <v>996.50000000000011</v>
      </c>
      <c r="J2160" s="562"/>
      <c r="K2160" s="563">
        <f>IF(G2160&lt;&gt;0,VLOOKUP(G2160,'gia dat'!$A$1:$F$144,5,0)," ")</f>
        <v>554400</v>
      </c>
      <c r="L2160" s="563">
        <f>IF(G2160&lt;&gt;0,VLOOKUP(G2160,'gia dat'!$A$1:$F$144,6,0)," ")</f>
        <v>1663200</v>
      </c>
      <c r="M2160" s="564">
        <f t="shared" si="469"/>
        <v>552460000</v>
      </c>
      <c r="N2160" s="564">
        <f t="shared" si="470"/>
        <v>1657379000</v>
      </c>
      <c r="O2160" s="572" t="s">
        <v>145</v>
      </c>
      <c r="P2160" s="740">
        <v>1</v>
      </c>
      <c r="Q2160" s="564">
        <f>IF(O2160&lt;&gt;0,VLOOKUP(O2160,'Cây trong'!$A$2:$C$246,3,0)," ")</f>
        <v>4240000</v>
      </c>
      <c r="R2160" s="564">
        <f t="shared" si="473"/>
        <v>4240000</v>
      </c>
      <c r="S2160" s="566" t="s">
        <v>1993</v>
      </c>
      <c r="T2160" s="609" t="s">
        <v>1133</v>
      </c>
      <c r="U2160" s="741">
        <v>104.4</v>
      </c>
      <c r="V2160" s="586"/>
      <c r="W2160" s="564">
        <f>IF(S2160&lt;&gt;0,VLOOKUP(S2160,VKT!$A$2:$G$415,7,0),"")</f>
        <v>625568</v>
      </c>
      <c r="X2160" s="564">
        <f t="shared" si="471"/>
        <v>65309000</v>
      </c>
      <c r="Y2160" s="650"/>
      <c r="Z2160" s="586"/>
      <c r="AA2160" s="742"/>
      <c r="AB2160" s="586"/>
      <c r="AC2160" s="586"/>
      <c r="AD2160" s="586"/>
      <c r="AE2160" s="586"/>
      <c r="AF2160" s="714"/>
      <c r="AG2160" s="570" t="str">
        <f>IF(AE2160&lt;&gt;0,VLOOKUP(AE2160,ODDS!$A$2:$C$13,3,0),"")</f>
        <v/>
      </c>
      <c r="AH2160" s="570"/>
      <c r="AI2160" s="571" t="str">
        <f t="shared" si="472"/>
        <v xml:space="preserve"> </v>
      </c>
      <c r="AJ2160" s="586" t="s">
        <v>1449</v>
      </c>
      <c r="AK2160" s="586" t="s">
        <v>2771</v>
      </c>
    </row>
    <row r="2161" spans="1:38" s="394" customFormat="1" ht="101.25" outlineLevel="2" x14ac:dyDescent="0.3">
      <c r="A2161" s="447">
        <f t="shared" ref="A2161:A2175" si="479">IF(B2160&lt;&gt;0,B2160,A2160)</f>
        <v>182</v>
      </c>
      <c r="B2161" s="557"/>
      <c r="C2161" s="572" t="s">
        <v>1634</v>
      </c>
      <c r="D2161" s="700"/>
      <c r="E2161" s="612"/>
      <c r="F2161" s="612"/>
      <c r="G2161" s="586" t="s">
        <v>2495</v>
      </c>
      <c r="H2161" s="709">
        <v>148.9</v>
      </c>
      <c r="I2161" s="546" t="str">
        <f t="shared" si="478"/>
        <v/>
      </c>
      <c r="J2161" s="562"/>
      <c r="K2161" s="563">
        <f>IF(G2161&lt;&gt;0,VLOOKUP(G2161,'gia dat'!$A$1:$F$144,5,0)," ")</f>
        <v>554400</v>
      </c>
      <c r="L2161" s="563">
        <f>IF(G2161&lt;&gt;0,VLOOKUP(G2161,'gia dat'!$A$1:$F$144,6,0)," ")</f>
        <v>0</v>
      </c>
      <c r="M2161" s="564">
        <f t="shared" si="469"/>
        <v>82550000</v>
      </c>
      <c r="N2161" s="564">
        <f t="shared" si="470"/>
        <v>0</v>
      </c>
      <c r="O2161" s="572" t="s">
        <v>77</v>
      </c>
      <c r="P2161" s="740">
        <v>1</v>
      </c>
      <c r="Q2161" s="564">
        <f>IF(O2161&lt;&gt;0,VLOOKUP(O2161,'Cây trong'!$A$2:$C$246,3,0)," ")</f>
        <v>3064000</v>
      </c>
      <c r="R2161" s="564">
        <f t="shared" si="473"/>
        <v>3064000</v>
      </c>
      <c r="S2161" s="566" t="s">
        <v>1980</v>
      </c>
      <c r="T2161" s="609" t="s">
        <v>1133</v>
      </c>
      <c r="U2161" s="741">
        <v>8.4</v>
      </c>
      <c r="V2161" s="586"/>
      <c r="W2161" s="564">
        <f>IF(S2161&lt;&gt;0,VLOOKUP(S2161,VKT!$A$2:$G$415,7,0),"")</f>
        <v>684506</v>
      </c>
      <c r="X2161" s="564">
        <f t="shared" si="471"/>
        <v>5750000</v>
      </c>
      <c r="Y2161" s="650"/>
      <c r="Z2161" s="586"/>
      <c r="AA2161" s="742"/>
      <c r="AB2161" s="586"/>
      <c r="AC2161" s="586"/>
      <c r="AD2161" s="586"/>
      <c r="AE2161" s="586"/>
      <c r="AF2161" s="714"/>
      <c r="AG2161" s="570" t="str">
        <f>IF(AE2161&lt;&gt;0,VLOOKUP(AE2161,ODDS!$A$2:$C$13,3,0),"")</f>
        <v/>
      </c>
      <c r="AH2161" s="570" t="str">
        <f t="shared" si="474"/>
        <v xml:space="preserve"> </v>
      </c>
      <c r="AI2161" s="571" t="str">
        <f t="shared" si="472"/>
        <v xml:space="preserve"> </v>
      </c>
      <c r="AJ2161" s="586" t="s">
        <v>1451</v>
      </c>
      <c r="AK2161" s="558" t="s">
        <v>2448</v>
      </c>
    </row>
    <row r="2162" spans="1:38" s="394" customFormat="1" ht="121.5" outlineLevel="2" x14ac:dyDescent="0.3">
      <c r="A2162" s="447">
        <f t="shared" si="479"/>
        <v>182</v>
      </c>
      <c r="B2162" s="557"/>
      <c r="C2162" s="572"/>
      <c r="D2162" s="700"/>
      <c r="E2162" s="744"/>
      <c r="F2162" s="744"/>
      <c r="G2162" s="731"/>
      <c r="H2162" s="745"/>
      <c r="I2162" s="546"/>
      <c r="J2162" s="562"/>
      <c r="K2162" s="563" t="str">
        <f>IF(G2162&lt;&gt;0,VLOOKUP(G2162,'gia dat'!$A$1:$F$144,5,0)," ")</f>
        <v xml:space="preserve"> </v>
      </c>
      <c r="L2162" s="563" t="str">
        <f>IF(G2162&lt;&gt;0,VLOOKUP(G2162,'gia dat'!$A$1:$F$144,6,0)," ")</f>
        <v xml:space="preserve"> </v>
      </c>
      <c r="M2162" s="564" t="str">
        <f t="shared" si="469"/>
        <v xml:space="preserve"> </v>
      </c>
      <c r="N2162" s="564" t="str">
        <f t="shared" si="470"/>
        <v xml:space="preserve"> </v>
      </c>
      <c r="O2162" s="572" t="s">
        <v>61</v>
      </c>
      <c r="P2162" s="740">
        <v>31</v>
      </c>
      <c r="Q2162" s="564">
        <f>IF(O2162&lt;&gt;0,VLOOKUP(O2162,'Cây trong'!$A$2:$C$246,3,0)," ")</f>
        <v>1708000</v>
      </c>
      <c r="R2162" s="564">
        <f t="shared" si="473"/>
        <v>52948000</v>
      </c>
      <c r="S2162" s="566" t="s">
        <v>1994</v>
      </c>
      <c r="T2162" s="609" t="s">
        <v>1133</v>
      </c>
      <c r="U2162" s="741">
        <v>3.61</v>
      </c>
      <c r="V2162" s="586"/>
      <c r="W2162" s="564">
        <f>IF(S2162&lt;&gt;0,VLOOKUP(S2162,VKT!$A$2:$G$415,7,0),"")</f>
        <v>7741709</v>
      </c>
      <c r="X2162" s="564">
        <f t="shared" si="471"/>
        <v>27948000</v>
      </c>
      <c r="Y2162" s="650"/>
      <c r="Z2162" s="586"/>
      <c r="AA2162" s="742"/>
      <c r="AB2162" s="586"/>
      <c r="AC2162" s="586"/>
      <c r="AD2162" s="586"/>
      <c r="AE2162" s="586"/>
      <c r="AF2162" s="714"/>
      <c r="AG2162" s="570" t="str">
        <f>IF(AE2162&lt;&gt;0,VLOOKUP(AE2162,ODDS!$A$2:$C$13,3,0),"")</f>
        <v/>
      </c>
      <c r="AH2162" s="570" t="str">
        <f t="shared" si="474"/>
        <v xml:space="preserve"> </v>
      </c>
      <c r="AI2162" s="571" t="str">
        <f t="shared" si="472"/>
        <v xml:space="preserve"> </v>
      </c>
      <c r="AJ2162" s="586" t="s">
        <v>2074</v>
      </c>
      <c r="AK2162" s="558" t="s">
        <v>2450</v>
      </c>
    </row>
    <row r="2163" spans="1:38" s="394" customFormat="1" ht="101.25" outlineLevel="2" x14ac:dyDescent="0.3">
      <c r="A2163" s="447">
        <f t="shared" si="479"/>
        <v>182</v>
      </c>
      <c r="B2163" s="557"/>
      <c r="C2163" s="572"/>
      <c r="D2163" s="700"/>
      <c r="E2163" s="744"/>
      <c r="F2163" s="744"/>
      <c r="G2163" s="731"/>
      <c r="H2163" s="745"/>
      <c r="I2163" s="546"/>
      <c r="J2163" s="562"/>
      <c r="K2163" s="563" t="str">
        <f>IF(G2163&lt;&gt;0,VLOOKUP(G2163,'gia dat'!$A$1:$F$144,5,0)," ")</f>
        <v xml:space="preserve"> </v>
      </c>
      <c r="L2163" s="563" t="str">
        <f>IF(G2163&lt;&gt;0,VLOOKUP(G2163,'gia dat'!$A$1:$F$144,6,0)," ")</f>
        <v xml:space="preserve"> </v>
      </c>
      <c r="M2163" s="564" t="str">
        <f t="shared" si="469"/>
        <v xml:space="preserve"> </v>
      </c>
      <c r="N2163" s="564" t="str">
        <f t="shared" si="470"/>
        <v xml:space="preserve"> </v>
      </c>
      <c r="O2163" s="572" t="s">
        <v>69</v>
      </c>
      <c r="P2163" s="740">
        <v>9</v>
      </c>
      <c r="Q2163" s="564">
        <f>IF(O2163&lt;&gt;0,VLOOKUP(O2163,'Cây trong'!$A$2:$C$246,3,0)," ")</f>
        <v>211000</v>
      </c>
      <c r="R2163" s="564">
        <f t="shared" si="473"/>
        <v>1899000</v>
      </c>
      <c r="S2163" s="566" t="s">
        <v>1995</v>
      </c>
      <c r="T2163" s="609" t="s">
        <v>1133</v>
      </c>
      <c r="U2163" s="741">
        <v>4.75</v>
      </c>
      <c r="V2163" s="586"/>
      <c r="W2163" s="564">
        <f>IF(S2163&lt;&gt;0,VLOOKUP(S2163,VKT!$A$2:$G$415,7,0),"")</f>
        <v>3075567</v>
      </c>
      <c r="X2163" s="564">
        <f t="shared" si="471"/>
        <v>14609000</v>
      </c>
      <c r="Y2163" s="661" t="s">
        <v>139</v>
      </c>
      <c r="Z2163" s="683" t="s">
        <v>1139</v>
      </c>
      <c r="AA2163" s="683" t="s">
        <v>1262</v>
      </c>
      <c r="AB2163" s="694" t="s">
        <v>269</v>
      </c>
      <c r="AC2163" s="683" t="s">
        <v>139</v>
      </c>
      <c r="AD2163" s="586"/>
      <c r="AE2163" s="586"/>
      <c r="AF2163" s="714"/>
      <c r="AG2163" s="570" t="str">
        <f>IF(AE2163&lt;&gt;0,VLOOKUP(AE2163,ODDS!$A$2:$C$13,3,0),"")</f>
        <v/>
      </c>
      <c r="AH2163" s="570" t="str">
        <f t="shared" si="474"/>
        <v xml:space="preserve"> </v>
      </c>
      <c r="AI2163" s="571" t="str">
        <f t="shared" si="472"/>
        <v xml:space="preserve"> </v>
      </c>
      <c r="AJ2163" s="731" t="s">
        <v>1226</v>
      </c>
      <c r="AK2163" s="558" t="s">
        <v>2449</v>
      </c>
    </row>
    <row r="2164" spans="1:38" s="394" customFormat="1" ht="101.25" outlineLevel="2" x14ac:dyDescent="0.3">
      <c r="A2164" s="447">
        <f t="shared" si="479"/>
        <v>182</v>
      </c>
      <c r="B2164" s="557"/>
      <c r="C2164" s="572"/>
      <c r="D2164" s="700"/>
      <c r="E2164" s="612"/>
      <c r="F2164" s="612"/>
      <c r="G2164" s="586"/>
      <c r="H2164" s="709"/>
      <c r="I2164" s="546"/>
      <c r="J2164" s="562"/>
      <c r="K2164" s="563" t="str">
        <f>IF(G2164&lt;&gt;0,VLOOKUP(G2164,'gia dat'!$A$1:$F$144,5,0)," ")</f>
        <v xml:space="preserve"> </v>
      </c>
      <c r="L2164" s="563" t="str">
        <f>IF(G2164&lt;&gt;0,VLOOKUP(G2164,'gia dat'!$A$1:$F$144,6,0)," ")</f>
        <v xml:space="preserve"> </v>
      </c>
      <c r="M2164" s="564" t="str">
        <f t="shared" si="469"/>
        <v xml:space="preserve"> </v>
      </c>
      <c r="N2164" s="564" t="str">
        <f t="shared" si="470"/>
        <v xml:space="preserve"> </v>
      </c>
      <c r="O2164" s="572" t="s">
        <v>72</v>
      </c>
      <c r="P2164" s="740">
        <v>42</v>
      </c>
      <c r="Q2164" s="564">
        <f>IF(O2164&lt;&gt;0,VLOOKUP(O2164,'Cây trong'!$A$2:$C$246,3,0)," ")</f>
        <v>132000</v>
      </c>
      <c r="R2164" s="564">
        <f t="shared" si="473"/>
        <v>5544000</v>
      </c>
      <c r="S2164" s="566" t="s">
        <v>1996</v>
      </c>
      <c r="T2164" s="609" t="s">
        <v>1133</v>
      </c>
      <c r="U2164" s="741">
        <v>9</v>
      </c>
      <c r="V2164" s="586"/>
      <c r="W2164" s="564">
        <f>IF(S2164&lt;&gt;0,VLOOKUP(S2164,VKT!$A$2:$G$415,7,0),"")</f>
        <v>1524322</v>
      </c>
      <c r="X2164" s="564">
        <f t="shared" si="471"/>
        <v>13719000</v>
      </c>
      <c r="Y2164" s="661" t="s">
        <v>139</v>
      </c>
      <c r="Z2164" s="694" t="s">
        <v>1453</v>
      </c>
      <c r="AA2164" s="683" t="s">
        <v>56</v>
      </c>
      <c r="AB2164" s="694" t="s">
        <v>1263</v>
      </c>
      <c r="AC2164" s="683" t="s">
        <v>267</v>
      </c>
      <c r="AD2164" s="586"/>
      <c r="AE2164" s="586"/>
      <c r="AF2164" s="714"/>
      <c r="AG2164" s="570" t="str">
        <f>IF(AE2164&lt;&gt;0,VLOOKUP(AE2164,ODDS!$A$2:$C$13,3,0),"")</f>
        <v/>
      </c>
      <c r="AH2164" s="570" t="str">
        <f t="shared" si="474"/>
        <v xml:space="preserve"> </v>
      </c>
      <c r="AI2164" s="571" t="str">
        <f t="shared" si="472"/>
        <v xml:space="preserve"> </v>
      </c>
      <c r="AJ2164" s="586"/>
      <c r="AK2164" s="572" t="s">
        <v>2800</v>
      </c>
    </row>
    <row r="2165" spans="1:38" s="394" customFormat="1" ht="40.5" outlineLevel="2" x14ac:dyDescent="0.3">
      <c r="A2165" s="447">
        <f t="shared" si="479"/>
        <v>182</v>
      </c>
      <c r="B2165" s="557"/>
      <c r="C2165" s="572"/>
      <c r="D2165" s="700"/>
      <c r="E2165" s="612"/>
      <c r="F2165" s="612"/>
      <c r="G2165" s="586"/>
      <c r="H2165" s="709"/>
      <c r="I2165" s="546"/>
      <c r="J2165" s="562"/>
      <c r="K2165" s="563" t="str">
        <f>IF(G2165&lt;&gt;0,VLOOKUP(G2165,'gia dat'!$A$1:$F$144,5,0)," ")</f>
        <v xml:space="preserve"> </v>
      </c>
      <c r="L2165" s="563" t="str">
        <f>IF(G2165&lt;&gt;0,VLOOKUP(G2165,'gia dat'!$A$1:$F$144,6,0)," ")</f>
        <v xml:space="preserve"> </v>
      </c>
      <c r="M2165" s="564" t="str">
        <f t="shared" si="469"/>
        <v xml:space="preserve"> </v>
      </c>
      <c r="N2165" s="564" t="str">
        <f t="shared" si="470"/>
        <v xml:space="preserve"> </v>
      </c>
      <c r="O2165" s="572" t="s">
        <v>73</v>
      </c>
      <c r="P2165" s="740">
        <v>46</v>
      </c>
      <c r="Q2165" s="564">
        <f>IF(O2165&lt;&gt;0,VLOOKUP(O2165,'Cây trong'!$A$2:$C$246,3,0)," ")</f>
        <v>76000</v>
      </c>
      <c r="R2165" s="564">
        <f t="shared" si="473"/>
        <v>3496000</v>
      </c>
      <c r="S2165" s="566" t="s">
        <v>1997</v>
      </c>
      <c r="T2165" s="609" t="s">
        <v>1133</v>
      </c>
      <c r="U2165" s="741">
        <v>9</v>
      </c>
      <c r="V2165" s="586"/>
      <c r="W2165" s="564">
        <f>IF(S2165&lt;&gt;0,VLOOKUP(S2165,VKT!$A$2:$G$415,7,0),"")</f>
        <v>1180501</v>
      </c>
      <c r="X2165" s="564">
        <f t="shared" si="471"/>
        <v>10625000</v>
      </c>
      <c r="Y2165" s="661"/>
      <c r="Z2165" s="694" t="s">
        <v>1453</v>
      </c>
      <c r="AA2165" s="694" t="s">
        <v>1454</v>
      </c>
      <c r="AB2165" s="694" t="s">
        <v>1263</v>
      </c>
      <c r="AC2165" s="683" t="s">
        <v>267</v>
      </c>
      <c r="AD2165" s="586"/>
      <c r="AE2165" s="586"/>
      <c r="AF2165" s="714"/>
      <c r="AG2165" s="570" t="str">
        <f>IF(AE2165&lt;&gt;0,VLOOKUP(AE2165,ODDS!$A$2:$C$13,3,0),"")</f>
        <v/>
      </c>
      <c r="AH2165" s="570" t="str">
        <f t="shared" si="474"/>
        <v xml:space="preserve"> </v>
      </c>
      <c r="AI2165" s="571" t="str">
        <f t="shared" si="472"/>
        <v xml:space="preserve"> </v>
      </c>
      <c r="AJ2165" s="586"/>
      <c r="AK2165" s="572"/>
    </row>
    <row r="2166" spans="1:38" s="394" customFormat="1" ht="81" outlineLevel="2" x14ac:dyDescent="0.3">
      <c r="A2166" s="447">
        <f t="shared" si="479"/>
        <v>182</v>
      </c>
      <c r="B2166" s="557"/>
      <c r="C2166" s="572"/>
      <c r="D2166" s="700"/>
      <c r="E2166" s="612"/>
      <c r="F2166" s="612"/>
      <c r="G2166" s="586"/>
      <c r="H2166" s="709"/>
      <c r="I2166" s="546"/>
      <c r="J2166" s="562"/>
      <c r="K2166" s="563" t="str">
        <f>IF(G2166&lt;&gt;0,VLOOKUP(G2166,'gia dat'!$A$1:$F$144,5,0)," ")</f>
        <v xml:space="preserve"> </v>
      </c>
      <c r="L2166" s="563" t="str">
        <f>IF(G2166&lt;&gt;0,VLOOKUP(G2166,'gia dat'!$A$1:$F$144,6,0)," ")</f>
        <v xml:space="preserve"> </v>
      </c>
      <c r="M2166" s="564" t="str">
        <f t="shared" si="469"/>
        <v xml:space="preserve"> </v>
      </c>
      <c r="N2166" s="564" t="str">
        <f t="shared" si="470"/>
        <v xml:space="preserve"> </v>
      </c>
      <c r="O2166" s="572" t="s">
        <v>75</v>
      </c>
      <c r="P2166" s="740">
        <v>53</v>
      </c>
      <c r="Q2166" s="564">
        <f>IF(O2166&lt;&gt;0,VLOOKUP(O2166,'Cây trong'!$A$2:$C$246,3,0)," ")</f>
        <v>34000</v>
      </c>
      <c r="R2166" s="564">
        <f t="shared" si="473"/>
        <v>1802000</v>
      </c>
      <c r="S2166" s="566" t="s">
        <v>1978</v>
      </c>
      <c r="T2166" s="609" t="s">
        <v>1133</v>
      </c>
      <c r="U2166" s="741">
        <v>72.5</v>
      </c>
      <c r="V2166" s="586"/>
      <c r="W2166" s="564">
        <f>IF(S2166&lt;&gt;0,VLOOKUP(S2166,VKT!$A$2:$G$415,7,0),"")</f>
        <v>236298</v>
      </c>
      <c r="X2166" s="564">
        <f t="shared" si="471"/>
        <v>17132000</v>
      </c>
      <c r="Y2166" s="650"/>
      <c r="Z2166" s="586"/>
      <c r="AA2166" s="742"/>
      <c r="AB2166" s="586"/>
      <c r="AC2166" s="586"/>
      <c r="AD2166" s="586"/>
      <c r="AE2166" s="586"/>
      <c r="AF2166" s="714"/>
      <c r="AG2166" s="570" t="str">
        <f>IF(AE2166&lt;&gt;0,VLOOKUP(AE2166,ODDS!$A$2:$C$13,3,0),"")</f>
        <v/>
      </c>
      <c r="AH2166" s="570" t="str">
        <f t="shared" si="474"/>
        <v xml:space="preserve"> </v>
      </c>
      <c r="AI2166" s="571" t="str">
        <f t="shared" si="472"/>
        <v xml:space="preserve"> </v>
      </c>
      <c r="AJ2166" s="572"/>
      <c r="AK2166" s="572"/>
    </row>
    <row r="2167" spans="1:38" s="394" customFormat="1" ht="81" outlineLevel="2" x14ac:dyDescent="0.3">
      <c r="A2167" s="447">
        <f t="shared" si="479"/>
        <v>182</v>
      </c>
      <c r="B2167" s="557"/>
      <c r="C2167" s="572"/>
      <c r="D2167" s="700"/>
      <c r="E2167" s="612"/>
      <c r="F2167" s="612"/>
      <c r="G2167" s="586"/>
      <c r="H2167" s="709"/>
      <c r="I2167" s="546"/>
      <c r="J2167" s="562"/>
      <c r="K2167" s="563" t="str">
        <f>IF(G2167&lt;&gt;0,VLOOKUP(G2167,'gia dat'!$A$1:$F$144,5,0)," ")</f>
        <v xml:space="preserve"> </v>
      </c>
      <c r="L2167" s="563" t="str">
        <f>IF(G2167&lt;&gt;0,VLOOKUP(G2167,'gia dat'!$A$1:$F$144,6,0)," ")</f>
        <v xml:space="preserve"> </v>
      </c>
      <c r="M2167" s="564" t="str">
        <f t="shared" si="469"/>
        <v xml:space="preserve"> </v>
      </c>
      <c r="N2167" s="564" t="str">
        <f t="shared" si="470"/>
        <v xml:space="preserve"> </v>
      </c>
      <c r="O2167" s="572" t="s">
        <v>400</v>
      </c>
      <c r="P2167" s="740">
        <v>8</v>
      </c>
      <c r="Q2167" s="564">
        <f>IF(O2167&lt;&gt;0,VLOOKUP(O2167,'Cây trong'!$A$2:$C$246,3,0)," ")</f>
        <v>228000</v>
      </c>
      <c r="R2167" s="564">
        <f t="shared" si="473"/>
        <v>1824000</v>
      </c>
      <c r="S2167" s="566" t="s">
        <v>1998</v>
      </c>
      <c r="T2167" s="609" t="s">
        <v>1133</v>
      </c>
      <c r="U2167" s="741">
        <v>9</v>
      </c>
      <c r="V2167" s="586"/>
      <c r="W2167" s="564">
        <f>IF(S2167&lt;&gt;0,VLOOKUP(S2167,VKT!$A$2:$G$415,7,0),"")</f>
        <v>0</v>
      </c>
      <c r="X2167" s="564">
        <f t="shared" si="471"/>
        <v>0</v>
      </c>
      <c r="Y2167" s="650"/>
      <c r="Z2167" s="586"/>
      <c r="AA2167" s="742"/>
      <c r="AB2167" s="586"/>
      <c r="AC2167" s="586"/>
      <c r="AD2167" s="586"/>
      <c r="AE2167" s="586"/>
      <c r="AF2167" s="714"/>
      <c r="AG2167" s="570" t="str">
        <f>IF(AE2167&lt;&gt;0,VLOOKUP(AE2167,ODDS!$A$2:$C$13,3,0),"")</f>
        <v/>
      </c>
      <c r="AH2167" s="570" t="str">
        <f t="shared" si="474"/>
        <v xml:space="preserve"> </v>
      </c>
      <c r="AI2167" s="571" t="str">
        <f t="shared" si="472"/>
        <v xml:space="preserve"> </v>
      </c>
      <c r="AJ2167" s="572"/>
      <c r="AK2167" s="572"/>
    </row>
    <row r="2168" spans="1:38" s="394" customFormat="1" ht="81" outlineLevel="2" x14ac:dyDescent="0.3">
      <c r="A2168" s="447">
        <f t="shared" si="479"/>
        <v>182</v>
      </c>
      <c r="B2168" s="557"/>
      <c r="C2168" s="572"/>
      <c r="D2168" s="700"/>
      <c r="E2168" s="612"/>
      <c r="F2168" s="612"/>
      <c r="G2168" s="586"/>
      <c r="H2168" s="709"/>
      <c r="I2168" s="546"/>
      <c r="J2168" s="562"/>
      <c r="K2168" s="563" t="str">
        <f>IF(G2168&lt;&gt;0,VLOOKUP(G2168,'gia dat'!$A$1:$F$144,5,0)," ")</f>
        <v xml:space="preserve"> </v>
      </c>
      <c r="L2168" s="563" t="str">
        <f>IF(G2168&lt;&gt;0,VLOOKUP(G2168,'gia dat'!$A$1:$F$144,6,0)," ")</f>
        <v xml:space="preserve"> </v>
      </c>
      <c r="M2168" s="564" t="str">
        <f t="shared" si="469"/>
        <v xml:space="preserve"> </v>
      </c>
      <c r="N2168" s="564" t="str">
        <f t="shared" si="470"/>
        <v xml:space="preserve"> </v>
      </c>
      <c r="O2168" s="572" t="s">
        <v>401</v>
      </c>
      <c r="P2168" s="740">
        <v>38</v>
      </c>
      <c r="Q2168" s="564">
        <f>IF(O2168&lt;&gt;0,VLOOKUP(O2168,'Cây trong'!$A$2:$C$246,3,0)," ")</f>
        <v>80000</v>
      </c>
      <c r="R2168" s="564">
        <f t="shared" si="473"/>
        <v>3040000</v>
      </c>
      <c r="S2168" s="566" t="s">
        <v>1998</v>
      </c>
      <c r="T2168" s="609" t="s">
        <v>1133</v>
      </c>
      <c r="U2168" s="741">
        <v>18</v>
      </c>
      <c r="V2168" s="586"/>
      <c r="W2168" s="564">
        <f>IF(S2168&lt;&gt;0,VLOOKUP(S2168,VKT!$A$2:$G$415,7,0),"")</f>
        <v>0</v>
      </c>
      <c r="X2168" s="564">
        <f t="shared" si="471"/>
        <v>0</v>
      </c>
      <c r="Y2168" s="650"/>
      <c r="Z2168" s="586"/>
      <c r="AA2168" s="742"/>
      <c r="AB2168" s="586"/>
      <c r="AC2168" s="586"/>
      <c r="AD2168" s="586"/>
      <c r="AE2168" s="586"/>
      <c r="AF2168" s="714"/>
      <c r="AG2168" s="570" t="str">
        <f>IF(AE2168&lt;&gt;0,VLOOKUP(AE2168,ODDS!$A$2:$C$13,3,0),"")</f>
        <v/>
      </c>
      <c r="AH2168" s="570" t="str">
        <f t="shared" si="474"/>
        <v xml:space="preserve"> </v>
      </c>
      <c r="AI2168" s="571" t="str">
        <f t="shared" si="472"/>
        <v xml:space="preserve"> </v>
      </c>
      <c r="AJ2168" s="572"/>
      <c r="AK2168" s="572"/>
    </row>
    <row r="2169" spans="1:38" s="394" customFormat="1" ht="81" outlineLevel="2" x14ac:dyDescent="0.3">
      <c r="A2169" s="447">
        <f t="shared" si="479"/>
        <v>182</v>
      </c>
      <c r="B2169" s="557"/>
      <c r="C2169" s="572"/>
      <c r="D2169" s="700"/>
      <c r="E2169" s="612"/>
      <c r="F2169" s="612"/>
      <c r="G2169" s="586"/>
      <c r="H2169" s="709"/>
      <c r="I2169" s="546"/>
      <c r="J2169" s="562"/>
      <c r="K2169" s="563" t="str">
        <f>IF(G2169&lt;&gt;0,VLOOKUP(G2169,'gia dat'!$A$1:$F$144,5,0)," ")</f>
        <v xml:space="preserve"> </v>
      </c>
      <c r="L2169" s="563" t="str">
        <f>IF(G2169&lt;&gt;0,VLOOKUP(G2169,'gia dat'!$A$1:$F$144,6,0)," ")</f>
        <v xml:space="preserve"> </v>
      </c>
      <c r="M2169" s="564" t="str">
        <f t="shared" si="469"/>
        <v xml:space="preserve"> </v>
      </c>
      <c r="N2169" s="564" t="str">
        <f t="shared" si="470"/>
        <v xml:space="preserve"> </v>
      </c>
      <c r="O2169" s="572" t="s">
        <v>1455</v>
      </c>
      <c r="P2169" s="740">
        <v>20</v>
      </c>
      <c r="Q2169" s="564">
        <f>IF(O2169&lt;&gt;0,VLOOKUP(O2169,'Cây trong'!$A$2:$C$246,3,0)," ")</f>
        <v>25000</v>
      </c>
      <c r="R2169" s="564">
        <f t="shared" si="473"/>
        <v>500000</v>
      </c>
      <c r="S2169" s="566" t="s">
        <v>1999</v>
      </c>
      <c r="T2169" s="609" t="s">
        <v>93</v>
      </c>
      <c r="U2169" s="741">
        <v>1</v>
      </c>
      <c r="V2169" s="586"/>
      <c r="W2169" s="564">
        <f>IF(S2169&lt;&gt;0,VLOOKUP(S2169,VKT!$A$2:$G$415,7,0),"")</f>
        <v>0</v>
      </c>
      <c r="X2169" s="564">
        <f t="shared" si="471"/>
        <v>0</v>
      </c>
      <c r="Y2169" s="650"/>
      <c r="Z2169" s="586"/>
      <c r="AA2169" s="742"/>
      <c r="AB2169" s="586"/>
      <c r="AC2169" s="586"/>
      <c r="AD2169" s="586"/>
      <c r="AE2169" s="586"/>
      <c r="AF2169" s="714"/>
      <c r="AG2169" s="570" t="str">
        <f>IF(AE2169&lt;&gt;0,VLOOKUP(AE2169,ODDS!$A$2:$C$13,3,0),"")</f>
        <v/>
      </c>
      <c r="AH2169" s="570" t="str">
        <f t="shared" si="474"/>
        <v xml:space="preserve"> </v>
      </c>
      <c r="AI2169" s="571" t="str">
        <f t="shared" si="472"/>
        <v xml:space="preserve"> </v>
      </c>
      <c r="AJ2169" s="572"/>
      <c r="AK2169" s="572"/>
    </row>
    <row r="2170" spans="1:38" s="394" customFormat="1" ht="60.75" outlineLevel="2" x14ac:dyDescent="0.3">
      <c r="A2170" s="447">
        <f t="shared" si="479"/>
        <v>182</v>
      </c>
      <c r="B2170" s="557"/>
      <c r="C2170" s="572"/>
      <c r="D2170" s="700"/>
      <c r="E2170" s="612"/>
      <c r="F2170" s="612"/>
      <c r="G2170" s="586"/>
      <c r="H2170" s="709"/>
      <c r="I2170" s="546"/>
      <c r="J2170" s="562"/>
      <c r="K2170" s="563" t="str">
        <f>IF(G2170&lt;&gt;0,VLOOKUP(G2170,'gia dat'!$A$1:$F$144,5,0)," ")</f>
        <v xml:space="preserve"> </v>
      </c>
      <c r="L2170" s="563" t="str">
        <f>IF(G2170&lt;&gt;0,VLOOKUP(G2170,'gia dat'!$A$1:$F$144,6,0)," ")</f>
        <v xml:space="preserve"> </v>
      </c>
      <c r="M2170" s="564" t="str">
        <f t="shared" si="469"/>
        <v xml:space="preserve"> </v>
      </c>
      <c r="N2170" s="564" t="str">
        <f t="shared" si="470"/>
        <v xml:space="preserve"> </v>
      </c>
      <c r="O2170" s="572" t="s">
        <v>1332</v>
      </c>
      <c r="P2170" s="740">
        <v>12</v>
      </c>
      <c r="Q2170" s="564">
        <f>IF(O2170&lt;&gt;0,VLOOKUP(O2170,'Cây trong'!$A$2:$C$246,3,0)," ")</f>
        <v>12000</v>
      </c>
      <c r="R2170" s="564">
        <f t="shared" si="473"/>
        <v>144000</v>
      </c>
      <c r="S2170" s="566" t="s">
        <v>2000</v>
      </c>
      <c r="T2170" s="609" t="s">
        <v>1286</v>
      </c>
      <c r="U2170" s="741">
        <v>1.7</v>
      </c>
      <c r="V2170" s="586"/>
      <c r="W2170" s="564">
        <f>IF(S2170&lt;&gt;0,VLOOKUP(S2170,VKT!$A$2:$G$415,7,0),"")</f>
        <v>0</v>
      </c>
      <c r="X2170" s="564">
        <f t="shared" si="471"/>
        <v>0</v>
      </c>
      <c r="Y2170" s="650"/>
      <c r="Z2170" s="586"/>
      <c r="AA2170" s="742"/>
      <c r="AB2170" s="586"/>
      <c r="AC2170" s="586"/>
      <c r="AD2170" s="586"/>
      <c r="AE2170" s="586"/>
      <c r="AF2170" s="714"/>
      <c r="AG2170" s="570" t="str">
        <f>IF(AE2170&lt;&gt;0,VLOOKUP(AE2170,ODDS!$A$2:$C$13,3,0),"")</f>
        <v/>
      </c>
      <c r="AH2170" s="570" t="str">
        <f t="shared" si="474"/>
        <v xml:space="preserve"> </v>
      </c>
      <c r="AI2170" s="571" t="str">
        <f t="shared" si="472"/>
        <v xml:space="preserve"> </v>
      </c>
      <c r="AJ2170" s="572"/>
      <c r="AK2170" s="572"/>
    </row>
    <row r="2171" spans="1:38" s="394" customFormat="1" ht="60.75" outlineLevel="2" x14ac:dyDescent="0.3">
      <c r="A2171" s="447">
        <f t="shared" si="479"/>
        <v>182</v>
      </c>
      <c r="B2171" s="557"/>
      <c r="C2171" s="572"/>
      <c r="D2171" s="700"/>
      <c r="E2171" s="612"/>
      <c r="F2171" s="612"/>
      <c r="G2171" s="586"/>
      <c r="H2171" s="709"/>
      <c r="I2171" s="546"/>
      <c r="J2171" s="562"/>
      <c r="K2171" s="563" t="str">
        <f>IF(G2171&lt;&gt;0,VLOOKUP(G2171,'gia dat'!$A$1:$F$144,5,0)," ")</f>
        <v xml:space="preserve"> </v>
      </c>
      <c r="L2171" s="563" t="str">
        <f>IF(G2171&lt;&gt;0,VLOOKUP(G2171,'gia dat'!$A$1:$F$144,6,0)," ")</f>
        <v xml:space="preserve"> </v>
      </c>
      <c r="M2171" s="564" t="str">
        <f t="shared" si="469"/>
        <v xml:space="preserve"> </v>
      </c>
      <c r="N2171" s="564" t="str">
        <f t="shared" si="470"/>
        <v xml:space="preserve"> </v>
      </c>
      <c r="O2171" s="572" t="s">
        <v>1456</v>
      </c>
      <c r="P2171" s="740">
        <v>8</v>
      </c>
      <c r="Q2171" s="564">
        <f>IF(O2171&lt;&gt;0,VLOOKUP(O2171,'Cây trong'!$A$2:$C$246,3,0)," ")</f>
        <v>12000</v>
      </c>
      <c r="R2171" s="564">
        <f t="shared" si="473"/>
        <v>96000</v>
      </c>
      <c r="S2171" s="566"/>
      <c r="T2171" s="609"/>
      <c r="U2171" s="741"/>
      <c r="V2171" s="586"/>
      <c r="W2171" s="564" t="str">
        <f>IF(S2171&lt;&gt;0,VLOOKUP(S2171,VKT!$A$2:$G$415,7,0),"")</f>
        <v/>
      </c>
      <c r="X2171" s="564" t="str">
        <f t="shared" si="471"/>
        <v xml:space="preserve"> </v>
      </c>
      <c r="Y2171" s="650"/>
      <c r="Z2171" s="586"/>
      <c r="AA2171" s="742"/>
      <c r="AB2171" s="586"/>
      <c r="AC2171" s="586"/>
      <c r="AD2171" s="586"/>
      <c r="AE2171" s="586"/>
      <c r="AF2171" s="714"/>
      <c r="AG2171" s="570" t="str">
        <f>IF(AE2171&lt;&gt;0,VLOOKUP(AE2171,ODDS!$A$2:$C$13,3,0),"")</f>
        <v/>
      </c>
      <c r="AH2171" s="570" t="str">
        <f t="shared" si="474"/>
        <v xml:space="preserve"> </v>
      </c>
      <c r="AI2171" s="571" t="str">
        <f t="shared" si="472"/>
        <v xml:space="preserve"> </v>
      </c>
      <c r="AJ2171" s="731"/>
      <c r="AK2171" s="572"/>
    </row>
    <row r="2172" spans="1:38" s="394" customFormat="1" ht="20.25" outlineLevel="2" x14ac:dyDescent="0.3">
      <c r="A2172" s="447">
        <f t="shared" si="479"/>
        <v>182</v>
      </c>
      <c r="B2172" s="557"/>
      <c r="C2172" s="572"/>
      <c r="D2172" s="700"/>
      <c r="E2172" s="612"/>
      <c r="F2172" s="612"/>
      <c r="G2172" s="586"/>
      <c r="H2172" s="709"/>
      <c r="I2172" s="546"/>
      <c r="J2172" s="562"/>
      <c r="K2172" s="563" t="str">
        <f>IF(G2172&lt;&gt;0,VLOOKUP(G2172,'gia dat'!$A$1:$F$144,5,0)," ")</f>
        <v xml:space="preserve"> </v>
      </c>
      <c r="L2172" s="563" t="str">
        <f>IF(G2172&lt;&gt;0,VLOOKUP(G2172,'gia dat'!$A$1:$F$144,6,0)," ")</f>
        <v xml:space="preserve"> </v>
      </c>
      <c r="M2172" s="564" t="str">
        <f t="shared" si="469"/>
        <v xml:space="preserve"> </v>
      </c>
      <c r="N2172" s="564" t="str">
        <f t="shared" si="470"/>
        <v xml:space="preserve"> </v>
      </c>
      <c r="O2172" s="572"/>
      <c r="P2172" s="740"/>
      <c r="Q2172" s="564" t="str">
        <f>IF(O2172&lt;&gt;0,VLOOKUP(O2172,'Cây trong'!$A$2:$C$246,3,0)," ")</f>
        <v xml:space="preserve"> </v>
      </c>
      <c r="R2172" s="564" t="str">
        <f t="shared" si="473"/>
        <v xml:space="preserve"> </v>
      </c>
      <c r="S2172" s="566"/>
      <c r="T2172" s="609"/>
      <c r="U2172" s="741"/>
      <c r="V2172" s="586"/>
      <c r="W2172" s="564" t="str">
        <f>IF(S2172&lt;&gt;0,VLOOKUP(S2172,VKT!$A$2:$G$415,7,0),"")</f>
        <v/>
      </c>
      <c r="X2172" s="564" t="str">
        <f t="shared" si="471"/>
        <v xml:space="preserve"> </v>
      </c>
      <c r="Y2172" s="650"/>
      <c r="Z2172" s="586"/>
      <c r="AA2172" s="742"/>
      <c r="AB2172" s="586"/>
      <c r="AC2172" s="586"/>
      <c r="AD2172" s="586"/>
      <c r="AE2172" s="586"/>
      <c r="AF2172" s="714"/>
      <c r="AG2172" s="570" t="str">
        <f>IF(AE2172&lt;&gt;0,VLOOKUP(AE2172,ODDS!$A$2:$C$13,3,0),"")</f>
        <v/>
      </c>
      <c r="AH2172" s="570" t="str">
        <f t="shared" si="474"/>
        <v xml:space="preserve"> </v>
      </c>
      <c r="AI2172" s="571" t="str">
        <f t="shared" si="472"/>
        <v xml:space="preserve"> </v>
      </c>
      <c r="AJ2172" s="731"/>
      <c r="AK2172" s="572"/>
    </row>
    <row r="2173" spans="1:38" s="394" customFormat="1" ht="20.25" outlineLevel="2" x14ac:dyDescent="0.3">
      <c r="A2173" s="447">
        <f t="shared" si="479"/>
        <v>182</v>
      </c>
      <c r="B2173" s="557"/>
      <c r="C2173" s="572"/>
      <c r="D2173" s="700"/>
      <c r="E2173" s="612"/>
      <c r="F2173" s="612"/>
      <c r="G2173" s="586"/>
      <c r="H2173" s="709"/>
      <c r="I2173" s="546"/>
      <c r="J2173" s="562"/>
      <c r="K2173" s="563" t="str">
        <f>IF(G2173&lt;&gt;0,VLOOKUP(G2173,'gia dat'!$A$1:$F$144,5,0)," ")</f>
        <v xml:space="preserve"> </v>
      </c>
      <c r="L2173" s="563" t="str">
        <f>IF(G2173&lt;&gt;0,VLOOKUP(G2173,'gia dat'!$A$1:$F$144,6,0)," ")</f>
        <v xml:space="preserve"> </v>
      </c>
      <c r="M2173" s="564" t="str">
        <f t="shared" si="469"/>
        <v xml:space="preserve"> </v>
      </c>
      <c r="N2173" s="564" t="str">
        <f t="shared" si="470"/>
        <v xml:space="preserve"> </v>
      </c>
      <c r="O2173" s="572"/>
      <c r="P2173" s="740"/>
      <c r="Q2173" s="564" t="str">
        <f>IF(O2173&lt;&gt;0,VLOOKUP(O2173,'Cây trong'!$A$2:$C$246,3,0)," ")</f>
        <v xml:space="preserve"> </v>
      </c>
      <c r="R2173" s="564" t="str">
        <f t="shared" si="473"/>
        <v xml:space="preserve"> </v>
      </c>
      <c r="S2173" s="566"/>
      <c r="T2173" s="609"/>
      <c r="U2173" s="741"/>
      <c r="V2173" s="586"/>
      <c r="W2173" s="564" t="str">
        <f>IF(S2173&lt;&gt;0,VLOOKUP(S2173,VKT!$A$2:$G$415,7,0),"")</f>
        <v/>
      </c>
      <c r="X2173" s="564" t="str">
        <f t="shared" si="471"/>
        <v xml:space="preserve"> </v>
      </c>
      <c r="Y2173" s="650"/>
      <c r="Z2173" s="586"/>
      <c r="AA2173" s="742"/>
      <c r="AB2173" s="586"/>
      <c r="AC2173" s="586"/>
      <c r="AD2173" s="586"/>
      <c r="AE2173" s="586"/>
      <c r="AF2173" s="714"/>
      <c r="AG2173" s="570" t="str">
        <f>IF(AE2173&lt;&gt;0,VLOOKUP(AE2173,ODDS!$A$2:$C$13,3,0),"")</f>
        <v/>
      </c>
      <c r="AH2173" s="570" t="str">
        <f t="shared" si="474"/>
        <v xml:space="preserve"> </v>
      </c>
      <c r="AI2173" s="571" t="str">
        <f t="shared" si="472"/>
        <v xml:space="preserve"> </v>
      </c>
      <c r="AJ2173" s="731"/>
      <c r="AK2173" s="572"/>
    </row>
    <row r="2174" spans="1:38" s="394" customFormat="1" ht="20.25" outlineLevel="2" x14ac:dyDescent="0.3">
      <c r="A2174" s="447">
        <f t="shared" si="479"/>
        <v>182</v>
      </c>
      <c r="B2174" s="557"/>
      <c r="C2174" s="572"/>
      <c r="D2174" s="700"/>
      <c r="E2174" s="612"/>
      <c r="F2174" s="612"/>
      <c r="G2174" s="586"/>
      <c r="H2174" s="709"/>
      <c r="I2174" s="546"/>
      <c r="J2174" s="562"/>
      <c r="K2174" s="563" t="str">
        <f>IF(G2174&lt;&gt;0,VLOOKUP(G2174,'gia dat'!$A$1:$F$144,5,0)," ")</f>
        <v xml:space="preserve"> </v>
      </c>
      <c r="L2174" s="563" t="str">
        <f>IF(G2174&lt;&gt;0,VLOOKUP(G2174,'gia dat'!$A$1:$F$144,6,0)," ")</f>
        <v xml:space="preserve"> </v>
      </c>
      <c r="M2174" s="564" t="str">
        <f t="shared" si="469"/>
        <v xml:space="preserve"> </v>
      </c>
      <c r="N2174" s="564" t="str">
        <f t="shared" si="470"/>
        <v xml:space="preserve"> </v>
      </c>
      <c r="O2174" s="572"/>
      <c r="P2174" s="740"/>
      <c r="Q2174" s="564" t="str">
        <f>IF(O2174&lt;&gt;0,VLOOKUP(O2174,'Cây trong'!$A$2:$C$246,3,0)," ")</f>
        <v xml:space="preserve"> </v>
      </c>
      <c r="R2174" s="564" t="str">
        <f t="shared" si="473"/>
        <v xml:space="preserve"> </v>
      </c>
      <c r="S2174" s="566"/>
      <c r="T2174" s="609"/>
      <c r="U2174" s="741"/>
      <c r="V2174" s="586"/>
      <c r="W2174" s="564" t="str">
        <f>IF(S2174&lt;&gt;0,VLOOKUP(S2174,VKT!$A$2:$G$415,7,0),"")</f>
        <v/>
      </c>
      <c r="X2174" s="564" t="str">
        <f t="shared" si="471"/>
        <v xml:space="preserve"> </v>
      </c>
      <c r="Y2174" s="650"/>
      <c r="Z2174" s="586"/>
      <c r="AA2174" s="742"/>
      <c r="AB2174" s="586"/>
      <c r="AC2174" s="586"/>
      <c r="AD2174" s="586"/>
      <c r="AE2174" s="586"/>
      <c r="AF2174" s="714"/>
      <c r="AG2174" s="570" t="str">
        <f>IF(AE2174&lt;&gt;0,VLOOKUP(AE2174,ODDS!$A$2:$C$13,3,0),"")</f>
        <v/>
      </c>
      <c r="AH2174" s="570" t="str">
        <f t="shared" si="474"/>
        <v xml:space="preserve"> </v>
      </c>
      <c r="AI2174" s="571" t="str">
        <f t="shared" si="472"/>
        <v xml:space="preserve"> </v>
      </c>
      <c r="AJ2174" s="572"/>
      <c r="AK2174" s="572"/>
    </row>
    <row r="2175" spans="1:38" s="394" customFormat="1" ht="20.25" outlineLevel="2" x14ac:dyDescent="0.3">
      <c r="A2175" s="447">
        <f t="shared" si="479"/>
        <v>182</v>
      </c>
      <c r="B2175" s="557"/>
      <c r="C2175" s="607"/>
      <c r="D2175" s="700"/>
      <c r="E2175" s="612"/>
      <c r="F2175" s="612"/>
      <c r="G2175" s="586"/>
      <c r="H2175" s="709"/>
      <c r="I2175" s="546"/>
      <c r="J2175" s="562"/>
      <c r="K2175" s="563" t="str">
        <f>IF(G2175&lt;&gt;0,VLOOKUP(G2175,'gia dat'!$A$1:$F$144,5,0)," ")</f>
        <v xml:space="preserve"> </v>
      </c>
      <c r="L2175" s="563" t="str">
        <f>IF(G2175&lt;&gt;0,VLOOKUP(G2175,'gia dat'!$A$1:$F$144,6,0)," ")</f>
        <v xml:space="preserve"> </v>
      </c>
      <c r="M2175" s="564" t="str">
        <f t="shared" ref="M2175:M2243" si="480">IF(H2175&lt;&gt;0,ROUND(H2175*K2175,-3)," ")</f>
        <v xml:space="preserve"> </v>
      </c>
      <c r="N2175" s="564" t="str">
        <f t="shared" ref="N2175:N2243" si="481">IF(H2175&lt;&gt;0,ROUND(H2175*L2175,-3)," ")</f>
        <v xml:space="preserve"> </v>
      </c>
      <c r="O2175" s="572"/>
      <c r="P2175" s="740"/>
      <c r="Q2175" s="564" t="str">
        <f>IF(O2175&lt;&gt;0,VLOOKUP(O2175,'Cây trong'!$A$2:$C$246,3,0)," ")</f>
        <v xml:space="preserve"> </v>
      </c>
      <c r="R2175" s="564" t="str">
        <f t="shared" si="473"/>
        <v xml:space="preserve"> </v>
      </c>
      <c r="S2175" s="566"/>
      <c r="T2175" s="609"/>
      <c r="U2175" s="741"/>
      <c r="V2175" s="586"/>
      <c r="W2175" s="564" t="str">
        <f>IF(S2175&lt;&gt;0,VLOOKUP(S2175,VKT!$A$2:$G$415,7,0),"")</f>
        <v/>
      </c>
      <c r="X2175" s="564" t="str">
        <f t="shared" si="471"/>
        <v xml:space="preserve"> </v>
      </c>
      <c r="Y2175" s="650"/>
      <c r="Z2175" s="586"/>
      <c r="AA2175" s="742"/>
      <c r="AB2175" s="586"/>
      <c r="AC2175" s="586"/>
      <c r="AD2175" s="586"/>
      <c r="AE2175" s="586"/>
      <c r="AF2175" s="714"/>
      <c r="AG2175" s="570" t="str">
        <f>IF(AE2175&lt;&gt;0,VLOOKUP(AE2175,ODDS!$A$2:$C$13,3,0),"")</f>
        <v/>
      </c>
      <c r="AH2175" s="570" t="str">
        <f t="shared" si="474"/>
        <v xml:space="preserve"> </v>
      </c>
      <c r="AI2175" s="571" t="str">
        <f t="shared" si="472"/>
        <v xml:space="preserve"> </v>
      </c>
      <c r="AJ2175" s="572"/>
      <c r="AK2175" s="572"/>
    </row>
    <row r="2176" spans="1:38" s="396" customFormat="1" ht="40.5" outlineLevel="1" x14ac:dyDescent="0.25">
      <c r="A2176" s="467" t="s">
        <v>2527</v>
      </c>
      <c r="B2176" s="576">
        <v>183</v>
      </c>
      <c r="C2176" s="607" t="s">
        <v>1457</v>
      </c>
      <c r="D2176" s="706"/>
      <c r="E2176" s="642"/>
      <c r="F2176" s="642"/>
      <c r="G2176" s="578"/>
      <c r="H2176" s="707">
        <f>SUBTOTAL(9,H2177:H2199)</f>
        <v>1320.4</v>
      </c>
      <c r="I2176" s="579">
        <f>SUBTOTAL(9,I2177:I2182)</f>
        <v>1185.7</v>
      </c>
      <c r="J2176" s="580"/>
      <c r="K2176" s="581"/>
      <c r="L2176" s="581"/>
      <c r="M2176" s="571">
        <f>SUBTOTAL(9,M2177:M2199)</f>
        <v>497527000</v>
      </c>
      <c r="N2176" s="571">
        <f>SUBTOTAL(9,N2177:N2199)</f>
        <v>1340315000</v>
      </c>
      <c r="O2176" s="607"/>
      <c r="P2176" s="738">
        <f>SUBTOTAL(9,P2177:P2199)</f>
        <v>935</v>
      </c>
      <c r="Q2176" s="571"/>
      <c r="R2176" s="571">
        <f>SUBTOTAL(9,R2177:R2199)</f>
        <v>65281000</v>
      </c>
      <c r="S2176" s="582"/>
      <c r="T2176" s="621"/>
      <c r="U2176" s="739">
        <f>SUBTOTAL(9,U2177:U2199)</f>
        <v>422.85</v>
      </c>
      <c r="V2176" s="578"/>
      <c r="W2176" s="571"/>
      <c r="X2176" s="571">
        <f>SUBTOTAL(9,X2177:X2199)</f>
        <v>327418000</v>
      </c>
      <c r="Y2176" s="683"/>
      <c r="Z2176" s="683"/>
      <c r="AA2176" s="683"/>
      <c r="AB2176" s="694"/>
      <c r="AC2176" s="586"/>
      <c r="AD2176" s="586"/>
      <c r="AE2176" s="578"/>
      <c r="AF2176" s="712">
        <f>SUBTOTAL(9,AF2177:AF2199)</f>
        <v>0</v>
      </c>
      <c r="AG2176" s="585"/>
      <c r="AH2176" s="585">
        <f>SUBTOTAL(9,AH2177:AH2199)</f>
        <v>0</v>
      </c>
      <c r="AI2176" s="571">
        <f t="shared" si="472"/>
        <v>2230541000</v>
      </c>
      <c r="AJ2176" s="578"/>
      <c r="AK2176" s="578"/>
      <c r="AL2176" s="430"/>
    </row>
    <row r="2177" spans="1:38" s="396" customFormat="1" ht="121.5" outlineLevel="2" x14ac:dyDescent="0.3">
      <c r="A2177" s="447">
        <f>IF(B2176&lt;&gt;0,B2176,A2175)</f>
        <v>183</v>
      </c>
      <c r="B2177" s="557"/>
      <c r="C2177" s="572" t="s">
        <v>1460</v>
      </c>
      <c r="D2177" s="700">
        <v>6</v>
      </c>
      <c r="E2177" s="612">
        <v>86</v>
      </c>
      <c r="F2177" s="612">
        <v>51</v>
      </c>
      <c r="G2177" s="586" t="s">
        <v>2433</v>
      </c>
      <c r="H2177" s="709">
        <f>1320.4-H2178</f>
        <v>1185.7</v>
      </c>
      <c r="I2177" s="546">
        <f t="shared" ref="I2177:I2178" si="482">IF(N2177&gt;0,H2177,"")</f>
        <v>1185.7</v>
      </c>
      <c r="J2177" s="562"/>
      <c r="K2177" s="563">
        <f>IF(G2177&lt;&gt;0,VLOOKUP(G2177,'gia dat'!$A$1:$F$144,5,0)," ")</f>
        <v>376800</v>
      </c>
      <c r="L2177" s="563">
        <f>IF(G2177&lt;&gt;0,VLOOKUP(G2177,'gia dat'!$A$1:$F$144,6,0)," ")</f>
        <v>1130400</v>
      </c>
      <c r="M2177" s="564">
        <f t="shared" si="480"/>
        <v>446772000</v>
      </c>
      <c r="N2177" s="564">
        <f t="shared" si="481"/>
        <v>1340315000</v>
      </c>
      <c r="O2177" s="572" t="s">
        <v>61</v>
      </c>
      <c r="P2177" s="740">
        <v>22</v>
      </c>
      <c r="Q2177" s="564">
        <f>IF(O2177&lt;&gt;0,VLOOKUP(O2177,'Cây trong'!$A$2:$C$246,3,0)," ")</f>
        <v>1708000</v>
      </c>
      <c r="R2177" s="564">
        <f t="shared" si="473"/>
        <v>37576000</v>
      </c>
      <c r="S2177" s="566" t="s">
        <v>2391</v>
      </c>
      <c r="T2177" s="609" t="s">
        <v>1133</v>
      </c>
      <c r="U2177" s="741">
        <v>30</v>
      </c>
      <c r="V2177" s="586"/>
      <c r="W2177" s="564">
        <f>IF(S2177&lt;&gt;0,VLOOKUP(S2177,VKT!$A$2:$G$415,7,0),"")</f>
        <v>1044880</v>
      </c>
      <c r="X2177" s="564">
        <f t="shared" si="471"/>
        <v>31346000</v>
      </c>
      <c r="Y2177" s="683" t="s">
        <v>1263</v>
      </c>
      <c r="Z2177" s="683" t="s">
        <v>82</v>
      </c>
      <c r="AA2177" s="683" t="s">
        <v>1263</v>
      </c>
      <c r="AB2177" s="694" t="s">
        <v>143</v>
      </c>
      <c r="AC2177" s="586"/>
      <c r="AD2177" s="586"/>
      <c r="AE2177" s="586"/>
      <c r="AF2177" s="714"/>
      <c r="AG2177" s="570" t="str">
        <f>IF(AE2177&lt;&gt;0,VLOOKUP(AE2177,ODDS!$A$2:$C$13,3,0),"")</f>
        <v/>
      </c>
      <c r="AH2177" s="570"/>
      <c r="AI2177" s="571" t="str">
        <f t="shared" si="472"/>
        <v xml:space="preserve"> </v>
      </c>
      <c r="AJ2177" s="586" t="s">
        <v>2398</v>
      </c>
      <c r="AK2177" s="586" t="s">
        <v>2771</v>
      </c>
      <c r="AL2177" s="430"/>
    </row>
    <row r="2178" spans="1:38" s="394" customFormat="1" ht="121.5" outlineLevel="2" x14ac:dyDescent="0.3">
      <c r="A2178" s="447">
        <f t="shared" ref="A2178:A2199" si="483">IF(B2177&lt;&gt;0,B2177,A2177)</f>
        <v>183</v>
      </c>
      <c r="B2178" s="557"/>
      <c r="C2178" s="572" t="s">
        <v>1635</v>
      </c>
      <c r="D2178" s="700"/>
      <c r="E2178" s="612"/>
      <c r="F2178" s="612"/>
      <c r="G2178" s="586" t="s">
        <v>2431</v>
      </c>
      <c r="H2178" s="709">
        <v>134.69999999999999</v>
      </c>
      <c r="I2178" s="546" t="str">
        <f t="shared" si="482"/>
        <v/>
      </c>
      <c r="J2178" s="562"/>
      <c r="K2178" s="563">
        <f>IF(G2178&lt;&gt;0,VLOOKUP(G2178,'gia dat'!$A$1:$F$144,5,0)," ")</f>
        <v>376800</v>
      </c>
      <c r="L2178" s="563">
        <f>IF(G2178&lt;&gt;0,VLOOKUP(G2178,'gia dat'!$A$1:$F$144,6,0)," ")</f>
        <v>0</v>
      </c>
      <c r="M2178" s="564">
        <f t="shared" si="480"/>
        <v>50755000</v>
      </c>
      <c r="N2178" s="564">
        <f t="shared" si="481"/>
        <v>0</v>
      </c>
      <c r="O2178" s="572" t="s">
        <v>64</v>
      </c>
      <c r="P2178" s="740">
        <v>2</v>
      </c>
      <c r="Q2178" s="564">
        <f>IF(O2178&lt;&gt;0,VLOOKUP(O2178,'Cây trong'!$A$2:$C$246,3,0)," ")</f>
        <v>1122000</v>
      </c>
      <c r="R2178" s="564">
        <f t="shared" si="473"/>
        <v>2244000</v>
      </c>
      <c r="S2178" s="566" t="s">
        <v>1945</v>
      </c>
      <c r="T2178" s="609" t="s">
        <v>1133</v>
      </c>
      <c r="U2178" s="741">
        <v>6.16</v>
      </c>
      <c r="V2178" s="586"/>
      <c r="W2178" s="564">
        <f>IF(S2178&lt;&gt;0,VLOOKUP(S2178,VKT!$A$2:$G$415,7,0),"")</f>
        <v>770070</v>
      </c>
      <c r="X2178" s="564">
        <f t="shared" si="471"/>
        <v>4744000</v>
      </c>
      <c r="Y2178" s="683" t="s">
        <v>1263</v>
      </c>
      <c r="Z2178" s="683" t="s">
        <v>82</v>
      </c>
      <c r="AA2178" s="683" t="s">
        <v>1263</v>
      </c>
      <c r="AB2178" s="694" t="s">
        <v>143</v>
      </c>
      <c r="AC2178" s="586"/>
      <c r="AD2178" s="586"/>
      <c r="AE2178" s="586"/>
      <c r="AF2178" s="714"/>
      <c r="AG2178" s="570" t="str">
        <f>IF(AE2178&lt;&gt;0,VLOOKUP(AE2178,ODDS!$A$2:$C$13,3,0),"")</f>
        <v/>
      </c>
      <c r="AH2178" s="570" t="str">
        <f t="shared" si="474"/>
        <v xml:space="preserve"> </v>
      </c>
      <c r="AI2178" s="571" t="str">
        <f t="shared" si="472"/>
        <v xml:space="preserve"> </v>
      </c>
      <c r="AJ2178" s="586" t="s">
        <v>1465</v>
      </c>
      <c r="AK2178" s="558" t="s">
        <v>2450</v>
      </c>
    </row>
    <row r="2179" spans="1:38" s="394" customFormat="1" ht="101.25" outlineLevel="2" x14ac:dyDescent="0.3">
      <c r="A2179" s="447">
        <f t="shared" si="483"/>
        <v>183</v>
      </c>
      <c r="B2179" s="557"/>
      <c r="C2179" s="572"/>
      <c r="D2179" s="700"/>
      <c r="E2179" s="612"/>
      <c r="F2179" s="612"/>
      <c r="G2179" s="586"/>
      <c r="H2179" s="709"/>
      <c r="I2179" s="546"/>
      <c r="J2179" s="562"/>
      <c r="K2179" s="563" t="str">
        <f>IF(G2179&lt;&gt;0,VLOOKUP(G2179,'gia dat'!$A$1:$F$144,5,0)," ")</f>
        <v xml:space="preserve"> </v>
      </c>
      <c r="L2179" s="563" t="str">
        <f>IF(G2179&lt;&gt;0,VLOOKUP(G2179,'gia dat'!$A$1:$F$144,6,0)," ")</f>
        <v xml:space="preserve"> </v>
      </c>
      <c r="M2179" s="564" t="str">
        <f t="shared" si="480"/>
        <v xml:space="preserve"> </v>
      </c>
      <c r="N2179" s="564" t="str">
        <f t="shared" si="481"/>
        <v xml:space="preserve"> </v>
      </c>
      <c r="O2179" s="572" t="s">
        <v>932</v>
      </c>
      <c r="P2179" s="740">
        <v>4</v>
      </c>
      <c r="Q2179" s="564">
        <f>IF(O2179&lt;&gt;0,VLOOKUP(O2179,'Cây trong'!$A$2:$C$246,3,0)," ")</f>
        <v>84000</v>
      </c>
      <c r="R2179" s="564">
        <f t="shared" si="473"/>
        <v>336000</v>
      </c>
      <c r="S2179" s="566" t="s">
        <v>2391</v>
      </c>
      <c r="T2179" s="609" t="s">
        <v>1133</v>
      </c>
      <c r="U2179" s="741">
        <v>17.64</v>
      </c>
      <c r="V2179" s="586"/>
      <c r="W2179" s="564">
        <f>IF(S2179&lt;&gt;0,VLOOKUP(S2179,VKT!$A$2:$G$415,7,0),"")</f>
        <v>1044880</v>
      </c>
      <c r="X2179" s="564">
        <f t="shared" si="471"/>
        <v>18432000</v>
      </c>
      <c r="Y2179" s="683" t="s">
        <v>1263</v>
      </c>
      <c r="Z2179" s="683" t="s">
        <v>82</v>
      </c>
      <c r="AA2179" s="683" t="s">
        <v>1263</v>
      </c>
      <c r="AB2179" s="694" t="s">
        <v>143</v>
      </c>
      <c r="AC2179" s="586"/>
      <c r="AD2179" s="586"/>
      <c r="AE2179" s="586"/>
      <c r="AF2179" s="714"/>
      <c r="AG2179" s="570" t="str">
        <f>IF(AE2179&lt;&gt;0,VLOOKUP(AE2179,ODDS!$A$2:$C$13,3,0),"")</f>
        <v/>
      </c>
      <c r="AH2179" s="570" t="str">
        <f t="shared" si="474"/>
        <v xml:space="preserve"> </v>
      </c>
      <c r="AI2179" s="571" t="str">
        <f t="shared" si="472"/>
        <v xml:space="preserve"> </v>
      </c>
      <c r="AJ2179" s="586" t="s">
        <v>1267</v>
      </c>
      <c r="AK2179" s="558" t="s">
        <v>2449</v>
      </c>
    </row>
    <row r="2180" spans="1:38" s="394" customFormat="1" ht="101.25" outlineLevel="2" x14ac:dyDescent="0.3">
      <c r="A2180" s="447">
        <f t="shared" si="483"/>
        <v>183</v>
      </c>
      <c r="B2180" s="557"/>
      <c r="C2180" s="572"/>
      <c r="D2180" s="700"/>
      <c r="E2180" s="612"/>
      <c r="F2180" s="612"/>
      <c r="G2180" s="586"/>
      <c r="H2180" s="709"/>
      <c r="I2180" s="546"/>
      <c r="J2180" s="558"/>
      <c r="K2180" s="563" t="str">
        <f>IF(G2180&lt;&gt;0,VLOOKUP(G2180,'gia dat'!$A$1:$F$144,5,0)," ")</f>
        <v xml:space="preserve"> </v>
      </c>
      <c r="L2180" s="563" t="str">
        <f>IF(G2180&lt;&gt;0,VLOOKUP(G2180,'gia dat'!$A$1:$F$144,6,0)," ")</f>
        <v xml:space="preserve"> </v>
      </c>
      <c r="M2180" s="564" t="str">
        <f t="shared" si="480"/>
        <v xml:space="preserve"> </v>
      </c>
      <c r="N2180" s="564" t="str">
        <f t="shared" si="481"/>
        <v xml:space="preserve"> </v>
      </c>
      <c r="O2180" s="572" t="s">
        <v>355</v>
      </c>
      <c r="P2180" s="740">
        <v>1</v>
      </c>
      <c r="Q2180" s="564">
        <f>IF(O2180&lt;&gt;0,VLOOKUP(O2180,'Cây trong'!$A$2:$C$246,3,0)," ")</f>
        <v>979000</v>
      </c>
      <c r="R2180" s="564">
        <f t="shared" si="473"/>
        <v>979000</v>
      </c>
      <c r="S2180" s="566" t="s">
        <v>2391</v>
      </c>
      <c r="T2180" s="609" t="s">
        <v>1133</v>
      </c>
      <c r="U2180" s="741">
        <v>11.2</v>
      </c>
      <c r="V2180" s="586"/>
      <c r="W2180" s="564">
        <f>IF(S2180&lt;&gt;0,VLOOKUP(S2180,VKT!$A$2:$G$415,7,0),"")</f>
        <v>1044880</v>
      </c>
      <c r="X2180" s="564">
        <f t="shared" si="471"/>
        <v>11703000</v>
      </c>
      <c r="Y2180" s="683" t="s">
        <v>1263</v>
      </c>
      <c r="Z2180" s="683" t="s">
        <v>82</v>
      </c>
      <c r="AA2180" s="683" t="s">
        <v>1263</v>
      </c>
      <c r="AB2180" s="694" t="s">
        <v>143</v>
      </c>
      <c r="AC2180" s="586"/>
      <c r="AD2180" s="586"/>
      <c r="AE2180" s="586"/>
      <c r="AF2180" s="714"/>
      <c r="AG2180" s="570" t="str">
        <f>IF(AE2180&lt;&gt;0,VLOOKUP(AE2180,ODDS!$A$2:$C$13,3,0),"")</f>
        <v/>
      </c>
      <c r="AH2180" s="570" t="str">
        <f t="shared" si="474"/>
        <v xml:space="preserve"> </v>
      </c>
      <c r="AI2180" s="571" t="str">
        <f t="shared" si="472"/>
        <v xml:space="preserve"> </v>
      </c>
      <c r="AJ2180" s="731" t="s">
        <v>2074</v>
      </c>
      <c r="AK2180" s="586" t="s">
        <v>2800</v>
      </c>
    </row>
    <row r="2181" spans="1:38" s="394" customFormat="1" ht="40.5" outlineLevel="2" x14ac:dyDescent="0.3">
      <c r="A2181" s="447">
        <f t="shared" si="483"/>
        <v>183</v>
      </c>
      <c r="B2181" s="557"/>
      <c r="C2181" s="572"/>
      <c r="D2181" s="700"/>
      <c r="E2181" s="612"/>
      <c r="F2181" s="612"/>
      <c r="G2181" s="586"/>
      <c r="H2181" s="709"/>
      <c r="I2181" s="546"/>
      <c r="J2181" s="558"/>
      <c r="K2181" s="563" t="str">
        <f>IF(G2181&lt;&gt;0,VLOOKUP(G2181,'gia dat'!$A$1:$F$144,5,0)," ")</f>
        <v xml:space="preserve"> </v>
      </c>
      <c r="L2181" s="563" t="str">
        <f>IF(G2181&lt;&gt;0,VLOOKUP(G2181,'gia dat'!$A$1:$F$144,6,0)," ")</f>
        <v xml:space="preserve"> </v>
      </c>
      <c r="M2181" s="564" t="str">
        <f t="shared" si="480"/>
        <v xml:space="preserve"> </v>
      </c>
      <c r="N2181" s="564" t="str">
        <f t="shared" si="481"/>
        <v xml:space="preserve"> </v>
      </c>
      <c r="O2181" s="572" t="s">
        <v>145</v>
      </c>
      <c r="P2181" s="740">
        <v>3</v>
      </c>
      <c r="Q2181" s="564">
        <f>IF(O2181&lt;&gt;0,VLOOKUP(O2181,'Cây trong'!$A$2:$C$246,3,0)," ")</f>
        <v>4240000</v>
      </c>
      <c r="R2181" s="564">
        <f t="shared" si="473"/>
        <v>12720000</v>
      </c>
      <c r="S2181" s="566" t="s">
        <v>2391</v>
      </c>
      <c r="T2181" s="609" t="s">
        <v>1133</v>
      </c>
      <c r="U2181" s="741">
        <v>38.03</v>
      </c>
      <c r="V2181" s="586"/>
      <c r="W2181" s="564">
        <f>IF(S2181&lt;&gt;0,VLOOKUP(S2181,VKT!$A$2:$G$415,7,0),"")</f>
        <v>1044880</v>
      </c>
      <c r="X2181" s="564">
        <f t="shared" si="471"/>
        <v>39737000</v>
      </c>
      <c r="Y2181" s="683" t="s">
        <v>1263</v>
      </c>
      <c r="Z2181" s="683" t="s">
        <v>82</v>
      </c>
      <c r="AA2181" s="683" t="s">
        <v>1263</v>
      </c>
      <c r="AB2181" s="694" t="s">
        <v>143</v>
      </c>
      <c r="AC2181" s="586"/>
      <c r="AD2181" s="586"/>
      <c r="AE2181" s="586"/>
      <c r="AF2181" s="714"/>
      <c r="AG2181" s="570" t="str">
        <f>IF(AE2181&lt;&gt;0,VLOOKUP(AE2181,ODDS!$A$2:$C$13,3,0),"")</f>
        <v/>
      </c>
      <c r="AH2181" s="570" t="str">
        <f t="shared" si="474"/>
        <v xml:space="preserve"> </v>
      </c>
      <c r="AI2181" s="571" t="str">
        <f t="shared" si="472"/>
        <v xml:space="preserve"> </v>
      </c>
      <c r="AJ2181" s="731"/>
      <c r="AK2181" s="586"/>
    </row>
    <row r="2182" spans="1:38" s="394" customFormat="1" ht="40.5" outlineLevel="2" x14ac:dyDescent="0.3">
      <c r="A2182" s="447">
        <f t="shared" si="483"/>
        <v>183</v>
      </c>
      <c r="B2182" s="557"/>
      <c r="C2182" s="572"/>
      <c r="D2182" s="700"/>
      <c r="E2182" s="612"/>
      <c r="F2182" s="612"/>
      <c r="G2182" s="586"/>
      <c r="H2182" s="709"/>
      <c r="I2182" s="546"/>
      <c r="J2182" s="558"/>
      <c r="K2182" s="563" t="str">
        <f>IF(G2182&lt;&gt;0,VLOOKUP(G2182,'gia dat'!$A$1:$F$144,5,0)," ")</f>
        <v xml:space="preserve"> </v>
      </c>
      <c r="L2182" s="563" t="str">
        <f>IF(G2182&lt;&gt;0,VLOOKUP(G2182,'gia dat'!$A$1:$F$144,6,0)," ")</f>
        <v xml:space="preserve"> </v>
      </c>
      <c r="M2182" s="564" t="str">
        <f t="shared" si="480"/>
        <v xml:space="preserve"> </v>
      </c>
      <c r="N2182" s="564" t="str">
        <f t="shared" si="481"/>
        <v xml:space="preserve"> </v>
      </c>
      <c r="O2182" s="572" t="s">
        <v>1463</v>
      </c>
      <c r="P2182" s="740">
        <v>1</v>
      </c>
      <c r="Q2182" s="564">
        <f>IF(O2182&lt;&gt;0,VLOOKUP(O2182,'Cây trong'!$A$2:$C$246,3,0)," ")</f>
        <v>1200000</v>
      </c>
      <c r="R2182" s="564">
        <f t="shared" si="473"/>
        <v>1200000</v>
      </c>
      <c r="S2182" s="566" t="s">
        <v>2391</v>
      </c>
      <c r="T2182" s="609" t="s">
        <v>1133</v>
      </c>
      <c r="U2182" s="741">
        <v>37.019999999999996</v>
      </c>
      <c r="V2182" s="586"/>
      <c r="W2182" s="564">
        <f>IF(S2182&lt;&gt;0,VLOOKUP(S2182,VKT!$A$2:$G$415,7,0),"")</f>
        <v>1044880</v>
      </c>
      <c r="X2182" s="564">
        <f t="shared" si="471"/>
        <v>38681000</v>
      </c>
      <c r="Y2182" s="683" t="s">
        <v>1263</v>
      </c>
      <c r="Z2182" s="683" t="s">
        <v>82</v>
      </c>
      <c r="AA2182" s="683" t="s">
        <v>1263</v>
      </c>
      <c r="AB2182" s="694" t="s">
        <v>143</v>
      </c>
      <c r="AC2182" s="586"/>
      <c r="AD2182" s="586"/>
      <c r="AE2182" s="586"/>
      <c r="AF2182" s="714"/>
      <c r="AG2182" s="570" t="str">
        <f>IF(AE2182&lt;&gt;0,VLOOKUP(AE2182,ODDS!$A$2:$C$13,3,0),"")</f>
        <v/>
      </c>
      <c r="AH2182" s="570" t="str">
        <f t="shared" si="474"/>
        <v xml:space="preserve"> </v>
      </c>
      <c r="AI2182" s="571" t="str">
        <f t="shared" si="472"/>
        <v xml:space="preserve"> </v>
      </c>
      <c r="AJ2182" s="586"/>
      <c r="AK2182" s="586"/>
    </row>
    <row r="2183" spans="1:38" s="394" customFormat="1" ht="60.75" outlineLevel="2" x14ac:dyDescent="0.3">
      <c r="A2183" s="447">
        <f t="shared" si="483"/>
        <v>183</v>
      </c>
      <c r="B2183" s="557"/>
      <c r="C2183" s="572"/>
      <c r="D2183" s="700"/>
      <c r="E2183" s="612"/>
      <c r="F2183" s="612"/>
      <c r="G2183" s="586"/>
      <c r="H2183" s="709"/>
      <c r="I2183" s="546"/>
      <c r="J2183" s="558"/>
      <c r="K2183" s="563" t="str">
        <f>IF(G2183&lt;&gt;0,VLOOKUP(G2183,'gia dat'!$A$1:$F$144,5,0)," ")</f>
        <v xml:space="preserve"> </v>
      </c>
      <c r="L2183" s="563" t="str">
        <f>IF(G2183&lt;&gt;0,VLOOKUP(G2183,'gia dat'!$A$1:$F$144,6,0)," ")</f>
        <v xml:space="preserve"> </v>
      </c>
      <c r="M2183" s="564" t="str">
        <f t="shared" si="480"/>
        <v xml:space="preserve"> </v>
      </c>
      <c r="N2183" s="564" t="str">
        <f t="shared" si="481"/>
        <v xml:space="preserve"> </v>
      </c>
      <c r="O2183" s="572" t="s">
        <v>1464</v>
      </c>
      <c r="P2183" s="740">
        <v>1</v>
      </c>
      <c r="Q2183" s="564">
        <f>IF(O2183&lt;&gt;0,VLOOKUP(O2183,'Cây trong'!$A$2:$C$246,3,0)," ")</f>
        <v>920000</v>
      </c>
      <c r="R2183" s="564">
        <f t="shared" si="473"/>
        <v>920000</v>
      </c>
      <c r="S2183" s="566" t="s">
        <v>2392</v>
      </c>
      <c r="T2183" s="609" t="s">
        <v>1133</v>
      </c>
      <c r="U2183" s="741">
        <v>10.54</v>
      </c>
      <c r="V2183" s="586"/>
      <c r="W2183" s="564">
        <f>IF(S2183&lt;&gt;0,VLOOKUP(S2183,VKT!$A$2:$G$415,7,0),"")</f>
        <v>0</v>
      </c>
      <c r="X2183" s="564">
        <f t="shared" si="471"/>
        <v>0</v>
      </c>
      <c r="Y2183" s="650"/>
      <c r="Z2183" s="586"/>
      <c r="AA2183" s="742"/>
      <c r="AB2183" s="586"/>
      <c r="AC2183" s="586"/>
      <c r="AD2183" s="586"/>
      <c r="AE2183" s="586"/>
      <c r="AF2183" s="714"/>
      <c r="AG2183" s="570" t="str">
        <f>IF(AE2183&lt;&gt;0,VLOOKUP(AE2183,ODDS!$A$2:$C$13,3,0),"")</f>
        <v/>
      </c>
      <c r="AH2183" s="570" t="str">
        <f t="shared" si="474"/>
        <v xml:space="preserve"> </v>
      </c>
      <c r="AI2183" s="571" t="str">
        <f t="shared" si="472"/>
        <v xml:space="preserve"> </v>
      </c>
      <c r="AJ2183" s="731"/>
      <c r="AK2183" s="586"/>
    </row>
    <row r="2184" spans="1:38" s="394" customFormat="1" ht="121.5" outlineLevel="2" x14ac:dyDescent="0.3">
      <c r="A2184" s="447">
        <f t="shared" si="483"/>
        <v>183</v>
      </c>
      <c r="B2184" s="557"/>
      <c r="C2184" s="572"/>
      <c r="D2184" s="700"/>
      <c r="E2184" s="612"/>
      <c r="F2184" s="612"/>
      <c r="G2184" s="586"/>
      <c r="H2184" s="709"/>
      <c r="I2184" s="546"/>
      <c r="J2184" s="558"/>
      <c r="K2184" s="563" t="str">
        <f>IF(G2184&lt;&gt;0,VLOOKUP(G2184,'gia dat'!$A$1:$F$144,5,0)," ")</f>
        <v xml:space="preserve"> </v>
      </c>
      <c r="L2184" s="563" t="str">
        <f>IF(G2184&lt;&gt;0,VLOOKUP(G2184,'gia dat'!$A$1:$F$144,6,0)," ")</f>
        <v xml:space="preserve"> </v>
      </c>
      <c r="M2184" s="564" t="str">
        <f t="shared" si="480"/>
        <v xml:space="preserve"> </v>
      </c>
      <c r="N2184" s="564" t="str">
        <f t="shared" si="481"/>
        <v xml:space="preserve"> </v>
      </c>
      <c r="O2184" s="572" t="s">
        <v>1466</v>
      </c>
      <c r="P2184" s="740">
        <v>1</v>
      </c>
      <c r="Q2184" s="564">
        <f>IF(O2184&lt;&gt;0,VLOOKUP(O2184,'Cây trong'!$A$2:$C$246,3,0)," ")</f>
        <v>605000</v>
      </c>
      <c r="R2184" s="564">
        <f t="shared" si="473"/>
        <v>605000</v>
      </c>
      <c r="S2184" s="572" t="s">
        <v>2393</v>
      </c>
      <c r="T2184" s="609" t="s">
        <v>1133</v>
      </c>
      <c r="U2184" s="741">
        <v>2.21</v>
      </c>
      <c r="V2184" s="586"/>
      <c r="W2184" s="564">
        <f>IF(S2184&lt;&gt;0,VLOOKUP(S2184,VKT!$A$2:$G$415,7,0),"")</f>
        <v>7741709</v>
      </c>
      <c r="X2184" s="564">
        <f t="shared" si="471"/>
        <v>17109000</v>
      </c>
      <c r="Y2184" s="650"/>
      <c r="Z2184" s="586"/>
      <c r="AA2184" s="742"/>
      <c r="AB2184" s="586"/>
      <c r="AC2184" s="586"/>
      <c r="AD2184" s="586"/>
      <c r="AE2184" s="586"/>
      <c r="AF2184" s="714"/>
      <c r="AG2184" s="570" t="str">
        <f>IF(AE2184&lt;&gt;0,VLOOKUP(AE2184,ODDS!$A$2:$C$13,3,0),"")</f>
        <v/>
      </c>
      <c r="AH2184" s="570" t="str">
        <f t="shared" si="474"/>
        <v xml:space="preserve"> </v>
      </c>
      <c r="AI2184" s="571" t="str">
        <f t="shared" si="472"/>
        <v xml:space="preserve"> </v>
      </c>
      <c r="AJ2184" s="586"/>
      <c r="AK2184" s="586"/>
    </row>
    <row r="2185" spans="1:38" s="394" customFormat="1" ht="121.5" outlineLevel="2" x14ac:dyDescent="0.3">
      <c r="A2185" s="447">
        <f t="shared" si="483"/>
        <v>183</v>
      </c>
      <c r="B2185" s="557"/>
      <c r="C2185" s="572"/>
      <c r="D2185" s="700"/>
      <c r="E2185" s="612"/>
      <c r="F2185" s="612"/>
      <c r="G2185" s="586"/>
      <c r="H2185" s="709"/>
      <c r="I2185" s="546"/>
      <c r="J2185" s="558"/>
      <c r="K2185" s="563" t="str">
        <f>IF(G2185&lt;&gt;0,VLOOKUP(G2185,'gia dat'!$A$1:$F$144,5,0)," ")</f>
        <v xml:space="preserve"> </v>
      </c>
      <c r="L2185" s="563" t="str">
        <f>IF(G2185&lt;&gt;0,VLOOKUP(G2185,'gia dat'!$A$1:$F$144,6,0)," ")</f>
        <v xml:space="preserve"> </v>
      </c>
      <c r="M2185" s="564" t="str">
        <f t="shared" si="480"/>
        <v xml:space="preserve"> </v>
      </c>
      <c r="N2185" s="564" t="str">
        <f t="shared" si="481"/>
        <v xml:space="preserve"> </v>
      </c>
      <c r="O2185" s="572" t="s">
        <v>1467</v>
      </c>
      <c r="P2185" s="740">
        <v>1</v>
      </c>
      <c r="Q2185" s="564">
        <f>IF(O2185&lt;&gt;0,VLOOKUP(O2185,'Cây trong'!$A$2:$C$246,3,0)," ")</f>
        <v>294000</v>
      </c>
      <c r="R2185" s="564">
        <f t="shared" si="473"/>
        <v>294000</v>
      </c>
      <c r="S2185" s="572" t="s">
        <v>2394</v>
      </c>
      <c r="T2185" s="609" t="s">
        <v>1133</v>
      </c>
      <c r="U2185" s="741">
        <v>2.8499999999999996</v>
      </c>
      <c r="V2185" s="586"/>
      <c r="W2185" s="564">
        <f>IF(S2185&lt;&gt;0,VLOOKUP(S2185,VKT!$A$2:$G$415,7,0),"")</f>
        <v>2093161</v>
      </c>
      <c r="X2185" s="564">
        <f t="shared" ref="X2185:X2253" si="484">IF(S2185&lt;&gt;0,ROUND(U2185*W2185,-3)," ")</f>
        <v>5966000</v>
      </c>
      <c r="Y2185" s="650"/>
      <c r="Z2185" s="586"/>
      <c r="AA2185" s="742"/>
      <c r="AB2185" s="586"/>
      <c r="AC2185" s="586"/>
      <c r="AD2185" s="586"/>
      <c r="AE2185" s="586"/>
      <c r="AF2185" s="714"/>
      <c r="AG2185" s="570" t="str">
        <f>IF(AE2185&lt;&gt;0,VLOOKUP(AE2185,ODDS!$A$2:$C$13,3,0),"")</f>
        <v/>
      </c>
      <c r="AH2185" s="570" t="str">
        <f t="shared" si="474"/>
        <v xml:space="preserve"> </v>
      </c>
      <c r="AI2185" s="571" t="str">
        <f t="shared" ref="AI2185:AI2248" si="485">IF(B2185&lt;&gt;0,M2185+N2185+R2185+X2185+AH2185," ")</f>
        <v xml:space="preserve"> </v>
      </c>
      <c r="AJ2185" s="586"/>
      <c r="AK2185" s="586"/>
    </row>
    <row r="2186" spans="1:38" s="394" customFormat="1" ht="101.25" outlineLevel="2" x14ac:dyDescent="0.3">
      <c r="A2186" s="447">
        <f t="shared" si="483"/>
        <v>183</v>
      </c>
      <c r="B2186" s="557"/>
      <c r="C2186" s="572"/>
      <c r="D2186" s="700"/>
      <c r="E2186" s="612"/>
      <c r="F2186" s="612"/>
      <c r="G2186" s="586"/>
      <c r="H2186" s="709"/>
      <c r="I2186" s="546"/>
      <c r="J2186" s="558"/>
      <c r="K2186" s="563" t="str">
        <f>IF(G2186&lt;&gt;0,VLOOKUP(G2186,'gia dat'!$A$1:$F$144,5,0)," ")</f>
        <v xml:space="preserve"> </v>
      </c>
      <c r="L2186" s="563" t="str">
        <f>IF(G2186&lt;&gt;0,VLOOKUP(G2186,'gia dat'!$A$1:$F$144,6,0)," ")</f>
        <v xml:space="preserve"> </v>
      </c>
      <c r="M2186" s="564" t="str">
        <f t="shared" si="480"/>
        <v xml:space="preserve"> </v>
      </c>
      <c r="N2186" s="564" t="str">
        <f t="shared" si="481"/>
        <v xml:space="preserve"> </v>
      </c>
      <c r="O2186" s="572" t="s">
        <v>1353</v>
      </c>
      <c r="P2186" s="740">
        <v>2</v>
      </c>
      <c r="Q2186" s="564">
        <f>IF(O2186&lt;&gt;0,VLOOKUP(O2186,'Cây trong'!$A$2:$C$246,3,0)," ")</f>
        <v>1713000</v>
      </c>
      <c r="R2186" s="564">
        <f t="shared" si="473"/>
        <v>3426000</v>
      </c>
      <c r="S2186" s="572" t="s">
        <v>2395</v>
      </c>
      <c r="T2186" s="609" t="s">
        <v>1133</v>
      </c>
      <c r="U2186" s="741">
        <v>133.19999999999999</v>
      </c>
      <c r="V2186" s="586"/>
      <c r="W2186" s="564">
        <f>IF(S2186&lt;&gt;0,VLOOKUP(S2186,VKT!$A$2:$G$415,7,0),"")</f>
        <v>738254</v>
      </c>
      <c r="X2186" s="564">
        <f t="shared" si="484"/>
        <v>98335000</v>
      </c>
      <c r="Y2186" s="650"/>
      <c r="Z2186" s="586"/>
      <c r="AA2186" s="742"/>
      <c r="AB2186" s="586"/>
      <c r="AC2186" s="586"/>
      <c r="AD2186" s="586"/>
      <c r="AE2186" s="586"/>
      <c r="AF2186" s="714"/>
      <c r="AG2186" s="570" t="str">
        <f>IF(AE2186&lt;&gt;0,VLOOKUP(AE2186,ODDS!$A$2:$C$13,3,0),"")</f>
        <v/>
      </c>
      <c r="AH2186" s="570" t="str">
        <f t="shared" si="474"/>
        <v xml:space="preserve"> </v>
      </c>
      <c r="AI2186" s="571" t="str">
        <f t="shared" si="485"/>
        <v xml:space="preserve"> </v>
      </c>
      <c r="AJ2186" s="586"/>
      <c r="AK2186" s="586"/>
    </row>
    <row r="2187" spans="1:38" s="394" customFormat="1" ht="101.25" outlineLevel="2" x14ac:dyDescent="0.3">
      <c r="A2187" s="447">
        <f t="shared" si="483"/>
        <v>183</v>
      </c>
      <c r="B2187" s="557"/>
      <c r="C2187" s="572"/>
      <c r="D2187" s="700"/>
      <c r="E2187" s="612"/>
      <c r="F2187" s="612"/>
      <c r="G2187" s="586"/>
      <c r="H2187" s="709"/>
      <c r="I2187" s="546"/>
      <c r="J2187" s="558"/>
      <c r="K2187" s="563" t="str">
        <f>IF(G2187&lt;&gt;0,VLOOKUP(G2187,'gia dat'!$A$1:$F$144,5,0)," ")</f>
        <v xml:space="preserve"> </v>
      </c>
      <c r="L2187" s="563" t="str">
        <f>IF(G2187&lt;&gt;0,VLOOKUP(G2187,'gia dat'!$A$1:$F$144,6,0)," ")</f>
        <v xml:space="preserve"> </v>
      </c>
      <c r="M2187" s="564" t="str">
        <f t="shared" si="480"/>
        <v xml:space="preserve"> </v>
      </c>
      <c r="N2187" s="564" t="str">
        <f t="shared" si="481"/>
        <v xml:space="preserve"> </v>
      </c>
      <c r="O2187" s="572" t="s">
        <v>1431</v>
      </c>
      <c r="P2187" s="740">
        <v>1</v>
      </c>
      <c r="Q2187" s="564">
        <f>IF(O2187&lt;&gt;0,VLOOKUP(O2187,'Cây trong'!$A$2:$C$246,3,0)," ")</f>
        <v>165000</v>
      </c>
      <c r="R2187" s="564">
        <f t="shared" si="473"/>
        <v>165000</v>
      </c>
      <c r="S2187" s="572" t="s">
        <v>2396</v>
      </c>
      <c r="T2187" s="609" t="s">
        <v>1133</v>
      </c>
      <c r="U2187" s="741">
        <v>11</v>
      </c>
      <c r="V2187" s="586"/>
      <c r="W2187" s="564">
        <f>IF(S2187&lt;&gt;0,VLOOKUP(S2187,VKT!$A$2:$G$415,7,0),"")</f>
        <v>642264</v>
      </c>
      <c r="X2187" s="564">
        <f t="shared" si="484"/>
        <v>7065000</v>
      </c>
      <c r="Y2187" s="650"/>
      <c r="Z2187" s="586"/>
      <c r="AA2187" s="742"/>
      <c r="AB2187" s="586"/>
      <c r="AC2187" s="586"/>
      <c r="AD2187" s="586"/>
      <c r="AE2187" s="586"/>
      <c r="AF2187" s="714"/>
      <c r="AG2187" s="570" t="str">
        <f>IF(AE2187&lt;&gt;0,VLOOKUP(AE2187,ODDS!$A$2:$C$13,3,0),"")</f>
        <v/>
      </c>
      <c r="AH2187" s="570" t="str">
        <f t="shared" si="474"/>
        <v xml:space="preserve"> </v>
      </c>
      <c r="AI2187" s="571" t="str">
        <f t="shared" si="485"/>
        <v xml:space="preserve"> </v>
      </c>
      <c r="AJ2187" s="586"/>
      <c r="AK2187" s="586"/>
    </row>
    <row r="2188" spans="1:38" s="394" customFormat="1" ht="101.25" outlineLevel="2" x14ac:dyDescent="0.3">
      <c r="A2188" s="447">
        <f t="shared" si="483"/>
        <v>183</v>
      </c>
      <c r="B2188" s="557"/>
      <c r="C2188" s="572"/>
      <c r="D2188" s="700"/>
      <c r="E2188" s="612"/>
      <c r="F2188" s="612"/>
      <c r="G2188" s="586"/>
      <c r="H2188" s="709"/>
      <c r="I2188" s="546"/>
      <c r="J2188" s="558"/>
      <c r="K2188" s="563" t="str">
        <f>IF(G2188&lt;&gt;0,VLOOKUP(G2188,'gia dat'!$A$1:$F$144,5,0)," ")</f>
        <v xml:space="preserve"> </v>
      </c>
      <c r="L2188" s="563" t="str">
        <f>IF(G2188&lt;&gt;0,VLOOKUP(G2188,'gia dat'!$A$1:$F$144,6,0)," ")</f>
        <v xml:space="preserve"> </v>
      </c>
      <c r="M2188" s="564" t="str">
        <f t="shared" si="480"/>
        <v xml:space="preserve"> </v>
      </c>
      <c r="N2188" s="564" t="str">
        <f t="shared" si="481"/>
        <v xml:space="preserve"> </v>
      </c>
      <c r="O2188" s="572" t="s">
        <v>727</v>
      </c>
      <c r="P2188" s="740">
        <v>1</v>
      </c>
      <c r="Q2188" s="564">
        <f>IF(O2188&lt;&gt;0,VLOOKUP(O2188,'Cây trong'!$A$2:$C$246,3,0)," ")</f>
        <v>32000</v>
      </c>
      <c r="R2188" s="564">
        <f t="shared" si="473"/>
        <v>32000</v>
      </c>
      <c r="S2188" s="572" t="s">
        <v>2397</v>
      </c>
      <c r="T2188" s="609" t="s">
        <v>1133</v>
      </c>
      <c r="U2188" s="741">
        <v>123</v>
      </c>
      <c r="V2188" s="586"/>
      <c r="W2188" s="564">
        <f>IF(S2188&lt;&gt;0,VLOOKUP(S2188,VKT!$A$2:$G$415,7,0),"")</f>
        <v>441467</v>
      </c>
      <c r="X2188" s="564">
        <f t="shared" si="484"/>
        <v>54300000</v>
      </c>
      <c r="Y2188" s="650"/>
      <c r="Z2188" s="586"/>
      <c r="AA2188" s="742"/>
      <c r="AB2188" s="586"/>
      <c r="AC2188" s="586"/>
      <c r="AD2188" s="586"/>
      <c r="AE2188" s="586"/>
      <c r="AF2188" s="714"/>
      <c r="AG2188" s="570" t="str">
        <f>IF(AE2188&lt;&gt;0,VLOOKUP(AE2188,ODDS!$A$2:$C$13,3,0),"")</f>
        <v/>
      </c>
      <c r="AH2188" s="570" t="str">
        <f t="shared" si="474"/>
        <v xml:space="preserve"> </v>
      </c>
      <c r="AI2188" s="571" t="str">
        <f t="shared" si="485"/>
        <v xml:space="preserve"> </v>
      </c>
      <c r="AJ2188" s="586"/>
      <c r="AK2188" s="586"/>
    </row>
    <row r="2189" spans="1:38" s="394" customFormat="1" ht="20.25" outlineLevel="2" x14ac:dyDescent="0.3">
      <c r="A2189" s="447">
        <f t="shared" si="483"/>
        <v>183</v>
      </c>
      <c r="B2189" s="557"/>
      <c r="C2189" s="572"/>
      <c r="D2189" s="700"/>
      <c r="E2189" s="612"/>
      <c r="F2189" s="612"/>
      <c r="G2189" s="586"/>
      <c r="H2189" s="709"/>
      <c r="I2189" s="546"/>
      <c r="J2189" s="558"/>
      <c r="K2189" s="563" t="str">
        <f>IF(G2189&lt;&gt;0,VLOOKUP(G2189,'gia dat'!$A$1:$F$144,5,0)," ")</f>
        <v xml:space="preserve"> </v>
      </c>
      <c r="L2189" s="563" t="str">
        <f>IF(G2189&lt;&gt;0,VLOOKUP(G2189,'gia dat'!$A$1:$F$144,6,0)," ")</f>
        <v xml:space="preserve"> </v>
      </c>
      <c r="M2189" s="564" t="str">
        <f t="shared" si="480"/>
        <v xml:space="preserve"> </v>
      </c>
      <c r="N2189" s="564" t="str">
        <f t="shared" si="481"/>
        <v xml:space="preserve"> </v>
      </c>
      <c r="O2189" s="572" t="s">
        <v>754</v>
      </c>
      <c r="P2189" s="740">
        <v>6</v>
      </c>
      <c r="Q2189" s="564">
        <f>IF(O2189&lt;&gt;0,VLOOKUP(O2189,'Cây trong'!$A$2:$C$246,3,0)," ")</f>
        <v>0</v>
      </c>
      <c r="R2189" s="564">
        <f t="shared" si="473"/>
        <v>0</v>
      </c>
      <c r="S2189" s="572"/>
      <c r="T2189" s="609"/>
      <c r="U2189" s="741"/>
      <c r="V2189" s="586"/>
      <c r="W2189" s="564" t="str">
        <f>IF(S2189&lt;&gt;0,VLOOKUP(S2189,VKT!$A$2:$G$415,7,0),"")</f>
        <v/>
      </c>
      <c r="X2189" s="564" t="str">
        <f t="shared" si="484"/>
        <v xml:space="preserve"> </v>
      </c>
      <c r="Y2189" s="650"/>
      <c r="Z2189" s="586"/>
      <c r="AA2189" s="742"/>
      <c r="AB2189" s="586"/>
      <c r="AC2189" s="586"/>
      <c r="AD2189" s="586"/>
      <c r="AE2189" s="586"/>
      <c r="AF2189" s="714"/>
      <c r="AG2189" s="570" t="str">
        <f>IF(AE2189&lt;&gt;0,VLOOKUP(AE2189,ODDS!$A$2:$C$13,3,0),"")</f>
        <v/>
      </c>
      <c r="AH2189" s="570" t="str">
        <f t="shared" si="474"/>
        <v xml:space="preserve"> </v>
      </c>
      <c r="AI2189" s="571" t="str">
        <f t="shared" si="485"/>
        <v xml:space="preserve"> </v>
      </c>
      <c r="AJ2189" s="586"/>
      <c r="AK2189" s="586"/>
    </row>
    <row r="2190" spans="1:38" s="394" customFormat="1" ht="20.25" outlineLevel="2" x14ac:dyDescent="0.3">
      <c r="A2190" s="447">
        <f t="shared" si="483"/>
        <v>183</v>
      </c>
      <c r="B2190" s="557"/>
      <c r="C2190" s="572"/>
      <c r="D2190" s="700"/>
      <c r="E2190" s="612"/>
      <c r="F2190" s="612"/>
      <c r="G2190" s="586"/>
      <c r="H2190" s="709"/>
      <c r="I2190" s="546"/>
      <c r="J2190" s="558"/>
      <c r="K2190" s="563" t="str">
        <f>IF(G2190&lt;&gt;0,VLOOKUP(G2190,'gia dat'!$A$1:$F$144,5,0)," ")</f>
        <v xml:space="preserve"> </v>
      </c>
      <c r="L2190" s="563" t="str">
        <f>IF(G2190&lt;&gt;0,VLOOKUP(G2190,'gia dat'!$A$1:$F$144,6,0)," ")</f>
        <v xml:space="preserve"> </v>
      </c>
      <c r="M2190" s="564" t="str">
        <f t="shared" si="480"/>
        <v xml:space="preserve"> </v>
      </c>
      <c r="N2190" s="564" t="str">
        <f t="shared" si="481"/>
        <v xml:space="preserve"> </v>
      </c>
      <c r="O2190" s="572" t="s">
        <v>744</v>
      </c>
      <c r="P2190" s="740">
        <v>1</v>
      </c>
      <c r="Q2190" s="564">
        <f>IF(O2190&lt;&gt;0,VLOOKUP(O2190,'Cây trong'!$A$2:$C$246,3,0)," ")</f>
        <v>0</v>
      </c>
      <c r="R2190" s="564">
        <f t="shared" si="473"/>
        <v>0</v>
      </c>
      <c r="S2190" s="572"/>
      <c r="T2190" s="609"/>
      <c r="U2190" s="741"/>
      <c r="V2190" s="586"/>
      <c r="W2190" s="564" t="str">
        <f>IF(S2190&lt;&gt;0,VLOOKUP(S2190,VKT!$A$2:$G$415,7,0),"")</f>
        <v/>
      </c>
      <c r="X2190" s="564" t="str">
        <f t="shared" si="484"/>
        <v xml:space="preserve"> </v>
      </c>
      <c r="Y2190" s="650"/>
      <c r="Z2190" s="586"/>
      <c r="AA2190" s="742"/>
      <c r="AB2190" s="586"/>
      <c r="AC2190" s="586"/>
      <c r="AD2190" s="586"/>
      <c r="AE2190" s="586"/>
      <c r="AF2190" s="714"/>
      <c r="AG2190" s="570" t="str">
        <f>IF(AE2190&lt;&gt;0,VLOOKUP(AE2190,ODDS!$A$2:$C$13,3,0),"")</f>
        <v/>
      </c>
      <c r="AH2190" s="570" t="str">
        <f t="shared" si="474"/>
        <v xml:space="preserve"> </v>
      </c>
      <c r="AI2190" s="571" t="str">
        <f t="shared" si="485"/>
        <v xml:space="preserve"> </v>
      </c>
      <c r="AJ2190" s="586"/>
      <c r="AK2190" s="586"/>
    </row>
    <row r="2191" spans="1:38" s="394" customFormat="1" ht="60.75" outlineLevel="2" x14ac:dyDescent="0.3">
      <c r="A2191" s="447">
        <f t="shared" si="483"/>
        <v>183</v>
      </c>
      <c r="B2191" s="557"/>
      <c r="C2191" s="572"/>
      <c r="D2191" s="700"/>
      <c r="E2191" s="612"/>
      <c r="F2191" s="612"/>
      <c r="G2191" s="586"/>
      <c r="H2191" s="709"/>
      <c r="I2191" s="546"/>
      <c r="J2191" s="558"/>
      <c r="K2191" s="563" t="str">
        <f>IF(G2191&lt;&gt;0,VLOOKUP(G2191,'gia dat'!$A$1:$F$144,5,0)," ")</f>
        <v xml:space="preserve"> </v>
      </c>
      <c r="L2191" s="563" t="str">
        <f>IF(G2191&lt;&gt;0,VLOOKUP(G2191,'gia dat'!$A$1:$F$144,6,0)," ")</f>
        <v xml:space="preserve"> </v>
      </c>
      <c r="M2191" s="564" t="str">
        <f t="shared" si="480"/>
        <v xml:space="preserve"> </v>
      </c>
      <c r="N2191" s="564" t="str">
        <f t="shared" si="481"/>
        <v xml:space="preserve"> </v>
      </c>
      <c r="O2191" s="565" t="s">
        <v>429</v>
      </c>
      <c r="P2191" s="740">
        <v>32</v>
      </c>
      <c r="Q2191" s="564">
        <f>IF(O2191&lt;&gt;0,VLOOKUP(O2191,'Cây trong'!$A$2:$C$246,3,0)," ")</f>
        <v>12000</v>
      </c>
      <c r="R2191" s="564">
        <f t="shared" si="473"/>
        <v>384000</v>
      </c>
      <c r="S2191" s="572"/>
      <c r="T2191" s="609"/>
      <c r="U2191" s="741"/>
      <c r="V2191" s="586"/>
      <c r="W2191" s="564" t="str">
        <f>IF(S2191&lt;&gt;0,VLOOKUP(S2191,VKT!$A$2:$G$415,7,0),"")</f>
        <v/>
      </c>
      <c r="X2191" s="564" t="str">
        <f t="shared" si="484"/>
        <v xml:space="preserve"> </v>
      </c>
      <c r="Y2191" s="650"/>
      <c r="Z2191" s="586"/>
      <c r="AA2191" s="742"/>
      <c r="AB2191" s="586"/>
      <c r="AC2191" s="586"/>
      <c r="AD2191" s="586"/>
      <c r="AE2191" s="586"/>
      <c r="AF2191" s="714"/>
      <c r="AG2191" s="570" t="str">
        <f>IF(AE2191&lt;&gt;0,VLOOKUP(AE2191,ODDS!$A$2:$C$13,3,0),"")</f>
        <v/>
      </c>
      <c r="AH2191" s="570" t="str">
        <f t="shared" si="474"/>
        <v xml:space="preserve"> </v>
      </c>
      <c r="AI2191" s="571" t="str">
        <f t="shared" si="485"/>
        <v xml:space="preserve"> </v>
      </c>
      <c r="AJ2191" s="586"/>
      <c r="AK2191" s="586"/>
    </row>
    <row r="2192" spans="1:38" s="394" customFormat="1" ht="40.5" outlineLevel="2" x14ac:dyDescent="0.3">
      <c r="A2192" s="447">
        <f t="shared" si="483"/>
        <v>183</v>
      </c>
      <c r="B2192" s="557"/>
      <c r="C2192" s="572"/>
      <c r="D2192" s="700"/>
      <c r="E2192" s="612"/>
      <c r="F2192" s="612"/>
      <c r="G2192" s="586"/>
      <c r="H2192" s="709"/>
      <c r="I2192" s="546"/>
      <c r="J2192" s="558"/>
      <c r="K2192" s="563" t="str">
        <f>IF(G2192&lt;&gt;0,VLOOKUP(G2192,'gia dat'!$A$1:$F$144,5,0)," ")</f>
        <v xml:space="preserve"> </v>
      </c>
      <c r="L2192" s="563" t="str">
        <f>IF(G2192&lt;&gt;0,VLOOKUP(G2192,'gia dat'!$A$1:$F$144,6,0)," ")</f>
        <v xml:space="preserve"> </v>
      </c>
      <c r="M2192" s="564" t="str">
        <f t="shared" si="480"/>
        <v xml:space="preserve"> </v>
      </c>
      <c r="N2192" s="564" t="str">
        <f t="shared" si="481"/>
        <v xml:space="preserve"> </v>
      </c>
      <c r="O2192" s="572" t="s">
        <v>1427</v>
      </c>
      <c r="P2192" s="740">
        <v>2</v>
      </c>
      <c r="Q2192" s="564">
        <f>IF(O2192&lt;&gt;0,VLOOKUP(O2192,'Cây trong'!$A$2:$C$246,3,0)," ")</f>
        <v>360000</v>
      </c>
      <c r="R2192" s="564">
        <f t="shared" si="473"/>
        <v>720000</v>
      </c>
      <c r="S2192" s="572"/>
      <c r="T2192" s="609"/>
      <c r="U2192" s="741"/>
      <c r="V2192" s="586"/>
      <c r="W2192" s="564" t="str">
        <f>IF(S2192&lt;&gt;0,VLOOKUP(S2192,VKT!$A$2:$G$415,7,0),"")</f>
        <v/>
      </c>
      <c r="X2192" s="564" t="str">
        <f t="shared" si="484"/>
        <v xml:space="preserve"> </v>
      </c>
      <c r="Y2192" s="650"/>
      <c r="Z2192" s="586"/>
      <c r="AA2192" s="742"/>
      <c r="AB2192" s="586"/>
      <c r="AC2192" s="586"/>
      <c r="AD2192" s="586"/>
      <c r="AE2192" s="586"/>
      <c r="AF2192" s="714"/>
      <c r="AG2192" s="570" t="str">
        <f>IF(AE2192&lt;&gt;0,VLOOKUP(AE2192,ODDS!$A$2:$C$13,3,0),"")</f>
        <v/>
      </c>
      <c r="AH2192" s="570" t="str">
        <f t="shared" si="474"/>
        <v xml:space="preserve"> </v>
      </c>
      <c r="AI2192" s="571" t="str">
        <f t="shared" si="485"/>
        <v xml:space="preserve"> </v>
      </c>
      <c r="AJ2192" s="586"/>
      <c r="AK2192" s="586"/>
    </row>
    <row r="2193" spans="1:37" s="394" customFormat="1" ht="40.5" outlineLevel="2" x14ac:dyDescent="0.3">
      <c r="A2193" s="447">
        <f t="shared" si="483"/>
        <v>183</v>
      </c>
      <c r="B2193" s="557"/>
      <c r="C2193" s="572"/>
      <c r="D2193" s="700"/>
      <c r="E2193" s="612"/>
      <c r="F2193" s="612"/>
      <c r="G2193" s="586"/>
      <c r="H2193" s="709"/>
      <c r="I2193" s="546"/>
      <c r="J2193" s="558"/>
      <c r="K2193" s="563" t="str">
        <f>IF(G2193&lt;&gt;0,VLOOKUP(G2193,'gia dat'!$A$1:$F$144,5,0)," ")</f>
        <v xml:space="preserve"> </v>
      </c>
      <c r="L2193" s="563" t="str">
        <f>IF(G2193&lt;&gt;0,VLOOKUP(G2193,'gia dat'!$A$1:$F$144,6,0)," ")</f>
        <v xml:space="preserve"> </v>
      </c>
      <c r="M2193" s="564" t="str">
        <f t="shared" si="480"/>
        <v xml:space="preserve"> </v>
      </c>
      <c r="N2193" s="564" t="str">
        <f t="shared" si="481"/>
        <v xml:space="preserve"> </v>
      </c>
      <c r="O2193" s="572" t="s">
        <v>401</v>
      </c>
      <c r="P2193" s="740">
        <v>46</v>
      </c>
      <c r="Q2193" s="564">
        <f>IF(O2193&lt;&gt;0,VLOOKUP(O2193,'Cây trong'!$A$2:$C$246,3,0)," ")</f>
        <v>80000</v>
      </c>
      <c r="R2193" s="564">
        <f t="shared" si="473"/>
        <v>3680000</v>
      </c>
      <c r="S2193" s="572"/>
      <c r="T2193" s="609"/>
      <c r="U2193" s="741"/>
      <c r="V2193" s="586"/>
      <c r="W2193" s="564" t="str">
        <f>IF(S2193&lt;&gt;0,VLOOKUP(S2193,VKT!$A$2:$G$415,7,0),"")</f>
        <v/>
      </c>
      <c r="X2193" s="564" t="str">
        <f t="shared" si="484"/>
        <v xml:space="preserve"> </v>
      </c>
      <c r="Y2193" s="650"/>
      <c r="Z2193" s="586"/>
      <c r="AA2193" s="742"/>
      <c r="AB2193" s="586"/>
      <c r="AC2193" s="586"/>
      <c r="AD2193" s="586"/>
      <c r="AE2193" s="586"/>
      <c r="AF2193" s="714"/>
      <c r="AG2193" s="570" t="str">
        <f>IF(AE2193&lt;&gt;0,VLOOKUP(AE2193,ODDS!$A$2:$C$13,3,0),"")</f>
        <v/>
      </c>
      <c r="AH2193" s="570" t="str">
        <f t="shared" si="474"/>
        <v xml:space="preserve"> </v>
      </c>
      <c r="AI2193" s="571" t="str">
        <f t="shared" si="485"/>
        <v xml:space="preserve"> </v>
      </c>
      <c r="AJ2193" s="586"/>
      <c r="AK2193" s="586"/>
    </row>
    <row r="2194" spans="1:37" s="394" customFormat="1" ht="60.75" outlineLevel="2" x14ac:dyDescent="0.3">
      <c r="A2194" s="447">
        <f t="shared" si="483"/>
        <v>183</v>
      </c>
      <c r="B2194" s="557"/>
      <c r="C2194" s="572"/>
      <c r="D2194" s="700"/>
      <c r="E2194" s="612"/>
      <c r="F2194" s="612"/>
      <c r="G2194" s="586"/>
      <c r="H2194" s="709"/>
      <c r="I2194" s="546"/>
      <c r="J2194" s="558"/>
      <c r="K2194" s="563" t="str">
        <f>IF(G2194&lt;&gt;0,VLOOKUP(G2194,'gia dat'!$A$1:$F$144,5,0)," ")</f>
        <v xml:space="preserve"> </v>
      </c>
      <c r="L2194" s="563" t="str">
        <f>IF(G2194&lt;&gt;0,VLOOKUP(G2194,'gia dat'!$A$1:$F$144,6,0)," ")</f>
        <v xml:space="preserve"> </v>
      </c>
      <c r="M2194" s="564" t="str">
        <f t="shared" si="480"/>
        <v xml:space="preserve"> </v>
      </c>
      <c r="N2194" s="564" t="str">
        <f t="shared" si="481"/>
        <v xml:space="preserve"> </v>
      </c>
      <c r="O2194" s="572" t="s">
        <v>1468</v>
      </c>
      <c r="P2194" s="740">
        <v>808</v>
      </c>
      <c r="Q2194" s="564">
        <f>IF(O2194&lt;&gt;0,VLOOKUP(O2194,'Cây trong'!$A$2:$C$246,3,0)," ")</f>
        <v>0</v>
      </c>
      <c r="R2194" s="564">
        <f t="shared" si="473"/>
        <v>0</v>
      </c>
      <c r="S2194" s="572"/>
      <c r="T2194" s="609"/>
      <c r="U2194" s="741"/>
      <c r="V2194" s="586"/>
      <c r="W2194" s="564" t="str">
        <f>IF(S2194&lt;&gt;0,VLOOKUP(S2194,VKT!$A$2:$G$415,7,0),"")</f>
        <v/>
      </c>
      <c r="X2194" s="564" t="str">
        <f t="shared" si="484"/>
        <v xml:space="preserve"> </v>
      </c>
      <c r="Y2194" s="650"/>
      <c r="Z2194" s="586"/>
      <c r="AA2194" s="742"/>
      <c r="AB2194" s="586"/>
      <c r="AC2194" s="586"/>
      <c r="AD2194" s="586"/>
      <c r="AE2194" s="586"/>
      <c r="AF2194" s="714"/>
      <c r="AG2194" s="570" t="str">
        <f>IF(AE2194&lt;&gt;0,VLOOKUP(AE2194,ODDS!$A$2:$C$13,3,0),"")</f>
        <v/>
      </c>
      <c r="AH2194" s="570" t="str">
        <f t="shared" si="474"/>
        <v xml:space="preserve"> </v>
      </c>
      <c r="AI2194" s="571" t="str">
        <f t="shared" si="485"/>
        <v xml:space="preserve"> </v>
      </c>
      <c r="AJ2194" s="586"/>
      <c r="AK2194" s="586"/>
    </row>
    <row r="2195" spans="1:37" s="394" customFormat="1" ht="20.25" outlineLevel="2" x14ac:dyDescent="0.3">
      <c r="A2195" s="447">
        <f t="shared" si="483"/>
        <v>183</v>
      </c>
      <c r="B2195" s="557"/>
      <c r="C2195" s="572"/>
      <c r="D2195" s="700"/>
      <c r="E2195" s="612"/>
      <c r="F2195" s="612"/>
      <c r="G2195" s="586"/>
      <c r="H2195" s="709"/>
      <c r="I2195" s="546"/>
      <c r="J2195" s="558"/>
      <c r="K2195" s="563" t="str">
        <f>IF(G2195&lt;&gt;0,VLOOKUP(G2195,'gia dat'!$A$1:$F$144,5,0)," ")</f>
        <v xml:space="preserve"> </v>
      </c>
      <c r="L2195" s="563" t="str">
        <f>IF(G2195&lt;&gt;0,VLOOKUP(G2195,'gia dat'!$A$1:$F$144,6,0)," ")</f>
        <v xml:space="preserve"> </v>
      </c>
      <c r="M2195" s="564" t="str">
        <f t="shared" si="480"/>
        <v xml:space="preserve"> </v>
      </c>
      <c r="N2195" s="564" t="str">
        <f t="shared" si="481"/>
        <v xml:space="preserve"> </v>
      </c>
      <c r="O2195" s="572"/>
      <c r="P2195" s="740"/>
      <c r="Q2195" s="564" t="str">
        <f>IF(O2195&lt;&gt;0,VLOOKUP(O2195,'Cây trong'!$A$2:$C$246,3,0)," ")</f>
        <v xml:space="preserve"> </v>
      </c>
      <c r="R2195" s="564" t="str">
        <f t="shared" si="473"/>
        <v xml:space="preserve"> </v>
      </c>
      <c r="S2195" s="572"/>
      <c r="T2195" s="609"/>
      <c r="U2195" s="741"/>
      <c r="V2195" s="586"/>
      <c r="W2195" s="564" t="str">
        <f>IF(S2195&lt;&gt;0,VLOOKUP(S2195,VKT!$A$2:$G$415,7,0),"")</f>
        <v/>
      </c>
      <c r="X2195" s="564" t="str">
        <f t="shared" si="484"/>
        <v xml:space="preserve"> </v>
      </c>
      <c r="Y2195" s="650"/>
      <c r="Z2195" s="586"/>
      <c r="AA2195" s="742"/>
      <c r="AB2195" s="586"/>
      <c r="AC2195" s="586"/>
      <c r="AD2195" s="586"/>
      <c r="AE2195" s="586"/>
      <c r="AF2195" s="714"/>
      <c r="AG2195" s="570" t="str">
        <f>IF(AE2195&lt;&gt;0,VLOOKUP(AE2195,ODDS!$A$2:$C$13,3,0),"")</f>
        <v/>
      </c>
      <c r="AH2195" s="570" t="str">
        <f t="shared" si="474"/>
        <v xml:space="preserve"> </v>
      </c>
      <c r="AI2195" s="571" t="str">
        <f t="shared" si="485"/>
        <v xml:space="preserve"> </v>
      </c>
      <c r="AJ2195" s="586"/>
      <c r="AK2195" s="586"/>
    </row>
    <row r="2196" spans="1:37" s="394" customFormat="1" ht="20.25" outlineLevel="2" x14ac:dyDescent="0.3">
      <c r="A2196" s="447">
        <f t="shared" si="483"/>
        <v>183</v>
      </c>
      <c r="B2196" s="557"/>
      <c r="C2196" s="572"/>
      <c r="D2196" s="700"/>
      <c r="E2196" s="612"/>
      <c r="F2196" s="612"/>
      <c r="G2196" s="586"/>
      <c r="H2196" s="709"/>
      <c r="I2196" s="546"/>
      <c r="J2196" s="558"/>
      <c r="K2196" s="563" t="str">
        <f>IF(G2196&lt;&gt;0,VLOOKUP(G2196,'gia dat'!$A$1:$F$144,5,0)," ")</f>
        <v xml:space="preserve"> </v>
      </c>
      <c r="L2196" s="563" t="str">
        <f>IF(G2196&lt;&gt;0,VLOOKUP(G2196,'gia dat'!$A$1:$F$144,6,0)," ")</f>
        <v xml:space="preserve"> </v>
      </c>
      <c r="M2196" s="564" t="str">
        <f t="shared" si="480"/>
        <v xml:space="preserve"> </v>
      </c>
      <c r="N2196" s="564" t="str">
        <f t="shared" si="481"/>
        <v xml:space="preserve"> </v>
      </c>
      <c r="O2196" s="572"/>
      <c r="P2196" s="740"/>
      <c r="Q2196" s="564" t="str">
        <f>IF(O2196&lt;&gt;0,VLOOKUP(O2196,'Cây trong'!$A$2:$C$246,3,0)," ")</f>
        <v xml:space="preserve"> </v>
      </c>
      <c r="R2196" s="564" t="str">
        <f t="shared" si="473"/>
        <v xml:space="preserve"> </v>
      </c>
      <c r="S2196" s="572"/>
      <c r="T2196" s="609"/>
      <c r="U2196" s="741"/>
      <c r="V2196" s="586"/>
      <c r="W2196" s="564" t="str">
        <f>IF(S2196&lt;&gt;0,VLOOKUP(S2196,VKT!$A$2:$G$415,7,0),"")</f>
        <v/>
      </c>
      <c r="X2196" s="564" t="str">
        <f t="shared" si="484"/>
        <v xml:space="preserve"> </v>
      </c>
      <c r="Y2196" s="650"/>
      <c r="Z2196" s="586"/>
      <c r="AA2196" s="742"/>
      <c r="AB2196" s="586"/>
      <c r="AC2196" s="586"/>
      <c r="AD2196" s="586"/>
      <c r="AE2196" s="586"/>
      <c r="AF2196" s="714"/>
      <c r="AG2196" s="570" t="str">
        <f>IF(AE2196&lt;&gt;0,VLOOKUP(AE2196,ODDS!$A$2:$C$13,3,0),"")</f>
        <v/>
      </c>
      <c r="AH2196" s="570" t="str">
        <f t="shared" si="474"/>
        <v xml:space="preserve"> </v>
      </c>
      <c r="AI2196" s="571" t="str">
        <f t="shared" si="485"/>
        <v xml:space="preserve"> </v>
      </c>
      <c r="AJ2196" s="558"/>
      <c r="AK2196" s="558"/>
    </row>
    <row r="2197" spans="1:37" s="394" customFormat="1" ht="20.25" outlineLevel="2" x14ac:dyDescent="0.3">
      <c r="A2197" s="447">
        <f t="shared" si="483"/>
        <v>183</v>
      </c>
      <c r="B2197" s="557"/>
      <c r="C2197" s="572"/>
      <c r="D2197" s="700"/>
      <c r="E2197" s="612"/>
      <c r="F2197" s="612"/>
      <c r="G2197" s="586"/>
      <c r="H2197" s="709"/>
      <c r="I2197" s="546"/>
      <c r="J2197" s="558"/>
      <c r="K2197" s="563" t="str">
        <f>IF(G2197&lt;&gt;0,VLOOKUP(G2197,'gia dat'!$A$1:$F$144,5,0)," ")</f>
        <v xml:space="preserve"> </v>
      </c>
      <c r="L2197" s="563" t="str">
        <f>IF(G2197&lt;&gt;0,VLOOKUP(G2197,'gia dat'!$A$1:$F$144,6,0)," ")</f>
        <v xml:space="preserve"> </v>
      </c>
      <c r="M2197" s="564" t="str">
        <f t="shared" si="480"/>
        <v xml:space="preserve"> </v>
      </c>
      <c r="N2197" s="564" t="str">
        <f t="shared" si="481"/>
        <v xml:space="preserve"> </v>
      </c>
      <c r="O2197" s="572"/>
      <c r="P2197" s="740"/>
      <c r="Q2197" s="564" t="str">
        <f>IF(O2197&lt;&gt;0,VLOOKUP(O2197,'Cây trong'!$A$2:$C$246,3,0)," ")</f>
        <v xml:space="preserve"> </v>
      </c>
      <c r="R2197" s="564" t="str">
        <f t="shared" si="473"/>
        <v xml:space="preserve"> </v>
      </c>
      <c r="S2197" s="572"/>
      <c r="T2197" s="609"/>
      <c r="U2197" s="741"/>
      <c r="V2197" s="586"/>
      <c r="W2197" s="564" t="str">
        <f>IF(S2197&lt;&gt;0,VLOOKUP(S2197,VKT!$A$2:$G$415,7,0),"")</f>
        <v/>
      </c>
      <c r="X2197" s="564" t="str">
        <f t="shared" si="484"/>
        <v xml:space="preserve"> </v>
      </c>
      <c r="Y2197" s="650"/>
      <c r="Z2197" s="586"/>
      <c r="AA2197" s="742"/>
      <c r="AB2197" s="586"/>
      <c r="AC2197" s="586"/>
      <c r="AD2197" s="586"/>
      <c r="AE2197" s="586"/>
      <c r="AF2197" s="714"/>
      <c r="AG2197" s="570" t="str">
        <f>IF(AE2197&lt;&gt;0,VLOOKUP(AE2197,ODDS!$A$2:$C$13,3,0),"")</f>
        <v/>
      </c>
      <c r="AH2197" s="570" t="str">
        <f t="shared" si="474"/>
        <v xml:space="preserve"> </v>
      </c>
      <c r="AI2197" s="571" t="str">
        <f t="shared" si="485"/>
        <v xml:space="preserve"> </v>
      </c>
      <c r="AJ2197" s="586"/>
      <c r="AK2197" s="586"/>
    </row>
    <row r="2198" spans="1:37" s="394" customFormat="1" ht="20.25" outlineLevel="2" x14ac:dyDescent="0.3">
      <c r="A2198" s="447">
        <f t="shared" si="483"/>
        <v>183</v>
      </c>
      <c r="B2198" s="557"/>
      <c r="C2198" s="572"/>
      <c r="D2198" s="700"/>
      <c r="E2198" s="612"/>
      <c r="F2198" s="612"/>
      <c r="G2198" s="586"/>
      <c r="H2198" s="709"/>
      <c r="I2198" s="546"/>
      <c r="J2198" s="558"/>
      <c r="K2198" s="563" t="str">
        <f>IF(G2198&lt;&gt;0,VLOOKUP(G2198,'gia dat'!$A$1:$F$144,5,0)," ")</f>
        <v xml:space="preserve"> </v>
      </c>
      <c r="L2198" s="563" t="str">
        <f>IF(G2198&lt;&gt;0,VLOOKUP(G2198,'gia dat'!$A$1:$F$144,6,0)," ")</f>
        <v xml:space="preserve"> </v>
      </c>
      <c r="M2198" s="564" t="str">
        <f t="shared" si="480"/>
        <v xml:space="preserve"> </v>
      </c>
      <c r="N2198" s="564" t="str">
        <f t="shared" si="481"/>
        <v xml:space="preserve"> </v>
      </c>
      <c r="O2198" s="572"/>
      <c r="P2198" s="740"/>
      <c r="Q2198" s="564" t="str">
        <f>IF(O2198&lt;&gt;0,VLOOKUP(O2198,'Cây trong'!$A$2:$C$246,3,0)," ")</f>
        <v xml:space="preserve"> </v>
      </c>
      <c r="R2198" s="564" t="str">
        <f t="shared" si="473"/>
        <v xml:space="preserve"> </v>
      </c>
      <c r="S2198" s="572"/>
      <c r="T2198" s="609"/>
      <c r="U2198" s="741"/>
      <c r="V2198" s="586"/>
      <c r="W2198" s="564" t="str">
        <f>IF(S2198&lt;&gt;0,VLOOKUP(S2198,VKT!$A$2:$G$415,7,0),"")</f>
        <v/>
      </c>
      <c r="X2198" s="564" t="str">
        <f t="shared" si="484"/>
        <v xml:space="preserve"> </v>
      </c>
      <c r="Y2198" s="650"/>
      <c r="Z2198" s="586"/>
      <c r="AA2198" s="742"/>
      <c r="AB2198" s="586"/>
      <c r="AC2198" s="586"/>
      <c r="AD2198" s="586"/>
      <c r="AE2198" s="586"/>
      <c r="AF2198" s="714"/>
      <c r="AG2198" s="570" t="str">
        <f>IF(AE2198&lt;&gt;0,VLOOKUP(AE2198,ODDS!$A$2:$C$13,3,0),"")</f>
        <v/>
      </c>
      <c r="AH2198" s="570" t="str">
        <f t="shared" si="474"/>
        <v xml:space="preserve"> </v>
      </c>
      <c r="AI2198" s="571" t="str">
        <f t="shared" si="485"/>
        <v xml:space="preserve"> </v>
      </c>
      <c r="AJ2198" s="586"/>
      <c r="AK2198" s="586"/>
    </row>
    <row r="2199" spans="1:37" s="394" customFormat="1" ht="20.25" outlineLevel="2" x14ac:dyDescent="0.3">
      <c r="A2199" s="447">
        <f t="shared" si="483"/>
        <v>183</v>
      </c>
      <c r="B2199" s="557"/>
      <c r="C2199" s="607"/>
      <c r="D2199" s="700"/>
      <c r="E2199" s="612"/>
      <c r="F2199" s="612"/>
      <c r="G2199" s="586"/>
      <c r="H2199" s="709"/>
      <c r="I2199" s="546"/>
      <c r="J2199" s="558"/>
      <c r="K2199" s="563" t="str">
        <f>IF(G2199&lt;&gt;0,VLOOKUP(G2199,'gia dat'!$A$1:$F$144,5,0)," ")</f>
        <v xml:space="preserve"> </v>
      </c>
      <c r="L2199" s="563" t="str">
        <f>IF(G2199&lt;&gt;0,VLOOKUP(G2199,'gia dat'!$A$1:$F$144,6,0)," ")</f>
        <v xml:space="preserve"> </v>
      </c>
      <c r="M2199" s="564" t="str">
        <f t="shared" si="480"/>
        <v xml:space="preserve"> </v>
      </c>
      <c r="N2199" s="564" t="str">
        <f t="shared" si="481"/>
        <v xml:space="preserve"> </v>
      </c>
      <c r="O2199" s="572"/>
      <c r="P2199" s="740"/>
      <c r="Q2199" s="564" t="str">
        <f>IF(O2199&lt;&gt;0,VLOOKUP(O2199,'Cây trong'!$A$2:$C$246,3,0)," ")</f>
        <v xml:space="preserve"> </v>
      </c>
      <c r="R2199" s="564" t="str">
        <f t="shared" ref="R2199:R2268" si="486">IF(O2199&lt;&gt;0,ROUND(P2199*Q2199,-2)," ")</f>
        <v xml:space="preserve"> </v>
      </c>
      <c r="S2199" s="572"/>
      <c r="T2199" s="609"/>
      <c r="U2199" s="741"/>
      <c r="V2199" s="586"/>
      <c r="W2199" s="564" t="str">
        <f>IF(S2199&lt;&gt;0,VLOOKUP(S2199,VKT!$A$2:$G$415,7,0),"")</f>
        <v/>
      </c>
      <c r="X2199" s="564" t="str">
        <f t="shared" si="484"/>
        <v xml:space="preserve"> </v>
      </c>
      <c r="Y2199" s="650"/>
      <c r="Z2199" s="586"/>
      <c r="AA2199" s="742"/>
      <c r="AB2199" s="586"/>
      <c r="AC2199" s="586"/>
      <c r="AD2199" s="586"/>
      <c r="AE2199" s="586"/>
      <c r="AF2199" s="714"/>
      <c r="AG2199" s="570" t="str">
        <f>IF(AE2199&lt;&gt;0,VLOOKUP(AE2199,ODDS!$A$2:$C$13,3,0),"")</f>
        <v/>
      </c>
      <c r="AH2199" s="570" t="str">
        <f t="shared" ref="AH2199:AH2268" si="487">IF(AE2199&lt;&gt;0,ROUND(AF2199*AG2199,-2)," ")</f>
        <v xml:space="preserve"> </v>
      </c>
      <c r="AI2199" s="571" t="str">
        <f t="shared" si="485"/>
        <v xml:space="preserve"> </v>
      </c>
      <c r="AJ2199" s="586"/>
      <c r="AK2199" s="586"/>
    </row>
    <row r="2200" spans="1:37" s="396" customFormat="1" ht="20.25" outlineLevel="1" x14ac:dyDescent="0.25">
      <c r="A2200" s="467" t="s">
        <v>2526</v>
      </c>
      <c r="B2200" s="576">
        <v>184</v>
      </c>
      <c r="C2200" s="607" t="s">
        <v>1469</v>
      </c>
      <c r="D2200" s="706"/>
      <c r="E2200" s="642"/>
      <c r="F2200" s="642"/>
      <c r="G2200" s="578"/>
      <c r="H2200" s="707">
        <f>SUBTOTAL(9,H2201:H2213)</f>
        <v>85.8</v>
      </c>
      <c r="I2200" s="579">
        <f>SUBTOTAL(9,I2201:I2206)</f>
        <v>29.199999999999996</v>
      </c>
      <c r="J2200" s="580"/>
      <c r="K2200" s="581"/>
      <c r="L2200" s="581"/>
      <c r="M2200" s="571">
        <f>SUBTOTAL(9,M2201:M2213)</f>
        <v>47567000</v>
      </c>
      <c r="N2200" s="571">
        <f>SUBTOTAL(9,N2201:N2213)</f>
        <v>48565000</v>
      </c>
      <c r="O2200" s="607"/>
      <c r="P2200" s="738">
        <f>SUBTOTAL(9,P2201:P2213)</f>
        <v>36</v>
      </c>
      <c r="Q2200" s="571"/>
      <c r="R2200" s="571">
        <f>SUBTOTAL(9,R2201:R2213)</f>
        <v>9741000</v>
      </c>
      <c r="S2200" s="582"/>
      <c r="T2200" s="621"/>
      <c r="U2200" s="739">
        <f>SUBTOTAL(9,U2201:U2213)</f>
        <v>79.8</v>
      </c>
      <c r="V2200" s="578"/>
      <c r="W2200" s="571"/>
      <c r="X2200" s="571">
        <f>SUBTOTAL(9,X2201:X2213)</f>
        <v>128301000</v>
      </c>
      <c r="Y2200" s="586"/>
      <c r="Z2200" s="694"/>
      <c r="AA2200" s="694"/>
      <c r="AB2200" s="694"/>
      <c r="AC2200" s="694"/>
      <c r="AD2200" s="586"/>
      <c r="AE2200" s="578"/>
      <c r="AF2200" s="712">
        <f>SUBTOTAL(9,AF2201:AF2213)</f>
        <v>0</v>
      </c>
      <c r="AG2200" s="585"/>
      <c r="AH2200" s="585">
        <f>SUBTOTAL(9,AH2201:AH2213)</f>
        <v>0</v>
      </c>
      <c r="AI2200" s="571">
        <f t="shared" si="485"/>
        <v>234174000</v>
      </c>
      <c r="AJ2200" s="578"/>
      <c r="AK2200" s="578"/>
    </row>
    <row r="2201" spans="1:37" s="396" customFormat="1" ht="121.5" outlineLevel="2" x14ac:dyDescent="0.3">
      <c r="A2201" s="447">
        <f>IF(B2200&lt;&gt;0,B2200,A2199)</f>
        <v>184</v>
      </c>
      <c r="B2201" s="557"/>
      <c r="C2201" s="572" t="s">
        <v>1471</v>
      </c>
      <c r="D2201" s="700">
        <v>2</v>
      </c>
      <c r="E2201" s="612">
        <v>86</v>
      </c>
      <c r="F2201" s="612">
        <v>716</v>
      </c>
      <c r="G2201" s="586" t="s">
        <v>2497</v>
      </c>
      <c r="H2201" s="709">
        <f>85.8-H2202</f>
        <v>29.199999999999996</v>
      </c>
      <c r="I2201" s="546">
        <f t="shared" ref="I2201:I2202" si="488">IF(N2201&gt;0,H2201,"")</f>
        <v>29.199999999999996</v>
      </c>
      <c r="J2201" s="562"/>
      <c r="K2201" s="563">
        <f>IF(G2201&lt;&gt;0,VLOOKUP(G2201,'gia dat'!$A$1:$F$144,5,0)," ")</f>
        <v>554400</v>
      </c>
      <c r="L2201" s="563">
        <f>IF(G2201&lt;&gt;0,VLOOKUP(G2201,'gia dat'!$A$1:$F$144,6,0)," ")</f>
        <v>1663200</v>
      </c>
      <c r="M2201" s="564">
        <f t="shared" si="480"/>
        <v>16188000</v>
      </c>
      <c r="N2201" s="564">
        <f t="shared" si="481"/>
        <v>48565000</v>
      </c>
      <c r="O2201" s="572" t="s">
        <v>61</v>
      </c>
      <c r="P2201" s="740">
        <v>3</v>
      </c>
      <c r="Q2201" s="564">
        <f>IF(O2201&lt;&gt;0,VLOOKUP(O2201,'Cây trong'!$A$2:$C$246,3,0)," ")</f>
        <v>1708000</v>
      </c>
      <c r="R2201" s="564">
        <f t="shared" si="486"/>
        <v>5124000</v>
      </c>
      <c r="S2201" s="566" t="s">
        <v>1763</v>
      </c>
      <c r="T2201" s="609" t="s">
        <v>1133</v>
      </c>
      <c r="U2201" s="741">
        <v>26.5</v>
      </c>
      <c r="V2201" s="586"/>
      <c r="W2201" s="564">
        <f>IF(S2201&lt;&gt;0,VLOOKUP(S2201,VKT!$A$2:$G$415,7,0),"")</f>
        <v>3550600</v>
      </c>
      <c r="X2201" s="564">
        <f t="shared" si="484"/>
        <v>94091000</v>
      </c>
      <c r="Y2201" s="586" t="s">
        <v>1138</v>
      </c>
      <c r="Z2201" s="694" t="s">
        <v>1139</v>
      </c>
      <c r="AA2201" s="694" t="s">
        <v>56</v>
      </c>
      <c r="AB2201" s="694" t="s">
        <v>269</v>
      </c>
      <c r="AC2201" s="694" t="s">
        <v>1138</v>
      </c>
      <c r="AD2201" s="586"/>
      <c r="AE2201" s="586"/>
      <c r="AF2201" s="714"/>
      <c r="AG2201" s="570" t="str">
        <f>IF(AE2201&lt;&gt;0,VLOOKUP(AE2201,ODDS!$A$2:$C$13,3,0),"")</f>
        <v/>
      </c>
      <c r="AH2201" s="570"/>
      <c r="AI2201" s="571" t="str">
        <f t="shared" si="485"/>
        <v xml:space="preserve"> </v>
      </c>
      <c r="AJ2201" s="586" t="s">
        <v>1470</v>
      </c>
      <c r="AK2201" s="586" t="s">
        <v>2771</v>
      </c>
    </row>
    <row r="2202" spans="1:37" s="394" customFormat="1" ht="101.25" outlineLevel="2" x14ac:dyDescent="0.3">
      <c r="A2202" s="447">
        <f t="shared" ref="A2202:A2213" si="489">IF(B2201&lt;&gt;0,B2201,A2201)</f>
        <v>184</v>
      </c>
      <c r="B2202" s="557"/>
      <c r="C2202" s="572" t="s">
        <v>1636</v>
      </c>
      <c r="D2202" s="700"/>
      <c r="E2202" s="612"/>
      <c r="F2202" s="612"/>
      <c r="G2202" s="586" t="s">
        <v>2496</v>
      </c>
      <c r="H2202" s="709">
        <v>56.6</v>
      </c>
      <c r="I2202" s="546" t="str">
        <f t="shared" si="488"/>
        <v/>
      </c>
      <c r="J2202" s="562"/>
      <c r="K2202" s="563">
        <f>IF(G2202&lt;&gt;0,VLOOKUP(G2202,'gia dat'!$A$1:$F$144,5,0)," ")</f>
        <v>554400</v>
      </c>
      <c r="L2202" s="563">
        <f>IF(G2202&lt;&gt;0,VLOOKUP(G2202,'gia dat'!$A$1:$F$144,6,0)," ")</f>
        <v>0</v>
      </c>
      <c r="M2202" s="564">
        <f t="shared" si="480"/>
        <v>31379000</v>
      </c>
      <c r="N2202" s="564">
        <f t="shared" si="481"/>
        <v>0</v>
      </c>
      <c r="O2202" s="572" t="s">
        <v>69</v>
      </c>
      <c r="P2202" s="740">
        <v>1</v>
      </c>
      <c r="Q2202" s="564">
        <f>IF(O2202&lt;&gt;0,VLOOKUP(O2202,'Cây trong'!$A$2:$C$246,3,0)," ")</f>
        <v>211000</v>
      </c>
      <c r="R2202" s="564">
        <f t="shared" si="486"/>
        <v>211000</v>
      </c>
      <c r="S2202" s="566" t="s">
        <v>2007</v>
      </c>
      <c r="T2202" s="609" t="s">
        <v>1133</v>
      </c>
      <c r="U2202" s="741">
        <v>8.19</v>
      </c>
      <c r="V2202" s="586"/>
      <c r="W2202" s="564">
        <f>IF(S2202&lt;&gt;0,VLOOKUP(S2202,VKT!$A$2:$G$415,7,0),"")</f>
        <v>1641213</v>
      </c>
      <c r="X2202" s="564">
        <f t="shared" si="484"/>
        <v>13442000</v>
      </c>
      <c r="Y2202" s="694"/>
      <c r="Z2202" s="694" t="s">
        <v>1263</v>
      </c>
      <c r="AA2202" s="694" t="s">
        <v>1262</v>
      </c>
      <c r="AB2202" s="694" t="s">
        <v>269</v>
      </c>
      <c r="AC2202" s="694" t="s">
        <v>1264</v>
      </c>
      <c r="AD2202" s="586"/>
      <c r="AE2202" s="586"/>
      <c r="AF2202" s="714"/>
      <c r="AG2202" s="570" t="str">
        <f>IF(AE2202&lt;&gt;0,VLOOKUP(AE2202,ODDS!$A$2:$C$13,3,0),"")</f>
        <v/>
      </c>
      <c r="AH2202" s="570" t="str">
        <f t="shared" si="487"/>
        <v xml:space="preserve"> </v>
      </c>
      <c r="AI2202" s="571" t="str">
        <f t="shared" si="485"/>
        <v xml:space="preserve"> </v>
      </c>
      <c r="AJ2202" s="586" t="s">
        <v>1472</v>
      </c>
      <c r="AK2202" s="558" t="s">
        <v>2448</v>
      </c>
    </row>
    <row r="2203" spans="1:37" s="394" customFormat="1" ht="121.5" outlineLevel="2" x14ac:dyDescent="0.3">
      <c r="A2203" s="447">
        <f t="shared" si="489"/>
        <v>184</v>
      </c>
      <c r="B2203" s="557"/>
      <c r="C2203" s="572"/>
      <c r="D2203" s="700"/>
      <c r="E2203" s="612"/>
      <c r="F2203" s="612"/>
      <c r="G2203" s="586"/>
      <c r="H2203" s="709"/>
      <c r="I2203" s="546"/>
      <c r="J2203" s="562"/>
      <c r="K2203" s="563" t="str">
        <f>IF(G2203&lt;&gt;0,VLOOKUP(G2203,'gia dat'!$A$1:$F$144,5,0)," ")</f>
        <v xml:space="preserve"> </v>
      </c>
      <c r="L2203" s="563" t="str">
        <f>IF(G2203&lt;&gt;0,VLOOKUP(G2203,'gia dat'!$A$1:$F$144,6,0)," ")</f>
        <v xml:space="preserve"> </v>
      </c>
      <c r="M2203" s="564" t="str">
        <f t="shared" si="480"/>
        <v xml:space="preserve"> </v>
      </c>
      <c r="N2203" s="564" t="str">
        <f t="shared" si="481"/>
        <v xml:space="preserve"> </v>
      </c>
      <c r="O2203" s="572" t="s">
        <v>77</v>
      </c>
      <c r="P2203" s="740">
        <v>1</v>
      </c>
      <c r="Q2203" s="564">
        <f>IF(O2203&lt;&gt;0,VLOOKUP(O2203,'Cây trong'!$A$2:$C$246,3,0)," ")</f>
        <v>3064000</v>
      </c>
      <c r="R2203" s="564">
        <f t="shared" si="486"/>
        <v>3064000</v>
      </c>
      <c r="S2203" s="566" t="s">
        <v>2008</v>
      </c>
      <c r="T2203" s="609" t="s">
        <v>1133</v>
      </c>
      <c r="U2203" s="741">
        <v>29.51</v>
      </c>
      <c r="V2203" s="586"/>
      <c r="W2203" s="564">
        <f>IF(S2203&lt;&gt;0,VLOOKUP(S2203,VKT!$A$2:$G$415,7,0),"")</f>
        <v>703764</v>
      </c>
      <c r="X2203" s="564">
        <f t="shared" si="484"/>
        <v>20768000</v>
      </c>
      <c r="Y2203" s="650"/>
      <c r="Z2203" s="586"/>
      <c r="AA2203" s="742"/>
      <c r="AB2203" s="586"/>
      <c r="AC2203" s="586"/>
      <c r="AD2203" s="586"/>
      <c r="AE2203" s="586"/>
      <c r="AF2203" s="714"/>
      <c r="AG2203" s="570" t="str">
        <f>IF(AE2203&lt;&gt;0,VLOOKUP(AE2203,ODDS!$A$2:$C$13,3,0),"")</f>
        <v/>
      </c>
      <c r="AH2203" s="570" t="str">
        <f t="shared" si="487"/>
        <v xml:space="preserve"> </v>
      </c>
      <c r="AI2203" s="571" t="str">
        <f t="shared" si="485"/>
        <v xml:space="preserve"> </v>
      </c>
      <c r="AJ2203" s="586" t="s">
        <v>1465</v>
      </c>
      <c r="AK2203" s="558" t="s">
        <v>2450</v>
      </c>
    </row>
    <row r="2204" spans="1:37" s="394" customFormat="1" ht="101.25" outlineLevel="2" x14ac:dyDescent="0.3">
      <c r="A2204" s="447">
        <f t="shared" si="489"/>
        <v>184</v>
      </c>
      <c r="B2204" s="557"/>
      <c r="C2204" s="572"/>
      <c r="D2204" s="700"/>
      <c r="E2204" s="612"/>
      <c r="F2204" s="612"/>
      <c r="G2204" s="586"/>
      <c r="H2204" s="709"/>
      <c r="I2204" s="546"/>
      <c r="J2204" s="562"/>
      <c r="K2204" s="563" t="str">
        <f>IF(G2204&lt;&gt;0,VLOOKUP(G2204,'gia dat'!$A$1:$F$144,5,0)," ")</f>
        <v xml:space="preserve"> </v>
      </c>
      <c r="L2204" s="563" t="str">
        <f>IF(G2204&lt;&gt;0,VLOOKUP(G2204,'gia dat'!$A$1:$F$144,6,0)," ")</f>
        <v xml:space="preserve"> </v>
      </c>
      <c r="M2204" s="564" t="str">
        <f t="shared" si="480"/>
        <v xml:space="preserve"> </v>
      </c>
      <c r="N2204" s="564" t="str">
        <f t="shared" si="481"/>
        <v xml:space="preserve"> </v>
      </c>
      <c r="O2204" s="572" t="s">
        <v>72</v>
      </c>
      <c r="P2204" s="740">
        <v>4</v>
      </c>
      <c r="Q2204" s="564">
        <f>IF(O2204&lt;&gt;0,VLOOKUP(O2204,'Cây trong'!$A$2:$C$246,3,0)," ")</f>
        <v>132000</v>
      </c>
      <c r="R2204" s="564">
        <f t="shared" si="486"/>
        <v>528000</v>
      </c>
      <c r="S2204" s="566" t="s">
        <v>1921</v>
      </c>
      <c r="T2204" s="609" t="s">
        <v>1133</v>
      </c>
      <c r="U2204" s="741">
        <v>15.6</v>
      </c>
      <c r="V2204" s="586"/>
      <c r="W2204" s="564">
        <f>IF(S2204&lt;&gt;0,VLOOKUP(S2204,VKT!$A$2:$G$415,7,0),"")</f>
        <v>0</v>
      </c>
      <c r="X2204" s="564">
        <f t="shared" si="484"/>
        <v>0</v>
      </c>
      <c r="Y2204" s="650"/>
      <c r="Z2204" s="586"/>
      <c r="AA2204" s="742"/>
      <c r="AB2204" s="586"/>
      <c r="AC2204" s="586"/>
      <c r="AD2204" s="586"/>
      <c r="AE2204" s="586"/>
      <c r="AF2204" s="714"/>
      <c r="AG2204" s="570" t="str">
        <f>IF(AE2204&lt;&gt;0,VLOOKUP(AE2204,ODDS!$A$2:$C$13,3,0),"")</f>
        <v/>
      </c>
      <c r="AH2204" s="570" t="str">
        <f t="shared" si="487"/>
        <v xml:space="preserve"> </v>
      </c>
      <c r="AI2204" s="571" t="str">
        <f t="shared" si="485"/>
        <v xml:space="preserve"> </v>
      </c>
      <c r="AJ2204" s="586" t="s">
        <v>2074</v>
      </c>
      <c r="AK2204" s="558" t="s">
        <v>2449</v>
      </c>
    </row>
    <row r="2205" spans="1:37" s="394" customFormat="1" ht="101.25" outlineLevel="2" x14ac:dyDescent="0.3">
      <c r="A2205" s="447">
        <f t="shared" si="489"/>
        <v>184</v>
      </c>
      <c r="B2205" s="557"/>
      <c r="C2205" s="572"/>
      <c r="D2205" s="700"/>
      <c r="E2205" s="612"/>
      <c r="F2205" s="612"/>
      <c r="G2205" s="586"/>
      <c r="H2205" s="709"/>
      <c r="I2205" s="546"/>
      <c r="J2205" s="562"/>
      <c r="K2205" s="563" t="str">
        <f>IF(G2205&lt;&gt;0,VLOOKUP(G2205,'gia dat'!$A$1:$F$144,5,0)," ")</f>
        <v xml:space="preserve"> </v>
      </c>
      <c r="L2205" s="563" t="str">
        <f>IF(G2205&lt;&gt;0,VLOOKUP(G2205,'gia dat'!$A$1:$F$144,6,0)," ")</f>
        <v xml:space="preserve"> </v>
      </c>
      <c r="M2205" s="564" t="str">
        <f t="shared" si="480"/>
        <v xml:space="preserve"> </v>
      </c>
      <c r="N2205" s="564" t="str">
        <f t="shared" si="481"/>
        <v xml:space="preserve"> </v>
      </c>
      <c r="O2205" s="572" t="s">
        <v>73</v>
      </c>
      <c r="P2205" s="740">
        <v>6</v>
      </c>
      <c r="Q2205" s="564">
        <f>IF(O2205&lt;&gt;0,VLOOKUP(O2205,'Cây trong'!$A$2:$C$246,3,0)," ")</f>
        <v>76000</v>
      </c>
      <c r="R2205" s="564">
        <f t="shared" si="486"/>
        <v>456000</v>
      </c>
      <c r="S2205" s="566"/>
      <c r="T2205" s="609"/>
      <c r="U2205" s="741"/>
      <c r="V2205" s="586"/>
      <c r="W2205" s="564" t="str">
        <f>IF(S2205&lt;&gt;0,VLOOKUP(S2205,VKT!$A$2:$G$415,7,0),"")</f>
        <v/>
      </c>
      <c r="X2205" s="564" t="str">
        <f t="shared" si="484"/>
        <v xml:space="preserve"> </v>
      </c>
      <c r="Y2205" s="650"/>
      <c r="Z2205" s="586"/>
      <c r="AA2205" s="742"/>
      <c r="AB2205" s="586"/>
      <c r="AC2205" s="586"/>
      <c r="AD2205" s="586"/>
      <c r="AE2205" s="586"/>
      <c r="AF2205" s="714"/>
      <c r="AG2205" s="570" t="str">
        <f>IF(AE2205&lt;&gt;0,VLOOKUP(AE2205,ODDS!$A$2:$C$13,3,0),"")</f>
        <v/>
      </c>
      <c r="AH2205" s="570" t="str">
        <f t="shared" si="487"/>
        <v xml:space="preserve"> </v>
      </c>
      <c r="AI2205" s="571" t="str">
        <f t="shared" si="485"/>
        <v xml:space="preserve"> </v>
      </c>
      <c r="AJ2205" s="731"/>
      <c r="AK2205" s="586" t="s">
        <v>2800</v>
      </c>
    </row>
    <row r="2206" spans="1:37" s="394" customFormat="1" ht="20.25" outlineLevel="2" x14ac:dyDescent="0.3">
      <c r="A2206" s="447">
        <f t="shared" si="489"/>
        <v>184</v>
      </c>
      <c r="B2206" s="557"/>
      <c r="C2206" s="572"/>
      <c r="D2206" s="700"/>
      <c r="E2206" s="612"/>
      <c r="F2206" s="612"/>
      <c r="G2206" s="586"/>
      <c r="H2206" s="709"/>
      <c r="I2206" s="546"/>
      <c r="J2206" s="562"/>
      <c r="K2206" s="563" t="str">
        <f>IF(G2206&lt;&gt;0,VLOOKUP(G2206,'gia dat'!$A$1:$F$144,5,0)," ")</f>
        <v xml:space="preserve"> </v>
      </c>
      <c r="L2206" s="563" t="str">
        <f>IF(G2206&lt;&gt;0,VLOOKUP(G2206,'gia dat'!$A$1:$F$144,6,0)," ")</f>
        <v xml:space="preserve"> </v>
      </c>
      <c r="M2206" s="564" t="str">
        <f t="shared" si="480"/>
        <v xml:space="preserve"> </v>
      </c>
      <c r="N2206" s="564" t="str">
        <f t="shared" si="481"/>
        <v xml:space="preserve"> </v>
      </c>
      <c r="O2206" s="572" t="s">
        <v>75</v>
      </c>
      <c r="P2206" s="740">
        <v>7</v>
      </c>
      <c r="Q2206" s="564">
        <f>IF(O2206&lt;&gt;0,VLOOKUP(O2206,'Cây trong'!$A$2:$C$246,3,0)," ")</f>
        <v>34000</v>
      </c>
      <c r="R2206" s="564">
        <f t="shared" si="486"/>
        <v>238000</v>
      </c>
      <c r="S2206" s="566"/>
      <c r="T2206" s="609"/>
      <c r="U2206" s="741"/>
      <c r="V2206" s="586"/>
      <c r="W2206" s="564" t="str">
        <f>IF(S2206&lt;&gt;0,VLOOKUP(S2206,VKT!$A$2:$G$415,7,0),"")</f>
        <v/>
      </c>
      <c r="X2206" s="564" t="str">
        <f t="shared" si="484"/>
        <v xml:space="preserve"> </v>
      </c>
      <c r="Y2206" s="650"/>
      <c r="Z2206" s="586"/>
      <c r="AA2206" s="742"/>
      <c r="AB2206" s="586"/>
      <c r="AC2206" s="586"/>
      <c r="AD2206" s="586"/>
      <c r="AE2206" s="586"/>
      <c r="AF2206" s="714"/>
      <c r="AG2206" s="570" t="str">
        <f>IF(AE2206&lt;&gt;0,VLOOKUP(AE2206,ODDS!$A$2:$C$13,3,0),"")</f>
        <v/>
      </c>
      <c r="AH2206" s="570" t="str">
        <f t="shared" si="487"/>
        <v xml:space="preserve"> </v>
      </c>
      <c r="AI2206" s="571" t="str">
        <f t="shared" si="485"/>
        <v xml:space="preserve"> </v>
      </c>
      <c r="AJ2206" s="586"/>
      <c r="AK2206" s="586"/>
    </row>
    <row r="2207" spans="1:37" s="394" customFormat="1" ht="20.25" outlineLevel="2" x14ac:dyDescent="0.3">
      <c r="A2207" s="447">
        <f t="shared" si="489"/>
        <v>184</v>
      </c>
      <c r="B2207" s="557"/>
      <c r="C2207" s="572"/>
      <c r="D2207" s="700"/>
      <c r="E2207" s="612"/>
      <c r="F2207" s="612"/>
      <c r="G2207" s="586"/>
      <c r="H2207" s="709"/>
      <c r="I2207" s="546"/>
      <c r="J2207" s="562"/>
      <c r="K2207" s="563" t="str">
        <f>IF(G2207&lt;&gt;0,VLOOKUP(G2207,'gia dat'!$A$1:$F$144,5,0)," ")</f>
        <v xml:space="preserve"> </v>
      </c>
      <c r="L2207" s="563" t="str">
        <f>IF(G2207&lt;&gt;0,VLOOKUP(G2207,'gia dat'!$A$1:$F$144,6,0)," ")</f>
        <v xml:space="preserve"> </v>
      </c>
      <c r="M2207" s="564" t="str">
        <f t="shared" si="480"/>
        <v xml:space="preserve"> </v>
      </c>
      <c r="N2207" s="564" t="str">
        <f t="shared" si="481"/>
        <v xml:space="preserve"> </v>
      </c>
      <c r="O2207" s="572" t="s">
        <v>754</v>
      </c>
      <c r="P2207" s="740">
        <v>4</v>
      </c>
      <c r="Q2207" s="564">
        <f>IF(O2207&lt;&gt;0,VLOOKUP(O2207,'Cây trong'!$A$2:$C$246,3,0)," ")</f>
        <v>0</v>
      </c>
      <c r="R2207" s="564">
        <f t="shared" si="486"/>
        <v>0</v>
      </c>
      <c r="S2207" s="566"/>
      <c r="T2207" s="609"/>
      <c r="U2207" s="741"/>
      <c r="V2207" s="586"/>
      <c r="W2207" s="564" t="str">
        <f>IF(S2207&lt;&gt;0,VLOOKUP(S2207,VKT!$A$2:$G$415,7,0),"")</f>
        <v/>
      </c>
      <c r="X2207" s="564" t="str">
        <f t="shared" si="484"/>
        <v xml:space="preserve"> </v>
      </c>
      <c r="Y2207" s="650"/>
      <c r="Z2207" s="586"/>
      <c r="AA2207" s="742"/>
      <c r="AB2207" s="586"/>
      <c r="AC2207" s="586"/>
      <c r="AD2207" s="586"/>
      <c r="AE2207" s="586"/>
      <c r="AF2207" s="714"/>
      <c r="AG2207" s="570" t="str">
        <f>IF(AE2207&lt;&gt;0,VLOOKUP(AE2207,ODDS!$A$2:$C$13,3,0),"")</f>
        <v/>
      </c>
      <c r="AH2207" s="570" t="str">
        <f t="shared" si="487"/>
        <v xml:space="preserve"> </v>
      </c>
      <c r="AI2207" s="571" t="str">
        <f t="shared" si="485"/>
        <v xml:space="preserve"> </v>
      </c>
      <c r="AJ2207" s="586"/>
      <c r="AK2207" s="586"/>
    </row>
    <row r="2208" spans="1:37" s="394" customFormat="1" ht="60.75" outlineLevel="2" x14ac:dyDescent="0.3">
      <c r="A2208" s="447">
        <f t="shared" si="489"/>
        <v>184</v>
      </c>
      <c r="B2208" s="557"/>
      <c r="C2208" s="572"/>
      <c r="D2208" s="700"/>
      <c r="E2208" s="612"/>
      <c r="F2208" s="612"/>
      <c r="G2208" s="586"/>
      <c r="H2208" s="709"/>
      <c r="I2208" s="546"/>
      <c r="J2208" s="562"/>
      <c r="K2208" s="563" t="str">
        <f>IF(G2208&lt;&gt;0,VLOOKUP(G2208,'gia dat'!$A$1:$F$144,5,0)," ")</f>
        <v xml:space="preserve"> </v>
      </c>
      <c r="L2208" s="563" t="str">
        <f>IF(G2208&lt;&gt;0,VLOOKUP(G2208,'gia dat'!$A$1:$F$144,6,0)," ")</f>
        <v xml:space="preserve"> </v>
      </c>
      <c r="M2208" s="564" t="str">
        <f t="shared" si="480"/>
        <v xml:space="preserve"> </v>
      </c>
      <c r="N2208" s="564" t="str">
        <f t="shared" si="481"/>
        <v xml:space="preserve"> </v>
      </c>
      <c r="O2208" s="565" t="s">
        <v>429</v>
      </c>
      <c r="P2208" s="740">
        <v>10</v>
      </c>
      <c r="Q2208" s="564">
        <f>IF(O2208&lt;&gt;0,VLOOKUP(O2208,'Cây trong'!$A$2:$C$246,3,0)," ")</f>
        <v>12000</v>
      </c>
      <c r="R2208" s="564">
        <f t="shared" si="486"/>
        <v>120000</v>
      </c>
      <c r="S2208" s="566"/>
      <c r="T2208" s="609"/>
      <c r="U2208" s="741"/>
      <c r="V2208" s="586"/>
      <c r="W2208" s="564" t="str">
        <f>IF(S2208&lt;&gt;0,VLOOKUP(S2208,VKT!$A$2:$G$415,7,0),"")</f>
        <v/>
      </c>
      <c r="X2208" s="564" t="str">
        <f t="shared" si="484"/>
        <v xml:space="preserve"> </v>
      </c>
      <c r="Y2208" s="650"/>
      <c r="Z2208" s="586"/>
      <c r="AA2208" s="742"/>
      <c r="AB2208" s="586"/>
      <c r="AC2208" s="586"/>
      <c r="AD2208" s="586"/>
      <c r="AE2208" s="586"/>
      <c r="AF2208" s="714"/>
      <c r="AG2208" s="570" t="str">
        <f>IF(AE2208&lt;&gt;0,VLOOKUP(AE2208,ODDS!$A$2:$C$13,3,0),"")</f>
        <v/>
      </c>
      <c r="AH2208" s="570" t="str">
        <f t="shared" si="487"/>
        <v xml:space="preserve"> </v>
      </c>
      <c r="AI2208" s="571" t="str">
        <f t="shared" si="485"/>
        <v xml:space="preserve"> </v>
      </c>
      <c r="AJ2208" s="586"/>
      <c r="AK2208" s="586"/>
    </row>
    <row r="2209" spans="1:39" s="394" customFormat="1" ht="20.25" outlineLevel="2" x14ac:dyDescent="0.3">
      <c r="A2209" s="447">
        <f t="shared" si="489"/>
        <v>184</v>
      </c>
      <c r="B2209" s="557"/>
      <c r="C2209" s="572"/>
      <c r="D2209" s="700"/>
      <c r="E2209" s="612"/>
      <c r="F2209" s="612"/>
      <c r="G2209" s="586"/>
      <c r="H2209" s="709"/>
      <c r="I2209" s="546"/>
      <c r="J2209" s="562"/>
      <c r="K2209" s="563" t="str">
        <f>IF(G2209&lt;&gt;0,VLOOKUP(G2209,'gia dat'!$A$1:$F$144,5,0)," ")</f>
        <v xml:space="preserve"> </v>
      </c>
      <c r="L2209" s="563" t="str">
        <f>IF(G2209&lt;&gt;0,VLOOKUP(G2209,'gia dat'!$A$1:$F$144,6,0)," ")</f>
        <v xml:space="preserve"> </v>
      </c>
      <c r="M2209" s="564" t="str">
        <f t="shared" si="480"/>
        <v xml:space="preserve"> </v>
      </c>
      <c r="N2209" s="564" t="str">
        <f t="shared" si="481"/>
        <v xml:space="preserve"> </v>
      </c>
      <c r="O2209" s="572"/>
      <c r="P2209" s="740"/>
      <c r="Q2209" s="564" t="str">
        <f>IF(O2209&lt;&gt;0,VLOOKUP(O2209,'Cây trong'!$A$2:$C$246,3,0)," ")</f>
        <v xml:space="preserve"> </v>
      </c>
      <c r="R2209" s="564" t="str">
        <f t="shared" si="486"/>
        <v xml:space="preserve"> </v>
      </c>
      <c r="S2209" s="566"/>
      <c r="T2209" s="609"/>
      <c r="U2209" s="741"/>
      <c r="V2209" s="586"/>
      <c r="W2209" s="564" t="str">
        <f>IF(S2209&lt;&gt;0,VLOOKUP(S2209,VKT!$A$2:$G$415,7,0),"")</f>
        <v/>
      </c>
      <c r="X2209" s="564" t="str">
        <f t="shared" si="484"/>
        <v xml:space="preserve"> </v>
      </c>
      <c r="Y2209" s="650"/>
      <c r="Z2209" s="586"/>
      <c r="AA2209" s="742"/>
      <c r="AB2209" s="586"/>
      <c r="AC2209" s="586"/>
      <c r="AD2209" s="586"/>
      <c r="AE2209" s="586"/>
      <c r="AF2209" s="714"/>
      <c r="AG2209" s="570" t="str">
        <f>IF(AE2209&lt;&gt;0,VLOOKUP(AE2209,ODDS!$A$2:$C$13,3,0),"")</f>
        <v/>
      </c>
      <c r="AH2209" s="570" t="str">
        <f t="shared" si="487"/>
        <v xml:space="preserve"> </v>
      </c>
      <c r="AI2209" s="571" t="str">
        <f t="shared" si="485"/>
        <v xml:space="preserve"> </v>
      </c>
      <c r="AJ2209" s="586"/>
      <c r="AK2209" s="586"/>
    </row>
    <row r="2210" spans="1:39" s="394" customFormat="1" ht="20.25" outlineLevel="2" x14ac:dyDescent="0.3">
      <c r="A2210" s="447">
        <f t="shared" si="489"/>
        <v>184</v>
      </c>
      <c r="B2210" s="557"/>
      <c r="C2210" s="572"/>
      <c r="D2210" s="700"/>
      <c r="E2210" s="612"/>
      <c r="F2210" s="612"/>
      <c r="G2210" s="586"/>
      <c r="H2210" s="709"/>
      <c r="I2210" s="546"/>
      <c r="J2210" s="562"/>
      <c r="K2210" s="563" t="str">
        <f>IF(G2210&lt;&gt;0,VLOOKUP(G2210,'gia dat'!$A$1:$F$144,5,0)," ")</f>
        <v xml:space="preserve"> </v>
      </c>
      <c r="L2210" s="563" t="str">
        <f>IF(G2210&lt;&gt;0,VLOOKUP(G2210,'gia dat'!$A$1:$F$144,6,0)," ")</f>
        <v xml:space="preserve"> </v>
      </c>
      <c r="M2210" s="564" t="str">
        <f t="shared" si="480"/>
        <v xml:space="preserve"> </v>
      </c>
      <c r="N2210" s="564" t="str">
        <f t="shared" si="481"/>
        <v xml:space="preserve"> </v>
      </c>
      <c r="O2210" s="572"/>
      <c r="P2210" s="740"/>
      <c r="Q2210" s="564" t="str">
        <f>IF(O2210&lt;&gt;0,VLOOKUP(O2210,'Cây trong'!$A$2:$C$246,3,0)," ")</f>
        <v xml:space="preserve"> </v>
      </c>
      <c r="R2210" s="564" t="str">
        <f t="shared" si="486"/>
        <v xml:space="preserve"> </v>
      </c>
      <c r="S2210" s="566"/>
      <c r="T2210" s="609"/>
      <c r="U2210" s="741"/>
      <c r="V2210" s="586"/>
      <c r="W2210" s="564" t="str">
        <f>IF(S2210&lt;&gt;0,VLOOKUP(S2210,VKT!$A$2:$G$415,7,0),"")</f>
        <v/>
      </c>
      <c r="X2210" s="564" t="str">
        <f t="shared" si="484"/>
        <v xml:space="preserve"> </v>
      </c>
      <c r="Y2210" s="650"/>
      <c r="Z2210" s="586"/>
      <c r="AA2210" s="742"/>
      <c r="AB2210" s="586"/>
      <c r="AC2210" s="586"/>
      <c r="AD2210" s="586"/>
      <c r="AE2210" s="586"/>
      <c r="AF2210" s="714"/>
      <c r="AG2210" s="570" t="str">
        <f>IF(AE2210&lt;&gt;0,VLOOKUP(AE2210,ODDS!$A$2:$C$13,3,0),"")</f>
        <v/>
      </c>
      <c r="AH2210" s="570" t="str">
        <f t="shared" si="487"/>
        <v xml:space="preserve"> </v>
      </c>
      <c r="AI2210" s="571" t="str">
        <f t="shared" si="485"/>
        <v xml:space="preserve"> </v>
      </c>
      <c r="AJ2210" s="586"/>
      <c r="AK2210" s="586"/>
    </row>
    <row r="2211" spans="1:39" s="394" customFormat="1" ht="20.25" outlineLevel="2" x14ac:dyDescent="0.3">
      <c r="A2211" s="447">
        <f t="shared" si="489"/>
        <v>184</v>
      </c>
      <c r="B2211" s="557"/>
      <c r="C2211" s="572"/>
      <c r="D2211" s="700"/>
      <c r="E2211" s="612"/>
      <c r="F2211" s="612"/>
      <c r="G2211" s="586"/>
      <c r="H2211" s="709"/>
      <c r="I2211" s="546"/>
      <c r="J2211" s="562"/>
      <c r="K2211" s="563" t="str">
        <f>IF(G2211&lt;&gt;0,VLOOKUP(G2211,'gia dat'!$A$1:$F$144,5,0)," ")</f>
        <v xml:space="preserve"> </v>
      </c>
      <c r="L2211" s="563" t="str">
        <f>IF(G2211&lt;&gt;0,VLOOKUP(G2211,'gia dat'!$A$1:$F$144,6,0)," ")</f>
        <v xml:space="preserve"> </v>
      </c>
      <c r="M2211" s="564" t="str">
        <f t="shared" si="480"/>
        <v xml:space="preserve"> </v>
      </c>
      <c r="N2211" s="564" t="str">
        <f t="shared" si="481"/>
        <v xml:space="preserve"> </v>
      </c>
      <c r="O2211" s="572"/>
      <c r="P2211" s="740"/>
      <c r="Q2211" s="564" t="str">
        <f>IF(O2211&lt;&gt;0,VLOOKUP(O2211,'Cây trong'!$A$2:$C$246,3,0)," ")</f>
        <v xml:space="preserve"> </v>
      </c>
      <c r="R2211" s="564" t="str">
        <f t="shared" si="486"/>
        <v xml:space="preserve"> </v>
      </c>
      <c r="S2211" s="566"/>
      <c r="T2211" s="609"/>
      <c r="U2211" s="741"/>
      <c r="V2211" s="586"/>
      <c r="W2211" s="564" t="str">
        <f>IF(S2211&lt;&gt;0,VLOOKUP(S2211,VKT!$A$2:$G$415,7,0),"")</f>
        <v/>
      </c>
      <c r="X2211" s="564" t="str">
        <f t="shared" si="484"/>
        <v xml:space="preserve"> </v>
      </c>
      <c r="Y2211" s="650"/>
      <c r="Z2211" s="586"/>
      <c r="AA2211" s="742"/>
      <c r="AB2211" s="586"/>
      <c r="AC2211" s="586"/>
      <c r="AD2211" s="586"/>
      <c r="AE2211" s="586"/>
      <c r="AF2211" s="714"/>
      <c r="AG2211" s="570" t="str">
        <f>IF(AE2211&lt;&gt;0,VLOOKUP(AE2211,ODDS!$A$2:$C$13,3,0),"")</f>
        <v/>
      </c>
      <c r="AH2211" s="570" t="str">
        <f t="shared" si="487"/>
        <v xml:space="preserve"> </v>
      </c>
      <c r="AI2211" s="571" t="str">
        <f t="shared" si="485"/>
        <v xml:space="preserve"> </v>
      </c>
      <c r="AJ2211" s="586"/>
      <c r="AK2211" s="586"/>
    </row>
    <row r="2212" spans="1:39" s="394" customFormat="1" ht="20.25" outlineLevel="2" x14ac:dyDescent="0.3">
      <c r="A2212" s="447">
        <f t="shared" si="489"/>
        <v>184</v>
      </c>
      <c r="B2212" s="557"/>
      <c r="C2212" s="572"/>
      <c r="D2212" s="700"/>
      <c r="E2212" s="612"/>
      <c r="F2212" s="612"/>
      <c r="G2212" s="586"/>
      <c r="H2212" s="709"/>
      <c r="I2212" s="546"/>
      <c r="J2212" s="562"/>
      <c r="K2212" s="563" t="str">
        <f>IF(G2212&lt;&gt;0,VLOOKUP(G2212,'gia dat'!$A$1:$F$144,5,0)," ")</f>
        <v xml:space="preserve"> </v>
      </c>
      <c r="L2212" s="563" t="str">
        <f>IF(G2212&lt;&gt;0,VLOOKUP(G2212,'gia dat'!$A$1:$F$144,6,0)," ")</f>
        <v xml:space="preserve"> </v>
      </c>
      <c r="M2212" s="564" t="str">
        <f t="shared" si="480"/>
        <v xml:space="preserve"> </v>
      </c>
      <c r="N2212" s="564" t="str">
        <f t="shared" si="481"/>
        <v xml:space="preserve"> </v>
      </c>
      <c r="O2212" s="572"/>
      <c r="P2212" s="740"/>
      <c r="Q2212" s="564" t="str">
        <f>IF(O2212&lt;&gt;0,VLOOKUP(O2212,'Cây trong'!$A$2:$C$246,3,0)," ")</f>
        <v xml:space="preserve"> </v>
      </c>
      <c r="R2212" s="564" t="str">
        <f t="shared" si="486"/>
        <v xml:space="preserve"> </v>
      </c>
      <c r="S2212" s="566"/>
      <c r="T2212" s="609"/>
      <c r="U2212" s="741"/>
      <c r="V2212" s="586"/>
      <c r="W2212" s="564" t="str">
        <f>IF(S2212&lt;&gt;0,VLOOKUP(S2212,VKT!$A$2:$G$415,7,0),"")</f>
        <v/>
      </c>
      <c r="X2212" s="564" t="str">
        <f t="shared" si="484"/>
        <v xml:space="preserve"> </v>
      </c>
      <c r="Y2212" s="650"/>
      <c r="Z2212" s="586"/>
      <c r="AA2212" s="742"/>
      <c r="AB2212" s="586"/>
      <c r="AC2212" s="586"/>
      <c r="AD2212" s="586"/>
      <c r="AE2212" s="586"/>
      <c r="AF2212" s="714"/>
      <c r="AG2212" s="570" t="str">
        <f>IF(AE2212&lt;&gt;0,VLOOKUP(AE2212,ODDS!$A$2:$C$13,3,0),"")</f>
        <v/>
      </c>
      <c r="AH2212" s="570" t="str">
        <f t="shared" si="487"/>
        <v xml:space="preserve"> </v>
      </c>
      <c r="AI2212" s="571" t="str">
        <f t="shared" si="485"/>
        <v xml:space="preserve"> </v>
      </c>
      <c r="AJ2212" s="586"/>
      <c r="AK2212" s="586"/>
    </row>
    <row r="2213" spans="1:39" s="394" customFormat="1" ht="20.25" outlineLevel="2" x14ac:dyDescent="0.3">
      <c r="A2213" s="447">
        <f t="shared" si="489"/>
        <v>184</v>
      </c>
      <c r="B2213" s="557"/>
      <c r="C2213" s="607"/>
      <c r="D2213" s="700"/>
      <c r="E2213" s="612"/>
      <c r="F2213" s="612"/>
      <c r="G2213" s="586"/>
      <c r="H2213" s="709"/>
      <c r="I2213" s="546"/>
      <c r="J2213" s="558"/>
      <c r="K2213" s="563" t="str">
        <f>IF(G2213&lt;&gt;0,VLOOKUP(G2213,'gia dat'!$A$1:$F$144,5,0)," ")</f>
        <v xml:space="preserve"> </v>
      </c>
      <c r="L2213" s="563" t="str">
        <f>IF(G2213&lt;&gt;0,VLOOKUP(G2213,'gia dat'!$A$1:$F$144,6,0)," ")</f>
        <v xml:space="preserve"> </v>
      </c>
      <c r="M2213" s="564" t="str">
        <f t="shared" si="480"/>
        <v xml:space="preserve"> </v>
      </c>
      <c r="N2213" s="564" t="str">
        <f t="shared" si="481"/>
        <v xml:space="preserve"> </v>
      </c>
      <c r="O2213" s="572"/>
      <c r="P2213" s="740"/>
      <c r="Q2213" s="564" t="str">
        <f>IF(O2213&lt;&gt;0,VLOOKUP(O2213,'Cây trong'!$A$2:$C$246,3,0)," ")</f>
        <v xml:space="preserve"> </v>
      </c>
      <c r="R2213" s="564" t="str">
        <f t="shared" si="486"/>
        <v xml:space="preserve"> </v>
      </c>
      <c r="S2213" s="572"/>
      <c r="T2213" s="609"/>
      <c r="U2213" s="741"/>
      <c r="V2213" s="586"/>
      <c r="W2213" s="564" t="str">
        <f>IF(S2213&lt;&gt;0,VLOOKUP(S2213,VKT!$A$2:$G$415,7,0),"")</f>
        <v/>
      </c>
      <c r="X2213" s="564" t="str">
        <f t="shared" si="484"/>
        <v xml:space="preserve"> </v>
      </c>
      <c r="Y2213" s="650"/>
      <c r="Z2213" s="586"/>
      <c r="AA2213" s="742"/>
      <c r="AB2213" s="586"/>
      <c r="AC2213" s="586"/>
      <c r="AD2213" s="586"/>
      <c r="AE2213" s="586"/>
      <c r="AF2213" s="714"/>
      <c r="AG2213" s="570" t="str">
        <f>IF(AE2213&lt;&gt;0,VLOOKUP(AE2213,ODDS!$A$2:$C$13,3,0),"")</f>
        <v/>
      </c>
      <c r="AH2213" s="570" t="str">
        <f t="shared" si="487"/>
        <v xml:space="preserve"> </v>
      </c>
      <c r="AI2213" s="571" t="str">
        <f t="shared" si="485"/>
        <v xml:space="preserve"> </v>
      </c>
      <c r="AJ2213" s="586"/>
      <c r="AK2213" s="586"/>
    </row>
    <row r="2214" spans="1:39" s="394" customFormat="1" ht="40.5" outlineLevel="1" x14ac:dyDescent="0.25">
      <c r="A2214" s="467" t="s">
        <v>2525</v>
      </c>
      <c r="B2214" s="576">
        <v>185</v>
      </c>
      <c r="C2214" s="607" t="s">
        <v>1474</v>
      </c>
      <c r="D2214" s="706"/>
      <c r="E2214" s="642"/>
      <c r="F2214" s="642"/>
      <c r="G2214" s="578"/>
      <c r="H2214" s="707">
        <f>SUBTOTAL(9,H2215:H2223)</f>
        <v>0</v>
      </c>
      <c r="I2214" s="579">
        <f>SUBTOTAL(9,I2215:I2220)</f>
        <v>0</v>
      </c>
      <c r="J2214" s="580"/>
      <c r="K2214" s="581"/>
      <c r="L2214" s="581"/>
      <c r="M2214" s="571">
        <f>SUBTOTAL(9,M2215:M2223)</f>
        <v>0</v>
      </c>
      <c r="N2214" s="571">
        <f>SUBTOTAL(9,N2215:N2223)</f>
        <v>0</v>
      </c>
      <c r="O2214" s="607"/>
      <c r="P2214" s="738">
        <f>SUBTOTAL(9,P2215:P2223)</f>
        <v>0</v>
      </c>
      <c r="Q2214" s="571"/>
      <c r="R2214" s="571">
        <f>SUBTOTAL(9,R2215:R2223)</f>
        <v>0</v>
      </c>
      <c r="S2214" s="582"/>
      <c r="T2214" s="621"/>
      <c r="U2214" s="739">
        <f>SUBTOTAL(9,U2215:U2223)</f>
        <v>46.2</v>
      </c>
      <c r="V2214" s="578"/>
      <c r="W2214" s="571"/>
      <c r="X2214" s="571">
        <f>SUBTOTAL(9,X2215:X2223)</f>
        <v>62132000</v>
      </c>
      <c r="Y2214" s="661"/>
      <c r="Z2214" s="683"/>
      <c r="AA2214" s="683"/>
      <c r="AB2214" s="694"/>
      <c r="AC2214" s="683"/>
      <c r="AD2214" s="586"/>
      <c r="AE2214" s="578"/>
      <c r="AF2214" s="712">
        <f>SUBTOTAL(9,AF2215:AF2223)</f>
        <v>0</v>
      </c>
      <c r="AG2214" s="585"/>
      <c r="AH2214" s="585">
        <f>SUBTOTAL(9,AH2215:AH2223)</f>
        <v>0</v>
      </c>
      <c r="AI2214" s="571">
        <f t="shared" si="485"/>
        <v>62132000</v>
      </c>
      <c r="AJ2214" s="578"/>
      <c r="AK2214" s="574"/>
    </row>
    <row r="2215" spans="1:39" s="394" customFormat="1" ht="121.5" outlineLevel="2" x14ac:dyDescent="0.3">
      <c r="A2215" s="447">
        <f>IF(B2214&lt;&gt;0,B2214,A2213)</f>
        <v>185</v>
      </c>
      <c r="B2215" s="557"/>
      <c r="C2215" s="572" t="s">
        <v>1476</v>
      </c>
      <c r="D2215" s="700"/>
      <c r="E2215" s="612"/>
      <c r="F2215" s="612"/>
      <c r="G2215" s="586"/>
      <c r="H2215" s="709"/>
      <c r="I2215" s="546"/>
      <c r="J2215" s="562"/>
      <c r="K2215" s="563" t="str">
        <f>IF(G2215&lt;&gt;0,VLOOKUP(G2215,'gia dat'!$A$1:$F$144,5,0)," ")</f>
        <v xml:space="preserve"> </v>
      </c>
      <c r="L2215" s="563" t="str">
        <f>IF(G2215&lt;&gt;0,VLOOKUP(G2215,'gia dat'!$A$1:$F$144,6,0)," ")</f>
        <v xml:space="preserve"> </v>
      </c>
      <c r="M2215" s="564" t="str">
        <f t="shared" si="480"/>
        <v xml:space="preserve"> </v>
      </c>
      <c r="N2215" s="564" t="str">
        <f t="shared" si="481"/>
        <v xml:space="preserve"> </v>
      </c>
      <c r="O2215" s="572"/>
      <c r="P2215" s="740"/>
      <c r="Q2215" s="564" t="str">
        <f>IF(O2215&lt;&gt;0,VLOOKUP(O2215,'Cây trong'!$A$2:$C$246,3,0)," ")</f>
        <v xml:space="preserve"> </v>
      </c>
      <c r="R2215" s="564" t="str">
        <f t="shared" si="486"/>
        <v xml:space="preserve"> </v>
      </c>
      <c r="S2215" s="566" t="s">
        <v>1838</v>
      </c>
      <c r="T2215" s="609" t="s">
        <v>1133</v>
      </c>
      <c r="U2215" s="741">
        <v>10.199999999999999</v>
      </c>
      <c r="V2215" s="586"/>
      <c r="W2215" s="564">
        <f>IF(S2215&lt;&gt;0,VLOOKUP(S2215,VKT!$A$2:$G$415,7,0),"")</f>
        <v>3156089</v>
      </c>
      <c r="X2215" s="564">
        <f t="shared" si="484"/>
        <v>32192000</v>
      </c>
      <c r="Y2215" s="661" t="s">
        <v>139</v>
      </c>
      <c r="Z2215" s="683" t="s">
        <v>1139</v>
      </c>
      <c r="AA2215" s="683" t="s">
        <v>56</v>
      </c>
      <c r="AB2215" s="694" t="s">
        <v>269</v>
      </c>
      <c r="AC2215" s="683" t="s">
        <v>139</v>
      </c>
      <c r="AD2215" s="586"/>
      <c r="AE2215" s="586"/>
      <c r="AF2215" s="714"/>
      <c r="AG2215" s="570" t="str">
        <f>IF(AE2215&lt;&gt;0,VLOOKUP(AE2215,ODDS!$A$2:$C$13,3,0),"")</f>
        <v/>
      </c>
      <c r="AH2215" s="570" t="str">
        <f t="shared" si="487"/>
        <v xml:space="preserve"> </v>
      </c>
      <c r="AI2215" s="571" t="str">
        <f t="shared" si="485"/>
        <v xml:space="preserve"> </v>
      </c>
      <c r="AJ2215" s="586" t="s">
        <v>1475</v>
      </c>
      <c r="AK2215" s="558" t="s">
        <v>2450</v>
      </c>
    </row>
    <row r="2216" spans="1:39" s="394" customFormat="1" ht="101.25" outlineLevel="2" x14ac:dyDescent="0.3">
      <c r="A2216" s="447">
        <f t="shared" ref="A2216:A2223" si="490">IF(B2215&lt;&gt;0,B2215,A2215)</f>
        <v>185</v>
      </c>
      <c r="B2216" s="557"/>
      <c r="C2216" s="572" t="s">
        <v>1637</v>
      </c>
      <c r="D2216" s="700"/>
      <c r="E2216" s="612"/>
      <c r="F2216" s="612"/>
      <c r="G2216" s="586"/>
      <c r="H2216" s="709"/>
      <c r="I2216" s="546"/>
      <c r="J2216" s="562"/>
      <c r="K2216" s="563" t="str">
        <f>IF(G2216&lt;&gt;0,VLOOKUP(G2216,'gia dat'!$A$1:$F$144,5,0)," ")</f>
        <v xml:space="preserve"> </v>
      </c>
      <c r="L2216" s="563" t="str">
        <f>IF(G2216&lt;&gt;0,VLOOKUP(G2216,'gia dat'!$A$1:$F$144,6,0)," ")</f>
        <v xml:space="preserve"> </v>
      </c>
      <c r="M2216" s="564" t="str">
        <f t="shared" si="480"/>
        <v xml:space="preserve"> </v>
      </c>
      <c r="N2216" s="564" t="str">
        <f t="shared" si="481"/>
        <v xml:space="preserve"> </v>
      </c>
      <c r="O2216" s="572"/>
      <c r="P2216" s="740"/>
      <c r="Q2216" s="564" t="str">
        <f>IF(O2216&lt;&gt;0,VLOOKUP(O2216,'Cây trong'!$A$2:$C$246,3,0)," ")</f>
        <v xml:space="preserve"> </v>
      </c>
      <c r="R2216" s="564" t="str">
        <f t="shared" si="486"/>
        <v xml:space="preserve"> </v>
      </c>
      <c r="S2216" s="566" t="s">
        <v>2009</v>
      </c>
      <c r="T2216" s="609" t="s">
        <v>1133</v>
      </c>
      <c r="U2216" s="710">
        <v>2.4</v>
      </c>
      <c r="V2216" s="586"/>
      <c r="W2216" s="564">
        <f>IF(S2216&lt;&gt;0,VLOOKUP(S2216,VKT!$A$2:$G$415,7,0),"")</f>
        <v>8308812</v>
      </c>
      <c r="X2216" s="564">
        <f t="shared" si="484"/>
        <v>19941000</v>
      </c>
      <c r="Y2216" s="650"/>
      <c r="Z2216" s="586"/>
      <c r="AA2216" s="742"/>
      <c r="AB2216" s="586"/>
      <c r="AC2216" s="586"/>
      <c r="AD2216" s="586"/>
      <c r="AE2216" s="586"/>
      <c r="AF2216" s="714"/>
      <c r="AG2216" s="570" t="str">
        <f>IF(AE2216&lt;&gt;0,VLOOKUP(AE2216,ODDS!$A$2:$C$13,3,0),"")</f>
        <v/>
      </c>
      <c r="AH2216" s="570" t="str">
        <f t="shared" si="487"/>
        <v xml:space="preserve"> </v>
      </c>
      <c r="AI2216" s="571" t="str">
        <f t="shared" si="485"/>
        <v xml:space="preserve"> </v>
      </c>
      <c r="AJ2216" s="586" t="s">
        <v>1477</v>
      </c>
      <c r="AK2216" s="586" t="s">
        <v>2800</v>
      </c>
    </row>
    <row r="2217" spans="1:39" s="394" customFormat="1" ht="81" outlineLevel="2" x14ac:dyDescent="0.3">
      <c r="A2217" s="447">
        <f t="shared" si="490"/>
        <v>185</v>
      </c>
      <c r="B2217" s="557"/>
      <c r="C2217" s="572"/>
      <c r="D2217" s="700"/>
      <c r="E2217" s="612"/>
      <c r="F2217" s="612"/>
      <c r="G2217" s="586"/>
      <c r="H2217" s="709"/>
      <c r="I2217" s="546"/>
      <c r="J2217" s="562"/>
      <c r="K2217" s="563" t="str">
        <f>IF(G2217&lt;&gt;0,VLOOKUP(G2217,'gia dat'!$A$1:$F$144,5,0)," ")</f>
        <v xml:space="preserve"> </v>
      </c>
      <c r="L2217" s="563" t="str">
        <f>IF(G2217&lt;&gt;0,VLOOKUP(G2217,'gia dat'!$A$1:$F$144,6,0)," ")</f>
        <v xml:space="preserve"> </v>
      </c>
      <c r="M2217" s="564" t="str">
        <f t="shared" si="480"/>
        <v xml:space="preserve"> </v>
      </c>
      <c r="N2217" s="564" t="str">
        <f t="shared" si="481"/>
        <v xml:space="preserve"> </v>
      </c>
      <c r="O2217" s="572"/>
      <c r="P2217" s="740"/>
      <c r="Q2217" s="564" t="str">
        <f>IF(O2217&lt;&gt;0,VLOOKUP(O2217,'Cây trong'!$A$2:$C$246,3,0)," ")</f>
        <v xml:space="preserve"> </v>
      </c>
      <c r="R2217" s="564" t="str">
        <f t="shared" si="486"/>
        <v xml:space="preserve"> </v>
      </c>
      <c r="S2217" s="566" t="s">
        <v>1980</v>
      </c>
      <c r="T2217" s="609" t="s">
        <v>1133</v>
      </c>
      <c r="U2217" s="741">
        <v>10.5</v>
      </c>
      <c r="V2217" s="586"/>
      <c r="W2217" s="564">
        <f>IF(S2217&lt;&gt;0,VLOOKUP(S2217,VKT!$A$2:$G$415,7,0),"")</f>
        <v>684506</v>
      </c>
      <c r="X2217" s="564">
        <f t="shared" si="484"/>
        <v>7187000</v>
      </c>
      <c r="Y2217" s="650"/>
      <c r="Z2217" s="586"/>
      <c r="AA2217" s="742"/>
      <c r="AB2217" s="586"/>
      <c r="AC2217" s="586"/>
      <c r="AD2217" s="586"/>
      <c r="AE2217" s="586"/>
      <c r="AF2217" s="714"/>
      <c r="AG2217" s="570" t="str">
        <f>IF(AE2217&lt;&gt;0,VLOOKUP(AE2217,ODDS!$A$2:$C$13,3,0),"")</f>
        <v/>
      </c>
      <c r="AH2217" s="570" t="str">
        <f t="shared" si="487"/>
        <v xml:space="preserve"> </v>
      </c>
      <c r="AI2217" s="571" t="str">
        <f t="shared" si="485"/>
        <v xml:space="preserve"> </v>
      </c>
      <c r="AJ2217" s="586"/>
      <c r="AK2217" s="586"/>
    </row>
    <row r="2218" spans="1:39" s="394" customFormat="1" ht="81" outlineLevel="2" x14ac:dyDescent="0.3">
      <c r="A2218" s="447">
        <f t="shared" si="490"/>
        <v>185</v>
      </c>
      <c r="B2218" s="557"/>
      <c r="C2218" s="572"/>
      <c r="D2218" s="700"/>
      <c r="E2218" s="612"/>
      <c r="F2218" s="612"/>
      <c r="G2218" s="586"/>
      <c r="H2218" s="709"/>
      <c r="I2218" s="546"/>
      <c r="J2218" s="558"/>
      <c r="K2218" s="563" t="str">
        <f>IF(G2218&lt;&gt;0,VLOOKUP(G2218,'gia dat'!$A$1:$F$144,5,0)," ")</f>
        <v xml:space="preserve"> </v>
      </c>
      <c r="L2218" s="563" t="str">
        <f>IF(G2218&lt;&gt;0,VLOOKUP(G2218,'gia dat'!$A$1:$F$144,6,0)," ")</f>
        <v xml:space="preserve"> </v>
      </c>
      <c r="M2218" s="564" t="str">
        <f t="shared" si="480"/>
        <v xml:space="preserve"> </v>
      </c>
      <c r="N2218" s="564" t="str">
        <f t="shared" si="481"/>
        <v xml:space="preserve"> </v>
      </c>
      <c r="O2218" s="572"/>
      <c r="P2218" s="740"/>
      <c r="Q2218" s="564" t="str">
        <f>IF(O2218&lt;&gt;0,VLOOKUP(O2218,'Cây trong'!$A$2:$C$246,3,0)," ")</f>
        <v xml:space="preserve"> </v>
      </c>
      <c r="R2218" s="564" t="str">
        <f t="shared" si="486"/>
        <v xml:space="preserve"> </v>
      </c>
      <c r="S2218" s="572" t="s">
        <v>1978</v>
      </c>
      <c r="T2218" s="609" t="s">
        <v>1133</v>
      </c>
      <c r="U2218" s="741">
        <v>11.9</v>
      </c>
      <c r="V2218" s="586"/>
      <c r="W2218" s="564">
        <f>IF(S2218&lt;&gt;0,VLOOKUP(S2218,VKT!$A$2:$G$415,7,0),"")</f>
        <v>236298</v>
      </c>
      <c r="X2218" s="564">
        <f t="shared" si="484"/>
        <v>2812000</v>
      </c>
      <c r="Y2218" s="650"/>
      <c r="Z2218" s="586"/>
      <c r="AA2218" s="742"/>
      <c r="AB2218" s="586"/>
      <c r="AC2218" s="586"/>
      <c r="AD2218" s="586"/>
      <c r="AE2218" s="586"/>
      <c r="AF2218" s="714"/>
      <c r="AG2218" s="570" t="str">
        <f>IF(AE2218&lt;&gt;0,VLOOKUP(AE2218,ODDS!$A$2:$C$13,3,0),"")</f>
        <v/>
      </c>
      <c r="AH2218" s="570" t="str">
        <f t="shared" si="487"/>
        <v xml:space="preserve"> </v>
      </c>
      <c r="AI2218" s="571" t="str">
        <f t="shared" si="485"/>
        <v xml:space="preserve"> </v>
      </c>
      <c r="AJ2218" s="586"/>
      <c r="AK2218" s="586"/>
    </row>
    <row r="2219" spans="1:39" s="394" customFormat="1" ht="60.75" outlineLevel="2" x14ac:dyDescent="0.3">
      <c r="A2219" s="447">
        <f t="shared" si="490"/>
        <v>185</v>
      </c>
      <c r="B2219" s="557"/>
      <c r="C2219" s="572"/>
      <c r="D2219" s="700"/>
      <c r="E2219" s="612"/>
      <c r="F2219" s="612"/>
      <c r="G2219" s="586"/>
      <c r="H2219" s="709"/>
      <c r="I2219" s="546"/>
      <c r="J2219" s="558"/>
      <c r="K2219" s="563" t="str">
        <f>IF(G2219&lt;&gt;0,VLOOKUP(G2219,'gia dat'!$A$1:$F$144,5,0)," ")</f>
        <v xml:space="preserve"> </v>
      </c>
      <c r="L2219" s="563" t="str">
        <f>IF(G2219&lt;&gt;0,VLOOKUP(G2219,'gia dat'!$A$1:$F$144,6,0)," ")</f>
        <v xml:space="preserve"> </v>
      </c>
      <c r="M2219" s="564" t="str">
        <f t="shared" si="480"/>
        <v xml:space="preserve"> </v>
      </c>
      <c r="N2219" s="564" t="str">
        <f t="shared" si="481"/>
        <v xml:space="preserve"> </v>
      </c>
      <c r="O2219" s="572"/>
      <c r="P2219" s="740"/>
      <c r="Q2219" s="564" t="str">
        <f>IF(O2219&lt;&gt;0,VLOOKUP(O2219,'Cây trong'!$A$2:$C$246,3,0)," ")</f>
        <v xml:space="preserve"> </v>
      </c>
      <c r="R2219" s="564" t="str">
        <f t="shared" si="486"/>
        <v xml:space="preserve"> </v>
      </c>
      <c r="S2219" s="572" t="s">
        <v>2010</v>
      </c>
      <c r="T2219" s="609" t="s">
        <v>1133</v>
      </c>
      <c r="U2219" s="741">
        <v>11.200000000000001</v>
      </c>
      <c r="V2219" s="586"/>
      <c r="W2219" s="564">
        <f>IF(S2219&lt;&gt;0,VLOOKUP(S2219,VKT!$A$2:$G$415,7,0),"")</f>
        <v>0</v>
      </c>
      <c r="X2219" s="564">
        <f t="shared" si="484"/>
        <v>0</v>
      </c>
      <c r="Y2219" s="650"/>
      <c r="Z2219" s="586"/>
      <c r="AA2219" s="742"/>
      <c r="AB2219" s="586"/>
      <c r="AC2219" s="586"/>
      <c r="AD2219" s="586"/>
      <c r="AE2219" s="586"/>
      <c r="AF2219" s="714"/>
      <c r="AG2219" s="570" t="str">
        <f>IF(AE2219&lt;&gt;0,VLOOKUP(AE2219,ODDS!$A$2:$C$13,3,0),"")</f>
        <v/>
      </c>
      <c r="AH2219" s="570" t="str">
        <f t="shared" si="487"/>
        <v xml:space="preserve"> </v>
      </c>
      <c r="AI2219" s="571" t="str">
        <f t="shared" si="485"/>
        <v xml:space="preserve"> </v>
      </c>
      <c r="AJ2219" s="586"/>
      <c r="AK2219" s="586"/>
    </row>
    <row r="2220" spans="1:39" s="394" customFormat="1" ht="20.25" outlineLevel="2" x14ac:dyDescent="0.3">
      <c r="A2220" s="447">
        <f t="shared" si="490"/>
        <v>185</v>
      </c>
      <c r="B2220" s="557"/>
      <c r="C2220" s="572"/>
      <c r="D2220" s="700"/>
      <c r="E2220" s="612"/>
      <c r="F2220" s="612"/>
      <c r="G2220" s="586"/>
      <c r="H2220" s="709"/>
      <c r="I2220" s="546"/>
      <c r="J2220" s="558"/>
      <c r="K2220" s="563" t="str">
        <f>IF(G2220&lt;&gt;0,VLOOKUP(G2220,'gia dat'!$A$1:$F$144,5,0)," ")</f>
        <v xml:space="preserve"> </v>
      </c>
      <c r="L2220" s="563" t="str">
        <f>IF(G2220&lt;&gt;0,VLOOKUP(G2220,'gia dat'!$A$1:$F$144,6,0)," ")</f>
        <v xml:space="preserve"> </v>
      </c>
      <c r="M2220" s="564" t="str">
        <f t="shared" si="480"/>
        <v xml:space="preserve"> </v>
      </c>
      <c r="N2220" s="564" t="str">
        <f t="shared" si="481"/>
        <v xml:space="preserve"> </v>
      </c>
      <c r="O2220" s="572"/>
      <c r="P2220" s="740"/>
      <c r="Q2220" s="564" t="str">
        <f>IF(O2220&lt;&gt;0,VLOOKUP(O2220,'Cây trong'!$A$2:$C$246,3,0)," ")</f>
        <v xml:space="preserve"> </v>
      </c>
      <c r="R2220" s="564" t="str">
        <f t="shared" si="486"/>
        <v xml:space="preserve"> </v>
      </c>
      <c r="S2220" s="566"/>
      <c r="T2220" s="609"/>
      <c r="U2220" s="741"/>
      <c r="V2220" s="586"/>
      <c r="W2220" s="564" t="str">
        <f>IF(S2220&lt;&gt;0,VLOOKUP(S2220,VKT!$A$2:$G$415,7,0),"")</f>
        <v/>
      </c>
      <c r="X2220" s="564" t="str">
        <f t="shared" si="484"/>
        <v xml:space="preserve"> </v>
      </c>
      <c r="Y2220" s="650"/>
      <c r="Z2220" s="586"/>
      <c r="AA2220" s="742"/>
      <c r="AB2220" s="586"/>
      <c r="AC2220" s="586"/>
      <c r="AD2220" s="586"/>
      <c r="AE2220" s="586"/>
      <c r="AF2220" s="714"/>
      <c r="AG2220" s="570" t="str">
        <f>IF(AE2220&lt;&gt;0,VLOOKUP(AE2220,ODDS!$A$2:$C$13,3,0),"")</f>
        <v/>
      </c>
      <c r="AH2220" s="570" t="str">
        <f t="shared" si="487"/>
        <v xml:space="preserve"> </v>
      </c>
      <c r="AI2220" s="571" t="str">
        <f t="shared" si="485"/>
        <v xml:space="preserve"> </v>
      </c>
      <c r="AJ2220" s="572"/>
      <c r="AK2220" s="572"/>
    </row>
    <row r="2221" spans="1:39" s="394" customFormat="1" ht="20.25" outlineLevel="2" x14ac:dyDescent="0.3">
      <c r="A2221" s="447">
        <f t="shared" si="490"/>
        <v>185</v>
      </c>
      <c r="B2221" s="557"/>
      <c r="C2221" s="572"/>
      <c r="D2221" s="700"/>
      <c r="E2221" s="612"/>
      <c r="F2221" s="612"/>
      <c r="G2221" s="586"/>
      <c r="H2221" s="709"/>
      <c r="I2221" s="546"/>
      <c r="J2221" s="558"/>
      <c r="K2221" s="563" t="str">
        <f>IF(G2221&lt;&gt;0,VLOOKUP(G2221,'gia dat'!$A$1:$F$144,5,0)," ")</f>
        <v xml:space="preserve"> </v>
      </c>
      <c r="L2221" s="563" t="str">
        <f>IF(G2221&lt;&gt;0,VLOOKUP(G2221,'gia dat'!$A$1:$F$144,6,0)," ")</f>
        <v xml:space="preserve"> </v>
      </c>
      <c r="M2221" s="564" t="str">
        <f t="shared" si="480"/>
        <v xml:space="preserve"> </v>
      </c>
      <c r="N2221" s="564" t="str">
        <f t="shared" si="481"/>
        <v xml:space="preserve"> </v>
      </c>
      <c r="O2221" s="572"/>
      <c r="P2221" s="740"/>
      <c r="Q2221" s="564" t="str">
        <f>IF(O2221&lt;&gt;0,VLOOKUP(O2221,'Cây trong'!$A$2:$C$246,3,0)," ")</f>
        <v xml:space="preserve"> </v>
      </c>
      <c r="R2221" s="564" t="str">
        <f t="shared" si="486"/>
        <v xml:space="preserve"> </v>
      </c>
      <c r="S2221" s="572"/>
      <c r="T2221" s="609"/>
      <c r="U2221" s="741"/>
      <c r="V2221" s="586"/>
      <c r="W2221" s="564" t="str">
        <f>IF(S2221&lt;&gt;0,VLOOKUP(S2221,VKT!$A$2:$G$415,7,0),"")</f>
        <v/>
      </c>
      <c r="X2221" s="564" t="str">
        <f t="shared" si="484"/>
        <v xml:space="preserve"> </v>
      </c>
      <c r="Y2221" s="650"/>
      <c r="Z2221" s="586"/>
      <c r="AA2221" s="742"/>
      <c r="AB2221" s="586"/>
      <c r="AC2221" s="586"/>
      <c r="AD2221" s="586"/>
      <c r="AE2221" s="586"/>
      <c r="AF2221" s="714"/>
      <c r="AG2221" s="570" t="str">
        <f>IF(AE2221&lt;&gt;0,VLOOKUP(AE2221,ODDS!$A$2:$C$13,3,0),"")</f>
        <v/>
      </c>
      <c r="AH2221" s="570" t="str">
        <f t="shared" si="487"/>
        <v xml:space="preserve"> </v>
      </c>
      <c r="AI2221" s="571" t="str">
        <f t="shared" si="485"/>
        <v xml:space="preserve"> </v>
      </c>
      <c r="AJ2221" s="558"/>
      <c r="AK2221" s="558"/>
    </row>
    <row r="2222" spans="1:39" s="394" customFormat="1" ht="20.25" outlineLevel="2" x14ac:dyDescent="0.3">
      <c r="A2222" s="447">
        <f t="shared" si="490"/>
        <v>185</v>
      </c>
      <c r="B2222" s="557"/>
      <c r="C2222" s="572"/>
      <c r="D2222" s="700"/>
      <c r="E2222" s="612"/>
      <c r="F2222" s="612"/>
      <c r="G2222" s="586"/>
      <c r="H2222" s="709"/>
      <c r="I2222" s="546"/>
      <c r="J2222" s="558"/>
      <c r="K2222" s="563" t="str">
        <f>IF(G2222&lt;&gt;0,VLOOKUP(G2222,'gia dat'!$A$1:$F$144,5,0)," ")</f>
        <v xml:space="preserve"> </v>
      </c>
      <c r="L2222" s="563" t="str">
        <f>IF(G2222&lt;&gt;0,VLOOKUP(G2222,'gia dat'!$A$1:$F$144,6,0)," ")</f>
        <v xml:space="preserve"> </v>
      </c>
      <c r="M2222" s="564" t="str">
        <f t="shared" si="480"/>
        <v xml:space="preserve"> </v>
      </c>
      <c r="N2222" s="564" t="str">
        <f t="shared" si="481"/>
        <v xml:space="preserve"> </v>
      </c>
      <c r="O2222" s="572"/>
      <c r="P2222" s="740"/>
      <c r="Q2222" s="564" t="str">
        <f>IF(O2222&lt;&gt;0,VLOOKUP(O2222,'Cây trong'!$A$2:$C$246,3,0)," ")</f>
        <v xml:space="preserve"> </v>
      </c>
      <c r="R2222" s="564" t="str">
        <f t="shared" si="486"/>
        <v xml:space="preserve"> </v>
      </c>
      <c r="S2222" s="572"/>
      <c r="T2222" s="609"/>
      <c r="U2222" s="741"/>
      <c r="V2222" s="586"/>
      <c r="W2222" s="564" t="str">
        <f>IF(S2222&lt;&gt;0,VLOOKUP(S2222,VKT!$A$2:$G$415,7,0),"")</f>
        <v/>
      </c>
      <c r="X2222" s="564" t="str">
        <f t="shared" si="484"/>
        <v xml:space="preserve"> </v>
      </c>
      <c r="Y2222" s="650"/>
      <c r="Z2222" s="586"/>
      <c r="AA2222" s="742"/>
      <c r="AB2222" s="586"/>
      <c r="AC2222" s="586"/>
      <c r="AD2222" s="586"/>
      <c r="AE2222" s="586"/>
      <c r="AF2222" s="714"/>
      <c r="AG2222" s="570" t="str">
        <f>IF(AE2222&lt;&gt;0,VLOOKUP(AE2222,ODDS!$A$2:$C$13,3,0),"")</f>
        <v/>
      </c>
      <c r="AH2222" s="570" t="str">
        <f t="shared" si="487"/>
        <v xml:space="preserve"> </v>
      </c>
      <c r="AI2222" s="571" t="str">
        <f t="shared" si="485"/>
        <v xml:space="preserve"> </v>
      </c>
      <c r="AJ2222" s="586"/>
      <c r="AK2222" s="586"/>
    </row>
    <row r="2223" spans="1:39" s="394" customFormat="1" ht="20.25" outlineLevel="2" x14ac:dyDescent="0.3">
      <c r="A2223" s="447">
        <f t="shared" si="490"/>
        <v>185</v>
      </c>
      <c r="B2223" s="557"/>
      <c r="C2223" s="607"/>
      <c r="D2223" s="700"/>
      <c r="E2223" s="612"/>
      <c r="F2223" s="612"/>
      <c r="G2223" s="586"/>
      <c r="H2223" s="709"/>
      <c r="I2223" s="546"/>
      <c r="J2223" s="558"/>
      <c r="K2223" s="563" t="str">
        <f>IF(G2223&lt;&gt;0,VLOOKUP(G2223,'gia dat'!$A$1:$F$144,5,0)," ")</f>
        <v xml:space="preserve"> </v>
      </c>
      <c r="L2223" s="563" t="str">
        <f>IF(G2223&lt;&gt;0,VLOOKUP(G2223,'gia dat'!$A$1:$F$144,6,0)," ")</f>
        <v xml:space="preserve"> </v>
      </c>
      <c r="M2223" s="564" t="str">
        <f t="shared" si="480"/>
        <v xml:space="preserve"> </v>
      </c>
      <c r="N2223" s="564" t="str">
        <f t="shared" si="481"/>
        <v xml:space="preserve"> </v>
      </c>
      <c r="O2223" s="572"/>
      <c r="P2223" s="740"/>
      <c r="Q2223" s="564" t="str">
        <f>IF(O2223&lt;&gt;0,VLOOKUP(O2223,'Cây trong'!$A$2:$C$246,3,0)," ")</f>
        <v xml:space="preserve"> </v>
      </c>
      <c r="R2223" s="564" t="str">
        <f t="shared" si="486"/>
        <v xml:space="preserve"> </v>
      </c>
      <c r="S2223" s="572"/>
      <c r="T2223" s="609"/>
      <c r="U2223" s="741"/>
      <c r="V2223" s="586"/>
      <c r="W2223" s="564" t="str">
        <f>IF(S2223&lt;&gt;0,VLOOKUP(S2223,VKT!$A$2:$G$415,7,0),"")</f>
        <v/>
      </c>
      <c r="X2223" s="564" t="str">
        <f t="shared" si="484"/>
        <v xml:space="preserve"> </v>
      </c>
      <c r="Y2223" s="650"/>
      <c r="Z2223" s="586"/>
      <c r="AA2223" s="742"/>
      <c r="AB2223" s="586"/>
      <c r="AC2223" s="586"/>
      <c r="AD2223" s="586"/>
      <c r="AE2223" s="586"/>
      <c r="AF2223" s="714"/>
      <c r="AG2223" s="570" t="str">
        <f>IF(AE2223&lt;&gt;0,VLOOKUP(AE2223,ODDS!$A$2:$C$13,3,0),"")</f>
        <v/>
      </c>
      <c r="AH2223" s="570" t="str">
        <f t="shared" si="487"/>
        <v xml:space="preserve"> </v>
      </c>
      <c r="AI2223" s="571" t="str">
        <f t="shared" si="485"/>
        <v xml:space="preserve"> </v>
      </c>
      <c r="AJ2223" s="586"/>
      <c r="AK2223" s="586"/>
    </row>
    <row r="2224" spans="1:39" s="396" customFormat="1" ht="40.5" outlineLevel="1" x14ac:dyDescent="0.25">
      <c r="A2224" s="467" t="s">
        <v>2524</v>
      </c>
      <c r="B2224" s="576">
        <v>186</v>
      </c>
      <c r="C2224" s="607" t="s">
        <v>1478</v>
      </c>
      <c r="D2224" s="706"/>
      <c r="E2224" s="642"/>
      <c r="F2224" s="642"/>
      <c r="G2224" s="578"/>
      <c r="H2224" s="707">
        <f>SUBTOTAL(9,H2225:H2239)</f>
        <v>33.1</v>
      </c>
      <c r="I2224" s="579">
        <f>SUBTOTAL(9,I2225:I2230)</f>
        <v>0</v>
      </c>
      <c r="J2224" s="580"/>
      <c r="K2224" s="581"/>
      <c r="L2224" s="581"/>
      <c r="M2224" s="571">
        <f>SUBTOTAL(9,M2225:M2239)</f>
        <v>153146000</v>
      </c>
      <c r="N2224" s="571">
        <f>SUBTOTAL(9,N2225:N2239)</f>
        <v>0</v>
      </c>
      <c r="O2224" s="607"/>
      <c r="P2224" s="738">
        <f>SUBTOTAL(9,P2225:P2239)</f>
        <v>37</v>
      </c>
      <c r="Q2224" s="571"/>
      <c r="R2224" s="571">
        <f>SUBTOTAL(9,R2225:R2239)</f>
        <v>12984000</v>
      </c>
      <c r="S2224" s="582"/>
      <c r="T2224" s="621"/>
      <c r="U2224" s="739">
        <f>SUBTOTAL(9,U2225:U2239)</f>
        <v>55.6</v>
      </c>
      <c r="V2224" s="578"/>
      <c r="W2224" s="571"/>
      <c r="X2224" s="571">
        <f>SUBTOTAL(9,X2225:X2239)</f>
        <v>45878000</v>
      </c>
      <c r="Y2224" s="650"/>
      <c r="Z2224" s="586"/>
      <c r="AA2224" s="742"/>
      <c r="AB2224" s="586"/>
      <c r="AC2224" s="586"/>
      <c r="AD2224" s="586"/>
      <c r="AE2224" s="578"/>
      <c r="AF2224" s="712">
        <f>SUBTOTAL(9,AF2225:AF2239)</f>
        <v>0</v>
      </c>
      <c r="AG2224" s="585"/>
      <c r="AH2224" s="585">
        <f>SUBTOTAL(9,AH2225:AH2239)</f>
        <v>0</v>
      </c>
      <c r="AI2224" s="571">
        <f t="shared" si="485"/>
        <v>212008000</v>
      </c>
      <c r="AJ2224" s="578"/>
      <c r="AK2224" s="578"/>
      <c r="AM2224" s="470"/>
    </row>
    <row r="2225" spans="1:39" s="396" customFormat="1" ht="141.75" outlineLevel="2" x14ac:dyDescent="0.3">
      <c r="A2225" s="447">
        <f>IF(B2224&lt;&gt;0,B2224,A2223)</f>
        <v>186</v>
      </c>
      <c r="B2225" s="557"/>
      <c r="C2225" s="572" t="s">
        <v>1481</v>
      </c>
      <c r="D2225" s="700">
        <v>4</v>
      </c>
      <c r="E2225" s="612">
        <v>86</v>
      </c>
      <c r="F2225" s="612">
        <v>412</v>
      </c>
      <c r="G2225" s="586" t="s">
        <v>2897</v>
      </c>
      <c r="H2225" s="709">
        <f>13-H2227</f>
        <v>13</v>
      </c>
      <c r="I2225" s="546" t="str">
        <f t="shared" ref="I2225:I2226" si="491">IF(N2225&gt;0,H2225,"")</f>
        <v/>
      </c>
      <c r="J2225" s="562"/>
      <c r="K2225" s="563">
        <f>IF(G2225&lt;&gt;0,VLOOKUP(G2225,'gia dat'!$A$1:$F$144,5,0)," ")</f>
        <v>554400</v>
      </c>
      <c r="L2225" s="563">
        <f>IF(G2225&lt;&gt;0,VLOOKUP(G2225,'gia dat'!$A$1:$F$144,6,0)," ")</f>
        <v>0</v>
      </c>
      <c r="M2225" s="564">
        <f t="shared" si="480"/>
        <v>7207000</v>
      </c>
      <c r="N2225" s="564">
        <f t="shared" si="481"/>
        <v>0</v>
      </c>
      <c r="O2225" s="572" t="s">
        <v>145</v>
      </c>
      <c r="P2225" s="740">
        <v>1</v>
      </c>
      <c r="Q2225" s="564">
        <f>IF(O2225&lt;&gt;0,VLOOKUP(O2225,'Cây trong'!$A$2:$C$246,3,0)," ")</f>
        <v>4240000</v>
      </c>
      <c r="R2225" s="564">
        <f t="shared" si="486"/>
        <v>4240000</v>
      </c>
      <c r="S2225" s="566" t="s">
        <v>2399</v>
      </c>
      <c r="T2225" s="609" t="s">
        <v>1133</v>
      </c>
      <c r="U2225" s="741">
        <v>54.6</v>
      </c>
      <c r="V2225" s="586"/>
      <c r="W2225" s="564">
        <f>IF(S2225&lt;&gt;0,VLOOKUP(S2225,VKT!$A$2:$G$415,7,0),"")</f>
        <v>840258</v>
      </c>
      <c r="X2225" s="564">
        <f t="shared" si="484"/>
        <v>45878000</v>
      </c>
      <c r="Y2225" s="650"/>
      <c r="Z2225" s="586"/>
      <c r="AA2225" s="742"/>
      <c r="AB2225" s="586"/>
      <c r="AC2225" s="586"/>
      <c r="AD2225" s="586"/>
      <c r="AE2225" s="586"/>
      <c r="AF2225" s="714"/>
      <c r="AG2225" s="570" t="str">
        <f>IF(AE2225&lt;&gt;0,VLOOKUP(AE2225,ODDS!$A$2:$C$13,3,0),"")</f>
        <v/>
      </c>
      <c r="AH2225" s="570"/>
      <c r="AI2225" s="571" t="str">
        <f t="shared" si="485"/>
        <v xml:space="preserve"> </v>
      </c>
      <c r="AJ2225" s="586" t="s">
        <v>1480</v>
      </c>
      <c r="AK2225" s="586" t="s">
        <v>2771</v>
      </c>
      <c r="AM2225" s="395" t="s">
        <v>2161</v>
      </c>
    </row>
    <row r="2226" spans="1:39" s="394" customFormat="1" ht="121.5" outlineLevel="2" x14ac:dyDescent="0.3">
      <c r="A2226" s="447">
        <f t="shared" ref="A2226:A2239" si="492">IF(B2225&lt;&gt;0,B2225,A2225)</f>
        <v>186</v>
      </c>
      <c r="B2226" s="557"/>
      <c r="C2226" s="572" t="s">
        <v>1638</v>
      </c>
      <c r="D2226" s="700"/>
      <c r="E2226" s="612">
        <v>86</v>
      </c>
      <c r="F2226" s="612">
        <v>412</v>
      </c>
      <c r="G2226" s="586" t="s">
        <v>2049</v>
      </c>
      <c r="H2226" s="709">
        <v>20.100000000000001</v>
      </c>
      <c r="I2226" s="546" t="str">
        <f t="shared" si="491"/>
        <v/>
      </c>
      <c r="J2226" s="562"/>
      <c r="K2226" s="563">
        <f>IF(G2226&lt;&gt;0,VLOOKUP(G2226,'gia dat'!$A$1:$F$144,5,0)," ")</f>
        <v>7260624</v>
      </c>
      <c r="L2226" s="563">
        <f>IF(G2226&lt;&gt;0,VLOOKUP(G2226,'gia dat'!$A$1:$F$144,6,0)," ")</f>
        <v>0</v>
      </c>
      <c r="M2226" s="564">
        <f t="shared" si="480"/>
        <v>145939000</v>
      </c>
      <c r="N2226" s="564">
        <f t="shared" si="481"/>
        <v>0</v>
      </c>
      <c r="O2226" s="572" t="s">
        <v>1482</v>
      </c>
      <c r="P2226" s="740">
        <v>5</v>
      </c>
      <c r="Q2226" s="564">
        <f>IF(O2226&lt;&gt;0,VLOOKUP(O2226,'Cây trong'!$A$2:$C$246,3,0)," ")</f>
        <v>202000</v>
      </c>
      <c r="R2226" s="564">
        <f t="shared" si="486"/>
        <v>1010000</v>
      </c>
      <c r="S2226" s="566" t="s">
        <v>2400</v>
      </c>
      <c r="T2226" s="609" t="s">
        <v>93</v>
      </c>
      <c r="U2226" s="741">
        <v>1</v>
      </c>
      <c r="V2226" s="586"/>
      <c r="W2226" s="564">
        <f>IF(S2226&lt;&gt;0,VLOOKUP(S2226,VKT!$A$2:$G$415,7,0),"")</f>
        <v>0</v>
      </c>
      <c r="X2226" s="564">
        <f t="shared" si="484"/>
        <v>0</v>
      </c>
      <c r="Y2226" s="650"/>
      <c r="Z2226" s="586"/>
      <c r="AA2226" s="742"/>
      <c r="AB2226" s="586"/>
      <c r="AC2226" s="586"/>
      <c r="AD2226" s="586"/>
      <c r="AE2226" s="586"/>
      <c r="AF2226" s="714"/>
      <c r="AG2226" s="570" t="str">
        <f>IF(AE2226&lt;&gt;0,VLOOKUP(AE2226,ODDS!$A$2:$C$13,3,0),"")</f>
        <v/>
      </c>
      <c r="AH2226" s="570" t="str">
        <f t="shared" si="487"/>
        <v xml:space="preserve"> </v>
      </c>
      <c r="AI2226" s="571" t="str">
        <f t="shared" si="485"/>
        <v xml:space="preserve"> </v>
      </c>
      <c r="AJ2226" s="586" t="s">
        <v>1484</v>
      </c>
      <c r="AK2226" s="558" t="s">
        <v>2450</v>
      </c>
    </row>
    <row r="2227" spans="1:39" s="394" customFormat="1" ht="101.25" outlineLevel="2" x14ac:dyDescent="0.3">
      <c r="A2227" s="447">
        <f t="shared" si="492"/>
        <v>186</v>
      </c>
      <c r="B2227" s="557"/>
      <c r="C2227" s="572"/>
      <c r="D2227" s="700"/>
      <c r="E2227" s="612"/>
      <c r="F2227" s="612"/>
      <c r="G2227" s="586"/>
      <c r="H2227" s="709"/>
      <c r="I2227" s="546"/>
      <c r="J2227" s="562"/>
      <c r="K2227" s="563" t="str">
        <f>IF(G2227&lt;&gt;0,VLOOKUP(G2227,'gia dat'!$A$1:$F$144,5,0)," ")</f>
        <v xml:space="preserve"> </v>
      </c>
      <c r="L2227" s="563" t="str">
        <f>IF(G2227&lt;&gt;0,VLOOKUP(G2227,'gia dat'!$A$1:$F$144,6,0)," ")</f>
        <v xml:space="preserve"> </v>
      </c>
      <c r="M2227" s="564" t="str">
        <f t="shared" si="480"/>
        <v xml:space="preserve"> </v>
      </c>
      <c r="N2227" s="564" t="str">
        <f t="shared" si="481"/>
        <v xml:space="preserve"> </v>
      </c>
      <c r="O2227" s="572" t="s">
        <v>156</v>
      </c>
      <c r="P2227" s="740">
        <v>3</v>
      </c>
      <c r="Q2227" s="564">
        <f>IF(O2227&lt;&gt;0,VLOOKUP(O2227,'Cây trong'!$A$2:$C$246,3,0)," ")</f>
        <v>288000</v>
      </c>
      <c r="R2227" s="564">
        <f t="shared" si="486"/>
        <v>864000</v>
      </c>
      <c r="S2227" s="566"/>
      <c r="T2227" s="609"/>
      <c r="U2227" s="741"/>
      <c r="V2227" s="586"/>
      <c r="W2227" s="564" t="str">
        <f>IF(S2227&lt;&gt;0,VLOOKUP(S2227,VKT!$A$2:$G$415,7,0),"")</f>
        <v/>
      </c>
      <c r="X2227" s="564" t="str">
        <f t="shared" si="484"/>
        <v xml:space="preserve"> </v>
      </c>
      <c r="Y2227" s="650"/>
      <c r="Z2227" s="586"/>
      <c r="AA2227" s="742"/>
      <c r="AB2227" s="586"/>
      <c r="AC2227" s="586"/>
      <c r="AD2227" s="586"/>
      <c r="AE2227" s="586"/>
      <c r="AF2227" s="714"/>
      <c r="AG2227" s="570" t="str">
        <f>IF(AE2227&lt;&gt;0,VLOOKUP(AE2227,ODDS!$A$2:$C$13,3,0),"")</f>
        <v/>
      </c>
      <c r="AH2227" s="570" t="str">
        <f t="shared" si="487"/>
        <v xml:space="preserve"> </v>
      </c>
      <c r="AI2227" s="571" t="str">
        <f t="shared" si="485"/>
        <v xml:space="preserve"> </v>
      </c>
      <c r="AJ2227" s="586" t="s">
        <v>2244</v>
      </c>
      <c r="AK2227" s="558" t="s">
        <v>2449</v>
      </c>
    </row>
    <row r="2228" spans="1:39" s="394" customFormat="1" ht="20.25" outlineLevel="2" x14ac:dyDescent="0.3">
      <c r="A2228" s="447">
        <f t="shared" si="492"/>
        <v>186</v>
      </c>
      <c r="B2228" s="557"/>
      <c r="C2228" s="572"/>
      <c r="D2228" s="700"/>
      <c r="E2228" s="612"/>
      <c r="F2228" s="612"/>
      <c r="G2228" s="586"/>
      <c r="H2228" s="709"/>
      <c r="I2228" s="546"/>
      <c r="J2228" s="562"/>
      <c r="K2228" s="563" t="str">
        <f>IF(G2228&lt;&gt;0,VLOOKUP(G2228,'gia dat'!$A$1:$F$144,5,0)," ")</f>
        <v xml:space="preserve"> </v>
      </c>
      <c r="L2228" s="563" t="str">
        <f>IF(G2228&lt;&gt;0,VLOOKUP(G2228,'gia dat'!$A$1:$F$144,6,0)," ")</f>
        <v xml:space="preserve"> </v>
      </c>
      <c r="M2228" s="564" t="str">
        <f t="shared" si="480"/>
        <v xml:space="preserve"> </v>
      </c>
      <c r="N2228" s="564" t="str">
        <f t="shared" si="481"/>
        <v xml:space="preserve"> </v>
      </c>
      <c r="O2228" s="572" t="s">
        <v>1218</v>
      </c>
      <c r="P2228" s="740">
        <v>1</v>
      </c>
      <c r="Q2228" s="564">
        <f>IF(O2228&lt;&gt;0,VLOOKUP(O2228,'Cây trong'!$A$2:$C$246,3,0)," ")</f>
        <v>571000</v>
      </c>
      <c r="R2228" s="564">
        <f t="shared" si="486"/>
        <v>571000</v>
      </c>
      <c r="S2228" s="566"/>
      <c r="T2228" s="609"/>
      <c r="U2228" s="741"/>
      <c r="V2228" s="586"/>
      <c r="W2228" s="564" t="str">
        <f>IF(S2228&lt;&gt;0,VLOOKUP(S2228,VKT!$A$2:$G$415,7,0),"")</f>
        <v/>
      </c>
      <c r="X2228" s="564" t="str">
        <f t="shared" si="484"/>
        <v xml:space="preserve"> </v>
      </c>
      <c r="Y2228" s="650"/>
      <c r="Z2228" s="586"/>
      <c r="AA2228" s="742"/>
      <c r="AB2228" s="586"/>
      <c r="AC2228" s="586"/>
      <c r="AD2228" s="586"/>
      <c r="AE2228" s="586"/>
      <c r="AF2228" s="714"/>
      <c r="AG2228" s="570" t="str">
        <f>IF(AE2228&lt;&gt;0,VLOOKUP(AE2228,ODDS!$A$2:$C$13,3,0),"")</f>
        <v/>
      </c>
      <c r="AH2228" s="570" t="str">
        <f t="shared" si="487"/>
        <v xml:space="preserve"> </v>
      </c>
      <c r="AI2228" s="571" t="str">
        <f t="shared" si="485"/>
        <v xml:space="preserve"> </v>
      </c>
      <c r="AJ2228" s="731"/>
      <c r="AK2228" s="586"/>
    </row>
    <row r="2229" spans="1:39" s="394" customFormat="1" ht="40.5" outlineLevel="2" x14ac:dyDescent="0.3">
      <c r="A2229" s="447">
        <f t="shared" si="492"/>
        <v>186</v>
      </c>
      <c r="B2229" s="557"/>
      <c r="C2229" s="572"/>
      <c r="D2229" s="700"/>
      <c r="E2229" s="612"/>
      <c r="F2229" s="612"/>
      <c r="G2229" s="586"/>
      <c r="H2229" s="709"/>
      <c r="I2229" s="546"/>
      <c r="J2229" s="562"/>
      <c r="K2229" s="563" t="str">
        <f>IF(G2229&lt;&gt;0,VLOOKUP(G2229,'gia dat'!$A$1:$F$144,5,0)," ")</f>
        <v xml:space="preserve"> </v>
      </c>
      <c r="L2229" s="563" t="str">
        <f>IF(G2229&lt;&gt;0,VLOOKUP(G2229,'gia dat'!$A$1:$F$144,6,0)," ")</f>
        <v xml:space="preserve"> </v>
      </c>
      <c r="M2229" s="564" t="str">
        <f t="shared" si="480"/>
        <v xml:space="preserve"> </v>
      </c>
      <c r="N2229" s="564" t="str">
        <f t="shared" si="481"/>
        <v xml:space="preserve"> </v>
      </c>
      <c r="O2229" s="572" t="s">
        <v>1486</v>
      </c>
      <c r="P2229" s="740">
        <v>2</v>
      </c>
      <c r="Q2229" s="564">
        <f>IF(O2229&lt;&gt;0,VLOOKUP(O2229,'Cây trong'!$A$2:$C$246,3,0)," ")</f>
        <v>293000</v>
      </c>
      <c r="R2229" s="564">
        <f t="shared" si="486"/>
        <v>586000</v>
      </c>
      <c r="S2229" s="566"/>
      <c r="T2229" s="609"/>
      <c r="U2229" s="741"/>
      <c r="V2229" s="586"/>
      <c r="W2229" s="564" t="str">
        <f>IF(S2229&lt;&gt;0,VLOOKUP(S2229,VKT!$A$2:$G$415,7,0),"")</f>
        <v/>
      </c>
      <c r="X2229" s="564" t="str">
        <f t="shared" si="484"/>
        <v xml:space="preserve"> </v>
      </c>
      <c r="Y2229" s="650"/>
      <c r="Z2229" s="586"/>
      <c r="AA2229" s="742"/>
      <c r="AB2229" s="586"/>
      <c r="AC2229" s="586"/>
      <c r="AD2229" s="586"/>
      <c r="AE2229" s="586"/>
      <c r="AF2229" s="714"/>
      <c r="AG2229" s="570" t="str">
        <f>IF(AE2229&lt;&gt;0,VLOOKUP(AE2229,ODDS!$A$2:$C$13,3,0),"")</f>
        <v/>
      </c>
      <c r="AH2229" s="570" t="str">
        <f t="shared" si="487"/>
        <v xml:space="preserve"> </v>
      </c>
      <c r="AI2229" s="571" t="str">
        <f t="shared" si="485"/>
        <v xml:space="preserve"> </v>
      </c>
      <c r="AJ2229" s="731"/>
      <c r="AK2229" s="572"/>
    </row>
    <row r="2230" spans="1:39" s="394" customFormat="1" ht="20.25" outlineLevel="2" x14ac:dyDescent="0.3">
      <c r="A2230" s="447">
        <f t="shared" si="492"/>
        <v>186</v>
      </c>
      <c r="B2230" s="557"/>
      <c r="C2230" s="572"/>
      <c r="D2230" s="700"/>
      <c r="E2230" s="612"/>
      <c r="F2230" s="612"/>
      <c r="G2230" s="586"/>
      <c r="H2230" s="709"/>
      <c r="I2230" s="546"/>
      <c r="J2230" s="562"/>
      <c r="K2230" s="563" t="str">
        <f>IF(G2230&lt;&gt;0,VLOOKUP(G2230,'gia dat'!$A$1:$F$144,5,0)," ")</f>
        <v xml:space="preserve"> </v>
      </c>
      <c r="L2230" s="563" t="str">
        <f>IF(G2230&lt;&gt;0,VLOOKUP(G2230,'gia dat'!$A$1:$F$144,6,0)," ")</f>
        <v xml:space="preserve"> </v>
      </c>
      <c r="M2230" s="564" t="str">
        <f t="shared" si="480"/>
        <v xml:space="preserve"> </v>
      </c>
      <c r="N2230" s="564" t="str">
        <f t="shared" si="481"/>
        <v xml:space="preserve"> </v>
      </c>
      <c r="O2230" s="572" t="s">
        <v>76</v>
      </c>
      <c r="P2230" s="740">
        <v>3</v>
      </c>
      <c r="Q2230" s="564">
        <f>IF(O2230&lt;&gt;0,VLOOKUP(O2230,'Cây trong'!$A$2:$C$246,3,0)," ")</f>
        <v>45000</v>
      </c>
      <c r="R2230" s="564">
        <f t="shared" si="486"/>
        <v>135000</v>
      </c>
      <c r="S2230" s="566"/>
      <c r="T2230" s="609"/>
      <c r="U2230" s="741"/>
      <c r="V2230" s="586"/>
      <c r="W2230" s="564" t="str">
        <f>IF(S2230&lt;&gt;0,VLOOKUP(S2230,VKT!$A$2:$G$415,7,0),"")</f>
        <v/>
      </c>
      <c r="X2230" s="564" t="str">
        <f t="shared" si="484"/>
        <v xml:space="preserve"> </v>
      </c>
      <c r="Y2230" s="650"/>
      <c r="Z2230" s="586"/>
      <c r="AA2230" s="742"/>
      <c r="AB2230" s="586"/>
      <c r="AC2230" s="586"/>
      <c r="AD2230" s="586"/>
      <c r="AE2230" s="586"/>
      <c r="AF2230" s="714"/>
      <c r="AG2230" s="570" t="str">
        <f>IF(AE2230&lt;&gt;0,VLOOKUP(AE2230,ODDS!$A$2:$C$13,3,0),"")</f>
        <v/>
      </c>
      <c r="AH2230" s="570" t="str">
        <f t="shared" si="487"/>
        <v xml:space="preserve"> </v>
      </c>
      <c r="AI2230" s="571" t="str">
        <f t="shared" si="485"/>
        <v xml:space="preserve"> </v>
      </c>
      <c r="AJ2230" s="558"/>
      <c r="AK2230" s="558"/>
    </row>
    <row r="2231" spans="1:39" s="394" customFormat="1" ht="20.25" outlineLevel="2" x14ac:dyDescent="0.3">
      <c r="A2231" s="447">
        <f t="shared" si="492"/>
        <v>186</v>
      </c>
      <c r="B2231" s="557"/>
      <c r="C2231" s="572"/>
      <c r="D2231" s="700"/>
      <c r="E2231" s="612"/>
      <c r="F2231" s="612"/>
      <c r="G2231" s="586"/>
      <c r="H2231" s="709"/>
      <c r="I2231" s="546"/>
      <c r="J2231" s="562"/>
      <c r="K2231" s="563" t="str">
        <f>IF(G2231&lt;&gt;0,VLOOKUP(G2231,'gia dat'!$A$1:$F$144,5,0)," ")</f>
        <v xml:space="preserve"> </v>
      </c>
      <c r="L2231" s="563" t="str">
        <f>IF(G2231&lt;&gt;0,VLOOKUP(G2231,'gia dat'!$A$1:$F$144,6,0)," ")</f>
        <v xml:space="preserve"> </v>
      </c>
      <c r="M2231" s="564" t="str">
        <f t="shared" si="480"/>
        <v xml:space="preserve"> </v>
      </c>
      <c r="N2231" s="564" t="str">
        <f t="shared" si="481"/>
        <v xml:space="preserve"> </v>
      </c>
      <c r="O2231" s="572" t="s">
        <v>147</v>
      </c>
      <c r="P2231" s="740">
        <v>2</v>
      </c>
      <c r="Q2231" s="564">
        <f>IF(O2231&lt;&gt;0,VLOOKUP(O2231,'Cây trong'!$A$2:$C$246,3,0)," ")</f>
        <v>979000</v>
      </c>
      <c r="R2231" s="564">
        <f t="shared" si="486"/>
        <v>1958000</v>
      </c>
      <c r="S2231" s="566"/>
      <c r="T2231" s="609"/>
      <c r="U2231" s="741"/>
      <c r="V2231" s="586"/>
      <c r="W2231" s="564" t="str">
        <f>IF(S2231&lt;&gt;0,VLOOKUP(S2231,VKT!$A$2:$G$415,7,0),"")</f>
        <v/>
      </c>
      <c r="X2231" s="564" t="str">
        <f t="shared" si="484"/>
        <v xml:space="preserve"> </v>
      </c>
      <c r="Y2231" s="650"/>
      <c r="Z2231" s="586"/>
      <c r="AA2231" s="742"/>
      <c r="AB2231" s="586"/>
      <c r="AC2231" s="586"/>
      <c r="AD2231" s="586"/>
      <c r="AE2231" s="586"/>
      <c r="AF2231" s="714"/>
      <c r="AG2231" s="570" t="str">
        <f>IF(AE2231&lt;&gt;0,VLOOKUP(AE2231,ODDS!$A$2:$C$13,3,0),"")</f>
        <v/>
      </c>
      <c r="AH2231" s="570" t="str">
        <f t="shared" si="487"/>
        <v xml:space="preserve"> </v>
      </c>
      <c r="AI2231" s="571" t="str">
        <f t="shared" si="485"/>
        <v xml:space="preserve"> </v>
      </c>
      <c r="AJ2231" s="586"/>
      <c r="AK2231" s="586"/>
    </row>
    <row r="2232" spans="1:39" s="394" customFormat="1" ht="20.25" outlineLevel="2" x14ac:dyDescent="0.3">
      <c r="A2232" s="447">
        <f t="shared" si="492"/>
        <v>186</v>
      </c>
      <c r="B2232" s="557"/>
      <c r="C2232" s="572"/>
      <c r="D2232" s="700"/>
      <c r="E2232" s="612"/>
      <c r="F2232" s="612"/>
      <c r="G2232" s="586"/>
      <c r="H2232" s="709"/>
      <c r="I2232" s="546"/>
      <c r="J2232" s="562"/>
      <c r="K2232" s="563" t="str">
        <f>IF(G2232&lt;&gt;0,VLOOKUP(G2232,'gia dat'!$A$1:$F$144,5,0)," ")</f>
        <v xml:space="preserve"> </v>
      </c>
      <c r="L2232" s="563" t="str">
        <f>IF(G2232&lt;&gt;0,VLOOKUP(G2232,'gia dat'!$A$1:$F$144,6,0)," ")</f>
        <v xml:space="preserve"> </v>
      </c>
      <c r="M2232" s="564" t="str">
        <f t="shared" si="480"/>
        <v xml:space="preserve"> </v>
      </c>
      <c r="N2232" s="564" t="str">
        <f t="shared" si="481"/>
        <v xml:space="preserve"> </v>
      </c>
      <c r="O2232" s="572" t="s">
        <v>165</v>
      </c>
      <c r="P2232" s="740">
        <v>1</v>
      </c>
      <c r="Q2232" s="564">
        <f>IF(O2232&lt;&gt;0,VLOOKUP(O2232,'Cây trong'!$A$2:$C$246,3,0)," ")</f>
        <v>180000</v>
      </c>
      <c r="R2232" s="564">
        <f t="shared" si="486"/>
        <v>180000</v>
      </c>
      <c r="S2232" s="566"/>
      <c r="T2232" s="609"/>
      <c r="U2232" s="741"/>
      <c r="V2232" s="586"/>
      <c r="W2232" s="564" t="str">
        <f>IF(S2232&lt;&gt;0,VLOOKUP(S2232,VKT!$A$2:$G$415,7,0),"")</f>
        <v/>
      </c>
      <c r="X2232" s="564" t="str">
        <f t="shared" si="484"/>
        <v xml:space="preserve"> </v>
      </c>
      <c r="Y2232" s="650"/>
      <c r="Z2232" s="586"/>
      <c r="AA2232" s="742"/>
      <c r="AB2232" s="586"/>
      <c r="AC2232" s="586"/>
      <c r="AD2232" s="586"/>
      <c r="AE2232" s="586"/>
      <c r="AF2232" s="714"/>
      <c r="AG2232" s="570" t="str">
        <f>IF(AE2232&lt;&gt;0,VLOOKUP(AE2232,ODDS!$A$2:$C$13,3,0),"")</f>
        <v/>
      </c>
      <c r="AH2232" s="570" t="str">
        <f t="shared" si="487"/>
        <v xml:space="preserve"> </v>
      </c>
      <c r="AI2232" s="571" t="str">
        <f t="shared" si="485"/>
        <v xml:space="preserve"> </v>
      </c>
      <c r="AJ2232" s="586"/>
      <c r="AK2232" s="586"/>
    </row>
    <row r="2233" spans="1:39" s="394" customFormat="1" ht="40.5" outlineLevel="2" x14ac:dyDescent="0.3">
      <c r="A2233" s="447">
        <f t="shared" si="492"/>
        <v>186</v>
      </c>
      <c r="B2233" s="557"/>
      <c r="C2233" s="572"/>
      <c r="D2233" s="700"/>
      <c r="E2233" s="612"/>
      <c r="F2233" s="612"/>
      <c r="G2233" s="586"/>
      <c r="H2233" s="709"/>
      <c r="I2233" s="546"/>
      <c r="J2233" s="562"/>
      <c r="K2233" s="563" t="str">
        <f>IF(G2233&lt;&gt;0,VLOOKUP(G2233,'gia dat'!$A$1:$F$144,5,0)," ")</f>
        <v xml:space="preserve"> </v>
      </c>
      <c r="L2233" s="563" t="str">
        <f>IF(G2233&lt;&gt;0,VLOOKUP(G2233,'gia dat'!$A$1:$F$144,6,0)," ")</f>
        <v xml:space="preserve"> </v>
      </c>
      <c r="M2233" s="564" t="str">
        <f t="shared" si="480"/>
        <v xml:space="preserve"> </v>
      </c>
      <c r="N2233" s="564" t="str">
        <f t="shared" si="481"/>
        <v xml:space="preserve"> </v>
      </c>
      <c r="O2233" s="572" t="s">
        <v>1487</v>
      </c>
      <c r="P2233" s="740">
        <v>1</v>
      </c>
      <c r="Q2233" s="564">
        <f>IF(O2233&lt;&gt;0,VLOOKUP(O2233,'Cây trong'!$A$2:$C$246,3,0)," ")</f>
        <v>80000</v>
      </c>
      <c r="R2233" s="564">
        <f t="shared" si="486"/>
        <v>80000</v>
      </c>
      <c r="S2233" s="566"/>
      <c r="T2233" s="609"/>
      <c r="U2233" s="741"/>
      <c r="V2233" s="586"/>
      <c r="W2233" s="564" t="str">
        <f>IF(S2233&lt;&gt;0,VLOOKUP(S2233,VKT!$A$2:$G$415,7,0),"")</f>
        <v/>
      </c>
      <c r="X2233" s="564" t="str">
        <f t="shared" si="484"/>
        <v xml:space="preserve"> </v>
      </c>
      <c r="Y2233" s="650"/>
      <c r="Z2233" s="586"/>
      <c r="AA2233" s="742"/>
      <c r="AB2233" s="586"/>
      <c r="AC2233" s="586"/>
      <c r="AD2233" s="586"/>
      <c r="AE2233" s="586"/>
      <c r="AF2233" s="714"/>
      <c r="AG2233" s="570" t="str">
        <f>IF(AE2233&lt;&gt;0,VLOOKUP(AE2233,ODDS!$A$2:$C$13,3,0),"")</f>
        <v/>
      </c>
      <c r="AH2233" s="570" t="str">
        <f t="shared" si="487"/>
        <v xml:space="preserve"> </v>
      </c>
      <c r="AI2233" s="571" t="str">
        <f t="shared" si="485"/>
        <v xml:space="preserve"> </v>
      </c>
      <c r="AJ2233" s="586"/>
      <c r="AK2233" s="586"/>
    </row>
    <row r="2234" spans="1:39" s="394" customFormat="1" ht="40.5" outlineLevel="2" x14ac:dyDescent="0.3">
      <c r="A2234" s="447">
        <f t="shared" si="492"/>
        <v>186</v>
      </c>
      <c r="B2234" s="557"/>
      <c r="C2234" s="572"/>
      <c r="D2234" s="700"/>
      <c r="E2234" s="612"/>
      <c r="F2234" s="612"/>
      <c r="G2234" s="586"/>
      <c r="H2234" s="709"/>
      <c r="I2234" s="546"/>
      <c r="J2234" s="562"/>
      <c r="K2234" s="563" t="str">
        <f>IF(G2234&lt;&gt;0,VLOOKUP(G2234,'gia dat'!$A$1:$F$144,5,0)," ")</f>
        <v xml:space="preserve"> </v>
      </c>
      <c r="L2234" s="563" t="str">
        <f>IF(G2234&lt;&gt;0,VLOOKUP(G2234,'gia dat'!$A$1:$F$144,6,0)," ")</f>
        <v xml:space="preserve"> </v>
      </c>
      <c r="M2234" s="564" t="str">
        <f t="shared" si="480"/>
        <v xml:space="preserve"> </v>
      </c>
      <c r="N2234" s="564" t="str">
        <f t="shared" si="481"/>
        <v xml:space="preserve"> </v>
      </c>
      <c r="O2234" s="572" t="s">
        <v>1488</v>
      </c>
      <c r="P2234" s="740">
        <v>2</v>
      </c>
      <c r="Q2234" s="564">
        <f>IF(O2234&lt;&gt;0,VLOOKUP(O2234,'Cây trong'!$A$2:$C$246,3,0)," ")</f>
        <v>390000</v>
      </c>
      <c r="R2234" s="564">
        <f t="shared" si="486"/>
        <v>780000</v>
      </c>
      <c r="S2234" s="566"/>
      <c r="T2234" s="609"/>
      <c r="U2234" s="741"/>
      <c r="V2234" s="586"/>
      <c r="W2234" s="564" t="str">
        <f>IF(S2234&lt;&gt;0,VLOOKUP(S2234,VKT!$A$2:$G$415,7,0),"")</f>
        <v/>
      </c>
      <c r="X2234" s="564" t="str">
        <f t="shared" si="484"/>
        <v xml:space="preserve"> </v>
      </c>
      <c r="Y2234" s="650"/>
      <c r="Z2234" s="586"/>
      <c r="AA2234" s="742"/>
      <c r="AB2234" s="586"/>
      <c r="AC2234" s="586"/>
      <c r="AD2234" s="586"/>
      <c r="AE2234" s="586"/>
      <c r="AF2234" s="714"/>
      <c r="AG2234" s="570" t="str">
        <f>IF(AE2234&lt;&gt;0,VLOOKUP(AE2234,ODDS!$A$2:$C$13,3,0),"")</f>
        <v/>
      </c>
      <c r="AH2234" s="570" t="str">
        <f t="shared" si="487"/>
        <v xml:space="preserve"> </v>
      </c>
      <c r="AI2234" s="571" t="str">
        <f t="shared" si="485"/>
        <v xml:space="preserve"> </v>
      </c>
      <c r="AJ2234" s="586"/>
      <c r="AK2234" s="586"/>
    </row>
    <row r="2235" spans="1:39" s="394" customFormat="1" ht="20.25" outlineLevel="2" x14ac:dyDescent="0.3">
      <c r="A2235" s="447">
        <f t="shared" si="492"/>
        <v>186</v>
      </c>
      <c r="B2235" s="557"/>
      <c r="C2235" s="572"/>
      <c r="D2235" s="700"/>
      <c r="E2235" s="612"/>
      <c r="F2235" s="612"/>
      <c r="G2235" s="586"/>
      <c r="H2235" s="709"/>
      <c r="I2235" s="546"/>
      <c r="J2235" s="562"/>
      <c r="K2235" s="563" t="str">
        <f>IF(G2235&lt;&gt;0,VLOOKUP(G2235,'gia dat'!$A$1:$F$144,5,0)," ")</f>
        <v xml:space="preserve"> </v>
      </c>
      <c r="L2235" s="563" t="str">
        <f>IF(G2235&lt;&gt;0,VLOOKUP(G2235,'gia dat'!$A$1:$F$144,6,0)," ")</f>
        <v xml:space="preserve"> </v>
      </c>
      <c r="M2235" s="564" t="str">
        <f t="shared" si="480"/>
        <v xml:space="preserve"> </v>
      </c>
      <c r="N2235" s="564" t="str">
        <f t="shared" si="481"/>
        <v xml:space="preserve"> </v>
      </c>
      <c r="O2235" s="572" t="s">
        <v>1489</v>
      </c>
      <c r="P2235" s="740">
        <v>1</v>
      </c>
      <c r="Q2235" s="564">
        <f>IF(O2235&lt;&gt;0,VLOOKUP(O2235,'Cây trong'!$A$2:$C$246,3,0)," ")</f>
        <v>2400000</v>
      </c>
      <c r="R2235" s="564">
        <f t="shared" si="486"/>
        <v>2400000</v>
      </c>
      <c r="S2235" s="566"/>
      <c r="T2235" s="609"/>
      <c r="U2235" s="741"/>
      <c r="V2235" s="586"/>
      <c r="W2235" s="564" t="str">
        <f>IF(S2235&lt;&gt;0,VLOOKUP(S2235,VKT!$A$2:$G$415,7,0),"")</f>
        <v/>
      </c>
      <c r="X2235" s="564" t="str">
        <f t="shared" si="484"/>
        <v xml:space="preserve"> </v>
      </c>
      <c r="Y2235" s="650"/>
      <c r="Z2235" s="586"/>
      <c r="AA2235" s="742"/>
      <c r="AB2235" s="586"/>
      <c r="AC2235" s="586"/>
      <c r="AD2235" s="586"/>
      <c r="AE2235" s="586"/>
      <c r="AF2235" s="714"/>
      <c r="AG2235" s="570" t="str">
        <f>IF(AE2235&lt;&gt;0,VLOOKUP(AE2235,ODDS!$A$2:$C$13,3,0),"")</f>
        <v/>
      </c>
      <c r="AH2235" s="570" t="str">
        <f t="shared" si="487"/>
        <v xml:space="preserve"> </v>
      </c>
      <c r="AI2235" s="571" t="str">
        <f t="shared" si="485"/>
        <v xml:space="preserve"> </v>
      </c>
      <c r="AJ2235" s="586"/>
      <c r="AK2235" s="586"/>
    </row>
    <row r="2236" spans="1:39" s="394" customFormat="1" ht="60.75" outlineLevel="2" x14ac:dyDescent="0.3">
      <c r="A2236" s="447">
        <f t="shared" si="492"/>
        <v>186</v>
      </c>
      <c r="B2236" s="557"/>
      <c r="C2236" s="572"/>
      <c r="D2236" s="700"/>
      <c r="E2236" s="612"/>
      <c r="F2236" s="612"/>
      <c r="G2236" s="586"/>
      <c r="H2236" s="709"/>
      <c r="I2236" s="546"/>
      <c r="J2236" s="558"/>
      <c r="K2236" s="563" t="str">
        <f>IF(G2236&lt;&gt;0,VLOOKUP(G2236,'gia dat'!$A$1:$F$144,5,0)," ")</f>
        <v xml:space="preserve"> </v>
      </c>
      <c r="L2236" s="563" t="str">
        <f>IF(G2236&lt;&gt;0,VLOOKUP(G2236,'gia dat'!$A$1:$F$144,6,0)," ")</f>
        <v xml:space="preserve"> </v>
      </c>
      <c r="M2236" s="564" t="str">
        <f t="shared" si="480"/>
        <v xml:space="preserve"> </v>
      </c>
      <c r="N2236" s="564" t="str">
        <f t="shared" si="481"/>
        <v xml:space="preserve"> </v>
      </c>
      <c r="O2236" s="565" t="s">
        <v>429</v>
      </c>
      <c r="P2236" s="740">
        <v>15</v>
      </c>
      <c r="Q2236" s="564">
        <f>IF(O2236&lt;&gt;0,VLOOKUP(O2236,'Cây trong'!$A$2:$C$246,3,0)," ")</f>
        <v>12000</v>
      </c>
      <c r="R2236" s="564">
        <f t="shared" si="486"/>
        <v>180000</v>
      </c>
      <c r="S2236" s="572"/>
      <c r="T2236" s="609"/>
      <c r="U2236" s="741"/>
      <c r="V2236" s="586"/>
      <c r="W2236" s="564" t="str">
        <f>IF(S2236&lt;&gt;0,VLOOKUP(S2236,VKT!$A$2:$G$415,7,0),"")</f>
        <v/>
      </c>
      <c r="X2236" s="564" t="str">
        <f t="shared" si="484"/>
        <v xml:space="preserve"> </v>
      </c>
      <c r="Y2236" s="650"/>
      <c r="Z2236" s="586"/>
      <c r="AA2236" s="742"/>
      <c r="AB2236" s="586"/>
      <c r="AC2236" s="586"/>
      <c r="AD2236" s="586"/>
      <c r="AE2236" s="586"/>
      <c r="AF2236" s="714"/>
      <c r="AG2236" s="570" t="str">
        <f>IF(AE2236&lt;&gt;0,VLOOKUP(AE2236,ODDS!$A$2:$C$13,3,0),"")</f>
        <v/>
      </c>
      <c r="AH2236" s="570" t="str">
        <f t="shared" si="487"/>
        <v xml:space="preserve"> </v>
      </c>
      <c r="AI2236" s="571" t="str">
        <f t="shared" si="485"/>
        <v xml:space="preserve"> </v>
      </c>
      <c r="AJ2236" s="586"/>
      <c r="AK2236" s="586"/>
    </row>
    <row r="2237" spans="1:39" s="394" customFormat="1" ht="20.25" outlineLevel="2" x14ac:dyDescent="0.3">
      <c r="A2237" s="447">
        <f t="shared" si="492"/>
        <v>186</v>
      </c>
      <c r="B2237" s="557"/>
      <c r="C2237" s="572"/>
      <c r="D2237" s="700"/>
      <c r="E2237" s="612"/>
      <c r="F2237" s="612"/>
      <c r="G2237" s="586"/>
      <c r="H2237" s="709"/>
      <c r="I2237" s="546"/>
      <c r="J2237" s="558"/>
      <c r="K2237" s="563" t="str">
        <f>IF(G2237&lt;&gt;0,VLOOKUP(G2237,'gia dat'!$A$1:$F$144,5,0)," ")</f>
        <v xml:space="preserve"> </v>
      </c>
      <c r="L2237" s="563" t="str">
        <f>IF(G2237&lt;&gt;0,VLOOKUP(G2237,'gia dat'!$A$1:$F$144,6,0)," ")</f>
        <v xml:space="preserve"> </v>
      </c>
      <c r="M2237" s="564" t="str">
        <f t="shared" si="480"/>
        <v xml:space="preserve"> </v>
      </c>
      <c r="N2237" s="564" t="str">
        <f t="shared" si="481"/>
        <v xml:space="preserve"> </v>
      </c>
      <c r="O2237" s="572"/>
      <c r="P2237" s="740"/>
      <c r="Q2237" s="564" t="str">
        <f>IF(O2237&lt;&gt;0,VLOOKUP(O2237,'Cây trong'!$A$2:$C$246,3,0)," ")</f>
        <v xml:space="preserve"> </v>
      </c>
      <c r="R2237" s="564" t="str">
        <f t="shared" si="486"/>
        <v xml:space="preserve"> </v>
      </c>
      <c r="S2237" s="572"/>
      <c r="T2237" s="609"/>
      <c r="U2237" s="741"/>
      <c r="V2237" s="586"/>
      <c r="W2237" s="564" t="str">
        <f>IF(S2237&lt;&gt;0,VLOOKUP(S2237,VKT!$A$2:$G$415,7,0),"")</f>
        <v/>
      </c>
      <c r="X2237" s="564" t="str">
        <f t="shared" si="484"/>
        <v xml:space="preserve"> </v>
      </c>
      <c r="Y2237" s="650"/>
      <c r="Z2237" s="586"/>
      <c r="AA2237" s="742"/>
      <c r="AB2237" s="586"/>
      <c r="AC2237" s="586"/>
      <c r="AD2237" s="586"/>
      <c r="AE2237" s="586"/>
      <c r="AF2237" s="714"/>
      <c r="AG2237" s="570" t="str">
        <f>IF(AE2237&lt;&gt;0,VLOOKUP(AE2237,ODDS!$A$2:$C$13,3,0),"")</f>
        <v/>
      </c>
      <c r="AH2237" s="570" t="str">
        <f t="shared" si="487"/>
        <v xml:space="preserve"> </v>
      </c>
      <c r="AI2237" s="571" t="str">
        <f t="shared" si="485"/>
        <v xml:space="preserve"> </v>
      </c>
      <c r="AJ2237" s="586"/>
      <c r="AK2237" s="586"/>
    </row>
    <row r="2238" spans="1:39" s="394" customFormat="1" ht="20.25" outlineLevel="2" x14ac:dyDescent="0.3">
      <c r="A2238" s="447">
        <f t="shared" si="492"/>
        <v>186</v>
      </c>
      <c r="B2238" s="557"/>
      <c r="C2238" s="572"/>
      <c r="D2238" s="700"/>
      <c r="E2238" s="612"/>
      <c r="F2238" s="612"/>
      <c r="G2238" s="586"/>
      <c r="H2238" s="709"/>
      <c r="I2238" s="546"/>
      <c r="J2238" s="558"/>
      <c r="K2238" s="563" t="str">
        <f>IF(G2238&lt;&gt;0,VLOOKUP(G2238,'gia dat'!$A$1:$F$144,5,0)," ")</f>
        <v xml:space="preserve"> </v>
      </c>
      <c r="L2238" s="563" t="str">
        <f>IF(G2238&lt;&gt;0,VLOOKUP(G2238,'gia dat'!$A$1:$F$144,6,0)," ")</f>
        <v xml:space="preserve"> </v>
      </c>
      <c r="M2238" s="564" t="str">
        <f t="shared" si="480"/>
        <v xml:space="preserve"> </v>
      </c>
      <c r="N2238" s="564" t="str">
        <f t="shared" si="481"/>
        <v xml:space="preserve"> </v>
      </c>
      <c r="O2238" s="572"/>
      <c r="P2238" s="740"/>
      <c r="Q2238" s="564" t="str">
        <f>IF(O2238&lt;&gt;0,VLOOKUP(O2238,'Cây trong'!$A$2:$C$246,3,0)," ")</f>
        <v xml:space="preserve"> </v>
      </c>
      <c r="R2238" s="564" t="str">
        <f t="shared" si="486"/>
        <v xml:space="preserve"> </v>
      </c>
      <c r="S2238" s="572"/>
      <c r="T2238" s="609"/>
      <c r="U2238" s="741"/>
      <c r="V2238" s="586"/>
      <c r="W2238" s="564" t="str">
        <f>IF(S2238&lt;&gt;0,VLOOKUP(S2238,VKT!$A$2:$G$415,7,0),"")</f>
        <v/>
      </c>
      <c r="X2238" s="564" t="str">
        <f t="shared" si="484"/>
        <v xml:space="preserve"> </v>
      </c>
      <c r="Y2238" s="650"/>
      <c r="Z2238" s="586"/>
      <c r="AA2238" s="742"/>
      <c r="AB2238" s="586"/>
      <c r="AC2238" s="586"/>
      <c r="AD2238" s="586"/>
      <c r="AE2238" s="586"/>
      <c r="AF2238" s="714"/>
      <c r="AG2238" s="570" t="str">
        <f>IF(AE2238&lt;&gt;0,VLOOKUP(AE2238,ODDS!$A$2:$C$13,3,0),"")</f>
        <v/>
      </c>
      <c r="AH2238" s="570" t="str">
        <f t="shared" si="487"/>
        <v xml:space="preserve"> </v>
      </c>
      <c r="AI2238" s="571" t="str">
        <f t="shared" si="485"/>
        <v xml:space="preserve"> </v>
      </c>
      <c r="AJ2238" s="586"/>
      <c r="AK2238" s="586"/>
    </row>
    <row r="2239" spans="1:39" s="394" customFormat="1" ht="20.25" outlineLevel="2" x14ac:dyDescent="0.3">
      <c r="A2239" s="447">
        <f t="shared" si="492"/>
        <v>186</v>
      </c>
      <c r="B2239" s="557"/>
      <c r="C2239" s="607"/>
      <c r="D2239" s="700"/>
      <c r="E2239" s="612"/>
      <c r="F2239" s="612"/>
      <c r="G2239" s="586"/>
      <c r="H2239" s="709"/>
      <c r="I2239" s="546"/>
      <c r="J2239" s="558"/>
      <c r="K2239" s="563" t="str">
        <f>IF(G2239&lt;&gt;0,VLOOKUP(G2239,'gia dat'!$A$1:$F$144,5,0)," ")</f>
        <v xml:space="preserve"> </v>
      </c>
      <c r="L2239" s="563" t="str">
        <f>IF(G2239&lt;&gt;0,VLOOKUP(G2239,'gia dat'!$A$1:$F$144,6,0)," ")</f>
        <v xml:space="preserve"> </v>
      </c>
      <c r="M2239" s="564" t="str">
        <f t="shared" si="480"/>
        <v xml:space="preserve"> </v>
      </c>
      <c r="N2239" s="564" t="str">
        <f t="shared" si="481"/>
        <v xml:space="preserve"> </v>
      </c>
      <c r="O2239" s="572"/>
      <c r="P2239" s="740"/>
      <c r="Q2239" s="564" t="str">
        <f>IF(O2239&lt;&gt;0,VLOOKUP(O2239,'Cây trong'!$A$2:$C$246,3,0)," ")</f>
        <v xml:space="preserve"> </v>
      </c>
      <c r="R2239" s="564" t="str">
        <f t="shared" si="486"/>
        <v xml:space="preserve"> </v>
      </c>
      <c r="S2239" s="572"/>
      <c r="T2239" s="609"/>
      <c r="U2239" s="741"/>
      <c r="V2239" s="586"/>
      <c r="W2239" s="564" t="str">
        <f>IF(S2239&lt;&gt;0,VLOOKUP(S2239,VKT!$A$2:$G$415,7,0),"")</f>
        <v/>
      </c>
      <c r="X2239" s="564" t="str">
        <f t="shared" si="484"/>
        <v xml:space="preserve"> </v>
      </c>
      <c r="Y2239" s="650"/>
      <c r="Z2239" s="586"/>
      <c r="AA2239" s="742"/>
      <c r="AB2239" s="586"/>
      <c r="AC2239" s="586"/>
      <c r="AD2239" s="586"/>
      <c r="AE2239" s="586"/>
      <c r="AF2239" s="714"/>
      <c r="AG2239" s="570" t="str">
        <f>IF(AE2239&lt;&gt;0,VLOOKUP(AE2239,ODDS!$A$2:$C$13,3,0),"")</f>
        <v/>
      </c>
      <c r="AH2239" s="570" t="str">
        <f t="shared" si="487"/>
        <v xml:space="preserve"> </v>
      </c>
      <c r="AI2239" s="571" t="str">
        <f t="shared" si="485"/>
        <v xml:space="preserve"> </v>
      </c>
      <c r="AJ2239" s="586"/>
      <c r="AK2239" s="586"/>
    </row>
    <row r="2240" spans="1:39" s="396" customFormat="1" ht="40.5" outlineLevel="1" x14ac:dyDescent="0.25">
      <c r="A2240" s="467" t="s">
        <v>2523</v>
      </c>
      <c r="B2240" s="576">
        <v>187</v>
      </c>
      <c r="C2240" s="607" t="s">
        <v>1490</v>
      </c>
      <c r="D2240" s="706"/>
      <c r="E2240" s="642"/>
      <c r="F2240" s="642"/>
      <c r="G2240" s="578"/>
      <c r="H2240" s="707">
        <f>SUBTOTAL(9,H2241:H2249)</f>
        <v>9.6</v>
      </c>
      <c r="I2240" s="579">
        <f>SUBTOTAL(9,I2241:I2246)</f>
        <v>9.6</v>
      </c>
      <c r="J2240" s="580"/>
      <c r="K2240" s="581"/>
      <c r="L2240" s="581"/>
      <c r="M2240" s="571">
        <f>SUBTOTAL(9,M2241:M2249)</f>
        <v>5322000</v>
      </c>
      <c r="N2240" s="571">
        <f>SUBTOTAL(9,N2241:N2249)</f>
        <v>15967000</v>
      </c>
      <c r="O2240" s="607"/>
      <c r="P2240" s="738">
        <f>SUBTOTAL(9,P2241:P2249)</f>
        <v>0</v>
      </c>
      <c r="Q2240" s="571"/>
      <c r="R2240" s="571">
        <f>SUBTOTAL(9,R2241:R2249)</f>
        <v>0</v>
      </c>
      <c r="S2240" s="582"/>
      <c r="T2240" s="621"/>
      <c r="U2240" s="739">
        <f>SUBTOTAL(9,U2241:U2249)</f>
        <v>0</v>
      </c>
      <c r="V2240" s="578"/>
      <c r="W2240" s="571"/>
      <c r="X2240" s="571">
        <f>SUBTOTAL(9,X2241:X2249)</f>
        <v>0</v>
      </c>
      <c r="Y2240" s="650"/>
      <c r="Z2240" s="586"/>
      <c r="AA2240" s="742"/>
      <c r="AB2240" s="586"/>
      <c r="AC2240" s="586"/>
      <c r="AD2240" s="586"/>
      <c r="AE2240" s="578"/>
      <c r="AF2240" s="712">
        <f>SUBTOTAL(9,AF2241:AF2249)</f>
        <v>0</v>
      </c>
      <c r="AG2240" s="585"/>
      <c r="AH2240" s="585">
        <f>SUBTOTAL(9,AH2241:AH2249)</f>
        <v>0</v>
      </c>
      <c r="AI2240" s="571">
        <f t="shared" si="485"/>
        <v>21289000</v>
      </c>
      <c r="AJ2240" s="578"/>
      <c r="AK2240" s="578"/>
    </row>
    <row r="2241" spans="1:38" s="396" customFormat="1" ht="121.5" outlineLevel="2" x14ac:dyDescent="0.3">
      <c r="A2241" s="447">
        <f>IF(B2240&lt;&gt;0,B2240,A2239)</f>
        <v>187</v>
      </c>
      <c r="B2241" s="557"/>
      <c r="C2241" s="572" t="s">
        <v>1492</v>
      </c>
      <c r="D2241" s="700">
        <v>4</v>
      </c>
      <c r="E2241" s="612">
        <v>86</v>
      </c>
      <c r="F2241" s="612">
        <v>260</v>
      </c>
      <c r="G2241" s="586" t="s">
        <v>2896</v>
      </c>
      <c r="H2241" s="709">
        <v>9.6</v>
      </c>
      <c r="I2241" s="546">
        <f t="shared" ref="I2241" si="493">IF(N2241&gt;0,H2241,"")</f>
        <v>9.6</v>
      </c>
      <c r="J2241" s="562"/>
      <c r="K2241" s="563">
        <f>IF(G2241&lt;&gt;0,VLOOKUP(G2241,'gia dat'!$A$1:$F$144,5,0)," ")</f>
        <v>554400</v>
      </c>
      <c r="L2241" s="563">
        <f>IF(G2241&lt;&gt;0,VLOOKUP(G2241,'gia dat'!$A$1:$F$144,6,0)," ")</f>
        <v>1663200</v>
      </c>
      <c r="M2241" s="564">
        <f t="shared" si="480"/>
        <v>5322000</v>
      </c>
      <c r="N2241" s="564">
        <f t="shared" si="481"/>
        <v>15967000</v>
      </c>
      <c r="O2241" s="572"/>
      <c r="P2241" s="740"/>
      <c r="Q2241" s="564" t="str">
        <f>IF(O2241&lt;&gt;0,VLOOKUP(O2241,'Cây trong'!$A$2:$C$246,3,0)," ")</f>
        <v xml:space="preserve"> </v>
      </c>
      <c r="R2241" s="564" t="str">
        <f t="shared" si="486"/>
        <v xml:space="preserve"> </v>
      </c>
      <c r="S2241" s="566"/>
      <c r="T2241" s="609"/>
      <c r="U2241" s="741"/>
      <c r="V2241" s="586"/>
      <c r="W2241" s="564" t="str">
        <f>IF(S2241&lt;&gt;0,VLOOKUP(S2241,VKT!$A$2:$G$415,7,0),"")</f>
        <v/>
      </c>
      <c r="X2241" s="564" t="str">
        <f t="shared" si="484"/>
        <v xml:space="preserve"> </v>
      </c>
      <c r="Y2241" s="650"/>
      <c r="Z2241" s="586"/>
      <c r="AA2241" s="742"/>
      <c r="AB2241" s="586"/>
      <c r="AC2241" s="586"/>
      <c r="AD2241" s="586"/>
      <c r="AE2241" s="586"/>
      <c r="AF2241" s="714"/>
      <c r="AG2241" s="570" t="str">
        <f>IF(AE2241&lt;&gt;0,VLOOKUP(AE2241,ODDS!$A$2:$C$13,3,0),"")</f>
        <v/>
      </c>
      <c r="AH2241" s="570"/>
      <c r="AI2241" s="571" t="str">
        <f t="shared" si="485"/>
        <v xml:space="preserve"> </v>
      </c>
      <c r="AJ2241" s="586" t="s">
        <v>1491</v>
      </c>
      <c r="AK2241" s="586" t="s">
        <v>2771</v>
      </c>
    </row>
    <row r="2242" spans="1:38" s="394" customFormat="1" ht="101.25" outlineLevel="2" x14ac:dyDescent="0.3">
      <c r="A2242" s="447">
        <f t="shared" ref="A2242:A2249" si="494">IF(B2241&lt;&gt;0,B2241,A2241)</f>
        <v>187</v>
      </c>
      <c r="B2242" s="557"/>
      <c r="C2242" s="572" t="s">
        <v>1639</v>
      </c>
      <c r="D2242" s="700"/>
      <c r="E2242" s="612"/>
      <c r="F2242" s="612"/>
      <c r="G2242" s="586"/>
      <c r="H2242" s="709"/>
      <c r="I2242" s="546"/>
      <c r="J2242" s="562"/>
      <c r="K2242" s="563" t="str">
        <f>IF(G2242&lt;&gt;0,VLOOKUP(G2242,'gia dat'!$A$1:$F$144,5,0)," ")</f>
        <v xml:space="preserve"> </v>
      </c>
      <c r="L2242" s="563" t="str">
        <f>IF(G2242&lt;&gt;0,VLOOKUP(G2242,'gia dat'!$A$1:$F$144,6,0)," ")</f>
        <v xml:space="preserve"> </v>
      </c>
      <c r="M2242" s="564" t="str">
        <f t="shared" si="480"/>
        <v xml:space="preserve"> </v>
      </c>
      <c r="N2242" s="564" t="str">
        <f t="shared" si="481"/>
        <v xml:space="preserve"> </v>
      </c>
      <c r="O2242" s="572"/>
      <c r="P2242" s="740"/>
      <c r="Q2242" s="564" t="str">
        <f>IF(O2242&lt;&gt;0,VLOOKUP(O2242,'Cây trong'!$A$2:$C$246,3,0)," ")</f>
        <v xml:space="preserve"> </v>
      </c>
      <c r="R2242" s="564" t="str">
        <f t="shared" si="486"/>
        <v xml:space="preserve"> </v>
      </c>
      <c r="S2242" s="566"/>
      <c r="T2242" s="609"/>
      <c r="U2242" s="741"/>
      <c r="V2242" s="586"/>
      <c r="W2242" s="564" t="str">
        <f>IF(S2242&lt;&gt;0,VLOOKUP(S2242,VKT!$A$2:$G$415,7,0),"")</f>
        <v/>
      </c>
      <c r="X2242" s="564" t="str">
        <f t="shared" si="484"/>
        <v xml:space="preserve"> </v>
      </c>
      <c r="Y2242" s="650"/>
      <c r="Z2242" s="586"/>
      <c r="AA2242" s="742"/>
      <c r="AB2242" s="586"/>
      <c r="AC2242" s="586"/>
      <c r="AD2242" s="586"/>
      <c r="AE2242" s="586"/>
      <c r="AF2242" s="714"/>
      <c r="AG2242" s="570" t="str">
        <f>IF(AE2242&lt;&gt;0,VLOOKUP(AE2242,ODDS!$A$2:$C$13,3,0),"")</f>
        <v/>
      </c>
      <c r="AH2242" s="570" t="str">
        <f t="shared" si="487"/>
        <v xml:space="preserve"> </v>
      </c>
      <c r="AI2242" s="571" t="str">
        <f t="shared" si="485"/>
        <v xml:space="preserve"> </v>
      </c>
      <c r="AJ2242" s="586" t="s">
        <v>1493</v>
      </c>
      <c r="AK2242" s="558" t="s">
        <v>2448</v>
      </c>
    </row>
    <row r="2243" spans="1:38" s="394" customFormat="1" ht="60.75" outlineLevel="2" x14ac:dyDescent="0.3">
      <c r="A2243" s="447">
        <f t="shared" si="494"/>
        <v>187</v>
      </c>
      <c r="B2243" s="557"/>
      <c r="C2243" s="572"/>
      <c r="D2243" s="700"/>
      <c r="E2243" s="612"/>
      <c r="F2243" s="612"/>
      <c r="G2243" s="586"/>
      <c r="H2243" s="709"/>
      <c r="I2243" s="546"/>
      <c r="J2243" s="562"/>
      <c r="K2243" s="563" t="str">
        <f>IF(G2243&lt;&gt;0,VLOOKUP(G2243,'gia dat'!$A$1:$F$144,5,0)," ")</f>
        <v xml:space="preserve"> </v>
      </c>
      <c r="L2243" s="563" t="str">
        <f>IF(G2243&lt;&gt;0,VLOOKUP(G2243,'gia dat'!$A$1:$F$144,6,0)," ")</f>
        <v xml:space="preserve"> </v>
      </c>
      <c r="M2243" s="564" t="str">
        <f t="shared" si="480"/>
        <v xml:space="preserve"> </v>
      </c>
      <c r="N2243" s="564" t="str">
        <f t="shared" si="481"/>
        <v xml:space="preserve"> </v>
      </c>
      <c r="O2243" s="572"/>
      <c r="P2243" s="740"/>
      <c r="Q2243" s="564" t="str">
        <f>IF(O2243&lt;&gt;0,VLOOKUP(O2243,'Cây trong'!$A$2:$C$246,3,0)," ")</f>
        <v xml:space="preserve"> </v>
      </c>
      <c r="R2243" s="564" t="str">
        <f t="shared" si="486"/>
        <v xml:space="preserve"> </v>
      </c>
      <c r="S2243" s="566"/>
      <c r="T2243" s="609"/>
      <c r="U2243" s="741"/>
      <c r="V2243" s="586"/>
      <c r="W2243" s="564" t="str">
        <f>IF(S2243&lt;&gt;0,VLOOKUP(S2243,VKT!$A$2:$G$415,7,0),"")</f>
        <v/>
      </c>
      <c r="X2243" s="564" t="str">
        <f t="shared" si="484"/>
        <v xml:space="preserve"> </v>
      </c>
      <c r="Y2243" s="650"/>
      <c r="Z2243" s="586"/>
      <c r="AA2243" s="742"/>
      <c r="AB2243" s="586"/>
      <c r="AC2243" s="586"/>
      <c r="AD2243" s="586"/>
      <c r="AE2243" s="586"/>
      <c r="AF2243" s="714"/>
      <c r="AG2243" s="570" t="str">
        <f>IF(AE2243&lt;&gt;0,VLOOKUP(AE2243,ODDS!$A$2:$C$13,3,0),"")</f>
        <v/>
      </c>
      <c r="AH2243" s="570" t="str">
        <f t="shared" si="487"/>
        <v xml:space="preserve"> </v>
      </c>
      <c r="AI2243" s="571" t="str">
        <f t="shared" si="485"/>
        <v xml:space="preserve"> </v>
      </c>
      <c r="AJ2243" s="586" t="s">
        <v>2074</v>
      </c>
      <c r="AK2243" s="586"/>
    </row>
    <row r="2244" spans="1:38" s="394" customFormat="1" ht="20.25" outlineLevel="2" x14ac:dyDescent="0.3">
      <c r="A2244" s="447">
        <f t="shared" si="494"/>
        <v>187</v>
      </c>
      <c r="B2244" s="557"/>
      <c r="C2244" s="572"/>
      <c r="D2244" s="700"/>
      <c r="E2244" s="612"/>
      <c r="F2244" s="612"/>
      <c r="G2244" s="586"/>
      <c r="H2244" s="709"/>
      <c r="I2244" s="546"/>
      <c r="J2244" s="558"/>
      <c r="K2244" s="563" t="str">
        <f>IF(G2244&lt;&gt;0,VLOOKUP(G2244,'gia dat'!$A$1:$F$144,5,0)," ")</f>
        <v xml:space="preserve"> </v>
      </c>
      <c r="L2244" s="563" t="str">
        <f>IF(G2244&lt;&gt;0,VLOOKUP(G2244,'gia dat'!$A$1:$F$144,6,0)," ")</f>
        <v xml:space="preserve"> </v>
      </c>
      <c r="M2244" s="564" t="str">
        <f t="shared" ref="M2244:M2314" si="495">IF(H2244&lt;&gt;0,ROUND(H2244*K2244,-3)," ")</f>
        <v xml:space="preserve"> </v>
      </c>
      <c r="N2244" s="564" t="str">
        <f t="shared" ref="N2244:N2314" si="496">IF(H2244&lt;&gt;0,ROUND(H2244*L2244,-3)," ")</f>
        <v xml:space="preserve"> </v>
      </c>
      <c r="O2244" s="572"/>
      <c r="P2244" s="740"/>
      <c r="Q2244" s="564" t="str">
        <f>IF(O2244&lt;&gt;0,VLOOKUP(O2244,'Cây trong'!$A$2:$C$246,3,0)," ")</f>
        <v xml:space="preserve"> </v>
      </c>
      <c r="R2244" s="564" t="str">
        <f t="shared" si="486"/>
        <v xml:space="preserve"> </v>
      </c>
      <c r="S2244" s="572"/>
      <c r="T2244" s="609"/>
      <c r="U2244" s="741"/>
      <c r="V2244" s="586"/>
      <c r="W2244" s="564" t="str">
        <f>IF(S2244&lt;&gt;0,VLOOKUP(S2244,VKT!$A$2:$G$415,7,0),"")</f>
        <v/>
      </c>
      <c r="X2244" s="564" t="str">
        <f t="shared" si="484"/>
        <v xml:space="preserve"> </v>
      </c>
      <c r="Y2244" s="650"/>
      <c r="Z2244" s="586"/>
      <c r="AA2244" s="742"/>
      <c r="AB2244" s="586"/>
      <c r="AC2244" s="586"/>
      <c r="AD2244" s="586"/>
      <c r="AE2244" s="586"/>
      <c r="AF2244" s="714"/>
      <c r="AG2244" s="570" t="str">
        <f>IF(AE2244&lt;&gt;0,VLOOKUP(AE2244,ODDS!$A$2:$C$13,3,0),"")</f>
        <v/>
      </c>
      <c r="AH2244" s="570" t="str">
        <f t="shared" si="487"/>
        <v xml:space="preserve"> </v>
      </c>
      <c r="AI2244" s="571" t="str">
        <f t="shared" si="485"/>
        <v xml:space="preserve"> </v>
      </c>
      <c r="AJ2244" s="731"/>
      <c r="AK2244" s="586"/>
    </row>
    <row r="2245" spans="1:38" s="394" customFormat="1" ht="20.25" outlineLevel="2" x14ac:dyDescent="0.3">
      <c r="A2245" s="447">
        <f t="shared" si="494"/>
        <v>187</v>
      </c>
      <c r="B2245" s="557"/>
      <c r="C2245" s="572"/>
      <c r="D2245" s="700"/>
      <c r="E2245" s="612"/>
      <c r="F2245" s="612"/>
      <c r="G2245" s="586"/>
      <c r="H2245" s="709"/>
      <c r="I2245" s="546"/>
      <c r="J2245" s="558"/>
      <c r="K2245" s="563" t="str">
        <f>IF(G2245&lt;&gt;0,VLOOKUP(G2245,'gia dat'!$A$1:$F$144,5,0)," ")</f>
        <v xml:space="preserve"> </v>
      </c>
      <c r="L2245" s="563" t="str">
        <f>IF(G2245&lt;&gt;0,VLOOKUP(G2245,'gia dat'!$A$1:$F$144,6,0)," ")</f>
        <v xml:space="preserve"> </v>
      </c>
      <c r="M2245" s="564" t="str">
        <f t="shared" si="495"/>
        <v xml:space="preserve"> </v>
      </c>
      <c r="N2245" s="564" t="str">
        <f t="shared" si="496"/>
        <v xml:space="preserve"> </v>
      </c>
      <c r="O2245" s="572"/>
      <c r="P2245" s="740"/>
      <c r="Q2245" s="564" t="str">
        <f>IF(O2245&lt;&gt;0,VLOOKUP(O2245,'Cây trong'!$A$2:$C$246,3,0)," ")</f>
        <v xml:space="preserve"> </v>
      </c>
      <c r="R2245" s="564" t="str">
        <f t="shared" si="486"/>
        <v xml:space="preserve"> </v>
      </c>
      <c r="S2245" s="572"/>
      <c r="T2245" s="609"/>
      <c r="U2245" s="741"/>
      <c r="V2245" s="586"/>
      <c r="W2245" s="564" t="str">
        <f>IF(S2245&lt;&gt;0,VLOOKUP(S2245,VKT!$A$2:$G$415,7,0),"")</f>
        <v/>
      </c>
      <c r="X2245" s="564" t="str">
        <f t="shared" si="484"/>
        <v xml:space="preserve"> </v>
      </c>
      <c r="Y2245" s="650"/>
      <c r="Z2245" s="586"/>
      <c r="AA2245" s="742"/>
      <c r="AB2245" s="586"/>
      <c r="AC2245" s="586"/>
      <c r="AD2245" s="586"/>
      <c r="AE2245" s="586"/>
      <c r="AF2245" s="714"/>
      <c r="AG2245" s="570" t="str">
        <f>IF(AE2245&lt;&gt;0,VLOOKUP(AE2245,ODDS!$A$2:$C$13,3,0),"")</f>
        <v/>
      </c>
      <c r="AH2245" s="570" t="str">
        <f t="shared" si="487"/>
        <v xml:space="preserve"> </v>
      </c>
      <c r="AI2245" s="571" t="str">
        <f t="shared" si="485"/>
        <v xml:space="preserve"> </v>
      </c>
      <c r="AJ2245" s="586"/>
      <c r="AK2245" s="586"/>
    </row>
    <row r="2246" spans="1:38" s="394" customFormat="1" ht="20.25" outlineLevel="2" x14ac:dyDescent="0.3">
      <c r="A2246" s="447">
        <f t="shared" si="494"/>
        <v>187</v>
      </c>
      <c r="B2246" s="557"/>
      <c r="C2246" s="572"/>
      <c r="D2246" s="700"/>
      <c r="E2246" s="612"/>
      <c r="F2246" s="612"/>
      <c r="G2246" s="586"/>
      <c r="H2246" s="709"/>
      <c r="I2246" s="546"/>
      <c r="J2246" s="558"/>
      <c r="K2246" s="563" t="str">
        <f>IF(G2246&lt;&gt;0,VLOOKUP(G2246,'gia dat'!$A$1:$F$144,5,0)," ")</f>
        <v xml:space="preserve"> </v>
      </c>
      <c r="L2246" s="563" t="str">
        <f>IF(G2246&lt;&gt;0,VLOOKUP(G2246,'gia dat'!$A$1:$F$144,6,0)," ")</f>
        <v xml:space="preserve"> </v>
      </c>
      <c r="M2246" s="564" t="str">
        <f t="shared" si="495"/>
        <v xml:space="preserve"> </v>
      </c>
      <c r="N2246" s="564" t="str">
        <f t="shared" si="496"/>
        <v xml:space="preserve"> </v>
      </c>
      <c r="O2246" s="572"/>
      <c r="P2246" s="740"/>
      <c r="Q2246" s="564" t="str">
        <f>IF(O2246&lt;&gt;0,VLOOKUP(O2246,'Cây trong'!$A$2:$C$246,3,0)," ")</f>
        <v xml:space="preserve"> </v>
      </c>
      <c r="R2246" s="564" t="str">
        <f t="shared" si="486"/>
        <v xml:space="preserve"> </v>
      </c>
      <c r="S2246" s="572"/>
      <c r="T2246" s="609"/>
      <c r="U2246" s="741"/>
      <c r="V2246" s="586"/>
      <c r="W2246" s="564" t="str">
        <f>IF(S2246&lt;&gt;0,VLOOKUP(S2246,VKT!$A$2:$G$415,7,0),"")</f>
        <v/>
      </c>
      <c r="X2246" s="564" t="str">
        <f t="shared" si="484"/>
        <v xml:space="preserve"> </v>
      </c>
      <c r="Y2246" s="650"/>
      <c r="Z2246" s="586"/>
      <c r="AA2246" s="742"/>
      <c r="AB2246" s="586"/>
      <c r="AC2246" s="586"/>
      <c r="AD2246" s="586"/>
      <c r="AE2246" s="586"/>
      <c r="AF2246" s="714"/>
      <c r="AG2246" s="570" t="str">
        <f>IF(AE2246&lt;&gt;0,VLOOKUP(AE2246,ODDS!$A$2:$C$13,3,0),"")</f>
        <v/>
      </c>
      <c r="AH2246" s="570" t="str">
        <f t="shared" si="487"/>
        <v xml:space="preserve"> </v>
      </c>
      <c r="AI2246" s="571" t="str">
        <f t="shared" si="485"/>
        <v xml:space="preserve"> </v>
      </c>
      <c r="AJ2246" s="586"/>
      <c r="AK2246" s="586"/>
    </row>
    <row r="2247" spans="1:38" s="394" customFormat="1" ht="20.25" outlineLevel="2" x14ac:dyDescent="0.3">
      <c r="A2247" s="447">
        <f t="shared" si="494"/>
        <v>187</v>
      </c>
      <c r="B2247" s="557"/>
      <c r="C2247" s="572"/>
      <c r="D2247" s="700"/>
      <c r="E2247" s="612"/>
      <c r="F2247" s="612"/>
      <c r="G2247" s="586"/>
      <c r="H2247" s="709"/>
      <c r="I2247" s="546"/>
      <c r="J2247" s="558"/>
      <c r="K2247" s="563" t="str">
        <f>IF(G2247&lt;&gt;0,VLOOKUP(G2247,'gia dat'!$A$1:$F$144,5,0)," ")</f>
        <v xml:space="preserve"> </v>
      </c>
      <c r="L2247" s="563" t="str">
        <f>IF(G2247&lt;&gt;0,VLOOKUP(G2247,'gia dat'!$A$1:$F$144,6,0)," ")</f>
        <v xml:space="preserve"> </v>
      </c>
      <c r="M2247" s="564" t="str">
        <f t="shared" si="495"/>
        <v xml:space="preserve"> </v>
      </c>
      <c r="N2247" s="564" t="str">
        <f t="shared" si="496"/>
        <v xml:space="preserve"> </v>
      </c>
      <c r="O2247" s="572"/>
      <c r="P2247" s="740"/>
      <c r="Q2247" s="564" t="str">
        <f>IF(O2247&lt;&gt;0,VLOOKUP(O2247,'Cây trong'!$A$2:$C$246,3,0)," ")</f>
        <v xml:space="preserve"> </v>
      </c>
      <c r="R2247" s="564" t="str">
        <f t="shared" si="486"/>
        <v xml:space="preserve"> </v>
      </c>
      <c r="S2247" s="572"/>
      <c r="T2247" s="609"/>
      <c r="U2247" s="741"/>
      <c r="V2247" s="586"/>
      <c r="W2247" s="564" t="str">
        <f>IF(S2247&lt;&gt;0,VLOOKUP(S2247,VKT!$A$2:$G$415,7,0),"")</f>
        <v/>
      </c>
      <c r="X2247" s="564" t="str">
        <f t="shared" si="484"/>
        <v xml:space="preserve"> </v>
      </c>
      <c r="Y2247" s="650"/>
      <c r="Z2247" s="586"/>
      <c r="AA2247" s="742"/>
      <c r="AB2247" s="586"/>
      <c r="AC2247" s="586"/>
      <c r="AD2247" s="586"/>
      <c r="AE2247" s="586"/>
      <c r="AF2247" s="714"/>
      <c r="AG2247" s="570" t="str">
        <f>IF(AE2247&lt;&gt;0,VLOOKUP(AE2247,ODDS!$A$2:$C$13,3,0),"")</f>
        <v/>
      </c>
      <c r="AH2247" s="570" t="str">
        <f t="shared" si="487"/>
        <v xml:space="preserve"> </v>
      </c>
      <c r="AI2247" s="571" t="str">
        <f t="shared" si="485"/>
        <v xml:space="preserve"> </v>
      </c>
      <c r="AJ2247" s="572"/>
      <c r="AK2247" s="572"/>
    </row>
    <row r="2248" spans="1:38" s="394" customFormat="1" ht="20.25" outlineLevel="2" x14ac:dyDescent="0.3">
      <c r="A2248" s="447">
        <f t="shared" si="494"/>
        <v>187</v>
      </c>
      <c r="B2248" s="557"/>
      <c r="C2248" s="572"/>
      <c r="D2248" s="700"/>
      <c r="E2248" s="612"/>
      <c r="F2248" s="612"/>
      <c r="G2248" s="586"/>
      <c r="H2248" s="709"/>
      <c r="I2248" s="546"/>
      <c r="J2248" s="558"/>
      <c r="K2248" s="563" t="str">
        <f>IF(G2248&lt;&gt;0,VLOOKUP(G2248,'gia dat'!$A$1:$F$144,5,0)," ")</f>
        <v xml:space="preserve"> </v>
      </c>
      <c r="L2248" s="563" t="str">
        <f>IF(G2248&lt;&gt;0,VLOOKUP(G2248,'gia dat'!$A$1:$F$144,6,0)," ")</f>
        <v xml:space="preserve"> </v>
      </c>
      <c r="M2248" s="564" t="str">
        <f t="shared" si="495"/>
        <v xml:space="preserve"> </v>
      </c>
      <c r="N2248" s="564" t="str">
        <f t="shared" si="496"/>
        <v xml:space="preserve"> </v>
      </c>
      <c r="O2248" s="572"/>
      <c r="P2248" s="740"/>
      <c r="Q2248" s="564" t="str">
        <f>IF(O2248&lt;&gt;0,VLOOKUP(O2248,'Cây trong'!$A$2:$C$246,3,0)," ")</f>
        <v xml:space="preserve"> </v>
      </c>
      <c r="R2248" s="564" t="str">
        <f t="shared" si="486"/>
        <v xml:space="preserve"> </v>
      </c>
      <c r="S2248" s="572"/>
      <c r="T2248" s="609"/>
      <c r="U2248" s="741"/>
      <c r="V2248" s="586"/>
      <c r="W2248" s="564" t="str">
        <f>IF(S2248&lt;&gt;0,VLOOKUP(S2248,VKT!$A$2:$G$415,7,0),"")</f>
        <v/>
      </c>
      <c r="X2248" s="564" t="str">
        <f t="shared" si="484"/>
        <v xml:space="preserve"> </v>
      </c>
      <c r="Y2248" s="650"/>
      <c r="Z2248" s="586"/>
      <c r="AA2248" s="742"/>
      <c r="AB2248" s="586"/>
      <c r="AC2248" s="586"/>
      <c r="AD2248" s="586"/>
      <c r="AE2248" s="586"/>
      <c r="AF2248" s="714"/>
      <c r="AG2248" s="570" t="str">
        <f>IF(AE2248&lt;&gt;0,VLOOKUP(AE2248,ODDS!$A$2:$C$13,3,0),"")</f>
        <v/>
      </c>
      <c r="AH2248" s="570" t="str">
        <f t="shared" si="487"/>
        <v xml:space="preserve"> </v>
      </c>
      <c r="AI2248" s="571" t="str">
        <f t="shared" si="485"/>
        <v xml:space="preserve"> </v>
      </c>
      <c r="AJ2248" s="558"/>
      <c r="AK2248" s="558"/>
    </row>
    <row r="2249" spans="1:38" s="394" customFormat="1" ht="20.25" outlineLevel="2" x14ac:dyDescent="0.3">
      <c r="A2249" s="447">
        <f t="shared" si="494"/>
        <v>187</v>
      </c>
      <c r="B2249" s="557"/>
      <c r="C2249" s="607"/>
      <c r="D2249" s="700"/>
      <c r="E2249" s="612"/>
      <c r="F2249" s="612"/>
      <c r="G2249" s="586"/>
      <c r="H2249" s="709"/>
      <c r="I2249" s="546"/>
      <c r="J2249" s="558"/>
      <c r="K2249" s="563" t="str">
        <f>IF(G2249&lt;&gt;0,VLOOKUP(G2249,'gia dat'!$A$1:$F$144,5,0)," ")</f>
        <v xml:space="preserve"> </v>
      </c>
      <c r="L2249" s="563" t="str">
        <f>IF(G2249&lt;&gt;0,VLOOKUP(G2249,'gia dat'!$A$1:$F$144,6,0)," ")</f>
        <v xml:space="preserve"> </v>
      </c>
      <c r="M2249" s="564" t="str">
        <f t="shared" si="495"/>
        <v xml:space="preserve"> </v>
      </c>
      <c r="N2249" s="564" t="str">
        <f t="shared" si="496"/>
        <v xml:space="preserve"> </v>
      </c>
      <c r="O2249" s="572"/>
      <c r="P2249" s="740"/>
      <c r="Q2249" s="564" t="str">
        <f>IF(O2249&lt;&gt;0,VLOOKUP(O2249,'Cây trong'!$A$2:$C$246,3,0)," ")</f>
        <v xml:space="preserve"> </v>
      </c>
      <c r="R2249" s="564" t="str">
        <f t="shared" si="486"/>
        <v xml:space="preserve"> </v>
      </c>
      <c r="S2249" s="572"/>
      <c r="T2249" s="609"/>
      <c r="U2249" s="741"/>
      <c r="V2249" s="586"/>
      <c r="W2249" s="564" t="str">
        <f>IF(S2249&lt;&gt;0,VLOOKUP(S2249,VKT!$A$2:$G$415,7,0),"")</f>
        <v/>
      </c>
      <c r="X2249" s="564" t="str">
        <f t="shared" si="484"/>
        <v xml:space="preserve"> </v>
      </c>
      <c r="Y2249" s="650"/>
      <c r="Z2249" s="586"/>
      <c r="AA2249" s="742"/>
      <c r="AB2249" s="586"/>
      <c r="AC2249" s="586"/>
      <c r="AD2249" s="586"/>
      <c r="AE2249" s="586"/>
      <c r="AF2249" s="714"/>
      <c r="AG2249" s="570" t="str">
        <f>IF(AE2249&lt;&gt;0,VLOOKUP(AE2249,ODDS!$A$2:$C$13,3,0),"")</f>
        <v/>
      </c>
      <c r="AH2249" s="570" t="str">
        <f t="shared" si="487"/>
        <v xml:space="preserve"> </v>
      </c>
      <c r="AI2249" s="571" t="str">
        <f t="shared" ref="AI2249:AI2312" si="497">IF(B2249&lt;&gt;0,M2249+N2249+R2249+X2249+AH2249," ")</f>
        <v xml:space="preserve"> </v>
      </c>
      <c r="AJ2249" s="586"/>
      <c r="AK2249" s="586"/>
    </row>
    <row r="2250" spans="1:38" s="396" customFormat="1" ht="81" outlineLevel="1" x14ac:dyDescent="0.25">
      <c r="A2250" s="467" t="s">
        <v>2522</v>
      </c>
      <c r="B2250" s="576">
        <v>188</v>
      </c>
      <c r="C2250" s="607" t="s">
        <v>2245</v>
      </c>
      <c r="D2250" s="706"/>
      <c r="E2250" s="642"/>
      <c r="F2250" s="642"/>
      <c r="G2250" s="578"/>
      <c r="H2250" s="707">
        <f>SUBTOTAL(9,H2251:H2259)</f>
        <v>2.5</v>
      </c>
      <c r="I2250" s="579">
        <f>SUBTOTAL(9,I2251:I2256)</f>
        <v>2.5</v>
      </c>
      <c r="J2250" s="580"/>
      <c r="K2250" s="581"/>
      <c r="L2250" s="581"/>
      <c r="M2250" s="571">
        <f>SUBTOTAL(9,M2251:M2259)</f>
        <v>1386000</v>
      </c>
      <c r="N2250" s="571">
        <f>SUBTOTAL(9,N2251:N2259)</f>
        <v>4158000</v>
      </c>
      <c r="O2250" s="607"/>
      <c r="P2250" s="738">
        <f>SUBTOTAL(9,P2251:P2259)</f>
        <v>0</v>
      </c>
      <c r="Q2250" s="571"/>
      <c r="R2250" s="571">
        <f>SUBTOTAL(9,R2251:R2259)</f>
        <v>0</v>
      </c>
      <c r="S2250" s="582"/>
      <c r="T2250" s="621"/>
      <c r="U2250" s="739">
        <f>SUBTOTAL(9,U2251:U2259)</f>
        <v>0</v>
      </c>
      <c r="V2250" s="578"/>
      <c r="W2250" s="571"/>
      <c r="X2250" s="571">
        <f>SUBTOTAL(9,X2251:X2259)</f>
        <v>0</v>
      </c>
      <c r="Y2250" s="650"/>
      <c r="Z2250" s="586"/>
      <c r="AA2250" s="742"/>
      <c r="AB2250" s="586"/>
      <c r="AC2250" s="586"/>
      <c r="AD2250" s="586"/>
      <c r="AE2250" s="578"/>
      <c r="AF2250" s="712">
        <f>SUBTOTAL(9,AF2251:AF2259)</f>
        <v>0</v>
      </c>
      <c r="AG2250" s="585"/>
      <c r="AH2250" s="585">
        <f>SUBTOTAL(9,AH2251:AH2259)</f>
        <v>0</v>
      </c>
      <c r="AI2250" s="571">
        <f t="shared" si="497"/>
        <v>5544000</v>
      </c>
      <c r="AJ2250" s="578"/>
      <c r="AK2250" s="578"/>
      <c r="AL2250" s="469"/>
    </row>
    <row r="2251" spans="1:38" s="396" customFormat="1" ht="202.5" outlineLevel="2" x14ac:dyDescent="0.3">
      <c r="A2251" s="447">
        <f>IF(B2250&lt;&gt;0,B2250,A2249)</f>
        <v>188</v>
      </c>
      <c r="B2251" s="557"/>
      <c r="C2251" s="572"/>
      <c r="D2251" s="700"/>
      <c r="E2251" s="612">
        <v>86</v>
      </c>
      <c r="F2251" s="612">
        <v>399</v>
      </c>
      <c r="G2251" s="586" t="s">
        <v>2896</v>
      </c>
      <c r="H2251" s="709">
        <v>2.5</v>
      </c>
      <c r="I2251" s="546">
        <f t="shared" ref="I2251" si="498">IF(N2251&gt;0,H2251,"")</f>
        <v>2.5</v>
      </c>
      <c r="J2251" s="562"/>
      <c r="K2251" s="563">
        <f>IF(G2251&lt;&gt;0,VLOOKUP(G2251,'gia dat'!$A$1:$F$144,5,0)," ")</f>
        <v>554400</v>
      </c>
      <c r="L2251" s="563">
        <f>IF(G2251&lt;&gt;0,VLOOKUP(G2251,'gia dat'!$A$1:$F$144,6,0)," ")</f>
        <v>1663200</v>
      </c>
      <c r="M2251" s="564">
        <f t="shared" si="495"/>
        <v>1386000</v>
      </c>
      <c r="N2251" s="564">
        <f t="shared" si="496"/>
        <v>4158000</v>
      </c>
      <c r="O2251" s="572"/>
      <c r="P2251" s="740"/>
      <c r="Q2251" s="564" t="str">
        <f>IF(O2251&lt;&gt;0,VLOOKUP(O2251,'Cây trong'!$A$2:$C$246,3,0)," ")</f>
        <v xml:space="preserve"> </v>
      </c>
      <c r="R2251" s="564" t="str">
        <f t="shared" si="486"/>
        <v xml:space="preserve"> </v>
      </c>
      <c r="S2251" s="566"/>
      <c r="T2251" s="609"/>
      <c r="U2251" s="741"/>
      <c r="V2251" s="586"/>
      <c r="W2251" s="564" t="str">
        <f>IF(S2251&lt;&gt;0,VLOOKUP(S2251,VKT!$A$2:$G$415,7,0),"")</f>
        <v/>
      </c>
      <c r="X2251" s="564" t="str">
        <f t="shared" si="484"/>
        <v xml:space="preserve"> </v>
      </c>
      <c r="Y2251" s="650"/>
      <c r="Z2251" s="586"/>
      <c r="AA2251" s="742"/>
      <c r="AB2251" s="586"/>
      <c r="AC2251" s="586"/>
      <c r="AD2251" s="586"/>
      <c r="AE2251" s="586"/>
      <c r="AF2251" s="714"/>
      <c r="AG2251" s="570" t="str">
        <f>IF(AE2251&lt;&gt;0,VLOOKUP(AE2251,ODDS!$A$2:$C$13,3,0),"")</f>
        <v/>
      </c>
      <c r="AH2251" s="570" t="str">
        <f t="shared" si="487"/>
        <v xml:space="preserve"> </v>
      </c>
      <c r="AI2251" s="571" t="str">
        <f t="shared" si="497"/>
        <v xml:space="preserve"> </v>
      </c>
      <c r="AJ2251" s="586" t="s">
        <v>2796</v>
      </c>
      <c r="AK2251" s="586" t="s">
        <v>2771</v>
      </c>
      <c r="AL2251" s="437" t="s">
        <v>2246</v>
      </c>
    </row>
    <row r="2252" spans="1:38" s="394" customFormat="1" ht="81" outlineLevel="2" x14ac:dyDescent="0.3">
      <c r="A2252" s="447">
        <f t="shared" ref="A2252:A2259" si="499">IF(B2251&lt;&gt;0,B2251,A2251)</f>
        <v>188</v>
      </c>
      <c r="B2252" s="557"/>
      <c r="C2252" s="572"/>
      <c r="D2252" s="700"/>
      <c r="E2252" s="612"/>
      <c r="F2252" s="612"/>
      <c r="G2252" s="586"/>
      <c r="H2252" s="709"/>
      <c r="I2252" s="546"/>
      <c r="J2252" s="562"/>
      <c r="K2252" s="563" t="str">
        <f>IF(G2252&lt;&gt;0,VLOOKUP(G2252,'gia dat'!$A$1:$F$144,5,0)," ")</f>
        <v xml:space="preserve"> </v>
      </c>
      <c r="L2252" s="563" t="str">
        <f>IF(G2252&lt;&gt;0,VLOOKUP(G2252,'gia dat'!$A$1:$F$144,6,0)," ")</f>
        <v xml:space="preserve"> </v>
      </c>
      <c r="M2252" s="564" t="str">
        <f t="shared" si="495"/>
        <v xml:space="preserve"> </v>
      </c>
      <c r="N2252" s="564" t="str">
        <f t="shared" si="496"/>
        <v xml:space="preserve"> </v>
      </c>
      <c r="O2252" s="572"/>
      <c r="P2252" s="740"/>
      <c r="Q2252" s="564" t="str">
        <f>IF(O2252&lt;&gt;0,VLOOKUP(O2252,'Cây trong'!$A$2:$C$246,3,0)," ")</f>
        <v xml:space="preserve"> </v>
      </c>
      <c r="R2252" s="564" t="str">
        <f t="shared" si="486"/>
        <v xml:space="preserve"> </v>
      </c>
      <c r="S2252" s="566"/>
      <c r="T2252" s="609"/>
      <c r="U2252" s="741"/>
      <c r="V2252" s="586"/>
      <c r="W2252" s="564" t="str">
        <f>IF(S2252&lt;&gt;0,VLOOKUP(S2252,VKT!$A$2:$G$415,7,0),"")</f>
        <v/>
      </c>
      <c r="X2252" s="564" t="str">
        <f t="shared" si="484"/>
        <v xml:space="preserve"> </v>
      </c>
      <c r="Y2252" s="650"/>
      <c r="Z2252" s="586"/>
      <c r="AA2252" s="742"/>
      <c r="AB2252" s="586"/>
      <c r="AC2252" s="586"/>
      <c r="AD2252" s="586"/>
      <c r="AE2252" s="586"/>
      <c r="AF2252" s="714"/>
      <c r="AG2252" s="570" t="str">
        <f>IF(AE2252&lt;&gt;0,VLOOKUP(AE2252,ODDS!$A$2:$C$13,3,0),"")</f>
        <v/>
      </c>
      <c r="AH2252" s="570" t="str">
        <f t="shared" si="487"/>
        <v xml:space="preserve"> </v>
      </c>
      <c r="AI2252" s="571" t="str">
        <f t="shared" si="497"/>
        <v xml:space="preserve"> </v>
      </c>
      <c r="AJ2252" s="586"/>
      <c r="AK2252" s="558" t="s">
        <v>2448</v>
      </c>
      <c r="AL2252" s="438"/>
    </row>
    <row r="2253" spans="1:38" s="394" customFormat="1" ht="20.25" outlineLevel="2" x14ac:dyDescent="0.3">
      <c r="A2253" s="447">
        <f t="shared" si="499"/>
        <v>188</v>
      </c>
      <c r="B2253" s="557"/>
      <c r="C2253" s="572"/>
      <c r="D2253" s="700"/>
      <c r="E2253" s="612"/>
      <c r="F2253" s="612"/>
      <c r="G2253" s="586"/>
      <c r="H2253" s="709"/>
      <c r="I2253" s="546"/>
      <c r="J2253" s="562"/>
      <c r="K2253" s="563" t="str">
        <f>IF(G2253&lt;&gt;0,VLOOKUP(G2253,'gia dat'!$A$1:$F$144,5,0)," ")</f>
        <v xml:space="preserve"> </v>
      </c>
      <c r="L2253" s="563" t="str">
        <f>IF(G2253&lt;&gt;0,VLOOKUP(G2253,'gia dat'!$A$1:$F$144,6,0)," ")</f>
        <v xml:space="preserve"> </v>
      </c>
      <c r="M2253" s="564" t="str">
        <f t="shared" si="495"/>
        <v xml:space="preserve"> </v>
      </c>
      <c r="N2253" s="564" t="str">
        <f t="shared" si="496"/>
        <v xml:space="preserve"> </v>
      </c>
      <c r="O2253" s="572"/>
      <c r="P2253" s="740"/>
      <c r="Q2253" s="564" t="str">
        <f>IF(O2253&lt;&gt;0,VLOOKUP(O2253,'Cây trong'!$A$2:$C$246,3,0)," ")</f>
        <v xml:space="preserve"> </v>
      </c>
      <c r="R2253" s="564" t="str">
        <f t="shared" si="486"/>
        <v xml:space="preserve"> </v>
      </c>
      <c r="S2253" s="566"/>
      <c r="T2253" s="609"/>
      <c r="U2253" s="741"/>
      <c r="V2253" s="586"/>
      <c r="W2253" s="564" t="str">
        <f>IF(S2253&lt;&gt;0,VLOOKUP(S2253,VKT!$A$2:$G$415,7,0),"")</f>
        <v/>
      </c>
      <c r="X2253" s="564" t="str">
        <f t="shared" si="484"/>
        <v xml:space="preserve"> </v>
      </c>
      <c r="Y2253" s="650"/>
      <c r="Z2253" s="586"/>
      <c r="AA2253" s="742"/>
      <c r="AB2253" s="586"/>
      <c r="AC2253" s="586"/>
      <c r="AD2253" s="586"/>
      <c r="AE2253" s="586"/>
      <c r="AF2253" s="714"/>
      <c r="AG2253" s="570" t="str">
        <f>IF(AE2253&lt;&gt;0,VLOOKUP(AE2253,ODDS!$A$2:$C$13,3,0),"")</f>
        <v/>
      </c>
      <c r="AH2253" s="570" t="str">
        <f t="shared" si="487"/>
        <v xml:space="preserve"> </v>
      </c>
      <c r="AI2253" s="571" t="str">
        <f t="shared" si="497"/>
        <v xml:space="preserve"> </v>
      </c>
      <c r="AJ2253" s="586"/>
      <c r="AK2253" s="586"/>
      <c r="AL2253" s="439"/>
    </row>
    <row r="2254" spans="1:38" s="394" customFormat="1" ht="20.25" outlineLevel="2" x14ac:dyDescent="0.3">
      <c r="A2254" s="447">
        <f t="shared" si="499"/>
        <v>188</v>
      </c>
      <c r="B2254" s="557"/>
      <c r="C2254" s="572"/>
      <c r="D2254" s="700"/>
      <c r="E2254" s="612"/>
      <c r="F2254" s="612"/>
      <c r="G2254" s="586"/>
      <c r="H2254" s="709"/>
      <c r="I2254" s="546"/>
      <c r="J2254" s="558"/>
      <c r="K2254" s="563" t="str">
        <f>IF(G2254&lt;&gt;0,VLOOKUP(G2254,'gia dat'!$A$1:$F$144,5,0)," ")</f>
        <v xml:space="preserve"> </v>
      </c>
      <c r="L2254" s="563" t="str">
        <f>IF(G2254&lt;&gt;0,VLOOKUP(G2254,'gia dat'!$A$1:$F$144,6,0)," ")</f>
        <v xml:space="preserve"> </v>
      </c>
      <c r="M2254" s="564" t="str">
        <f t="shared" si="495"/>
        <v xml:space="preserve"> </v>
      </c>
      <c r="N2254" s="564" t="str">
        <f t="shared" si="496"/>
        <v xml:space="preserve"> </v>
      </c>
      <c r="O2254" s="572"/>
      <c r="P2254" s="740"/>
      <c r="Q2254" s="564" t="str">
        <f>IF(O2254&lt;&gt;0,VLOOKUP(O2254,'Cây trong'!$A$2:$C$246,3,0)," ")</f>
        <v xml:space="preserve"> </v>
      </c>
      <c r="R2254" s="564" t="str">
        <f t="shared" si="486"/>
        <v xml:space="preserve"> </v>
      </c>
      <c r="S2254" s="572"/>
      <c r="T2254" s="609"/>
      <c r="U2254" s="741"/>
      <c r="V2254" s="586"/>
      <c r="W2254" s="564" t="str">
        <f>IF(S2254&lt;&gt;0,VLOOKUP(S2254,VKT!$A$2:$G$415,7,0),"")</f>
        <v/>
      </c>
      <c r="X2254" s="564" t="str">
        <f t="shared" ref="X2254:X2324" si="500">IF(S2254&lt;&gt;0,ROUND(U2254*W2254,-3)," ")</f>
        <v xml:space="preserve"> </v>
      </c>
      <c r="Y2254" s="650"/>
      <c r="Z2254" s="586"/>
      <c r="AA2254" s="742"/>
      <c r="AB2254" s="586"/>
      <c r="AC2254" s="586"/>
      <c r="AD2254" s="586"/>
      <c r="AE2254" s="586"/>
      <c r="AF2254" s="714"/>
      <c r="AG2254" s="570" t="str">
        <f>IF(AE2254&lt;&gt;0,VLOOKUP(AE2254,ODDS!$A$2:$C$13,3,0),"")</f>
        <v/>
      </c>
      <c r="AH2254" s="570" t="str">
        <f t="shared" si="487"/>
        <v xml:space="preserve"> </v>
      </c>
      <c r="AI2254" s="571" t="str">
        <f t="shared" si="497"/>
        <v xml:space="preserve"> </v>
      </c>
      <c r="AJ2254" s="586"/>
      <c r="AK2254" s="586"/>
      <c r="AL2254" s="438"/>
    </row>
    <row r="2255" spans="1:38" s="394" customFormat="1" ht="20.25" outlineLevel="2" x14ac:dyDescent="0.3">
      <c r="A2255" s="447">
        <f t="shared" si="499"/>
        <v>188</v>
      </c>
      <c r="B2255" s="557"/>
      <c r="C2255" s="572"/>
      <c r="D2255" s="700"/>
      <c r="E2255" s="612"/>
      <c r="F2255" s="612"/>
      <c r="G2255" s="586"/>
      <c r="H2255" s="709"/>
      <c r="I2255" s="546"/>
      <c r="J2255" s="558"/>
      <c r="K2255" s="563" t="str">
        <f>IF(G2255&lt;&gt;0,VLOOKUP(G2255,'gia dat'!$A$1:$F$144,5,0)," ")</f>
        <v xml:space="preserve"> </v>
      </c>
      <c r="L2255" s="563" t="str">
        <f>IF(G2255&lt;&gt;0,VLOOKUP(G2255,'gia dat'!$A$1:$F$144,6,0)," ")</f>
        <v xml:space="preserve"> </v>
      </c>
      <c r="M2255" s="564" t="str">
        <f t="shared" si="495"/>
        <v xml:space="preserve"> </v>
      </c>
      <c r="N2255" s="564" t="str">
        <f t="shared" si="496"/>
        <v xml:space="preserve"> </v>
      </c>
      <c r="O2255" s="572"/>
      <c r="P2255" s="740"/>
      <c r="Q2255" s="564" t="str">
        <f>IF(O2255&lt;&gt;0,VLOOKUP(O2255,'Cây trong'!$A$2:$C$246,3,0)," ")</f>
        <v xml:space="preserve"> </v>
      </c>
      <c r="R2255" s="564" t="str">
        <f t="shared" si="486"/>
        <v xml:space="preserve"> </v>
      </c>
      <c r="S2255" s="572"/>
      <c r="T2255" s="609"/>
      <c r="U2255" s="741"/>
      <c r="V2255" s="586"/>
      <c r="W2255" s="564" t="str">
        <f>IF(S2255&lt;&gt;0,VLOOKUP(S2255,VKT!$A$2:$G$415,7,0),"")</f>
        <v/>
      </c>
      <c r="X2255" s="564" t="str">
        <f t="shared" si="500"/>
        <v xml:space="preserve"> </v>
      </c>
      <c r="Y2255" s="650"/>
      <c r="Z2255" s="586"/>
      <c r="AA2255" s="742"/>
      <c r="AB2255" s="586"/>
      <c r="AC2255" s="586"/>
      <c r="AD2255" s="586"/>
      <c r="AE2255" s="586"/>
      <c r="AF2255" s="714"/>
      <c r="AG2255" s="570" t="str">
        <f>IF(AE2255&lt;&gt;0,VLOOKUP(AE2255,ODDS!$A$2:$C$13,3,0),"")</f>
        <v/>
      </c>
      <c r="AH2255" s="570" t="str">
        <f t="shared" si="487"/>
        <v xml:space="preserve"> </v>
      </c>
      <c r="AI2255" s="571" t="str">
        <f t="shared" si="497"/>
        <v xml:space="preserve"> </v>
      </c>
      <c r="AJ2255" s="572"/>
      <c r="AK2255" s="572"/>
      <c r="AL2255" s="438"/>
    </row>
    <row r="2256" spans="1:38" s="394" customFormat="1" ht="20.25" outlineLevel="2" x14ac:dyDescent="0.3">
      <c r="A2256" s="447">
        <f t="shared" si="499"/>
        <v>188</v>
      </c>
      <c r="B2256" s="557"/>
      <c r="C2256" s="572"/>
      <c r="D2256" s="700"/>
      <c r="E2256" s="612"/>
      <c r="F2256" s="612"/>
      <c r="G2256" s="586"/>
      <c r="H2256" s="709"/>
      <c r="I2256" s="546"/>
      <c r="J2256" s="558"/>
      <c r="K2256" s="563" t="str">
        <f>IF(G2256&lt;&gt;0,VLOOKUP(G2256,'gia dat'!$A$1:$F$144,5,0)," ")</f>
        <v xml:space="preserve"> </v>
      </c>
      <c r="L2256" s="563" t="str">
        <f>IF(G2256&lt;&gt;0,VLOOKUP(G2256,'gia dat'!$A$1:$F$144,6,0)," ")</f>
        <v xml:space="preserve"> </v>
      </c>
      <c r="M2256" s="564" t="str">
        <f t="shared" si="495"/>
        <v xml:space="preserve"> </v>
      </c>
      <c r="N2256" s="564" t="str">
        <f t="shared" si="496"/>
        <v xml:space="preserve"> </v>
      </c>
      <c r="O2256" s="572"/>
      <c r="P2256" s="740"/>
      <c r="Q2256" s="564" t="str">
        <f>IF(O2256&lt;&gt;0,VLOOKUP(O2256,'Cây trong'!$A$2:$C$246,3,0)," ")</f>
        <v xml:space="preserve"> </v>
      </c>
      <c r="R2256" s="564" t="str">
        <f t="shared" si="486"/>
        <v xml:space="preserve"> </v>
      </c>
      <c r="S2256" s="572"/>
      <c r="T2256" s="609"/>
      <c r="U2256" s="741"/>
      <c r="V2256" s="586"/>
      <c r="W2256" s="564" t="str">
        <f>IF(S2256&lt;&gt;0,VLOOKUP(S2256,VKT!$A$2:$G$415,7,0),"")</f>
        <v/>
      </c>
      <c r="X2256" s="564" t="str">
        <f t="shared" si="500"/>
        <v xml:space="preserve"> </v>
      </c>
      <c r="Y2256" s="650"/>
      <c r="Z2256" s="586"/>
      <c r="AA2256" s="742"/>
      <c r="AB2256" s="586"/>
      <c r="AC2256" s="586"/>
      <c r="AD2256" s="586"/>
      <c r="AE2256" s="586"/>
      <c r="AF2256" s="714"/>
      <c r="AG2256" s="570" t="str">
        <f>IF(AE2256&lt;&gt;0,VLOOKUP(AE2256,ODDS!$A$2:$C$13,3,0),"")</f>
        <v/>
      </c>
      <c r="AH2256" s="570" t="str">
        <f t="shared" si="487"/>
        <v xml:space="preserve"> </v>
      </c>
      <c r="AI2256" s="571" t="str">
        <f t="shared" si="497"/>
        <v xml:space="preserve"> </v>
      </c>
      <c r="AJ2256" s="558"/>
      <c r="AK2256" s="558"/>
    </row>
    <row r="2257" spans="1:37" s="394" customFormat="1" ht="20.25" outlineLevel="2" x14ac:dyDescent="0.3">
      <c r="A2257" s="447">
        <f t="shared" si="499"/>
        <v>188</v>
      </c>
      <c r="B2257" s="557"/>
      <c r="C2257" s="572"/>
      <c r="D2257" s="700"/>
      <c r="E2257" s="612"/>
      <c r="F2257" s="612"/>
      <c r="G2257" s="586"/>
      <c r="H2257" s="709"/>
      <c r="I2257" s="546"/>
      <c r="J2257" s="558"/>
      <c r="K2257" s="563" t="str">
        <f>IF(G2257&lt;&gt;0,VLOOKUP(G2257,'gia dat'!$A$1:$F$144,5,0)," ")</f>
        <v xml:space="preserve"> </v>
      </c>
      <c r="L2257" s="563" t="str">
        <f>IF(G2257&lt;&gt;0,VLOOKUP(G2257,'gia dat'!$A$1:$F$144,6,0)," ")</f>
        <v xml:space="preserve"> </v>
      </c>
      <c r="M2257" s="564" t="str">
        <f t="shared" si="495"/>
        <v xml:space="preserve"> </v>
      </c>
      <c r="N2257" s="564" t="str">
        <f t="shared" si="496"/>
        <v xml:space="preserve"> </v>
      </c>
      <c r="O2257" s="572"/>
      <c r="P2257" s="740"/>
      <c r="Q2257" s="564" t="str">
        <f>IF(O2257&lt;&gt;0,VLOOKUP(O2257,'Cây trong'!$A$2:$C$246,3,0)," ")</f>
        <v xml:space="preserve"> </v>
      </c>
      <c r="R2257" s="564" t="str">
        <f t="shared" si="486"/>
        <v xml:space="preserve"> </v>
      </c>
      <c r="S2257" s="572"/>
      <c r="T2257" s="609"/>
      <c r="U2257" s="741"/>
      <c r="V2257" s="586"/>
      <c r="W2257" s="564" t="str">
        <f>IF(S2257&lt;&gt;0,VLOOKUP(S2257,VKT!$A$2:$G$415,7,0),"")</f>
        <v/>
      </c>
      <c r="X2257" s="564" t="str">
        <f t="shared" si="500"/>
        <v xml:space="preserve"> </v>
      </c>
      <c r="Y2257" s="650"/>
      <c r="Z2257" s="586"/>
      <c r="AA2257" s="742"/>
      <c r="AB2257" s="586"/>
      <c r="AC2257" s="586"/>
      <c r="AD2257" s="586"/>
      <c r="AE2257" s="586"/>
      <c r="AF2257" s="714"/>
      <c r="AG2257" s="570" t="str">
        <f>IF(AE2257&lt;&gt;0,VLOOKUP(AE2257,ODDS!$A$2:$C$13,3,0),"")</f>
        <v/>
      </c>
      <c r="AH2257" s="570" t="str">
        <f t="shared" si="487"/>
        <v xml:space="preserve"> </v>
      </c>
      <c r="AI2257" s="571" t="str">
        <f t="shared" si="497"/>
        <v xml:space="preserve"> </v>
      </c>
      <c r="AJ2257" s="586"/>
      <c r="AK2257" s="586"/>
    </row>
    <row r="2258" spans="1:37" s="394" customFormat="1" ht="20.25" outlineLevel="2" x14ac:dyDescent="0.3">
      <c r="A2258" s="447">
        <f t="shared" si="499"/>
        <v>188</v>
      </c>
      <c r="B2258" s="557"/>
      <c r="C2258" s="572"/>
      <c r="D2258" s="700"/>
      <c r="E2258" s="612"/>
      <c r="F2258" s="612"/>
      <c r="G2258" s="586"/>
      <c r="H2258" s="709"/>
      <c r="I2258" s="546"/>
      <c r="J2258" s="558"/>
      <c r="K2258" s="563" t="str">
        <f>IF(G2258&lt;&gt;0,VLOOKUP(G2258,'gia dat'!$A$1:$F$144,5,0)," ")</f>
        <v xml:space="preserve"> </v>
      </c>
      <c r="L2258" s="563" t="str">
        <f>IF(G2258&lt;&gt;0,VLOOKUP(G2258,'gia dat'!$A$1:$F$144,6,0)," ")</f>
        <v xml:space="preserve"> </v>
      </c>
      <c r="M2258" s="564" t="str">
        <f t="shared" si="495"/>
        <v xml:space="preserve"> </v>
      </c>
      <c r="N2258" s="564" t="str">
        <f t="shared" si="496"/>
        <v xml:space="preserve"> </v>
      </c>
      <c r="O2258" s="572"/>
      <c r="P2258" s="740"/>
      <c r="Q2258" s="564" t="str">
        <f>IF(O2258&lt;&gt;0,VLOOKUP(O2258,'Cây trong'!$A$2:$C$246,3,0)," ")</f>
        <v xml:space="preserve"> </v>
      </c>
      <c r="R2258" s="564" t="str">
        <f t="shared" si="486"/>
        <v xml:space="preserve"> </v>
      </c>
      <c r="S2258" s="572"/>
      <c r="T2258" s="609"/>
      <c r="U2258" s="741"/>
      <c r="V2258" s="586"/>
      <c r="W2258" s="564" t="str">
        <f>IF(S2258&lt;&gt;0,VLOOKUP(S2258,VKT!$A$2:$G$415,7,0),"")</f>
        <v/>
      </c>
      <c r="X2258" s="564" t="str">
        <f t="shared" si="500"/>
        <v xml:space="preserve"> </v>
      </c>
      <c r="Y2258" s="650"/>
      <c r="Z2258" s="586"/>
      <c r="AA2258" s="742"/>
      <c r="AB2258" s="586"/>
      <c r="AC2258" s="586"/>
      <c r="AD2258" s="586"/>
      <c r="AE2258" s="586"/>
      <c r="AF2258" s="714"/>
      <c r="AG2258" s="570" t="str">
        <f>IF(AE2258&lt;&gt;0,VLOOKUP(AE2258,ODDS!$A$2:$C$13,3,0),"")</f>
        <v/>
      </c>
      <c r="AH2258" s="570" t="str">
        <f t="shared" si="487"/>
        <v xml:space="preserve"> </v>
      </c>
      <c r="AI2258" s="571" t="str">
        <f t="shared" si="497"/>
        <v xml:space="preserve"> </v>
      </c>
      <c r="AJ2258" s="586"/>
      <c r="AK2258" s="586"/>
    </row>
    <row r="2259" spans="1:37" s="394" customFormat="1" ht="20.25" outlineLevel="2" x14ac:dyDescent="0.3">
      <c r="A2259" s="447">
        <f t="shared" si="499"/>
        <v>188</v>
      </c>
      <c r="B2259" s="557"/>
      <c r="C2259" s="607"/>
      <c r="D2259" s="700"/>
      <c r="E2259" s="612"/>
      <c r="F2259" s="612"/>
      <c r="G2259" s="586"/>
      <c r="H2259" s="709"/>
      <c r="I2259" s="546"/>
      <c r="J2259" s="558"/>
      <c r="K2259" s="563" t="str">
        <f>IF(G2259&lt;&gt;0,VLOOKUP(G2259,'gia dat'!$A$1:$F$144,5,0)," ")</f>
        <v xml:space="preserve"> </v>
      </c>
      <c r="L2259" s="563" t="str">
        <f>IF(G2259&lt;&gt;0,VLOOKUP(G2259,'gia dat'!$A$1:$F$144,6,0)," ")</f>
        <v xml:space="preserve"> </v>
      </c>
      <c r="M2259" s="564" t="str">
        <f t="shared" si="495"/>
        <v xml:space="preserve"> </v>
      </c>
      <c r="N2259" s="564" t="str">
        <f t="shared" si="496"/>
        <v xml:space="preserve"> </v>
      </c>
      <c r="O2259" s="572"/>
      <c r="P2259" s="740"/>
      <c r="Q2259" s="564" t="str">
        <f>IF(O2259&lt;&gt;0,VLOOKUP(O2259,'Cây trong'!$A$2:$C$246,3,0)," ")</f>
        <v xml:space="preserve"> </v>
      </c>
      <c r="R2259" s="564" t="str">
        <f t="shared" si="486"/>
        <v xml:space="preserve"> </v>
      </c>
      <c r="S2259" s="572"/>
      <c r="T2259" s="609"/>
      <c r="U2259" s="741"/>
      <c r="V2259" s="586"/>
      <c r="W2259" s="564" t="str">
        <f>IF(S2259&lt;&gt;0,VLOOKUP(S2259,VKT!$A$2:$G$415,7,0),"")</f>
        <v/>
      </c>
      <c r="X2259" s="564" t="str">
        <f t="shared" si="500"/>
        <v xml:space="preserve"> </v>
      </c>
      <c r="Y2259" s="650"/>
      <c r="Z2259" s="586"/>
      <c r="AA2259" s="742"/>
      <c r="AB2259" s="586"/>
      <c r="AC2259" s="586"/>
      <c r="AD2259" s="586"/>
      <c r="AE2259" s="586"/>
      <c r="AF2259" s="714"/>
      <c r="AG2259" s="570" t="str">
        <f>IF(AE2259&lt;&gt;0,VLOOKUP(AE2259,ODDS!$A$2:$C$13,3,0),"")</f>
        <v/>
      </c>
      <c r="AH2259" s="570" t="str">
        <f t="shared" si="487"/>
        <v xml:space="preserve"> </v>
      </c>
      <c r="AI2259" s="571" t="str">
        <f t="shared" si="497"/>
        <v xml:space="preserve"> </v>
      </c>
      <c r="AJ2259" s="586"/>
      <c r="AK2259" s="586"/>
    </row>
    <row r="2260" spans="1:37" s="396" customFormat="1" ht="20.25" outlineLevel="1" x14ac:dyDescent="0.25">
      <c r="A2260" s="467" t="s">
        <v>2521</v>
      </c>
      <c r="B2260" s="576">
        <v>189</v>
      </c>
      <c r="C2260" s="607" t="s">
        <v>1497</v>
      </c>
      <c r="D2260" s="706"/>
      <c r="E2260" s="642"/>
      <c r="F2260" s="642"/>
      <c r="G2260" s="578"/>
      <c r="H2260" s="707">
        <f>SUBTOTAL(9,H2261:H2269)</f>
        <v>119.2</v>
      </c>
      <c r="I2260" s="579">
        <f>SUBTOTAL(9,I2261:I2266)</f>
        <v>119.2</v>
      </c>
      <c r="J2260" s="580"/>
      <c r="K2260" s="581"/>
      <c r="L2260" s="581"/>
      <c r="M2260" s="571">
        <f>SUBTOTAL(9,M2261:M2269)</f>
        <v>55500000</v>
      </c>
      <c r="N2260" s="571">
        <f>SUBTOTAL(9,N2261:N2269)</f>
        <v>166499000</v>
      </c>
      <c r="O2260" s="607"/>
      <c r="P2260" s="738">
        <f>SUBTOTAL(9,P2261:P2269)</f>
        <v>0</v>
      </c>
      <c r="Q2260" s="571"/>
      <c r="R2260" s="571">
        <f>SUBTOTAL(9,R2261:R2269)</f>
        <v>0</v>
      </c>
      <c r="S2260" s="582"/>
      <c r="T2260" s="621"/>
      <c r="U2260" s="739">
        <f>SUBTOTAL(9,U2261:U2269)</f>
        <v>0</v>
      </c>
      <c r="V2260" s="578"/>
      <c r="W2260" s="571"/>
      <c r="X2260" s="571">
        <f>SUBTOTAL(9,X2261:X2269)</f>
        <v>0</v>
      </c>
      <c r="Y2260" s="650"/>
      <c r="Z2260" s="586"/>
      <c r="AA2260" s="742"/>
      <c r="AB2260" s="586"/>
      <c r="AC2260" s="586"/>
      <c r="AD2260" s="586"/>
      <c r="AE2260" s="578"/>
      <c r="AF2260" s="712">
        <f>SUBTOTAL(9,AF2261:AF2269)</f>
        <v>0</v>
      </c>
      <c r="AG2260" s="585"/>
      <c r="AH2260" s="585">
        <f>SUBTOTAL(9,AH2261:AH2269)</f>
        <v>0</v>
      </c>
      <c r="AI2260" s="571">
        <f t="shared" si="497"/>
        <v>221999000</v>
      </c>
      <c r="AJ2260" s="578"/>
      <c r="AK2260" s="578"/>
    </row>
    <row r="2261" spans="1:37" s="396" customFormat="1" ht="121.5" outlineLevel="2" x14ac:dyDescent="0.3">
      <c r="A2261" s="447">
        <f>IF(B2260&lt;&gt;0,B2260,A2259)</f>
        <v>189</v>
      </c>
      <c r="B2261" s="557"/>
      <c r="C2261" s="572" t="s">
        <v>1499</v>
      </c>
      <c r="D2261" s="700">
        <v>1</v>
      </c>
      <c r="E2261" s="612">
        <v>86</v>
      </c>
      <c r="F2261" s="612">
        <v>123</v>
      </c>
      <c r="G2261" s="586" t="s">
        <v>2871</v>
      </c>
      <c r="H2261" s="709">
        <v>119.2</v>
      </c>
      <c r="I2261" s="546">
        <f t="shared" ref="I2261" si="501">IF(N2261&gt;0,H2261,"")</f>
        <v>119.2</v>
      </c>
      <c r="J2261" s="562"/>
      <c r="K2261" s="563">
        <f>IF(G2261&lt;&gt;0,VLOOKUP(G2261,'gia dat'!$A$1:$F$144,5,0)," ")</f>
        <v>465600</v>
      </c>
      <c r="L2261" s="563">
        <f>IF(G2261&lt;&gt;0,VLOOKUP(G2261,'gia dat'!$A$1:$F$144,6,0)," ")</f>
        <v>1396800</v>
      </c>
      <c r="M2261" s="564">
        <f t="shared" si="495"/>
        <v>55500000</v>
      </c>
      <c r="N2261" s="564">
        <f t="shared" si="496"/>
        <v>166499000</v>
      </c>
      <c r="O2261" s="572"/>
      <c r="P2261" s="740"/>
      <c r="Q2261" s="564" t="str">
        <f>IF(O2261&lt;&gt;0,VLOOKUP(O2261,'Cây trong'!$A$2:$C$246,3,0)," ")</f>
        <v xml:space="preserve"> </v>
      </c>
      <c r="R2261" s="564" t="str">
        <f t="shared" si="486"/>
        <v xml:space="preserve"> </v>
      </c>
      <c r="S2261" s="566"/>
      <c r="T2261" s="609"/>
      <c r="U2261" s="741"/>
      <c r="V2261" s="586"/>
      <c r="W2261" s="564" t="str">
        <f>IF(S2261&lt;&gt;0,VLOOKUP(S2261,VKT!$A$2:$G$415,7,0),"")</f>
        <v/>
      </c>
      <c r="X2261" s="564" t="str">
        <f t="shared" si="500"/>
        <v xml:space="preserve"> </v>
      </c>
      <c r="Y2261" s="650"/>
      <c r="Z2261" s="586"/>
      <c r="AA2261" s="742"/>
      <c r="AB2261" s="586"/>
      <c r="AC2261" s="586"/>
      <c r="AD2261" s="586"/>
      <c r="AE2261" s="586"/>
      <c r="AF2261" s="714"/>
      <c r="AG2261" s="570" t="str">
        <f>IF(AE2261&lt;&gt;0,VLOOKUP(AE2261,ODDS!$A$2:$C$13,3,0),"")</f>
        <v/>
      </c>
      <c r="AH2261" s="570"/>
      <c r="AI2261" s="571" t="str">
        <f t="shared" si="497"/>
        <v xml:space="preserve"> </v>
      </c>
      <c r="AJ2261" s="586" t="s">
        <v>1498</v>
      </c>
      <c r="AK2261" s="586" t="s">
        <v>2771</v>
      </c>
    </row>
    <row r="2262" spans="1:37" s="394" customFormat="1" ht="81" outlineLevel="2" x14ac:dyDescent="0.3">
      <c r="A2262" s="447">
        <f t="shared" ref="A2262:A2269" si="502">IF(B2261&lt;&gt;0,B2261,A2261)</f>
        <v>189</v>
      </c>
      <c r="B2262" s="557"/>
      <c r="C2262" s="572" t="s">
        <v>1501</v>
      </c>
      <c r="D2262" s="700"/>
      <c r="E2262" s="612"/>
      <c r="F2262" s="612"/>
      <c r="G2262" s="586"/>
      <c r="H2262" s="709"/>
      <c r="I2262" s="546"/>
      <c r="J2262" s="562"/>
      <c r="K2262" s="563" t="str">
        <f>IF(G2262&lt;&gt;0,VLOOKUP(G2262,'gia dat'!$A$1:$F$144,5,0)," ")</f>
        <v xml:space="preserve"> </v>
      </c>
      <c r="L2262" s="563" t="str">
        <f>IF(G2262&lt;&gt;0,VLOOKUP(G2262,'gia dat'!$A$1:$F$144,6,0)," ")</f>
        <v xml:space="preserve"> </v>
      </c>
      <c r="M2262" s="564" t="str">
        <f t="shared" si="495"/>
        <v xml:space="preserve"> </v>
      </c>
      <c r="N2262" s="564" t="str">
        <f t="shared" si="496"/>
        <v xml:space="preserve"> </v>
      </c>
      <c r="O2262" s="572"/>
      <c r="P2262" s="740"/>
      <c r="Q2262" s="564" t="str">
        <f>IF(O2262&lt;&gt;0,VLOOKUP(O2262,'Cây trong'!$A$2:$C$246,3,0)," ")</f>
        <v xml:space="preserve"> </v>
      </c>
      <c r="R2262" s="564" t="str">
        <f t="shared" si="486"/>
        <v xml:space="preserve"> </v>
      </c>
      <c r="S2262" s="566"/>
      <c r="T2262" s="609"/>
      <c r="U2262" s="741"/>
      <c r="V2262" s="586"/>
      <c r="W2262" s="564" t="str">
        <f>IF(S2262&lt;&gt;0,VLOOKUP(S2262,VKT!$A$2:$G$415,7,0),"")</f>
        <v/>
      </c>
      <c r="X2262" s="564" t="str">
        <f t="shared" si="500"/>
        <v xml:space="preserve"> </v>
      </c>
      <c r="Y2262" s="650"/>
      <c r="Z2262" s="586"/>
      <c r="AA2262" s="742"/>
      <c r="AB2262" s="586"/>
      <c r="AC2262" s="586"/>
      <c r="AD2262" s="586"/>
      <c r="AE2262" s="586"/>
      <c r="AF2262" s="714"/>
      <c r="AG2262" s="570" t="str">
        <f>IF(AE2262&lt;&gt;0,VLOOKUP(AE2262,ODDS!$A$2:$C$13,3,0),"")</f>
        <v/>
      </c>
      <c r="AH2262" s="570" t="str">
        <f t="shared" si="487"/>
        <v xml:space="preserve"> </v>
      </c>
      <c r="AI2262" s="571" t="str">
        <f t="shared" si="497"/>
        <v xml:space="preserve"> </v>
      </c>
      <c r="AJ2262" s="586" t="s">
        <v>1500</v>
      </c>
      <c r="AK2262" s="558" t="s">
        <v>2448</v>
      </c>
    </row>
    <row r="2263" spans="1:37" s="394" customFormat="1" ht="60.75" outlineLevel="2" x14ac:dyDescent="0.3">
      <c r="A2263" s="447">
        <f t="shared" si="502"/>
        <v>189</v>
      </c>
      <c r="B2263" s="557"/>
      <c r="C2263" s="572"/>
      <c r="D2263" s="700"/>
      <c r="E2263" s="612"/>
      <c r="F2263" s="612"/>
      <c r="G2263" s="586"/>
      <c r="H2263" s="709"/>
      <c r="I2263" s="546"/>
      <c r="J2263" s="562"/>
      <c r="K2263" s="563" t="str">
        <f>IF(G2263&lt;&gt;0,VLOOKUP(G2263,'gia dat'!$A$1:$F$144,5,0)," ")</f>
        <v xml:space="preserve"> </v>
      </c>
      <c r="L2263" s="563" t="str">
        <f>IF(G2263&lt;&gt;0,VLOOKUP(G2263,'gia dat'!$A$1:$F$144,6,0)," ")</f>
        <v xml:space="preserve"> </v>
      </c>
      <c r="M2263" s="564" t="str">
        <f t="shared" si="495"/>
        <v xml:space="preserve"> </v>
      </c>
      <c r="N2263" s="564" t="str">
        <f t="shared" si="496"/>
        <v xml:space="preserve"> </v>
      </c>
      <c r="O2263" s="572"/>
      <c r="P2263" s="740"/>
      <c r="Q2263" s="564" t="str">
        <f>IF(O2263&lt;&gt;0,VLOOKUP(O2263,'Cây trong'!$A$2:$C$246,3,0)," ")</f>
        <v xml:space="preserve"> </v>
      </c>
      <c r="R2263" s="564" t="str">
        <f t="shared" si="486"/>
        <v xml:space="preserve"> </v>
      </c>
      <c r="S2263" s="566"/>
      <c r="T2263" s="609"/>
      <c r="U2263" s="741"/>
      <c r="V2263" s="586"/>
      <c r="W2263" s="564" t="str">
        <f>IF(S2263&lt;&gt;0,VLOOKUP(S2263,VKT!$A$2:$G$415,7,0),"")</f>
        <v/>
      </c>
      <c r="X2263" s="564" t="str">
        <f t="shared" si="500"/>
        <v xml:space="preserve"> </v>
      </c>
      <c r="Y2263" s="650"/>
      <c r="Z2263" s="586"/>
      <c r="AA2263" s="742"/>
      <c r="AB2263" s="586"/>
      <c r="AC2263" s="586"/>
      <c r="AD2263" s="586"/>
      <c r="AE2263" s="586"/>
      <c r="AF2263" s="714"/>
      <c r="AG2263" s="570" t="str">
        <f>IF(AE2263&lt;&gt;0,VLOOKUP(AE2263,ODDS!$A$2:$C$13,3,0),"")</f>
        <v/>
      </c>
      <c r="AH2263" s="570" t="str">
        <f t="shared" si="487"/>
        <v xml:space="preserve"> </v>
      </c>
      <c r="AI2263" s="571" t="str">
        <f t="shared" si="497"/>
        <v xml:space="preserve"> </v>
      </c>
      <c r="AJ2263" s="586" t="s">
        <v>2074</v>
      </c>
      <c r="AK2263" s="586"/>
    </row>
    <row r="2264" spans="1:37" s="394" customFormat="1" ht="20.25" outlineLevel="2" x14ac:dyDescent="0.3">
      <c r="A2264" s="447">
        <f t="shared" si="502"/>
        <v>189</v>
      </c>
      <c r="B2264" s="557"/>
      <c r="C2264" s="572"/>
      <c r="D2264" s="700"/>
      <c r="E2264" s="612"/>
      <c r="F2264" s="612"/>
      <c r="G2264" s="586"/>
      <c r="H2264" s="709"/>
      <c r="I2264" s="546"/>
      <c r="J2264" s="558"/>
      <c r="K2264" s="563" t="str">
        <f>IF(G2264&lt;&gt;0,VLOOKUP(G2264,'gia dat'!$A$1:$F$144,5,0)," ")</f>
        <v xml:space="preserve"> </v>
      </c>
      <c r="L2264" s="563" t="str">
        <f>IF(G2264&lt;&gt;0,VLOOKUP(G2264,'gia dat'!$A$1:$F$144,6,0)," ")</f>
        <v xml:space="preserve"> </v>
      </c>
      <c r="M2264" s="564" t="str">
        <f t="shared" si="495"/>
        <v xml:space="preserve"> </v>
      </c>
      <c r="N2264" s="564" t="str">
        <f t="shared" si="496"/>
        <v xml:space="preserve"> </v>
      </c>
      <c r="O2264" s="572"/>
      <c r="P2264" s="740"/>
      <c r="Q2264" s="564" t="str">
        <f>IF(O2264&lt;&gt;0,VLOOKUP(O2264,'Cây trong'!$A$2:$C$246,3,0)," ")</f>
        <v xml:space="preserve"> </v>
      </c>
      <c r="R2264" s="564" t="str">
        <f t="shared" si="486"/>
        <v xml:space="preserve"> </v>
      </c>
      <c r="S2264" s="572"/>
      <c r="T2264" s="609"/>
      <c r="U2264" s="741"/>
      <c r="V2264" s="586"/>
      <c r="W2264" s="564" t="str">
        <f>IF(S2264&lt;&gt;0,VLOOKUP(S2264,VKT!$A$2:$G$415,7,0),"")</f>
        <v/>
      </c>
      <c r="X2264" s="564" t="str">
        <f t="shared" si="500"/>
        <v xml:space="preserve"> </v>
      </c>
      <c r="Y2264" s="650"/>
      <c r="Z2264" s="586"/>
      <c r="AA2264" s="742"/>
      <c r="AB2264" s="586"/>
      <c r="AC2264" s="586"/>
      <c r="AD2264" s="586"/>
      <c r="AE2264" s="586"/>
      <c r="AF2264" s="714"/>
      <c r="AG2264" s="570" t="str">
        <f>IF(AE2264&lt;&gt;0,VLOOKUP(AE2264,ODDS!$A$2:$C$13,3,0),"")</f>
        <v/>
      </c>
      <c r="AH2264" s="570" t="str">
        <f t="shared" si="487"/>
        <v xml:space="preserve"> </v>
      </c>
      <c r="AI2264" s="571" t="str">
        <f t="shared" si="497"/>
        <v xml:space="preserve"> </v>
      </c>
      <c r="AJ2264" s="731"/>
      <c r="AK2264" s="586"/>
    </row>
    <row r="2265" spans="1:37" s="394" customFormat="1" ht="20.25" outlineLevel="2" x14ac:dyDescent="0.3">
      <c r="A2265" s="447">
        <f t="shared" si="502"/>
        <v>189</v>
      </c>
      <c r="B2265" s="557"/>
      <c r="C2265" s="586"/>
      <c r="D2265" s="700"/>
      <c r="E2265" s="612"/>
      <c r="F2265" s="612"/>
      <c r="G2265" s="586"/>
      <c r="H2265" s="709"/>
      <c r="I2265" s="546"/>
      <c r="J2265" s="558"/>
      <c r="K2265" s="563" t="str">
        <f>IF(G2265&lt;&gt;0,VLOOKUP(G2265,'gia dat'!$A$1:$F$144,5,0)," ")</f>
        <v xml:space="preserve"> </v>
      </c>
      <c r="L2265" s="563" t="str">
        <f>IF(G2265&lt;&gt;0,VLOOKUP(G2265,'gia dat'!$A$1:$F$144,6,0)," ")</f>
        <v xml:space="preserve"> </v>
      </c>
      <c r="M2265" s="564" t="str">
        <f t="shared" si="495"/>
        <v xml:space="preserve"> </v>
      </c>
      <c r="N2265" s="564" t="str">
        <f t="shared" si="496"/>
        <v xml:space="preserve"> </v>
      </c>
      <c r="O2265" s="572"/>
      <c r="P2265" s="740"/>
      <c r="Q2265" s="564" t="str">
        <f>IF(O2265&lt;&gt;0,VLOOKUP(O2265,'Cây trong'!$A$2:$C$246,3,0)," ")</f>
        <v xml:space="preserve"> </v>
      </c>
      <c r="R2265" s="564" t="str">
        <f t="shared" si="486"/>
        <v xml:space="preserve"> </v>
      </c>
      <c r="S2265" s="572"/>
      <c r="T2265" s="609"/>
      <c r="U2265" s="741"/>
      <c r="V2265" s="586"/>
      <c r="W2265" s="564" t="str">
        <f>IF(S2265&lt;&gt;0,VLOOKUP(S2265,VKT!$A$2:$G$415,7,0),"")</f>
        <v/>
      </c>
      <c r="X2265" s="564" t="str">
        <f t="shared" si="500"/>
        <v xml:space="preserve"> </v>
      </c>
      <c r="Y2265" s="650"/>
      <c r="Z2265" s="586"/>
      <c r="AA2265" s="742"/>
      <c r="AB2265" s="586"/>
      <c r="AC2265" s="586"/>
      <c r="AD2265" s="586"/>
      <c r="AE2265" s="586"/>
      <c r="AF2265" s="714"/>
      <c r="AG2265" s="570" t="str">
        <f>IF(AE2265&lt;&gt;0,VLOOKUP(AE2265,ODDS!$A$2:$C$13,3,0),"")</f>
        <v/>
      </c>
      <c r="AH2265" s="570" t="str">
        <f t="shared" si="487"/>
        <v xml:space="preserve"> </v>
      </c>
      <c r="AI2265" s="571" t="str">
        <f t="shared" si="497"/>
        <v xml:space="preserve"> </v>
      </c>
      <c r="AJ2265" s="586"/>
      <c r="AK2265" s="586"/>
    </row>
    <row r="2266" spans="1:37" s="394" customFormat="1" ht="20.25" outlineLevel="2" x14ac:dyDescent="0.3">
      <c r="A2266" s="447">
        <f t="shared" si="502"/>
        <v>189</v>
      </c>
      <c r="B2266" s="557"/>
      <c r="C2266" s="586"/>
      <c r="D2266" s="700"/>
      <c r="E2266" s="612"/>
      <c r="F2266" s="612"/>
      <c r="G2266" s="586"/>
      <c r="H2266" s="709"/>
      <c r="I2266" s="546"/>
      <c r="J2266" s="558"/>
      <c r="K2266" s="563" t="str">
        <f>IF(G2266&lt;&gt;0,VLOOKUP(G2266,'gia dat'!$A$1:$F$144,5,0)," ")</f>
        <v xml:space="preserve"> </v>
      </c>
      <c r="L2266" s="563" t="str">
        <f>IF(G2266&lt;&gt;0,VLOOKUP(G2266,'gia dat'!$A$1:$F$144,6,0)," ")</f>
        <v xml:space="preserve"> </v>
      </c>
      <c r="M2266" s="564" t="str">
        <f t="shared" si="495"/>
        <v xml:space="preserve"> </v>
      </c>
      <c r="N2266" s="564" t="str">
        <f t="shared" si="496"/>
        <v xml:space="preserve"> </v>
      </c>
      <c r="O2266" s="572"/>
      <c r="P2266" s="740"/>
      <c r="Q2266" s="564" t="str">
        <f>IF(O2266&lt;&gt;0,VLOOKUP(O2266,'Cây trong'!$A$2:$C$246,3,0)," ")</f>
        <v xml:space="preserve"> </v>
      </c>
      <c r="R2266" s="564" t="str">
        <f t="shared" si="486"/>
        <v xml:space="preserve"> </v>
      </c>
      <c r="S2266" s="572"/>
      <c r="T2266" s="609"/>
      <c r="U2266" s="741"/>
      <c r="V2266" s="586"/>
      <c r="W2266" s="564" t="str">
        <f>IF(S2266&lt;&gt;0,VLOOKUP(S2266,VKT!$A$2:$G$415,7,0),"")</f>
        <v/>
      </c>
      <c r="X2266" s="564" t="str">
        <f t="shared" si="500"/>
        <v xml:space="preserve"> </v>
      </c>
      <c r="Y2266" s="650"/>
      <c r="Z2266" s="586"/>
      <c r="AA2266" s="742"/>
      <c r="AB2266" s="586"/>
      <c r="AC2266" s="586"/>
      <c r="AD2266" s="586"/>
      <c r="AE2266" s="586"/>
      <c r="AF2266" s="714"/>
      <c r="AG2266" s="570" t="str">
        <f>IF(AE2266&lt;&gt;0,VLOOKUP(AE2266,ODDS!$A$2:$C$13,3,0),"")</f>
        <v/>
      </c>
      <c r="AH2266" s="570" t="str">
        <f t="shared" si="487"/>
        <v xml:space="preserve"> </v>
      </c>
      <c r="AI2266" s="571" t="str">
        <f t="shared" si="497"/>
        <v xml:space="preserve"> </v>
      </c>
      <c r="AJ2266" s="572"/>
      <c r="AK2266" s="572"/>
    </row>
    <row r="2267" spans="1:37" s="394" customFormat="1" ht="20.25" outlineLevel="2" x14ac:dyDescent="0.3">
      <c r="A2267" s="447">
        <f t="shared" si="502"/>
        <v>189</v>
      </c>
      <c r="B2267" s="557"/>
      <c r="C2267" s="572"/>
      <c r="D2267" s="700"/>
      <c r="E2267" s="612"/>
      <c r="F2267" s="612"/>
      <c r="G2267" s="586"/>
      <c r="H2267" s="709"/>
      <c r="I2267" s="546"/>
      <c r="J2267" s="558"/>
      <c r="K2267" s="563" t="str">
        <f>IF(G2267&lt;&gt;0,VLOOKUP(G2267,'gia dat'!$A$1:$F$144,5,0)," ")</f>
        <v xml:space="preserve"> </v>
      </c>
      <c r="L2267" s="563" t="str">
        <f>IF(G2267&lt;&gt;0,VLOOKUP(G2267,'gia dat'!$A$1:$F$144,6,0)," ")</f>
        <v xml:space="preserve"> </v>
      </c>
      <c r="M2267" s="564" t="str">
        <f t="shared" si="495"/>
        <v xml:space="preserve"> </v>
      </c>
      <c r="N2267" s="564" t="str">
        <f t="shared" si="496"/>
        <v xml:space="preserve"> </v>
      </c>
      <c r="O2267" s="572"/>
      <c r="P2267" s="740"/>
      <c r="Q2267" s="564" t="str">
        <f>IF(O2267&lt;&gt;0,VLOOKUP(O2267,'Cây trong'!$A$2:$C$246,3,0)," ")</f>
        <v xml:space="preserve"> </v>
      </c>
      <c r="R2267" s="564" t="str">
        <f t="shared" si="486"/>
        <v xml:space="preserve"> </v>
      </c>
      <c r="S2267" s="572"/>
      <c r="T2267" s="609"/>
      <c r="U2267" s="741"/>
      <c r="V2267" s="586"/>
      <c r="W2267" s="564" t="str">
        <f>IF(S2267&lt;&gt;0,VLOOKUP(S2267,VKT!$A$2:$G$415,7,0),"")</f>
        <v/>
      </c>
      <c r="X2267" s="564" t="str">
        <f t="shared" si="500"/>
        <v xml:space="preserve"> </v>
      </c>
      <c r="Y2267" s="650"/>
      <c r="Z2267" s="586"/>
      <c r="AA2267" s="742"/>
      <c r="AB2267" s="586"/>
      <c r="AC2267" s="586"/>
      <c r="AD2267" s="586"/>
      <c r="AE2267" s="586"/>
      <c r="AF2267" s="714"/>
      <c r="AG2267" s="570" t="str">
        <f>IF(AE2267&lt;&gt;0,VLOOKUP(AE2267,ODDS!$A$2:$C$13,3,0),"")</f>
        <v/>
      </c>
      <c r="AH2267" s="570" t="str">
        <f t="shared" si="487"/>
        <v xml:space="preserve"> </v>
      </c>
      <c r="AI2267" s="571" t="str">
        <f t="shared" si="497"/>
        <v xml:space="preserve"> </v>
      </c>
      <c r="AJ2267" s="558"/>
      <c r="AK2267" s="558"/>
    </row>
    <row r="2268" spans="1:37" s="394" customFormat="1" ht="20.25" outlineLevel="2" x14ac:dyDescent="0.3">
      <c r="A2268" s="447">
        <f t="shared" si="502"/>
        <v>189</v>
      </c>
      <c r="B2268" s="557"/>
      <c r="C2268" s="572"/>
      <c r="D2268" s="700"/>
      <c r="E2268" s="612"/>
      <c r="F2268" s="612"/>
      <c r="G2268" s="586"/>
      <c r="H2268" s="709"/>
      <c r="I2268" s="546"/>
      <c r="J2268" s="558"/>
      <c r="K2268" s="563" t="str">
        <f>IF(G2268&lt;&gt;0,VLOOKUP(G2268,'gia dat'!$A$1:$F$144,5,0)," ")</f>
        <v xml:space="preserve"> </v>
      </c>
      <c r="L2268" s="563" t="str">
        <f>IF(G2268&lt;&gt;0,VLOOKUP(G2268,'gia dat'!$A$1:$F$144,6,0)," ")</f>
        <v xml:space="preserve"> </v>
      </c>
      <c r="M2268" s="564" t="str">
        <f t="shared" si="495"/>
        <v xml:space="preserve"> </v>
      </c>
      <c r="N2268" s="564" t="str">
        <f t="shared" si="496"/>
        <v xml:space="preserve"> </v>
      </c>
      <c r="O2268" s="572"/>
      <c r="P2268" s="740"/>
      <c r="Q2268" s="564" t="str">
        <f>IF(O2268&lt;&gt;0,VLOOKUP(O2268,'Cây trong'!$A$2:$C$246,3,0)," ")</f>
        <v xml:space="preserve"> </v>
      </c>
      <c r="R2268" s="564" t="str">
        <f t="shared" si="486"/>
        <v xml:space="preserve"> </v>
      </c>
      <c r="S2268" s="572"/>
      <c r="T2268" s="609"/>
      <c r="U2268" s="741"/>
      <c r="V2268" s="586"/>
      <c r="W2268" s="564" t="str">
        <f>IF(S2268&lt;&gt;0,VLOOKUP(S2268,VKT!$A$2:$G$415,7,0),"")</f>
        <v/>
      </c>
      <c r="X2268" s="564" t="str">
        <f t="shared" si="500"/>
        <v xml:space="preserve"> </v>
      </c>
      <c r="Y2268" s="650"/>
      <c r="Z2268" s="586"/>
      <c r="AA2268" s="742"/>
      <c r="AB2268" s="586"/>
      <c r="AC2268" s="586"/>
      <c r="AD2268" s="586"/>
      <c r="AE2268" s="586"/>
      <c r="AF2268" s="714"/>
      <c r="AG2268" s="570" t="str">
        <f>IF(AE2268&lt;&gt;0,VLOOKUP(AE2268,ODDS!$A$2:$C$13,3,0),"")</f>
        <v/>
      </c>
      <c r="AH2268" s="570" t="str">
        <f t="shared" si="487"/>
        <v xml:space="preserve"> </v>
      </c>
      <c r="AI2268" s="571" t="str">
        <f t="shared" si="497"/>
        <v xml:space="preserve"> </v>
      </c>
      <c r="AJ2268" s="586"/>
      <c r="AK2268" s="586"/>
    </row>
    <row r="2269" spans="1:37" s="394" customFormat="1" ht="20.25" outlineLevel="2" x14ac:dyDescent="0.3">
      <c r="A2269" s="447">
        <f t="shared" si="502"/>
        <v>189</v>
      </c>
      <c r="B2269" s="557"/>
      <c r="C2269" s="607"/>
      <c r="D2269" s="700"/>
      <c r="E2269" s="612"/>
      <c r="F2269" s="612"/>
      <c r="G2269" s="586"/>
      <c r="H2269" s="709"/>
      <c r="I2269" s="546"/>
      <c r="J2269" s="558"/>
      <c r="K2269" s="563" t="str">
        <f>IF(G2269&lt;&gt;0,VLOOKUP(G2269,'gia dat'!$A$1:$F$144,5,0)," ")</f>
        <v xml:space="preserve"> </v>
      </c>
      <c r="L2269" s="563" t="str">
        <f>IF(G2269&lt;&gt;0,VLOOKUP(G2269,'gia dat'!$A$1:$F$144,6,0)," ")</f>
        <v xml:space="preserve"> </v>
      </c>
      <c r="M2269" s="564" t="str">
        <f t="shared" si="495"/>
        <v xml:space="preserve"> </v>
      </c>
      <c r="N2269" s="564" t="str">
        <f t="shared" si="496"/>
        <v xml:space="preserve"> </v>
      </c>
      <c r="O2269" s="572"/>
      <c r="P2269" s="740"/>
      <c r="Q2269" s="564" t="str">
        <f>IF(O2269&lt;&gt;0,VLOOKUP(O2269,'Cây trong'!$A$2:$C$246,3,0)," ")</f>
        <v xml:space="preserve"> </v>
      </c>
      <c r="R2269" s="564" t="str">
        <f t="shared" ref="R2269:R2346" si="503">IF(O2269&lt;&gt;0,ROUND(P2269*Q2269,-2)," ")</f>
        <v xml:space="preserve"> </v>
      </c>
      <c r="S2269" s="572"/>
      <c r="T2269" s="609"/>
      <c r="U2269" s="741"/>
      <c r="V2269" s="586"/>
      <c r="W2269" s="564" t="str">
        <f>IF(S2269&lt;&gt;0,VLOOKUP(S2269,VKT!$A$2:$G$415,7,0),"")</f>
        <v/>
      </c>
      <c r="X2269" s="564" t="str">
        <f t="shared" si="500"/>
        <v xml:space="preserve"> </v>
      </c>
      <c r="Y2269" s="650"/>
      <c r="Z2269" s="586"/>
      <c r="AA2269" s="742"/>
      <c r="AB2269" s="586"/>
      <c r="AC2269" s="586"/>
      <c r="AD2269" s="586"/>
      <c r="AE2269" s="586"/>
      <c r="AF2269" s="714"/>
      <c r="AG2269" s="570" t="str">
        <f>IF(AE2269&lt;&gt;0,VLOOKUP(AE2269,ODDS!$A$2:$C$13,3,0),"")</f>
        <v/>
      </c>
      <c r="AH2269" s="570" t="str">
        <f t="shared" ref="AH2269:AH2338" si="504">IF(AE2269&lt;&gt;0,ROUND(AF2269*AG2269,-2)," ")</f>
        <v xml:space="preserve"> </v>
      </c>
      <c r="AI2269" s="571" t="str">
        <f t="shared" si="497"/>
        <v xml:space="preserve"> </v>
      </c>
      <c r="AJ2269" s="586"/>
      <c r="AK2269" s="586"/>
    </row>
    <row r="2270" spans="1:37" s="396" customFormat="1" ht="20.25" outlineLevel="1" x14ac:dyDescent="0.25">
      <c r="A2270" s="467" t="s">
        <v>2520</v>
      </c>
      <c r="B2270" s="576">
        <v>190</v>
      </c>
      <c r="C2270" s="607" t="s">
        <v>1503</v>
      </c>
      <c r="D2270" s="706"/>
      <c r="E2270" s="642"/>
      <c r="F2270" s="642"/>
      <c r="G2270" s="578"/>
      <c r="H2270" s="707">
        <f>SUBTOTAL(9,H2271:H2279)</f>
        <v>147</v>
      </c>
      <c r="I2270" s="579">
        <f>SUBTOTAL(9,I2271:I2276)</f>
        <v>147</v>
      </c>
      <c r="J2270" s="580"/>
      <c r="K2270" s="581"/>
      <c r="L2270" s="581"/>
      <c r="M2270" s="571">
        <f>SUBTOTAL(9,M2271:M2279)</f>
        <v>55390000</v>
      </c>
      <c r="N2270" s="571">
        <f>SUBTOTAL(9,N2271:N2279)</f>
        <v>166169000</v>
      </c>
      <c r="O2270" s="607"/>
      <c r="P2270" s="738">
        <f>SUBTOTAL(9,P2271:P2279)</f>
        <v>2</v>
      </c>
      <c r="Q2270" s="571"/>
      <c r="R2270" s="571">
        <f>SUBTOTAL(9,R2271:R2279)</f>
        <v>1537000</v>
      </c>
      <c r="S2270" s="582"/>
      <c r="T2270" s="621"/>
      <c r="U2270" s="739">
        <f>SUBTOTAL(9,U2271:U2279)</f>
        <v>0</v>
      </c>
      <c r="V2270" s="578"/>
      <c r="W2270" s="571"/>
      <c r="X2270" s="571">
        <f>SUBTOTAL(9,X2271:X2279)</f>
        <v>0</v>
      </c>
      <c r="Y2270" s="650"/>
      <c r="Z2270" s="586"/>
      <c r="AA2270" s="742"/>
      <c r="AB2270" s="586"/>
      <c r="AC2270" s="586"/>
      <c r="AD2270" s="586"/>
      <c r="AE2270" s="578"/>
      <c r="AF2270" s="712">
        <f>SUBTOTAL(9,AF2271:AF2279)</f>
        <v>0</v>
      </c>
      <c r="AG2270" s="585"/>
      <c r="AH2270" s="585">
        <f>SUBTOTAL(9,AH2271:AH2279)</f>
        <v>0</v>
      </c>
      <c r="AI2270" s="571">
        <f t="shared" si="497"/>
        <v>223096000</v>
      </c>
      <c r="AJ2270" s="578"/>
      <c r="AK2270" s="578"/>
    </row>
    <row r="2271" spans="1:37" s="396" customFormat="1" ht="121.5" outlineLevel="2" x14ac:dyDescent="0.3">
      <c r="A2271" s="447">
        <f>IF(B2270&lt;&gt;0,B2270,A2269)</f>
        <v>190</v>
      </c>
      <c r="B2271" s="557"/>
      <c r="C2271" s="572" t="s">
        <v>1505</v>
      </c>
      <c r="D2271" s="700">
        <v>1</v>
      </c>
      <c r="E2271" s="612">
        <v>86</v>
      </c>
      <c r="F2271" s="612">
        <v>378</v>
      </c>
      <c r="G2271" s="586" t="s">
        <v>2433</v>
      </c>
      <c r="H2271" s="709">
        <v>147</v>
      </c>
      <c r="I2271" s="546">
        <f t="shared" ref="I2271" si="505">IF(N2271&gt;0,H2271,"")</f>
        <v>147</v>
      </c>
      <c r="J2271" s="562"/>
      <c r="K2271" s="563">
        <f>IF(G2271&lt;&gt;0,VLOOKUP(G2271,'gia dat'!$A$1:$F$144,5,0)," ")</f>
        <v>376800</v>
      </c>
      <c r="L2271" s="563">
        <f>IF(G2271&lt;&gt;0,VLOOKUP(G2271,'gia dat'!$A$1:$F$144,6,0)," ")</f>
        <v>1130400</v>
      </c>
      <c r="M2271" s="564">
        <f t="shared" si="495"/>
        <v>55390000</v>
      </c>
      <c r="N2271" s="564">
        <f t="shared" si="496"/>
        <v>166169000</v>
      </c>
      <c r="O2271" s="572" t="s">
        <v>1429</v>
      </c>
      <c r="P2271" s="740">
        <v>1</v>
      </c>
      <c r="Q2271" s="564">
        <f>IF(O2271&lt;&gt;0,VLOOKUP(O2271,'Cây trong'!$A$2:$C$246,3,0)," ")</f>
        <v>1200000</v>
      </c>
      <c r="R2271" s="564">
        <f t="shared" si="503"/>
        <v>1200000</v>
      </c>
      <c r="S2271" s="566"/>
      <c r="T2271" s="609"/>
      <c r="U2271" s="741"/>
      <c r="V2271" s="586"/>
      <c r="W2271" s="564" t="str">
        <f>IF(S2271&lt;&gt;0,VLOOKUP(S2271,VKT!$A$2:$G$415,7,0),"")</f>
        <v/>
      </c>
      <c r="X2271" s="564" t="str">
        <f t="shared" si="500"/>
        <v xml:space="preserve"> </v>
      </c>
      <c r="Y2271" s="650"/>
      <c r="Z2271" s="586"/>
      <c r="AA2271" s="742"/>
      <c r="AB2271" s="586"/>
      <c r="AC2271" s="586"/>
      <c r="AD2271" s="586"/>
      <c r="AE2271" s="586"/>
      <c r="AF2271" s="714"/>
      <c r="AG2271" s="570" t="str">
        <f>IF(AE2271&lt;&gt;0,VLOOKUP(AE2271,ODDS!$A$2:$C$13,3,0),"")</f>
        <v/>
      </c>
      <c r="AH2271" s="570"/>
      <c r="AI2271" s="571" t="str">
        <f t="shared" si="497"/>
        <v xml:space="preserve"> </v>
      </c>
      <c r="AJ2271" s="586" t="s">
        <v>1504</v>
      </c>
      <c r="AK2271" s="586" t="s">
        <v>2771</v>
      </c>
    </row>
    <row r="2272" spans="1:37" s="394" customFormat="1" ht="81" outlineLevel="2" x14ac:dyDescent="0.3">
      <c r="A2272" s="447">
        <f t="shared" ref="A2272:A2279" si="506">IF(B2271&lt;&gt;0,B2271,A2271)</f>
        <v>190</v>
      </c>
      <c r="B2272" s="557"/>
      <c r="C2272" s="572" t="s">
        <v>1640</v>
      </c>
      <c r="D2272" s="700"/>
      <c r="E2272" s="612"/>
      <c r="F2272" s="612"/>
      <c r="G2272" s="586"/>
      <c r="H2272" s="709"/>
      <c r="I2272" s="546"/>
      <c r="J2272" s="562"/>
      <c r="K2272" s="563" t="str">
        <f>IF(G2272&lt;&gt;0,VLOOKUP(G2272,'gia dat'!$A$1:$F$144,5,0)," ")</f>
        <v xml:space="preserve"> </v>
      </c>
      <c r="L2272" s="563" t="str">
        <f>IF(G2272&lt;&gt;0,VLOOKUP(G2272,'gia dat'!$A$1:$F$144,6,0)," ")</f>
        <v xml:space="preserve"> </v>
      </c>
      <c r="M2272" s="564" t="str">
        <f t="shared" si="495"/>
        <v xml:space="preserve"> </v>
      </c>
      <c r="N2272" s="564" t="str">
        <f t="shared" si="496"/>
        <v xml:space="preserve"> </v>
      </c>
      <c r="O2272" s="572" t="s">
        <v>408</v>
      </c>
      <c r="P2272" s="740">
        <v>1</v>
      </c>
      <c r="Q2272" s="564">
        <f>IF(O2272&lt;&gt;0,VLOOKUP(O2272,'Cây trong'!$A$2:$C$246,3,0)," ")</f>
        <v>337000</v>
      </c>
      <c r="R2272" s="564">
        <f t="shared" si="503"/>
        <v>337000</v>
      </c>
      <c r="S2272" s="566"/>
      <c r="T2272" s="609"/>
      <c r="U2272" s="741"/>
      <c r="V2272" s="586"/>
      <c r="W2272" s="564" t="str">
        <f>IF(S2272&lt;&gt;0,VLOOKUP(S2272,VKT!$A$2:$G$415,7,0),"")</f>
        <v/>
      </c>
      <c r="X2272" s="564" t="str">
        <f t="shared" si="500"/>
        <v xml:space="preserve"> </v>
      </c>
      <c r="Y2272" s="650"/>
      <c r="Z2272" s="586"/>
      <c r="AA2272" s="742"/>
      <c r="AB2272" s="586"/>
      <c r="AC2272" s="586"/>
      <c r="AD2272" s="586"/>
      <c r="AE2272" s="586"/>
      <c r="AF2272" s="714"/>
      <c r="AG2272" s="570" t="str">
        <f>IF(AE2272&lt;&gt;0,VLOOKUP(AE2272,ODDS!$A$2:$C$13,3,0),"")</f>
        <v/>
      </c>
      <c r="AH2272" s="570" t="str">
        <f t="shared" si="504"/>
        <v xml:space="preserve"> </v>
      </c>
      <c r="AI2272" s="571" t="str">
        <f t="shared" si="497"/>
        <v xml:space="preserve"> </v>
      </c>
      <c r="AJ2272" s="586" t="s">
        <v>1506</v>
      </c>
      <c r="AK2272" s="558" t="s">
        <v>2448</v>
      </c>
    </row>
    <row r="2273" spans="1:37" s="394" customFormat="1" ht="60.75" outlineLevel="2" x14ac:dyDescent="0.3">
      <c r="A2273" s="447">
        <f t="shared" si="506"/>
        <v>190</v>
      </c>
      <c r="B2273" s="557"/>
      <c r="C2273" s="572"/>
      <c r="D2273" s="700"/>
      <c r="E2273" s="612"/>
      <c r="F2273" s="612"/>
      <c r="G2273" s="586"/>
      <c r="H2273" s="709"/>
      <c r="I2273" s="546"/>
      <c r="J2273" s="562"/>
      <c r="K2273" s="563" t="str">
        <f>IF(G2273&lt;&gt;0,VLOOKUP(G2273,'gia dat'!$A$1:$F$144,5,0)," ")</f>
        <v xml:space="preserve"> </v>
      </c>
      <c r="L2273" s="563" t="str">
        <f>IF(G2273&lt;&gt;0,VLOOKUP(G2273,'gia dat'!$A$1:$F$144,6,0)," ")</f>
        <v xml:space="preserve"> </v>
      </c>
      <c r="M2273" s="564" t="str">
        <f t="shared" si="495"/>
        <v xml:space="preserve"> </v>
      </c>
      <c r="N2273" s="564" t="str">
        <f t="shared" si="496"/>
        <v xml:space="preserve"> </v>
      </c>
      <c r="O2273" s="572"/>
      <c r="P2273" s="740"/>
      <c r="Q2273" s="564" t="str">
        <f>IF(O2273&lt;&gt;0,VLOOKUP(O2273,'Cây trong'!$A$2:$C$246,3,0)," ")</f>
        <v xml:space="preserve"> </v>
      </c>
      <c r="R2273" s="564" t="str">
        <f t="shared" si="503"/>
        <v xml:space="preserve"> </v>
      </c>
      <c r="S2273" s="566"/>
      <c r="T2273" s="609"/>
      <c r="U2273" s="741"/>
      <c r="V2273" s="586"/>
      <c r="W2273" s="564" t="str">
        <f>IF(S2273&lt;&gt;0,VLOOKUP(S2273,VKT!$A$2:$G$415,7,0),"")</f>
        <v/>
      </c>
      <c r="X2273" s="564" t="str">
        <f t="shared" si="500"/>
        <v xml:space="preserve"> </v>
      </c>
      <c r="Y2273" s="650"/>
      <c r="Z2273" s="586"/>
      <c r="AA2273" s="742"/>
      <c r="AB2273" s="586"/>
      <c r="AC2273" s="586"/>
      <c r="AD2273" s="586"/>
      <c r="AE2273" s="586"/>
      <c r="AF2273" s="714"/>
      <c r="AG2273" s="570" t="str">
        <f>IF(AE2273&lt;&gt;0,VLOOKUP(AE2273,ODDS!$A$2:$C$13,3,0),"")</f>
        <v/>
      </c>
      <c r="AH2273" s="570" t="str">
        <f t="shared" si="504"/>
        <v xml:space="preserve"> </v>
      </c>
      <c r="AI2273" s="571" t="str">
        <f t="shared" si="497"/>
        <v xml:space="preserve"> </v>
      </c>
      <c r="AJ2273" s="586" t="s">
        <v>2074</v>
      </c>
      <c r="AK2273" s="586"/>
    </row>
    <row r="2274" spans="1:37" s="394" customFormat="1" ht="20.25" outlineLevel="2" x14ac:dyDescent="0.3">
      <c r="A2274" s="447">
        <f t="shared" si="506"/>
        <v>190</v>
      </c>
      <c r="B2274" s="557"/>
      <c r="C2274" s="572"/>
      <c r="D2274" s="700"/>
      <c r="E2274" s="612"/>
      <c r="F2274" s="612"/>
      <c r="G2274" s="586"/>
      <c r="H2274" s="709"/>
      <c r="I2274" s="546"/>
      <c r="J2274" s="558"/>
      <c r="K2274" s="563" t="str">
        <f>IF(G2274&lt;&gt;0,VLOOKUP(G2274,'gia dat'!$A$1:$F$144,5,0)," ")</f>
        <v xml:space="preserve"> </v>
      </c>
      <c r="L2274" s="563" t="str">
        <f>IF(G2274&lt;&gt;0,VLOOKUP(G2274,'gia dat'!$A$1:$F$144,6,0)," ")</f>
        <v xml:space="preserve"> </v>
      </c>
      <c r="M2274" s="564" t="str">
        <f t="shared" si="495"/>
        <v xml:space="preserve"> </v>
      </c>
      <c r="N2274" s="564" t="str">
        <f t="shared" si="496"/>
        <v xml:space="preserve"> </v>
      </c>
      <c r="O2274" s="572"/>
      <c r="P2274" s="740"/>
      <c r="Q2274" s="564" t="str">
        <f>IF(O2274&lt;&gt;0,VLOOKUP(O2274,'Cây trong'!$A$2:$C$246,3,0)," ")</f>
        <v xml:space="preserve"> </v>
      </c>
      <c r="R2274" s="564" t="str">
        <f t="shared" si="503"/>
        <v xml:space="preserve"> </v>
      </c>
      <c r="S2274" s="572"/>
      <c r="T2274" s="609"/>
      <c r="U2274" s="741"/>
      <c r="V2274" s="586"/>
      <c r="W2274" s="564" t="str">
        <f>IF(S2274&lt;&gt;0,VLOOKUP(S2274,VKT!$A$2:$G$415,7,0),"")</f>
        <v/>
      </c>
      <c r="X2274" s="564" t="str">
        <f t="shared" si="500"/>
        <v xml:space="preserve"> </v>
      </c>
      <c r="Y2274" s="650"/>
      <c r="Z2274" s="586"/>
      <c r="AA2274" s="742"/>
      <c r="AB2274" s="586"/>
      <c r="AC2274" s="586"/>
      <c r="AD2274" s="586"/>
      <c r="AE2274" s="586"/>
      <c r="AF2274" s="714"/>
      <c r="AG2274" s="570" t="str">
        <f>IF(AE2274&lt;&gt;0,VLOOKUP(AE2274,ODDS!$A$2:$C$13,3,0),"")</f>
        <v/>
      </c>
      <c r="AH2274" s="570" t="str">
        <f t="shared" si="504"/>
        <v xml:space="preserve"> </v>
      </c>
      <c r="AI2274" s="571" t="str">
        <f t="shared" si="497"/>
        <v xml:space="preserve"> </v>
      </c>
      <c r="AJ2274" s="731"/>
      <c r="AK2274" s="586"/>
    </row>
    <row r="2275" spans="1:37" s="394" customFormat="1" ht="20.25" outlineLevel="2" x14ac:dyDescent="0.3">
      <c r="A2275" s="447">
        <f t="shared" si="506"/>
        <v>190</v>
      </c>
      <c r="B2275" s="557"/>
      <c r="C2275" s="572"/>
      <c r="D2275" s="700"/>
      <c r="E2275" s="612"/>
      <c r="F2275" s="612"/>
      <c r="G2275" s="586"/>
      <c r="H2275" s="709"/>
      <c r="I2275" s="546"/>
      <c r="J2275" s="558"/>
      <c r="K2275" s="563" t="str">
        <f>IF(G2275&lt;&gt;0,VLOOKUP(G2275,'gia dat'!$A$1:$F$144,5,0)," ")</f>
        <v xml:space="preserve"> </v>
      </c>
      <c r="L2275" s="563" t="str">
        <f>IF(G2275&lt;&gt;0,VLOOKUP(G2275,'gia dat'!$A$1:$F$144,6,0)," ")</f>
        <v xml:space="preserve"> </v>
      </c>
      <c r="M2275" s="564" t="str">
        <f t="shared" si="495"/>
        <v xml:space="preserve"> </v>
      </c>
      <c r="N2275" s="564" t="str">
        <f t="shared" si="496"/>
        <v xml:space="preserve"> </v>
      </c>
      <c r="O2275" s="572"/>
      <c r="P2275" s="740"/>
      <c r="Q2275" s="564" t="str">
        <f>IF(O2275&lt;&gt;0,VLOOKUP(O2275,'Cây trong'!$A$2:$C$246,3,0)," ")</f>
        <v xml:space="preserve"> </v>
      </c>
      <c r="R2275" s="564" t="str">
        <f t="shared" si="503"/>
        <v xml:space="preserve"> </v>
      </c>
      <c r="S2275" s="572"/>
      <c r="T2275" s="609"/>
      <c r="U2275" s="741"/>
      <c r="V2275" s="586"/>
      <c r="W2275" s="564" t="str">
        <f>IF(S2275&lt;&gt;0,VLOOKUP(S2275,VKT!$A$2:$G$415,7,0),"")</f>
        <v/>
      </c>
      <c r="X2275" s="564" t="str">
        <f t="shared" si="500"/>
        <v xml:space="preserve"> </v>
      </c>
      <c r="Y2275" s="650"/>
      <c r="Z2275" s="586"/>
      <c r="AA2275" s="742"/>
      <c r="AB2275" s="586"/>
      <c r="AC2275" s="586"/>
      <c r="AD2275" s="586"/>
      <c r="AE2275" s="586"/>
      <c r="AF2275" s="714"/>
      <c r="AG2275" s="570" t="str">
        <f>IF(AE2275&lt;&gt;0,VLOOKUP(AE2275,ODDS!$A$2:$C$13,3,0),"")</f>
        <v/>
      </c>
      <c r="AH2275" s="570" t="str">
        <f t="shared" si="504"/>
        <v xml:space="preserve"> </v>
      </c>
      <c r="AI2275" s="571" t="str">
        <f t="shared" si="497"/>
        <v xml:space="preserve"> </v>
      </c>
      <c r="AJ2275" s="572"/>
      <c r="AK2275" s="572"/>
    </row>
    <row r="2276" spans="1:37" s="394" customFormat="1" ht="20.25" outlineLevel="2" x14ac:dyDescent="0.3">
      <c r="A2276" s="447">
        <f t="shared" si="506"/>
        <v>190</v>
      </c>
      <c r="B2276" s="557"/>
      <c r="C2276" s="572"/>
      <c r="D2276" s="700"/>
      <c r="E2276" s="612"/>
      <c r="F2276" s="612"/>
      <c r="G2276" s="586"/>
      <c r="H2276" s="709"/>
      <c r="I2276" s="546"/>
      <c r="J2276" s="558"/>
      <c r="K2276" s="563" t="str">
        <f>IF(G2276&lt;&gt;0,VLOOKUP(G2276,'gia dat'!$A$1:$F$144,5,0)," ")</f>
        <v xml:space="preserve"> </v>
      </c>
      <c r="L2276" s="563" t="str">
        <f>IF(G2276&lt;&gt;0,VLOOKUP(G2276,'gia dat'!$A$1:$F$144,6,0)," ")</f>
        <v xml:space="preserve"> </v>
      </c>
      <c r="M2276" s="564" t="str">
        <f t="shared" si="495"/>
        <v xml:space="preserve"> </v>
      </c>
      <c r="N2276" s="564" t="str">
        <f t="shared" si="496"/>
        <v xml:space="preserve"> </v>
      </c>
      <c r="O2276" s="572"/>
      <c r="P2276" s="740"/>
      <c r="Q2276" s="564" t="str">
        <f>IF(O2276&lt;&gt;0,VLOOKUP(O2276,'Cây trong'!$A$2:$C$246,3,0)," ")</f>
        <v xml:space="preserve"> </v>
      </c>
      <c r="R2276" s="564" t="str">
        <f t="shared" si="503"/>
        <v xml:space="preserve"> </v>
      </c>
      <c r="S2276" s="572"/>
      <c r="T2276" s="609"/>
      <c r="U2276" s="741"/>
      <c r="V2276" s="586"/>
      <c r="W2276" s="564" t="str">
        <f>IF(S2276&lt;&gt;0,VLOOKUP(S2276,VKT!$A$2:$G$415,7,0),"")</f>
        <v/>
      </c>
      <c r="X2276" s="564" t="str">
        <f t="shared" si="500"/>
        <v xml:space="preserve"> </v>
      </c>
      <c r="Y2276" s="650"/>
      <c r="Z2276" s="586"/>
      <c r="AA2276" s="742"/>
      <c r="AB2276" s="586"/>
      <c r="AC2276" s="586"/>
      <c r="AD2276" s="586"/>
      <c r="AE2276" s="586"/>
      <c r="AF2276" s="714"/>
      <c r="AG2276" s="570" t="str">
        <f>IF(AE2276&lt;&gt;0,VLOOKUP(AE2276,ODDS!$A$2:$C$13,3,0),"")</f>
        <v/>
      </c>
      <c r="AH2276" s="570" t="str">
        <f t="shared" si="504"/>
        <v xml:space="preserve"> </v>
      </c>
      <c r="AI2276" s="571" t="str">
        <f t="shared" si="497"/>
        <v xml:space="preserve"> </v>
      </c>
      <c r="AJ2276" s="558"/>
      <c r="AK2276" s="558"/>
    </row>
    <row r="2277" spans="1:37" s="394" customFormat="1" ht="20.25" outlineLevel="2" x14ac:dyDescent="0.3">
      <c r="A2277" s="447">
        <f t="shared" si="506"/>
        <v>190</v>
      </c>
      <c r="B2277" s="557"/>
      <c r="C2277" s="572"/>
      <c r="D2277" s="700"/>
      <c r="E2277" s="612"/>
      <c r="F2277" s="612"/>
      <c r="G2277" s="586"/>
      <c r="H2277" s="709"/>
      <c r="I2277" s="546"/>
      <c r="J2277" s="558"/>
      <c r="K2277" s="563" t="str">
        <f>IF(G2277&lt;&gt;0,VLOOKUP(G2277,'gia dat'!$A$1:$F$144,5,0)," ")</f>
        <v xml:space="preserve"> </v>
      </c>
      <c r="L2277" s="563" t="str">
        <f>IF(G2277&lt;&gt;0,VLOOKUP(G2277,'gia dat'!$A$1:$F$144,6,0)," ")</f>
        <v xml:space="preserve"> </v>
      </c>
      <c r="M2277" s="564" t="str">
        <f t="shared" si="495"/>
        <v xml:space="preserve"> </v>
      </c>
      <c r="N2277" s="564" t="str">
        <f t="shared" si="496"/>
        <v xml:space="preserve"> </v>
      </c>
      <c r="O2277" s="572"/>
      <c r="P2277" s="740"/>
      <c r="Q2277" s="564" t="str">
        <f>IF(O2277&lt;&gt;0,VLOOKUP(O2277,'Cây trong'!$A$2:$C$246,3,0)," ")</f>
        <v xml:space="preserve"> </v>
      </c>
      <c r="R2277" s="564" t="str">
        <f t="shared" si="503"/>
        <v xml:space="preserve"> </v>
      </c>
      <c r="S2277" s="572"/>
      <c r="T2277" s="609"/>
      <c r="U2277" s="741"/>
      <c r="V2277" s="586"/>
      <c r="W2277" s="564" t="str">
        <f>IF(S2277&lt;&gt;0,VLOOKUP(S2277,VKT!$A$2:$G$415,7,0),"")</f>
        <v/>
      </c>
      <c r="X2277" s="564" t="str">
        <f t="shared" si="500"/>
        <v xml:space="preserve"> </v>
      </c>
      <c r="Y2277" s="650"/>
      <c r="Z2277" s="586"/>
      <c r="AA2277" s="742"/>
      <c r="AB2277" s="586"/>
      <c r="AC2277" s="586"/>
      <c r="AD2277" s="586"/>
      <c r="AE2277" s="586"/>
      <c r="AF2277" s="714"/>
      <c r="AG2277" s="570" t="str">
        <f>IF(AE2277&lt;&gt;0,VLOOKUP(AE2277,ODDS!$A$2:$C$13,3,0),"")</f>
        <v/>
      </c>
      <c r="AH2277" s="570" t="str">
        <f t="shared" si="504"/>
        <v xml:space="preserve"> </v>
      </c>
      <c r="AI2277" s="571" t="str">
        <f t="shared" si="497"/>
        <v xml:space="preserve"> </v>
      </c>
      <c r="AJ2277" s="586"/>
      <c r="AK2277" s="586"/>
    </row>
    <row r="2278" spans="1:37" s="394" customFormat="1" ht="20.25" outlineLevel="2" x14ac:dyDescent="0.3">
      <c r="A2278" s="447">
        <f t="shared" si="506"/>
        <v>190</v>
      </c>
      <c r="B2278" s="557"/>
      <c r="C2278" s="572"/>
      <c r="D2278" s="700"/>
      <c r="E2278" s="612"/>
      <c r="F2278" s="612"/>
      <c r="G2278" s="586"/>
      <c r="H2278" s="709"/>
      <c r="I2278" s="546"/>
      <c r="J2278" s="558"/>
      <c r="K2278" s="563" t="str">
        <f>IF(G2278&lt;&gt;0,VLOOKUP(G2278,'gia dat'!$A$1:$F$144,5,0)," ")</f>
        <v xml:space="preserve"> </v>
      </c>
      <c r="L2278" s="563" t="str">
        <f>IF(G2278&lt;&gt;0,VLOOKUP(G2278,'gia dat'!$A$1:$F$144,6,0)," ")</f>
        <v xml:space="preserve"> </v>
      </c>
      <c r="M2278" s="564" t="str">
        <f t="shared" si="495"/>
        <v xml:space="preserve"> </v>
      </c>
      <c r="N2278" s="564" t="str">
        <f t="shared" si="496"/>
        <v xml:space="preserve"> </v>
      </c>
      <c r="O2278" s="572"/>
      <c r="P2278" s="740"/>
      <c r="Q2278" s="564" t="str">
        <f>IF(O2278&lt;&gt;0,VLOOKUP(O2278,'Cây trong'!$A$2:$C$246,3,0)," ")</f>
        <v xml:space="preserve"> </v>
      </c>
      <c r="R2278" s="564" t="str">
        <f t="shared" si="503"/>
        <v xml:space="preserve"> </v>
      </c>
      <c r="S2278" s="572"/>
      <c r="T2278" s="609"/>
      <c r="U2278" s="741"/>
      <c r="V2278" s="586"/>
      <c r="W2278" s="564" t="str">
        <f>IF(S2278&lt;&gt;0,VLOOKUP(S2278,VKT!$A$2:$G$415,7,0),"")</f>
        <v/>
      </c>
      <c r="X2278" s="564" t="str">
        <f t="shared" si="500"/>
        <v xml:space="preserve"> </v>
      </c>
      <c r="Y2278" s="650"/>
      <c r="Z2278" s="586"/>
      <c r="AA2278" s="742"/>
      <c r="AB2278" s="586"/>
      <c r="AC2278" s="586"/>
      <c r="AD2278" s="586"/>
      <c r="AE2278" s="586"/>
      <c r="AF2278" s="714"/>
      <c r="AG2278" s="570" t="str">
        <f>IF(AE2278&lt;&gt;0,VLOOKUP(AE2278,ODDS!$A$2:$C$13,3,0),"")</f>
        <v/>
      </c>
      <c r="AH2278" s="570" t="str">
        <f t="shared" si="504"/>
        <v xml:space="preserve"> </v>
      </c>
      <c r="AI2278" s="571" t="str">
        <f t="shared" si="497"/>
        <v xml:space="preserve"> </v>
      </c>
      <c r="AJ2278" s="586"/>
      <c r="AK2278" s="586"/>
    </row>
    <row r="2279" spans="1:37" s="394" customFormat="1" ht="20.25" outlineLevel="2" x14ac:dyDescent="0.3">
      <c r="A2279" s="447">
        <f t="shared" si="506"/>
        <v>190</v>
      </c>
      <c r="B2279" s="557"/>
      <c r="C2279" s="607"/>
      <c r="D2279" s="700"/>
      <c r="E2279" s="612"/>
      <c r="F2279" s="612"/>
      <c r="G2279" s="586"/>
      <c r="H2279" s="709"/>
      <c r="I2279" s="546"/>
      <c r="J2279" s="558"/>
      <c r="K2279" s="563" t="str">
        <f>IF(G2279&lt;&gt;0,VLOOKUP(G2279,'gia dat'!$A$1:$F$144,5,0)," ")</f>
        <v xml:space="preserve"> </v>
      </c>
      <c r="L2279" s="563" t="str">
        <f>IF(G2279&lt;&gt;0,VLOOKUP(G2279,'gia dat'!$A$1:$F$144,6,0)," ")</f>
        <v xml:space="preserve"> </v>
      </c>
      <c r="M2279" s="564" t="str">
        <f t="shared" si="495"/>
        <v xml:space="preserve"> </v>
      </c>
      <c r="N2279" s="564" t="str">
        <f t="shared" si="496"/>
        <v xml:space="preserve"> </v>
      </c>
      <c r="O2279" s="572"/>
      <c r="P2279" s="740"/>
      <c r="Q2279" s="564" t="str">
        <f>IF(O2279&lt;&gt;0,VLOOKUP(O2279,'Cây trong'!$A$2:$C$246,3,0)," ")</f>
        <v xml:space="preserve"> </v>
      </c>
      <c r="R2279" s="564" t="str">
        <f t="shared" si="503"/>
        <v xml:space="preserve"> </v>
      </c>
      <c r="S2279" s="572"/>
      <c r="T2279" s="609"/>
      <c r="U2279" s="741"/>
      <c r="V2279" s="586"/>
      <c r="W2279" s="564" t="str">
        <f>IF(S2279&lt;&gt;0,VLOOKUP(S2279,VKT!$A$2:$G$415,7,0),"")</f>
        <v/>
      </c>
      <c r="X2279" s="564" t="str">
        <f t="shared" si="500"/>
        <v xml:space="preserve"> </v>
      </c>
      <c r="Y2279" s="650"/>
      <c r="Z2279" s="586"/>
      <c r="AA2279" s="742"/>
      <c r="AB2279" s="586"/>
      <c r="AC2279" s="586"/>
      <c r="AD2279" s="586"/>
      <c r="AE2279" s="586"/>
      <c r="AF2279" s="714"/>
      <c r="AG2279" s="570" t="str">
        <f>IF(AE2279&lt;&gt;0,VLOOKUP(AE2279,ODDS!$A$2:$C$13,3,0),"")</f>
        <v/>
      </c>
      <c r="AH2279" s="570" t="str">
        <f t="shared" si="504"/>
        <v xml:space="preserve"> </v>
      </c>
      <c r="AI2279" s="571" t="str">
        <f t="shared" si="497"/>
        <v xml:space="preserve"> </v>
      </c>
      <c r="AJ2279" s="586"/>
      <c r="AK2279" s="586"/>
    </row>
    <row r="2280" spans="1:37" s="810" customFormat="1" ht="57" customHeight="1" outlineLevel="1" x14ac:dyDescent="0.25">
      <c r="A2280" s="784" t="s">
        <v>2519</v>
      </c>
      <c r="B2280" s="785">
        <v>191</v>
      </c>
      <c r="C2280" s="786" t="s">
        <v>1507</v>
      </c>
      <c r="D2280" s="787"/>
      <c r="E2280" s="788"/>
      <c r="F2280" s="788"/>
      <c r="G2280" s="789"/>
      <c r="H2280" s="790">
        <f>SUBTOTAL(9,H2281:H2289)</f>
        <v>190</v>
      </c>
      <c r="I2280" s="791">
        <f>SUBTOTAL(9,I2281:I2286)</f>
        <v>154</v>
      </c>
      <c r="J2280" s="792"/>
      <c r="K2280" s="793"/>
      <c r="L2280" s="793"/>
      <c r="M2280" s="794">
        <f>SUBTOTAL(9,M2281:M2289)</f>
        <v>333084000</v>
      </c>
      <c r="N2280" s="794">
        <f>SUBTOTAL(9,N2281:N2289)</f>
        <v>215107000</v>
      </c>
      <c r="O2280" s="786"/>
      <c r="P2280" s="795">
        <f>SUBTOTAL(9,P2281:P2289)</f>
        <v>1</v>
      </c>
      <c r="Q2280" s="794"/>
      <c r="R2280" s="794">
        <f>SUBTOTAL(9,R2281:R2289)</f>
        <v>4240000</v>
      </c>
      <c r="S2280" s="796"/>
      <c r="T2280" s="797"/>
      <c r="U2280" s="798">
        <f>SUBTOTAL(9,U2281:U2289)</f>
        <v>10</v>
      </c>
      <c r="V2280" s="789"/>
      <c r="W2280" s="794"/>
      <c r="X2280" s="794">
        <f>SUBTOTAL(9,X2281:X2289)</f>
        <v>0</v>
      </c>
      <c r="Y2280" s="799"/>
      <c r="Z2280" s="800"/>
      <c r="AA2280" s="801"/>
      <c r="AB2280" s="800"/>
      <c r="AC2280" s="800"/>
      <c r="AD2280" s="800"/>
      <c r="AE2280" s="789"/>
      <c r="AF2280" s="802">
        <f>SUBTOTAL(9,AF2281:AF2289)</f>
        <v>0</v>
      </c>
      <c r="AG2280" s="803"/>
      <c r="AH2280" s="803">
        <f>SUBTOTAL(9,AH2281:AH2289)</f>
        <v>0</v>
      </c>
      <c r="AI2280" s="794">
        <f t="shared" si="497"/>
        <v>552431000</v>
      </c>
      <c r="AJ2280" s="789"/>
      <c r="AK2280" s="789"/>
    </row>
    <row r="2281" spans="1:37" s="394" customFormat="1" ht="121.5" outlineLevel="2" x14ac:dyDescent="0.3">
      <c r="A2281" s="447">
        <f>IF(B2280&lt;&gt;0,B2280,A2279)</f>
        <v>191</v>
      </c>
      <c r="B2281" s="557"/>
      <c r="C2281" s="572" t="s">
        <v>1510</v>
      </c>
      <c r="D2281" s="700">
        <v>4</v>
      </c>
      <c r="E2281" s="612">
        <v>86</v>
      </c>
      <c r="F2281" s="612">
        <v>288</v>
      </c>
      <c r="G2281" s="586" t="s">
        <v>2868</v>
      </c>
      <c r="H2281" s="709">
        <v>154</v>
      </c>
      <c r="I2281" s="546">
        <f t="shared" ref="I2281:I2282" si="507">IF(N2281&gt;0,H2281,"")</f>
        <v>154</v>
      </c>
      <c r="J2281" s="562"/>
      <c r="K2281" s="563">
        <f>IF(G2281&lt;&gt;0,VLOOKUP(G2281,'gia dat'!$A$1:$F$144,5,0)," ")</f>
        <v>465600</v>
      </c>
      <c r="L2281" s="563">
        <f>IF(G2281&lt;&gt;0,VLOOKUP(G2281,'gia dat'!$A$1:$F$144,6,0)," ")</f>
        <v>1396800</v>
      </c>
      <c r="M2281" s="564">
        <f t="shared" si="495"/>
        <v>71702000</v>
      </c>
      <c r="N2281" s="564">
        <f t="shared" si="496"/>
        <v>215107000</v>
      </c>
      <c r="O2281" s="572" t="s">
        <v>145</v>
      </c>
      <c r="P2281" s="740">
        <v>1</v>
      </c>
      <c r="Q2281" s="564">
        <f>IF(O2281&lt;&gt;0,VLOOKUP(O2281,'Cây trong'!$A$2:$C$246,3,0)," ")</f>
        <v>4240000</v>
      </c>
      <c r="R2281" s="564">
        <f t="shared" si="503"/>
        <v>4240000</v>
      </c>
      <c r="S2281" s="566" t="s">
        <v>2401</v>
      </c>
      <c r="T2281" s="609" t="s">
        <v>101</v>
      </c>
      <c r="U2281" s="741">
        <v>10</v>
      </c>
      <c r="V2281" s="586"/>
      <c r="W2281" s="564">
        <f>IF(S2281&lt;&gt;0,VLOOKUP(S2281,VKT!$A$2:$G$415,7,0),"")</f>
        <v>0</v>
      </c>
      <c r="X2281" s="564">
        <f t="shared" si="500"/>
        <v>0</v>
      </c>
      <c r="Y2281" s="650"/>
      <c r="Z2281" s="586"/>
      <c r="AA2281" s="742"/>
      <c r="AB2281" s="586"/>
      <c r="AC2281" s="586"/>
      <c r="AD2281" s="586"/>
      <c r="AE2281" s="586"/>
      <c r="AF2281" s="714"/>
      <c r="AG2281" s="570" t="str">
        <f>IF(AE2281&lt;&gt;0,VLOOKUP(AE2281,ODDS!$A$2:$C$13,3,0),"")</f>
        <v/>
      </c>
      <c r="AH2281" s="570"/>
      <c r="AI2281" s="571" t="str">
        <f t="shared" si="497"/>
        <v xml:space="preserve"> </v>
      </c>
      <c r="AJ2281" s="586" t="s">
        <v>1509</v>
      </c>
      <c r="AK2281" s="586" t="s">
        <v>2771</v>
      </c>
    </row>
    <row r="2282" spans="1:37" s="394" customFormat="1" ht="81" outlineLevel="2" x14ac:dyDescent="0.3">
      <c r="A2282" s="447">
        <f t="shared" ref="A2282:A2289" si="508">IF(B2281&lt;&gt;0,B2281,A2281)</f>
        <v>191</v>
      </c>
      <c r="B2282" s="557"/>
      <c r="C2282" s="572" t="s">
        <v>1641</v>
      </c>
      <c r="D2282" s="700"/>
      <c r="E2282" s="612">
        <v>86</v>
      </c>
      <c r="F2282" s="612">
        <v>288</v>
      </c>
      <c r="G2282" s="782" t="s">
        <v>2049</v>
      </c>
      <c r="H2282" s="783">
        <v>36</v>
      </c>
      <c r="I2282" s="546" t="str">
        <f t="shared" si="507"/>
        <v/>
      </c>
      <c r="J2282" s="562"/>
      <c r="K2282" s="563">
        <f>IF(G2282&lt;&gt;0,VLOOKUP(G2282,'gia dat'!$A$1:$F$144,5,0)," ")</f>
        <v>7260624</v>
      </c>
      <c r="L2282" s="563">
        <f>IF(G2282&lt;&gt;0,VLOOKUP(G2282,'gia dat'!$A$1:$F$144,6,0)," ")</f>
        <v>0</v>
      </c>
      <c r="M2282" s="564">
        <f t="shared" si="495"/>
        <v>261382000</v>
      </c>
      <c r="N2282" s="564">
        <f t="shared" si="496"/>
        <v>0</v>
      </c>
      <c r="O2282" s="572"/>
      <c r="P2282" s="740"/>
      <c r="Q2282" s="564" t="str">
        <f>IF(O2282&lt;&gt;0,VLOOKUP(O2282,'Cây trong'!$A$2:$C$246,3,0)," ")</f>
        <v xml:space="preserve"> </v>
      </c>
      <c r="R2282" s="564" t="str">
        <f t="shared" si="503"/>
        <v xml:space="preserve"> </v>
      </c>
      <c r="S2282" s="566"/>
      <c r="T2282" s="609"/>
      <c r="U2282" s="741"/>
      <c r="V2282" s="586"/>
      <c r="W2282" s="564" t="str">
        <f>IF(S2282&lt;&gt;0,VLOOKUP(S2282,VKT!$A$2:$G$415,7,0),"")</f>
        <v/>
      </c>
      <c r="X2282" s="564" t="str">
        <f t="shared" si="500"/>
        <v xml:space="preserve"> </v>
      </c>
      <c r="Y2282" s="650"/>
      <c r="Z2282" s="586"/>
      <c r="AA2282" s="742"/>
      <c r="AB2282" s="586"/>
      <c r="AC2282" s="586"/>
      <c r="AD2282" s="586"/>
      <c r="AE2282" s="586"/>
      <c r="AF2282" s="714"/>
      <c r="AG2282" s="570" t="str">
        <f>IF(AE2282&lt;&gt;0,VLOOKUP(AE2282,ODDS!$A$2:$C$13,3,0),"")</f>
        <v/>
      </c>
      <c r="AH2282" s="570" t="str">
        <f t="shared" si="504"/>
        <v xml:space="preserve"> </v>
      </c>
      <c r="AI2282" s="571" t="str">
        <f t="shared" si="497"/>
        <v xml:space="preserve"> </v>
      </c>
      <c r="AJ2282" s="586" t="s">
        <v>1512</v>
      </c>
      <c r="AK2282" s="558" t="s">
        <v>2448</v>
      </c>
    </row>
    <row r="2283" spans="1:37" s="394" customFormat="1" ht="121.5" outlineLevel="2" x14ac:dyDescent="0.3">
      <c r="A2283" s="447">
        <f t="shared" si="508"/>
        <v>191</v>
      </c>
      <c r="B2283" s="557"/>
      <c r="C2283" s="572"/>
      <c r="D2283" s="700"/>
      <c r="E2283" s="612"/>
      <c r="F2283" s="612"/>
      <c r="G2283" s="586"/>
      <c r="H2283" s="709"/>
      <c r="I2283" s="546"/>
      <c r="J2283" s="562"/>
      <c r="K2283" s="563" t="str">
        <f>IF(G2283&lt;&gt;0,VLOOKUP(G2283,'gia dat'!$A$1:$F$144,5,0)," ")</f>
        <v xml:space="preserve"> </v>
      </c>
      <c r="L2283" s="563" t="str">
        <f>IF(G2283&lt;&gt;0,VLOOKUP(G2283,'gia dat'!$A$1:$F$144,6,0)," ")</f>
        <v xml:space="preserve"> </v>
      </c>
      <c r="M2283" s="564" t="str">
        <f t="shared" si="495"/>
        <v xml:space="preserve"> </v>
      </c>
      <c r="N2283" s="564" t="str">
        <f t="shared" si="496"/>
        <v xml:space="preserve"> </v>
      </c>
      <c r="O2283" s="572"/>
      <c r="P2283" s="740"/>
      <c r="Q2283" s="564" t="str">
        <f>IF(O2283&lt;&gt;0,VLOOKUP(O2283,'Cây trong'!$A$2:$C$246,3,0)," ")</f>
        <v xml:space="preserve"> </v>
      </c>
      <c r="R2283" s="564" t="str">
        <f t="shared" si="503"/>
        <v xml:space="preserve"> </v>
      </c>
      <c r="S2283" s="566"/>
      <c r="T2283" s="609"/>
      <c r="U2283" s="741"/>
      <c r="V2283" s="586"/>
      <c r="W2283" s="564" t="str">
        <f>IF(S2283&lt;&gt;0,VLOOKUP(S2283,VKT!$A$2:$G$415,7,0),"")</f>
        <v/>
      </c>
      <c r="X2283" s="564" t="str">
        <f t="shared" si="500"/>
        <v xml:space="preserve"> </v>
      </c>
      <c r="Y2283" s="650"/>
      <c r="Z2283" s="586"/>
      <c r="AA2283" s="742"/>
      <c r="AB2283" s="586"/>
      <c r="AC2283" s="586"/>
      <c r="AD2283" s="586"/>
      <c r="AE2283" s="586"/>
      <c r="AF2283" s="714"/>
      <c r="AG2283" s="570" t="str">
        <f>IF(AE2283&lt;&gt;0,VLOOKUP(AE2283,ODDS!$A$2:$C$13,3,0),"")</f>
        <v/>
      </c>
      <c r="AH2283" s="570" t="str">
        <f t="shared" si="504"/>
        <v xml:space="preserve"> </v>
      </c>
      <c r="AI2283" s="571" t="str">
        <f t="shared" si="497"/>
        <v xml:space="preserve"> </v>
      </c>
      <c r="AJ2283" s="586" t="s">
        <v>2074</v>
      </c>
      <c r="AK2283" s="558" t="s">
        <v>2450</v>
      </c>
    </row>
    <row r="2284" spans="1:37" s="394" customFormat="1" ht="101.25" outlineLevel="2" x14ac:dyDescent="0.3">
      <c r="A2284" s="447">
        <f t="shared" si="508"/>
        <v>191</v>
      </c>
      <c r="B2284" s="557"/>
      <c r="C2284" s="572"/>
      <c r="D2284" s="700"/>
      <c r="E2284" s="612"/>
      <c r="F2284" s="612"/>
      <c r="G2284" s="586"/>
      <c r="H2284" s="709"/>
      <c r="I2284" s="546"/>
      <c r="J2284" s="558"/>
      <c r="K2284" s="563" t="str">
        <f>IF(G2284&lt;&gt;0,VLOOKUP(G2284,'gia dat'!$A$1:$F$144,5,0)," ")</f>
        <v xml:space="preserve"> </v>
      </c>
      <c r="L2284" s="563" t="str">
        <f>IF(G2284&lt;&gt;0,VLOOKUP(G2284,'gia dat'!$A$1:$F$144,6,0)," ")</f>
        <v xml:space="preserve"> </v>
      </c>
      <c r="M2284" s="564" t="str">
        <f t="shared" si="495"/>
        <v xml:space="preserve"> </v>
      </c>
      <c r="N2284" s="564" t="str">
        <f t="shared" si="496"/>
        <v xml:space="preserve"> </v>
      </c>
      <c r="O2284" s="572"/>
      <c r="P2284" s="740"/>
      <c r="Q2284" s="564" t="str">
        <f>IF(O2284&lt;&gt;0,VLOOKUP(O2284,'Cây trong'!$A$2:$C$246,3,0)," ")</f>
        <v xml:space="preserve"> </v>
      </c>
      <c r="R2284" s="564" t="str">
        <f t="shared" si="503"/>
        <v xml:space="preserve"> </v>
      </c>
      <c r="S2284" s="572"/>
      <c r="T2284" s="609"/>
      <c r="U2284" s="741"/>
      <c r="V2284" s="586"/>
      <c r="W2284" s="564" t="str">
        <f>IF(S2284&lt;&gt;0,VLOOKUP(S2284,VKT!$A$2:$G$415,7,0),"")</f>
        <v/>
      </c>
      <c r="X2284" s="564" t="str">
        <f t="shared" si="500"/>
        <v xml:space="preserve"> </v>
      </c>
      <c r="Y2284" s="650"/>
      <c r="Z2284" s="586"/>
      <c r="AA2284" s="742"/>
      <c r="AB2284" s="586"/>
      <c r="AC2284" s="586"/>
      <c r="AD2284" s="586"/>
      <c r="AE2284" s="586"/>
      <c r="AF2284" s="714"/>
      <c r="AG2284" s="570" t="str">
        <f>IF(AE2284&lt;&gt;0,VLOOKUP(AE2284,ODDS!$A$2:$C$13,3,0),"")</f>
        <v/>
      </c>
      <c r="AH2284" s="570" t="str">
        <f t="shared" si="504"/>
        <v xml:space="preserve"> </v>
      </c>
      <c r="AI2284" s="571" t="str">
        <f t="shared" si="497"/>
        <v xml:space="preserve"> </v>
      </c>
      <c r="AJ2284" s="731"/>
      <c r="AK2284" s="558" t="s">
        <v>2449</v>
      </c>
    </row>
    <row r="2285" spans="1:37" s="394" customFormat="1" ht="20.25" outlineLevel="2" x14ac:dyDescent="0.3">
      <c r="A2285" s="447">
        <f t="shared" si="508"/>
        <v>191</v>
      </c>
      <c r="B2285" s="557"/>
      <c r="C2285" s="572"/>
      <c r="D2285" s="700"/>
      <c r="E2285" s="612"/>
      <c r="F2285" s="612"/>
      <c r="G2285" s="586"/>
      <c r="H2285" s="709"/>
      <c r="I2285" s="546"/>
      <c r="J2285" s="558"/>
      <c r="K2285" s="563" t="str">
        <f>IF(G2285&lt;&gt;0,VLOOKUP(G2285,'gia dat'!$A$1:$F$144,5,0)," ")</f>
        <v xml:space="preserve"> </v>
      </c>
      <c r="L2285" s="563" t="str">
        <f>IF(G2285&lt;&gt;0,VLOOKUP(G2285,'gia dat'!$A$1:$F$144,6,0)," ")</f>
        <v xml:space="preserve"> </v>
      </c>
      <c r="M2285" s="564" t="str">
        <f t="shared" si="495"/>
        <v xml:space="preserve"> </v>
      </c>
      <c r="N2285" s="564" t="str">
        <f t="shared" si="496"/>
        <v xml:space="preserve"> </v>
      </c>
      <c r="O2285" s="572"/>
      <c r="P2285" s="740"/>
      <c r="Q2285" s="564" t="str">
        <f>IF(O2285&lt;&gt;0,VLOOKUP(O2285,'Cây trong'!$A$2:$C$246,3,0)," ")</f>
        <v xml:space="preserve"> </v>
      </c>
      <c r="R2285" s="564" t="str">
        <f t="shared" si="503"/>
        <v xml:space="preserve"> </v>
      </c>
      <c r="S2285" s="572"/>
      <c r="T2285" s="609"/>
      <c r="U2285" s="741"/>
      <c r="V2285" s="586"/>
      <c r="W2285" s="564" t="str">
        <f>IF(S2285&lt;&gt;0,VLOOKUP(S2285,VKT!$A$2:$G$415,7,0),"")</f>
        <v/>
      </c>
      <c r="X2285" s="564" t="str">
        <f t="shared" si="500"/>
        <v xml:space="preserve"> </v>
      </c>
      <c r="Y2285" s="650"/>
      <c r="Z2285" s="586"/>
      <c r="AA2285" s="742"/>
      <c r="AB2285" s="586"/>
      <c r="AC2285" s="586"/>
      <c r="AD2285" s="586"/>
      <c r="AE2285" s="586"/>
      <c r="AF2285" s="714"/>
      <c r="AG2285" s="570" t="str">
        <f>IF(AE2285&lt;&gt;0,VLOOKUP(AE2285,ODDS!$A$2:$C$13,3,0),"")</f>
        <v/>
      </c>
      <c r="AH2285" s="570" t="str">
        <f t="shared" si="504"/>
        <v xml:space="preserve"> </v>
      </c>
      <c r="AI2285" s="571" t="str">
        <f t="shared" si="497"/>
        <v xml:space="preserve"> </v>
      </c>
      <c r="AJ2285" s="586"/>
      <c r="AK2285" s="586"/>
    </row>
    <row r="2286" spans="1:37" s="394" customFormat="1" ht="20.25" outlineLevel="2" x14ac:dyDescent="0.3">
      <c r="A2286" s="447">
        <f t="shared" si="508"/>
        <v>191</v>
      </c>
      <c r="B2286" s="557"/>
      <c r="C2286" s="572"/>
      <c r="D2286" s="700"/>
      <c r="E2286" s="612"/>
      <c r="F2286" s="612"/>
      <c r="G2286" s="586"/>
      <c r="H2286" s="709"/>
      <c r="I2286" s="546"/>
      <c r="J2286" s="558"/>
      <c r="K2286" s="563" t="str">
        <f>IF(G2286&lt;&gt;0,VLOOKUP(G2286,'gia dat'!$A$1:$F$144,5,0)," ")</f>
        <v xml:space="preserve"> </v>
      </c>
      <c r="L2286" s="563" t="str">
        <f>IF(G2286&lt;&gt;0,VLOOKUP(G2286,'gia dat'!$A$1:$F$144,6,0)," ")</f>
        <v xml:space="preserve"> </v>
      </c>
      <c r="M2286" s="564" t="str">
        <f t="shared" si="495"/>
        <v xml:space="preserve"> </v>
      </c>
      <c r="N2286" s="564" t="str">
        <f t="shared" si="496"/>
        <v xml:space="preserve"> </v>
      </c>
      <c r="O2286" s="572"/>
      <c r="P2286" s="740"/>
      <c r="Q2286" s="564" t="str">
        <f>IF(O2286&lt;&gt;0,VLOOKUP(O2286,'Cây trong'!$A$2:$C$246,3,0)," ")</f>
        <v xml:space="preserve"> </v>
      </c>
      <c r="R2286" s="564" t="str">
        <f t="shared" si="503"/>
        <v xml:space="preserve"> </v>
      </c>
      <c r="S2286" s="572"/>
      <c r="T2286" s="609"/>
      <c r="U2286" s="741"/>
      <c r="V2286" s="586"/>
      <c r="W2286" s="564" t="str">
        <f>IF(S2286&lt;&gt;0,VLOOKUP(S2286,VKT!$A$2:$G$415,7,0),"")</f>
        <v/>
      </c>
      <c r="X2286" s="564" t="str">
        <f t="shared" si="500"/>
        <v xml:space="preserve"> </v>
      </c>
      <c r="Y2286" s="650"/>
      <c r="Z2286" s="586"/>
      <c r="AA2286" s="742"/>
      <c r="AB2286" s="586"/>
      <c r="AC2286" s="586"/>
      <c r="AD2286" s="586"/>
      <c r="AE2286" s="586"/>
      <c r="AF2286" s="714"/>
      <c r="AG2286" s="570" t="str">
        <f>IF(AE2286&lt;&gt;0,VLOOKUP(AE2286,ODDS!$A$2:$C$13,3,0),"")</f>
        <v/>
      </c>
      <c r="AH2286" s="570" t="str">
        <f t="shared" si="504"/>
        <v xml:space="preserve"> </v>
      </c>
      <c r="AI2286" s="571" t="str">
        <f t="shared" si="497"/>
        <v xml:space="preserve"> </v>
      </c>
      <c r="AJ2286" s="572"/>
      <c r="AK2286" s="572"/>
    </row>
    <row r="2287" spans="1:37" s="394" customFormat="1" ht="20.25" outlineLevel="2" x14ac:dyDescent="0.3">
      <c r="A2287" s="447">
        <f t="shared" si="508"/>
        <v>191</v>
      </c>
      <c r="B2287" s="557"/>
      <c r="C2287" s="572"/>
      <c r="D2287" s="700"/>
      <c r="E2287" s="612"/>
      <c r="F2287" s="612"/>
      <c r="G2287" s="586"/>
      <c r="H2287" s="709"/>
      <c r="I2287" s="546"/>
      <c r="J2287" s="558"/>
      <c r="K2287" s="563" t="str">
        <f>IF(G2287&lt;&gt;0,VLOOKUP(G2287,'gia dat'!$A$1:$F$144,5,0)," ")</f>
        <v xml:space="preserve"> </v>
      </c>
      <c r="L2287" s="563" t="str">
        <f>IF(G2287&lt;&gt;0,VLOOKUP(G2287,'gia dat'!$A$1:$F$144,6,0)," ")</f>
        <v xml:space="preserve"> </v>
      </c>
      <c r="M2287" s="564" t="str">
        <f t="shared" si="495"/>
        <v xml:space="preserve"> </v>
      </c>
      <c r="N2287" s="564" t="str">
        <f t="shared" si="496"/>
        <v xml:space="preserve"> </v>
      </c>
      <c r="O2287" s="572"/>
      <c r="P2287" s="740"/>
      <c r="Q2287" s="564" t="str">
        <f>IF(O2287&lt;&gt;0,VLOOKUP(O2287,'Cây trong'!$A$2:$C$246,3,0)," ")</f>
        <v xml:space="preserve"> </v>
      </c>
      <c r="R2287" s="564" t="str">
        <f t="shared" si="503"/>
        <v xml:space="preserve"> </v>
      </c>
      <c r="S2287" s="572"/>
      <c r="T2287" s="609"/>
      <c r="U2287" s="741"/>
      <c r="V2287" s="586"/>
      <c r="W2287" s="564" t="str">
        <f>IF(S2287&lt;&gt;0,VLOOKUP(S2287,VKT!$A$2:$G$415,7,0),"")</f>
        <v/>
      </c>
      <c r="X2287" s="564" t="str">
        <f t="shared" si="500"/>
        <v xml:space="preserve"> </v>
      </c>
      <c r="Y2287" s="650"/>
      <c r="Z2287" s="586"/>
      <c r="AA2287" s="742"/>
      <c r="AB2287" s="586"/>
      <c r="AC2287" s="586"/>
      <c r="AD2287" s="586"/>
      <c r="AE2287" s="586"/>
      <c r="AF2287" s="714"/>
      <c r="AG2287" s="570" t="str">
        <f>IF(AE2287&lt;&gt;0,VLOOKUP(AE2287,ODDS!$A$2:$C$13,3,0),"")</f>
        <v/>
      </c>
      <c r="AH2287" s="570" t="str">
        <f t="shared" si="504"/>
        <v xml:space="preserve"> </v>
      </c>
      <c r="AI2287" s="571" t="str">
        <f t="shared" si="497"/>
        <v xml:space="preserve"> </v>
      </c>
      <c r="AJ2287" s="558"/>
      <c r="AK2287" s="558"/>
    </row>
    <row r="2288" spans="1:37" s="394" customFormat="1" ht="20.25" outlineLevel="2" x14ac:dyDescent="0.3">
      <c r="A2288" s="447">
        <f t="shared" si="508"/>
        <v>191</v>
      </c>
      <c r="B2288" s="557"/>
      <c r="C2288" s="572"/>
      <c r="D2288" s="700"/>
      <c r="E2288" s="612"/>
      <c r="F2288" s="612"/>
      <c r="G2288" s="586"/>
      <c r="H2288" s="709"/>
      <c r="I2288" s="546"/>
      <c r="J2288" s="558"/>
      <c r="K2288" s="563" t="str">
        <f>IF(G2288&lt;&gt;0,VLOOKUP(G2288,'gia dat'!$A$1:$F$144,5,0)," ")</f>
        <v xml:space="preserve"> </v>
      </c>
      <c r="L2288" s="563" t="str">
        <f>IF(G2288&lt;&gt;0,VLOOKUP(G2288,'gia dat'!$A$1:$F$144,6,0)," ")</f>
        <v xml:space="preserve"> </v>
      </c>
      <c r="M2288" s="564" t="str">
        <f t="shared" si="495"/>
        <v xml:space="preserve"> </v>
      </c>
      <c r="N2288" s="564" t="str">
        <f t="shared" si="496"/>
        <v xml:space="preserve"> </v>
      </c>
      <c r="O2288" s="572"/>
      <c r="P2288" s="740"/>
      <c r="Q2288" s="564" t="str">
        <f>IF(O2288&lt;&gt;0,VLOOKUP(O2288,'Cây trong'!$A$2:$C$246,3,0)," ")</f>
        <v xml:space="preserve"> </v>
      </c>
      <c r="R2288" s="564" t="str">
        <f t="shared" si="503"/>
        <v xml:space="preserve"> </v>
      </c>
      <c r="S2288" s="572"/>
      <c r="T2288" s="609"/>
      <c r="U2288" s="741"/>
      <c r="V2288" s="586"/>
      <c r="W2288" s="564" t="str">
        <f>IF(S2288&lt;&gt;0,VLOOKUP(S2288,VKT!$A$2:$G$415,7,0),"")</f>
        <v/>
      </c>
      <c r="X2288" s="564" t="str">
        <f t="shared" si="500"/>
        <v xml:space="preserve"> </v>
      </c>
      <c r="Y2288" s="650"/>
      <c r="Z2288" s="586"/>
      <c r="AA2288" s="742"/>
      <c r="AB2288" s="586"/>
      <c r="AC2288" s="586"/>
      <c r="AD2288" s="586"/>
      <c r="AE2288" s="586"/>
      <c r="AF2288" s="714"/>
      <c r="AG2288" s="570" t="str">
        <f>IF(AE2288&lt;&gt;0,VLOOKUP(AE2288,ODDS!$A$2:$C$13,3,0),"")</f>
        <v/>
      </c>
      <c r="AH2288" s="570" t="str">
        <f t="shared" si="504"/>
        <v xml:space="preserve"> </v>
      </c>
      <c r="AI2288" s="571" t="str">
        <f t="shared" si="497"/>
        <v xml:space="preserve"> </v>
      </c>
      <c r="AJ2288" s="586"/>
      <c r="AK2288" s="586"/>
    </row>
    <row r="2289" spans="1:37" s="394" customFormat="1" ht="20.25" outlineLevel="2" x14ac:dyDescent="0.3">
      <c r="A2289" s="447">
        <f t="shared" si="508"/>
        <v>191</v>
      </c>
      <c r="B2289" s="557"/>
      <c r="C2289" s="607"/>
      <c r="D2289" s="700"/>
      <c r="E2289" s="612"/>
      <c r="F2289" s="612"/>
      <c r="G2289" s="586"/>
      <c r="H2289" s="709"/>
      <c r="I2289" s="546"/>
      <c r="J2289" s="558"/>
      <c r="K2289" s="563" t="str">
        <f>IF(G2289&lt;&gt;0,VLOOKUP(G2289,'gia dat'!$A$1:$F$144,5,0)," ")</f>
        <v xml:space="preserve"> </v>
      </c>
      <c r="L2289" s="563" t="str">
        <f>IF(G2289&lt;&gt;0,VLOOKUP(G2289,'gia dat'!$A$1:$F$144,6,0)," ")</f>
        <v xml:space="preserve"> </v>
      </c>
      <c r="M2289" s="564" t="str">
        <f t="shared" si="495"/>
        <v xml:space="preserve"> </v>
      </c>
      <c r="N2289" s="564" t="str">
        <f t="shared" si="496"/>
        <v xml:space="preserve"> </v>
      </c>
      <c r="O2289" s="572"/>
      <c r="P2289" s="740"/>
      <c r="Q2289" s="564" t="str">
        <f>IF(O2289&lt;&gt;0,VLOOKUP(O2289,'Cây trong'!$A$2:$C$246,3,0)," ")</f>
        <v xml:space="preserve"> </v>
      </c>
      <c r="R2289" s="564" t="str">
        <f t="shared" si="503"/>
        <v xml:space="preserve"> </v>
      </c>
      <c r="S2289" s="572"/>
      <c r="T2289" s="609"/>
      <c r="U2289" s="741"/>
      <c r="V2289" s="586"/>
      <c r="W2289" s="564" t="str">
        <f>IF(S2289&lt;&gt;0,VLOOKUP(S2289,VKT!$A$2:$G$415,7,0),"")</f>
        <v/>
      </c>
      <c r="X2289" s="564" t="str">
        <f t="shared" si="500"/>
        <v xml:space="preserve"> </v>
      </c>
      <c r="Y2289" s="650"/>
      <c r="Z2289" s="586"/>
      <c r="AA2289" s="742"/>
      <c r="AB2289" s="586"/>
      <c r="AC2289" s="586"/>
      <c r="AD2289" s="586"/>
      <c r="AE2289" s="586"/>
      <c r="AF2289" s="714"/>
      <c r="AG2289" s="570" t="str">
        <f>IF(AE2289&lt;&gt;0,VLOOKUP(AE2289,ODDS!$A$2:$C$13,3,0),"")</f>
        <v/>
      </c>
      <c r="AH2289" s="570" t="str">
        <f t="shared" si="504"/>
        <v xml:space="preserve"> </v>
      </c>
      <c r="AI2289" s="571" t="str">
        <f t="shared" si="497"/>
        <v xml:space="preserve"> </v>
      </c>
      <c r="AJ2289" s="586"/>
      <c r="AK2289" s="586"/>
    </row>
    <row r="2290" spans="1:37" s="396" customFormat="1" ht="57" customHeight="1" outlineLevel="1" x14ac:dyDescent="0.25">
      <c r="A2290" s="467" t="s">
        <v>2518</v>
      </c>
      <c r="B2290" s="576">
        <v>192</v>
      </c>
      <c r="C2290" s="607" t="s">
        <v>1513</v>
      </c>
      <c r="D2290" s="706"/>
      <c r="E2290" s="642"/>
      <c r="F2290" s="642"/>
      <c r="G2290" s="578"/>
      <c r="H2290" s="707">
        <f>SUBTOTAL(9,H2291:H2301)</f>
        <v>266.3</v>
      </c>
      <c r="I2290" s="579">
        <f>SUBTOTAL(9,I2291:I2296)</f>
        <v>0</v>
      </c>
      <c r="J2290" s="580"/>
      <c r="K2290" s="581"/>
      <c r="L2290" s="581"/>
      <c r="M2290" s="571">
        <f>SUBTOTAL(9,M2291:M2301)</f>
        <v>147637000</v>
      </c>
      <c r="N2290" s="571">
        <f>SUBTOTAL(9,N2291:N2301)</f>
        <v>0</v>
      </c>
      <c r="O2290" s="607"/>
      <c r="P2290" s="738">
        <f>SUBTOTAL(9,P2291:P2301)</f>
        <v>0</v>
      </c>
      <c r="Q2290" s="571"/>
      <c r="R2290" s="571">
        <f>SUBTOTAL(9,R2291:R2301)</f>
        <v>0</v>
      </c>
      <c r="S2290" s="582"/>
      <c r="T2290" s="621"/>
      <c r="U2290" s="739">
        <f>SUBTOTAL(9,U2291:U2301)</f>
        <v>522.17000000000007</v>
      </c>
      <c r="V2290" s="578"/>
      <c r="W2290" s="571"/>
      <c r="X2290" s="571">
        <f>SUBTOTAL(9,X2291:X2301)</f>
        <v>923337000</v>
      </c>
      <c r="Y2290" s="650"/>
      <c r="Z2290" s="586"/>
      <c r="AA2290" s="742"/>
      <c r="AB2290" s="586"/>
      <c r="AC2290" s="586"/>
      <c r="AD2290" s="586"/>
      <c r="AE2290" s="578"/>
      <c r="AF2290" s="712">
        <f>SUBTOTAL(9,AF2291:AF2301)</f>
        <v>1</v>
      </c>
      <c r="AG2290" s="585"/>
      <c r="AH2290" s="585">
        <f>SUBTOTAL(9,AH2291:AH2301)</f>
        <v>5000000</v>
      </c>
      <c r="AI2290" s="571">
        <f t="shared" si="497"/>
        <v>1075974000</v>
      </c>
      <c r="AJ2290" s="578"/>
      <c r="AK2290" s="578"/>
    </row>
    <row r="2291" spans="1:37" s="396" customFormat="1" ht="141.75" outlineLevel="2" x14ac:dyDescent="0.3">
      <c r="A2291" s="447">
        <f>IF(B2290&lt;&gt;0,B2290,A2289)</f>
        <v>192</v>
      </c>
      <c r="B2291" s="557"/>
      <c r="C2291" s="572" t="s">
        <v>1515</v>
      </c>
      <c r="D2291" s="700"/>
      <c r="E2291" s="612">
        <v>86</v>
      </c>
      <c r="F2291" s="612">
        <v>272</v>
      </c>
      <c r="G2291" s="586" t="s">
        <v>2895</v>
      </c>
      <c r="H2291" s="709">
        <v>266.3</v>
      </c>
      <c r="I2291" s="546" t="str">
        <f t="shared" ref="I2291" si="509">IF(N2291&gt;0,H2291,"")</f>
        <v/>
      </c>
      <c r="J2291" s="562"/>
      <c r="K2291" s="563">
        <f>IF(G2291&lt;&gt;0,VLOOKUP(G2291,'gia dat'!$A$1:$F$144,5,0)," ")</f>
        <v>554400</v>
      </c>
      <c r="L2291" s="563">
        <f>IF(G2291&lt;&gt;0,VLOOKUP(G2291,'gia dat'!$A$1:$F$144,6,0)," ")</f>
        <v>0</v>
      </c>
      <c r="M2291" s="564">
        <f t="shared" si="495"/>
        <v>147637000</v>
      </c>
      <c r="N2291" s="564">
        <f t="shared" si="496"/>
        <v>0</v>
      </c>
      <c r="O2291" s="572"/>
      <c r="P2291" s="740"/>
      <c r="Q2291" s="564" t="str">
        <f>IF(O2291&lt;&gt;0,VLOOKUP(O2291,'Cây trong'!$A$2:$C$246,3,0)," ")</f>
        <v xml:space="preserve"> </v>
      </c>
      <c r="R2291" s="564" t="str">
        <f t="shared" si="503"/>
        <v xml:space="preserve"> </v>
      </c>
      <c r="S2291" s="566" t="s">
        <v>2011</v>
      </c>
      <c r="T2291" s="609" t="s">
        <v>1133</v>
      </c>
      <c r="U2291" s="741">
        <v>113.19</v>
      </c>
      <c r="V2291" s="586"/>
      <c r="W2291" s="564">
        <f>IF(S2291&lt;&gt;0,VLOOKUP(S2291,VKT!$A$2:$G$415,7,0),"")</f>
        <v>722547</v>
      </c>
      <c r="X2291" s="564">
        <f t="shared" si="500"/>
        <v>81785000</v>
      </c>
      <c r="Y2291" s="650"/>
      <c r="Z2291" s="586"/>
      <c r="AA2291" s="742"/>
      <c r="AB2291" s="586"/>
      <c r="AC2291" s="586"/>
      <c r="AD2291" s="586"/>
      <c r="AE2291" s="586" t="s">
        <v>2137</v>
      </c>
      <c r="AF2291" s="714">
        <v>1</v>
      </c>
      <c r="AG2291" s="570">
        <f>IF(AE2291&lt;&gt;0,VLOOKUP(AE2291,ODDS!$A$2:$C$13,3,0),"")</f>
        <v>5000000</v>
      </c>
      <c r="AH2291" s="570">
        <f t="shared" si="504"/>
        <v>5000000</v>
      </c>
      <c r="AI2291" s="571" t="str">
        <f t="shared" si="497"/>
        <v xml:space="preserve"> </v>
      </c>
      <c r="AJ2291" s="586" t="s">
        <v>1514</v>
      </c>
      <c r="AK2291" s="586" t="s">
        <v>2771</v>
      </c>
    </row>
    <row r="2292" spans="1:37" s="394" customFormat="1" ht="121.5" outlineLevel="2" x14ac:dyDescent="0.3">
      <c r="A2292" s="447">
        <f t="shared" ref="A2292:A2301" si="510">IF(B2291&lt;&gt;0,B2291,A2291)</f>
        <v>192</v>
      </c>
      <c r="B2292" s="557"/>
      <c r="C2292" s="572" t="s">
        <v>1642</v>
      </c>
      <c r="D2292" s="700"/>
      <c r="E2292" s="612"/>
      <c r="F2292" s="612"/>
      <c r="G2292" s="586"/>
      <c r="H2292" s="709"/>
      <c r="I2292" s="546"/>
      <c r="J2292" s="562"/>
      <c r="K2292" s="563" t="str">
        <f>IF(G2292&lt;&gt;0,VLOOKUP(G2292,'gia dat'!$A$1:$F$144,5,0)," ")</f>
        <v xml:space="preserve"> </v>
      </c>
      <c r="L2292" s="563" t="str">
        <f>IF(G2292&lt;&gt;0,VLOOKUP(G2292,'gia dat'!$A$1:$F$144,6,0)," ")</f>
        <v xml:space="preserve"> </v>
      </c>
      <c r="M2292" s="564" t="str">
        <f t="shared" si="495"/>
        <v xml:space="preserve"> </v>
      </c>
      <c r="N2292" s="564" t="str">
        <f t="shared" si="496"/>
        <v xml:space="preserve"> </v>
      </c>
      <c r="O2292" s="572"/>
      <c r="P2292" s="740"/>
      <c r="Q2292" s="564" t="str">
        <f>IF(O2292&lt;&gt;0,VLOOKUP(O2292,'Cây trong'!$A$2:$C$246,3,0)," ")</f>
        <v xml:space="preserve"> </v>
      </c>
      <c r="R2292" s="564" t="str">
        <f t="shared" si="503"/>
        <v xml:space="preserve"> </v>
      </c>
      <c r="S2292" s="566" t="s">
        <v>1763</v>
      </c>
      <c r="T2292" s="609" t="s">
        <v>1133</v>
      </c>
      <c r="U2292" s="741">
        <v>157.5</v>
      </c>
      <c r="V2292" s="586"/>
      <c r="W2292" s="564">
        <f>IF(S2292&lt;&gt;0,VLOOKUP(S2292,VKT!$A$2:$G$415,7,0),"")</f>
        <v>3550600</v>
      </c>
      <c r="X2292" s="564">
        <f t="shared" si="500"/>
        <v>559220000</v>
      </c>
      <c r="Y2292" s="661" t="s">
        <v>1138</v>
      </c>
      <c r="Z2292" s="683" t="s">
        <v>1139</v>
      </c>
      <c r="AA2292" s="683" t="s">
        <v>56</v>
      </c>
      <c r="AB2292" s="694" t="s">
        <v>269</v>
      </c>
      <c r="AC2292" s="683" t="s">
        <v>1138</v>
      </c>
      <c r="AD2292" s="586"/>
      <c r="AE2292" s="586"/>
      <c r="AF2292" s="714"/>
      <c r="AG2292" s="570" t="str">
        <f>IF(AE2292&lt;&gt;0,VLOOKUP(AE2292,ODDS!$A$2:$C$13,3,0),"")</f>
        <v/>
      </c>
      <c r="AH2292" s="570"/>
      <c r="AI2292" s="571" t="str">
        <f t="shared" si="497"/>
        <v xml:space="preserve"> </v>
      </c>
      <c r="AJ2292" s="586" t="s">
        <v>1516</v>
      </c>
      <c r="AK2292" s="558" t="s">
        <v>2450</v>
      </c>
    </row>
    <row r="2293" spans="1:37" s="394" customFormat="1" ht="101.25" outlineLevel="2" x14ac:dyDescent="0.3">
      <c r="A2293" s="447">
        <f t="shared" si="510"/>
        <v>192</v>
      </c>
      <c r="B2293" s="557"/>
      <c r="C2293" s="607" t="s">
        <v>1518</v>
      </c>
      <c r="D2293" s="700"/>
      <c r="E2293" s="612"/>
      <c r="F2293" s="612"/>
      <c r="G2293" s="586"/>
      <c r="H2293" s="709"/>
      <c r="I2293" s="546"/>
      <c r="J2293" s="562"/>
      <c r="K2293" s="563" t="str">
        <f>IF(G2293&lt;&gt;0,VLOOKUP(G2293,'gia dat'!$A$1:$F$144,5,0)," ")</f>
        <v xml:space="preserve"> </v>
      </c>
      <c r="L2293" s="563" t="str">
        <f>IF(G2293&lt;&gt;0,VLOOKUP(G2293,'gia dat'!$A$1:$F$144,6,0)," ")</f>
        <v xml:space="preserve"> </v>
      </c>
      <c r="M2293" s="564" t="str">
        <f t="shared" si="495"/>
        <v xml:space="preserve"> </v>
      </c>
      <c r="N2293" s="564" t="str">
        <f t="shared" si="496"/>
        <v xml:space="preserve"> </v>
      </c>
      <c r="O2293" s="572"/>
      <c r="P2293" s="740"/>
      <c r="Q2293" s="564" t="str">
        <f>IF(O2293&lt;&gt;0,VLOOKUP(O2293,'Cây trong'!$A$2:$C$246,3,0)," ")</f>
        <v xml:space="preserve"> </v>
      </c>
      <c r="R2293" s="564" t="str">
        <f t="shared" si="503"/>
        <v xml:space="preserve"> </v>
      </c>
      <c r="S2293" s="566" t="s">
        <v>2012</v>
      </c>
      <c r="T2293" s="609" t="s">
        <v>1133</v>
      </c>
      <c r="U2293" s="741">
        <v>28.73</v>
      </c>
      <c r="V2293" s="586"/>
      <c r="W2293" s="564">
        <f>IF(S2293&lt;&gt;0,VLOOKUP(S2293,VKT!$A$2:$G$415,7,0),"")</f>
        <v>9028527</v>
      </c>
      <c r="X2293" s="564">
        <f t="shared" si="500"/>
        <v>259390000</v>
      </c>
      <c r="Y2293" s="650"/>
      <c r="Z2293" s="586"/>
      <c r="AA2293" s="742"/>
      <c r="AB2293" s="586"/>
      <c r="AC2293" s="586"/>
      <c r="AD2293" s="586"/>
      <c r="AE2293" s="586"/>
      <c r="AF2293" s="714"/>
      <c r="AG2293" s="570" t="str">
        <f>IF(AE2293&lt;&gt;0,VLOOKUP(AE2293,ODDS!$A$2:$C$13,3,0),"")</f>
        <v/>
      </c>
      <c r="AH2293" s="570" t="str">
        <f t="shared" si="504"/>
        <v xml:space="preserve"> </v>
      </c>
      <c r="AI2293" s="571" t="str">
        <f t="shared" si="497"/>
        <v xml:space="preserve"> </v>
      </c>
      <c r="AJ2293" s="586" t="s">
        <v>1517</v>
      </c>
      <c r="AK2293" s="586" t="s">
        <v>2447</v>
      </c>
    </row>
    <row r="2294" spans="1:37" s="394" customFormat="1" ht="101.25" outlineLevel="2" x14ac:dyDescent="0.3">
      <c r="A2294" s="447">
        <f t="shared" si="510"/>
        <v>192</v>
      </c>
      <c r="B2294" s="557"/>
      <c r="C2294" s="572" t="s">
        <v>1519</v>
      </c>
      <c r="D2294" s="700"/>
      <c r="E2294" s="612"/>
      <c r="F2294" s="612"/>
      <c r="G2294" s="586"/>
      <c r="H2294" s="709"/>
      <c r="I2294" s="546"/>
      <c r="J2294" s="558"/>
      <c r="K2294" s="563" t="str">
        <f>IF(G2294&lt;&gt;0,VLOOKUP(G2294,'gia dat'!$A$1:$F$144,5,0)," ")</f>
        <v xml:space="preserve"> </v>
      </c>
      <c r="L2294" s="563" t="str">
        <f>IF(G2294&lt;&gt;0,VLOOKUP(G2294,'gia dat'!$A$1:$F$144,6,0)," ")</f>
        <v xml:space="preserve"> </v>
      </c>
      <c r="M2294" s="564" t="str">
        <f t="shared" si="495"/>
        <v xml:space="preserve"> </v>
      </c>
      <c r="N2294" s="564" t="str">
        <f t="shared" si="496"/>
        <v xml:space="preserve"> </v>
      </c>
      <c r="O2294" s="572"/>
      <c r="P2294" s="740"/>
      <c r="Q2294" s="564" t="str">
        <f>IF(O2294&lt;&gt;0,VLOOKUP(O2294,'Cây trong'!$A$2:$C$246,3,0)," ")</f>
        <v xml:space="preserve"> </v>
      </c>
      <c r="R2294" s="564" t="str">
        <f t="shared" si="503"/>
        <v xml:space="preserve"> </v>
      </c>
      <c r="S2294" s="572" t="s">
        <v>2013</v>
      </c>
      <c r="T2294" s="609" t="s">
        <v>1133</v>
      </c>
      <c r="U2294" s="741">
        <v>114.4</v>
      </c>
      <c r="V2294" s="586"/>
      <c r="W2294" s="564">
        <f>IF(S2294&lt;&gt;0,VLOOKUP(S2294,VKT!$A$2:$G$415,7,0),"")</f>
        <v>0</v>
      </c>
      <c r="X2294" s="564">
        <f t="shared" si="500"/>
        <v>0</v>
      </c>
      <c r="Y2294" s="650"/>
      <c r="Z2294" s="586"/>
      <c r="AA2294" s="742"/>
      <c r="AB2294" s="586"/>
      <c r="AC2294" s="586"/>
      <c r="AD2294" s="586"/>
      <c r="AE2294" s="586"/>
      <c r="AF2294" s="714"/>
      <c r="AG2294" s="570" t="str">
        <f>IF(AE2294&lt;&gt;0,VLOOKUP(AE2294,ODDS!$A$2:$C$13,3,0),"")</f>
        <v/>
      </c>
      <c r="AH2294" s="570" t="str">
        <f t="shared" si="504"/>
        <v xml:space="preserve"> </v>
      </c>
      <c r="AI2294" s="571" t="str">
        <f t="shared" si="497"/>
        <v xml:space="preserve"> </v>
      </c>
      <c r="AJ2294" s="586" t="s">
        <v>1303</v>
      </c>
      <c r="AK2294" s="586" t="s">
        <v>2800</v>
      </c>
    </row>
    <row r="2295" spans="1:37" s="394" customFormat="1" ht="81" outlineLevel="2" x14ac:dyDescent="0.3">
      <c r="A2295" s="447">
        <f t="shared" si="510"/>
        <v>192</v>
      </c>
      <c r="B2295" s="557"/>
      <c r="C2295" s="572" t="s">
        <v>1643</v>
      </c>
      <c r="D2295" s="700"/>
      <c r="E2295" s="612"/>
      <c r="F2295" s="612"/>
      <c r="G2295" s="586"/>
      <c r="H2295" s="709"/>
      <c r="I2295" s="546"/>
      <c r="J2295" s="558"/>
      <c r="K2295" s="563" t="str">
        <f>IF(G2295&lt;&gt;0,VLOOKUP(G2295,'gia dat'!$A$1:$F$144,5,0)," ")</f>
        <v xml:space="preserve"> </v>
      </c>
      <c r="L2295" s="563" t="str">
        <f>IF(G2295&lt;&gt;0,VLOOKUP(G2295,'gia dat'!$A$1:$F$144,6,0)," ")</f>
        <v xml:space="preserve"> </v>
      </c>
      <c r="M2295" s="564" t="str">
        <f t="shared" si="495"/>
        <v xml:space="preserve"> </v>
      </c>
      <c r="N2295" s="564" t="str">
        <f t="shared" si="496"/>
        <v xml:space="preserve"> </v>
      </c>
      <c r="O2295" s="572"/>
      <c r="P2295" s="740"/>
      <c r="Q2295" s="564" t="str">
        <f>IF(O2295&lt;&gt;0,VLOOKUP(O2295,'Cây trong'!$A$2:$C$246,3,0)," ")</f>
        <v xml:space="preserve"> </v>
      </c>
      <c r="R2295" s="564" t="str">
        <f t="shared" si="503"/>
        <v xml:space="preserve"> </v>
      </c>
      <c r="S2295" s="572" t="s">
        <v>2014</v>
      </c>
      <c r="T2295" s="609" t="s">
        <v>1133</v>
      </c>
      <c r="U2295" s="741">
        <v>22.05</v>
      </c>
      <c r="V2295" s="586"/>
      <c r="W2295" s="564">
        <f>IF(S2295&lt;&gt;0,VLOOKUP(S2295,VKT!$A$2:$G$415,7,0),"")</f>
        <v>0</v>
      </c>
      <c r="X2295" s="564">
        <f t="shared" si="500"/>
        <v>0</v>
      </c>
      <c r="Y2295" s="650"/>
      <c r="Z2295" s="586"/>
      <c r="AA2295" s="742"/>
      <c r="AB2295" s="586"/>
      <c r="AC2295" s="586"/>
      <c r="AD2295" s="586"/>
      <c r="AE2295" s="586"/>
      <c r="AF2295" s="714"/>
      <c r="AG2295" s="570" t="str">
        <f>IF(AE2295&lt;&gt;0,VLOOKUP(AE2295,ODDS!$A$2:$C$13,3,0),"")</f>
        <v/>
      </c>
      <c r="AH2295" s="570" t="str">
        <f t="shared" si="504"/>
        <v xml:space="preserve"> </v>
      </c>
      <c r="AI2295" s="571" t="str">
        <f t="shared" si="497"/>
        <v xml:space="preserve"> </v>
      </c>
      <c r="AJ2295" s="586"/>
      <c r="AK2295" s="586"/>
    </row>
    <row r="2296" spans="1:37" s="394" customFormat="1" ht="81" outlineLevel="2" x14ac:dyDescent="0.3">
      <c r="A2296" s="447">
        <f t="shared" si="510"/>
        <v>192</v>
      </c>
      <c r="B2296" s="557"/>
      <c r="C2296" s="572"/>
      <c r="D2296" s="700"/>
      <c r="E2296" s="612"/>
      <c r="F2296" s="612"/>
      <c r="G2296" s="586"/>
      <c r="H2296" s="709"/>
      <c r="I2296" s="546"/>
      <c r="J2296" s="558"/>
      <c r="K2296" s="563" t="str">
        <f>IF(G2296&lt;&gt;0,VLOOKUP(G2296,'gia dat'!$A$1:$F$144,5,0)," ")</f>
        <v xml:space="preserve"> </v>
      </c>
      <c r="L2296" s="563" t="str">
        <f>IF(G2296&lt;&gt;0,VLOOKUP(G2296,'gia dat'!$A$1:$F$144,6,0)," ")</f>
        <v xml:space="preserve"> </v>
      </c>
      <c r="M2296" s="564" t="str">
        <f t="shared" si="495"/>
        <v xml:space="preserve"> </v>
      </c>
      <c r="N2296" s="564" t="str">
        <f t="shared" si="496"/>
        <v xml:space="preserve"> </v>
      </c>
      <c r="O2296" s="572"/>
      <c r="P2296" s="740"/>
      <c r="Q2296" s="564" t="str">
        <f>IF(O2296&lt;&gt;0,VLOOKUP(O2296,'Cây trong'!$A$2:$C$246,3,0)," ")</f>
        <v xml:space="preserve"> </v>
      </c>
      <c r="R2296" s="564" t="str">
        <f t="shared" si="503"/>
        <v xml:space="preserve"> </v>
      </c>
      <c r="S2296" s="572" t="s">
        <v>1912</v>
      </c>
      <c r="T2296" s="609" t="s">
        <v>1133</v>
      </c>
      <c r="U2296" s="741">
        <v>86.3</v>
      </c>
      <c r="V2296" s="586"/>
      <c r="W2296" s="564">
        <f>IF(S2296&lt;&gt;0,VLOOKUP(S2296,VKT!$A$2:$G$415,7,0),"")</f>
        <v>265836</v>
      </c>
      <c r="X2296" s="564">
        <f t="shared" si="500"/>
        <v>22942000</v>
      </c>
      <c r="Y2296" s="650"/>
      <c r="Z2296" s="586"/>
      <c r="AA2296" s="742"/>
      <c r="AB2296" s="586"/>
      <c r="AC2296" s="586"/>
      <c r="AD2296" s="586"/>
      <c r="AE2296" s="586"/>
      <c r="AF2296" s="714"/>
      <c r="AG2296" s="570" t="str">
        <f>IF(AE2296&lt;&gt;0,VLOOKUP(AE2296,ODDS!$A$2:$C$13,3,0),"")</f>
        <v/>
      </c>
      <c r="AH2296" s="570" t="str">
        <f t="shared" si="504"/>
        <v xml:space="preserve"> </v>
      </c>
      <c r="AI2296" s="571" t="str">
        <f t="shared" si="497"/>
        <v xml:space="preserve"> </v>
      </c>
      <c r="AJ2296" s="572"/>
      <c r="AK2296" s="572"/>
    </row>
    <row r="2297" spans="1:37" s="394" customFormat="1" ht="20.25" outlineLevel="2" x14ac:dyDescent="0.3">
      <c r="A2297" s="447">
        <f t="shared" si="510"/>
        <v>192</v>
      </c>
      <c r="B2297" s="557"/>
      <c r="C2297" s="572"/>
      <c r="D2297" s="700"/>
      <c r="E2297" s="612"/>
      <c r="F2297" s="612"/>
      <c r="G2297" s="586"/>
      <c r="H2297" s="709"/>
      <c r="I2297" s="546"/>
      <c r="J2297" s="558"/>
      <c r="K2297" s="563" t="str">
        <f>IF(G2297&lt;&gt;0,VLOOKUP(G2297,'gia dat'!$A$1:$F$144,5,0)," ")</f>
        <v xml:space="preserve"> </v>
      </c>
      <c r="L2297" s="563" t="str">
        <f>IF(G2297&lt;&gt;0,VLOOKUP(G2297,'gia dat'!$A$1:$F$144,6,0)," ")</f>
        <v xml:space="preserve"> </v>
      </c>
      <c r="M2297" s="564" t="str">
        <f t="shared" si="495"/>
        <v xml:space="preserve"> </v>
      </c>
      <c r="N2297" s="564" t="str">
        <f t="shared" si="496"/>
        <v xml:space="preserve"> </v>
      </c>
      <c r="O2297" s="572"/>
      <c r="P2297" s="740"/>
      <c r="Q2297" s="564" t="str">
        <f>IF(O2297&lt;&gt;0,VLOOKUP(O2297,'Cây trong'!$A$2:$C$246,3,0)," ")</f>
        <v xml:space="preserve"> </v>
      </c>
      <c r="R2297" s="564" t="str">
        <f t="shared" si="503"/>
        <v xml:space="preserve"> </v>
      </c>
      <c r="S2297" s="572"/>
      <c r="T2297" s="609"/>
      <c r="U2297" s="741"/>
      <c r="V2297" s="586"/>
      <c r="W2297" s="564" t="str">
        <f>IF(S2297&lt;&gt;0,VLOOKUP(S2297,VKT!$A$2:$G$415,7,0),"")</f>
        <v/>
      </c>
      <c r="X2297" s="564" t="str">
        <f t="shared" si="500"/>
        <v xml:space="preserve"> </v>
      </c>
      <c r="Y2297" s="650"/>
      <c r="Z2297" s="586"/>
      <c r="AA2297" s="742"/>
      <c r="AB2297" s="586"/>
      <c r="AC2297" s="586"/>
      <c r="AD2297" s="586"/>
      <c r="AE2297" s="586"/>
      <c r="AF2297" s="714"/>
      <c r="AG2297" s="570" t="str">
        <f>IF(AE2297&lt;&gt;0,VLOOKUP(AE2297,ODDS!$A$2:$C$13,3,0),"")</f>
        <v/>
      </c>
      <c r="AH2297" s="570" t="str">
        <f t="shared" si="504"/>
        <v xml:space="preserve"> </v>
      </c>
      <c r="AI2297" s="571" t="str">
        <f t="shared" si="497"/>
        <v xml:space="preserve"> </v>
      </c>
      <c r="AJ2297" s="743"/>
      <c r="AK2297" s="743"/>
    </row>
    <row r="2298" spans="1:37" s="394" customFormat="1" ht="20.25" outlineLevel="2" x14ac:dyDescent="0.3">
      <c r="A2298" s="447">
        <f t="shared" si="510"/>
        <v>192</v>
      </c>
      <c r="B2298" s="557"/>
      <c r="C2298" s="572"/>
      <c r="D2298" s="700"/>
      <c r="E2298" s="612"/>
      <c r="F2298" s="612"/>
      <c r="G2298" s="586"/>
      <c r="H2298" s="709"/>
      <c r="I2298" s="546"/>
      <c r="J2298" s="558"/>
      <c r="K2298" s="563" t="str">
        <f>IF(G2298&lt;&gt;0,VLOOKUP(G2298,'gia dat'!$A$1:$F$144,5,0)," ")</f>
        <v xml:space="preserve"> </v>
      </c>
      <c r="L2298" s="563" t="str">
        <f>IF(G2298&lt;&gt;0,VLOOKUP(G2298,'gia dat'!$A$1:$F$144,6,0)," ")</f>
        <v xml:space="preserve"> </v>
      </c>
      <c r="M2298" s="564" t="str">
        <f t="shared" si="495"/>
        <v xml:space="preserve"> </v>
      </c>
      <c r="N2298" s="564" t="str">
        <f t="shared" si="496"/>
        <v xml:space="preserve"> </v>
      </c>
      <c r="O2298" s="572"/>
      <c r="P2298" s="740"/>
      <c r="Q2298" s="564" t="str">
        <f>IF(O2298&lt;&gt;0,VLOOKUP(O2298,'Cây trong'!$A$2:$C$246,3,0)," ")</f>
        <v xml:space="preserve"> </v>
      </c>
      <c r="R2298" s="564" t="str">
        <f t="shared" si="503"/>
        <v xml:space="preserve"> </v>
      </c>
      <c r="S2298" s="572"/>
      <c r="T2298" s="609"/>
      <c r="U2298" s="741"/>
      <c r="V2298" s="586"/>
      <c r="W2298" s="564" t="str">
        <f>IF(S2298&lt;&gt;0,VLOOKUP(S2298,VKT!$A$2:$G$415,7,0),"")</f>
        <v/>
      </c>
      <c r="X2298" s="564" t="str">
        <f t="shared" si="500"/>
        <v xml:space="preserve"> </v>
      </c>
      <c r="Y2298" s="650"/>
      <c r="Z2298" s="586"/>
      <c r="AA2298" s="742"/>
      <c r="AB2298" s="586"/>
      <c r="AC2298" s="586"/>
      <c r="AD2298" s="586"/>
      <c r="AE2298" s="586"/>
      <c r="AF2298" s="714"/>
      <c r="AG2298" s="570" t="str">
        <f>IF(AE2298&lt;&gt;0,VLOOKUP(AE2298,ODDS!$A$2:$C$13,3,0),"")</f>
        <v/>
      </c>
      <c r="AH2298" s="570" t="str">
        <f t="shared" si="504"/>
        <v xml:space="preserve"> </v>
      </c>
      <c r="AI2298" s="571" t="str">
        <f t="shared" si="497"/>
        <v xml:space="preserve"> </v>
      </c>
      <c r="AJ2298" s="558"/>
      <c r="AK2298" s="558"/>
    </row>
    <row r="2299" spans="1:37" s="394" customFormat="1" ht="20.25" outlineLevel="2" x14ac:dyDescent="0.3">
      <c r="A2299" s="447">
        <f t="shared" si="510"/>
        <v>192</v>
      </c>
      <c r="B2299" s="557"/>
      <c r="C2299" s="572"/>
      <c r="D2299" s="700"/>
      <c r="E2299" s="612"/>
      <c r="F2299" s="612"/>
      <c r="G2299" s="586"/>
      <c r="H2299" s="709"/>
      <c r="I2299" s="546"/>
      <c r="J2299" s="558"/>
      <c r="K2299" s="563" t="str">
        <f>IF(G2299&lt;&gt;0,VLOOKUP(G2299,'gia dat'!$A$1:$F$144,5,0)," ")</f>
        <v xml:space="preserve"> </v>
      </c>
      <c r="L2299" s="563" t="str">
        <f>IF(G2299&lt;&gt;0,VLOOKUP(G2299,'gia dat'!$A$1:$F$144,6,0)," ")</f>
        <v xml:space="preserve"> </v>
      </c>
      <c r="M2299" s="564" t="str">
        <f t="shared" si="495"/>
        <v xml:space="preserve"> </v>
      </c>
      <c r="N2299" s="564" t="str">
        <f t="shared" si="496"/>
        <v xml:space="preserve"> </v>
      </c>
      <c r="O2299" s="572"/>
      <c r="P2299" s="740"/>
      <c r="Q2299" s="564" t="str">
        <f>IF(O2299&lt;&gt;0,VLOOKUP(O2299,'Cây trong'!$A$2:$C$246,3,0)," ")</f>
        <v xml:space="preserve"> </v>
      </c>
      <c r="R2299" s="564" t="str">
        <f t="shared" si="503"/>
        <v xml:space="preserve"> </v>
      </c>
      <c r="S2299" s="572"/>
      <c r="T2299" s="609"/>
      <c r="U2299" s="741"/>
      <c r="V2299" s="586"/>
      <c r="W2299" s="564" t="str">
        <f>IF(S2299&lt;&gt;0,VLOOKUP(S2299,VKT!$A$2:$G$415,7,0),"")</f>
        <v/>
      </c>
      <c r="X2299" s="564" t="str">
        <f t="shared" si="500"/>
        <v xml:space="preserve"> </v>
      </c>
      <c r="Y2299" s="650"/>
      <c r="Z2299" s="586"/>
      <c r="AA2299" s="742"/>
      <c r="AB2299" s="586"/>
      <c r="AC2299" s="586"/>
      <c r="AD2299" s="586"/>
      <c r="AE2299" s="586"/>
      <c r="AF2299" s="714"/>
      <c r="AG2299" s="570" t="str">
        <f>IF(AE2299&lt;&gt;0,VLOOKUP(AE2299,ODDS!$A$2:$C$13,3,0),"")</f>
        <v/>
      </c>
      <c r="AH2299" s="570" t="str">
        <f t="shared" si="504"/>
        <v xml:space="preserve"> </v>
      </c>
      <c r="AI2299" s="571" t="str">
        <f t="shared" si="497"/>
        <v xml:space="preserve"> </v>
      </c>
      <c r="AJ2299" s="586"/>
      <c r="AK2299" s="586"/>
    </row>
    <row r="2300" spans="1:37" s="394" customFormat="1" ht="20.25" outlineLevel="2" x14ac:dyDescent="0.3">
      <c r="A2300" s="447">
        <f t="shared" si="510"/>
        <v>192</v>
      </c>
      <c r="B2300" s="557"/>
      <c r="C2300" s="572"/>
      <c r="D2300" s="700"/>
      <c r="E2300" s="612"/>
      <c r="F2300" s="612"/>
      <c r="G2300" s="586"/>
      <c r="H2300" s="709"/>
      <c r="I2300" s="546"/>
      <c r="J2300" s="558"/>
      <c r="K2300" s="563" t="str">
        <f>IF(G2300&lt;&gt;0,VLOOKUP(G2300,'gia dat'!$A$1:$F$144,5,0)," ")</f>
        <v xml:space="preserve"> </v>
      </c>
      <c r="L2300" s="563" t="str">
        <f>IF(G2300&lt;&gt;0,VLOOKUP(G2300,'gia dat'!$A$1:$F$144,6,0)," ")</f>
        <v xml:space="preserve"> </v>
      </c>
      <c r="M2300" s="564" t="str">
        <f t="shared" si="495"/>
        <v xml:space="preserve"> </v>
      </c>
      <c r="N2300" s="564" t="str">
        <f t="shared" si="496"/>
        <v xml:space="preserve"> </v>
      </c>
      <c r="O2300" s="572"/>
      <c r="P2300" s="740"/>
      <c r="Q2300" s="564" t="str">
        <f>IF(O2300&lt;&gt;0,VLOOKUP(O2300,'Cây trong'!$A$2:$C$246,3,0)," ")</f>
        <v xml:space="preserve"> </v>
      </c>
      <c r="R2300" s="564" t="str">
        <f t="shared" si="503"/>
        <v xml:space="preserve"> </v>
      </c>
      <c r="S2300" s="572"/>
      <c r="T2300" s="609"/>
      <c r="U2300" s="741"/>
      <c r="V2300" s="586"/>
      <c r="W2300" s="564" t="str">
        <f>IF(S2300&lt;&gt;0,VLOOKUP(S2300,VKT!$A$2:$G$415,7,0),"")</f>
        <v/>
      </c>
      <c r="X2300" s="564" t="str">
        <f t="shared" si="500"/>
        <v xml:space="preserve"> </v>
      </c>
      <c r="Y2300" s="650"/>
      <c r="Z2300" s="586"/>
      <c r="AA2300" s="742"/>
      <c r="AB2300" s="586"/>
      <c r="AC2300" s="586"/>
      <c r="AD2300" s="586"/>
      <c r="AE2300" s="586"/>
      <c r="AF2300" s="714"/>
      <c r="AG2300" s="570" t="str">
        <f>IF(AE2300&lt;&gt;0,VLOOKUP(AE2300,ODDS!$A$2:$C$13,3,0),"")</f>
        <v/>
      </c>
      <c r="AH2300" s="570" t="str">
        <f t="shared" si="504"/>
        <v xml:space="preserve"> </v>
      </c>
      <c r="AI2300" s="571" t="str">
        <f t="shared" si="497"/>
        <v xml:space="preserve"> </v>
      </c>
      <c r="AJ2300" s="586"/>
      <c r="AK2300" s="586"/>
    </row>
    <row r="2301" spans="1:37" s="394" customFormat="1" ht="20.25" outlineLevel="2" x14ac:dyDescent="0.3">
      <c r="A2301" s="447">
        <f t="shared" si="510"/>
        <v>192</v>
      </c>
      <c r="B2301" s="557"/>
      <c r="C2301" s="607"/>
      <c r="D2301" s="700"/>
      <c r="E2301" s="612"/>
      <c r="F2301" s="612"/>
      <c r="G2301" s="586"/>
      <c r="H2301" s="709"/>
      <c r="I2301" s="546"/>
      <c r="J2301" s="558"/>
      <c r="K2301" s="563" t="str">
        <f>IF(G2301&lt;&gt;0,VLOOKUP(G2301,'gia dat'!$A$1:$F$144,5,0)," ")</f>
        <v xml:space="preserve"> </v>
      </c>
      <c r="L2301" s="563" t="str">
        <f>IF(G2301&lt;&gt;0,VLOOKUP(G2301,'gia dat'!$A$1:$F$144,6,0)," ")</f>
        <v xml:space="preserve"> </v>
      </c>
      <c r="M2301" s="564" t="str">
        <f t="shared" si="495"/>
        <v xml:space="preserve"> </v>
      </c>
      <c r="N2301" s="564" t="str">
        <f t="shared" si="496"/>
        <v xml:space="preserve"> </v>
      </c>
      <c r="O2301" s="572"/>
      <c r="P2301" s="740"/>
      <c r="Q2301" s="564" t="str">
        <f>IF(O2301&lt;&gt;0,VLOOKUP(O2301,'Cây trong'!$A$2:$C$246,3,0)," ")</f>
        <v xml:space="preserve"> </v>
      </c>
      <c r="R2301" s="564" t="str">
        <f t="shared" si="503"/>
        <v xml:space="preserve"> </v>
      </c>
      <c r="S2301" s="572"/>
      <c r="T2301" s="609"/>
      <c r="U2301" s="741"/>
      <c r="V2301" s="586"/>
      <c r="W2301" s="564" t="str">
        <f>IF(S2301&lt;&gt;0,VLOOKUP(S2301,VKT!$A$2:$G$415,7,0),"")</f>
        <v/>
      </c>
      <c r="X2301" s="564" t="str">
        <f t="shared" si="500"/>
        <v xml:space="preserve"> </v>
      </c>
      <c r="Y2301" s="650"/>
      <c r="Z2301" s="586"/>
      <c r="AA2301" s="742"/>
      <c r="AB2301" s="586"/>
      <c r="AC2301" s="586"/>
      <c r="AD2301" s="586"/>
      <c r="AE2301" s="586"/>
      <c r="AF2301" s="714"/>
      <c r="AG2301" s="570" t="str">
        <f>IF(AE2301&lt;&gt;0,VLOOKUP(AE2301,ODDS!$A$2:$C$13,3,0),"")</f>
        <v/>
      </c>
      <c r="AH2301" s="570" t="str">
        <f t="shared" si="504"/>
        <v xml:space="preserve"> </v>
      </c>
      <c r="AI2301" s="571" t="str">
        <f t="shared" si="497"/>
        <v xml:space="preserve"> </v>
      </c>
      <c r="AJ2301" s="586"/>
      <c r="AK2301" s="586"/>
    </row>
    <row r="2302" spans="1:37" s="396" customFormat="1" ht="60.75" outlineLevel="1" x14ac:dyDescent="0.25">
      <c r="A2302" s="467" t="s">
        <v>2517</v>
      </c>
      <c r="B2302" s="576">
        <v>193</v>
      </c>
      <c r="C2302" s="607" t="s">
        <v>1520</v>
      </c>
      <c r="D2302" s="706"/>
      <c r="E2302" s="642"/>
      <c r="F2302" s="642"/>
      <c r="G2302" s="578"/>
      <c r="H2302" s="707">
        <f>SUBTOTAL(9,H2303:H2311)</f>
        <v>563.29999999999995</v>
      </c>
      <c r="I2302" s="579">
        <f>SUBTOTAL(9,I2303:I2308)</f>
        <v>563.29999999999995</v>
      </c>
      <c r="J2302" s="580"/>
      <c r="K2302" s="581"/>
      <c r="L2302" s="581"/>
      <c r="M2302" s="571">
        <f>SUBTOTAL(9,M2303:M2311)</f>
        <v>262272000</v>
      </c>
      <c r="N2302" s="571">
        <f>SUBTOTAL(9,N2303:N2311)</f>
        <v>786817000</v>
      </c>
      <c r="O2302" s="607"/>
      <c r="P2302" s="738">
        <f>SUBTOTAL(9,P2303:P2311)</f>
        <v>527</v>
      </c>
      <c r="Q2302" s="571"/>
      <c r="R2302" s="571">
        <f>SUBTOTAL(9,R2303:R2311)</f>
        <v>6324000</v>
      </c>
      <c r="S2302" s="582"/>
      <c r="T2302" s="621"/>
      <c r="U2302" s="739">
        <f>SUBTOTAL(9,U2303:U2311)</f>
        <v>0</v>
      </c>
      <c r="V2302" s="578"/>
      <c r="W2302" s="571"/>
      <c r="X2302" s="571">
        <f>SUBTOTAL(9,X2303:X2311)</f>
        <v>0</v>
      </c>
      <c r="Y2302" s="650"/>
      <c r="Z2302" s="586"/>
      <c r="AA2302" s="742"/>
      <c r="AB2302" s="586"/>
      <c r="AC2302" s="586"/>
      <c r="AD2302" s="586"/>
      <c r="AE2302" s="578"/>
      <c r="AF2302" s="712">
        <f>SUBTOTAL(9,AF2303:AF2311)</f>
        <v>0</v>
      </c>
      <c r="AG2302" s="585"/>
      <c r="AH2302" s="585">
        <f>SUBTOTAL(9,AH2303:AH2311)</f>
        <v>0</v>
      </c>
      <c r="AI2302" s="571">
        <f t="shared" si="497"/>
        <v>1055413000</v>
      </c>
      <c r="AJ2302" s="578"/>
      <c r="AK2302" s="578"/>
    </row>
    <row r="2303" spans="1:37" s="396" customFormat="1" ht="121.5" outlineLevel="2" x14ac:dyDescent="0.3">
      <c r="A2303" s="447">
        <f>IF(B2302&lt;&gt;0,B2302,A2301)</f>
        <v>193</v>
      </c>
      <c r="B2303" s="557"/>
      <c r="C2303" s="572" t="s">
        <v>1522</v>
      </c>
      <c r="D2303" s="700">
        <v>2</v>
      </c>
      <c r="E2303" s="612">
        <v>86</v>
      </c>
      <c r="F2303" s="612">
        <v>284</v>
      </c>
      <c r="G2303" s="586" t="s">
        <v>2435</v>
      </c>
      <c r="H2303" s="709">
        <v>563.29999999999995</v>
      </c>
      <c r="I2303" s="546">
        <f t="shared" ref="I2303" si="511">IF(N2303&gt;0,H2303,"")</f>
        <v>563.29999999999995</v>
      </c>
      <c r="J2303" s="562"/>
      <c r="K2303" s="563">
        <f>IF(G2303&lt;&gt;0,VLOOKUP(G2303,'gia dat'!$A$1:$F$144,5,0)," ")</f>
        <v>465600</v>
      </c>
      <c r="L2303" s="563">
        <f>IF(G2303&lt;&gt;0,VLOOKUP(G2303,'gia dat'!$A$1:$F$144,6,0)," ")</f>
        <v>1396800</v>
      </c>
      <c r="M2303" s="564">
        <f t="shared" si="495"/>
        <v>262272000</v>
      </c>
      <c r="N2303" s="564">
        <f t="shared" si="496"/>
        <v>786817000</v>
      </c>
      <c r="O2303" s="572" t="s">
        <v>347</v>
      </c>
      <c r="P2303" s="740">
        <v>527</v>
      </c>
      <c r="Q2303" s="564">
        <f>IF(O2303&lt;&gt;0,VLOOKUP(O2303,'Cây trong'!$A$2:$C$246,3,0)," ")</f>
        <v>12000</v>
      </c>
      <c r="R2303" s="564">
        <f>IF(O2303&lt;&gt;0,ROUND(P2303*Q2303,-2)," ")</f>
        <v>6324000</v>
      </c>
      <c r="S2303" s="566"/>
      <c r="T2303" s="609"/>
      <c r="U2303" s="741"/>
      <c r="V2303" s="586"/>
      <c r="W2303" s="564" t="str">
        <f>IF(S2303&lt;&gt;0,VLOOKUP(S2303,VKT!$A$2:$G$415,7,0),"")</f>
        <v/>
      </c>
      <c r="X2303" s="564" t="str">
        <f t="shared" si="500"/>
        <v xml:space="preserve"> </v>
      </c>
      <c r="Y2303" s="650"/>
      <c r="Z2303" s="586"/>
      <c r="AA2303" s="742"/>
      <c r="AB2303" s="586"/>
      <c r="AC2303" s="586"/>
      <c r="AD2303" s="586"/>
      <c r="AE2303" s="586"/>
      <c r="AF2303" s="714"/>
      <c r="AG2303" s="570" t="str">
        <f>IF(AE2303&lt;&gt;0,VLOOKUP(AE2303,ODDS!$A$2:$C$13,3,0),"")</f>
        <v/>
      </c>
      <c r="AH2303" s="570"/>
      <c r="AI2303" s="571" t="str">
        <f t="shared" si="497"/>
        <v xml:space="preserve"> </v>
      </c>
      <c r="AJ2303" s="586" t="s">
        <v>1521</v>
      </c>
      <c r="AK2303" s="586" t="s">
        <v>2771</v>
      </c>
    </row>
    <row r="2304" spans="1:37" s="394" customFormat="1" ht="81" outlineLevel="2" x14ac:dyDescent="0.3">
      <c r="A2304" s="447">
        <f t="shared" ref="A2304:A2311" si="512">IF(B2303&lt;&gt;0,B2303,A2303)</f>
        <v>193</v>
      </c>
      <c r="B2304" s="557"/>
      <c r="C2304" s="572" t="s">
        <v>1645</v>
      </c>
      <c r="D2304" s="700"/>
      <c r="E2304" s="612"/>
      <c r="F2304" s="612"/>
      <c r="G2304" s="586"/>
      <c r="H2304" s="709"/>
      <c r="I2304" s="546"/>
      <c r="J2304" s="562"/>
      <c r="K2304" s="563" t="str">
        <f>IF(G2304&lt;&gt;0,VLOOKUP(G2304,'gia dat'!$A$1:$F$144,5,0)," ")</f>
        <v xml:space="preserve"> </v>
      </c>
      <c r="L2304" s="563" t="str">
        <f>IF(G2304&lt;&gt;0,VLOOKUP(G2304,'gia dat'!$A$1:$F$144,6,0)," ")</f>
        <v xml:space="preserve"> </v>
      </c>
      <c r="M2304" s="564" t="str">
        <f t="shared" si="495"/>
        <v xml:space="preserve"> </v>
      </c>
      <c r="N2304" s="564" t="str">
        <f t="shared" si="496"/>
        <v xml:space="preserve"> </v>
      </c>
      <c r="O2304" s="572"/>
      <c r="P2304" s="740"/>
      <c r="Q2304" s="564" t="str">
        <f>IF(O2304&lt;&gt;0,VLOOKUP(O2304,'Cây trong'!$A$2:$C$246,3,0)," ")</f>
        <v xml:space="preserve"> </v>
      </c>
      <c r="R2304" s="564" t="str">
        <f t="shared" si="503"/>
        <v xml:space="preserve"> </v>
      </c>
      <c r="S2304" s="566"/>
      <c r="T2304" s="609"/>
      <c r="U2304" s="741"/>
      <c r="V2304" s="586"/>
      <c r="W2304" s="564" t="str">
        <f>IF(S2304&lt;&gt;0,VLOOKUP(S2304,VKT!$A$2:$G$415,7,0),"")</f>
        <v/>
      </c>
      <c r="X2304" s="564" t="str">
        <f t="shared" si="500"/>
        <v xml:space="preserve"> </v>
      </c>
      <c r="Y2304" s="650"/>
      <c r="Z2304" s="586"/>
      <c r="AA2304" s="742"/>
      <c r="AB2304" s="586"/>
      <c r="AC2304" s="586"/>
      <c r="AD2304" s="586"/>
      <c r="AE2304" s="586"/>
      <c r="AF2304" s="714"/>
      <c r="AG2304" s="570" t="str">
        <f>IF(AE2304&lt;&gt;0,VLOOKUP(AE2304,ODDS!$A$2:$C$13,3,0),"")</f>
        <v/>
      </c>
      <c r="AH2304" s="570" t="str">
        <f t="shared" si="504"/>
        <v xml:space="preserve"> </v>
      </c>
      <c r="AI2304" s="571" t="str">
        <f t="shared" si="497"/>
        <v xml:space="preserve"> </v>
      </c>
      <c r="AJ2304" s="586" t="s">
        <v>1523</v>
      </c>
      <c r="AK2304" s="558" t="s">
        <v>2448</v>
      </c>
    </row>
    <row r="2305" spans="1:37" s="394" customFormat="1" ht="101.25" outlineLevel="2" x14ac:dyDescent="0.3">
      <c r="A2305" s="447">
        <f t="shared" si="512"/>
        <v>193</v>
      </c>
      <c r="B2305" s="557"/>
      <c r="C2305" s="572"/>
      <c r="D2305" s="700"/>
      <c r="E2305" s="612"/>
      <c r="F2305" s="612"/>
      <c r="G2305" s="586"/>
      <c r="H2305" s="709"/>
      <c r="I2305" s="546"/>
      <c r="J2305" s="562"/>
      <c r="K2305" s="563" t="str">
        <f>IF(G2305&lt;&gt;0,VLOOKUP(G2305,'gia dat'!$A$1:$F$144,5,0)," ")</f>
        <v xml:space="preserve"> </v>
      </c>
      <c r="L2305" s="563" t="str">
        <f>IF(G2305&lt;&gt;0,VLOOKUP(G2305,'gia dat'!$A$1:$F$144,6,0)," ")</f>
        <v xml:space="preserve"> </v>
      </c>
      <c r="M2305" s="564" t="str">
        <f t="shared" si="495"/>
        <v xml:space="preserve"> </v>
      </c>
      <c r="N2305" s="564" t="str">
        <f t="shared" si="496"/>
        <v xml:space="preserve"> </v>
      </c>
      <c r="O2305" s="572"/>
      <c r="P2305" s="740"/>
      <c r="Q2305" s="564" t="str">
        <f>IF(O2305&lt;&gt;0,VLOOKUP(O2305,'Cây trong'!$A$2:$C$246,3,0)," ")</f>
        <v xml:space="preserve"> </v>
      </c>
      <c r="R2305" s="564" t="str">
        <f t="shared" si="503"/>
        <v xml:space="preserve"> </v>
      </c>
      <c r="S2305" s="566"/>
      <c r="T2305" s="609"/>
      <c r="U2305" s="741"/>
      <c r="V2305" s="586"/>
      <c r="W2305" s="564" t="str">
        <f>IF(S2305&lt;&gt;0,VLOOKUP(S2305,VKT!$A$2:$G$415,7,0),"")</f>
        <v/>
      </c>
      <c r="X2305" s="564" t="str">
        <f t="shared" si="500"/>
        <v xml:space="preserve"> </v>
      </c>
      <c r="Y2305" s="650"/>
      <c r="Z2305" s="586"/>
      <c r="AA2305" s="742"/>
      <c r="AB2305" s="586"/>
      <c r="AC2305" s="586"/>
      <c r="AD2305" s="586"/>
      <c r="AE2305" s="586"/>
      <c r="AF2305" s="714"/>
      <c r="AG2305" s="570" t="str">
        <f>IF(AE2305&lt;&gt;0,VLOOKUP(AE2305,ODDS!$A$2:$C$13,3,0),"")</f>
        <v/>
      </c>
      <c r="AH2305" s="570" t="str">
        <f t="shared" si="504"/>
        <v xml:space="preserve"> </v>
      </c>
      <c r="AI2305" s="571" t="str">
        <f t="shared" si="497"/>
        <v xml:space="preserve"> </v>
      </c>
      <c r="AJ2305" s="586" t="s">
        <v>404</v>
      </c>
      <c r="AK2305" s="558" t="s">
        <v>2449</v>
      </c>
    </row>
    <row r="2306" spans="1:37" s="394" customFormat="1" ht="60.75" outlineLevel="2" x14ac:dyDescent="0.3">
      <c r="A2306" s="447">
        <f t="shared" si="512"/>
        <v>193</v>
      </c>
      <c r="B2306" s="557"/>
      <c r="C2306" s="572"/>
      <c r="D2306" s="700"/>
      <c r="E2306" s="612"/>
      <c r="F2306" s="612"/>
      <c r="G2306" s="586"/>
      <c r="H2306" s="709"/>
      <c r="I2306" s="546"/>
      <c r="J2306" s="558"/>
      <c r="K2306" s="563" t="str">
        <f>IF(G2306&lt;&gt;0,VLOOKUP(G2306,'gia dat'!$A$1:$F$144,5,0)," ")</f>
        <v xml:space="preserve"> </v>
      </c>
      <c r="L2306" s="563" t="str">
        <f>IF(G2306&lt;&gt;0,VLOOKUP(G2306,'gia dat'!$A$1:$F$144,6,0)," ")</f>
        <v xml:space="preserve"> </v>
      </c>
      <c r="M2306" s="564" t="str">
        <f t="shared" si="495"/>
        <v xml:space="preserve"> </v>
      </c>
      <c r="N2306" s="564" t="str">
        <f t="shared" si="496"/>
        <v xml:space="preserve"> </v>
      </c>
      <c r="O2306" s="572"/>
      <c r="P2306" s="740"/>
      <c r="Q2306" s="564" t="str">
        <f>IF(O2306&lt;&gt;0,VLOOKUP(O2306,'Cây trong'!$A$2:$C$246,3,0)," ")</f>
        <v xml:space="preserve"> </v>
      </c>
      <c r="R2306" s="564" t="str">
        <f t="shared" si="503"/>
        <v xml:space="preserve"> </v>
      </c>
      <c r="S2306" s="572"/>
      <c r="T2306" s="609"/>
      <c r="U2306" s="741"/>
      <c r="V2306" s="586"/>
      <c r="W2306" s="564" t="str">
        <f>IF(S2306&lt;&gt;0,VLOOKUP(S2306,VKT!$A$2:$G$415,7,0),"")</f>
        <v/>
      </c>
      <c r="X2306" s="564" t="str">
        <f t="shared" si="500"/>
        <v xml:space="preserve"> </v>
      </c>
      <c r="Y2306" s="650"/>
      <c r="Z2306" s="586"/>
      <c r="AA2306" s="742"/>
      <c r="AB2306" s="586"/>
      <c r="AC2306" s="586"/>
      <c r="AD2306" s="586"/>
      <c r="AE2306" s="586"/>
      <c r="AF2306" s="714"/>
      <c r="AG2306" s="570" t="str">
        <f>IF(AE2306&lt;&gt;0,VLOOKUP(AE2306,ODDS!$A$2:$C$13,3,0),"")</f>
        <v/>
      </c>
      <c r="AH2306" s="570" t="str">
        <f t="shared" si="504"/>
        <v xml:space="preserve"> </v>
      </c>
      <c r="AI2306" s="571" t="str">
        <f t="shared" si="497"/>
        <v xml:space="preserve"> </v>
      </c>
      <c r="AJ2306" s="586" t="s">
        <v>2074</v>
      </c>
      <c r="AK2306" s="586"/>
    </row>
    <row r="2307" spans="1:37" s="394" customFormat="1" ht="20.25" outlineLevel="2" x14ac:dyDescent="0.3">
      <c r="A2307" s="447">
        <f t="shared" si="512"/>
        <v>193</v>
      </c>
      <c r="B2307" s="557"/>
      <c r="C2307" s="572"/>
      <c r="D2307" s="700"/>
      <c r="E2307" s="612"/>
      <c r="F2307" s="612"/>
      <c r="G2307" s="586"/>
      <c r="H2307" s="709"/>
      <c r="I2307" s="546"/>
      <c r="J2307" s="558"/>
      <c r="K2307" s="563" t="str">
        <f>IF(G2307&lt;&gt;0,VLOOKUP(G2307,'gia dat'!$A$1:$F$144,5,0)," ")</f>
        <v xml:space="preserve"> </v>
      </c>
      <c r="L2307" s="563" t="str">
        <f>IF(G2307&lt;&gt;0,VLOOKUP(G2307,'gia dat'!$A$1:$F$144,6,0)," ")</f>
        <v xml:space="preserve"> </v>
      </c>
      <c r="M2307" s="564" t="str">
        <f t="shared" si="495"/>
        <v xml:space="preserve"> </v>
      </c>
      <c r="N2307" s="564" t="str">
        <f t="shared" si="496"/>
        <v xml:space="preserve"> </v>
      </c>
      <c r="O2307" s="572"/>
      <c r="P2307" s="740"/>
      <c r="Q2307" s="564" t="str">
        <f>IF(O2307&lt;&gt;0,VLOOKUP(O2307,'Cây trong'!$A$2:$C$246,3,0)," ")</f>
        <v xml:space="preserve"> </v>
      </c>
      <c r="R2307" s="564" t="str">
        <f t="shared" si="503"/>
        <v xml:space="preserve"> </v>
      </c>
      <c r="S2307" s="572"/>
      <c r="T2307" s="609"/>
      <c r="U2307" s="741"/>
      <c r="V2307" s="586"/>
      <c r="W2307" s="564" t="str">
        <f>IF(S2307&lt;&gt;0,VLOOKUP(S2307,VKT!$A$2:$G$415,7,0),"")</f>
        <v/>
      </c>
      <c r="X2307" s="564" t="str">
        <f t="shared" si="500"/>
        <v xml:space="preserve"> </v>
      </c>
      <c r="Y2307" s="650"/>
      <c r="Z2307" s="586"/>
      <c r="AA2307" s="742"/>
      <c r="AB2307" s="586"/>
      <c r="AC2307" s="586"/>
      <c r="AD2307" s="586"/>
      <c r="AE2307" s="586"/>
      <c r="AF2307" s="714"/>
      <c r="AG2307" s="570" t="str">
        <f>IF(AE2307&lt;&gt;0,VLOOKUP(AE2307,ODDS!$A$2:$C$13,3,0),"")</f>
        <v/>
      </c>
      <c r="AH2307" s="570" t="str">
        <f t="shared" si="504"/>
        <v xml:space="preserve"> </v>
      </c>
      <c r="AI2307" s="571" t="str">
        <f t="shared" si="497"/>
        <v xml:space="preserve"> </v>
      </c>
      <c r="AJ2307" s="586"/>
      <c r="AK2307" s="586"/>
    </row>
    <row r="2308" spans="1:37" s="394" customFormat="1" ht="20.25" outlineLevel="2" x14ac:dyDescent="0.3">
      <c r="A2308" s="447">
        <f t="shared" si="512"/>
        <v>193</v>
      </c>
      <c r="B2308" s="557"/>
      <c r="C2308" s="572"/>
      <c r="D2308" s="700"/>
      <c r="E2308" s="612"/>
      <c r="F2308" s="612"/>
      <c r="G2308" s="586"/>
      <c r="H2308" s="709"/>
      <c r="I2308" s="546"/>
      <c r="J2308" s="558"/>
      <c r="K2308" s="563" t="str">
        <f>IF(G2308&lt;&gt;0,VLOOKUP(G2308,'gia dat'!$A$1:$F$144,5,0)," ")</f>
        <v xml:space="preserve"> </v>
      </c>
      <c r="L2308" s="563" t="str">
        <f>IF(G2308&lt;&gt;0,VLOOKUP(G2308,'gia dat'!$A$1:$F$144,6,0)," ")</f>
        <v xml:space="preserve"> </v>
      </c>
      <c r="M2308" s="564" t="str">
        <f t="shared" si="495"/>
        <v xml:space="preserve"> </v>
      </c>
      <c r="N2308" s="564" t="str">
        <f t="shared" si="496"/>
        <v xml:space="preserve"> </v>
      </c>
      <c r="O2308" s="572"/>
      <c r="P2308" s="740"/>
      <c r="Q2308" s="564" t="str">
        <f>IF(O2308&lt;&gt;0,VLOOKUP(O2308,'Cây trong'!$A$2:$C$246,3,0)," ")</f>
        <v xml:space="preserve"> </v>
      </c>
      <c r="R2308" s="564" t="str">
        <f t="shared" si="503"/>
        <v xml:space="preserve"> </v>
      </c>
      <c r="S2308" s="572"/>
      <c r="T2308" s="609"/>
      <c r="U2308" s="741"/>
      <c r="V2308" s="586"/>
      <c r="W2308" s="564" t="str">
        <f>IF(S2308&lt;&gt;0,VLOOKUP(S2308,VKT!$A$2:$G$415,7,0),"")</f>
        <v/>
      </c>
      <c r="X2308" s="564" t="str">
        <f t="shared" si="500"/>
        <v xml:space="preserve"> </v>
      </c>
      <c r="Y2308" s="650"/>
      <c r="Z2308" s="586"/>
      <c r="AA2308" s="742"/>
      <c r="AB2308" s="586"/>
      <c r="AC2308" s="586"/>
      <c r="AD2308" s="586"/>
      <c r="AE2308" s="586"/>
      <c r="AF2308" s="714"/>
      <c r="AG2308" s="570" t="str">
        <f>IF(AE2308&lt;&gt;0,VLOOKUP(AE2308,ODDS!$A$2:$C$13,3,0),"")</f>
        <v/>
      </c>
      <c r="AH2308" s="570" t="str">
        <f t="shared" si="504"/>
        <v xml:space="preserve"> </v>
      </c>
      <c r="AI2308" s="571" t="str">
        <f t="shared" si="497"/>
        <v xml:space="preserve"> </v>
      </c>
      <c r="AJ2308" s="572"/>
      <c r="AK2308" s="572"/>
    </row>
    <row r="2309" spans="1:37" s="394" customFormat="1" ht="20.25" outlineLevel="2" x14ac:dyDescent="0.3">
      <c r="A2309" s="447">
        <f t="shared" si="512"/>
        <v>193</v>
      </c>
      <c r="B2309" s="557"/>
      <c r="C2309" s="572"/>
      <c r="D2309" s="700"/>
      <c r="E2309" s="612"/>
      <c r="F2309" s="612"/>
      <c r="G2309" s="586"/>
      <c r="H2309" s="709"/>
      <c r="I2309" s="546"/>
      <c r="J2309" s="558"/>
      <c r="K2309" s="563" t="str">
        <f>IF(G2309&lt;&gt;0,VLOOKUP(G2309,'gia dat'!$A$1:$F$144,5,0)," ")</f>
        <v xml:space="preserve"> </v>
      </c>
      <c r="L2309" s="563" t="str">
        <f>IF(G2309&lt;&gt;0,VLOOKUP(G2309,'gia dat'!$A$1:$F$144,6,0)," ")</f>
        <v xml:space="preserve"> </v>
      </c>
      <c r="M2309" s="564" t="str">
        <f t="shared" si="495"/>
        <v xml:space="preserve"> </v>
      </c>
      <c r="N2309" s="564" t="str">
        <f t="shared" si="496"/>
        <v xml:space="preserve"> </v>
      </c>
      <c r="O2309" s="572"/>
      <c r="P2309" s="740"/>
      <c r="Q2309" s="564" t="str">
        <f>IF(O2309&lt;&gt;0,VLOOKUP(O2309,'Cây trong'!$A$2:$C$246,3,0)," ")</f>
        <v xml:space="preserve"> </v>
      </c>
      <c r="R2309" s="564" t="str">
        <f t="shared" si="503"/>
        <v xml:space="preserve"> </v>
      </c>
      <c r="S2309" s="572"/>
      <c r="T2309" s="609"/>
      <c r="U2309" s="741"/>
      <c r="V2309" s="586"/>
      <c r="W2309" s="564" t="str">
        <f>IF(S2309&lt;&gt;0,VLOOKUP(S2309,VKT!$A$2:$G$415,7,0),"")</f>
        <v/>
      </c>
      <c r="X2309" s="564" t="str">
        <f t="shared" si="500"/>
        <v xml:space="preserve"> </v>
      </c>
      <c r="Y2309" s="650"/>
      <c r="Z2309" s="586"/>
      <c r="AA2309" s="742"/>
      <c r="AB2309" s="586"/>
      <c r="AC2309" s="586"/>
      <c r="AD2309" s="586"/>
      <c r="AE2309" s="586"/>
      <c r="AF2309" s="714"/>
      <c r="AG2309" s="570" t="str">
        <f>IF(AE2309&lt;&gt;0,VLOOKUP(AE2309,ODDS!$A$2:$C$13,3,0),"")</f>
        <v/>
      </c>
      <c r="AH2309" s="570" t="str">
        <f t="shared" si="504"/>
        <v xml:space="preserve"> </v>
      </c>
      <c r="AI2309" s="571" t="str">
        <f t="shared" si="497"/>
        <v xml:space="preserve"> </v>
      </c>
      <c r="AJ2309" s="558"/>
      <c r="AK2309" s="558"/>
    </row>
    <row r="2310" spans="1:37" s="394" customFormat="1" ht="20.25" outlineLevel="2" x14ac:dyDescent="0.3">
      <c r="A2310" s="447">
        <f t="shared" si="512"/>
        <v>193</v>
      </c>
      <c r="B2310" s="557"/>
      <c r="C2310" s="572"/>
      <c r="D2310" s="700"/>
      <c r="E2310" s="612"/>
      <c r="F2310" s="612"/>
      <c r="G2310" s="586"/>
      <c r="H2310" s="709"/>
      <c r="I2310" s="546"/>
      <c r="J2310" s="558"/>
      <c r="K2310" s="563" t="str">
        <f>IF(G2310&lt;&gt;0,VLOOKUP(G2310,'gia dat'!$A$1:$F$144,5,0)," ")</f>
        <v xml:space="preserve"> </v>
      </c>
      <c r="L2310" s="563" t="str">
        <f>IF(G2310&lt;&gt;0,VLOOKUP(G2310,'gia dat'!$A$1:$F$144,6,0)," ")</f>
        <v xml:space="preserve"> </v>
      </c>
      <c r="M2310" s="564" t="str">
        <f t="shared" si="495"/>
        <v xml:space="preserve"> </v>
      </c>
      <c r="N2310" s="564" t="str">
        <f t="shared" si="496"/>
        <v xml:space="preserve"> </v>
      </c>
      <c r="O2310" s="572"/>
      <c r="P2310" s="740"/>
      <c r="Q2310" s="564" t="str">
        <f>IF(O2310&lt;&gt;0,VLOOKUP(O2310,'Cây trong'!$A$2:$C$246,3,0)," ")</f>
        <v xml:space="preserve"> </v>
      </c>
      <c r="R2310" s="564" t="str">
        <f t="shared" si="503"/>
        <v xml:space="preserve"> </v>
      </c>
      <c r="S2310" s="572"/>
      <c r="T2310" s="609"/>
      <c r="U2310" s="741"/>
      <c r="V2310" s="586"/>
      <c r="W2310" s="564" t="str">
        <f>IF(S2310&lt;&gt;0,VLOOKUP(S2310,VKT!$A$2:$G$415,7,0),"")</f>
        <v/>
      </c>
      <c r="X2310" s="564" t="str">
        <f t="shared" si="500"/>
        <v xml:space="preserve"> </v>
      </c>
      <c r="Y2310" s="650"/>
      <c r="Z2310" s="586"/>
      <c r="AA2310" s="742"/>
      <c r="AB2310" s="586"/>
      <c r="AC2310" s="586"/>
      <c r="AD2310" s="586"/>
      <c r="AE2310" s="586"/>
      <c r="AF2310" s="714"/>
      <c r="AG2310" s="570" t="str">
        <f>IF(AE2310&lt;&gt;0,VLOOKUP(AE2310,ODDS!$A$2:$C$13,3,0),"")</f>
        <v/>
      </c>
      <c r="AH2310" s="570" t="str">
        <f t="shared" si="504"/>
        <v xml:space="preserve"> </v>
      </c>
      <c r="AI2310" s="571" t="str">
        <f t="shared" si="497"/>
        <v xml:space="preserve"> </v>
      </c>
      <c r="AJ2310" s="586"/>
      <c r="AK2310" s="586"/>
    </row>
    <row r="2311" spans="1:37" s="394" customFormat="1" ht="20.25" outlineLevel="2" x14ac:dyDescent="0.3">
      <c r="A2311" s="447">
        <f t="shared" si="512"/>
        <v>193</v>
      </c>
      <c r="B2311" s="557"/>
      <c r="C2311" s="607"/>
      <c r="D2311" s="700"/>
      <c r="E2311" s="612"/>
      <c r="F2311" s="612"/>
      <c r="G2311" s="586"/>
      <c r="H2311" s="709"/>
      <c r="I2311" s="546"/>
      <c r="J2311" s="558"/>
      <c r="K2311" s="563" t="str">
        <f>IF(G2311&lt;&gt;0,VLOOKUP(G2311,'gia dat'!$A$1:$F$144,5,0)," ")</f>
        <v xml:space="preserve"> </v>
      </c>
      <c r="L2311" s="563" t="str">
        <f>IF(G2311&lt;&gt;0,VLOOKUP(G2311,'gia dat'!$A$1:$F$144,6,0)," ")</f>
        <v xml:space="preserve"> </v>
      </c>
      <c r="M2311" s="564" t="str">
        <f t="shared" si="495"/>
        <v xml:space="preserve"> </v>
      </c>
      <c r="N2311" s="564" t="str">
        <f t="shared" si="496"/>
        <v xml:space="preserve"> </v>
      </c>
      <c r="O2311" s="572"/>
      <c r="P2311" s="740"/>
      <c r="Q2311" s="564" t="str">
        <f>IF(O2311&lt;&gt;0,VLOOKUP(O2311,'Cây trong'!$A$2:$C$246,3,0)," ")</f>
        <v xml:space="preserve"> </v>
      </c>
      <c r="R2311" s="564" t="str">
        <f t="shared" si="503"/>
        <v xml:space="preserve"> </v>
      </c>
      <c r="S2311" s="572"/>
      <c r="T2311" s="609"/>
      <c r="U2311" s="741"/>
      <c r="V2311" s="586"/>
      <c r="W2311" s="564" t="str">
        <f>IF(S2311&lt;&gt;0,VLOOKUP(S2311,VKT!$A$2:$G$415,7,0),"")</f>
        <v/>
      </c>
      <c r="X2311" s="564" t="str">
        <f t="shared" si="500"/>
        <v xml:space="preserve"> </v>
      </c>
      <c r="Y2311" s="650"/>
      <c r="Z2311" s="586"/>
      <c r="AA2311" s="742"/>
      <c r="AB2311" s="586"/>
      <c r="AC2311" s="586"/>
      <c r="AD2311" s="586"/>
      <c r="AE2311" s="586"/>
      <c r="AF2311" s="714"/>
      <c r="AG2311" s="570" t="str">
        <f>IF(AE2311&lt;&gt;0,VLOOKUP(AE2311,ODDS!$A$2:$C$13,3,0),"")</f>
        <v/>
      </c>
      <c r="AH2311" s="570" t="str">
        <f t="shared" si="504"/>
        <v xml:space="preserve"> </v>
      </c>
      <c r="AI2311" s="571" t="str">
        <f t="shared" si="497"/>
        <v xml:space="preserve"> </v>
      </c>
      <c r="AJ2311" s="586"/>
      <c r="AK2311" s="586"/>
    </row>
    <row r="2312" spans="1:37" s="396" customFormat="1" ht="20.25" outlineLevel="1" x14ac:dyDescent="0.25">
      <c r="A2312" s="467" t="s">
        <v>2516</v>
      </c>
      <c r="B2312" s="576">
        <v>194</v>
      </c>
      <c r="C2312" s="607" t="s">
        <v>50</v>
      </c>
      <c r="D2312" s="706"/>
      <c r="E2312" s="642"/>
      <c r="F2312" s="642"/>
      <c r="G2312" s="578"/>
      <c r="H2312" s="707">
        <f>SUBTOTAL(9,H2313:H2321)</f>
        <v>1000</v>
      </c>
      <c r="I2312" s="579">
        <f>SUBTOTAL(9,I2313:I2318)</f>
        <v>1000</v>
      </c>
      <c r="J2312" s="580"/>
      <c r="K2312" s="581"/>
      <c r="L2312" s="581"/>
      <c r="M2312" s="571">
        <f>SUBTOTAL(9,M2313:M2321)</f>
        <v>465600000</v>
      </c>
      <c r="N2312" s="571">
        <f>SUBTOTAL(9,N2313:N2321)</f>
        <v>1396800000</v>
      </c>
      <c r="O2312" s="607"/>
      <c r="P2312" s="738">
        <f>SUBTOTAL(9,P2313:P2321)</f>
        <v>0</v>
      </c>
      <c r="Q2312" s="571"/>
      <c r="R2312" s="571">
        <f>SUBTOTAL(9,R2313:R2321)</f>
        <v>0</v>
      </c>
      <c r="S2312" s="582"/>
      <c r="T2312" s="621"/>
      <c r="U2312" s="739">
        <f>SUBTOTAL(9,U2313:U2321)</f>
        <v>0</v>
      </c>
      <c r="V2312" s="578"/>
      <c r="W2312" s="571"/>
      <c r="X2312" s="571">
        <f>SUBTOTAL(9,X2313:X2321)</f>
        <v>0</v>
      </c>
      <c r="Y2312" s="650"/>
      <c r="Z2312" s="586"/>
      <c r="AA2312" s="742"/>
      <c r="AB2312" s="586"/>
      <c r="AC2312" s="586"/>
      <c r="AD2312" s="586"/>
      <c r="AE2312" s="578"/>
      <c r="AF2312" s="712">
        <f>SUBTOTAL(9,AF2313:AF2321)</f>
        <v>0</v>
      </c>
      <c r="AG2312" s="585"/>
      <c r="AH2312" s="585">
        <f>SUBTOTAL(9,AH2313:AH2321)</f>
        <v>0</v>
      </c>
      <c r="AI2312" s="571">
        <f t="shared" si="497"/>
        <v>1862400000</v>
      </c>
      <c r="AJ2312" s="578"/>
      <c r="AK2312" s="578"/>
    </row>
    <row r="2313" spans="1:37" s="396" customFormat="1" ht="121.5" outlineLevel="2" x14ac:dyDescent="0.3">
      <c r="A2313" s="447">
        <f>IF(B2312&lt;&gt;0,B2312,A2311)</f>
        <v>194</v>
      </c>
      <c r="B2313" s="557"/>
      <c r="C2313" s="572" t="s">
        <v>112</v>
      </c>
      <c r="D2313" s="700"/>
      <c r="E2313" s="612">
        <v>86</v>
      </c>
      <c r="F2313" s="612">
        <v>310</v>
      </c>
      <c r="G2313" s="586" t="s">
        <v>2435</v>
      </c>
      <c r="H2313" s="709">
        <v>1000</v>
      </c>
      <c r="I2313" s="546">
        <f t="shared" ref="I2313" si="513">IF(N2313&gt;0,H2313,"")</f>
        <v>1000</v>
      </c>
      <c r="J2313" s="562"/>
      <c r="K2313" s="563">
        <f>IF(G2313&lt;&gt;0,VLOOKUP(G2313,'gia dat'!$A$1:$F$144,5,0)," ")</f>
        <v>465600</v>
      </c>
      <c r="L2313" s="563">
        <f>IF(G2313&lt;&gt;0,VLOOKUP(G2313,'gia dat'!$A$1:$F$144,6,0)," ")</f>
        <v>1396800</v>
      </c>
      <c r="M2313" s="564">
        <f t="shared" si="495"/>
        <v>465600000</v>
      </c>
      <c r="N2313" s="564">
        <f t="shared" si="496"/>
        <v>1396800000</v>
      </c>
      <c r="O2313" s="572"/>
      <c r="P2313" s="740"/>
      <c r="Q2313" s="564" t="str">
        <f>IF(O2313&lt;&gt;0,VLOOKUP(O2313,'Cây trong'!$A$2:$C$246,3,0)," ")</f>
        <v xml:space="preserve"> </v>
      </c>
      <c r="R2313" s="564" t="str">
        <f t="shared" si="503"/>
        <v xml:space="preserve"> </v>
      </c>
      <c r="S2313" s="566"/>
      <c r="T2313" s="609"/>
      <c r="U2313" s="741"/>
      <c r="V2313" s="586"/>
      <c r="W2313" s="564" t="str">
        <f>IF(S2313&lt;&gt;0,VLOOKUP(S2313,VKT!$A$2:$G$415,7,0),"")</f>
        <v/>
      </c>
      <c r="X2313" s="564" t="str">
        <f t="shared" si="500"/>
        <v xml:space="preserve"> </v>
      </c>
      <c r="Y2313" s="650"/>
      <c r="Z2313" s="586"/>
      <c r="AA2313" s="742"/>
      <c r="AB2313" s="586"/>
      <c r="AC2313" s="586"/>
      <c r="AD2313" s="586"/>
      <c r="AE2313" s="586"/>
      <c r="AF2313" s="714"/>
      <c r="AG2313" s="570" t="str">
        <f>IF(AE2313&lt;&gt;0,VLOOKUP(AE2313,ODDS!$A$2:$C$13,3,0),"")</f>
        <v/>
      </c>
      <c r="AH2313" s="570" t="str">
        <f t="shared" si="504"/>
        <v xml:space="preserve"> </v>
      </c>
      <c r="AI2313" s="571" t="str">
        <f t="shared" ref="AI2313:AI2376" si="514">IF(B2313&lt;&gt;0,M2313+N2313+R2313+X2313+AH2313," ")</f>
        <v xml:space="preserve"> </v>
      </c>
      <c r="AJ2313" s="586" t="s">
        <v>1524</v>
      </c>
      <c r="AK2313" s="586" t="s">
        <v>2771</v>
      </c>
    </row>
    <row r="2314" spans="1:37" s="394" customFormat="1" ht="81" outlineLevel="2" x14ac:dyDescent="0.3">
      <c r="A2314" s="447">
        <f t="shared" ref="A2314:A2321" si="515">IF(B2313&lt;&gt;0,B2313,A2313)</f>
        <v>194</v>
      </c>
      <c r="B2314" s="557"/>
      <c r="C2314" s="572" t="s">
        <v>1644</v>
      </c>
      <c r="D2314" s="700"/>
      <c r="E2314" s="612"/>
      <c r="F2314" s="612"/>
      <c r="G2314" s="586"/>
      <c r="H2314" s="709"/>
      <c r="I2314" s="546"/>
      <c r="J2314" s="562"/>
      <c r="K2314" s="563" t="str">
        <f>IF(G2314&lt;&gt;0,VLOOKUP(G2314,'gia dat'!$A$1:$F$144,5,0)," ")</f>
        <v xml:space="preserve"> </v>
      </c>
      <c r="L2314" s="563" t="str">
        <f>IF(G2314&lt;&gt;0,VLOOKUP(G2314,'gia dat'!$A$1:$F$144,6,0)," ")</f>
        <v xml:space="preserve"> </v>
      </c>
      <c r="M2314" s="564" t="str">
        <f t="shared" si="495"/>
        <v xml:space="preserve"> </v>
      </c>
      <c r="N2314" s="564" t="str">
        <f t="shared" si="496"/>
        <v xml:space="preserve"> </v>
      </c>
      <c r="O2314" s="572"/>
      <c r="P2314" s="740"/>
      <c r="Q2314" s="564" t="str">
        <f>IF(O2314&lt;&gt;0,VLOOKUP(O2314,'Cây trong'!$A$2:$C$246,3,0)," ")</f>
        <v xml:space="preserve"> </v>
      </c>
      <c r="R2314" s="564" t="str">
        <f t="shared" si="503"/>
        <v xml:space="preserve"> </v>
      </c>
      <c r="S2314" s="566"/>
      <c r="T2314" s="609"/>
      <c r="U2314" s="741"/>
      <c r="V2314" s="586"/>
      <c r="W2314" s="564" t="str">
        <f>IF(S2314&lt;&gt;0,VLOOKUP(S2314,VKT!$A$2:$G$415,7,0),"")</f>
        <v/>
      </c>
      <c r="X2314" s="564" t="str">
        <f t="shared" si="500"/>
        <v xml:space="preserve"> </v>
      </c>
      <c r="Y2314" s="650"/>
      <c r="Z2314" s="586"/>
      <c r="AA2314" s="742"/>
      <c r="AB2314" s="586"/>
      <c r="AC2314" s="586"/>
      <c r="AD2314" s="586"/>
      <c r="AE2314" s="586"/>
      <c r="AF2314" s="714"/>
      <c r="AG2314" s="570" t="str">
        <f>IF(AE2314&lt;&gt;0,VLOOKUP(AE2314,ODDS!$A$2:$C$13,3,0),"")</f>
        <v/>
      </c>
      <c r="AH2314" s="570" t="str">
        <f t="shared" si="504"/>
        <v xml:space="preserve"> </v>
      </c>
      <c r="AI2314" s="571" t="str">
        <f t="shared" si="514"/>
        <v xml:space="preserve"> </v>
      </c>
      <c r="AJ2314" s="586" t="s">
        <v>1525</v>
      </c>
      <c r="AK2314" s="558" t="s">
        <v>2448</v>
      </c>
    </row>
    <row r="2315" spans="1:37" s="394" customFormat="1" ht="60.75" outlineLevel="2" x14ac:dyDescent="0.3">
      <c r="A2315" s="447">
        <f t="shared" si="515"/>
        <v>194</v>
      </c>
      <c r="B2315" s="557"/>
      <c r="C2315" s="751"/>
      <c r="D2315" s="700"/>
      <c r="E2315" s="612"/>
      <c r="F2315" s="612"/>
      <c r="G2315" s="586"/>
      <c r="H2315" s="709"/>
      <c r="I2315" s="546"/>
      <c r="J2315" s="562"/>
      <c r="K2315" s="563" t="str">
        <f>IF(G2315&lt;&gt;0,VLOOKUP(G2315,'gia dat'!$A$1:$F$144,5,0)," ")</f>
        <v xml:space="preserve"> </v>
      </c>
      <c r="L2315" s="563" t="str">
        <f>IF(G2315&lt;&gt;0,VLOOKUP(G2315,'gia dat'!$A$1:$F$144,6,0)," ")</f>
        <v xml:space="preserve"> </v>
      </c>
      <c r="M2315" s="564" t="str">
        <f t="shared" ref="M2315:M2388" si="516">IF(H2315&lt;&gt;0,ROUND(H2315*K2315,-3)," ")</f>
        <v xml:space="preserve"> </v>
      </c>
      <c r="N2315" s="564" t="str">
        <f t="shared" ref="N2315:N2388" si="517">IF(H2315&lt;&gt;0,ROUND(H2315*L2315,-3)," ")</f>
        <v xml:space="preserve"> </v>
      </c>
      <c r="O2315" s="572"/>
      <c r="P2315" s="740"/>
      <c r="Q2315" s="564" t="str">
        <f>IF(O2315&lt;&gt;0,VLOOKUP(O2315,'Cây trong'!$A$2:$C$246,3,0)," ")</f>
        <v xml:space="preserve"> </v>
      </c>
      <c r="R2315" s="564" t="str">
        <f t="shared" si="503"/>
        <v xml:space="preserve"> </v>
      </c>
      <c r="S2315" s="566"/>
      <c r="T2315" s="609"/>
      <c r="U2315" s="741"/>
      <c r="V2315" s="586"/>
      <c r="W2315" s="564" t="str">
        <f>IF(S2315&lt;&gt;0,VLOOKUP(S2315,VKT!$A$2:$G$415,7,0),"")</f>
        <v/>
      </c>
      <c r="X2315" s="564" t="str">
        <f t="shared" si="500"/>
        <v xml:space="preserve"> </v>
      </c>
      <c r="Y2315" s="650"/>
      <c r="Z2315" s="586"/>
      <c r="AA2315" s="742"/>
      <c r="AB2315" s="586"/>
      <c r="AC2315" s="586"/>
      <c r="AD2315" s="586"/>
      <c r="AE2315" s="586"/>
      <c r="AF2315" s="714"/>
      <c r="AG2315" s="570" t="str">
        <f>IF(AE2315&lt;&gt;0,VLOOKUP(AE2315,ODDS!$A$2:$C$13,3,0),"")</f>
        <v/>
      </c>
      <c r="AH2315" s="570" t="str">
        <f t="shared" si="504"/>
        <v xml:space="preserve"> </v>
      </c>
      <c r="AI2315" s="571" t="str">
        <f t="shared" si="514"/>
        <v xml:space="preserve"> </v>
      </c>
      <c r="AJ2315" s="586" t="s">
        <v>2074</v>
      </c>
      <c r="AK2315" s="586"/>
    </row>
    <row r="2316" spans="1:37" s="394" customFormat="1" ht="20.25" outlineLevel="2" x14ac:dyDescent="0.3">
      <c r="A2316" s="447">
        <f t="shared" si="515"/>
        <v>194</v>
      </c>
      <c r="B2316" s="557"/>
      <c r="C2316" s="572"/>
      <c r="D2316" s="700"/>
      <c r="E2316" s="612"/>
      <c r="F2316" s="612"/>
      <c r="G2316" s="586"/>
      <c r="H2316" s="709"/>
      <c r="I2316" s="546"/>
      <c r="J2316" s="558"/>
      <c r="K2316" s="563" t="str">
        <f>IF(G2316&lt;&gt;0,VLOOKUP(G2316,'gia dat'!$A$1:$F$144,5,0)," ")</f>
        <v xml:space="preserve"> </v>
      </c>
      <c r="L2316" s="563" t="str">
        <f>IF(G2316&lt;&gt;0,VLOOKUP(G2316,'gia dat'!$A$1:$F$144,6,0)," ")</f>
        <v xml:space="preserve"> </v>
      </c>
      <c r="M2316" s="564" t="str">
        <f t="shared" si="516"/>
        <v xml:space="preserve"> </v>
      </c>
      <c r="N2316" s="564" t="str">
        <f t="shared" si="517"/>
        <v xml:space="preserve"> </v>
      </c>
      <c r="O2316" s="572"/>
      <c r="P2316" s="740"/>
      <c r="Q2316" s="564" t="str">
        <f>IF(O2316&lt;&gt;0,VLOOKUP(O2316,'Cây trong'!$A$2:$C$246,3,0)," ")</f>
        <v xml:space="preserve"> </v>
      </c>
      <c r="R2316" s="564" t="str">
        <f t="shared" si="503"/>
        <v xml:space="preserve"> </v>
      </c>
      <c r="S2316" s="572"/>
      <c r="T2316" s="609"/>
      <c r="U2316" s="741"/>
      <c r="V2316" s="586"/>
      <c r="W2316" s="564" t="str">
        <f>IF(S2316&lt;&gt;0,VLOOKUP(S2316,VKT!$A$2:$G$415,7,0),"")</f>
        <v/>
      </c>
      <c r="X2316" s="564" t="str">
        <f t="shared" si="500"/>
        <v xml:space="preserve"> </v>
      </c>
      <c r="Y2316" s="650"/>
      <c r="Z2316" s="586"/>
      <c r="AA2316" s="742"/>
      <c r="AB2316" s="586"/>
      <c r="AC2316" s="586"/>
      <c r="AD2316" s="586"/>
      <c r="AE2316" s="586"/>
      <c r="AF2316" s="714"/>
      <c r="AG2316" s="570" t="str">
        <f>IF(AE2316&lt;&gt;0,VLOOKUP(AE2316,ODDS!$A$2:$C$13,3,0),"")</f>
        <v/>
      </c>
      <c r="AH2316" s="570" t="str">
        <f t="shared" si="504"/>
        <v xml:space="preserve"> </v>
      </c>
      <c r="AI2316" s="571" t="str">
        <f t="shared" si="514"/>
        <v xml:space="preserve"> </v>
      </c>
      <c r="AJ2316" s="731"/>
      <c r="AK2316" s="586"/>
    </row>
    <row r="2317" spans="1:37" s="394" customFormat="1" ht="20.25" outlineLevel="2" x14ac:dyDescent="0.3">
      <c r="A2317" s="447">
        <f t="shared" si="515"/>
        <v>194</v>
      </c>
      <c r="B2317" s="557"/>
      <c r="C2317" s="572"/>
      <c r="D2317" s="700"/>
      <c r="E2317" s="612"/>
      <c r="F2317" s="612"/>
      <c r="G2317" s="586"/>
      <c r="H2317" s="709"/>
      <c r="I2317" s="546"/>
      <c r="J2317" s="558"/>
      <c r="K2317" s="563" t="str">
        <f>IF(G2317&lt;&gt;0,VLOOKUP(G2317,'gia dat'!$A$1:$F$144,5,0)," ")</f>
        <v xml:space="preserve"> </v>
      </c>
      <c r="L2317" s="563" t="str">
        <f>IF(G2317&lt;&gt;0,VLOOKUP(G2317,'gia dat'!$A$1:$F$144,6,0)," ")</f>
        <v xml:space="preserve"> </v>
      </c>
      <c r="M2317" s="564" t="str">
        <f t="shared" si="516"/>
        <v xml:space="preserve"> </v>
      </c>
      <c r="N2317" s="564" t="str">
        <f t="shared" si="517"/>
        <v xml:space="preserve"> </v>
      </c>
      <c r="O2317" s="572"/>
      <c r="P2317" s="740"/>
      <c r="Q2317" s="564" t="str">
        <f>IF(O2317&lt;&gt;0,VLOOKUP(O2317,'Cây trong'!$A$2:$C$246,3,0)," ")</f>
        <v xml:space="preserve"> </v>
      </c>
      <c r="R2317" s="564" t="str">
        <f t="shared" si="503"/>
        <v xml:space="preserve"> </v>
      </c>
      <c r="S2317" s="572"/>
      <c r="T2317" s="609"/>
      <c r="U2317" s="741"/>
      <c r="V2317" s="586"/>
      <c r="W2317" s="564" t="str">
        <f>IF(S2317&lt;&gt;0,VLOOKUP(S2317,VKT!$A$2:$G$415,7,0),"")</f>
        <v/>
      </c>
      <c r="X2317" s="564" t="str">
        <f t="shared" si="500"/>
        <v xml:space="preserve"> </v>
      </c>
      <c r="Y2317" s="650"/>
      <c r="Z2317" s="586"/>
      <c r="AA2317" s="742"/>
      <c r="AB2317" s="586"/>
      <c r="AC2317" s="586"/>
      <c r="AD2317" s="586"/>
      <c r="AE2317" s="586"/>
      <c r="AF2317" s="714"/>
      <c r="AG2317" s="570" t="str">
        <f>IF(AE2317&lt;&gt;0,VLOOKUP(AE2317,ODDS!$A$2:$C$13,3,0),"")</f>
        <v/>
      </c>
      <c r="AH2317" s="570" t="str">
        <f t="shared" si="504"/>
        <v xml:space="preserve"> </v>
      </c>
      <c r="AI2317" s="571" t="str">
        <f t="shared" si="514"/>
        <v xml:space="preserve"> </v>
      </c>
      <c r="AJ2317" s="558"/>
      <c r="AK2317" s="558"/>
    </row>
    <row r="2318" spans="1:37" s="394" customFormat="1" ht="20.25" outlineLevel="2" x14ac:dyDescent="0.3">
      <c r="A2318" s="447">
        <f t="shared" si="515"/>
        <v>194</v>
      </c>
      <c r="B2318" s="557"/>
      <c r="C2318" s="572"/>
      <c r="D2318" s="700"/>
      <c r="E2318" s="612"/>
      <c r="F2318" s="612"/>
      <c r="G2318" s="586"/>
      <c r="H2318" s="709"/>
      <c r="I2318" s="546"/>
      <c r="J2318" s="558"/>
      <c r="K2318" s="563" t="str">
        <f>IF(G2318&lt;&gt;0,VLOOKUP(G2318,'gia dat'!$A$1:$F$144,5,0)," ")</f>
        <v xml:space="preserve"> </v>
      </c>
      <c r="L2318" s="563" t="str">
        <f>IF(G2318&lt;&gt;0,VLOOKUP(G2318,'gia dat'!$A$1:$F$144,6,0)," ")</f>
        <v xml:space="preserve"> </v>
      </c>
      <c r="M2318" s="564" t="str">
        <f t="shared" si="516"/>
        <v xml:space="preserve"> </v>
      </c>
      <c r="N2318" s="564" t="str">
        <f t="shared" si="517"/>
        <v xml:space="preserve"> </v>
      </c>
      <c r="O2318" s="572"/>
      <c r="P2318" s="740"/>
      <c r="Q2318" s="564" t="str">
        <f>IF(O2318&lt;&gt;0,VLOOKUP(O2318,'Cây trong'!$A$2:$C$246,3,0)," ")</f>
        <v xml:space="preserve"> </v>
      </c>
      <c r="R2318" s="564" t="str">
        <f t="shared" si="503"/>
        <v xml:space="preserve"> </v>
      </c>
      <c r="S2318" s="572"/>
      <c r="T2318" s="609"/>
      <c r="U2318" s="741"/>
      <c r="V2318" s="586"/>
      <c r="W2318" s="564" t="str">
        <f>IF(S2318&lt;&gt;0,VLOOKUP(S2318,VKT!$A$2:$G$415,7,0),"")</f>
        <v/>
      </c>
      <c r="X2318" s="564" t="str">
        <f t="shared" si="500"/>
        <v xml:space="preserve"> </v>
      </c>
      <c r="Y2318" s="650"/>
      <c r="Z2318" s="586"/>
      <c r="AA2318" s="742"/>
      <c r="AB2318" s="586"/>
      <c r="AC2318" s="586"/>
      <c r="AD2318" s="586"/>
      <c r="AE2318" s="586"/>
      <c r="AF2318" s="714"/>
      <c r="AG2318" s="570" t="str">
        <f>IF(AE2318&lt;&gt;0,VLOOKUP(AE2318,ODDS!$A$2:$C$13,3,0),"")</f>
        <v/>
      </c>
      <c r="AH2318" s="570" t="str">
        <f t="shared" si="504"/>
        <v xml:space="preserve"> </v>
      </c>
      <c r="AI2318" s="571" t="str">
        <f t="shared" si="514"/>
        <v xml:space="preserve"> </v>
      </c>
      <c r="AJ2318" s="586"/>
      <c r="AK2318" s="586"/>
    </row>
    <row r="2319" spans="1:37" s="394" customFormat="1" ht="20.25" outlineLevel="2" x14ac:dyDescent="0.3">
      <c r="A2319" s="447">
        <f t="shared" si="515"/>
        <v>194</v>
      </c>
      <c r="B2319" s="557"/>
      <c r="C2319" s="572"/>
      <c r="D2319" s="700"/>
      <c r="E2319" s="612"/>
      <c r="F2319" s="612"/>
      <c r="G2319" s="586"/>
      <c r="H2319" s="709"/>
      <c r="I2319" s="546"/>
      <c r="J2319" s="558"/>
      <c r="K2319" s="563" t="str">
        <f>IF(G2319&lt;&gt;0,VLOOKUP(G2319,'gia dat'!$A$1:$F$144,5,0)," ")</f>
        <v xml:space="preserve"> </v>
      </c>
      <c r="L2319" s="563" t="str">
        <f>IF(G2319&lt;&gt;0,VLOOKUP(G2319,'gia dat'!$A$1:$F$144,6,0)," ")</f>
        <v xml:space="preserve"> </v>
      </c>
      <c r="M2319" s="564" t="str">
        <f t="shared" si="516"/>
        <v xml:space="preserve"> </v>
      </c>
      <c r="N2319" s="564" t="str">
        <f t="shared" si="517"/>
        <v xml:space="preserve"> </v>
      </c>
      <c r="O2319" s="572"/>
      <c r="P2319" s="740"/>
      <c r="Q2319" s="564" t="str">
        <f>IF(O2319&lt;&gt;0,VLOOKUP(O2319,'Cây trong'!$A$2:$C$246,3,0)," ")</f>
        <v xml:space="preserve"> </v>
      </c>
      <c r="R2319" s="564" t="str">
        <f t="shared" si="503"/>
        <v xml:space="preserve"> </v>
      </c>
      <c r="S2319" s="572"/>
      <c r="T2319" s="609"/>
      <c r="U2319" s="741"/>
      <c r="V2319" s="586"/>
      <c r="W2319" s="564" t="str">
        <f>IF(S2319&lt;&gt;0,VLOOKUP(S2319,VKT!$A$2:$G$415,7,0),"")</f>
        <v/>
      </c>
      <c r="X2319" s="564" t="str">
        <f t="shared" si="500"/>
        <v xml:space="preserve"> </v>
      </c>
      <c r="Y2319" s="650"/>
      <c r="Z2319" s="586"/>
      <c r="AA2319" s="742"/>
      <c r="AB2319" s="586"/>
      <c r="AC2319" s="586"/>
      <c r="AD2319" s="586"/>
      <c r="AE2319" s="586"/>
      <c r="AF2319" s="714"/>
      <c r="AG2319" s="570" t="str">
        <f>IF(AE2319&lt;&gt;0,VLOOKUP(AE2319,ODDS!$A$2:$C$13,3,0),"")</f>
        <v/>
      </c>
      <c r="AH2319" s="570" t="str">
        <f t="shared" si="504"/>
        <v xml:space="preserve"> </v>
      </c>
      <c r="AI2319" s="571" t="str">
        <f t="shared" si="514"/>
        <v xml:space="preserve"> </v>
      </c>
      <c r="AJ2319" s="586"/>
      <c r="AK2319" s="586"/>
    </row>
    <row r="2320" spans="1:37" s="394" customFormat="1" ht="20.25" outlineLevel="2" x14ac:dyDescent="0.3">
      <c r="A2320" s="447">
        <f t="shared" si="515"/>
        <v>194</v>
      </c>
      <c r="B2320" s="557"/>
      <c r="C2320" s="572"/>
      <c r="D2320" s="700"/>
      <c r="E2320" s="612"/>
      <c r="F2320" s="612"/>
      <c r="G2320" s="586"/>
      <c r="H2320" s="709"/>
      <c r="I2320" s="546"/>
      <c r="J2320" s="558"/>
      <c r="K2320" s="563" t="str">
        <f>IF(G2320&lt;&gt;0,VLOOKUP(G2320,'gia dat'!$A$1:$F$144,5,0)," ")</f>
        <v xml:space="preserve"> </v>
      </c>
      <c r="L2320" s="563" t="str">
        <f>IF(G2320&lt;&gt;0,VLOOKUP(G2320,'gia dat'!$A$1:$F$144,6,0)," ")</f>
        <v xml:space="preserve"> </v>
      </c>
      <c r="M2320" s="564" t="str">
        <f t="shared" si="516"/>
        <v xml:space="preserve"> </v>
      </c>
      <c r="N2320" s="564" t="str">
        <f t="shared" si="517"/>
        <v xml:space="preserve"> </v>
      </c>
      <c r="O2320" s="572"/>
      <c r="P2320" s="740"/>
      <c r="Q2320" s="564" t="str">
        <f>IF(O2320&lt;&gt;0,VLOOKUP(O2320,'Cây trong'!$A$2:$C$246,3,0)," ")</f>
        <v xml:space="preserve"> </v>
      </c>
      <c r="R2320" s="564" t="str">
        <f t="shared" si="503"/>
        <v xml:space="preserve"> </v>
      </c>
      <c r="S2320" s="572"/>
      <c r="T2320" s="609"/>
      <c r="U2320" s="741"/>
      <c r="V2320" s="586"/>
      <c r="W2320" s="564" t="str">
        <f>IF(S2320&lt;&gt;0,VLOOKUP(S2320,VKT!$A$2:$G$415,7,0),"")</f>
        <v/>
      </c>
      <c r="X2320" s="564" t="str">
        <f t="shared" si="500"/>
        <v xml:space="preserve"> </v>
      </c>
      <c r="Y2320" s="650"/>
      <c r="Z2320" s="586"/>
      <c r="AA2320" s="742"/>
      <c r="AB2320" s="586"/>
      <c r="AC2320" s="586"/>
      <c r="AD2320" s="586"/>
      <c r="AE2320" s="586"/>
      <c r="AF2320" s="714"/>
      <c r="AG2320" s="570" t="str">
        <f>IF(AE2320&lt;&gt;0,VLOOKUP(AE2320,ODDS!$A$2:$C$13,3,0),"")</f>
        <v/>
      </c>
      <c r="AH2320" s="570" t="str">
        <f t="shared" si="504"/>
        <v xml:space="preserve"> </v>
      </c>
      <c r="AI2320" s="571" t="str">
        <f t="shared" si="514"/>
        <v xml:space="preserve"> </v>
      </c>
      <c r="AJ2320" s="586"/>
      <c r="AK2320" s="586"/>
    </row>
    <row r="2321" spans="1:37" s="394" customFormat="1" ht="20.25" outlineLevel="2" x14ac:dyDescent="0.3">
      <c r="A2321" s="447">
        <f t="shared" si="515"/>
        <v>194</v>
      </c>
      <c r="B2321" s="557"/>
      <c r="C2321" s="607"/>
      <c r="D2321" s="700"/>
      <c r="E2321" s="612"/>
      <c r="F2321" s="612"/>
      <c r="G2321" s="586"/>
      <c r="H2321" s="709"/>
      <c r="I2321" s="546"/>
      <c r="J2321" s="558"/>
      <c r="K2321" s="563" t="str">
        <f>IF(G2321&lt;&gt;0,VLOOKUP(G2321,'gia dat'!$A$1:$F$144,5,0)," ")</f>
        <v xml:space="preserve"> </v>
      </c>
      <c r="L2321" s="563" t="str">
        <f>IF(G2321&lt;&gt;0,VLOOKUP(G2321,'gia dat'!$A$1:$F$144,6,0)," ")</f>
        <v xml:space="preserve"> </v>
      </c>
      <c r="M2321" s="564" t="str">
        <f t="shared" si="516"/>
        <v xml:space="preserve"> </v>
      </c>
      <c r="N2321" s="564" t="str">
        <f t="shared" si="517"/>
        <v xml:space="preserve"> </v>
      </c>
      <c r="O2321" s="572"/>
      <c r="P2321" s="740"/>
      <c r="Q2321" s="564" t="str">
        <f>IF(O2321&lt;&gt;0,VLOOKUP(O2321,'Cây trong'!$A$2:$C$246,3,0)," ")</f>
        <v xml:space="preserve"> </v>
      </c>
      <c r="R2321" s="564" t="str">
        <f t="shared" si="503"/>
        <v xml:space="preserve"> </v>
      </c>
      <c r="S2321" s="572"/>
      <c r="T2321" s="609"/>
      <c r="U2321" s="741"/>
      <c r="V2321" s="586"/>
      <c r="W2321" s="564" t="str">
        <f>IF(S2321&lt;&gt;0,VLOOKUP(S2321,VKT!$A$2:$G$415,7,0),"")</f>
        <v/>
      </c>
      <c r="X2321" s="564" t="str">
        <f t="shared" si="500"/>
        <v xml:space="preserve"> </v>
      </c>
      <c r="Y2321" s="650"/>
      <c r="Z2321" s="586"/>
      <c r="AA2321" s="742"/>
      <c r="AB2321" s="586"/>
      <c r="AC2321" s="586"/>
      <c r="AD2321" s="586"/>
      <c r="AE2321" s="586"/>
      <c r="AF2321" s="714"/>
      <c r="AG2321" s="570" t="str">
        <f>IF(AE2321&lt;&gt;0,VLOOKUP(AE2321,ODDS!$A$2:$C$13,3,0),"")</f>
        <v/>
      </c>
      <c r="AH2321" s="570" t="str">
        <f t="shared" si="504"/>
        <v xml:space="preserve"> </v>
      </c>
      <c r="AI2321" s="571" t="str">
        <f t="shared" si="514"/>
        <v xml:space="preserve"> </v>
      </c>
      <c r="AJ2321" s="586"/>
      <c r="AK2321" s="586"/>
    </row>
    <row r="2322" spans="1:37" s="396" customFormat="1" ht="40.5" outlineLevel="1" x14ac:dyDescent="0.25">
      <c r="A2322" s="467" t="s">
        <v>2515</v>
      </c>
      <c r="B2322" s="576">
        <v>195</v>
      </c>
      <c r="C2322" s="607" t="s">
        <v>1526</v>
      </c>
      <c r="D2322" s="706"/>
      <c r="E2322" s="642"/>
      <c r="F2322" s="642"/>
      <c r="G2322" s="578"/>
      <c r="H2322" s="707">
        <f>SUBTOTAL(9,H2323:H2330)</f>
        <v>1155.8</v>
      </c>
      <c r="I2322" s="579">
        <f>SUBTOTAL(9,I2323:I2328)</f>
        <v>1155.8</v>
      </c>
      <c r="J2322" s="580"/>
      <c r="K2322" s="581"/>
      <c r="L2322" s="581"/>
      <c r="M2322" s="571">
        <f>SUBTOTAL(9,M2323:M2330)</f>
        <v>538140000</v>
      </c>
      <c r="N2322" s="571">
        <f>SUBTOTAL(9,N2323:N2330)</f>
        <v>1614421000</v>
      </c>
      <c r="O2322" s="607"/>
      <c r="P2322" s="738">
        <f>SUBTOTAL(9,P2323:P2330)</f>
        <v>0</v>
      </c>
      <c r="Q2322" s="571"/>
      <c r="R2322" s="571">
        <f>SUBTOTAL(9,R2323:R2330)</f>
        <v>0</v>
      </c>
      <c r="S2322" s="582"/>
      <c r="T2322" s="621"/>
      <c r="U2322" s="739">
        <f>SUBTOTAL(9,U2323:U2330)</f>
        <v>0</v>
      </c>
      <c r="V2322" s="578"/>
      <c r="W2322" s="571"/>
      <c r="X2322" s="571">
        <f>SUBTOTAL(9,X2323:X2330)</f>
        <v>0</v>
      </c>
      <c r="Y2322" s="650"/>
      <c r="Z2322" s="586"/>
      <c r="AA2322" s="742"/>
      <c r="AB2322" s="586"/>
      <c r="AC2322" s="586"/>
      <c r="AD2322" s="586"/>
      <c r="AE2322" s="578"/>
      <c r="AF2322" s="712">
        <f>SUBTOTAL(9,AF2323:AF2330)</f>
        <v>0</v>
      </c>
      <c r="AG2322" s="585"/>
      <c r="AH2322" s="585">
        <f>SUBTOTAL(9,AH2323:AH2330)</f>
        <v>0</v>
      </c>
      <c r="AI2322" s="571">
        <f t="shared" si="514"/>
        <v>2152561000</v>
      </c>
      <c r="AJ2322" s="578"/>
      <c r="AK2322" s="578"/>
    </row>
    <row r="2323" spans="1:37" s="396" customFormat="1" ht="121.5" outlineLevel="2" x14ac:dyDescent="0.3">
      <c r="A2323" s="447">
        <f>IF(B2322&lt;&gt;0,B2322,A2321)</f>
        <v>195</v>
      </c>
      <c r="B2323" s="557"/>
      <c r="C2323" s="572" t="s">
        <v>1528</v>
      </c>
      <c r="D2323" s="700">
        <v>1</v>
      </c>
      <c r="E2323" s="612">
        <v>30</v>
      </c>
      <c r="F2323" s="612">
        <v>86</v>
      </c>
      <c r="G2323" s="586" t="s">
        <v>2435</v>
      </c>
      <c r="H2323" s="709">
        <v>1155.8</v>
      </c>
      <c r="I2323" s="546">
        <f t="shared" ref="I2323" si="518">IF(N2323&gt;0,H2323,"")</f>
        <v>1155.8</v>
      </c>
      <c r="J2323" s="562"/>
      <c r="K2323" s="563">
        <f>IF(G2323&lt;&gt;0,VLOOKUP(G2323,'gia dat'!$A$1:$F$144,5,0)," ")</f>
        <v>465600</v>
      </c>
      <c r="L2323" s="563">
        <f>IF(G2323&lt;&gt;0,VLOOKUP(G2323,'gia dat'!$A$1:$F$144,6,0)," ")</f>
        <v>1396800</v>
      </c>
      <c r="M2323" s="564">
        <f t="shared" si="516"/>
        <v>538140000</v>
      </c>
      <c r="N2323" s="564">
        <f t="shared" si="517"/>
        <v>1614421000</v>
      </c>
      <c r="O2323" s="572"/>
      <c r="P2323" s="740"/>
      <c r="Q2323" s="564" t="str">
        <f>IF(O2323&lt;&gt;0,VLOOKUP(O2323,'Cây trong'!$A$2:$C$246,3,0)," ")</f>
        <v xml:space="preserve"> </v>
      </c>
      <c r="R2323" s="564" t="str">
        <f t="shared" si="503"/>
        <v xml:space="preserve"> </v>
      </c>
      <c r="S2323" s="566"/>
      <c r="T2323" s="609"/>
      <c r="U2323" s="741"/>
      <c r="V2323" s="586"/>
      <c r="W2323" s="564" t="str">
        <f>IF(S2323&lt;&gt;0,VLOOKUP(S2323,VKT!$A$2:$G$415,7,0),"")</f>
        <v/>
      </c>
      <c r="X2323" s="564" t="str">
        <f t="shared" si="500"/>
        <v xml:space="preserve"> </v>
      </c>
      <c r="Y2323" s="650"/>
      <c r="Z2323" s="586"/>
      <c r="AA2323" s="742"/>
      <c r="AB2323" s="586"/>
      <c r="AC2323" s="586"/>
      <c r="AD2323" s="586"/>
      <c r="AE2323" s="586"/>
      <c r="AF2323" s="714"/>
      <c r="AG2323" s="570" t="str">
        <f>IF(AE2323&lt;&gt;0,VLOOKUP(AE2323,ODDS!$A$2:$C$13,3,0),"")</f>
        <v/>
      </c>
      <c r="AH2323" s="570"/>
      <c r="AI2323" s="571" t="str">
        <f t="shared" si="514"/>
        <v xml:space="preserve"> </v>
      </c>
      <c r="AJ2323" s="586" t="s">
        <v>1527</v>
      </c>
      <c r="AK2323" s="586" t="s">
        <v>2771</v>
      </c>
    </row>
    <row r="2324" spans="1:37" s="394" customFormat="1" ht="101.25" outlineLevel="2" x14ac:dyDescent="0.3">
      <c r="A2324" s="447">
        <f t="shared" ref="A2324:A2330" si="519">IF(B2323&lt;&gt;0,B2323,A2323)</f>
        <v>195</v>
      </c>
      <c r="B2324" s="557"/>
      <c r="C2324" s="572" t="s">
        <v>1646</v>
      </c>
      <c r="D2324" s="700"/>
      <c r="E2324" s="612"/>
      <c r="F2324" s="612"/>
      <c r="G2324" s="586"/>
      <c r="H2324" s="709"/>
      <c r="I2324" s="546"/>
      <c r="J2324" s="562"/>
      <c r="K2324" s="563" t="str">
        <f>IF(G2324&lt;&gt;0,VLOOKUP(G2324,'gia dat'!$A$1:$F$144,5,0)," ")</f>
        <v xml:space="preserve"> </v>
      </c>
      <c r="L2324" s="563" t="str">
        <f>IF(G2324&lt;&gt;0,VLOOKUP(G2324,'gia dat'!$A$1:$F$144,6,0)," ")</f>
        <v xml:space="preserve"> </v>
      </c>
      <c r="M2324" s="564" t="str">
        <f t="shared" si="516"/>
        <v xml:space="preserve"> </v>
      </c>
      <c r="N2324" s="564" t="str">
        <f t="shared" si="517"/>
        <v xml:space="preserve"> </v>
      </c>
      <c r="O2324" s="572"/>
      <c r="P2324" s="740"/>
      <c r="Q2324" s="564" t="str">
        <f>IF(O2324&lt;&gt;0,VLOOKUP(O2324,'Cây trong'!$A$2:$C$246,3,0)," ")</f>
        <v xml:space="preserve"> </v>
      </c>
      <c r="R2324" s="564" t="str">
        <f t="shared" si="503"/>
        <v xml:space="preserve"> </v>
      </c>
      <c r="S2324" s="566"/>
      <c r="T2324" s="609"/>
      <c r="U2324" s="741"/>
      <c r="V2324" s="586"/>
      <c r="W2324" s="564" t="str">
        <f>IF(S2324&lt;&gt;0,VLOOKUP(S2324,VKT!$A$2:$G$415,7,0),"")</f>
        <v/>
      </c>
      <c r="X2324" s="564" t="str">
        <f t="shared" si="500"/>
        <v xml:space="preserve"> </v>
      </c>
      <c r="Y2324" s="650"/>
      <c r="Z2324" s="586"/>
      <c r="AA2324" s="742"/>
      <c r="AB2324" s="586"/>
      <c r="AC2324" s="586"/>
      <c r="AD2324" s="586"/>
      <c r="AE2324" s="586"/>
      <c r="AF2324" s="714"/>
      <c r="AG2324" s="570" t="str">
        <f>IF(AE2324&lt;&gt;0,VLOOKUP(AE2324,ODDS!$A$2:$C$13,3,0),"")</f>
        <v/>
      </c>
      <c r="AH2324" s="570" t="str">
        <f t="shared" si="504"/>
        <v xml:space="preserve"> </v>
      </c>
      <c r="AI2324" s="571" t="str">
        <f t="shared" si="514"/>
        <v xml:space="preserve"> </v>
      </c>
      <c r="AJ2324" s="586" t="s">
        <v>1529</v>
      </c>
      <c r="AK2324" s="558" t="s">
        <v>2448</v>
      </c>
    </row>
    <row r="2325" spans="1:37" s="394" customFormat="1" ht="60.75" outlineLevel="2" x14ac:dyDescent="0.3">
      <c r="A2325" s="447">
        <f t="shared" si="519"/>
        <v>195</v>
      </c>
      <c r="B2325" s="557"/>
      <c r="C2325" s="572"/>
      <c r="D2325" s="700"/>
      <c r="E2325" s="612"/>
      <c r="F2325" s="612"/>
      <c r="G2325" s="586"/>
      <c r="H2325" s="709"/>
      <c r="I2325" s="546"/>
      <c r="J2325" s="562"/>
      <c r="K2325" s="563" t="str">
        <f>IF(G2325&lt;&gt;0,VLOOKUP(G2325,'gia dat'!$A$1:$F$144,5,0)," ")</f>
        <v xml:space="preserve"> </v>
      </c>
      <c r="L2325" s="563" t="str">
        <f>IF(G2325&lt;&gt;0,VLOOKUP(G2325,'gia dat'!$A$1:$F$144,6,0)," ")</f>
        <v xml:space="preserve"> </v>
      </c>
      <c r="M2325" s="564" t="str">
        <f t="shared" si="516"/>
        <v xml:space="preserve"> </v>
      </c>
      <c r="N2325" s="564" t="str">
        <f t="shared" si="517"/>
        <v xml:space="preserve"> </v>
      </c>
      <c r="O2325" s="572"/>
      <c r="P2325" s="740"/>
      <c r="Q2325" s="564" t="str">
        <f>IF(O2325&lt;&gt;0,VLOOKUP(O2325,'Cây trong'!$A$2:$C$246,3,0)," ")</f>
        <v xml:space="preserve"> </v>
      </c>
      <c r="R2325" s="564" t="str">
        <f t="shared" si="503"/>
        <v xml:space="preserve"> </v>
      </c>
      <c r="S2325" s="566"/>
      <c r="T2325" s="609"/>
      <c r="U2325" s="741"/>
      <c r="V2325" s="586"/>
      <c r="W2325" s="564" t="str">
        <f>IF(S2325&lt;&gt;0,VLOOKUP(S2325,VKT!$A$2:$G$415,7,0),"")</f>
        <v/>
      </c>
      <c r="X2325" s="564" t="str">
        <f t="shared" ref="X2325:X2410" si="520">IF(S2325&lt;&gt;0,ROUND(U2325*W2325,-3)," ")</f>
        <v xml:space="preserve"> </v>
      </c>
      <c r="Y2325" s="650"/>
      <c r="Z2325" s="586"/>
      <c r="AA2325" s="742"/>
      <c r="AB2325" s="586"/>
      <c r="AC2325" s="586"/>
      <c r="AD2325" s="586"/>
      <c r="AE2325" s="586"/>
      <c r="AF2325" s="714"/>
      <c r="AG2325" s="570" t="str">
        <f>IF(AE2325&lt;&gt;0,VLOOKUP(AE2325,ODDS!$A$2:$C$13,3,0),"")</f>
        <v/>
      </c>
      <c r="AH2325" s="570" t="str">
        <f t="shared" si="504"/>
        <v xml:space="preserve"> </v>
      </c>
      <c r="AI2325" s="571" t="str">
        <f t="shared" si="514"/>
        <v xml:space="preserve"> </v>
      </c>
      <c r="AJ2325" s="586" t="s">
        <v>2074</v>
      </c>
      <c r="AK2325" s="586"/>
    </row>
    <row r="2326" spans="1:37" s="394" customFormat="1" ht="20.25" outlineLevel="2" x14ac:dyDescent="0.3">
      <c r="A2326" s="447">
        <f t="shared" si="519"/>
        <v>195</v>
      </c>
      <c r="B2326" s="557"/>
      <c r="C2326" s="572"/>
      <c r="D2326" s="700"/>
      <c r="E2326" s="612"/>
      <c r="F2326" s="612"/>
      <c r="G2326" s="586"/>
      <c r="H2326" s="709"/>
      <c r="I2326" s="546"/>
      <c r="J2326" s="562"/>
      <c r="K2326" s="563" t="str">
        <f>IF(G2326&lt;&gt;0,VLOOKUP(G2326,'gia dat'!$A$1:$F$144,5,0)," ")</f>
        <v xml:space="preserve"> </v>
      </c>
      <c r="L2326" s="563" t="str">
        <f>IF(G2326&lt;&gt;0,VLOOKUP(G2326,'gia dat'!$A$1:$F$144,6,0)," ")</f>
        <v xml:space="preserve"> </v>
      </c>
      <c r="M2326" s="564" t="str">
        <f t="shared" si="516"/>
        <v xml:space="preserve"> </v>
      </c>
      <c r="N2326" s="564" t="str">
        <f t="shared" si="517"/>
        <v xml:space="preserve"> </v>
      </c>
      <c r="O2326" s="572"/>
      <c r="P2326" s="740"/>
      <c r="Q2326" s="564" t="str">
        <f>IF(O2326&lt;&gt;0,VLOOKUP(O2326,'Cây trong'!$A$2:$C$246,3,0)," ")</f>
        <v xml:space="preserve"> </v>
      </c>
      <c r="R2326" s="564" t="str">
        <f t="shared" si="503"/>
        <v xml:space="preserve"> </v>
      </c>
      <c r="S2326" s="566"/>
      <c r="T2326" s="609"/>
      <c r="U2326" s="741"/>
      <c r="V2326" s="586"/>
      <c r="W2326" s="564" t="str">
        <f>IF(S2326&lt;&gt;0,VLOOKUP(S2326,VKT!$A$2:$G$415,7,0),"")</f>
        <v/>
      </c>
      <c r="X2326" s="564" t="str">
        <f t="shared" si="520"/>
        <v xml:space="preserve"> </v>
      </c>
      <c r="Y2326" s="650"/>
      <c r="Z2326" s="586"/>
      <c r="AA2326" s="742"/>
      <c r="AB2326" s="586"/>
      <c r="AC2326" s="586"/>
      <c r="AD2326" s="586"/>
      <c r="AE2326" s="586"/>
      <c r="AF2326" s="714"/>
      <c r="AG2326" s="570" t="str">
        <f>IF(AE2326&lt;&gt;0,VLOOKUP(AE2326,ODDS!$A$2:$C$13,3,0),"")</f>
        <v/>
      </c>
      <c r="AH2326" s="570" t="str">
        <f t="shared" si="504"/>
        <v xml:space="preserve"> </v>
      </c>
      <c r="AI2326" s="571" t="str">
        <f t="shared" si="514"/>
        <v xml:space="preserve"> </v>
      </c>
      <c r="AJ2326" s="731"/>
      <c r="AK2326" s="586"/>
    </row>
    <row r="2327" spans="1:37" s="394" customFormat="1" ht="20.25" outlineLevel="2" x14ac:dyDescent="0.3">
      <c r="A2327" s="447">
        <f t="shared" si="519"/>
        <v>195</v>
      </c>
      <c r="B2327" s="557"/>
      <c r="C2327" s="572"/>
      <c r="D2327" s="700"/>
      <c r="E2327" s="612"/>
      <c r="F2327" s="612"/>
      <c r="G2327" s="586"/>
      <c r="H2327" s="709"/>
      <c r="I2327" s="546"/>
      <c r="J2327" s="562"/>
      <c r="K2327" s="563" t="str">
        <f>IF(G2327&lt;&gt;0,VLOOKUP(G2327,'gia dat'!$A$1:$F$144,5,0)," ")</f>
        <v xml:space="preserve"> </v>
      </c>
      <c r="L2327" s="563" t="str">
        <f>IF(G2327&lt;&gt;0,VLOOKUP(G2327,'gia dat'!$A$1:$F$144,6,0)," ")</f>
        <v xml:space="preserve"> </v>
      </c>
      <c r="M2327" s="564" t="str">
        <f t="shared" si="516"/>
        <v xml:space="preserve"> </v>
      </c>
      <c r="N2327" s="564" t="str">
        <f t="shared" si="517"/>
        <v xml:space="preserve"> </v>
      </c>
      <c r="O2327" s="572"/>
      <c r="P2327" s="740"/>
      <c r="Q2327" s="564" t="str">
        <f>IF(O2327&lt;&gt;0,VLOOKUP(O2327,'Cây trong'!$A$2:$C$246,3,0)," ")</f>
        <v xml:space="preserve"> </v>
      </c>
      <c r="R2327" s="564" t="str">
        <f t="shared" si="503"/>
        <v xml:space="preserve"> </v>
      </c>
      <c r="S2327" s="566"/>
      <c r="T2327" s="609"/>
      <c r="U2327" s="741"/>
      <c r="V2327" s="586"/>
      <c r="W2327" s="564" t="str">
        <f>IF(S2327&lt;&gt;0,VLOOKUP(S2327,VKT!$A$2:$G$415,7,0),"")</f>
        <v/>
      </c>
      <c r="X2327" s="564" t="str">
        <f t="shared" si="520"/>
        <v xml:space="preserve"> </v>
      </c>
      <c r="Y2327" s="650"/>
      <c r="Z2327" s="586"/>
      <c r="AA2327" s="742"/>
      <c r="AB2327" s="586"/>
      <c r="AC2327" s="586"/>
      <c r="AD2327" s="586"/>
      <c r="AE2327" s="586"/>
      <c r="AF2327" s="714"/>
      <c r="AG2327" s="570" t="str">
        <f>IF(AE2327&lt;&gt;0,VLOOKUP(AE2327,ODDS!$A$2:$C$13,3,0),"")</f>
        <v/>
      </c>
      <c r="AH2327" s="570" t="str">
        <f t="shared" si="504"/>
        <v xml:space="preserve"> </v>
      </c>
      <c r="AI2327" s="571" t="str">
        <f t="shared" si="514"/>
        <v xml:space="preserve"> </v>
      </c>
      <c r="AJ2327" s="572"/>
      <c r="AK2327" s="572"/>
    </row>
    <row r="2328" spans="1:37" s="394" customFormat="1" ht="20.25" outlineLevel="2" x14ac:dyDescent="0.3">
      <c r="A2328" s="447">
        <f t="shared" si="519"/>
        <v>195</v>
      </c>
      <c r="B2328" s="557"/>
      <c r="C2328" s="572"/>
      <c r="D2328" s="700"/>
      <c r="E2328" s="612"/>
      <c r="F2328" s="612"/>
      <c r="G2328" s="586"/>
      <c r="H2328" s="709"/>
      <c r="I2328" s="546"/>
      <c r="J2328" s="558"/>
      <c r="K2328" s="563" t="str">
        <f>IF(G2328&lt;&gt;0,VLOOKUP(G2328,'gia dat'!$A$1:$F$144,5,0)," ")</f>
        <v xml:space="preserve"> </v>
      </c>
      <c r="L2328" s="563" t="str">
        <f>IF(G2328&lt;&gt;0,VLOOKUP(G2328,'gia dat'!$A$1:$F$144,6,0)," ")</f>
        <v xml:space="preserve"> </v>
      </c>
      <c r="M2328" s="564" t="str">
        <f t="shared" si="516"/>
        <v xml:space="preserve"> </v>
      </c>
      <c r="N2328" s="564" t="str">
        <f t="shared" si="517"/>
        <v xml:space="preserve"> </v>
      </c>
      <c r="O2328" s="572"/>
      <c r="P2328" s="740"/>
      <c r="Q2328" s="564" t="str">
        <f>IF(O2328&lt;&gt;0,VLOOKUP(O2328,'Cây trong'!$A$2:$C$246,3,0)," ")</f>
        <v xml:space="preserve"> </v>
      </c>
      <c r="R2328" s="564" t="str">
        <f t="shared" si="503"/>
        <v xml:space="preserve"> </v>
      </c>
      <c r="S2328" s="572"/>
      <c r="T2328" s="609"/>
      <c r="U2328" s="741"/>
      <c r="V2328" s="586"/>
      <c r="W2328" s="564" t="str">
        <f>IF(S2328&lt;&gt;0,VLOOKUP(S2328,VKT!$A$2:$G$415,7,0),"")</f>
        <v/>
      </c>
      <c r="X2328" s="564" t="str">
        <f t="shared" si="520"/>
        <v xml:space="preserve"> </v>
      </c>
      <c r="Y2328" s="650"/>
      <c r="Z2328" s="586"/>
      <c r="AA2328" s="742"/>
      <c r="AB2328" s="586"/>
      <c r="AC2328" s="586"/>
      <c r="AD2328" s="586"/>
      <c r="AE2328" s="586"/>
      <c r="AF2328" s="714"/>
      <c r="AG2328" s="570" t="str">
        <f>IF(AE2328&lt;&gt;0,VLOOKUP(AE2328,ODDS!$A$2:$C$13,3,0),"")</f>
        <v/>
      </c>
      <c r="AH2328" s="570" t="str">
        <f t="shared" si="504"/>
        <v xml:space="preserve"> </v>
      </c>
      <c r="AI2328" s="571" t="str">
        <f t="shared" si="514"/>
        <v xml:space="preserve"> </v>
      </c>
      <c r="AJ2328" s="558"/>
      <c r="AK2328" s="558"/>
    </row>
    <row r="2329" spans="1:37" s="394" customFormat="1" ht="20.25" outlineLevel="2" x14ac:dyDescent="0.3">
      <c r="A2329" s="447">
        <f t="shared" si="519"/>
        <v>195</v>
      </c>
      <c r="B2329" s="557"/>
      <c r="C2329" s="572"/>
      <c r="D2329" s="700"/>
      <c r="E2329" s="612"/>
      <c r="F2329" s="612"/>
      <c r="G2329" s="586"/>
      <c r="H2329" s="709"/>
      <c r="I2329" s="546"/>
      <c r="J2329" s="558"/>
      <c r="K2329" s="563" t="str">
        <f>IF(G2329&lt;&gt;0,VLOOKUP(G2329,'gia dat'!$A$1:$F$144,5,0)," ")</f>
        <v xml:space="preserve"> </v>
      </c>
      <c r="L2329" s="563" t="str">
        <f>IF(G2329&lt;&gt;0,VLOOKUP(G2329,'gia dat'!$A$1:$F$144,6,0)," ")</f>
        <v xml:space="preserve"> </v>
      </c>
      <c r="M2329" s="564" t="str">
        <f t="shared" si="516"/>
        <v xml:space="preserve"> </v>
      </c>
      <c r="N2329" s="564" t="str">
        <f t="shared" si="517"/>
        <v xml:space="preserve"> </v>
      </c>
      <c r="O2329" s="572"/>
      <c r="P2329" s="740"/>
      <c r="Q2329" s="564" t="str">
        <f>IF(O2329&lt;&gt;0,VLOOKUP(O2329,'Cây trong'!$A$2:$C$246,3,0)," ")</f>
        <v xml:space="preserve"> </v>
      </c>
      <c r="R2329" s="564" t="str">
        <f t="shared" si="503"/>
        <v xml:space="preserve"> </v>
      </c>
      <c r="S2329" s="572"/>
      <c r="T2329" s="609"/>
      <c r="U2329" s="741"/>
      <c r="V2329" s="586"/>
      <c r="W2329" s="564" t="str">
        <f>IF(S2329&lt;&gt;0,VLOOKUP(S2329,VKT!$A$2:$G$415,7,0),"")</f>
        <v/>
      </c>
      <c r="X2329" s="564" t="str">
        <f t="shared" si="520"/>
        <v xml:space="preserve"> </v>
      </c>
      <c r="Y2329" s="650"/>
      <c r="Z2329" s="586"/>
      <c r="AA2329" s="742"/>
      <c r="AB2329" s="586"/>
      <c r="AC2329" s="586"/>
      <c r="AD2329" s="586"/>
      <c r="AE2329" s="586"/>
      <c r="AF2329" s="714"/>
      <c r="AG2329" s="570" t="str">
        <f>IF(AE2329&lt;&gt;0,VLOOKUP(AE2329,ODDS!$A$2:$C$13,3,0),"")</f>
        <v/>
      </c>
      <c r="AH2329" s="570" t="str">
        <f t="shared" si="504"/>
        <v xml:space="preserve"> </v>
      </c>
      <c r="AI2329" s="571" t="str">
        <f t="shared" si="514"/>
        <v xml:space="preserve"> </v>
      </c>
      <c r="AJ2329" s="586"/>
      <c r="AK2329" s="586"/>
    </row>
    <row r="2330" spans="1:37" s="394" customFormat="1" ht="20.25" outlineLevel="2" x14ac:dyDescent="0.3">
      <c r="A2330" s="447">
        <f t="shared" si="519"/>
        <v>195</v>
      </c>
      <c r="B2330" s="557"/>
      <c r="C2330" s="607"/>
      <c r="D2330" s="700"/>
      <c r="E2330" s="612"/>
      <c r="F2330" s="612"/>
      <c r="G2330" s="586"/>
      <c r="H2330" s="709"/>
      <c r="I2330" s="546"/>
      <c r="J2330" s="558"/>
      <c r="K2330" s="563" t="str">
        <f>IF(G2330&lt;&gt;0,VLOOKUP(G2330,'gia dat'!$A$1:$F$144,5,0)," ")</f>
        <v xml:space="preserve"> </v>
      </c>
      <c r="L2330" s="563" t="str">
        <f>IF(G2330&lt;&gt;0,VLOOKUP(G2330,'gia dat'!$A$1:$F$144,6,0)," ")</f>
        <v xml:space="preserve"> </v>
      </c>
      <c r="M2330" s="564" t="str">
        <f t="shared" si="516"/>
        <v xml:space="preserve"> </v>
      </c>
      <c r="N2330" s="564" t="str">
        <f t="shared" si="517"/>
        <v xml:space="preserve"> </v>
      </c>
      <c r="O2330" s="572"/>
      <c r="P2330" s="740"/>
      <c r="Q2330" s="564" t="str">
        <f>IF(O2330&lt;&gt;0,VLOOKUP(O2330,'Cây trong'!$A$2:$C$246,3,0)," ")</f>
        <v xml:space="preserve"> </v>
      </c>
      <c r="R2330" s="564" t="str">
        <f t="shared" si="503"/>
        <v xml:space="preserve"> </v>
      </c>
      <c r="S2330" s="572"/>
      <c r="T2330" s="609"/>
      <c r="U2330" s="741"/>
      <c r="V2330" s="586"/>
      <c r="W2330" s="564" t="str">
        <f>IF(S2330&lt;&gt;0,VLOOKUP(S2330,VKT!$A$2:$G$415,7,0),"")</f>
        <v/>
      </c>
      <c r="X2330" s="564" t="str">
        <f t="shared" si="520"/>
        <v xml:space="preserve"> </v>
      </c>
      <c r="Y2330" s="650"/>
      <c r="Z2330" s="586"/>
      <c r="AA2330" s="742"/>
      <c r="AB2330" s="586"/>
      <c r="AC2330" s="586"/>
      <c r="AD2330" s="586"/>
      <c r="AE2330" s="586"/>
      <c r="AF2330" s="714"/>
      <c r="AG2330" s="570" t="str">
        <f>IF(AE2330&lt;&gt;0,VLOOKUP(AE2330,ODDS!$A$2:$C$13,3,0),"")</f>
        <v/>
      </c>
      <c r="AH2330" s="570" t="str">
        <f t="shared" si="504"/>
        <v xml:space="preserve"> </v>
      </c>
      <c r="AI2330" s="571" t="str">
        <f t="shared" si="514"/>
        <v xml:space="preserve"> </v>
      </c>
      <c r="AJ2330" s="586"/>
      <c r="AK2330" s="586"/>
    </row>
    <row r="2331" spans="1:37" s="396" customFormat="1" ht="40.5" outlineLevel="1" x14ac:dyDescent="0.25">
      <c r="A2331" s="467" t="s">
        <v>2514</v>
      </c>
      <c r="B2331" s="576">
        <v>196</v>
      </c>
      <c r="C2331" s="607" t="s">
        <v>1526</v>
      </c>
      <c r="D2331" s="706"/>
      <c r="E2331" s="642"/>
      <c r="F2331" s="642"/>
      <c r="G2331" s="578"/>
      <c r="H2331" s="707">
        <f>SUBTOTAL(9,H2332:H2338)</f>
        <v>1000</v>
      </c>
      <c r="I2331" s="579">
        <f>SUBTOTAL(9,I2332:I2337)</f>
        <v>1000</v>
      </c>
      <c r="J2331" s="580"/>
      <c r="K2331" s="581"/>
      <c r="L2331" s="581"/>
      <c r="M2331" s="571">
        <f>SUBTOTAL(9,M2332:M2338)</f>
        <v>465600000</v>
      </c>
      <c r="N2331" s="571">
        <f>SUBTOTAL(9,N2332:N2338)</f>
        <v>1396800000</v>
      </c>
      <c r="O2331" s="607"/>
      <c r="P2331" s="738">
        <f>SUBTOTAL(9,P2332:P2338)</f>
        <v>0</v>
      </c>
      <c r="Q2331" s="571"/>
      <c r="R2331" s="571">
        <f>SUBTOTAL(9,R2332:R2338)</f>
        <v>0</v>
      </c>
      <c r="S2331" s="582"/>
      <c r="T2331" s="621"/>
      <c r="U2331" s="739">
        <f>SUBTOTAL(9,U2332:U2338)</f>
        <v>0</v>
      </c>
      <c r="V2331" s="578"/>
      <c r="W2331" s="571"/>
      <c r="X2331" s="571">
        <f>SUBTOTAL(9,X2332:X2338)</f>
        <v>0</v>
      </c>
      <c r="Y2331" s="650"/>
      <c r="Z2331" s="586"/>
      <c r="AA2331" s="742"/>
      <c r="AB2331" s="586"/>
      <c r="AC2331" s="586"/>
      <c r="AD2331" s="586"/>
      <c r="AE2331" s="578"/>
      <c r="AF2331" s="712">
        <f>SUBTOTAL(9,AF2332:AF2338)</f>
        <v>0</v>
      </c>
      <c r="AG2331" s="585"/>
      <c r="AH2331" s="585">
        <f>SUBTOTAL(9,AH2332:AH2338)</f>
        <v>0</v>
      </c>
      <c r="AI2331" s="571">
        <f t="shared" si="514"/>
        <v>1862400000</v>
      </c>
      <c r="AJ2331" s="578"/>
      <c r="AK2331" s="578"/>
    </row>
    <row r="2332" spans="1:37" s="396" customFormat="1" ht="121.5" outlineLevel="2" x14ac:dyDescent="0.3">
      <c r="A2332" s="447">
        <f>IF(B2331&lt;&gt;0,B2331,A2330)</f>
        <v>196</v>
      </c>
      <c r="B2332" s="557"/>
      <c r="C2332" s="572" t="s">
        <v>1528</v>
      </c>
      <c r="D2332" s="700"/>
      <c r="E2332" s="612">
        <v>86</v>
      </c>
      <c r="F2332" s="612">
        <v>311</v>
      </c>
      <c r="G2332" s="586" t="s">
        <v>2435</v>
      </c>
      <c r="H2332" s="709">
        <v>1000</v>
      </c>
      <c r="I2332" s="546">
        <f t="shared" ref="I2332" si="521">IF(N2332&gt;0,H2332,"")</f>
        <v>1000</v>
      </c>
      <c r="J2332" s="562"/>
      <c r="K2332" s="563">
        <f>IF(G2332&lt;&gt;0,VLOOKUP(G2332,'gia dat'!$A$1:$F$144,5,0)," ")</f>
        <v>465600</v>
      </c>
      <c r="L2332" s="563">
        <f>IF(G2332&lt;&gt;0,VLOOKUP(G2332,'gia dat'!$A$1:$F$144,6,0)," ")</f>
        <v>1396800</v>
      </c>
      <c r="M2332" s="564">
        <f t="shared" si="516"/>
        <v>465600000</v>
      </c>
      <c r="N2332" s="564">
        <f t="shared" si="517"/>
        <v>1396800000</v>
      </c>
      <c r="O2332" s="572"/>
      <c r="P2332" s="740"/>
      <c r="Q2332" s="564" t="str">
        <f>IF(O2332&lt;&gt;0,VLOOKUP(O2332,'Cây trong'!$A$2:$C$246,3,0)," ")</f>
        <v xml:space="preserve"> </v>
      </c>
      <c r="R2332" s="564" t="str">
        <f t="shared" si="503"/>
        <v xml:space="preserve"> </v>
      </c>
      <c r="S2332" s="566"/>
      <c r="T2332" s="609"/>
      <c r="U2332" s="741"/>
      <c r="V2332" s="586"/>
      <c r="W2332" s="564" t="str">
        <f>IF(S2332&lt;&gt;0,VLOOKUP(S2332,VKT!$A$2:$G$415,7,0),"")</f>
        <v/>
      </c>
      <c r="X2332" s="564" t="str">
        <f t="shared" si="520"/>
        <v xml:space="preserve"> </v>
      </c>
      <c r="Y2332" s="650"/>
      <c r="Z2332" s="586"/>
      <c r="AA2332" s="742"/>
      <c r="AB2332" s="586"/>
      <c r="AC2332" s="586"/>
      <c r="AD2332" s="586"/>
      <c r="AE2332" s="586"/>
      <c r="AF2332" s="714"/>
      <c r="AG2332" s="570" t="str">
        <f>IF(AE2332&lt;&gt;0,VLOOKUP(AE2332,ODDS!$A$2:$C$13,3,0),"")</f>
        <v/>
      </c>
      <c r="AH2332" s="570" t="str">
        <f t="shared" si="504"/>
        <v xml:space="preserve"> </v>
      </c>
      <c r="AI2332" s="571" t="str">
        <f t="shared" si="514"/>
        <v xml:space="preserve"> </v>
      </c>
      <c r="AJ2332" s="586" t="s">
        <v>1530</v>
      </c>
      <c r="AK2332" s="586" t="s">
        <v>2771</v>
      </c>
    </row>
    <row r="2333" spans="1:37" s="394" customFormat="1" ht="101.25" outlineLevel="2" x14ac:dyDescent="0.3">
      <c r="A2333" s="447">
        <f t="shared" ref="A2333:A2338" si="522">IF(B2332&lt;&gt;0,B2332,A2332)</f>
        <v>196</v>
      </c>
      <c r="B2333" s="557"/>
      <c r="C2333" s="572" t="s">
        <v>1646</v>
      </c>
      <c r="D2333" s="700"/>
      <c r="E2333" s="612"/>
      <c r="F2333" s="612"/>
      <c r="G2333" s="586"/>
      <c r="H2333" s="709"/>
      <c r="I2333" s="546"/>
      <c r="J2333" s="562"/>
      <c r="K2333" s="563" t="str">
        <f>IF(G2333&lt;&gt;0,VLOOKUP(G2333,'gia dat'!$A$1:$F$144,5,0)," ")</f>
        <v xml:space="preserve"> </v>
      </c>
      <c r="L2333" s="563" t="str">
        <f>IF(G2333&lt;&gt;0,VLOOKUP(G2333,'gia dat'!$A$1:$F$144,6,0)," ")</f>
        <v xml:space="preserve"> </v>
      </c>
      <c r="M2333" s="564" t="str">
        <f t="shared" si="516"/>
        <v xml:space="preserve"> </v>
      </c>
      <c r="N2333" s="564" t="str">
        <f t="shared" si="517"/>
        <v xml:space="preserve"> </v>
      </c>
      <c r="O2333" s="572"/>
      <c r="P2333" s="740"/>
      <c r="Q2333" s="564" t="str">
        <f>IF(O2333&lt;&gt;0,VLOOKUP(O2333,'Cây trong'!$A$2:$C$246,3,0)," ")</f>
        <v xml:space="preserve"> </v>
      </c>
      <c r="R2333" s="564" t="str">
        <f t="shared" si="503"/>
        <v xml:space="preserve"> </v>
      </c>
      <c r="S2333" s="566"/>
      <c r="T2333" s="609"/>
      <c r="U2333" s="741"/>
      <c r="V2333" s="586"/>
      <c r="W2333" s="564" t="str">
        <f>IF(S2333&lt;&gt;0,VLOOKUP(S2333,VKT!$A$2:$G$415,7,0),"")</f>
        <v/>
      </c>
      <c r="X2333" s="564" t="str">
        <f t="shared" si="520"/>
        <v xml:space="preserve"> </v>
      </c>
      <c r="Y2333" s="650"/>
      <c r="Z2333" s="586"/>
      <c r="AA2333" s="742"/>
      <c r="AB2333" s="586"/>
      <c r="AC2333" s="586"/>
      <c r="AD2333" s="586"/>
      <c r="AE2333" s="586"/>
      <c r="AF2333" s="714"/>
      <c r="AG2333" s="570" t="str">
        <f>IF(AE2333&lt;&gt;0,VLOOKUP(AE2333,ODDS!$A$2:$C$13,3,0),"")</f>
        <v/>
      </c>
      <c r="AH2333" s="570" t="str">
        <f t="shared" si="504"/>
        <v xml:space="preserve"> </v>
      </c>
      <c r="AI2333" s="571" t="str">
        <f t="shared" si="514"/>
        <v xml:space="preserve"> </v>
      </c>
      <c r="AJ2333" s="586" t="s">
        <v>1531</v>
      </c>
      <c r="AK2333" s="558" t="s">
        <v>2448</v>
      </c>
    </row>
    <row r="2334" spans="1:37" s="394" customFormat="1" ht="60.75" outlineLevel="2" x14ac:dyDescent="0.3">
      <c r="A2334" s="447">
        <f t="shared" si="522"/>
        <v>196</v>
      </c>
      <c r="B2334" s="557"/>
      <c r="C2334" s="572"/>
      <c r="D2334" s="700"/>
      <c r="E2334" s="612"/>
      <c r="F2334" s="612"/>
      <c r="G2334" s="586"/>
      <c r="H2334" s="709"/>
      <c r="I2334" s="546"/>
      <c r="J2334" s="562"/>
      <c r="K2334" s="563" t="str">
        <f>IF(G2334&lt;&gt;0,VLOOKUP(G2334,'gia dat'!$A$1:$F$144,5,0)," ")</f>
        <v xml:space="preserve"> </v>
      </c>
      <c r="L2334" s="563" t="str">
        <f>IF(G2334&lt;&gt;0,VLOOKUP(G2334,'gia dat'!$A$1:$F$144,6,0)," ")</f>
        <v xml:space="preserve"> </v>
      </c>
      <c r="M2334" s="564" t="str">
        <f t="shared" si="516"/>
        <v xml:space="preserve"> </v>
      </c>
      <c r="N2334" s="564" t="str">
        <f t="shared" si="517"/>
        <v xml:space="preserve"> </v>
      </c>
      <c r="O2334" s="572"/>
      <c r="P2334" s="740"/>
      <c r="Q2334" s="564" t="str">
        <f>IF(O2334&lt;&gt;0,VLOOKUP(O2334,'Cây trong'!$A$2:$C$246,3,0)," ")</f>
        <v xml:space="preserve"> </v>
      </c>
      <c r="R2334" s="564" t="str">
        <f t="shared" si="503"/>
        <v xml:space="preserve"> </v>
      </c>
      <c r="S2334" s="566"/>
      <c r="T2334" s="609"/>
      <c r="U2334" s="741"/>
      <c r="V2334" s="586"/>
      <c r="W2334" s="564" t="str">
        <f>IF(S2334&lt;&gt;0,VLOOKUP(S2334,VKT!$A$2:$G$415,7,0),"")</f>
        <v/>
      </c>
      <c r="X2334" s="564" t="str">
        <f t="shared" si="520"/>
        <v xml:space="preserve"> </v>
      </c>
      <c r="Y2334" s="650"/>
      <c r="Z2334" s="586"/>
      <c r="AA2334" s="742"/>
      <c r="AB2334" s="586"/>
      <c r="AC2334" s="586"/>
      <c r="AD2334" s="586"/>
      <c r="AE2334" s="586"/>
      <c r="AF2334" s="714"/>
      <c r="AG2334" s="570" t="str">
        <f>IF(AE2334&lt;&gt;0,VLOOKUP(AE2334,ODDS!$A$2:$C$13,3,0),"")</f>
        <v/>
      </c>
      <c r="AH2334" s="570" t="str">
        <f t="shared" si="504"/>
        <v xml:space="preserve"> </v>
      </c>
      <c r="AI2334" s="571" t="str">
        <f t="shared" si="514"/>
        <v xml:space="preserve"> </v>
      </c>
      <c r="AJ2334" s="586" t="s">
        <v>2074</v>
      </c>
      <c r="AK2334" s="586"/>
    </row>
    <row r="2335" spans="1:37" s="394" customFormat="1" ht="20.25" outlineLevel="2" x14ac:dyDescent="0.3">
      <c r="A2335" s="447">
        <f t="shared" si="522"/>
        <v>196</v>
      </c>
      <c r="B2335" s="557"/>
      <c r="C2335" s="572"/>
      <c r="D2335" s="700"/>
      <c r="E2335" s="612"/>
      <c r="F2335" s="612"/>
      <c r="G2335" s="586"/>
      <c r="H2335" s="709"/>
      <c r="I2335" s="546"/>
      <c r="J2335" s="562"/>
      <c r="K2335" s="563" t="str">
        <f>IF(G2335&lt;&gt;0,VLOOKUP(G2335,'gia dat'!$A$1:$F$144,5,0)," ")</f>
        <v xml:space="preserve"> </v>
      </c>
      <c r="L2335" s="563" t="str">
        <f>IF(G2335&lt;&gt;0,VLOOKUP(G2335,'gia dat'!$A$1:$F$144,6,0)," ")</f>
        <v xml:space="preserve"> </v>
      </c>
      <c r="M2335" s="564" t="str">
        <f t="shared" si="516"/>
        <v xml:space="preserve"> </v>
      </c>
      <c r="N2335" s="564" t="str">
        <f t="shared" si="517"/>
        <v xml:space="preserve"> </v>
      </c>
      <c r="O2335" s="572"/>
      <c r="P2335" s="740"/>
      <c r="Q2335" s="564" t="str">
        <f>IF(O2335&lt;&gt;0,VLOOKUP(O2335,'Cây trong'!$A$2:$C$246,3,0)," ")</f>
        <v xml:space="preserve"> </v>
      </c>
      <c r="R2335" s="564" t="str">
        <f t="shared" si="503"/>
        <v xml:space="preserve"> </v>
      </c>
      <c r="S2335" s="566"/>
      <c r="T2335" s="609"/>
      <c r="U2335" s="741"/>
      <c r="V2335" s="586"/>
      <c r="W2335" s="564" t="str">
        <f>IF(S2335&lt;&gt;0,VLOOKUP(S2335,VKT!$A$2:$G$415,7,0),"")</f>
        <v/>
      </c>
      <c r="X2335" s="564" t="str">
        <f t="shared" si="520"/>
        <v xml:space="preserve"> </v>
      </c>
      <c r="Y2335" s="650"/>
      <c r="Z2335" s="586"/>
      <c r="AA2335" s="742"/>
      <c r="AB2335" s="586"/>
      <c r="AC2335" s="586"/>
      <c r="AD2335" s="586"/>
      <c r="AE2335" s="586"/>
      <c r="AF2335" s="714"/>
      <c r="AG2335" s="570" t="str">
        <f>IF(AE2335&lt;&gt;0,VLOOKUP(AE2335,ODDS!$A$2:$C$13,3,0),"")</f>
        <v/>
      </c>
      <c r="AH2335" s="570" t="str">
        <f t="shared" si="504"/>
        <v xml:space="preserve"> </v>
      </c>
      <c r="AI2335" s="571" t="str">
        <f t="shared" si="514"/>
        <v xml:space="preserve"> </v>
      </c>
      <c r="AJ2335" s="731"/>
      <c r="AK2335" s="586"/>
    </row>
    <row r="2336" spans="1:37" s="394" customFormat="1" ht="20.25" outlineLevel="2" x14ac:dyDescent="0.3">
      <c r="A2336" s="447">
        <f t="shared" si="522"/>
        <v>196</v>
      </c>
      <c r="B2336" s="557"/>
      <c r="C2336" s="572"/>
      <c r="D2336" s="700"/>
      <c r="E2336" s="612"/>
      <c r="F2336" s="612"/>
      <c r="G2336" s="586"/>
      <c r="H2336" s="709"/>
      <c r="I2336" s="546"/>
      <c r="J2336" s="562"/>
      <c r="K2336" s="563" t="str">
        <f>IF(G2336&lt;&gt;0,VLOOKUP(G2336,'gia dat'!$A$1:$F$144,5,0)," ")</f>
        <v xml:space="preserve"> </v>
      </c>
      <c r="L2336" s="563" t="str">
        <f>IF(G2336&lt;&gt;0,VLOOKUP(G2336,'gia dat'!$A$1:$F$144,6,0)," ")</f>
        <v xml:space="preserve"> </v>
      </c>
      <c r="M2336" s="564" t="str">
        <f t="shared" si="516"/>
        <v xml:space="preserve"> </v>
      </c>
      <c r="N2336" s="564" t="str">
        <f t="shared" si="517"/>
        <v xml:space="preserve"> </v>
      </c>
      <c r="O2336" s="572"/>
      <c r="P2336" s="740"/>
      <c r="Q2336" s="564" t="str">
        <f>IF(O2336&lt;&gt;0,VLOOKUP(O2336,'Cây trong'!$A$2:$C$246,3,0)," ")</f>
        <v xml:space="preserve"> </v>
      </c>
      <c r="R2336" s="564" t="str">
        <f t="shared" si="503"/>
        <v xml:space="preserve"> </v>
      </c>
      <c r="S2336" s="566"/>
      <c r="T2336" s="609"/>
      <c r="U2336" s="741"/>
      <c r="V2336" s="586"/>
      <c r="W2336" s="564" t="str">
        <f>IF(S2336&lt;&gt;0,VLOOKUP(S2336,VKT!$A$2:$G$415,7,0),"")</f>
        <v/>
      </c>
      <c r="X2336" s="564" t="str">
        <f t="shared" si="520"/>
        <v xml:space="preserve"> </v>
      </c>
      <c r="Y2336" s="650"/>
      <c r="Z2336" s="586"/>
      <c r="AA2336" s="742"/>
      <c r="AB2336" s="586"/>
      <c r="AC2336" s="586"/>
      <c r="AD2336" s="586"/>
      <c r="AE2336" s="586"/>
      <c r="AF2336" s="714"/>
      <c r="AG2336" s="570" t="str">
        <f>IF(AE2336&lt;&gt;0,VLOOKUP(AE2336,ODDS!$A$2:$C$13,3,0),"")</f>
        <v/>
      </c>
      <c r="AH2336" s="570" t="str">
        <f t="shared" si="504"/>
        <v xml:space="preserve"> </v>
      </c>
      <c r="AI2336" s="571" t="str">
        <f t="shared" si="514"/>
        <v xml:space="preserve"> </v>
      </c>
      <c r="AJ2336" s="586"/>
      <c r="AK2336" s="586"/>
    </row>
    <row r="2337" spans="1:37" s="394" customFormat="1" ht="20.25" outlineLevel="2" x14ac:dyDescent="0.3">
      <c r="A2337" s="447">
        <f t="shared" si="522"/>
        <v>196</v>
      </c>
      <c r="B2337" s="557"/>
      <c r="C2337" s="572"/>
      <c r="D2337" s="700"/>
      <c r="E2337" s="612"/>
      <c r="F2337" s="612"/>
      <c r="G2337" s="586"/>
      <c r="H2337" s="709"/>
      <c r="I2337" s="546"/>
      <c r="J2337" s="562"/>
      <c r="K2337" s="563" t="str">
        <f>IF(G2337&lt;&gt;0,VLOOKUP(G2337,'gia dat'!$A$1:$F$144,5,0)," ")</f>
        <v xml:space="preserve"> </v>
      </c>
      <c r="L2337" s="563" t="str">
        <f>IF(G2337&lt;&gt;0,VLOOKUP(G2337,'gia dat'!$A$1:$F$144,6,0)," ")</f>
        <v xml:space="preserve"> </v>
      </c>
      <c r="M2337" s="564" t="str">
        <f t="shared" si="516"/>
        <v xml:space="preserve"> </v>
      </c>
      <c r="N2337" s="564" t="str">
        <f t="shared" si="517"/>
        <v xml:space="preserve"> </v>
      </c>
      <c r="O2337" s="572"/>
      <c r="P2337" s="740"/>
      <c r="Q2337" s="564" t="str">
        <f>IF(O2337&lt;&gt;0,VLOOKUP(O2337,'Cây trong'!$A$2:$C$246,3,0)," ")</f>
        <v xml:space="preserve"> </v>
      </c>
      <c r="R2337" s="564" t="str">
        <f t="shared" si="503"/>
        <v xml:space="preserve"> </v>
      </c>
      <c r="S2337" s="566"/>
      <c r="T2337" s="609"/>
      <c r="U2337" s="741"/>
      <c r="V2337" s="586"/>
      <c r="W2337" s="564" t="str">
        <f>IF(S2337&lt;&gt;0,VLOOKUP(S2337,VKT!$A$2:$G$415,7,0),"")</f>
        <v/>
      </c>
      <c r="X2337" s="564" t="str">
        <f t="shared" si="520"/>
        <v xml:space="preserve"> </v>
      </c>
      <c r="Y2337" s="650"/>
      <c r="Z2337" s="586"/>
      <c r="AA2337" s="742"/>
      <c r="AB2337" s="586"/>
      <c r="AC2337" s="586"/>
      <c r="AD2337" s="586"/>
      <c r="AE2337" s="586"/>
      <c r="AF2337" s="714"/>
      <c r="AG2337" s="570" t="str">
        <f>IF(AE2337&lt;&gt;0,VLOOKUP(AE2337,ODDS!$A$2:$C$13,3,0),"")</f>
        <v/>
      </c>
      <c r="AH2337" s="570" t="str">
        <f t="shared" si="504"/>
        <v xml:space="preserve"> </v>
      </c>
      <c r="AI2337" s="571" t="str">
        <f t="shared" si="514"/>
        <v xml:space="preserve"> </v>
      </c>
      <c r="AJ2337" s="586"/>
      <c r="AK2337" s="586"/>
    </row>
    <row r="2338" spans="1:37" s="394" customFormat="1" ht="20.25" outlineLevel="2" x14ac:dyDescent="0.3">
      <c r="A2338" s="447">
        <f t="shared" si="522"/>
        <v>196</v>
      </c>
      <c r="B2338" s="557"/>
      <c r="C2338" s="607"/>
      <c r="D2338" s="700"/>
      <c r="E2338" s="612"/>
      <c r="F2338" s="612"/>
      <c r="G2338" s="586"/>
      <c r="H2338" s="709"/>
      <c r="I2338" s="546"/>
      <c r="J2338" s="562"/>
      <c r="K2338" s="563" t="str">
        <f>IF(G2338&lt;&gt;0,VLOOKUP(G2338,'gia dat'!$A$1:$F$144,5,0)," ")</f>
        <v xml:space="preserve"> </v>
      </c>
      <c r="L2338" s="563" t="str">
        <f>IF(G2338&lt;&gt;0,VLOOKUP(G2338,'gia dat'!$A$1:$F$144,6,0)," ")</f>
        <v xml:space="preserve"> </v>
      </c>
      <c r="M2338" s="564" t="str">
        <f t="shared" si="516"/>
        <v xml:space="preserve"> </v>
      </c>
      <c r="N2338" s="564" t="str">
        <f t="shared" si="517"/>
        <v xml:space="preserve"> </v>
      </c>
      <c r="O2338" s="572"/>
      <c r="P2338" s="740"/>
      <c r="Q2338" s="564" t="str">
        <f>IF(O2338&lt;&gt;0,VLOOKUP(O2338,'Cây trong'!$A$2:$C$246,3,0)," ")</f>
        <v xml:space="preserve"> </v>
      </c>
      <c r="R2338" s="564" t="str">
        <f t="shared" si="503"/>
        <v xml:space="preserve"> </v>
      </c>
      <c r="S2338" s="566"/>
      <c r="T2338" s="609"/>
      <c r="U2338" s="741"/>
      <c r="V2338" s="586"/>
      <c r="W2338" s="564" t="str">
        <f>IF(S2338&lt;&gt;0,VLOOKUP(S2338,VKT!$A$2:$G$415,7,0),"")</f>
        <v/>
      </c>
      <c r="X2338" s="564" t="str">
        <f t="shared" si="520"/>
        <v xml:space="preserve"> </v>
      </c>
      <c r="Y2338" s="650"/>
      <c r="Z2338" s="586"/>
      <c r="AA2338" s="742"/>
      <c r="AB2338" s="586"/>
      <c r="AC2338" s="586"/>
      <c r="AD2338" s="586"/>
      <c r="AE2338" s="586"/>
      <c r="AF2338" s="714"/>
      <c r="AG2338" s="570" t="str">
        <f>IF(AE2338&lt;&gt;0,VLOOKUP(AE2338,ODDS!$A$2:$C$13,3,0),"")</f>
        <v/>
      </c>
      <c r="AH2338" s="570" t="str">
        <f t="shared" si="504"/>
        <v xml:space="preserve"> </v>
      </c>
      <c r="AI2338" s="571" t="str">
        <f t="shared" si="514"/>
        <v xml:space="preserve"> </v>
      </c>
      <c r="AJ2338" s="586"/>
      <c r="AK2338" s="586"/>
    </row>
    <row r="2339" spans="1:37" s="394" customFormat="1" ht="40.5" outlineLevel="1" x14ac:dyDescent="0.25">
      <c r="A2339" s="467" t="s">
        <v>2513</v>
      </c>
      <c r="B2339" s="576">
        <v>197</v>
      </c>
      <c r="C2339" s="607" t="s">
        <v>1448</v>
      </c>
      <c r="D2339" s="706"/>
      <c r="E2339" s="642"/>
      <c r="F2339" s="642"/>
      <c r="G2339" s="578"/>
      <c r="H2339" s="707">
        <f>SUBTOTAL(9,H2340:H2344)</f>
        <v>11.9</v>
      </c>
      <c r="I2339" s="579">
        <f>SUBTOTAL(9,I2340:I2345)</f>
        <v>11.9</v>
      </c>
      <c r="J2339" s="580"/>
      <c r="K2339" s="581"/>
      <c r="L2339" s="581"/>
      <c r="M2339" s="571">
        <f>SUBTOTAL(9,M2340:M2344)</f>
        <v>6597000</v>
      </c>
      <c r="N2339" s="571">
        <f>SUBTOTAL(9,N2340:N2344)</f>
        <v>19792000</v>
      </c>
      <c r="O2339" s="607"/>
      <c r="P2339" s="738">
        <f>SUBTOTAL(9,P2340:P2344)</f>
        <v>0</v>
      </c>
      <c r="Q2339" s="571"/>
      <c r="R2339" s="571">
        <f>SUBTOTAL(9,R2340:R2344)</f>
        <v>0</v>
      </c>
      <c r="S2339" s="582"/>
      <c r="T2339" s="621"/>
      <c r="U2339" s="739">
        <f>SUBTOTAL(9,U2340:U2344)</f>
        <v>0</v>
      </c>
      <c r="V2339" s="578"/>
      <c r="W2339" s="571"/>
      <c r="X2339" s="571">
        <f>SUBTOTAL(9,X2340:X2344)</f>
        <v>0</v>
      </c>
      <c r="Y2339" s="650"/>
      <c r="Z2339" s="586"/>
      <c r="AA2339" s="742"/>
      <c r="AB2339" s="586"/>
      <c r="AC2339" s="586"/>
      <c r="AD2339" s="586"/>
      <c r="AE2339" s="578"/>
      <c r="AF2339" s="712">
        <f>SUBTOTAL(9,AF2340:AF2344)</f>
        <v>0</v>
      </c>
      <c r="AG2339" s="585"/>
      <c r="AH2339" s="585">
        <f>SUBTOTAL(9,AH2340:AH2344)</f>
        <v>0</v>
      </c>
      <c r="AI2339" s="571">
        <f t="shared" si="514"/>
        <v>26389000</v>
      </c>
      <c r="AJ2339" s="578"/>
      <c r="AK2339" s="578"/>
    </row>
    <row r="2340" spans="1:37" s="394" customFormat="1" ht="243" outlineLevel="2" x14ac:dyDescent="0.3">
      <c r="A2340" s="447">
        <f>IF(B2339&lt;&gt;0,B2339,A2338)</f>
        <v>197</v>
      </c>
      <c r="B2340" s="557"/>
      <c r="C2340" s="572" t="s">
        <v>1450</v>
      </c>
      <c r="D2340" s="700"/>
      <c r="E2340" s="612">
        <v>86</v>
      </c>
      <c r="F2340" s="612">
        <v>25</v>
      </c>
      <c r="G2340" s="586" t="s">
        <v>2498</v>
      </c>
      <c r="H2340" s="709">
        <v>11.9</v>
      </c>
      <c r="I2340" s="546">
        <f t="shared" ref="I2340" si="523">IF(N2340&gt;0,H2340,"")</f>
        <v>11.9</v>
      </c>
      <c r="J2340" s="562"/>
      <c r="K2340" s="563">
        <f>IF(G2340&lt;&gt;0,VLOOKUP(G2340,'gia dat'!$A$1:$F$144,5,0)," ")</f>
        <v>554400</v>
      </c>
      <c r="L2340" s="563">
        <f>IF(G2340&lt;&gt;0,VLOOKUP(G2340,'gia dat'!$A$1:$F$144,6,0)," ")</f>
        <v>1663200</v>
      </c>
      <c r="M2340" s="564">
        <f t="shared" si="516"/>
        <v>6597000</v>
      </c>
      <c r="N2340" s="564">
        <f t="shared" si="517"/>
        <v>19792000</v>
      </c>
      <c r="O2340" s="572"/>
      <c r="P2340" s="740"/>
      <c r="Q2340" s="564"/>
      <c r="R2340" s="564"/>
      <c r="S2340" s="566"/>
      <c r="T2340" s="609"/>
      <c r="U2340" s="741"/>
      <c r="V2340" s="586"/>
      <c r="W2340" s="564"/>
      <c r="X2340" s="564"/>
      <c r="Y2340" s="650"/>
      <c r="Z2340" s="586"/>
      <c r="AA2340" s="742"/>
      <c r="AB2340" s="586"/>
      <c r="AC2340" s="586"/>
      <c r="AD2340" s="586"/>
      <c r="AE2340" s="586"/>
      <c r="AF2340" s="714"/>
      <c r="AG2340" s="570"/>
      <c r="AH2340" s="570"/>
      <c r="AI2340" s="571" t="str">
        <f t="shared" si="514"/>
        <v xml:space="preserve"> </v>
      </c>
      <c r="AJ2340" s="586" t="s">
        <v>2465</v>
      </c>
      <c r="AK2340" s="586"/>
    </row>
    <row r="2341" spans="1:37" s="394" customFormat="1" ht="101.25" outlineLevel="2" x14ac:dyDescent="0.3">
      <c r="A2341" s="447">
        <f>IF(B2340&lt;&gt;0,B2340,A2340)</f>
        <v>197</v>
      </c>
      <c r="B2341" s="557"/>
      <c r="C2341" s="572" t="s">
        <v>1634</v>
      </c>
      <c r="D2341" s="700"/>
      <c r="E2341" s="612"/>
      <c r="F2341" s="612"/>
      <c r="G2341" s="586"/>
      <c r="H2341" s="709"/>
      <c r="I2341" s="546"/>
      <c r="J2341" s="562"/>
      <c r="K2341" s="563" t="str">
        <f>IF(G2341&lt;&gt;0,VLOOKUP(G2341,'gia dat'!$A$1:$F$144,5,0)," ")</f>
        <v xml:space="preserve"> </v>
      </c>
      <c r="L2341" s="563" t="str">
        <f>IF(G2341&lt;&gt;0,VLOOKUP(G2341,'gia dat'!$A$1:$F$144,6,0)," ")</f>
        <v xml:space="preserve"> </v>
      </c>
      <c r="M2341" s="564" t="str">
        <f t="shared" si="516"/>
        <v xml:space="preserve"> </v>
      </c>
      <c r="N2341" s="564" t="str">
        <f t="shared" si="517"/>
        <v xml:space="preserve"> </v>
      </c>
      <c r="O2341" s="572"/>
      <c r="P2341" s="740"/>
      <c r="Q2341" s="564"/>
      <c r="R2341" s="564"/>
      <c r="S2341" s="566"/>
      <c r="T2341" s="609"/>
      <c r="U2341" s="741"/>
      <c r="V2341" s="586"/>
      <c r="W2341" s="564"/>
      <c r="X2341" s="564"/>
      <c r="Y2341" s="650"/>
      <c r="Z2341" s="586"/>
      <c r="AA2341" s="742"/>
      <c r="AB2341" s="586"/>
      <c r="AC2341" s="586"/>
      <c r="AD2341" s="586"/>
      <c r="AE2341" s="586"/>
      <c r="AF2341" s="714"/>
      <c r="AG2341" s="570"/>
      <c r="AH2341" s="570"/>
      <c r="AI2341" s="571" t="str">
        <f t="shared" si="514"/>
        <v xml:space="preserve"> </v>
      </c>
      <c r="AJ2341" s="586" t="s">
        <v>2074</v>
      </c>
      <c r="AK2341" s="586"/>
    </row>
    <row r="2342" spans="1:37" s="394" customFormat="1" ht="20.25" outlineLevel="2" x14ac:dyDescent="0.3">
      <c r="A2342" s="447">
        <f>IF(B2341&lt;&gt;0,B2341,A2341)</f>
        <v>197</v>
      </c>
      <c r="B2342" s="557"/>
      <c r="C2342" s="572"/>
      <c r="D2342" s="700"/>
      <c r="E2342" s="612"/>
      <c r="F2342" s="612"/>
      <c r="G2342" s="586"/>
      <c r="H2342" s="709"/>
      <c r="I2342" s="546"/>
      <c r="J2342" s="562"/>
      <c r="K2342" s="563" t="str">
        <f>IF(G2342&lt;&gt;0,VLOOKUP(G2342,'gia dat'!$A$1:$F$144,5,0)," ")</f>
        <v xml:space="preserve"> </v>
      </c>
      <c r="L2342" s="563" t="str">
        <f>IF(G2342&lt;&gt;0,VLOOKUP(G2342,'gia dat'!$A$1:$F$144,6,0)," ")</f>
        <v xml:space="preserve"> </v>
      </c>
      <c r="M2342" s="564" t="str">
        <f t="shared" si="516"/>
        <v xml:space="preserve"> </v>
      </c>
      <c r="N2342" s="564" t="str">
        <f t="shared" si="517"/>
        <v xml:space="preserve"> </v>
      </c>
      <c r="O2342" s="572"/>
      <c r="P2342" s="740"/>
      <c r="Q2342" s="564"/>
      <c r="R2342" s="564"/>
      <c r="S2342" s="566"/>
      <c r="T2342" s="609"/>
      <c r="U2342" s="741"/>
      <c r="V2342" s="586"/>
      <c r="W2342" s="564"/>
      <c r="X2342" s="564"/>
      <c r="Y2342" s="650"/>
      <c r="Z2342" s="586"/>
      <c r="AA2342" s="742"/>
      <c r="AB2342" s="586"/>
      <c r="AC2342" s="586"/>
      <c r="AD2342" s="586"/>
      <c r="AE2342" s="586"/>
      <c r="AF2342" s="714"/>
      <c r="AG2342" s="570"/>
      <c r="AH2342" s="570"/>
      <c r="AI2342" s="571" t="str">
        <f t="shared" si="514"/>
        <v xml:space="preserve"> </v>
      </c>
      <c r="AJ2342" s="586"/>
      <c r="AK2342" s="586"/>
    </row>
    <row r="2343" spans="1:37" s="394" customFormat="1" ht="20.25" outlineLevel="2" x14ac:dyDescent="0.3">
      <c r="A2343" s="447">
        <f>IF(B2342&lt;&gt;0,B2342,A2342)</f>
        <v>197</v>
      </c>
      <c r="B2343" s="557"/>
      <c r="C2343" s="572"/>
      <c r="D2343" s="700"/>
      <c r="E2343" s="612"/>
      <c r="F2343" s="612"/>
      <c r="G2343" s="586"/>
      <c r="H2343" s="709"/>
      <c r="I2343" s="546"/>
      <c r="J2343" s="562"/>
      <c r="K2343" s="563" t="str">
        <f>IF(G2343&lt;&gt;0,VLOOKUP(G2343,'gia dat'!$A$1:$F$144,5,0)," ")</f>
        <v xml:space="preserve"> </v>
      </c>
      <c r="L2343" s="563" t="str">
        <f>IF(G2343&lt;&gt;0,VLOOKUP(G2343,'gia dat'!$A$1:$F$144,6,0)," ")</f>
        <v xml:space="preserve"> </v>
      </c>
      <c r="M2343" s="564" t="str">
        <f t="shared" si="516"/>
        <v xml:space="preserve"> </v>
      </c>
      <c r="N2343" s="564" t="str">
        <f t="shared" si="517"/>
        <v xml:space="preserve"> </v>
      </c>
      <c r="O2343" s="572"/>
      <c r="P2343" s="740"/>
      <c r="Q2343" s="564"/>
      <c r="R2343" s="564"/>
      <c r="S2343" s="566"/>
      <c r="T2343" s="609"/>
      <c r="U2343" s="741"/>
      <c r="V2343" s="586"/>
      <c r="W2343" s="564"/>
      <c r="X2343" s="564"/>
      <c r="Y2343" s="650"/>
      <c r="Z2343" s="586"/>
      <c r="AA2343" s="742"/>
      <c r="AB2343" s="586"/>
      <c r="AC2343" s="586"/>
      <c r="AD2343" s="586"/>
      <c r="AE2343" s="586"/>
      <c r="AF2343" s="714"/>
      <c r="AG2343" s="570"/>
      <c r="AH2343" s="570"/>
      <c r="AI2343" s="571" t="str">
        <f t="shared" si="514"/>
        <v xml:space="preserve"> </v>
      </c>
      <c r="AJ2343" s="586"/>
      <c r="AK2343" s="586"/>
    </row>
    <row r="2344" spans="1:37" s="394" customFormat="1" ht="20.25" outlineLevel="2" x14ac:dyDescent="0.3">
      <c r="A2344" s="447">
        <f>IF(B2343&lt;&gt;0,B2343,A2343)</f>
        <v>197</v>
      </c>
      <c r="B2344" s="557"/>
      <c r="C2344" s="607"/>
      <c r="D2344" s="700"/>
      <c r="E2344" s="612"/>
      <c r="F2344" s="612"/>
      <c r="G2344" s="586"/>
      <c r="H2344" s="709"/>
      <c r="I2344" s="546"/>
      <c r="J2344" s="562"/>
      <c r="K2344" s="563" t="str">
        <f>IF(G2344&lt;&gt;0,VLOOKUP(G2344,'gia dat'!$A$1:$F$144,5,0)," ")</f>
        <v xml:space="preserve"> </v>
      </c>
      <c r="L2344" s="563" t="str">
        <f>IF(G2344&lt;&gt;0,VLOOKUP(G2344,'gia dat'!$A$1:$F$144,6,0)," ")</f>
        <v xml:space="preserve"> </v>
      </c>
      <c r="M2344" s="564" t="str">
        <f t="shared" si="516"/>
        <v xml:space="preserve"> </v>
      </c>
      <c r="N2344" s="564" t="str">
        <f t="shared" si="517"/>
        <v xml:space="preserve"> </v>
      </c>
      <c r="O2344" s="572"/>
      <c r="P2344" s="740"/>
      <c r="Q2344" s="564"/>
      <c r="R2344" s="564"/>
      <c r="S2344" s="566"/>
      <c r="T2344" s="609"/>
      <c r="U2344" s="741"/>
      <c r="V2344" s="586"/>
      <c r="W2344" s="564"/>
      <c r="X2344" s="564"/>
      <c r="Y2344" s="650"/>
      <c r="Z2344" s="586"/>
      <c r="AA2344" s="742"/>
      <c r="AB2344" s="586"/>
      <c r="AC2344" s="586"/>
      <c r="AD2344" s="586"/>
      <c r="AE2344" s="586"/>
      <c r="AF2344" s="714"/>
      <c r="AG2344" s="570"/>
      <c r="AH2344" s="570"/>
      <c r="AI2344" s="571" t="str">
        <f t="shared" si="514"/>
        <v xml:space="preserve"> </v>
      </c>
      <c r="AJ2344" s="586"/>
      <c r="AK2344" s="586"/>
    </row>
    <row r="2345" spans="1:37" s="804" customFormat="1" ht="52.5" customHeight="1" outlineLevel="1" x14ac:dyDescent="0.25">
      <c r="A2345" s="784" t="s">
        <v>2512</v>
      </c>
      <c r="B2345" s="785">
        <v>198</v>
      </c>
      <c r="C2345" s="786" t="s">
        <v>1532</v>
      </c>
      <c r="D2345" s="787"/>
      <c r="E2345" s="788"/>
      <c r="F2345" s="788"/>
      <c r="G2345" s="789"/>
      <c r="H2345" s="790">
        <f>SUBTOTAL(9,H2346:H2354)</f>
        <v>92.800000000000011</v>
      </c>
      <c r="I2345" s="791">
        <f>SUBTOTAL(9,I2346:I2351)</f>
        <v>26.4</v>
      </c>
      <c r="J2345" s="792"/>
      <c r="K2345" s="793"/>
      <c r="L2345" s="793"/>
      <c r="M2345" s="794">
        <f>SUBTOTAL(9,M2346:M2354)</f>
        <v>444165000</v>
      </c>
      <c r="N2345" s="794">
        <f>SUBTOTAL(9,N2346:N2354)</f>
        <v>43908000</v>
      </c>
      <c r="O2345" s="786"/>
      <c r="P2345" s="795">
        <f>SUBTOTAL(9,P2346:P2354)</f>
        <v>0</v>
      </c>
      <c r="Q2345" s="794"/>
      <c r="R2345" s="794">
        <f>SUBTOTAL(9,R2346:R2354)</f>
        <v>0</v>
      </c>
      <c r="S2345" s="796"/>
      <c r="T2345" s="797"/>
      <c r="U2345" s="798">
        <f>SUBTOTAL(9,U2346:U2354)</f>
        <v>0</v>
      </c>
      <c r="V2345" s="789"/>
      <c r="W2345" s="794"/>
      <c r="X2345" s="794">
        <f>SUBTOTAL(9,X2346:X2354)</f>
        <v>0</v>
      </c>
      <c r="Y2345" s="799"/>
      <c r="Z2345" s="800"/>
      <c r="AA2345" s="801"/>
      <c r="AB2345" s="800"/>
      <c r="AC2345" s="800"/>
      <c r="AD2345" s="800"/>
      <c r="AE2345" s="789"/>
      <c r="AF2345" s="802">
        <f>SUBTOTAL(9,AF2346:AF2354)</f>
        <v>0</v>
      </c>
      <c r="AG2345" s="803"/>
      <c r="AH2345" s="803">
        <f>SUBTOTAL(9,AH2346:AH2354)</f>
        <v>0</v>
      </c>
      <c r="AI2345" s="794">
        <f t="shared" si="514"/>
        <v>488073000</v>
      </c>
      <c r="AJ2345" s="789"/>
      <c r="AK2345" s="789"/>
    </row>
    <row r="2346" spans="1:37" s="396" customFormat="1" ht="121.5" outlineLevel="2" x14ac:dyDescent="0.3">
      <c r="A2346" s="447">
        <f>IF(B2345&lt;&gt;0,B2345,A2344)</f>
        <v>198</v>
      </c>
      <c r="B2346" s="557"/>
      <c r="C2346" s="572" t="s">
        <v>1534</v>
      </c>
      <c r="D2346" s="700">
        <v>4</v>
      </c>
      <c r="E2346" s="612">
        <v>86</v>
      </c>
      <c r="F2346" s="612">
        <v>1513</v>
      </c>
      <c r="G2346" s="586" t="s">
        <v>2422</v>
      </c>
      <c r="H2346" s="709">
        <f>52.8-H2348</f>
        <v>26.4</v>
      </c>
      <c r="I2346" s="546" t="str">
        <f t="shared" ref="I2346:I2348" si="524">IF(N2346&gt;0,H2346,"")</f>
        <v/>
      </c>
      <c r="J2346" s="562"/>
      <c r="K2346" s="563">
        <f>IF(G2346&lt;&gt;0,VLOOKUP(G2346,'gia dat'!$A$1:$F$144,5,0)," ")</f>
        <v>554400</v>
      </c>
      <c r="L2346" s="563">
        <f>IF(G2346&lt;&gt;0,VLOOKUP(G2346,'gia dat'!$A$1:$F$144,6,0)," ")</f>
        <v>0</v>
      </c>
      <c r="M2346" s="564">
        <f t="shared" si="516"/>
        <v>14636000</v>
      </c>
      <c r="N2346" s="564">
        <f t="shared" si="517"/>
        <v>0</v>
      </c>
      <c r="O2346" s="572"/>
      <c r="P2346" s="740"/>
      <c r="Q2346" s="564" t="str">
        <f>IF(O2346&lt;&gt;0,VLOOKUP(O2346,'Cây trong'!$A$2:$C$246,3,0)," ")</f>
        <v xml:space="preserve"> </v>
      </c>
      <c r="R2346" s="564" t="str">
        <f t="shared" si="503"/>
        <v xml:space="preserve"> </v>
      </c>
      <c r="S2346" s="566"/>
      <c r="T2346" s="609"/>
      <c r="U2346" s="741"/>
      <c r="V2346" s="586"/>
      <c r="W2346" s="564" t="str">
        <f>IF(S2346&lt;&gt;0,VLOOKUP(S2346,VKT!$A$2:$G$415,7,0),"")</f>
        <v/>
      </c>
      <c r="X2346" s="564" t="str">
        <f t="shared" si="520"/>
        <v xml:space="preserve"> </v>
      </c>
      <c r="Y2346" s="650"/>
      <c r="Z2346" s="586"/>
      <c r="AA2346" s="742"/>
      <c r="AB2346" s="586"/>
      <c r="AC2346" s="586"/>
      <c r="AD2346" s="586"/>
      <c r="AE2346" s="586"/>
      <c r="AF2346" s="714"/>
      <c r="AG2346" s="570" t="str">
        <f>IF(AE2346&lt;&gt;0,VLOOKUP(AE2346,ODDS!$A$2:$C$13,3,0),"")</f>
        <v/>
      </c>
      <c r="AH2346" s="570"/>
      <c r="AI2346" s="571" t="str">
        <f t="shared" si="514"/>
        <v xml:space="preserve"> </v>
      </c>
      <c r="AJ2346" s="586" t="s">
        <v>1533</v>
      </c>
      <c r="AK2346" s="586" t="s">
        <v>2771</v>
      </c>
    </row>
    <row r="2347" spans="1:37" s="396" customFormat="1" ht="81" outlineLevel="2" x14ac:dyDescent="0.3">
      <c r="A2347" s="447">
        <f t="shared" ref="A2347:A2354" si="525">IF(B2346&lt;&gt;0,B2346,A2346)</f>
        <v>198</v>
      </c>
      <c r="B2347" s="557"/>
      <c r="C2347" s="572" t="s">
        <v>1647</v>
      </c>
      <c r="D2347" s="700"/>
      <c r="E2347" s="612">
        <v>86</v>
      </c>
      <c r="F2347" s="612">
        <v>1513</v>
      </c>
      <c r="G2347" s="782" t="s">
        <v>2905</v>
      </c>
      <c r="H2347" s="783">
        <v>40</v>
      </c>
      <c r="I2347" s="546" t="str">
        <f t="shared" si="524"/>
        <v/>
      </c>
      <c r="J2347" s="562"/>
      <c r="K2347" s="563">
        <f>IF(G2347&lt;&gt;0,VLOOKUP(G2347,'gia dat'!$A$1:$F$144,5,0)," ")</f>
        <v>10372320</v>
      </c>
      <c r="L2347" s="563">
        <f>IF(G2347&lt;&gt;0,VLOOKUP(G2347,'gia dat'!$A$1:$F$144,6,0)," ")</f>
        <v>0</v>
      </c>
      <c r="M2347" s="564">
        <f t="shared" si="516"/>
        <v>414893000</v>
      </c>
      <c r="N2347" s="564">
        <f t="shared" si="517"/>
        <v>0</v>
      </c>
      <c r="O2347" s="572"/>
      <c r="P2347" s="740"/>
      <c r="Q2347" s="564" t="str">
        <f>IF(O2347&lt;&gt;0,VLOOKUP(O2347,'Cây trong'!$A$2:$C$246,3,0)," ")</f>
        <v xml:space="preserve"> </v>
      </c>
      <c r="R2347" s="564" t="str">
        <f t="shared" ref="R2347:R2433" si="526">IF(O2347&lt;&gt;0,ROUND(P2347*Q2347,-2)," ")</f>
        <v xml:space="preserve"> </v>
      </c>
      <c r="S2347" s="566"/>
      <c r="T2347" s="609"/>
      <c r="U2347" s="741"/>
      <c r="V2347" s="586"/>
      <c r="W2347" s="564" t="str">
        <f>IF(S2347&lt;&gt;0,VLOOKUP(S2347,VKT!$A$2:$G$415,7,0),"")</f>
        <v/>
      </c>
      <c r="X2347" s="564" t="str">
        <f t="shared" si="520"/>
        <v xml:space="preserve"> </v>
      </c>
      <c r="Y2347" s="650"/>
      <c r="Z2347" s="586"/>
      <c r="AA2347" s="742"/>
      <c r="AB2347" s="586"/>
      <c r="AC2347" s="586"/>
      <c r="AD2347" s="586"/>
      <c r="AE2347" s="586"/>
      <c r="AF2347" s="714"/>
      <c r="AG2347" s="570" t="str">
        <f>IF(AE2347&lt;&gt;0,VLOOKUP(AE2347,ODDS!$A$2:$C$13,3,0),"")</f>
        <v/>
      </c>
      <c r="AH2347" s="570" t="str">
        <f t="shared" ref="AH2347:AH2433" si="527">IF(AE2347&lt;&gt;0,ROUND(AF2347*AG2347,-2)," ")</f>
        <v xml:space="preserve"> </v>
      </c>
      <c r="AI2347" s="571" t="str">
        <f t="shared" si="514"/>
        <v xml:space="preserve"> </v>
      </c>
      <c r="AJ2347" s="586" t="s">
        <v>1535</v>
      </c>
      <c r="AK2347" s="558" t="s">
        <v>2448</v>
      </c>
    </row>
    <row r="2348" spans="1:37" s="394" customFormat="1" ht="81" outlineLevel="2" x14ac:dyDescent="0.3">
      <c r="A2348" s="447">
        <f t="shared" si="525"/>
        <v>198</v>
      </c>
      <c r="B2348" s="557"/>
      <c r="C2348" s="607" t="s">
        <v>1536</v>
      </c>
      <c r="D2348" s="700"/>
      <c r="E2348" s="612"/>
      <c r="F2348" s="612"/>
      <c r="G2348" s="586" t="s">
        <v>2426</v>
      </c>
      <c r="H2348" s="709">
        <v>26.4</v>
      </c>
      <c r="I2348" s="546">
        <f t="shared" si="524"/>
        <v>26.4</v>
      </c>
      <c r="J2348" s="562"/>
      <c r="K2348" s="563">
        <f>IF(G2348&lt;&gt;0,VLOOKUP(G2348,'gia dat'!$A$1:$F$144,5,0)," ")</f>
        <v>554400</v>
      </c>
      <c r="L2348" s="563">
        <f>IF(G2348&lt;&gt;0,VLOOKUP(G2348,'gia dat'!$A$1:$F$144,6,0)," ")</f>
        <v>1663200</v>
      </c>
      <c r="M2348" s="564">
        <f t="shared" si="516"/>
        <v>14636000</v>
      </c>
      <c r="N2348" s="564">
        <f t="shared" si="517"/>
        <v>43908000</v>
      </c>
      <c r="O2348" s="572"/>
      <c r="P2348" s="740"/>
      <c r="Q2348" s="564" t="str">
        <f>IF(O2348&lt;&gt;0,VLOOKUP(O2348,'Cây trong'!$A$2:$C$246,3,0)," ")</f>
        <v xml:space="preserve"> </v>
      </c>
      <c r="R2348" s="564" t="str">
        <f t="shared" si="526"/>
        <v xml:space="preserve"> </v>
      </c>
      <c r="S2348" s="566"/>
      <c r="T2348" s="609"/>
      <c r="U2348" s="741"/>
      <c r="V2348" s="586"/>
      <c r="W2348" s="564" t="str">
        <f>IF(S2348&lt;&gt;0,VLOOKUP(S2348,VKT!$A$2:$G$415,7,0),"")</f>
        <v/>
      </c>
      <c r="X2348" s="564" t="str">
        <f t="shared" si="520"/>
        <v xml:space="preserve"> </v>
      </c>
      <c r="Y2348" s="650"/>
      <c r="Z2348" s="586"/>
      <c r="AA2348" s="742"/>
      <c r="AB2348" s="586"/>
      <c r="AC2348" s="586"/>
      <c r="AD2348" s="586"/>
      <c r="AE2348" s="586"/>
      <c r="AF2348" s="714"/>
      <c r="AG2348" s="570" t="str">
        <f>IF(AE2348&lt;&gt;0,VLOOKUP(AE2348,ODDS!$A$2:$C$13,3,0),"")</f>
        <v/>
      </c>
      <c r="AH2348" s="570" t="str">
        <f t="shared" si="527"/>
        <v xml:space="preserve"> </v>
      </c>
      <c r="AI2348" s="571" t="str">
        <f t="shared" si="514"/>
        <v xml:space="preserve"> </v>
      </c>
      <c r="AJ2348" s="586" t="s">
        <v>2247</v>
      </c>
      <c r="AK2348" s="586"/>
    </row>
    <row r="2349" spans="1:37" s="394" customFormat="1" ht="40.5" outlineLevel="2" x14ac:dyDescent="0.3">
      <c r="A2349" s="447">
        <f t="shared" si="525"/>
        <v>198</v>
      </c>
      <c r="B2349" s="557"/>
      <c r="C2349" s="572" t="s">
        <v>1538</v>
      </c>
      <c r="D2349" s="700"/>
      <c r="E2349" s="612"/>
      <c r="F2349" s="612"/>
      <c r="G2349" s="731"/>
      <c r="H2349" s="745"/>
      <c r="I2349" s="546"/>
      <c r="J2349" s="562"/>
      <c r="K2349" s="563" t="str">
        <f>IF(G2349&lt;&gt;0,VLOOKUP(G2349,'gia dat'!$A$1:$F$144,5,0)," ")</f>
        <v xml:space="preserve"> </v>
      </c>
      <c r="L2349" s="563" t="str">
        <f>IF(G2349&lt;&gt;0,VLOOKUP(G2349,'gia dat'!$A$1:$F$144,6,0)," ")</f>
        <v xml:space="preserve"> </v>
      </c>
      <c r="M2349" s="564" t="str">
        <f t="shared" si="516"/>
        <v xml:space="preserve"> </v>
      </c>
      <c r="N2349" s="564" t="str">
        <f t="shared" si="517"/>
        <v xml:space="preserve"> </v>
      </c>
      <c r="O2349" s="572"/>
      <c r="P2349" s="740"/>
      <c r="Q2349" s="564" t="str">
        <f>IF(O2349&lt;&gt;0,VLOOKUP(O2349,'Cây trong'!$A$2:$C$246,3,0)," ")</f>
        <v xml:space="preserve"> </v>
      </c>
      <c r="R2349" s="564" t="str">
        <f t="shared" si="526"/>
        <v xml:space="preserve"> </v>
      </c>
      <c r="S2349" s="566"/>
      <c r="T2349" s="609"/>
      <c r="U2349" s="741"/>
      <c r="V2349" s="586"/>
      <c r="W2349" s="564" t="str">
        <f>IF(S2349&lt;&gt;0,VLOOKUP(S2349,VKT!$A$2:$G$415,7,0),"")</f>
        <v/>
      </c>
      <c r="X2349" s="564" t="str">
        <f t="shared" si="520"/>
        <v xml:space="preserve"> </v>
      </c>
      <c r="Y2349" s="650"/>
      <c r="Z2349" s="586"/>
      <c r="AA2349" s="742"/>
      <c r="AB2349" s="586"/>
      <c r="AC2349" s="586"/>
      <c r="AD2349" s="586"/>
      <c r="AE2349" s="586"/>
      <c r="AF2349" s="714"/>
      <c r="AG2349" s="570" t="str">
        <f>IF(AE2349&lt;&gt;0,VLOOKUP(AE2349,ODDS!$A$2:$C$13,3,0),"")</f>
        <v/>
      </c>
      <c r="AH2349" s="570" t="str">
        <f t="shared" si="527"/>
        <v xml:space="preserve"> </v>
      </c>
      <c r="AI2349" s="571" t="str">
        <f t="shared" si="514"/>
        <v xml:space="preserve"> </v>
      </c>
      <c r="AJ2349" s="731"/>
      <c r="AK2349" s="586"/>
    </row>
    <row r="2350" spans="1:37" s="394" customFormat="1" ht="81" outlineLevel="2" x14ac:dyDescent="0.3">
      <c r="A2350" s="447">
        <f t="shared" si="525"/>
        <v>198</v>
      </c>
      <c r="B2350" s="557"/>
      <c r="C2350" s="572" t="s">
        <v>1648</v>
      </c>
      <c r="D2350" s="700"/>
      <c r="E2350" s="612"/>
      <c r="F2350" s="612"/>
      <c r="G2350" s="586"/>
      <c r="H2350" s="709"/>
      <c r="I2350" s="546"/>
      <c r="J2350" s="562"/>
      <c r="K2350" s="563" t="str">
        <f>IF(G2350&lt;&gt;0,VLOOKUP(G2350,'gia dat'!$A$1:$F$144,5,0)," ")</f>
        <v xml:space="preserve"> </v>
      </c>
      <c r="L2350" s="563" t="str">
        <f>IF(G2350&lt;&gt;0,VLOOKUP(G2350,'gia dat'!$A$1:$F$144,6,0)," ")</f>
        <v xml:space="preserve"> </v>
      </c>
      <c r="M2350" s="564" t="str">
        <f t="shared" si="516"/>
        <v xml:space="preserve"> </v>
      </c>
      <c r="N2350" s="564" t="str">
        <f t="shared" si="517"/>
        <v xml:space="preserve"> </v>
      </c>
      <c r="O2350" s="572"/>
      <c r="P2350" s="740"/>
      <c r="Q2350" s="564" t="str">
        <f>IF(O2350&lt;&gt;0,VLOOKUP(O2350,'Cây trong'!$A$2:$C$246,3,0)," ")</f>
        <v xml:space="preserve"> </v>
      </c>
      <c r="R2350" s="564" t="str">
        <f t="shared" si="526"/>
        <v xml:space="preserve"> </v>
      </c>
      <c r="S2350" s="566"/>
      <c r="T2350" s="609"/>
      <c r="U2350" s="741"/>
      <c r="V2350" s="586"/>
      <c r="W2350" s="564" t="str">
        <f>IF(S2350&lt;&gt;0,VLOOKUP(S2350,VKT!$A$2:$G$415,7,0),"")</f>
        <v/>
      </c>
      <c r="X2350" s="564" t="str">
        <f t="shared" si="520"/>
        <v xml:space="preserve"> </v>
      </c>
      <c r="Y2350" s="650"/>
      <c r="Z2350" s="586"/>
      <c r="AA2350" s="742"/>
      <c r="AB2350" s="586"/>
      <c r="AC2350" s="586"/>
      <c r="AD2350" s="586"/>
      <c r="AE2350" s="586"/>
      <c r="AF2350" s="714"/>
      <c r="AG2350" s="570" t="str">
        <f>IF(AE2350&lt;&gt;0,VLOOKUP(AE2350,ODDS!$A$2:$C$13,3,0),"")</f>
        <v/>
      </c>
      <c r="AH2350" s="570" t="str">
        <f t="shared" si="527"/>
        <v xml:space="preserve"> </v>
      </c>
      <c r="AI2350" s="571" t="str">
        <f t="shared" si="514"/>
        <v xml:space="preserve"> </v>
      </c>
      <c r="AJ2350" s="731"/>
      <c r="AK2350" s="586"/>
    </row>
    <row r="2351" spans="1:37" s="394" customFormat="1" ht="20.25" outlineLevel="2" x14ac:dyDescent="0.3">
      <c r="A2351" s="447">
        <f t="shared" si="525"/>
        <v>198</v>
      </c>
      <c r="B2351" s="557"/>
      <c r="C2351" s="572"/>
      <c r="D2351" s="700"/>
      <c r="E2351" s="612"/>
      <c r="F2351" s="612"/>
      <c r="G2351" s="586"/>
      <c r="H2351" s="709"/>
      <c r="I2351" s="546"/>
      <c r="J2351" s="562"/>
      <c r="K2351" s="563" t="str">
        <f>IF(G2351&lt;&gt;0,VLOOKUP(G2351,'gia dat'!$A$1:$F$144,5,0)," ")</f>
        <v xml:space="preserve"> </v>
      </c>
      <c r="L2351" s="563" t="str">
        <f>IF(G2351&lt;&gt;0,VLOOKUP(G2351,'gia dat'!$A$1:$F$144,6,0)," ")</f>
        <v xml:space="preserve"> </v>
      </c>
      <c r="M2351" s="564" t="str">
        <f t="shared" si="516"/>
        <v xml:space="preserve"> </v>
      </c>
      <c r="N2351" s="564" t="str">
        <f t="shared" si="517"/>
        <v xml:space="preserve"> </v>
      </c>
      <c r="O2351" s="572"/>
      <c r="P2351" s="740"/>
      <c r="Q2351" s="564" t="str">
        <f>IF(O2351&lt;&gt;0,VLOOKUP(O2351,'Cây trong'!$A$2:$C$246,3,0)," ")</f>
        <v xml:space="preserve"> </v>
      </c>
      <c r="R2351" s="564" t="str">
        <f t="shared" si="526"/>
        <v xml:space="preserve"> </v>
      </c>
      <c r="S2351" s="566"/>
      <c r="T2351" s="609"/>
      <c r="U2351" s="741"/>
      <c r="V2351" s="586"/>
      <c r="W2351" s="564" t="str">
        <f>IF(S2351&lt;&gt;0,VLOOKUP(S2351,VKT!$A$2:$G$415,7,0),"")</f>
        <v/>
      </c>
      <c r="X2351" s="564" t="str">
        <f t="shared" si="520"/>
        <v xml:space="preserve"> </v>
      </c>
      <c r="Y2351" s="650"/>
      <c r="Z2351" s="586"/>
      <c r="AA2351" s="742"/>
      <c r="AB2351" s="586"/>
      <c r="AC2351" s="586"/>
      <c r="AD2351" s="586"/>
      <c r="AE2351" s="586"/>
      <c r="AF2351" s="714"/>
      <c r="AG2351" s="570" t="str">
        <f>IF(AE2351&lt;&gt;0,VLOOKUP(AE2351,ODDS!$A$2:$C$13,3,0),"")</f>
        <v/>
      </c>
      <c r="AH2351" s="570" t="str">
        <f t="shared" si="527"/>
        <v xml:space="preserve"> </v>
      </c>
      <c r="AI2351" s="571" t="str">
        <f t="shared" si="514"/>
        <v xml:space="preserve"> </v>
      </c>
      <c r="AJ2351" s="586"/>
      <c r="AK2351" s="586"/>
    </row>
    <row r="2352" spans="1:37" s="394" customFormat="1" ht="20.25" outlineLevel="2" x14ac:dyDescent="0.3">
      <c r="A2352" s="447">
        <f t="shared" si="525"/>
        <v>198</v>
      </c>
      <c r="B2352" s="557"/>
      <c r="C2352" s="572"/>
      <c r="D2352" s="700"/>
      <c r="E2352" s="612"/>
      <c r="F2352" s="612"/>
      <c r="G2352" s="586"/>
      <c r="H2352" s="709"/>
      <c r="I2352" s="546"/>
      <c r="J2352" s="562"/>
      <c r="K2352" s="563" t="str">
        <f>IF(G2352&lt;&gt;0,VLOOKUP(G2352,'gia dat'!$A$1:$F$144,5,0)," ")</f>
        <v xml:space="preserve"> </v>
      </c>
      <c r="L2352" s="563" t="str">
        <f>IF(G2352&lt;&gt;0,VLOOKUP(G2352,'gia dat'!$A$1:$F$144,6,0)," ")</f>
        <v xml:space="preserve"> </v>
      </c>
      <c r="M2352" s="564" t="str">
        <f t="shared" si="516"/>
        <v xml:space="preserve"> </v>
      </c>
      <c r="N2352" s="564" t="str">
        <f t="shared" si="517"/>
        <v xml:space="preserve"> </v>
      </c>
      <c r="O2352" s="572"/>
      <c r="P2352" s="740"/>
      <c r="Q2352" s="564" t="str">
        <f>IF(O2352&lt;&gt;0,VLOOKUP(O2352,'Cây trong'!$A$2:$C$246,3,0)," ")</f>
        <v xml:space="preserve"> </v>
      </c>
      <c r="R2352" s="564" t="str">
        <f t="shared" si="526"/>
        <v xml:space="preserve"> </v>
      </c>
      <c r="S2352" s="566"/>
      <c r="T2352" s="609"/>
      <c r="U2352" s="741"/>
      <c r="V2352" s="586"/>
      <c r="W2352" s="564" t="str">
        <f>IF(S2352&lt;&gt;0,VLOOKUP(S2352,VKT!$A$2:$G$415,7,0),"")</f>
        <v/>
      </c>
      <c r="X2352" s="564" t="str">
        <f t="shared" si="520"/>
        <v xml:space="preserve"> </v>
      </c>
      <c r="Y2352" s="650"/>
      <c r="Z2352" s="586"/>
      <c r="AA2352" s="742"/>
      <c r="AB2352" s="586"/>
      <c r="AC2352" s="586"/>
      <c r="AD2352" s="586"/>
      <c r="AE2352" s="586"/>
      <c r="AF2352" s="714"/>
      <c r="AG2352" s="570" t="str">
        <f>IF(AE2352&lt;&gt;0,VLOOKUP(AE2352,ODDS!$A$2:$C$13,3,0),"")</f>
        <v/>
      </c>
      <c r="AH2352" s="570" t="str">
        <f t="shared" si="527"/>
        <v xml:space="preserve"> </v>
      </c>
      <c r="AI2352" s="571" t="str">
        <f t="shared" si="514"/>
        <v xml:space="preserve"> </v>
      </c>
      <c r="AJ2352" s="586"/>
      <c r="AK2352" s="586"/>
    </row>
    <row r="2353" spans="1:37" s="394" customFormat="1" ht="20.25" outlineLevel="2" x14ac:dyDescent="0.3">
      <c r="A2353" s="447">
        <f t="shared" si="525"/>
        <v>198</v>
      </c>
      <c r="B2353" s="557"/>
      <c r="C2353" s="572"/>
      <c r="D2353" s="700"/>
      <c r="E2353" s="612"/>
      <c r="F2353" s="612"/>
      <c r="G2353" s="586"/>
      <c r="H2353" s="709"/>
      <c r="I2353" s="546"/>
      <c r="J2353" s="562"/>
      <c r="K2353" s="563" t="str">
        <f>IF(G2353&lt;&gt;0,VLOOKUP(G2353,'gia dat'!$A$1:$F$144,5,0)," ")</f>
        <v xml:space="preserve"> </v>
      </c>
      <c r="L2353" s="563" t="str">
        <f>IF(G2353&lt;&gt;0,VLOOKUP(G2353,'gia dat'!$A$1:$F$144,6,0)," ")</f>
        <v xml:space="preserve"> </v>
      </c>
      <c r="M2353" s="564" t="str">
        <f t="shared" si="516"/>
        <v xml:space="preserve"> </v>
      </c>
      <c r="N2353" s="564" t="str">
        <f t="shared" si="517"/>
        <v xml:space="preserve"> </v>
      </c>
      <c r="O2353" s="572"/>
      <c r="P2353" s="740"/>
      <c r="Q2353" s="564" t="str">
        <f>IF(O2353&lt;&gt;0,VLOOKUP(O2353,'Cây trong'!$A$2:$C$246,3,0)," ")</f>
        <v xml:space="preserve"> </v>
      </c>
      <c r="R2353" s="564" t="str">
        <f t="shared" si="526"/>
        <v xml:space="preserve"> </v>
      </c>
      <c r="S2353" s="566"/>
      <c r="T2353" s="609"/>
      <c r="U2353" s="741"/>
      <c r="V2353" s="586"/>
      <c r="W2353" s="564" t="str">
        <f>IF(S2353&lt;&gt;0,VLOOKUP(S2353,VKT!$A$2:$G$415,7,0),"")</f>
        <v/>
      </c>
      <c r="X2353" s="564" t="str">
        <f t="shared" si="520"/>
        <v xml:space="preserve"> </v>
      </c>
      <c r="Y2353" s="650"/>
      <c r="Z2353" s="586"/>
      <c r="AA2353" s="742"/>
      <c r="AB2353" s="586"/>
      <c r="AC2353" s="586"/>
      <c r="AD2353" s="586"/>
      <c r="AE2353" s="586"/>
      <c r="AF2353" s="714"/>
      <c r="AG2353" s="570" t="str">
        <f>IF(AE2353&lt;&gt;0,VLOOKUP(AE2353,ODDS!$A$2:$C$13,3,0),"")</f>
        <v/>
      </c>
      <c r="AH2353" s="570" t="str">
        <f t="shared" si="527"/>
        <v xml:space="preserve"> </v>
      </c>
      <c r="AI2353" s="571" t="str">
        <f t="shared" si="514"/>
        <v xml:space="preserve"> </v>
      </c>
      <c r="AJ2353" s="572"/>
      <c r="AK2353" s="572"/>
    </row>
    <row r="2354" spans="1:37" s="394" customFormat="1" ht="20.25" outlineLevel="2" x14ac:dyDescent="0.3">
      <c r="A2354" s="447">
        <f t="shared" si="525"/>
        <v>198</v>
      </c>
      <c r="B2354" s="557"/>
      <c r="C2354" s="607"/>
      <c r="D2354" s="700"/>
      <c r="E2354" s="612"/>
      <c r="F2354" s="612"/>
      <c r="G2354" s="586"/>
      <c r="H2354" s="709"/>
      <c r="I2354" s="546"/>
      <c r="J2354" s="562"/>
      <c r="K2354" s="563" t="str">
        <f>IF(G2354&lt;&gt;0,VLOOKUP(G2354,'gia dat'!$A$1:$F$144,5,0)," ")</f>
        <v xml:space="preserve"> </v>
      </c>
      <c r="L2354" s="563" t="str">
        <f>IF(G2354&lt;&gt;0,VLOOKUP(G2354,'gia dat'!$A$1:$F$144,6,0)," ")</f>
        <v xml:space="preserve"> </v>
      </c>
      <c r="M2354" s="564" t="str">
        <f t="shared" si="516"/>
        <v xml:space="preserve"> </v>
      </c>
      <c r="N2354" s="564" t="str">
        <f t="shared" si="517"/>
        <v xml:space="preserve"> </v>
      </c>
      <c r="O2354" s="572"/>
      <c r="P2354" s="740"/>
      <c r="Q2354" s="564" t="str">
        <f>IF(O2354&lt;&gt;0,VLOOKUP(O2354,'Cây trong'!$A$2:$C$246,3,0)," ")</f>
        <v xml:space="preserve"> </v>
      </c>
      <c r="R2354" s="564" t="str">
        <f t="shared" si="526"/>
        <v xml:space="preserve"> </v>
      </c>
      <c r="S2354" s="566"/>
      <c r="T2354" s="609"/>
      <c r="U2354" s="741"/>
      <c r="V2354" s="586"/>
      <c r="W2354" s="564" t="str">
        <f>IF(S2354&lt;&gt;0,VLOOKUP(S2354,VKT!$A$2:$G$415,7,0),"")</f>
        <v/>
      </c>
      <c r="X2354" s="564" t="str">
        <f t="shared" si="520"/>
        <v xml:space="preserve"> </v>
      </c>
      <c r="Y2354" s="650"/>
      <c r="Z2354" s="586"/>
      <c r="AA2354" s="742"/>
      <c r="AB2354" s="586"/>
      <c r="AC2354" s="586"/>
      <c r="AD2354" s="586"/>
      <c r="AE2354" s="586"/>
      <c r="AF2354" s="714"/>
      <c r="AG2354" s="570" t="str">
        <f>IF(AE2354&lt;&gt;0,VLOOKUP(AE2354,ODDS!$A$2:$C$13,3,0),"")</f>
        <v/>
      </c>
      <c r="AH2354" s="570" t="str">
        <f t="shared" si="527"/>
        <v xml:space="preserve"> </v>
      </c>
      <c r="AI2354" s="571" t="str">
        <f t="shared" si="514"/>
        <v xml:space="preserve"> </v>
      </c>
      <c r="AJ2354" s="558"/>
      <c r="AK2354" s="558"/>
    </row>
    <row r="2355" spans="1:37" s="394" customFormat="1" ht="40.5" outlineLevel="1" x14ac:dyDescent="0.25">
      <c r="A2355" s="467" t="s">
        <v>2511</v>
      </c>
      <c r="B2355" s="576">
        <v>199</v>
      </c>
      <c r="C2355" s="607" t="s">
        <v>1448</v>
      </c>
      <c r="D2355" s="706"/>
      <c r="E2355" s="642"/>
      <c r="F2355" s="642"/>
      <c r="G2355" s="578"/>
      <c r="H2355" s="707">
        <f>SUBTOTAL(9,H2356:H2361)</f>
        <v>12</v>
      </c>
      <c r="I2355" s="579">
        <f>SUBTOTAL(9,I2356:I2361)</f>
        <v>12</v>
      </c>
      <c r="J2355" s="580"/>
      <c r="K2355" s="581"/>
      <c r="L2355" s="581"/>
      <c r="M2355" s="571">
        <f>SUBTOTAL(9,M2356:M2361)</f>
        <v>6653000</v>
      </c>
      <c r="N2355" s="571">
        <f>SUBTOTAL(9,N2356:N2361)</f>
        <v>19958000</v>
      </c>
      <c r="O2355" s="607"/>
      <c r="P2355" s="738">
        <f>SUBTOTAL(9,P2356:P2361)</f>
        <v>0</v>
      </c>
      <c r="Q2355" s="571"/>
      <c r="R2355" s="571">
        <f>SUBTOTAL(9,R2356:R2361)</f>
        <v>0</v>
      </c>
      <c r="S2355" s="582"/>
      <c r="T2355" s="621"/>
      <c r="U2355" s="739">
        <f>SUBTOTAL(9,U2356:U2361)</f>
        <v>0</v>
      </c>
      <c r="V2355" s="578"/>
      <c r="W2355" s="571"/>
      <c r="X2355" s="571">
        <f>SUBTOTAL(9,X2356:X2361)</f>
        <v>0</v>
      </c>
      <c r="Y2355" s="650"/>
      <c r="Z2355" s="586"/>
      <c r="AA2355" s="742"/>
      <c r="AB2355" s="586"/>
      <c r="AC2355" s="586"/>
      <c r="AD2355" s="586"/>
      <c r="AE2355" s="578"/>
      <c r="AF2355" s="712">
        <f>SUBTOTAL(9,AF2356:AF2361)</f>
        <v>0</v>
      </c>
      <c r="AG2355" s="585"/>
      <c r="AH2355" s="585">
        <f>SUBTOTAL(9,AH2356:AH2361)</f>
        <v>0</v>
      </c>
      <c r="AI2355" s="571">
        <f t="shared" si="514"/>
        <v>26611000</v>
      </c>
      <c r="AJ2355" s="578"/>
      <c r="AK2355" s="574"/>
    </row>
    <row r="2356" spans="1:37" s="394" customFormat="1" ht="243" outlineLevel="2" x14ac:dyDescent="0.3">
      <c r="A2356" s="447">
        <f>IF(B2355&lt;&gt;0,B2355,A2354)</f>
        <v>199</v>
      </c>
      <c r="B2356" s="557"/>
      <c r="C2356" s="572" t="s">
        <v>1450</v>
      </c>
      <c r="D2356" s="700"/>
      <c r="E2356" s="612">
        <v>86</v>
      </c>
      <c r="F2356" s="612">
        <v>25</v>
      </c>
      <c r="G2356" s="586" t="s">
        <v>2420</v>
      </c>
      <c r="H2356" s="709">
        <v>12</v>
      </c>
      <c r="I2356" s="546">
        <f t="shared" ref="I2356" si="528">IF(N2356&gt;0,H2356,"")</f>
        <v>12</v>
      </c>
      <c r="J2356" s="562"/>
      <c r="K2356" s="563">
        <f>IF(G2356&lt;&gt;0,VLOOKUP(G2356,'gia dat'!$A$1:$F$144,5,0)," ")</f>
        <v>554400</v>
      </c>
      <c r="L2356" s="563">
        <f>IF(G2356&lt;&gt;0,VLOOKUP(G2356,'gia dat'!$A$1:$F$144,6,0)," ")</f>
        <v>1663200</v>
      </c>
      <c r="M2356" s="564">
        <f t="shared" si="516"/>
        <v>6653000</v>
      </c>
      <c r="N2356" s="564">
        <f t="shared" si="517"/>
        <v>19958000</v>
      </c>
      <c r="O2356" s="572"/>
      <c r="P2356" s="740"/>
      <c r="Q2356" s="564"/>
      <c r="R2356" s="564"/>
      <c r="S2356" s="566"/>
      <c r="T2356" s="609"/>
      <c r="U2356" s="741"/>
      <c r="V2356" s="586"/>
      <c r="W2356" s="564"/>
      <c r="X2356" s="564"/>
      <c r="Y2356" s="650"/>
      <c r="Z2356" s="586"/>
      <c r="AA2356" s="742"/>
      <c r="AB2356" s="586"/>
      <c r="AC2356" s="586"/>
      <c r="AD2356" s="586"/>
      <c r="AE2356" s="586"/>
      <c r="AF2356" s="714"/>
      <c r="AG2356" s="570"/>
      <c r="AH2356" s="570"/>
      <c r="AI2356" s="571" t="str">
        <f t="shared" si="514"/>
        <v xml:space="preserve"> </v>
      </c>
      <c r="AJ2356" s="586" t="s">
        <v>2467</v>
      </c>
      <c r="AK2356" s="558"/>
    </row>
    <row r="2357" spans="1:37" s="394" customFormat="1" ht="101.25" outlineLevel="2" x14ac:dyDescent="0.3">
      <c r="A2357" s="447">
        <f>IF(B2356&lt;&gt;0,B2356,A2356)</f>
        <v>199</v>
      </c>
      <c r="B2357" s="557"/>
      <c r="C2357" s="572" t="s">
        <v>1634</v>
      </c>
      <c r="D2357" s="700"/>
      <c r="E2357" s="612"/>
      <c r="F2357" s="612"/>
      <c r="G2357" s="586"/>
      <c r="H2357" s="709"/>
      <c r="I2357" s="546"/>
      <c r="J2357" s="562"/>
      <c r="K2357" s="563" t="str">
        <f>IF(G2357&lt;&gt;0,VLOOKUP(G2357,'gia dat'!$A$1:$F$144,5,0)," ")</f>
        <v xml:space="preserve"> </v>
      </c>
      <c r="L2357" s="563" t="str">
        <f>IF(G2357&lt;&gt;0,VLOOKUP(G2357,'gia dat'!$A$1:$F$144,6,0)," ")</f>
        <v xml:space="preserve"> </v>
      </c>
      <c r="M2357" s="564" t="str">
        <f t="shared" si="516"/>
        <v xml:space="preserve"> </v>
      </c>
      <c r="N2357" s="564" t="str">
        <f t="shared" si="517"/>
        <v xml:space="preserve"> </v>
      </c>
      <c r="O2357" s="572"/>
      <c r="P2357" s="740"/>
      <c r="Q2357" s="564"/>
      <c r="R2357" s="564"/>
      <c r="S2357" s="566"/>
      <c r="T2357" s="609"/>
      <c r="U2357" s="741"/>
      <c r="V2357" s="586"/>
      <c r="W2357" s="564"/>
      <c r="X2357" s="564"/>
      <c r="Y2357" s="650"/>
      <c r="Z2357" s="586"/>
      <c r="AA2357" s="742"/>
      <c r="AB2357" s="586"/>
      <c r="AC2357" s="586"/>
      <c r="AD2357" s="586"/>
      <c r="AE2357" s="586"/>
      <c r="AF2357" s="714"/>
      <c r="AG2357" s="570"/>
      <c r="AH2357" s="570"/>
      <c r="AI2357" s="571" t="str">
        <f t="shared" si="514"/>
        <v xml:space="preserve"> </v>
      </c>
      <c r="AJ2357" s="558" t="s">
        <v>2074</v>
      </c>
      <c r="AK2357" s="558"/>
    </row>
    <row r="2358" spans="1:37" s="394" customFormat="1" ht="20.25" outlineLevel="2" x14ac:dyDescent="0.3">
      <c r="A2358" s="447">
        <f>IF(B2357&lt;&gt;0,B2357,A2357)</f>
        <v>199</v>
      </c>
      <c r="B2358" s="557"/>
      <c r="C2358" s="572"/>
      <c r="D2358" s="700"/>
      <c r="E2358" s="612"/>
      <c r="F2358" s="612"/>
      <c r="G2358" s="586"/>
      <c r="H2358" s="709"/>
      <c r="I2358" s="546"/>
      <c r="J2358" s="562"/>
      <c r="K2358" s="563" t="str">
        <f>IF(G2358&lt;&gt;0,VLOOKUP(G2358,'gia dat'!$A$1:$F$144,5,0)," ")</f>
        <v xml:space="preserve"> </v>
      </c>
      <c r="L2358" s="563" t="str">
        <f>IF(G2358&lt;&gt;0,VLOOKUP(G2358,'gia dat'!$A$1:$F$144,6,0)," ")</f>
        <v xml:space="preserve"> </v>
      </c>
      <c r="M2358" s="564" t="str">
        <f t="shared" si="516"/>
        <v xml:space="preserve"> </v>
      </c>
      <c r="N2358" s="564" t="str">
        <f t="shared" si="517"/>
        <v xml:space="preserve"> </v>
      </c>
      <c r="O2358" s="572"/>
      <c r="P2358" s="740"/>
      <c r="Q2358" s="564"/>
      <c r="R2358" s="564"/>
      <c r="S2358" s="566"/>
      <c r="T2358" s="609"/>
      <c r="U2358" s="741"/>
      <c r="V2358" s="586"/>
      <c r="W2358" s="564"/>
      <c r="X2358" s="564"/>
      <c r="Y2358" s="650"/>
      <c r="Z2358" s="586"/>
      <c r="AA2358" s="742"/>
      <c r="AB2358" s="586"/>
      <c r="AC2358" s="586"/>
      <c r="AD2358" s="586"/>
      <c r="AE2358" s="586"/>
      <c r="AF2358" s="714"/>
      <c r="AG2358" s="570"/>
      <c r="AH2358" s="570"/>
      <c r="AI2358" s="571" t="str">
        <f t="shared" si="514"/>
        <v xml:space="preserve"> </v>
      </c>
      <c r="AJ2358" s="558"/>
      <c r="AK2358" s="558"/>
    </row>
    <row r="2359" spans="1:37" s="394" customFormat="1" ht="20.25" outlineLevel="2" x14ac:dyDescent="0.3">
      <c r="A2359" s="447">
        <f>IF(B2358&lt;&gt;0,B2358,A2358)</f>
        <v>199</v>
      </c>
      <c r="B2359" s="557"/>
      <c r="C2359" s="572"/>
      <c r="D2359" s="700"/>
      <c r="E2359" s="612"/>
      <c r="F2359" s="612"/>
      <c r="G2359" s="586"/>
      <c r="H2359" s="709"/>
      <c r="I2359" s="546"/>
      <c r="J2359" s="562"/>
      <c r="K2359" s="563" t="str">
        <f>IF(G2359&lt;&gt;0,VLOOKUP(G2359,'gia dat'!$A$1:$F$144,5,0)," ")</f>
        <v xml:space="preserve"> </v>
      </c>
      <c r="L2359" s="563" t="str">
        <f>IF(G2359&lt;&gt;0,VLOOKUP(G2359,'gia dat'!$A$1:$F$144,6,0)," ")</f>
        <v xml:space="preserve"> </v>
      </c>
      <c r="M2359" s="564" t="str">
        <f t="shared" si="516"/>
        <v xml:space="preserve"> </v>
      </c>
      <c r="N2359" s="564" t="str">
        <f t="shared" si="517"/>
        <v xml:space="preserve"> </v>
      </c>
      <c r="O2359" s="572"/>
      <c r="P2359" s="740"/>
      <c r="Q2359" s="564"/>
      <c r="R2359" s="564"/>
      <c r="S2359" s="566"/>
      <c r="T2359" s="609"/>
      <c r="U2359" s="741"/>
      <c r="V2359" s="586"/>
      <c r="W2359" s="564"/>
      <c r="X2359" s="564"/>
      <c r="Y2359" s="650"/>
      <c r="Z2359" s="586"/>
      <c r="AA2359" s="742"/>
      <c r="AB2359" s="586"/>
      <c r="AC2359" s="586"/>
      <c r="AD2359" s="586"/>
      <c r="AE2359" s="586"/>
      <c r="AF2359" s="714"/>
      <c r="AG2359" s="570"/>
      <c r="AH2359" s="570"/>
      <c r="AI2359" s="571" t="str">
        <f t="shared" si="514"/>
        <v xml:space="preserve"> </v>
      </c>
      <c r="AJ2359" s="558"/>
      <c r="AK2359" s="558"/>
    </row>
    <row r="2360" spans="1:37" s="394" customFormat="1" ht="20.25" outlineLevel="2" x14ac:dyDescent="0.3">
      <c r="A2360" s="447">
        <f>IF(B2359&lt;&gt;0,B2359,A2359)</f>
        <v>199</v>
      </c>
      <c r="B2360" s="557"/>
      <c r="C2360" s="572"/>
      <c r="D2360" s="700"/>
      <c r="E2360" s="612"/>
      <c r="F2360" s="612"/>
      <c r="G2360" s="586"/>
      <c r="H2360" s="709"/>
      <c r="I2360" s="546"/>
      <c r="J2360" s="562"/>
      <c r="K2360" s="563" t="str">
        <f>IF(G2360&lt;&gt;0,VLOOKUP(G2360,'gia dat'!$A$1:$F$144,5,0)," ")</f>
        <v xml:space="preserve"> </v>
      </c>
      <c r="L2360" s="563" t="str">
        <f>IF(G2360&lt;&gt;0,VLOOKUP(G2360,'gia dat'!$A$1:$F$144,6,0)," ")</f>
        <v xml:space="preserve"> </v>
      </c>
      <c r="M2360" s="564" t="str">
        <f t="shared" si="516"/>
        <v xml:space="preserve"> </v>
      </c>
      <c r="N2360" s="564" t="str">
        <f t="shared" si="517"/>
        <v xml:space="preserve"> </v>
      </c>
      <c r="O2360" s="572"/>
      <c r="P2360" s="740"/>
      <c r="Q2360" s="564"/>
      <c r="R2360" s="564"/>
      <c r="S2360" s="566"/>
      <c r="T2360" s="609"/>
      <c r="U2360" s="741"/>
      <c r="V2360" s="586"/>
      <c r="W2360" s="564"/>
      <c r="X2360" s="564"/>
      <c r="Y2360" s="650"/>
      <c r="Z2360" s="586"/>
      <c r="AA2360" s="742"/>
      <c r="AB2360" s="586"/>
      <c r="AC2360" s="586"/>
      <c r="AD2360" s="586"/>
      <c r="AE2360" s="586"/>
      <c r="AF2360" s="714"/>
      <c r="AG2360" s="570"/>
      <c r="AH2360" s="570"/>
      <c r="AI2360" s="571" t="str">
        <f t="shared" si="514"/>
        <v xml:space="preserve"> </v>
      </c>
      <c r="AJ2360" s="558"/>
      <c r="AK2360" s="558"/>
    </row>
    <row r="2361" spans="1:37" s="394" customFormat="1" ht="20.25" outlineLevel="2" x14ac:dyDescent="0.3">
      <c r="A2361" s="447">
        <f>IF(B2360&lt;&gt;0,B2360,A2360)</f>
        <v>199</v>
      </c>
      <c r="B2361" s="557"/>
      <c r="C2361" s="607"/>
      <c r="D2361" s="700"/>
      <c r="E2361" s="612"/>
      <c r="F2361" s="612"/>
      <c r="G2361" s="586"/>
      <c r="H2361" s="709"/>
      <c r="I2361" s="546"/>
      <c r="J2361" s="562"/>
      <c r="K2361" s="563" t="str">
        <f>IF(G2361&lt;&gt;0,VLOOKUP(G2361,'gia dat'!$A$1:$F$144,5,0)," ")</f>
        <v xml:space="preserve"> </v>
      </c>
      <c r="L2361" s="563" t="str">
        <f>IF(G2361&lt;&gt;0,VLOOKUP(G2361,'gia dat'!$A$1:$F$144,6,0)," ")</f>
        <v xml:space="preserve"> </v>
      </c>
      <c r="M2361" s="564" t="str">
        <f t="shared" si="516"/>
        <v xml:space="preserve"> </v>
      </c>
      <c r="N2361" s="564" t="str">
        <f t="shared" si="517"/>
        <v xml:space="preserve"> </v>
      </c>
      <c r="O2361" s="572"/>
      <c r="P2361" s="740"/>
      <c r="Q2361" s="564"/>
      <c r="R2361" s="564"/>
      <c r="S2361" s="566"/>
      <c r="T2361" s="609"/>
      <c r="U2361" s="741"/>
      <c r="V2361" s="586"/>
      <c r="W2361" s="564"/>
      <c r="X2361" s="564"/>
      <c r="Y2361" s="650"/>
      <c r="Z2361" s="586"/>
      <c r="AA2361" s="742"/>
      <c r="AB2361" s="586"/>
      <c r="AC2361" s="586"/>
      <c r="AD2361" s="586"/>
      <c r="AE2361" s="586"/>
      <c r="AF2361" s="714"/>
      <c r="AG2361" s="570"/>
      <c r="AH2361" s="570"/>
      <c r="AI2361" s="571" t="str">
        <f t="shared" si="514"/>
        <v xml:space="preserve"> </v>
      </c>
      <c r="AJ2361" s="558"/>
      <c r="AK2361" s="558"/>
    </row>
    <row r="2362" spans="1:37" s="810" customFormat="1" ht="37.5" customHeight="1" outlineLevel="1" x14ac:dyDescent="0.25">
      <c r="A2362" s="784" t="s">
        <v>2510</v>
      </c>
      <c r="B2362" s="785">
        <v>200</v>
      </c>
      <c r="C2362" s="786" t="s">
        <v>1539</v>
      </c>
      <c r="D2362" s="787"/>
      <c r="E2362" s="788"/>
      <c r="F2362" s="788"/>
      <c r="G2362" s="789"/>
      <c r="H2362" s="790">
        <f>SUBTOTAL(9,H2363:H2368)</f>
        <v>93.8</v>
      </c>
      <c r="I2362" s="791">
        <f>SUBTOTAL(9,I2363:I2368)</f>
        <v>57.8</v>
      </c>
      <c r="J2362" s="792"/>
      <c r="K2362" s="793"/>
      <c r="L2362" s="793"/>
      <c r="M2362" s="794">
        <f>SUBTOTAL(9,M2363:M2368)</f>
        <v>405448000</v>
      </c>
      <c r="N2362" s="794">
        <f>SUBTOTAL(9,N2363:N2368)</f>
        <v>96133000</v>
      </c>
      <c r="O2362" s="786"/>
      <c r="P2362" s="795">
        <f>SUBTOTAL(9,P2363:P2368)</f>
        <v>0</v>
      </c>
      <c r="Q2362" s="794"/>
      <c r="R2362" s="794">
        <f>SUBTOTAL(9,R2363:R2368)</f>
        <v>0</v>
      </c>
      <c r="S2362" s="796"/>
      <c r="T2362" s="797"/>
      <c r="U2362" s="798">
        <f>SUBTOTAL(9,U2363:U2368)</f>
        <v>0</v>
      </c>
      <c r="V2362" s="789"/>
      <c r="W2362" s="794"/>
      <c r="X2362" s="794">
        <f>SUBTOTAL(9,X2363:X2368)</f>
        <v>0</v>
      </c>
      <c r="Y2362" s="799"/>
      <c r="Z2362" s="800"/>
      <c r="AA2362" s="801"/>
      <c r="AB2362" s="800"/>
      <c r="AC2362" s="800"/>
      <c r="AD2362" s="800"/>
      <c r="AE2362" s="789"/>
      <c r="AF2362" s="802">
        <f>SUBTOTAL(9,AF2363:AF2368)</f>
        <v>0</v>
      </c>
      <c r="AG2362" s="803"/>
      <c r="AH2362" s="803">
        <f>SUBTOTAL(9,AH2363:AH2368)</f>
        <v>0</v>
      </c>
      <c r="AI2362" s="794">
        <f t="shared" si="514"/>
        <v>501581000</v>
      </c>
      <c r="AJ2362" s="789"/>
      <c r="AK2362" s="789"/>
    </row>
    <row r="2363" spans="1:37" s="394" customFormat="1" ht="121.5" outlineLevel="2" x14ac:dyDescent="0.3">
      <c r="A2363" s="447">
        <f>IF(B2362&lt;&gt;0,B2362,A2361)</f>
        <v>200</v>
      </c>
      <c r="B2363" s="557"/>
      <c r="C2363" s="572" t="s">
        <v>1541</v>
      </c>
      <c r="D2363" s="700">
        <v>4</v>
      </c>
      <c r="E2363" s="612">
        <v>86</v>
      </c>
      <c r="F2363" s="612">
        <v>345</v>
      </c>
      <c r="G2363" s="586" t="s">
        <v>2420</v>
      </c>
      <c r="H2363" s="709">
        <v>57.8</v>
      </c>
      <c r="I2363" s="546">
        <f t="shared" ref="I2363:I2364" si="529">IF(N2363&gt;0,H2363,"")</f>
        <v>57.8</v>
      </c>
      <c r="J2363" s="562"/>
      <c r="K2363" s="563">
        <f>IF(G2363&lt;&gt;0,VLOOKUP(G2363,'gia dat'!$A$1:$F$144,5,0)," ")</f>
        <v>554400</v>
      </c>
      <c r="L2363" s="563">
        <f>IF(G2363&lt;&gt;0,VLOOKUP(G2363,'gia dat'!$A$1:$F$144,6,0)," ")</f>
        <v>1663200</v>
      </c>
      <c r="M2363" s="564">
        <f t="shared" si="516"/>
        <v>32044000</v>
      </c>
      <c r="N2363" s="564">
        <f t="shared" si="517"/>
        <v>96133000</v>
      </c>
      <c r="O2363" s="572"/>
      <c r="P2363" s="740"/>
      <c r="Q2363" s="564" t="str">
        <f>IF(O2363&lt;&gt;0,VLOOKUP(O2363,'Cây trong'!$A$2:$C$246,3,0)," ")</f>
        <v xml:space="preserve"> </v>
      </c>
      <c r="R2363" s="564" t="str">
        <f t="shared" si="526"/>
        <v xml:space="preserve"> </v>
      </c>
      <c r="S2363" s="566"/>
      <c r="T2363" s="609"/>
      <c r="U2363" s="741"/>
      <c r="V2363" s="586"/>
      <c r="W2363" s="564" t="str">
        <f>IF(S2363&lt;&gt;0,VLOOKUP(S2363,VKT!$A$2:$G$415,7,0),"")</f>
        <v/>
      </c>
      <c r="X2363" s="564" t="str">
        <f t="shared" si="520"/>
        <v xml:space="preserve"> </v>
      </c>
      <c r="Y2363" s="650"/>
      <c r="Z2363" s="586"/>
      <c r="AA2363" s="742"/>
      <c r="AB2363" s="586"/>
      <c r="AC2363" s="586"/>
      <c r="AD2363" s="586"/>
      <c r="AE2363" s="586"/>
      <c r="AF2363" s="714"/>
      <c r="AG2363" s="570"/>
      <c r="AH2363" s="570"/>
      <c r="AI2363" s="571" t="str">
        <f t="shared" si="514"/>
        <v xml:space="preserve"> </v>
      </c>
      <c r="AJ2363" s="586" t="s">
        <v>1540</v>
      </c>
      <c r="AK2363" s="586" t="s">
        <v>2771</v>
      </c>
    </row>
    <row r="2364" spans="1:37" s="394" customFormat="1" ht="101.25" outlineLevel="2" x14ac:dyDescent="0.3">
      <c r="A2364" s="447">
        <f>IF(B2363&lt;&gt;0,B2363,A2363)</f>
        <v>200</v>
      </c>
      <c r="B2364" s="557"/>
      <c r="C2364" s="572" t="s">
        <v>1649</v>
      </c>
      <c r="D2364" s="700"/>
      <c r="E2364" s="612">
        <v>86</v>
      </c>
      <c r="F2364" s="612">
        <v>345</v>
      </c>
      <c r="G2364" s="782" t="s">
        <v>2905</v>
      </c>
      <c r="H2364" s="783">
        <v>36</v>
      </c>
      <c r="I2364" s="546" t="str">
        <f t="shared" si="529"/>
        <v/>
      </c>
      <c r="J2364" s="562"/>
      <c r="K2364" s="563">
        <f>IF(G2364&lt;&gt;0,VLOOKUP(G2364,'gia dat'!$A$1:$F$144,5,0)," ")</f>
        <v>10372320</v>
      </c>
      <c r="L2364" s="563">
        <f>IF(G2364&lt;&gt;0,VLOOKUP(G2364,'gia dat'!$A$1:$F$144,6,0)," ")</f>
        <v>0</v>
      </c>
      <c r="M2364" s="564">
        <f t="shared" si="516"/>
        <v>373404000</v>
      </c>
      <c r="N2364" s="564">
        <f t="shared" si="517"/>
        <v>0</v>
      </c>
      <c r="O2364" s="572"/>
      <c r="P2364" s="740"/>
      <c r="Q2364" s="564" t="str">
        <f>IF(O2364&lt;&gt;0,VLOOKUP(O2364,'Cây trong'!$A$2:$C$246,3,0)," ")</f>
        <v xml:space="preserve"> </v>
      </c>
      <c r="R2364" s="564" t="str">
        <f t="shared" si="526"/>
        <v xml:space="preserve"> </v>
      </c>
      <c r="S2364" s="566"/>
      <c r="T2364" s="609"/>
      <c r="U2364" s="741"/>
      <c r="V2364" s="586"/>
      <c r="W2364" s="564" t="str">
        <f>IF(S2364&lt;&gt;0,VLOOKUP(S2364,VKT!$A$2:$G$415,7,0),"")</f>
        <v/>
      </c>
      <c r="X2364" s="564" t="str">
        <f t="shared" si="520"/>
        <v xml:space="preserve"> </v>
      </c>
      <c r="Y2364" s="650"/>
      <c r="Z2364" s="586"/>
      <c r="AA2364" s="742"/>
      <c r="AB2364" s="586"/>
      <c r="AC2364" s="586"/>
      <c r="AD2364" s="586"/>
      <c r="AE2364" s="586"/>
      <c r="AF2364" s="714"/>
      <c r="AG2364" s="570" t="str">
        <f>IF(AE2364&lt;&gt;0,VLOOKUP(AE2364,ODDS!$A$2:$C$13,3,0),"")</f>
        <v/>
      </c>
      <c r="AH2364" s="570" t="str">
        <f t="shared" si="527"/>
        <v xml:space="preserve"> </v>
      </c>
      <c r="AI2364" s="571" t="str">
        <f t="shared" si="514"/>
        <v xml:space="preserve"> </v>
      </c>
      <c r="AJ2364" s="586" t="s">
        <v>1542</v>
      </c>
      <c r="AK2364" s="558" t="s">
        <v>2448</v>
      </c>
    </row>
    <row r="2365" spans="1:37" s="394" customFormat="1" ht="60.75" outlineLevel="2" x14ac:dyDescent="0.3">
      <c r="A2365" s="447">
        <f>IF(B2364&lt;&gt;0,B2364,A2364)</f>
        <v>200</v>
      </c>
      <c r="B2365" s="557"/>
      <c r="C2365" s="572"/>
      <c r="D2365" s="700"/>
      <c r="E2365" s="744"/>
      <c r="F2365" s="744"/>
      <c r="G2365" s="731"/>
      <c r="H2365" s="745"/>
      <c r="I2365" s="546"/>
      <c r="J2365" s="562"/>
      <c r="K2365" s="563" t="str">
        <f>IF(G2365&lt;&gt;0,VLOOKUP(G2365,'gia dat'!$A$1:$F$144,5,0)," ")</f>
        <v xml:space="preserve"> </v>
      </c>
      <c r="L2365" s="563" t="str">
        <f>IF(G2365&lt;&gt;0,VLOOKUP(G2365,'gia dat'!$A$1:$F$144,6,0)," ")</f>
        <v xml:space="preserve"> </v>
      </c>
      <c r="M2365" s="564" t="str">
        <f t="shared" si="516"/>
        <v xml:space="preserve"> </v>
      </c>
      <c r="N2365" s="564" t="str">
        <f t="shared" si="517"/>
        <v xml:space="preserve"> </v>
      </c>
      <c r="O2365" s="572"/>
      <c r="P2365" s="740"/>
      <c r="Q2365" s="564" t="str">
        <f>IF(O2365&lt;&gt;0,VLOOKUP(O2365,'Cây trong'!$A$2:$C$246,3,0)," ")</f>
        <v xml:space="preserve"> </v>
      </c>
      <c r="R2365" s="564" t="str">
        <f t="shared" si="526"/>
        <v xml:space="preserve"> </v>
      </c>
      <c r="S2365" s="566"/>
      <c r="T2365" s="609"/>
      <c r="U2365" s="741"/>
      <c r="V2365" s="586"/>
      <c r="W2365" s="564" t="str">
        <f>IF(S2365&lt;&gt;0,VLOOKUP(S2365,VKT!$A$2:$G$415,7,0),"")</f>
        <v/>
      </c>
      <c r="X2365" s="564" t="str">
        <f t="shared" si="520"/>
        <v xml:space="preserve"> </v>
      </c>
      <c r="Y2365" s="650"/>
      <c r="Z2365" s="586"/>
      <c r="AA2365" s="742"/>
      <c r="AB2365" s="586"/>
      <c r="AC2365" s="586"/>
      <c r="AD2365" s="586"/>
      <c r="AE2365" s="586"/>
      <c r="AF2365" s="714"/>
      <c r="AG2365" s="570" t="str">
        <f>IF(AE2365&lt;&gt;0,VLOOKUP(AE2365,ODDS!$A$2:$C$13,3,0),"")</f>
        <v/>
      </c>
      <c r="AH2365" s="570" t="str">
        <f t="shared" si="527"/>
        <v xml:space="preserve"> </v>
      </c>
      <c r="AI2365" s="571" t="str">
        <f t="shared" si="514"/>
        <v xml:space="preserve"> </v>
      </c>
      <c r="AJ2365" s="586" t="s">
        <v>2074</v>
      </c>
      <c r="AK2365" s="586"/>
    </row>
    <row r="2366" spans="1:37" s="394" customFormat="1" ht="20.25" outlineLevel="2" x14ac:dyDescent="0.3">
      <c r="A2366" s="447">
        <f>IF(B2365&lt;&gt;0,B2365,A2365)</f>
        <v>200</v>
      </c>
      <c r="B2366" s="557"/>
      <c r="C2366" s="572"/>
      <c r="D2366" s="700"/>
      <c r="E2366" s="612"/>
      <c r="F2366" s="612"/>
      <c r="G2366" s="586"/>
      <c r="H2366" s="709"/>
      <c r="I2366" s="546"/>
      <c r="J2366" s="562"/>
      <c r="K2366" s="563" t="str">
        <f>IF(G2366&lt;&gt;0,VLOOKUP(G2366,'gia dat'!$A$1:$F$144,5,0)," ")</f>
        <v xml:space="preserve"> </v>
      </c>
      <c r="L2366" s="563" t="str">
        <f>IF(G2366&lt;&gt;0,VLOOKUP(G2366,'gia dat'!$A$1:$F$144,6,0)," ")</f>
        <v xml:space="preserve"> </v>
      </c>
      <c r="M2366" s="564" t="str">
        <f t="shared" si="516"/>
        <v xml:space="preserve"> </v>
      </c>
      <c r="N2366" s="564" t="str">
        <f t="shared" si="517"/>
        <v xml:space="preserve"> </v>
      </c>
      <c r="O2366" s="572"/>
      <c r="P2366" s="740"/>
      <c r="Q2366" s="564" t="str">
        <f>IF(O2366&lt;&gt;0,VLOOKUP(O2366,'Cây trong'!$A$2:$C$246,3,0)," ")</f>
        <v xml:space="preserve"> </v>
      </c>
      <c r="R2366" s="564" t="str">
        <f t="shared" si="526"/>
        <v xml:space="preserve"> </v>
      </c>
      <c r="S2366" s="566"/>
      <c r="T2366" s="609"/>
      <c r="U2366" s="741"/>
      <c r="V2366" s="586"/>
      <c r="W2366" s="564" t="str">
        <f>IF(S2366&lt;&gt;0,VLOOKUP(S2366,VKT!$A$2:$G$415,7,0),"")</f>
        <v/>
      </c>
      <c r="X2366" s="564" t="str">
        <f t="shared" si="520"/>
        <v xml:space="preserve"> </v>
      </c>
      <c r="Y2366" s="650"/>
      <c r="Z2366" s="586"/>
      <c r="AA2366" s="742"/>
      <c r="AB2366" s="586"/>
      <c r="AC2366" s="586"/>
      <c r="AD2366" s="586"/>
      <c r="AE2366" s="586"/>
      <c r="AF2366" s="714"/>
      <c r="AG2366" s="570" t="str">
        <f>IF(AE2366&lt;&gt;0,VLOOKUP(AE2366,ODDS!$A$2:$C$13,3,0),"")</f>
        <v/>
      </c>
      <c r="AH2366" s="570" t="str">
        <f t="shared" si="527"/>
        <v xml:space="preserve"> </v>
      </c>
      <c r="AI2366" s="571" t="str">
        <f t="shared" si="514"/>
        <v xml:space="preserve"> </v>
      </c>
      <c r="AJ2366" s="731"/>
      <c r="AK2366" s="586"/>
    </row>
    <row r="2367" spans="1:37" s="394" customFormat="1" ht="20.25" outlineLevel="2" x14ac:dyDescent="0.3">
      <c r="A2367" s="447">
        <f>IF(B2366&lt;&gt;0,B2366,A2366)</f>
        <v>200</v>
      </c>
      <c r="B2367" s="557"/>
      <c r="C2367" s="572"/>
      <c r="D2367" s="700"/>
      <c r="E2367" s="612"/>
      <c r="F2367" s="612"/>
      <c r="G2367" s="586"/>
      <c r="H2367" s="709"/>
      <c r="I2367" s="546"/>
      <c r="J2367" s="562"/>
      <c r="K2367" s="563" t="str">
        <f>IF(G2367&lt;&gt;0,VLOOKUP(G2367,'gia dat'!$A$1:$F$144,5,0)," ")</f>
        <v xml:space="preserve"> </v>
      </c>
      <c r="L2367" s="563" t="str">
        <f>IF(G2367&lt;&gt;0,VLOOKUP(G2367,'gia dat'!$A$1:$F$144,6,0)," ")</f>
        <v xml:space="preserve"> </v>
      </c>
      <c r="M2367" s="564" t="str">
        <f t="shared" si="516"/>
        <v xml:space="preserve"> </v>
      </c>
      <c r="N2367" s="564" t="str">
        <f t="shared" si="517"/>
        <v xml:space="preserve"> </v>
      </c>
      <c r="O2367" s="572"/>
      <c r="P2367" s="740"/>
      <c r="Q2367" s="564" t="str">
        <f>IF(O2367&lt;&gt;0,VLOOKUP(O2367,'Cây trong'!$A$2:$C$246,3,0)," ")</f>
        <v xml:space="preserve"> </v>
      </c>
      <c r="R2367" s="564" t="str">
        <f t="shared" si="526"/>
        <v xml:space="preserve"> </v>
      </c>
      <c r="S2367" s="566"/>
      <c r="T2367" s="609"/>
      <c r="U2367" s="741"/>
      <c r="V2367" s="586"/>
      <c r="W2367" s="564" t="str">
        <f>IF(S2367&lt;&gt;0,VLOOKUP(S2367,VKT!$A$2:$G$415,7,0),"")</f>
        <v/>
      </c>
      <c r="X2367" s="564" t="str">
        <f t="shared" si="520"/>
        <v xml:space="preserve"> </v>
      </c>
      <c r="Y2367" s="650"/>
      <c r="Z2367" s="586"/>
      <c r="AA2367" s="742"/>
      <c r="AB2367" s="586"/>
      <c r="AC2367" s="586"/>
      <c r="AD2367" s="586"/>
      <c r="AE2367" s="586"/>
      <c r="AF2367" s="714"/>
      <c r="AG2367" s="570" t="str">
        <f>IF(AE2367&lt;&gt;0,VLOOKUP(AE2367,ODDS!$A$2:$C$13,3,0),"")</f>
        <v/>
      </c>
      <c r="AH2367" s="570" t="str">
        <f t="shared" si="527"/>
        <v xml:space="preserve"> </v>
      </c>
      <c r="AI2367" s="571" t="str">
        <f t="shared" si="514"/>
        <v xml:space="preserve"> </v>
      </c>
      <c r="AJ2367" s="731"/>
      <c r="AK2367" s="586"/>
    </row>
    <row r="2368" spans="1:37" s="394" customFormat="1" ht="20.25" outlineLevel="2" x14ac:dyDescent="0.3">
      <c r="A2368" s="447">
        <f>IF(B2367&lt;&gt;0,B2367,A2367)</f>
        <v>200</v>
      </c>
      <c r="B2368" s="557"/>
      <c r="C2368" s="607"/>
      <c r="D2368" s="700"/>
      <c r="E2368" s="612"/>
      <c r="F2368" s="612"/>
      <c r="G2368" s="586"/>
      <c r="H2368" s="709"/>
      <c r="I2368" s="546"/>
      <c r="J2368" s="562"/>
      <c r="K2368" s="563" t="str">
        <f>IF(G2368&lt;&gt;0,VLOOKUP(G2368,'gia dat'!$A$1:$F$144,5,0)," ")</f>
        <v xml:space="preserve"> </v>
      </c>
      <c r="L2368" s="563" t="str">
        <f>IF(G2368&lt;&gt;0,VLOOKUP(G2368,'gia dat'!$A$1:$F$144,6,0)," ")</f>
        <v xml:space="preserve"> </v>
      </c>
      <c r="M2368" s="564" t="str">
        <f t="shared" si="516"/>
        <v xml:space="preserve"> </v>
      </c>
      <c r="N2368" s="564" t="str">
        <f t="shared" si="517"/>
        <v xml:space="preserve"> </v>
      </c>
      <c r="O2368" s="572"/>
      <c r="P2368" s="740"/>
      <c r="Q2368" s="564" t="str">
        <f>IF(O2368&lt;&gt;0,VLOOKUP(O2368,'Cây trong'!$A$2:$C$246,3,0)," ")</f>
        <v xml:space="preserve"> </v>
      </c>
      <c r="R2368" s="564" t="str">
        <f t="shared" si="526"/>
        <v xml:space="preserve"> </v>
      </c>
      <c r="S2368" s="566"/>
      <c r="T2368" s="609"/>
      <c r="U2368" s="741"/>
      <c r="V2368" s="586"/>
      <c r="W2368" s="564" t="str">
        <f>IF(S2368&lt;&gt;0,VLOOKUP(S2368,VKT!$A$2:$G$415,7,0),"")</f>
        <v/>
      </c>
      <c r="X2368" s="564" t="str">
        <f t="shared" si="520"/>
        <v xml:space="preserve"> </v>
      </c>
      <c r="Y2368" s="650"/>
      <c r="Z2368" s="586"/>
      <c r="AA2368" s="742"/>
      <c r="AB2368" s="586"/>
      <c r="AC2368" s="586"/>
      <c r="AD2368" s="586"/>
      <c r="AE2368" s="586"/>
      <c r="AF2368" s="714"/>
      <c r="AG2368" s="570" t="str">
        <f>IF(AE2368&lt;&gt;0,VLOOKUP(AE2368,ODDS!$A$2:$C$13,3,0),"")</f>
        <v/>
      </c>
      <c r="AH2368" s="570" t="str">
        <f t="shared" si="527"/>
        <v xml:space="preserve"> </v>
      </c>
      <c r="AI2368" s="571" t="str">
        <f t="shared" si="514"/>
        <v xml:space="preserve"> </v>
      </c>
      <c r="AJ2368" s="586"/>
      <c r="AK2368" s="586"/>
    </row>
    <row r="2369" spans="1:39" s="396" customFormat="1" ht="20.25" outlineLevel="1" x14ac:dyDescent="0.25">
      <c r="A2369" s="467" t="s">
        <v>2509</v>
      </c>
      <c r="B2369" s="576">
        <v>201</v>
      </c>
      <c r="C2369" s="607" t="s">
        <v>1544</v>
      </c>
      <c r="D2369" s="706"/>
      <c r="E2369" s="642"/>
      <c r="F2369" s="642"/>
      <c r="G2369" s="578"/>
      <c r="H2369" s="707">
        <f>SUBTOTAL(9,H2370:H2374)</f>
        <v>20.6</v>
      </c>
      <c r="I2369" s="579">
        <f>SUBTOTAL(9,I2370:I2375)</f>
        <v>0</v>
      </c>
      <c r="J2369" s="580"/>
      <c r="K2369" s="581"/>
      <c r="L2369" s="581"/>
      <c r="M2369" s="571">
        <f>SUBTOTAL(9,M2370:M2374)</f>
        <v>11421000</v>
      </c>
      <c r="N2369" s="571">
        <f>SUBTOTAL(9,N2370:N2374)</f>
        <v>0</v>
      </c>
      <c r="O2369" s="607"/>
      <c r="P2369" s="738">
        <f>SUBTOTAL(9,P2370:P2374)</f>
        <v>0</v>
      </c>
      <c r="Q2369" s="571"/>
      <c r="R2369" s="571">
        <f>SUBTOTAL(9,R2370:R2374)</f>
        <v>0</v>
      </c>
      <c r="S2369" s="582"/>
      <c r="T2369" s="621"/>
      <c r="U2369" s="739">
        <f>SUBTOTAL(9,U2370:U2374)</f>
        <v>30.8</v>
      </c>
      <c r="V2369" s="578"/>
      <c r="W2369" s="571"/>
      <c r="X2369" s="571">
        <f>SUBTOTAL(9,X2370:X2374)</f>
        <v>8774000</v>
      </c>
      <c r="Y2369" s="650"/>
      <c r="Z2369" s="586"/>
      <c r="AA2369" s="742"/>
      <c r="AB2369" s="586"/>
      <c r="AC2369" s="586"/>
      <c r="AD2369" s="586"/>
      <c r="AE2369" s="578"/>
      <c r="AF2369" s="712">
        <f>SUBTOTAL(9,AF2370:AF2374)</f>
        <v>0</v>
      </c>
      <c r="AG2369" s="585"/>
      <c r="AH2369" s="585">
        <f>SUBTOTAL(9,AH2370:AH2374)</f>
        <v>0</v>
      </c>
      <c r="AI2369" s="571">
        <f t="shared" si="514"/>
        <v>20195000</v>
      </c>
      <c r="AJ2369" s="578"/>
      <c r="AK2369" s="578"/>
      <c r="AM2369" s="468"/>
    </row>
    <row r="2370" spans="1:39" s="396" customFormat="1" ht="121.5" outlineLevel="2" x14ac:dyDescent="0.3">
      <c r="A2370" s="447">
        <f>IF(B2369&lt;&gt;0,B2369,A2368)</f>
        <v>201</v>
      </c>
      <c r="B2370" s="557"/>
      <c r="C2370" s="572" t="s">
        <v>1546</v>
      </c>
      <c r="D2370" s="700"/>
      <c r="E2370" s="612">
        <v>86</v>
      </c>
      <c r="F2370" s="612">
        <v>414</v>
      </c>
      <c r="G2370" s="586" t="s">
        <v>2895</v>
      </c>
      <c r="H2370" s="709">
        <v>20.6</v>
      </c>
      <c r="I2370" s="546" t="str">
        <f t="shared" ref="I2370" si="530">IF(N2370&gt;0,H2370,"")</f>
        <v/>
      </c>
      <c r="J2370" s="562"/>
      <c r="K2370" s="563">
        <f>IF(G2370&lt;&gt;0,VLOOKUP(G2370,'gia dat'!$A$1:$F$144,5,0)," ")</f>
        <v>554400</v>
      </c>
      <c r="L2370" s="563">
        <f>IF(G2370&lt;&gt;0,VLOOKUP(G2370,'gia dat'!$A$1:$F$144,6,0)," ")</f>
        <v>0</v>
      </c>
      <c r="M2370" s="564">
        <f t="shared" si="516"/>
        <v>11421000</v>
      </c>
      <c r="N2370" s="564">
        <f t="shared" si="517"/>
        <v>0</v>
      </c>
      <c r="O2370" s="572"/>
      <c r="P2370" s="740"/>
      <c r="Q2370" s="564" t="str">
        <f>IF(O2370&lt;&gt;0,VLOOKUP(O2370,'Cây trong'!$A$2:$C$246,3,0)," ")</f>
        <v xml:space="preserve"> </v>
      </c>
      <c r="R2370" s="564" t="str">
        <f t="shared" si="526"/>
        <v xml:space="preserve"> </v>
      </c>
      <c r="S2370" s="566" t="s">
        <v>2148</v>
      </c>
      <c r="T2370" s="609" t="s">
        <v>1133</v>
      </c>
      <c r="U2370" s="741">
        <v>21</v>
      </c>
      <c r="V2370" s="586"/>
      <c r="W2370" s="564">
        <f>IF(S2370&lt;&gt;0,VLOOKUP(S2370,VKT!$A$2:$G$415,7,0),"")</f>
        <v>211811</v>
      </c>
      <c r="X2370" s="564">
        <f t="shared" si="520"/>
        <v>4448000</v>
      </c>
      <c r="Y2370" s="650"/>
      <c r="Z2370" s="586"/>
      <c r="AA2370" s="742"/>
      <c r="AB2370" s="586"/>
      <c r="AC2370" s="586"/>
      <c r="AD2370" s="586"/>
      <c r="AE2370" s="586"/>
      <c r="AF2370" s="714"/>
      <c r="AG2370" s="570" t="str">
        <f>IF(AE2370&lt;&gt;0,VLOOKUP(AE2370,ODDS!$A$2:$C$13,3,0),"")</f>
        <v/>
      </c>
      <c r="AH2370" s="570"/>
      <c r="AI2370" s="571" t="str">
        <f t="shared" si="514"/>
        <v xml:space="preserve"> </v>
      </c>
      <c r="AJ2370" s="586" t="s">
        <v>1545</v>
      </c>
      <c r="AK2370" s="586" t="s">
        <v>2771</v>
      </c>
      <c r="AM2370" s="380" t="s">
        <v>2160</v>
      </c>
    </row>
    <row r="2371" spans="1:39" s="394" customFormat="1" ht="121.5" outlineLevel="2" x14ac:dyDescent="0.3">
      <c r="A2371" s="447">
        <f>IF(B2370&lt;&gt;0,B2370,A2370)</f>
        <v>201</v>
      </c>
      <c r="B2371" s="557"/>
      <c r="C2371" s="572" t="s">
        <v>1650</v>
      </c>
      <c r="D2371" s="700"/>
      <c r="E2371" s="612"/>
      <c r="F2371" s="612"/>
      <c r="G2371" s="586"/>
      <c r="H2371" s="709"/>
      <c r="I2371" s="546"/>
      <c r="J2371" s="562"/>
      <c r="K2371" s="563" t="str">
        <f>IF(G2371&lt;&gt;0,VLOOKUP(G2371,'gia dat'!$A$1:$F$144,5,0)," ")</f>
        <v xml:space="preserve"> </v>
      </c>
      <c r="L2371" s="563" t="str">
        <f>IF(G2371&lt;&gt;0,VLOOKUP(G2371,'gia dat'!$A$1:$F$144,6,0)," ")</f>
        <v xml:space="preserve"> </v>
      </c>
      <c r="M2371" s="564" t="str">
        <f t="shared" si="516"/>
        <v xml:space="preserve"> </v>
      </c>
      <c r="N2371" s="564" t="str">
        <f t="shared" si="517"/>
        <v xml:space="preserve"> </v>
      </c>
      <c r="O2371" s="572"/>
      <c r="P2371" s="740"/>
      <c r="Q2371" s="564" t="str">
        <f>IF(O2371&lt;&gt;0,VLOOKUP(O2371,'Cây trong'!$A$2:$C$246,3,0)," ")</f>
        <v xml:space="preserve"> </v>
      </c>
      <c r="R2371" s="564" t="str">
        <f t="shared" si="526"/>
        <v xml:space="preserve"> </v>
      </c>
      <c r="S2371" s="566" t="s">
        <v>2402</v>
      </c>
      <c r="T2371" s="609" t="s">
        <v>1133</v>
      </c>
      <c r="U2371" s="741">
        <v>9.8000000000000007</v>
      </c>
      <c r="V2371" s="586"/>
      <c r="W2371" s="564">
        <f>IF(S2371&lt;&gt;0,VLOOKUP(S2371,VKT!$A$2:$G$415,7,0),"")</f>
        <v>441467</v>
      </c>
      <c r="X2371" s="564">
        <f t="shared" si="520"/>
        <v>4326000</v>
      </c>
      <c r="Y2371" s="650"/>
      <c r="Z2371" s="586"/>
      <c r="AA2371" s="742"/>
      <c r="AB2371" s="586"/>
      <c r="AC2371" s="586"/>
      <c r="AD2371" s="586"/>
      <c r="AE2371" s="586"/>
      <c r="AF2371" s="714"/>
      <c r="AG2371" s="570" t="str">
        <f>IF(AE2371&lt;&gt;0,VLOOKUP(AE2371,ODDS!$A$2:$C$13,3,0),"")</f>
        <v/>
      </c>
      <c r="AH2371" s="570" t="str">
        <f t="shared" si="527"/>
        <v xml:space="preserve"> </v>
      </c>
      <c r="AI2371" s="571" t="str">
        <f t="shared" si="514"/>
        <v xml:space="preserve"> </v>
      </c>
      <c r="AJ2371" s="586" t="s">
        <v>1548</v>
      </c>
      <c r="AK2371" s="558" t="s">
        <v>2450</v>
      </c>
    </row>
    <row r="2372" spans="1:39" s="394" customFormat="1" ht="101.25" outlineLevel="2" x14ac:dyDescent="0.3">
      <c r="A2372" s="447">
        <f>IF(B2371&lt;&gt;0,B2371,A2371)</f>
        <v>201</v>
      </c>
      <c r="B2372" s="557"/>
      <c r="C2372" s="572"/>
      <c r="D2372" s="700"/>
      <c r="E2372" s="612"/>
      <c r="F2372" s="612"/>
      <c r="G2372" s="586"/>
      <c r="H2372" s="709"/>
      <c r="I2372" s="546"/>
      <c r="J2372" s="562"/>
      <c r="K2372" s="563" t="str">
        <f>IF(G2372&lt;&gt;0,VLOOKUP(G2372,'gia dat'!$A$1:$F$144,5,0)," ")</f>
        <v xml:space="preserve"> </v>
      </c>
      <c r="L2372" s="563" t="str">
        <f>IF(G2372&lt;&gt;0,VLOOKUP(G2372,'gia dat'!$A$1:$F$144,6,0)," ")</f>
        <v xml:space="preserve"> </v>
      </c>
      <c r="M2372" s="564" t="str">
        <f t="shared" si="516"/>
        <v xml:space="preserve"> </v>
      </c>
      <c r="N2372" s="564" t="str">
        <f t="shared" si="517"/>
        <v xml:space="preserve"> </v>
      </c>
      <c r="O2372" s="572"/>
      <c r="P2372" s="740"/>
      <c r="Q2372" s="564" t="str">
        <f>IF(O2372&lt;&gt;0,VLOOKUP(O2372,'Cây trong'!$A$2:$C$246,3,0)," ")</f>
        <v xml:space="preserve"> </v>
      </c>
      <c r="R2372" s="564" t="str">
        <f t="shared" si="526"/>
        <v xml:space="preserve"> </v>
      </c>
      <c r="S2372" s="566"/>
      <c r="T2372" s="609"/>
      <c r="U2372" s="741"/>
      <c r="V2372" s="586"/>
      <c r="W2372" s="564" t="str">
        <f>IF(S2372&lt;&gt;0,VLOOKUP(S2372,VKT!$A$2:$G$415,7,0),"")</f>
        <v/>
      </c>
      <c r="X2372" s="564" t="str">
        <f t="shared" si="520"/>
        <v xml:space="preserve"> </v>
      </c>
      <c r="Y2372" s="650"/>
      <c r="Z2372" s="586"/>
      <c r="AA2372" s="742"/>
      <c r="AB2372" s="586"/>
      <c r="AC2372" s="586"/>
      <c r="AD2372" s="586"/>
      <c r="AE2372" s="586"/>
      <c r="AF2372" s="714"/>
      <c r="AG2372" s="570" t="str">
        <f>IF(AE2372&lt;&gt;0,VLOOKUP(AE2372,ODDS!$A$2:$C$13,3,0),"")</f>
        <v/>
      </c>
      <c r="AH2372" s="570" t="str">
        <f t="shared" si="527"/>
        <v xml:space="preserve"> </v>
      </c>
      <c r="AI2372" s="571" t="str">
        <f t="shared" si="514"/>
        <v xml:space="preserve"> </v>
      </c>
      <c r="AJ2372" s="586"/>
      <c r="AK2372" s="586" t="s">
        <v>2800</v>
      </c>
    </row>
    <row r="2373" spans="1:39" s="394" customFormat="1" ht="20.25" outlineLevel="2" x14ac:dyDescent="0.3">
      <c r="A2373" s="447">
        <f>IF(B2372&lt;&gt;0,B2372,A2372)</f>
        <v>201</v>
      </c>
      <c r="B2373" s="557"/>
      <c r="C2373" s="572"/>
      <c r="D2373" s="700"/>
      <c r="E2373" s="612"/>
      <c r="F2373" s="612"/>
      <c r="G2373" s="586"/>
      <c r="H2373" s="709"/>
      <c r="I2373" s="546"/>
      <c r="J2373" s="562"/>
      <c r="K2373" s="563" t="str">
        <f>IF(G2373&lt;&gt;0,VLOOKUP(G2373,'gia dat'!$A$1:$F$144,5,0)," ")</f>
        <v xml:space="preserve"> </v>
      </c>
      <c r="L2373" s="563" t="str">
        <f>IF(G2373&lt;&gt;0,VLOOKUP(G2373,'gia dat'!$A$1:$F$144,6,0)," ")</f>
        <v xml:space="preserve"> </v>
      </c>
      <c r="M2373" s="564" t="str">
        <f t="shared" si="516"/>
        <v xml:space="preserve"> </v>
      </c>
      <c r="N2373" s="564" t="str">
        <f t="shared" si="517"/>
        <v xml:space="preserve"> </v>
      </c>
      <c r="O2373" s="572"/>
      <c r="P2373" s="740"/>
      <c r="Q2373" s="564" t="str">
        <f>IF(O2373&lt;&gt;0,VLOOKUP(O2373,'Cây trong'!$A$2:$C$246,3,0)," ")</f>
        <v xml:space="preserve"> </v>
      </c>
      <c r="R2373" s="564" t="str">
        <f t="shared" si="526"/>
        <v xml:space="preserve"> </v>
      </c>
      <c r="S2373" s="566"/>
      <c r="T2373" s="609"/>
      <c r="U2373" s="741"/>
      <c r="V2373" s="586"/>
      <c r="W2373" s="564" t="str">
        <f>IF(S2373&lt;&gt;0,VLOOKUP(S2373,VKT!$A$2:$G$415,7,0),"")</f>
        <v/>
      </c>
      <c r="X2373" s="564" t="str">
        <f t="shared" si="520"/>
        <v xml:space="preserve"> </v>
      </c>
      <c r="Y2373" s="650"/>
      <c r="Z2373" s="586"/>
      <c r="AA2373" s="742"/>
      <c r="AB2373" s="586"/>
      <c r="AC2373" s="586"/>
      <c r="AD2373" s="586"/>
      <c r="AE2373" s="586"/>
      <c r="AF2373" s="714"/>
      <c r="AG2373" s="570" t="str">
        <f>IF(AE2373&lt;&gt;0,VLOOKUP(AE2373,ODDS!$A$2:$C$13,3,0),"")</f>
        <v/>
      </c>
      <c r="AH2373" s="570" t="str">
        <f t="shared" si="527"/>
        <v xml:space="preserve"> </v>
      </c>
      <c r="AI2373" s="571" t="str">
        <f t="shared" si="514"/>
        <v xml:space="preserve"> </v>
      </c>
      <c r="AJ2373" s="731"/>
      <c r="AK2373" s="586"/>
    </row>
    <row r="2374" spans="1:39" s="394" customFormat="1" ht="20.25" outlineLevel="2" x14ac:dyDescent="0.3">
      <c r="A2374" s="447">
        <f>IF(B2373&lt;&gt;0,B2373,A2373)</f>
        <v>201</v>
      </c>
      <c r="B2374" s="557"/>
      <c r="C2374" s="607"/>
      <c r="D2374" s="700"/>
      <c r="E2374" s="612"/>
      <c r="F2374" s="612"/>
      <c r="G2374" s="586"/>
      <c r="H2374" s="709"/>
      <c r="I2374" s="546"/>
      <c r="J2374" s="562"/>
      <c r="K2374" s="563" t="str">
        <f>IF(G2374&lt;&gt;0,VLOOKUP(G2374,'gia dat'!$A$1:$F$144,5,0)," ")</f>
        <v xml:space="preserve"> </v>
      </c>
      <c r="L2374" s="563" t="str">
        <f>IF(G2374&lt;&gt;0,VLOOKUP(G2374,'gia dat'!$A$1:$F$144,6,0)," ")</f>
        <v xml:space="preserve"> </v>
      </c>
      <c r="M2374" s="564" t="str">
        <f t="shared" si="516"/>
        <v xml:space="preserve"> </v>
      </c>
      <c r="N2374" s="564" t="str">
        <f t="shared" si="517"/>
        <v xml:space="preserve"> </v>
      </c>
      <c r="O2374" s="572"/>
      <c r="P2374" s="740"/>
      <c r="Q2374" s="564" t="str">
        <f>IF(O2374&lt;&gt;0,VLOOKUP(O2374,'Cây trong'!$A$2:$C$246,3,0)," ")</f>
        <v xml:space="preserve"> </v>
      </c>
      <c r="R2374" s="564" t="str">
        <f t="shared" si="526"/>
        <v xml:space="preserve"> </v>
      </c>
      <c r="S2374" s="566"/>
      <c r="T2374" s="609"/>
      <c r="U2374" s="741"/>
      <c r="V2374" s="586"/>
      <c r="W2374" s="564" t="str">
        <f>IF(S2374&lt;&gt;0,VLOOKUP(S2374,VKT!$A$2:$G$415,7,0),"")</f>
        <v/>
      </c>
      <c r="X2374" s="564" t="str">
        <f t="shared" si="520"/>
        <v xml:space="preserve"> </v>
      </c>
      <c r="Y2374" s="650"/>
      <c r="Z2374" s="586"/>
      <c r="AA2374" s="742"/>
      <c r="AB2374" s="586"/>
      <c r="AC2374" s="586"/>
      <c r="AD2374" s="586"/>
      <c r="AE2374" s="586"/>
      <c r="AF2374" s="714"/>
      <c r="AG2374" s="570" t="str">
        <f>IF(AE2374&lt;&gt;0,VLOOKUP(AE2374,ODDS!$A$2:$C$13,3,0),"")</f>
        <v/>
      </c>
      <c r="AH2374" s="570" t="str">
        <f t="shared" si="527"/>
        <v xml:space="preserve"> </v>
      </c>
      <c r="AI2374" s="571" t="str">
        <f t="shared" si="514"/>
        <v xml:space="preserve"> </v>
      </c>
      <c r="AJ2374" s="586"/>
      <c r="AK2374" s="586"/>
    </row>
    <row r="2375" spans="1:39" s="394" customFormat="1" ht="20.25" outlineLevel="1" x14ac:dyDescent="0.25">
      <c r="A2375" s="467" t="s">
        <v>2508</v>
      </c>
      <c r="B2375" s="576">
        <v>202</v>
      </c>
      <c r="C2375" s="607" t="s">
        <v>1549</v>
      </c>
      <c r="D2375" s="706"/>
      <c r="E2375" s="642"/>
      <c r="F2375" s="642"/>
      <c r="G2375" s="578"/>
      <c r="H2375" s="707">
        <f>SUBTOTAL(9,H2376:H2380)</f>
        <v>95</v>
      </c>
      <c r="I2375" s="579">
        <f>SUBTOTAL(9,I2376:I2381)</f>
        <v>95</v>
      </c>
      <c r="J2375" s="580"/>
      <c r="K2375" s="581"/>
      <c r="L2375" s="581"/>
      <c r="M2375" s="571">
        <f>SUBTOTAL(9,M2376:M2380)</f>
        <v>44232000</v>
      </c>
      <c r="N2375" s="571">
        <f>SUBTOTAL(9,N2376:N2380)</f>
        <v>132696000</v>
      </c>
      <c r="O2375" s="607"/>
      <c r="P2375" s="738">
        <f>SUBTOTAL(9,P2376:P2380)</f>
        <v>0</v>
      </c>
      <c r="Q2375" s="571"/>
      <c r="R2375" s="571">
        <f>SUBTOTAL(9,R2376:R2380)</f>
        <v>0</v>
      </c>
      <c r="S2375" s="582"/>
      <c r="T2375" s="621"/>
      <c r="U2375" s="739">
        <f>SUBTOTAL(9,U2376:U2380)</f>
        <v>0</v>
      </c>
      <c r="V2375" s="578"/>
      <c r="W2375" s="571"/>
      <c r="X2375" s="571">
        <f>SUBTOTAL(9,X2376:X2380)</f>
        <v>0</v>
      </c>
      <c r="Y2375" s="650"/>
      <c r="Z2375" s="586"/>
      <c r="AA2375" s="742"/>
      <c r="AB2375" s="586"/>
      <c r="AC2375" s="586"/>
      <c r="AD2375" s="586"/>
      <c r="AE2375" s="578"/>
      <c r="AF2375" s="712">
        <f>SUBTOTAL(9,AF2376:AF2380)</f>
        <v>0</v>
      </c>
      <c r="AG2375" s="585"/>
      <c r="AH2375" s="585">
        <f>SUBTOTAL(9,AH2376:AH2380)</f>
        <v>0</v>
      </c>
      <c r="AI2375" s="571">
        <f t="shared" si="514"/>
        <v>176928000</v>
      </c>
      <c r="AJ2375" s="578"/>
      <c r="AK2375" s="578"/>
    </row>
    <row r="2376" spans="1:39" s="394" customFormat="1" ht="121.5" outlineLevel="2" x14ac:dyDescent="0.3">
      <c r="A2376" s="447">
        <f>IF(B2375&lt;&gt;0,B2375,A2374)</f>
        <v>202</v>
      </c>
      <c r="B2376" s="557"/>
      <c r="C2376" s="572" t="s">
        <v>1551</v>
      </c>
      <c r="D2376" s="700">
        <v>4</v>
      </c>
      <c r="E2376" s="612">
        <v>86</v>
      </c>
      <c r="F2376" s="612">
        <v>225</v>
      </c>
      <c r="G2376" s="586" t="s">
        <v>2868</v>
      </c>
      <c r="H2376" s="709">
        <v>95</v>
      </c>
      <c r="I2376" s="546">
        <f t="shared" ref="I2376" si="531">IF(N2376&gt;0,H2376,"")</f>
        <v>95</v>
      </c>
      <c r="J2376" s="562"/>
      <c r="K2376" s="563">
        <f>IF(G2376&lt;&gt;0,VLOOKUP(G2376,'gia dat'!$A$1:$F$144,5,0)," ")</f>
        <v>465600</v>
      </c>
      <c r="L2376" s="563">
        <f>IF(G2376&lt;&gt;0,VLOOKUP(G2376,'gia dat'!$A$1:$F$144,6,0)," ")</f>
        <v>1396800</v>
      </c>
      <c r="M2376" s="564">
        <f t="shared" si="516"/>
        <v>44232000</v>
      </c>
      <c r="N2376" s="564">
        <f t="shared" si="517"/>
        <v>132696000</v>
      </c>
      <c r="O2376" s="572"/>
      <c r="P2376" s="740"/>
      <c r="Q2376" s="564" t="str">
        <f>IF(O2376&lt;&gt;0,VLOOKUP(O2376,'Cây trong'!$A$2:$C$246,3,0)," ")</f>
        <v xml:space="preserve"> </v>
      </c>
      <c r="R2376" s="564" t="str">
        <f t="shared" si="526"/>
        <v xml:space="preserve"> </v>
      </c>
      <c r="S2376" s="566"/>
      <c r="T2376" s="609"/>
      <c r="U2376" s="741"/>
      <c r="V2376" s="586"/>
      <c r="W2376" s="564" t="str">
        <f>IF(S2376&lt;&gt;0,VLOOKUP(S2376,VKT!$A$2:$G$415,7,0),"")</f>
        <v/>
      </c>
      <c r="X2376" s="564" t="str">
        <f t="shared" si="520"/>
        <v xml:space="preserve"> </v>
      </c>
      <c r="Y2376" s="650"/>
      <c r="Z2376" s="586"/>
      <c r="AA2376" s="742"/>
      <c r="AB2376" s="586"/>
      <c r="AC2376" s="586"/>
      <c r="AD2376" s="586"/>
      <c r="AE2376" s="586"/>
      <c r="AF2376" s="714"/>
      <c r="AG2376" s="570" t="str">
        <f>IF(AE2376&lt;&gt;0,VLOOKUP(AE2376,ODDS!$A$2:$C$13,3,0),"")</f>
        <v/>
      </c>
      <c r="AH2376" s="570"/>
      <c r="AI2376" s="571" t="str">
        <f t="shared" si="514"/>
        <v xml:space="preserve"> </v>
      </c>
      <c r="AJ2376" s="586" t="s">
        <v>1550</v>
      </c>
      <c r="AK2376" s="586" t="s">
        <v>2771</v>
      </c>
    </row>
    <row r="2377" spans="1:39" s="394" customFormat="1" ht="81" outlineLevel="2" x14ac:dyDescent="0.3">
      <c r="A2377" s="447">
        <f>IF(B2376&lt;&gt;0,B2376,A2376)</f>
        <v>202</v>
      </c>
      <c r="B2377" s="557"/>
      <c r="C2377" s="572" t="s">
        <v>1651</v>
      </c>
      <c r="D2377" s="700"/>
      <c r="E2377" s="612"/>
      <c r="F2377" s="612"/>
      <c r="G2377" s="586"/>
      <c r="H2377" s="709"/>
      <c r="I2377" s="546"/>
      <c r="J2377" s="562"/>
      <c r="K2377" s="563" t="str">
        <f>IF(G2377&lt;&gt;0,VLOOKUP(G2377,'gia dat'!$A$1:$F$144,5,0)," ")</f>
        <v xml:space="preserve"> </v>
      </c>
      <c r="L2377" s="563" t="str">
        <f>IF(G2377&lt;&gt;0,VLOOKUP(G2377,'gia dat'!$A$1:$F$144,6,0)," ")</f>
        <v xml:space="preserve"> </v>
      </c>
      <c r="M2377" s="564" t="str">
        <f t="shared" si="516"/>
        <v xml:space="preserve"> </v>
      </c>
      <c r="N2377" s="564" t="str">
        <f t="shared" si="517"/>
        <v xml:space="preserve"> </v>
      </c>
      <c r="O2377" s="572"/>
      <c r="P2377" s="740"/>
      <c r="Q2377" s="564" t="str">
        <f>IF(O2377&lt;&gt;0,VLOOKUP(O2377,'Cây trong'!$A$2:$C$246,3,0)," ")</f>
        <v xml:space="preserve"> </v>
      </c>
      <c r="R2377" s="564" t="str">
        <f t="shared" si="526"/>
        <v xml:space="preserve"> </v>
      </c>
      <c r="S2377" s="566"/>
      <c r="T2377" s="609"/>
      <c r="U2377" s="741"/>
      <c r="V2377" s="586"/>
      <c r="W2377" s="564" t="str">
        <f>IF(S2377&lt;&gt;0,VLOOKUP(S2377,VKT!$A$2:$G$415,7,0),"")</f>
        <v/>
      </c>
      <c r="X2377" s="564" t="str">
        <f t="shared" si="520"/>
        <v xml:space="preserve"> </v>
      </c>
      <c r="Y2377" s="650"/>
      <c r="Z2377" s="586"/>
      <c r="AA2377" s="742"/>
      <c r="AB2377" s="586"/>
      <c r="AC2377" s="586"/>
      <c r="AD2377" s="586"/>
      <c r="AE2377" s="586"/>
      <c r="AF2377" s="714"/>
      <c r="AG2377" s="570" t="str">
        <f>IF(AE2377&lt;&gt;0,VLOOKUP(AE2377,ODDS!$A$2:$C$13,3,0),"")</f>
        <v/>
      </c>
      <c r="AH2377" s="570" t="str">
        <f t="shared" si="527"/>
        <v xml:space="preserve"> </v>
      </c>
      <c r="AI2377" s="571" t="str">
        <f t="shared" ref="AI2377:AI2439" si="532">IF(B2377&lt;&gt;0,M2377+N2377+R2377+X2377+AH2377," ")</f>
        <v xml:space="preserve"> </v>
      </c>
      <c r="AJ2377" s="586" t="s">
        <v>1552</v>
      </c>
      <c r="AK2377" s="558" t="s">
        <v>2448</v>
      </c>
    </row>
    <row r="2378" spans="1:39" s="394" customFormat="1" ht="60.75" outlineLevel="2" x14ac:dyDescent="0.3">
      <c r="A2378" s="447">
        <f>IF(B2377&lt;&gt;0,B2377,A2377)</f>
        <v>202</v>
      </c>
      <c r="B2378" s="557"/>
      <c r="C2378" s="572"/>
      <c r="D2378" s="700"/>
      <c r="E2378" s="612"/>
      <c r="F2378" s="612"/>
      <c r="G2378" s="586"/>
      <c r="H2378" s="709"/>
      <c r="I2378" s="546"/>
      <c r="J2378" s="562"/>
      <c r="K2378" s="563" t="str">
        <f>IF(G2378&lt;&gt;0,VLOOKUP(G2378,'gia dat'!$A$1:$F$144,5,0)," ")</f>
        <v xml:space="preserve"> </v>
      </c>
      <c r="L2378" s="563" t="str">
        <f>IF(G2378&lt;&gt;0,VLOOKUP(G2378,'gia dat'!$A$1:$F$144,6,0)," ")</f>
        <v xml:space="preserve"> </v>
      </c>
      <c r="M2378" s="564" t="str">
        <f t="shared" si="516"/>
        <v xml:space="preserve"> </v>
      </c>
      <c r="N2378" s="564" t="str">
        <f t="shared" si="517"/>
        <v xml:space="preserve"> </v>
      </c>
      <c r="O2378" s="572"/>
      <c r="P2378" s="740"/>
      <c r="Q2378" s="564" t="str">
        <f>IF(O2378&lt;&gt;0,VLOOKUP(O2378,'Cây trong'!$A$2:$C$246,3,0)," ")</f>
        <v xml:space="preserve"> </v>
      </c>
      <c r="R2378" s="564" t="str">
        <f t="shared" si="526"/>
        <v xml:space="preserve"> </v>
      </c>
      <c r="S2378" s="566"/>
      <c r="T2378" s="609"/>
      <c r="U2378" s="741"/>
      <c r="V2378" s="586"/>
      <c r="W2378" s="564" t="str">
        <f>IF(S2378&lt;&gt;0,VLOOKUP(S2378,VKT!$A$2:$G$415,7,0),"")</f>
        <v/>
      </c>
      <c r="X2378" s="564" t="str">
        <f t="shared" si="520"/>
        <v xml:space="preserve"> </v>
      </c>
      <c r="Y2378" s="650"/>
      <c r="Z2378" s="586"/>
      <c r="AA2378" s="742"/>
      <c r="AB2378" s="586"/>
      <c r="AC2378" s="586"/>
      <c r="AD2378" s="586"/>
      <c r="AE2378" s="586"/>
      <c r="AF2378" s="714"/>
      <c r="AG2378" s="570" t="str">
        <f>IF(AE2378&lt;&gt;0,VLOOKUP(AE2378,ODDS!$A$2:$C$13,3,0),"")</f>
        <v/>
      </c>
      <c r="AH2378" s="570" t="str">
        <f t="shared" si="527"/>
        <v xml:space="preserve"> </v>
      </c>
      <c r="AI2378" s="571" t="str">
        <f t="shared" si="532"/>
        <v xml:space="preserve"> </v>
      </c>
      <c r="AJ2378" s="586" t="s">
        <v>2074</v>
      </c>
      <c r="AK2378" s="586"/>
    </row>
    <row r="2379" spans="1:39" s="394" customFormat="1" ht="20.25" outlineLevel="2" x14ac:dyDescent="0.3">
      <c r="A2379" s="447">
        <f>IF(B2378&lt;&gt;0,B2378,A2378)</f>
        <v>202</v>
      </c>
      <c r="B2379" s="557"/>
      <c r="C2379" s="607"/>
      <c r="D2379" s="700"/>
      <c r="E2379" s="612"/>
      <c r="F2379" s="612"/>
      <c r="G2379" s="586"/>
      <c r="H2379" s="709"/>
      <c r="I2379" s="546"/>
      <c r="J2379" s="562"/>
      <c r="K2379" s="563" t="str">
        <f>IF(G2379&lt;&gt;0,VLOOKUP(G2379,'gia dat'!$A$1:$F$144,5,0)," ")</f>
        <v xml:space="preserve"> </v>
      </c>
      <c r="L2379" s="563" t="str">
        <f>IF(G2379&lt;&gt;0,VLOOKUP(G2379,'gia dat'!$A$1:$F$144,6,0)," ")</f>
        <v xml:space="preserve"> </v>
      </c>
      <c r="M2379" s="564" t="str">
        <f t="shared" si="516"/>
        <v xml:space="preserve"> </v>
      </c>
      <c r="N2379" s="564" t="str">
        <f t="shared" si="517"/>
        <v xml:space="preserve"> </v>
      </c>
      <c r="O2379" s="572"/>
      <c r="P2379" s="740"/>
      <c r="Q2379" s="564" t="str">
        <f>IF(O2379&lt;&gt;0,VLOOKUP(O2379,'Cây trong'!$A$2:$C$246,3,0)," ")</f>
        <v xml:space="preserve"> </v>
      </c>
      <c r="R2379" s="564" t="str">
        <f t="shared" si="526"/>
        <v xml:space="preserve"> </v>
      </c>
      <c r="S2379" s="566"/>
      <c r="T2379" s="609"/>
      <c r="U2379" s="741"/>
      <c r="V2379" s="586"/>
      <c r="W2379" s="564" t="str">
        <f>IF(S2379&lt;&gt;0,VLOOKUP(S2379,VKT!$A$2:$G$415,7,0),"")</f>
        <v/>
      </c>
      <c r="X2379" s="564" t="str">
        <f t="shared" si="520"/>
        <v xml:space="preserve"> </v>
      </c>
      <c r="Y2379" s="650"/>
      <c r="Z2379" s="586"/>
      <c r="AA2379" s="742"/>
      <c r="AB2379" s="586"/>
      <c r="AC2379" s="586"/>
      <c r="AD2379" s="586"/>
      <c r="AE2379" s="586"/>
      <c r="AF2379" s="714"/>
      <c r="AG2379" s="570" t="str">
        <f>IF(AE2379&lt;&gt;0,VLOOKUP(AE2379,ODDS!$A$2:$C$13,3,0),"")</f>
        <v/>
      </c>
      <c r="AH2379" s="570" t="str">
        <f t="shared" si="527"/>
        <v xml:space="preserve"> </v>
      </c>
      <c r="AI2379" s="571" t="str">
        <f t="shared" si="532"/>
        <v xml:space="preserve"> </v>
      </c>
      <c r="AJ2379" s="731"/>
      <c r="AK2379" s="586"/>
    </row>
    <row r="2380" spans="1:39" s="394" customFormat="1" ht="20.25" outlineLevel="2" x14ac:dyDescent="0.3">
      <c r="A2380" s="447">
        <f>IF(B2379&lt;&gt;0,B2379,A2379)</f>
        <v>202</v>
      </c>
      <c r="B2380" s="557"/>
      <c r="C2380" s="607"/>
      <c r="D2380" s="700"/>
      <c r="E2380" s="612"/>
      <c r="F2380" s="612"/>
      <c r="G2380" s="586"/>
      <c r="H2380" s="709"/>
      <c r="I2380" s="546"/>
      <c r="J2380" s="562"/>
      <c r="K2380" s="563" t="str">
        <f>IF(G2380&lt;&gt;0,VLOOKUP(G2380,'gia dat'!$A$1:$F$144,5,0)," ")</f>
        <v xml:space="preserve"> </v>
      </c>
      <c r="L2380" s="563" t="str">
        <f>IF(G2380&lt;&gt;0,VLOOKUP(G2380,'gia dat'!$A$1:$F$144,6,0)," ")</f>
        <v xml:space="preserve"> </v>
      </c>
      <c r="M2380" s="564" t="str">
        <f t="shared" si="516"/>
        <v xml:space="preserve"> </v>
      </c>
      <c r="N2380" s="564" t="str">
        <f t="shared" si="517"/>
        <v xml:space="preserve"> </v>
      </c>
      <c r="O2380" s="572"/>
      <c r="P2380" s="740"/>
      <c r="Q2380" s="564" t="str">
        <f>IF(O2380&lt;&gt;0,VLOOKUP(O2380,'Cây trong'!$A$2:$C$246,3,0)," ")</f>
        <v xml:space="preserve"> </v>
      </c>
      <c r="R2380" s="564" t="str">
        <f t="shared" si="526"/>
        <v xml:space="preserve"> </v>
      </c>
      <c r="S2380" s="566"/>
      <c r="T2380" s="609"/>
      <c r="U2380" s="741"/>
      <c r="V2380" s="586"/>
      <c r="W2380" s="564" t="str">
        <f>IF(S2380&lt;&gt;0,VLOOKUP(S2380,VKT!$A$2:$G$415,7,0),"")</f>
        <v/>
      </c>
      <c r="X2380" s="564" t="str">
        <f t="shared" si="520"/>
        <v xml:space="preserve"> </v>
      </c>
      <c r="Y2380" s="650"/>
      <c r="Z2380" s="586"/>
      <c r="AA2380" s="742"/>
      <c r="AB2380" s="586"/>
      <c r="AC2380" s="586"/>
      <c r="AD2380" s="586"/>
      <c r="AE2380" s="586"/>
      <c r="AF2380" s="714"/>
      <c r="AG2380" s="570" t="str">
        <f>IF(AE2380&lt;&gt;0,VLOOKUP(AE2380,ODDS!$A$2:$C$13,3,0),"")</f>
        <v/>
      </c>
      <c r="AH2380" s="570" t="str">
        <f t="shared" si="527"/>
        <v xml:space="preserve"> </v>
      </c>
      <c r="AI2380" s="571" t="str">
        <f t="shared" si="532"/>
        <v xml:space="preserve"> </v>
      </c>
      <c r="AJ2380" s="586"/>
      <c r="AK2380" s="586"/>
    </row>
    <row r="2381" spans="1:39" s="394" customFormat="1" ht="60.75" outlineLevel="1" x14ac:dyDescent="0.25">
      <c r="A2381" s="467" t="s">
        <v>2507</v>
      </c>
      <c r="B2381" s="576">
        <v>203</v>
      </c>
      <c r="C2381" s="607" t="s">
        <v>2053</v>
      </c>
      <c r="D2381" s="706"/>
      <c r="E2381" s="642"/>
      <c r="F2381" s="642"/>
      <c r="G2381" s="578"/>
      <c r="H2381" s="707">
        <f>SUBTOTAL(9,H2382:H2386)</f>
        <v>95</v>
      </c>
      <c r="I2381" s="579">
        <f>SUBTOTAL(9,I2382:I2387)</f>
        <v>0</v>
      </c>
      <c r="J2381" s="580"/>
      <c r="K2381" s="581"/>
      <c r="L2381" s="581"/>
      <c r="M2381" s="571">
        <f>SUBTOTAL(9,M2382:M2386)</f>
        <v>44232000</v>
      </c>
      <c r="N2381" s="571">
        <f>SUBTOTAL(9,N2382:N2386)</f>
        <v>0</v>
      </c>
      <c r="O2381" s="607"/>
      <c r="P2381" s="738">
        <f>SUBTOTAL(9,P2382:P2386)</f>
        <v>0</v>
      </c>
      <c r="Q2381" s="571"/>
      <c r="R2381" s="571">
        <f>SUBTOTAL(9,R2382:R2386)</f>
        <v>0</v>
      </c>
      <c r="S2381" s="582"/>
      <c r="T2381" s="621"/>
      <c r="U2381" s="739">
        <f>SUBTOTAL(9,U2382:U2386)</f>
        <v>0</v>
      </c>
      <c r="V2381" s="578"/>
      <c r="W2381" s="571"/>
      <c r="X2381" s="571">
        <f>SUBTOTAL(9,X2382:X2386)</f>
        <v>0</v>
      </c>
      <c r="Y2381" s="650"/>
      <c r="Z2381" s="586"/>
      <c r="AA2381" s="742"/>
      <c r="AB2381" s="586"/>
      <c r="AC2381" s="586"/>
      <c r="AD2381" s="586"/>
      <c r="AE2381" s="578"/>
      <c r="AF2381" s="712">
        <f>SUBTOTAL(9,AF2382:AF2386)</f>
        <v>0</v>
      </c>
      <c r="AG2381" s="585"/>
      <c r="AH2381" s="585">
        <f>SUBTOTAL(9,AH2382:AH2386)</f>
        <v>0</v>
      </c>
      <c r="AI2381" s="571">
        <f t="shared" si="532"/>
        <v>44232000</v>
      </c>
      <c r="AJ2381" s="578"/>
      <c r="AK2381" s="578"/>
    </row>
    <row r="2382" spans="1:39" s="394" customFormat="1" ht="121.5" outlineLevel="2" x14ac:dyDescent="0.3">
      <c r="A2382" s="447">
        <f>IF(B2381&lt;&gt;0,B2381,A2380)</f>
        <v>203</v>
      </c>
      <c r="B2382" s="557"/>
      <c r="C2382" s="572"/>
      <c r="D2382" s="700"/>
      <c r="E2382" s="612">
        <v>86</v>
      </c>
      <c r="F2382" s="612">
        <v>221</v>
      </c>
      <c r="G2382" s="586" t="s">
        <v>2856</v>
      </c>
      <c r="H2382" s="709">
        <v>95</v>
      </c>
      <c r="I2382" s="546" t="str">
        <f t="shared" ref="I2382" si="533">IF(N2382&gt;0,H2382,"")</f>
        <v/>
      </c>
      <c r="J2382" s="562"/>
      <c r="K2382" s="563">
        <f>IF(G2382&lt;&gt;0,VLOOKUP(G2382,'gia dat'!$A$1:$F$144,5,0)," ")</f>
        <v>465600</v>
      </c>
      <c r="L2382" s="563">
        <f>IF(G2382&lt;&gt;0,VLOOKUP(G2382,'gia dat'!$A$1:$F$144,6,0)," ")</f>
        <v>0</v>
      </c>
      <c r="M2382" s="564">
        <f t="shared" si="516"/>
        <v>44232000</v>
      </c>
      <c r="N2382" s="564">
        <f t="shared" si="517"/>
        <v>0</v>
      </c>
      <c r="O2382" s="572"/>
      <c r="P2382" s="740"/>
      <c r="Q2382" s="564" t="str">
        <f>IF(O2382&lt;&gt;0,VLOOKUP(O2382,'Cây trong'!$A$2:$C$246,3,0)," ")</f>
        <v xml:space="preserve"> </v>
      </c>
      <c r="R2382" s="564" t="str">
        <f t="shared" si="526"/>
        <v xml:space="preserve"> </v>
      </c>
      <c r="S2382" s="566"/>
      <c r="T2382" s="609"/>
      <c r="U2382" s="741"/>
      <c r="V2382" s="586"/>
      <c r="W2382" s="564" t="str">
        <f>IF(S2382&lt;&gt;0,VLOOKUP(S2382,VKT!$A$2:$G$415,7,0),"")</f>
        <v/>
      </c>
      <c r="X2382" s="564" t="str">
        <f t="shared" si="520"/>
        <v xml:space="preserve"> </v>
      </c>
      <c r="Y2382" s="650"/>
      <c r="Z2382" s="586"/>
      <c r="AA2382" s="742"/>
      <c r="AB2382" s="586"/>
      <c r="AC2382" s="586"/>
      <c r="AD2382" s="586"/>
      <c r="AE2382" s="586"/>
      <c r="AF2382" s="714"/>
      <c r="AG2382" s="570" t="str">
        <f>IF(AE2382&lt;&gt;0,VLOOKUP(AE2382,ODDS!$A$2:$C$13,3,0),"")</f>
        <v/>
      </c>
      <c r="AH2382" s="570" t="str">
        <f t="shared" si="527"/>
        <v xml:space="preserve"> </v>
      </c>
      <c r="AI2382" s="571" t="str">
        <f t="shared" si="532"/>
        <v xml:space="preserve"> </v>
      </c>
      <c r="AJ2382" s="586"/>
      <c r="AK2382" s="586" t="s">
        <v>2771</v>
      </c>
    </row>
    <row r="2383" spans="1:39" s="394" customFormat="1" ht="20.25" outlineLevel="2" x14ac:dyDescent="0.3">
      <c r="A2383" s="447">
        <f>IF(B2382&lt;&gt;0,B2382,A2382)</f>
        <v>203</v>
      </c>
      <c r="B2383" s="557"/>
      <c r="C2383" s="572"/>
      <c r="D2383" s="700"/>
      <c r="E2383" s="612"/>
      <c r="F2383" s="612"/>
      <c r="G2383" s="586"/>
      <c r="H2383" s="709"/>
      <c r="I2383" s="546"/>
      <c r="J2383" s="562"/>
      <c r="K2383" s="563" t="str">
        <f>IF(G2383&lt;&gt;0,VLOOKUP(G2383,'gia dat'!$A$1:$F$144,5,0)," ")</f>
        <v xml:space="preserve"> </v>
      </c>
      <c r="L2383" s="563" t="str">
        <f>IF(G2383&lt;&gt;0,VLOOKUP(G2383,'gia dat'!$A$1:$F$144,6,0)," ")</f>
        <v xml:space="preserve"> </v>
      </c>
      <c r="M2383" s="564" t="str">
        <f t="shared" si="516"/>
        <v xml:space="preserve"> </v>
      </c>
      <c r="N2383" s="564" t="str">
        <f t="shared" si="517"/>
        <v xml:space="preserve"> </v>
      </c>
      <c r="O2383" s="572"/>
      <c r="P2383" s="740"/>
      <c r="Q2383" s="564" t="str">
        <f>IF(O2383&lt;&gt;0,VLOOKUP(O2383,'Cây trong'!$A$2:$C$246,3,0)," ")</f>
        <v xml:space="preserve"> </v>
      </c>
      <c r="R2383" s="564" t="str">
        <f t="shared" si="526"/>
        <v xml:space="preserve"> </v>
      </c>
      <c r="S2383" s="566"/>
      <c r="T2383" s="609"/>
      <c r="U2383" s="741"/>
      <c r="V2383" s="586"/>
      <c r="W2383" s="564" t="str">
        <f>IF(S2383&lt;&gt;0,VLOOKUP(S2383,VKT!$A$2:$G$415,7,0),"")</f>
        <v/>
      </c>
      <c r="X2383" s="564" t="str">
        <f t="shared" si="520"/>
        <v xml:space="preserve"> </v>
      </c>
      <c r="Y2383" s="650"/>
      <c r="Z2383" s="586"/>
      <c r="AA2383" s="742"/>
      <c r="AB2383" s="586"/>
      <c r="AC2383" s="586"/>
      <c r="AD2383" s="586"/>
      <c r="AE2383" s="586"/>
      <c r="AF2383" s="714"/>
      <c r="AG2383" s="570" t="str">
        <f>IF(AE2383&lt;&gt;0,VLOOKUP(AE2383,ODDS!$A$2:$C$13,3,0),"")</f>
        <v/>
      </c>
      <c r="AH2383" s="570" t="str">
        <f t="shared" si="527"/>
        <v xml:space="preserve"> </v>
      </c>
      <c r="AI2383" s="571" t="str">
        <f t="shared" si="532"/>
        <v xml:space="preserve"> </v>
      </c>
      <c r="AJ2383" s="586"/>
      <c r="AK2383" s="586"/>
    </row>
    <row r="2384" spans="1:39" s="394" customFormat="1" ht="20.25" outlineLevel="2" x14ac:dyDescent="0.3">
      <c r="A2384" s="447">
        <f>IF(B2383&lt;&gt;0,B2383,A2383)</f>
        <v>203</v>
      </c>
      <c r="B2384" s="557"/>
      <c r="C2384" s="572"/>
      <c r="D2384" s="700"/>
      <c r="E2384" s="612"/>
      <c r="F2384" s="612"/>
      <c r="G2384" s="586"/>
      <c r="H2384" s="709"/>
      <c r="I2384" s="546"/>
      <c r="J2384" s="562"/>
      <c r="K2384" s="563" t="str">
        <f>IF(G2384&lt;&gt;0,VLOOKUP(G2384,'gia dat'!$A$1:$F$144,5,0)," ")</f>
        <v xml:space="preserve"> </v>
      </c>
      <c r="L2384" s="563" t="str">
        <f>IF(G2384&lt;&gt;0,VLOOKUP(G2384,'gia dat'!$A$1:$F$144,6,0)," ")</f>
        <v xml:space="preserve"> </v>
      </c>
      <c r="M2384" s="564" t="str">
        <f t="shared" si="516"/>
        <v xml:space="preserve"> </v>
      </c>
      <c r="N2384" s="564" t="str">
        <f t="shared" si="517"/>
        <v xml:space="preserve"> </v>
      </c>
      <c r="O2384" s="572"/>
      <c r="P2384" s="740"/>
      <c r="Q2384" s="564" t="str">
        <f>IF(O2384&lt;&gt;0,VLOOKUP(O2384,'Cây trong'!$A$2:$C$246,3,0)," ")</f>
        <v xml:space="preserve"> </v>
      </c>
      <c r="R2384" s="564" t="str">
        <f t="shared" si="526"/>
        <v xml:space="preserve"> </v>
      </c>
      <c r="S2384" s="566"/>
      <c r="T2384" s="609"/>
      <c r="U2384" s="741"/>
      <c r="V2384" s="586"/>
      <c r="W2384" s="564" t="str">
        <f>IF(S2384&lt;&gt;0,VLOOKUP(S2384,VKT!$A$2:$G$415,7,0),"")</f>
        <v/>
      </c>
      <c r="X2384" s="564" t="str">
        <f t="shared" si="520"/>
        <v xml:space="preserve"> </v>
      </c>
      <c r="Y2384" s="650"/>
      <c r="Z2384" s="586"/>
      <c r="AA2384" s="742"/>
      <c r="AB2384" s="586"/>
      <c r="AC2384" s="586"/>
      <c r="AD2384" s="586"/>
      <c r="AE2384" s="586"/>
      <c r="AF2384" s="714"/>
      <c r="AG2384" s="570" t="str">
        <f>IF(AE2384&lt;&gt;0,VLOOKUP(AE2384,ODDS!$A$2:$C$13,3,0),"")</f>
        <v/>
      </c>
      <c r="AH2384" s="570" t="str">
        <f t="shared" si="527"/>
        <v xml:space="preserve"> </v>
      </c>
      <c r="AI2384" s="571" t="str">
        <f t="shared" si="532"/>
        <v xml:space="preserve"> </v>
      </c>
      <c r="AJ2384" s="586"/>
      <c r="AK2384" s="586"/>
    </row>
    <row r="2385" spans="1:37" s="394" customFormat="1" ht="20.25" outlineLevel="2" x14ac:dyDescent="0.3">
      <c r="A2385" s="447">
        <f>IF(B2384&lt;&gt;0,B2384,A2384)</f>
        <v>203</v>
      </c>
      <c r="B2385" s="557"/>
      <c r="C2385" s="572"/>
      <c r="D2385" s="700"/>
      <c r="E2385" s="612"/>
      <c r="F2385" s="612"/>
      <c r="G2385" s="586"/>
      <c r="H2385" s="709"/>
      <c r="I2385" s="546"/>
      <c r="J2385" s="562"/>
      <c r="K2385" s="563" t="str">
        <f>IF(G2385&lt;&gt;0,VLOOKUP(G2385,'gia dat'!$A$1:$F$144,5,0)," ")</f>
        <v xml:space="preserve"> </v>
      </c>
      <c r="L2385" s="563" t="str">
        <f>IF(G2385&lt;&gt;0,VLOOKUP(G2385,'gia dat'!$A$1:$F$144,6,0)," ")</f>
        <v xml:space="preserve"> </v>
      </c>
      <c r="M2385" s="564" t="str">
        <f t="shared" si="516"/>
        <v xml:space="preserve"> </v>
      </c>
      <c r="N2385" s="564" t="str">
        <f t="shared" si="517"/>
        <v xml:space="preserve"> </v>
      </c>
      <c r="O2385" s="572"/>
      <c r="P2385" s="740"/>
      <c r="Q2385" s="564" t="str">
        <f>IF(O2385&lt;&gt;0,VLOOKUP(O2385,'Cây trong'!$A$2:$C$246,3,0)," ")</f>
        <v xml:space="preserve"> </v>
      </c>
      <c r="R2385" s="564" t="str">
        <f t="shared" si="526"/>
        <v xml:space="preserve"> </v>
      </c>
      <c r="S2385" s="566"/>
      <c r="T2385" s="609"/>
      <c r="U2385" s="741"/>
      <c r="V2385" s="586"/>
      <c r="W2385" s="564" t="str">
        <f>IF(S2385&lt;&gt;0,VLOOKUP(S2385,VKT!$A$2:$G$415,7,0),"")</f>
        <v/>
      </c>
      <c r="X2385" s="564" t="str">
        <f t="shared" si="520"/>
        <v xml:space="preserve"> </v>
      </c>
      <c r="Y2385" s="650"/>
      <c r="Z2385" s="586"/>
      <c r="AA2385" s="742"/>
      <c r="AB2385" s="586"/>
      <c r="AC2385" s="586"/>
      <c r="AD2385" s="586"/>
      <c r="AE2385" s="586"/>
      <c r="AF2385" s="714"/>
      <c r="AG2385" s="570" t="str">
        <f>IF(AE2385&lt;&gt;0,VLOOKUP(AE2385,ODDS!$A$2:$C$13,3,0),"")</f>
        <v/>
      </c>
      <c r="AH2385" s="570" t="str">
        <f t="shared" si="527"/>
        <v xml:space="preserve"> </v>
      </c>
      <c r="AI2385" s="571" t="str">
        <f t="shared" si="532"/>
        <v xml:space="preserve"> </v>
      </c>
      <c r="AJ2385" s="586"/>
      <c r="AK2385" s="586"/>
    </row>
    <row r="2386" spans="1:37" s="394" customFormat="1" ht="20.25" outlineLevel="2" x14ac:dyDescent="0.3">
      <c r="A2386" s="447">
        <f>IF(B2385&lt;&gt;0,B2385,A2385)</f>
        <v>203</v>
      </c>
      <c r="B2386" s="557"/>
      <c r="C2386" s="607"/>
      <c r="D2386" s="700"/>
      <c r="E2386" s="612"/>
      <c r="F2386" s="612"/>
      <c r="G2386" s="586"/>
      <c r="H2386" s="709"/>
      <c r="I2386" s="546"/>
      <c r="J2386" s="562"/>
      <c r="K2386" s="563" t="str">
        <f>IF(G2386&lt;&gt;0,VLOOKUP(G2386,'gia dat'!$A$1:$F$144,5,0)," ")</f>
        <v xml:space="preserve"> </v>
      </c>
      <c r="L2386" s="563" t="str">
        <f>IF(G2386&lt;&gt;0,VLOOKUP(G2386,'gia dat'!$A$1:$F$144,6,0)," ")</f>
        <v xml:space="preserve"> </v>
      </c>
      <c r="M2386" s="564" t="str">
        <f t="shared" si="516"/>
        <v xml:space="preserve"> </v>
      </c>
      <c r="N2386" s="564" t="str">
        <f t="shared" si="517"/>
        <v xml:space="preserve"> </v>
      </c>
      <c r="O2386" s="572"/>
      <c r="P2386" s="740"/>
      <c r="Q2386" s="564" t="str">
        <f>IF(O2386&lt;&gt;0,VLOOKUP(O2386,'Cây trong'!$A$2:$C$246,3,0)," ")</f>
        <v xml:space="preserve"> </v>
      </c>
      <c r="R2386" s="564" t="str">
        <f t="shared" si="526"/>
        <v xml:space="preserve"> </v>
      </c>
      <c r="S2386" s="566"/>
      <c r="T2386" s="609"/>
      <c r="U2386" s="741"/>
      <c r="V2386" s="586"/>
      <c r="W2386" s="564" t="str">
        <f>IF(S2386&lt;&gt;0,VLOOKUP(S2386,VKT!$A$2:$G$415,7,0),"")</f>
        <v/>
      </c>
      <c r="X2386" s="564" t="str">
        <f t="shared" si="520"/>
        <v xml:space="preserve"> </v>
      </c>
      <c r="Y2386" s="650"/>
      <c r="Z2386" s="586"/>
      <c r="AA2386" s="742"/>
      <c r="AB2386" s="586"/>
      <c r="AC2386" s="586"/>
      <c r="AD2386" s="586"/>
      <c r="AE2386" s="586"/>
      <c r="AF2386" s="714"/>
      <c r="AG2386" s="570" t="str">
        <f>IF(AE2386&lt;&gt;0,VLOOKUP(AE2386,ODDS!$A$2:$C$13,3,0),"")</f>
        <v/>
      </c>
      <c r="AH2386" s="570" t="str">
        <f t="shared" si="527"/>
        <v xml:space="preserve"> </v>
      </c>
      <c r="AI2386" s="571" t="str">
        <f t="shared" si="532"/>
        <v xml:space="preserve"> </v>
      </c>
      <c r="AJ2386" s="586"/>
      <c r="AK2386" s="586"/>
    </row>
    <row r="2387" spans="1:37" s="394" customFormat="1" ht="40.5" outlineLevel="1" x14ac:dyDescent="0.25">
      <c r="A2387" s="467" t="s">
        <v>2506</v>
      </c>
      <c r="B2387" s="576">
        <v>204</v>
      </c>
      <c r="C2387" s="607" t="s">
        <v>2054</v>
      </c>
      <c r="D2387" s="706"/>
      <c r="E2387" s="642"/>
      <c r="F2387" s="642"/>
      <c r="G2387" s="578"/>
      <c r="H2387" s="707">
        <f>SUBTOTAL(9,H2388:H2392)</f>
        <v>95</v>
      </c>
      <c r="I2387" s="579">
        <f>SUBTOTAL(9,I2388:I2393)</f>
        <v>0</v>
      </c>
      <c r="J2387" s="580"/>
      <c r="K2387" s="581"/>
      <c r="L2387" s="581"/>
      <c r="M2387" s="571">
        <f>SUBTOTAL(9,M2388:M2392)</f>
        <v>44232000</v>
      </c>
      <c r="N2387" s="571">
        <f>SUBTOTAL(9,N2388:N2392)</f>
        <v>0</v>
      </c>
      <c r="O2387" s="607"/>
      <c r="P2387" s="738">
        <f>SUBTOTAL(9,P2388:P2392)</f>
        <v>0</v>
      </c>
      <c r="Q2387" s="571"/>
      <c r="R2387" s="571">
        <f>SUBTOTAL(9,R2388:R2392)</f>
        <v>0</v>
      </c>
      <c r="S2387" s="582"/>
      <c r="T2387" s="621"/>
      <c r="U2387" s="739">
        <f>SUBTOTAL(9,U2388:U2392)</f>
        <v>0</v>
      </c>
      <c r="V2387" s="578"/>
      <c r="W2387" s="571"/>
      <c r="X2387" s="571">
        <f>SUBTOTAL(9,X2388:X2392)</f>
        <v>0</v>
      </c>
      <c r="Y2387" s="650"/>
      <c r="Z2387" s="586"/>
      <c r="AA2387" s="742"/>
      <c r="AB2387" s="586"/>
      <c r="AC2387" s="586"/>
      <c r="AD2387" s="586"/>
      <c r="AE2387" s="578"/>
      <c r="AF2387" s="712">
        <f>SUBTOTAL(9,AF2388:AF2392)</f>
        <v>0</v>
      </c>
      <c r="AG2387" s="585"/>
      <c r="AH2387" s="585">
        <f>SUBTOTAL(9,AH2388:AH2392)</f>
        <v>0</v>
      </c>
      <c r="AI2387" s="571">
        <f t="shared" si="532"/>
        <v>44232000</v>
      </c>
      <c r="AJ2387" s="578"/>
      <c r="AK2387" s="578"/>
    </row>
    <row r="2388" spans="1:37" s="394" customFormat="1" ht="121.5" outlineLevel="2" x14ac:dyDescent="0.3">
      <c r="A2388" s="447">
        <f>IF(B2387&lt;&gt;0,B2387,A2386)</f>
        <v>204</v>
      </c>
      <c r="B2388" s="557"/>
      <c r="C2388" s="572"/>
      <c r="D2388" s="700"/>
      <c r="E2388" s="612">
        <v>86</v>
      </c>
      <c r="F2388" s="612">
        <v>223</v>
      </c>
      <c r="G2388" s="586" t="s">
        <v>2856</v>
      </c>
      <c r="H2388" s="709">
        <v>95</v>
      </c>
      <c r="I2388" s="546" t="str">
        <f t="shared" ref="I2388" si="534">IF(N2388&gt;0,H2388,"")</f>
        <v/>
      </c>
      <c r="J2388" s="562"/>
      <c r="K2388" s="563">
        <f>IF(G2388&lt;&gt;0,VLOOKUP(G2388,'gia dat'!$A$1:$F$144,5,0)," ")</f>
        <v>465600</v>
      </c>
      <c r="L2388" s="563">
        <f>IF(G2388&lt;&gt;0,VLOOKUP(G2388,'gia dat'!$A$1:$F$144,6,0)," ")</f>
        <v>0</v>
      </c>
      <c r="M2388" s="564">
        <f t="shared" si="516"/>
        <v>44232000</v>
      </c>
      <c r="N2388" s="564">
        <f t="shared" si="517"/>
        <v>0</v>
      </c>
      <c r="O2388" s="572"/>
      <c r="P2388" s="740"/>
      <c r="Q2388" s="564" t="str">
        <f>IF(O2388&lt;&gt;0,VLOOKUP(O2388,'Cây trong'!$A$2:$C$246,3,0)," ")</f>
        <v xml:space="preserve"> </v>
      </c>
      <c r="R2388" s="564" t="str">
        <f t="shared" si="526"/>
        <v xml:space="preserve"> </v>
      </c>
      <c r="S2388" s="566"/>
      <c r="T2388" s="609"/>
      <c r="U2388" s="741"/>
      <c r="V2388" s="586"/>
      <c r="W2388" s="564" t="str">
        <f>IF(S2388&lt;&gt;0,VLOOKUP(S2388,VKT!$A$2:$G$415,7,0),"")</f>
        <v/>
      </c>
      <c r="X2388" s="564" t="str">
        <f t="shared" si="520"/>
        <v xml:space="preserve"> </v>
      </c>
      <c r="Y2388" s="650"/>
      <c r="Z2388" s="586"/>
      <c r="AA2388" s="742"/>
      <c r="AB2388" s="586"/>
      <c r="AC2388" s="586"/>
      <c r="AD2388" s="586"/>
      <c r="AE2388" s="586"/>
      <c r="AF2388" s="714"/>
      <c r="AG2388" s="570" t="str">
        <f>IF(AE2388&lt;&gt;0,VLOOKUP(AE2388,ODDS!$A$2:$C$13,3,0),"")</f>
        <v/>
      </c>
      <c r="AH2388" s="570" t="str">
        <f t="shared" si="527"/>
        <v xml:space="preserve"> </v>
      </c>
      <c r="AI2388" s="571" t="str">
        <f t="shared" si="532"/>
        <v xml:space="preserve"> </v>
      </c>
      <c r="AJ2388" s="586"/>
      <c r="AK2388" s="586" t="s">
        <v>2771</v>
      </c>
    </row>
    <row r="2389" spans="1:37" s="394" customFormat="1" ht="20.25" outlineLevel="2" x14ac:dyDescent="0.3">
      <c r="A2389" s="447">
        <f>IF(B2388&lt;&gt;0,B2388,A2388)</f>
        <v>204</v>
      </c>
      <c r="B2389" s="557"/>
      <c r="C2389" s="572"/>
      <c r="D2389" s="700"/>
      <c r="E2389" s="612"/>
      <c r="F2389" s="612"/>
      <c r="G2389" s="586"/>
      <c r="H2389" s="709"/>
      <c r="I2389" s="546"/>
      <c r="J2389" s="562"/>
      <c r="K2389" s="563" t="str">
        <f>IF(G2389&lt;&gt;0,VLOOKUP(G2389,'gia dat'!$A$1:$F$144,5,0)," ")</f>
        <v xml:space="preserve"> </v>
      </c>
      <c r="L2389" s="563" t="str">
        <f>IF(G2389&lt;&gt;0,VLOOKUP(G2389,'gia dat'!$A$1:$F$144,6,0)," ")</f>
        <v xml:space="preserve"> </v>
      </c>
      <c r="M2389" s="564" t="str">
        <f t="shared" ref="M2389:M2426" si="535">IF(H2389&lt;&gt;0,ROUND(H2389*K2389,-3)," ")</f>
        <v xml:space="preserve"> </v>
      </c>
      <c r="N2389" s="564" t="str">
        <f t="shared" ref="N2389:N2426" si="536">IF(H2389&lt;&gt;0,ROUND(H2389*L2389,-3)," ")</f>
        <v xml:space="preserve"> </v>
      </c>
      <c r="O2389" s="572"/>
      <c r="P2389" s="740"/>
      <c r="Q2389" s="564" t="str">
        <f>IF(O2389&lt;&gt;0,VLOOKUP(O2389,'Cây trong'!$A$2:$C$246,3,0)," ")</f>
        <v xml:space="preserve"> </v>
      </c>
      <c r="R2389" s="564" t="str">
        <f t="shared" si="526"/>
        <v xml:space="preserve"> </v>
      </c>
      <c r="S2389" s="566"/>
      <c r="T2389" s="609"/>
      <c r="U2389" s="741"/>
      <c r="V2389" s="586"/>
      <c r="W2389" s="564" t="str">
        <f>IF(S2389&lt;&gt;0,VLOOKUP(S2389,VKT!$A$2:$G$415,7,0),"")</f>
        <v/>
      </c>
      <c r="X2389" s="564" t="str">
        <f t="shared" si="520"/>
        <v xml:space="preserve"> </v>
      </c>
      <c r="Y2389" s="650"/>
      <c r="Z2389" s="586"/>
      <c r="AA2389" s="742"/>
      <c r="AB2389" s="586"/>
      <c r="AC2389" s="586"/>
      <c r="AD2389" s="586"/>
      <c r="AE2389" s="586"/>
      <c r="AF2389" s="714"/>
      <c r="AG2389" s="570" t="str">
        <f>IF(AE2389&lt;&gt;0,VLOOKUP(AE2389,ODDS!$A$2:$C$13,3,0),"")</f>
        <v/>
      </c>
      <c r="AH2389" s="570" t="str">
        <f t="shared" si="527"/>
        <v xml:space="preserve"> </v>
      </c>
      <c r="AI2389" s="571" t="str">
        <f t="shared" si="532"/>
        <v xml:space="preserve"> </v>
      </c>
      <c r="AJ2389" s="586"/>
      <c r="AK2389" s="586"/>
    </row>
    <row r="2390" spans="1:37" s="394" customFormat="1" ht="20.25" outlineLevel="2" x14ac:dyDescent="0.3">
      <c r="A2390" s="447">
        <f>IF(B2389&lt;&gt;0,B2389,A2389)</f>
        <v>204</v>
      </c>
      <c r="B2390" s="557"/>
      <c r="C2390" s="572"/>
      <c r="D2390" s="700"/>
      <c r="E2390" s="612"/>
      <c r="F2390" s="612"/>
      <c r="G2390" s="586"/>
      <c r="H2390" s="709"/>
      <c r="I2390" s="546"/>
      <c r="J2390" s="562"/>
      <c r="K2390" s="563" t="str">
        <f>IF(G2390&lt;&gt;0,VLOOKUP(G2390,'gia dat'!$A$1:$F$144,5,0)," ")</f>
        <v xml:space="preserve"> </v>
      </c>
      <c r="L2390" s="563" t="str">
        <f>IF(G2390&lt;&gt;0,VLOOKUP(G2390,'gia dat'!$A$1:$F$144,6,0)," ")</f>
        <v xml:space="preserve"> </v>
      </c>
      <c r="M2390" s="564" t="str">
        <f t="shared" si="535"/>
        <v xml:space="preserve"> </v>
      </c>
      <c r="N2390" s="564" t="str">
        <f t="shared" si="536"/>
        <v xml:space="preserve"> </v>
      </c>
      <c r="O2390" s="572"/>
      <c r="P2390" s="740"/>
      <c r="Q2390" s="564" t="str">
        <f>IF(O2390&lt;&gt;0,VLOOKUP(O2390,'Cây trong'!$A$2:$C$246,3,0)," ")</f>
        <v xml:space="preserve"> </v>
      </c>
      <c r="R2390" s="564" t="str">
        <f t="shared" si="526"/>
        <v xml:space="preserve"> </v>
      </c>
      <c r="S2390" s="566"/>
      <c r="T2390" s="609"/>
      <c r="U2390" s="741"/>
      <c r="V2390" s="586"/>
      <c r="W2390" s="564" t="str">
        <f>IF(S2390&lt;&gt;0,VLOOKUP(S2390,VKT!$A$2:$G$415,7,0),"")</f>
        <v/>
      </c>
      <c r="X2390" s="564" t="str">
        <f t="shared" si="520"/>
        <v xml:space="preserve"> </v>
      </c>
      <c r="Y2390" s="650"/>
      <c r="Z2390" s="586"/>
      <c r="AA2390" s="742"/>
      <c r="AB2390" s="586"/>
      <c r="AC2390" s="586"/>
      <c r="AD2390" s="586"/>
      <c r="AE2390" s="586"/>
      <c r="AF2390" s="714"/>
      <c r="AG2390" s="570" t="str">
        <f>IF(AE2390&lt;&gt;0,VLOOKUP(AE2390,ODDS!$A$2:$C$13,3,0),"")</f>
        <v/>
      </c>
      <c r="AH2390" s="570" t="str">
        <f t="shared" si="527"/>
        <v xml:space="preserve"> </v>
      </c>
      <c r="AI2390" s="571" t="str">
        <f t="shared" si="532"/>
        <v xml:space="preserve"> </v>
      </c>
      <c r="AJ2390" s="586"/>
      <c r="AK2390" s="586"/>
    </row>
    <row r="2391" spans="1:37" s="394" customFormat="1" ht="20.25" outlineLevel="2" x14ac:dyDescent="0.3">
      <c r="A2391" s="447">
        <f>IF(B2390&lt;&gt;0,B2390,A2390)</f>
        <v>204</v>
      </c>
      <c r="B2391" s="557"/>
      <c r="C2391" s="572"/>
      <c r="D2391" s="700"/>
      <c r="E2391" s="612"/>
      <c r="F2391" s="612"/>
      <c r="G2391" s="586"/>
      <c r="H2391" s="709"/>
      <c r="I2391" s="546"/>
      <c r="J2391" s="562"/>
      <c r="K2391" s="563" t="str">
        <f>IF(G2391&lt;&gt;0,VLOOKUP(G2391,'gia dat'!$A$1:$F$144,5,0)," ")</f>
        <v xml:space="preserve"> </v>
      </c>
      <c r="L2391" s="563" t="str">
        <f>IF(G2391&lt;&gt;0,VLOOKUP(G2391,'gia dat'!$A$1:$F$144,6,0)," ")</f>
        <v xml:space="preserve"> </v>
      </c>
      <c r="M2391" s="564" t="str">
        <f t="shared" si="535"/>
        <v xml:space="preserve"> </v>
      </c>
      <c r="N2391" s="564" t="str">
        <f t="shared" si="536"/>
        <v xml:space="preserve"> </v>
      </c>
      <c r="O2391" s="572"/>
      <c r="P2391" s="740"/>
      <c r="Q2391" s="564" t="str">
        <f>IF(O2391&lt;&gt;0,VLOOKUP(O2391,'Cây trong'!$A$2:$C$246,3,0)," ")</f>
        <v xml:space="preserve"> </v>
      </c>
      <c r="R2391" s="564" t="str">
        <f t="shared" si="526"/>
        <v xml:space="preserve"> </v>
      </c>
      <c r="S2391" s="566"/>
      <c r="T2391" s="609"/>
      <c r="U2391" s="741"/>
      <c r="V2391" s="586"/>
      <c r="W2391" s="564" t="str">
        <f>IF(S2391&lt;&gt;0,VLOOKUP(S2391,VKT!$A$2:$G$415,7,0),"")</f>
        <v/>
      </c>
      <c r="X2391" s="564" t="str">
        <f t="shared" si="520"/>
        <v xml:space="preserve"> </v>
      </c>
      <c r="Y2391" s="650"/>
      <c r="Z2391" s="586"/>
      <c r="AA2391" s="742"/>
      <c r="AB2391" s="586"/>
      <c r="AC2391" s="586"/>
      <c r="AD2391" s="586"/>
      <c r="AE2391" s="586"/>
      <c r="AF2391" s="714"/>
      <c r="AG2391" s="570" t="str">
        <f>IF(AE2391&lt;&gt;0,VLOOKUP(AE2391,ODDS!$A$2:$C$13,3,0),"")</f>
        <v/>
      </c>
      <c r="AH2391" s="570" t="str">
        <f t="shared" si="527"/>
        <v xml:space="preserve"> </v>
      </c>
      <c r="AI2391" s="571" t="str">
        <f t="shared" si="532"/>
        <v xml:space="preserve"> </v>
      </c>
      <c r="AJ2391" s="586"/>
      <c r="AK2391" s="586"/>
    </row>
    <row r="2392" spans="1:37" s="394" customFormat="1" ht="20.25" outlineLevel="2" x14ac:dyDescent="0.3">
      <c r="A2392" s="447">
        <f>IF(B2391&lt;&gt;0,B2391,A2391)</f>
        <v>204</v>
      </c>
      <c r="B2392" s="557"/>
      <c r="C2392" s="607"/>
      <c r="D2392" s="700"/>
      <c r="E2392" s="612"/>
      <c r="F2392" s="612"/>
      <c r="G2392" s="586"/>
      <c r="H2392" s="709"/>
      <c r="I2392" s="546"/>
      <c r="J2392" s="562"/>
      <c r="K2392" s="563" t="str">
        <f>IF(G2392&lt;&gt;0,VLOOKUP(G2392,'gia dat'!$A$1:$F$144,5,0)," ")</f>
        <v xml:space="preserve"> </v>
      </c>
      <c r="L2392" s="563" t="str">
        <f>IF(G2392&lt;&gt;0,VLOOKUP(G2392,'gia dat'!$A$1:$F$144,6,0)," ")</f>
        <v xml:space="preserve"> </v>
      </c>
      <c r="M2392" s="564" t="str">
        <f t="shared" si="535"/>
        <v xml:space="preserve"> </v>
      </c>
      <c r="N2392" s="564" t="str">
        <f t="shared" si="536"/>
        <v xml:space="preserve"> </v>
      </c>
      <c r="O2392" s="572"/>
      <c r="P2392" s="740"/>
      <c r="Q2392" s="564" t="str">
        <f>IF(O2392&lt;&gt;0,VLOOKUP(O2392,'Cây trong'!$A$2:$C$246,3,0)," ")</f>
        <v xml:space="preserve"> </v>
      </c>
      <c r="R2392" s="564" t="str">
        <f t="shared" si="526"/>
        <v xml:space="preserve"> </v>
      </c>
      <c r="S2392" s="566"/>
      <c r="T2392" s="609"/>
      <c r="U2392" s="741"/>
      <c r="V2392" s="586"/>
      <c r="W2392" s="564" t="str">
        <f>IF(S2392&lt;&gt;0,VLOOKUP(S2392,VKT!$A$2:$G$415,7,0),"")</f>
        <v/>
      </c>
      <c r="X2392" s="564" t="str">
        <f t="shared" si="520"/>
        <v xml:space="preserve"> </v>
      </c>
      <c r="Y2392" s="650"/>
      <c r="Z2392" s="586"/>
      <c r="AA2392" s="742"/>
      <c r="AB2392" s="586"/>
      <c r="AC2392" s="586"/>
      <c r="AD2392" s="586"/>
      <c r="AE2392" s="586"/>
      <c r="AF2392" s="714"/>
      <c r="AG2392" s="570" t="str">
        <f>IF(AE2392&lt;&gt;0,VLOOKUP(AE2392,ODDS!$A$2:$C$13,3,0),"")</f>
        <v/>
      </c>
      <c r="AH2392" s="570" t="str">
        <f t="shared" si="527"/>
        <v xml:space="preserve"> </v>
      </c>
      <c r="AI2392" s="571" t="str">
        <f t="shared" si="532"/>
        <v xml:space="preserve"> </v>
      </c>
      <c r="AJ2392" s="586"/>
      <c r="AK2392" s="586"/>
    </row>
    <row r="2393" spans="1:37" s="394" customFormat="1" ht="60.75" outlineLevel="1" x14ac:dyDescent="0.25">
      <c r="A2393" s="467" t="s">
        <v>2505</v>
      </c>
      <c r="B2393" s="576">
        <v>205</v>
      </c>
      <c r="C2393" s="607" t="s">
        <v>2055</v>
      </c>
      <c r="D2393" s="706"/>
      <c r="E2393" s="642"/>
      <c r="F2393" s="642"/>
      <c r="G2393" s="578"/>
      <c r="H2393" s="707">
        <f>SUBTOTAL(9,H2394:H2398)</f>
        <v>95</v>
      </c>
      <c r="I2393" s="579">
        <f>SUBTOTAL(9,I2394:I2399)</f>
        <v>0</v>
      </c>
      <c r="J2393" s="580"/>
      <c r="K2393" s="581"/>
      <c r="L2393" s="581"/>
      <c r="M2393" s="571">
        <f>SUBTOTAL(9,M2394:M2398)</f>
        <v>44232000</v>
      </c>
      <c r="N2393" s="571">
        <f>SUBTOTAL(9,N2394:N2398)</f>
        <v>0</v>
      </c>
      <c r="O2393" s="607"/>
      <c r="P2393" s="738">
        <f>SUBTOTAL(9,P2394:P2398)</f>
        <v>0</v>
      </c>
      <c r="Q2393" s="571"/>
      <c r="R2393" s="571">
        <f>SUBTOTAL(9,R2394:R2398)</f>
        <v>0</v>
      </c>
      <c r="S2393" s="582"/>
      <c r="T2393" s="621"/>
      <c r="U2393" s="739">
        <f>SUBTOTAL(9,U2394:U2398)</f>
        <v>0</v>
      </c>
      <c r="V2393" s="578"/>
      <c r="W2393" s="571"/>
      <c r="X2393" s="571">
        <f>SUBTOTAL(9,X2394:X2398)</f>
        <v>0</v>
      </c>
      <c r="Y2393" s="650"/>
      <c r="Z2393" s="586"/>
      <c r="AA2393" s="742"/>
      <c r="AB2393" s="586"/>
      <c r="AC2393" s="586"/>
      <c r="AD2393" s="586"/>
      <c r="AE2393" s="578"/>
      <c r="AF2393" s="712">
        <f>SUBTOTAL(9,AF2394:AF2398)</f>
        <v>0</v>
      </c>
      <c r="AG2393" s="585"/>
      <c r="AH2393" s="585">
        <f>SUBTOTAL(9,AH2394:AH2398)</f>
        <v>0</v>
      </c>
      <c r="AI2393" s="571">
        <f t="shared" si="532"/>
        <v>44232000</v>
      </c>
      <c r="AJ2393" s="578"/>
      <c r="AK2393" s="578"/>
    </row>
    <row r="2394" spans="1:37" s="394" customFormat="1" ht="121.5" outlineLevel="2" x14ac:dyDescent="0.3">
      <c r="A2394" s="447">
        <f>IF(B2393&lt;&gt;0,B2393,A2392)</f>
        <v>205</v>
      </c>
      <c r="B2394" s="557"/>
      <c r="C2394" s="572"/>
      <c r="D2394" s="700"/>
      <c r="E2394" s="612">
        <v>86</v>
      </c>
      <c r="F2394" s="612">
        <v>224</v>
      </c>
      <c r="G2394" s="586" t="s">
        <v>2856</v>
      </c>
      <c r="H2394" s="709">
        <v>95</v>
      </c>
      <c r="I2394" s="546" t="str">
        <f t="shared" ref="I2394" si="537">IF(N2394&gt;0,H2394,"")</f>
        <v/>
      </c>
      <c r="J2394" s="562"/>
      <c r="K2394" s="563">
        <f>IF(G2394&lt;&gt;0,VLOOKUP(G2394,'gia dat'!$A$1:$F$144,5,0)," ")</f>
        <v>465600</v>
      </c>
      <c r="L2394" s="563">
        <f>IF(G2394&lt;&gt;0,VLOOKUP(G2394,'gia dat'!$A$1:$F$144,6,0)," ")</f>
        <v>0</v>
      </c>
      <c r="M2394" s="564">
        <f t="shared" si="535"/>
        <v>44232000</v>
      </c>
      <c r="N2394" s="564">
        <f t="shared" si="536"/>
        <v>0</v>
      </c>
      <c r="O2394" s="572"/>
      <c r="P2394" s="740"/>
      <c r="Q2394" s="564" t="str">
        <f>IF(O2394&lt;&gt;0,VLOOKUP(O2394,'Cây trong'!$A$2:$C$246,3,0)," ")</f>
        <v xml:space="preserve"> </v>
      </c>
      <c r="R2394" s="564" t="str">
        <f t="shared" si="526"/>
        <v xml:space="preserve"> </v>
      </c>
      <c r="S2394" s="566"/>
      <c r="T2394" s="609"/>
      <c r="U2394" s="741"/>
      <c r="V2394" s="586"/>
      <c r="W2394" s="564" t="str">
        <f>IF(S2394&lt;&gt;0,VLOOKUP(S2394,VKT!$A$2:$G$415,7,0),"")</f>
        <v/>
      </c>
      <c r="X2394" s="564" t="str">
        <f t="shared" si="520"/>
        <v xml:space="preserve"> </v>
      </c>
      <c r="Y2394" s="650"/>
      <c r="Z2394" s="586"/>
      <c r="AA2394" s="742"/>
      <c r="AB2394" s="586"/>
      <c r="AC2394" s="586"/>
      <c r="AD2394" s="586"/>
      <c r="AE2394" s="586"/>
      <c r="AF2394" s="714"/>
      <c r="AG2394" s="570" t="str">
        <f>IF(AE2394&lt;&gt;0,VLOOKUP(AE2394,ODDS!$A$2:$C$13,3,0),"")</f>
        <v/>
      </c>
      <c r="AH2394" s="570" t="str">
        <f t="shared" si="527"/>
        <v xml:space="preserve"> </v>
      </c>
      <c r="AI2394" s="571" t="str">
        <f t="shared" si="532"/>
        <v xml:space="preserve"> </v>
      </c>
      <c r="AJ2394" s="586"/>
      <c r="AK2394" s="586" t="s">
        <v>2771</v>
      </c>
    </row>
    <row r="2395" spans="1:37" s="394" customFormat="1" ht="20.25" outlineLevel="2" x14ac:dyDescent="0.3">
      <c r="A2395" s="447">
        <f>IF(B2394&lt;&gt;0,B2394,A2394)</f>
        <v>205</v>
      </c>
      <c r="B2395" s="557"/>
      <c r="C2395" s="572"/>
      <c r="D2395" s="700"/>
      <c r="E2395" s="612"/>
      <c r="F2395" s="612"/>
      <c r="G2395" s="586"/>
      <c r="H2395" s="709"/>
      <c r="I2395" s="546"/>
      <c r="J2395" s="562"/>
      <c r="K2395" s="563" t="str">
        <f>IF(G2395&lt;&gt;0,VLOOKUP(G2395,'gia dat'!$A$1:$F$144,5,0)," ")</f>
        <v xml:space="preserve"> </v>
      </c>
      <c r="L2395" s="563" t="str">
        <f>IF(G2395&lt;&gt;0,VLOOKUP(G2395,'gia dat'!$A$1:$F$144,6,0)," ")</f>
        <v xml:space="preserve"> </v>
      </c>
      <c r="M2395" s="564" t="str">
        <f t="shared" si="535"/>
        <v xml:space="preserve"> </v>
      </c>
      <c r="N2395" s="564" t="str">
        <f t="shared" si="536"/>
        <v xml:space="preserve"> </v>
      </c>
      <c r="O2395" s="572"/>
      <c r="P2395" s="740"/>
      <c r="Q2395" s="564" t="str">
        <f>IF(O2395&lt;&gt;0,VLOOKUP(O2395,'Cây trong'!$A$2:$C$246,3,0)," ")</f>
        <v xml:space="preserve"> </v>
      </c>
      <c r="R2395" s="564" t="str">
        <f t="shared" si="526"/>
        <v xml:space="preserve"> </v>
      </c>
      <c r="S2395" s="566"/>
      <c r="T2395" s="609"/>
      <c r="U2395" s="741"/>
      <c r="V2395" s="586"/>
      <c r="W2395" s="564" t="str">
        <f>IF(S2395&lt;&gt;0,VLOOKUP(S2395,VKT!$A$2:$G$415,7,0),"")</f>
        <v/>
      </c>
      <c r="X2395" s="564" t="str">
        <f t="shared" si="520"/>
        <v xml:space="preserve"> </v>
      </c>
      <c r="Y2395" s="650"/>
      <c r="Z2395" s="586"/>
      <c r="AA2395" s="742"/>
      <c r="AB2395" s="586"/>
      <c r="AC2395" s="586"/>
      <c r="AD2395" s="586"/>
      <c r="AE2395" s="586"/>
      <c r="AF2395" s="714"/>
      <c r="AG2395" s="570" t="str">
        <f>IF(AE2395&lt;&gt;0,VLOOKUP(AE2395,ODDS!$A$2:$C$13,3,0),"")</f>
        <v/>
      </c>
      <c r="AH2395" s="570" t="str">
        <f t="shared" si="527"/>
        <v xml:space="preserve"> </v>
      </c>
      <c r="AI2395" s="571" t="str">
        <f t="shared" si="532"/>
        <v xml:space="preserve"> </v>
      </c>
      <c r="AJ2395" s="586"/>
      <c r="AK2395" s="586"/>
    </row>
    <row r="2396" spans="1:37" s="394" customFormat="1" ht="20.25" outlineLevel="2" x14ac:dyDescent="0.3">
      <c r="A2396" s="447">
        <f>IF(B2395&lt;&gt;0,B2395,A2395)</f>
        <v>205</v>
      </c>
      <c r="B2396" s="557"/>
      <c r="C2396" s="572"/>
      <c r="D2396" s="700"/>
      <c r="E2396" s="612"/>
      <c r="F2396" s="612"/>
      <c r="G2396" s="586"/>
      <c r="H2396" s="709"/>
      <c r="I2396" s="546"/>
      <c r="J2396" s="562"/>
      <c r="K2396" s="563" t="str">
        <f>IF(G2396&lt;&gt;0,VLOOKUP(G2396,'gia dat'!$A$1:$F$144,5,0)," ")</f>
        <v xml:space="preserve"> </v>
      </c>
      <c r="L2396" s="563" t="str">
        <f>IF(G2396&lt;&gt;0,VLOOKUP(G2396,'gia dat'!$A$1:$F$144,6,0)," ")</f>
        <v xml:space="preserve"> </v>
      </c>
      <c r="M2396" s="564" t="str">
        <f t="shared" si="535"/>
        <v xml:space="preserve"> </v>
      </c>
      <c r="N2396" s="564" t="str">
        <f t="shared" si="536"/>
        <v xml:space="preserve"> </v>
      </c>
      <c r="O2396" s="572"/>
      <c r="P2396" s="740"/>
      <c r="Q2396" s="564" t="str">
        <f>IF(O2396&lt;&gt;0,VLOOKUP(O2396,'Cây trong'!$A$2:$C$246,3,0)," ")</f>
        <v xml:space="preserve"> </v>
      </c>
      <c r="R2396" s="564" t="str">
        <f t="shared" si="526"/>
        <v xml:space="preserve"> </v>
      </c>
      <c r="S2396" s="566"/>
      <c r="T2396" s="609"/>
      <c r="U2396" s="741"/>
      <c r="V2396" s="586"/>
      <c r="W2396" s="564" t="str">
        <f>IF(S2396&lt;&gt;0,VLOOKUP(S2396,VKT!$A$2:$G$415,7,0),"")</f>
        <v/>
      </c>
      <c r="X2396" s="564" t="str">
        <f t="shared" si="520"/>
        <v xml:space="preserve"> </v>
      </c>
      <c r="Y2396" s="650"/>
      <c r="Z2396" s="586"/>
      <c r="AA2396" s="742"/>
      <c r="AB2396" s="586"/>
      <c r="AC2396" s="586"/>
      <c r="AD2396" s="586"/>
      <c r="AE2396" s="586"/>
      <c r="AF2396" s="714"/>
      <c r="AG2396" s="570" t="str">
        <f>IF(AE2396&lt;&gt;0,VLOOKUP(AE2396,ODDS!$A$2:$C$13,3,0),"")</f>
        <v/>
      </c>
      <c r="AH2396" s="570" t="str">
        <f t="shared" si="527"/>
        <v xml:space="preserve"> </v>
      </c>
      <c r="AI2396" s="571" t="str">
        <f t="shared" si="532"/>
        <v xml:space="preserve"> </v>
      </c>
      <c r="AJ2396" s="586"/>
      <c r="AK2396" s="586"/>
    </row>
    <row r="2397" spans="1:37" s="394" customFormat="1" ht="20.25" outlineLevel="2" x14ac:dyDescent="0.3">
      <c r="A2397" s="447">
        <f>IF(B2396&lt;&gt;0,B2396,A2396)</f>
        <v>205</v>
      </c>
      <c r="B2397" s="557"/>
      <c r="C2397" s="572"/>
      <c r="D2397" s="700"/>
      <c r="E2397" s="612"/>
      <c r="F2397" s="612"/>
      <c r="G2397" s="586"/>
      <c r="H2397" s="709"/>
      <c r="I2397" s="546"/>
      <c r="J2397" s="562"/>
      <c r="K2397" s="563" t="str">
        <f>IF(G2397&lt;&gt;0,VLOOKUP(G2397,'gia dat'!$A$1:$F$144,5,0)," ")</f>
        <v xml:space="preserve"> </v>
      </c>
      <c r="L2397" s="563" t="str">
        <f>IF(G2397&lt;&gt;0,VLOOKUP(G2397,'gia dat'!$A$1:$F$144,6,0)," ")</f>
        <v xml:space="preserve"> </v>
      </c>
      <c r="M2397" s="564" t="str">
        <f t="shared" si="535"/>
        <v xml:space="preserve"> </v>
      </c>
      <c r="N2397" s="564" t="str">
        <f t="shared" si="536"/>
        <v xml:space="preserve"> </v>
      </c>
      <c r="O2397" s="572"/>
      <c r="P2397" s="740"/>
      <c r="Q2397" s="564" t="str">
        <f>IF(O2397&lt;&gt;0,VLOOKUP(O2397,'Cây trong'!$A$2:$C$246,3,0)," ")</f>
        <v xml:space="preserve"> </v>
      </c>
      <c r="R2397" s="564" t="str">
        <f t="shared" si="526"/>
        <v xml:space="preserve"> </v>
      </c>
      <c r="S2397" s="566"/>
      <c r="T2397" s="609"/>
      <c r="U2397" s="741"/>
      <c r="V2397" s="586"/>
      <c r="W2397" s="564" t="str">
        <f>IF(S2397&lt;&gt;0,VLOOKUP(S2397,VKT!$A$2:$G$415,7,0),"")</f>
        <v/>
      </c>
      <c r="X2397" s="564" t="str">
        <f t="shared" si="520"/>
        <v xml:space="preserve"> </v>
      </c>
      <c r="Y2397" s="650"/>
      <c r="Z2397" s="586"/>
      <c r="AA2397" s="742"/>
      <c r="AB2397" s="586"/>
      <c r="AC2397" s="586"/>
      <c r="AD2397" s="586"/>
      <c r="AE2397" s="586"/>
      <c r="AF2397" s="714"/>
      <c r="AG2397" s="570" t="str">
        <f>IF(AE2397&lt;&gt;0,VLOOKUP(AE2397,ODDS!$A$2:$C$13,3,0),"")</f>
        <v/>
      </c>
      <c r="AH2397" s="570" t="str">
        <f t="shared" si="527"/>
        <v xml:space="preserve"> </v>
      </c>
      <c r="AI2397" s="571" t="str">
        <f t="shared" si="532"/>
        <v xml:space="preserve"> </v>
      </c>
      <c r="AJ2397" s="586"/>
      <c r="AK2397" s="586"/>
    </row>
    <row r="2398" spans="1:37" s="394" customFormat="1" ht="20.25" outlineLevel="2" x14ac:dyDescent="0.3">
      <c r="A2398" s="447">
        <f>IF(B2397&lt;&gt;0,B2397,A2397)</f>
        <v>205</v>
      </c>
      <c r="B2398" s="557"/>
      <c r="C2398" s="607"/>
      <c r="D2398" s="700"/>
      <c r="E2398" s="612"/>
      <c r="F2398" s="612"/>
      <c r="G2398" s="586"/>
      <c r="H2398" s="709"/>
      <c r="I2398" s="546"/>
      <c r="J2398" s="562"/>
      <c r="K2398" s="563" t="str">
        <f>IF(G2398&lt;&gt;0,VLOOKUP(G2398,'gia dat'!$A$1:$F$144,5,0)," ")</f>
        <v xml:space="preserve"> </v>
      </c>
      <c r="L2398" s="563" t="str">
        <f>IF(G2398&lt;&gt;0,VLOOKUP(G2398,'gia dat'!$A$1:$F$144,6,0)," ")</f>
        <v xml:space="preserve"> </v>
      </c>
      <c r="M2398" s="564" t="str">
        <f t="shared" si="535"/>
        <v xml:space="preserve"> </v>
      </c>
      <c r="N2398" s="564" t="str">
        <f t="shared" si="536"/>
        <v xml:space="preserve"> </v>
      </c>
      <c r="O2398" s="572"/>
      <c r="P2398" s="740"/>
      <c r="Q2398" s="564" t="str">
        <f>IF(O2398&lt;&gt;0,VLOOKUP(O2398,'Cây trong'!$A$2:$C$246,3,0)," ")</f>
        <v xml:space="preserve"> </v>
      </c>
      <c r="R2398" s="564" t="str">
        <f t="shared" si="526"/>
        <v xml:space="preserve"> </v>
      </c>
      <c r="S2398" s="566"/>
      <c r="T2398" s="609"/>
      <c r="U2398" s="741"/>
      <c r="V2398" s="586"/>
      <c r="W2398" s="564" t="str">
        <f>IF(S2398&lt;&gt;0,VLOOKUP(S2398,VKT!$A$2:$G$415,7,0),"")</f>
        <v/>
      </c>
      <c r="X2398" s="564" t="str">
        <f t="shared" si="520"/>
        <v xml:space="preserve"> </v>
      </c>
      <c r="Y2398" s="650"/>
      <c r="Z2398" s="586"/>
      <c r="AA2398" s="742"/>
      <c r="AB2398" s="586"/>
      <c r="AC2398" s="586"/>
      <c r="AD2398" s="586"/>
      <c r="AE2398" s="586"/>
      <c r="AF2398" s="714"/>
      <c r="AG2398" s="570" t="str">
        <f>IF(AE2398&lt;&gt;0,VLOOKUP(AE2398,ODDS!$A$2:$C$13,3,0),"")</f>
        <v/>
      </c>
      <c r="AH2398" s="570" t="str">
        <f t="shared" si="527"/>
        <v xml:space="preserve"> </v>
      </c>
      <c r="AI2398" s="571" t="str">
        <f t="shared" si="532"/>
        <v xml:space="preserve"> </v>
      </c>
      <c r="AJ2398" s="586"/>
      <c r="AK2398" s="586"/>
    </row>
    <row r="2399" spans="1:37" s="396" customFormat="1" ht="40.5" outlineLevel="1" x14ac:dyDescent="0.25">
      <c r="A2399" s="467" t="s">
        <v>2504</v>
      </c>
      <c r="B2399" s="576">
        <v>206</v>
      </c>
      <c r="C2399" s="607" t="s">
        <v>2015</v>
      </c>
      <c r="D2399" s="706"/>
      <c r="E2399" s="642"/>
      <c r="F2399" s="642"/>
      <c r="G2399" s="578"/>
      <c r="H2399" s="707">
        <f>SUBTOTAL(9,H2400:H2413)</f>
        <v>490</v>
      </c>
      <c r="I2399" s="579">
        <f>SUBTOTAL(9,I2400:I2405)</f>
        <v>0</v>
      </c>
      <c r="J2399" s="580"/>
      <c r="K2399" s="581"/>
      <c r="L2399" s="581"/>
      <c r="M2399" s="571">
        <f>SUBTOTAL(9,M2400:M2413)</f>
        <v>228144000</v>
      </c>
      <c r="N2399" s="571">
        <f>SUBTOTAL(9,N2400:N2413)</f>
        <v>0</v>
      </c>
      <c r="O2399" s="607"/>
      <c r="P2399" s="738">
        <f>SUBTOTAL(9,P2400:P2413)</f>
        <v>0</v>
      </c>
      <c r="Q2399" s="571"/>
      <c r="R2399" s="571">
        <f>SUBTOTAL(9,R2400:R2413)</f>
        <v>0</v>
      </c>
      <c r="S2399" s="582"/>
      <c r="T2399" s="621"/>
      <c r="U2399" s="739">
        <f>SUBTOTAL(9,U2400:U2413)</f>
        <v>1606.9999999999998</v>
      </c>
      <c r="V2399" s="578"/>
      <c r="W2399" s="571"/>
      <c r="X2399" s="571">
        <f>SUBTOTAL(9,X2400:X2413)</f>
        <v>2181683000</v>
      </c>
      <c r="Y2399" s="650"/>
      <c r="Z2399" s="586"/>
      <c r="AA2399" s="742"/>
      <c r="AB2399" s="586"/>
      <c r="AC2399" s="586"/>
      <c r="AD2399" s="586"/>
      <c r="AE2399" s="578"/>
      <c r="AF2399" s="712">
        <f>SUBTOTAL(9,AF2400:AF2413)</f>
        <v>1</v>
      </c>
      <c r="AG2399" s="585"/>
      <c r="AH2399" s="585">
        <f>SUBTOTAL(9,AH2400:AH2413)</f>
        <v>5000000</v>
      </c>
      <c r="AI2399" s="571">
        <f t="shared" si="532"/>
        <v>2414827000</v>
      </c>
      <c r="AJ2399" s="578"/>
      <c r="AK2399" s="578"/>
    </row>
    <row r="2400" spans="1:37" s="396" customFormat="1" ht="121.5" outlineLevel="2" x14ac:dyDescent="0.3">
      <c r="A2400" s="447">
        <f>IF(B2399&lt;&gt;0,B2399,A2398)</f>
        <v>206</v>
      </c>
      <c r="B2400" s="557"/>
      <c r="C2400" s="572" t="s">
        <v>1557</v>
      </c>
      <c r="D2400" s="700"/>
      <c r="E2400" s="612">
        <v>86</v>
      </c>
      <c r="F2400" s="612">
        <v>116</v>
      </c>
      <c r="G2400" s="586" t="s">
        <v>2874</v>
      </c>
      <c r="H2400" s="709">
        <v>490</v>
      </c>
      <c r="I2400" s="546" t="str">
        <f t="shared" ref="I2400" si="538">IF(N2400&gt;0,H2400,"")</f>
        <v/>
      </c>
      <c r="J2400" s="562"/>
      <c r="K2400" s="563">
        <f>IF(G2400&lt;&gt;0,VLOOKUP(G2400,'gia dat'!$A$1:$F$144,5,0)," ")</f>
        <v>465600</v>
      </c>
      <c r="L2400" s="563">
        <f>IF(G2400&lt;&gt;0,VLOOKUP(G2400,'gia dat'!$A$1:$F$144,6,0)," ")</f>
        <v>0</v>
      </c>
      <c r="M2400" s="564">
        <f t="shared" si="535"/>
        <v>228144000</v>
      </c>
      <c r="N2400" s="564">
        <f t="shared" si="536"/>
        <v>0</v>
      </c>
      <c r="O2400" s="572"/>
      <c r="P2400" s="740"/>
      <c r="Q2400" s="564" t="str">
        <f>IF(O2400&lt;&gt;0,VLOOKUP(O2400,'Cây trong'!$A$2:$C$246,3,0)," ")</f>
        <v xml:space="preserve"> </v>
      </c>
      <c r="R2400" s="564" t="str">
        <f t="shared" si="526"/>
        <v xml:space="preserve"> </v>
      </c>
      <c r="S2400" s="566" t="s">
        <v>2020</v>
      </c>
      <c r="T2400" s="609" t="s">
        <v>1133</v>
      </c>
      <c r="U2400" s="741">
        <v>81.599999999999994</v>
      </c>
      <c r="V2400" s="586"/>
      <c r="W2400" s="564">
        <f>IF(S2400&lt;&gt;0,VLOOKUP(S2400,VKT!$A$2:$G$415,7,0),"")</f>
        <v>684506</v>
      </c>
      <c r="X2400" s="564">
        <f t="shared" si="520"/>
        <v>55856000</v>
      </c>
      <c r="Y2400" s="650"/>
      <c r="Z2400" s="586"/>
      <c r="AA2400" s="742"/>
      <c r="AB2400" s="586"/>
      <c r="AC2400" s="586"/>
      <c r="AD2400" s="586"/>
      <c r="AE2400" s="586" t="s">
        <v>2137</v>
      </c>
      <c r="AF2400" s="714">
        <v>1</v>
      </c>
      <c r="AG2400" s="570">
        <f>IF(AE2400&lt;&gt;0,VLOOKUP(AE2400,ODDS!$A$2:$C$13,3,0),"")</f>
        <v>5000000</v>
      </c>
      <c r="AH2400" s="570">
        <f t="shared" si="527"/>
        <v>5000000</v>
      </c>
      <c r="AI2400" s="571" t="str">
        <f t="shared" si="532"/>
        <v xml:space="preserve"> </v>
      </c>
      <c r="AJ2400" s="586" t="s">
        <v>2016</v>
      </c>
      <c r="AK2400" s="586" t="s">
        <v>2771</v>
      </c>
    </row>
    <row r="2401" spans="1:37" s="394" customFormat="1" ht="121.5" outlineLevel="2" x14ac:dyDescent="0.3">
      <c r="A2401" s="447">
        <f t="shared" ref="A2401:A2413" si="539">IF(B2400&lt;&gt;0,B2400,A2400)</f>
        <v>206</v>
      </c>
      <c r="B2401" s="557"/>
      <c r="C2401" s="572" t="s">
        <v>1652</v>
      </c>
      <c r="D2401" s="700"/>
      <c r="E2401" s="612"/>
      <c r="F2401" s="612"/>
      <c r="G2401" s="586"/>
      <c r="H2401" s="709"/>
      <c r="I2401" s="546"/>
      <c r="J2401" s="562"/>
      <c r="K2401" s="563" t="str">
        <f>IF(G2401&lt;&gt;0,VLOOKUP(G2401,'gia dat'!$A$1:$F$144,5,0)," ")</f>
        <v xml:space="preserve"> </v>
      </c>
      <c r="L2401" s="563" t="str">
        <f>IF(G2401&lt;&gt;0,VLOOKUP(G2401,'gia dat'!$A$1:$F$144,6,0)," ")</f>
        <v xml:space="preserve"> </v>
      </c>
      <c r="M2401" s="564" t="str">
        <f t="shared" si="535"/>
        <v xml:space="preserve"> </v>
      </c>
      <c r="N2401" s="564" t="str">
        <f t="shared" si="536"/>
        <v xml:space="preserve"> </v>
      </c>
      <c r="O2401" s="572"/>
      <c r="P2401" s="740"/>
      <c r="Q2401" s="564" t="str">
        <f>IF(O2401&lt;&gt;0,VLOOKUP(O2401,'Cây trong'!$A$2:$C$246,3,0)," ")</f>
        <v xml:space="preserve"> </v>
      </c>
      <c r="R2401" s="564" t="str">
        <f t="shared" si="526"/>
        <v xml:space="preserve"> </v>
      </c>
      <c r="S2401" s="566" t="s">
        <v>2021</v>
      </c>
      <c r="T2401" s="609" t="s">
        <v>1133</v>
      </c>
      <c r="U2401" s="741">
        <v>40.799999999999997</v>
      </c>
      <c r="V2401" s="586"/>
      <c r="W2401" s="564">
        <f>IF(S2401&lt;&gt;0,VLOOKUP(S2401,VKT!$A$2:$G$415,7,0),"")</f>
        <v>107866</v>
      </c>
      <c r="X2401" s="564">
        <f t="shared" si="520"/>
        <v>4401000</v>
      </c>
      <c r="Y2401" s="650"/>
      <c r="Z2401" s="586"/>
      <c r="AA2401" s="742"/>
      <c r="AB2401" s="586"/>
      <c r="AC2401" s="586"/>
      <c r="AD2401" s="586"/>
      <c r="AE2401" s="586"/>
      <c r="AF2401" s="714"/>
      <c r="AG2401" s="570" t="str">
        <f>IF(AE2401&lt;&gt;0,VLOOKUP(AE2401,ODDS!$A$2:$C$13,3,0),"")</f>
        <v/>
      </c>
      <c r="AH2401" s="570"/>
      <c r="AI2401" s="571" t="str">
        <f t="shared" si="532"/>
        <v xml:space="preserve"> </v>
      </c>
      <c r="AJ2401" s="586" t="s">
        <v>2017</v>
      </c>
      <c r="AK2401" s="558" t="s">
        <v>2450</v>
      </c>
    </row>
    <row r="2402" spans="1:37" s="394" customFormat="1" ht="101.25" outlineLevel="2" x14ac:dyDescent="0.3">
      <c r="A2402" s="447">
        <f t="shared" si="539"/>
        <v>206</v>
      </c>
      <c r="B2402" s="557"/>
      <c r="C2402" s="572"/>
      <c r="D2402" s="700"/>
      <c r="E2402" s="612"/>
      <c r="F2402" s="612"/>
      <c r="G2402" s="586"/>
      <c r="H2402" s="709"/>
      <c r="I2402" s="546"/>
      <c r="J2402" s="562"/>
      <c r="K2402" s="563" t="str">
        <f>IF(G2402&lt;&gt;0,VLOOKUP(G2402,'gia dat'!$A$1:$F$144,5,0)," ")</f>
        <v xml:space="preserve"> </v>
      </c>
      <c r="L2402" s="563" t="str">
        <f>IF(G2402&lt;&gt;0,VLOOKUP(G2402,'gia dat'!$A$1:$F$144,6,0)," ")</f>
        <v xml:space="preserve"> </v>
      </c>
      <c r="M2402" s="564" t="str">
        <f t="shared" si="535"/>
        <v xml:space="preserve"> </v>
      </c>
      <c r="N2402" s="564" t="str">
        <f t="shared" si="536"/>
        <v xml:space="preserve"> </v>
      </c>
      <c r="O2402" s="572"/>
      <c r="P2402" s="740"/>
      <c r="Q2402" s="564" t="str">
        <f>IF(O2402&lt;&gt;0,VLOOKUP(O2402,'Cây trong'!$A$2:$C$246,3,0)," ")</f>
        <v xml:space="preserve"> </v>
      </c>
      <c r="R2402" s="564" t="str">
        <f t="shared" si="526"/>
        <v xml:space="preserve"> </v>
      </c>
      <c r="S2402" s="566" t="s">
        <v>2022</v>
      </c>
      <c r="T2402" s="609" t="s">
        <v>1133</v>
      </c>
      <c r="U2402" s="741">
        <v>43.2</v>
      </c>
      <c r="V2402" s="586"/>
      <c r="W2402" s="564">
        <f>IF(S2402&lt;&gt;0,VLOOKUP(S2402,VKT!$A$2:$G$415,7,0),"")</f>
        <v>8308812</v>
      </c>
      <c r="X2402" s="564">
        <f t="shared" si="520"/>
        <v>358941000</v>
      </c>
      <c r="Y2402" s="650"/>
      <c r="Z2402" s="586"/>
      <c r="AA2402" s="742"/>
      <c r="AB2402" s="586"/>
      <c r="AC2402" s="586"/>
      <c r="AD2402" s="586"/>
      <c r="AE2402" s="586"/>
      <c r="AF2402" s="714"/>
      <c r="AG2402" s="570" t="str">
        <f>IF(AE2402&lt;&gt;0,VLOOKUP(AE2402,ODDS!$A$2:$C$13,3,0),"")</f>
        <v/>
      </c>
      <c r="AH2402" s="570" t="str">
        <f t="shared" si="527"/>
        <v xml:space="preserve"> </v>
      </c>
      <c r="AI2402" s="571" t="str">
        <f t="shared" si="532"/>
        <v xml:space="preserve"> </v>
      </c>
      <c r="AJ2402" s="586" t="s">
        <v>2019</v>
      </c>
      <c r="AK2402" s="586" t="s">
        <v>2447</v>
      </c>
    </row>
    <row r="2403" spans="1:37" s="394" customFormat="1" ht="101.25" outlineLevel="2" x14ac:dyDescent="0.3">
      <c r="A2403" s="447">
        <f t="shared" si="539"/>
        <v>206</v>
      </c>
      <c r="B2403" s="557"/>
      <c r="C2403" s="572"/>
      <c r="D2403" s="700"/>
      <c r="E2403" s="612"/>
      <c r="F2403" s="612"/>
      <c r="G2403" s="586"/>
      <c r="H2403" s="709"/>
      <c r="I2403" s="546"/>
      <c r="J2403" s="562"/>
      <c r="K2403" s="563" t="str">
        <f>IF(G2403&lt;&gt;0,VLOOKUP(G2403,'gia dat'!$A$1:$F$144,5,0)," ")</f>
        <v xml:space="preserve"> </v>
      </c>
      <c r="L2403" s="563" t="str">
        <f>IF(G2403&lt;&gt;0,VLOOKUP(G2403,'gia dat'!$A$1:$F$144,6,0)," ")</f>
        <v xml:space="preserve"> </v>
      </c>
      <c r="M2403" s="564" t="str">
        <f t="shared" si="535"/>
        <v xml:space="preserve"> </v>
      </c>
      <c r="N2403" s="564" t="str">
        <f t="shared" si="536"/>
        <v xml:space="preserve"> </v>
      </c>
      <c r="O2403" s="572"/>
      <c r="P2403" s="740"/>
      <c r="Q2403" s="564" t="str">
        <f>IF(O2403&lt;&gt;0,VLOOKUP(O2403,'Cây trong'!$A$2:$C$246,3,0)," ")</f>
        <v xml:space="preserve"> </v>
      </c>
      <c r="R2403" s="564" t="str">
        <f t="shared" si="526"/>
        <v xml:space="preserve"> </v>
      </c>
      <c r="S2403" s="566" t="s">
        <v>2023</v>
      </c>
      <c r="T2403" s="609" t="s">
        <v>1133</v>
      </c>
      <c r="U2403" s="741">
        <v>158.4</v>
      </c>
      <c r="V2403" s="586"/>
      <c r="W2403" s="564">
        <f>IF(S2403&lt;&gt;0,VLOOKUP(S2403,VKT!$A$2:$G$415,7,0),"")</f>
        <v>0</v>
      </c>
      <c r="X2403" s="564">
        <f t="shared" si="520"/>
        <v>0</v>
      </c>
      <c r="Y2403" s="650"/>
      <c r="Z2403" s="586"/>
      <c r="AA2403" s="742"/>
      <c r="AB2403" s="586"/>
      <c r="AC2403" s="586"/>
      <c r="AD2403" s="586"/>
      <c r="AE2403" s="586"/>
      <c r="AF2403" s="714"/>
      <c r="AG2403" s="570" t="str">
        <f>IF(AE2403&lt;&gt;0,VLOOKUP(AE2403,ODDS!$A$2:$C$13,3,0),"")</f>
        <v/>
      </c>
      <c r="AH2403" s="570" t="str">
        <f t="shared" si="527"/>
        <v xml:space="preserve"> </v>
      </c>
      <c r="AI2403" s="571" t="str">
        <f t="shared" si="532"/>
        <v xml:space="preserve"> </v>
      </c>
      <c r="AJ2403" s="731"/>
      <c r="AK2403" s="586" t="s">
        <v>2800</v>
      </c>
    </row>
    <row r="2404" spans="1:37" s="394" customFormat="1" ht="40.5" outlineLevel="2" x14ac:dyDescent="0.3">
      <c r="A2404" s="447">
        <f t="shared" si="539"/>
        <v>206</v>
      </c>
      <c r="B2404" s="557"/>
      <c r="C2404" s="572"/>
      <c r="D2404" s="700"/>
      <c r="E2404" s="612"/>
      <c r="F2404" s="612"/>
      <c r="G2404" s="586"/>
      <c r="H2404" s="709"/>
      <c r="I2404" s="546"/>
      <c r="J2404" s="562"/>
      <c r="K2404" s="563" t="str">
        <f>IF(G2404&lt;&gt;0,VLOOKUP(G2404,'gia dat'!$A$1:$F$144,5,0)," ")</f>
        <v xml:space="preserve"> </v>
      </c>
      <c r="L2404" s="563" t="str">
        <f>IF(G2404&lt;&gt;0,VLOOKUP(G2404,'gia dat'!$A$1:$F$144,6,0)," ")</f>
        <v xml:space="preserve"> </v>
      </c>
      <c r="M2404" s="564" t="str">
        <f t="shared" si="535"/>
        <v xml:space="preserve"> </v>
      </c>
      <c r="N2404" s="564" t="str">
        <f t="shared" si="536"/>
        <v xml:space="preserve"> </v>
      </c>
      <c r="O2404" s="572"/>
      <c r="P2404" s="740"/>
      <c r="Q2404" s="564" t="str">
        <f>IF(O2404&lt;&gt;0,VLOOKUP(O2404,'Cây trong'!$A$2:$C$246,3,0)," ")</f>
        <v xml:space="preserve"> </v>
      </c>
      <c r="R2404" s="564" t="str">
        <f t="shared" si="526"/>
        <v xml:space="preserve"> </v>
      </c>
      <c r="S2404" s="566" t="s">
        <v>1754</v>
      </c>
      <c r="T2404" s="609" t="s">
        <v>1133</v>
      </c>
      <c r="U2404" s="741">
        <v>330.8</v>
      </c>
      <c r="V2404" s="586"/>
      <c r="W2404" s="564">
        <f>IF(S2404&lt;&gt;0,VLOOKUP(S2404,VKT!$A$2:$G$415,7,0),"")</f>
        <v>4717925</v>
      </c>
      <c r="X2404" s="564">
        <f t="shared" si="520"/>
        <v>1560690000</v>
      </c>
      <c r="Y2404" s="683" t="s">
        <v>1138</v>
      </c>
      <c r="Z2404" s="586" t="s">
        <v>1558</v>
      </c>
      <c r="AA2404" s="742" t="s">
        <v>56</v>
      </c>
      <c r="AB2404" s="586" t="s">
        <v>57</v>
      </c>
      <c r="AC2404" s="586" t="s">
        <v>1138</v>
      </c>
      <c r="AD2404" s="586" t="s">
        <v>1047</v>
      </c>
      <c r="AE2404" s="586"/>
      <c r="AF2404" s="714"/>
      <c r="AG2404" s="570" t="str">
        <f>IF(AE2404&lt;&gt;0,VLOOKUP(AE2404,ODDS!$A$2:$C$13,3,0),"")</f>
        <v/>
      </c>
      <c r="AH2404" s="570" t="str">
        <f t="shared" si="527"/>
        <v xml:space="preserve"> </v>
      </c>
      <c r="AI2404" s="571" t="str">
        <f t="shared" si="532"/>
        <v xml:space="preserve"> </v>
      </c>
      <c r="AJ2404" s="586"/>
      <c r="AK2404" s="586"/>
    </row>
    <row r="2405" spans="1:37" s="394" customFormat="1" ht="60.75" outlineLevel="2" x14ac:dyDescent="0.3">
      <c r="A2405" s="447">
        <f t="shared" si="539"/>
        <v>206</v>
      </c>
      <c r="B2405" s="557"/>
      <c r="C2405" s="572"/>
      <c r="D2405" s="700"/>
      <c r="E2405" s="612"/>
      <c r="F2405" s="612"/>
      <c r="G2405" s="586"/>
      <c r="H2405" s="709"/>
      <c r="I2405" s="546"/>
      <c r="J2405" s="562"/>
      <c r="K2405" s="563" t="str">
        <f>IF(G2405&lt;&gt;0,VLOOKUP(G2405,'gia dat'!$A$1:$F$144,5,0)," ")</f>
        <v xml:space="preserve"> </v>
      </c>
      <c r="L2405" s="563" t="str">
        <f>IF(G2405&lt;&gt;0,VLOOKUP(G2405,'gia dat'!$A$1:$F$144,6,0)," ")</f>
        <v xml:space="preserve"> </v>
      </c>
      <c r="M2405" s="564" t="str">
        <f t="shared" si="535"/>
        <v xml:space="preserve"> </v>
      </c>
      <c r="N2405" s="564" t="str">
        <f t="shared" si="536"/>
        <v xml:space="preserve"> </v>
      </c>
      <c r="O2405" s="572"/>
      <c r="P2405" s="740"/>
      <c r="Q2405" s="564" t="str">
        <f>IF(O2405&lt;&gt;0,VLOOKUP(O2405,'Cây trong'!$A$2:$C$246,3,0)," ")</f>
        <v xml:space="preserve"> </v>
      </c>
      <c r="R2405" s="564" t="str">
        <f t="shared" si="526"/>
        <v xml:space="preserve"> </v>
      </c>
      <c r="S2405" s="566" t="s">
        <v>2024</v>
      </c>
      <c r="T2405" s="609" t="s">
        <v>1133</v>
      </c>
      <c r="U2405" s="741">
        <v>14.4</v>
      </c>
      <c r="V2405" s="586"/>
      <c r="W2405" s="564">
        <f>IF(S2405&lt;&gt;0,VLOOKUP(S2405,VKT!$A$2:$G$415,7,0),"")</f>
        <v>0</v>
      </c>
      <c r="X2405" s="564">
        <f t="shared" si="520"/>
        <v>0</v>
      </c>
      <c r="Y2405" s="650"/>
      <c r="Z2405" s="586"/>
      <c r="AA2405" s="742"/>
      <c r="AB2405" s="586"/>
      <c r="AC2405" s="586"/>
      <c r="AD2405" s="586"/>
      <c r="AE2405" s="586"/>
      <c r="AF2405" s="714"/>
      <c r="AG2405" s="570" t="str">
        <f>IF(AE2405&lt;&gt;0,VLOOKUP(AE2405,ODDS!$A$2:$C$13,3,0),"")</f>
        <v/>
      </c>
      <c r="AH2405" s="570" t="str">
        <f t="shared" si="527"/>
        <v xml:space="preserve"> </v>
      </c>
      <c r="AI2405" s="571" t="str">
        <f t="shared" si="532"/>
        <v xml:space="preserve"> </v>
      </c>
      <c r="AJ2405" s="586"/>
      <c r="AK2405" s="586"/>
    </row>
    <row r="2406" spans="1:37" s="394" customFormat="1" ht="60.75" outlineLevel="2" x14ac:dyDescent="0.3">
      <c r="A2406" s="447">
        <f t="shared" si="539"/>
        <v>206</v>
      </c>
      <c r="B2406" s="557"/>
      <c r="C2406" s="572"/>
      <c r="D2406" s="700"/>
      <c r="E2406" s="612"/>
      <c r="F2406" s="612"/>
      <c r="G2406" s="586"/>
      <c r="H2406" s="709"/>
      <c r="I2406" s="546"/>
      <c r="J2406" s="562"/>
      <c r="K2406" s="563" t="str">
        <f>IF(G2406&lt;&gt;0,VLOOKUP(G2406,'gia dat'!$A$1:$F$144,5,0)," ")</f>
        <v xml:space="preserve"> </v>
      </c>
      <c r="L2406" s="563" t="str">
        <f>IF(G2406&lt;&gt;0,VLOOKUP(G2406,'gia dat'!$A$1:$F$144,6,0)," ")</f>
        <v xml:space="preserve"> </v>
      </c>
      <c r="M2406" s="564" t="str">
        <f t="shared" si="535"/>
        <v xml:space="preserve"> </v>
      </c>
      <c r="N2406" s="564" t="str">
        <f t="shared" si="536"/>
        <v xml:space="preserve"> </v>
      </c>
      <c r="O2406" s="572"/>
      <c r="P2406" s="740"/>
      <c r="Q2406" s="564" t="str">
        <f>IF(O2406&lt;&gt;0,VLOOKUP(O2406,'Cây trong'!$A$2:$C$246,3,0)," ")</f>
        <v xml:space="preserve"> </v>
      </c>
      <c r="R2406" s="564" t="str">
        <f t="shared" si="526"/>
        <v xml:space="preserve"> </v>
      </c>
      <c r="S2406" s="566" t="s">
        <v>2025</v>
      </c>
      <c r="T2406" s="609" t="s">
        <v>1133</v>
      </c>
      <c r="U2406" s="741">
        <v>484</v>
      </c>
      <c r="V2406" s="586"/>
      <c r="W2406" s="564">
        <f>IF(S2406&lt;&gt;0,VLOOKUP(S2406,VKT!$A$2:$G$415,7,0),"")</f>
        <v>254982</v>
      </c>
      <c r="X2406" s="564">
        <f t="shared" si="520"/>
        <v>123411000</v>
      </c>
      <c r="Y2406" s="650"/>
      <c r="Z2406" s="586"/>
      <c r="AA2406" s="742"/>
      <c r="AB2406" s="586"/>
      <c r="AC2406" s="586"/>
      <c r="AD2406" s="586"/>
      <c r="AE2406" s="586"/>
      <c r="AF2406" s="714"/>
      <c r="AG2406" s="570" t="str">
        <f>IF(AE2406&lt;&gt;0,VLOOKUP(AE2406,ODDS!$A$2:$C$13,3,0),"")</f>
        <v/>
      </c>
      <c r="AH2406" s="570" t="str">
        <f t="shared" si="527"/>
        <v xml:space="preserve"> </v>
      </c>
      <c r="AI2406" s="571" t="str">
        <f t="shared" si="532"/>
        <v xml:space="preserve"> </v>
      </c>
      <c r="AJ2406" s="586"/>
      <c r="AK2406" s="586"/>
    </row>
    <row r="2407" spans="1:37" s="394" customFormat="1" ht="60.75" outlineLevel="2" x14ac:dyDescent="0.3">
      <c r="A2407" s="447">
        <f t="shared" si="539"/>
        <v>206</v>
      </c>
      <c r="B2407" s="557"/>
      <c r="C2407" s="572"/>
      <c r="D2407" s="700"/>
      <c r="E2407" s="612"/>
      <c r="F2407" s="612"/>
      <c r="G2407" s="586"/>
      <c r="H2407" s="709"/>
      <c r="I2407" s="546"/>
      <c r="J2407" s="562"/>
      <c r="K2407" s="563" t="str">
        <f>IF(G2407&lt;&gt;0,VLOOKUP(G2407,'gia dat'!$A$1:$F$144,5,0)," ")</f>
        <v xml:space="preserve"> </v>
      </c>
      <c r="L2407" s="563" t="str">
        <f>IF(G2407&lt;&gt;0,VLOOKUP(G2407,'gia dat'!$A$1:$F$144,6,0)," ")</f>
        <v xml:space="preserve"> </v>
      </c>
      <c r="M2407" s="564" t="str">
        <f t="shared" si="535"/>
        <v xml:space="preserve"> </v>
      </c>
      <c r="N2407" s="564" t="str">
        <f t="shared" si="536"/>
        <v xml:space="preserve"> </v>
      </c>
      <c r="O2407" s="572"/>
      <c r="P2407" s="740"/>
      <c r="Q2407" s="564" t="str">
        <f>IF(O2407&lt;&gt;0,VLOOKUP(O2407,'Cây trong'!$A$2:$C$246,3,0)," ")</f>
        <v xml:space="preserve"> </v>
      </c>
      <c r="R2407" s="564" t="str">
        <f t="shared" si="526"/>
        <v xml:space="preserve"> </v>
      </c>
      <c r="S2407" s="566" t="s">
        <v>2026</v>
      </c>
      <c r="T2407" s="609" t="s">
        <v>1133</v>
      </c>
      <c r="U2407" s="741">
        <v>52</v>
      </c>
      <c r="V2407" s="586"/>
      <c r="W2407" s="564">
        <f>IF(S2407&lt;&gt;0,VLOOKUP(S2407,VKT!$A$2:$G$415,7,0),"")</f>
        <v>254982</v>
      </c>
      <c r="X2407" s="564">
        <f t="shared" si="520"/>
        <v>13259000</v>
      </c>
      <c r="Y2407" s="650"/>
      <c r="Z2407" s="586"/>
      <c r="AA2407" s="742"/>
      <c r="AB2407" s="586"/>
      <c r="AC2407" s="586"/>
      <c r="AD2407" s="586"/>
      <c r="AE2407" s="586"/>
      <c r="AF2407" s="714"/>
      <c r="AG2407" s="570" t="str">
        <f>IF(AE2407&lt;&gt;0,VLOOKUP(AE2407,ODDS!$A$2:$C$13,3,0),"")</f>
        <v/>
      </c>
      <c r="AH2407" s="570" t="str">
        <f t="shared" si="527"/>
        <v xml:space="preserve"> </v>
      </c>
      <c r="AI2407" s="571" t="str">
        <f t="shared" si="532"/>
        <v xml:space="preserve"> </v>
      </c>
      <c r="AJ2407" s="586"/>
      <c r="AK2407" s="586"/>
    </row>
    <row r="2408" spans="1:37" s="394" customFormat="1" ht="60.75" outlineLevel="2" x14ac:dyDescent="0.3">
      <c r="A2408" s="447">
        <f t="shared" si="539"/>
        <v>206</v>
      </c>
      <c r="B2408" s="557"/>
      <c r="C2408" s="572"/>
      <c r="D2408" s="700"/>
      <c r="E2408" s="612"/>
      <c r="F2408" s="612"/>
      <c r="G2408" s="586"/>
      <c r="H2408" s="709"/>
      <c r="I2408" s="546"/>
      <c r="J2408" s="562"/>
      <c r="K2408" s="563" t="str">
        <f>IF(G2408&lt;&gt;0,VLOOKUP(G2408,'gia dat'!$A$1:$F$144,5,0)," ")</f>
        <v xml:space="preserve"> </v>
      </c>
      <c r="L2408" s="563" t="str">
        <f>IF(G2408&lt;&gt;0,VLOOKUP(G2408,'gia dat'!$A$1:$F$144,6,0)," ")</f>
        <v xml:space="preserve"> </v>
      </c>
      <c r="M2408" s="564" t="str">
        <f t="shared" si="535"/>
        <v xml:space="preserve"> </v>
      </c>
      <c r="N2408" s="564" t="str">
        <f t="shared" si="536"/>
        <v xml:space="preserve"> </v>
      </c>
      <c r="O2408" s="572"/>
      <c r="P2408" s="740"/>
      <c r="Q2408" s="564" t="str">
        <f>IF(O2408&lt;&gt;0,VLOOKUP(O2408,'Cây trong'!$A$2:$C$246,3,0)," ")</f>
        <v xml:space="preserve"> </v>
      </c>
      <c r="R2408" s="564" t="str">
        <f t="shared" si="526"/>
        <v xml:space="preserve"> </v>
      </c>
      <c r="S2408" s="566" t="s">
        <v>2058</v>
      </c>
      <c r="T2408" s="609" t="s">
        <v>101</v>
      </c>
      <c r="U2408" s="741">
        <v>68</v>
      </c>
      <c r="V2408" s="586"/>
      <c r="W2408" s="564">
        <f>IF(S2408&lt;&gt;0,VLOOKUP(S2408,VKT!$A$2:$G$415,7,0),"")</f>
        <v>191646</v>
      </c>
      <c r="X2408" s="564">
        <f t="shared" si="520"/>
        <v>13032000</v>
      </c>
      <c r="Y2408" s="650"/>
      <c r="Z2408" s="586"/>
      <c r="AA2408" s="742"/>
      <c r="AB2408" s="586"/>
      <c r="AC2408" s="586"/>
      <c r="AD2408" s="586"/>
      <c r="AE2408" s="586"/>
      <c r="AF2408" s="714"/>
      <c r="AG2408" s="570" t="str">
        <f>IF(AE2408&lt;&gt;0,VLOOKUP(AE2408,ODDS!$A$2:$C$13,3,0),"")</f>
        <v/>
      </c>
      <c r="AH2408" s="570" t="str">
        <f t="shared" si="527"/>
        <v xml:space="preserve"> </v>
      </c>
      <c r="AI2408" s="571" t="str">
        <f t="shared" si="532"/>
        <v xml:space="preserve"> </v>
      </c>
      <c r="AJ2408" s="586"/>
      <c r="AK2408" s="586"/>
    </row>
    <row r="2409" spans="1:37" s="394" customFormat="1" ht="60.75" outlineLevel="2" x14ac:dyDescent="0.3">
      <c r="A2409" s="447">
        <f t="shared" si="539"/>
        <v>206</v>
      </c>
      <c r="B2409" s="557"/>
      <c r="C2409" s="572"/>
      <c r="D2409" s="700"/>
      <c r="E2409" s="612"/>
      <c r="F2409" s="612"/>
      <c r="G2409" s="586"/>
      <c r="H2409" s="709"/>
      <c r="I2409" s="546"/>
      <c r="J2409" s="562"/>
      <c r="K2409" s="563" t="str">
        <f>IF(G2409&lt;&gt;0,VLOOKUP(G2409,'gia dat'!$A$1:$F$144,5,0)," ")</f>
        <v xml:space="preserve"> </v>
      </c>
      <c r="L2409" s="563" t="str">
        <f>IF(G2409&lt;&gt;0,VLOOKUP(G2409,'gia dat'!$A$1:$F$144,6,0)," ")</f>
        <v xml:space="preserve"> </v>
      </c>
      <c r="M2409" s="564" t="str">
        <f t="shared" si="535"/>
        <v xml:space="preserve"> </v>
      </c>
      <c r="N2409" s="564" t="str">
        <f t="shared" si="536"/>
        <v xml:space="preserve"> </v>
      </c>
      <c r="O2409" s="572"/>
      <c r="P2409" s="740"/>
      <c r="Q2409" s="564" t="str">
        <f>IF(O2409&lt;&gt;0,VLOOKUP(O2409,'Cây trong'!$A$2:$C$246,3,0)," ")</f>
        <v xml:space="preserve"> </v>
      </c>
      <c r="R2409" s="564" t="str">
        <f t="shared" si="526"/>
        <v xml:space="preserve"> </v>
      </c>
      <c r="S2409" s="566" t="s">
        <v>2028</v>
      </c>
      <c r="T2409" s="609" t="s">
        <v>1559</v>
      </c>
      <c r="U2409" s="741">
        <v>3</v>
      </c>
      <c r="V2409" s="586"/>
      <c r="W2409" s="564">
        <f>IF(S2409&lt;&gt;0,VLOOKUP(S2409,VKT!$A$2:$G$415,7,0),"")</f>
        <v>0</v>
      </c>
      <c r="X2409" s="564">
        <f t="shared" si="520"/>
        <v>0</v>
      </c>
      <c r="Y2409" s="650"/>
      <c r="Z2409" s="586"/>
      <c r="AA2409" s="742"/>
      <c r="AB2409" s="586"/>
      <c r="AC2409" s="586"/>
      <c r="AD2409" s="586"/>
      <c r="AE2409" s="586"/>
      <c r="AF2409" s="714"/>
      <c r="AG2409" s="570" t="str">
        <f>IF(AE2409&lt;&gt;0,VLOOKUP(AE2409,ODDS!$A$2:$C$13,3,0),"")</f>
        <v/>
      </c>
      <c r="AH2409" s="570" t="str">
        <f t="shared" si="527"/>
        <v xml:space="preserve"> </v>
      </c>
      <c r="AI2409" s="571" t="str">
        <f t="shared" si="532"/>
        <v xml:space="preserve"> </v>
      </c>
      <c r="AJ2409" s="586"/>
      <c r="AK2409" s="586"/>
    </row>
    <row r="2410" spans="1:37" s="394" customFormat="1" ht="40.5" outlineLevel="2" x14ac:dyDescent="0.3">
      <c r="A2410" s="447">
        <f t="shared" si="539"/>
        <v>206</v>
      </c>
      <c r="B2410" s="557"/>
      <c r="C2410" s="572"/>
      <c r="D2410" s="700"/>
      <c r="E2410" s="612"/>
      <c r="F2410" s="612"/>
      <c r="G2410" s="586"/>
      <c r="H2410" s="709"/>
      <c r="I2410" s="546"/>
      <c r="J2410" s="562"/>
      <c r="K2410" s="563" t="str">
        <f>IF(G2410&lt;&gt;0,VLOOKUP(G2410,'gia dat'!$A$1:$F$144,5,0)," ")</f>
        <v xml:space="preserve"> </v>
      </c>
      <c r="L2410" s="563" t="str">
        <f>IF(G2410&lt;&gt;0,VLOOKUP(G2410,'gia dat'!$A$1:$F$144,6,0)," ")</f>
        <v xml:space="preserve"> </v>
      </c>
      <c r="M2410" s="564" t="str">
        <f t="shared" si="535"/>
        <v xml:space="preserve"> </v>
      </c>
      <c r="N2410" s="564" t="str">
        <f t="shared" si="536"/>
        <v xml:space="preserve"> </v>
      </c>
      <c r="O2410" s="572"/>
      <c r="P2410" s="740"/>
      <c r="Q2410" s="564" t="str">
        <f>IF(O2410&lt;&gt;0,VLOOKUP(O2410,'Cây trong'!$A$2:$C$246,3,0)," ")</f>
        <v xml:space="preserve"> </v>
      </c>
      <c r="R2410" s="564" t="str">
        <f t="shared" si="526"/>
        <v xml:space="preserve"> </v>
      </c>
      <c r="S2410" s="566" t="s">
        <v>1757</v>
      </c>
      <c r="T2410" s="609" t="s">
        <v>1133</v>
      </c>
      <c r="U2410" s="741">
        <v>330.8</v>
      </c>
      <c r="V2410" s="586"/>
      <c r="W2410" s="564">
        <f>IF(S2410&lt;&gt;0,VLOOKUP(S2410,VKT!$A$2:$G$415,7,0),"")</f>
        <v>157477</v>
      </c>
      <c r="X2410" s="564">
        <f t="shared" si="520"/>
        <v>52093000</v>
      </c>
      <c r="Y2410" s="650"/>
      <c r="Z2410" s="586"/>
      <c r="AA2410" s="742"/>
      <c r="AB2410" s="586"/>
      <c r="AC2410" s="586"/>
      <c r="AD2410" s="586"/>
      <c r="AE2410" s="586"/>
      <c r="AF2410" s="714"/>
      <c r="AG2410" s="570" t="str">
        <f>IF(AE2410&lt;&gt;0,VLOOKUP(AE2410,ODDS!$A$2:$C$13,3,0),"")</f>
        <v/>
      </c>
      <c r="AH2410" s="570" t="str">
        <f t="shared" si="527"/>
        <v xml:space="preserve"> </v>
      </c>
      <c r="AI2410" s="571" t="str">
        <f t="shared" si="532"/>
        <v xml:space="preserve"> </v>
      </c>
      <c r="AJ2410" s="586"/>
      <c r="AK2410" s="586"/>
    </row>
    <row r="2411" spans="1:37" s="394" customFormat="1" ht="20.25" outlineLevel="2" x14ac:dyDescent="0.3">
      <c r="A2411" s="447">
        <f t="shared" si="539"/>
        <v>206</v>
      </c>
      <c r="B2411" s="557"/>
      <c r="C2411" s="572"/>
      <c r="D2411" s="700"/>
      <c r="E2411" s="612"/>
      <c r="F2411" s="612"/>
      <c r="G2411" s="586"/>
      <c r="H2411" s="709"/>
      <c r="I2411" s="546"/>
      <c r="J2411" s="562"/>
      <c r="K2411" s="563" t="str">
        <f>IF(G2411&lt;&gt;0,VLOOKUP(G2411,'gia dat'!$A$1:$F$144,5,0)," ")</f>
        <v xml:space="preserve"> </v>
      </c>
      <c r="L2411" s="563" t="str">
        <f>IF(G2411&lt;&gt;0,VLOOKUP(G2411,'gia dat'!$A$1:$F$144,6,0)," ")</f>
        <v xml:space="preserve"> </v>
      </c>
      <c r="M2411" s="564" t="str">
        <f t="shared" si="535"/>
        <v xml:space="preserve"> </v>
      </c>
      <c r="N2411" s="564" t="str">
        <f t="shared" si="536"/>
        <v xml:space="preserve"> </v>
      </c>
      <c r="O2411" s="572"/>
      <c r="P2411" s="740"/>
      <c r="Q2411" s="564" t="str">
        <f>IF(O2411&lt;&gt;0,VLOOKUP(O2411,'Cây trong'!$A$2:$C$246,3,0)," ")</f>
        <v xml:space="preserve"> </v>
      </c>
      <c r="R2411" s="564" t="str">
        <f t="shared" si="526"/>
        <v xml:space="preserve"> </v>
      </c>
      <c r="S2411" s="566"/>
      <c r="T2411" s="609"/>
      <c r="U2411" s="741"/>
      <c r="V2411" s="586"/>
      <c r="W2411" s="564" t="str">
        <f>IF(S2411&lt;&gt;0,VLOOKUP(S2411,#REF!,8,0),"")</f>
        <v/>
      </c>
      <c r="X2411" s="564" t="str">
        <f t="shared" ref="X2411:X2433" si="540">IF(S2411&lt;&gt;0,ROUND(U2411*W2411,-2)," ")</f>
        <v xml:space="preserve"> </v>
      </c>
      <c r="Y2411" s="650"/>
      <c r="Z2411" s="586"/>
      <c r="AA2411" s="742"/>
      <c r="AB2411" s="586"/>
      <c r="AC2411" s="586"/>
      <c r="AD2411" s="586"/>
      <c r="AE2411" s="586"/>
      <c r="AF2411" s="714"/>
      <c r="AG2411" s="570" t="str">
        <f>IF(AE2411&lt;&gt;0,VLOOKUP(AE2411,ODDS!$A$2:$C$13,3,0),"")</f>
        <v/>
      </c>
      <c r="AH2411" s="570" t="str">
        <f t="shared" si="527"/>
        <v xml:space="preserve"> </v>
      </c>
      <c r="AI2411" s="571" t="str">
        <f t="shared" si="532"/>
        <v xml:space="preserve"> </v>
      </c>
      <c r="AJ2411" s="586"/>
      <c r="AK2411" s="586"/>
    </row>
    <row r="2412" spans="1:37" s="394" customFormat="1" ht="20.25" outlineLevel="2" x14ac:dyDescent="0.3">
      <c r="A2412" s="447">
        <f t="shared" si="539"/>
        <v>206</v>
      </c>
      <c r="B2412" s="557"/>
      <c r="C2412" s="572"/>
      <c r="D2412" s="700"/>
      <c r="E2412" s="612"/>
      <c r="F2412" s="612"/>
      <c r="G2412" s="586"/>
      <c r="H2412" s="709"/>
      <c r="I2412" s="546"/>
      <c r="J2412" s="562"/>
      <c r="K2412" s="563" t="str">
        <f>IF(G2412&lt;&gt;0,VLOOKUP(G2412,'gia dat'!$A$1:$F$144,5,0)," ")</f>
        <v xml:space="preserve"> </v>
      </c>
      <c r="L2412" s="563" t="str">
        <f>IF(G2412&lt;&gt;0,VLOOKUP(G2412,'gia dat'!$A$1:$F$144,6,0)," ")</f>
        <v xml:space="preserve"> </v>
      </c>
      <c r="M2412" s="564" t="str">
        <f t="shared" si="535"/>
        <v xml:space="preserve"> </v>
      </c>
      <c r="N2412" s="564" t="str">
        <f t="shared" si="536"/>
        <v xml:space="preserve"> </v>
      </c>
      <c r="O2412" s="572"/>
      <c r="P2412" s="740"/>
      <c r="Q2412" s="564" t="str">
        <f>IF(O2412&lt;&gt;0,VLOOKUP(O2412,'Cây trong'!$A$2:$C$246,3,0)," ")</f>
        <v xml:space="preserve"> </v>
      </c>
      <c r="R2412" s="564" t="str">
        <f t="shared" si="526"/>
        <v xml:space="preserve"> </v>
      </c>
      <c r="S2412" s="566"/>
      <c r="T2412" s="609"/>
      <c r="U2412" s="741"/>
      <c r="V2412" s="586"/>
      <c r="W2412" s="564" t="str">
        <f>IF(S2412&lt;&gt;0,VLOOKUP(S2412,#REF!,8,0),"")</f>
        <v/>
      </c>
      <c r="X2412" s="564" t="str">
        <f t="shared" si="540"/>
        <v xml:space="preserve"> </v>
      </c>
      <c r="Y2412" s="650"/>
      <c r="Z2412" s="586"/>
      <c r="AA2412" s="742"/>
      <c r="AB2412" s="586"/>
      <c r="AC2412" s="586"/>
      <c r="AD2412" s="586"/>
      <c r="AE2412" s="586"/>
      <c r="AF2412" s="714"/>
      <c r="AG2412" s="570" t="str">
        <f>IF(AE2412&lt;&gt;0,VLOOKUP(AE2412,ODDS!$A$2:$C$13,3,0),"")</f>
        <v/>
      </c>
      <c r="AH2412" s="570" t="str">
        <f t="shared" si="527"/>
        <v xml:space="preserve"> </v>
      </c>
      <c r="AI2412" s="571" t="str">
        <f t="shared" si="532"/>
        <v xml:space="preserve"> </v>
      </c>
      <c r="AJ2412" s="586"/>
      <c r="AK2412" s="586"/>
    </row>
    <row r="2413" spans="1:37" s="394" customFormat="1" ht="20.25" outlineLevel="2" x14ac:dyDescent="0.3">
      <c r="A2413" s="447">
        <f t="shared" si="539"/>
        <v>206</v>
      </c>
      <c r="B2413" s="557"/>
      <c r="C2413" s="607"/>
      <c r="D2413" s="700"/>
      <c r="E2413" s="612"/>
      <c r="F2413" s="612"/>
      <c r="G2413" s="586"/>
      <c r="H2413" s="709"/>
      <c r="I2413" s="546"/>
      <c r="J2413" s="562"/>
      <c r="K2413" s="563" t="str">
        <f>IF(G2413&lt;&gt;0,VLOOKUP(G2413,'gia dat'!$A$1:$F$144,5,0)," ")</f>
        <v xml:space="preserve"> </v>
      </c>
      <c r="L2413" s="563" t="str">
        <f>IF(G2413&lt;&gt;0,VLOOKUP(G2413,'gia dat'!$A$1:$F$144,6,0)," ")</f>
        <v xml:space="preserve"> </v>
      </c>
      <c r="M2413" s="564" t="str">
        <f t="shared" si="535"/>
        <v xml:space="preserve"> </v>
      </c>
      <c r="N2413" s="564" t="str">
        <f t="shared" si="536"/>
        <v xml:space="preserve"> </v>
      </c>
      <c r="O2413" s="572"/>
      <c r="P2413" s="740"/>
      <c r="Q2413" s="564" t="str">
        <f>IF(O2413&lt;&gt;0,VLOOKUP(O2413,'Cây trong'!$A$2:$C$246,3,0)," ")</f>
        <v xml:space="preserve"> </v>
      </c>
      <c r="R2413" s="564" t="str">
        <f t="shared" si="526"/>
        <v xml:space="preserve"> </v>
      </c>
      <c r="S2413" s="566"/>
      <c r="T2413" s="609"/>
      <c r="U2413" s="741"/>
      <c r="V2413" s="586"/>
      <c r="W2413" s="564" t="str">
        <f>IF(S2413&lt;&gt;0,VLOOKUP(S2413,#REF!,8,0),"")</f>
        <v/>
      </c>
      <c r="X2413" s="564" t="str">
        <f t="shared" si="540"/>
        <v xml:space="preserve"> </v>
      </c>
      <c r="Y2413" s="650"/>
      <c r="Z2413" s="586"/>
      <c r="AA2413" s="742"/>
      <c r="AB2413" s="586"/>
      <c r="AC2413" s="586"/>
      <c r="AD2413" s="586"/>
      <c r="AE2413" s="586"/>
      <c r="AF2413" s="714"/>
      <c r="AG2413" s="570" t="str">
        <f>IF(AE2413&lt;&gt;0,VLOOKUP(AE2413,ODDS!$A$2:$C$13,3,0),"")</f>
        <v/>
      </c>
      <c r="AH2413" s="570" t="str">
        <f t="shared" si="527"/>
        <v xml:space="preserve"> </v>
      </c>
      <c r="AI2413" s="571" t="str">
        <f t="shared" si="532"/>
        <v xml:space="preserve"> </v>
      </c>
      <c r="AJ2413" s="586"/>
      <c r="AK2413" s="586"/>
    </row>
    <row r="2414" spans="1:37" s="394" customFormat="1" ht="40.5" outlineLevel="1" x14ac:dyDescent="0.25">
      <c r="A2414" s="467" t="s">
        <v>2503</v>
      </c>
      <c r="B2414" s="576">
        <v>207</v>
      </c>
      <c r="C2414" s="607" t="s">
        <v>1448</v>
      </c>
      <c r="D2414" s="706"/>
      <c r="E2414" s="642"/>
      <c r="F2414" s="642"/>
      <c r="G2414" s="578"/>
      <c r="H2414" s="707">
        <f>SUBTOTAL(9,H2415:H2420)</f>
        <v>12</v>
      </c>
      <c r="I2414" s="579">
        <f>SUBTOTAL(9,I2415:I2420)</f>
        <v>12</v>
      </c>
      <c r="J2414" s="580"/>
      <c r="K2414" s="581"/>
      <c r="L2414" s="581"/>
      <c r="M2414" s="571">
        <f>SUBTOTAL(9,M2415:M2420)</f>
        <v>6653000</v>
      </c>
      <c r="N2414" s="571">
        <f>SUBTOTAL(9,N2415:N2420)</f>
        <v>19958000</v>
      </c>
      <c r="O2414" s="607"/>
      <c r="P2414" s="738">
        <f>SUBTOTAL(9,P2415:P2420)</f>
        <v>0</v>
      </c>
      <c r="Q2414" s="571"/>
      <c r="R2414" s="571">
        <f>SUBTOTAL(9,R2415:R2420)</f>
        <v>0</v>
      </c>
      <c r="S2414" s="582"/>
      <c r="T2414" s="621"/>
      <c r="U2414" s="739">
        <f>SUBTOTAL(9,U2415:U2420)</f>
        <v>0</v>
      </c>
      <c r="V2414" s="578"/>
      <c r="W2414" s="571"/>
      <c r="X2414" s="571">
        <f>SUBTOTAL(9,X2415:X2420)</f>
        <v>0</v>
      </c>
      <c r="Y2414" s="650"/>
      <c r="Z2414" s="586"/>
      <c r="AA2414" s="742"/>
      <c r="AB2414" s="586"/>
      <c r="AC2414" s="586"/>
      <c r="AD2414" s="586"/>
      <c r="AE2414" s="578"/>
      <c r="AF2414" s="712">
        <f>SUBTOTAL(9,AF2415:AF2420)</f>
        <v>0</v>
      </c>
      <c r="AG2414" s="585"/>
      <c r="AH2414" s="585">
        <f>SUBTOTAL(9,AH2415:AH2420)</f>
        <v>0</v>
      </c>
      <c r="AI2414" s="571">
        <f t="shared" si="532"/>
        <v>26611000</v>
      </c>
      <c r="AJ2414" s="578"/>
      <c r="AK2414" s="578"/>
    </row>
    <row r="2415" spans="1:37" s="394" customFormat="1" ht="202.5" outlineLevel="2" x14ac:dyDescent="0.3">
      <c r="A2415" s="447">
        <f>IF(B2414&lt;&gt;0,B2414,A2413)</f>
        <v>207</v>
      </c>
      <c r="B2415" s="557"/>
      <c r="C2415" s="572" t="s">
        <v>1450</v>
      </c>
      <c r="D2415" s="700"/>
      <c r="E2415" s="612">
        <v>86</v>
      </c>
      <c r="F2415" s="612">
        <v>25</v>
      </c>
      <c r="G2415" s="586" t="s">
        <v>2420</v>
      </c>
      <c r="H2415" s="709">
        <v>12</v>
      </c>
      <c r="I2415" s="546">
        <f t="shared" ref="I2415" si="541">IF(N2415&gt;0,H2415,"")</f>
        <v>12</v>
      </c>
      <c r="J2415" s="562"/>
      <c r="K2415" s="563">
        <f>IF(G2415&lt;&gt;0,VLOOKUP(G2415,'gia dat'!$A$1:$F$144,5,0)," ")</f>
        <v>554400</v>
      </c>
      <c r="L2415" s="563">
        <f>IF(G2415&lt;&gt;0,VLOOKUP(G2415,'gia dat'!$A$1:$F$144,6,0)," ")</f>
        <v>1663200</v>
      </c>
      <c r="M2415" s="564">
        <f t="shared" si="535"/>
        <v>6653000</v>
      </c>
      <c r="N2415" s="564">
        <f t="shared" si="536"/>
        <v>19958000</v>
      </c>
      <c r="O2415" s="572"/>
      <c r="P2415" s="740"/>
      <c r="Q2415" s="564"/>
      <c r="R2415" s="564"/>
      <c r="S2415" s="566"/>
      <c r="T2415" s="609"/>
      <c r="U2415" s="741"/>
      <c r="V2415" s="586"/>
      <c r="W2415" s="564"/>
      <c r="X2415" s="564"/>
      <c r="Y2415" s="650"/>
      <c r="Z2415" s="586"/>
      <c r="AA2415" s="742"/>
      <c r="AB2415" s="586"/>
      <c r="AC2415" s="586"/>
      <c r="AD2415" s="586"/>
      <c r="AE2415" s="586"/>
      <c r="AF2415" s="714"/>
      <c r="AG2415" s="570"/>
      <c r="AH2415" s="570"/>
      <c r="AI2415" s="571" t="str">
        <f t="shared" si="532"/>
        <v xml:space="preserve"> </v>
      </c>
      <c r="AJ2415" s="586" t="s">
        <v>2468</v>
      </c>
      <c r="AK2415" s="586"/>
    </row>
    <row r="2416" spans="1:37" s="394" customFormat="1" ht="101.25" outlineLevel="2" x14ac:dyDescent="0.3">
      <c r="A2416" s="447">
        <f>IF(B2415&lt;&gt;0,B2415,A2415)</f>
        <v>207</v>
      </c>
      <c r="B2416" s="557"/>
      <c r="C2416" s="572" t="s">
        <v>1634</v>
      </c>
      <c r="D2416" s="700"/>
      <c r="E2416" s="612"/>
      <c r="F2416" s="612"/>
      <c r="G2416" s="586"/>
      <c r="H2416" s="709"/>
      <c r="I2416" s="546"/>
      <c r="J2416" s="562"/>
      <c r="K2416" s="563" t="str">
        <f>IF(G2416&lt;&gt;0,VLOOKUP(G2416,'gia dat'!$A$1:$F$144,5,0)," ")</f>
        <v xml:space="preserve"> </v>
      </c>
      <c r="L2416" s="563" t="str">
        <f>IF(G2416&lt;&gt;0,VLOOKUP(G2416,'gia dat'!$A$1:$F$144,6,0)," ")</f>
        <v xml:space="preserve"> </v>
      </c>
      <c r="M2416" s="564" t="str">
        <f t="shared" si="535"/>
        <v xml:space="preserve"> </v>
      </c>
      <c r="N2416" s="564" t="str">
        <f t="shared" si="536"/>
        <v xml:space="preserve"> </v>
      </c>
      <c r="O2416" s="572"/>
      <c r="P2416" s="740"/>
      <c r="Q2416" s="564"/>
      <c r="R2416" s="564"/>
      <c r="S2416" s="566"/>
      <c r="T2416" s="609"/>
      <c r="U2416" s="741"/>
      <c r="V2416" s="586"/>
      <c r="W2416" s="564"/>
      <c r="X2416" s="564"/>
      <c r="Y2416" s="650"/>
      <c r="Z2416" s="586"/>
      <c r="AA2416" s="742"/>
      <c r="AB2416" s="586"/>
      <c r="AC2416" s="586"/>
      <c r="AD2416" s="586"/>
      <c r="AE2416" s="586"/>
      <c r="AF2416" s="714"/>
      <c r="AG2416" s="570"/>
      <c r="AH2416" s="570"/>
      <c r="AI2416" s="571" t="str">
        <f t="shared" si="532"/>
        <v xml:space="preserve"> </v>
      </c>
      <c r="AJ2416" s="586" t="s">
        <v>2074</v>
      </c>
      <c r="AK2416" s="586"/>
    </row>
    <row r="2417" spans="1:37" s="394" customFormat="1" ht="20.25" outlineLevel="2" x14ac:dyDescent="0.3">
      <c r="A2417" s="447">
        <f>IF(B2416&lt;&gt;0,B2416,A2416)</f>
        <v>207</v>
      </c>
      <c r="B2417" s="557"/>
      <c r="C2417" s="572"/>
      <c r="D2417" s="700"/>
      <c r="E2417" s="612"/>
      <c r="F2417" s="612"/>
      <c r="G2417" s="586"/>
      <c r="H2417" s="709"/>
      <c r="I2417" s="546"/>
      <c r="J2417" s="562"/>
      <c r="K2417" s="563" t="str">
        <f>IF(G2417&lt;&gt;0,VLOOKUP(G2417,'gia dat'!$A$1:$F$144,5,0)," ")</f>
        <v xml:space="preserve"> </v>
      </c>
      <c r="L2417" s="563" t="str">
        <f>IF(G2417&lt;&gt;0,VLOOKUP(G2417,'gia dat'!$A$1:$F$144,6,0)," ")</f>
        <v xml:space="preserve"> </v>
      </c>
      <c r="M2417" s="564" t="str">
        <f t="shared" si="535"/>
        <v xml:space="preserve"> </v>
      </c>
      <c r="N2417" s="564" t="str">
        <f t="shared" si="536"/>
        <v xml:space="preserve"> </v>
      </c>
      <c r="O2417" s="572"/>
      <c r="P2417" s="740"/>
      <c r="Q2417" s="564"/>
      <c r="R2417" s="564"/>
      <c r="S2417" s="566"/>
      <c r="T2417" s="609"/>
      <c r="U2417" s="741"/>
      <c r="V2417" s="586"/>
      <c r="W2417" s="564"/>
      <c r="X2417" s="564"/>
      <c r="Y2417" s="650"/>
      <c r="Z2417" s="586"/>
      <c r="AA2417" s="742"/>
      <c r="AB2417" s="586"/>
      <c r="AC2417" s="586"/>
      <c r="AD2417" s="586"/>
      <c r="AE2417" s="586"/>
      <c r="AF2417" s="714"/>
      <c r="AG2417" s="570"/>
      <c r="AH2417" s="570"/>
      <c r="AI2417" s="571" t="str">
        <f t="shared" si="532"/>
        <v xml:space="preserve"> </v>
      </c>
      <c r="AJ2417" s="586"/>
      <c r="AK2417" s="586"/>
    </row>
    <row r="2418" spans="1:37" s="394" customFormat="1" ht="20.25" outlineLevel="2" x14ac:dyDescent="0.3">
      <c r="A2418" s="447">
        <f>IF(B2417&lt;&gt;0,B2417,A2417)</f>
        <v>207</v>
      </c>
      <c r="B2418" s="557"/>
      <c r="C2418" s="572"/>
      <c r="D2418" s="700"/>
      <c r="E2418" s="612"/>
      <c r="F2418" s="612"/>
      <c r="G2418" s="586"/>
      <c r="H2418" s="709"/>
      <c r="I2418" s="546"/>
      <c r="J2418" s="562"/>
      <c r="K2418" s="563" t="str">
        <f>IF(G2418&lt;&gt;0,VLOOKUP(G2418,'gia dat'!$A$1:$F$144,5,0)," ")</f>
        <v xml:space="preserve"> </v>
      </c>
      <c r="L2418" s="563" t="str">
        <f>IF(G2418&lt;&gt;0,VLOOKUP(G2418,'gia dat'!$A$1:$F$144,6,0)," ")</f>
        <v xml:space="preserve"> </v>
      </c>
      <c r="M2418" s="564" t="str">
        <f t="shared" si="535"/>
        <v xml:space="preserve"> </v>
      </c>
      <c r="N2418" s="564" t="str">
        <f t="shared" si="536"/>
        <v xml:space="preserve"> </v>
      </c>
      <c r="O2418" s="572"/>
      <c r="P2418" s="740"/>
      <c r="Q2418" s="564"/>
      <c r="R2418" s="564"/>
      <c r="S2418" s="566"/>
      <c r="T2418" s="609"/>
      <c r="U2418" s="741"/>
      <c r="V2418" s="586"/>
      <c r="W2418" s="564"/>
      <c r="X2418" s="564"/>
      <c r="Y2418" s="650"/>
      <c r="Z2418" s="586"/>
      <c r="AA2418" s="742"/>
      <c r="AB2418" s="586"/>
      <c r="AC2418" s="586"/>
      <c r="AD2418" s="586"/>
      <c r="AE2418" s="586"/>
      <c r="AF2418" s="714"/>
      <c r="AG2418" s="570"/>
      <c r="AH2418" s="570"/>
      <c r="AI2418" s="571" t="str">
        <f t="shared" si="532"/>
        <v xml:space="preserve"> </v>
      </c>
      <c r="AJ2418" s="586"/>
      <c r="AK2418" s="586"/>
    </row>
    <row r="2419" spans="1:37" s="394" customFormat="1" ht="20.25" outlineLevel="2" x14ac:dyDescent="0.3">
      <c r="A2419" s="447">
        <f>IF(B2418&lt;&gt;0,B2418,A2418)</f>
        <v>207</v>
      </c>
      <c r="B2419" s="557"/>
      <c r="C2419" s="572"/>
      <c r="D2419" s="700"/>
      <c r="E2419" s="612"/>
      <c r="F2419" s="612"/>
      <c r="G2419" s="586"/>
      <c r="H2419" s="709"/>
      <c r="I2419" s="546"/>
      <c r="J2419" s="562"/>
      <c r="K2419" s="563" t="str">
        <f>IF(G2419&lt;&gt;0,VLOOKUP(G2419,'gia dat'!$A$1:$F$144,5,0)," ")</f>
        <v xml:space="preserve"> </v>
      </c>
      <c r="L2419" s="563" t="str">
        <f>IF(G2419&lt;&gt;0,VLOOKUP(G2419,'gia dat'!$A$1:$F$144,6,0)," ")</f>
        <v xml:space="preserve"> </v>
      </c>
      <c r="M2419" s="564" t="str">
        <f t="shared" si="535"/>
        <v xml:space="preserve"> </v>
      </c>
      <c r="N2419" s="564" t="str">
        <f t="shared" si="536"/>
        <v xml:space="preserve"> </v>
      </c>
      <c r="O2419" s="572"/>
      <c r="P2419" s="740"/>
      <c r="Q2419" s="564"/>
      <c r="R2419" s="564"/>
      <c r="S2419" s="566"/>
      <c r="T2419" s="609"/>
      <c r="U2419" s="741"/>
      <c r="V2419" s="586"/>
      <c r="W2419" s="564"/>
      <c r="X2419" s="564"/>
      <c r="Y2419" s="650"/>
      <c r="Z2419" s="586"/>
      <c r="AA2419" s="742"/>
      <c r="AB2419" s="586"/>
      <c r="AC2419" s="586"/>
      <c r="AD2419" s="586"/>
      <c r="AE2419" s="586"/>
      <c r="AF2419" s="714"/>
      <c r="AG2419" s="570"/>
      <c r="AH2419" s="570"/>
      <c r="AI2419" s="571" t="str">
        <f t="shared" si="532"/>
        <v xml:space="preserve"> </v>
      </c>
      <c r="AJ2419" s="586"/>
      <c r="AK2419" s="586"/>
    </row>
    <row r="2420" spans="1:37" s="394" customFormat="1" ht="20.25" outlineLevel="2" x14ac:dyDescent="0.3">
      <c r="A2420" s="447">
        <f>IF(B2419&lt;&gt;0,B2419,A2419)</f>
        <v>207</v>
      </c>
      <c r="B2420" s="557"/>
      <c r="C2420" s="607"/>
      <c r="D2420" s="700"/>
      <c r="E2420" s="612"/>
      <c r="F2420" s="612"/>
      <c r="G2420" s="586"/>
      <c r="H2420" s="709"/>
      <c r="I2420" s="546"/>
      <c r="J2420" s="562"/>
      <c r="K2420" s="563" t="str">
        <f>IF(G2420&lt;&gt;0,VLOOKUP(G2420,'gia dat'!$A$1:$F$144,5,0)," ")</f>
        <v xml:space="preserve"> </v>
      </c>
      <c r="L2420" s="563" t="str">
        <f>IF(G2420&lt;&gt;0,VLOOKUP(G2420,'gia dat'!$A$1:$F$144,6,0)," ")</f>
        <v xml:space="preserve"> </v>
      </c>
      <c r="M2420" s="564" t="str">
        <f t="shared" si="535"/>
        <v xml:space="preserve"> </v>
      </c>
      <c r="N2420" s="564" t="str">
        <f t="shared" si="536"/>
        <v xml:space="preserve"> </v>
      </c>
      <c r="O2420" s="572"/>
      <c r="P2420" s="740"/>
      <c r="Q2420" s="564"/>
      <c r="R2420" s="564"/>
      <c r="S2420" s="566"/>
      <c r="T2420" s="609"/>
      <c r="U2420" s="741"/>
      <c r="V2420" s="586"/>
      <c r="W2420" s="564"/>
      <c r="X2420" s="564"/>
      <c r="Y2420" s="650"/>
      <c r="Z2420" s="586"/>
      <c r="AA2420" s="742"/>
      <c r="AB2420" s="586"/>
      <c r="AC2420" s="586"/>
      <c r="AD2420" s="586"/>
      <c r="AE2420" s="586"/>
      <c r="AF2420" s="714"/>
      <c r="AG2420" s="570"/>
      <c r="AH2420" s="570"/>
      <c r="AI2420" s="571" t="str">
        <f t="shared" si="532"/>
        <v xml:space="preserve"> </v>
      </c>
      <c r="AJ2420" s="586"/>
      <c r="AK2420" s="586"/>
    </row>
    <row r="2421" spans="1:37" s="810" customFormat="1" ht="40.5" outlineLevel="1" x14ac:dyDescent="0.25">
      <c r="A2421" s="784" t="s">
        <v>2502</v>
      </c>
      <c r="B2421" s="785">
        <v>208</v>
      </c>
      <c r="C2421" s="786" t="s">
        <v>2056</v>
      </c>
      <c r="D2421" s="787"/>
      <c r="E2421" s="788"/>
      <c r="F2421" s="788"/>
      <c r="G2421" s="789"/>
      <c r="H2421" s="790">
        <f>SUBTOTAL(9,H2422:H2426)</f>
        <v>94.3</v>
      </c>
      <c r="I2421" s="791">
        <f>SUBTOTAL(9,I2422:I2427)</f>
        <v>0</v>
      </c>
      <c r="J2421" s="792"/>
      <c r="K2421" s="793"/>
      <c r="L2421" s="793"/>
      <c r="M2421" s="794">
        <f>SUBTOTAL(9,M2422:M2426)</f>
        <v>405726000</v>
      </c>
      <c r="N2421" s="794">
        <f>SUBTOTAL(9,N2422:N2426)</f>
        <v>0</v>
      </c>
      <c r="O2421" s="786"/>
      <c r="P2421" s="795">
        <f>SUBTOTAL(9,P2422:P2426)</f>
        <v>0</v>
      </c>
      <c r="Q2421" s="794"/>
      <c r="R2421" s="794">
        <f>SUBTOTAL(9,R2422:R2426)</f>
        <v>0</v>
      </c>
      <c r="S2421" s="796"/>
      <c r="T2421" s="797"/>
      <c r="U2421" s="798">
        <f>SUBTOTAL(9,U2422:U2426)</f>
        <v>0</v>
      </c>
      <c r="V2421" s="789"/>
      <c r="W2421" s="794"/>
      <c r="X2421" s="794">
        <f>SUBTOTAL(9,X2422:X2426)</f>
        <v>0</v>
      </c>
      <c r="Y2421" s="799"/>
      <c r="Z2421" s="800"/>
      <c r="AA2421" s="801"/>
      <c r="AB2421" s="800"/>
      <c r="AC2421" s="800"/>
      <c r="AD2421" s="800"/>
      <c r="AE2421" s="789"/>
      <c r="AF2421" s="802">
        <f>SUBTOTAL(9,AF2422:AF2426)</f>
        <v>0</v>
      </c>
      <c r="AG2421" s="803"/>
      <c r="AH2421" s="803">
        <f>SUBTOTAL(9,AH2422:AH2426)</f>
        <v>0</v>
      </c>
      <c r="AI2421" s="794">
        <f t="shared" si="532"/>
        <v>405726000</v>
      </c>
      <c r="AJ2421" s="789"/>
      <c r="AK2421" s="789"/>
    </row>
    <row r="2422" spans="1:37" s="394" customFormat="1" ht="40.5" outlineLevel="2" x14ac:dyDescent="0.3">
      <c r="A2422" s="447">
        <f>IF(B2421&lt;&gt;0,B2421,A2420)</f>
        <v>208</v>
      </c>
      <c r="B2422" s="557"/>
      <c r="C2422" s="572"/>
      <c r="D2422" s="700"/>
      <c r="E2422" s="612">
        <v>86</v>
      </c>
      <c r="F2422" s="612">
        <v>717</v>
      </c>
      <c r="G2422" s="586" t="s">
        <v>2461</v>
      </c>
      <c r="H2422" s="709">
        <f>94.3-H2423</f>
        <v>58.3</v>
      </c>
      <c r="I2422" s="546" t="str">
        <f t="shared" ref="I2422:I2423" si="542">IF(N2422&gt;0,H2422,"")</f>
        <v/>
      </c>
      <c r="J2422" s="562"/>
      <c r="K2422" s="563">
        <f>IF(G2422&lt;&gt;0,VLOOKUP(G2422,'gia dat'!$A$1:$F$144,5,0)," ")</f>
        <v>554400</v>
      </c>
      <c r="L2422" s="563">
        <f>IF(G2422&lt;&gt;0,VLOOKUP(G2422,'gia dat'!$A$1:$F$144,6,0)," ")</f>
        <v>0</v>
      </c>
      <c r="M2422" s="564">
        <f t="shared" si="535"/>
        <v>32322000</v>
      </c>
      <c r="N2422" s="564">
        <f t="shared" si="536"/>
        <v>0</v>
      </c>
      <c r="O2422" s="572"/>
      <c r="P2422" s="740"/>
      <c r="Q2422" s="564" t="str">
        <f>IF(O2422&lt;&gt;0,VLOOKUP(O2422,'Cây trong'!$A$2:$C$246,3,0)," ")</f>
        <v xml:space="preserve"> </v>
      </c>
      <c r="R2422" s="564" t="str">
        <f t="shared" si="526"/>
        <v xml:space="preserve"> </v>
      </c>
      <c r="S2422" s="566"/>
      <c r="T2422" s="609"/>
      <c r="U2422" s="741"/>
      <c r="V2422" s="586"/>
      <c r="W2422" s="564" t="str">
        <f>IF(S2422&lt;&gt;0,VLOOKUP(S2422,#REF!,8,0),"")</f>
        <v/>
      </c>
      <c r="X2422" s="564" t="str">
        <f t="shared" si="540"/>
        <v xml:space="preserve"> </v>
      </c>
      <c r="Y2422" s="650"/>
      <c r="Z2422" s="586"/>
      <c r="AA2422" s="742"/>
      <c r="AB2422" s="586"/>
      <c r="AC2422" s="586"/>
      <c r="AD2422" s="586"/>
      <c r="AE2422" s="586"/>
      <c r="AF2422" s="714"/>
      <c r="AG2422" s="570" t="str">
        <f>IF(AE2422&lt;&gt;0,VLOOKUP(AE2422,ODDS!$A$2:$C$13,3,0),"")</f>
        <v/>
      </c>
      <c r="AH2422" s="570" t="str">
        <f t="shared" si="527"/>
        <v xml:space="preserve"> </v>
      </c>
      <c r="AI2422" s="571" t="str">
        <f t="shared" si="532"/>
        <v xml:space="preserve"> </v>
      </c>
      <c r="AJ2422" s="586"/>
      <c r="AK2422" s="586"/>
    </row>
    <row r="2423" spans="1:37" s="394" customFormat="1" ht="75.75" customHeight="1" outlineLevel="2" x14ac:dyDescent="0.3">
      <c r="A2423" s="447">
        <f>IF(B2422&lt;&gt;0,B2422,A2422)</f>
        <v>208</v>
      </c>
      <c r="B2423" s="557"/>
      <c r="C2423" s="572"/>
      <c r="D2423" s="700"/>
      <c r="E2423" s="612"/>
      <c r="F2423" s="612"/>
      <c r="G2423" s="782" t="s">
        <v>2905</v>
      </c>
      <c r="H2423" s="783">
        <v>36</v>
      </c>
      <c r="I2423" s="546" t="str">
        <f t="shared" si="542"/>
        <v/>
      </c>
      <c r="J2423" s="562"/>
      <c r="K2423" s="563">
        <f>IF(G2423&lt;&gt;0,VLOOKUP(G2423,'gia dat'!$A$1:$F$144,5,0)," ")</f>
        <v>10372320</v>
      </c>
      <c r="L2423" s="563">
        <f>IF(G2423&lt;&gt;0,VLOOKUP(G2423,'gia dat'!$A$1:$F$144,6,0)," ")</f>
        <v>0</v>
      </c>
      <c r="M2423" s="564">
        <f t="shared" si="535"/>
        <v>373404000</v>
      </c>
      <c r="N2423" s="564">
        <f t="shared" si="536"/>
        <v>0</v>
      </c>
      <c r="O2423" s="572"/>
      <c r="P2423" s="740"/>
      <c r="Q2423" s="564" t="str">
        <f>IF(O2423&lt;&gt;0,VLOOKUP(O2423,'Cây trong'!$A$2:$C$246,3,0)," ")</f>
        <v xml:space="preserve"> </v>
      </c>
      <c r="R2423" s="564" t="str">
        <f t="shared" si="526"/>
        <v xml:space="preserve"> </v>
      </c>
      <c r="S2423" s="566"/>
      <c r="T2423" s="609"/>
      <c r="U2423" s="741"/>
      <c r="V2423" s="586"/>
      <c r="W2423" s="564" t="str">
        <f>IF(S2423&lt;&gt;0,VLOOKUP(S2423,#REF!,8,0),"")</f>
        <v/>
      </c>
      <c r="X2423" s="564" t="str">
        <f t="shared" si="540"/>
        <v xml:space="preserve"> </v>
      </c>
      <c r="Y2423" s="650"/>
      <c r="Z2423" s="586"/>
      <c r="AA2423" s="742"/>
      <c r="AB2423" s="586"/>
      <c r="AC2423" s="586"/>
      <c r="AD2423" s="586"/>
      <c r="AE2423" s="586"/>
      <c r="AF2423" s="714"/>
      <c r="AG2423" s="570" t="str">
        <f>IF(AE2423&lt;&gt;0,VLOOKUP(AE2423,ODDS!$A$2:$C$13,3,0),"")</f>
        <v/>
      </c>
      <c r="AH2423" s="570" t="str">
        <f t="shared" si="527"/>
        <v xml:space="preserve"> </v>
      </c>
      <c r="AI2423" s="571" t="str">
        <f t="shared" si="532"/>
        <v xml:space="preserve"> </v>
      </c>
      <c r="AJ2423" s="586"/>
      <c r="AK2423" s="586"/>
    </row>
    <row r="2424" spans="1:37" s="394" customFormat="1" ht="20.25" outlineLevel="2" x14ac:dyDescent="0.25">
      <c r="A2424" s="447">
        <f>IF(B2423&lt;&gt;0,B2423,A2423)</f>
        <v>208</v>
      </c>
      <c r="B2424" s="557"/>
      <c r="C2424" s="572"/>
      <c r="D2424" s="700"/>
      <c r="E2424" s="612"/>
      <c r="F2424" s="612"/>
      <c r="G2424" s="586"/>
      <c r="H2424" s="709"/>
      <c r="I2424" s="709"/>
      <c r="J2424" s="562"/>
      <c r="K2424" s="563" t="str">
        <f>IF(G2424&lt;&gt;0,VLOOKUP(G2424,'gia dat'!$A$1:$F$144,5,0)," ")</f>
        <v xml:space="preserve"> </v>
      </c>
      <c r="L2424" s="563" t="str">
        <f>IF(G2424&lt;&gt;0,VLOOKUP(G2424,'gia dat'!$A$1:$F$144,6,0)," ")</f>
        <v xml:space="preserve"> </v>
      </c>
      <c r="M2424" s="564" t="str">
        <f t="shared" si="535"/>
        <v xml:space="preserve"> </v>
      </c>
      <c r="N2424" s="564" t="str">
        <f t="shared" si="536"/>
        <v xml:space="preserve"> </v>
      </c>
      <c r="O2424" s="572"/>
      <c r="P2424" s="740"/>
      <c r="Q2424" s="564" t="str">
        <f>IF(O2424&lt;&gt;0,VLOOKUP(O2424,'Cây trong'!$A$2:$C$246,3,0)," ")</f>
        <v xml:space="preserve"> </v>
      </c>
      <c r="R2424" s="564" t="str">
        <f t="shared" si="526"/>
        <v xml:space="preserve"> </v>
      </c>
      <c r="S2424" s="566"/>
      <c r="T2424" s="609"/>
      <c r="U2424" s="741"/>
      <c r="V2424" s="586"/>
      <c r="W2424" s="564" t="str">
        <f>IF(S2424&lt;&gt;0,VLOOKUP(S2424,#REF!,8,0),"")</f>
        <v/>
      </c>
      <c r="X2424" s="564" t="str">
        <f t="shared" si="540"/>
        <v xml:space="preserve"> </v>
      </c>
      <c r="Y2424" s="650"/>
      <c r="Z2424" s="586"/>
      <c r="AA2424" s="742"/>
      <c r="AB2424" s="586"/>
      <c r="AC2424" s="586"/>
      <c r="AD2424" s="586"/>
      <c r="AE2424" s="586"/>
      <c r="AF2424" s="714"/>
      <c r="AG2424" s="570" t="str">
        <f>IF(AE2424&lt;&gt;0,VLOOKUP(AE2424,ODDS!$A$2:$C$13,3,0),"")</f>
        <v/>
      </c>
      <c r="AH2424" s="570" t="str">
        <f t="shared" si="527"/>
        <v xml:space="preserve"> </v>
      </c>
      <c r="AI2424" s="571" t="str">
        <f t="shared" si="532"/>
        <v xml:space="preserve"> </v>
      </c>
      <c r="AJ2424" s="586"/>
      <c r="AK2424" s="586"/>
    </row>
    <row r="2425" spans="1:37" s="394" customFormat="1" ht="20.25" outlineLevel="2" x14ac:dyDescent="0.25">
      <c r="A2425" s="447">
        <f>IF(B2424&lt;&gt;0,B2424,A2424)</f>
        <v>208</v>
      </c>
      <c r="B2425" s="557"/>
      <c r="C2425" s="572"/>
      <c r="D2425" s="700"/>
      <c r="E2425" s="612"/>
      <c r="F2425" s="612"/>
      <c r="G2425" s="586"/>
      <c r="H2425" s="709"/>
      <c r="I2425" s="709"/>
      <c r="J2425" s="562"/>
      <c r="K2425" s="563" t="str">
        <f>IF(G2425&lt;&gt;0,VLOOKUP(G2425,'gia dat'!$A$1:$F$144,5,0)," ")</f>
        <v xml:space="preserve"> </v>
      </c>
      <c r="L2425" s="563" t="str">
        <f>IF(G2425&lt;&gt;0,VLOOKUP(G2425,'gia dat'!$A$1:$F$144,6,0)," ")</f>
        <v xml:space="preserve"> </v>
      </c>
      <c r="M2425" s="564" t="str">
        <f t="shared" si="535"/>
        <v xml:space="preserve"> </v>
      </c>
      <c r="N2425" s="564" t="str">
        <f t="shared" si="536"/>
        <v xml:space="preserve"> </v>
      </c>
      <c r="O2425" s="572"/>
      <c r="P2425" s="740"/>
      <c r="Q2425" s="564" t="str">
        <f>IF(O2425&lt;&gt;0,VLOOKUP(O2425,'Cây trong'!$A$2:$C$246,3,0)," ")</f>
        <v xml:space="preserve"> </v>
      </c>
      <c r="R2425" s="564" t="str">
        <f t="shared" si="526"/>
        <v xml:space="preserve"> </v>
      </c>
      <c r="S2425" s="566"/>
      <c r="T2425" s="609"/>
      <c r="U2425" s="741"/>
      <c r="V2425" s="586"/>
      <c r="W2425" s="564" t="str">
        <f>IF(S2425&lt;&gt;0,VLOOKUP(S2425,#REF!,8,0),"")</f>
        <v/>
      </c>
      <c r="X2425" s="564" t="str">
        <f t="shared" si="540"/>
        <v xml:space="preserve"> </v>
      </c>
      <c r="Y2425" s="650"/>
      <c r="Z2425" s="586"/>
      <c r="AA2425" s="742"/>
      <c r="AB2425" s="586"/>
      <c r="AC2425" s="586"/>
      <c r="AD2425" s="586"/>
      <c r="AE2425" s="586"/>
      <c r="AF2425" s="714"/>
      <c r="AG2425" s="570" t="str">
        <f>IF(AE2425&lt;&gt;0,VLOOKUP(AE2425,ODDS!$A$2:$C$13,3,0),"")</f>
        <v/>
      </c>
      <c r="AH2425" s="570" t="str">
        <f t="shared" si="527"/>
        <v xml:space="preserve"> </v>
      </c>
      <c r="AI2425" s="571" t="str">
        <f t="shared" si="532"/>
        <v xml:space="preserve"> </v>
      </c>
      <c r="AJ2425" s="586"/>
      <c r="AK2425" s="586"/>
    </row>
    <row r="2426" spans="1:37" s="394" customFormat="1" ht="20.25" outlineLevel="2" x14ac:dyDescent="0.25">
      <c r="A2426" s="447">
        <f>IF(B2425&lt;&gt;0,B2425,A2425)</f>
        <v>208</v>
      </c>
      <c r="B2426" s="557"/>
      <c r="C2426" s="572"/>
      <c r="D2426" s="700"/>
      <c r="E2426" s="612"/>
      <c r="F2426" s="612"/>
      <c r="G2426" s="586"/>
      <c r="H2426" s="709"/>
      <c r="I2426" s="709"/>
      <c r="J2426" s="562"/>
      <c r="K2426" s="563" t="str">
        <f>IF(G2426&lt;&gt;0,VLOOKUP(G2426,'gia dat'!$A$1:$F$144,5,0)," ")</f>
        <v xml:space="preserve"> </v>
      </c>
      <c r="L2426" s="563" t="str">
        <f>IF(G2426&lt;&gt;0,VLOOKUP(G2426,'gia dat'!$A$1:$F$144,6,0)," ")</f>
        <v xml:space="preserve"> </v>
      </c>
      <c r="M2426" s="564" t="str">
        <f t="shared" si="535"/>
        <v xml:space="preserve"> </v>
      </c>
      <c r="N2426" s="564" t="str">
        <f t="shared" si="536"/>
        <v xml:space="preserve"> </v>
      </c>
      <c r="O2426" s="572"/>
      <c r="P2426" s="740"/>
      <c r="Q2426" s="564" t="str">
        <f>IF(O2426&lt;&gt;0,VLOOKUP(O2426,'Cây trong'!$A$2:$C$246,3,0)," ")</f>
        <v xml:space="preserve"> </v>
      </c>
      <c r="R2426" s="564" t="str">
        <f t="shared" si="526"/>
        <v xml:space="preserve"> </v>
      </c>
      <c r="S2426" s="566"/>
      <c r="T2426" s="609"/>
      <c r="U2426" s="741"/>
      <c r="V2426" s="586"/>
      <c r="W2426" s="564" t="str">
        <f>IF(S2426&lt;&gt;0,VLOOKUP(S2426,#REF!,8,0),"")</f>
        <v/>
      </c>
      <c r="X2426" s="564" t="str">
        <f t="shared" si="540"/>
        <v xml:space="preserve"> </v>
      </c>
      <c r="Y2426" s="650"/>
      <c r="Z2426" s="586"/>
      <c r="AA2426" s="742"/>
      <c r="AB2426" s="586"/>
      <c r="AC2426" s="586"/>
      <c r="AD2426" s="586"/>
      <c r="AE2426" s="586"/>
      <c r="AF2426" s="714"/>
      <c r="AG2426" s="570" t="str">
        <f>IF(AE2426&lt;&gt;0,VLOOKUP(AE2426,ODDS!$A$2:$C$13,3,0),"")</f>
        <v/>
      </c>
      <c r="AH2426" s="570" t="str">
        <f t="shared" si="527"/>
        <v xml:space="preserve"> </v>
      </c>
      <c r="AI2426" s="571" t="str">
        <f t="shared" si="532"/>
        <v xml:space="preserve"> </v>
      </c>
      <c r="AJ2426" s="586"/>
      <c r="AK2426" s="586"/>
    </row>
    <row r="2427" spans="1:37" s="376" customFormat="1" ht="40.5" outlineLevel="1" x14ac:dyDescent="0.25">
      <c r="A2427" s="467" t="s">
        <v>2501</v>
      </c>
      <c r="B2427" s="576">
        <v>209</v>
      </c>
      <c r="C2427" s="607" t="s">
        <v>2057</v>
      </c>
      <c r="D2427" s="706"/>
      <c r="E2427" s="642"/>
      <c r="F2427" s="642"/>
      <c r="G2427" s="578"/>
      <c r="H2427" s="707">
        <f ca="1">SUBTOTAL(9,H2428:H2439)+H2427</f>
        <v>0</v>
      </c>
      <c r="I2427" s="579">
        <f>SUBTOTAL(9,I2428:I2433)</f>
        <v>0</v>
      </c>
      <c r="J2427" s="580"/>
      <c r="K2427" s="581"/>
      <c r="L2427" s="581"/>
      <c r="M2427" s="571">
        <f>SUBTOTAL(9,M2428:M2439)</f>
        <v>0</v>
      </c>
      <c r="N2427" s="571">
        <f>SUBTOTAL(9,N2428:N2439)</f>
        <v>0</v>
      </c>
      <c r="O2427" s="574"/>
      <c r="P2427" s="599">
        <f>SUBTOTAL(9,P2428:P2439)</f>
        <v>0</v>
      </c>
      <c r="Q2427" s="571"/>
      <c r="R2427" s="571">
        <f>SUBTOTAL(9,R2428:R2439)</f>
        <v>0</v>
      </c>
      <c r="S2427" s="582"/>
      <c r="T2427" s="597"/>
      <c r="U2427" s="600">
        <f>SUBTOTAL(9,U2428:U2439)</f>
        <v>0</v>
      </c>
      <c r="V2427" s="597"/>
      <c r="W2427" s="571"/>
      <c r="X2427" s="571">
        <f>SUBTOTAL(9,X2428:X2439)</f>
        <v>0</v>
      </c>
      <c r="Y2427" s="589"/>
      <c r="Z2427" s="592"/>
      <c r="AA2427" s="592"/>
      <c r="AB2427" s="568"/>
      <c r="AC2427" s="592"/>
      <c r="AD2427" s="592"/>
      <c r="AE2427" s="601"/>
      <c r="AF2427" s="599">
        <f>SUBTOTAL(9,AF2428:AF2439)</f>
        <v>0</v>
      </c>
      <c r="AG2427" s="585"/>
      <c r="AH2427" s="585">
        <f>SUBTOTAL(9,AH2428:AH2439)</f>
        <v>0</v>
      </c>
      <c r="AI2427" s="571">
        <f t="shared" si="532"/>
        <v>0</v>
      </c>
      <c r="AJ2427" s="574"/>
      <c r="AK2427" s="574"/>
    </row>
    <row r="2428" spans="1:37" s="376" customFormat="1" ht="40.5" outlineLevel="2" x14ac:dyDescent="0.25">
      <c r="A2428" s="447">
        <f>IF(B2427&lt;&gt;0,B2427,A2426)</f>
        <v>209</v>
      </c>
      <c r="B2428" s="557"/>
      <c r="C2428" s="572"/>
      <c r="D2428" s="700"/>
      <c r="E2428" s="612"/>
      <c r="F2428" s="612"/>
      <c r="G2428" s="586" t="s">
        <v>2040</v>
      </c>
      <c r="H2428" s="709">
        <v>15.4</v>
      </c>
      <c r="I2428" s="709"/>
      <c r="J2428" s="562"/>
      <c r="K2428" s="563"/>
      <c r="L2428" s="563"/>
      <c r="M2428" s="564"/>
      <c r="N2428" s="564"/>
      <c r="O2428" s="558"/>
      <c r="P2428" s="590"/>
      <c r="Q2428" s="564" t="str">
        <f>IF(O2428&lt;&gt;0,VLOOKUP(O2428,'Cây trong'!$A$2:$C$246,3,0)," ")</f>
        <v xml:space="preserve"> </v>
      </c>
      <c r="R2428" s="564" t="str">
        <f t="shared" si="526"/>
        <v xml:space="preserve"> </v>
      </c>
      <c r="S2428" s="566"/>
      <c r="T2428" s="589"/>
      <c r="U2428" s="591"/>
      <c r="V2428" s="589"/>
      <c r="W2428" s="564" t="str">
        <f>IF(S2428&lt;&gt;0,VLOOKUP(S2428,#REF!,8,0),"")</f>
        <v/>
      </c>
      <c r="X2428" s="564" t="str">
        <f t="shared" si="540"/>
        <v xml:space="preserve"> </v>
      </c>
      <c r="Y2428" s="589"/>
      <c r="Z2428" s="592"/>
      <c r="AA2428" s="592"/>
      <c r="AB2428" s="568"/>
      <c r="AC2428" s="592"/>
      <c r="AD2428" s="592"/>
      <c r="AE2428" s="592"/>
      <c r="AF2428" s="590"/>
      <c r="AG2428" s="570" t="str">
        <f>IF(AE2428&lt;&gt;0,VLOOKUP(AE2428,ODDS!$A$2:$C$13,3,0),"")</f>
        <v/>
      </c>
      <c r="AH2428" s="570" t="str">
        <f t="shared" si="527"/>
        <v xml:space="preserve"> </v>
      </c>
      <c r="AI2428" s="571" t="str">
        <f t="shared" si="532"/>
        <v xml:space="preserve"> </v>
      </c>
      <c r="AJ2428" s="558"/>
      <c r="AK2428" s="558"/>
    </row>
    <row r="2429" spans="1:37" s="376" customFormat="1" ht="20.25" outlineLevel="2" x14ac:dyDescent="0.25">
      <c r="A2429" s="447">
        <f t="shared" ref="A2429:A2439" si="543">IF(B2428&lt;&gt;0,B2428,A2428)</f>
        <v>209</v>
      </c>
      <c r="B2429" s="557"/>
      <c r="C2429" s="572"/>
      <c r="D2429" s="700"/>
      <c r="E2429" s="612"/>
      <c r="F2429" s="612">
        <v>71</v>
      </c>
      <c r="G2429" s="586" t="s">
        <v>2066</v>
      </c>
      <c r="H2429" s="709">
        <f>161.9+0.1</f>
        <v>162</v>
      </c>
      <c r="I2429" s="709"/>
      <c r="J2429" s="562"/>
      <c r="K2429" s="563"/>
      <c r="L2429" s="563"/>
      <c r="M2429" s="564"/>
      <c r="N2429" s="564"/>
      <c r="O2429" s="558"/>
      <c r="P2429" s="590"/>
      <c r="Q2429" s="564" t="str">
        <f>IF(O2429&lt;&gt;0,VLOOKUP(O2429,'Cây trong'!$A$2:$C$246,3,0)," ")</f>
        <v xml:space="preserve"> </v>
      </c>
      <c r="R2429" s="564" t="str">
        <f t="shared" si="526"/>
        <v xml:space="preserve"> </v>
      </c>
      <c r="S2429" s="566"/>
      <c r="T2429" s="589"/>
      <c r="U2429" s="591"/>
      <c r="V2429" s="589"/>
      <c r="W2429" s="564" t="str">
        <f>IF(S2429&lt;&gt;0,VLOOKUP(S2429,#REF!,8,0),"")</f>
        <v/>
      </c>
      <c r="X2429" s="564" t="str">
        <f t="shared" si="540"/>
        <v xml:space="preserve"> </v>
      </c>
      <c r="Y2429" s="589"/>
      <c r="Z2429" s="592"/>
      <c r="AA2429" s="592"/>
      <c r="AB2429" s="568"/>
      <c r="AC2429" s="592"/>
      <c r="AD2429" s="592"/>
      <c r="AE2429" s="592"/>
      <c r="AF2429" s="590"/>
      <c r="AG2429" s="570" t="str">
        <f>IF(AE2429&lt;&gt;0,VLOOKUP(AE2429,#REF!,3,0),"")</f>
        <v/>
      </c>
      <c r="AH2429" s="570" t="str">
        <f t="shared" si="527"/>
        <v xml:space="preserve"> </v>
      </c>
      <c r="AI2429" s="571" t="str">
        <f t="shared" si="532"/>
        <v xml:space="preserve"> </v>
      </c>
      <c r="AJ2429" s="593"/>
      <c r="AK2429" s="593"/>
    </row>
    <row r="2430" spans="1:37" s="376" customFormat="1" ht="20.25" outlineLevel="2" x14ac:dyDescent="0.25">
      <c r="A2430" s="447">
        <f t="shared" si="543"/>
        <v>209</v>
      </c>
      <c r="B2430" s="557"/>
      <c r="C2430" s="572"/>
      <c r="D2430" s="700"/>
      <c r="E2430" s="612"/>
      <c r="F2430" s="612">
        <v>7</v>
      </c>
      <c r="G2430" s="586" t="s">
        <v>2066</v>
      </c>
      <c r="H2430" s="709">
        <f>232.1+0.1</f>
        <v>232.2</v>
      </c>
      <c r="I2430" s="709"/>
      <c r="J2430" s="562"/>
      <c r="K2430" s="563"/>
      <c r="L2430" s="563"/>
      <c r="M2430" s="564"/>
      <c r="N2430" s="564"/>
      <c r="O2430" s="558"/>
      <c r="P2430" s="590"/>
      <c r="Q2430" s="564" t="str">
        <f>IF(O2430&lt;&gt;0,VLOOKUP(O2430,'Cây trong'!$A$2:$C$246,3,0)," ")</f>
        <v xml:space="preserve"> </v>
      </c>
      <c r="R2430" s="564" t="str">
        <f t="shared" si="526"/>
        <v xml:space="preserve"> </v>
      </c>
      <c r="S2430" s="566"/>
      <c r="T2430" s="589"/>
      <c r="U2430" s="591"/>
      <c r="V2430" s="589"/>
      <c r="W2430" s="564" t="str">
        <f>IF(S2430&lt;&gt;0,VLOOKUP(S2430,#REF!,8,0),"")</f>
        <v/>
      </c>
      <c r="X2430" s="564" t="str">
        <f t="shared" si="540"/>
        <v xml:space="preserve"> </v>
      </c>
      <c r="Y2430" s="589"/>
      <c r="Z2430" s="592"/>
      <c r="AA2430" s="592"/>
      <c r="AB2430" s="568"/>
      <c r="AC2430" s="592"/>
      <c r="AD2430" s="592"/>
      <c r="AE2430" s="592"/>
      <c r="AF2430" s="590"/>
      <c r="AG2430" s="570" t="str">
        <f>IF(AE2430&lt;&gt;0,VLOOKUP(AE2430,#REF!,3,0),"")</f>
        <v/>
      </c>
      <c r="AH2430" s="570" t="str">
        <f t="shared" si="527"/>
        <v xml:space="preserve"> </v>
      </c>
      <c r="AI2430" s="571" t="str">
        <f t="shared" si="532"/>
        <v xml:space="preserve"> </v>
      </c>
      <c r="AJ2430" s="558"/>
      <c r="AK2430" s="593"/>
    </row>
    <row r="2431" spans="1:37" s="376" customFormat="1" ht="20.25" outlineLevel="2" x14ac:dyDescent="0.25">
      <c r="A2431" s="447">
        <f t="shared" si="543"/>
        <v>209</v>
      </c>
      <c r="B2431" s="557"/>
      <c r="C2431" s="572"/>
      <c r="D2431" s="700"/>
      <c r="E2431" s="612"/>
      <c r="F2431" s="612">
        <v>57</v>
      </c>
      <c r="G2431" s="586" t="s">
        <v>2066</v>
      </c>
      <c r="H2431" s="709">
        <v>582.1</v>
      </c>
      <c r="I2431" s="709"/>
      <c r="J2431" s="562"/>
      <c r="K2431" s="563"/>
      <c r="L2431" s="563"/>
      <c r="M2431" s="564"/>
      <c r="N2431" s="564"/>
      <c r="O2431" s="558"/>
      <c r="P2431" s="590"/>
      <c r="Q2431" s="564" t="str">
        <f>IF(O2431&lt;&gt;0,VLOOKUP(O2431,'Cây trong'!$A$2:$C$246,3,0)," ")</f>
        <v xml:space="preserve"> </v>
      </c>
      <c r="R2431" s="564" t="str">
        <f t="shared" si="526"/>
        <v xml:space="preserve"> </v>
      </c>
      <c r="S2431" s="566"/>
      <c r="T2431" s="589"/>
      <c r="U2431" s="591"/>
      <c r="V2431" s="589"/>
      <c r="W2431" s="564" t="str">
        <f>IF(S2431&lt;&gt;0,VLOOKUP(S2431,#REF!,8,0),"")</f>
        <v/>
      </c>
      <c r="X2431" s="564" t="str">
        <f t="shared" si="540"/>
        <v xml:space="preserve"> </v>
      </c>
      <c r="Y2431" s="589"/>
      <c r="Z2431" s="592"/>
      <c r="AA2431" s="592"/>
      <c r="AB2431" s="568"/>
      <c r="AC2431" s="592"/>
      <c r="AD2431" s="592"/>
      <c r="AE2431" s="592"/>
      <c r="AF2431" s="590"/>
      <c r="AG2431" s="570" t="str">
        <f>IF(AE2431&lt;&gt;0,VLOOKUP(AE2431,#REF!,3,0),"")</f>
        <v/>
      </c>
      <c r="AH2431" s="570" t="str">
        <f t="shared" si="527"/>
        <v xml:space="preserve"> </v>
      </c>
      <c r="AI2431" s="571" t="str">
        <f t="shared" si="532"/>
        <v xml:space="preserve"> </v>
      </c>
      <c r="AJ2431" s="558"/>
      <c r="AK2431" s="593"/>
    </row>
    <row r="2432" spans="1:37" s="376" customFormat="1" ht="20.25" outlineLevel="2" x14ac:dyDescent="0.25">
      <c r="A2432" s="447">
        <f t="shared" si="543"/>
        <v>209</v>
      </c>
      <c r="B2432" s="557"/>
      <c r="C2432" s="572"/>
      <c r="D2432" s="700"/>
      <c r="E2432" s="612"/>
      <c r="F2432" s="612">
        <v>191</v>
      </c>
      <c r="G2432" s="586" t="s">
        <v>2066</v>
      </c>
      <c r="H2432" s="709">
        <v>125.4</v>
      </c>
      <c r="I2432" s="709"/>
      <c r="J2432" s="562"/>
      <c r="K2432" s="563"/>
      <c r="L2432" s="563"/>
      <c r="M2432" s="564"/>
      <c r="N2432" s="564"/>
      <c r="O2432" s="558"/>
      <c r="P2432" s="590"/>
      <c r="Q2432" s="564" t="str">
        <f>IF(O2432&lt;&gt;0,VLOOKUP(O2432,'Cây trong'!$A$2:$C$246,3,0)," ")</f>
        <v xml:space="preserve"> </v>
      </c>
      <c r="R2432" s="564" t="str">
        <f t="shared" si="526"/>
        <v xml:space="preserve"> </v>
      </c>
      <c r="S2432" s="566"/>
      <c r="T2432" s="589"/>
      <c r="U2432" s="591"/>
      <c r="V2432" s="589"/>
      <c r="W2432" s="564" t="str">
        <f>IF(S2432&lt;&gt;0,VLOOKUP(S2432,#REF!,8,0),"")</f>
        <v/>
      </c>
      <c r="X2432" s="564" t="str">
        <f t="shared" si="540"/>
        <v xml:space="preserve"> </v>
      </c>
      <c r="Y2432" s="589"/>
      <c r="Z2432" s="592"/>
      <c r="AA2432" s="592"/>
      <c r="AB2432" s="568"/>
      <c r="AC2432" s="592"/>
      <c r="AD2432" s="592"/>
      <c r="AE2432" s="592"/>
      <c r="AF2432" s="590"/>
      <c r="AG2432" s="570" t="str">
        <f>IF(AE2432&lt;&gt;0,VLOOKUP(AE2432,#REF!,3,0),"")</f>
        <v/>
      </c>
      <c r="AH2432" s="570" t="str">
        <f t="shared" si="527"/>
        <v xml:space="preserve"> </v>
      </c>
      <c r="AI2432" s="571" t="str">
        <f t="shared" si="532"/>
        <v xml:space="preserve"> </v>
      </c>
      <c r="AJ2432" s="593"/>
      <c r="AK2432" s="593"/>
    </row>
    <row r="2433" spans="1:37" s="376" customFormat="1" ht="20.25" outlineLevel="2" x14ac:dyDescent="0.25">
      <c r="A2433" s="447">
        <f t="shared" si="543"/>
        <v>209</v>
      </c>
      <c r="B2433" s="557"/>
      <c r="C2433" s="572"/>
      <c r="D2433" s="700"/>
      <c r="E2433" s="612"/>
      <c r="F2433" s="612">
        <v>56</v>
      </c>
      <c r="G2433" s="586" t="s">
        <v>2143</v>
      </c>
      <c r="H2433" s="709">
        <v>480.9</v>
      </c>
      <c r="I2433" s="709"/>
      <c r="J2433" s="562"/>
      <c r="K2433" s="563"/>
      <c r="L2433" s="563"/>
      <c r="M2433" s="564"/>
      <c r="N2433" s="564"/>
      <c r="O2433" s="558"/>
      <c r="P2433" s="590"/>
      <c r="Q2433" s="564" t="str">
        <f>IF(O2433&lt;&gt;0,VLOOKUP(O2433,'Cây trong'!$A$2:$C$246,3,0)," ")</f>
        <v xml:space="preserve"> </v>
      </c>
      <c r="R2433" s="564" t="str">
        <f t="shared" si="526"/>
        <v xml:space="preserve"> </v>
      </c>
      <c r="S2433" s="566"/>
      <c r="T2433" s="589"/>
      <c r="U2433" s="591"/>
      <c r="V2433" s="589"/>
      <c r="W2433" s="564" t="str">
        <f>IF(S2433&lt;&gt;0,VLOOKUP(S2433,#REF!,8,0),"")</f>
        <v/>
      </c>
      <c r="X2433" s="564" t="str">
        <f t="shared" si="540"/>
        <v xml:space="preserve"> </v>
      </c>
      <c r="Y2433" s="589"/>
      <c r="Z2433" s="592"/>
      <c r="AA2433" s="592"/>
      <c r="AB2433" s="568"/>
      <c r="AC2433" s="592"/>
      <c r="AD2433" s="592"/>
      <c r="AE2433" s="592"/>
      <c r="AF2433" s="590"/>
      <c r="AG2433" s="570" t="str">
        <f>IF(AE2433&lt;&gt;0,VLOOKUP(AE2433,#REF!,3,0),"")</f>
        <v/>
      </c>
      <c r="AH2433" s="570" t="str">
        <f t="shared" si="527"/>
        <v xml:space="preserve"> </v>
      </c>
      <c r="AI2433" s="571" t="str">
        <f t="shared" si="532"/>
        <v xml:space="preserve"> </v>
      </c>
      <c r="AJ2433" s="593"/>
      <c r="AK2433" s="593"/>
    </row>
    <row r="2434" spans="1:37" s="376" customFormat="1" ht="20.25" outlineLevel="2" x14ac:dyDescent="0.25">
      <c r="A2434" s="447">
        <f t="shared" si="543"/>
        <v>209</v>
      </c>
      <c r="B2434" s="557"/>
      <c r="C2434" s="572"/>
      <c r="D2434" s="700"/>
      <c r="E2434" s="612"/>
      <c r="F2434" s="612">
        <v>160</v>
      </c>
      <c r="G2434" s="586" t="s">
        <v>2066</v>
      </c>
      <c r="H2434" s="709">
        <v>585.9</v>
      </c>
      <c r="I2434" s="709"/>
      <c r="J2434" s="562"/>
      <c r="K2434" s="563"/>
      <c r="L2434" s="563"/>
      <c r="M2434" s="564"/>
      <c r="N2434" s="564"/>
      <c r="O2434" s="558"/>
      <c r="P2434" s="590"/>
      <c r="Q2434" s="564"/>
      <c r="R2434" s="564"/>
      <c r="S2434" s="566"/>
      <c r="T2434" s="589"/>
      <c r="U2434" s="591"/>
      <c r="V2434" s="589"/>
      <c r="W2434" s="564"/>
      <c r="X2434" s="564"/>
      <c r="Y2434" s="589"/>
      <c r="Z2434" s="592"/>
      <c r="AA2434" s="592"/>
      <c r="AB2434" s="568"/>
      <c r="AC2434" s="592"/>
      <c r="AD2434" s="592"/>
      <c r="AE2434" s="592"/>
      <c r="AF2434" s="590"/>
      <c r="AG2434" s="570"/>
      <c r="AH2434" s="570"/>
      <c r="AI2434" s="571" t="str">
        <f t="shared" si="532"/>
        <v xml:space="preserve"> </v>
      </c>
      <c r="AJ2434" s="593"/>
      <c r="AK2434" s="593"/>
    </row>
    <row r="2435" spans="1:37" s="376" customFormat="1" ht="20.25" outlineLevel="2" x14ac:dyDescent="0.25">
      <c r="A2435" s="447">
        <f t="shared" si="543"/>
        <v>209</v>
      </c>
      <c r="B2435" s="557"/>
      <c r="C2435" s="572"/>
      <c r="D2435" s="700"/>
      <c r="E2435" s="612"/>
      <c r="F2435" s="612">
        <v>98</v>
      </c>
      <c r="G2435" s="586" t="s">
        <v>2143</v>
      </c>
      <c r="H2435" s="709">
        <v>1633.7</v>
      </c>
      <c r="I2435" s="709"/>
      <c r="J2435" s="562"/>
      <c r="K2435" s="563"/>
      <c r="L2435" s="563"/>
      <c r="M2435" s="564"/>
      <c r="N2435" s="564"/>
      <c r="O2435" s="558"/>
      <c r="P2435" s="590"/>
      <c r="Q2435" s="564"/>
      <c r="R2435" s="564"/>
      <c r="S2435" s="566"/>
      <c r="T2435" s="589"/>
      <c r="U2435" s="591"/>
      <c r="V2435" s="589"/>
      <c r="W2435" s="564"/>
      <c r="X2435" s="564"/>
      <c r="Y2435" s="589"/>
      <c r="Z2435" s="592"/>
      <c r="AA2435" s="592"/>
      <c r="AB2435" s="568"/>
      <c r="AC2435" s="592"/>
      <c r="AD2435" s="592"/>
      <c r="AE2435" s="592"/>
      <c r="AF2435" s="590"/>
      <c r="AG2435" s="570"/>
      <c r="AH2435" s="570"/>
      <c r="AI2435" s="571" t="str">
        <f t="shared" si="532"/>
        <v xml:space="preserve"> </v>
      </c>
      <c r="AJ2435" s="593"/>
      <c r="AK2435" s="593"/>
    </row>
    <row r="2436" spans="1:37" s="376" customFormat="1" ht="20.25" outlineLevel="2" x14ac:dyDescent="0.25">
      <c r="A2436" s="447">
        <f t="shared" si="543"/>
        <v>209</v>
      </c>
      <c r="B2436" s="557"/>
      <c r="C2436" s="572"/>
      <c r="D2436" s="700"/>
      <c r="E2436" s="612"/>
      <c r="F2436" s="612">
        <v>69</v>
      </c>
      <c r="G2436" s="586" t="s">
        <v>2066</v>
      </c>
      <c r="H2436" s="709">
        <v>83.7</v>
      </c>
      <c r="I2436" s="709"/>
      <c r="J2436" s="562"/>
      <c r="K2436" s="563"/>
      <c r="L2436" s="563"/>
      <c r="M2436" s="564"/>
      <c r="N2436" s="564"/>
      <c r="O2436" s="558"/>
      <c r="P2436" s="590"/>
      <c r="Q2436" s="564"/>
      <c r="R2436" s="564"/>
      <c r="S2436" s="566"/>
      <c r="T2436" s="589"/>
      <c r="U2436" s="591"/>
      <c r="V2436" s="589"/>
      <c r="W2436" s="564"/>
      <c r="X2436" s="564"/>
      <c r="Y2436" s="589"/>
      <c r="Z2436" s="592"/>
      <c r="AA2436" s="592"/>
      <c r="AB2436" s="568"/>
      <c r="AC2436" s="592"/>
      <c r="AD2436" s="592"/>
      <c r="AE2436" s="592"/>
      <c r="AF2436" s="590"/>
      <c r="AG2436" s="570"/>
      <c r="AH2436" s="570"/>
      <c r="AI2436" s="571" t="str">
        <f t="shared" si="532"/>
        <v xml:space="preserve"> </v>
      </c>
      <c r="AJ2436" s="593"/>
      <c r="AK2436" s="593"/>
    </row>
    <row r="2437" spans="1:37" s="376" customFormat="1" ht="20.25" outlineLevel="2" x14ac:dyDescent="0.3">
      <c r="A2437" s="447">
        <f t="shared" si="543"/>
        <v>209</v>
      </c>
      <c r="B2437" s="557"/>
      <c r="C2437" s="572"/>
      <c r="D2437" s="700"/>
      <c r="E2437" s="612"/>
      <c r="F2437" s="627"/>
      <c r="G2437" s="575"/>
      <c r="H2437" s="561"/>
      <c r="I2437" s="561"/>
      <c r="J2437" s="562"/>
      <c r="K2437" s="563"/>
      <c r="L2437" s="563"/>
      <c r="M2437" s="564"/>
      <c r="N2437" s="564"/>
      <c r="O2437" s="558"/>
      <c r="P2437" s="590"/>
      <c r="Q2437" s="564"/>
      <c r="R2437" s="564"/>
      <c r="S2437" s="566"/>
      <c r="T2437" s="589"/>
      <c r="U2437" s="591"/>
      <c r="V2437" s="589"/>
      <c r="W2437" s="564"/>
      <c r="X2437" s="564"/>
      <c r="Y2437" s="589"/>
      <c r="Z2437" s="592"/>
      <c r="AA2437" s="592"/>
      <c r="AB2437" s="568"/>
      <c r="AC2437" s="592"/>
      <c r="AD2437" s="592"/>
      <c r="AE2437" s="592"/>
      <c r="AF2437" s="590"/>
      <c r="AG2437" s="570"/>
      <c r="AH2437" s="570"/>
      <c r="AI2437" s="571" t="str">
        <f t="shared" si="532"/>
        <v xml:space="preserve"> </v>
      </c>
      <c r="AJ2437" s="593"/>
      <c r="AK2437" s="593"/>
    </row>
    <row r="2438" spans="1:37" s="376" customFormat="1" ht="20.25" outlineLevel="2" x14ac:dyDescent="0.3">
      <c r="A2438" s="447">
        <f t="shared" si="543"/>
        <v>209</v>
      </c>
      <c r="B2438" s="557"/>
      <c r="C2438" s="572"/>
      <c r="D2438" s="700"/>
      <c r="E2438" s="612"/>
      <c r="F2438" s="627"/>
      <c r="G2438" s="575"/>
      <c r="H2438" s="561"/>
      <c r="I2438" s="561"/>
      <c r="J2438" s="562"/>
      <c r="K2438" s="563"/>
      <c r="L2438" s="563"/>
      <c r="M2438" s="564"/>
      <c r="N2438" s="564"/>
      <c r="O2438" s="558"/>
      <c r="P2438" s="590"/>
      <c r="Q2438" s="564"/>
      <c r="R2438" s="564"/>
      <c r="S2438" s="566"/>
      <c r="T2438" s="589"/>
      <c r="U2438" s="591"/>
      <c r="V2438" s="589"/>
      <c r="W2438" s="564"/>
      <c r="X2438" s="564"/>
      <c r="Y2438" s="589"/>
      <c r="Z2438" s="592"/>
      <c r="AA2438" s="592"/>
      <c r="AB2438" s="568"/>
      <c r="AC2438" s="592"/>
      <c r="AD2438" s="592"/>
      <c r="AE2438" s="592"/>
      <c r="AF2438" s="590"/>
      <c r="AG2438" s="570"/>
      <c r="AH2438" s="570"/>
      <c r="AI2438" s="571" t="str">
        <f t="shared" si="532"/>
        <v xml:space="preserve"> </v>
      </c>
      <c r="AJ2438" s="593"/>
      <c r="AK2438" s="593"/>
    </row>
    <row r="2439" spans="1:37" ht="20.25" outlineLevel="2" x14ac:dyDescent="0.3">
      <c r="A2439" s="447">
        <f t="shared" si="543"/>
        <v>209</v>
      </c>
      <c r="B2439" s="752"/>
      <c r="C2439" s="753"/>
      <c r="D2439" s="754"/>
      <c r="E2439" s="755"/>
      <c r="F2439" s="755"/>
      <c r="G2439" s="756"/>
      <c r="H2439" s="757"/>
      <c r="I2439" s="757"/>
      <c r="J2439" s="758"/>
      <c r="K2439" s="759"/>
      <c r="L2439" s="759"/>
      <c r="M2439" s="760"/>
      <c r="N2439" s="760"/>
      <c r="O2439" s="761"/>
      <c r="P2439" s="762"/>
      <c r="Q2439" s="763"/>
      <c r="R2439" s="762"/>
      <c r="S2439" s="761"/>
      <c r="T2439" s="761"/>
      <c r="U2439" s="761"/>
      <c r="V2439" s="764"/>
      <c r="W2439" s="762"/>
      <c r="X2439" s="762"/>
      <c r="Y2439" s="761"/>
      <c r="Z2439" s="765"/>
      <c r="AA2439" s="765"/>
      <c r="AB2439" s="766"/>
      <c r="AC2439" s="765"/>
      <c r="AD2439" s="765"/>
      <c r="AE2439" s="765"/>
      <c r="AF2439" s="767"/>
      <c r="AG2439" s="768"/>
      <c r="AH2439" s="768"/>
      <c r="AI2439" s="769" t="str">
        <f t="shared" si="532"/>
        <v xml:space="preserve"> </v>
      </c>
      <c r="AJ2439" s="765"/>
      <c r="AK2439" s="781"/>
    </row>
    <row r="2440" spans="1:37" x14ac:dyDescent="0.25">
      <c r="B2440" s="450"/>
      <c r="C2440" s="402"/>
      <c r="D2440" s="464"/>
      <c r="E2440" s="461"/>
      <c r="F2440" s="462"/>
      <c r="G2440" s="410"/>
      <c r="H2440" s="498"/>
      <c r="I2440" s="498"/>
      <c r="J2440" s="405"/>
      <c r="K2440" s="452"/>
      <c r="L2440" s="452"/>
      <c r="M2440" s="453"/>
      <c r="N2440" s="453"/>
      <c r="O2440" s="406"/>
      <c r="P2440" s="453"/>
      <c r="Q2440" s="459"/>
      <c r="R2440" s="453"/>
      <c r="S2440" s="406"/>
      <c r="T2440" s="406"/>
      <c r="U2440" s="407"/>
      <c r="V2440" s="408"/>
      <c r="W2440" s="453"/>
      <c r="X2440" s="453"/>
      <c r="Y2440" s="406"/>
      <c r="Z2440" s="402"/>
      <c r="AA2440" s="402"/>
      <c r="AB2440" s="409"/>
      <c r="AC2440" s="402"/>
      <c r="AD2440" s="402"/>
      <c r="AE2440" s="402"/>
      <c r="AF2440" s="458"/>
      <c r="AG2440" s="458"/>
      <c r="AH2440" s="458"/>
      <c r="AI2440" s="458"/>
      <c r="AJ2440" s="402"/>
    </row>
    <row r="2441" spans="1:37" x14ac:dyDescent="0.25">
      <c r="B2441" s="450"/>
      <c r="C2441" s="402"/>
      <c r="D2441" s="465"/>
      <c r="E2441" s="461"/>
      <c r="F2441" s="463"/>
      <c r="G2441" s="404"/>
      <c r="H2441" s="499"/>
      <c r="I2441" s="499"/>
      <c r="J2441" s="405"/>
      <c r="K2441" s="452"/>
      <c r="L2441" s="452"/>
      <c r="M2441" s="453"/>
      <c r="N2441" s="453"/>
      <c r="O2441" s="406"/>
      <c r="P2441" s="453"/>
      <c r="Q2441" s="459"/>
      <c r="R2441" s="453"/>
      <c r="S2441" s="406"/>
      <c r="T2441" s="406"/>
      <c r="U2441" s="407"/>
      <c r="V2441" s="408"/>
      <c r="W2441" s="453"/>
      <c r="X2441" s="453"/>
      <c r="Y2441" s="406"/>
      <c r="Z2441" s="402"/>
      <c r="AA2441" s="402"/>
      <c r="AB2441" s="409"/>
      <c r="AC2441" s="402"/>
      <c r="AD2441" s="402"/>
      <c r="AE2441" s="402"/>
      <c r="AF2441" s="458"/>
      <c r="AG2441" s="458"/>
      <c r="AH2441" s="458"/>
      <c r="AI2441" s="458"/>
      <c r="AJ2441" s="402"/>
    </row>
    <row r="2442" spans="1:37" x14ac:dyDescent="0.25">
      <c r="B2442" s="450"/>
      <c r="C2442" s="402"/>
      <c r="D2442" s="461"/>
      <c r="E2442" s="461"/>
      <c r="F2442" s="461"/>
      <c r="G2442" s="403"/>
      <c r="H2442" s="500"/>
      <c r="I2442" s="500"/>
      <c r="J2442" s="403"/>
      <c r="K2442" s="452"/>
      <c r="L2442" s="452"/>
      <c r="M2442" s="453"/>
      <c r="N2442" s="453"/>
      <c r="O2442" s="406"/>
      <c r="P2442" s="453"/>
      <c r="Q2442" s="459"/>
      <c r="R2442" s="453"/>
      <c r="S2442" s="406"/>
      <c r="T2442" s="406"/>
      <c r="U2442" s="407"/>
      <c r="V2442" s="408"/>
      <c r="W2442" s="453"/>
      <c r="X2442" s="453"/>
      <c r="Y2442" s="406"/>
      <c r="Z2442" s="402"/>
      <c r="AA2442" s="402"/>
      <c r="AB2442" s="409"/>
      <c r="AC2442" s="402"/>
      <c r="AD2442" s="402"/>
      <c r="AE2442" s="402"/>
      <c r="AF2442" s="458"/>
      <c r="AG2442" s="458"/>
      <c r="AH2442" s="458"/>
      <c r="AI2442" s="458"/>
      <c r="AJ2442" s="402"/>
    </row>
    <row r="2443" spans="1:37" x14ac:dyDescent="0.25">
      <c r="B2443" s="450"/>
      <c r="C2443" s="402"/>
      <c r="D2443" s="461"/>
      <c r="E2443" s="461"/>
      <c r="F2443" s="461"/>
      <c r="G2443" s="403"/>
      <c r="H2443" s="500"/>
      <c r="I2443" s="500"/>
      <c r="J2443" s="403"/>
      <c r="K2443" s="452"/>
      <c r="L2443" s="452"/>
      <c r="M2443" s="453"/>
      <c r="N2443" s="453"/>
      <c r="O2443" s="406"/>
      <c r="P2443" s="453"/>
      <c r="Q2443" s="459"/>
      <c r="R2443" s="453"/>
      <c r="S2443" s="406"/>
      <c r="T2443" s="406"/>
      <c r="U2443" s="407"/>
      <c r="V2443" s="408"/>
      <c r="W2443" s="453"/>
      <c r="X2443" s="453"/>
      <c r="Y2443" s="406"/>
      <c r="Z2443" s="402"/>
      <c r="AA2443" s="402"/>
      <c r="AB2443" s="409"/>
      <c r="AC2443" s="402"/>
      <c r="AD2443" s="402"/>
      <c r="AE2443" s="402"/>
      <c r="AF2443" s="458"/>
      <c r="AG2443" s="458"/>
      <c r="AH2443" s="458"/>
      <c r="AI2443" s="458"/>
      <c r="AJ2443" s="402"/>
    </row>
    <row r="2444" spans="1:37" x14ac:dyDescent="0.25">
      <c r="B2444" s="450"/>
      <c r="C2444" s="402"/>
      <c r="D2444" s="461"/>
      <c r="E2444" s="461"/>
      <c r="F2444" s="461"/>
      <c r="G2444" s="403"/>
      <c r="H2444" s="500"/>
      <c r="I2444" s="500"/>
      <c r="J2444" s="403"/>
      <c r="K2444" s="452"/>
      <c r="L2444" s="452"/>
      <c r="M2444" s="453"/>
      <c r="N2444" s="453"/>
      <c r="O2444" s="406"/>
      <c r="P2444" s="453"/>
      <c r="Q2444" s="459"/>
      <c r="R2444" s="453"/>
      <c r="S2444" s="406"/>
      <c r="T2444" s="406"/>
      <c r="U2444" s="407"/>
      <c r="V2444" s="408"/>
      <c r="W2444" s="453"/>
      <c r="X2444" s="453"/>
      <c r="Y2444" s="406"/>
      <c r="Z2444" s="402"/>
      <c r="AA2444" s="402"/>
      <c r="AB2444" s="409"/>
      <c r="AC2444" s="402"/>
      <c r="AD2444" s="402"/>
      <c r="AE2444" s="402"/>
      <c r="AF2444" s="458"/>
      <c r="AG2444" s="458"/>
      <c r="AH2444" s="458"/>
      <c r="AI2444" s="458"/>
      <c r="AJ2444" s="402"/>
    </row>
    <row r="2445" spans="1:37" x14ac:dyDescent="0.25">
      <c r="B2445" s="450"/>
      <c r="C2445" s="402"/>
      <c r="D2445" s="461"/>
      <c r="E2445" s="461"/>
      <c r="F2445" s="461"/>
      <c r="G2445" s="403"/>
      <c r="H2445" s="500"/>
      <c r="I2445" s="500"/>
      <c r="J2445" s="403"/>
      <c r="K2445" s="452"/>
      <c r="L2445" s="452"/>
      <c r="M2445" s="453"/>
      <c r="N2445" s="453"/>
      <c r="O2445" s="406"/>
      <c r="P2445" s="453"/>
      <c r="Q2445" s="459"/>
      <c r="R2445" s="453"/>
      <c r="S2445" s="406"/>
      <c r="T2445" s="406"/>
      <c r="U2445" s="407"/>
      <c r="V2445" s="408"/>
      <c r="W2445" s="453"/>
      <c r="X2445" s="453"/>
      <c r="Y2445" s="406"/>
      <c r="Z2445" s="402"/>
      <c r="AA2445" s="402"/>
      <c r="AB2445" s="409"/>
      <c r="AC2445" s="402"/>
      <c r="AD2445" s="402"/>
      <c r="AE2445" s="402"/>
      <c r="AF2445" s="458"/>
      <c r="AG2445" s="458"/>
      <c r="AH2445" s="458"/>
      <c r="AI2445" s="458"/>
      <c r="AJ2445" s="402"/>
    </row>
    <row r="2446" spans="1:37" x14ac:dyDescent="0.25">
      <c r="B2446" s="450"/>
      <c r="C2446" s="402"/>
      <c r="D2446" s="465"/>
      <c r="E2446" s="461"/>
      <c r="F2446" s="463"/>
      <c r="G2446" s="404"/>
      <c r="H2446" s="499"/>
      <c r="I2446" s="499"/>
      <c r="J2446" s="405"/>
      <c r="K2446" s="452"/>
      <c r="L2446" s="452"/>
      <c r="M2446" s="453"/>
      <c r="N2446" s="453"/>
      <c r="O2446" s="406"/>
      <c r="P2446" s="453"/>
      <c r="Q2446" s="459"/>
      <c r="R2446" s="453"/>
      <c r="S2446" s="406"/>
      <c r="T2446" s="406"/>
      <c r="U2446" s="407"/>
      <c r="V2446" s="408"/>
      <c r="W2446" s="453"/>
      <c r="X2446" s="453"/>
      <c r="Y2446" s="406"/>
      <c r="Z2446" s="402"/>
      <c r="AA2446" s="402"/>
      <c r="AB2446" s="409"/>
      <c r="AC2446" s="402"/>
      <c r="AD2446" s="402"/>
      <c r="AE2446" s="402"/>
      <c r="AF2446" s="458"/>
      <c r="AG2446" s="458"/>
      <c r="AH2446" s="458"/>
      <c r="AI2446" s="458"/>
      <c r="AJ2446" s="402"/>
    </row>
    <row r="2447" spans="1:37" x14ac:dyDescent="0.25">
      <c r="B2447" s="450"/>
      <c r="C2447" s="402"/>
      <c r="D2447" s="461"/>
      <c r="E2447" s="461"/>
      <c r="F2447" s="461"/>
      <c r="G2447" s="403"/>
      <c r="H2447" s="500"/>
      <c r="I2447" s="500"/>
      <c r="J2447" s="403"/>
      <c r="K2447" s="452"/>
      <c r="L2447" s="452"/>
      <c r="M2447" s="453"/>
      <c r="N2447" s="453"/>
      <c r="O2447" s="406"/>
      <c r="P2447" s="453"/>
      <c r="Q2447" s="459"/>
      <c r="R2447" s="453"/>
      <c r="S2447" s="406"/>
      <c r="T2447" s="406"/>
      <c r="U2447" s="407"/>
      <c r="V2447" s="408"/>
      <c r="W2447" s="453"/>
      <c r="X2447" s="453"/>
      <c r="Y2447" s="406"/>
      <c r="Z2447" s="402"/>
      <c r="AA2447" s="402"/>
      <c r="AB2447" s="409"/>
      <c r="AC2447" s="402"/>
      <c r="AD2447" s="402"/>
      <c r="AE2447" s="402"/>
      <c r="AF2447" s="458"/>
      <c r="AG2447" s="458"/>
      <c r="AH2447" s="458"/>
      <c r="AI2447" s="458"/>
      <c r="AJ2447" s="402"/>
    </row>
    <row r="2448" spans="1:37" x14ac:dyDescent="0.25">
      <c r="K2448" s="452"/>
      <c r="L2448" s="452"/>
      <c r="M2448" s="453"/>
      <c r="N2448" s="453"/>
    </row>
    <row r="2449" spans="11:14" x14ac:dyDescent="0.25">
      <c r="K2449" s="452"/>
      <c r="L2449" s="452"/>
      <c r="M2449" s="453"/>
      <c r="N2449" s="453"/>
    </row>
    <row r="2450" spans="11:14" x14ac:dyDescent="0.2">
      <c r="K2450" s="452"/>
      <c r="L2450" s="452"/>
    </row>
    <row r="2451" spans="11:14" x14ac:dyDescent="0.2">
      <c r="K2451" s="452"/>
      <c r="L2451" s="452"/>
    </row>
    <row r="2452" spans="11:14" x14ac:dyDescent="0.2">
      <c r="K2452" s="452"/>
      <c r="L2452" s="452"/>
    </row>
    <row r="2453" spans="11:14" x14ac:dyDescent="0.2">
      <c r="K2453" s="452"/>
      <c r="L2453" s="452"/>
    </row>
    <row r="2454" spans="11:14" x14ac:dyDescent="0.2">
      <c r="K2454" s="452"/>
      <c r="L2454" s="452"/>
    </row>
    <row r="2455" spans="11:14" x14ac:dyDescent="0.2">
      <c r="K2455" s="452"/>
      <c r="L2455" s="452"/>
    </row>
    <row r="2456" spans="11:14" x14ac:dyDescent="0.2">
      <c r="K2456" s="452"/>
      <c r="L2456" s="452"/>
    </row>
    <row r="2457" spans="11:14" x14ac:dyDescent="0.2">
      <c r="K2457" s="452"/>
      <c r="L2457" s="452"/>
    </row>
    <row r="2458" spans="11:14" x14ac:dyDescent="0.2">
      <c r="K2458" s="452"/>
      <c r="L2458" s="452"/>
    </row>
    <row r="2459" spans="11:14" x14ac:dyDescent="0.2">
      <c r="K2459" s="452"/>
      <c r="L2459" s="452"/>
    </row>
    <row r="2460" spans="11:14" x14ac:dyDescent="0.2">
      <c r="K2460" s="452"/>
      <c r="L2460" s="452"/>
    </row>
    <row r="2461" spans="11:14" x14ac:dyDescent="0.2">
      <c r="K2461" s="452"/>
      <c r="L2461" s="452"/>
    </row>
    <row r="2462" spans="11:14" x14ac:dyDescent="0.2">
      <c r="K2462" s="452"/>
      <c r="L2462" s="452"/>
    </row>
    <row r="2463" spans="11:14" x14ac:dyDescent="0.2">
      <c r="K2463" s="452"/>
      <c r="L2463" s="452"/>
    </row>
    <row r="2464" spans="11:14" x14ac:dyDescent="0.2">
      <c r="K2464" s="454"/>
      <c r="L2464" s="454"/>
    </row>
    <row r="2465" spans="11:12" x14ac:dyDescent="0.2">
      <c r="K2465" s="454"/>
      <c r="L2465" s="454"/>
    </row>
    <row r="2466" spans="11:12" x14ac:dyDescent="0.2">
      <c r="K2466" s="454"/>
      <c r="L2466" s="454"/>
    </row>
    <row r="2467" spans="11:12" x14ac:dyDescent="0.2">
      <c r="K2467" s="454"/>
      <c r="L2467" s="454"/>
    </row>
    <row r="2468" spans="11:12" x14ac:dyDescent="0.2">
      <c r="K2468" s="454"/>
      <c r="L2468" s="454"/>
    </row>
    <row r="2469" spans="11:12" x14ac:dyDescent="0.2">
      <c r="K2469" s="454"/>
      <c r="L2469" s="454"/>
    </row>
    <row r="2471" spans="11:12" x14ac:dyDescent="0.25">
      <c r="K2471" s="455"/>
      <c r="L2471" s="455"/>
    </row>
    <row r="2472" spans="11:12" x14ac:dyDescent="0.25">
      <c r="K2472" s="455"/>
      <c r="L2472" s="455"/>
    </row>
    <row r="2473" spans="11:12" x14ac:dyDescent="0.25">
      <c r="K2473" s="455"/>
      <c r="L2473" s="455"/>
    </row>
    <row r="2474" spans="11:12" x14ac:dyDescent="0.25">
      <c r="K2474" s="455"/>
      <c r="L2474" s="455"/>
    </row>
    <row r="2475" spans="11:12" x14ac:dyDescent="0.25">
      <c r="K2475" s="455"/>
      <c r="L2475" s="455"/>
    </row>
    <row r="2476" spans="11:12" x14ac:dyDescent="0.25">
      <c r="K2476" s="455"/>
      <c r="L2476" s="455"/>
    </row>
    <row r="2477" spans="11:12" x14ac:dyDescent="0.25">
      <c r="K2477" s="455"/>
      <c r="L2477" s="455"/>
    </row>
    <row r="2478" spans="11:12" x14ac:dyDescent="0.25">
      <c r="K2478" s="455"/>
      <c r="L2478" s="455"/>
    </row>
    <row r="2479" spans="11:12" x14ac:dyDescent="0.25">
      <c r="K2479" s="453"/>
      <c r="L2479" s="453"/>
    </row>
    <row r="2480" spans="11:12" x14ac:dyDescent="0.25">
      <c r="K2480" s="453"/>
      <c r="L2480" s="453"/>
    </row>
    <row r="2481" spans="11:12" x14ac:dyDescent="0.25">
      <c r="K2481" s="453"/>
      <c r="L2481" s="453"/>
    </row>
    <row r="2482" spans="11:12" x14ac:dyDescent="0.25">
      <c r="K2482" s="453"/>
      <c r="L2482" s="453"/>
    </row>
  </sheetData>
  <mergeCells count="2">
    <mergeCell ref="A2:AJ2"/>
    <mergeCell ref="A3:AJ3"/>
  </mergeCells>
  <printOptions horizontalCentered="1"/>
  <pageMargins left="0.2" right="0.2" top="0.75" bottom="0.75" header="0.3" footer="0.3"/>
  <pageSetup paperSize="8" scale="45" orientation="landscape" r:id="rId1"/>
  <headerFooter>
    <oddFooter>&amp;R&amp;P</oddFooter>
  </headerFooter>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A1:BQ2482"/>
  <sheetViews>
    <sheetView tabSelected="1" zoomScale="95" zoomScaleNormal="95" workbookViewId="0">
      <pane xSplit="3" ySplit="7" topLeftCell="AI2424" activePane="bottomRight" state="frozen"/>
      <selection activeCell="B1" sqref="B1"/>
      <selection pane="topRight" activeCell="D1" sqref="D1"/>
      <selection pane="bottomLeft" activeCell="B8" sqref="B8"/>
      <selection pane="bottomRight" activeCell="H2427" sqref="H2427:AK2427"/>
    </sheetView>
  </sheetViews>
  <sheetFormatPr defaultColWidth="9" defaultRowHeight="15.75" outlineLevelRow="2" x14ac:dyDescent="0.2"/>
  <cols>
    <col min="1" max="1" width="4.625" style="449" hidden="1" customWidth="1"/>
    <col min="2" max="2" width="9" style="445" bestFit="1" customWidth="1"/>
    <col min="3" max="3" width="19.875" style="411" customWidth="1"/>
    <col min="4" max="4" width="5.625" style="460" customWidth="1"/>
    <col min="5" max="5" width="5.75" style="460" customWidth="1"/>
    <col min="6" max="6" width="8.125" style="460" customWidth="1"/>
    <col min="7" max="7" width="21" style="411" customWidth="1"/>
    <col min="8" max="8" width="11.625" style="497" bestFit="1" customWidth="1"/>
    <col min="9" max="9" width="17" style="497" hidden="1" customWidth="1"/>
    <col min="10" max="10" width="5.375" style="401" hidden="1" customWidth="1"/>
    <col min="11" max="11" width="14" style="451" bestFit="1" customWidth="1"/>
    <col min="12" max="12" width="12.625" style="451" bestFit="1" customWidth="1"/>
    <col min="13" max="14" width="20.125" style="451" bestFit="1" customWidth="1"/>
    <col min="15" max="15" width="11.375" style="401" customWidth="1"/>
    <col min="16" max="16" width="13.5" style="451" customWidth="1"/>
    <col min="17" max="17" width="13.25" style="451" bestFit="1" customWidth="1"/>
    <col min="18" max="18" width="17.625" style="451" bestFit="1" customWidth="1"/>
    <col min="19" max="19" width="19.625" style="401" customWidth="1"/>
    <col min="20" max="20" width="4.875" style="401" customWidth="1"/>
    <col min="21" max="21" width="14.25" style="412" customWidth="1"/>
    <col min="22" max="22" width="12.25" style="401" hidden="1" customWidth="1"/>
    <col min="23" max="23" width="15" style="451" customWidth="1"/>
    <col min="24" max="24" width="20.125" style="456" bestFit="1" customWidth="1"/>
    <col min="25" max="25" width="5.75" style="413" hidden="1" customWidth="1"/>
    <col min="26" max="26" width="10.375" style="413" hidden="1" customWidth="1"/>
    <col min="27" max="27" width="10.125" style="413" hidden="1" customWidth="1"/>
    <col min="28" max="28" width="9.875" style="413" hidden="1" customWidth="1"/>
    <col min="29" max="29" width="9.25" style="413" hidden="1" customWidth="1"/>
    <col min="30" max="30" width="9.625" style="413" hidden="1" customWidth="1"/>
    <col min="31" max="31" width="14.375" style="413" customWidth="1"/>
    <col min="32" max="32" width="8.625" style="457" customWidth="1"/>
    <col min="33" max="33" width="14" style="457" bestFit="1" customWidth="1"/>
    <col min="34" max="34" width="16.875" style="457" bestFit="1" customWidth="1"/>
    <col min="35" max="35" width="21.75" style="451" bestFit="1" customWidth="1"/>
    <col min="36" max="36" width="38.875" style="401" customWidth="1"/>
    <col min="37" max="37" width="44.75" style="780" customWidth="1"/>
    <col min="38" max="38" width="18.625" style="401" customWidth="1"/>
    <col min="39" max="39" width="30.625" style="401" customWidth="1"/>
    <col min="40" max="16384" width="9" style="401"/>
  </cols>
  <sheetData>
    <row r="1" spans="1:69" ht="22.5" customHeight="1" x14ac:dyDescent="0.2">
      <c r="B1" s="820">
        <f>H7+C1</f>
        <v>82997.000000000015</v>
      </c>
      <c r="C1" s="821">
        <f>0.4+5.9-0.5</f>
        <v>5.8000000000000007</v>
      </c>
      <c r="AM1" s="401" t="s">
        <v>2250</v>
      </c>
    </row>
    <row r="2" spans="1:69" s="827" customFormat="1" ht="38.25" x14ac:dyDescent="0.55000000000000004">
      <c r="A2" s="1099" t="s">
        <v>2958</v>
      </c>
      <c r="B2" s="1099"/>
      <c r="C2" s="1099"/>
      <c r="D2" s="1099"/>
      <c r="E2" s="1099"/>
      <c r="F2" s="1099"/>
      <c r="G2" s="1099"/>
      <c r="H2" s="1099"/>
      <c r="I2" s="1099"/>
      <c r="J2" s="1099"/>
      <c r="K2" s="1099"/>
      <c r="L2" s="1099"/>
      <c r="M2" s="1099"/>
      <c r="N2" s="1099"/>
      <c r="O2" s="1099"/>
      <c r="P2" s="1099"/>
      <c r="Q2" s="1099"/>
      <c r="R2" s="1099"/>
      <c r="S2" s="1099"/>
      <c r="T2" s="1099"/>
      <c r="U2" s="1099"/>
      <c r="V2" s="1099"/>
      <c r="W2" s="1099"/>
      <c r="X2" s="1099"/>
      <c r="Y2" s="1099"/>
      <c r="Z2" s="1099"/>
      <c r="AA2" s="1099"/>
      <c r="AB2" s="1099"/>
      <c r="AC2" s="1099"/>
      <c r="AD2" s="1099"/>
      <c r="AE2" s="1099"/>
      <c r="AF2" s="1099"/>
      <c r="AG2" s="1099"/>
      <c r="AH2" s="1099"/>
      <c r="AI2" s="1099"/>
      <c r="AJ2" s="1099"/>
      <c r="AK2" s="826"/>
      <c r="AL2" s="826"/>
      <c r="AM2" s="826"/>
      <c r="AN2" s="826"/>
      <c r="AO2" s="826"/>
      <c r="AP2" s="826"/>
      <c r="AQ2" s="826"/>
      <c r="AR2" s="826"/>
      <c r="AS2" s="826"/>
      <c r="AT2" s="826"/>
      <c r="AU2" s="826"/>
      <c r="AV2" s="826"/>
      <c r="AW2" s="826"/>
      <c r="AX2" s="826"/>
      <c r="AY2" s="826"/>
      <c r="AZ2" s="826"/>
      <c r="BA2" s="826"/>
      <c r="BB2" s="826"/>
      <c r="BC2" s="826"/>
      <c r="BD2" s="826"/>
      <c r="BE2" s="826"/>
      <c r="BF2" s="826"/>
      <c r="BG2" s="826"/>
      <c r="BH2" s="826"/>
      <c r="BI2" s="826"/>
      <c r="BJ2" s="826"/>
      <c r="BK2" s="826"/>
      <c r="BL2" s="826"/>
      <c r="BM2" s="826"/>
      <c r="BN2" s="826"/>
      <c r="BO2" s="826"/>
      <c r="BP2" s="826"/>
      <c r="BQ2" s="826"/>
    </row>
    <row r="3" spans="1:69" s="827" customFormat="1" ht="38.25" x14ac:dyDescent="0.55000000000000004">
      <c r="A3" s="1099" t="s">
        <v>2851</v>
      </c>
      <c r="B3" s="1099"/>
      <c r="C3" s="1099"/>
      <c r="D3" s="1099"/>
      <c r="E3" s="1099"/>
      <c r="F3" s="1099"/>
      <c r="G3" s="1099"/>
      <c r="H3" s="1099"/>
      <c r="I3" s="1099"/>
      <c r="J3" s="1099"/>
      <c r="K3" s="1099"/>
      <c r="L3" s="1099"/>
      <c r="M3" s="1099"/>
      <c r="N3" s="1099"/>
      <c r="O3" s="1099"/>
      <c r="P3" s="1099"/>
      <c r="Q3" s="1099"/>
      <c r="R3" s="1099"/>
      <c r="S3" s="1099"/>
      <c r="T3" s="1099"/>
      <c r="U3" s="1099"/>
      <c r="V3" s="1099"/>
      <c r="W3" s="1099"/>
      <c r="X3" s="1099"/>
      <c r="Y3" s="1099"/>
      <c r="Z3" s="1099"/>
      <c r="AA3" s="1099"/>
      <c r="AB3" s="1099"/>
      <c r="AC3" s="1099"/>
      <c r="AD3" s="1099"/>
      <c r="AE3" s="1099"/>
      <c r="AF3" s="1099"/>
      <c r="AG3" s="1099"/>
      <c r="AH3" s="1099"/>
      <c r="AI3" s="1099"/>
      <c r="AJ3" s="1099"/>
      <c r="AK3" s="826"/>
      <c r="AL3" s="826"/>
      <c r="AM3" s="826"/>
      <c r="AN3" s="826"/>
      <c r="AO3" s="826"/>
      <c r="AP3" s="826"/>
      <c r="AQ3" s="826"/>
      <c r="AR3" s="826"/>
      <c r="AS3" s="826"/>
      <c r="AT3" s="826"/>
      <c r="AU3" s="826"/>
      <c r="AV3" s="826"/>
      <c r="AW3" s="826"/>
      <c r="AX3" s="826"/>
      <c r="AY3" s="826"/>
      <c r="AZ3" s="826"/>
      <c r="BA3" s="826"/>
      <c r="BB3" s="826"/>
      <c r="BC3" s="826"/>
      <c r="BD3" s="826"/>
      <c r="BE3" s="826"/>
      <c r="BF3" s="826"/>
      <c r="BG3" s="826"/>
      <c r="BH3" s="826"/>
      <c r="BI3" s="826"/>
      <c r="BJ3" s="826"/>
      <c r="BK3" s="826"/>
      <c r="BL3" s="826"/>
      <c r="BM3" s="826"/>
      <c r="BN3" s="826"/>
      <c r="BO3" s="826"/>
      <c r="BP3" s="826"/>
      <c r="BQ3" s="826"/>
    </row>
    <row r="4" spans="1:69" x14ac:dyDescent="0.2">
      <c r="B4" s="822">
        <f>C4-B1</f>
        <v>0</v>
      </c>
      <c r="C4" s="823">
        <v>82997</v>
      </c>
      <c r="G4" s="483"/>
    </row>
    <row r="5" spans="1:69" s="375" customFormat="1" ht="21.75" x14ac:dyDescent="0.25">
      <c r="A5" s="446"/>
      <c r="B5" s="838" t="s">
        <v>619</v>
      </c>
      <c r="C5" s="839" t="s">
        <v>0</v>
      </c>
      <c r="D5" s="840" t="s">
        <v>617</v>
      </c>
      <c r="E5" s="840" t="s">
        <v>619</v>
      </c>
      <c r="F5" s="840" t="s">
        <v>617</v>
      </c>
      <c r="G5" s="841" t="s">
        <v>1</v>
      </c>
      <c r="H5" s="842"/>
      <c r="I5" s="842"/>
      <c r="J5" s="841"/>
      <c r="K5" s="843"/>
      <c r="L5" s="843"/>
      <c r="M5" s="843"/>
      <c r="N5" s="843"/>
      <c r="O5" s="839" t="s">
        <v>2</v>
      </c>
      <c r="P5" s="844"/>
      <c r="Q5" s="843"/>
      <c r="R5" s="843"/>
      <c r="S5" s="839" t="s">
        <v>3</v>
      </c>
      <c r="T5" s="839"/>
      <c r="U5" s="845"/>
      <c r="V5" s="839"/>
      <c r="W5" s="843"/>
      <c r="X5" s="843"/>
      <c r="Y5" s="846" t="s">
        <v>395</v>
      </c>
      <c r="Z5" s="846"/>
      <c r="AA5" s="846"/>
      <c r="AB5" s="846"/>
      <c r="AC5" s="846"/>
      <c r="AD5" s="846"/>
      <c r="AE5" s="847" t="s">
        <v>2134</v>
      </c>
      <c r="AF5" s="844"/>
      <c r="AG5" s="844"/>
      <c r="AH5" s="844"/>
      <c r="AI5" s="848" t="s">
        <v>4</v>
      </c>
      <c r="AJ5" s="839" t="s">
        <v>2853</v>
      </c>
      <c r="AK5" s="849"/>
    </row>
    <row r="6" spans="1:69" s="375" customFormat="1" ht="87" x14ac:dyDescent="0.25">
      <c r="A6" s="446" t="s">
        <v>5</v>
      </c>
      <c r="B6" s="850" t="s">
        <v>2852</v>
      </c>
      <c r="C6" s="851"/>
      <c r="D6" s="852" t="s">
        <v>618</v>
      </c>
      <c r="E6" s="852" t="s">
        <v>620</v>
      </c>
      <c r="F6" s="852" t="s">
        <v>621</v>
      </c>
      <c r="G6" s="853" t="s">
        <v>6</v>
      </c>
      <c r="H6" s="854" t="s">
        <v>2910</v>
      </c>
      <c r="I6" s="854" t="s">
        <v>2900</v>
      </c>
      <c r="J6" s="855" t="s">
        <v>8</v>
      </c>
      <c r="K6" s="856" t="s">
        <v>9</v>
      </c>
      <c r="L6" s="856" t="s">
        <v>10</v>
      </c>
      <c r="M6" s="856" t="s">
        <v>11</v>
      </c>
      <c r="N6" s="856" t="s">
        <v>12</v>
      </c>
      <c r="O6" s="857" t="s">
        <v>13</v>
      </c>
      <c r="P6" s="856" t="s">
        <v>14</v>
      </c>
      <c r="Q6" s="856" t="s">
        <v>15</v>
      </c>
      <c r="R6" s="856" t="s">
        <v>16</v>
      </c>
      <c r="S6" s="857" t="s">
        <v>17</v>
      </c>
      <c r="T6" s="857" t="s">
        <v>18</v>
      </c>
      <c r="U6" s="858" t="s">
        <v>7</v>
      </c>
      <c r="V6" s="855" t="s">
        <v>8</v>
      </c>
      <c r="W6" s="856" t="s">
        <v>15</v>
      </c>
      <c r="X6" s="859" t="s">
        <v>16</v>
      </c>
      <c r="Y6" s="860" t="s">
        <v>19</v>
      </c>
      <c r="Z6" s="860" t="s">
        <v>20</v>
      </c>
      <c r="AA6" s="860" t="s">
        <v>21</v>
      </c>
      <c r="AB6" s="860" t="s">
        <v>22</v>
      </c>
      <c r="AC6" s="860" t="s">
        <v>23</v>
      </c>
      <c r="AD6" s="860" t="s">
        <v>24</v>
      </c>
      <c r="AE6" s="861" t="s">
        <v>2135</v>
      </c>
      <c r="AF6" s="859" t="s">
        <v>2957</v>
      </c>
      <c r="AG6" s="859" t="s">
        <v>15</v>
      </c>
      <c r="AH6" s="859" t="s">
        <v>16</v>
      </c>
      <c r="AI6" s="856" t="s">
        <v>16</v>
      </c>
      <c r="AJ6" s="853" t="s">
        <v>2855</v>
      </c>
      <c r="AK6" s="853" t="s">
        <v>2854</v>
      </c>
    </row>
    <row r="7" spans="1:69" s="825" customFormat="1" ht="40.5" customHeight="1" x14ac:dyDescent="0.2">
      <c r="A7" s="446" t="s">
        <v>2710</v>
      </c>
      <c r="B7" s="862"/>
      <c r="C7" s="863" t="s">
        <v>4</v>
      </c>
      <c r="D7" s="864"/>
      <c r="E7" s="865"/>
      <c r="F7" s="865"/>
      <c r="G7" s="866"/>
      <c r="H7" s="867">
        <f>SUBTOTAL(9,H9:H2439)</f>
        <v>82991.200000000012</v>
      </c>
      <c r="I7" s="867">
        <f>SUBTOTAL(9,I9:I2439)</f>
        <v>43626.2</v>
      </c>
      <c r="J7" s="868"/>
      <c r="K7" s="869"/>
      <c r="L7" s="869"/>
      <c r="M7" s="870">
        <f>SUBTOTAL(9,M9:M2439)</f>
        <v>70703020000</v>
      </c>
      <c r="N7" s="870">
        <f>SUBTOTAL(9,N9:N2439)</f>
        <v>62265448000</v>
      </c>
      <c r="O7" s="871"/>
      <c r="P7" s="869">
        <f>SUBTOTAL(9,P9:P2439)</f>
        <v>16033.5</v>
      </c>
      <c r="Q7" s="870"/>
      <c r="R7" s="870">
        <f>SUBTOTAL(9,R9:R2439)</f>
        <v>2065249500</v>
      </c>
      <c r="S7" s="872"/>
      <c r="T7" s="868"/>
      <c r="U7" s="873">
        <f>SUBTOTAL(9,U9:U2439)</f>
        <v>23019.545500000011</v>
      </c>
      <c r="V7" s="868"/>
      <c r="W7" s="870"/>
      <c r="X7" s="870">
        <f>SUBTOTAL(9,X9:X2439)</f>
        <v>25201681000</v>
      </c>
      <c r="Y7" s="868"/>
      <c r="Z7" s="874"/>
      <c r="AA7" s="874"/>
      <c r="AB7" s="874"/>
      <c r="AC7" s="874"/>
      <c r="AD7" s="874"/>
      <c r="AE7" s="875"/>
      <c r="AF7" s="869">
        <f>SUBTOTAL(9,AF9:AF2439)</f>
        <v>31</v>
      </c>
      <c r="AG7" s="876"/>
      <c r="AH7" s="876">
        <f>SUBTOTAL(9,AH9:AH2439)</f>
        <v>309000000</v>
      </c>
      <c r="AI7" s="870">
        <f>SUBTOTAL(9,AI8:AI2439)</f>
        <v>160544398500</v>
      </c>
      <c r="AJ7" s="877"/>
      <c r="AK7" s="877"/>
    </row>
    <row r="8" spans="1:69" s="376" customFormat="1" ht="43.5" outlineLevel="1" x14ac:dyDescent="0.3">
      <c r="A8" s="446" t="s">
        <v>2709</v>
      </c>
      <c r="B8" s="878">
        <v>1</v>
      </c>
      <c r="C8" s="879" t="s">
        <v>413</v>
      </c>
      <c r="D8" s="880"/>
      <c r="E8" s="840"/>
      <c r="F8" s="840"/>
      <c r="G8" s="881"/>
      <c r="H8" s="882">
        <f>SUBTOTAL(9,H9:H14)</f>
        <v>0</v>
      </c>
      <c r="I8" s="882">
        <f>SUBTOTAL(9,I9:I14)</f>
        <v>0</v>
      </c>
      <c r="J8" s="883"/>
      <c r="K8" s="884"/>
      <c r="L8" s="884"/>
      <c r="M8" s="885">
        <f>SUBTOTAL(9,M9:M14)</f>
        <v>0</v>
      </c>
      <c r="N8" s="885">
        <f>SUBTOTAL(9,N9:N14)</f>
        <v>0</v>
      </c>
      <c r="O8" s="886"/>
      <c r="P8" s="884">
        <f>SUBTOTAL(9,P9:P14)</f>
        <v>0</v>
      </c>
      <c r="Q8" s="885"/>
      <c r="R8" s="885">
        <f>SUBTOTAL(9,R9:R14)</f>
        <v>0</v>
      </c>
      <c r="S8" s="887"/>
      <c r="T8" s="883"/>
      <c r="U8" s="888">
        <f>SUBTOTAL(9,U9:U14)</f>
        <v>50.55</v>
      </c>
      <c r="V8" s="883"/>
      <c r="W8" s="885"/>
      <c r="X8" s="885">
        <f>SUBTOTAL(9,X9:X14)</f>
        <v>61518000</v>
      </c>
      <c r="Y8" s="889"/>
      <c r="Z8" s="890"/>
      <c r="AA8" s="890"/>
      <c r="AB8" s="890"/>
      <c r="AC8" s="890"/>
      <c r="AD8" s="890"/>
      <c r="AE8" s="891"/>
      <c r="AF8" s="884">
        <f>SUBTOTAL(9,AF9:AF14)</f>
        <v>1</v>
      </c>
      <c r="AG8" s="892"/>
      <c r="AH8" s="892">
        <f>SUBTOTAL(9,AH9:AH14)</f>
        <v>5000000</v>
      </c>
      <c r="AI8" s="885">
        <f>IF(B8&lt;&gt;0,M8+N8+R8+X8+AH8," ")</f>
        <v>66518000</v>
      </c>
      <c r="AJ8" s="881"/>
      <c r="AK8" s="881"/>
    </row>
    <row r="9" spans="1:69" s="376" customFormat="1" ht="112.5" outlineLevel="2" x14ac:dyDescent="0.35">
      <c r="A9" s="447">
        <f>IF(B8&lt;&gt;0,B8,A6)</f>
        <v>1</v>
      </c>
      <c r="B9" s="893"/>
      <c r="C9" s="894" t="s">
        <v>51</v>
      </c>
      <c r="D9" s="895">
        <v>4</v>
      </c>
      <c r="E9" s="896"/>
      <c r="F9" s="896"/>
      <c r="G9" s="894"/>
      <c r="H9" s="897"/>
      <c r="I9" s="882"/>
      <c r="J9" s="898"/>
      <c r="K9" s="899" t="str">
        <f>IF(G9&lt;&gt;0,VLOOKUP(G9,'gia dat'!$A$1:$F$144,5,0)," ")</f>
        <v xml:space="preserve"> </v>
      </c>
      <c r="L9" s="899" t="str">
        <f>IF(G9&lt;&gt;0,VLOOKUP(G9,'gia dat'!$A$1:$F$144,6,0)," ")</f>
        <v xml:space="preserve"> </v>
      </c>
      <c r="M9" s="900" t="str">
        <f>IF(H9&lt;&gt;0,ROUND(H9*K9,-3)," ")</f>
        <v xml:space="preserve"> </v>
      </c>
      <c r="N9" s="900" t="str">
        <f>IF(H9&lt;&gt;0,ROUND(H9*L9,-3)," ")</f>
        <v xml:space="preserve"> </v>
      </c>
      <c r="O9" s="901"/>
      <c r="P9" s="899"/>
      <c r="Q9" s="900" t="str">
        <f>IF(O9&lt;&gt;0,VLOOKUP(O9,'Cây trong'!$A$2:$C$246,3,0)," ")</f>
        <v xml:space="preserve"> </v>
      </c>
      <c r="R9" s="900" t="str">
        <f>IF(O9&lt;&gt;0,ROUND(P9*Q9,-2)," ")</f>
        <v xml:space="preserve"> </v>
      </c>
      <c r="S9" s="902" t="s">
        <v>1763</v>
      </c>
      <c r="T9" s="898" t="s">
        <v>53</v>
      </c>
      <c r="U9" s="903">
        <v>15.3</v>
      </c>
      <c r="V9" s="898"/>
      <c r="W9" s="900">
        <f>IF(S9&lt;&gt;0,VLOOKUP(S9,VKT!$A$2:$G$415,7,0),"")</f>
        <v>3550600</v>
      </c>
      <c r="X9" s="900">
        <f>IF(S9&lt;&gt;0,ROUND(U9*W9,-3)," ")</f>
        <v>54324000</v>
      </c>
      <c r="Y9" s="898" t="s">
        <v>54</v>
      </c>
      <c r="Z9" s="904" t="s">
        <v>55</v>
      </c>
      <c r="AA9" s="904" t="s">
        <v>56</v>
      </c>
      <c r="AB9" s="904" t="s">
        <v>57</v>
      </c>
      <c r="AC9" s="904" t="s">
        <v>54</v>
      </c>
      <c r="AD9" s="904" t="s">
        <v>414</v>
      </c>
      <c r="AE9" s="905" t="s">
        <v>2137</v>
      </c>
      <c r="AF9" s="899">
        <v>1</v>
      </c>
      <c r="AG9" s="906">
        <f>IF(AE9&lt;&gt;0,VLOOKUP(AE9,ODDS!$A$2:$C$13,3,0),"")</f>
        <v>5000000</v>
      </c>
      <c r="AH9" s="906">
        <f>IF(AE9&lt;&gt;0,ROUND(AF9*AG9,-2)," ")</f>
        <v>5000000</v>
      </c>
      <c r="AI9" s="907" t="str">
        <f t="shared" ref="AI9:AI72" si="0">IF(B9&lt;&gt;0,M9+N9+R9+X9+AH9," ")</f>
        <v xml:space="preserve"> </v>
      </c>
      <c r="AJ9" s="894" t="s">
        <v>2452</v>
      </c>
      <c r="AK9" s="894" t="s">
        <v>2450</v>
      </c>
    </row>
    <row r="10" spans="1:69" s="376" customFormat="1" ht="112.5" outlineLevel="2" x14ac:dyDescent="0.3">
      <c r="A10" s="447">
        <f>IF(B9&lt;&gt;0,B9,A9)</f>
        <v>1</v>
      </c>
      <c r="B10" s="893"/>
      <c r="C10" s="908" t="s">
        <v>625</v>
      </c>
      <c r="D10" s="896"/>
      <c r="E10" s="896"/>
      <c r="F10" s="896"/>
      <c r="G10" s="894"/>
      <c r="H10" s="909"/>
      <c r="I10" s="882"/>
      <c r="J10" s="898"/>
      <c r="K10" s="899" t="str">
        <f>IF(G10&lt;&gt;0,VLOOKUP(G10,'gia dat'!$A$1:$F$144,5,0)," ")</f>
        <v xml:space="preserve"> </v>
      </c>
      <c r="L10" s="899" t="str">
        <f>IF(G10&lt;&gt;0,VLOOKUP(G10,'gia dat'!$A$1:$F$144,6,0)," ")</f>
        <v xml:space="preserve"> </v>
      </c>
      <c r="M10" s="900" t="str">
        <f t="shared" ref="M10:M79" si="1">IF(H10&lt;&gt;0,ROUND(H10*K10,-3)," ")</f>
        <v xml:space="preserve"> </v>
      </c>
      <c r="N10" s="900" t="str">
        <f t="shared" ref="N10:N79" si="2">IF(H10&lt;&gt;0,ROUND(H10*L10,-3)," ")</f>
        <v xml:space="preserve"> </v>
      </c>
      <c r="O10" s="894"/>
      <c r="P10" s="899"/>
      <c r="Q10" s="900" t="str">
        <f>IF(O10&lt;&gt;0,VLOOKUP(O10,'Cây trong'!$A$2:$C$246,3,0)," ")</f>
        <v xml:space="preserve"> </v>
      </c>
      <c r="R10" s="900" t="str">
        <f t="shared" ref="R10:R123" si="3">IF(O10&lt;&gt;0,ROUND(P10*Q10,-2)," ")</f>
        <v xml:space="preserve"> </v>
      </c>
      <c r="S10" s="902" t="s">
        <v>1767</v>
      </c>
      <c r="T10" s="898" t="s">
        <v>53</v>
      </c>
      <c r="U10" s="903">
        <v>5.85</v>
      </c>
      <c r="V10" s="898"/>
      <c r="W10" s="900">
        <f>IF(S10&lt;&gt;0,VLOOKUP(S10,VKT!$A$2:$G$415,7,0),"")</f>
        <v>0</v>
      </c>
      <c r="X10" s="900">
        <f t="shared" ref="X10:X79" si="4">IF(S10&lt;&gt;0,ROUND(U10*W10,-3)," ")</f>
        <v>0</v>
      </c>
      <c r="Y10" s="898"/>
      <c r="Z10" s="904"/>
      <c r="AA10" s="904"/>
      <c r="AB10" s="904"/>
      <c r="AC10" s="904"/>
      <c r="AD10" s="904"/>
      <c r="AE10" s="904"/>
      <c r="AF10" s="899"/>
      <c r="AG10" s="906" t="str">
        <f>IF(AE10&lt;&gt;0,VLOOKUP(AE10,ODDS!$A$2:$C$13,3,0),"")</f>
        <v/>
      </c>
      <c r="AH10" s="906" t="str">
        <f t="shared" ref="AH10:AH123" si="5">IF(AE10&lt;&gt;0,ROUND(AF10*AG10,-2)," ")</f>
        <v xml:space="preserve"> </v>
      </c>
      <c r="AI10" s="907" t="str">
        <f t="shared" si="0"/>
        <v xml:space="preserve"> </v>
      </c>
      <c r="AJ10" s="910" t="s">
        <v>415</v>
      </c>
      <c r="AK10" s="894" t="s">
        <v>2447</v>
      </c>
    </row>
    <row r="11" spans="1:69" s="376" customFormat="1" ht="112.5" outlineLevel="2" x14ac:dyDescent="0.35">
      <c r="A11" s="447">
        <f>IF(B10&lt;&gt;0,B10,A10)</f>
        <v>1</v>
      </c>
      <c r="B11" s="893"/>
      <c r="C11" s="894" t="s">
        <v>295</v>
      </c>
      <c r="D11" s="896"/>
      <c r="E11" s="896"/>
      <c r="F11" s="896"/>
      <c r="G11" s="894"/>
      <c r="H11" s="909"/>
      <c r="I11" s="882"/>
      <c r="J11" s="898"/>
      <c r="K11" s="899" t="str">
        <f>IF(G11&lt;&gt;0,VLOOKUP(G11,'gia dat'!$A$1:$F$144,5,0)," ")</f>
        <v xml:space="preserve"> </v>
      </c>
      <c r="L11" s="899" t="str">
        <f>IF(G11&lt;&gt;0,VLOOKUP(G11,'gia dat'!$A$1:$F$144,6,0)," ")</f>
        <v xml:space="preserve"> </v>
      </c>
      <c r="M11" s="900" t="str">
        <f t="shared" si="1"/>
        <v xml:space="preserve"> </v>
      </c>
      <c r="N11" s="900" t="str">
        <f t="shared" si="2"/>
        <v xml:space="preserve"> </v>
      </c>
      <c r="O11" s="894"/>
      <c r="P11" s="899"/>
      <c r="Q11" s="900" t="str">
        <f>IF(O11&lt;&gt;0,VLOOKUP(O11,'Cây trong'!$A$2:$C$246,3,0)," ")</f>
        <v xml:space="preserve"> </v>
      </c>
      <c r="R11" s="900" t="str">
        <f t="shared" si="3"/>
        <v xml:space="preserve"> </v>
      </c>
      <c r="S11" s="902" t="s">
        <v>1768</v>
      </c>
      <c r="T11" s="898" t="s">
        <v>53</v>
      </c>
      <c r="U11" s="903">
        <v>14.1</v>
      </c>
      <c r="V11" s="898"/>
      <c r="W11" s="900">
        <f>IF(S11&lt;&gt;0,VLOOKUP(S11,VKT!$A$2:$G$415,7,0),"")</f>
        <v>238288</v>
      </c>
      <c r="X11" s="900">
        <f t="shared" si="4"/>
        <v>3360000</v>
      </c>
      <c r="Y11" s="898"/>
      <c r="Z11" s="904"/>
      <c r="AA11" s="904"/>
      <c r="AB11" s="904"/>
      <c r="AC11" s="904"/>
      <c r="AD11" s="904"/>
      <c r="AE11" s="904"/>
      <c r="AF11" s="899"/>
      <c r="AG11" s="906" t="str">
        <f>IF(AE11&lt;&gt;0,VLOOKUP(AE11,ODDS!$A$2:$C$13,3,0),"")</f>
        <v/>
      </c>
      <c r="AH11" s="906" t="str">
        <f t="shared" si="5"/>
        <v xml:space="preserve"> </v>
      </c>
      <c r="AI11" s="907" t="str">
        <f t="shared" si="0"/>
        <v xml:space="preserve"> </v>
      </c>
      <c r="AJ11" s="911"/>
      <c r="AK11" s="894" t="s">
        <v>2800</v>
      </c>
    </row>
    <row r="12" spans="1:69" s="376" customFormat="1" ht="45" outlineLevel="2" x14ac:dyDescent="0.35">
      <c r="A12" s="447">
        <f>IF(B11&lt;&gt;0,B11,A11)</f>
        <v>1</v>
      </c>
      <c r="B12" s="893"/>
      <c r="C12" s="894"/>
      <c r="D12" s="896"/>
      <c r="E12" s="896"/>
      <c r="F12" s="896"/>
      <c r="G12" s="894"/>
      <c r="H12" s="909"/>
      <c r="I12" s="882"/>
      <c r="J12" s="898"/>
      <c r="K12" s="899" t="str">
        <f>IF(G12&lt;&gt;0,VLOOKUP(G12,'gia dat'!$A$1:$F$144,5,0)," ")</f>
        <v xml:space="preserve"> </v>
      </c>
      <c r="L12" s="899" t="str">
        <f>IF(G12&lt;&gt;0,VLOOKUP(G12,'gia dat'!$A$1:$F$144,6,0)," ")</f>
        <v xml:space="preserve"> </v>
      </c>
      <c r="M12" s="900" t="str">
        <f t="shared" si="1"/>
        <v xml:space="preserve"> </v>
      </c>
      <c r="N12" s="900" t="str">
        <f t="shared" si="2"/>
        <v xml:space="preserve"> </v>
      </c>
      <c r="O12" s="894"/>
      <c r="P12" s="899"/>
      <c r="Q12" s="900" t="str">
        <f>IF(O12&lt;&gt;0,VLOOKUP(O12,'Cây trong'!$A$2:$C$246,3,0)," ")</f>
        <v xml:space="preserve"> </v>
      </c>
      <c r="R12" s="900" t="str">
        <f t="shared" si="3"/>
        <v xml:space="preserve"> </v>
      </c>
      <c r="S12" s="902" t="s">
        <v>1826</v>
      </c>
      <c r="T12" s="898" t="s">
        <v>53</v>
      </c>
      <c r="U12" s="903">
        <v>15.3</v>
      </c>
      <c r="V12" s="898"/>
      <c r="W12" s="900">
        <f>IF(S12&lt;&gt;0,VLOOKUP(S12,VKT!$A$2:$G$415,7,0),"")</f>
        <v>250583</v>
      </c>
      <c r="X12" s="900">
        <f t="shared" si="4"/>
        <v>3834000</v>
      </c>
      <c r="Y12" s="898"/>
      <c r="Z12" s="904"/>
      <c r="AA12" s="904"/>
      <c r="AB12" s="904"/>
      <c r="AC12" s="904"/>
      <c r="AD12" s="904"/>
      <c r="AE12" s="904"/>
      <c r="AF12" s="899"/>
      <c r="AG12" s="906" t="str">
        <f>IF(AE12&lt;&gt;0,VLOOKUP(AE12,ODDS!$A$2:$C$13,3,0),"")</f>
        <v/>
      </c>
      <c r="AH12" s="906" t="str">
        <f t="shared" si="5"/>
        <v xml:space="preserve"> </v>
      </c>
      <c r="AI12" s="907" t="str">
        <f t="shared" si="0"/>
        <v xml:space="preserve"> </v>
      </c>
      <c r="AJ12" s="911"/>
      <c r="AK12" s="910"/>
      <c r="AL12" s="373"/>
    </row>
    <row r="13" spans="1:69" s="376" customFormat="1" ht="22.5" outlineLevel="2" x14ac:dyDescent="0.3">
      <c r="A13" s="447">
        <f>IF(B12&lt;&gt;0,B12,A12)</f>
        <v>1</v>
      </c>
      <c r="B13" s="893"/>
      <c r="C13" s="894"/>
      <c r="D13" s="896"/>
      <c r="E13" s="896"/>
      <c r="F13" s="896"/>
      <c r="G13" s="894"/>
      <c r="H13" s="909"/>
      <c r="I13" s="882"/>
      <c r="J13" s="898"/>
      <c r="K13" s="899" t="str">
        <f>IF(G13&lt;&gt;0,VLOOKUP(G13,'gia dat'!$A$1:$F$144,5,0)," ")</f>
        <v xml:space="preserve"> </v>
      </c>
      <c r="L13" s="899" t="str">
        <f>IF(G13&lt;&gt;0,VLOOKUP(G13,'gia dat'!$A$1:$F$144,6,0)," ")</f>
        <v xml:space="preserve"> </v>
      </c>
      <c r="M13" s="900" t="str">
        <f t="shared" si="1"/>
        <v xml:space="preserve"> </v>
      </c>
      <c r="N13" s="900" t="str">
        <f t="shared" si="2"/>
        <v xml:space="preserve"> </v>
      </c>
      <c r="O13" s="894"/>
      <c r="P13" s="899"/>
      <c r="Q13" s="900"/>
      <c r="R13" s="900"/>
      <c r="S13" s="902"/>
      <c r="T13" s="898"/>
      <c r="U13" s="903"/>
      <c r="V13" s="898"/>
      <c r="W13" s="900" t="str">
        <f>IF(S13&lt;&gt;0,VLOOKUP(S13,VKT!$A$2:$G$415,7,0),"")</f>
        <v/>
      </c>
      <c r="X13" s="900" t="str">
        <f t="shared" si="4"/>
        <v xml:space="preserve"> </v>
      </c>
      <c r="Y13" s="898"/>
      <c r="Z13" s="904"/>
      <c r="AA13" s="904"/>
      <c r="AB13" s="904"/>
      <c r="AC13" s="904"/>
      <c r="AD13" s="904"/>
      <c r="AE13" s="904"/>
      <c r="AF13" s="899"/>
      <c r="AG13" s="906" t="str">
        <f>IF(AE13&lt;&gt;0,VLOOKUP(AE13,ODDS!$A$2:$C$13,3,0),"")</f>
        <v/>
      </c>
      <c r="AH13" s="906"/>
      <c r="AI13" s="907" t="str">
        <f t="shared" si="0"/>
        <v xml:space="preserve"> </v>
      </c>
      <c r="AJ13" s="910"/>
      <c r="AK13" s="910"/>
      <c r="AL13" s="373"/>
    </row>
    <row r="14" spans="1:69" s="376" customFormat="1" ht="22.5" outlineLevel="2" x14ac:dyDescent="0.3">
      <c r="A14" s="447">
        <f>IF(B13&lt;&gt;0,B13,A13)</f>
        <v>1</v>
      </c>
      <c r="B14" s="893"/>
      <c r="C14" s="910"/>
      <c r="D14" s="896"/>
      <c r="E14" s="896"/>
      <c r="F14" s="896"/>
      <c r="G14" s="894"/>
      <c r="H14" s="909"/>
      <c r="I14" s="882"/>
      <c r="J14" s="898"/>
      <c r="K14" s="899" t="str">
        <f>IF(G14&lt;&gt;0,VLOOKUP(G14,'gia dat'!$A$1:$F$144,5,0)," ")</f>
        <v xml:space="preserve"> </v>
      </c>
      <c r="L14" s="899" t="str">
        <f>IF(G14&lt;&gt;0,VLOOKUP(G14,'gia dat'!$A$1:$F$144,6,0)," ")</f>
        <v xml:space="preserve"> </v>
      </c>
      <c r="M14" s="900" t="str">
        <f t="shared" si="1"/>
        <v xml:space="preserve"> </v>
      </c>
      <c r="N14" s="900" t="str">
        <f t="shared" si="2"/>
        <v xml:space="preserve"> </v>
      </c>
      <c r="O14" s="894"/>
      <c r="P14" s="899"/>
      <c r="Q14" s="900"/>
      <c r="R14" s="900"/>
      <c r="S14" s="902"/>
      <c r="T14" s="898"/>
      <c r="U14" s="903"/>
      <c r="V14" s="898"/>
      <c r="W14" s="900" t="str">
        <f>IF(S14&lt;&gt;0,VLOOKUP(S14,VKT!$A$2:$G$415,7,0),"")</f>
        <v/>
      </c>
      <c r="X14" s="900" t="str">
        <f t="shared" si="4"/>
        <v xml:space="preserve"> </v>
      </c>
      <c r="Y14" s="898"/>
      <c r="Z14" s="904"/>
      <c r="AA14" s="904"/>
      <c r="AB14" s="904"/>
      <c r="AC14" s="904"/>
      <c r="AD14" s="904"/>
      <c r="AE14" s="904"/>
      <c r="AF14" s="899"/>
      <c r="AG14" s="906" t="str">
        <f>IF(AE14&lt;&gt;0,VLOOKUP(AE14,ODDS!$A$2:$C$13,3,0),"")</f>
        <v/>
      </c>
      <c r="AH14" s="906"/>
      <c r="AI14" s="907" t="str">
        <f t="shared" si="0"/>
        <v xml:space="preserve"> </v>
      </c>
      <c r="AJ14" s="910"/>
      <c r="AK14" s="910"/>
      <c r="AL14" s="373"/>
    </row>
    <row r="15" spans="1:69" s="376" customFormat="1" ht="65.25" outlineLevel="1" x14ac:dyDescent="0.25">
      <c r="A15" s="467" t="s">
        <v>2708</v>
      </c>
      <c r="B15" s="912">
        <v>2</v>
      </c>
      <c r="C15" s="910" t="s">
        <v>59</v>
      </c>
      <c r="D15" s="913"/>
      <c r="E15" s="913"/>
      <c r="F15" s="913"/>
      <c r="G15" s="914"/>
      <c r="H15" s="915">
        <f>SUBTOTAL(9,H16:H21)</f>
        <v>25.9</v>
      </c>
      <c r="I15" s="915">
        <f>SUBTOTAL(9,I16:I21)</f>
        <v>0</v>
      </c>
      <c r="J15" s="916"/>
      <c r="K15" s="917"/>
      <c r="L15" s="917"/>
      <c r="M15" s="907">
        <f>SUBTOTAL(9,M16:M21)</f>
        <v>14359000</v>
      </c>
      <c r="N15" s="907">
        <f>SUBTOTAL(9,N16:N21)</f>
        <v>0</v>
      </c>
      <c r="O15" s="910"/>
      <c r="P15" s="917">
        <f>SUBTOTAL(9,P16:P21)</f>
        <v>0</v>
      </c>
      <c r="Q15" s="907"/>
      <c r="R15" s="907">
        <f>SUBTOTAL(9,R16:R21)</f>
        <v>0</v>
      </c>
      <c r="S15" s="918"/>
      <c r="T15" s="916"/>
      <c r="U15" s="919">
        <f>SUBTOTAL(9,U16:U21)</f>
        <v>0</v>
      </c>
      <c r="V15" s="916"/>
      <c r="W15" s="907"/>
      <c r="X15" s="907">
        <f>SUBTOTAL(9,X16:X21)</f>
        <v>0</v>
      </c>
      <c r="Y15" s="898"/>
      <c r="Z15" s="904"/>
      <c r="AA15" s="904"/>
      <c r="AB15" s="904"/>
      <c r="AC15" s="904"/>
      <c r="AD15" s="904"/>
      <c r="AE15" s="920"/>
      <c r="AF15" s="917">
        <f>SUBTOTAL(9,AF16:AF21)</f>
        <v>0</v>
      </c>
      <c r="AG15" s="921"/>
      <c r="AH15" s="921">
        <f>SUBTOTAL(9,AH16:AH21)</f>
        <v>0</v>
      </c>
      <c r="AI15" s="907">
        <f t="shared" si="0"/>
        <v>14359000</v>
      </c>
      <c r="AJ15" s="910"/>
      <c r="AK15" s="910"/>
      <c r="AL15" s="373"/>
    </row>
    <row r="16" spans="1:69" s="376" customFormat="1" ht="247.5" outlineLevel="2" x14ac:dyDescent="0.3">
      <c r="A16" s="447">
        <f>IF(B15&lt;&gt;0,B15,A14)</f>
        <v>2</v>
      </c>
      <c r="B16" s="893"/>
      <c r="C16" s="894" t="s">
        <v>60</v>
      </c>
      <c r="D16" s="896"/>
      <c r="E16" s="896"/>
      <c r="F16" s="896"/>
      <c r="G16" s="922" t="s">
        <v>2061</v>
      </c>
      <c r="H16" s="909">
        <v>25.9</v>
      </c>
      <c r="I16" s="882" t="str">
        <f t="shared" ref="I16" si="6">IF(N16&gt;0,H16,"")</f>
        <v/>
      </c>
      <c r="J16" s="898"/>
      <c r="K16" s="899">
        <f>IF(G16&lt;&gt;0,VLOOKUP(G16,'gia dat'!$A$1:$F$144,5,0)," ")</f>
        <v>554400</v>
      </c>
      <c r="L16" s="899">
        <f>IF(G16&lt;&gt;0,VLOOKUP(G16,'gia dat'!$A$1:$F$144,6,0)," ")</f>
        <v>0</v>
      </c>
      <c r="M16" s="900">
        <f>IF(H16&lt;&gt;0,ROUND(H16*K16,-3)," ")</f>
        <v>14359000</v>
      </c>
      <c r="N16" s="900">
        <f>IF(H16&lt;&gt;0,ROUND(H16*L16,-3)," ")</f>
        <v>0</v>
      </c>
      <c r="O16" s="894"/>
      <c r="P16" s="899"/>
      <c r="Q16" s="900"/>
      <c r="R16" s="900"/>
      <c r="S16" s="902"/>
      <c r="T16" s="898"/>
      <c r="U16" s="903"/>
      <c r="V16" s="898"/>
      <c r="W16" s="900" t="str">
        <f>IF(S16&lt;&gt;0,VLOOKUP(S16,VKT!$A$2:$G$415,7,0),"")</f>
        <v/>
      </c>
      <c r="X16" s="900" t="str">
        <f t="shared" si="4"/>
        <v xml:space="preserve"> </v>
      </c>
      <c r="Y16" s="898"/>
      <c r="Z16" s="904"/>
      <c r="AA16" s="904"/>
      <c r="AB16" s="904"/>
      <c r="AC16" s="904"/>
      <c r="AD16" s="904"/>
      <c r="AE16" s="904"/>
      <c r="AF16" s="899"/>
      <c r="AG16" s="906" t="str">
        <f>IF(AE16&lt;&gt;0,VLOOKUP(AE16,ODDS!$A$2:$C$13,3,0),"")</f>
        <v/>
      </c>
      <c r="AH16" s="906"/>
      <c r="AI16" s="907" t="str">
        <f t="shared" si="0"/>
        <v xml:space="preserve"> </v>
      </c>
      <c r="AJ16" s="894" t="s">
        <v>2184</v>
      </c>
      <c r="AK16" s="894" t="s">
        <v>2771</v>
      </c>
      <c r="AL16" s="373"/>
    </row>
    <row r="17" spans="1:38" s="376" customFormat="1" ht="112.5" outlineLevel="2" x14ac:dyDescent="0.3">
      <c r="A17" s="447">
        <f>IF(B16&lt;&gt;0,B16,A16)</f>
        <v>2</v>
      </c>
      <c r="B17" s="893"/>
      <c r="C17" s="908" t="s">
        <v>627</v>
      </c>
      <c r="D17" s="896"/>
      <c r="E17" s="896"/>
      <c r="F17" s="896"/>
      <c r="G17" s="922"/>
      <c r="H17" s="909"/>
      <c r="I17" s="882"/>
      <c r="J17" s="898"/>
      <c r="K17" s="899" t="str">
        <f>IF(G17&lt;&gt;0,VLOOKUP(G17,'gia dat'!$A$1:$F$144,5,0)," ")</f>
        <v xml:space="preserve"> </v>
      </c>
      <c r="L17" s="899" t="str">
        <f>IF(G17&lt;&gt;0,VLOOKUP(G17,'gia dat'!$A$1:$F$144,6,0)," ")</f>
        <v xml:space="preserve"> </v>
      </c>
      <c r="M17" s="900" t="str">
        <f>IF(H17&lt;&gt;0,ROUND(H17*K17,-3)," ")</f>
        <v xml:space="preserve"> </v>
      </c>
      <c r="N17" s="900" t="str">
        <f>IF(H17&lt;&gt;0,ROUND(H17*L17,-3)," ")</f>
        <v xml:space="preserve"> </v>
      </c>
      <c r="O17" s="894"/>
      <c r="P17" s="899"/>
      <c r="Q17" s="900"/>
      <c r="R17" s="900"/>
      <c r="S17" s="902"/>
      <c r="T17" s="898"/>
      <c r="U17" s="903"/>
      <c r="V17" s="898"/>
      <c r="W17" s="900" t="str">
        <f>IF(S17&lt;&gt;0,VLOOKUP(S17,VKT!$A$2:$G$415,7,0),"")</f>
        <v/>
      </c>
      <c r="X17" s="900" t="str">
        <f t="shared" si="4"/>
        <v xml:space="preserve"> </v>
      </c>
      <c r="Y17" s="898"/>
      <c r="Z17" s="904"/>
      <c r="AA17" s="904"/>
      <c r="AB17" s="904"/>
      <c r="AC17" s="904"/>
      <c r="AD17" s="904"/>
      <c r="AE17" s="904"/>
      <c r="AF17" s="899"/>
      <c r="AG17" s="906" t="str">
        <f>IF(AE17&lt;&gt;0,VLOOKUP(AE17,ODDS!$A$2:$C$13,3,0),"")</f>
        <v/>
      </c>
      <c r="AH17" s="906"/>
      <c r="AI17" s="907" t="str">
        <f t="shared" si="0"/>
        <v xml:space="preserve"> </v>
      </c>
      <c r="AJ17" s="910"/>
      <c r="AK17" s="910"/>
      <c r="AL17" s="373"/>
    </row>
    <row r="18" spans="1:38" s="376" customFormat="1" ht="45" outlineLevel="2" x14ac:dyDescent="0.3">
      <c r="A18" s="447">
        <f>IF(B17&lt;&gt;0,B17,A17)</f>
        <v>2</v>
      </c>
      <c r="B18" s="893"/>
      <c r="C18" s="894" t="s">
        <v>306</v>
      </c>
      <c r="D18" s="896"/>
      <c r="E18" s="896"/>
      <c r="F18" s="896"/>
      <c r="G18" s="894"/>
      <c r="H18" s="909"/>
      <c r="I18" s="882"/>
      <c r="J18" s="898"/>
      <c r="K18" s="899" t="str">
        <f>IF(G18&lt;&gt;0,VLOOKUP(G18,'gia dat'!$A$1:$F$144,5,0)," ")</f>
        <v xml:space="preserve"> </v>
      </c>
      <c r="L18" s="899" t="str">
        <f>IF(G18&lt;&gt;0,VLOOKUP(G18,'gia dat'!$A$1:$F$144,6,0)," ")</f>
        <v xml:space="preserve"> </v>
      </c>
      <c r="M18" s="900" t="str">
        <f t="shared" si="1"/>
        <v xml:space="preserve"> </v>
      </c>
      <c r="N18" s="900" t="str">
        <f t="shared" si="2"/>
        <v xml:space="preserve"> </v>
      </c>
      <c r="O18" s="894"/>
      <c r="P18" s="899"/>
      <c r="Q18" s="900"/>
      <c r="R18" s="900"/>
      <c r="S18" s="902"/>
      <c r="T18" s="898"/>
      <c r="U18" s="903"/>
      <c r="V18" s="898"/>
      <c r="W18" s="900" t="str">
        <f>IF(S18&lt;&gt;0,VLOOKUP(S18,VKT!$A$2:$G$415,7,0),"")</f>
        <v/>
      </c>
      <c r="X18" s="900" t="str">
        <f t="shared" si="4"/>
        <v xml:space="preserve"> </v>
      </c>
      <c r="Y18" s="898"/>
      <c r="Z18" s="904"/>
      <c r="AA18" s="904"/>
      <c r="AB18" s="904"/>
      <c r="AC18" s="904"/>
      <c r="AD18" s="904"/>
      <c r="AE18" s="904"/>
      <c r="AF18" s="899"/>
      <c r="AG18" s="906" t="str">
        <f>IF(AE18&lt;&gt;0,VLOOKUP(AE18,ODDS!$A$2:$C$13,3,0),"")</f>
        <v/>
      </c>
      <c r="AH18" s="906"/>
      <c r="AI18" s="907" t="str">
        <f t="shared" si="0"/>
        <v xml:space="preserve"> </v>
      </c>
      <c r="AJ18" s="910"/>
      <c r="AK18" s="910"/>
      <c r="AL18" s="373"/>
    </row>
    <row r="19" spans="1:38" s="376" customFormat="1" ht="22.5" outlineLevel="2" x14ac:dyDescent="0.3">
      <c r="A19" s="447">
        <f>IF(B18&lt;&gt;0,B18,A18)</f>
        <v>2</v>
      </c>
      <c r="B19" s="893"/>
      <c r="C19" s="894"/>
      <c r="D19" s="896"/>
      <c r="E19" s="896"/>
      <c r="F19" s="896"/>
      <c r="G19" s="894"/>
      <c r="H19" s="909"/>
      <c r="I19" s="882"/>
      <c r="J19" s="898"/>
      <c r="K19" s="899" t="str">
        <f>IF(G19&lt;&gt;0,VLOOKUP(G19,'gia dat'!$A$1:$F$144,5,0)," ")</f>
        <v xml:space="preserve"> </v>
      </c>
      <c r="L19" s="899" t="str">
        <f>IF(G19&lt;&gt;0,VLOOKUP(G19,'gia dat'!$A$1:$F$144,6,0)," ")</f>
        <v xml:space="preserve"> </v>
      </c>
      <c r="M19" s="900" t="str">
        <f t="shared" si="1"/>
        <v xml:space="preserve"> </v>
      </c>
      <c r="N19" s="900" t="str">
        <f t="shared" si="2"/>
        <v xml:space="preserve"> </v>
      </c>
      <c r="O19" s="894"/>
      <c r="P19" s="899"/>
      <c r="Q19" s="900"/>
      <c r="R19" s="900"/>
      <c r="S19" s="902"/>
      <c r="T19" s="898"/>
      <c r="U19" s="903"/>
      <c r="V19" s="898"/>
      <c r="W19" s="900" t="str">
        <f>IF(S19&lt;&gt;0,VLOOKUP(S19,VKT!$A$2:$G$415,7,0),"")</f>
        <v/>
      </c>
      <c r="X19" s="900" t="str">
        <f t="shared" si="4"/>
        <v xml:space="preserve"> </v>
      </c>
      <c r="Y19" s="898"/>
      <c r="Z19" s="904"/>
      <c r="AA19" s="904"/>
      <c r="AB19" s="904"/>
      <c r="AC19" s="904"/>
      <c r="AD19" s="904"/>
      <c r="AE19" s="904"/>
      <c r="AF19" s="899"/>
      <c r="AG19" s="906" t="str">
        <f>IF(AE19&lt;&gt;0,VLOOKUP(AE19,ODDS!$A$2:$C$13,3,0),"")</f>
        <v/>
      </c>
      <c r="AH19" s="906"/>
      <c r="AI19" s="907" t="str">
        <f t="shared" si="0"/>
        <v xml:space="preserve"> </v>
      </c>
      <c r="AJ19" s="910"/>
      <c r="AK19" s="910"/>
      <c r="AL19" s="373"/>
    </row>
    <row r="20" spans="1:38" s="376" customFormat="1" ht="22.5" outlineLevel="2" x14ac:dyDescent="0.3">
      <c r="A20" s="447">
        <f>IF(B19&lt;&gt;0,B19,A19)</f>
        <v>2</v>
      </c>
      <c r="B20" s="893"/>
      <c r="C20" s="894"/>
      <c r="D20" s="923"/>
      <c r="E20" s="923"/>
      <c r="F20" s="896"/>
      <c r="G20" s="894"/>
      <c r="H20" s="924"/>
      <c r="I20" s="882"/>
      <c r="J20" s="925"/>
      <c r="K20" s="899" t="str">
        <f>IF(G20&lt;&gt;0,VLOOKUP(G20,'gia dat'!$A$1:$F$144,5,0)," ")</f>
        <v xml:space="preserve"> </v>
      </c>
      <c r="L20" s="899" t="str">
        <f>IF(G20&lt;&gt;0,VLOOKUP(G20,'gia dat'!$A$1:$F$144,6,0)," ")</f>
        <v xml:space="preserve"> </v>
      </c>
      <c r="M20" s="900" t="str">
        <f t="shared" si="1"/>
        <v xml:space="preserve"> </v>
      </c>
      <c r="N20" s="900" t="str">
        <f t="shared" si="2"/>
        <v xml:space="preserve"> </v>
      </c>
      <c r="O20" s="894"/>
      <c r="P20" s="926"/>
      <c r="Q20" s="900" t="str">
        <f>IF(O20&lt;&gt;0,VLOOKUP(O20,'Cây trong'!$A$2:$C$246,3,0)," ")</f>
        <v xml:space="preserve"> </v>
      </c>
      <c r="R20" s="900" t="str">
        <f t="shared" si="3"/>
        <v xml:space="preserve"> </v>
      </c>
      <c r="S20" s="902"/>
      <c r="T20" s="925"/>
      <c r="U20" s="927"/>
      <c r="V20" s="925"/>
      <c r="W20" s="900" t="str">
        <f>IF(S20&lt;&gt;0,VLOOKUP(S20,VKT!$A$2:$G$415,7,0),"")</f>
        <v/>
      </c>
      <c r="X20" s="900" t="str">
        <f t="shared" si="4"/>
        <v xml:space="preserve"> </v>
      </c>
      <c r="Y20" s="925"/>
      <c r="Z20" s="928"/>
      <c r="AA20" s="928"/>
      <c r="AB20" s="904"/>
      <c r="AC20" s="928"/>
      <c r="AD20" s="928"/>
      <c r="AE20" s="928"/>
      <c r="AF20" s="926"/>
      <c r="AG20" s="906" t="str">
        <f>IF(AE20&lt;&gt;0,VLOOKUP(AE20,ODDS!$A$2:$C$13,3,0),"")</f>
        <v/>
      </c>
      <c r="AH20" s="906" t="str">
        <f t="shared" si="5"/>
        <v xml:space="preserve"> </v>
      </c>
      <c r="AI20" s="907" t="str">
        <f t="shared" si="0"/>
        <v xml:space="preserve"> </v>
      </c>
      <c r="AJ20" s="929"/>
      <c r="AK20" s="929"/>
    </row>
    <row r="21" spans="1:38" s="376" customFormat="1" ht="22.5" outlineLevel="2" x14ac:dyDescent="0.3">
      <c r="A21" s="447">
        <f>IF(B20&lt;&gt;0,B20,A20)</f>
        <v>2</v>
      </c>
      <c r="B21" s="893"/>
      <c r="C21" s="910"/>
      <c r="D21" s="923"/>
      <c r="E21" s="923"/>
      <c r="F21" s="896"/>
      <c r="G21" s="894"/>
      <c r="H21" s="924"/>
      <c r="I21" s="882"/>
      <c r="J21" s="925"/>
      <c r="K21" s="899" t="str">
        <f>IF(G21&lt;&gt;0,VLOOKUP(G21,'gia dat'!$A$1:$F$144,5,0)," ")</f>
        <v xml:space="preserve"> </v>
      </c>
      <c r="L21" s="899" t="str">
        <f>IF(G21&lt;&gt;0,VLOOKUP(G21,'gia dat'!$A$1:$F$144,6,0)," ")</f>
        <v xml:space="preserve"> </v>
      </c>
      <c r="M21" s="900" t="str">
        <f t="shared" si="1"/>
        <v xml:space="preserve"> </v>
      </c>
      <c r="N21" s="900" t="str">
        <f t="shared" si="2"/>
        <v xml:space="preserve"> </v>
      </c>
      <c r="O21" s="894"/>
      <c r="P21" s="926"/>
      <c r="Q21" s="900" t="str">
        <f>IF(O21&lt;&gt;0,VLOOKUP(O21,'Cây trong'!$A$2:$C$246,3,0)," ")</f>
        <v xml:space="preserve"> </v>
      </c>
      <c r="R21" s="900" t="str">
        <f t="shared" si="3"/>
        <v xml:space="preserve"> </v>
      </c>
      <c r="S21" s="902"/>
      <c r="T21" s="925"/>
      <c r="U21" s="927"/>
      <c r="V21" s="925"/>
      <c r="W21" s="900" t="str">
        <f>IF(S21&lt;&gt;0,VLOOKUP(S21,VKT!$A$2:$G$415,7,0),"")</f>
        <v/>
      </c>
      <c r="X21" s="900" t="str">
        <f t="shared" si="4"/>
        <v xml:space="preserve"> </v>
      </c>
      <c r="Y21" s="925"/>
      <c r="Z21" s="928"/>
      <c r="AA21" s="928"/>
      <c r="AB21" s="904"/>
      <c r="AC21" s="928"/>
      <c r="AD21" s="928"/>
      <c r="AE21" s="928"/>
      <c r="AF21" s="926"/>
      <c r="AG21" s="906" t="str">
        <f>IF(AE21&lt;&gt;0,VLOOKUP(AE21,ODDS!$A$2:$C$13,3,0),"")</f>
        <v/>
      </c>
      <c r="AH21" s="906" t="str">
        <f t="shared" si="5"/>
        <v xml:space="preserve"> </v>
      </c>
      <c r="AI21" s="907" t="str">
        <f t="shared" si="0"/>
        <v xml:space="preserve"> </v>
      </c>
      <c r="AJ21" s="929"/>
      <c r="AK21" s="929"/>
    </row>
    <row r="22" spans="1:38" s="376" customFormat="1" ht="65.25" outlineLevel="1" x14ac:dyDescent="0.25">
      <c r="A22" s="467" t="s">
        <v>2707</v>
      </c>
      <c r="B22" s="912">
        <v>3</v>
      </c>
      <c r="C22" s="910" t="s">
        <v>59</v>
      </c>
      <c r="D22" s="930"/>
      <c r="E22" s="931"/>
      <c r="F22" s="913"/>
      <c r="G22" s="914"/>
      <c r="H22" s="932">
        <f>SUBTOTAL(9,H23:H48)</f>
        <v>587.1</v>
      </c>
      <c r="I22" s="915">
        <f>SUBTOTAL(9,I23:I28)</f>
        <v>405.4</v>
      </c>
      <c r="J22" s="933"/>
      <c r="K22" s="917"/>
      <c r="L22" s="917"/>
      <c r="M22" s="907">
        <f>SUBTOTAL(9,M23:M48)</f>
        <v>2987514000</v>
      </c>
      <c r="N22" s="907">
        <f>SUBTOTAL(9,N23:N48)</f>
        <v>674261000</v>
      </c>
      <c r="O22" s="934"/>
      <c r="P22" s="935">
        <f>SUBTOTAL(9,P23:P48)</f>
        <v>605</v>
      </c>
      <c r="Q22" s="907"/>
      <c r="R22" s="907">
        <f>SUBTOTAL(9,R23:R48)</f>
        <v>76300000</v>
      </c>
      <c r="S22" s="918"/>
      <c r="T22" s="933"/>
      <c r="U22" s="936">
        <f>SUBTOTAL(9,U23:U48)</f>
        <v>670.2</v>
      </c>
      <c r="V22" s="933"/>
      <c r="W22" s="907"/>
      <c r="X22" s="907">
        <f>SUBTOTAL(9,X23:X48)</f>
        <v>1667759000</v>
      </c>
      <c r="Y22" s="898"/>
      <c r="Z22" s="928"/>
      <c r="AA22" s="928"/>
      <c r="AB22" s="904"/>
      <c r="AC22" s="928"/>
      <c r="AD22" s="937"/>
      <c r="AE22" s="938"/>
      <c r="AF22" s="935">
        <f>SUBTOTAL(9,AF23:AF48)</f>
        <v>0</v>
      </c>
      <c r="AG22" s="921"/>
      <c r="AH22" s="921">
        <f>SUBTOTAL(9,AH23:AH48)</f>
        <v>0</v>
      </c>
      <c r="AI22" s="907">
        <f t="shared" si="0"/>
        <v>5405834000</v>
      </c>
      <c r="AJ22" s="914"/>
      <c r="AK22" s="914"/>
    </row>
    <row r="23" spans="1:38" s="376" customFormat="1" ht="135" outlineLevel="2" x14ac:dyDescent="0.3">
      <c r="A23" s="447">
        <f>IF(B22&lt;&gt;0,B22,A21)</f>
        <v>3</v>
      </c>
      <c r="B23" s="893"/>
      <c r="C23" s="894" t="s">
        <v>60</v>
      </c>
      <c r="D23" s="939">
        <v>12</v>
      </c>
      <c r="E23" s="923">
        <v>85</v>
      </c>
      <c r="F23" s="896">
        <v>37</v>
      </c>
      <c r="G23" s="922" t="s">
        <v>2030</v>
      </c>
      <c r="H23" s="940">
        <v>124.2</v>
      </c>
      <c r="I23" s="882" t="str">
        <f t="shared" ref="I23:I26" si="7">IF(N23&gt;0,H23,"")</f>
        <v/>
      </c>
      <c r="J23" s="925"/>
      <c r="K23" s="899">
        <f>IF(G23&lt;&gt;0,VLOOKUP(G23,'gia dat'!$A$1:$F$144,5,0)," ")</f>
        <v>16800000</v>
      </c>
      <c r="L23" s="899">
        <f>IF(G23&lt;&gt;0,VLOOKUP(G23,'gia dat'!$A$1:$F$144,6,0)," ")</f>
        <v>0</v>
      </c>
      <c r="M23" s="900">
        <f t="shared" si="1"/>
        <v>2086560000</v>
      </c>
      <c r="N23" s="900">
        <f t="shared" si="2"/>
        <v>0</v>
      </c>
      <c r="O23" s="901" t="s">
        <v>61</v>
      </c>
      <c r="P23" s="926">
        <v>5</v>
      </c>
      <c r="Q23" s="900">
        <f>IF(O23&lt;&gt;0,VLOOKUP(O23,'Cây trong'!$A$2:$C$246,3,0)," ")</f>
        <v>1708000</v>
      </c>
      <c r="R23" s="900">
        <f t="shared" si="3"/>
        <v>8540000</v>
      </c>
      <c r="S23" s="902" t="s">
        <v>2251</v>
      </c>
      <c r="T23" s="925" t="s">
        <v>53</v>
      </c>
      <c r="U23" s="927">
        <v>104.4</v>
      </c>
      <c r="V23" s="925"/>
      <c r="W23" s="900">
        <f>IF(S23&lt;&gt;0,VLOOKUP(S23,VKT!$A$2:$G$415,7,0),"")</f>
        <v>5789151</v>
      </c>
      <c r="X23" s="900">
        <f t="shared" si="4"/>
        <v>604387000</v>
      </c>
      <c r="Y23" s="898" t="s">
        <v>63</v>
      </c>
      <c r="Z23" s="928" t="s">
        <v>63</v>
      </c>
      <c r="AA23" s="928" t="s">
        <v>56</v>
      </c>
      <c r="AB23" s="904" t="s">
        <v>57</v>
      </c>
      <c r="AC23" s="928" t="s">
        <v>63</v>
      </c>
      <c r="AD23" s="937"/>
      <c r="AE23" s="905"/>
      <c r="AF23" s="926"/>
      <c r="AG23" s="906" t="str">
        <f>IF(AE23&lt;&gt;0,VLOOKUP(AE23,ODDS!$A$2:$C$13,3,0),"")</f>
        <v/>
      </c>
      <c r="AH23" s="906"/>
      <c r="AI23" s="907" t="str">
        <f t="shared" si="0"/>
        <v xml:space="preserve"> </v>
      </c>
      <c r="AJ23" s="922" t="s">
        <v>626</v>
      </c>
      <c r="AK23" s="922" t="s">
        <v>2771</v>
      </c>
    </row>
    <row r="24" spans="1:38" s="376" customFormat="1" ht="112.5" outlineLevel="2" x14ac:dyDescent="0.3">
      <c r="A24" s="447">
        <f t="shared" ref="A24:A48" si="8">IF(B23&lt;&gt;0,B23,A23)</f>
        <v>3</v>
      </c>
      <c r="B24" s="893"/>
      <c r="C24" s="908" t="s">
        <v>627</v>
      </c>
      <c r="D24" s="923"/>
      <c r="E24" s="923">
        <v>85</v>
      </c>
      <c r="F24" s="896">
        <v>37</v>
      </c>
      <c r="G24" s="922" t="s">
        <v>2032</v>
      </c>
      <c r="H24" s="940">
        <f>181.7-H23</f>
        <v>57.499999999999986</v>
      </c>
      <c r="I24" s="882" t="str">
        <f t="shared" si="7"/>
        <v/>
      </c>
      <c r="J24" s="925"/>
      <c r="K24" s="899">
        <f>IF(G24&lt;&gt;0,VLOOKUP(G24,'gia dat'!$A$1:$F$144,5,0)," ")</f>
        <v>11760000</v>
      </c>
      <c r="L24" s="899">
        <f>IF(G24&lt;&gt;0,VLOOKUP(G24,'gia dat'!$A$1:$F$144,6,0)," ")</f>
        <v>0</v>
      </c>
      <c r="M24" s="900">
        <f t="shared" si="1"/>
        <v>676200000</v>
      </c>
      <c r="N24" s="900">
        <f t="shared" si="2"/>
        <v>0</v>
      </c>
      <c r="O24" s="894" t="s">
        <v>64</v>
      </c>
      <c r="P24" s="926">
        <v>2</v>
      </c>
      <c r="Q24" s="900">
        <f>IF(O24&lt;&gt;0,VLOOKUP(O24,'Cây trong'!$A$2:$C$246,3,0)," ")</f>
        <v>1122000</v>
      </c>
      <c r="R24" s="900">
        <f t="shared" si="3"/>
        <v>2244000</v>
      </c>
      <c r="S24" s="902" t="s">
        <v>1844</v>
      </c>
      <c r="T24" s="925" t="s">
        <v>53</v>
      </c>
      <c r="U24" s="927">
        <v>47.940000000000005</v>
      </c>
      <c r="V24" s="925"/>
      <c r="W24" s="900">
        <f>IF(S24&lt;&gt;0,VLOOKUP(S24,VKT!$A$2:$G$415,7,0),"")</f>
        <v>770070</v>
      </c>
      <c r="X24" s="900">
        <f t="shared" si="4"/>
        <v>36917000</v>
      </c>
      <c r="Y24" s="925"/>
      <c r="Z24" s="928" t="s">
        <v>55</v>
      </c>
      <c r="AA24" s="928" t="s">
        <v>56</v>
      </c>
      <c r="AB24" s="904"/>
      <c r="AC24" s="928" t="s">
        <v>66</v>
      </c>
      <c r="AD24" s="928"/>
      <c r="AE24" s="905"/>
      <c r="AF24" s="926"/>
      <c r="AG24" s="906" t="str">
        <f>IF(AE24&lt;&gt;0,VLOOKUP(AE24,ODDS!$A$2:$C$13,3,0),"")</f>
        <v/>
      </c>
      <c r="AH24" s="906" t="str">
        <f t="shared" si="5"/>
        <v xml:space="preserve"> </v>
      </c>
      <c r="AI24" s="907" t="str">
        <f t="shared" si="0"/>
        <v xml:space="preserve"> </v>
      </c>
      <c r="AJ24" s="894" t="s">
        <v>418</v>
      </c>
      <c r="AK24" s="894" t="s">
        <v>2448</v>
      </c>
    </row>
    <row r="25" spans="1:38" s="376" customFormat="1" ht="157.5" outlineLevel="2" x14ac:dyDescent="0.3">
      <c r="A25" s="447">
        <f t="shared" si="8"/>
        <v>3</v>
      </c>
      <c r="B25" s="893"/>
      <c r="C25" s="894" t="s">
        <v>306</v>
      </c>
      <c r="D25" s="923"/>
      <c r="E25" s="923">
        <v>85</v>
      </c>
      <c r="F25" s="896">
        <v>37</v>
      </c>
      <c r="G25" s="894" t="s">
        <v>2182</v>
      </c>
      <c r="H25" s="924">
        <v>354.5</v>
      </c>
      <c r="I25" s="882">
        <f t="shared" si="7"/>
        <v>354.5</v>
      </c>
      <c r="J25" s="925"/>
      <c r="K25" s="899">
        <f>IF(G25&lt;&gt;0,VLOOKUP(G25,'gia dat'!$A$1:$F$144,5,0)," ")</f>
        <v>554400</v>
      </c>
      <c r="L25" s="899">
        <f>IF(G25&lt;&gt;0,VLOOKUP(G25,'gia dat'!$A$1:$F$144,6,0)," ")</f>
        <v>1663200</v>
      </c>
      <c r="M25" s="900">
        <f t="shared" si="1"/>
        <v>196535000</v>
      </c>
      <c r="N25" s="900">
        <f t="shared" si="2"/>
        <v>589604000</v>
      </c>
      <c r="O25" s="894" t="s">
        <v>67</v>
      </c>
      <c r="P25" s="926">
        <v>5</v>
      </c>
      <c r="Q25" s="900">
        <f>IF(O25&lt;&gt;0,VLOOKUP(O25,'Cây trong'!$A$2:$C$246,3,0)," ")</f>
        <v>494000</v>
      </c>
      <c r="R25" s="900">
        <f t="shared" si="3"/>
        <v>2470000</v>
      </c>
      <c r="S25" s="902" t="s">
        <v>1846</v>
      </c>
      <c r="T25" s="925" t="s">
        <v>53</v>
      </c>
      <c r="U25" s="927">
        <v>17.7</v>
      </c>
      <c r="V25" s="925">
        <v>12.7</v>
      </c>
      <c r="W25" s="900">
        <f>IF(S25&lt;&gt;0,VLOOKUP(S25,VKT!$A$2:$G$415,7,0),"")</f>
        <v>238288</v>
      </c>
      <c r="X25" s="900">
        <f t="shared" si="4"/>
        <v>4218000</v>
      </c>
      <c r="Y25" s="925"/>
      <c r="Z25" s="928"/>
      <c r="AA25" s="928"/>
      <c r="AB25" s="904"/>
      <c r="AC25" s="928"/>
      <c r="AD25" s="928"/>
      <c r="AE25" s="941"/>
      <c r="AF25" s="926"/>
      <c r="AG25" s="906" t="str">
        <f>IF(AE25&lt;&gt;0,VLOOKUP(AE25,ODDS!$A$2:$C$13,3,0),"")</f>
        <v/>
      </c>
      <c r="AH25" s="906" t="str">
        <f t="shared" si="5"/>
        <v xml:space="preserve"> </v>
      </c>
      <c r="AI25" s="907" t="str">
        <f t="shared" si="0"/>
        <v xml:space="preserve"> </v>
      </c>
      <c r="AJ25" s="894" t="s">
        <v>720</v>
      </c>
      <c r="AK25" s="894" t="s">
        <v>2450</v>
      </c>
      <c r="AL25" s="417" t="s">
        <v>2181</v>
      </c>
    </row>
    <row r="26" spans="1:38" s="376" customFormat="1" ht="180" outlineLevel="2" x14ac:dyDescent="0.3">
      <c r="A26" s="447">
        <f t="shared" si="8"/>
        <v>3</v>
      </c>
      <c r="B26" s="893"/>
      <c r="C26" s="894"/>
      <c r="D26" s="923"/>
      <c r="E26" s="923"/>
      <c r="F26" s="896"/>
      <c r="G26" s="894" t="s">
        <v>2067</v>
      </c>
      <c r="H26" s="924">
        <v>50.9</v>
      </c>
      <c r="I26" s="882">
        <f t="shared" si="7"/>
        <v>50.9</v>
      </c>
      <c r="J26" s="925"/>
      <c r="K26" s="899">
        <f>IF(G26&lt;&gt;0,VLOOKUP(G26,'gia dat'!$A$1:$F$144,5,0)," ")</f>
        <v>554400</v>
      </c>
      <c r="L26" s="899">
        <f>IF(G26&lt;&gt;0,VLOOKUP(G26,'gia dat'!$A$1:$F$144,6,0)," ")</f>
        <v>1663200</v>
      </c>
      <c r="M26" s="900">
        <f t="shared" si="1"/>
        <v>28219000</v>
      </c>
      <c r="N26" s="900">
        <f t="shared" si="2"/>
        <v>84657000</v>
      </c>
      <c r="O26" s="901" t="s">
        <v>69</v>
      </c>
      <c r="P26" s="926">
        <v>6</v>
      </c>
      <c r="Q26" s="900">
        <f>IF(O26&lt;&gt;0,VLOOKUP(O26,'Cây trong'!$A$2:$C$246,3,0)," ")</f>
        <v>211000</v>
      </c>
      <c r="R26" s="900">
        <f t="shared" si="3"/>
        <v>1266000</v>
      </c>
      <c r="S26" s="902" t="s">
        <v>1768</v>
      </c>
      <c r="T26" s="925" t="s">
        <v>53</v>
      </c>
      <c r="U26" s="927">
        <v>17.899999999999999</v>
      </c>
      <c r="V26" s="925">
        <v>9.1</v>
      </c>
      <c r="W26" s="900">
        <f>IF(S26&lt;&gt;0,VLOOKUP(S26,VKT!$A$2:$G$415,7,0),"")</f>
        <v>238288</v>
      </c>
      <c r="X26" s="900">
        <f t="shared" si="4"/>
        <v>4265000</v>
      </c>
      <c r="Y26" s="925"/>
      <c r="Z26" s="928"/>
      <c r="AA26" s="928"/>
      <c r="AB26" s="904"/>
      <c r="AC26" s="928"/>
      <c r="AD26" s="928"/>
      <c r="AE26" s="928"/>
      <c r="AF26" s="926"/>
      <c r="AG26" s="906" t="str">
        <f>IF(AE26&lt;&gt;0,VLOOKUP(AE26,ODDS!$A$2:$C$13,3,0),"")</f>
        <v/>
      </c>
      <c r="AH26" s="906" t="str">
        <f t="shared" si="5"/>
        <v xml:space="preserve"> </v>
      </c>
      <c r="AI26" s="907" t="str">
        <f t="shared" si="0"/>
        <v xml:space="preserve"> </v>
      </c>
      <c r="AJ26" s="894" t="s">
        <v>721</v>
      </c>
      <c r="AK26" s="894" t="s">
        <v>2449</v>
      </c>
    </row>
    <row r="27" spans="1:38" s="376" customFormat="1" ht="135" outlineLevel="2" x14ac:dyDescent="0.3">
      <c r="A27" s="447">
        <f t="shared" si="8"/>
        <v>3</v>
      </c>
      <c r="B27" s="893"/>
      <c r="C27" s="942"/>
      <c r="D27" s="923"/>
      <c r="E27" s="923"/>
      <c r="F27" s="896"/>
      <c r="G27" s="894"/>
      <c r="H27" s="924"/>
      <c r="I27" s="882"/>
      <c r="J27" s="925"/>
      <c r="K27" s="899" t="str">
        <f>IF(G27&lt;&gt;0,VLOOKUP(G27,'gia dat'!$A$1:$F$144,5,0)," ")</f>
        <v xml:space="preserve"> </v>
      </c>
      <c r="L27" s="899" t="str">
        <f>IF(G27&lt;&gt;0,VLOOKUP(G27,'gia dat'!$A$1:$F$144,6,0)," ")</f>
        <v xml:space="preserve"> </v>
      </c>
      <c r="M27" s="900" t="str">
        <f t="shared" si="1"/>
        <v xml:space="preserve"> </v>
      </c>
      <c r="N27" s="900" t="str">
        <f t="shared" si="2"/>
        <v xml:space="preserve"> </v>
      </c>
      <c r="O27" s="894" t="s">
        <v>70</v>
      </c>
      <c r="P27" s="926">
        <v>4</v>
      </c>
      <c r="Q27" s="900">
        <f>IF(O27&lt;&gt;0,VLOOKUP(O27,'Cây trong'!$A$2:$C$246,3,0)," ")</f>
        <v>1632000</v>
      </c>
      <c r="R27" s="900">
        <f t="shared" si="3"/>
        <v>6528000</v>
      </c>
      <c r="S27" s="902" t="s">
        <v>1799</v>
      </c>
      <c r="T27" s="925" t="s">
        <v>53</v>
      </c>
      <c r="U27" s="927">
        <v>53.51</v>
      </c>
      <c r="V27" s="925"/>
      <c r="W27" s="900">
        <f>IF(S27&lt;&gt;0,VLOOKUP(S27,VKT!$A$2:$G$415,7,0),"")</f>
        <v>275180</v>
      </c>
      <c r="X27" s="900">
        <f t="shared" si="4"/>
        <v>14725000</v>
      </c>
      <c r="Y27" s="925"/>
      <c r="Z27" s="928"/>
      <c r="AA27" s="928"/>
      <c r="AB27" s="904"/>
      <c r="AC27" s="928"/>
      <c r="AD27" s="928"/>
      <c r="AE27" s="928"/>
      <c r="AF27" s="926"/>
      <c r="AG27" s="906" t="str">
        <f>IF(AE27&lt;&gt;0,VLOOKUP(AE27,ODDS!$A$2:$C$13,3,0),"")</f>
        <v/>
      </c>
      <c r="AH27" s="906" t="str">
        <f t="shared" si="5"/>
        <v xml:space="preserve"> </v>
      </c>
      <c r="AI27" s="907" t="str">
        <f t="shared" si="0"/>
        <v xml:space="preserve"> </v>
      </c>
      <c r="AJ27" s="894" t="s">
        <v>419</v>
      </c>
      <c r="AK27" s="894" t="s">
        <v>2451</v>
      </c>
    </row>
    <row r="28" spans="1:38" s="376" customFormat="1" ht="112.5" outlineLevel="2" x14ac:dyDescent="0.3">
      <c r="A28" s="447">
        <f t="shared" si="8"/>
        <v>3</v>
      </c>
      <c r="B28" s="893"/>
      <c r="C28" s="894"/>
      <c r="D28" s="939"/>
      <c r="E28" s="923"/>
      <c r="F28" s="896"/>
      <c r="G28" s="922"/>
      <c r="H28" s="924"/>
      <c r="I28" s="882"/>
      <c r="J28" s="925"/>
      <c r="K28" s="899" t="str">
        <f>IF(G28&lt;&gt;0,VLOOKUP(G28,'gia dat'!$A$1:$F$144,5,0)," ")</f>
        <v xml:space="preserve"> </v>
      </c>
      <c r="L28" s="899" t="str">
        <f>IF(G28&lt;&gt;0,VLOOKUP(G28,'gia dat'!$A$1:$F$144,6,0)," ")</f>
        <v xml:space="preserve"> </v>
      </c>
      <c r="M28" s="900" t="str">
        <f t="shared" si="1"/>
        <v xml:space="preserve"> </v>
      </c>
      <c r="N28" s="900" t="str">
        <f t="shared" si="2"/>
        <v xml:space="preserve"> </v>
      </c>
      <c r="O28" s="901" t="s">
        <v>72</v>
      </c>
      <c r="P28" s="926">
        <v>152</v>
      </c>
      <c r="Q28" s="900">
        <f>IF(O28&lt;&gt;0,VLOOKUP(O28,'Cây trong'!$A$2:$C$246,3,0)," ")</f>
        <v>132000</v>
      </c>
      <c r="R28" s="900">
        <f t="shared" si="3"/>
        <v>20064000</v>
      </c>
      <c r="S28" s="902" t="s">
        <v>1766</v>
      </c>
      <c r="T28" s="925" t="s">
        <v>53</v>
      </c>
      <c r="U28" s="927">
        <v>73.680000000000007</v>
      </c>
      <c r="V28" s="925"/>
      <c r="W28" s="900">
        <f>IF(S28&lt;&gt;0,VLOOKUP(S28,VKT!$A$2:$G$415,7,0),"")</f>
        <v>265836</v>
      </c>
      <c r="X28" s="900">
        <f t="shared" si="4"/>
        <v>19587000</v>
      </c>
      <c r="Y28" s="898"/>
      <c r="Z28" s="928"/>
      <c r="AA28" s="928"/>
      <c r="AB28" s="904"/>
      <c r="AC28" s="928"/>
      <c r="AD28" s="937"/>
      <c r="AE28" s="937"/>
      <c r="AF28" s="935"/>
      <c r="AG28" s="906" t="str">
        <f>IF(AE28&lt;&gt;0,VLOOKUP(AE28,ODDS!$A$2:$C$13,3,0),"")</f>
        <v/>
      </c>
      <c r="AH28" s="906" t="str">
        <f t="shared" si="5"/>
        <v xml:space="preserve"> </v>
      </c>
      <c r="AI28" s="907" t="str">
        <f t="shared" si="0"/>
        <v xml:space="preserve"> </v>
      </c>
      <c r="AJ28" s="929" t="s">
        <v>370</v>
      </c>
      <c r="AK28" s="894" t="s">
        <v>2800</v>
      </c>
    </row>
    <row r="29" spans="1:38" s="376" customFormat="1" ht="135" outlineLevel="2" x14ac:dyDescent="0.3">
      <c r="A29" s="447">
        <f t="shared" si="8"/>
        <v>3</v>
      </c>
      <c r="B29" s="893"/>
      <c r="C29" s="908"/>
      <c r="D29" s="923"/>
      <c r="E29" s="923"/>
      <c r="F29" s="896"/>
      <c r="G29" s="922"/>
      <c r="H29" s="924"/>
      <c r="I29" s="882"/>
      <c r="J29" s="925"/>
      <c r="K29" s="899" t="str">
        <f>IF(G29&lt;&gt;0,VLOOKUP(G29,'gia dat'!$A$1:$F$144,5,0)," ")</f>
        <v xml:space="preserve"> </v>
      </c>
      <c r="L29" s="899" t="str">
        <f>IF(G29&lt;&gt;0,VLOOKUP(G29,'gia dat'!$A$1:$F$144,6,0)," ")</f>
        <v xml:space="preserve"> </v>
      </c>
      <c r="M29" s="900" t="str">
        <f t="shared" si="1"/>
        <v xml:space="preserve"> </v>
      </c>
      <c r="N29" s="900" t="str">
        <f t="shared" si="2"/>
        <v xml:space="preserve"> </v>
      </c>
      <c r="O29" s="894" t="s">
        <v>73</v>
      </c>
      <c r="P29" s="926">
        <v>101</v>
      </c>
      <c r="Q29" s="900">
        <f>IF(O29&lt;&gt;0,VLOOKUP(O29,'Cây trong'!$A$2:$C$246,3,0)," ")</f>
        <v>76000</v>
      </c>
      <c r="R29" s="900">
        <f t="shared" si="3"/>
        <v>7676000</v>
      </c>
      <c r="S29" s="902" t="s">
        <v>1886</v>
      </c>
      <c r="T29" s="925" t="s">
        <v>53</v>
      </c>
      <c r="U29" s="927">
        <v>8.3000000000000007</v>
      </c>
      <c r="V29" s="925"/>
      <c r="W29" s="900">
        <f>IF(S29&lt;&gt;0,VLOOKUP(S29,VKT!$A$2:$G$415,7,0),"")</f>
        <v>9347414</v>
      </c>
      <c r="X29" s="900">
        <f t="shared" si="4"/>
        <v>77584000</v>
      </c>
      <c r="Y29" s="925" t="s">
        <v>63</v>
      </c>
      <c r="Z29" s="928" t="s">
        <v>63</v>
      </c>
      <c r="AA29" s="928" t="s">
        <v>56</v>
      </c>
      <c r="AB29" s="904" t="s">
        <v>57</v>
      </c>
      <c r="AC29" s="928" t="s">
        <v>63</v>
      </c>
      <c r="AD29" s="928"/>
      <c r="AE29" s="928"/>
      <c r="AF29" s="926"/>
      <c r="AG29" s="906" t="str">
        <f>IF(AE29&lt;&gt;0,VLOOKUP(AE29,ODDS!$A$2:$C$13,3,0),"")</f>
        <v/>
      </c>
      <c r="AH29" s="906" t="str">
        <f t="shared" si="5"/>
        <v xml:space="preserve"> </v>
      </c>
      <c r="AI29" s="907" t="str">
        <f t="shared" si="0"/>
        <v xml:space="preserve"> </v>
      </c>
      <c r="AJ29" s="894" t="s">
        <v>1730</v>
      </c>
      <c r="AK29" s="929"/>
    </row>
    <row r="30" spans="1:38" s="376" customFormat="1" ht="67.5" outlineLevel="2" x14ac:dyDescent="0.3">
      <c r="A30" s="447">
        <f t="shared" si="8"/>
        <v>3</v>
      </c>
      <c r="B30" s="893"/>
      <c r="C30" s="910"/>
      <c r="D30" s="923"/>
      <c r="E30" s="923"/>
      <c r="F30" s="896"/>
      <c r="G30" s="894"/>
      <c r="H30" s="924"/>
      <c r="I30" s="882"/>
      <c r="J30" s="925"/>
      <c r="K30" s="899" t="str">
        <f>IF(G30&lt;&gt;0,VLOOKUP(G30,'gia dat'!$A$1:$F$144,5,0)," ")</f>
        <v xml:space="preserve"> </v>
      </c>
      <c r="L30" s="899" t="str">
        <f>IF(G30&lt;&gt;0,VLOOKUP(G30,'gia dat'!$A$1:$F$144,6,0)," ")</f>
        <v xml:space="preserve"> </v>
      </c>
      <c r="M30" s="900" t="str">
        <f t="shared" si="1"/>
        <v xml:space="preserve"> </v>
      </c>
      <c r="N30" s="900" t="str">
        <f t="shared" si="2"/>
        <v xml:space="preserve"> </v>
      </c>
      <c r="O30" s="901" t="s">
        <v>75</v>
      </c>
      <c r="P30" s="926">
        <v>145</v>
      </c>
      <c r="Q30" s="900">
        <f>IF(O30&lt;&gt;0,VLOOKUP(O30,'Cây trong'!$A$2:$C$246,3,0)," ")</f>
        <v>34000</v>
      </c>
      <c r="R30" s="900">
        <f t="shared" si="3"/>
        <v>4930000</v>
      </c>
      <c r="S30" s="902" t="s">
        <v>1767</v>
      </c>
      <c r="T30" s="925" t="s">
        <v>53</v>
      </c>
      <c r="U30" s="927">
        <v>8.0500000000000007</v>
      </c>
      <c r="V30" s="925"/>
      <c r="W30" s="900">
        <f>IF(S30&lt;&gt;0,VLOOKUP(S30,VKT!$A$2:$G$415,7,0),"")</f>
        <v>0</v>
      </c>
      <c r="X30" s="900">
        <f t="shared" si="4"/>
        <v>0</v>
      </c>
      <c r="Y30" s="925"/>
      <c r="Z30" s="928"/>
      <c r="AA30" s="928"/>
      <c r="AB30" s="904"/>
      <c r="AC30" s="928"/>
      <c r="AD30" s="928"/>
      <c r="AE30" s="928"/>
      <c r="AF30" s="926"/>
      <c r="AG30" s="906" t="str">
        <f>IF(AE30&lt;&gt;0,VLOOKUP(AE30,ODDS!$A$2:$C$13,3,0),"")</f>
        <v/>
      </c>
      <c r="AH30" s="906" t="str">
        <f t="shared" si="5"/>
        <v xml:space="preserve"> </v>
      </c>
      <c r="AI30" s="907" t="str">
        <f t="shared" si="0"/>
        <v xml:space="preserve"> </v>
      </c>
      <c r="AJ30" s="894" t="s">
        <v>2074</v>
      </c>
      <c r="AK30" s="894"/>
    </row>
    <row r="31" spans="1:38" s="376" customFormat="1" ht="45" outlineLevel="2" x14ac:dyDescent="0.35">
      <c r="A31" s="447">
        <f t="shared" si="8"/>
        <v>3</v>
      </c>
      <c r="B31" s="893"/>
      <c r="C31" s="910"/>
      <c r="D31" s="931"/>
      <c r="E31" s="931"/>
      <c r="F31" s="913"/>
      <c r="G31" s="910"/>
      <c r="H31" s="924"/>
      <c r="I31" s="882"/>
      <c r="J31" s="925"/>
      <c r="K31" s="899" t="str">
        <f>IF(G31&lt;&gt;0,VLOOKUP(G31,'gia dat'!$A$1:$F$144,5,0)," ")</f>
        <v xml:space="preserve"> </v>
      </c>
      <c r="L31" s="899" t="str">
        <f>IF(G31&lt;&gt;0,VLOOKUP(G31,'gia dat'!$A$1:$F$144,6,0)," ")</f>
        <v xml:space="preserve"> </v>
      </c>
      <c r="M31" s="900" t="str">
        <f t="shared" si="1"/>
        <v xml:space="preserve"> </v>
      </c>
      <c r="N31" s="900" t="str">
        <f t="shared" si="2"/>
        <v xml:space="preserve"> </v>
      </c>
      <c r="O31" s="894" t="s">
        <v>76</v>
      </c>
      <c r="P31" s="926">
        <v>1</v>
      </c>
      <c r="Q31" s="900">
        <f>IF(O31&lt;&gt;0,VLOOKUP(O31,'Cây trong'!$A$2:$C$246,3,0)," ")</f>
        <v>45000</v>
      </c>
      <c r="R31" s="900">
        <f t="shared" si="3"/>
        <v>45000</v>
      </c>
      <c r="S31" s="902" t="s">
        <v>1799</v>
      </c>
      <c r="T31" s="925" t="s">
        <v>53</v>
      </c>
      <c r="U31" s="927">
        <v>8.0500000000000007</v>
      </c>
      <c r="V31" s="933"/>
      <c r="W31" s="900">
        <f>IF(S31&lt;&gt;0,VLOOKUP(S31,VKT!$A$2:$G$415,7,0),"")</f>
        <v>275180</v>
      </c>
      <c r="X31" s="900">
        <f t="shared" si="4"/>
        <v>2215000</v>
      </c>
      <c r="Y31" s="925"/>
      <c r="Z31" s="928"/>
      <c r="AA31" s="928"/>
      <c r="AB31" s="904"/>
      <c r="AC31" s="928"/>
      <c r="AD31" s="928"/>
      <c r="AE31" s="928"/>
      <c r="AF31" s="926"/>
      <c r="AG31" s="906" t="str">
        <f>IF(AE31&lt;&gt;0,VLOOKUP(AE31,ODDS!$A$2:$C$13,3,0),"")</f>
        <v/>
      </c>
      <c r="AH31" s="906" t="str">
        <f t="shared" si="5"/>
        <v xml:space="preserve"> </v>
      </c>
      <c r="AI31" s="907" t="str">
        <f t="shared" si="0"/>
        <v xml:space="preserve"> </v>
      </c>
      <c r="AJ31" s="911"/>
      <c r="AK31" s="894"/>
    </row>
    <row r="32" spans="1:38" s="376" customFormat="1" ht="67.5" outlineLevel="2" x14ac:dyDescent="0.3">
      <c r="A32" s="447">
        <f t="shared" si="8"/>
        <v>3</v>
      </c>
      <c r="B32" s="893"/>
      <c r="C32" s="910"/>
      <c r="D32" s="931"/>
      <c r="E32" s="931"/>
      <c r="F32" s="913"/>
      <c r="G32" s="910"/>
      <c r="H32" s="924"/>
      <c r="I32" s="882"/>
      <c r="J32" s="925"/>
      <c r="K32" s="899" t="str">
        <f>IF(G32&lt;&gt;0,VLOOKUP(G32,'gia dat'!$A$1:$F$144,5,0)," ")</f>
        <v xml:space="preserve"> </v>
      </c>
      <c r="L32" s="899" t="str">
        <f>IF(G32&lt;&gt;0,VLOOKUP(G32,'gia dat'!$A$1:$F$144,6,0)," ")</f>
        <v xml:space="preserve"> </v>
      </c>
      <c r="M32" s="900" t="str">
        <f t="shared" si="1"/>
        <v xml:space="preserve"> </v>
      </c>
      <c r="N32" s="900" t="str">
        <f t="shared" si="2"/>
        <v xml:space="preserve"> </v>
      </c>
      <c r="O32" s="894" t="s">
        <v>77</v>
      </c>
      <c r="P32" s="926">
        <v>2</v>
      </c>
      <c r="Q32" s="900">
        <f>IF(O32&lt;&gt;0,VLOOKUP(O32,'Cây trong'!$A$2:$C$246,3,0)," ")</f>
        <v>3064000</v>
      </c>
      <c r="R32" s="900">
        <f t="shared" si="3"/>
        <v>6128000</v>
      </c>
      <c r="S32" s="902" t="s">
        <v>2252</v>
      </c>
      <c r="T32" s="925" t="s">
        <v>78</v>
      </c>
      <c r="U32" s="927">
        <v>20.13</v>
      </c>
      <c r="V32" s="933"/>
      <c r="W32" s="900">
        <f>IF(S32&lt;&gt;0,VLOOKUP(S32,VKT!$A$2:$G$415,7,0),"")</f>
        <v>3878211</v>
      </c>
      <c r="X32" s="900">
        <f t="shared" si="4"/>
        <v>78068000</v>
      </c>
      <c r="Y32" s="925"/>
      <c r="Z32" s="928"/>
      <c r="AA32" s="928"/>
      <c r="AB32" s="904"/>
      <c r="AC32" s="928"/>
      <c r="AD32" s="928"/>
      <c r="AE32" s="928"/>
      <c r="AF32" s="926"/>
      <c r="AG32" s="906" t="str">
        <f>IF(AE32&lt;&gt;0,VLOOKUP(AE32,ODDS!$A$2:$C$13,3,0),"")</f>
        <v/>
      </c>
      <c r="AH32" s="906" t="str">
        <f t="shared" si="5"/>
        <v xml:space="preserve"> </v>
      </c>
      <c r="AI32" s="907" t="str">
        <f t="shared" si="0"/>
        <v xml:space="preserve"> </v>
      </c>
      <c r="AJ32" s="943"/>
      <c r="AK32" s="943"/>
    </row>
    <row r="33" spans="1:37" s="376" customFormat="1" ht="135" outlineLevel="2" x14ac:dyDescent="0.3">
      <c r="A33" s="447">
        <f t="shared" si="8"/>
        <v>3</v>
      </c>
      <c r="B33" s="893"/>
      <c r="C33" s="942"/>
      <c r="D33" s="930"/>
      <c r="E33" s="931"/>
      <c r="F33" s="913"/>
      <c r="G33" s="910"/>
      <c r="H33" s="924"/>
      <c r="I33" s="882"/>
      <c r="J33" s="933"/>
      <c r="K33" s="899" t="str">
        <f>IF(G33&lt;&gt;0,VLOOKUP(G33,'gia dat'!$A$1:$F$144,5,0)," ")</f>
        <v xml:space="preserve"> </v>
      </c>
      <c r="L33" s="899" t="str">
        <f>IF(G33&lt;&gt;0,VLOOKUP(G33,'gia dat'!$A$1:$F$144,6,0)," ")</f>
        <v xml:space="preserve"> </v>
      </c>
      <c r="M33" s="900" t="str">
        <f t="shared" si="1"/>
        <v xml:space="preserve"> </v>
      </c>
      <c r="N33" s="900" t="str">
        <f t="shared" si="2"/>
        <v xml:space="preserve"> </v>
      </c>
      <c r="O33" s="901" t="s">
        <v>79</v>
      </c>
      <c r="P33" s="926">
        <v>1</v>
      </c>
      <c r="Q33" s="900">
        <f>IF(O33&lt;&gt;0,VLOOKUP(O33,'Cây trong'!$A$2:$C$246,3,0)," ")</f>
        <v>1035000</v>
      </c>
      <c r="R33" s="900">
        <f t="shared" si="3"/>
        <v>1035000</v>
      </c>
      <c r="S33" s="902" t="s">
        <v>2253</v>
      </c>
      <c r="T33" s="925" t="s">
        <v>53</v>
      </c>
      <c r="U33" s="927">
        <v>23.45</v>
      </c>
      <c r="V33" s="933"/>
      <c r="W33" s="900">
        <f>IF(S33&lt;&gt;0,VLOOKUP(S33,VKT!$A$2:$G$415,7,0),"")</f>
        <v>890132</v>
      </c>
      <c r="X33" s="900">
        <f t="shared" si="4"/>
        <v>20874000</v>
      </c>
      <c r="Y33" s="916"/>
      <c r="Z33" s="937"/>
      <c r="AA33" s="937"/>
      <c r="AB33" s="920"/>
      <c r="AC33" s="937"/>
      <c r="AD33" s="928"/>
      <c r="AE33" s="928"/>
      <c r="AF33" s="926"/>
      <c r="AG33" s="906" t="str">
        <f>IF(AE33&lt;&gt;0,VLOOKUP(AE33,ODDS!$A$2:$C$13,3,0),"")</f>
        <v/>
      </c>
      <c r="AH33" s="906" t="str">
        <f t="shared" si="5"/>
        <v xml:space="preserve"> </v>
      </c>
      <c r="AI33" s="907" t="str">
        <f t="shared" si="0"/>
        <v xml:space="preserve"> </v>
      </c>
      <c r="AJ33" s="943"/>
      <c r="AK33" s="943"/>
    </row>
    <row r="34" spans="1:37" s="376" customFormat="1" ht="45" outlineLevel="2" x14ac:dyDescent="0.3">
      <c r="A34" s="447">
        <f t="shared" si="8"/>
        <v>3</v>
      </c>
      <c r="B34" s="893"/>
      <c r="C34" s="894"/>
      <c r="D34" s="939"/>
      <c r="E34" s="923"/>
      <c r="F34" s="896"/>
      <c r="G34" s="894"/>
      <c r="H34" s="924"/>
      <c r="I34" s="882"/>
      <c r="J34" s="925"/>
      <c r="K34" s="899" t="str">
        <f>IF(G34&lt;&gt;0,VLOOKUP(G34,'gia dat'!$A$1:$F$144,5,0)," ")</f>
        <v xml:space="preserve"> </v>
      </c>
      <c r="L34" s="899" t="str">
        <f>IF(G34&lt;&gt;0,VLOOKUP(G34,'gia dat'!$A$1:$F$144,6,0)," ")</f>
        <v xml:space="preserve"> </v>
      </c>
      <c r="M34" s="900" t="str">
        <f t="shared" si="1"/>
        <v xml:space="preserve"> </v>
      </c>
      <c r="N34" s="900" t="str">
        <f t="shared" si="2"/>
        <v xml:space="preserve"> </v>
      </c>
      <c r="O34" s="901" t="s">
        <v>80</v>
      </c>
      <c r="P34" s="926">
        <v>2</v>
      </c>
      <c r="Q34" s="900">
        <f>IF(O34&lt;&gt;0,VLOOKUP(O34,'Cây trong'!$A$2:$C$246,3,0)," ")</f>
        <v>400000</v>
      </c>
      <c r="R34" s="900">
        <f t="shared" si="3"/>
        <v>800000</v>
      </c>
      <c r="S34" s="902" t="s">
        <v>1899</v>
      </c>
      <c r="T34" s="925" t="s">
        <v>53</v>
      </c>
      <c r="U34" s="927">
        <v>4.5999999999999996</v>
      </c>
      <c r="V34" s="925"/>
      <c r="W34" s="900">
        <f>IF(S34&lt;&gt;0,VLOOKUP(S34,VKT!$A$2:$G$415,7,0),"")</f>
        <v>0</v>
      </c>
      <c r="X34" s="900">
        <f t="shared" si="4"/>
        <v>0</v>
      </c>
      <c r="Y34" s="898"/>
      <c r="Z34" s="928" t="s">
        <v>55</v>
      </c>
      <c r="AA34" s="928" t="s">
        <v>82</v>
      </c>
      <c r="AB34" s="904" t="s">
        <v>83</v>
      </c>
      <c r="AC34" s="928" t="s">
        <v>66</v>
      </c>
      <c r="AD34" s="937"/>
      <c r="AE34" s="937"/>
      <c r="AF34" s="935"/>
      <c r="AG34" s="906" t="str">
        <f>IF(AE34&lt;&gt;0,VLOOKUP(AE34,ODDS!$A$2:$C$13,3,0),"")</f>
        <v/>
      </c>
      <c r="AH34" s="906" t="str">
        <f t="shared" si="5"/>
        <v xml:space="preserve"> </v>
      </c>
      <c r="AI34" s="907" t="str">
        <f t="shared" si="0"/>
        <v xml:space="preserve"> </v>
      </c>
      <c r="AJ34" s="943"/>
      <c r="AK34" s="943"/>
    </row>
    <row r="35" spans="1:37" s="376" customFormat="1" ht="45" outlineLevel="2" x14ac:dyDescent="0.3">
      <c r="A35" s="447">
        <f t="shared" si="8"/>
        <v>3</v>
      </c>
      <c r="B35" s="893"/>
      <c r="C35" s="908"/>
      <c r="D35" s="923"/>
      <c r="E35" s="923"/>
      <c r="F35" s="896"/>
      <c r="G35" s="922"/>
      <c r="H35" s="924"/>
      <c r="I35" s="882"/>
      <c r="J35" s="925"/>
      <c r="K35" s="899" t="str">
        <f>IF(G35&lt;&gt;0,VLOOKUP(G35,'gia dat'!$A$1:$F$144,5,0)," ")</f>
        <v xml:space="preserve"> </v>
      </c>
      <c r="L35" s="899" t="str">
        <f>IF(G35&lt;&gt;0,VLOOKUP(G35,'gia dat'!$A$1:$F$144,6,0)," ")</f>
        <v xml:space="preserve"> </v>
      </c>
      <c r="M35" s="900" t="str">
        <f t="shared" si="1"/>
        <v xml:space="preserve"> </v>
      </c>
      <c r="N35" s="900" t="str">
        <f t="shared" si="2"/>
        <v xml:space="preserve"> </v>
      </c>
      <c r="O35" s="894" t="s">
        <v>84</v>
      </c>
      <c r="P35" s="926">
        <v>1</v>
      </c>
      <c r="Q35" s="900">
        <f>IF(O35&lt;&gt;0,VLOOKUP(O35,'Cây trong'!$A$2:$C$246,3,0)," ")</f>
        <v>300000</v>
      </c>
      <c r="R35" s="900">
        <f t="shared" si="3"/>
        <v>300000</v>
      </c>
      <c r="S35" s="902" t="s">
        <v>2254</v>
      </c>
      <c r="T35" s="925" t="s">
        <v>53</v>
      </c>
      <c r="U35" s="927">
        <v>1.2</v>
      </c>
      <c r="V35" s="925"/>
      <c r="W35" s="900">
        <f>IF(S35&lt;&gt;0,VLOOKUP(S35,VKT!$A$2:$G$415,7,0),"")</f>
        <v>3764632</v>
      </c>
      <c r="X35" s="900">
        <f t="shared" si="4"/>
        <v>4518000</v>
      </c>
      <c r="Y35" s="925"/>
      <c r="Z35" s="928" t="s">
        <v>85</v>
      </c>
      <c r="AA35" s="928" t="s">
        <v>56</v>
      </c>
      <c r="AB35" s="904" t="s">
        <v>57</v>
      </c>
      <c r="AC35" s="928" t="s">
        <v>54</v>
      </c>
      <c r="AD35" s="928"/>
      <c r="AE35" s="928"/>
      <c r="AF35" s="926"/>
      <c r="AG35" s="906" t="str">
        <f>IF(AE35&lt;&gt;0,VLOOKUP(AE35,ODDS!$A$2:$C$13,3,0),"")</f>
        <v/>
      </c>
      <c r="AH35" s="906" t="str">
        <f t="shared" si="5"/>
        <v xml:space="preserve"> </v>
      </c>
      <c r="AI35" s="907" t="str">
        <f t="shared" si="0"/>
        <v xml:space="preserve"> </v>
      </c>
      <c r="AJ35" s="929"/>
      <c r="AK35" s="929"/>
    </row>
    <row r="36" spans="1:37" s="376" customFormat="1" ht="45" outlineLevel="2" x14ac:dyDescent="0.3">
      <c r="A36" s="447">
        <f t="shared" si="8"/>
        <v>3</v>
      </c>
      <c r="B36" s="893"/>
      <c r="C36" s="910"/>
      <c r="D36" s="923"/>
      <c r="E36" s="923"/>
      <c r="F36" s="896"/>
      <c r="G36" s="894"/>
      <c r="H36" s="924"/>
      <c r="I36" s="882"/>
      <c r="J36" s="925"/>
      <c r="K36" s="899" t="str">
        <f>IF(G36&lt;&gt;0,VLOOKUP(G36,'gia dat'!$A$1:$F$144,5,0)," ")</f>
        <v xml:space="preserve"> </v>
      </c>
      <c r="L36" s="899" t="str">
        <f>IF(G36&lt;&gt;0,VLOOKUP(G36,'gia dat'!$A$1:$F$144,6,0)," ")</f>
        <v xml:space="preserve"> </v>
      </c>
      <c r="M36" s="900" t="str">
        <f t="shared" si="1"/>
        <v xml:space="preserve"> </v>
      </c>
      <c r="N36" s="900" t="str">
        <f t="shared" si="2"/>
        <v xml:space="preserve"> </v>
      </c>
      <c r="O36" s="894" t="s">
        <v>725</v>
      </c>
      <c r="P36" s="926">
        <v>1</v>
      </c>
      <c r="Q36" s="900">
        <f>IF(O36&lt;&gt;0,VLOOKUP(O36,'Cây trong'!$A$2:$C$246,3,0)," ")</f>
        <v>360000</v>
      </c>
      <c r="R36" s="900">
        <f t="shared" si="3"/>
        <v>360000</v>
      </c>
      <c r="S36" s="902" t="s">
        <v>1899</v>
      </c>
      <c r="T36" s="925" t="s">
        <v>53</v>
      </c>
      <c r="U36" s="927">
        <v>4.5599999999999996</v>
      </c>
      <c r="V36" s="925"/>
      <c r="W36" s="900">
        <f>IF(S36&lt;&gt;0,VLOOKUP(S36,VKT!$A$2:$G$415,7,0),"")</f>
        <v>0</v>
      </c>
      <c r="X36" s="900">
        <f t="shared" si="4"/>
        <v>0</v>
      </c>
      <c r="Y36" s="925"/>
      <c r="Z36" s="928" t="s">
        <v>86</v>
      </c>
      <c r="AA36" s="928" t="s">
        <v>87</v>
      </c>
      <c r="AB36" s="904" t="s">
        <v>83</v>
      </c>
      <c r="AC36" s="928" t="s">
        <v>88</v>
      </c>
      <c r="AD36" s="928"/>
      <c r="AE36" s="928"/>
      <c r="AF36" s="926"/>
      <c r="AG36" s="906" t="str">
        <f>IF(AE36&lt;&gt;0,VLOOKUP(AE36,ODDS!$A$2:$C$13,3,0),"")</f>
        <v/>
      </c>
      <c r="AH36" s="906" t="str">
        <f t="shared" si="5"/>
        <v xml:space="preserve"> </v>
      </c>
      <c r="AI36" s="907" t="str">
        <f t="shared" si="0"/>
        <v xml:space="preserve"> </v>
      </c>
      <c r="AJ36" s="922"/>
      <c r="AK36" s="922"/>
    </row>
    <row r="37" spans="1:37" s="376" customFormat="1" ht="135" outlineLevel="2" x14ac:dyDescent="0.3">
      <c r="A37" s="447">
        <f t="shared" si="8"/>
        <v>3</v>
      </c>
      <c r="B37" s="893"/>
      <c r="C37" s="910"/>
      <c r="D37" s="923"/>
      <c r="E37" s="923"/>
      <c r="F37" s="896"/>
      <c r="G37" s="894"/>
      <c r="H37" s="924"/>
      <c r="I37" s="882"/>
      <c r="J37" s="925"/>
      <c r="K37" s="899" t="str">
        <f>IF(G37&lt;&gt;0,VLOOKUP(G37,'gia dat'!$A$1:$F$144,5,0)," ")</f>
        <v xml:space="preserve"> </v>
      </c>
      <c r="L37" s="899" t="str">
        <f>IF(G37&lt;&gt;0,VLOOKUP(G37,'gia dat'!$A$1:$F$144,6,0)," ")</f>
        <v xml:space="preserve"> </v>
      </c>
      <c r="M37" s="900" t="str">
        <f t="shared" si="1"/>
        <v xml:space="preserve"> </v>
      </c>
      <c r="N37" s="900" t="str">
        <f t="shared" si="2"/>
        <v xml:space="preserve"> </v>
      </c>
      <c r="O37" s="894" t="s">
        <v>726</v>
      </c>
      <c r="P37" s="926">
        <v>1</v>
      </c>
      <c r="Q37" s="900">
        <f>IF(O37&lt;&gt;0,VLOOKUP(O37,'Cây trong'!$A$2:$C$246,3,0)," ")</f>
        <v>60000</v>
      </c>
      <c r="R37" s="900">
        <f t="shared" si="3"/>
        <v>60000</v>
      </c>
      <c r="S37" s="902" t="s">
        <v>2255</v>
      </c>
      <c r="T37" s="925" t="s">
        <v>53</v>
      </c>
      <c r="U37" s="927">
        <v>74.16</v>
      </c>
      <c r="V37" s="925"/>
      <c r="W37" s="900">
        <f>IF(S37&lt;&gt;0,VLOOKUP(S37,VKT!$A$2:$G$415,7,0),"")</f>
        <v>830536</v>
      </c>
      <c r="X37" s="900">
        <f t="shared" si="4"/>
        <v>61593000</v>
      </c>
      <c r="Y37" s="925"/>
      <c r="Z37" s="928"/>
      <c r="AA37" s="928"/>
      <c r="AB37" s="904"/>
      <c r="AC37" s="928"/>
      <c r="AD37" s="928"/>
      <c r="AE37" s="928"/>
      <c r="AF37" s="926"/>
      <c r="AG37" s="906" t="str">
        <f>IF(AE37&lt;&gt;0,VLOOKUP(AE37,ODDS!$A$2:$C$13,3,0),"")</f>
        <v/>
      </c>
      <c r="AH37" s="906" t="str">
        <f t="shared" si="5"/>
        <v xml:space="preserve"> </v>
      </c>
      <c r="AI37" s="907" t="str">
        <f t="shared" si="0"/>
        <v xml:space="preserve"> </v>
      </c>
      <c r="AJ37" s="929"/>
      <c r="AK37" s="929"/>
    </row>
    <row r="38" spans="1:37" s="376" customFormat="1" ht="90" outlineLevel="2" x14ac:dyDescent="0.3">
      <c r="A38" s="447">
        <f t="shared" si="8"/>
        <v>3</v>
      </c>
      <c r="B38" s="893"/>
      <c r="C38" s="910"/>
      <c r="D38" s="923"/>
      <c r="E38" s="923"/>
      <c r="F38" s="896"/>
      <c r="G38" s="894"/>
      <c r="H38" s="924"/>
      <c r="I38" s="882"/>
      <c r="J38" s="925"/>
      <c r="K38" s="899" t="str">
        <f>IF(G38&lt;&gt;0,VLOOKUP(G38,'gia dat'!$A$1:$F$144,5,0)," ")</f>
        <v xml:space="preserve"> </v>
      </c>
      <c r="L38" s="899" t="str">
        <f>IF(G38&lt;&gt;0,VLOOKUP(G38,'gia dat'!$A$1:$F$144,6,0)," ")</f>
        <v xml:space="preserve"> </v>
      </c>
      <c r="M38" s="900" t="str">
        <f t="shared" si="1"/>
        <v xml:space="preserve"> </v>
      </c>
      <c r="N38" s="900" t="str">
        <f t="shared" si="2"/>
        <v xml:space="preserve"> </v>
      </c>
      <c r="O38" s="894" t="s">
        <v>727</v>
      </c>
      <c r="P38" s="926">
        <v>1</v>
      </c>
      <c r="Q38" s="900">
        <f>IF(O38&lt;&gt;0,VLOOKUP(O38,'Cây trong'!$A$2:$C$246,3,0)," ")</f>
        <v>32000</v>
      </c>
      <c r="R38" s="900">
        <f t="shared" si="3"/>
        <v>32000</v>
      </c>
      <c r="S38" s="902" t="s">
        <v>2256</v>
      </c>
      <c r="T38" s="925" t="s">
        <v>53</v>
      </c>
      <c r="U38" s="927">
        <v>15.08</v>
      </c>
      <c r="V38" s="925"/>
      <c r="W38" s="900">
        <f>IF(S38&lt;&gt;0,VLOOKUP(S38,VKT!$A$2:$G$415,7,0),"")</f>
        <v>4631321</v>
      </c>
      <c r="X38" s="900">
        <f t="shared" si="4"/>
        <v>69840000</v>
      </c>
      <c r="Y38" s="925"/>
      <c r="Z38" s="928" t="s">
        <v>63</v>
      </c>
      <c r="AA38" s="928" t="s">
        <v>56</v>
      </c>
      <c r="AB38" s="904"/>
      <c r="AC38" s="928" t="s">
        <v>63</v>
      </c>
      <c r="AD38" s="928"/>
      <c r="AE38" s="928"/>
      <c r="AF38" s="926"/>
      <c r="AG38" s="906" t="str">
        <f>IF(AE38&lt;&gt;0,VLOOKUP(AE38,ODDS!$A$2:$C$13,3,0),"")</f>
        <v/>
      </c>
      <c r="AH38" s="906" t="str">
        <f t="shared" si="5"/>
        <v xml:space="preserve"> </v>
      </c>
      <c r="AI38" s="907" t="str">
        <f t="shared" si="0"/>
        <v xml:space="preserve"> </v>
      </c>
      <c r="AJ38" s="929"/>
      <c r="AK38" s="929"/>
    </row>
    <row r="39" spans="1:37" s="376" customFormat="1" ht="90" outlineLevel="2" x14ac:dyDescent="0.3">
      <c r="A39" s="447">
        <f t="shared" si="8"/>
        <v>3</v>
      </c>
      <c r="B39" s="893"/>
      <c r="C39" s="942"/>
      <c r="D39" s="930"/>
      <c r="E39" s="931"/>
      <c r="F39" s="913"/>
      <c r="G39" s="910"/>
      <c r="H39" s="924"/>
      <c r="I39" s="882"/>
      <c r="J39" s="943"/>
      <c r="K39" s="899" t="str">
        <f>IF(G39&lt;&gt;0,VLOOKUP(G39,'gia dat'!$A$1:$F$144,5,0)," ")</f>
        <v xml:space="preserve"> </v>
      </c>
      <c r="L39" s="899" t="str">
        <f>IF(G39&lt;&gt;0,VLOOKUP(G39,'gia dat'!$A$1:$F$144,6,0)," ")</f>
        <v xml:space="preserve"> </v>
      </c>
      <c r="M39" s="900" t="str">
        <f t="shared" si="1"/>
        <v xml:space="preserve"> </v>
      </c>
      <c r="N39" s="900" t="str">
        <f t="shared" si="2"/>
        <v xml:space="preserve"> </v>
      </c>
      <c r="O39" s="922" t="s">
        <v>728</v>
      </c>
      <c r="P39" s="926">
        <v>1</v>
      </c>
      <c r="Q39" s="900">
        <f>IF(O39&lt;&gt;0,VLOOKUP(O39,'Cây trong'!$A$2:$C$246,3,0)," ")</f>
        <v>60000</v>
      </c>
      <c r="R39" s="900">
        <f t="shared" si="3"/>
        <v>60000</v>
      </c>
      <c r="S39" s="922" t="s">
        <v>2404</v>
      </c>
      <c r="T39" s="944" t="s">
        <v>53</v>
      </c>
      <c r="U39" s="927">
        <v>14.75</v>
      </c>
      <c r="V39" s="945"/>
      <c r="W39" s="900">
        <f>IF(S39&lt;&gt;0,VLOOKUP(S39,VKT!$A$2:$G$415,7,0),"")</f>
        <v>4631321</v>
      </c>
      <c r="X39" s="900">
        <f t="shared" si="4"/>
        <v>68312000</v>
      </c>
      <c r="Y39" s="916"/>
      <c r="Z39" s="928" t="s">
        <v>63</v>
      </c>
      <c r="AA39" s="928" t="s">
        <v>56</v>
      </c>
      <c r="AB39" s="904"/>
      <c r="AC39" s="928" t="s">
        <v>63</v>
      </c>
      <c r="AD39" s="928"/>
      <c r="AE39" s="928"/>
      <c r="AF39" s="926"/>
      <c r="AG39" s="906" t="str">
        <f>IF(AE39&lt;&gt;0,VLOOKUP(AE39,ODDS!$A$2:$C$13,3,0),"")</f>
        <v/>
      </c>
      <c r="AH39" s="906" t="str">
        <f t="shared" si="5"/>
        <v xml:space="preserve"> </v>
      </c>
      <c r="AI39" s="907" t="str">
        <f t="shared" si="0"/>
        <v xml:space="preserve"> </v>
      </c>
      <c r="AJ39" s="929"/>
      <c r="AK39" s="929"/>
    </row>
    <row r="40" spans="1:37" s="376" customFormat="1" ht="67.5" outlineLevel="2" x14ac:dyDescent="0.3">
      <c r="A40" s="447">
        <f t="shared" si="8"/>
        <v>3</v>
      </c>
      <c r="B40" s="893"/>
      <c r="C40" s="908"/>
      <c r="D40" s="939"/>
      <c r="E40" s="923"/>
      <c r="F40" s="896"/>
      <c r="G40" s="894"/>
      <c r="H40" s="924"/>
      <c r="I40" s="882"/>
      <c r="J40" s="943"/>
      <c r="K40" s="899" t="str">
        <f>IF(G40&lt;&gt;0,VLOOKUP(G40,'gia dat'!$A$1:$F$144,5,0)," ")</f>
        <v xml:space="preserve"> </v>
      </c>
      <c r="L40" s="899" t="str">
        <f>IF(G40&lt;&gt;0,VLOOKUP(G40,'gia dat'!$A$1:$F$144,6,0)," ")</f>
        <v xml:space="preserve"> </v>
      </c>
      <c r="M40" s="900" t="str">
        <f t="shared" si="1"/>
        <v xml:space="preserve"> </v>
      </c>
      <c r="N40" s="900" t="str">
        <f t="shared" si="2"/>
        <v xml:space="preserve"> </v>
      </c>
      <c r="O40" s="922" t="s">
        <v>89</v>
      </c>
      <c r="P40" s="926">
        <v>1</v>
      </c>
      <c r="Q40" s="900">
        <f>IF(O40&lt;&gt;0,VLOOKUP(O40,'Cây trong'!$A$2:$C$246,3,0)," ")</f>
        <v>283000</v>
      </c>
      <c r="R40" s="900">
        <f t="shared" si="3"/>
        <v>283000</v>
      </c>
      <c r="S40" s="922" t="s">
        <v>2257</v>
      </c>
      <c r="T40" s="944" t="s">
        <v>53</v>
      </c>
      <c r="U40" s="927">
        <v>88</v>
      </c>
      <c r="V40" s="946"/>
      <c r="W40" s="900">
        <f>IF(S40&lt;&gt;0,VLOOKUP(S40,VKT!$A$2:$G$415,7,0),"")</f>
        <v>5469063</v>
      </c>
      <c r="X40" s="900">
        <f t="shared" si="4"/>
        <v>481278000</v>
      </c>
      <c r="Y40" s="898"/>
      <c r="Z40" s="904" t="s">
        <v>90</v>
      </c>
      <c r="AA40" s="928" t="s">
        <v>56</v>
      </c>
      <c r="AB40" s="904" t="s">
        <v>57</v>
      </c>
      <c r="AC40" s="928" t="s">
        <v>63</v>
      </c>
      <c r="AD40" s="937"/>
      <c r="AE40" s="937"/>
      <c r="AF40" s="935"/>
      <c r="AG40" s="906" t="str">
        <f>IF(AE40&lt;&gt;0,VLOOKUP(AE40,ODDS!$A$2:$C$13,3,0),"")</f>
        <v/>
      </c>
      <c r="AH40" s="906" t="str">
        <f t="shared" si="5"/>
        <v xml:space="preserve"> </v>
      </c>
      <c r="AI40" s="907" t="str">
        <f t="shared" si="0"/>
        <v xml:space="preserve"> </v>
      </c>
      <c r="AJ40" s="943"/>
      <c r="AK40" s="943"/>
    </row>
    <row r="41" spans="1:37" s="376" customFormat="1" ht="90" outlineLevel="2" x14ac:dyDescent="0.3">
      <c r="A41" s="447">
        <f t="shared" si="8"/>
        <v>3</v>
      </c>
      <c r="B41" s="893"/>
      <c r="C41" s="922"/>
      <c r="D41" s="947"/>
      <c r="E41" s="948"/>
      <c r="F41" s="947"/>
      <c r="G41" s="922"/>
      <c r="H41" s="924"/>
      <c r="I41" s="882"/>
      <c r="J41" s="929"/>
      <c r="K41" s="899" t="str">
        <f>IF(G41&lt;&gt;0,VLOOKUP(G41,'gia dat'!$A$1:$F$144,5,0)," ")</f>
        <v xml:space="preserve"> </v>
      </c>
      <c r="L41" s="899" t="str">
        <f>IF(G41&lt;&gt;0,VLOOKUP(G41,'gia dat'!$A$1:$F$144,6,0)," ")</f>
        <v xml:space="preserve"> </v>
      </c>
      <c r="M41" s="900" t="str">
        <f t="shared" si="1"/>
        <v xml:space="preserve"> </v>
      </c>
      <c r="N41" s="900" t="str">
        <f t="shared" si="2"/>
        <v xml:space="preserve"> </v>
      </c>
      <c r="O41" s="922" t="s">
        <v>91</v>
      </c>
      <c r="P41" s="926">
        <v>1</v>
      </c>
      <c r="Q41" s="900">
        <f>IF(O41&lt;&gt;0,VLOOKUP(O41,'Cây trong'!$A$2:$C$246,3,0)," ")</f>
        <v>93000</v>
      </c>
      <c r="R41" s="900">
        <f t="shared" si="3"/>
        <v>93000</v>
      </c>
      <c r="S41" s="922" t="s">
        <v>2258</v>
      </c>
      <c r="T41" s="944" t="s">
        <v>53</v>
      </c>
      <c r="U41" s="927">
        <v>2.66</v>
      </c>
      <c r="V41" s="946"/>
      <c r="W41" s="900">
        <f>IF(S41&lt;&gt;0,VLOOKUP(S41,VKT!$A$2:$G$415,7,0),"")</f>
        <v>9347414</v>
      </c>
      <c r="X41" s="900">
        <f t="shared" si="4"/>
        <v>24864000</v>
      </c>
      <c r="Y41" s="925"/>
      <c r="Z41" s="928" t="s">
        <v>63</v>
      </c>
      <c r="AA41" s="928" t="s">
        <v>56</v>
      </c>
      <c r="AB41" s="904" t="s">
        <v>57</v>
      </c>
      <c r="AC41" s="928" t="s">
        <v>63</v>
      </c>
      <c r="AD41" s="928" t="s">
        <v>58</v>
      </c>
      <c r="AE41" s="928"/>
      <c r="AF41" s="926"/>
      <c r="AG41" s="906" t="str">
        <f>IF(AE41&lt;&gt;0,VLOOKUP(AE41,ODDS!$A$2:$C$13,3,0),"")</f>
        <v/>
      </c>
      <c r="AH41" s="906" t="str">
        <f t="shared" si="5"/>
        <v xml:space="preserve"> </v>
      </c>
      <c r="AI41" s="907" t="str">
        <f t="shared" si="0"/>
        <v xml:space="preserve"> </v>
      </c>
      <c r="AJ41" s="929"/>
      <c r="AK41" s="929"/>
    </row>
    <row r="42" spans="1:37" s="376" customFormat="1" ht="90" outlineLevel="2" x14ac:dyDescent="0.3">
      <c r="A42" s="447">
        <f t="shared" si="8"/>
        <v>3</v>
      </c>
      <c r="B42" s="893"/>
      <c r="C42" s="922"/>
      <c r="D42" s="947"/>
      <c r="E42" s="948"/>
      <c r="F42" s="896"/>
      <c r="G42" s="894"/>
      <c r="H42" s="924"/>
      <c r="I42" s="882"/>
      <c r="J42" s="929"/>
      <c r="K42" s="899" t="str">
        <f>IF(G42&lt;&gt;0,VLOOKUP(G42,'gia dat'!$A$1:$F$144,5,0)," ")</f>
        <v xml:space="preserve"> </v>
      </c>
      <c r="L42" s="899" t="str">
        <f>IF(G42&lt;&gt;0,VLOOKUP(G42,'gia dat'!$A$1:$F$144,6,0)," ")</f>
        <v xml:space="preserve"> </v>
      </c>
      <c r="M42" s="900" t="str">
        <f t="shared" si="1"/>
        <v xml:space="preserve"> </v>
      </c>
      <c r="N42" s="900" t="str">
        <f t="shared" si="2"/>
        <v xml:space="preserve"> </v>
      </c>
      <c r="O42" s="922" t="s">
        <v>72</v>
      </c>
      <c r="P42" s="926">
        <v>63</v>
      </c>
      <c r="Q42" s="900">
        <f>IF(O42&lt;&gt;0,VLOOKUP(O42,'Cây trong'!$A$2:$C$246,3,0)," ")</f>
        <v>132000</v>
      </c>
      <c r="R42" s="900">
        <f t="shared" si="3"/>
        <v>8316000</v>
      </c>
      <c r="S42" s="922" t="s">
        <v>2259</v>
      </c>
      <c r="T42" s="944" t="s">
        <v>53</v>
      </c>
      <c r="U42" s="927">
        <v>4</v>
      </c>
      <c r="V42" s="946"/>
      <c r="W42" s="900">
        <f>IF(S42&lt;&gt;0,VLOOKUP(S42,VKT!$A$2:$G$415,7,0),"")</f>
        <v>3141561</v>
      </c>
      <c r="X42" s="900">
        <f t="shared" si="4"/>
        <v>12566000</v>
      </c>
      <c r="Y42" s="925"/>
      <c r="Z42" s="928" t="s">
        <v>63</v>
      </c>
      <c r="AA42" s="928" t="s">
        <v>56</v>
      </c>
      <c r="AB42" s="904" t="s">
        <v>57</v>
      </c>
      <c r="AC42" s="928" t="s">
        <v>63</v>
      </c>
      <c r="AD42" s="928"/>
      <c r="AE42" s="928"/>
      <c r="AF42" s="926"/>
      <c r="AG42" s="906" t="str">
        <f>IF(AE42&lt;&gt;0,VLOOKUP(AE42,ODDS!$A$2:$C$13,3,0),"")</f>
        <v/>
      </c>
      <c r="AH42" s="906" t="str">
        <f t="shared" si="5"/>
        <v xml:space="preserve"> </v>
      </c>
      <c r="AI42" s="907" t="str">
        <f t="shared" si="0"/>
        <v xml:space="preserve"> </v>
      </c>
      <c r="AJ42" s="929"/>
      <c r="AK42" s="929"/>
    </row>
    <row r="43" spans="1:37" s="376" customFormat="1" ht="45" outlineLevel="2" x14ac:dyDescent="0.3">
      <c r="A43" s="447">
        <f t="shared" si="8"/>
        <v>3</v>
      </c>
      <c r="B43" s="893"/>
      <c r="C43" s="910"/>
      <c r="D43" s="923"/>
      <c r="E43" s="923"/>
      <c r="F43" s="896"/>
      <c r="G43" s="894"/>
      <c r="H43" s="924"/>
      <c r="I43" s="882"/>
      <c r="J43" s="929"/>
      <c r="K43" s="899" t="str">
        <f>IF(G43&lt;&gt;0,VLOOKUP(G43,'gia dat'!$A$1:$F$144,5,0)," ")</f>
        <v xml:space="preserve"> </v>
      </c>
      <c r="L43" s="899" t="str">
        <f>IF(G43&lt;&gt;0,VLOOKUP(G43,'gia dat'!$A$1:$F$144,6,0)," ")</f>
        <v xml:space="preserve"> </v>
      </c>
      <c r="M43" s="900" t="str">
        <f t="shared" si="1"/>
        <v xml:space="preserve"> </v>
      </c>
      <c r="N43" s="900" t="str">
        <f t="shared" si="2"/>
        <v xml:space="preserve"> </v>
      </c>
      <c r="O43" s="922" t="s">
        <v>73</v>
      </c>
      <c r="P43" s="926">
        <v>44</v>
      </c>
      <c r="Q43" s="900">
        <f>IF(O43&lt;&gt;0,VLOOKUP(O43,'Cây trong'!$A$2:$C$246,3,0)," ")</f>
        <v>76000</v>
      </c>
      <c r="R43" s="900">
        <f t="shared" si="3"/>
        <v>3344000</v>
      </c>
      <c r="S43" s="922" t="s">
        <v>1799</v>
      </c>
      <c r="T43" s="944" t="s">
        <v>53</v>
      </c>
      <c r="U43" s="927">
        <v>47.940000000000005</v>
      </c>
      <c r="V43" s="946"/>
      <c r="W43" s="900">
        <f>IF(S43&lt;&gt;0,VLOOKUP(S43,VKT!$A$2:$G$415,7,0),"")</f>
        <v>275180</v>
      </c>
      <c r="X43" s="900">
        <f t="shared" si="4"/>
        <v>13192000</v>
      </c>
      <c r="Y43" s="925"/>
      <c r="Z43" s="928"/>
      <c r="AA43" s="928"/>
      <c r="AB43" s="904"/>
      <c r="AC43" s="928"/>
      <c r="AD43" s="928"/>
      <c r="AE43" s="928"/>
      <c r="AF43" s="926"/>
      <c r="AG43" s="906" t="str">
        <f>IF(AE43&lt;&gt;0,VLOOKUP(AE43,ODDS!$A$2:$C$13,3,0),"")</f>
        <v/>
      </c>
      <c r="AH43" s="906" t="str">
        <f t="shared" si="5"/>
        <v xml:space="preserve"> </v>
      </c>
      <c r="AI43" s="907" t="str">
        <f t="shared" si="0"/>
        <v xml:space="preserve"> </v>
      </c>
      <c r="AJ43" s="929"/>
      <c r="AK43" s="929"/>
    </row>
    <row r="44" spans="1:37" s="376" customFormat="1" ht="67.5" outlineLevel="2" x14ac:dyDescent="0.3">
      <c r="A44" s="447">
        <f t="shared" si="8"/>
        <v>3</v>
      </c>
      <c r="B44" s="893"/>
      <c r="C44" s="910"/>
      <c r="D44" s="923"/>
      <c r="E44" s="923"/>
      <c r="F44" s="896"/>
      <c r="G44" s="894"/>
      <c r="H44" s="924"/>
      <c r="I44" s="882"/>
      <c r="J44" s="929"/>
      <c r="K44" s="899" t="str">
        <f>IF(G44&lt;&gt;0,VLOOKUP(G44,'gia dat'!$A$1:$F$144,5,0)," ")</f>
        <v xml:space="preserve"> </v>
      </c>
      <c r="L44" s="899" t="str">
        <f>IF(G44&lt;&gt;0,VLOOKUP(G44,'gia dat'!$A$1:$F$144,6,0)," ")</f>
        <v xml:space="preserve"> </v>
      </c>
      <c r="M44" s="900" t="str">
        <f t="shared" si="1"/>
        <v xml:space="preserve"> </v>
      </c>
      <c r="N44" s="900" t="str">
        <f t="shared" si="2"/>
        <v xml:space="preserve"> </v>
      </c>
      <c r="O44" s="922" t="s">
        <v>75</v>
      </c>
      <c r="P44" s="926">
        <v>43</v>
      </c>
      <c r="Q44" s="900">
        <f>IF(O44&lt;&gt;0,VLOOKUP(O44,'Cây trong'!$A$2:$C$246,3,0)," ")</f>
        <v>34000</v>
      </c>
      <c r="R44" s="900">
        <f t="shared" si="3"/>
        <v>1462000</v>
      </c>
      <c r="S44" s="922" t="s">
        <v>2260</v>
      </c>
      <c r="T44" s="944" t="s">
        <v>53</v>
      </c>
      <c r="U44" s="927">
        <v>15.84</v>
      </c>
      <c r="V44" s="946"/>
      <c r="W44" s="900">
        <f>IF(S44&lt;&gt;0,VLOOKUP(S44,VKT!$A$2:$G$415,7,0),"")</f>
        <v>4092245</v>
      </c>
      <c r="X44" s="900">
        <f t="shared" si="4"/>
        <v>64821000</v>
      </c>
      <c r="Y44" s="925"/>
      <c r="Z44" s="928"/>
      <c r="AA44" s="944"/>
      <c r="AB44" s="944"/>
      <c r="AC44" s="949"/>
      <c r="AD44" s="928"/>
      <c r="AE44" s="928"/>
      <c r="AF44" s="926"/>
      <c r="AG44" s="906" t="str">
        <f>IF(AE44&lt;&gt;0,VLOOKUP(AE44,ODDS!$A$2:$C$13,3,0),"")</f>
        <v/>
      </c>
      <c r="AH44" s="906" t="str">
        <f t="shared" si="5"/>
        <v xml:space="preserve"> </v>
      </c>
      <c r="AI44" s="907" t="str">
        <f t="shared" si="0"/>
        <v xml:space="preserve"> </v>
      </c>
      <c r="AJ44" s="929"/>
      <c r="AK44" s="929"/>
    </row>
    <row r="45" spans="1:37" s="376" customFormat="1" ht="90" outlineLevel="2" x14ac:dyDescent="0.3">
      <c r="A45" s="447">
        <f t="shared" si="8"/>
        <v>3</v>
      </c>
      <c r="B45" s="893"/>
      <c r="C45" s="910"/>
      <c r="D45" s="923"/>
      <c r="E45" s="923"/>
      <c r="F45" s="896"/>
      <c r="G45" s="894"/>
      <c r="H45" s="924"/>
      <c r="I45" s="882"/>
      <c r="J45" s="929"/>
      <c r="K45" s="899" t="str">
        <f>IF(G45&lt;&gt;0,VLOOKUP(G45,'gia dat'!$A$1:$F$144,5,0)," ")</f>
        <v xml:space="preserve"> </v>
      </c>
      <c r="L45" s="899" t="str">
        <f>IF(G45&lt;&gt;0,VLOOKUP(G45,'gia dat'!$A$1:$F$144,6,0)," ")</f>
        <v xml:space="preserve"> </v>
      </c>
      <c r="M45" s="900" t="str">
        <f t="shared" si="1"/>
        <v xml:space="preserve"> </v>
      </c>
      <c r="N45" s="900" t="str">
        <f t="shared" si="2"/>
        <v xml:space="preserve"> </v>
      </c>
      <c r="O45" s="922" t="s">
        <v>429</v>
      </c>
      <c r="P45" s="926">
        <v>22</v>
      </c>
      <c r="Q45" s="900">
        <f>IF(O45&lt;&gt;0,VLOOKUP(O45,'Cây trong'!$A$2:$C$246,3,0)," ")</f>
        <v>12000</v>
      </c>
      <c r="R45" s="900">
        <f t="shared" si="3"/>
        <v>264000</v>
      </c>
      <c r="S45" s="922" t="s">
        <v>1799</v>
      </c>
      <c r="T45" s="944" t="s">
        <v>53</v>
      </c>
      <c r="U45" s="927">
        <v>14.3</v>
      </c>
      <c r="V45" s="946"/>
      <c r="W45" s="900">
        <f>IF(S45&lt;&gt;0,VLOOKUP(S45,VKT!$A$2:$G$415,7,0),"")</f>
        <v>275180</v>
      </c>
      <c r="X45" s="900">
        <f t="shared" si="4"/>
        <v>3935000</v>
      </c>
      <c r="Y45" s="925"/>
      <c r="Z45" s="928"/>
      <c r="AA45" s="944"/>
      <c r="AB45" s="944"/>
      <c r="AC45" s="949"/>
      <c r="AD45" s="928"/>
      <c r="AE45" s="928"/>
      <c r="AF45" s="926"/>
      <c r="AG45" s="906" t="str">
        <f>IF(AE45&lt;&gt;0,VLOOKUP(AE45,ODDS!$A$2:$C$13,3,0),"")</f>
        <v/>
      </c>
      <c r="AH45" s="906" t="str">
        <f t="shared" si="5"/>
        <v xml:space="preserve"> </v>
      </c>
      <c r="AI45" s="907" t="str">
        <f t="shared" si="0"/>
        <v xml:space="preserve"> </v>
      </c>
      <c r="AJ45" s="929"/>
      <c r="AK45" s="929"/>
    </row>
    <row r="46" spans="1:37" s="376" customFormat="1" ht="22.5" outlineLevel="2" x14ac:dyDescent="0.3">
      <c r="A46" s="447">
        <f t="shared" si="8"/>
        <v>3</v>
      </c>
      <c r="B46" s="893"/>
      <c r="C46" s="910"/>
      <c r="D46" s="923"/>
      <c r="E46" s="923"/>
      <c r="F46" s="950"/>
      <c r="G46" s="894"/>
      <c r="H46" s="940"/>
      <c r="I46" s="882"/>
      <c r="J46" s="929"/>
      <c r="K46" s="899" t="str">
        <f>IF(G46&lt;&gt;0,VLOOKUP(G46,'gia dat'!$A$1:$F$144,5,0)," ")</f>
        <v xml:space="preserve"> </v>
      </c>
      <c r="L46" s="899" t="str">
        <f>IF(G46&lt;&gt;0,VLOOKUP(G46,'gia dat'!$A$1:$F$144,6,0)," ")</f>
        <v xml:space="preserve"> </v>
      </c>
      <c r="M46" s="900" t="str">
        <f t="shared" si="1"/>
        <v xml:space="preserve"> </v>
      </c>
      <c r="N46" s="900" t="str">
        <f t="shared" si="2"/>
        <v xml:space="preserve"> </v>
      </c>
      <c r="O46" s="929"/>
      <c r="P46" s="951"/>
      <c r="Q46" s="900" t="str">
        <f>IF(O46&lt;&gt;0,VLOOKUP(O46,'Cây trong'!$A$2:$C$246,3,0)," ")</f>
        <v xml:space="preserve"> </v>
      </c>
      <c r="R46" s="900" t="str">
        <f t="shared" si="3"/>
        <v xml:space="preserve"> </v>
      </c>
      <c r="S46" s="929"/>
      <c r="T46" s="929"/>
      <c r="U46" s="952"/>
      <c r="V46" s="925"/>
      <c r="W46" s="900" t="str">
        <f>IF(S46&lt;&gt;0,VLOOKUP(S46,VKT!$A$2:$G$415,7,0),"")</f>
        <v/>
      </c>
      <c r="X46" s="900" t="str">
        <f t="shared" si="4"/>
        <v xml:space="preserve"> </v>
      </c>
      <c r="Y46" s="925"/>
      <c r="Z46" s="925"/>
      <c r="AA46" s="925"/>
      <c r="AB46" s="898"/>
      <c r="AC46" s="925"/>
      <c r="AD46" s="928"/>
      <c r="AE46" s="928"/>
      <c r="AF46" s="926"/>
      <c r="AG46" s="906" t="str">
        <f>IF(AE46&lt;&gt;0,VLOOKUP(AE46,ODDS!$A$2:$C$13,3,0),"")</f>
        <v/>
      </c>
      <c r="AH46" s="906" t="str">
        <f t="shared" si="5"/>
        <v xml:space="preserve"> </v>
      </c>
      <c r="AI46" s="907" t="str">
        <f t="shared" si="0"/>
        <v xml:space="preserve"> </v>
      </c>
      <c r="AJ46" s="929"/>
      <c r="AK46" s="929"/>
    </row>
    <row r="47" spans="1:37" s="376" customFormat="1" ht="22.5" outlineLevel="2" x14ac:dyDescent="0.3">
      <c r="A47" s="447">
        <f t="shared" si="8"/>
        <v>3</v>
      </c>
      <c r="B47" s="893"/>
      <c r="C47" s="910"/>
      <c r="D47" s="923"/>
      <c r="E47" s="923"/>
      <c r="F47" s="950"/>
      <c r="G47" s="894"/>
      <c r="H47" s="940"/>
      <c r="I47" s="882"/>
      <c r="J47" s="929"/>
      <c r="K47" s="899" t="str">
        <f>IF(G47&lt;&gt;0,VLOOKUP(G47,'gia dat'!$A$1:$F$144,5,0)," ")</f>
        <v xml:space="preserve"> </v>
      </c>
      <c r="L47" s="899" t="str">
        <f>IF(G47&lt;&gt;0,VLOOKUP(G47,'gia dat'!$A$1:$F$144,6,0)," ")</f>
        <v xml:space="preserve"> </v>
      </c>
      <c r="M47" s="900" t="str">
        <f t="shared" si="1"/>
        <v xml:space="preserve"> </v>
      </c>
      <c r="N47" s="900" t="str">
        <f t="shared" si="2"/>
        <v xml:space="preserve"> </v>
      </c>
      <c r="O47" s="929"/>
      <c r="P47" s="951"/>
      <c r="Q47" s="900"/>
      <c r="R47" s="900"/>
      <c r="S47" s="929"/>
      <c r="T47" s="929"/>
      <c r="U47" s="952"/>
      <c r="V47" s="925"/>
      <c r="W47" s="900" t="str">
        <f>IF(S47&lt;&gt;0,VLOOKUP(S47,VKT!$A$2:$G$415,7,0),"")</f>
        <v/>
      </c>
      <c r="X47" s="900" t="str">
        <f t="shared" si="4"/>
        <v xml:space="preserve"> </v>
      </c>
      <c r="Y47" s="925"/>
      <c r="Z47" s="925"/>
      <c r="AA47" s="925"/>
      <c r="AB47" s="898"/>
      <c r="AC47" s="925"/>
      <c r="AD47" s="928"/>
      <c r="AE47" s="928"/>
      <c r="AF47" s="926"/>
      <c r="AG47" s="906" t="str">
        <f>IF(AE47&lt;&gt;0,VLOOKUP(AE47,ODDS!$A$2:$C$13,3,0),"")</f>
        <v/>
      </c>
      <c r="AH47" s="906"/>
      <c r="AI47" s="907" t="str">
        <f t="shared" si="0"/>
        <v xml:space="preserve"> </v>
      </c>
      <c r="AJ47" s="929"/>
      <c r="AK47" s="929"/>
    </row>
    <row r="48" spans="1:37" s="376" customFormat="1" ht="22.5" outlineLevel="2" x14ac:dyDescent="0.3">
      <c r="A48" s="447">
        <f t="shared" si="8"/>
        <v>3</v>
      </c>
      <c r="B48" s="893"/>
      <c r="C48" s="910"/>
      <c r="D48" s="923"/>
      <c r="E48" s="923"/>
      <c r="F48" s="950"/>
      <c r="G48" s="894"/>
      <c r="H48" s="940"/>
      <c r="I48" s="882"/>
      <c r="J48" s="929"/>
      <c r="K48" s="899" t="str">
        <f>IF(G48&lt;&gt;0,VLOOKUP(G48,'gia dat'!$A$1:$F$144,5,0)," ")</f>
        <v xml:space="preserve"> </v>
      </c>
      <c r="L48" s="899" t="str">
        <f>IF(G48&lt;&gt;0,VLOOKUP(G48,'gia dat'!$A$1:$F$144,6,0)," ")</f>
        <v xml:space="preserve"> </v>
      </c>
      <c r="M48" s="900" t="str">
        <f t="shared" si="1"/>
        <v xml:space="preserve"> </v>
      </c>
      <c r="N48" s="900" t="str">
        <f t="shared" si="2"/>
        <v xml:space="preserve"> </v>
      </c>
      <c r="O48" s="929"/>
      <c r="P48" s="951"/>
      <c r="Q48" s="900"/>
      <c r="R48" s="900"/>
      <c r="S48" s="929"/>
      <c r="T48" s="929"/>
      <c r="U48" s="952"/>
      <c r="V48" s="925"/>
      <c r="W48" s="900" t="str">
        <f>IF(S48&lt;&gt;0,VLOOKUP(S48,VKT!$A$2:$G$415,7,0),"")</f>
        <v/>
      </c>
      <c r="X48" s="900" t="str">
        <f t="shared" si="4"/>
        <v xml:space="preserve"> </v>
      </c>
      <c r="Y48" s="925"/>
      <c r="Z48" s="925"/>
      <c r="AA48" s="925"/>
      <c r="AB48" s="898"/>
      <c r="AC48" s="925"/>
      <c r="AD48" s="928"/>
      <c r="AE48" s="928"/>
      <c r="AF48" s="926"/>
      <c r="AG48" s="906" t="str">
        <f>IF(AE48&lt;&gt;0,VLOOKUP(AE48,ODDS!$A$2:$C$13,3,0),"")</f>
        <v/>
      </c>
      <c r="AH48" s="906"/>
      <c r="AI48" s="907" t="str">
        <f t="shared" si="0"/>
        <v xml:space="preserve"> </v>
      </c>
      <c r="AJ48" s="929"/>
      <c r="AK48" s="929"/>
    </row>
    <row r="49" spans="1:37" s="376" customFormat="1" ht="65.25" outlineLevel="1" x14ac:dyDescent="0.25">
      <c r="A49" s="467" t="s">
        <v>2706</v>
      </c>
      <c r="B49" s="912">
        <v>4</v>
      </c>
      <c r="C49" s="910" t="s">
        <v>59</v>
      </c>
      <c r="D49" s="931"/>
      <c r="E49" s="931"/>
      <c r="F49" s="913"/>
      <c r="G49" s="914"/>
      <c r="H49" s="953">
        <f>SUBTOTAL(9,H50:H57)</f>
        <v>35.700000000000003</v>
      </c>
      <c r="I49" s="915">
        <f>SUBTOTAL(9,I50:I55)</f>
        <v>0</v>
      </c>
      <c r="J49" s="943"/>
      <c r="K49" s="917"/>
      <c r="L49" s="917"/>
      <c r="M49" s="907">
        <f>SUBTOTAL(9,M50:M57)</f>
        <v>48927000</v>
      </c>
      <c r="N49" s="907">
        <f>SUBTOTAL(9,N50:N57)</f>
        <v>0</v>
      </c>
      <c r="O49" s="943"/>
      <c r="P49" s="954">
        <f>SUBTOTAL(9,P50:P57)</f>
        <v>0</v>
      </c>
      <c r="Q49" s="907"/>
      <c r="R49" s="907">
        <f>SUBTOTAL(9,R50:R57)</f>
        <v>0</v>
      </c>
      <c r="S49" s="943"/>
      <c r="T49" s="943"/>
      <c r="U49" s="955">
        <f>SUBTOTAL(9,U50:U57)</f>
        <v>0</v>
      </c>
      <c r="V49" s="933"/>
      <c r="W49" s="907"/>
      <c r="X49" s="907">
        <f>SUBTOTAL(9,X50:X57)</f>
        <v>0</v>
      </c>
      <c r="Y49" s="925"/>
      <c r="Z49" s="925"/>
      <c r="AA49" s="925"/>
      <c r="AB49" s="898"/>
      <c r="AC49" s="925"/>
      <c r="AD49" s="928"/>
      <c r="AE49" s="937"/>
      <c r="AF49" s="935">
        <f>SUBTOTAL(9,AF50:AF57)</f>
        <v>0</v>
      </c>
      <c r="AG49" s="921"/>
      <c r="AH49" s="921">
        <f>SUBTOTAL(9,AH50:AH57)</f>
        <v>0</v>
      </c>
      <c r="AI49" s="907">
        <f t="shared" si="0"/>
        <v>48927000</v>
      </c>
      <c r="AJ49" s="910"/>
      <c r="AK49" s="914"/>
    </row>
    <row r="50" spans="1:37" s="376" customFormat="1" ht="225" outlineLevel="2" x14ac:dyDescent="0.3">
      <c r="A50" s="447">
        <f>IF(B49&lt;&gt;0,B49,A48)</f>
        <v>4</v>
      </c>
      <c r="B50" s="893"/>
      <c r="C50" s="894" t="s">
        <v>60</v>
      </c>
      <c r="D50" s="923"/>
      <c r="E50" s="923">
        <v>85</v>
      </c>
      <c r="F50" s="896">
        <v>37</v>
      </c>
      <c r="G50" s="922" t="s">
        <v>2032</v>
      </c>
      <c r="H50" s="924">
        <v>2.6</v>
      </c>
      <c r="I50" s="882" t="str">
        <f t="shared" ref="I50:I51" si="9">IF(N50&gt;0,H50,"")</f>
        <v/>
      </c>
      <c r="J50" s="943"/>
      <c r="K50" s="899">
        <f>IF(G50&lt;&gt;0,VLOOKUP(G50,'gia dat'!$A$1:$F$144,5,0)," ")</f>
        <v>11760000</v>
      </c>
      <c r="L50" s="899">
        <f>IF(G50&lt;&gt;0,VLOOKUP(G50,'gia dat'!$A$1:$F$144,6,0)," ")</f>
        <v>0</v>
      </c>
      <c r="M50" s="900">
        <f t="shared" si="1"/>
        <v>30576000</v>
      </c>
      <c r="N50" s="900">
        <f t="shared" si="2"/>
        <v>0</v>
      </c>
      <c r="O50" s="929"/>
      <c r="P50" s="951"/>
      <c r="Q50" s="900"/>
      <c r="R50" s="900"/>
      <c r="S50" s="929"/>
      <c r="T50" s="929"/>
      <c r="U50" s="952"/>
      <c r="V50" s="925"/>
      <c r="W50" s="900" t="str">
        <f>IF(S50&lt;&gt;0,VLOOKUP(S50,VKT!$A$2:$G$415,7,0),"")</f>
        <v/>
      </c>
      <c r="X50" s="900" t="str">
        <f t="shared" si="4"/>
        <v xml:space="preserve"> </v>
      </c>
      <c r="Y50" s="925"/>
      <c r="Z50" s="925"/>
      <c r="AA50" s="925"/>
      <c r="AB50" s="898"/>
      <c r="AC50" s="925"/>
      <c r="AD50" s="928"/>
      <c r="AE50" s="928"/>
      <c r="AF50" s="926"/>
      <c r="AG50" s="906" t="str">
        <f>IF(AE50&lt;&gt;0,VLOOKUP(AE50,ODDS!$A$2:$C$13,3,0),"")</f>
        <v/>
      </c>
      <c r="AH50" s="906"/>
      <c r="AI50" s="907" t="str">
        <f t="shared" si="0"/>
        <v xml:space="preserve"> </v>
      </c>
      <c r="AJ50" s="894" t="s">
        <v>2185</v>
      </c>
      <c r="AK50" s="922" t="s">
        <v>2771</v>
      </c>
    </row>
    <row r="51" spans="1:37" s="376" customFormat="1" ht="157.5" outlineLevel="2" x14ac:dyDescent="0.3">
      <c r="A51" s="447">
        <f t="shared" ref="A51:A57" si="10">IF(B50&lt;&gt;0,B50,A50)</f>
        <v>4</v>
      </c>
      <c r="B51" s="893"/>
      <c r="C51" s="908" t="s">
        <v>627</v>
      </c>
      <c r="D51" s="923"/>
      <c r="E51" s="923">
        <v>85</v>
      </c>
      <c r="F51" s="896">
        <v>37</v>
      </c>
      <c r="G51" s="922" t="s">
        <v>2183</v>
      </c>
      <c r="H51" s="924">
        <v>33.1</v>
      </c>
      <c r="I51" s="882" t="str">
        <f t="shared" si="9"/>
        <v/>
      </c>
      <c r="J51" s="929"/>
      <c r="K51" s="899">
        <f>IF(G51&lt;&gt;0,VLOOKUP(G51,'gia dat'!$A$1:$F$144,5,0)," ")</f>
        <v>554400</v>
      </c>
      <c r="L51" s="899">
        <f>IF(G51&lt;&gt;0,VLOOKUP(G51,'gia dat'!$A$1:$F$144,6,0)," ")</f>
        <v>0</v>
      </c>
      <c r="M51" s="900">
        <f t="shared" si="1"/>
        <v>18351000</v>
      </c>
      <c r="N51" s="900">
        <f t="shared" si="2"/>
        <v>0</v>
      </c>
      <c r="O51" s="929"/>
      <c r="P51" s="951"/>
      <c r="Q51" s="900"/>
      <c r="R51" s="900"/>
      <c r="S51" s="929"/>
      <c r="T51" s="929"/>
      <c r="U51" s="952"/>
      <c r="V51" s="925"/>
      <c r="W51" s="900" t="str">
        <f>IF(S51&lt;&gt;0,VLOOKUP(S51,VKT!$A$2:$G$415,7,0),"")</f>
        <v/>
      </c>
      <c r="X51" s="900" t="str">
        <f t="shared" si="4"/>
        <v xml:space="preserve"> </v>
      </c>
      <c r="Y51" s="925"/>
      <c r="Z51" s="925"/>
      <c r="AA51" s="925"/>
      <c r="AB51" s="898"/>
      <c r="AC51" s="925"/>
      <c r="AD51" s="928"/>
      <c r="AE51" s="928"/>
      <c r="AF51" s="926"/>
      <c r="AG51" s="906" t="str">
        <f>IF(AE51&lt;&gt;0,VLOOKUP(AE51,ODDS!$A$2:$C$13,3,0),"")</f>
        <v/>
      </c>
      <c r="AH51" s="906"/>
      <c r="AI51" s="907" t="str">
        <f t="shared" si="0"/>
        <v xml:space="preserve"> </v>
      </c>
      <c r="AJ51" s="929"/>
      <c r="AK51" s="894"/>
    </row>
    <row r="52" spans="1:37" s="376" customFormat="1" ht="45" outlineLevel="2" x14ac:dyDescent="0.3">
      <c r="A52" s="447">
        <f t="shared" si="10"/>
        <v>4</v>
      </c>
      <c r="B52" s="893"/>
      <c r="C52" s="894" t="s">
        <v>306</v>
      </c>
      <c r="D52" s="923"/>
      <c r="E52" s="923"/>
      <c r="F52" s="950"/>
      <c r="G52" s="894"/>
      <c r="H52" s="940"/>
      <c r="I52" s="882"/>
      <c r="J52" s="929"/>
      <c r="K52" s="899" t="str">
        <f>IF(G52&lt;&gt;0,VLOOKUP(G52,'gia dat'!$A$1:$F$144,5,0)," ")</f>
        <v xml:space="preserve"> </v>
      </c>
      <c r="L52" s="899" t="str">
        <f>IF(G52&lt;&gt;0,VLOOKUP(G52,'gia dat'!$A$1:$F$144,6,0)," ")</f>
        <v xml:space="preserve"> </v>
      </c>
      <c r="M52" s="900" t="str">
        <f t="shared" si="1"/>
        <v xml:space="preserve"> </v>
      </c>
      <c r="N52" s="900" t="str">
        <f t="shared" si="2"/>
        <v xml:space="preserve"> </v>
      </c>
      <c r="O52" s="929"/>
      <c r="P52" s="951"/>
      <c r="Q52" s="900"/>
      <c r="R52" s="900"/>
      <c r="S52" s="929"/>
      <c r="T52" s="929"/>
      <c r="U52" s="952"/>
      <c r="V52" s="925"/>
      <c r="W52" s="900" t="str">
        <f>IF(S52&lt;&gt;0,VLOOKUP(S52,VKT!$A$2:$G$415,7,0),"")</f>
        <v/>
      </c>
      <c r="X52" s="900" t="str">
        <f t="shared" si="4"/>
        <v xml:space="preserve"> </v>
      </c>
      <c r="Y52" s="925"/>
      <c r="Z52" s="925"/>
      <c r="AA52" s="925"/>
      <c r="AB52" s="898"/>
      <c r="AC52" s="925"/>
      <c r="AD52" s="928"/>
      <c r="AE52" s="928"/>
      <c r="AF52" s="926"/>
      <c r="AG52" s="906" t="str">
        <f>IF(AE52&lt;&gt;0,VLOOKUP(AE52,ODDS!$A$2:$C$13,3,0),"")</f>
        <v/>
      </c>
      <c r="AH52" s="906"/>
      <c r="AI52" s="907" t="str">
        <f t="shared" si="0"/>
        <v xml:space="preserve"> </v>
      </c>
      <c r="AJ52" s="929"/>
      <c r="AK52" s="894"/>
    </row>
    <row r="53" spans="1:37" s="376" customFormat="1" ht="22.5" outlineLevel="2" x14ac:dyDescent="0.3">
      <c r="A53" s="447">
        <f t="shared" si="10"/>
        <v>4</v>
      </c>
      <c r="B53" s="893"/>
      <c r="C53" s="910"/>
      <c r="D53" s="923"/>
      <c r="E53" s="923"/>
      <c r="F53" s="950"/>
      <c r="G53" s="894"/>
      <c r="H53" s="940"/>
      <c r="I53" s="882"/>
      <c r="J53" s="929"/>
      <c r="K53" s="899" t="str">
        <f>IF(G53&lt;&gt;0,VLOOKUP(G53,'gia dat'!$A$1:$F$144,5,0)," ")</f>
        <v xml:space="preserve"> </v>
      </c>
      <c r="L53" s="899" t="str">
        <f>IF(G53&lt;&gt;0,VLOOKUP(G53,'gia dat'!$A$1:$F$144,6,0)," ")</f>
        <v xml:space="preserve"> </v>
      </c>
      <c r="M53" s="900" t="str">
        <f t="shared" si="1"/>
        <v xml:space="preserve"> </v>
      </c>
      <c r="N53" s="900" t="str">
        <f t="shared" si="2"/>
        <v xml:space="preserve"> </v>
      </c>
      <c r="O53" s="929"/>
      <c r="P53" s="951"/>
      <c r="Q53" s="900"/>
      <c r="R53" s="900"/>
      <c r="S53" s="929"/>
      <c r="T53" s="929"/>
      <c r="U53" s="952"/>
      <c r="V53" s="925"/>
      <c r="W53" s="900" t="str">
        <f>IF(S53&lt;&gt;0,VLOOKUP(S53,VKT!$A$2:$G$415,7,0),"")</f>
        <v/>
      </c>
      <c r="X53" s="900" t="str">
        <f t="shared" si="4"/>
        <v xml:space="preserve"> </v>
      </c>
      <c r="Y53" s="925"/>
      <c r="Z53" s="925"/>
      <c r="AA53" s="925"/>
      <c r="AB53" s="898"/>
      <c r="AC53" s="925"/>
      <c r="AD53" s="928"/>
      <c r="AE53" s="928"/>
      <c r="AF53" s="926"/>
      <c r="AG53" s="906" t="str">
        <f>IF(AE53&lt;&gt;0,VLOOKUP(AE53,ODDS!$A$2:$C$13,3,0),"")</f>
        <v/>
      </c>
      <c r="AH53" s="906"/>
      <c r="AI53" s="907" t="str">
        <f t="shared" si="0"/>
        <v xml:space="preserve"> </v>
      </c>
      <c r="AJ53" s="929"/>
      <c r="AK53" s="894"/>
    </row>
    <row r="54" spans="1:37" s="376" customFormat="1" ht="22.5" outlineLevel="2" x14ac:dyDescent="0.3">
      <c r="A54" s="447">
        <f t="shared" si="10"/>
        <v>4</v>
      </c>
      <c r="B54" s="893"/>
      <c r="C54" s="910"/>
      <c r="D54" s="923"/>
      <c r="E54" s="923"/>
      <c r="F54" s="896"/>
      <c r="G54" s="894"/>
      <c r="H54" s="924"/>
      <c r="I54" s="882"/>
      <c r="J54" s="929"/>
      <c r="K54" s="899" t="str">
        <f>IF(G54&lt;&gt;0,VLOOKUP(G54,'gia dat'!$A$1:$F$144,5,0)," ")</f>
        <v xml:space="preserve"> </v>
      </c>
      <c r="L54" s="899" t="str">
        <f>IF(G54&lt;&gt;0,VLOOKUP(G54,'gia dat'!$A$1:$F$144,6,0)," ")</f>
        <v xml:space="preserve"> </v>
      </c>
      <c r="M54" s="900" t="str">
        <f t="shared" si="1"/>
        <v xml:space="preserve"> </v>
      </c>
      <c r="N54" s="900" t="str">
        <f t="shared" si="2"/>
        <v xml:space="preserve"> </v>
      </c>
      <c r="O54" s="922"/>
      <c r="P54" s="926"/>
      <c r="Q54" s="900" t="str">
        <f>IF(O54&lt;&gt;0,VLOOKUP(O54,'Cây trong'!$A$2:$C$246,3,0)," ")</f>
        <v xml:space="preserve"> </v>
      </c>
      <c r="R54" s="900" t="str">
        <f t="shared" si="3"/>
        <v xml:space="preserve"> </v>
      </c>
      <c r="S54" s="922"/>
      <c r="T54" s="944"/>
      <c r="U54" s="927"/>
      <c r="V54" s="946"/>
      <c r="W54" s="900" t="str">
        <f>IF(S54&lt;&gt;0,VLOOKUP(S54,VKT!$A$2:$G$415,7,0),"")</f>
        <v/>
      </c>
      <c r="X54" s="900" t="str">
        <f t="shared" si="4"/>
        <v xml:space="preserve"> </v>
      </c>
      <c r="Y54" s="925"/>
      <c r="Z54" s="928"/>
      <c r="AA54" s="944"/>
      <c r="AB54" s="944"/>
      <c r="AC54" s="949"/>
      <c r="AD54" s="928"/>
      <c r="AE54" s="928"/>
      <c r="AF54" s="926"/>
      <c r="AG54" s="906" t="str">
        <f>IF(AE54&lt;&gt;0,VLOOKUP(AE54,ODDS!$A$2:$C$13,3,0),"")</f>
        <v/>
      </c>
      <c r="AH54" s="906" t="str">
        <f t="shared" si="5"/>
        <v xml:space="preserve"> </v>
      </c>
      <c r="AI54" s="907" t="str">
        <f t="shared" si="0"/>
        <v xml:space="preserve"> </v>
      </c>
      <c r="AJ54" s="929"/>
      <c r="AK54" s="929"/>
    </row>
    <row r="55" spans="1:37" s="376" customFormat="1" ht="22.5" outlineLevel="2" x14ac:dyDescent="0.3">
      <c r="A55" s="447">
        <f t="shared" si="10"/>
        <v>4</v>
      </c>
      <c r="B55" s="893"/>
      <c r="C55" s="910"/>
      <c r="D55" s="923"/>
      <c r="E55" s="923"/>
      <c r="F55" s="896"/>
      <c r="G55" s="894"/>
      <c r="H55" s="924"/>
      <c r="I55" s="882"/>
      <c r="J55" s="929"/>
      <c r="K55" s="899" t="str">
        <f>IF(G55&lt;&gt;0,VLOOKUP(G55,'gia dat'!$A$1:$F$144,5,0)," ")</f>
        <v xml:space="preserve"> </v>
      </c>
      <c r="L55" s="899" t="str">
        <f>IF(G55&lt;&gt;0,VLOOKUP(G55,'gia dat'!$A$1:$F$144,6,0)," ")</f>
        <v xml:space="preserve"> </v>
      </c>
      <c r="M55" s="900" t="str">
        <f t="shared" si="1"/>
        <v xml:space="preserve"> </v>
      </c>
      <c r="N55" s="900" t="str">
        <f t="shared" si="2"/>
        <v xml:space="preserve"> </v>
      </c>
      <c r="O55" s="922"/>
      <c r="P55" s="926"/>
      <c r="Q55" s="900" t="str">
        <f>IF(O55&lt;&gt;0,VLOOKUP(O55,'Cây trong'!$A$2:$C$246,3,0)," ")</f>
        <v xml:space="preserve"> </v>
      </c>
      <c r="R55" s="900" t="str">
        <f t="shared" si="3"/>
        <v xml:space="preserve"> </v>
      </c>
      <c r="S55" s="922"/>
      <c r="T55" s="944"/>
      <c r="U55" s="927"/>
      <c r="V55" s="946"/>
      <c r="W55" s="900" t="str">
        <f>IF(S55&lt;&gt;0,VLOOKUP(S55,VKT!$A$2:$G$415,7,0),"")</f>
        <v/>
      </c>
      <c r="X55" s="900" t="str">
        <f t="shared" si="4"/>
        <v xml:space="preserve"> </v>
      </c>
      <c r="Y55" s="925"/>
      <c r="Z55" s="928"/>
      <c r="AA55" s="928"/>
      <c r="AB55" s="904"/>
      <c r="AC55" s="928"/>
      <c r="AD55" s="928"/>
      <c r="AE55" s="928"/>
      <c r="AF55" s="926"/>
      <c r="AG55" s="906" t="str">
        <f>IF(AE55&lt;&gt;0,VLOOKUP(AE55,ODDS!$A$2:$C$13,3,0),"")</f>
        <v/>
      </c>
      <c r="AH55" s="906" t="str">
        <f t="shared" si="5"/>
        <v xml:space="preserve"> </v>
      </c>
      <c r="AI55" s="907" t="str">
        <f t="shared" si="0"/>
        <v xml:space="preserve"> </v>
      </c>
      <c r="AJ55" s="929"/>
      <c r="AK55" s="929"/>
    </row>
    <row r="56" spans="1:37" s="376" customFormat="1" ht="22.5" outlineLevel="2" x14ac:dyDescent="0.3">
      <c r="A56" s="447">
        <f t="shared" si="10"/>
        <v>4</v>
      </c>
      <c r="B56" s="893"/>
      <c r="C56" s="910"/>
      <c r="D56" s="923"/>
      <c r="E56" s="923"/>
      <c r="F56" s="896"/>
      <c r="G56" s="894"/>
      <c r="H56" s="924"/>
      <c r="I56" s="882"/>
      <c r="J56" s="929"/>
      <c r="K56" s="899" t="str">
        <f>IF(G56&lt;&gt;0,VLOOKUP(G56,'gia dat'!$A$1:$F$144,5,0)," ")</f>
        <v xml:space="preserve"> </v>
      </c>
      <c r="L56" s="899" t="str">
        <f>IF(G56&lt;&gt;0,VLOOKUP(G56,'gia dat'!$A$1:$F$144,6,0)," ")</f>
        <v xml:space="preserve"> </v>
      </c>
      <c r="M56" s="900" t="str">
        <f t="shared" si="1"/>
        <v xml:space="preserve"> </v>
      </c>
      <c r="N56" s="900" t="str">
        <f t="shared" si="2"/>
        <v xml:space="preserve"> </v>
      </c>
      <c r="O56" s="922"/>
      <c r="P56" s="926"/>
      <c r="Q56" s="900"/>
      <c r="R56" s="900"/>
      <c r="S56" s="922"/>
      <c r="T56" s="944"/>
      <c r="U56" s="927"/>
      <c r="V56" s="946"/>
      <c r="W56" s="900" t="str">
        <f>IF(S56&lt;&gt;0,VLOOKUP(S56,VKT!$A$2:$G$415,7,0),"")</f>
        <v/>
      </c>
      <c r="X56" s="900" t="str">
        <f t="shared" si="4"/>
        <v xml:space="preserve"> </v>
      </c>
      <c r="Y56" s="925"/>
      <c r="Z56" s="928"/>
      <c r="AA56" s="928"/>
      <c r="AB56" s="904"/>
      <c r="AC56" s="928"/>
      <c r="AD56" s="928"/>
      <c r="AE56" s="928"/>
      <c r="AF56" s="926"/>
      <c r="AG56" s="906" t="str">
        <f>IF(AE56&lt;&gt;0,VLOOKUP(AE56,ODDS!$A$2:$C$13,3,0),"")</f>
        <v/>
      </c>
      <c r="AH56" s="906"/>
      <c r="AI56" s="907" t="str">
        <f t="shared" si="0"/>
        <v xml:space="preserve"> </v>
      </c>
      <c r="AJ56" s="929"/>
      <c r="AK56" s="929"/>
    </row>
    <row r="57" spans="1:37" s="376" customFormat="1" ht="22.5" outlineLevel="2" x14ac:dyDescent="0.3">
      <c r="A57" s="447">
        <f t="shared" si="10"/>
        <v>4</v>
      </c>
      <c r="B57" s="893"/>
      <c r="C57" s="910"/>
      <c r="D57" s="923"/>
      <c r="E57" s="923"/>
      <c r="F57" s="896"/>
      <c r="G57" s="894"/>
      <c r="H57" s="924"/>
      <c r="I57" s="882"/>
      <c r="J57" s="929"/>
      <c r="K57" s="899" t="str">
        <f>IF(G57&lt;&gt;0,VLOOKUP(G57,'gia dat'!$A$1:$F$144,5,0)," ")</f>
        <v xml:space="preserve"> </v>
      </c>
      <c r="L57" s="899" t="str">
        <f>IF(G57&lt;&gt;0,VLOOKUP(G57,'gia dat'!$A$1:$F$144,6,0)," ")</f>
        <v xml:space="preserve"> </v>
      </c>
      <c r="M57" s="900" t="str">
        <f t="shared" si="1"/>
        <v xml:space="preserve"> </v>
      </c>
      <c r="N57" s="900" t="str">
        <f t="shared" si="2"/>
        <v xml:space="preserve"> </v>
      </c>
      <c r="O57" s="922"/>
      <c r="P57" s="926"/>
      <c r="Q57" s="900"/>
      <c r="R57" s="900"/>
      <c r="S57" s="922"/>
      <c r="T57" s="944"/>
      <c r="U57" s="927"/>
      <c r="V57" s="946"/>
      <c r="W57" s="900" t="str">
        <f>IF(S57&lt;&gt;0,VLOOKUP(S57,VKT!$A$2:$G$415,7,0),"")</f>
        <v/>
      </c>
      <c r="X57" s="900" t="str">
        <f t="shared" si="4"/>
        <v xml:space="preserve"> </v>
      </c>
      <c r="Y57" s="925"/>
      <c r="Z57" s="928"/>
      <c r="AA57" s="928"/>
      <c r="AB57" s="904"/>
      <c r="AC57" s="928"/>
      <c r="AD57" s="928"/>
      <c r="AE57" s="928"/>
      <c r="AF57" s="926"/>
      <c r="AG57" s="906" t="str">
        <f>IF(AE57&lt;&gt;0,VLOOKUP(AE57,ODDS!$A$2:$C$13,3,0),"")</f>
        <v/>
      </c>
      <c r="AH57" s="906"/>
      <c r="AI57" s="907" t="str">
        <f t="shared" si="0"/>
        <v xml:space="preserve"> </v>
      </c>
      <c r="AJ57" s="929"/>
      <c r="AK57" s="929"/>
    </row>
    <row r="58" spans="1:37" s="376" customFormat="1" ht="65.25" outlineLevel="1" x14ac:dyDescent="0.25">
      <c r="A58" s="467" t="s">
        <v>2705</v>
      </c>
      <c r="B58" s="912">
        <v>5</v>
      </c>
      <c r="C58" s="910" t="s">
        <v>59</v>
      </c>
      <c r="D58" s="931"/>
      <c r="E58" s="931"/>
      <c r="F58" s="913"/>
      <c r="G58" s="914"/>
      <c r="H58" s="953">
        <f>SUBTOTAL(9,H59:H66)</f>
        <v>35.6</v>
      </c>
      <c r="I58" s="915">
        <f>SUBTOTAL(9,I59:I64)</f>
        <v>0</v>
      </c>
      <c r="J58" s="933"/>
      <c r="K58" s="917"/>
      <c r="L58" s="917"/>
      <c r="M58" s="907">
        <f>SUBTOTAL(9,M59:M66)</f>
        <v>19737000</v>
      </c>
      <c r="N58" s="907">
        <f>SUBTOTAL(9,N59:N66)</f>
        <v>0</v>
      </c>
      <c r="O58" s="914"/>
      <c r="P58" s="935">
        <f>SUBTOTAL(9,P59:P66)</f>
        <v>0</v>
      </c>
      <c r="Q58" s="907"/>
      <c r="R58" s="907">
        <f>SUBTOTAL(9,R59:R66)</f>
        <v>0</v>
      </c>
      <c r="S58" s="914"/>
      <c r="T58" s="956"/>
      <c r="U58" s="936">
        <f>SUBTOTAL(9,U59:U66)</f>
        <v>0</v>
      </c>
      <c r="V58" s="957"/>
      <c r="W58" s="907"/>
      <c r="X58" s="907">
        <f>SUBTOTAL(9,X59:X66)</f>
        <v>0</v>
      </c>
      <c r="Y58" s="925"/>
      <c r="Z58" s="928"/>
      <c r="AA58" s="928"/>
      <c r="AB58" s="904"/>
      <c r="AC58" s="928"/>
      <c r="AD58" s="928"/>
      <c r="AE58" s="937"/>
      <c r="AF58" s="935">
        <f>SUBTOTAL(9,AF59:AF66)</f>
        <v>0</v>
      </c>
      <c r="AG58" s="921"/>
      <c r="AH58" s="921">
        <f>SUBTOTAL(9,AH59:AH66)</f>
        <v>0</v>
      </c>
      <c r="AI58" s="907">
        <f t="shared" si="0"/>
        <v>19737000</v>
      </c>
      <c r="AJ58" s="910"/>
      <c r="AK58" s="914"/>
    </row>
    <row r="59" spans="1:37" s="376" customFormat="1" ht="247.5" outlineLevel="2" x14ac:dyDescent="0.3">
      <c r="A59" s="447">
        <f>IF(B58&lt;&gt;0,B58,A57)</f>
        <v>5</v>
      </c>
      <c r="B59" s="893"/>
      <c r="C59" s="894" t="s">
        <v>60</v>
      </c>
      <c r="D59" s="923"/>
      <c r="E59" s="923">
        <v>85</v>
      </c>
      <c r="F59" s="896">
        <v>37</v>
      </c>
      <c r="G59" s="922" t="s">
        <v>2183</v>
      </c>
      <c r="H59" s="924">
        <v>35.6</v>
      </c>
      <c r="I59" s="882" t="str">
        <f t="shared" ref="I59" si="11">IF(N59&gt;0,H59,"")</f>
        <v/>
      </c>
      <c r="J59" s="925"/>
      <c r="K59" s="899">
        <f>IF(G59&lt;&gt;0,VLOOKUP(G59,'gia dat'!$A$1:$F$144,5,0)," ")</f>
        <v>554400</v>
      </c>
      <c r="L59" s="899">
        <f>IF(G59&lt;&gt;0,VLOOKUP(G59,'gia dat'!$A$1:$F$144,6,0)," ")</f>
        <v>0</v>
      </c>
      <c r="M59" s="900">
        <f t="shared" si="1"/>
        <v>19737000</v>
      </c>
      <c r="N59" s="900">
        <f t="shared" si="2"/>
        <v>0</v>
      </c>
      <c r="O59" s="922"/>
      <c r="P59" s="926"/>
      <c r="Q59" s="900"/>
      <c r="R59" s="900"/>
      <c r="S59" s="922"/>
      <c r="T59" s="944"/>
      <c r="U59" s="927"/>
      <c r="V59" s="946"/>
      <c r="W59" s="900" t="str">
        <f>IF(S59&lt;&gt;0,VLOOKUP(S59,VKT!$A$2:$G$415,7,0),"")</f>
        <v/>
      </c>
      <c r="X59" s="900" t="str">
        <f t="shared" si="4"/>
        <v xml:space="preserve"> </v>
      </c>
      <c r="Y59" s="925"/>
      <c r="Z59" s="928"/>
      <c r="AA59" s="928"/>
      <c r="AB59" s="904"/>
      <c r="AC59" s="928"/>
      <c r="AD59" s="928"/>
      <c r="AE59" s="928"/>
      <c r="AF59" s="926"/>
      <c r="AG59" s="906" t="str">
        <f>IF(AE59&lt;&gt;0,VLOOKUP(AE59,ODDS!$A$2:$C$13,3,0),"")</f>
        <v/>
      </c>
      <c r="AH59" s="906"/>
      <c r="AI59" s="907" t="str">
        <f t="shared" si="0"/>
        <v xml:space="preserve"> </v>
      </c>
      <c r="AJ59" s="894" t="s">
        <v>2186</v>
      </c>
      <c r="AK59" s="922" t="s">
        <v>2771</v>
      </c>
    </row>
    <row r="60" spans="1:37" s="376" customFormat="1" ht="112.5" outlineLevel="2" x14ac:dyDescent="0.3">
      <c r="A60" s="447">
        <f t="shared" ref="A60:A66" si="12">IF(B59&lt;&gt;0,B59,A59)</f>
        <v>5</v>
      </c>
      <c r="B60" s="893"/>
      <c r="C60" s="908" t="s">
        <v>627</v>
      </c>
      <c r="D60" s="923"/>
      <c r="E60" s="923"/>
      <c r="F60" s="896"/>
      <c r="G60" s="894"/>
      <c r="H60" s="924"/>
      <c r="I60" s="882"/>
      <c r="J60" s="929"/>
      <c r="K60" s="899" t="str">
        <f>IF(G60&lt;&gt;0,VLOOKUP(G60,'gia dat'!$A$1:$F$144,5,0)," ")</f>
        <v xml:space="preserve"> </v>
      </c>
      <c r="L60" s="899" t="str">
        <f>IF(G60&lt;&gt;0,VLOOKUP(G60,'gia dat'!$A$1:$F$144,6,0)," ")</f>
        <v xml:space="preserve"> </v>
      </c>
      <c r="M60" s="900" t="str">
        <f t="shared" si="1"/>
        <v xml:space="preserve"> </v>
      </c>
      <c r="N60" s="900" t="str">
        <f t="shared" si="2"/>
        <v xml:space="preserve"> </v>
      </c>
      <c r="O60" s="922"/>
      <c r="P60" s="926"/>
      <c r="Q60" s="900"/>
      <c r="R60" s="900"/>
      <c r="S60" s="922"/>
      <c r="T60" s="944"/>
      <c r="U60" s="927"/>
      <c r="V60" s="946"/>
      <c r="W60" s="900" t="str">
        <f>IF(S60&lt;&gt;0,VLOOKUP(S60,VKT!$A$2:$G$415,7,0),"")</f>
        <v/>
      </c>
      <c r="X60" s="900" t="str">
        <f t="shared" si="4"/>
        <v xml:space="preserve"> </v>
      </c>
      <c r="Y60" s="925"/>
      <c r="Z60" s="928"/>
      <c r="AA60" s="928"/>
      <c r="AB60" s="904"/>
      <c r="AC60" s="928"/>
      <c r="AD60" s="928"/>
      <c r="AE60" s="928"/>
      <c r="AF60" s="926"/>
      <c r="AG60" s="906" t="str">
        <f>IF(AE60&lt;&gt;0,VLOOKUP(AE60,ODDS!$A$2:$C$13,3,0),"")</f>
        <v/>
      </c>
      <c r="AH60" s="906"/>
      <c r="AI60" s="907" t="str">
        <f t="shared" si="0"/>
        <v xml:space="preserve"> </v>
      </c>
      <c r="AJ60" s="929"/>
      <c r="AK60" s="894"/>
    </row>
    <row r="61" spans="1:37" s="376" customFormat="1" ht="45" outlineLevel="2" x14ac:dyDescent="0.3">
      <c r="A61" s="447">
        <f t="shared" si="12"/>
        <v>5</v>
      </c>
      <c r="B61" s="893"/>
      <c r="C61" s="894" t="s">
        <v>306</v>
      </c>
      <c r="D61" s="923"/>
      <c r="E61" s="923"/>
      <c r="F61" s="896"/>
      <c r="G61" s="894"/>
      <c r="H61" s="924"/>
      <c r="I61" s="882"/>
      <c r="J61" s="929"/>
      <c r="K61" s="899" t="str">
        <f>IF(G61&lt;&gt;0,VLOOKUP(G61,'gia dat'!$A$1:$F$144,5,0)," ")</f>
        <v xml:space="preserve"> </v>
      </c>
      <c r="L61" s="899" t="str">
        <f>IF(G61&lt;&gt;0,VLOOKUP(G61,'gia dat'!$A$1:$F$144,6,0)," ")</f>
        <v xml:space="preserve"> </v>
      </c>
      <c r="M61" s="900" t="str">
        <f t="shared" si="1"/>
        <v xml:space="preserve"> </v>
      </c>
      <c r="N61" s="900" t="str">
        <f t="shared" si="2"/>
        <v xml:space="preserve"> </v>
      </c>
      <c r="O61" s="922"/>
      <c r="P61" s="926"/>
      <c r="Q61" s="900"/>
      <c r="R61" s="900"/>
      <c r="S61" s="922"/>
      <c r="T61" s="944"/>
      <c r="U61" s="927"/>
      <c r="V61" s="946"/>
      <c r="W61" s="900" t="str">
        <f>IF(S61&lt;&gt;0,VLOOKUP(S61,VKT!$A$2:$G$415,7,0),"")</f>
        <v/>
      </c>
      <c r="X61" s="900" t="str">
        <f t="shared" si="4"/>
        <v xml:space="preserve"> </v>
      </c>
      <c r="Y61" s="925"/>
      <c r="Z61" s="928"/>
      <c r="AA61" s="928"/>
      <c r="AB61" s="904"/>
      <c r="AC61" s="928"/>
      <c r="AD61" s="928"/>
      <c r="AE61" s="928"/>
      <c r="AF61" s="926"/>
      <c r="AG61" s="906" t="str">
        <f>IF(AE61&lt;&gt;0,VLOOKUP(AE61,ODDS!$A$2:$C$13,3,0),"")</f>
        <v/>
      </c>
      <c r="AH61" s="906"/>
      <c r="AI61" s="907" t="str">
        <f t="shared" si="0"/>
        <v xml:space="preserve"> </v>
      </c>
      <c r="AJ61" s="929"/>
      <c r="AK61" s="894"/>
    </row>
    <row r="62" spans="1:37" s="376" customFormat="1" ht="22.5" outlineLevel="2" x14ac:dyDescent="0.3">
      <c r="A62" s="447">
        <f t="shared" si="12"/>
        <v>5</v>
      </c>
      <c r="B62" s="893"/>
      <c r="C62" s="910"/>
      <c r="D62" s="923"/>
      <c r="E62" s="923"/>
      <c r="F62" s="896"/>
      <c r="G62" s="894"/>
      <c r="H62" s="924"/>
      <c r="I62" s="882"/>
      <c r="J62" s="929"/>
      <c r="K62" s="899" t="str">
        <f>IF(G62&lt;&gt;0,VLOOKUP(G62,'gia dat'!$A$1:$F$144,5,0)," ")</f>
        <v xml:space="preserve"> </v>
      </c>
      <c r="L62" s="899" t="str">
        <f>IF(G62&lt;&gt;0,VLOOKUP(G62,'gia dat'!$A$1:$F$144,6,0)," ")</f>
        <v xml:space="preserve"> </v>
      </c>
      <c r="M62" s="900" t="str">
        <f t="shared" si="1"/>
        <v xml:space="preserve"> </v>
      </c>
      <c r="N62" s="900" t="str">
        <f t="shared" si="2"/>
        <v xml:space="preserve"> </v>
      </c>
      <c r="O62" s="922"/>
      <c r="P62" s="926"/>
      <c r="Q62" s="900"/>
      <c r="R62" s="900"/>
      <c r="S62" s="922"/>
      <c r="T62" s="944"/>
      <c r="U62" s="927"/>
      <c r="V62" s="946"/>
      <c r="W62" s="900" t="str">
        <f>IF(S62&lt;&gt;0,VLOOKUP(S62,VKT!$A$2:$G$415,7,0),"")</f>
        <v/>
      </c>
      <c r="X62" s="900" t="str">
        <f t="shared" si="4"/>
        <v xml:space="preserve"> </v>
      </c>
      <c r="Y62" s="925"/>
      <c r="Z62" s="928"/>
      <c r="AA62" s="928"/>
      <c r="AB62" s="904"/>
      <c r="AC62" s="928"/>
      <c r="AD62" s="928"/>
      <c r="AE62" s="928"/>
      <c r="AF62" s="926"/>
      <c r="AG62" s="906" t="str">
        <f>IF(AE62&lt;&gt;0,VLOOKUP(AE62,ODDS!$A$2:$C$13,3,0),"")</f>
        <v/>
      </c>
      <c r="AH62" s="906"/>
      <c r="AI62" s="907" t="str">
        <f t="shared" si="0"/>
        <v xml:space="preserve"> </v>
      </c>
      <c r="AJ62" s="929"/>
      <c r="AK62" s="894"/>
    </row>
    <row r="63" spans="1:37" s="376" customFormat="1" ht="22.5" outlineLevel="2" x14ac:dyDescent="0.3">
      <c r="A63" s="447">
        <f t="shared" si="12"/>
        <v>5</v>
      </c>
      <c r="B63" s="893"/>
      <c r="C63" s="910"/>
      <c r="D63" s="923"/>
      <c r="E63" s="923"/>
      <c r="F63" s="896"/>
      <c r="G63" s="894"/>
      <c r="H63" s="924"/>
      <c r="I63" s="882"/>
      <c r="J63" s="929"/>
      <c r="K63" s="899" t="str">
        <f>IF(G63&lt;&gt;0,VLOOKUP(G63,'gia dat'!$A$1:$F$144,5,0)," ")</f>
        <v xml:space="preserve"> </v>
      </c>
      <c r="L63" s="899" t="str">
        <f>IF(G63&lt;&gt;0,VLOOKUP(G63,'gia dat'!$A$1:$F$144,6,0)," ")</f>
        <v xml:space="preserve"> </v>
      </c>
      <c r="M63" s="900" t="str">
        <f t="shared" si="1"/>
        <v xml:space="preserve"> </v>
      </c>
      <c r="N63" s="900" t="str">
        <f t="shared" si="2"/>
        <v xml:space="preserve"> </v>
      </c>
      <c r="O63" s="922"/>
      <c r="P63" s="926"/>
      <c r="Q63" s="900"/>
      <c r="R63" s="900"/>
      <c r="S63" s="922"/>
      <c r="T63" s="944"/>
      <c r="U63" s="927"/>
      <c r="V63" s="946"/>
      <c r="W63" s="900" t="str">
        <f>IF(S63&lt;&gt;0,VLOOKUP(S63,VKT!$A$2:$G$415,7,0),"")</f>
        <v/>
      </c>
      <c r="X63" s="900" t="str">
        <f t="shared" si="4"/>
        <v xml:space="preserve"> </v>
      </c>
      <c r="Y63" s="925"/>
      <c r="Z63" s="928"/>
      <c r="AA63" s="928"/>
      <c r="AB63" s="904"/>
      <c r="AC63" s="928"/>
      <c r="AD63" s="928"/>
      <c r="AE63" s="928"/>
      <c r="AF63" s="926"/>
      <c r="AG63" s="906" t="str">
        <f>IF(AE63&lt;&gt;0,VLOOKUP(AE63,ODDS!$A$2:$C$13,3,0),"")</f>
        <v/>
      </c>
      <c r="AH63" s="906"/>
      <c r="AI63" s="907" t="str">
        <f t="shared" si="0"/>
        <v xml:space="preserve"> </v>
      </c>
      <c r="AJ63" s="929"/>
      <c r="AK63" s="929"/>
    </row>
    <row r="64" spans="1:37" s="376" customFormat="1" ht="22.5" outlineLevel="2" x14ac:dyDescent="0.3">
      <c r="A64" s="447">
        <f t="shared" si="12"/>
        <v>5</v>
      </c>
      <c r="B64" s="893"/>
      <c r="C64" s="910"/>
      <c r="D64" s="923"/>
      <c r="E64" s="923"/>
      <c r="F64" s="896"/>
      <c r="G64" s="894"/>
      <c r="H64" s="924"/>
      <c r="I64" s="882"/>
      <c r="J64" s="929"/>
      <c r="K64" s="899" t="str">
        <f>IF(G64&lt;&gt;0,VLOOKUP(G64,'gia dat'!$A$1:$F$144,5,0)," ")</f>
        <v xml:space="preserve"> </v>
      </c>
      <c r="L64" s="899" t="str">
        <f>IF(G64&lt;&gt;0,VLOOKUP(G64,'gia dat'!$A$1:$F$144,6,0)," ")</f>
        <v xml:space="preserve"> </v>
      </c>
      <c r="M64" s="900" t="str">
        <f t="shared" si="1"/>
        <v xml:space="preserve"> </v>
      </c>
      <c r="N64" s="900" t="str">
        <f t="shared" si="2"/>
        <v xml:space="preserve"> </v>
      </c>
      <c r="O64" s="922"/>
      <c r="P64" s="926"/>
      <c r="Q64" s="900"/>
      <c r="R64" s="900"/>
      <c r="S64" s="922"/>
      <c r="T64" s="944"/>
      <c r="U64" s="927"/>
      <c r="V64" s="946"/>
      <c r="W64" s="900" t="str">
        <f>IF(S64&lt;&gt;0,VLOOKUP(S64,VKT!$A$2:$G$415,7,0),"")</f>
        <v/>
      </c>
      <c r="X64" s="900" t="str">
        <f t="shared" si="4"/>
        <v xml:space="preserve"> </v>
      </c>
      <c r="Y64" s="925"/>
      <c r="Z64" s="928"/>
      <c r="AA64" s="928"/>
      <c r="AB64" s="904"/>
      <c r="AC64" s="928"/>
      <c r="AD64" s="928"/>
      <c r="AE64" s="928"/>
      <c r="AF64" s="926"/>
      <c r="AG64" s="906" t="str">
        <f>IF(AE64&lt;&gt;0,VLOOKUP(AE64,ODDS!$A$2:$C$13,3,0),"")</f>
        <v/>
      </c>
      <c r="AH64" s="906"/>
      <c r="AI64" s="907" t="str">
        <f t="shared" si="0"/>
        <v xml:space="preserve"> </v>
      </c>
      <c r="AJ64" s="929"/>
      <c r="AK64" s="929"/>
    </row>
    <row r="65" spans="1:37" s="376" customFormat="1" ht="22.5" outlineLevel="2" x14ac:dyDescent="0.3">
      <c r="A65" s="447">
        <f t="shared" si="12"/>
        <v>5</v>
      </c>
      <c r="B65" s="893"/>
      <c r="C65" s="910"/>
      <c r="D65" s="923"/>
      <c r="E65" s="923"/>
      <c r="F65" s="896"/>
      <c r="G65" s="894"/>
      <c r="H65" s="924"/>
      <c r="I65" s="882"/>
      <c r="J65" s="929"/>
      <c r="K65" s="899" t="str">
        <f>IF(G65&lt;&gt;0,VLOOKUP(G65,'gia dat'!$A$1:$F$144,5,0)," ")</f>
        <v xml:space="preserve"> </v>
      </c>
      <c r="L65" s="899" t="str">
        <f>IF(G65&lt;&gt;0,VLOOKUP(G65,'gia dat'!$A$1:$F$144,6,0)," ")</f>
        <v xml:space="preserve"> </v>
      </c>
      <c r="M65" s="900" t="str">
        <f t="shared" si="1"/>
        <v xml:space="preserve"> </v>
      </c>
      <c r="N65" s="900" t="str">
        <f t="shared" si="2"/>
        <v xml:space="preserve"> </v>
      </c>
      <c r="O65" s="922"/>
      <c r="P65" s="926"/>
      <c r="Q65" s="900"/>
      <c r="R65" s="900"/>
      <c r="S65" s="922"/>
      <c r="T65" s="944"/>
      <c r="U65" s="927"/>
      <c r="V65" s="946"/>
      <c r="W65" s="900" t="str">
        <f>IF(S65&lt;&gt;0,VLOOKUP(S65,VKT!$A$2:$G$415,7,0),"")</f>
        <v/>
      </c>
      <c r="X65" s="900" t="str">
        <f t="shared" si="4"/>
        <v xml:space="preserve"> </v>
      </c>
      <c r="Y65" s="925"/>
      <c r="Z65" s="928"/>
      <c r="AA65" s="928"/>
      <c r="AB65" s="904"/>
      <c r="AC65" s="928"/>
      <c r="AD65" s="928"/>
      <c r="AE65" s="928"/>
      <c r="AF65" s="926"/>
      <c r="AG65" s="906" t="str">
        <f>IF(AE65&lt;&gt;0,VLOOKUP(AE65,ODDS!$A$2:$C$13,3,0),"")</f>
        <v/>
      </c>
      <c r="AH65" s="906"/>
      <c r="AI65" s="907" t="str">
        <f t="shared" si="0"/>
        <v xml:space="preserve"> </v>
      </c>
      <c r="AJ65" s="929"/>
      <c r="AK65" s="929"/>
    </row>
    <row r="66" spans="1:37" s="376" customFormat="1" ht="22.5" outlineLevel="2" x14ac:dyDescent="0.3">
      <c r="A66" s="447">
        <f t="shared" si="12"/>
        <v>5</v>
      </c>
      <c r="B66" s="893"/>
      <c r="C66" s="942"/>
      <c r="D66" s="923"/>
      <c r="E66" s="923"/>
      <c r="F66" s="896"/>
      <c r="G66" s="894"/>
      <c r="H66" s="924"/>
      <c r="I66" s="882"/>
      <c r="J66" s="929"/>
      <c r="K66" s="899" t="str">
        <f>IF(G66&lt;&gt;0,VLOOKUP(G66,'gia dat'!$A$1:$F$144,5,0)," ")</f>
        <v xml:space="preserve"> </v>
      </c>
      <c r="L66" s="899" t="str">
        <f>IF(G66&lt;&gt;0,VLOOKUP(G66,'gia dat'!$A$1:$F$144,6,0)," ")</f>
        <v xml:space="preserve"> </v>
      </c>
      <c r="M66" s="900" t="str">
        <f t="shared" si="1"/>
        <v xml:space="preserve"> </v>
      </c>
      <c r="N66" s="900" t="str">
        <f t="shared" si="2"/>
        <v xml:space="preserve"> </v>
      </c>
      <c r="O66" s="922"/>
      <c r="P66" s="926"/>
      <c r="Q66" s="900"/>
      <c r="R66" s="900"/>
      <c r="S66" s="922"/>
      <c r="T66" s="944"/>
      <c r="U66" s="927"/>
      <c r="V66" s="946"/>
      <c r="W66" s="900" t="str">
        <f>IF(S66&lt;&gt;0,VLOOKUP(S66,VKT!$A$2:$G$415,7,0),"")</f>
        <v/>
      </c>
      <c r="X66" s="900" t="str">
        <f t="shared" si="4"/>
        <v xml:space="preserve"> </v>
      </c>
      <c r="Y66" s="925"/>
      <c r="Z66" s="928"/>
      <c r="AA66" s="928"/>
      <c r="AB66" s="904"/>
      <c r="AC66" s="928"/>
      <c r="AD66" s="928"/>
      <c r="AE66" s="928"/>
      <c r="AF66" s="926"/>
      <c r="AG66" s="906" t="str">
        <f>IF(AE66&lt;&gt;0,VLOOKUP(AE66,ODDS!$A$2:$C$13,3,0),"")</f>
        <v/>
      </c>
      <c r="AH66" s="906"/>
      <c r="AI66" s="907" t="str">
        <f t="shared" si="0"/>
        <v xml:space="preserve"> </v>
      </c>
      <c r="AJ66" s="929"/>
      <c r="AK66" s="929"/>
    </row>
    <row r="67" spans="1:37" s="376" customFormat="1" ht="43.5" outlineLevel="1" x14ac:dyDescent="0.3">
      <c r="A67" s="467" t="s">
        <v>2704</v>
      </c>
      <c r="B67" s="912">
        <v>6</v>
      </c>
      <c r="C67" s="942" t="s">
        <v>2164</v>
      </c>
      <c r="D67" s="930"/>
      <c r="E67" s="958"/>
      <c r="F67" s="958"/>
      <c r="G67" s="959"/>
      <c r="H67" s="960">
        <f>SUBTOTAL(9,H68:H76)</f>
        <v>0</v>
      </c>
      <c r="I67" s="915">
        <f>SUBTOTAL(9,I68:I73)</f>
        <v>0</v>
      </c>
      <c r="J67" s="959"/>
      <c r="K67" s="917"/>
      <c r="L67" s="917"/>
      <c r="M67" s="907">
        <f>SUBTOTAL(9,M68:M76)</f>
        <v>0</v>
      </c>
      <c r="N67" s="907">
        <f>SUBTOTAL(9,N68:N76)</f>
        <v>0</v>
      </c>
      <c r="O67" s="914"/>
      <c r="P67" s="935">
        <f>SUBTOTAL(9,P68:P76)</f>
        <v>0</v>
      </c>
      <c r="Q67" s="907"/>
      <c r="R67" s="907">
        <f>SUBTOTAL(9,R68:R76)</f>
        <v>0</v>
      </c>
      <c r="S67" s="914"/>
      <c r="T67" s="956"/>
      <c r="U67" s="936">
        <f>SUBTOTAL(9,U68:U76)</f>
        <v>56.05</v>
      </c>
      <c r="V67" s="957"/>
      <c r="W67" s="907"/>
      <c r="X67" s="907">
        <f>SUBTOTAL(9,X68:X76)</f>
        <v>180951000</v>
      </c>
      <c r="Y67" s="898"/>
      <c r="Z67" s="928"/>
      <c r="AA67" s="928"/>
      <c r="AB67" s="904"/>
      <c r="AC67" s="928"/>
      <c r="AD67" s="904"/>
      <c r="AE67" s="920"/>
      <c r="AF67" s="917">
        <f>SUBTOTAL(9,AF68:AF76)</f>
        <v>0</v>
      </c>
      <c r="AG67" s="921"/>
      <c r="AH67" s="921">
        <f>SUBTOTAL(9,AH68:AH76)</f>
        <v>0</v>
      </c>
      <c r="AI67" s="907">
        <f t="shared" si="0"/>
        <v>180951000</v>
      </c>
      <c r="AJ67" s="961"/>
      <c r="AK67" s="910"/>
    </row>
    <row r="68" spans="1:37" s="376" customFormat="1" ht="112.5" outlineLevel="2" x14ac:dyDescent="0.35">
      <c r="A68" s="447">
        <f>IF(B67&lt;&gt;0,B67,A66)</f>
        <v>6</v>
      </c>
      <c r="B68" s="893"/>
      <c r="C68" s="908" t="s">
        <v>95</v>
      </c>
      <c r="D68" s="939">
        <v>2</v>
      </c>
      <c r="E68" s="962"/>
      <c r="F68" s="962"/>
      <c r="G68" s="911"/>
      <c r="H68" s="897"/>
      <c r="I68" s="882"/>
      <c r="J68" s="911"/>
      <c r="K68" s="899" t="str">
        <f>IF(G68&lt;&gt;0,VLOOKUP(G68,'gia dat'!$A$1:$F$144,5,0)," ")</f>
        <v xml:space="preserve"> </v>
      </c>
      <c r="L68" s="899" t="str">
        <f>IF(G68&lt;&gt;0,VLOOKUP(G68,'gia dat'!$A$1:$F$144,6,0)," ")</f>
        <v xml:space="preserve"> </v>
      </c>
      <c r="M68" s="900" t="str">
        <f t="shared" si="1"/>
        <v xml:space="preserve"> </v>
      </c>
      <c r="N68" s="900" t="str">
        <f t="shared" si="2"/>
        <v xml:space="preserve"> </v>
      </c>
      <c r="O68" s="914"/>
      <c r="P68" s="926"/>
      <c r="Q68" s="900" t="str">
        <f>IF(O68&lt;&gt;0,VLOOKUP(O68,'Cây trong'!$A$2:$C$246,3,0)," ")</f>
        <v xml:space="preserve"> </v>
      </c>
      <c r="R68" s="900" t="str">
        <f t="shared" si="3"/>
        <v xml:space="preserve"> </v>
      </c>
      <c r="S68" s="922" t="s">
        <v>1827</v>
      </c>
      <c r="T68" s="944" t="s">
        <v>53</v>
      </c>
      <c r="U68" s="927">
        <v>31.5</v>
      </c>
      <c r="V68" s="946"/>
      <c r="W68" s="900">
        <f>IF(S68&lt;&gt;0,VLOOKUP(S68,VKT!$A$2:$G$415,7,0),"")</f>
        <v>5469063</v>
      </c>
      <c r="X68" s="900">
        <f t="shared" si="4"/>
        <v>172275000</v>
      </c>
      <c r="Y68" s="898" t="s">
        <v>63</v>
      </c>
      <c r="Z68" s="928" t="s">
        <v>55</v>
      </c>
      <c r="AA68" s="928" t="s">
        <v>56</v>
      </c>
      <c r="AB68" s="904" t="s">
        <v>57</v>
      </c>
      <c r="AC68" s="928" t="s">
        <v>63</v>
      </c>
      <c r="AD68" s="904" t="s">
        <v>430</v>
      </c>
      <c r="AE68" s="904"/>
      <c r="AF68" s="899"/>
      <c r="AG68" s="906" t="str">
        <f>IF(AE68&lt;&gt;0,VLOOKUP(AE68,ODDS!$A$2:$C$13,3,0),"")</f>
        <v/>
      </c>
      <c r="AH68" s="906" t="str">
        <f t="shared" si="5"/>
        <v xml:space="preserve"> </v>
      </c>
      <c r="AI68" s="907" t="str">
        <f t="shared" si="0"/>
        <v xml:space="preserve"> </v>
      </c>
      <c r="AJ68" s="963" t="s">
        <v>432</v>
      </c>
      <c r="AK68" s="894" t="s">
        <v>2450</v>
      </c>
    </row>
    <row r="69" spans="1:37" s="376" customFormat="1" ht="112.5" outlineLevel="2" x14ac:dyDescent="0.35">
      <c r="A69" s="447">
        <f t="shared" ref="A69:A76" si="13">IF(B68&lt;&gt;0,B68,A68)</f>
        <v>6</v>
      </c>
      <c r="B69" s="893"/>
      <c r="C69" s="908" t="s">
        <v>629</v>
      </c>
      <c r="D69" s="939"/>
      <c r="E69" s="962"/>
      <c r="F69" s="962"/>
      <c r="G69" s="911"/>
      <c r="H69" s="897"/>
      <c r="I69" s="882"/>
      <c r="J69" s="911"/>
      <c r="K69" s="899" t="str">
        <f>IF(G69&lt;&gt;0,VLOOKUP(G69,'gia dat'!$A$1:$F$144,5,0)," ")</f>
        <v xml:space="preserve"> </v>
      </c>
      <c r="L69" s="899" t="str">
        <f>IF(G69&lt;&gt;0,VLOOKUP(G69,'gia dat'!$A$1:$F$144,6,0)," ")</f>
        <v xml:space="preserve"> </v>
      </c>
      <c r="M69" s="900" t="str">
        <f t="shared" si="1"/>
        <v xml:space="preserve"> </v>
      </c>
      <c r="N69" s="900" t="str">
        <f t="shared" si="2"/>
        <v xml:space="preserve"> </v>
      </c>
      <c r="O69" s="922"/>
      <c r="P69" s="926"/>
      <c r="Q69" s="900" t="str">
        <f>IF(O69&lt;&gt;0,VLOOKUP(O69,'Cây trong'!$A$2:$C$246,3,0)," ")</f>
        <v xml:space="preserve"> </v>
      </c>
      <c r="R69" s="900" t="str">
        <f t="shared" si="3"/>
        <v xml:space="preserve"> </v>
      </c>
      <c r="S69" s="922" t="s">
        <v>1768</v>
      </c>
      <c r="T69" s="944" t="s">
        <v>53</v>
      </c>
      <c r="U69" s="927">
        <v>5.4</v>
      </c>
      <c r="V69" s="946"/>
      <c r="W69" s="900">
        <f>IF(S69&lt;&gt;0,VLOOKUP(S69,VKT!$A$2:$G$415,7,0),"")</f>
        <v>238288</v>
      </c>
      <c r="X69" s="900">
        <f t="shared" si="4"/>
        <v>1287000</v>
      </c>
      <c r="Y69" s="898"/>
      <c r="Z69" s="928"/>
      <c r="AA69" s="928"/>
      <c r="AB69" s="904"/>
      <c r="AC69" s="928"/>
      <c r="AD69" s="928"/>
      <c r="AE69" s="928"/>
      <c r="AF69" s="926"/>
      <c r="AG69" s="906" t="str">
        <f>IF(AE69&lt;&gt;0,VLOOKUP(AE69,ODDS!$A$2:$C$13,3,0),"")</f>
        <v/>
      </c>
      <c r="AH69" s="906" t="str">
        <f t="shared" si="5"/>
        <v xml:space="preserve"> </v>
      </c>
      <c r="AI69" s="907" t="str">
        <f t="shared" si="0"/>
        <v xml:space="preserve"> </v>
      </c>
      <c r="AJ69" s="911"/>
      <c r="AK69" s="894" t="s">
        <v>2800</v>
      </c>
    </row>
    <row r="70" spans="1:37" s="376" customFormat="1" ht="45" outlineLevel="2" x14ac:dyDescent="0.35">
      <c r="A70" s="447">
        <f t="shared" si="13"/>
        <v>6</v>
      </c>
      <c r="B70" s="893"/>
      <c r="C70" s="908"/>
      <c r="D70" s="939"/>
      <c r="E70" s="947"/>
      <c r="F70" s="947"/>
      <c r="G70" s="911"/>
      <c r="H70" s="897"/>
      <c r="I70" s="882"/>
      <c r="J70" s="929"/>
      <c r="K70" s="899" t="str">
        <f>IF(G70&lt;&gt;0,VLOOKUP(G70,'gia dat'!$A$1:$F$144,5,0)," ")</f>
        <v xml:space="preserve"> </v>
      </c>
      <c r="L70" s="899" t="str">
        <f>IF(G70&lt;&gt;0,VLOOKUP(G70,'gia dat'!$A$1:$F$144,6,0)," ")</f>
        <v xml:space="preserve"> </v>
      </c>
      <c r="M70" s="900" t="str">
        <f t="shared" si="1"/>
        <v xml:space="preserve"> </v>
      </c>
      <c r="N70" s="900" t="str">
        <f t="shared" si="2"/>
        <v xml:space="preserve"> </v>
      </c>
      <c r="O70" s="922"/>
      <c r="P70" s="926"/>
      <c r="Q70" s="900" t="str">
        <f>IF(O70&lt;&gt;0,VLOOKUP(O70,'Cây trong'!$A$2:$C$246,3,0)," ")</f>
        <v xml:space="preserve"> </v>
      </c>
      <c r="R70" s="900" t="str">
        <f t="shared" si="3"/>
        <v xml:space="preserve"> </v>
      </c>
      <c r="S70" s="922" t="s">
        <v>1799</v>
      </c>
      <c r="T70" s="944" t="s">
        <v>53</v>
      </c>
      <c r="U70" s="927">
        <v>9.84</v>
      </c>
      <c r="V70" s="946"/>
      <c r="W70" s="900">
        <f>IF(S70&lt;&gt;0,VLOOKUP(S70,VKT!$A$2:$G$415,7,0),"")</f>
        <v>275180</v>
      </c>
      <c r="X70" s="900">
        <f t="shared" si="4"/>
        <v>2708000</v>
      </c>
      <c r="Y70" s="898"/>
      <c r="Z70" s="928"/>
      <c r="AA70" s="928"/>
      <c r="AB70" s="904"/>
      <c r="AC70" s="928"/>
      <c r="AD70" s="928"/>
      <c r="AE70" s="928"/>
      <c r="AF70" s="926"/>
      <c r="AG70" s="906" t="str">
        <f>IF(AE70&lt;&gt;0,VLOOKUP(AE70,ODDS!$A$2:$C$13,3,0),"")</f>
        <v/>
      </c>
      <c r="AH70" s="906" t="str">
        <f t="shared" si="5"/>
        <v xml:space="preserve"> </v>
      </c>
      <c r="AI70" s="907" t="str">
        <f t="shared" si="0"/>
        <v xml:space="preserve"> </v>
      </c>
      <c r="AJ70" s="911"/>
      <c r="AK70" s="963"/>
    </row>
    <row r="71" spans="1:37" s="376" customFormat="1" ht="112.5" outlineLevel="2" x14ac:dyDescent="0.3">
      <c r="A71" s="447">
        <f t="shared" si="13"/>
        <v>6</v>
      </c>
      <c r="B71" s="893"/>
      <c r="C71" s="908"/>
      <c r="D71" s="923"/>
      <c r="E71" s="923"/>
      <c r="F71" s="896"/>
      <c r="G71" s="894"/>
      <c r="H71" s="924"/>
      <c r="I71" s="882"/>
      <c r="J71" s="929"/>
      <c r="K71" s="899" t="str">
        <f>IF(G71&lt;&gt;0,VLOOKUP(G71,'gia dat'!$A$1:$F$144,5,0)," ")</f>
        <v xml:space="preserve"> </v>
      </c>
      <c r="L71" s="899" t="str">
        <f>IF(G71&lt;&gt;0,VLOOKUP(G71,'gia dat'!$A$1:$F$144,6,0)," ")</f>
        <v xml:space="preserve"> </v>
      </c>
      <c r="M71" s="900" t="str">
        <f t="shared" si="1"/>
        <v xml:space="preserve"> </v>
      </c>
      <c r="N71" s="900" t="str">
        <f t="shared" si="2"/>
        <v xml:space="preserve"> </v>
      </c>
      <c r="O71" s="922"/>
      <c r="P71" s="926"/>
      <c r="Q71" s="900" t="str">
        <f>IF(O71&lt;&gt;0,VLOOKUP(O71,'Cây trong'!$A$2:$C$246,3,0)," ")</f>
        <v xml:space="preserve"> </v>
      </c>
      <c r="R71" s="900" t="str">
        <f t="shared" si="3"/>
        <v xml:space="preserve"> </v>
      </c>
      <c r="S71" s="922" t="s">
        <v>1828</v>
      </c>
      <c r="T71" s="944" t="s">
        <v>53</v>
      </c>
      <c r="U71" s="927">
        <v>9.2799999999999994</v>
      </c>
      <c r="V71" s="946"/>
      <c r="W71" s="900">
        <f>IF(S71&lt;&gt;0,VLOOKUP(S71,VKT!$A$2:$G$415,7,0),"")</f>
        <v>496651</v>
      </c>
      <c r="X71" s="900">
        <f t="shared" si="4"/>
        <v>4609000</v>
      </c>
      <c r="Y71" s="925"/>
      <c r="Z71" s="928"/>
      <c r="AA71" s="928"/>
      <c r="AB71" s="904"/>
      <c r="AC71" s="928"/>
      <c r="AD71" s="928"/>
      <c r="AE71" s="928"/>
      <c r="AF71" s="926"/>
      <c r="AG71" s="906" t="str">
        <f>IF(AE71&lt;&gt;0,VLOOKUP(AE71,ODDS!$A$2:$C$13,3,0),"")</f>
        <v/>
      </c>
      <c r="AH71" s="906" t="str">
        <f t="shared" si="5"/>
        <v xml:space="preserve"> </v>
      </c>
      <c r="AI71" s="907" t="str">
        <f t="shared" si="0"/>
        <v xml:space="preserve"> </v>
      </c>
      <c r="AJ71" s="894"/>
      <c r="AK71" s="929"/>
    </row>
    <row r="72" spans="1:37" s="376" customFormat="1" ht="67.5" outlineLevel="2" x14ac:dyDescent="0.3">
      <c r="A72" s="447">
        <f t="shared" si="13"/>
        <v>6</v>
      </c>
      <c r="B72" s="893"/>
      <c r="C72" s="908"/>
      <c r="D72" s="923"/>
      <c r="E72" s="923"/>
      <c r="F72" s="896"/>
      <c r="G72" s="894"/>
      <c r="H72" s="924"/>
      <c r="I72" s="882"/>
      <c r="J72" s="929"/>
      <c r="K72" s="899" t="str">
        <f>IF(G72&lt;&gt;0,VLOOKUP(G72,'gia dat'!$A$1:$F$144,5,0)," ")</f>
        <v xml:space="preserve"> </v>
      </c>
      <c r="L72" s="899" t="str">
        <f>IF(G72&lt;&gt;0,VLOOKUP(G72,'gia dat'!$A$1:$F$144,6,0)," ")</f>
        <v xml:space="preserve"> </v>
      </c>
      <c r="M72" s="900" t="str">
        <f t="shared" si="1"/>
        <v xml:space="preserve"> </v>
      </c>
      <c r="N72" s="900" t="str">
        <f t="shared" si="2"/>
        <v xml:space="preserve"> </v>
      </c>
      <c r="O72" s="922"/>
      <c r="P72" s="926"/>
      <c r="Q72" s="900" t="str">
        <f>IF(O72&lt;&gt;0,VLOOKUP(O72,'Cây trong'!$A$2:$C$246,3,0)," ")</f>
        <v xml:space="preserve"> </v>
      </c>
      <c r="R72" s="900" t="str">
        <f t="shared" si="3"/>
        <v xml:space="preserve"> </v>
      </c>
      <c r="S72" s="922" t="s">
        <v>1829</v>
      </c>
      <c r="T72" s="944" t="s">
        <v>78</v>
      </c>
      <c r="U72" s="927">
        <v>0.01</v>
      </c>
      <c r="V72" s="946"/>
      <c r="W72" s="900">
        <f>IF(S72&lt;&gt;0,VLOOKUP(S72,VKT!$A$2:$G$415,7,0),"")</f>
        <v>0</v>
      </c>
      <c r="X72" s="900">
        <f t="shared" si="4"/>
        <v>0</v>
      </c>
      <c r="Y72" s="925"/>
      <c r="Z72" s="928"/>
      <c r="AA72" s="928"/>
      <c r="AB72" s="904"/>
      <c r="AC72" s="928"/>
      <c r="AD72" s="928"/>
      <c r="AE72" s="928"/>
      <c r="AF72" s="926"/>
      <c r="AG72" s="906" t="str">
        <f>IF(AE72&lt;&gt;0,VLOOKUP(AE72,ODDS!$A$2:$C$13,3,0),"")</f>
        <v/>
      </c>
      <c r="AH72" s="906" t="str">
        <f t="shared" si="5"/>
        <v xml:space="preserve"> </v>
      </c>
      <c r="AI72" s="907" t="str">
        <f t="shared" si="0"/>
        <v xml:space="preserve"> </v>
      </c>
      <c r="AJ72" s="929"/>
      <c r="AK72" s="929"/>
    </row>
    <row r="73" spans="1:37" s="376" customFormat="1" ht="45" outlineLevel="2" x14ac:dyDescent="0.3">
      <c r="A73" s="447">
        <f t="shared" si="13"/>
        <v>6</v>
      </c>
      <c r="B73" s="893"/>
      <c r="C73" s="908"/>
      <c r="D73" s="923"/>
      <c r="E73" s="923"/>
      <c r="F73" s="896"/>
      <c r="G73" s="894"/>
      <c r="H73" s="924"/>
      <c r="I73" s="882"/>
      <c r="J73" s="925"/>
      <c r="K73" s="899" t="str">
        <f>IF(G73&lt;&gt;0,VLOOKUP(G73,'gia dat'!$A$1:$F$144,5,0)," ")</f>
        <v xml:space="preserve"> </v>
      </c>
      <c r="L73" s="899" t="str">
        <f>IF(G73&lt;&gt;0,VLOOKUP(G73,'gia dat'!$A$1:$F$144,6,0)," ")</f>
        <v xml:space="preserve"> </v>
      </c>
      <c r="M73" s="900" t="str">
        <f t="shared" si="1"/>
        <v xml:space="preserve"> </v>
      </c>
      <c r="N73" s="900" t="str">
        <f t="shared" si="2"/>
        <v xml:space="preserve"> </v>
      </c>
      <c r="O73" s="894"/>
      <c r="P73" s="926"/>
      <c r="Q73" s="900" t="str">
        <f>IF(O73&lt;&gt;0,VLOOKUP(O73,'Cây trong'!$A$2:$C$246,3,0)," ")</f>
        <v xml:space="preserve"> </v>
      </c>
      <c r="R73" s="900" t="str">
        <f t="shared" si="3"/>
        <v xml:space="preserve"> </v>
      </c>
      <c r="S73" s="902" t="s">
        <v>1770</v>
      </c>
      <c r="T73" s="925" t="s">
        <v>78</v>
      </c>
      <c r="U73" s="927">
        <v>0.02</v>
      </c>
      <c r="V73" s="925"/>
      <c r="W73" s="900">
        <f>IF(S73&lt;&gt;0,VLOOKUP(S73,VKT!$A$2:$G$415,7,0),"")</f>
        <v>3591896</v>
      </c>
      <c r="X73" s="900">
        <f t="shared" si="4"/>
        <v>72000</v>
      </c>
      <c r="Y73" s="925"/>
      <c r="Z73" s="928"/>
      <c r="AA73" s="928"/>
      <c r="AB73" s="904"/>
      <c r="AC73" s="928"/>
      <c r="AD73" s="928"/>
      <c r="AE73" s="928"/>
      <c r="AF73" s="926"/>
      <c r="AG73" s="906" t="str">
        <f>IF(AE73&lt;&gt;0,VLOOKUP(AE73,ODDS!$A$2:$C$13,3,0),"")</f>
        <v/>
      </c>
      <c r="AH73" s="906" t="str">
        <f t="shared" si="5"/>
        <v xml:space="preserve"> </v>
      </c>
      <c r="AI73" s="907" t="str">
        <f t="shared" ref="AI73:AI136" si="14">IF(B73&lt;&gt;0,M73+N73+R73+X73+AH73," ")</f>
        <v xml:space="preserve"> </v>
      </c>
      <c r="AJ73" s="929"/>
      <c r="AK73" s="929"/>
    </row>
    <row r="74" spans="1:37" s="376" customFormat="1" ht="22.5" outlineLevel="2" x14ac:dyDescent="0.3">
      <c r="A74" s="447">
        <f t="shared" si="13"/>
        <v>6</v>
      </c>
      <c r="B74" s="893"/>
      <c r="C74" s="910"/>
      <c r="D74" s="923"/>
      <c r="E74" s="923"/>
      <c r="F74" s="896"/>
      <c r="G74" s="894"/>
      <c r="H74" s="924"/>
      <c r="I74" s="882"/>
      <c r="J74" s="925"/>
      <c r="K74" s="899" t="str">
        <f>IF(G74&lt;&gt;0,VLOOKUP(G74,'gia dat'!$A$1:$F$144,5,0)," ")</f>
        <v xml:space="preserve"> </v>
      </c>
      <c r="L74" s="899" t="str">
        <f>IF(G74&lt;&gt;0,VLOOKUP(G74,'gia dat'!$A$1:$F$144,6,0)," ")</f>
        <v xml:space="preserve"> </v>
      </c>
      <c r="M74" s="900" t="str">
        <f t="shared" si="1"/>
        <v xml:space="preserve"> </v>
      </c>
      <c r="N74" s="900" t="str">
        <f t="shared" si="2"/>
        <v xml:space="preserve"> </v>
      </c>
      <c r="O74" s="894"/>
      <c r="P74" s="926"/>
      <c r="Q74" s="900" t="str">
        <f>IF(O74&lt;&gt;0,VLOOKUP(O74,'Cây trong'!$A$2:$C$246,3,0)," ")</f>
        <v xml:space="preserve"> </v>
      </c>
      <c r="R74" s="900" t="str">
        <f t="shared" si="3"/>
        <v xml:space="preserve"> </v>
      </c>
      <c r="S74" s="902"/>
      <c r="T74" s="925"/>
      <c r="U74" s="927"/>
      <c r="V74" s="925"/>
      <c r="W74" s="900" t="str">
        <f>IF(S74&lt;&gt;0,VLOOKUP(S74,VKT!$A$2:$G$415,7,0),"")</f>
        <v/>
      </c>
      <c r="X74" s="900" t="str">
        <f t="shared" si="4"/>
        <v xml:space="preserve"> </v>
      </c>
      <c r="Y74" s="925"/>
      <c r="Z74" s="928"/>
      <c r="AA74" s="928"/>
      <c r="AB74" s="904"/>
      <c r="AC74" s="928"/>
      <c r="AD74" s="928"/>
      <c r="AE74" s="928"/>
      <c r="AF74" s="926"/>
      <c r="AG74" s="906" t="str">
        <f>IF(AE74&lt;&gt;0,VLOOKUP(AE74,ODDS!$A$2:$C$13,3,0),"")</f>
        <v/>
      </c>
      <c r="AH74" s="906" t="str">
        <f t="shared" si="5"/>
        <v xml:space="preserve"> </v>
      </c>
      <c r="AI74" s="907" t="str">
        <f t="shared" si="14"/>
        <v xml:space="preserve"> </v>
      </c>
      <c r="AJ74" s="929"/>
      <c r="AK74" s="929"/>
    </row>
    <row r="75" spans="1:37" s="376" customFormat="1" ht="22.5" outlineLevel="2" x14ac:dyDescent="0.3">
      <c r="A75" s="447">
        <f t="shared" si="13"/>
        <v>6</v>
      </c>
      <c r="B75" s="893"/>
      <c r="C75" s="910"/>
      <c r="D75" s="923"/>
      <c r="E75" s="923"/>
      <c r="F75" s="950"/>
      <c r="G75" s="894"/>
      <c r="H75" s="940"/>
      <c r="I75" s="882"/>
      <c r="J75" s="929"/>
      <c r="K75" s="899" t="str">
        <f>IF(G75&lt;&gt;0,VLOOKUP(G75,'gia dat'!$A$1:$F$144,5,0)," ")</f>
        <v xml:space="preserve"> </v>
      </c>
      <c r="L75" s="899" t="str">
        <f>IF(G75&lt;&gt;0,VLOOKUP(G75,'gia dat'!$A$1:$F$144,6,0)," ")</f>
        <v xml:space="preserve"> </v>
      </c>
      <c r="M75" s="900" t="str">
        <f t="shared" si="1"/>
        <v xml:space="preserve"> </v>
      </c>
      <c r="N75" s="900" t="str">
        <f t="shared" si="2"/>
        <v xml:space="preserve"> </v>
      </c>
      <c r="O75" s="929"/>
      <c r="P75" s="951"/>
      <c r="Q75" s="900" t="str">
        <f>IF(O75&lt;&gt;0,VLOOKUP(O75,'Cây trong'!$A$2:$C$246,3,0)," ")</f>
        <v xml:space="preserve"> </v>
      </c>
      <c r="R75" s="900" t="str">
        <f t="shared" si="3"/>
        <v xml:space="preserve"> </v>
      </c>
      <c r="S75" s="929"/>
      <c r="T75" s="929"/>
      <c r="U75" s="952"/>
      <c r="V75" s="925"/>
      <c r="W75" s="900" t="str">
        <f>IF(S75&lt;&gt;0,VLOOKUP(S75,VKT!$A$2:$G$415,7,0),"")</f>
        <v/>
      </c>
      <c r="X75" s="900" t="str">
        <f t="shared" si="4"/>
        <v xml:space="preserve"> </v>
      </c>
      <c r="Y75" s="925"/>
      <c r="Z75" s="925"/>
      <c r="AA75" s="925"/>
      <c r="AB75" s="898"/>
      <c r="AC75" s="925"/>
      <c r="AD75" s="925"/>
      <c r="AE75" s="925"/>
      <c r="AF75" s="964"/>
      <c r="AG75" s="906" t="str">
        <f>IF(AE75&lt;&gt;0,VLOOKUP(AE75,ODDS!$A$2:$C$13,3,0),"")</f>
        <v/>
      </c>
      <c r="AH75" s="906" t="str">
        <f t="shared" si="5"/>
        <v xml:space="preserve"> </v>
      </c>
      <c r="AI75" s="907" t="str">
        <f t="shared" si="14"/>
        <v xml:space="preserve"> </v>
      </c>
      <c r="AJ75" s="929"/>
      <c r="AK75" s="929"/>
    </row>
    <row r="76" spans="1:37" s="376" customFormat="1" ht="22.5" outlineLevel="2" x14ac:dyDescent="0.3">
      <c r="A76" s="447">
        <f t="shared" si="13"/>
        <v>6</v>
      </c>
      <c r="B76" s="893"/>
      <c r="C76" s="942"/>
      <c r="D76" s="923"/>
      <c r="E76" s="923"/>
      <c r="F76" s="896"/>
      <c r="G76" s="894"/>
      <c r="H76" s="924"/>
      <c r="I76" s="882"/>
      <c r="J76" s="929"/>
      <c r="K76" s="899" t="str">
        <f>IF(G76&lt;&gt;0,VLOOKUP(G76,'gia dat'!$A$1:$F$144,5,0)," ")</f>
        <v xml:space="preserve"> </v>
      </c>
      <c r="L76" s="899" t="str">
        <f>IF(G76&lt;&gt;0,VLOOKUP(G76,'gia dat'!$A$1:$F$144,6,0)," ")</f>
        <v xml:space="preserve"> </v>
      </c>
      <c r="M76" s="900" t="str">
        <f t="shared" si="1"/>
        <v xml:space="preserve"> </v>
      </c>
      <c r="N76" s="900" t="str">
        <f t="shared" si="2"/>
        <v xml:space="preserve"> </v>
      </c>
      <c r="O76" s="922"/>
      <c r="P76" s="965"/>
      <c r="Q76" s="900" t="str">
        <f>IF(O76&lt;&gt;0,VLOOKUP(O76,'Cây trong'!$A$2:$C$246,3,0)," ")</f>
        <v xml:space="preserve"> </v>
      </c>
      <c r="R76" s="900" t="str">
        <f t="shared" si="3"/>
        <v xml:space="preserve"> </v>
      </c>
      <c r="S76" s="922"/>
      <c r="T76" s="944"/>
      <c r="U76" s="927"/>
      <c r="V76" s="946"/>
      <c r="W76" s="900" t="str">
        <f>IF(S76&lt;&gt;0,VLOOKUP(S76,VKT!$A$2:$G$415,7,0),"")</f>
        <v/>
      </c>
      <c r="X76" s="900" t="str">
        <f t="shared" si="4"/>
        <v xml:space="preserve"> </v>
      </c>
      <c r="Y76" s="925"/>
      <c r="Z76" s="928"/>
      <c r="AA76" s="928"/>
      <c r="AB76" s="904"/>
      <c r="AC76" s="928"/>
      <c r="AD76" s="928"/>
      <c r="AE76" s="928"/>
      <c r="AF76" s="926"/>
      <c r="AG76" s="906" t="str">
        <f>IF(AE76&lt;&gt;0,VLOOKUP(AE76,ODDS!$A$2:$C$13,3,0),"")</f>
        <v/>
      </c>
      <c r="AH76" s="906" t="str">
        <f t="shared" si="5"/>
        <v xml:space="preserve"> </v>
      </c>
      <c r="AI76" s="907" t="str">
        <f t="shared" si="14"/>
        <v xml:space="preserve"> </v>
      </c>
      <c r="AJ76" s="929"/>
      <c r="AK76" s="929"/>
    </row>
    <row r="77" spans="1:37" s="376" customFormat="1" ht="43.5" outlineLevel="1" x14ac:dyDescent="0.3">
      <c r="A77" s="467" t="s">
        <v>2703</v>
      </c>
      <c r="B77" s="912">
        <v>7</v>
      </c>
      <c r="C77" s="942" t="s">
        <v>2165</v>
      </c>
      <c r="D77" s="931"/>
      <c r="E77" s="958"/>
      <c r="F77" s="958"/>
      <c r="G77" s="959"/>
      <c r="H77" s="960">
        <f>SUBTOTAL(9,H78:H84)</f>
        <v>0</v>
      </c>
      <c r="I77" s="915">
        <f>SUBTOTAL(9,I78:I83)</f>
        <v>0</v>
      </c>
      <c r="J77" s="959"/>
      <c r="K77" s="917"/>
      <c r="L77" s="917"/>
      <c r="M77" s="907">
        <f>SUBTOTAL(9,M78:M84)</f>
        <v>0</v>
      </c>
      <c r="N77" s="907">
        <f>SUBTOTAL(9,N78:N84)</f>
        <v>0</v>
      </c>
      <c r="O77" s="910"/>
      <c r="P77" s="935">
        <f>SUBTOTAL(9,P78:P84)</f>
        <v>0</v>
      </c>
      <c r="Q77" s="907"/>
      <c r="R77" s="907">
        <f>SUBTOTAL(9,R78:R84)</f>
        <v>0</v>
      </c>
      <c r="S77" s="918"/>
      <c r="T77" s="933"/>
      <c r="U77" s="936">
        <f>SUBTOTAL(9,U78:U84)</f>
        <v>59.469999999999992</v>
      </c>
      <c r="V77" s="933"/>
      <c r="W77" s="907"/>
      <c r="X77" s="907">
        <f>SUBTOTAL(9,X78:X84)</f>
        <v>173830000</v>
      </c>
      <c r="Y77" s="925"/>
      <c r="Z77" s="928"/>
      <c r="AA77" s="928"/>
      <c r="AB77" s="904"/>
      <c r="AC77" s="928"/>
      <c r="AD77" s="904"/>
      <c r="AE77" s="920"/>
      <c r="AF77" s="917">
        <f>SUBTOTAL(9,AF78:AF84)</f>
        <v>0</v>
      </c>
      <c r="AG77" s="921"/>
      <c r="AH77" s="921">
        <f>SUBTOTAL(9,AH78:AH84)</f>
        <v>0</v>
      </c>
      <c r="AI77" s="907">
        <f t="shared" si="14"/>
        <v>173830000</v>
      </c>
      <c r="AJ77" s="943"/>
      <c r="AK77" s="910"/>
    </row>
    <row r="78" spans="1:37" s="376" customFormat="1" ht="112.5" outlineLevel="2" x14ac:dyDescent="0.35">
      <c r="A78" s="447">
        <f>IF(B77&lt;&gt;0,B77,A76)</f>
        <v>7</v>
      </c>
      <c r="B78" s="893"/>
      <c r="C78" s="908" t="s">
        <v>98</v>
      </c>
      <c r="D78" s="923">
        <v>2</v>
      </c>
      <c r="E78" s="962"/>
      <c r="F78" s="962"/>
      <c r="G78" s="911"/>
      <c r="H78" s="897"/>
      <c r="I78" s="882"/>
      <c r="J78" s="911"/>
      <c r="K78" s="899" t="str">
        <f>IF(G78&lt;&gt;0,VLOOKUP(G78,'gia dat'!$A$1:$F$144,5,0)," ")</f>
        <v xml:space="preserve"> </v>
      </c>
      <c r="L78" s="899" t="str">
        <f>IF(G78&lt;&gt;0,VLOOKUP(G78,'gia dat'!$A$1:$F$144,6,0)," ")</f>
        <v xml:space="preserve"> </v>
      </c>
      <c r="M78" s="900" t="str">
        <f t="shared" si="1"/>
        <v xml:space="preserve"> </v>
      </c>
      <c r="N78" s="900" t="str">
        <f t="shared" si="2"/>
        <v xml:space="preserve"> </v>
      </c>
      <c r="O78" s="894"/>
      <c r="P78" s="926"/>
      <c r="Q78" s="900" t="str">
        <f>IF(O78&lt;&gt;0,VLOOKUP(O78,'Cây trong'!$A$2:$C$246,3,0)," ")</f>
        <v xml:space="preserve"> </v>
      </c>
      <c r="R78" s="900" t="str">
        <f t="shared" si="3"/>
        <v xml:space="preserve"> </v>
      </c>
      <c r="S78" s="902" t="s">
        <v>1820</v>
      </c>
      <c r="T78" s="925" t="s">
        <v>53</v>
      </c>
      <c r="U78" s="927">
        <v>31.95</v>
      </c>
      <c r="V78" s="925"/>
      <c r="W78" s="900">
        <f>IF(S78&lt;&gt;0,VLOOKUP(S78,VKT!$A$2:$G$415,7,0),"")</f>
        <v>5307665</v>
      </c>
      <c r="X78" s="900">
        <f t="shared" si="4"/>
        <v>169580000</v>
      </c>
      <c r="Y78" s="925" t="s">
        <v>63</v>
      </c>
      <c r="Z78" s="928" t="s">
        <v>55</v>
      </c>
      <c r="AA78" s="928" t="s">
        <v>56</v>
      </c>
      <c r="AB78" s="904" t="s">
        <v>57</v>
      </c>
      <c r="AC78" s="928" t="s">
        <v>63</v>
      </c>
      <c r="AD78" s="904" t="s">
        <v>430</v>
      </c>
      <c r="AE78" s="904"/>
      <c r="AF78" s="899"/>
      <c r="AG78" s="906" t="str">
        <f>IF(AE78&lt;&gt;0,VLOOKUP(AE78,ODDS!$A$2:$C$13,3,0),"")</f>
        <v/>
      </c>
      <c r="AH78" s="906" t="str">
        <f t="shared" si="5"/>
        <v xml:space="preserve"> </v>
      </c>
      <c r="AI78" s="907" t="str">
        <f t="shared" si="14"/>
        <v xml:space="preserve"> </v>
      </c>
      <c r="AJ78" s="929" t="s">
        <v>372</v>
      </c>
      <c r="AK78" s="894" t="s">
        <v>2450</v>
      </c>
    </row>
    <row r="79" spans="1:37" s="376" customFormat="1" ht="112.5" outlineLevel="2" x14ac:dyDescent="0.35">
      <c r="A79" s="447">
        <f t="shared" ref="A79:A84" si="15">IF(B78&lt;&gt;0,B78,A78)</f>
        <v>7</v>
      </c>
      <c r="B79" s="893"/>
      <c r="C79" s="908" t="s">
        <v>631</v>
      </c>
      <c r="D79" s="923"/>
      <c r="E79" s="923"/>
      <c r="F79" s="896"/>
      <c r="G79" s="911"/>
      <c r="H79" s="897"/>
      <c r="I79" s="882"/>
      <c r="J79" s="925"/>
      <c r="K79" s="899" t="str">
        <f>IF(G79&lt;&gt;0,VLOOKUP(G79,'gia dat'!$A$1:$F$144,5,0)," ")</f>
        <v xml:space="preserve"> </v>
      </c>
      <c r="L79" s="899" t="str">
        <f>IF(G79&lt;&gt;0,VLOOKUP(G79,'gia dat'!$A$1:$F$144,6,0)," ")</f>
        <v xml:space="preserve"> </v>
      </c>
      <c r="M79" s="900" t="str">
        <f t="shared" si="1"/>
        <v xml:space="preserve"> </v>
      </c>
      <c r="N79" s="900" t="str">
        <f t="shared" si="2"/>
        <v xml:space="preserve"> </v>
      </c>
      <c r="O79" s="894"/>
      <c r="P79" s="926"/>
      <c r="Q79" s="900" t="str">
        <f>IF(O79&lt;&gt;0,VLOOKUP(O79,'Cây trong'!$A$2:$C$246,3,0)," ")</f>
        <v xml:space="preserve"> </v>
      </c>
      <c r="R79" s="900" t="str">
        <f t="shared" si="3"/>
        <v xml:space="preserve"> </v>
      </c>
      <c r="S79" s="902" t="s">
        <v>1768</v>
      </c>
      <c r="T79" s="925" t="s">
        <v>53</v>
      </c>
      <c r="U79" s="927">
        <v>7.2</v>
      </c>
      <c r="V79" s="925"/>
      <c r="W79" s="900">
        <f>IF(S79&lt;&gt;0,VLOOKUP(S79,VKT!$A$2:$G$415,7,0),"")</f>
        <v>238288</v>
      </c>
      <c r="X79" s="900">
        <f t="shared" si="4"/>
        <v>1716000</v>
      </c>
      <c r="Y79" s="925"/>
      <c r="Z79" s="928"/>
      <c r="AA79" s="928"/>
      <c r="AB79" s="904"/>
      <c r="AC79" s="928"/>
      <c r="AD79" s="928"/>
      <c r="AE79" s="928"/>
      <c r="AF79" s="926"/>
      <c r="AG79" s="906" t="str">
        <f>IF(AE79&lt;&gt;0,VLOOKUP(AE79,ODDS!$A$2:$C$13,3,0),"")</f>
        <v/>
      </c>
      <c r="AH79" s="906" t="str">
        <f t="shared" si="5"/>
        <v xml:space="preserve"> </v>
      </c>
      <c r="AI79" s="907" t="str">
        <f t="shared" si="14"/>
        <v xml:space="preserve"> </v>
      </c>
      <c r="AJ79" s="911"/>
      <c r="AK79" s="894" t="s">
        <v>2800</v>
      </c>
    </row>
    <row r="80" spans="1:37" s="376" customFormat="1" ht="67.5" outlineLevel="2" x14ac:dyDescent="0.3">
      <c r="A80" s="447">
        <f t="shared" si="15"/>
        <v>7</v>
      </c>
      <c r="B80" s="893"/>
      <c r="C80" s="894"/>
      <c r="D80" s="923"/>
      <c r="E80" s="923"/>
      <c r="F80" s="896"/>
      <c r="G80" s="894"/>
      <c r="H80" s="924"/>
      <c r="I80" s="882"/>
      <c r="J80" s="925"/>
      <c r="K80" s="899" t="str">
        <f>IF(G80&lt;&gt;0,VLOOKUP(G80,'gia dat'!$A$1:$F$144,5,0)," ")</f>
        <v xml:space="preserve"> </v>
      </c>
      <c r="L80" s="899" t="str">
        <f>IF(G80&lt;&gt;0,VLOOKUP(G80,'gia dat'!$A$1:$F$144,6,0)," ")</f>
        <v xml:space="preserve"> </v>
      </c>
      <c r="M80" s="900" t="str">
        <f t="shared" ref="M80:M153" si="16">IF(H80&lt;&gt;0,ROUND(H80*K80,-3)," ")</f>
        <v xml:space="preserve"> </v>
      </c>
      <c r="N80" s="900" t="str">
        <f t="shared" ref="N80:N153" si="17">IF(H80&lt;&gt;0,ROUND(H80*L80,-3)," ")</f>
        <v xml:space="preserve"> </v>
      </c>
      <c r="O80" s="894"/>
      <c r="P80" s="926"/>
      <c r="Q80" s="900" t="str">
        <f>IF(O80&lt;&gt;0,VLOOKUP(O80,'Cây trong'!$A$2:$C$246,3,0)," ")</f>
        <v xml:space="preserve"> </v>
      </c>
      <c r="R80" s="900" t="str">
        <f t="shared" si="3"/>
        <v xml:space="preserve"> </v>
      </c>
      <c r="S80" s="902" t="s">
        <v>1768</v>
      </c>
      <c r="T80" s="925" t="s">
        <v>53</v>
      </c>
      <c r="U80" s="927">
        <v>10.44</v>
      </c>
      <c r="V80" s="925"/>
      <c r="W80" s="900">
        <f>IF(S80&lt;&gt;0,VLOOKUP(S80,VKT!$A$2:$G$415,7,0),"")</f>
        <v>238288</v>
      </c>
      <c r="X80" s="900">
        <f t="shared" ref="X80:X148" si="18">IF(S80&lt;&gt;0,ROUND(U80*W80,-3)," ")</f>
        <v>2488000</v>
      </c>
      <c r="Y80" s="925"/>
      <c r="Z80" s="928" t="s">
        <v>63</v>
      </c>
      <c r="AA80" s="928" t="s">
        <v>56</v>
      </c>
      <c r="AB80" s="904" t="s">
        <v>57</v>
      </c>
      <c r="AC80" s="928" t="s">
        <v>63</v>
      </c>
      <c r="AD80" s="928"/>
      <c r="AE80" s="928"/>
      <c r="AF80" s="926"/>
      <c r="AG80" s="906" t="str">
        <f>IF(AE80&lt;&gt;0,VLOOKUP(AE80,ODDS!$A$2:$C$13,3,0),"")</f>
        <v/>
      </c>
      <c r="AH80" s="906" t="str">
        <f t="shared" si="5"/>
        <v xml:space="preserve"> </v>
      </c>
      <c r="AI80" s="907" t="str">
        <f t="shared" si="14"/>
        <v xml:space="preserve"> </v>
      </c>
      <c r="AJ80" s="929"/>
      <c r="AK80" s="929"/>
    </row>
    <row r="81" spans="1:38" s="376" customFormat="1" ht="45" outlineLevel="2" x14ac:dyDescent="0.3">
      <c r="A81" s="447">
        <f t="shared" si="15"/>
        <v>7</v>
      </c>
      <c r="B81" s="893"/>
      <c r="C81" s="894"/>
      <c r="D81" s="923"/>
      <c r="E81" s="923"/>
      <c r="F81" s="896"/>
      <c r="G81" s="894"/>
      <c r="H81" s="924"/>
      <c r="I81" s="882"/>
      <c r="J81" s="925"/>
      <c r="K81" s="899" t="str">
        <f>IF(G81&lt;&gt;0,VLOOKUP(G81,'gia dat'!$A$1:$F$144,5,0)," ")</f>
        <v xml:space="preserve"> </v>
      </c>
      <c r="L81" s="899" t="str">
        <f>IF(G81&lt;&gt;0,VLOOKUP(G81,'gia dat'!$A$1:$F$144,6,0)," ")</f>
        <v xml:space="preserve"> </v>
      </c>
      <c r="M81" s="900" t="str">
        <f t="shared" si="16"/>
        <v xml:space="preserve"> </v>
      </c>
      <c r="N81" s="900" t="str">
        <f t="shared" si="17"/>
        <v xml:space="preserve"> </v>
      </c>
      <c r="O81" s="894"/>
      <c r="P81" s="926"/>
      <c r="Q81" s="900" t="str">
        <f>IF(O81&lt;&gt;0,VLOOKUP(O81,'Cây trong'!$A$2:$C$246,3,0)," ")</f>
        <v xml:space="preserve"> </v>
      </c>
      <c r="R81" s="900" t="str">
        <f t="shared" si="3"/>
        <v xml:space="preserve"> </v>
      </c>
      <c r="S81" s="902" t="s">
        <v>1767</v>
      </c>
      <c r="T81" s="925" t="s">
        <v>53</v>
      </c>
      <c r="U81" s="927">
        <v>8.1</v>
      </c>
      <c r="V81" s="925" t="s">
        <v>25</v>
      </c>
      <c r="W81" s="900">
        <f>IF(S81&lt;&gt;0,VLOOKUP(S81,VKT!$A$2:$G$415,7,0),"")</f>
        <v>0</v>
      </c>
      <c r="X81" s="900">
        <f t="shared" si="18"/>
        <v>0</v>
      </c>
      <c r="Y81" s="925"/>
      <c r="Z81" s="928"/>
      <c r="AA81" s="928"/>
      <c r="AB81" s="904"/>
      <c r="AC81" s="928"/>
      <c r="AD81" s="928"/>
      <c r="AE81" s="928"/>
      <c r="AF81" s="926"/>
      <c r="AG81" s="906" t="str">
        <f>IF(AE81&lt;&gt;0,VLOOKUP(AE81,ODDS!$A$2:$C$13,3,0),"")</f>
        <v/>
      </c>
      <c r="AH81" s="906" t="str">
        <f t="shared" si="5"/>
        <v xml:space="preserve"> </v>
      </c>
      <c r="AI81" s="907" t="str">
        <f t="shared" si="14"/>
        <v xml:space="preserve"> </v>
      </c>
      <c r="AJ81" s="894"/>
      <c r="AK81" s="929"/>
    </row>
    <row r="82" spans="1:38" s="376" customFormat="1" ht="45" outlineLevel="2" x14ac:dyDescent="0.3">
      <c r="A82" s="447">
        <f t="shared" si="15"/>
        <v>7</v>
      </c>
      <c r="B82" s="893"/>
      <c r="C82" s="894"/>
      <c r="D82" s="923"/>
      <c r="E82" s="923"/>
      <c r="F82" s="950"/>
      <c r="G82" s="894"/>
      <c r="H82" s="940"/>
      <c r="I82" s="882"/>
      <c r="J82" s="929"/>
      <c r="K82" s="899" t="str">
        <f>IF(G82&lt;&gt;0,VLOOKUP(G82,'gia dat'!$A$1:$F$144,5,0)," ")</f>
        <v xml:space="preserve"> </v>
      </c>
      <c r="L82" s="899" t="str">
        <f>IF(G82&lt;&gt;0,VLOOKUP(G82,'gia dat'!$A$1:$F$144,6,0)," ")</f>
        <v xml:space="preserve"> </v>
      </c>
      <c r="M82" s="900" t="str">
        <f t="shared" si="16"/>
        <v xml:space="preserve"> </v>
      </c>
      <c r="N82" s="900" t="str">
        <f t="shared" si="17"/>
        <v xml:space="preserve"> </v>
      </c>
      <c r="O82" s="929"/>
      <c r="P82" s="951"/>
      <c r="Q82" s="900" t="str">
        <f>IF(O82&lt;&gt;0,VLOOKUP(O82,'Cây trong'!$A$2:$C$246,3,0)," ")</f>
        <v xml:space="preserve"> </v>
      </c>
      <c r="R82" s="900" t="str">
        <f t="shared" si="3"/>
        <v xml:space="preserve"> </v>
      </c>
      <c r="S82" s="894" t="s">
        <v>1830</v>
      </c>
      <c r="T82" s="925" t="s">
        <v>78</v>
      </c>
      <c r="U82" s="927">
        <v>1.62</v>
      </c>
      <c r="V82" s="925"/>
      <c r="W82" s="900">
        <f>IF(S82&lt;&gt;0,VLOOKUP(S82,VKT!$A$2:$G$415,7,0),"")</f>
        <v>0</v>
      </c>
      <c r="X82" s="900">
        <f t="shared" si="18"/>
        <v>0</v>
      </c>
      <c r="Y82" s="925"/>
      <c r="Z82" s="925"/>
      <c r="AA82" s="925"/>
      <c r="AB82" s="898"/>
      <c r="AC82" s="925"/>
      <c r="AD82" s="925"/>
      <c r="AE82" s="925"/>
      <c r="AF82" s="964"/>
      <c r="AG82" s="906" t="str">
        <f>IF(AE82&lt;&gt;0,VLOOKUP(AE82,ODDS!$A$2:$C$13,3,0),"")</f>
        <v/>
      </c>
      <c r="AH82" s="906" t="str">
        <f t="shared" si="5"/>
        <v xml:space="preserve"> </v>
      </c>
      <c r="AI82" s="907" t="str">
        <f t="shared" si="14"/>
        <v xml:space="preserve"> </v>
      </c>
      <c r="AJ82" s="929"/>
      <c r="AK82" s="929"/>
    </row>
    <row r="83" spans="1:38" s="376" customFormat="1" ht="45" outlineLevel="2" x14ac:dyDescent="0.3">
      <c r="A83" s="447">
        <f t="shared" si="15"/>
        <v>7</v>
      </c>
      <c r="B83" s="893"/>
      <c r="C83" s="894"/>
      <c r="D83" s="923"/>
      <c r="E83" s="923"/>
      <c r="F83" s="896"/>
      <c r="G83" s="894"/>
      <c r="H83" s="924"/>
      <c r="I83" s="882"/>
      <c r="J83" s="925"/>
      <c r="K83" s="899" t="str">
        <f>IF(G83&lt;&gt;0,VLOOKUP(G83,'gia dat'!$A$1:$F$144,5,0)," ")</f>
        <v xml:space="preserve"> </v>
      </c>
      <c r="L83" s="899" t="str">
        <f>IF(G83&lt;&gt;0,VLOOKUP(G83,'gia dat'!$A$1:$F$144,6,0)," ")</f>
        <v xml:space="preserve"> </v>
      </c>
      <c r="M83" s="900" t="str">
        <f t="shared" si="16"/>
        <v xml:space="preserve"> </v>
      </c>
      <c r="N83" s="900" t="str">
        <f t="shared" si="17"/>
        <v xml:space="preserve"> </v>
      </c>
      <c r="O83" s="894"/>
      <c r="P83" s="926"/>
      <c r="Q83" s="900" t="str">
        <f>IF(O83&lt;&gt;0,VLOOKUP(O83,'Cây trong'!$A$2:$C$246,3,0)," ")</f>
        <v xml:space="preserve"> </v>
      </c>
      <c r="R83" s="900" t="str">
        <f t="shared" si="3"/>
        <v xml:space="preserve"> </v>
      </c>
      <c r="S83" s="902" t="s">
        <v>1831</v>
      </c>
      <c r="T83" s="925" t="s">
        <v>53</v>
      </c>
      <c r="U83" s="927">
        <v>0.16</v>
      </c>
      <c r="V83" s="925"/>
      <c r="W83" s="900">
        <f>IF(S83&lt;&gt;0,VLOOKUP(S83,VKT!$A$2:$G$415,7,0),"")</f>
        <v>286855</v>
      </c>
      <c r="X83" s="900">
        <f t="shared" si="18"/>
        <v>46000</v>
      </c>
      <c r="Y83" s="925"/>
      <c r="Z83" s="928"/>
      <c r="AA83" s="928"/>
      <c r="AB83" s="904"/>
      <c r="AC83" s="928"/>
      <c r="AD83" s="928"/>
      <c r="AE83" s="928"/>
      <c r="AF83" s="926"/>
      <c r="AG83" s="906" t="str">
        <f>IF(AE83&lt;&gt;0,VLOOKUP(AE83,ODDS!$A$2:$C$13,3,0),"")</f>
        <v/>
      </c>
      <c r="AH83" s="906" t="str">
        <f t="shared" si="5"/>
        <v xml:space="preserve"> </v>
      </c>
      <c r="AI83" s="907" t="str">
        <f t="shared" si="14"/>
        <v xml:space="preserve"> </v>
      </c>
      <c r="AJ83" s="929"/>
      <c r="AK83" s="929"/>
    </row>
    <row r="84" spans="1:38" s="376" customFormat="1" ht="22.5" outlineLevel="2" x14ac:dyDescent="0.3">
      <c r="A84" s="447">
        <f t="shared" si="15"/>
        <v>7</v>
      </c>
      <c r="B84" s="893"/>
      <c r="C84" s="910"/>
      <c r="D84" s="923"/>
      <c r="E84" s="923"/>
      <c r="F84" s="896"/>
      <c r="G84" s="894"/>
      <c r="H84" s="924"/>
      <c r="I84" s="882"/>
      <c r="J84" s="925"/>
      <c r="K84" s="899" t="str">
        <f>IF(G84&lt;&gt;0,VLOOKUP(G84,'gia dat'!$A$1:$F$144,5,0)," ")</f>
        <v xml:space="preserve"> </v>
      </c>
      <c r="L84" s="899" t="str">
        <f>IF(G84&lt;&gt;0,VLOOKUP(G84,'gia dat'!$A$1:$F$144,6,0)," ")</f>
        <v xml:space="preserve"> </v>
      </c>
      <c r="M84" s="900" t="str">
        <f t="shared" si="16"/>
        <v xml:space="preserve"> </v>
      </c>
      <c r="N84" s="900" t="str">
        <f t="shared" si="17"/>
        <v xml:space="preserve"> </v>
      </c>
      <c r="O84" s="894"/>
      <c r="P84" s="926"/>
      <c r="Q84" s="900" t="str">
        <f>IF(O84&lt;&gt;0,VLOOKUP(O84,'Cây trong'!$A$2:$C$246,3,0)," ")</f>
        <v xml:space="preserve"> </v>
      </c>
      <c r="R84" s="900" t="str">
        <f t="shared" si="3"/>
        <v xml:space="preserve"> </v>
      </c>
      <c r="S84" s="902"/>
      <c r="T84" s="925"/>
      <c r="U84" s="927"/>
      <c r="V84" s="925"/>
      <c r="W84" s="900" t="str">
        <f>IF(S84&lt;&gt;0,VLOOKUP(S84,VKT!$A$2:$G$415,7,0),"")</f>
        <v/>
      </c>
      <c r="X84" s="900" t="str">
        <f t="shared" si="18"/>
        <v xml:space="preserve"> </v>
      </c>
      <c r="Y84" s="925"/>
      <c r="Z84" s="928"/>
      <c r="AA84" s="928"/>
      <c r="AB84" s="904"/>
      <c r="AC84" s="928"/>
      <c r="AD84" s="928"/>
      <c r="AE84" s="928"/>
      <c r="AF84" s="926"/>
      <c r="AG84" s="906" t="str">
        <f>IF(AE84&lt;&gt;0,VLOOKUP(AE84,ODDS!$A$2:$C$13,3,0),"")</f>
        <v/>
      </c>
      <c r="AH84" s="906" t="str">
        <f t="shared" si="5"/>
        <v xml:space="preserve"> </v>
      </c>
      <c r="AI84" s="907" t="str">
        <f t="shared" si="14"/>
        <v xml:space="preserve"> </v>
      </c>
      <c r="AJ84" s="929"/>
      <c r="AK84" s="929"/>
    </row>
    <row r="85" spans="1:38" s="376" customFormat="1" ht="87" outlineLevel="1" x14ac:dyDescent="0.3">
      <c r="A85" s="467" t="s">
        <v>2702</v>
      </c>
      <c r="B85" s="912">
        <v>8</v>
      </c>
      <c r="C85" s="910" t="s">
        <v>2166</v>
      </c>
      <c r="D85" s="931"/>
      <c r="E85" s="931"/>
      <c r="F85" s="913"/>
      <c r="G85" s="910"/>
      <c r="H85" s="953">
        <f>SUBTOTAL(9,H86:H91)</f>
        <v>24.6</v>
      </c>
      <c r="I85" s="915">
        <f>SUBTOTAL(9,I86:I91)</f>
        <v>0</v>
      </c>
      <c r="J85" s="933"/>
      <c r="K85" s="917"/>
      <c r="L85" s="917"/>
      <c r="M85" s="907">
        <f>SUBTOTAL(9,M86:M91)</f>
        <v>13638000</v>
      </c>
      <c r="N85" s="907">
        <f>SUBTOTAL(9,N86:N91)</f>
        <v>0</v>
      </c>
      <c r="O85" s="959"/>
      <c r="P85" s="966">
        <f>SUBTOTAL(9,P86:P91)</f>
        <v>0</v>
      </c>
      <c r="Q85" s="966"/>
      <c r="R85" s="966">
        <f>SUBTOTAL(9,R86:R91)</f>
        <v>0</v>
      </c>
      <c r="S85" s="914"/>
      <c r="T85" s="956"/>
      <c r="U85" s="936">
        <f>SUBTOTAL(9,U86:U91)</f>
        <v>0</v>
      </c>
      <c r="V85" s="957"/>
      <c r="W85" s="907"/>
      <c r="X85" s="907">
        <f>SUBTOTAL(9,X86:X91)</f>
        <v>0</v>
      </c>
      <c r="Y85" s="925"/>
      <c r="Z85" s="928"/>
      <c r="AA85" s="928"/>
      <c r="AB85" s="904"/>
      <c r="AC85" s="928"/>
      <c r="AD85" s="928"/>
      <c r="AE85" s="937"/>
      <c r="AF85" s="935">
        <f>SUBTOTAL(9,AF86:AF91)</f>
        <v>0</v>
      </c>
      <c r="AG85" s="921"/>
      <c r="AH85" s="921">
        <f>SUBTOTAL(9,AH86:AH91)</f>
        <v>0</v>
      </c>
      <c r="AI85" s="907">
        <f t="shared" si="14"/>
        <v>13638000</v>
      </c>
      <c r="AJ85" s="910"/>
      <c r="AK85" s="914"/>
    </row>
    <row r="86" spans="1:38" s="376" customFormat="1" ht="270" outlineLevel="2" x14ac:dyDescent="0.35">
      <c r="A86" s="447">
        <f>IF(B85&lt;&gt;0,B85,A84)</f>
        <v>8</v>
      </c>
      <c r="B86" s="893"/>
      <c r="C86" s="894" t="s">
        <v>2793</v>
      </c>
      <c r="D86" s="923"/>
      <c r="E86" s="923">
        <v>86</v>
      </c>
      <c r="F86" s="896">
        <v>1582</v>
      </c>
      <c r="G86" s="894" t="s">
        <v>2891</v>
      </c>
      <c r="H86" s="924">
        <v>24.6</v>
      </c>
      <c r="I86" s="882" t="str">
        <f t="shared" ref="I86" si="19">IF(N86&gt;0,H86,"")</f>
        <v/>
      </c>
      <c r="J86" s="925"/>
      <c r="K86" s="899">
        <f>IF(G86&lt;&gt;0,VLOOKUP(G86,'gia dat'!$A$1:$F$144,5,0)," ")</f>
        <v>554400</v>
      </c>
      <c r="L86" s="899">
        <f>IF(G86&lt;&gt;0,VLOOKUP(G86,'gia dat'!$A$1:$F$144,6,0)," ")</f>
        <v>0</v>
      </c>
      <c r="M86" s="900">
        <f t="shared" si="16"/>
        <v>13638000</v>
      </c>
      <c r="N86" s="900">
        <f t="shared" si="17"/>
        <v>0</v>
      </c>
      <c r="O86" s="911"/>
      <c r="P86" s="967"/>
      <c r="Q86" s="967"/>
      <c r="R86" s="967"/>
      <c r="S86" s="922"/>
      <c r="T86" s="944"/>
      <c r="U86" s="927"/>
      <c r="V86" s="946"/>
      <c r="W86" s="900" t="str">
        <f>IF(S86&lt;&gt;0,VLOOKUP(S86,VKT!$A$2:$G$415,7,0),"")</f>
        <v/>
      </c>
      <c r="X86" s="900" t="str">
        <f t="shared" si="18"/>
        <v xml:space="preserve"> </v>
      </c>
      <c r="Y86" s="925"/>
      <c r="Z86" s="928"/>
      <c r="AA86" s="928"/>
      <c r="AB86" s="904"/>
      <c r="AC86" s="928"/>
      <c r="AD86" s="928"/>
      <c r="AE86" s="928"/>
      <c r="AF86" s="926"/>
      <c r="AG86" s="906" t="str">
        <f>IF(AE86&lt;&gt;0,VLOOKUP(AE86,ODDS!$A$2:$C$13,3,0),"")</f>
        <v/>
      </c>
      <c r="AH86" s="906" t="str">
        <f t="shared" si="5"/>
        <v xml:space="preserve"> </v>
      </c>
      <c r="AI86" s="907" t="str">
        <f t="shared" si="14"/>
        <v xml:space="preserve"> </v>
      </c>
      <c r="AJ86" s="894" t="s">
        <v>2187</v>
      </c>
      <c r="AK86" s="922" t="s">
        <v>2771</v>
      </c>
      <c r="AL86" s="376" t="s">
        <v>2188</v>
      </c>
    </row>
    <row r="87" spans="1:38" s="376" customFormat="1" ht="90" outlineLevel="2" x14ac:dyDescent="0.3">
      <c r="A87" s="447">
        <f>IF(B86&lt;&gt;0,B86,A86)</f>
        <v>8</v>
      </c>
      <c r="B87" s="893"/>
      <c r="C87" s="894" t="s">
        <v>2792</v>
      </c>
      <c r="D87" s="923"/>
      <c r="E87" s="923"/>
      <c r="F87" s="896"/>
      <c r="G87" s="894"/>
      <c r="H87" s="924"/>
      <c r="I87" s="882"/>
      <c r="J87" s="929"/>
      <c r="K87" s="899" t="str">
        <f>IF(G87&lt;&gt;0,VLOOKUP(G87,'gia dat'!$A$1:$F$144,5,0)," ")</f>
        <v xml:space="preserve"> </v>
      </c>
      <c r="L87" s="899" t="str">
        <f>IF(G87&lt;&gt;0,VLOOKUP(G87,'gia dat'!$A$1:$F$144,6,0)," ")</f>
        <v xml:space="preserve"> </v>
      </c>
      <c r="M87" s="900" t="str">
        <f t="shared" si="16"/>
        <v xml:space="preserve"> </v>
      </c>
      <c r="N87" s="900" t="str">
        <f t="shared" si="17"/>
        <v xml:space="preserve"> </v>
      </c>
      <c r="O87" s="922"/>
      <c r="P87" s="965"/>
      <c r="Q87" s="900"/>
      <c r="R87" s="900"/>
      <c r="S87" s="922"/>
      <c r="T87" s="944"/>
      <c r="U87" s="927"/>
      <c r="V87" s="946"/>
      <c r="W87" s="900" t="str">
        <f>IF(S87&lt;&gt;0,VLOOKUP(S87,VKT!$A$2:$G$415,7,0),"")</f>
        <v/>
      </c>
      <c r="X87" s="900" t="str">
        <f t="shared" si="18"/>
        <v xml:space="preserve"> </v>
      </c>
      <c r="Y87" s="925"/>
      <c r="Z87" s="928"/>
      <c r="AA87" s="928"/>
      <c r="AB87" s="904"/>
      <c r="AC87" s="928"/>
      <c r="AD87" s="928"/>
      <c r="AE87" s="928"/>
      <c r="AF87" s="926"/>
      <c r="AG87" s="906" t="str">
        <f>IF(AE87&lt;&gt;0,VLOOKUP(AE87,ODDS!$A$2:$C$13,3,0),"")</f>
        <v/>
      </c>
      <c r="AH87" s="906"/>
      <c r="AI87" s="907" t="str">
        <f t="shared" si="14"/>
        <v xml:space="preserve"> </v>
      </c>
      <c r="AJ87" s="894" t="s">
        <v>2453</v>
      </c>
      <c r="AK87" s="929"/>
    </row>
    <row r="88" spans="1:38" s="376" customFormat="1" ht="22.5" outlineLevel="2" x14ac:dyDescent="0.3">
      <c r="A88" s="447">
        <f>IF(B87&lt;&gt;0,B87,A87)</f>
        <v>8</v>
      </c>
      <c r="B88" s="893"/>
      <c r="C88" s="910"/>
      <c r="D88" s="923"/>
      <c r="E88" s="923"/>
      <c r="F88" s="896"/>
      <c r="G88" s="894"/>
      <c r="H88" s="924"/>
      <c r="I88" s="882"/>
      <c r="J88" s="929"/>
      <c r="K88" s="899" t="str">
        <f>IF(G88&lt;&gt;0,VLOOKUP(G88,'gia dat'!$A$1:$F$144,5,0)," ")</f>
        <v xml:space="preserve"> </v>
      </c>
      <c r="L88" s="899" t="str">
        <f>IF(G88&lt;&gt;0,VLOOKUP(G88,'gia dat'!$A$1:$F$144,6,0)," ")</f>
        <v xml:space="preserve"> </v>
      </c>
      <c r="M88" s="900" t="str">
        <f t="shared" si="16"/>
        <v xml:space="preserve"> </v>
      </c>
      <c r="N88" s="900" t="str">
        <f t="shared" si="17"/>
        <v xml:space="preserve"> </v>
      </c>
      <c r="O88" s="922"/>
      <c r="P88" s="965"/>
      <c r="Q88" s="900"/>
      <c r="R88" s="900"/>
      <c r="S88" s="922"/>
      <c r="T88" s="944"/>
      <c r="U88" s="927"/>
      <c r="V88" s="946"/>
      <c r="W88" s="900" t="str">
        <f>IF(S88&lt;&gt;0,VLOOKUP(S88,VKT!$A$2:$G$415,7,0),"")</f>
        <v/>
      </c>
      <c r="X88" s="900" t="str">
        <f t="shared" si="18"/>
        <v xml:space="preserve"> </v>
      </c>
      <c r="Y88" s="925"/>
      <c r="Z88" s="928"/>
      <c r="AA88" s="928"/>
      <c r="AB88" s="904"/>
      <c r="AC88" s="928"/>
      <c r="AD88" s="928"/>
      <c r="AE88" s="928"/>
      <c r="AF88" s="926"/>
      <c r="AG88" s="906" t="str">
        <f>IF(AE88&lt;&gt;0,VLOOKUP(AE88,ODDS!$A$2:$C$13,3,0),"")</f>
        <v/>
      </c>
      <c r="AH88" s="906"/>
      <c r="AI88" s="907" t="str">
        <f t="shared" si="14"/>
        <v xml:space="preserve"> </v>
      </c>
      <c r="AJ88" s="929"/>
      <c r="AK88" s="929"/>
    </row>
    <row r="89" spans="1:38" s="376" customFormat="1" ht="22.5" outlineLevel="2" x14ac:dyDescent="0.3">
      <c r="A89" s="447">
        <f>IF(B88&lt;&gt;0,B88,A88)</f>
        <v>8</v>
      </c>
      <c r="B89" s="893"/>
      <c r="C89" s="910"/>
      <c r="D89" s="923"/>
      <c r="E89" s="923"/>
      <c r="F89" s="896"/>
      <c r="G89" s="894"/>
      <c r="H89" s="924"/>
      <c r="I89" s="882"/>
      <c r="J89" s="929"/>
      <c r="K89" s="899" t="str">
        <f>IF(G89&lt;&gt;0,VLOOKUP(G89,'gia dat'!$A$1:$F$144,5,0)," ")</f>
        <v xml:space="preserve"> </v>
      </c>
      <c r="L89" s="899" t="str">
        <f>IF(G89&lt;&gt;0,VLOOKUP(G89,'gia dat'!$A$1:$F$144,6,0)," ")</f>
        <v xml:space="preserve"> </v>
      </c>
      <c r="M89" s="900" t="str">
        <f t="shared" si="16"/>
        <v xml:space="preserve"> </v>
      </c>
      <c r="N89" s="900" t="str">
        <f t="shared" si="17"/>
        <v xml:space="preserve"> </v>
      </c>
      <c r="O89" s="922"/>
      <c r="P89" s="965"/>
      <c r="Q89" s="900"/>
      <c r="R89" s="900"/>
      <c r="S89" s="922"/>
      <c r="T89" s="944"/>
      <c r="U89" s="927"/>
      <c r="V89" s="946"/>
      <c r="W89" s="900" t="str">
        <f>IF(S89&lt;&gt;0,VLOOKUP(S89,VKT!$A$2:$G$415,7,0),"")</f>
        <v/>
      </c>
      <c r="X89" s="900" t="str">
        <f t="shared" si="18"/>
        <v xml:space="preserve"> </v>
      </c>
      <c r="Y89" s="925"/>
      <c r="Z89" s="928"/>
      <c r="AA89" s="928"/>
      <c r="AB89" s="904"/>
      <c r="AC89" s="928"/>
      <c r="AD89" s="928"/>
      <c r="AE89" s="928"/>
      <c r="AF89" s="926"/>
      <c r="AG89" s="906" t="str">
        <f>IF(AE89&lt;&gt;0,VLOOKUP(AE89,ODDS!$A$2:$C$13,3,0),"")</f>
        <v/>
      </c>
      <c r="AH89" s="906"/>
      <c r="AI89" s="907" t="str">
        <f t="shared" si="14"/>
        <v xml:space="preserve"> </v>
      </c>
      <c r="AJ89" s="929"/>
      <c r="AK89" s="929"/>
    </row>
    <row r="90" spans="1:38" s="376" customFormat="1" ht="22.5" outlineLevel="2" x14ac:dyDescent="0.3">
      <c r="A90" s="447">
        <f>IF(B89&lt;&gt;0,B89,A89)</f>
        <v>8</v>
      </c>
      <c r="B90" s="893"/>
      <c r="C90" s="910"/>
      <c r="D90" s="923"/>
      <c r="E90" s="923"/>
      <c r="F90" s="896"/>
      <c r="G90" s="894"/>
      <c r="H90" s="924"/>
      <c r="I90" s="882"/>
      <c r="J90" s="929"/>
      <c r="K90" s="899" t="str">
        <f>IF(G90&lt;&gt;0,VLOOKUP(G90,'gia dat'!$A$1:$F$144,5,0)," ")</f>
        <v xml:space="preserve"> </v>
      </c>
      <c r="L90" s="899" t="str">
        <f>IF(G90&lt;&gt;0,VLOOKUP(G90,'gia dat'!$A$1:$F$144,6,0)," ")</f>
        <v xml:space="preserve"> </v>
      </c>
      <c r="M90" s="900" t="str">
        <f t="shared" si="16"/>
        <v xml:space="preserve"> </v>
      </c>
      <c r="N90" s="900" t="str">
        <f t="shared" si="17"/>
        <v xml:space="preserve"> </v>
      </c>
      <c r="O90" s="922"/>
      <c r="P90" s="965"/>
      <c r="Q90" s="900"/>
      <c r="R90" s="900"/>
      <c r="S90" s="922"/>
      <c r="T90" s="944"/>
      <c r="U90" s="927"/>
      <c r="V90" s="946"/>
      <c r="W90" s="900" t="str">
        <f>IF(S90&lt;&gt;0,VLOOKUP(S90,VKT!$A$2:$G$415,7,0),"")</f>
        <v/>
      </c>
      <c r="X90" s="900" t="str">
        <f t="shared" si="18"/>
        <v xml:space="preserve"> </v>
      </c>
      <c r="Y90" s="925"/>
      <c r="Z90" s="928"/>
      <c r="AA90" s="928"/>
      <c r="AB90" s="904"/>
      <c r="AC90" s="928"/>
      <c r="AD90" s="928"/>
      <c r="AE90" s="928"/>
      <c r="AF90" s="926"/>
      <c r="AG90" s="906" t="str">
        <f>IF(AE90&lt;&gt;0,VLOOKUP(AE90,ODDS!$A$2:$C$13,3,0),"")</f>
        <v/>
      </c>
      <c r="AH90" s="906"/>
      <c r="AI90" s="907" t="str">
        <f t="shared" si="14"/>
        <v xml:space="preserve"> </v>
      </c>
      <c r="AJ90" s="929"/>
      <c r="AK90" s="929"/>
    </row>
    <row r="91" spans="1:38" s="376" customFormat="1" ht="22.5" outlineLevel="2" x14ac:dyDescent="0.3">
      <c r="A91" s="447">
        <f>IF(B90&lt;&gt;0,B90,A90)</f>
        <v>8</v>
      </c>
      <c r="B91" s="893"/>
      <c r="C91" s="910"/>
      <c r="D91" s="923"/>
      <c r="E91" s="923"/>
      <c r="F91" s="896"/>
      <c r="G91" s="894"/>
      <c r="H91" s="924"/>
      <c r="I91" s="882"/>
      <c r="J91" s="929"/>
      <c r="K91" s="899" t="str">
        <f>IF(G91&lt;&gt;0,VLOOKUP(G91,'gia dat'!$A$1:$F$144,5,0)," ")</f>
        <v xml:space="preserve"> </v>
      </c>
      <c r="L91" s="899" t="str">
        <f>IF(G91&lt;&gt;0,VLOOKUP(G91,'gia dat'!$A$1:$F$144,6,0)," ")</f>
        <v xml:space="preserve"> </v>
      </c>
      <c r="M91" s="900" t="str">
        <f t="shared" si="16"/>
        <v xml:space="preserve"> </v>
      </c>
      <c r="N91" s="900" t="str">
        <f t="shared" si="17"/>
        <v xml:space="preserve"> </v>
      </c>
      <c r="O91" s="922"/>
      <c r="P91" s="965"/>
      <c r="Q91" s="900"/>
      <c r="R91" s="900"/>
      <c r="S91" s="922"/>
      <c r="T91" s="944"/>
      <c r="U91" s="927"/>
      <c r="V91" s="946"/>
      <c r="W91" s="900" t="str">
        <f>IF(S91&lt;&gt;0,VLOOKUP(S91,VKT!$A$2:$G$415,7,0),"")</f>
        <v/>
      </c>
      <c r="X91" s="900" t="str">
        <f t="shared" si="18"/>
        <v xml:space="preserve"> </v>
      </c>
      <c r="Y91" s="925"/>
      <c r="Z91" s="928"/>
      <c r="AA91" s="928"/>
      <c r="AB91" s="904"/>
      <c r="AC91" s="928"/>
      <c r="AD91" s="928"/>
      <c r="AE91" s="928"/>
      <c r="AF91" s="926"/>
      <c r="AG91" s="906" t="str">
        <f>IF(AE91&lt;&gt;0,VLOOKUP(AE91,ODDS!$A$2:$C$13,3,0),"")</f>
        <v/>
      </c>
      <c r="AH91" s="906"/>
      <c r="AI91" s="907" t="str">
        <f t="shared" si="14"/>
        <v xml:space="preserve"> </v>
      </c>
      <c r="AJ91" s="929"/>
      <c r="AK91" s="929"/>
    </row>
    <row r="92" spans="1:38" s="376" customFormat="1" ht="87" outlineLevel="1" x14ac:dyDescent="0.25">
      <c r="A92" s="467" t="s">
        <v>2701</v>
      </c>
      <c r="B92" s="912">
        <v>9</v>
      </c>
      <c r="C92" s="910" t="s">
        <v>2166</v>
      </c>
      <c r="D92" s="931"/>
      <c r="E92" s="931"/>
      <c r="F92" s="913"/>
      <c r="G92" s="910"/>
      <c r="H92" s="953">
        <f>SUBTOTAL(9,H93:H97)</f>
        <v>23.9</v>
      </c>
      <c r="I92" s="915">
        <f>SUBTOTAL(9,I93:I98)</f>
        <v>0</v>
      </c>
      <c r="J92" s="943"/>
      <c r="K92" s="917"/>
      <c r="L92" s="917"/>
      <c r="M92" s="907">
        <f>SUBTOTAL(9,M93:M97)</f>
        <v>13250000</v>
      </c>
      <c r="N92" s="907">
        <f>SUBTOTAL(9,N93:N97)</f>
        <v>0</v>
      </c>
      <c r="O92" s="914"/>
      <c r="P92" s="968">
        <f>SUBTOTAL(9,P93:P97)</f>
        <v>0</v>
      </c>
      <c r="Q92" s="907"/>
      <c r="R92" s="907">
        <f>SUBTOTAL(9,R93:R97)</f>
        <v>0</v>
      </c>
      <c r="S92" s="914"/>
      <c r="T92" s="956"/>
      <c r="U92" s="936">
        <f>SUBTOTAL(9,U93:U97)</f>
        <v>0</v>
      </c>
      <c r="V92" s="957"/>
      <c r="W92" s="907"/>
      <c r="X92" s="907">
        <f>SUBTOTAL(9,X93:X97)</f>
        <v>0</v>
      </c>
      <c r="Y92" s="925"/>
      <c r="Z92" s="928"/>
      <c r="AA92" s="928"/>
      <c r="AB92" s="904"/>
      <c r="AC92" s="928"/>
      <c r="AD92" s="928"/>
      <c r="AE92" s="937"/>
      <c r="AF92" s="935">
        <f>SUBTOTAL(9,AF93:AF97)</f>
        <v>0</v>
      </c>
      <c r="AG92" s="921"/>
      <c r="AH92" s="921">
        <f>SUBTOTAL(9,AH93:AH97)</f>
        <v>0</v>
      </c>
      <c r="AI92" s="907">
        <f t="shared" si="14"/>
        <v>13250000</v>
      </c>
      <c r="AJ92" s="910"/>
      <c r="AK92" s="914"/>
    </row>
    <row r="93" spans="1:38" s="376" customFormat="1" ht="270" outlineLevel="2" x14ac:dyDescent="0.3">
      <c r="A93" s="447">
        <f>IF(B92&lt;&gt;0,B92,A91)</f>
        <v>9</v>
      </c>
      <c r="B93" s="893"/>
      <c r="C93" s="894" t="s">
        <v>2793</v>
      </c>
      <c r="D93" s="923"/>
      <c r="E93" s="923">
        <v>86</v>
      </c>
      <c r="F93" s="896">
        <v>1582</v>
      </c>
      <c r="G93" s="894" t="s">
        <v>2891</v>
      </c>
      <c r="H93" s="924">
        <v>23.9</v>
      </c>
      <c r="I93" s="882" t="str">
        <f t="shared" ref="I93" si="20">IF(N93&gt;0,H93,"")</f>
        <v/>
      </c>
      <c r="J93" s="929"/>
      <c r="K93" s="899">
        <f>IF(G93&lt;&gt;0,VLOOKUP(G93,'gia dat'!$A$1:$F$144,5,0)," ")</f>
        <v>554400</v>
      </c>
      <c r="L93" s="899">
        <f>IF(G93&lt;&gt;0,VLOOKUP(G93,'gia dat'!$A$1:$F$144,6,0)," ")</f>
        <v>0</v>
      </c>
      <c r="M93" s="900">
        <f t="shared" si="16"/>
        <v>13250000</v>
      </c>
      <c r="N93" s="900">
        <f t="shared" si="17"/>
        <v>0</v>
      </c>
      <c r="O93" s="922"/>
      <c r="P93" s="965"/>
      <c r="Q93" s="900"/>
      <c r="R93" s="900"/>
      <c r="S93" s="922"/>
      <c r="T93" s="944"/>
      <c r="U93" s="927"/>
      <c r="V93" s="946"/>
      <c r="W93" s="900" t="str">
        <f>IF(S93&lt;&gt;0,VLOOKUP(S93,VKT!$A$2:$G$415,7,0),"")</f>
        <v/>
      </c>
      <c r="X93" s="900" t="str">
        <f t="shared" si="18"/>
        <v xml:space="preserve"> </v>
      </c>
      <c r="Y93" s="925"/>
      <c r="Z93" s="928"/>
      <c r="AA93" s="928"/>
      <c r="AB93" s="904"/>
      <c r="AC93" s="928"/>
      <c r="AD93" s="928"/>
      <c r="AE93" s="928"/>
      <c r="AF93" s="926"/>
      <c r="AG93" s="906" t="str">
        <f>IF(AE93&lt;&gt;0,VLOOKUP(AE93,ODDS!$A$2:$C$13,3,0),"")</f>
        <v/>
      </c>
      <c r="AH93" s="906"/>
      <c r="AI93" s="907" t="str">
        <f t="shared" si="14"/>
        <v xml:space="preserve"> </v>
      </c>
      <c r="AJ93" s="894" t="s">
        <v>2189</v>
      </c>
      <c r="AK93" s="922" t="s">
        <v>2771</v>
      </c>
      <c r="AL93" s="376" t="s">
        <v>2188</v>
      </c>
    </row>
    <row r="94" spans="1:38" s="376" customFormat="1" ht="90" outlineLevel="2" x14ac:dyDescent="0.3">
      <c r="A94" s="447">
        <f>IF(B93&lt;&gt;0,B93,A93)</f>
        <v>9</v>
      </c>
      <c r="B94" s="893"/>
      <c r="C94" s="894" t="s">
        <v>2792</v>
      </c>
      <c r="D94" s="923"/>
      <c r="E94" s="923"/>
      <c r="F94" s="896"/>
      <c r="G94" s="894"/>
      <c r="H94" s="924"/>
      <c r="I94" s="882"/>
      <c r="J94" s="929"/>
      <c r="K94" s="899" t="str">
        <f>IF(G94&lt;&gt;0,VLOOKUP(G94,'gia dat'!$A$1:$F$144,5,0)," ")</f>
        <v xml:space="preserve"> </v>
      </c>
      <c r="L94" s="899" t="str">
        <f>IF(G94&lt;&gt;0,VLOOKUP(G94,'gia dat'!$A$1:$F$144,6,0)," ")</f>
        <v xml:space="preserve"> </v>
      </c>
      <c r="M94" s="900" t="str">
        <f t="shared" si="16"/>
        <v xml:space="preserve"> </v>
      </c>
      <c r="N94" s="900" t="str">
        <f t="shared" si="17"/>
        <v xml:space="preserve"> </v>
      </c>
      <c r="O94" s="922"/>
      <c r="P94" s="965"/>
      <c r="Q94" s="900"/>
      <c r="R94" s="900"/>
      <c r="S94" s="922"/>
      <c r="T94" s="944"/>
      <c r="U94" s="927"/>
      <c r="V94" s="946"/>
      <c r="W94" s="900" t="str">
        <f>IF(S94&lt;&gt;0,VLOOKUP(S94,VKT!$A$2:$G$415,7,0),"")</f>
        <v/>
      </c>
      <c r="X94" s="900" t="str">
        <f t="shared" si="18"/>
        <v xml:space="preserve"> </v>
      </c>
      <c r="Y94" s="925"/>
      <c r="Z94" s="928"/>
      <c r="AA94" s="928"/>
      <c r="AB94" s="904"/>
      <c r="AC94" s="928"/>
      <c r="AD94" s="928"/>
      <c r="AE94" s="928"/>
      <c r="AF94" s="926"/>
      <c r="AG94" s="906" t="str">
        <f>IF(AE94&lt;&gt;0,VLOOKUP(AE94,ODDS!$A$2:$C$13,3,0),"")</f>
        <v/>
      </c>
      <c r="AH94" s="906"/>
      <c r="AI94" s="907" t="str">
        <f t="shared" si="14"/>
        <v xml:space="preserve"> </v>
      </c>
      <c r="AJ94" s="894" t="s">
        <v>2453</v>
      </c>
      <c r="AK94" s="929"/>
    </row>
    <row r="95" spans="1:38" s="376" customFormat="1" ht="22.5" outlineLevel="2" x14ac:dyDescent="0.3">
      <c r="A95" s="447">
        <f>IF(B94&lt;&gt;0,B94,A94)</f>
        <v>9</v>
      </c>
      <c r="B95" s="893"/>
      <c r="C95" s="910"/>
      <c r="D95" s="923"/>
      <c r="E95" s="923"/>
      <c r="F95" s="896"/>
      <c r="G95" s="894"/>
      <c r="H95" s="924"/>
      <c r="I95" s="882"/>
      <c r="J95" s="929"/>
      <c r="K95" s="899" t="str">
        <f>IF(G95&lt;&gt;0,VLOOKUP(G95,'gia dat'!$A$1:$F$144,5,0)," ")</f>
        <v xml:space="preserve"> </v>
      </c>
      <c r="L95" s="899" t="str">
        <f>IF(G95&lt;&gt;0,VLOOKUP(G95,'gia dat'!$A$1:$F$144,6,0)," ")</f>
        <v xml:space="preserve"> </v>
      </c>
      <c r="M95" s="900" t="str">
        <f t="shared" si="16"/>
        <v xml:space="preserve"> </v>
      </c>
      <c r="N95" s="900" t="str">
        <f t="shared" si="17"/>
        <v xml:space="preserve"> </v>
      </c>
      <c r="O95" s="922"/>
      <c r="P95" s="965"/>
      <c r="Q95" s="900"/>
      <c r="R95" s="900"/>
      <c r="S95" s="922"/>
      <c r="T95" s="944"/>
      <c r="U95" s="927"/>
      <c r="V95" s="946"/>
      <c r="W95" s="900" t="str">
        <f>IF(S95&lt;&gt;0,VLOOKUP(S95,VKT!$A$2:$G$415,7,0),"")</f>
        <v/>
      </c>
      <c r="X95" s="900" t="str">
        <f t="shared" si="18"/>
        <v xml:space="preserve"> </v>
      </c>
      <c r="Y95" s="925"/>
      <c r="Z95" s="928"/>
      <c r="AA95" s="928"/>
      <c r="AB95" s="904"/>
      <c r="AC95" s="928"/>
      <c r="AD95" s="928"/>
      <c r="AE95" s="928"/>
      <c r="AF95" s="926"/>
      <c r="AG95" s="906" t="str">
        <f>IF(AE95&lt;&gt;0,VLOOKUP(AE95,ODDS!$A$2:$C$13,3,0),"")</f>
        <v/>
      </c>
      <c r="AH95" s="906"/>
      <c r="AI95" s="907" t="str">
        <f t="shared" si="14"/>
        <v xml:space="preserve"> </v>
      </c>
      <c r="AJ95" s="929"/>
      <c r="AK95" s="929"/>
    </row>
    <row r="96" spans="1:38" s="376" customFormat="1" ht="22.5" outlineLevel="2" x14ac:dyDescent="0.3">
      <c r="A96" s="447">
        <f>IF(B95&lt;&gt;0,B95,A95)</f>
        <v>9</v>
      </c>
      <c r="B96" s="893"/>
      <c r="C96" s="910"/>
      <c r="D96" s="923"/>
      <c r="E96" s="923"/>
      <c r="F96" s="896"/>
      <c r="G96" s="894"/>
      <c r="H96" s="924"/>
      <c r="I96" s="882"/>
      <c r="J96" s="929"/>
      <c r="K96" s="899" t="str">
        <f>IF(G96&lt;&gt;0,VLOOKUP(G96,'gia dat'!$A$1:$F$144,5,0)," ")</f>
        <v xml:space="preserve"> </v>
      </c>
      <c r="L96" s="899" t="str">
        <f>IF(G96&lt;&gt;0,VLOOKUP(G96,'gia dat'!$A$1:$F$144,6,0)," ")</f>
        <v xml:space="preserve"> </v>
      </c>
      <c r="M96" s="900" t="str">
        <f t="shared" si="16"/>
        <v xml:space="preserve"> </v>
      </c>
      <c r="N96" s="900" t="str">
        <f t="shared" si="17"/>
        <v xml:space="preserve"> </v>
      </c>
      <c r="O96" s="922"/>
      <c r="P96" s="965"/>
      <c r="Q96" s="900"/>
      <c r="R96" s="900"/>
      <c r="S96" s="922"/>
      <c r="T96" s="944"/>
      <c r="U96" s="927"/>
      <c r="V96" s="946"/>
      <c r="W96" s="900" t="str">
        <f>IF(S96&lt;&gt;0,VLOOKUP(S96,VKT!$A$2:$G$415,7,0),"")</f>
        <v/>
      </c>
      <c r="X96" s="900" t="str">
        <f t="shared" si="18"/>
        <v xml:space="preserve"> </v>
      </c>
      <c r="Y96" s="925"/>
      <c r="Z96" s="928"/>
      <c r="AA96" s="928"/>
      <c r="AB96" s="904"/>
      <c r="AC96" s="928"/>
      <c r="AD96" s="928"/>
      <c r="AE96" s="928"/>
      <c r="AF96" s="926"/>
      <c r="AG96" s="906" t="str">
        <f>IF(AE96&lt;&gt;0,VLOOKUP(AE96,ODDS!$A$2:$C$13,3,0),"")</f>
        <v/>
      </c>
      <c r="AH96" s="906"/>
      <c r="AI96" s="907" t="str">
        <f t="shared" si="14"/>
        <v xml:space="preserve"> </v>
      </c>
      <c r="AJ96" s="929"/>
      <c r="AK96" s="929"/>
    </row>
    <row r="97" spans="1:39" s="376" customFormat="1" ht="22.5" outlineLevel="2" x14ac:dyDescent="0.3">
      <c r="A97" s="447">
        <f>IF(B96&lt;&gt;0,B96,A96)</f>
        <v>9</v>
      </c>
      <c r="B97" s="893"/>
      <c r="C97" s="910"/>
      <c r="D97" s="923"/>
      <c r="E97" s="923"/>
      <c r="F97" s="896"/>
      <c r="G97" s="894"/>
      <c r="H97" s="924"/>
      <c r="I97" s="882"/>
      <c r="J97" s="929"/>
      <c r="K97" s="899" t="str">
        <f>IF(G97&lt;&gt;0,VLOOKUP(G97,'gia dat'!$A$1:$F$144,5,0)," ")</f>
        <v xml:space="preserve"> </v>
      </c>
      <c r="L97" s="899" t="str">
        <f>IF(G97&lt;&gt;0,VLOOKUP(G97,'gia dat'!$A$1:$F$144,6,0)," ")</f>
        <v xml:space="preserve"> </v>
      </c>
      <c r="M97" s="900" t="str">
        <f t="shared" si="16"/>
        <v xml:space="preserve"> </v>
      </c>
      <c r="N97" s="900" t="str">
        <f t="shared" si="17"/>
        <v xml:space="preserve"> </v>
      </c>
      <c r="O97" s="922"/>
      <c r="P97" s="965"/>
      <c r="Q97" s="900"/>
      <c r="R97" s="900"/>
      <c r="S97" s="922"/>
      <c r="T97" s="944"/>
      <c r="U97" s="927"/>
      <c r="V97" s="946"/>
      <c r="W97" s="900" t="str">
        <f>IF(S97&lt;&gt;0,VLOOKUP(S97,VKT!$A$2:$G$415,7,0),"")</f>
        <v/>
      </c>
      <c r="X97" s="900" t="str">
        <f t="shared" si="18"/>
        <v xml:space="preserve"> </v>
      </c>
      <c r="Y97" s="925"/>
      <c r="Z97" s="928"/>
      <c r="AA97" s="928"/>
      <c r="AB97" s="904"/>
      <c r="AC97" s="928"/>
      <c r="AD97" s="928"/>
      <c r="AE97" s="928"/>
      <c r="AF97" s="926"/>
      <c r="AG97" s="906" t="str">
        <f>IF(AE97&lt;&gt;0,VLOOKUP(AE97,ODDS!$A$2:$C$13,3,0),"")</f>
        <v/>
      </c>
      <c r="AH97" s="906"/>
      <c r="AI97" s="907" t="str">
        <f t="shared" si="14"/>
        <v xml:space="preserve"> </v>
      </c>
      <c r="AJ97" s="929"/>
      <c r="AK97" s="929"/>
    </row>
    <row r="98" spans="1:39" s="376" customFormat="1" ht="87" outlineLevel="1" x14ac:dyDescent="0.25">
      <c r="A98" s="467" t="s">
        <v>2700</v>
      </c>
      <c r="B98" s="912">
        <v>10</v>
      </c>
      <c r="C98" s="910" t="s">
        <v>2166</v>
      </c>
      <c r="D98" s="931"/>
      <c r="E98" s="931"/>
      <c r="F98" s="913"/>
      <c r="G98" s="910"/>
      <c r="H98" s="953">
        <f>SUBTOTAL(9,H99:H102)</f>
        <v>16.600000000000001</v>
      </c>
      <c r="I98" s="915">
        <f>SUBTOTAL(9,I99:I104)</f>
        <v>0</v>
      </c>
      <c r="J98" s="943"/>
      <c r="K98" s="917"/>
      <c r="L98" s="917"/>
      <c r="M98" s="907">
        <f>SUBTOTAL(9,M99:M102)</f>
        <v>9203000</v>
      </c>
      <c r="N98" s="907">
        <f>SUBTOTAL(9,N99:N102)</f>
        <v>0</v>
      </c>
      <c r="O98" s="914"/>
      <c r="P98" s="968">
        <f>SUBTOTAL(9,P99:P102)</f>
        <v>0</v>
      </c>
      <c r="Q98" s="907"/>
      <c r="R98" s="907">
        <f>SUBTOTAL(9,R99:R102)</f>
        <v>0</v>
      </c>
      <c r="S98" s="914"/>
      <c r="T98" s="956"/>
      <c r="U98" s="936">
        <f>SUBTOTAL(9,U99:U102)</f>
        <v>0</v>
      </c>
      <c r="V98" s="957"/>
      <c r="W98" s="907"/>
      <c r="X98" s="907">
        <f>SUBTOTAL(9,X99:X102)</f>
        <v>0</v>
      </c>
      <c r="Y98" s="925"/>
      <c r="Z98" s="928"/>
      <c r="AA98" s="928"/>
      <c r="AB98" s="904"/>
      <c r="AC98" s="928"/>
      <c r="AD98" s="928"/>
      <c r="AE98" s="937"/>
      <c r="AF98" s="935">
        <f>SUBTOTAL(9,AF99:AF102)</f>
        <v>0</v>
      </c>
      <c r="AG98" s="921"/>
      <c r="AH98" s="921">
        <f>SUBTOTAL(9,AH99:AH102)</f>
        <v>0</v>
      </c>
      <c r="AI98" s="907">
        <f t="shared" si="14"/>
        <v>9203000</v>
      </c>
      <c r="AJ98" s="910"/>
      <c r="AK98" s="914"/>
    </row>
    <row r="99" spans="1:39" s="376" customFormat="1" ht="270" outlineLevel="2" x14ac:dyDescent="0.3">
      <c r="A99" s="447">
        <f>IF(B98&lt;&gt;0,B98,A97)</f>
        <v>10</v>
      </c>
      <c r="B99" s="893"/>
      <c r="C99" s="894" t="s">
        <v>2793</v>
      </c>
      <c r="D99" s="923"/>
      <c r="E99" s="923">
        <v>86</v>
      </c>
      <c r="F99" s="896">
        <v>1582</v>
      </c>
      <c r="G99" s="894" t="s">
        <v>2891</v>
      </c>
      <c r="H99" s="924">
        <v>16.600000000000001</v>
      </c>
      <c r="I99" s="882" t="str">
        <f t="shared" ref="I99" si="21">IF(N99&gt;0,H99,"")</f>
        <v/>
      </c>
      <c r="J99" s="929"/>
      <c r="K99" s="899">
        <f>IF(G99&lt;&gt;0,VLOOKUP(G99,'gia dat'!$A$1:$F$144,5,0)," ")</f>
        <v>554400</v>
      </c>
      <c r="L99" s="899">
        <f>IF(G99&lt;&gt;0,VLOOKUP(G99,'gia dat'!$A$1:$F$144,6,0)," ")</f>
        <v>0</v>
      </c>
      <c r="M99" s="900">
        <f t="shared" si="16"/>
        <v>9203000</v>
      </c>
      <c r="N99" s="900">
        <f t="shared" si="17"/>
        <v>0</v>
      </c>
      <c r="O99" s="922"/>
      <c r="P99" s="965"/>
      <c r="Q99" s="900"/>
      <c r="R99" s="900"/>
      <c r="S99" s="922"/>
      <c r="T99" s="944"/>
      <c r="U99" s="927"/>
      <c r="V99" s="946"/>
      <c r="W99" s="900" t="str">
        <f>IF(S99&lt;&gt;0,VLOOKUP(S99,VKT!$A$2:$G$415,7,0),"")</f>
        <v/>
      </c>
      <c r="X99" s="900" t="str">
        <f t="shared" si="18"/>
        <v xml:space="preserve"> </v>
      </c>
      <c r="Y99" s="925"/>
      <c r="Z99" s="928"/>
      <c r="AA99" s="928"/>
      <c r="AB99" s="904"/>
      <c r="AC99" s="928"/>
      <c r="AD99" s="928"/>
      <c r="AE99" s="928"/>
      <c r="AF99" s="926"/>
      <c r="AG99" s="906" t="str">
        <f>IF(AE99&lt;&gt;0,VLOOKUP(AE99,ODDS!$A$2:$C$13,3,0),"")</f>
        <v/>
      </c>
      <c r="AH99" s="906"/>
      <c r="AI99" s="907" t="str">
        <f t="shared" si="14"/>
        <v xml:space="preserve"> </v>
      </c>
      <c r="AJ99" s="894" t="s">
        <v>2190</v>
      </c>
      <c r="AK99" s="922" t="s">
        <v>2771</v>
      </c>
      <c r="AL99" s="376" t="s">
        <v>2188</v>
      </c>
    </row>
    <row r="100" spans="1:39" s="376" customFormat="1" ht="90" outlineLevel="2" x14ac:dyDescent="0.3">
      <c r="A100" s="447">
        <f>IF(B99&lt;&gt;0,B99,A99)</f>
        <v>10</v>
      </c>
      <c r="B100" s="893"/>
      <c r="C100" s="894" t="s">
        <v>2792</v>
      </c>
      <c r="D100" s="923"/>
      <c r="E100" s="923"/>
      <c r="F100" s="896"/>
      <c r="G100" s="894"/>
      <c r="H100" s="924"/>
      <c r="I100" s="882"/>
      <c r="J100" s="929"/>
      <c r="K100" s="899" t="str">
        <f>IF(G100&lt;&gt;0,VLOOKUP(G100,'gia dat'!$A$1:$F$144,5,0)," ")</f>
        <v xml:space="preserve"> </v>
      </c>
      <c r="L100" s="899" t="str">
        <f>IF(G100&lt;&gt;0,VLOOKUP(G100,'gia dat'!$A$1:$F$144,6,0)," ")</f>
        <v xml:space="preserve"> </v>
      </c>
      <c r="M100" s="900" t="str">
        <f t="shared" si="16"/>
        <v xml:space="preserve"> </v>
      </c>
      <c r="N100" s="900" t="str">
        <f t="shared" si="17"/>
        <v xml:space="preserve"> </v>
      </c>
      <c r="O100" s="922"/>
      <c r="P100" s="965"/>
      <c r="Q100" s="900"/>
      <c r="R100" s="900"/>
      <c r="S100" s="922"/>
      <c r="T100" s="944"/>
      <c r="U100" s="927"/>
      <c r="V100" s="946"/>
      <c r="W100" s="900" t="str">
        <f>IF(S100&lt;&gt;0,VLOOKUP(S100,VKT!$A$2:$G$415,7,0),"")</f>
        <v/>
      </c>
      <c r="X100" s="900" t="str">
        <f t="shared" si="18"/>
        <v xml:space="preserve"> </v>
      </c>
      <c r="Y100" s="925"/>
      <c r="Z100" s="928"/>
      <c r="AA100" s="928"/>
      <c r="AB100" s="904"/>
      <c r="AC100" s="928"/>
      <c r="AD100" s="928"/>
      <c r="AE100" s="928"/>
      <c r="AF100" s="926"/>
      <c r="AG100" s="906" t="str">
        <f>IF(AE100&lt;&gt;0,VLOOKUP(AE100,ODDS!$A$2:$C$13,3,0),"")</f>
        <v/>
      </c>
      <c r="AH100" s="906"/>
      <c r="AI100" s="907" t="str">
        <f t="shared" si="14"/>
        <v xml:space="preserve"> </v>
      </c>
      <c r="AJ100" s="894" t="s">
        <v>2453</v>
      </c>
      <c r="AK100" s="929"/>
    </row>
    <row r="101" spans="1:39" s="376" customFormat="1" ht="22.5" outlineLevel="2" x14ac:dyDescent="0.3">
      <c r="A101" s="447">
        <f>IF(B100&lt;&gt;0,B100,A100)</f>
        <v>10</v>
      </c>
      <c r="B101" s="893"/>
      <c r="C101" s="910"/>
      <c r="D101" s="923"/>
      <c r="E101" s="923"/>
      <c r="F101" s="896"/>
      <c r="G101" s="894"/>
      <c r="H101" s="924"/>
      <c r="I101" s="882"/>
      <c r="J101" s="929"/>
      <c r="K101" s="899" t="str">
        <f>IF(G101&lt;&gt;0,VLOOKUP(G101,'gia dat'!$A$1:$F$144,5,0)," ")</f>
        <v xml:space="preserve"> </v>
      </c>
      <c r="L101" s="899" t="str">
        <f>IF(G101&lt;&gt;0,VLOOKUP(G101,'gia dat'!$A$1:$F$144,6,0)," ")</f>
        <v xml:space="preserve"> </v>
      </c>
      <c r="M101" s="900" t="str">
        <f t="shared" si="16"/>
        <v xml:space="preserve"> </v>
      </c>
      <c r="N101" s="900" t="str">
        <f t="shared" si="17"/>
        <v xml:space="preserve"> </v>
      </c>
      <c r="O101" s="922"/>
      <c r="P101" s="965"/>
      <c r="Q101" s="900"/>
      <c r="R101" s="900"/>
      <c r="S101" s="922"/>
      <c r="T101" s="944"/>
      <c r="U101" s="927"/>
      <c r="V101" s="946"/>
      <c r="W101" s="900" t="str">
        <f>IF(S101&lt;&gt;0,VLOOKUP(S101,VKT!$A$2:$G$415,7,0),"")</f>
        <v/>
      </c>
      <c r="X101" s="900" t="str">
        <f t="shared" si="18"/>
        <v xml:space="preserve"> </v>
      </c>
      <c r="Y101" s="925"/>
      <c r="Z101" s="928"/>
      <c r="AA101" s="928"/>
      <c r="AB101" s="904"/>
      <c r="AC101" s="928"/>
      <c r="AD101" s="928"/>
      <c r="AE101" s="928"/>
      <c r="AF101" s="926"/>
      <c r="AG101" s="906" t="str">
        <f>IF(AE101&lt;&gt;0,VLOOKUP(AE101,ODDS!$A$2:$C$13,3,0),"")</f>
        <v/>
      </c>
      <c r="AH101" s="906"/>
      <c r="AI101" s="907" t="str">
        <f t="shared" si="14"/>
        <v xml:space="preserve"> </v>
      </c>
      <c r="AJ101" s="929"/>
      <c r="AK101" s="929"/>
    </row>
    <row r="102" spans="1:39" s="376" customFormat="1" ht="22.5" outlineLevel="2" x14ac:dyDescent="0.3">
      <c r="A102" s="447">
        <f>IF(B101&lt;&gt;0,B101,A101)</f>
        <v>10</v>
      </c>
      <c r="B102" s="893"/>
      <c r="C102" s="910"/>
      <c r="D102" s="923"/>
      <c r="E102" s="923"/>
      <c r="F102" s="896"/>
      <c r="G102" s="894"/>
      <c r="H102" s="924"/>
      <c r="I102" s="882"/>
      <c r="J102" s="929"/>
      <c r="K102" s="899" t="str">
        <f>IF(G102&lt;&gt;0,VLOOKUP(G102,'gia dat'!$A$1:$F$144,5,0)," ")</f>
        <v xml:space="preserve"> </v>
      </c>
      <c r="L102" s="899" t="str">
        <f>IF(G102&lt;&gt;0,VLOOKUP(G102,'gia dat'!$A$1:$F$144,6,0)," ")</f>
        <v xml:space="preserve"> </v>
      </c>
      <c r="M102" s="900" t="str">
        <f t="shared" si="16"/>
        <v xml:space="preserve"> </v>
      </c>
      <c r="N102" s="900" t="str">
        <f t="shared" si="17"/>
        <v xml:space="preserve"> </v>
      </c>
      <c r="O102" s="922"/>
      <c r="P102" s="965"/>
      <c r="Q102" s="900"/>
      <c r="R102" s="900"/>
      <c r="S102" s="922"/>
      <c r="T102" s="944"/>
      <c r="U102" s="927"/>
      <c r="V102" s="946"/>
      <c r="W102" s="900" t="str">
        <f>IF(S102&lt;&gt;0,VLOOKUP(S102,VKT!$A$2:$G$415,7,0),"")</f>
        <v/>
      </c>
      <c r="X102" s="900" t="str">
        <f t="shared" si="18"/>
        <v xml:space="preserve"> </v>
      </c>
      <c r="Y102" s="925"/>
      <c r="Z102" s="928"/>
      <c r="AA102" s="928"/>
      <c r="AB102" s="904"/>
      <c r="AC102" s="928"/>
      <c r="AD102" s="928"/>
      <c r="AE102" s="928"/>
      <c r="AF102" s="926"/>
      <c r="AG102" s="906" t="str">
        <f>IF(AE102&lt;&gt;0,VLOOKUP(AE102,ODDS!$A$2:$C$13,3,0),"")</f>
        <v/>
      </c>
      <c r="AH102" s="906"/>
      <c r="AI102" s="907" t="str">
        <f t="shared" si="14"/>
        <v xml:space="preserve"> </v>
      </c>
      <c r="AJ102" s="929"/>
      <c r="AK102" s="929"/>
    </row>
    <row r="103" spans="1:39" s="376" customFormat="1" ht="87" outlineLevel="1" x14ac:dyDescent="0.25">
      <c r="A103" s="467" t="s">
        <v>2699</v>
      </c>
      <c r="B103" s="912">
        <v>11</v>
      </c>
      <c r="C103" s="910" t="s">
        <v>2166</v>
      </c>
      <c r="D103" s="931"/>
      <c r="E103" s="931"/>
      <c r="F103" s="913"/>
      <c r="G103" s="910"/>
      <c r="H103" s="953">
        <f>SUBTOTAL(9,H104:H107)</f>
        <v>23.5</v>
      </c>
      <c r="I103" s="915">
        <f>SUBTOTAL(9,I104:I109)</f>
        <v>0</v>
      </c>
      <c r="J103" s="943"/>
      <c r="K103" s="917"/>
      <c r="L103" s="917"/>
      <c r="M103" s="907">
        <f>SUBTOTAL(9,M104:M107)</f>
        <v>13029000</v>
      </c>
      <c r="N103" s="907">
        <f>SUBTOTAL(9,N104:N107)</f>
        <v>0</v>
      </c>
      <c r="O103" s="914"/>
      <c r="P103" s="968">
        <f>SUBTOTAL(9,P104:P107)</f>
        <v>0</v>
      </c>
      <c r="Q103" s="907"/>
      <c r="R103" s="907">
        <f>SUBTOTAL(9,R104:R107)</f>
        <v>0</v>
      </c>
      <c r="S103" s="914"/>
      <c r="T103" s="956"/>
      <c r="U103" s="936">
        <f>SUBTOTAL(9,U104:U107)</f>
        <v>0</v>
      </c>
      <c r="V103" s="957"/>
      <c r="W103" s="907"/>
      <c r="X103" s="907">
        <f>SUBTOTAL(9,X104:X107)</f>
        <v>0</v>
      </c>
      <c r="Y103" s="925"/>
      <c r="Z103" s="928"/>
      <c r="AA103" s="928"/>
      <c r="AB103" s="904"/>
      <c r="AC103" s="928"/>
      <c r="AD103" s="928"/>
      <c r="AE103" s="937"/>
      <c r="AF103" s="935">
        <f>SUBTOTAL(9,AF104:AF107)</f>
        <v>0</v>
      </c>
      <c r="AG103" s="921"/>
      <c r="AH103" s="921">
        <f>SUBTOTAL(9,AH104:AH107)</f>
        <v>0</v>
      </c>
      <c r="AI103" s="907">
        <f t="shared" si="14"/>
        <v>13029000</v>
      </c>
      <c r="AJ103" s="910"/>
      <c r="AK103" s="914"/>
    </row>
    <row r="104" spans="1:39" s="376" customFormat="1" ht="270" outlineLevel="2" x14ac:dyDescent="0.3">
      <c r="A104" s="447">
        <f>IF(B103&lt;&gt;0,B103,A102)</f>
        <v>11</v>
      </c>
      <c r="B104" s="893"/>
      <c r="C104" s="894" t="s">
        <v>2793</v>
      </c>
      <c r="D104" s="923"/>
      <c r="E104" s="923">
        <v>86</v>
      </c>
      <c r="F104" s="896">
        <v>1582</v>
      </c>
      <c r="G104" s="894" t="s">
        <v>2891</v>
      </c>
      <c r="H104" s="924">
        <f>23.5-H105</f>
        <v>6.1000000000000014</v>
      </c>
      <c r="I104" s="882" t="str">
        <f t="shared" ref="I104:I105" si="22">IF(N104&gt;0,H104,"")</f>
        <v/>
      </c>
      <c r="J104" s="929"/>
      <c r="K104" s="899">
        <f>IF(G104&lt;&gt;0,VLOOKUP(G104,'gia dat'!$A$1:$F$144,5,0)," ")</f>
        <v>554400</v>
      </c>
      <c r="L104" s="899">
        <f>IF(G104&lt;&gt;0,VLOOKUP(G104,'gia dat'!$A$1:$F$144,6,0)," ")</f>
        <v>0</v>
      </c>
      <c r="M104" s="900">
        <f t="shared" si="16"/>
        <v>3382000</v>
      </c>
      <c r="N104" s="900">
        <f t="shared" si="17"/>
        <v>0</v>
      </c>
      <c r="O104" s="922"/>
      <c r="P104" s="965"/>
      <c r="Q104" s="900"/>
      <c r="R104" s="900"/>
      <c r="S104" s="922"/>
      <c r="T104" s="944"/>
      <c r="U104" s="927"/>
      <c r="V104" s="946"/>
      <c r="W104" s="900" t="str">
        <f>IF(S104&lt;&gt;0,VLOOKUP(S104,VKT!$A$2:$G$415,7,0),"")</f>
        <v/>
      </c>
      <c r="X104" s="900" t="str">
        <f t="shared" si="18"/>
        <v xml:space="preserve"> </v>
      </c>
      <c r="Y104" s="925"/>
      <c r="Z104" s="928"/>
      <c r="AA104" s="928"/>
      <c r="AB104" s="904"/>
      <c r="AC104" s="928"/>
      <c r="AD104" s="928"/>
      <c r="AE104" s="928"/>
      <c r="AF104" s="926"/>
      <c r="AG104" s="906" t="str">
        <f>IF(AE104&lt;&gt;0,VLOOKUP(AE104,ODDS!$A$2:$C$13,3,0),"")</f>
        <v/>
      </c>
      <c r="AH104" s="906"/>
      <c r="AI104" s="907" t="str">
        <f t="shared" si="14"/>
        <v xml:space="preserve"> </v>
      </c>
      <c r="AJ104" s="894" t="s">
        <v>2191</v>
      </c>
      <c r="AK104" s="922" t="s">
        <v>2771</v>
      </c>
      <c r="AL104" s="376" t="s">
        <v>2188</v>
      </c>
    </row>
    <row r="105" spans="1:39" s="376" customFormat="1" ht="135" outlineLevel="2" x14ac:dyDescent="0.3">
      <c r="A105" s="447">
        <f>IF(B104&lt;&gt;0,B104,A104)</f>
        <v>11</v>
      </c>
      <c r="B105" s="893"/>
      <c r="C105" s="894" t="s">
        <v>2792</v>
      </c>
      <c r="D105" s="923"/>
      <c r="E105" s="947"/>
      <c r="F105" s="947"/>
      <c r="G105" s="894" t="s">
        <v>2894</v>
      </c>
      <c r="H105" s="924">
        <v>17.399999999999999</v>
      </c>
      <c r="I105" s="882" t="str">
        <f t="shared" si="22"/>
        <v/>
      </c>
      <c r="J105" s="929"/>
      <c r="K105" s="899">
        <f>IF(G105&lt;&gt;0,VLOOKUP(G105,'gia dat'!$A$1:$F$144,5,0)," ")</f>
        <v>554400</v>
      </c>
      <c r="L105" s="899">
        <f>IF(G105&lt;&gt;0,VLOOKUP(G105,'gia dat'!$A$1:$F$144,6,0)," ")</f>
        <v>0</v>
      </c>
      <c r="M105" s="900">
        <f t="shared" si="16"/>
        <v>9647000</v>
      </c>
      <c r="N105" s="900">
        <f t="shared" si="17"/>
        <v>0</v>
      </c>
      <c r="O105" s="922"/>
      <c r="P105" s="965"/>
      <c r="Q105" s="900"/>
      <c r="R105" s="900"/>
      <c r="S105" s="922"/>
      <c r="T105" s="944"/>
      <c r="U105" s="927"/>
      <c r="V105" s="946"/>
      <c r="W105" s="900" t="str">
        <f>IF(S105&lt;&gt;0,VLOOKUP(S105,VKT!$A$2:$G$415,7,0),"")</f>
        <v/>
      </c>
      <c r="X105" s="900" t="str">
        <f t="shared" si="18"/>
        <v xml:space="preserve"> </v>
      </c>
      <c r="Y105" s="925"/>
      <c r="Z105" s="928"/>
      <c r="AA105" s="928"/>
      <c r="AB105" s="904"/>
      <c r="AC105" s="928"/>
      <c r="AD105" s="928"/>
      <c r="AE105" s="928"/>
      <c r="AF105" s="926"/>
      <c r="AG105" s="906" t="str">
        <f>IF(AE105&lt;&gt;0,VLOOKUP(AE105,ODDS!$A$2:$C$13,3,0),"")</f>
        <v/>
      </c>
      <c r="AH105" s="906"/>
      <c r="AI105" s="907" t="str">
        <f t="shared" si="14"/>
        <v xml:space="preserve"> </v>
      </c>
      <c r="AJ105" s="894" t="s">
        <v>2453</v>
      </c>
      <c r="AK105" s="929"/>
    </row>
    <row r="106" spans="1:39" s="376" customFormat="1" ht="22.5" outlineLevel="2" x14ac:dyDescent="0.3">
      <c r="A106" s="447">
        <f>IF(B105&lt;&gt;0,B105,A105)</f>
        <v>11</v>
      </c>
      <c r="B106" s="893"/>
      <c r="C106" s="910"/>
      <c r="D106" s="923"/>
      <c r="E106" s="923"/>
      <c r="F106" s="896"/>
      <c r="G106" s="894"/>
      <c r="H106" s="924"/>
      <c r="I106" s="882"/>
      <c r="J106" s="929"/>
      <c r="K106" s="899" t="str">
        <f>IF(G106&lt;&gt;0,VLOOKUP(G106,'gia dat'!$A$1:$F$144,5,0)," ")</f>
        <v xml:space="preserve"> </v>
      </c>
      <c r="L106" s="899" t="str">
        <f>IF(G106&lt;&gt;0,VLOOKUP(G106,'gia dat'!$A$1:$F$144,6,0)," ")</f>
        <v xml:space="preserve"> </v>
      </c>
      <c r="M106" s="900" t="str">
        <f t="shared" si="16"/>
        <v xml:space="preserve"> </v>
      </c>
      <c r="N106" s="900" t="str">
        <f t="shared" si="17"/>
        <v xml:space="preserve"> </v>
      </c>
      <c r="O106" s="922"/>
      <c r="P106" s="965"/>
      <c r="Q106" s="900"/>
      <c r="R106" s="900"/>
      <c r="S106" s="922"/>
      <c r="T106" s="944"/>
      <c r="U106" s="927"/>
      <c r="V106" s="946"/>
      <c r="W106" s="900" t="str">
        <f>IF(S106&lt;&gt;0,VLOOKUP(S106,VKT!$A$2:$G$415,7,0),"")</f>
        <v/>
      </c>
      <c r="X106" s="900" t="str">
        <f t="shared" si="18"/>
        <v xml:space="preserve"> </v>
      </c>
      <c r="Y106" s="925"/>
      <c r="Z106" s="928"/>
      <c r="AA106" s="928"/>
      <c r="AB106" s="904"/>
      <c r="AC106" s="928"/>
      <c r="AD106" s="928"/>
      <c r="AE106" s="928"/>
      <c r="AF106" s="926"/>
      <c r="AG106" s="906" t="str">
        <f>IF(AE106&lt;&gt;0,VLOOKUP(AE106,ODDS!$A$2:$C$13,3,0),"")</f>
        <v/>
      </c>
      <c r="AH106" s="906"/>
      <c r="AI106" s="907" t="str">
        <f t="shared" si="14"/>
        <v xml:space="preserve"> </v>
      </c>
      <c r="AJ106" s="929"/>
      <c r="AK106" s="929"/>
    </row>
    <row r="107" spans="1:39" s="376" customFormat="1" ht="22.5" outlineLevel="2" x14ac:dyDescent="0.3">
      <c r="A107" s="447">
        <f>IF(B106&lt;&gt;0,B106,A106)</f>
        <v>11</v>
      </c>
      <c r="B107" s="893"/>
      <c r="C107" s="942"/>
      <c r="D107" s="923"/>
      <c r="E107" s="923"/>
      <c r="F107" s="896"/>
      <c r="G107" s="894"/>
      <c r="H107" s="924"/>
      <c r="I107" s="882"/>
      <c r="J107" s="929"/>
      <c r="K107" s="899" t="str">
        <f>IF(G107&lt;&gt;0,VLOOKUP(G107,'gia dat'!$A$1:$F$144,5,0)," ")</f>
        <v xml:space="preserve"> </v>
      </c>
      <c r="L107" s="899" t="str">
        <f>IF(G107&lt;&gt;0,VLOOKUP(G107,'gia dat'!$A$1:$F$144,6,0)," ")</f>
        <v xml:space="preserve"> </v>
      </c>
      <c r="M107" s="900" t="str">
        <f t="shared" si="16"/>
        <v xml:space="preserve"> </v>
      </c>
      <c r="N107" s="900" t="str">
        <f t="shared" si="17"/>
        <v xml:space="preserve"> </v>
      </c>
      <c r="O107" s="922"/>
      <c r="P107" s="965"/>
      <c r="Q107" s="900"/>
      <c r="R107" s="900"/>
      <c r="S107" s="922"/>
      <c r="T107" s="944"/>
      <c r="U107" s="927"/>
      <c r="V107" s="946"/>
      <c r="W107" s="900" t="str">
        <f>IF(S107&lt;&gt;0,VLOOKUP(S107,VKT!$A$2:$G$415,7,0),"")</f>
        <v/>
      </c>
      <c r="X107" s="900" t="str">
        <f t="shared" si="18"/>
        <v xml:space="preserve"> </v>
      </c>
      <c r="Y107" s="925"/>
      <c r="Z107" s="928"/>
      <c r="AA107" s="928"/>
      <c r="AB107" s="904"/>
      <c r="AC107" s="928"/>
      <c r="AD107" s="928"/>
      <c r="AE107" s="928"/>
      <c r="AF107" s="926"/>
      <c r="AG107" s="906" t="str">
        <f>IF(AE107&lt;&gt;0,VLOOKUP(AE107,ODDS!$A$2:$C$13,3,0),"")</f>
        <v/>
      </c>
      <c r="AH107" s="906"/>
      <c r="AI107" s="907" t="str">
        <f t="shared" si="14"/>
        <v xml:space="preserve"> </v>
      </c>
      <c r="AJ107" s="929"/>
      <c r="AK107" s="929"/>
    </row>
    <row r="108" spans="1:39" s="376" customFormat="1" ht="43.5" outlineLevel="1" x14ac:dyDescent="0.3">
      <c r="A108" s="467" t="s">
        <v>2698</v>
      </c>
      <c r="B108" s="912">
        <v>12</v>
      </c>
      <c r="C108" s="942" t="s">
        <v>2167</v>
      </c>
      <c r="D108" s="931"/>
      <c r="E108" s="958"/>
      <c r="F108" s="958"/>
      <c r="G108" s="959"/>
      <c r="H108" s="960">
        <f>SUBTOTAL(9,H109:H118)</f>
        <v>0</v>
      </c>
      <c r="I108" s="915">
        <f>SUBTOTAL(9,I109:I114)</f>
        <v>0</v>
      </c>
      <c r="J108" s="959"/>
      <c r="K108" s="917"/>
      <c r="L108" s="917"/>
      <c r="M108" s="907">
        <f>SUBTOTAL(9,M109:M118)</f>
        <v>0</v>
      </c>
      <c r="N108" s="907">
        <f>SUBTOTAL(9,N109:N118)</f>
        <v>0</v>
      </c>
      <c r="O108" s="910"/>
      <c r="P108" s="935">
        <f>SUBTOTAL(9,P109:P118)</f>
        <v>8</v>
      </c>
      <c r="Q108" s="907"/>
      <c r="R108" s="907">
        <f>SUBTOTAL(9,R109:R118)</f>
        <v>7330000</v>
      </c>
      <c r="S108" s="918"/>
      <c r="T108" s="933"/>
      <c r="U108" s="936">
        <f>SUBTOTAL(9,U109:U118)</f>
        <v>76.439999999999984</v>
      </c>
      <c r="V108" s="933"/>
      <c r="W108" s="907"/>
      <c r="X108" s="907">
        <f>SUBTOTAL(9,X109:X118)</f>
        <v>38028000</v>
      </c>
      <c r="Y108" s="925"/>
      <c r="Z108" s="928"/>
      <c r="AA108" s="928"/>
      <c r="AB108" s="904"/>
      <c r="AC108" s="928"/>
      <c r="AD108" s="928"/>
      <c r="AE108" s="937"/>
      <c r="AF108" s="935">
        <f>SUBTOTAL(9,AF109:AF118)</f>
        <v>0</v>
      </c>
      <c r="AG108" s="921"/>
      <c r="AH108" s="921">
        <f>SUBTOTAL(9,AH109:AH118)</f>
        <v>0</v>
      </c>
      <c r="AI108" s="907">
        <f t="shared" si="14"/>
        <v>45358000</v>
      </c>
      <c r="AJ108" s="959"/>
      <c r="AK108" s="910"/>
      <c r="AM108" s="473"/>
    </row>
    <row r="109" spans="1:39" s="376" customFormat="1" ht="112.5" outlineLevel="2" x14ac:dyDescent="0.35">
      <c r="A109" s="447">
        <f>IF(B108&lt;&gt;0,B108,A107)</f>
        <v>12</v>
      </c>
      <c r="B109" s="893"/>
      <c r="C109" s="894" t="s">
        <v>100</v>
      </c>
      <c r="D109" s="923">
        <v>7</v>
      </c>
      <c r="E109" s="962"/>
      <c r="F109" s="962"/>
      <c r="G109" s="911"/>
      <c r="H109" s="897"/>
      <c r="I109" s="882"/>
      <c r="J109" s="911"/>
      <c r="K109" s="899" t="str">
        <f>IF(G109&lt;&gt;0,VLOOKUP(G109,'gia dat'!$A$1:$F$144,5,0)," ")</f>
        <v xml:space="preserve"> </v>
      </c>
      <c r="L109" s="899" t="str">
        <f>IF(G109&lt;&gt;0,VLOOKUP(G109,'gia dat'!$A$1:$F$144,6,0)," ")</f>
        <v xml:space="preserve"> </v>
      </c>
      <c r="M109" s="900" t="str">
        <f t="shared" si="16"/>
        <v xml:space="preserve"> </v>
      </c>
      <c r="N109" s="900" t="str">
        <f t="shared" si="17"/>
        <v xml:space="preserve"> </v>
      </c>
      <c r="O109" s="894" t="s">
        <v>61</v>
      </c>
      <c r="P109" s="926">
        <v>4</v>
      </c>
      <c r="Q109" s="900">
        <f>IF(O109&lt;&gt;0,VLOOKUP(O109,'Cây trong'!$A$2:$C$246,3,0)," ")</f>
        <v>1708000</v>
      </c>
      <c r="R109" s="900">
        <f>IF(O109&lt;&gt;0,ROUND(P109*Q109,-2)," ")</f>
        <v>6832000</v>
      </c>
      <c r="S109" s="902" t="s">
        <v>2261</v>
      </c>
      <c r="T109" s="925" t="s">
        <v>53</v>
      </c>
      <c r="U109" s="927">
        <v>29.2</v>
      </c>
      <c r="V109" s="925"/>
      <c r="W109" s="900">
        <f>IF(S109&lt;&gt;0,VLOOKUP(S109,VKT!$A$2:$G$415,7,0),"")</f>
        <v>211811</v>
      </c>
      <c r="X109" s="900">
        <f t="shared" si="18"/>
        <v>6185000</v>
      </c>
      <c r="Y109" s="925"/>
      <c r="Z109" s="928"/>
      <c r="AA109" s="928"/>
      <c r="AB109" s="904"/>
      <c r="AC109" s="928"/>
      <c r="AD109" s="928"/>
      <c r="AE109" s="928"/>
      <c r="AF109" s="926"/>
      <c r="AG109" s="906" t="str">
        <f>IF(AE109&lt;&gt;0,VLOOKUP(AE109,ODDS!$A$2:$C$13,3,0),"")</f>
        <v/>
      </c>
      <c r="AH109" s="906" t="str">
        <f t="shared" si="5"/>
        <v xml:space="preserve"> </v>
      </c>
      <c r="AI109" s="907" t="str">
        <f t="shared" si="14"/>
        <v xml:space="preserve"> </v>
      </c>
      <c r="AJ109" s="911"/>
      <c r="AK109" s="894" t="s">
        <v>2450</v>
      </c>
      <c r="AM109" s="378" t="s">
        <v>2156</v>
      </c>
    </row>
    <row r="110" spans="1:39" s="376" customFormat="1" ht="112.5" outlineLevel="2" x14ac:dyDescent="0.35">
      <c r="A110" s="447">
        <f t="shared" ref="A110:A118" si="23">IF(B109&lt;&gt;0,B109,A109)</f>
        <v>12</v>
      </c>
      <c r="B110" s="893"/>
      <c r="C110" s="908" t="s">
        <v>629</v>
      </c>
      <c r="D110" s="923"/>
      <c r="E110" s="923"/>
      <c r="F110" s="896"/>
      <c r="G110" s="894"/>
      <c r="H110" s="924"/>
      <c r="I110" s="882"/>
      <c r="J110" s="925"/>
      <c r="K110" s="899" t="str">
        <f>IF(G110&lt;&gt;0,VLOOKUP(G110,'gia dat'!$A$1:$F$144,5,0)," ")</f>
        <v xml:space="preserve"> </v>
      </c>
      <c r="L110" s="899" t="str">
        <f>IF(G110&lt;&gt;0,VLOOKUP(G110,'gia dat'!$A$1:$F$144,6,0)," ")</f>
        <v xml:space="preserve"> </v>
      </c>
      <c r="M110" s="900" t="str">
        <f t="shared" si="16"/>
        <v xml:space="preserve"> </v>
      </c>
      <c r="N110" s="900" t="str">
        <f t="shared" si="17"/>
        <v xml:space="preserve"> </v>
      </c>
      <c r="O110" s="894" t="s">
        <v>726</v>
      </c>
      <c r="P110" s="926">
        <v>1</v>
      </c>
      <c r="Q110" s="900">
        <f>IF(O110&lt;&gt;0,VLOOKUP(O110,'Cây trong'!$A$2:$C$246,3,0)," ")</f>
        <v>60000</v>
      </c>
      <c r="R110" s="900">
        <f t="shared" si="3"/>
        <v>60000</v>
      </c>
      <c r="S110" s="902" t="s">
        <v>2262</v>
      </c>
      <c r="T110" s="925" t="s">
        <v>53</v>
      </c>
      <c r="U110" s="927">
        <v>1.3</v>
      </c>
      <c r="V110" s="925"/>
      <c r="W110" s="900">
        <f>IF(S110&lt;&gt;0,VLOOKUP(S110,VKT!$A$2:$G$415,7,0),"")</f>
        <v>3346339</v>
      </c>
      <c r="X110" s="900">
        <f t="shared" si="18"/>
        <v>4350000</v>
      </c>
      <c r="Y110" s="925"/>
      <c r="Z110" s="904" t="s">
        <v>433</v>
      </c>
      <c r="AA110" s="928" t="s">
        <v>56</v>
      </c>
      <c r="AB110" s="904" t="s">
        <v>57</v>
      </c>
      <c r="AC110" s="928" t="s">
        <v>54</v>
      </c>
      <c r="AD110" s="928"/>
      <c r="AE110" s="928"/>
      <c r="AF110" s="926"/>
      <c r="AG110" s="906" t="str">
        <f>IF(AE110&lt;&gt;0,VLOOKUP(AE110,ODDS!$A$2:$C$13,3,0),"")</f>
        <v/>
      </c>
      <c r="AH110" s="906" t="str">
        <f t="shared" si="5"/>
        <v xml:space="preserve"> </v>
      </c>
      <c r="AI110" s="907" t="str">
        <f t="shared" si="14"/>
        <v xml:space="preserve"> </v>
      </c>
      <c r="AJ110" s="911"/>
      <c r="AK110" s="894" t="s">
        <v>2449</v>
      </c>
    </row>
    <row r="111" spans="1:39" s="376" customFormat="1" ht="112.5" outlineLevel="2" x14ac:dyDescent="0.3">
      <c r="A111" s="447">
        <f t="shared" si="23"/>
        <v>12</v>
      </c>
      <c r="B111" s="893"/>
      <c r="C111" s="894" t="s">
        <v>307</v>
      </c>
      <c r="D111" s="923"/>
      <c r="E111" s="923"/>
      <c r="F111" s="896"/>
      <c r="G111" s="894"/>
      <c r="H111" s="924"/>
      <c r="I111" s="882"/>
      <c r="J111" s="925"/>
      <c r="K111" s="899" t="str">
        <f>IF(G111&lt;&gt;0,VLOOKUP(G111,'gia dat'!$A$1:$F$144,5,0)," ")</f>
        <v xml:space="preserve"> </v>
      </c>
      <c r="L111" s="899" t="str">
        <f>IF(G111&lt;&gt;0,VLOOKUP(G111,'gia dat'!$A$1:$F$144,6,0)," ")</f>
        <v xml:space="preserve"> </v>
      </c>
      <c r="M111" s="900" t="str">
        <f t="shared" si="16"/>
        <v xml:space="preserve"> </v>
      </c>
      <c r="N111" s="900" t="str">
        <f t="shared" si="17"/>
        <v xml:space="preserve"> </v>
      </c>
      <c r="O111" s="894" t="s">
        <v>352</v>
      </c>
      <c r="P111" s="926">
        <v>1</v>
      </c>
      <c r="Q111" s="900">
        <f>IF(O111&lt;&gt;0,VLOOKUP(O111,'Cây trong'!$A$2:$C$246,3,0)," ")</f>
        <v>60000</v>
      </c>
      <c r="R111" s="900">
        <f t="shared" si="3"/>
        <v>60000</v>
      </c>
      <c r="S111" s="902" t="s">
        <v>2263</v>
      </c>
      <c r="T111" s="925" t="s">
        <v>53</v>
      </c>
      <c r="U111" s="927">
        <v>22.88</v>
      </c>
      <c r="V111" s="925"/>
      <c r="W111" s="900">
        <f>IF(S111&lt;&gt;0,VLOOKUP(S111,VKT!$A$2:$G$415,7,0),"")</f>
        <v>791229</v>
      </c>
      <c r="X111" s="900">
        <f t="shared" si="18"/>
        <v>18103000</v>
      </c>
      <c r="Y111" s="925"/>
      <c r="Z111" s="928"/>
      <c r="AA111" s="928"/>
      <c r="AB111" s="904"/>
      <c r="AC111" s="928"/>
      <c r="AD111" s="928"/>
      <c r="AE111" s="928"/>
      <c r="AF111" s="926"/>
      <c r="AG111" s="906" t="str">
        <f>IF(AE111&lt;&gt;0,VLOOKUP(AE111,ODDS!$A$2:$C$13,3,0),"")</f>
        <v/>
      </c>
      <c r="AH111" s="906" t="str">
        <f t="shared" si="5"/>
        <v xml:space="preserve"> </v>
      </c>
      <c r="AI111" s="907" t="str">
        <f t="shared" si="14"/>
        <v xml:space="preserve"> </v>
      </c>
      <c r="AJ111" s="929"/>
      <c r="AK111" s="894" t="s">
        <v>2800</v>
      </c>
    </row>
    <row r="112" spans="1:39" s="376" customFormat="1" ht="67.5" outlineLevel="2" x14ac:dyDescent="0.35">
      <c r="A112" s="447">
        <f t="shared" si="23"/>
        <v>12</v>
      </c>
      <c r="B112" s="893"/>
      <c r="C112" s="894"/>
      <c r="D112" s="923"/>
      <c r="E112" s="923"/>
      <c r="F112" s="896"/>
      <c r="G112" s="894"/>
      <c r="H112" s="924"/>
      <c r="I112" s="882"/>
      <c r="J112" s="925"/>
      <c r="K112" s="899" t="str">
        <f>IF(G112&lt;&gt;0,VLOOKUP(G112,'gia dat'!$A$1:$F$144,5,0)," ")</f>
        <v xml:space="preserve"> </v>
      </c>
      <c r="L112" s="899" t="str">
        <f>IF(G112&lt;&gt;0,VLOOKUP(G112,'gia dat'!$A$1:$F$144,6,0)," ")</f>
        <v xml:space="preserve"> </v>
      </c>
      <c r="M112" s="900" t="str">
        <f t="shared" si="16"/>
        <v xml:space="preserve"> </v>
      </c>
      <c r="N112" s="900" t="str">
        <f t="shared" si="17"/>
        <v xml:space="preserve"> </v>
      </c>
      <c r="O112" s="894" t="s">
        <v>729</v>
      </c>
      <c r="P112" s="926">
        <v>1</v>
      </c>
      <c r="Q112" s="900">
        <f>IF(O112&lt;&gt;0,VLOOKUP(O112,'Cây trong'!$A$2:$C$246,3,0)," ")</f>
        <v>150000</v>
      </c>
      <c r="R112" s="900">
        <f t="shared" si="3"/>
        <v>150000</v>
      </c>
      <c r="S112" s="902" t="s">
        <v>2264</v>
      </c>
      <c r="T112" s="925" t="s">
        <v>101</v>
      </c>
      <c r="U112" s="927">
        <v>12</v>
      </c>
      <c r="V112" s="925"/>
      <c r="W112" s="900">
        <f>IF(S112&lt;&gt;0,VLOOKUP(S112,VKT!$A$2:$G$415,7,0),"")</f>
        <v>538142</v>
      </c>
      <c r="X112" s="900">
        <f t="shared" si="18"/>
        <v>6458000</v>
      </c>
      <c r="Y112" s="925"/>
      <c r="Z112" s="928"/>
      <c r="AA112" s="928"/>
      <c r="AB112" s="904"/>
      <c r="AC112" s="928"/>
      <c r="AD112" s="928"/>
      <c r="AE112" s="928"/>
      <c r="AF112" s="926"/>
      <c r="AG112" s="906" t="str">
        <f>IF(AE112&lt;&gt;0,VLOOKUP(AE112,ODDS!$A$2:$C$13,3,0),"")</f>
        <v/>
      </c>
      <c r="AH112" s="906" t="str">
        <f t="shared" si="5"/>
        <v xml:space="preserve"> </v>
      </c>
      <c r="AI112" s="907" t="str">
        <f t="shared" si="14"/>
        <v xml:space="preserve"> </v>
      </c>
      <c r="AJ112" s="911"/>
      <c r="AK112" s="929"/>
    </row>
    <row r="113" spans="1:39" s="376" customFormat="1" ht="45" outlineLevel="2" x14ac:dyDescent="0.35">
      <c r="A113" s="447">
        <f t="shared" si="23"/>
        <v>12</v>
      </c>
      <c r="B113" s="893"/>
      <c r="C113" s="942"/>
      <c r="D113" s="930"/>
      <c r="E113" s="931"/>
      <c r="F113" s="913"/>
      <c r="G113" s="910"/>
      <c r="H113" s="924"/>
      <c r="I113" s="882"/>
      <c r="J113" s="943"/>
      <c r="K113" s="899" t="str">
        <f>IF(G113&lt;&gt;0,VLOOKUP(G113,'gia dat'!$A$1:$F$144,5,0)," ")</f>
        <v xml:space="preserve"> </v>
      </c>
      <c r="L113" s="899" t="str">
        <f>IF(G113&lt;&gt;0,VLOOKUP(G113,'gia dat'!$A$1:$F$144,6,0)," ")</f>
        <v xml:space="preserve"> </v>
      </c>
      <c r="M113" s="900" t="str">
        <f t="shared" si="16"/>
        <v xml:space="preserve"> </v>
      </c>
      <c r="N113" s="900" t="str">
        <f t="shared" si="17"/>
        <v xml:space="preserve"> </v>
      </c>
      <c r="O113" s="922" t="s">
        <v>400</v>
      </c>
      <c r="P113" s="926">
        <v>1</v>
      </c>
      <c r="Q113" s="900">
        <f>IF(O113&lt;&gt;0,VLOOKUP(O113,'Cây trong'!$A$2:$C$246,3,0)," ")</f>
        <v>228000</v>
      </c>
      <c r="R113" s="900">
        <f t="shared" si="3"/>
        <v>228000</v>
      </c>
      <c r="S113" s="922" t="s">
        <v>2265</v>
      </c>
      <c r="T113" s="925" t="s">
        <v>101</v>
      </c>
      <c r="U113" s="927">
        <v>6</v>
      </c>
      <c r="V113" s="933"/>
      <c r="W113" s="900">
        <f>IF(S113&lt;&gt;0,VLOOKUP(S113,VKT!$A$2:$G$415,7,0),"")</f>
        <v>75574</v>
      </c>
      <c r="X113" s="900">
        <f t="shared" si="18"/>
        <v>453000</v>
      </c>
      <c r="Y113" s="916"/>
      <c r="Z113" s="937"/>
      <c r="AA113" s="937"/>
      <c r="AB113" s="920"/>
      <c r="AC113" s="937"/>
      <c r="AD113" s="937"/>
      <c r="AE113" s="937"/>
      <c r="AF113" s="935"/>
      <c r="AG113" s="906" t="str">
        <f>IF(AE113&lt;&gt;0,VLOOKUP(AE113,ODDS!$A$2:$C$13,3,0),"")</f>
        <v/>
      </c>
      <c r="AH113" s="906" t="str">
        <f t="shared" si="5"/>
        <v xml:space="preserve"> </v>
      </c>
      <c r="AI113" s="907" t="str">
        <f t="shared" si="14"/>
        <v xml:space="preserve"> </v>
      </c>
      <c r="AJ113" s="911"/>
      <c r="AK113" s="943"/>
    </row>
    <row r="114" spans="1:39" s="376" customFormat="1" ht="90" outlineLevel="2" x14ac:dyDescent="0.3">
      <c r="A114" s="447">
        <f t="shared" si="23"/>
        <v>12</v>
      </c>
      <c r="B114" s="893"/>
      <c r="C114" s="942"/>
      <c r="D114" s="930"/>
      <c r="E114" s="931"/>
      <c r="F114" s="913"/>
      <c r="G114" s="910"/>
      <c r="H114" s="924"/>
      <c r="I114" s="882"/>
      <c r="J114" s="943"/>
      <c r="K114" s="899" t="str">
        <f>IF(G114&lt;&gt;0,VLOOKUP(G114,'gia dat'!$A$1:$F$144,5,0)," ")</f>
        <v xml:space="preserve"> </v>
      </c>
      <c r="L114" s="899" t="str">
        <f>IF(G114&lt;&gt;0,VLOOKUP(G114,'gia dat'!$A$1:$F$144,6,0)," ")</f>
        <v xml:space="preserve"> </v>
      </c>
      <c r="M114" s="900" t="str">
        <f t="shared" si="16"/>
        <v xml:space="preserve"> </v>
      </c>
      <c r="N114" s="900" t="str">
        <f t="shared" si="17"/>
        <v xml:space="preserve"> </v>
      </c>
      <c r="O114" s="922"/>
      <c r="P114" s="926"/>
      <c r="Q114" s="900" t="str">
        <f>IF(O114&lt;&gt;0,VLOOKUP(O114,'Cây trong'!$A$2:$C$246,3,0)," ")</f>
        <v xml:space="preserve"> </v>
      </c>
      <c r="R114" s="900" t="str">
        <f t="shared" si="3"/>
        <v xml:space="preserve"> </v>
      </c>
      <c r="S114" s="922" t="s">
        <v>2266</v>
      </c>
      <c r="T114" s="925" t="s">
        <v>53</v>
      </c>
      <c r="U114" s="927">
        <v>4.8</v>
      </c>
      <c r="V114" s="933"/>
      <c r="W114" s="900">
        <f>IF(S114&lt;&gt;0,VLOOKUP(S114,VKT!$A$2:$G$415,7,0),"")</f>
        <v>441467</v>
      </c>
      <c r="X114" s="900">
        <f t="shared" si="18"/>
        <v>2119000</v>
      </c>
      <c r="Y114" s="916"/>
      <c r="Z114" s="937"/>
      <c r="AA114" s="937"/>
      <c r="AB114" s="920"/>
      <c r="AC114" s="937"/>
      <c r="AD114" s="937"/>
      <c r="AE114" s="937"/>
      <c r="AF114" s="935"/>
      <c r="AG114" s="906" t="str">
        <f>IF(AE114&lt;&gt;0,VLOOKUP(AE114,ODDS!$A$2:$C$13,3,0),"")</f>
        <v/>
      </c>
      <c r="AH114" s="906" t="str">
        <f t="shared" si="5"/>
        <v xml:space="preserve"> </v>
      </c>
      <c r="AI114" s="907" t="str">
        <f t="shared" si="14"/>
        <v xml:space="preserve"> </v>
      </c>
      <c r="AJ114" s="943"/>
      <c r="AK114" s="943"/>
    </row>
    <row r="115" spans="1:39" s="376" customFormat="1" ht="45" outlineLevel="2" x14ac:dyDescent="0.3">
      <c r="A115" s="447">
        <f t="shared" si="23"/>
        <v>12</v>
      </c>
      <c r="B115" s="893"/>
      <c r="C115" s="942"/>
      <c r="D115" s="923"/>
      <c r="E115" s="923"/>
      <c r="F115" s="950"/>
      <c r="G115" s="894"/>
      <c r="H115" s="940"/>
      <c r="I115" s="882"/>
      <c r="J115" s="929"/>
      <c r="K115" s="899" t="str">
        <f>IF(G115&lt;&gt;0,VLOOKUP(G115,'gia dat'!$A$1:$F$144,5,0)," ")</f>
        <v xml:space="preserve"> </v>
      </c>
      <c r="L115" s="899" t="str">
        <f>IF(G115&lt;&gt;0,VLOOKUP(G115,'gia dat'!$A$1:$F$144,6,0)," ")</f>
        <v xml:space="preserve"> </v>
      </c>
      <c r="M115" s="900" t="str">
        <f t="shared" si="16"/>
        <v xml:space="preserve"> </v>
      </c>
      <c r="N115" s="900" t="str">
        <f t="shared" si="17"/>
        <v xml:space="preserve"> </v>
      </c>
      <c r="O115" s="929"/>
      <c r="P115" s="951"/>
      <c r="Q115" s="900" t="str">
        <f>IF(O115&lt;&gt;0,VLOOKUP(O115,'Cây trong'!$A$2:$C$246,3,0)," ")</f>
        <v xml:space="preserve"> </v>
      </c>
      <c r="R115" s="900" t="str">
        <f t="shared" si="3"/>
        <v xml:space="preserve"> </v>
      </c>
      <c r="S115" s="894" t="s">
        <v>2267</v>
      </c>
      <c r="T115" s="925" t="s">
        <v>78</v>
      </c>
      <c r="U115" s="927">
        <v>0.1</v>
      </c>
      <c r="V115" s="925"/>
      <c r="W115" s="900">
        <f>IF(S115&lt;&gt;0,VLOOKUP(S115,VKT!$A$2:$G$415,7,0),"")</f>
        <v>3192796</v>
      </c>
      <c r="X115" s="900">
        <f t="shared" si="18"/>
        <v>319000</v>
      </c>
      <c r="Y115" s="925"/>
      <c r="Z115" s="925"/>
      <c r="AA115" s="925"/>
      <c r="AB115" s="898"/>
      <c r="AC115" s="925"/>
      <c r="AD115" s="925"/>
      <c r="AE115" s="925"/>
      <c r="AF115" s="964"/>
      <c r="AG115" s="906" t="str">
        <f>IF(AE115&lt;&gt;0,VLOOKUP(AE115,ODDS!$A$2:$C$13,3,0),"")</f>
        <v/>
      </c>
      <c r="AH115" s="906" t="str">
        <f t="shared" si="5"/>
        <v xml:space="preserve"> </v>
      </c>
      <c r="AI115" s="907" t="str">
        <f t="shared" si="14"/>
        <v xml:space="preserve"> </v>
      </c>
      <c r="AJ115" s="929"/>
      <c r="AK115" s="929"/>
    </row>
    <row r="116" spans="1:39" s="376" customFormat="1" ht="45" outlineLevel="2" x14ac:dyDescent="0.3">
      <c r="A116" s="447">
        <f t="shared" si="23"/>
        <v>12</v>
      </c>
      <c r="B116" s="893"/>
      <c r="C116" s="942"/>
      <c r="D116" s="923"/>
      <c r="E116" s="923"/>
      <c r="F116" s="950"/>
      <c r="G116" s="894"/>
      <c r="H116" s="940"/>
      <c r="I116" s="882"/>
      <c r="J116" s="929"/>
      <c r="K116" s="899" t="str">
        <f>IF(G116&lt;&gt;0,VLOOKUP(G116,'gia dat'!$A$1:$F$144,5,0)," ")</f>
        <v xml:space="preserve"> </v>
      </c>
      <c r="L116" s="899" t="str">
        <f>IF(G116&lt;&gt;0,VLOOKUP(G116,'gia dat'!$A$1:$F$144,6,0)," ")</f>
        <v xml:space="preserve"> </v>
      </c>
      <c r="M116" s="900" t="str">
        <f t="shared" si="16"/>
        <v xml:space="preserve"> </v>
      </c>
      <c r="N116" s="900" t="str">
        <f t="shared" si="17"/>
        <v xml:space="preserve"> </v>
      </c>
      <c r="O116" s="929"/>
      <c r="P116" s="951"/>
      <c r="Q116" s="900" t="str">
        <f>IF(O116&lt;&gt;0,VLOOKUP(O116,'Cây trong'!$A$2:$C$246,3,0)," ")</f>
        <v xml:space="preserve"> </v>
      </c>
      <c r="R116" s="900" t="str">
        <f t="shared" si="3"/>
        <v xml:space="preserve"> </v>
      </c>
      <c r="S116" s="894" t="s">
        <v>2268</v>
      </c>
      <c r="T116" s="925" t="s">
        <v>53</v>
      </c>
      <c r="U116" s="927">
        <v>0.16</v>
      </c>
      <c r="V116" s="925"/>
      <c r="W116" s="900">
        <f>IF(S116&lt;&gt;0,VLOOKUP(S116,VKT!$A$2:$G$415,7,0),"")</f>
        <v>254982</v>
      </c>
      <c r="X116" s="900">
        <f t="shared" si="18"/>
        <v>41000</v>
      </c>
      <c r="Y116" s="925"/>
      <c r="Z116" s="925"/>
      <c r="AA116" s="925"/>
      <c r="AB116" s="898"/>
      <c r="AC116" s="925"/>
      <c r="AD116" s="925"/>
      <c r="AE116" s="925"/>
      <c r="AF116" s="964"/>
      <c r="AG116" s="906" t="str">
        <f>IF(AE116&lt;&gt;0,VLOOKUP(AE116,ODDS!$A$2:$C$13,3,0),"")</f>
        <v/>
      </c>
      <c r="AH116" s="906" t="str">
        <f t="shared" si="5"/>
        <v xml:space="preserve"> </v>
      </c>
      <c r="AI116" s="907" t="str">
        <f t="shared" si="14"/>
        <v xml:space="preserve"> </v>
      </c>
      <c r="AJ116" s="929"/>
      <c r="AK116" s="929"/>
    </row>
    <row r="117" spans="1:39" s="376" customFormat="1" ht="22.5" outlineLevel="2" x14ac:dyDescent="0.3">
      <c r="A117" s="447">
        <f t="shared" si="23"/>
        <v>12</v>
      </c>
      <c r="B117" s="893"/>
      <c r="C117" s="908"/>
      <c r="D117" s="923"/>
      <c r="E117" s="923"/>
      <c r="F117" s="950"/>
      <c r="G117" s="894"/>
      <c r="H117" s="940"/>
      <c r="I117" s="882"/>
      <c r="J117" s="929"/>
      <c r="K117" s="899" t="str">
        <f>IF(G117&lt;&gt;0,VLOOKUP(G117,'gia dat'!$A$1:$F$144,5,0)," ")</f>
        <v xml:space="preserve"> </v>
      </c>
      <c r="L117" s="899" t="str">
        <f>IF(G117&lt;&gt;0,VLOOKUP(G117,'gia dat'!$A$1:$F$144,6,0)," ")</f>
        <v xml:space="preserve"> </v>
      </c>
      <c r="M117" s="900" t="str">
        <f t="shared" si="16"/>
        <v xml:space="preserve"> </v>
      </c>
      <c r="N117" s="900" t="str">
        <f t="shared" si="17"/>
        <v xml:space="preserve"> </v>
      </c>
      <c r="O117" s="929"/>
      <c r="P117" s="951"/>
      <c r="Q117" s="900" t="str">
        <f>IF(O117&lt;&gt;0,VLOOKUP(O117,'Cây trong'!$A$2:$C$246,3,0)," ")</f>
        <v xml:space="preserve"> </v>
      </c>
      <c r="R117" s="900" t="str">
        <f t="shared" si="3"/>
        <v xml:space="preserve"> </v>
      </c>
      <c r="S117" s="929"/>
      <c r="T117" s="925"/>
      <c r="U117" s="927"/>
      <c r="V117" s="925"/>
      <c r="W117" s="900" t="str">
        <f>IF(S117&lt;&gt;0,VLOOKUP(S117,VKT!$A$2:$G$415,7,0),"")</f>
        <v/>
      </c>
      <c r="X117" s="900" t="str">
        <f t="shared" si="18"/>
        <v xml:space="preserve"> </v>
      </c>
      <c r="Y117" s="925"/>
      <c r="Z117" s="925"/>
      <c r="AA117" s="925"/>
      <c r="AB117" s="898"/>
      <c r="AC117" s="925"/>
      <c r="AD117" s="925"/>
      <c r="AE117" s="925"/>
      <c r="AF117" s="964"/>
      <c r="AG117" s="906" t="str">
        <f>IF(AE117&lt;&gt;0,VLOOKUP(AE117,ODDS!$A$2:$C$13,3,0),"")</f>
        <v/>
      </c>
      <c r="AH117" s="906" t="str">
        <f t="shared" si="5"/>
        <v xml:space="preserve"> </v>
      </c>
      <c r="AI117" s="907" t="str">
        <f t="shared" si="14"/>
        <v xml:space="preserve"> </v>
      </c>
      <c r="AJ117" s="929"/>
      <c r="AK117" s="929"/>
    </row>
    <row r="118" spans="1:39" s="376" customFormat="1" ht="22.5" outlineLevel="2" x14ac:dyDescent="0.3">
      <c r="A118" s="447">
        <f t="shared" si="23"/>
        <v>12</v>
      </c>
      <c r="B118" s="893"/>
      <c r="C118" s="942"/>
      <c r="D118" s="923"/>
      <c r="E118" s="923"/>
      <c r="F118" s="896"/>
      <c r="G118" s="894"/>
      <c r="H118" s="924"/>
      <c r="I118" s="882"/>
      <c r="J118" s="929"/>
      <c r="K118" s="899" t="str">
        <f>IF(G118&lt;&gt;0,VLOOKUP(G118,'gia dat'!$A$1:$F$144,5,0)," ")</f>
        <v xml:space="preserve"> </v>
      </c>
      <c r="L118" s="899" t="str">
        <f>IF(G118&lt;&gt;0,VLOOKUP(G118,'gia dat'!$A$1:$F$144,6,0)," ")</f>
        <v xml:space="preserve"> </v>
      </c>
      <c r="M118" s="900" t="str">
        <f t="shared" si="16"/>
        <v xml:space="preserve"> </v>
      </c>
      <c r="N118" s="900" t="str">
        <f t="shared" si="17"/>
        <v xml:space="preserve"> </v>
      </c>
      <c r="O118" s="922"/>
      <c r="P118" s="965"/>
      <c r="Q118" s="900" t="str">
        <f>IF(O118&lt;&gt;0,VLOOKUP(O118,'Cây trong'!$A$2:$C$246,3,0)," ")</f>
        <v xml:space="preserve"> </v>
      </c>
      <c r="R118" s="900" t="str">
        <f t="shared" si="3"/>
        <v xml:space="preserve"> </v>
      </c>
      <c r="S118" s="922"/>
      <c r="T118" s="944"/>
      <c r="U118" s="927"/>
      <c r="V118" s="946"/>
      <c r="W118" s="900" t="str">
        <f>IF(S118&lt;&gt;0,VLOOKUP(S118,VKT!$A$2:$G$415,7,0),"")</f>
        <v/>
      </c>
      <c r="X118" s="900" t="str">
        <f t="shared" si="18"/>
        <v xml:space="preserve"> </v>
      </c>
      <c r="Y118" s="925"/>
      <c r="Z118" s="928"/>
      <c r="AA118" s="928"/>
      <c r="AB118" s="904"/>
      <c r="AC118" s="928"/>
      <c r="AD118" s="928"/>
      <c r="AE118" s="928"/>
      <c r="AF118" s="926"/>
      <c r="AG118" s="906" t="str">
        <f>IF(AE118&lt;&gt;0,VLOOKUP(AE118,ODDS!$A$2:$C$13,3,0),"")</f>
        <v/>
      </c>
      <c r="AH118" s="906" t="str">
        <f t="shared" si="5"/>
        <v xml:space="preserve"> </v>
      </c>
      <c r="AI118" s="907" t="str">
        <f t="shared" si="14"/>
        <v xml:space="preserve"> </v>
      </c>
      <c r="AJ118" s="929"/>
      <c r="AK118" s="929"/>
    </row>
    <row r="119" spans="1:39" s="376" customFormat="1" ht="43.5" outlineLevel="1" x14ac:dyDescent="0.3">
      <c r="A119" s="467" t="s">
        <v>2697</v>
      </c>
      <c r="B119" s="912">
        <v>13</v>
      </c>
      <c r="C119" s="942" t="s">
        <v>2168</v>
      </c>
      <c r="D119" s="931"/>
      <c r="E119" s="958"/>
      <c r="F119" s="958"/>
      <c r="G119" s="959"/>
      <c r="H119" s="960">
        <f>SUBTOTAL(9,H120:H125)</f>
        <v>0</v>
      </c>
      <c r="I119" s="915">
        <f>SUBTOTAL(9,I120:I125)</f>
        <v>0</v>
      </c>
      <c r="J119" s="933"/>
      <c r="K119" s="917"/>
      <c r="L119" s="917"/>
      <c r="M119" s="907">
        <f>SUBTOTAL(9,M120:M125)</f>
        <v>0</v>
      </c>
      <c r="N119" s="907">
        <f>SUBTOTAL(9,N120:N125)</f>
        <v>0</v>
      </c>
      <c r="O119" s="934"/>
      <c r="P119" s="935">
        <f>SUBTOTAL(9,P120:P125)</f>
        <v>0</v>
      </c>
      <c r="Q119" s="907"/>
      <c r="R119" s="907">
        <f>SUBTOTAL(9,R120:R125)</f>
        <v>0</v>
      </c>
      <c r="S119" s="918"/>
      <c r="T119" s="933"/>
      <c r="U119" s="936">
        <f>SUBTOTAL(9,U120:U125)</f>
        <v>9.4</v>
      </c>
      <c r="V119" s="933"/>
      <c r="W119" s="907"/>
      <c r="X119" s="907">
        <f>SUBTOTAL(9,X120:X125)</f>
        <v>1991000</v>
      </c>
      <c r="Y119" s="925"/>
      <c r="Z119" s="928"/>
      <c r="AA119" s="928"/>
      <c r="AB119" s="904"/>
      <c r="AC119" s="928"/>
      <c r="AD119" s="928"/>
      <c r="AE119" s="937"/>
      <c r="AF119" s="935">
        <f>SUBTOTAL(9,AF120:AF125)</f>
        <v>0</v>
      </c>
      <c r="AG119" s="921"/>
      <c r="AH119" s="921">
        <f>SUBTOTAL(9,AH120:AH125)</f>
        <v>0</v>
      </c>
      <c r="AI119" s="907">
        <f t="shared" si="14"/>
        <v>1991000</v>
      </c>
      <c r="AJ119" s="959"/>
      <c r="AK119" s="910"/>
      <c r="AM119" s="473"/>
    </row>
    <row r="120" spans="1:39" s="376" customFormat="1" ht="112.5" outlineLevel="2" x14ac:dyDescent="0.35">
      <c r="A120" s="447">
        <f>IF(B119&lt;&gt;0,B119,A118)</f>
        <v>13</v>
      </c>
      <c r="B120" s="893"/>
      <c r="C120" s="894" t="s">
        <v>103</v>
      </c>
      <c r="D120" s="923">
        <v>2</v>
      </c>
      <c r="E120" s="962"/>
      <c r="F120" s="962"/>
      <c r="G120" s="911"/>
      <c r="H120" s="897"/>
      <c r="I120" s="882"/>
      <c r="J120" s="925"/>
      <c r="K120" s="899" t="str">
        <f>IF(G120&lt;&gt;0,VLOOKUP(G120,'gia dat'!$A$1:$F$144,5,0)," ")</f>
        <v xml:space="preserve"> </v>
      </c>
      <c r="L120" s="899" t="str">
        <f>IF(G120&lt;&gt;0,VLOOKUP(G120,'gia dat'!$A$1:$F$144,6,0)," ")</f>
        <v xml:space="preserve"> </v>
      </c>
      <c r="M120" s="900" t="str">
        <f t="shared" si="16"/>
        <v xml:space="preserve"> </v>
      </c>
      <c r="N120" s="900" t="str">
        <f t="shared" si="17"/>
        <v xml:space="preserve"> </v>
      </c>
      <c r="O120" s="901"/>
      <c r="P120" s="926"/>
      <c r="Q120" s="900" t="str">
        <f>IF(O120&lt;&gt;0,VLOOKUP(O120,'Cây trong'!$A$2:$C$246,3,0)," ")</f>
        <v xml:space="preserve"> </v>
      </c>
      <c r="R120" s="900" t="str">
        <f t="shared" si="3"/>
        <v xml:space="preserve"> </v>
      </c>
      <c r="S120" s="902" t="s">
        <v>1749</v>
      </c>
      <c r="T120" s="925" t="s">
        <v>53</v>
      </c>
      <c r="U120" s="927">
        <v>9.4</v>
      </c>
      <c r="V120" s="925"/>
      <c r="W120" s="900">
        <f>IF(S120&lt;&gt;0,VLOOKUP(S120,VKT!$A$2:$G$415,7,0),"")</f>
        <v>211811</v>
      </c>
      <c r="X120" s="900">
        <f t="shared" si="18"/>
        <v>1991000</v>
      </c>
      <c r="Y120" s="925"/>
      <c r="Z120" s="928"/>
      <c r="AA120" s="928"/>
      <c r="AB120" s="904"/>
      <c r="AC120" s="928"/>
      <c r="AD120" s="928"/>
      <c r="AE120" s="928"/>
      <c r="AF120" s="926"/>
      <c r="AG120" s="906" t="str">
        <f>IF(AE120&lt;&gt;0,VLOOKUP(AE120,ODDS!$A$2:$C$13,3,0),"")</f>
        <v/>
      </c>
      <c r="AH120" s="906" t="str">
        <f t="shared" si="5"/>
        <v xml:space="preserve"> </v>
      </c>
      <c r="AI120" s="907" t="str">
        <f t="shared" si="14"/>
        <v xml:space="preserve"> </v>
      </c>
      <c r="AJ120" s="911"/>
      <c r="AK120" s="894" t="s">
        <v>2450</v>
      </c>
      <c r="AM120" s="378" t="s">
        <v>2157</v>
      </c>
    </row>
    <row r="121" spans="1:39" s="376" customFormat="1" ht="112.5" outlineLevel="2" x14ac:dyDescent="0.35">
      <c r="A121" s="447">
        <f>IF(B120&lt;&gt;0,B120,A120)</f>
        <v>13</v>
      </c>
      <c r="B121" s="893"/>
      <c r="C121" s="908" t="s">
        <v>634</v>
      </c>
      <c r="D121" s="930"/>
      <c r="E121" s="931"/>
      <c r="F121" s="913"/>
      <c r="G121" s="910"/>
      <c r="H121" s="924"/>
      <c r="I121" s="882"/>
      <c r="J121" s="943"/>
      <c r="K121" s="899" t="str">
        <f>IF(G121&lt;&gt;0,VLOOKUP(G121,'gia dat'!$A$1:$F$144,5,0)," ")</f>
        <v xml:space="preserve"> </v>
      </c>
      <c r="L121" s="899" t="str">
        <f>IF(G121&lt;&gt;0,VLOOKUP(G121,'gia dat'!$A$1:$F$144,6,0)," ")</f>
        <v xml:space="preserve"> </v>
      </c>
      <c r="M121" s="900" t="str">
        <f t="shared" si="16"/>
        <v xml:space="preserve"> </v>
      </c>
      <c r="N121" s="900" t="str">
        <f t="shared" si="17"/>
        <v xml:space="preserve"> </v>
      </c>
      <c r="O121" s="914"/>
      <c r="P121" s="926"/>
      <c r="Q121" s="900" t="str">
        <f>IF(O121&lt;&gt;0,VLOOKUP(O121,'Cây trong'!$A$2:$C$246,3,0)," ")</f>
        <v xml:space="preserve"> </v>
      </c>
      <c r="R121" s="900" t="str">
        <f t="shared" si="3"/>
        <v xml:space="preserve"> </v>
      </c>
      <c r="S121" s="914"/>
      <c r="T121" s="956"/>
      <c r="U121" s="927"/>
      <c r="V121" s="933"/>
      <c r="W121" s="900" t="str">
        <f>IF(S121&lt;&gt;0,VLOOKUP(S121,VKT!$A$2:$G$415,7,0),"")</f>
        <v/>
      </c>
      <c r="X121" s="900" t="str">
        <f t="shared" si="18"/>
        <v xml:space="preserve"> </v>
      </c>
      <c r="Y121" s="933"/>
      <c r="Z121" s="937"/>
      <c r="AA121" s="937"/>
      <c r="AB121" s="920"/>
      <c r="AC121" s="937"/>
      <c r="AD121" s="937"/>
      <c r="AE121" s="937"/>
      <c r="AF121" s="935"/>
      <c r="AG121" s="906" t="str">
        <f>IF(AE121&lt;&gt;0,VLOOKUP(AE121,ODDS!$A$2:$C$13,3,0),"")</f>
        <v/>
      </c>
      <c r="AH121" s="906" t="str">
        <f t="shared" si="5"/>
        <v xml:space="preserve"> </v>
      </c>
      <c r="AI121" s="907" t="str">
        <f t="shared" si="14"/>
        <v xml:space="preserve"> </v>
      </c>
      <c r="AJ121" s="911"/>
      <c r="AK121" s="894"/>
    </row>
    <row r="122" spans="1:39" s="376" customFormat="1" ht="22.5" outlineLevel="2" x14ac:dyDescent="0.3">
      <c r="A122" s="447">
        <f>IF(B121&lt;&gt;0,B121,A121)</f>
        <v>13</v>
      </c>
      <c r="B122" s="893"/>
      <c r="C122" s="908"/>
      <c r="D122" s="923"/>
      <c r="E122" s="923"/>
      <c r="F122" s="950"/>
      <c r="G122" s="894"/>
      <c r="H122" s="940"/>
      <c r="I122" s="882"/>
      <c r="J122" s="929"/>
      <c r="K122" s="899" t="str">
        <f>IF(G122&lt;&gt;0,VLOOKUP(G122,'gia dat'!$A$1:$F$144,5,0)," ")</f>
        <v xml:space="preserve"> </v>
      </c>
      <c r="L122" s="899" t="str">
        <f>IF(G122&lt;&gt;0,VLOOKUP(G122,'gia dat'!$A$1:$F$144,6,0)," ")</f>
        <v xml:space="preserve"> </v>
      </c>
      <c r="M122" s="900" t="str">
        <f t="shared" si="16"/>
        <v xml:space="preserve"> </v>
      </c>
      <c r="N122" s="900" t="str">
        <f t="shared" si="17"/>
        <v xml:space="preserve"> </v>
      </c>
      <c r="O122" s="929"/>
      <c r="P122" s="951"/>
      <c r="Q122" s="900" t="str">
        <f>IF(O122&lt;&gt;0,VLOOKUP(O122,'Cây trong'!$A$2:$C$246,3,0)," ")</f>
        <v xml:space="preserve"> </v>
      </c>
      <c r="R122" s="900" t="str">
        <f t="shared" si="3"/>
        <v xml:space="preserve"> </v>
      </c>
      <c r="S122" s="929"/>
      <c r="T122" s="929"/>
      <c r="U122" s="952"/>
      <c r="V122" s="925"/>
      <c r="W122" s="900" t="str">
        <f>IF(S122&lt;&gt;0,VLOOKUP(S122,VKT!$A$2:$G$415,7,0),"")</f>
        <v/>
      </c>
      <c r="X122" s="900" t="str">
        <f t="shared" si="18"/>
        <v xml:space="preserve"> </v>
      </c>
      <c r="Y122" s="925"/>
      <c r="Z122" s="925"/>
      <c r="AA122" s="925"/>
      <c r="AB122" s="898"/>
      <c r="AC122" s="925"/>
      <c r="AD122" s="925"/>
      <c r="AE122" s="925"/>
      <c r="AF122" s="964"/>
      <c r="AG122" s="906" t="str">
        <f>IF(AE122&lt;&gt;0,VLOOKUP(AE122,ODDS!$A$2:$C$13,3,0),"")</f>
        <v/>
      </c>
      <c r="AH122" s="906" t="str">
        <f t="shared" si="5"/>
        <v xml:space="preserve"> </v>
      </c>
      <c r="AI122" s="907" t="str">
        <f t="shared" si="14"/>
        <v xml:space="preserve"> </v>
      </c>
      <c r="AJ122" s="929"/>
      <c r="AK122" s="929"/>
    </row>
    <row r="123" spans="1:39" s="376" customFormat="1" ht="22.5" outlineLevel="2" x14ac:dyDescent="0.35">
      <c r="A123" s="447">
        <f>IF(B122&lt;&gt;0,B122,A122)</f>
        <v>13</v>
      </c>
      <c r="B123" s="893"/>
      <c r="C123" s="908"/>
      <c r="D123" s="939"/>
      <c r="E123" s="923"/>
      <c r="F123" s="896"/>
      <c r="G123" s="894"/>
      <c r="H123" s="924"/>
      <c r="I123" s="882"/>
      <c r="J123" s="929"/>
      <c r="K123" s="899" t="str">
        <f>IF(G123&lt;&gt;0,VLOOKUP(G123,'gia dat'!$A$1:$F$144,5,0)," ")</f>
        <v xml:space="preserve"> </v>
      </c>
      <c r="L123" s="899" t="str">
        <f>IF(G123&lt;&gt;0,VLOOKUP(G123,'gia dat'!$A$1:$F$144,6,0)," ")</f>
        <v xml:space="preserve"> </v>
      </c>
      <c r="M123" s="900" t="str">
        <f t="shared" si="16"/>
        <v xml:space="preserve"> </v>
      </c>
      <c r="N123" s="900" t="str">
        <f t="shared" si="17"/>
        <v xml:space="preserve"> </v>
      </c>
      <c r="O123" s="922"/>
      <c r="P123" s="926"/>
      <c r="Q123" s="900" t="str">
        <f>IF(O123&lt;&gt;0,VLOOKUP(O123,'Cây trong'!$A$2:$C$246,3,0)," ")</f>
        <v xml:space="preserve"> </v>
      </c>
      <c r="R123" s="900" t="str">
        <f t="shared" si="3"/>
        <v xml:space="preserve"> </v>
      </c>
      <c r="S123" s="922"/>
      <c r="T123" s="944"/>
      <c r="U123" s="927"/>
      <c r="V123" s="925"/>
      <c r="W123" s="900" t="str">
        <f>IF(S123&lt;&gt;0,VLOOKUP(S123,VKT!$A$2:$G$415,7,0),"")</f>
        <v/>
      </c>
      <c r="X123" s="900" t="str">
        <f t="shared" si="18"/>
        <v xml:space="preserve"> </v>
      </c>
      <c r="Y123" s="925"/>
      <c r="Z123" s="928"/>
      <c r="AA123" s="928"/>
      <c r="AB123" s="904"/>
      <c r="AC123" s="928"/>
      <c r="AD123" s="928"/>
      <c r="AE123" s="928"/>
      <c r="AF123" s="926"/>
      <c r="AG123" s="906" t="str">
        <f>IF(AE123&lt;&gt;0,VLOOKUP(AE123,ODDS!$A$2:$C$13,3,0),"")</f>
        <v/>
      </c>
      <c r="AH123" s="906" t="str">
        <f t="shared" si="5"/>
        <v xml:space="preserve"> </v>
      </c>
      <c r="AI123" s="907" t="str">
        <f t="shared" si="14"/>
        <v xml:space="preserve"> </v>
      </c>
      <c r="AJ123" s="911"/>
      <c r="AK123" s="929"/>
    </row>
    <row r="124" spans="1:39" s="376" customFormat="1" ht="22.5" outlineLevel="2" x14ac:dyDescent="0.35">
      <c r="A124" s="447">
        <f>IF(B123&lt;&gt;0,B123,A123)</f>
        <v>13</v>
      </c>
      <c r="B124" s="893"/>
      <c r="C124" s="894"/>
      <c r="D124" s="923"/>
      <c r="E124" s="947"/>
      <c r="F124" s="947"/>
      <c r="G124" s="922"/>
      <c r="H124" s="924"/>
      <c r="I124" s="882"/>
      <c r="J124" s="929"/>
      <c r="K124" s="899" t="str">
        <f>IF(G124&lt;&gt;0,VLOOKUP(G124,'gia dat'!$A$1:$F$144,5,0)," ")</f>
        <v xml:space="preserve"> </v>
      </c>
      <c r="L124" s="899" t="str">
        <f>IF(G124&lt;&gt;0,VLOOKUP(G124,'gia dat'!$A$1:$F$144,6,0)," ")</f>
        <v xml:space="preserve"> </v>
      </c>
      <c r="M124" s="900" t="str">
        <f t="shared" si="16"/>
        <v xml:space="preserve"> </v>
      </c>
      <c r="N124" s="900" t="str">
        <f t="shared" si="17"/>
        <v xml:space="preserve"> </v>
      </c>
      <c r="O124" s="922"/>
      <c r="P124" s="926"/>
      <c r="Q124" s="900" t="str">
        <f>IF(O124&lt;&gt;0,VLOOKUP(O124,'Cây trong'!$A$2:$C$246,3,0)," ")</f>
        <v xml:space="preserve"> </v>
      </c>
      <c r="R124" s="900" t="str">
        <f t="shared" ref="R124:R196" si="24">IF(O124&lt;&gt;0,ROUND(P124*Q124,-2)," ")</f>
        <v xml:space="preserve"> </v>
      </c>
      <c r="S124" s="922"/>
      <c r="T124" s="944"/>
      <c r="U124" s="927"/>
      <c r="V124" s="925"/>
      <c r="W124" s="900" t="str">
        <f>IF(S124&lt;&gt;0,VLOOKUP(S124,VKT!$A$2:$G$415,7,0),"")</f>
        <v/>
      </c>
      <c r="X124" s="900" t="str">
        <f t="shared" si="18"/>
        <v xml:space="preserve"> </v>
      </c>
      <c r="Y124" s="925"/>
      <c r="Z124" s="928"/>
      <c r="AA124" s="928"/>
      <c r="AB124" s="904"/>
      <c r="AC124" s="928"/>
      <c r="AD124" s="928"/>
      <c r="AE124" s="928"/>
      <c r="AF124" s="926"/>
      <c r="AG124" s="906" t="str">
        <f>IF(AE124&lt;&gt;0,VLOOKUP(AE124,ODDS!$A$2:$C$13,3,0),"")</f>
        <v/>
      </c>
      <c r="AH124" s="906" t="str">
        <f t="shared" ref="AH124:AH196" si="25">IF(AE124&lt;&gt;0,ROUND(AF124*AG124,-2)," ")</f>
        <v xml:space="preserve"> </v>
      </c>
      <c r="AI124" s="907" t="str">
        <f t="shared" si="14"/>
        <v xml:space="preserve"> </v>
      </c>
      <c r="AJ124" s="911"/>
      <c r="AK124" s="929"/>
    </row>
    <row r="125" spans="1:39" s="376" customFormat="1" ht="22.5" outlineLevel="2" x14ac:dyDescent="0.3">
      <c r="A125" s="447">
        <f>IF(B124&lt;&gt;0,B124,A124)</f>
        <v>13</v>
      </c>
      <c r="B125" s="893"/>
      <c r="C125" s="942"/>
      <c r="D125" s="923"/>
      <c r="E125" s="923"/>
      <c r="F125" s="896"/>
      <c r="G125" s="894"/>
      <c r="H125" s="924"/>
      <c r="I125" s="882"/>
      <c r="J125" s="925"/>
      <c r="K125" s="899" t="str">
        <f>IF(G125&lt;&gt;0,VLOOKUP(G125,'gia dat'!$A$1:$F$144,5,0)," ")</f>
        <v xml:space="preserve"> </v>
      </c>
      <c r="L125" s="899" t="str">
        <f>IF(G125&lt;&gt;0,VLOOKUP(G125,'gia dat'!$A$1:$F$144,6,0)," ")</f>
        <v xml:space="preserve"> </v>
      </c>
      <c r="M125" s="900" t="str">
        <f t="shared" si="16"/>
        <v xml:space="preserve"> </v>
      </c>
      <c r="N125" s="900" t="str">
        <f t="shared" si="17"/>
        <v xml:space="preserve"> </v>
      </c>
      <c r="O125" s="894"/>
      <c r="P125" s="926"/>
      <c r="Q125" s="900" t="str">
        <f>IF(O125&lt;&gt;0,VLOOKUP(O125,'Cây trong'!$A$2:$C$246,3,0)," ")</f>
        <v xml:space="preserve"> </v>
      </c>
      <c r="R125" s="900" t="str">
        <f t="shared" si="24"/>
        <v xml:space="preserve"> </v>
      </c>
      <c r="S125" s="902"/>
      <c r="T125" s="925"/>
      <c r="U125" s="927"/>
      <c r="V125" s="925"/>
      <c r="W125" s="900" t="str">
        <f>IF(S125&lt;&gt;0,VLOOKUP(S125,VKT!$A$2:$G$415,7,0),"")</f>
        <v/>
      </c>
      <c r="X125" s="900" t="str">
        <f t="shared" si="18"/>
        <v xml:space="preserve"> </v>
      </c>
      <c r="Y125" s="925"/>
      <c r="Z125" s="928"/>
      <c r="AA125" s="928"/>
      <c r="AB125" s="904"/>
      <c r="AC125" s="928"/>
      <c r="AD125" s="928"/>
      <c r="AE125" s="928"/>
      <c r="AF125" s="926"/>
      <c r="AG125" s="906" t="str">
        <f>IF(AE125&lt;&gt;0,VLOOKUP(AE125,ODDS!$A$2:$C$13,3,0),"")</f>
        <v/>
      </c>
      <c r="AH125" s="906" t="str">
        <f t="shared" si="25"/>
        <v xml:space="preserve"> </v>
      </c>
      <c r="AI125" s="907" t="str">
        <f t="shared" si="14"/>
        <v xml:space="preserve"> </v>
      </c>
      <c r="AJ125" s="929"/>
      <c r="AK125" s="929"/>
    </row>
    <row r="126" spans="1:39" s="376" customFormat="1" ht="43.5" outlineLevel="1" x14ac:dyDescent="0.3">
      <c r="A126" s="467" t="s">
        <v>2696</v>
      </c>
      <c r="B126" s="912">
        <v>14</v>
      </c>
      <c r="C126" s="942" t="s">
        <v>2169</v>
      </c>
      <c r="D126" s="931"/>
      <c r="E126" s="958"/>
      <c r="F126" s="958"/>
      <c r="G126" s="959"/>
      <c r="H126" s="960">
        <f>SUBTOTAL(9,H127:H132)</f>
        <v>0</v>
      </c>
      <c r="I126" s="915">
        <f>SUBTOTAL(9,I127:I132)</f>
        <v>0</v>
      </c>
      <c r="J126" s="933"/>
      <c r="K126" s="917"/>
      <c r="L126" s="917"/>
      <c r="M126" s="907">
        <f>SUBTOTAL(9,M127:M132)</f>
        <v>0</v>
      </c>
      <c r="N126" s="907">
        <f>SUBTOTAL(9,N127:N132)</f>
        <v>0</v>
      </c>
      <c r="O126" s="934"/>
      <c r="P126" s="935">
        <f>SUBTOTAL(9,P127:P132)</f>
        <v>0</v>
      </c>
      <c r="Q126" s="907"/>
      <c r="R126" s="907">
        <f>SUBTOTAL(9,R127:R132)</f>
        <v>0</v>
      </c>
      <c r="S126" s="918"/>
      <c r="T126" s="933"/>
      <c r="U126" s="936">
        <f>SUBTOTAL(9,U127:U132)</f>
        <v>22.9</v>
      </c>
      <c r="V126" s="933"/>
      <c r="W126" s="907"/>
      <c r="X126" s="907">
        <f>SUBTOTAL(9,X127:X132)</f>
        <v>4850000</v>
      </c>
      <c r="Y126" s="925"/>
      <c r="Z126" s="928"/>
      <c r="AA126" s="928"/>
      <c r="AB126" s="904"/>
      <c r="AC126" s="928"/>
      <c r="AD126" s="928"/>
      <c r="AE126" s="937"/>
      <c r="AF126" s="935">
        <f>SUBTOTAL(9,AF127:AF132)</f>
        <v>0</v>
      </c>
      <c r="AG126" s="921"/>
      <c r="AH126" s="921">
        <f>SUBTOTAL(9,AH127:AH132)</f>
        <v>0</v>
      </c>
      <c r="AI126" s="907">
        <f t="shared" si="14"/>
        <v>4850000</v>
      </c>
      <c r="AJ126" s="959"/>
      <c r="AK126" s="910"/>
      <c r="AM126" s="473"/>
    </row>
    <row r="127" spans="1:39" s="376" customFormat="1" ht="112.5" outlineLevel="2" x14ac:dyDescent="0.35">
      <c r="A127" s="447">
        <f>IF(B126&lt;&gt;0,B126,A125)</f>
        <v>14</v>
      </c>
      <c r="B127" s="893"/>
      <c r="C127" s="894" t="s">
        <v>105</v>
      </c>
      <c r="D127" s="923">
        <v>1</v>
      </c>
      <c r="E127" s="962"/>
      <c r="F127" s="962"/>
      <c r="G127" s="911"/>
      <c r="H127" s="897"/>
      <c r="I127" s="882"/>
      <c r="J127" s="925"/>
      <c r="K127" s="899" t="str">
        <f>IF(G127&lt;&gt;0,VLOOKUP(G127,'gia dat'!$A$1:$F$144,5,0)," ")</f>
        <v xml:space="preserve"> </v>
      </c>
      <c r="L127" s="899" t="str">
        <f>IF(G127&lt;&gt;0,VLOOKUP(G127,'gia dat'!$A$1:$F$144,6,0)," ")</f>
        <v xml:space="preserve"> </v>
      </c>
      <c r="M127" s="900" t="str">
        <f t="shared" si="16"/>
        <v xml:space="preserve"> </v>
      </c>
      <c r="N127" s="900" t="str">
        <f t="shared" si="17"/>
        <v xml:space="preserve"> </v>
      </c>
      <c r="O127" s="901"/>
      <c r="P127" s="926"/>
      <c r="Q127" s="900" t="str">
        <f>IF(O127&lt;&gt;0,VLOOKUP(O127,'Cây trong'!$A$2:$C$246,3,0)," ")</f>
        <v xml:space="preserve"> </v>
      </c>
      <c r="R127" s="900" t="str">
        <f t="shared" si="24"/>
        <v xml:space="preserve"> </v>
      </c>
      <c r="S127" s="902" t="s">
        <v>1749</v>
      </c>
      <c r="T127" s="925" t="s">
        <v>53</v>
      </c>
      <c r="U127" s="927">
        <v>22.9</v>
      </c>
      <c r="V127" s="925"/>
      <c r="W127" s="900">
        <f>IF(S127&lt;&gt;0,VLOOKUP(S127,VKT!$A$2:$G$415,7,0),"")</f>
        <v>211811</v>
      </c>
      <c r="X127" s="900">
        <f t="shared" si="18"/>
        <v>4850000</v>
      </c>
      <c r="Y127" s="925"/>
      <c r="Z127" s="928"/>
      <c r="AA127" s="928"/>
      <c r="AB127" s="904"/>
      <c r="AC127" s="928"/>
      <c r="AD127" s="928"/>
      <c r="AE127" s="928"/>
      <c r="AF127" s="926"/>
      <c r="AG127" s="906" t="str">
        <f>IF(AE127&lt;&gt;0,VLOOKUP(AE127,ODDS!$A$2:$C$13,3,0),"")</f>
        <v/>
      </c>
      <c r="AH127" s="906" t="str">
        <f t="shared" si="25"/>
        <v xml:space="preserve"> </v>
      </c>
      <c r="AI127" s="907" t="str">
        <f t="shared" si="14"/>
        <v xml:space="preserve"> </v>
      </c>
      <c r="AJ127" s="911"/>
      <c r="AK127" s="894" t="s">
        <v>2450</v>
      </c>
      <c r="AM127" s="378" t="s">
        <v>2157</v>
      </c>
    </row>
    <row r="128" spans="1:39" s="376" customFormat="1" ht="112.5" outlineLevel="2" x14ac:dyDescent="0.3">
      <c r="A128" s="447">
        <f>IF(B127&lt;&gt;0,B127,A127)</f>
        <v>14</v>
      </c>
      <c r="B128" s="893"/>
      <c r="C128" s="908" t="s">
        <v>636</v>
      </c>
      <c r="D128" s="923"/>
      <c r="E128" s="923"/>
      <c r="F128" s="896"/>
      <c r="G128" s="894"/>
      <c r="H128" s="924"/>
      <c r="I128" s="882"/>
      <c r="J128" s="925"/>
      <c r="K128" s="899" t="str">
        <f>IF(G128&lt;&gt;0,VLOOKUP(G128,'gia dat'!$A$1:$F$144,5,0)," ")</f>
        <v xml:space="preserve"> </v>
      </c>
      <c r="L128" s="899" t="str">
        <f>IF(G128&lt;&gt;0,VLOOKUP(G128,'gia dat'!$A$1:$F$144,6,0)," ")</f>
        <v xml:space="preserve"> </v>
      </c>
      <c r="M128" s="900" t="str">
        <f t="shared" si="16"/>
        <v xml:space="preserve"> </v>
      </c>
      <c r="N128" s="900" t="str">
        <f t="shared" si="17"/>
        <v xml:space="preserve"> </v>
      </c>
      <c r="O128" s="901"/>
      <c r="P128" s="926"/>
      <c r="Q128" s="900" t="str">
        <f>IF(O128&lt;&gt;0,VLOOKUP(O128,'Cây trong'!$A$2:$C$246,3,0)," ")</f>
        <v xml:space="preserve"> </v>
      </c>
      <c r="R128" s="900" t="str">
        <f t="shared" si="24"/>
        <v xml:space="preserve"> </v>
      </c>
      <c r="S128" s="902"/>
      <c r="T128" s="925"/>
      <c r="U128" s="927"/>
      <c r="V128" s="925"/>
      <c r="W128" s="900" t="str">
        <f>IF(S128&lt;&gt;0,VLOOKUP(S128,VKT!$A$2:$G$415,7,0),"")</f>
        <v/>
      </c>
      <c r="X128" s="900" t="str">
        <f t="shared" si="18"/>
        <v xml:space="preserve"> </v>
      </c>
      <c r="Y128" s="925"/>
      <c r="Z128" s="928"/>
      <c r="AA128" s="928"/>
      <c r="AB128" s="904"/>
      <c r="AC128" s="928"/>
      <c r="AD128" s="928"/>
      <c r="AE128" s="928"/>
      <c r="AF128" s="926"/>
      <c r="AG128" s="906" t="str">
        <f>IF(AE128&lt;&gt;0,VLOOKUP(AE128,ODDS!$A$2:$C$13,3,0),"")</f>
        <v/>
      </c>
      <c r="AH128" s="906" t="str">
        <f t="shared" si="25"/>
        <v xml:space="preserve"> </v>
      </c>
      <c r="AI128" s="907" t="str">
        <f t="shared" si="14"/>
        <v xml:space="preserve"> </v>
      </c>
      <c r="AJ128" s="894"/>
      <c r="AK128" s="894"/>
    </row>
    <row r="129" spans="1:39" s="376" customFormat="1" ht="22.5" outlineLevel="2" x14ac:dyDescent="0.3">
      <c r="A129" s="447">
        <f>IF(B128&lt;&gt;0,B128,A128)</f>
        <v>14</v>
      </c>
      <c r="B129" s="893"/>
      <c r="C129" s="894"/>
      <c r="D129" s="923"/>
      <c r="E129" s="923"/>
      <c r="F129" s="950"/>
      <c r="G129" s="894"/>
      <c r="H129" s="940"/>
      <c r="I129" s="882"/>
      <c r="J129" s="929"/>
      <c r="K129" s="899" t="str">
        <f>IF(G129&lt;&gt;0,VLOOKUP(G129,'gia dat'!$A$1:$F$144,5,0)," ")</f>
        <v xml:space="preserve"> </v>
      </c>
      <c r="L129" s="899" t="str">
        <f>IF(G129&lt;&gt;0,VLOOKUP(G129,'gia dat'!$A$1:$F$144,6,0)," ")</f>
        <v xml:space="preserve"> </v>
      </c>
      <c r="M129" s="900" t="str">
        <f t="shared" si="16"/>
        <v xml:space="preserve"> </v>
      </c>
      <c r="N129" s="900" t="str">
        <f t="shared" si="17"/>
        <v xml:space="preserve"> </v>
      </c>
      <c r="O129" s="929"/>
      <c r="P129" s="951"/>
      <c r="Q129" s="900" t="str">
        <f>IF(O129&lt;&gt;0,VLOOKUP(O129,'Cây trong'!$A$2:$C$246,3,0)," ")</f>
        <v xml:space="preserve"> </v>
      </c>
      <c r="R129" s="900" t="str">
        <f t="shared" si="24"/>
        <v xml:space="preserve"> </v>
      </c>
      <c r="S129" s="929"/>
      <c r="T129" s="929"/>
      <c r="U129" s="952"/>
      <c r="V129" s="925"/>
      <c r="W129" s="900" t="str">
        <f>IF(S129&lt;&gt;0,VLOOKUP(S129,VKT!$A$2:$G$415,7,0),"")</f>
        <v/>
      </c>
      <c r="X129" s="900" t="str">
        <f t="shared" si="18"/>
        <v xml:space="preserve"> </v>
      </c>
      <c r="Y129" s="925"/>
      <c r="Z129" s="925"/>
      <c r="AA129" s="925"/>
      <c r="AB129" s="898"/>
      <c r="AC129" s="925"/>
      <c r="AD129" s="925"/>
      <c r="AE129" s="925"/>
      <c r="AF129" s="964"/>
      <c r="AG129" s="906" t="str">
        <f>IF(AE129&lt;&gt;0,VLOOKUP(AE129,ODDS!$A$2:$C$13,3,0),"")</f>
        <v/>
      </c>
      <c r="AH129" s="906" t="str">
        <f t="shared" si="25"/>
        <v xml:space="preserve"> </v>
      </c>
      <c r="AI129" s="907" t="str">
        <f t="shared" si="14"/>
        <v xml:space="preserve"> </v>
      </c>
      <c r="AJ129" s="929"/>
      <c r="AK129" s="929"/>
    </row>
    <row r="130" spans="1:39" s="376" customFormat="1" ht="22.5" outlineLevel="2" x14ac:dyDescent="0.3">
      <c r="A130" s="447">
        <f>IF(B129&lt;&gt;0,B129,A129)</f>
        <v>14</v>
      </c>
      <c r="B130" s="893"/>
      <c r="C130" s="894"/>
      <c r="D130" s="923"/>
      <c r="E130" s="923"/>
      <c r="F130" s="896"/>
      <c r="G130" s="894"/>
      <c r="H130" s="924"/>
      <c r="I130" s="882"/>
      <c r="J130" s="925"/>
      <c r="K130" s="899" t="str">
        <f>IF(G130&lt;&gt;0,VLOOKUP(G130,'gia dat'!$A$1:$F$144,5,0)," ")</f>
        <v xml:space="preserve"> </v>
      </c>
      <c r="L130" s="899" t="str">
        <f>IF(G130&lt;&gt;0,VLOOKUP(G130,'gia dat'!$A$1:$F$144,6,0)," ")</f>
        <v xml:space="preserve"> </v>
      </c>
      <c r="M130" s="900" t="str">
        <f t="shared" si="16"/>
        <v xml:space="preserve"> </v>
      </c>
      <c r="N130" s="900" t="str">
        <f t="shared" si="17"/>
        <v xml:space="preserve"> </v>
      </c>
      <c r="O130" s="901"/>
      <c r="P130" s="926"/>
      <c r="Q130" s="900" t="str">
        <f>IF(O130&lt;&gt;0,VLOOKUP(O130,'Cây trong'!$A$2:$C$246,3,0)," ")</f>
        <v xml:space="preserve"> </v>
      </c>
      <c r="R130" s="900" t="str">
        <f t="shared" si="24"/>
        <v xml:space="preserve"> </v>
      </c>
      <c r="S130" s="902"/>
      <c r="T130" s="925"/>
      <c r="U130" s="927"/>
      <c r="V130" s="925"/>
      <c r="W130" s="900" t="str">
        <f>IF(S130&lt;&gt;0,VLOOKUP(S130,VKT!$A$2:$G$415,7,0),"")</f>
        <v/>
      </c>
      <c r="X130" s="900" t="str">
        <f t="shared" si="18"/>
        <v xml:space="preserve"> </v>
      </c>
      <c r="Y130" s="925"/>
      <c r="Z130" s="928"/>
      <c r="AA130" s="928"/>
      <c r="AB130" s="904"/>
      <c r="AC130" s="928"/>
      <c r="AD130" s="928"/>
      <c r="AE130" s="928"/>
      <c r="AF130" s="926"/>
      <c r="AG130" s="906" t="str">
        <f>IF(AE130&lt;&gt;0,VLOOKUP(AE130,ODDS!$A$2:$C$13,3,0),"")</f>
        <v/>
      </c>
      <c r="AH130" s="906" t="str">
        <f t="shared" si="25"/>
        <v xml:space="preserve"> </v>
      </c>
      <c r="AI130" s="907" t="str">
        <f t="shared" si="14"/>
        <v xml:space="preserve"> </v>
      </c>
      <c r="AJ130" s="894"/>
      <c r="AK130" s="929"/>
    </row>
    <row r="131" spans="1:39" s="376" customFormat="1" ht="22.5" outlineLevel="2" x14ac:dyDescent="0.35">
      <c r="A131" s="447">
        <f>IF(B130&lt;&gt;0,B130,A130)</f>
        <v>14</v>
      </c>
      <c r="B131" s="893"/>
      <c r="C131" s="894"/>
      <c r="D131" s="923"/>
      <c r="E131" s="923"/>
      <c r="F131" s="896"/>
      <c r="G131" s="894"/>
      <c r="H131" s="924"/>
      <c r="I131" s="882"/>
      <c r="J131" s="925"/>
      <c r="K131" s="899" t="str">
        <f>IF(G131&lt;&gt;0,VLOOKUP(G131,'gia dat'!$A$1:$F$144,5,0)," ")</f>
        <v xml:space="preserve"> </v>
      </c>
      <c r="L131" s="899" t="str">
        <f>IF(G131&lt;&gt;0,VLOOKUP(G131,'gia dat'!$A$1:$F$144,6,0)," ")</f>
        <v xml:space="preserve"> </v>
      </c>
      <c r="M131" s="900" t="str">
        <f t="shared" si="16"/>
        <v xml:space="preserve"> </v>
      </c>
      <c r="N131" s="900" t="str">
        <f t="shared" si="17"/>
        <v xml:space="preserve"> </v>
      </c>
      <c r="O131" s="894"/>
      <c r="P131" s="926"/>
      <c r="Q131" s="900" t="str">
        <f>IF(O131&lt;&gt;0,VLOOKUP(O131,'Cây trong'!$A$2:$C$246,3,0)," ")</f>
        <v xml:space="preserve"> </v>
      </c>
      <c r="R131" s="900" t="str">
        <f t="shared" si="24"/>
        <v xml:space="preserve"> </v>
      </c>
      <c r="S131" s="902"/>
      <c r="T131" s="925"/>
      <c r="U131" s="927"/>
      <c r="V131" s="925"/>
      <c r="W131" s="900" t="str">
        <f>IF(S131&lt;&gt;0,VLOOKUP(S131,VKT!$A$2:$G$415,7,0),"")</f>
        <v/>
      </c>
      <c r="X131" s="900" t="str">
        <f t="shared" si="18"/>
        <v xml:space="preserve"> </v>
      </c>
      <c r="Y131" s="925"/>
      <c r="Z131" s="928"/>
      <c r="AA131" s="928"/>
      <c r="AB131" s="904"/>
      <c r="AC131" s="928"/>
      <c r="AD131" s="928"/>
      <c r="AE131" s="928"/>
      <c r="AF131" s="926"/>
      <c r="AG131" s="906" t="str">
        <f>IF(AE131&lt;&gt;0,VLOOKUP(AE131,ODDS!$A$2:$C$13,3,0),"")</f>
        <v/>
      </c>
      <c r="AH131" s="906" t="str">
        <f t="shared" si="25"/>
        <v xml:space="preserve"> </v>
      </c>
      <c r="AI131" s="907" t="str">
        <f t="shared" si="14"/>
        <v xml:space="preserve"> </v>
      </c>
      <c r="AJ131" s="911"/>
      <c r="AK131" s="929"/>
    </row>
    <row r="132" spans="1:39" s="376" customFormat="1" ht="22.5" outlineLevel="2" x14ac:dyDescent="0.3">
      <c r="A132" s="447">
        <f>IF(B131&lt;&gt;0,B131,A131)</f>
        <v>14</v>
      </c>
      <c r="B132" s="893"/>
      <c r="C132" s="942"/>
      <c r="D132" s="923"/>
      <c r="E132" s="923"/>
      <c r="F132" s="896"/>
      <c r="G132" s="894"/>
      <c r="H132" s="924"/>
      <c r="I132" s="882"/>
      <c r="J132" s="925"/>
      <c r="K132" s="899" t="str">
        <f>IF(G132&lt;&gt;0,VLOOKUP(G132,'gia dat'!$A$1:$F$144,5,0)," ")</f>
        <v xml:space="preserve"> </v>
      </c>
      <c r="L132" s="899" t="str">
        <f>IF(G132&lt;&gt;0,VLOOKUP(G132,'gia dat'!$A$1:$F$144,6,0)," ")</f>
        <v xml:space="preserve"> </v>
      </c>
      <c r="M132" s="900" t="str">
        <f t="shared" si="16"/>
        <v xml:space="preserve"> </v>
      </c>
      <c r="N132" s="900" t="str">
        <f t="shared" si="17"/>
        <v xml:space="preserve"> </v>
      </c>
      <c r="O132" s="894"/>
      <c r="P132" s="926"/>
      <c r="Q132" s="900" t="str">
        <f>IF(O132&lt;&gt;0,VLOOKUP(O132,'Cây trong'!$A$2:$C$246,3,0)," ")</f>
        <v xml:space="preserve"> </v>
      </c>
      <c r="R132" s="900" t="str">
        <f t="shared" si="24"/>
        <v xml:space="preserve"> </v>
      </c>
      <c r="S132" s="902"/>
      <c r="T132" s="925"/>
      <c r="U132" s="927"/>
      <c r="V132" s="925"/>
      <c r="W132" s="900" t="str">
        <f>IF(S132&lt;&gt;0,VLOOKUP(S132,VKT!$A$2:$G$415,7,0),"")</f>
        <v/>
      </c>
      <c r="X132" s="900" t="str">
        <f t="shared" si="18"/>
        <v xml:space="preserve"> </v>
      </c>
      <c r="Y132" s="925"/>
      <c r="Z132" s="928"/>
      <c r="AA132" s="928"/>
      <c r="AB132" s="904"/>
      <c r="AC132" s="928"/>
      <c r="AD132" s="928"/>
      <c r="AE132" s="928"/>
      <c r="AF132" s="926"/>
      <c r="AG132" s="906" t="str">
        <f>IF(AE132&lt;&gt;0,VLOOKUP(AE132,ODDS!$A$2:$C$13,3,0),"")</f>
        <v/>
      </c>
      <c r="AH132" s="906" t="str">
        <f t="shared" si="25"/>
        <v xml:space="preserve"> </v>
      </c>
      <c r="AI132" s="907" t="str">
        <f t="shared" si="14"/>
        <v xml:space="preserve"> </v>
      </c>
      <c r="AJ132" s="929"/>
      <c r="AK132" s="929"/>
    </row>
    <row r="133" spans="1:39" s="376" customFormat="1" ht="43.5" outlineLevel="1" x14ac:dyDescent="0.3">
      <c r="A133" s="467" t="s">
        <v>2695</v>
      </c>
      <c r="B133" s="912">
        <v>15</v>
      </c>
      <c r="C133" s="942" t="s">
        <v>2170</v>
      </c>
      <c r="D133" s="930"/>
      <c r="E133" s="958"/>
      <c r="F133" s="958"/>
      <c r="G133" s="959"/>
      <c r="H133" s="960">
        <f>SUBTOTAL(9,H134:H140)</f>
        <v>0</v>
      </c>
      <c r="I133" s="915">
        <f>SUBTOTAL(9,I134:I139)</f>
        <v>0</v>
      </c>
      <c r="J133" s="943"/>
      <c r="K133" s="917"/>
      <c r="L133" s="917"/>
      <c r="M133" s="907">
        <f>SUBTOTAL(9,M134:M140)</f>
        <v>0</v>
      </c>
      <c r="N133" s="907">
        <f>SUBTOTAL(9,N134:N140)</f>
        <v>0</v>
      </c>
      <c r="O133" s="914"/>
      <c r="P133" s="935">
        <f>SUBTOTAL(9,P134:P140)</f>
        <v>0</v>
      </c>
      <c r="Q133" s="907"/>
      <c r="R133" s="907">
        <f>SUBTOTAL(9,R134:R140)</f>
        <v>0</v>
      </c>
      <c r="S133" s="914"/>
      <c r="T133" s="956"/>
      <c r="U133" s="936">
        <f>SUBTOTAL(9,U134:U140)</f>
        <v>28.19</v>
      </c>
      <c r="V133" s="933"/>
      <c r="W133" s="907"/>
      <c r="X133" s="907">
        <f>SUBTOTAL(9,X134:X140)</f>
        <v>57526000</v>
      </c>
      <c r="Y133" s="898"/>
      <c r="Z133" s="928"/>
      <c r="AA133" s="928"/>
      <c r="AB133" s="904"/>
      <c r="AC133" s="928"/>
      <c r="AD133" s="928"/>
      <c r="AE133" s="937"/>
      <c r="AF133" s="935">
        <f>SUBTOTAL(9,AF134:AF140)</f>
        <v>0</v>
      </c>
      <c r="AG133" s="921"/>
      <c r="AH133" s="921">
        <f>SUBTOTAL(9,AH134:AH140)</f>
        <v>0</v>
      </c>
      <c r="AI133" s="907">
        <f t="shared" si="14"/>
        <v>57526000</v>
      </c>
      <c r="AJ133" s="943"/>
      <c r="AK133" s="910"/>
    </row>
    <row r="134" spans="1:39" s="376" customFormat="1" ht="112.5" outlineLevel="2" x14ac:dyDescent="0.35">
      <c r="A134" s="447">
        <f>IF(B133&lt;&gt;0,B133,A132)</f>
        <v>15</v>
      </c>
      <c r="B134" s="893"/>
      <c r="C134" s="908" t="s">
        <v>106</v>
      </c>
      <c r="D134" s="939">
        <v>3</v>
      </c>
      <c r="E134" s="962"/>
      <c r="F134" s="962"/>
      <c r="G134" s="911"/>
      <c r="H134" s="897"/>
      <c r="I134" s="882"/>
      <c r="J134" s="929"/>
      <c r="K134" s="899" t="str">
        <f>IF(G134&lt;&gt;0,VLOOKUP(G134,'gia dat'!$A$1:$F$144,5,0)," ")</f>
        <v xml:space="preserve"> </v>
      </c>
      <c r="L134" s="899" t="str">
        <f>IF(G134&lt;&gt;0,VLOOKUP(G134,'gia dat'!$A$1:$F$144,6,0)," ")</f>
        <v xml:space="preserve"> </v>
      </c>
      <c r="M134" s="900" t="str">
        <f t="shared" si="16"/>
        <v xml:space="preserve"> </v>
      </c>
      <c r="N134" s="900" t="str">
        <f t="shared" si="17"/>
        <v xml:space="preserve"> </v>
      </c>
      <c r="O134" s="922"/>
      <c r="P134" s="926"/>
      <c r="Q134" s="900" t="str">
        <f>IF(O134&lt;&gt;0,VLOOKUP(O134,'Cây trong'!$A$2:$C$246,3,0)," ")</f>
        <v xml:space="preserve"> </v>
      </c>
      <c r="R134" s="900" t="str">
        <f t="shared" si="24"/>
        <v xml:space="preserve"> </v>
      </c>
      <c r="S134" s="922" t="s">
        <v>1838</v>
      </c>
      <c r="T134" s="944" t="s">
        <v>53</v>
      </c>
      <c r="U134" s="927">
        <v>17.39</v>
      </c>
      <c r="V134" s="925"/>
      <c r="W134" s="900">
        <f>IF(S134&lt;&gt;0,VLOOKUP(S134,VKT!$A$2:$G$415,7,0),"")</f>
        <v>3156089</v>
      </c>
      <c r="X134" s="900">
        <f t="shared" si="18"/>
        <v>54884000</v>
      </c>
      <c r="Y134" s="898" t="s">
        <v>54</v>
      </c>
      <c r="Z134" s="928" t="s">
        <v>55</v>
      </c>
      <c r="AA134" s="928" t="s">
        <v>56</v>
      </c>
      <c r="AB134" s="904" t="s">
        <v>137</v>
      </c>
      <c r="AC134" s="928" t="s">
        <v>54</v>
      </c>
      <c r="AD134" s="928"/>
      <c r="AE134" s="928"/>
      <c r="AF134" s="926"/>
      <c r="AG134" s="906" t="str">
        <f>IF(AE134&lt;&gt;0,VLOOKUP(AE134,ODDS!$A$2:$C$13,3,0),"")</f>
        <v/>
      </c>
      <c r="AH134" s="906" t="str">
        <f t="shared" si="25"/>
        <v xml:space="preserve"> </v>
      </c>
      <c r="AI134" s="907" t="str">
        <f t="shared" si="14"/>
        <v xml:space="preserve"> </v>
      </c>
      <c r="AJ134" s="929" t="s">
        <v>207</v>
      </c>
      <c r="AK134" s="894" t="s">
        <v>2450</v>
      </c>
    </row>
    <row r="135" spans="1:39" s="376" customFormat="1" ht="112.5" outlineLevel="2" x14ac:dyDescent="0.35">
      <c r="A135" s="447">
        <f t="shared" ref="A135:A140" si="26">IF(B134&lt;&gt;0,B134,A134)</f>
        <v>15</v>
      </c>
      <c r="B135" s="893"/>
      <c r="C135" s="908" t="s">
        <v>638</v>
      </c>
      <c r="D135" s="923"/>
      <c r="E135" s="962"/>
      <c r="F135" s="962"/>
      <c r="G135" s="911"/>
      <c r="H135" s="897"/>
      <c r="I135" s="882"/>
      <c r="J135" s="929"/>
      <c r="K135" s="899" t="str">
        <f>IF(G135&lt;&gt;0,VLOOKUP(G135,'gia dat'!$A$1:$F$144,5,0)," ")</f>
        <v xml:space="preserve"> </v>
      </c>
      <c r="L135" s="899" t="str">
        <f>IF(G135&lt;&gt;0,VLOOKUP(G135,'gia dat'!$A$1:$F$144,6,0)," ")</f>
        <v xml:space="preserve"> </v>
      </c>
      <c r="M135" s="900" t="str">
        <f t="shared" si="16"/>
        <v xml:space="preserve"> </v>
      </c>
      <c r="N135" s="900" t="str">
        <f t="shared" si="17"/>
        <v xml:space="preserve"> </v>
      </c>
      <c r="O135" s="922"/>
      <c r="P135" s="926"/>
      <c r="Q135" s="900" t="str">
        <f>IF(O135&lt;&gt;0,VLOOKUP(O135,'Cây trong'!$A$2:$C$246,3,0)," ")</f>
        <v xml:space="preserve"> </v>
      </c>
      <c r="R135" s="900" t="str">
        <f t="shared" si="24"/>
        <v xml:space="preserve"> </v>
      </c>
      <c r="S135" s="922" t="s">
        <v>1839</v>
      </c>
      <c r="T135" s="944" t="s">
        <v>53</v>
      </c>
      <c r="U135" s="927">
        <v>10.8</v>
      </c>
      <c r="V135" s="925"/>
      <c r="W135" s="900">
        <f>IF(S135&lt;&gt;0,VLOOKUP(S135,VKT!$A$2:$G$415,7,0),"")</f>
        <v>244604</v>
      </c>
      <c r="X135" s="900">
        <f t="shared" si="18"/>
        <v>2642000</v>
      </c>
      <c r="Y135" s="925"/>
      <c r="Z135" s="928"/>
      <c r="AA135" s="928"/>
      <c r="AB135" s="904"/>
      <c r="AC135" s="928"/>
      <c r="AD135" s="928"/>
      <c r="AE135" s="928"/>
      <c r="AF135" s="926"/>
      <c r="AG135" s="906" t="str">
        <f>IF(AE135&lt;&gt;0,VLOOKUP(AE135,ODDS!$A$2:$C$13,3,0),"")</f>
        <v/>
      </c>
      <c r="AH135" s="906" t="str">
        <f t="shared" si="25"/>
        <v xml:space="preserve"> </v>
      </c>
      <c r="AI135" s="907" t="str">
        <f t="shared" si="14"/>
        <v xml:space="preserve"> </v>
      </c>
      <c r="AJ135" s="894"/>
      <c r="AK135" s="894"/>
    </row>
    <row r="136" spans="1:39" s="376" customFormat="1" ht="22.5" outlineLevel="2" x14ac:dyDescent="0.3">
      <c r="A136" s="447">
        <f t="shared" si="26"/>
        <v>15</v>
      </c>
      <c r="B136" s="893"/>
      <c r="C136" s="910"/>
      <c r="D136" s="923"/>
      <c r="E136" s="923"/>
      <c r="F136" s="896"/>
      <c r="G136" s="894"/>
      <c r="H136" s="924"/>
      <c r="I136" s="882"/>
      <c r="J136" s="929"/>
      <c r="K136" s="899" t="str">
        <f>IF(G136&lt;&gt;0,VLOOKUP(G136,'gia dat'!$A$1:$F$144,5,0)," ")</f>
        <v xml:space="preserve"> </v>
      </c>
      <c r="L136" s="899" t="str">
        <f>IF(G136&lt;&gt;0,VLOOKUP(G136,'gia dat'!$A$1:$F$144,6,0)," ")</f>
        <v xml:space="preserve"> </v>
      </c>
      <c r="M136" s="900" t="str">
        <f t="shared" si="16"/>
        <v xml:space="preserve"> </v>
      </c>
      <c r="N136" s="900" t="str">
        <f t="shared" si="17"/>
        <v xml:space="preserve"> </v>
      </c>
      <c r="O136" s="922"/>
      <c r="P136" s="926"/>
      <c r="Q136" s="900" t="str">
        <f>IF(O136&lt;&gt;0,VLOOKUP(O136,'Cây trong'!$A$2:$C$246,3,0)," ")</f>
        <v xml:space="preserve"> </v>
      </c>
      <c r="R136" s="900" t="str">
        <f t="shared" si="24"/>
        <v xml:space="preserve"> </v>
      </c>
      <c r="S136" s="922"/>
      <c r="T136" s="944"/>
      <c r="U136" s="927"/>
      <c r="V136" s="925"/>
      <c r="W136" s="900" t="str">
        <f>IF(S136&lt;&gt;0,VLOOKUP(S136,VKT!$A$2:$G$415,7,0),"")</f>
        <v/>
      </c>
      <c r="X136" s="900" t="str">
        <f t="shared" si="18"/>
        <v xml:space="preserve"> </v>
      </c>
      <c r="Y136" s="925"/>
      <c r="Z136" s="928"/>
      <c r="AA136" s="928"/>
      <c r="AB136" s="904"/>
      <c r="AC136" s="928"/>
      <c r="AD136" s="928"/>
      <c r="AE136" s="928"/>
      <c r="AF136" s="926"/>
      <c r="AG136" s="906" t="str">
        <f>IF(AE136&lt;&gt;0,VLOOKUP(AE136,ODDS!$A$2:$C$13,3,0),"")</f>
        <v/>
      </c>
      <c r="AH136" s="906" t="str">
        <f t="shared" si="25"/>
        <v xml:space="preserve"> </v>
      </c>
      <c r="AI136" s="907" t="str">
        <f t="shared" si="14"/>
        <v xml:space="preserve"> </v>
      </c>
      <c r="AJ136" s="929"/>
      <c r="AK136" s="929"/>
    </row>
    <row r="137" spans="1:39" s="376" customFormat="1" ht="22.5" outlineLevel="2" x14ac:dyDescent="0.35">
      <c r="A137" s="447">
        <f t="shared" si="26"/>
        <v>15</v>
      </c>
      <c r="B137" s="893"/>
      <c r="C137" s="894"/>
      <c r="D137" s="923"/>
      <c r="E137" s="923"/>
      <c r="F137" s="950"/>
      <c r="G137" s="894"/>
      <c r="H137" s="940"/>
      <c r="I137" s="882"/>
      <c r="J137" s="929"/>
      <c r="K137" s="899" t="str">
        <f>IF(G137&lt;&gt;0,VLOOKUP(G137,'gia dat'!$A$1:$F$144,5,0)," ")</f>
        <v xml:space="preserve"> </v>
      </c>
      <c r="L137" s="899" t="str">
        <f>IF(G137&lt;&gt;0,VLOOKUP(G137,'gia dat'!$A$1:$F$144,6,0)," ")</f>
        <v xml:space="preserve"> </v>
      </c>
      <c r="M137" s="900" t="str">
        <f t="shared" si="16"/>
        <v xml:space="preserve"> </v>
      </c>
      <c r="N137" s="900" t="str">
        <f t="shared" si="17"/>
        <v xml:space="preserve"> </v>
      </c>
      <c r="O137" s="929"/>
      <c r="P137" s="951"/>
      <c r="Q137" s="900" t="str">
        <f>IF(O137&lt;&gt;0,VLOOKUP(O137,'Cây trong'!$A$2:$C$246,3,0)," ")</f>
        <v xml:space="preserve"> </v>
      </c>
      <c r="R137" s="900" t="str">
        <f t="shared" si="24"/>
        <v xml:space="preserve"> </v>
      </c>
      <c r="S137" s="929"/>
      <c r="T137" s="929"/>
      <c r="U137" s="952"/>
      <c r="V137" s="925"/>
      <c r="W137" s="900" t="str">
        <f>IF(S137&lt;&gt;0,VLOOKUP(S137,VKT!$A$2:$G$415,7,0),"")</f>
        <v/>
      </c>
      <c r="X137" s="900" t="str">
        <f t="shared" si="18"/>
        <v xml:space="preserve"> </v>
      </c>
      <c r="Y137" s="925"/>
      <c r="Z137" s="925"/>
      <c r="AA137" s="925"/>
      <c r="AB137" s="898"/>
      <c r="AC137" s="925"/>
      <c r="AD137" s="925"/>
      <c r="AE137" s="925"/>
      <c r="AF137" s="964"/>
      <c r="AG137" s="906" t="str">
        <f>IF(AE137&lt;&gt;0,VLOOKUP(AE137,ODDS!$A$2:$C$13,3,0),"")</f>
        <v/>
      </c>
      <c r="AH137" s="906" t="str">
        <f t="shared" si="25"/>
        <v xml:space="preserve"> </v>
      </c>
      <c r="AI137" s="907" t="str">
        <f t="shared" ref="AI137:AI200" si="27">IF(B137&lt;&gt;0,M137+N137+R137+X137+AH137," ")</f>
        <v xml:space="preserve"> </v>
      </c>
      <c r="AJ137" s="911"/>
      <c r="AK137" s="929"/>
    </row>
    <row r="138" spans="1:39" s="376" customFormat="1" ht="22.5" outlineLevel="2" x14ac:dyDescent="0.35">
      <c r="A138" s="447">
        <f t="shared" si="26"/>
        <v>15</v>
      </c>
      <c r="B138" s="893"/>
      <c r="C138" s="894"/>
      <c r="D138" s="923"/>
      <c r="E138" s="923"/>
      <c r="F138" s="896"/>
      <c r="G138" s="894"/>
      <c r="H138" s="924"/>
      <c r="I138" s="882"/>
      <c r="J138" s="925"/>
      <c r="K138" s="899" t="str">
        <f>IF(G138&lt;&gt;0,VLOOKUP(G138,'gia dat'!$A$1:$F$144,5,0)," ")</f>
        <v xml:space="preserve"> </v>
      </c>
      <c r="L138" s="899" t="str">
        <f>IF(G138&lt;&gt;0,VLOOKUP(G138,'gia dat'!$A$1:$F$144,6,0)," ")</f>
        <v xml:space="preserve"> </v>
      </c>
      <c r="M138" s="900" t="str">
        <f t="shared" si="16"/>
        <v xml:space="preserve"> </v>
      </c>
      <c r="N138" s="900" t="str">
        <f t="shared" si="17"/>
        <v xml:space="preserve"> </v>
      </c>
      <c r="O138" s="894"/>
      <c r="P138" s="926"/>
      <c r="Q138" s="900" t="str">
        <f>IF(O138&lt;&gt;0,VLOOKUP(O138,'Cây trong'!$A$2:$C$246,3,0)," ")</f>
        <v xml:space="preserve"> </v>
      </c>
      <c r="R138" s="900" t="str">
        <f t="shared" si="24"/>
        <v xml:space="preserve"> </v>
      </c>
      <c r="S138" s="902"/>
      <c r="T138" s="925"/>
      <c r="U138" s="927"/>
      <c r="V138" s="925"/>
      <c r="W138" s="900" t="str">
        <f>IF(S138&lt;&gt;0,VLOOKUP(S138,VKT!$A$2:$G$415,7,0),"")</f>
        <v/>
      </c>
      <c r="X138" s="900" t="str">
        <f t="shared" si="18"/>
        <v xml:space="preserve"> </v>
      </c>
      <c r="Y138" s="925"/>
      <c r="Z138" s="928"/>
      <c r="AA138" s="928"/>
      <c r="AB138" s="904"/>
      <c r="AC138" s="928"/>
      <c r="AD138" s="928"/>
      <c r="AE138" s="928"/>
      <c r="AF138" s="926"/>
      <c r="AG138" s="906" t="str">
        <f>IF(AE138&lt;&gt;0,VLOOKUP(AE138,ODDS!$A$2:$C$13,3,0),"")</f>
        <v/>
      </c>
      <c r="AH138" s="906" t="str">
        <f t="shared" si="25"/>
        <v xml:space="preserve"> </v>
      </c>
      <c r="AI138" s="907" t="str">
        <f t="shared" si="27"/>
        <v xml:space="preserve"> </v>
      </c>
      <c r="AJ138" s="911"/>
      <c r="AK138" s="929"/>
    </row>
    <row r="139" spans="1:39" s="376" customFormat="1" ht="22.5" outlineLevel="2" x14ac:dyDescent="0.3">
      <c r="A139" s="447">
        <f t="shared" si="26"/>
        <v>15</v>
      </c>
      <c r="B139" s="893"/>
      <c r="C139" s="908"/>
      <c r="D139" s="923"/>
      <c r="E139" s="923"/>
      <c r="F139" s="896"/>
      <c r="G139" s="894"/>
      <c r="H139" s="924"/>
      <c r="I139" s="882"/>
      <c r="J139" s="925"/>
      <c r="K139" s="899" t="str">
        <f>IF(G139&lt;&gt;0,VLOOKUP(G139,'gia dat'!$A$1:$F$144,5,0)," ")</f>
        <v xml:space="preserve"> </v>
      </c>
      <c r="L139" s="899" t="str">
        <f>IF(G139&lt;&gt;0,VLOOKUP(G139,'gia dat'!$A$1:$F$144,6,0)," ")</f>
        <v xml:space="preserve"> </v>
      </c>
      <c r="M139" s="900" t="str">
        <f t="shared" si="16"/>
        <v xml:space="preserve"> </v>
      </c>
      <c r="N139" s="900" t="str">
        <f t="shared" si="17"/>
        <v xml:space="preserve"> </v>
      </c>
      <c r="O139" s="894"/>
      <c r="P139" s="926"/>
      <c r="Q139" s="900" t="str">
        <f>IF(O139&lt;&gt;0,VLOOKUP(O139,'Cây trong'!$A$2:$C$246,3,0)," ")</f>
        <v xml:space="preserve"> </v>
      </c>
      <c r="R139" s="900" t="str">
        <f t="shared" si="24"/>
        <v xml:space="preserve"> </v>
      </c>
      <c r="S139" s="902"/>
      <c r="T139" s="925"/>
      <c r="U139" s="927"/>
      <c r="V139" s="925"/>
      <c r="W139" s="900" t="str">
        <f>IF(S139&lt;&gt;0,VLOOKUP(S139,VKT!$A$2:$G$415,7,0),"")</f>
        <v/>
      </c>
      <c r="X139" s="900" t="str">
        <f t="shared" si="18"/>
        <v xml:space="preserve"> </v>
      </c>
      <c r="Y139" s="925"/>
      <c r="Z139" s="928"/>
      <c r="AA139" s="928"/>
      <c r="AB139" s="904"/>
      <c r="AC139" s="928"/>
      <c r="AD139" s="928"/>
      <c r="AE139" s="928"/>
      <c r="AF139" s="926"/>
      <c r="AG139" s="906" t="str">
        <f>IF(AE139&lt;&gt;0,VLOOKUP(AE139,ODDS!$A$2:$C$13,3,0),"")</f>
        <v/>
      </c>
      <c r="AH139" s="906" t="str">
        <f t="shared" si="25"/>
        <v xml:space="preserve"> </v>
      </c>
      <c r="AI139" s="907" t="str">
        <f t="shared" si="27"/>
        <v xml:space="preserve"> </v>
      </c>
      <c r="AJ139" s="929"/>
      <c r="AK139" s="929"/>
    </row>
    <row r="140" spans="1:39" s="376" customFormat="1" ht="22.5" outlineLevel="2" x14ac:dyDescent="0.3">
      <c r="A140" s="447">
        <f t="shared" si="26"/>
        <v>15</v>
      </c>
      <c r="B140" s="893"/>
      <c r="C140" s="910"/>
      <c r="D140" s="923"/>
      <c r="E140" s="923"/>
      <c r="F140" s="896"/>
      <c r="G140" s="894"/>
      <c r="H140" s="924"/>
      <c r="I140" s="882"/>
      <c r="J140" s="925"/>
      <c r="K140" s="899" t="str">
        <f>IF(G140&lt;&gt;0,VLOOKUP(G140,'gia dat'!$A$1:$F$144,5,0)," ")</f>
        <v xml:space="preserve"> </v>
      </c>
      <c r="L140" s="899" t="str">
        <f>IF(G140&lt;&gt;0,VLOOKUP(G140,'gia dat'!$A$1:$F$144,6,0)," ")</f>
        <v xml:space="preserve"> </v>
      </c>
      <c r="M140" s="900" t="str">
        <f t="shared" si="16"/>
        <v xml:space="preserve"> </v>
      </c>
      <c r="N140" s="900" t="str">
        <f t="shared" si="17"/>
        <v xml:space="preserve"> </v>
      </c>
      <c r="O140" s="894"/>
      <c r="P140" s="926"/>
      <c r="Q140" s="900" t="str">
        <f>IF(O140&lt;&gt;0,VLOOKUP(O140,'Cây trong'!$A$2:$C$246,3,0)," ")</f>
        <v xml:space="preserve"> </v>
      </c>
      <c r="R140" s="900" t="str">
        <f t="shared" si="24"/>
        <v xml:space="preserve"> </v>
      </c>
      <c r="S140" s="902"/>
      <c r="T140" s="925"/>
      <c r="U140" s="927"/>
      <c r="V140" s="925"/>
      <c r="W140" s="900" t="str">
        <f>IF(S140&lt;&gt;0,VLOOKUP(S140,VKT!$A$2:$G$415,7,0),"")</f>
        <v/>
      </c>
      <c r="X140" s="900" t="str">
        <f t="shared" si="18"/>
        <v xml:space="preserve"> </v>
      </c>
      <c r="Y140" s="925"/>
      <c r="Z140" s="928"/>
      <c r="AA140" s="928"/>
      <c r="AB140" s="904"/>
      <c r="AC140" s="928"/>
      <c r="AD140" s="928"/>
      <c r="AE140" s="928"/>
      <c r="AF140" s="926"/>
      <c r="AG140" s="906" t="str">
        <f>IF(AE140&lt;&gt;0,VLOOKUP(AE140,ODDS!$A$2:$C$13,3,0),"")</f>
        <v/>
      </c>
      <c r="AH140" s="906" t="str">
        <f t="shared" si="25"/>
        <v xml:space="preserve"> </v>
      </c>
      <c r="AI140" s="907" t="str">
        <f t="shared" si="27"/>
        <v xml:space="preserve"> </v>
      </c>
      <c r="AJ140" s="894"/>
      <c r="AK140" s="894"/>
    </row>
    <row r="141" spans="1:39" s="376" customFormat="1" ht="43.5" outlineLevel="1" x14ac:dyDescent="0.25">
      <c r="A141" s="467" t="s">
        <v>2694</v>
      </c>
      <c r="B141" s="912">
        <v>16</v>
      </c>
      <c r="C141" s="910" t="s">
        <v>107</v>
      </c>
      <c r="D141" s="931"/>
      <c r="E141" s="931"/>
      <c r="F141" s="913"/>
      <c r="G141" s="910"/>
      <c r="H141" s="953">
        <f>SUBTOTAL(9,H142:H148)</f>
        <v>98.6</v>
      </c>
      <c r="I141" s="915">
        <f>SUBTOTAL(9,I142:I147)</f>
        <v>49.3</v>
      </c>
      <c r="J141" s="933"/>
      <c r="K141" s="917"/>
      <c r="L141" s="917"/>
      <c r="M141" s="907">
        <f>SUBTOTAL(9,M142:M148)</f>
        <v>54664000</v>
      </c>
      <c r="N141" s="907">
        <f>SUBTOTAL(9,N142:N148)</f>
        <v>81996000</v>
      </c>
      <c r="O141" s="910"/>
      <c r="P141" s="935">
        <f>SUBTOTAL(9,P142:P148)</f>
        <v>0</v>
      </c>
      <c r="Q141" s="907"/>
      <c r="R141" s="907">
        <f>SUBTOTAL(9,R142:R148)</f>
        <v>0</v>
      </c>
      <c r="S141" s="918"/>
      <c r="T141" s="933"/>
      <c r="U141" s="936">
        <f>SUBTOTAL(9,U142:U148)</f>
        <v>7.6</v>
      </c>
      <c r="V141" s="933"/>
      <c r="W141" s="907"/>
      <c r="X141" s="907">
        <f>SUBTOTAL(9,X142:X148)</f>
        <v>1859000</v>
      </c>
      <c r="Y141" s="925"/>
      <c r="Z141" s="928"/>
      <c r="AA141" s="928"/>
      <c r="AB141" s="904"/>
      <c r="AC141" s="928"/>
      <c r="AD141" s="928"/>
      <c r="AE141" s="969"/>
      <c r="AF141" s="935">
        <f>SUBTOTAL(9,AF142:AF148)</f>
        <v>0</v>
      </c>
      <c r="AG141" s="921"/>
      <c r="AH141" s="921">
        <f>SUBTOTAL(9,AH142:AH148)</f>
        <v>0</v>
      </c>
      <c r="AI141" s="907">
        <f t="shared" si="27"/>
        <v>138519000</v>
      </c>
      <c r="AJ141" s="910"/>
      <c r="AK141" s="914"/>
      <c r="AM141" s="473"/>
    </row>
    <row r="142" spans="1:39" s="376" customFormat="1" ht="135" outlineLevel="2" x14ac:dyDescent="0.3">
      <c r="A142" s="447">
        <f>IF(B141&lt;&gt;0,B141,A140)</f>
        <v>16</v>
      </c>
      <c r="B142" s="893"/>
      <c r="C142" s="894" t="s">
        <v>108</v>
      </c>
      <c r="D142" s="923">
        <v>4</v>
      </c>
      <c r="E142" s="923">
        <v>86</v>
      </c>
      <c r="F142" s="896">
        <v>1581</v>
      </c>
      <c r="G142" s="894" t="s">
        <v>2891</v>
      </c>
      <c r="H142" s="924">
        <f>98.6-H143</f>
        <v>49.3</v>
      </c>
      <c r="I142" s="882" t="str">
        <f t="shared" ref="I142:I143" si="28">IF(N142&gt;0,H142,"")</f>
        <v/>
      </c>
      <c r="J142" s="925"/>
      <c r="K142" s="899">
        <f>IF(G142&lt;&gt;0,VLOOKUP(G142,'gia dat'!$A$1:$F$144,5,0)," ")</f>
        <v>554400</v>
      </c>
      <c r="L142" s="899">
        <f>IF(G142&lt;&gt;0,VLOOKUP(G142,'gia dat'!$A$1:$F$144,6,0)," ")</f>
        <v>0</v>
      </c>
      <c r="M142" s="900">
        <f t="shared" si="16"/>
        <v>27332000</v>
      </c>
      <c r="N142" s="900">
        <f t="shared" si="17"/>
        <v>0</v>
      </c>
      <c r="O142" s="894"/>
      <c r="P142" s="926"/>
      <c r="Q142" s="900" t="str">
        <f>IF(O142&lt;&gt;0,VLOOKUP(O142,'Cây trong'!$A$2:$C$246,3,0)," ")</f>
        <v xml:space="preserve"> </v>
      </c>
      <c r="R142" s="900" t="str">
        <f t="shared" si="24"/>
        <v xml:space="preserve"> </v>
      </c>
      <c r="S142" s="902" t="s">
        <v>1839</v>
      </c>
      <c r="T142" s="925" t="s">
        <v>53</v>
      </c>
      <c r="U142" s="927">
        <v>7.6</v>
      </c>
      <c r="V142" s="925"/>
      <c r="W142" s="900">
        <f>IF(S142&lt;&gt;0,VLOOKUP(S142,VKT!$A$2:$G$415,7,0),"")</f>
        <v>244604</v>
      </c>
      <c r="X142" s="900">
        <f t="shared" si="18"/>
        <v>1859000</v>
      </c>
      <c r="Y142" s="925"/>
      <c r="Z142" s="928"/>
      <c r="AA142" s="928"/>
      <c r="AB142" s="904"/>
      <c r="AC142" s="928"/>
      <c r="AD142" s="928"/>
      <c r="AE142" s="941"/>
      <c r="AF142" s="926"/>
      <c r="AG142" s="906" t="str">
        <f>IF(AE142&lt;&gt;0,VLOOKUP(AE142,ODDS!$A$2:$C$13,3,0),"")</f>
        <v/>
      </c>
      <c r="AH142" s="906"/>
      <c r="AI142" s="907" t="str">
        <f t="shared" si="27"/>
        <v xml:space="preserve"> </v>
      </c>
      <c r="AJ142" s="894" t="s">
        <v>639</v>
      </c>
      <c r="AK142" s="922" t="s">
        <v>2771</v>
      </c>
      <c r="AM142" s="378" t="s">
        <v>2157</v>
      </c>
    </row>
    <row r="143" spans="1:39" s="376" customFormat="1" ht="135" outlineLevel="2" x14ac:dyDescent="0.3">
      <c r="A143" s="447">
        <f t="shared" ref="A143:A148" si="29">IF(B142&lt;&gt;0,B142,A142)</f>
        <v>16</v>
      </c>
      <c r="B143" s="893"/>
      <c r="C143" s="910" t="s">
        <v>109</v>
      </c>
      <c r="D143" s="923"/>
      <c r="E143" s="923"/>
      <c r="F143" s="896"/>
      <c r="G143" s="894" t="s">
        <v>2893</v>
      </c>
      <c r="H143" s="924">
        <v>49.3</v>
      </c>
      <c r="I143" s="882">
        <f t="shared" si="28"/>
        <v>49.3</v>
      </c>
      <c r="J143" s="925"/>
      <c r="K143" s="899">
        <f>IF(G143&lt;&gt;0,VLOOKUP(G143,'gia dat'!$A$1:$F$144,5,0)," ")</f>
        <v>554400</v>
      </c>
      <c r="L143" s="899">
        <f>IF(G143&lt;&gt;0,VLOOKUP(G143,'gia dat'!$A$1:$F$144,6,0)," ")</f>
        <v>1663200</v>
      </c>
      <c r="M143" s="900">
        <f t="shared" si="16"/>
        <v>27332000</v>
      </c>
      <c r="N143" s="900">
        <f t="shared" si="17"/>
        <v>81996000</v>
      </c>
      <c r="O143" s="894"/>
      <c r="P143" s="926"/>
      <c r="Q143" s="900" t="str">
        <f>IF(O143&lt;&gt;0,VLOOKUP(O143,'Cây trong'!$A$2:$C$246,3,0)," ")</f>
        <v xml:space="preserve"> </v>
      </c>
      <c r="R143" s="900" t="str">
        <f t="shared" si="24"/>
        <v xml:space="preserve"> </v>
      </c>
      <c r="S143" s="902"/>
      <c r="T143" s="925"/>
      <c r="U143" s="927"/>
      <c r="V143" s="925"/>
      <c r="W143" s="900" t="str">
        <f>IF(S143&lt;&gt;0,VLOOKUP(S143,VKT!$A$2:$G$415,7,0),"")</f>
        <v/>
      </c>
      <c r="X143" s="900" t="str">
        <f t="shared" si="18"/>
        <v xml:space="preserve"> </v>
      </c>
      <c r="Y143" s="925"/>
      <c r="Z143" s="928"/>
      <c r="AA143" s="928"/>
      <c r="AB143" s="904"/>
      <c r="AC143" s="928"/>
      <c r="AD143" s="928"/>
      <c r="AE143" s="928"/>
      <c r="AF143" s="926"/>
      <c r="AG143" s="906" t="str">
        <f>IF(AE143&lt;&gt;0,VLOOKUP(AE143,ODDS!$A$2:$C$13,3,0),"")</f>
        <v/>
      </c>
      <c r="AH143" s="906" t="str">
        <f t="shared" si="25"/>
        <v xml:space="preserve"> </v>
      </c>
      <c r="AI143" s="907" t="str">
        <f t="shared" si="27"/>
        <v xml:space="preserve"> </v>
      </c>
      <c r="AJ143" s="894" t="s">
        <v>436</v>
      </c>
      <c r="AK143" s="894" t="s">
        <v>2448</v>
      </c>
    </row>
    <row r="144" spans="1:39" s="376" customFormat="1" ht="112.5" outlineLevel="2" x14ac:dyDescent="0.3">
      <c r="A144" s="447">
        <f t="shared" si="29"/>
        <v>16</v>
      </c>
      <c r="B144" s="893"/>
      <c r="C144" s="908" t="s">
        <v>110</v>
      </c>
      <c r="D144" s="930"/>
      <c r="E144" s="923"/>
      <c r="F144" s="896"/>
      <c r="G144" s="894"/>
      <c r="H144" s="924"/>
      <c r="I144" s="882"/>
      <c r="J144" s="943"/>
      <c r="K144" s="899" t="str">
        <f>IF(G144&lt;&gt;0,VLOOKUP(G144,'gia dat'!$A$1:$F$144,5,0)," ")</f>
        <v xml:space="preserve"> </v>
      </c>
      <c r="L144" s="899" t="str">
        <f>IF(G144&lt;&gt;0,VLOOKUP(G144,'gia dat'!$A$1:$F$144,6,0)," ")</f>
        <v xml:space="preserve"> </v>
      </c>
      <c r="M144" s="900" t="str">
        <f t="shared" si="16"/>
        <v xml:space="preserve"> </v>
      </c>
      <c r="N144" s="900" t="str">
        <f t="shared" si="17"/>
        <v xml:space="preserve"> </v>
      </c>
      <c r="O144" s="914"/>
      <c r="P144" s="926"/>
      <c r="Q144" s="900" t="str">
        <f>IF(O144&lt;&gt;0,VLOOKUP(O144,'Cây trong'!$A$2:$C$246,3,0)," ")</f>
        <v xml:space="preserve"> </v>
      </c>
      <c r="R144" s="900" t="str">
        <f t="shared" si="24"/>
        <v xml:space="preserve"> </v>
      </c>
      <c r="S144" s="914"/>
      <c r="T144" s="956"/>
      <c r="U144" s="927"/>
      <c r="V144" s="933"/>
      <c r="W144" s="900" t="str">
        <f>IF(S144&lt;&gt;0,VLOOKUP(S144,VKT!$A$2:$G$415,7,0),"")</f>
        <v/>
      </c>
      <c r="X144" s="900" t="str">
        <f t="shared" si="18"/>
        <v xml:space="preserve"> </v>
      </c>
      <c r="Y144" s="916"/>
      <c r="Z144" s="937"/>
      <c r="AA144" s="937"/>
      <c r="AB144" s="920"/>
      <c r="AC144" s="937"/>
      <c r="AD144" s="937"/>
      <c r="AE144" s="937"/>
      <c r="AF144" s="935"/>
      <c r="AG144" s="906" t="str">
        <f>IF(AE144&lt;&gt;0,VLOOKUP(AE144,ODDS!$A$2:$C$13,3,0),"")</f>
        <v/>
      </c>
      <c r="AH144" s="906" t="str">
        <f t="shared" si="25"/>
        <v xml:space="preserve"> </v>
      </c>
      <c r="AI144" s="907" t="str">
        <f t="shared" si="27"/>
        <v xml:space="preserve"> </v>
      </c>
      <c r="AJ144" s="943" t="s">
        <v>111</v>
      </c>
      <c r="AK144" s="894" t="s">
        <v>2450</v>
      </c>
    </row>
    <row r="145" spans="1:37" s="376" customFormat="1" ht="112.5" outlineLevel="2" x14ac:dyDescent="0.3">
      <c r="A145" s="447">
        <f t="shared" si="29"/>
        <v>16</v>
      </c>
      <c r="B145" s="893"/>
      <c r="C145" s="963" t="s">
        <v>640</v>
      </c>
      <c r="D145" s="939"/>
      <c r="E145" s="923"/>
      <c r="F145" s="896"/>
      <c r="G145" s="894"/>
      <c r="H145" s="924"/>
      <c r="I145" s="882"/>
      <c r="J145" s="929"/>
      <c r="K145" s="899" t="str">
        <f>IF(G145&lt;&gt;0,VLOOKUP(G145,'gia dat'!$A$1:$F$144,5,0)," ")</f>
        <v xml:space="preserve"> </v>
      </c>
      <c r="L145" s="899" t="str">
        <f>IF(G145&lt;&gt;0,VLOOKUP(G145,'gia dat'!$A$1:$F$144,6,0)," ")</f>
        <v xml:space="preserve"> </v>
      </c>
      <c r="M145" s="900" t="str">
        <f t="shared" si="16"/>
        <v xml:space="preserve"> </v>
      </c>
      <c r="N145" s="900" t="str">
        <f t="shared" si="17"/>
        <v xml:space="preserve"> </v>
      </c>
      <c r="O145" s="922"/>
      <c r="P145" s="926"/>
      <c r="Q145" s="900" t="str">
        <f>IF(O145&lt;&gt;0,VLOOKUP(O145,'Cây trong'!$A$2:$C$246,3,0)," ")</f>
        <v xml:space="preserve"> </v>
      </c>
      <c r="R145" s="900" t="str">
        <f t="shared" si="24"/>
        <v xml:space="preserve"> </v>
      </c>
      <c r="S145" s="922"/>
      <c r="T145" s="944"/>
      <c r="U145" s="927"/>
      <c r="V145" s="925"/>
      <c r="W145" s="900" t="str">
        <f>IF(S145&lt;&gt;0,VLOOKUP(S145,VKT!$A$2:$G$415,7,0),"")</f>
        <v/>
      </c>
      <c r="X145" s="900" t="str">
        <f t="shared" si="18"/>
        <v xml:space="preserve"> </v>
      </c>
      <c r="Y145" s="898"/>
      <c r="Z145" s="928"/>
      <c r="AA145" s="928"/>
      <c r="AB145" s="904"/>
      <c r="AC145" s="928"/>
      <c r="AD145" s="928"/>
      <c r="AE145" s="928"/>
      <c r="AF145" s="926"/>
      <c r="AG145" s="906" t="str">
        <f>IF(AE145&lt;&gt;0,VLOOKUP(AE145,ODDS!$A$2:$C$13,3,0),"")</f>
        <v/>
      </c>
      <c r="AH145" s="906" t="str">
        <f t="shared" si="25"/>
        <v xml:space="preserve"> </v>
      </c>
      <c r="AI145" s="907" t="str">
        <f t="shared" si="27"/>
        <v xml:space="preserve"> </v>
      </c>
      <c r="AJ145" s="894" t="s">
        <v>2192</v>
      </c>
      <c r="AK145" s="894" t="s">
        <v>2800</v>
      </c>
    </row>
    <row r="146" spans="1:37" s="376" customFormat="1" ht="22.5" outlineLevel="2" x14ac:dyDescent="0.35">
      <c r="A146" s="447">
        <f t="shared" si="29"/>
        <v>16</v>
      </c>
      <c r="B146" s="893"/>
      <c r="C146" s="963"/>
      <c r="D146" s="923"/>
      <c r="E146" s="923"/>
      <c r="F146" s="950"/>
      <c r="G146" s="894"/>
      <c r="H146" s="940"/>
      <c r="I146" s="882"/>
      <c r="J146" s="929"/>
      <c r="K146" s="899" t="str">
        <f>IF(G146&lt;&gt;0,VLOOKUP(G146,'gia dat'!$A$1:$F$144,5,0)," ")</f>
        <v xml:space="preserve"> </v>
      </c>
      <c r="L146" s="899" t="str">
        <f>IF(G146&lt;&gt;0,VLOOKUP(G146,'gia dat'!$A$1:$F$144,6,0)," ")</f>
        <v xml:space="preserve"> </v>
      </c>
      <c r="M146" s="900" t="str">
        <f t="shared" si="16"/>
        <v xml:space="preserve"> </v>
      </c>
      <c r="N146" s="900" t="str">
        <f t="shared" si="17"/>
        <v xml:space="preserve"> </v>
      </c>
      <c r="O146" s="929"/>
      <c r="P146" s="951"/>
      <c r="Q146" s="900" t="str">
        <f>IF(O146&lt;&gt;0,VLOOKUP(O146,'Cây trong'!$A$2:$C$246,3,0)," ")</f>
        <v xml:space="preserve"> </v>
      </c>
      <c r="R146" s="900" t="str">
        <f t="shared" si="24"/>
        <v xml:space="preserve"> </v>
      </c>
      <c r="S146" s="929"/>
      <c r="T146" s="929"/>
      <c r="U146" s="952"/>
      <c r="V146" s="925"/>
      <c r="W146" s="900" t="str">
        <f>IF(S146&lt;&gt;0,VLOOKUP(S146,VKT!$A$2:$G$415,7,0),"")</f>
        <v/>
      </c>
      <c r="X146" s="900" t="str">
        <f t="shared" si="18"/>
        <v xml:space="preserve"> </v>
      </c>
      <c r="Y146" s="925"/>
      <c r="Z146" s="925"/>
      <c r="AA146" s="925"/>
      <c r="AB146" s="898"/>
      <c r="AC146" s="925"/>
      <c r="AD146" s="925"/>
      <c r="AE146" s="925"/>
      <c r="AF146" s="964"/>
      <c r="AG146" s="906" t="str">
        <f>IF(AE146&lt;&gt;0,VLOOKUP(AE146,ODDS!$A$2:$C$13,3,0),"")</f>
        <v/>
      </c>
      <c r="AH146" s="906" t="str">
        <f t="shared" si="25"/>
        <v xml:space="preserve"> </v>
      </c>
      <c r="AI146" s="907" t="str">
        <f t="shared" si="27"/>
        <v xml:space="preserve"> </v>
      </c>
      <c r="AJ146" s="911"/>
      <c r="AK146" s="929"/>
    </row>
    <row r="147" spans="1:37" s="376" customFormat="1" ht="22.5" outlineLevel="2" x14ac:dyDescent="0.35">
      <c r="A147" s="447">
        <f t="shared" si="29"/>
        <v>16</v>
      </c>
      <c r="B147" s="893"/>
      <c r="C147" s="942"/>
      <c r="D147" s="923"/>
      <c r="E147" s="923"/>
      <c r="F147" s="950"/>
      <c r="G147" s="894"/>
      <c r="H147" s="940"/>
      <c r="I147" s="882"/>
      <c r="J147" s="929"/>
      <c r="K147" s="899" t="str">
        <f>IF(G147&lt;&gt;0,VLOOKUP(G147,'gia dat'!$A$1:$F$144,5,0)," ")</f>
        <v xml:space="preserve"> </v>
      </c>
      <c r="L147" s="899" t="str">
        <f>IF(G147&lt;&gt;0,VLOOKUP(G147,'gia dat'!$A$1:$F$144,6,0)," ")</f>
        <v xml:space="preserve"> </v>
      </c>
      <c r="M147" s="900" t="str">
        <f t="shared" si="16"/>
        <v xml:space="preserve"> </v>
      </c>
      <c r="N147" s="900" t="str">
        <f t="shared" si="17"/>
        <v xml:space="preserve"> </v>
      </c>
      <c r="O147" s="929"/>
      <c r="P147" s="951"/>
      <c r="Q147" s="900" t="str">
        <f>IF(O147&lt;&gt;0,VLOOKUP(O147,'Cây trong'!$A$2:$C$246,3,0)," ")</f>
        <v xml:space="preserve"> </v>
      </c>
      <c r="R147" s="900" t="str">
        <f t="shared" si="24"/>
        <v xml:space="preserve"> </v>
      </c>
      <c r="S147" s="929"/>
      <c r="T147" s="929"/>
      <c r="U147" s="952"/>
      <c r="V147" s="925"/>
      <c r="W147" s="900" t="str">
        <f>IF(S147&lt;&gt;0,VLOOKUP(S147,VKT!$A$2:$G$415,7,0),"")</f>
        <v/>
      </c>
      <c r="X147" s="900" t="str">
        <f t="shared" si="18"/>
        <v xml:space="preserve"> </v>
      </c>
      <c r="Y147" s="925"/>
      <c r="Z147" s="925"/>
      <c r="AA147" s="925"/>
      <c r="AB147" s="898"/>
      <c r="AC147" s="925"/>
      <c r="AD147" s="925"/>
      <c r="AE147" s="925"/>
      <c r="AF147" s="964"/>
      <c r="AG147" s="906" t="str">
        <f>IF(AE147&lt;&gt;0,VLOOKUP(AE147,ODDS!$A$2:$C$13,3,0),"")</f>
        <v/>
      </c>
      <c r="AH147" s="906" t="str">
        <f t="shared" si="25"/>
        <v xml:space="preserve"> </v>
      </c>
      <c r="AI147" s="907" t="str">
        <f t="shared" si="27"/>
        <v xml:space="preserve"> </v>
      </c>
      <c r="AJ147" s="911"/>
      <c r="AK147" s="929"/>
    </row>
    <row r="148" spans="1:37" s="376" customFormat="1" ht="22.5" outlineLevel="2" x14ac:dyDescent="0.3">
      <c r="A148" s="447">
        <f t="shared" si="29"/>
        <v>16</v>
      </c>
      <c r="B148" s="893"/>
      <c r="C148" s="910"/>
      <c r="D148" s="930"/>
      <c r="E148" s="931"/>
      <c r="F148" s="913"/>
      <c r="G148" s="910"/>
      <c r="H148" s="924"/>
      <c r="I148" s="882"/>
      <c r="J148" s="943"/>
      <c r="K148" s="899" t="str">
        <f>IF(G148&lt;&gt;0,VLOOKUP(G148,'gia dat'!$A$1:$F$144,5,0)," ")</f>
        <v xml:space="preserve"> </v>
      </c>
      <c r="L148" s="899" t="str">
        <f>IF(G148&lt;&gt;0,VLOOKUP(G148,'gia dat'!$A$1:$F$144,6,0)," ")</f>
        <v xml:space="preserve"> </v>
      </c>
      <c r="M148" s="900" t="str">
        <f t="shared" si="16"/>
        <v xml:space="preserve"> </v>
      </c>
      <c r="N148" s="900" t="str">
        <f t="shared" si="17"/>
        <v xml:space="preserve"> </v>
      </c>
      <c r="O148" s="914"/>
      <c r="P148" s="968"/>
      <c r="Q148" s="900" t="str">
        <f>IF(O148&lt;&gt;0,VLOOKUP(O148,'Cây trong'!$A$2:$C$246,3,0)," ")</f>
        <v xml:space="preserve"> </v>
      </c>
      <c r="R148" s="900" t="str">
        <f t="shared" si="24"/>
        <v xml:space="preserve"> </v>
      </c>
      <c r="S148" s="914"/>
      <c r="T148" s="956"/>
      <c r="U148" s="927"/>
      <c r="V148" s="933"/>
      <c r="W148" s="900" t="str">
        <f>IF(S148&lt;&gt;0,VLOOKUP(S148,VKT!$A$2:$G$415,7,0),"")</f>
        <v/>
      </c>
      <c r="X148" s="900" t="str">
        <f t="shared" si="18"/>
        <v xml:space="preserve"> </v>
      </c>
      <c r="Y148" s="916"/>
      <c r="Z148" s="937"/>
      <c r="AA148" s="937"/>
      <c r="AB148" s="920"/>
      <c r="AC148" s="937"/>
      <c r="AD148" s="937"/>
      <c r="AE148" s="937"/>
      <c r="AF148" s="935"/>
      <c r="AG148" s="906" t="str">
        <f>IF(AE148&lt;&gt;0,VLOOKUP(AE148,ODDS!$A$2:$C$13,3,0),"")</f>
        <v/>
      </c>
      <c r="AH148" s="906" t="str">
        <f t="shared" si="25"/>
        <v xml:space="preserve"> </v>
      </c>
      <c r="AI148" s="907" t="str">
        <f t="shared" si="27"/>
        <v xml:space="preserve"> </v>
      </c>
      <c r="AJ148" s="943"/>
      <c r="AK148" s="943"/>
    </row>
    <row r="149" spans="1:37" s="376" customFormat="1" ht="43.5" outlineLevel="1" x14ac:dyDescent="0.25">
      <c r="A149" s="467" t="s">
        <v>2693</v>
      </c>
      <c r="B149" s="912">
        <v>17</v>
      </c>
      <c r="C149" s="910" t="s">
        <v>50</v>
      </c>
      <c r="D149" s="931"/>
      <c r="E149" s="931"/>
      <c r="F149" s="913"/>
      <c r="G149" s="910"/>
      <c r="H149" s="953">
        <f>SUBTOTAL(9,H150:H156)</f>
        <v>123.5</v>
      </c>
      <c r="I149" s="915">
        <f>SUBTOTAL(9,I150:I155)</f>
        <v>44.1</v>
      </c>
      <c r="J149" s="943"/>
      <c r="K149" s="917"/>
      <c r="L149" s="917"/>
      <c r="M149" s="907">
        <f>SUBTOTAL(9,M150:M156)</f>
        <v>344723000</v>
      </c>
      <c r="N149" s="907">
        <f>SUBTOTAL(9,N150:N156)</f>
        <v>73347000</v>
      </c>
      <c r="O149" s="914"/>
      <c r="P149" s="935">
        <f>SUBTOTAL(9,P150:P156)</f>
        <v>0</v>
      </c>
      <c r="Q149" s="907"/>
      <c r="R149" s="907">
        <f>SUBTOTAL(9,R150:R156)</f>
        <v>0</v>
      </c>
      <c r="S149" s="918"/>
      <c r="T149" s="933"/>
      <c r="U149" s="936">
        <f>SUBTOTAL(9,U150:U156)</f>
        <v>80</v>
      </c>
      <c r="V149" s="933"/>
      <c r="W149" s="907"/>
      <c r="X149" s="907">
        <f>SUBTOTAL(9,X150:X156)</f>
        <v>50045000</v>
      </c>
      <c r="Y149" s="925"/>
      <c r="Z149" s="928"/>
      <c r="AA149" s="928"/>
      <c r="AB149" s="904"/>
      <c r="AC149" s="928"/>
      <c r="AD149" s="928"/>
      <c r="AE149" s="969"/>
      <c r="AF149" s="935">
        <f>SUBTOTAL(9,AF150:AF156)</f>
        <v>0</v>
      </c>
      <c r="AG149" s="921"/>
      <c r="AH149" s="921">
        <f>SUBTOTAL(9,AH150:AH156)</f>
        <v>0</v>
      </c>
      <c r="AI149" s="907">
        <f t="shared" si="27"/>
        <v>468115000</v>
      </c>
      <c r="AJ149" s="910"/>
      <c r="AK149" s="914"/>
    </row>
    <row r="150" spans="1:37" s="376" customFormat="1" ht="135" outlineLevel="2" x14ac:dyDescent="0.3">
      <c r="A150" s="447">
        <f>IF(B149&lt;&gt;0,B149,A148)</f>
        <v>17</v>
      </c>
      <c r="B150" s="893"/>
      <c r="C150" s="894" t="s">
        <v>112</v>
      </c>
      <c r="D150" s="923">
        <v>2</v>
      </c>
      <c r="E150" s="923">
        <v>86</v>
      </c>
      <c r="F150" s="896">
        <v>198</v>
      </c>
      <c r="G150" s="894" t="s">
        <v>2034</v>
      </c>
      <c r="H150" s="924">
        <v>79.400000000000006</v>
      </c>
      <c r="I150" s="882" t="str">
        <f t="shared" ref="I150:I151" si="30">IF(N150&gt;0,H150,"")</f>
        <v/>
      </c>
      <c r="J150" s="929"/>
      <c r="K150" s="899">
        <f>IF(G150&lt;&gt;0,VLOOKUP(G150,'gia dat'!$A$1:$F$144,5,0)," ")</f>
        <v>4033679.9999999995</v>
      </c>
      <c r="L150" s="899">
        <f>IF(G150&lt;&gt;0,VLOOKUP(G150,'gia dat'!$A$1:$F$144,6,0)," ")</f>
        <v>0</v>
      </c>
      <c r="M150" s="900">
        <f t="shared" si="16"/>
        <v>320274000</v>
      </c>
      <c r="N150" s="900">
        <f t="shared" si="17"/>
        <v>0</v>
      </c>
      <c r="O150" s="922"/>
      <c r="P150" s="926"/>
      <c r="Q150" s="900" t="str">
        <f>IF(O150&lt;&gt;0,VLOOKUP(O150,'Cây trong'!$A$2:$C$246,3,0)," ")</f>
        <v xml:space="preserve"> </v>
      </c>
      <c r="R150" s="900" t="str">
        <f t="shared" si="24"/>
        <v xml:space="preserve"> </v>
      </c>
      <c r="S150" s="902" t="s">
        <v>2269</v>
      </c>
      <c r="T150" s="925" t="s">
        <v>53</v>
      </c>
      <c r="U150" s="927">
        <v>80</v>
      </c>
      <c r="V150" s="925"/>
      <c r="W150" s="900">
        <f>IF(S150&lt;&gt;0,VLOOKUP(S150,VKT!$A$2:$G$415,7,0),"")</f>
        <v>625568</v>
      </c>
      <c r="X150" s="900">
        <f t="shared" ref="X150:X221" si="31">IF(S150&lt;&gt;0,ROUND(U150*W150,-3)," ")</f>
        <v>50045000</v>
      </c>
      <c r="Y150" s="925"/>
      <c r="Z150" s="928"/>
      <c r="AA150" s="928"/>
      <c r="AB150" s="904"/>
      <c r="AC150" s="928"/>
      <c r="AD150" s="928"/>
      <c r="AE150" s="941"/>
      <c r="AF150" s="926"/>
      <c r="AG150" s="906" t="str">
        <f>IF(AE150&lt;&gt;0,VLOOKUP(AE150,ODDS!$A$2:$C$13,3,0),"")</f>
        <v/>
      </c>
      <c r="AH150" s="906" t="str">
        <f t="shared" si="25"/>
        <v xml:space="preserve"> </v>
      </c>
      <c r="AI150" s="907" t="str">
        <f t="shared" si="27"/>
        <v xml:space="preserve"> </v>
      </c>
      <c r="AJ150" s="894" t="s">
        <v>641</v>
      </c>
      <c r="AK150" s="922" t="s">
        <v>2771</v>
      </c>
    </row>
    <row r="151" spans="1:37" s="376" customFormat="1" ht="112.5" outlineLevel="2" x14ac:dyDescent="0.3">
      <c r="A151" s="447">
        <f t="shared" ref="A151:A156" si="32">IF(B150&lt;&gt;0,B150,A150)</f>
        <v>17</v>
      </c>
      <c r="B151" s="893"/>
      <c r="C151" s="963" t="s">
        <v>642</v>
      </c>
      <c r="D151" s="923"/>
      <c r="E151" s="923">
        <v>86</v>
      </c>
      <c r="F151" s="896">
        <v>198</v>
      </c>
      <c r="G151" s="894" t="s">
        <v>2892</v>
      </c>
      <c r="H151" s="924">
        <v>44.1</v>
      </c>
      <c r="I151" s="882">
        <f t="shared" si="30"/>
        <v>44.1</v>
      </c>
      <c r="J151" s="925"/>
      <c r="K151" s="899">
        <f>IF(G151&lt;&gt;0,VLOOKUP(G151,'gia dat'!$A$1:$F$144,5,0)," ")</f>
        <v>554400</v>
      </c>
      <c r="L151" s="899">
        <f>IF(G151&lt;&gt;0,VLOOKUP(G151,'gia dat'!$A$1:$F$144,6,0)," ")</f>
        <v>1663200</v>
      </c>
      <c r="M151" s="900">
        <f t="shared" si="16"/>
        <v>24449000</v>
      </c>
      <c r="N151" s="900">
        <f t="shared" si="17"/>
        <v>73347000</v>
      </c>
      <c r="O151" s="901"/>
      <c r="P151" s="926"/>
      <c r="Q151" s="900" t="str">
        <f>IF(O151&lt;&gt;0,VLOOKUP(O151,'Cây trong'!$A$2:$C$246,3,0)," ")</f>
        <v xml:space="preserve"> </v>
      </c>
      <c r="R151" s="900" t="str">
        <f t="shared" si="24"/>
        <v xml:space="preserve"> </v>
      </c>
      <c r="S151" s="902"/>
      <c r="T151" s="925"/>
      <c r="U151" s="927"/>
      <c r="V151" s="925"/>
      <c r="W151" s="900" t="str">
        <f>IF(S151&lt;&gt;0,VLOOKUP(S151,VKT!$A$2:$G$415,7,0),"")</f>
        <v/>
      </c>
      <c r="X151" s="900" t="str">
        <f t="shared" si="31"/>
        <v xml:space="preserve"> </v>
      </c>
      <c r="Y151" s="925"/>
      <c r="Z151" s="928"/>
      <c r="AA151" s="928"/>
      <c r="AB151" s="904"/>
      <c r="AC151" s="928"/>
      <c r="AD151" s="928"/>
      <c r="AE151" s="928"/>
      <c r="AF151" s="926"/>
      <c r="AG151" s="906" t="str">
        <f>IF(AE151&lt;&gt;0,VLOOKUP(AE151,ODDS!$A$2:$C$13,3,0),"")</f>
        <v/>
      </c>
      <c r="AH151" s="906" t="str">
        <f t="shared" si="25"/>
        <v xml:space="preserve"> </v>
      </c>
      <c r="AI151" s="907" t="str">
        <f t="shared" si="27"/>
        <v xml:space="preserve"> </v>
      </c>
      <c r="AJ151" s="894" t="s">
        <v>440</v>
      </c>
      <c r="AK151" s="894" t="s">
        <v>2448</v>
      </c>
    </row>
    <row r="152" spans="1:37" s="376" customFormat="1" ht="112.5" outlineLevel="2" x14ac:dyDescent="0.3">
      <c r="A152" s="447">
        <f t="shared" si="32"/>
        <v>17</v>
      </c>
      <c r="B152" s="893"/>
      <c r="C152" s="970"/>
      <c r="D152" s="923"/>
      <c r="E152" s="923"/>
      <c r="F152" s="896"/>
      <c r="G152" s="894"/>
      <c r="H152" s="924"/>
      <c r="I152" s="882"/>
      <c r="J152" s="925"/>
      <c r="K152" s="899" t="str">
        <f>IF(G152&lt;&gt;0,VLOOKUP(G152,'gia dat'!$A$1:$F$144,5,0)," ")</f>
        <v xml:space="preserve"> </v>
      </c>
      <c r="L152" s="899" t="str">
        <f>IF(G152&lt;&gt;0,VLOOKUP(G152,'gia dat'!$A$1:$F$144,6,0)," ")</f>
        <v xml:space="preserve"> </v>
      </c>
      <c r="M152" s="900" t="str">
        <f t="shared" si="16"/>
        <v xml:space="preserve"> </v>
      </c>
      <c r="N152" s="900" t="str">
        <f t="shared" si="17"/>
        <v xml:space="preserve"> </v>
      </c>
      <c r="O152" s="901"/>
      <c r="P152" s="926"/>
      <c r="Q152" s="900" t="str">
        <f>IF(O152&lt;&gt;0,VLOOKUP(O152,'Cây trong'!$A$2:$C$246,3,0)," ")</f>
        <v xml:space="preserve"> </v>
      </c>
      <c r="R152" s="900" t="str">
        <f t="shared" si="24"/>
        <v xml:space="preserve"> </v>
      </c>
      <c r="S152" s="902"/>
      <c r="T152" s="925"/>
      <c r="U152" s="927"/>
      <c r="V152" s="925"/>
      <c r="W152" s="900" t="str">
        <f>IF(S152&lt;&gt;0,VLOOKUP(S152,VKT!$A$2:$G$415,7,0),"")</f>
        <v/>
      </c>
      <c r="X152" s="900" t="str">
        <f t="shared" si="31"/>
        <v xml:space="preserve"> </v>
      </c>
      <c r="Y152" s="925"/>
      <c r="Z152" s="928"/>
      <c r="AA152" s="928"/>
      <c r="AB152" s="904"/>
      <c r="AC152" s="928"/>
      <c r="AD152" s="928"/>
      <c r="AE152" s="928"/>
      <c r="AF152" s="926"/>
      <c r="AG152" s="906" t="str">
        <f>IF(AE152&lt;&gt;0,VLOOKUP(AE152,ODDS!$A$2:$C$13,3,0),"")</f>
        <v/>
      </c>
      <c r="AH152" s="906" t="str">
        <f t="shared" si="25"/>
        <v xml:space="preserve"> </v>
      </c>
      <c r="AI152" s="907" t="str">
        <f t="shared" si="27"/>
        <v xml:space="preserve"> </v>
      </c>
      <c r="AJ152" s="929" t="s">
        <v>2140</v>
      </c>
      <c r="AK152" s="894" t="s">
        <v>2450</v>
      </c>
    </row>
    <row r="153" spans="1:37" s="376" customFormat="1" ht="112.5" outlineLevel="2" x14ac:dyDescent="0.3">
      <c r="A153" s="447">
        <f t="shared" si="32"/>
        <v>17</v>
      </c>
      <c r="B153" s="893"/>
      <c r="C153" s="894"/>
      <c r="D153" s="923"/>
      <c r="E153" s="923"/>
      <c r="F153" s="896"/>
      <c r="G153" s="894"/>
      <c r="H153" s="924"/>
      <c r="I153" s="882"/>
      <c r="J153" s="925"/>
      <c r="K153" s="899" t="str">
        <f>IF(G153&lt;&gt;0,VLOOKUP(G153,'gia dat'!$A$1:$F$144,5,0)," ")</f>
        <v xml:space="preserve"> </v>
      </c>
      <c r="L153" s="899" t="str">
        <f>IF(G153&lt;&gt;0,VLOOKUP(G153,'gia dat'!$A$1:$F$144,6,0)," ")</f>
        <v xml:space="preserve"> </v>
      </c>
      <c r="M153" s="900" t="str">
        <f t="shared" si="16"/>
        <v xml:space="preserve"> </v>
      </c>
      <c r="N153" s="900" t="str">
        <f t="shared" si="17"/>
        <v xml:space="preserve"> </v>
      </c>
      <c r="O153" s="894"/>
      <c r="P153" s="926"/>
      <c r="Q153" s="900" t="str">
        <f>IF(O153&lt;&gt;0,VLOOKUP(O153,'Cây trong'!$A$2:$C$246,3,0)," ")</f>
        <v xml:space="preserve"> </v>
      </c>
      <c r="R153" s="900" t="str">
        <f t="shared" si="24"/>
        <v xml:space="preserve"> </v>
      </c>
      <c r="S153" s="902"/>
      <c r="T153" s="925"/>
      <c r="U153" s="927"/>
      <c r="V153" s="925"/>
      <c r="W153" s="900" t="str">
        <f>IF(S153&lt;&gt;0,VLOOKUP(S153,VKT!$A$2:$G$415,7,0),"")</f>
        <v/>
      </c>
      <c r="X153" s="900" t="str">
        <f t="shared" si="31"/>
        <v xml:space="preserve"> </v>
      </c>
      <c r="Y153" s="925"/>
      <c r="Z153" s="928"/>
      <c r="AA153" s="928"/>
      <c r="AB153" s="904"/>
      <c r="AC153" s="928"/>
      <c r="AD153" s="928"/>
      <c r="AE153" s="928"/>
      <c r="AF153" s="926"/>
      <c r="AG153" s="906" t="str">
        <f>IF(AE153&lt;&gt;0,VLOOKUP(AE153,ODDS!$A$2:$C$13,3,0),"")</f>
        <v/>
      </c>
      <c r="AH153" s="906" t="str">
        <f t="shared" si="25"/>
        <v xml:space="preserve"> </v>
      </c>
      <c r="AI153" s="907" t="str">
        <f t="shared" si="27"/>
        <v xml:space="preserve"> </v>
      </c>
      <c r="AJ153" s="894" t="s">
        <v>2074</v>
      </c>
      <c r="AK153" s="894" t="s">
        <v>2800</v>
      </c>
    </row>
    <row r="154" spans="1:37" s="376" customFormat="1" ht="22.5" outlineLevel="2" x14ac:dyDescent="0.35">
      <c r="A154" s="447">
        <f t="shared" si="32"/>
        <v>17</v>
      </c>
      <c r="B154" s="893"/>
      <c r="C154" s="894"/>
      <c r="D154" s="923"/>
      <c r="E154" s="923"/>
      <c r="F154" s="950"/>
      <c r="G154" s="894"/>
      <c r="H154" s="940"/>
      <c r="I154" s="882"/>
      <c r="J154" s="929"/>
      <c r="K154" s="899" t="str">
        <f>IF(G154&lt;&gt;0,VLOOKUP(G154,'gia dat'!$A$1:$F$144,5,0)," ")</f>
        <v xml:space="preserve"> </v>
      </c>
      <c r="L154" s="899" t="str">
        <f>IF(G154&lt;&gt;0,VLOOKUP(G154,'gia dat'!$A$1:$F$144,6,0)," ")</f>
        <v xml:space="preserve"> </v>
      </c>
      <c r="M154" s="900" t="str">
        <f t="shared" ref="M154:M225" si="33">IF(H154&lt;&gt;0,ROUND(H154*K154,-3)," ")</f>
        <v xml:space="preserve"> </v>
      </c>
      <c r="N154" s="900" t="str">
        <f t="shared" ref="N154:N225" si="34">IF(H154&lt;&gt;0,ROUND(H154*L154,-3)," ")</f>
        <v xml:space="preserve"> </v>
      </c>
      <c r="O154" s="929"/>
      <c r="P154" s="951"/>
      <c r="Q154" s="900" t="str">
        <f>IF(O154&lt;&gt;0,VLOOKUP(O154,'Cây trong'!$A$2:$C$246,3,0)," ")</f>
        <v xml:space="preserve"> </v>
      </c>
      <c r="R154" s="900" t="str">
        <f t="shared" si="24"/>
        <v xml:space="preserve"> </v>
      </c>
      <c r="S154" s="929"/>
      <c r="T154" s="929"/>
      <c r="U154" s="952"/>
      <c r="V154" s="925"/>
      <c r="W154" s="900" t="str">
        <f>IF(S154&lt;&gt;0,VLOOKUP(S154,VKT!$A$2:$G$415,7,0),"")</f>
        <v/>
      </c>
      <c r="X154" s="900" t="str">
        <f t="shared" si="31"/>
        <v xml:space="preserve"> </v>
      </c>
      <c r="Y154" s="925"/>
      <c r="Z154" s="925"/>
      <c r="AA154" s="925"/>
      <c r="AB154" s="898"/>
      <c r="AC154" s="925"/>
      <c r="AD154" s="925"/>
      <c r="AE154" s="925"/>
      <c r="AF154" s="964"/>
      <c r="AG154" s="906" t="str">
        <f>IF(AE154&lt;&gt;0,VLOOKUP(AE154,ODDS!$A$2:$C$13,3,0),"")</f>
        <v/>
      </c>
      <c r="AH154" s="906" t="str">
        <f t="shared" si="25"/>
        <v xml:space="preserve"> </v>
      </c>
      <c r="AI154" s="907" t="str">
        <f t="shared" si="27"/>
        <v xml:space="preserve"> </v>
      </c>
      <c r="AJ154" s="911"/>
      <c r="AK154" s="929"/>
    </row>
    <row r="155" spans="1:37" s="376" customFormat="1" ht="22.5" outlineLevel="2" x14ac:dyDescent="0.3">
      <c r="A155" s="447">
        <f t="shared" si="32"/>
        <v>17</v>
      </c>
      <c r="B155" s="893"/>
      <c r="C155" s="894"/>
      <c r="D155" s="923"/>
      <c r="E155" s="923"/>
      <c r="F155" s="950"/>
      <c r="G155" s="894"/>
      <c r="H155" s="940"/>
      <c r="I155" s="882"/>
      <c r="J155" s="929"/>
      <c r="K155" s="899" t="str">
        <f>IF(G155&lt;&gt;0,VLOOKUP(G155,'gia dat'!$A$1:$F$144,5,0)," ")</f>
        <v xml:space="preserve"> </v>
      </c>
      <c r="L155" s="899" t="str">
        <f>IF(G155&lt;&gt;0,VLOOKUP(G155,'gia dat'!$A$1:$F$144,6,0)," ")</f>
        <v xml:space="preserve"> </v>
      </c>
      <c r="M155" s="900" t="str">
        <f t="shared" si="33"/>
        <v xml:space="preserve"> </v>
      </c>
      <c r="N155" s="900" t="str">
        <f t="shared" si="34"/>
        <v xml:space="preserve"> </v>
      </c>
      <c r="O155" s="929"/>
      <c r="P155" s="951"/>
      <c r="Q155" s="900" t="str">
        <f>IF(O155&lt;&gt;0,VLOOKUP(O155,'Cây trong'!$A$2:$C$246,3,0)," ")</f>
        <v xml:space="preserve"> </v>
      </c>
      <c r="R155" s="900" t="str">
        <f t="shared" si="24"/>
        <v xml:space="preserve"> </v>
      </c>
      <c r="S155" s="929"/>
      <c r="T155" s="929"/>
      <c r="U155" s="952"/>
      <c r="V155" s="925"/>
      <c r="W155" s="900" t="str">
        <f>IF(S155&lt;&gt;0,VLOOKUP(S155,VKT!$A$2:$G$415,7,0),"")</f>
        <v/>
      </c>
      <c r="X155" s="900" t="str">
        <f t="shared" si="31"/>
        <v xml:space="preserve"> </v>
      </c>
      <c r="Y155" s="925"/>
      <c r="Z155" s="925"/>
      <c r="AA155" s="925"/>
      <c r="AB155" s="898"/>
      <c r="AC155" s="925"/>
      <c r="AD155" s="925"/>
      <c r="AE155" s="925"/>
      <c r="AF155" s="964"/>
      <c r="AG155" s="906" t="str">
        <f>IF(AE155&lt;&gt;0,VLOOKUP(AE155,ODDS!$A$2:$C$13,3,0),"")</f>
        <v/>
      </c>
      <c r="AH155" s="906" t="str">
        <f t="shared" si="25"/>
        <v xml:space="preserve"> </v>
      </c>
      <c r="AI155" s="907" t="str">
        <f t="shared" si="27"/>
        <v xml:space="preserve"> </v>
      </c>
      <c r="AJ155" s="929"/>
      <c r="AK155" s="929"/>
    </row>
    <row r="156" spans="1:37" s="376" customFormat="1" ht="22.5" outlineLevel="2" x14ac:dyDescent="0.3">
      <c r="A156" s="447">
        <f t="shared" si="32"/>
        <v>17</v>
      </c>
      <c r="B156" s="893"/>
      <c r="C156" s="942"/>
      <c r="D156" s="923"/>
      <c r="E156" s="923"/>
      <c r="F156" s="950"/>
      <c r="G156" s="894"/>
      <c r="H156" s="940"/>
      <c r="I156" s="882"/>
      <c r="J156" s="929"/>
      <c r="K156" s="899" t="str">
        <f>IF(G156&lt;&gt;0,VLOOKUP(G156,'gia dat'!$A$1:$F$144,5,0)," ")</f>
        <v xml:space="preserve"> </v>
      </c>
      <c r="L156" s="899" t="str">
        <f>IF(G156&lt;&gt;0,VLOOKUP(G156,'gia dat'!$A$1:$F$144,6,0)," ")</f>
        <v xml:space="preserve"> </v>
      </c>
      <c r="M156" s="900" t="str">
        <f t="shared" si="33"/>
        <v xml:space="preserve"> </v>
      </c>
      <c r="N156" s="900" t="str">
        <f t="shared" si="34"/>
        <v xml:space="preserve"> </v>
      </c>
      <c r="O156" s="929"/>
      <c r="P156" s="951"/>
      <c r="Q156" s="900" t="str">
        <f>IF(O156&lt;&gt;0,VLOOKUP(O156,'Cây trong'!$A$2:$C$246,3,0)," ")</f>
        <v xml:space="preserve"> </v>
      </c>
      <c r="R156" s="900" t="str">
        <f t="shared" si="24"/>
        <v xml:space="preserve"> </v>
      </c>
      <c r="S156" s="929"/>
      <c r="T156" s="929"/>
      <c r="U156" s="952"/>
      <c r="V156" s="925"/>
      <c r="W156" s="900" t="str">
        <f>IF(S156&lt;&gt;0,VLOOKUP(S156,VKT!$A$2:$G$415,7,0),"")</f>
        <v/>
      </c>
      <c r="X156" s="900" t="str">
        <f t="shared" si="31"/>
        <v xml:space="preserve"> </v>
      </c>
      <c r="Y156" s="925"/>
      <c r="Z156" s="925"/>
      <c r="AA156" s="925"/>
      <c r="AB156" s="898"/>
      <c r="AC156" s="925"/>
      <c r="AD156" s="925"/>
      <c r="AE156" s="925"/>
      <c r="AF156" s="964"/>
      <c r="AG156" s="906" t="str">
        <f>IF(AE156&lt;&gt;0,VLOOKUP(AE156,ODDS!$A$2:$C$13,3,0),"")</f>
        <v/>
      </c>
      <c r="AH156" s="906" t="str">
        <f t="shared" si="25"/>
        <v xml:space="preserve"> </v>
      </c>
      <c r="AI156" s="907" t="str">
        <f t="shared" si="27"/>
        <v xml:space="preserve"> </v>
      </c>
      <c r="AJ156" s="929"/>
      <c r="AK156" s="929"/>
    </row>
    <row r="157" spans="1:37" s="376" customFormat="1" ht="43.5" outlineLevel="1" x14ac:dyDescent="0.25">
      <c r="A157" s="467" t="s">
        <v>2692</v>
      </c>
      <c r="B157" s="912">
        <v>18</v>
      </c>
      <c r="C157" s="942" t="s">
        <v>26</v>
      </c>
      <c r="D157" s="931"/>
      <c r="E157" s="931"/>
      <c r="F157" s="913"/>
      <c r="G157" s="910"/>
      <c r="H157" s="953">
        <f>SUBTOTAL(9,H158:H164)</f>
        <v>29.8</v>
      </c>
      <c r="I157" s="915">
        <f>SUBTOTAL(9,I158:I163)</f>
        <v>8.8000000000000007</v>
      </c>
      <c r="J157" s="943"/>
      <c r="K157" s="917"/>
      <c r="L157" s="917"/>
      <c r="M157" s="907">
        <f>SUBTOTAL(9,M158:M164)</f>
        <v>89586000</v>
      </c>
      <c r="N157" s="907">
        <f>SUBTOTAL(9,N158:N164)</f>
        <v>14636000</v>
      </c>
      <c r="O157" s="914"/>
      <c r="P157" s="935">
        <f>SUBTOTAL(9,P158:P164)</f>
        <v>0</v>
      </c>
      <c r="Q157" s="907"/>
      <c r="R157" s="907">
        <f>SUBTOTAL(9,R158:R164)</f>
        <v>0</v>
      </c>
      <c r="S157" s="914"/>
      <c r="T157" s="956"/>
      <c r="U157" s="936">
        <f>SUBTOTAL(9,U158:U164)</f>
        <v>0</v>
      </c>
      <c r="V157" s="933"/>
      <c r="W157" s="907"/>
      <c r="X157" s="907">
        <f>SUBTOTAL(9,X158:X164)</f>
        <v>0</v>
      </c>
      <c r="Y157" s="925"/>
      <c r="Z157" s="928"/>
      <c r="AA157" s="928"/>
      <c r="AB157" s="904"/>
      <c r="AC157" s="928"/>
      <c r="AD157" s="928"/>
      <c r="AE157" s="969"/>
      <c r="AF157" s="935">
        <f>SUBTOTAL(9,AF158:AF164)</f>
        <v>0</v>
      </c>
      <c r="AG157" s="921"/>
      <c r="AH157" s="921">
        <f>SUBTOTAL(9,AH158:AH164)</f>
        <v>0</v>
      </c>
      <c r="AI157" s="907">
        <f t="shared" si="27"/>
        <v>104222000</v>
      </c>
      <c r="AJ157" s="910"/>
      <c r="AK157" s="914"/>
    </row>
    <row r="158" spans="1:37" s="376" customFormat="1" ht="157.5" outlineLevel="2" x14ac:dyDescent="0.3">
      <c r="A158" s="447">
        <f>IF(B157&lt;&gt;0,B157,A156)</f>
        <v>18</v>
      </c>
      <c r="B158" s="893"/>
      <c r="C158" s="894" t="s">
        <v>113</v>
      </c>
      <c r="D158" s="923">
        <v>7</v>
      </c>
      <c r="E158" s="923">
        <v>86</v>
      </c>
      <c r="F158" s="896">
        <v>318</v>
      </c>
      <c r="G158" s="894" t="s">
        <v>2035</v>
      </c>
      <c r="H158" s="924">
        <v>21</v>
      </c>
      <c r="I158" s="882" t="str">
        <f t="shared" ref="I158:I159" si="35">IF(N158&gt;0,H158,"")</f>
        <v/>
      </c>
      <c r="J158" s="929"/>
      <c r="K158" s="899">
        <f>IF(G158&lt;&gt;0,VLOOKUP(G158,'gia dat'!$A$1:$F$144,5,0)," ")</f>
        <v>4033679.9999999995</v>
      </c>
      <c r="L158" s="899">
        <f>IF(G158&lt;&gt;0,VLOOKUP(G158,'gia dat'!$A$1:$F$144,6,0)," ")</f>
        <v>0</v>
      </c>
      <c r="M158" s="900">
        <f t="shared" si="33"/>
        <v>84707000</v>
      </c>
      <c r="N158" s="900">
        <f t="shared" si="34"/>
        <v>0</v>
      </c>
      <c r="O158" s="922"/>
      <c r="P158" s="926"/>
      <c r="Q158" s="900" t="str">
        <f>IF(O158&lt;&gt;0,VLOOKUP(O158,'Cây trong'!$A$2:$C$246,3,0)," ")</f>
        <v xml:space="preserve"> </v>
      </c>
      <c r="R158" s="900" t="str">
        <f t="shared" si="24"/>
        <v xml:space="preserve"> </v>
      </c>
      <c r="S158" s="922"/>
      <c r="T158" s="944"/>
      <c r="U158" s="927"/>
      <c r="V158" s="925"/>
      <c r="W158" s="900" t="str">
        <f>IF(S158&lt;&gt;0,VLOOKUP(S158,VKT!$A$2:$G$415,7,0),"")</f>
        <v/>
      </c>
      <c r="X158" s="900" t="str">
        <f t="shared" si="31"/>
        <v xml:space="preserve"> </v>
      </c>
      <c r="Y158" s="925"/>
      <c r="Z158" s="928"/>
      <c r="AA158" s="928"/>
      <c r="AB158" s="904"/>
      <c r="AC158" s="928"/>
      <c r="AD158" s="928"/>
      <c r="AE158" s="941"/>
      <c r="AF158" s="926"/>
      <c r="AG158" s="906" t="str">
        <f>IF(AE158&lt;&gt;0,VLOOKUP(AE158,ODDS!$A$2:$C$13,3,0),"")</f>
        <v/>
      </c>
      <c r="AH158" s="906"/>
      <c r="AI158" s="907" t="str">
        <f t="shared" si="27"/>
        <v xml:space="preserve"> </v>
      </c>
      <c r="AJ158" s="894" t="s">
        <v>2193</v>
      </c>
      <c r="AK158" s="922" t="s">
        <v>2771</v>
      </c>
    </row>
    <row r="159" spans="1:37" s="376" customFormat="1" ht="135" outlineLevel="2" x14ac:dyDescent="0.3">
      <c r="A159" s="447">
        <f t="shared" ref="A159:A164" si="36">IF(B158&lt;&gt;0,B158,A158)</f>
        <v>18</v>
      </c>
      <c r="B159" s="893"/>
      <c r="C159" s="894" t="s">
        <v>643</v>
      </c>
      <c r="D159" s="923"/>
      <c r="E159" s="923"/>
      <c r="F159" s="896"/>
      <c r="G159" s="894" t="s">
        <v>2898</v>
      </c>
      <c r="H159" s="924">
        <f>8.8-H160</f>
        <v>8.8000000000000007</v>
      </c>
      <c r="I159" s="882">
        <f t="shared" si="35"/>
        <v>8.8000000000000007</v>
      </c>
      <c r="J159" s="925"/>
      <c r="K159" s="899">
        <f>IF(G159&lt;&gt;0,VLOOKUP(G159,'gia dat'!$A$1:$F$144,5,0)," ")</f>
        <v>554400</v>
      </c>
      <c r="L159" s="899">
        <f>IF(G159&lt;&gt;0,VLOOKUP(G159,'gia dat'!$A$1:$F$144,6,0)," ")</f>
        <v>1663200</v>
      </c>
      <c r="M159" s="900">
        <f t="shared" si="33"/>
        <v>4879000</v>
      </c>
      <c r="N159" s="900">
        <f t="shared" si="34"/>
        <v>14636000</v>
      </c>
      <c r="O159" s="894"/>
      <c r="P159" s="926"/>
      <c r="Q159" s="900" t="str">
        <f>IF(O159&lt;&gt;0,VLOOKUP(O159,'Cây trong'!$A$2:$C$246,3,0)," ")</f>
        <v xml:space="preserve"> </v>
      </c>
      <c r="R159" s="900" t="str">
        <f t="shared" si="24"/>
        <v xml:space="preserve"> </v>
      </c>
      <c r="S159" s="902"/>
      <c r="T159" s="925"/>
      <c r="U159" s="927"/>
      <c r="V159" s="925"/>
      <c r="W159" s="900" t="str">
        <f>IF(S159&lt;&gt;0,VLOOKUP(S159,VKT!$A$2:$G$415,7,0),"")</f>
        <v/>
      </c>
      <c r="X159" s="900" t="str">
        <f t="shared" si="31"/>
        <v xml:space="preserve"> </v>
      </c>
      <c r="Y159" s="925"/>
      <c r="Z159" s="928"/>
      <c r="AA159" s="928"/>
      <c r="AB159" s="904"/>
      <c r="AC159" s="928"/>
      <c r="AD159" s="928"/>
      <c r="AE159" s="928"/>
      <c r="AF159" s="926"/>
      <c r="AG159" s="906" t="str">
        <f>IF(AE159&lt;&gt;0,VLOOKUP(AE159,ODDS!$A$2:$C$13,3,0),"")</f>
        <v/>
      </c>
      <c r="AH159" s="906" t="str">
        <f t="shared" si="25"/>
        <v xml:space="preserve"> </v>
      </c>
      <c r="AI159" s="907" t="str">
        <f t="shared" si="27"/>
        <v xml:space="preserve"> </v>
      </c>
      <c r="AJ159" s="894" t="s">
        <v>2194</v>
      </c>
      <c r="AK159" s="894" t="s">
        <v>2448</v>
      </c>
    </row>
    <row r="160" spans="1:37" s="376" customFormat="1" ht="45" outlineLevel="2" x14ac:dyDescent="0.3">
      <c r="A160" s="447">
        <f t="shared" si="36"/>
        <v>18</v>
      </c>
      <c r="B160" s="893"/>
      <c r="C160" s="894" t="s">
        <v>443</v>
      </c>
      <c r="D160" s="923"/>
      <c r="E160" s="923"/>
      <c r="F160" s="896"/>
      <c r="G160" s="894"/>
      <c r="H160" s="924"/>
      <c r="I160" s="882"/>
      <c r="J160" s="925"/>
      <c r="K160" s="899" t="str">
        <f>IF(G160&lt;&gt;0,VLOOKUP(G160,'gia dat'!$A$1:$F$144,5,0)," ")</f>
        <v xml:space="preserve"> </v>
      </c>
      <c r="L160" s="899" t="str">
        <f>IF(G160&lt;&gt;0,VLOOKUP(G160,'gia dat'!$A$1:$F$144,6,0)," ")</f>
        <v xml:space="preserve"> </v>
      </c>
      <c r="M160" s="900" t="str">
        <f t="shared" si="33"/>
        <v xml:space="preserve"> </v>
      </c>
      <c r="N160" s="900" t="str">
        <f t="shared" si="34"/>
        <v xml:space="preserve"> </v>
      </c>
      <c r="O160" s="894"/>
      <c r="P160" s="926"/>
      <c r="Q160" s="900" t="str">
        <f>IF(O160&lt;&gt;0,VLOOKUP(O160,'Cây trong'!$A$2:$C$246,3,0)," ")</f>
        <v xml:space="preserve"> </v>
      </c>
      <c r="R160" s="900" t="str">
        <f t="shared" si="24"/>
        <v xml:space="preserve"> </v>
      </c>
      <c r="S160" s="902"/>
      <c r="T160" s="925"/>
      <c r="U160" s="927"/>
      <c r="V160" s="925"/>
      <c r="W160" s="900" t="str">
        <f>IF(S160&lt;&gt;0,VLOOKUP(S160,VKT!$A$2:$G$415,7,0),"")</f>
        <v/>
      </c>
      <c r="X160" s="900" t="str">
        <f t="shared" si="31"/>
        <v xml:space="preserve"> </v>
      </c>
      <c r="Y160" s="925"/>
      <c r="Z160" s="928"/>
      <c r="AA160" s="928"/>
      <c r="AB160" s="904"/>
      <c r="AC160" s="928"/>
      <c r="AD160" s="928"/>
      <c r="AE160" s="928"/>
      <c r="AF160" s="926"/>
      <c r="AG160" s="906" t="str">
        <f>IF(AE160&lt;&gt;0,VLOOKUP(AE160,ODDS!$A$2:$C$13,3,0),"")</f>
        <v/>
      </c>
      <c r="AH160" s="906" t="str">
        <f t="shared" si="25"/>
        <v xml:space="preserve"> </v>
      </c>
      <c r="AI160" s="907" t="str">
        <f t="shared" si="27"/>
        <v xml:space="preserve"> </v>
      </c>
      <c r="AJ160" s="929" t="s">
        <v>442</v>
      </c>
      <c r="AK160" s="929"/>
    </row>
    <row r="161" spans="1:37" s="376" customFormat="1" ht="67.5" outlineLevel="2" x14ac:dyDescent="0.3">
      <c r="A161" s="447">
        <f t="shared" si="36"/>
        <v>18</v>
      </c>
      <c r="B161" s="893"/>
      <c r="C161" s="894"/>
      <c r="D161" s="923"/>
      <c r="E161" s="923"/>
      <c r="F161" s="950"/>
      <c r="G161" s="894"/>
      <c r="H161" s="940"/>
      <c r="I161" s="882"/>
      <c r="J161" s="929"/>
      <c r="K161" s="899" t="str">
        <f>IF(G161&lt;&gt;0,VLOOKUP(G161,'gia dat'!$A$1:$F$144,5,0)," ")</f>
        <v xml:space="preserve"> </v>
      </c>
      <c r="L161" s="899" t="str">
        <f>IF(G161&lt;&gt;0,VLOOKUP(G161,'gia dat'!$A$1:$F$144,6,0)," ")</f>
        <v xml:space="preserve"> </v>
      </c>
      <c r="M161" s="900" t="str">
        <f t="shared" si="33"/>
        <v xml:space="preserve"> </v>
      </c>
      <c r="N161" s="900" t="str">
        <f t="shared" si="34"/>
        <v xml:space="preserve"> </v>
      </c>
      <c r="O161" s="929"/>
      <c r="P161" s="951"/>
      <c r="Q161" s="900" t="str">
        <f>IF(O161&lt;&gt;0,VLOOKUP(O161,'Cây trong'!$A$2:$C$246,3,0)," ")</f>
        <v xml:space="preserve"> </v>
      </c>
      <c r="R161" s="900" t="str">
        <f t="shared" si="24"/>
        <v xml:space="preserve"> </v>
      </c>
      <c r="S161" s="929"/>
      <c r="T161" s="929"/>
      <c r="U161" s="952"/>
      <c r="V161" s="925"/>
      <c r="W161" s="900" t="str">
        <f>IF(S161&lt;&gt;0,VLOOKUP(S161,VKT!$A$2:$G$415,7,0),"")</f>
        <v/>
      </c>
      <c r="X161" s="900" t="str">
        <f t="shared" si="31"/>
        <v xml:space="preserve"> </v>
      </c>
      <c r="Y161" s="925"/>
      <c r="Z161" s="925"/>
      <c r="AA161" s="925"/>
      <c r="AB161" s="898"/>
      <c r="AC161" s="925"/>
      <c r="AD161" s="925"/>
      <c r="AE161" s="925"/>
      <c r="AF161" s="964"/>
      <c r="AG161" s="906" t="str">
        <f>IF(AE161&lt;&gt;0,VLOOKUP(AE161,ODDS!$A$2:$C$13,3,0),"")</f>
        <v/>
      </c>
      <c r="AH161" s="906" t="str">
        <f t="shared" si="25"/>
        <v xml:space="preserve"> </v>
      </c>
      <c r="AI161" s="907" t="str">
        <f t="shared" si="27"/>
        <v xml:space="preserve"> </v>
      </c>
      <c r="AJ161" s="894" t="s">
        <v>2074</v>
      </c>
      <c r="AK161" s="929"/>
    </row>
    <row r="162" spans="1:37" s="376" customFormat="1" ht="22.5" outlineLevel="2" x14ac:dyDescent="0.3">
      <c r="A162" s="447">
        <f t="shared" si="36"/>
        <v>18</v>
      </c>
      <c r="B162" s="893"/>
      <c r="C162" s="894"/>
      <c r="D162" s="923"/>
      <c r="E162" s="923"/>
      <c r="F162" s="950"/>
      <c r="G162" s="894"/>
      <c r="H162" s="940"/>
      <c r="I162" s="882"/>
      <c r="J162" s="929"/>
      <c r="K162" s="899" t="str">
        <f>IF(G162&lt;&gt;0,VLOOKUP(G162,'gia dat'!$A$1:$F$144,5,0)," ")</f>
        <v xml:space="preserve"> </v>
      </c>
      <c r="L162" s="899" t="str">
        <f>IF(G162&lt;&gt;0,VLOOKUP(G162,'gia dat'!$A$1:$F$144,6,0)," ")</f>
        <v xml:space="preserve"> </v>
      </c>
      <c r="M162" s="900" t="str">
        <f t="shared" si="33"/>
        <v xml:space="preserve"> </v>
      </c>
      <c r="N162" s="900" t="str">
        <f t="shared" si="34"/>
        <v xml:space="preserve"> </v>
      </c>
      <c r="O162" s="929"/>
      <c r="P162" s="951"/>
      <c r="Q162" s="900" t="str">
        <f>IF(O162&lt;&gt;0,VLOOKUP(O162,'Cây trong'!$A$2:$C$246,3,0)," ")</f>
        <v xml:space="preserve"> </v>
      </c>
      <c r="R162" s="900" t="str">
        <f t="shared" si="24"/>
        <v xml:space="preserve"> </v>
      </c>
      <c r="S162" s="929"/>
      <c r="T162" s="929"/>
      <c r="U162" s="952"/>
      <c r="V162" s="925"/>
      <c r="W162" s="900" t="str">
        <f>IF(S162&lt;&gt;0,VLOOKUP(S162,VKT!$A$2:$G$415,7,0),"")</f>
        <v/>
      </c>
      <c r="X162" s="900" t="str">
        <f t="shared" si="31"/>
        <v xml:space="preserve"> </v>
      </c>
      <c r="Y162" s="925"/>
      <c r="Z162" s="925"/>
      <c r="AA162" s="925"/>
      <c r="AB162" s="898"/>
      <c r="AC162" s="925"/>
      <c r="AD162" s="925"/>
      <c r="AE162" s="925"/>
      <c r="AF162" s="964"/>
      <c r="AG162" s="906" t="str">
        <f>IF(AE162&lt;&gt;0,VLOOKUP(AE162,ODDS!$A$2:$C$13,3,0),"")</f>
        <v/>
      </c>
      <c r="AH162" s="906" t="str">
        <f t="shared" si="25"/>
        <v xml:space="preserve"> </v>
      </c>
      <c r="AI162" s="907" t="str">
        <f t="shared" si="27"/>
        <v xml:space="preserve"> </v>
      </c>
      <c r="AJ162" s="929"/>
      <c r="AK162" s="929"/>
    </row>
    <row r="163" spans="1:37" s="376" customFormat="1" ht="22.5" outlineLevel="2" x14ac:dyDescent="0.3">
      <c r="A163" s="447">
        <f t="shared" si="36"/>
        <v>18</v>
      </c>
      <c r="B163" s="893"/>
      <c r="C163" s="942"/>
      <c r="D163" s="923"/>
      <c r="E163" s="923"/>
      <c r="F163" s="950"/>
      <c r="G163" s="894"/>
      <c r="H163" s="940"/>
      <c r="I163" s="882"/>
      <c r="J163" s="929"/>
      <c r="K163" s="899" t="str">
        <f>IF(G163&lt;&gt;0,VLOOKUP(G163,'gia dat'!$A$1:$F$144,5,0)," ")</f>
        <v xml:space="preserve"> </v>
      </c>
      <c r="L163" s="899" t="str">
        <f>IF(G163&lt;&gt;0,VLOOKUP(G163,'gia dat'!$A$1:$F$144,6,0)," ")</f>
        <v xml:space="preserve"> </v>
      </c>
      <c r="M163" s="900" t="str">
        <f t="shared" si="33"/>
        <v xml:space="preserve"> </v>
      </c>
      <c r="N163" s="900" t="str">
        <f t="shared" si="34"/>
        <v xml:space="preserve"> </v>
      </c>
      <c r="O163" s="929"/>
      <c r="P163" s="951"/>
      <c r="Q163" s="900" t="str">
        <f>IF(O163&lt;&gt;0,VLOOKUP(O163,'Cây trong'!$A$2:$C$246,3,0)," ")</f>
        <v xml:space="preserve"> </v>
      </c>
      <c r="R163" s="900" t="str">
        <f t="shared" si="24"/>
        <v xml:space="preserve"> </v>
      </c>
      <c r="S163" s="929"/>
      <c r="T163" s="929"/>
      <c r="U163" s="952"/>
      <c r="V163" s="925"/>
      <c r="W163" s="900" t="str">
        <f>IF(S163&lt;&gt;0,VLOOKUP(S163,VKT!$A$2:$G$415,7,0),"")</f>
        <v/>
      </c>
      <c r="X163" s="900" t="str">
        <f t="shared" si="31"/>
        <v xml:space="preserve"> </v>
      </c>
      <c r="Y163" s="925"/>
      <c r="Z163" s="925"/>
      <c r="AA163" s="925"/>
      <c r="AB163" s="898"/>
      <c r="AC163" s="925"/>
      <c r="AD163" s="925"/>
      <c r="AE163" s="925"/>
      <c r="AF163" s="964"/>
      <c r="AG163" s="906" t="str">
        <f>IF(AE163&lt;&gt;0,VLOOKUP(AE163,ODDS!$A$2:$C$13,3,0),"")</f>
        <v/>
      </c>
      <c r="AH163" s="906" t="str">
        <f t="shared" si="25"/>
        <v xml:space="preserve"> </v>
      </c>
      <c r="AI163" s="907" t="str">
        <f t="shared" si="27"/>
        <v xml:space="preserve"> </v>
      </c>
      <c r="AJ163" s="929"/>
      <c r="AK163" s="929"/>
    </row>
    <row r="164" spans="1:37" s="376" customFormat="1" ht="22.5" outlineLevel="2" x14ac:dyDescent="0.3">
      <c r="A164" s="447">
        <f t="shared" si="36"/>
        <v>18</v>
      </c>
      <c r="B164" s="893"/>
      <c r="C164" s="910"/>
      <c r="D164" s="923"/>
      <c r="E164" s="923"/>
      <c r="F164" s="896"/>
      <c r="G164" s="894"/>
      <c r="H164" s="924"/>
      <c r="I164" s="882"/>
      <c r="J164" s="929"/>
      <c r="K164" s="899" t="str">
        <f>IF(G164&lt;&gt;0,VLOOKUP(G164,'gia dat'!$A$1:$F$144,5,0)," ")</f>
        <v xml:space="preserve"> </v>
      </c>
      <c r="L164" s="899" t="str">
        <f>IF(G164&lt;&gt;0,VLOOKUP(G164,'gia dat'!$A$1:$F$144,6,0)," ")</f>
        <v xml:space="preserve"> </v>
      </c>
      <c r="M164" s="900" t="str">
        <f t="shared" si="33"/>
        <v xml:space="preserve"> </v>
      </c>
      <c r="N164" s="900" t="str">
        <f t="shared" si="34"/>
        <v xml:space="preserve"> </v>
      </c>
      <c r="O164" s="922"/>
      <c r="P164" s="965"/>
      <c r="Q164" s="900" t="str">
        <f>IF(O164&lt;&gt;0,VLOOKUP(O164,'Cây trong'!$A$2:$C$246,3,0)," ")</f>
        <v xml:space="preserve"> </v>
      </c>
      <c r="R164" s="900" t="str">
        <f t="shared" si="24"/>
        <v xml:space="preserve"> </v>
      </c>
      <c r="S164" s="922"/>
      <c r="T164" s="944"/>
      <c r="U164" s="927"/>
      <c r="V164" s="925"/>
      <c r="W164" s="900" t="str">
        <f>IF(S164&lt;&gt;0,VLOOKUP(S164,VKT!$A$2:$G$415,7,0),"")</f>
        <v/>
      </c>
      <c r="X164" s="900" t="str">
        <f t="shared" si="31"/>
        <v xml:space="preserve"> </v>
      </c>
      <c r="Y164" s="925"/>
      <c r="Z164" s="928"/>
      <c r="AA164" s="928"/>
      <c r="AB164" s="904"/>
      <c r="AC164" s="928"/>
      <c r="AD164" s="928"/>
      <c r="AE164" s="928"/>
      <c r="AF164" s="926"/>
      <c r="AG164" s="906" t="str">
        <f>IF(AE164&lt;&gt;0,VLOOKUP(AE164,ODDS!$A$2:$C$13,3,0),"")</f>
        <v/>
      </c>
      <c r="AH164" s="906" t="str">
        <f t="shared" si="25"/>
        <v xml:space="preserve"> </v>
      </c>
      <c r="AI164" s="907" t="str">
        <f t="shared" si="27"/>
        <v xml:space="preserve"> </v>
      </c>
      <c r="AJ164" s="929"/>
      <c r="AK164" s="929"/>
    </row>
    <row r="165" spans="1:37" s="376" customFormat="1" ht="43.5" outlineLevel="1" x14ac:dyDescent="0.25">
      <c r="A165" s="467" t="s">
        <v>2691</v>
      </c>
      <c r="B165" s="912">
        <v>19</v>
      </c>
      <c r="C165" s="910" t="s">
        <v>27</v>
      </c>
      <c r="D165" s="931"/>
      <c r="E165" s="931"/>
      <c r="F165" s="913"/>
      <c r="G165" s="910"/>
      <c r="H165" s="953">
        <f>SUBTOTAL(9,H166:H171)</f>
        <v>31.1</v>
      </c>
      <c r="I165" s="915">
        <f>SUBTOTAL(9,I166:I171)</f>
        <v>0</v>
      </c>
      <c r="J165" s="933"/>
      <c r="K165" s="917"/>
      <c r="L165" s="917"/>
      <c r="M165" s="907">
        <f>SUBTOTAL(9,M166:M171)</f>
        <v>17242000</v>
      </c>
      <c r="N165" s="907">
        <f>SUBTOTAL(9,N166:N171)</f>
        <v>0</v>
      </c>
      <c r="O165" s="910"/>
      <c r="P165" s="935">
        <f>SUBTOTAL(9,P166:P171)</f>
        <v>0</v>
      </c>
      <c r="Q165" s="907"/>
      <c r="R165" s="907">
        <f>SUBTOTAL(9,R166:R171)</f>
        <v>0</v>
      </c>
      <c r="S165" s="918"/>
      <c r="T165" s="933"/>
      <c r="U165" s="936">
        <f>SUBTOTAL(9,U166:U171)</f>
        <v>0</v>
      </c>
      <c r="V165" s="933"/>
      <c r="W165" s="907"/>
      <c r="X165" s="907">
        <f>SUBTOTAL(9,X166:X171)</f>
        <v>0</v>
      </c>
      <c r="Y165" s="925"/>
      <c r="Z165" s="928"/>
      <c r="AA165" s="928"/>
      <c r="AB165" s="904"/>
      <c r="AC165" s="928"/>
      <c r="AD165" s="928"/>
      <c r="AE165" s="969"/>
      <c r="AF165" s="935">
        <f>SUBTOTAL(9,AF166:AF171)</f>
        <v>0</v>
      </c>
      <c r="AG165" s="921"/>
      <c r="AH165" s="921">
        <f>SUBTOTAL(9,AH166:AH171)</f>
        <v>0</v>
      </c>
      <c r="AI165" s="907">
        <f t="shared" si="27"/>
        <v>17242000</v>
      </c>
      <c r="AJ165" s="910"/>
      <c r="AK165" s="914"/>
    </row>
    <row r="166" spans="1:37" s="376" customFormat="1" ht="135" outlineLevel="2" x14ac:dyDescent="0.3">
      <c r="A166" s="447">
        <f>IF(B165&lt;&gt;0,B165,A164)</f>
        <v>19</v>
      </c>
      <c r="B166" s="893"/>
      <c r="C166" s="894" t="s">
        <v>114</v>
      </c>
      <c r="D166" s="923">
        <v>2</v>
      </c>
      <c r="E166" s="923">
        <v>86</v>
      </c>
      <c r="F166" s="896">
        <v>706</v>
      </c>
      <c r="G166" s="894" t="s">
        <v>2891</v>
      </c>
      <c r="H166" s="924">
        <v>31.1</v>
      </c>
      <c r="I166" s="882" t="str">
        <f t="shared" ref="I166" si="37">IF(N166&gt;0,H166,"")</f>
        <v/>
      </c>
      <c r="J166" s="925"/>
      <c r="K166" s="899">
        <f>IF(G166&lt;&gt;0,VLOOKUP(G166,'gia dat'!$A$1:$F$144,5,0)," ")</f>
        <v>554400</v>
      </c>
      <c r="L166" s="899">
        <f>IF(G166&lt;&gt;0,VLOOKUP(G166,'gia dat'!$A$1:$F$144,6,0)," ")</f>
        <v>0</v>
      </c>
      <c r="M166" s="900">
        <f t="shared" si="33"/>
        <v>17242000</v>
      </c>
      <c r="N166" s="900">
        <f t="shared" si="34"/>
        <v>0</v>
      </c>
      <c r="O166" s="894"/>
      <c r="P166" s="926"/>
      <c r="Q166" s="900" t="str">
        <f>IF(O166&lt;&gt;0,VLOOKUP(O166,'Cây trong'!$A$2:$C$246,3,0)," ")</f>
        <v xml:space="preserve"> </v>
      </c>
      <c r="R166" s="900" t="str">
        <f t="shared" si="24"/>
        <v xml:space="preserve"> </v>
      </c>
      <c r="S166" s="902"/>
      <c r="T166" s="925"/>
      <c r="U166" s="927"/>
      <c r="V166" s="925"/>
      <c r="W166" s="900" t="str">
        <f>IF(S166&lt;&gt;0,VLOOKUP(S166,VKT!$A$2:$G$415,7,0),"")</f>
        <v/>
      </c>
      <c r="X166" s="900" t="str">
        <f t="shared" si="31"/>
        <v xml:space="preserve"> </v>
      </c>
      <c r="Y166" s="925"/>
      <c r="Z166" s="928"/>
      <c r="AA166" s="928"/>
      <c r="AB166" s="904"/>
      <c r="AC166" s="928"/>
      <c r="AD166" s="928"/>
      <c r="AE166" s="941"/>
      <c r="AF166" s="926"/>
      <c r="AG166" s="906" t="str">
        <f>IF(AE166&lt;&gt;0,VLOOKUP(AE166,ODDS!$A$2:$C$13,3,0),"")</f>
        <v/>
      </c>
      <c r="AH166" s="906"/>
      <c r="AI166" s="907" t="str">
        <f t="shared" si="27"/>
        <v xml:space="preserve"> </v>
      </c>
      <c r="AJ166" s="894" t="s">
        <v>1688</v>
      </c>
      <c r="AK166" s="922" t="s">
        <v>2771</v>
      </c>
    </row>
    <row r="167" spans="1:37" s="376" customFormat="1" ht="112.5" outlineLevel="2" x14ac:dyDescent="0.3">
      <c r="A167" s="447">
        <f>IF(B166&lt;&gt;0,B166,A166)</f>
        <v>19</v>
      </c>
      <c r="B167" s="893"/>
      <c r="C167" s="894" t="s">
        <v>644</v>
      </c>
      <c r="D167" s="923"/>
      <c r="E167" s="923"/>
      <c r="F167" s="896"/>
      <c r="G167" s="894"/>
      <c r="H167" s="924"/>
      <c r="I167" s="882"/>
      <c r="J167" s="925"/>
      <c r="K167" s="899" t="str">
        <f>IF(G167&lt;&gt;0,VLOOKUP(G167,'gia dat'!$A$1:$F$144,5,0)," ")</f>
        <v xml:space="preserve"> </v>
      </c>
      <c r="L167" s="899" t="str">
        <f>IF(G167&lt;&gt;0,VLOOKUP(G167,'gia dat'!$A$1:$F$144,6,0)," ")</f>
        <v xml:space="preserve"> </v>
      </c>
      <c r="M167" s="900" t="str">
        <f t="shared" si="33"/>
        <v xml:space="preserve"> </v>
      </c>
      <c r="N167" s="900" t="str">
        <f t="shared" si="34"/>
        <v xml:space="preserve"> </v>
      </c>
      <c r="O167" s="894"/>
      <c r="P167" s="926"/>
      <c r="Q167" s="900" t="str">
        <f>IF(O167&lt;&gt;0,VLOOKUP(O167,'Cây trong'!$A$2:$C$246,3,0)," ")</f>
        <v xml:space="preserve"> </v>
      </c>
      <c r="R167" s="900" t="str">
        <f t="shared" si="24"/>
        <v xml:space="preserve"> </v>
      </c>
      <c r="S167" s="902"/>
      <c r="T167" s="925"/>
      <c r="U167" s="927"/>
      <c r="V167" s="925"/>
      <c r="W167" s="900" t="str">
        <f>IF(S167&lt;&gt;0,VLOOKUP(S167,VKT!$A$2:$G$415,7,0),"")</f>
        <v/>
      </c>
      <c r="X167" s="900" t="str">
        <f t="shared" si="31"/>
        <v xml:space="preserve"> </v>
      </c>
      <c r="Y167" s="925"/>
      <c r="Z167" s="928"/>
      <c r="AA167" s="928"/>
      <c r="AB167" s="904"/>
      <c r="AC167" s="928"/>
      <c r="AD167" s="928"/>
      <c r="AE167" s="928"/>
      <c r="AF167" s="926"/>
      <c r="AG167" s="906" t="str">
        <f>IF(AE167&lt;&gt;0,VLOOKUP(AE167,ODDS!$A$2:$C$13,3,0),"")</f>
        <v/>
      </c>
      <c r="AH167" s="906" t="str">
        <f t="shared" si="25"/>
        <v xml:space="preserve"> </v>
      </c>
      <c r="AI167" s="907" t="str">
        <f t="shared" si="27"/>
        <v xml:space="preserve"> </v>
      </c>
      <c r="AJ167" s="894" t="s">
        <v>444</v>
      </c>
      <c r="AK167" s="894"/>
    </row>
    <row r="168" spans="1:37" s="376" customFormat="1" ht="90" outlineLevel="2" x14ac:dyDescent="0.3">
      <c r="A168" s="447">
        <f>IF(B167&lt;&gt;0,B167,A167)</f>
        <v>19</v>
      </c>
      <c r="B168" s="893"/>
      <c r="C168" s="908" t="s">
        <v>322</v>
      </c>
      <c r="D168" s="930"/>
      <c r="E168" s="931"/>
      <c r="F168" s="913"/>
      <c r="G168" s="910"/>
      <c r="H168" s="924"/>
      <c r="I168" s="882"/>
      <c r="J168" s="943"/>
      <c r="K168" s="899" t="str">
        <f>IF(G168&lt;&gt;0,VLOOKUP(G168,'gia dat'!$A$1:$F$144,5,0)," ")</f>
        <v xml:space="preserve"> </v>
      </c>
      <c r="L168" s="899" t="str">
        <f>IF(G168&lt;&gt;0,VLOOKUP(G168,'gia dat'!$A$1:$F$144,6,0)," ")</f>
        <v xml:space="preserve"> </v>
      </c>
      <c r="M168" s="900" t="str">
        <f t="shared" si="33"/>
        <v xml:space="preserve"> </v>
      </c>
      <c r="N168" s="900" t="str">
        <f t="shared" si="34"/>
        <v xml:space="preserve"> </v>
      </c>
      <c r="O168" s="914"/>
      <c r="P168" s="926"/>
      <c r="Q168" s="900" t="str">
        <f>IF(O168&lt;&gt;0,VLOOKUP(O168,'Cây trong'!$A$2:$C$246,3,0)," ")</f>
        <v xml:space="preserve"> </v>
      </c>
      <c r="R168" s="900" t="str">
        <f t="shared" si="24"/>
        <v xml:space="preserve"> </v>
      </c>
      <c r="S168" s="914"/>
      <c r="T168" s="956"/>
      <c r="U168" s="927"/>
      <c r="V168" s="945"/>
      <c r="W168" s="900" t="str">
        <f>IF(S168&lt;&gt;0,VLOOKUP(S168,VKT!$A$2:$G$415,7,0),"")</f>
        <v/>
      </c>
      <c r="X168" s="900" t="str">
        <f t="shared" si="31"/>
        <v xml:space="preserve"> </v>
      </c>
      <c r="Y168" s="916"/>
      <c r="Z168" s="937"/>
      <c r="AA168" s="937"/>
      <c r="AB168" s="920"/>
      <c r="AC168" s="937"/>
      <c r="AD168" s="937"/>
      <c r="AE168" s="937"/>
      <c r="AF168" s="935"/>
      <c r="AG168" s="906" t="str">
        <f>IF(AE168&lt;&gt;0,VLOOKUP(AE168,ODDS!$A$2:$C$13,3,0),"")</f>
        <v/>
      </c>
      <c r="AH168" s="906" t="str">
        <f t="shared" si="25"/>
        <v xml:space="preserve"> </v>
      </c>
      <c r="AI168" s="907" t="str">
        <f t="shared" si="27"/>
        <v xml:space="preserve"> </v>
      </c>
      <c r="AJ168" s="894" t="s">
        <v>2195</v>
      </c>
      <c r="AK168" s="929"/>
    </row>
    <row r="169" spans="1:37" s="376" customFormat="1" ht="22.5" outlineLevel="2" x14ac:dyDescent="0.35">
      <c r="A169" s="447">
        <f>IF(B168&lt;&gt;0,B168,A168)</f>
        <v>19</v>
      </c>
      <c r="B169" s="893"/>
      <c r="C169" s="908"/>
      <c r="D169" s="923"/>
      <c r="E169" s="923"/>
      <c r="F169" s="950"/>
      <c r="G169" s="894"/>
      <c r="H169" s="940"/>
      <c r="I169" s="882"/>
      <c r="J169" s="929"/>
      <c r="K169" s="899" t="str">
        <f>IF(G169&lt;&gt;0,VLOOKUP(G169,'gia dat'!$A$1:$F$144,5,0)," ")</f>
        <v xml:space="preserve"> </v>
      </c>
      <c r="L169" s="899" t="str">
        <f>IF(G169&lt;&gt;0,VLOOKUP(G169,'gia dat'!$A$1:$F$144,6,0)," ")</f>
        <v xml:space="preserve"> </v>
      </c>
      <c r="M169" s="900" t="str">
        <f t="shared" si="33"/>
        <v xml:space="preserve"> </v>
      </c>
      <c r="N169" s="900" t="str">
        <f t="shared" si="34"/>
        <v xml:space="preserve"> </v>
      </c>
      <c r="O169" s="929"/>
      <c r="P169" s="951"/>
      <c r="Q169" s="900" t="str">
        <f>IF(O169&lt;&gt;0,VLOOKUP(O169,'Cây trong'!$A$2:$C$246,3,0)," ")</f>
        <v xml:space="preserve"> </v>
      </c>
      <c r="R169" s="900" t="str">
        <f t="shared" si="24"/>
        <v xml:space="preserve"> </v>
      </c>
      <c r="S169" s="929"/>
      <c r="T169" s="929"/>
      <c r="U169" s="952"/>
      <c r="V169" s="925"/>
      <c r="W169" s="900" t="str">
        <f>IF(S169&lt;&gt;0,VLOOKUP(S169,VKT!$A$2:$G$415,7,0),"")</f>
        <v/>
      </c>
      <c r="X169" s="900" t="str">
        <f t="shared" si="31"/>
        <v xml:space="preserve"> </v>
      </c>
      <c r="Y169" s="925"/>
      <c r="Z169" s="925"/>
      <c r="AA169" s="925"/>
      <c r="AB169" s="898"/>
      <c r="AC169" s="925"/>
      <c r="AD169" s="925"/>
      <c r="AE169" s="925"/>
      <c r="AF169" s="964"/>
      <c r="AG169" s="906" t="str">
        <f>IF(AE169&lt;&gt;0,VLOOKUP(AE169,ODDS!$A$2:$C$13,3,0),"")</f>
        <v/>
      </c>
      <c r="AH169" s="906" t="str">
        <f t="shared" si="25"/>
        <v xml:space="preserve"> </v>
      </c>
      <c r="AI169" s="907" t="str">
        <f t="shared" si="27"/>
        <v xml:space="preserve"> </v>
      </c>
      <c r="AJ169" s="911"/>
      <c r="AK169" s="929"/>
    </row>
    <row r="170" spans="1:37" s="376" customFormat="1" ht="22.5" outlineLevel="2" x14ac:dyDescent="0.3">
      <c r="A170" s="447">
        <f>IF(B169&lt;&gt;0,B169,A169)</f>
        <v>19</v>
      </c>
      <c r="B170" s="893"/>
      <c r="C170" s="942"/>
      <c r="D170" s="923"/>
      <c r="E170" s="923"/>
      <c r="F170" s="950"/>
      <c r="G170" s="894"/>
      <c r="H170" s="940"/>
      <c r="I170" s="882"/>
      <c r="J170" s="929"/>
      <c r="K170" s="899" t="str">
        <f>IF(G170&lt;&gt;0,VLOOKUP(G170,'gia dat'!$A$1:$F$144,5,0)," ")</f>
        <v xml:space="preserve"> </v>
      </c>
      <c r="L170" s="899" t="str">
        <f>IF(G170&lt;&gt;0,VLOOKUP(G170,'gia dat'!$A$1:$F$144,6,0)," ")</f>
        <v xml:space="preserve"> </v>
      </c>
      <c r="M170" s="900" t="str">
        <f t="shared" si="33"/>
        <v xml:space="preserve"> </v>
      </c>
      <c r="N170" s="900" t="str">
        <f t="shared" si="34"/>
        <v xml:space="preserve"> </v>
      </c>
      <c r="O170" s="929"/>
      <c r="P170" s="951"/>
      <c r="Q170" s="900" t="str">
        <f>IF(O170&lt;&gt;0,VLOOKUP(O170,'Cây trong'!$A$2:$C$246,3,0)," ")</f>
        <v xml:space="preserve"> </v>
      </c>
      <c r="R170" s="900" t="str">
        <f t="shared" si="24"/>
        <v xml:space="preserve"> </v>
      </c>
      <c r="S170" s="929"/>
      <c r="T170" s="929"/>
      <c r="U170" s="952"/>
      <c r="V170" s="925"/>
      <c r="W170" s="900" t="str">
        <f>IF(S170&lt;&gt;0,VLOOKUP(S170,VKT!$A$2:$G$415,7,0),"")</f>
        <v/>
      </c>
      <c r="X170" s="900" t="str">
        <f t="shared" si="31"/>
        <v xml:space="preserve"> </v>
      </c>
      <c r="Y170" s="925"/>
      <c r="Z170" s="925"/>
      <c r="AA170" s="925"/>
      <c r="AB170" s="898"/>
      <c r="AC170" s="925"/>
      <c r="AD170" s="925"/>
      <c r="AE170" s="925"/>
      <c r="AF170" s="964"/>
      <c r="AG170" s="906" t="str">
        <f>IF(AE170&lt;&gt;0,VLOOKUP(AE170,ODDS!$A$2:$C$13,3,0),"")</f>
        <v/>
      </c>
      <c r="AH170" s="906" t="str">
        <f t="shared" si="25"/>
        <v xml:space="preserve"> </v>
      </c>
      <c r="AI170" s="907" t="str">
        <f t="shared" si="27"/>
        <v xml:space="preserve"> </v>
      </c>
      <c r="AJ170" s="929"/>
      <c r="AK170" s="929"/>
    </row>
    <row r="171" spans="1:37" s="376" customFormat="1" ht="22.5" outlineLevel="2" x14ac:dyDescent="0.3">
      <c r="A171" s="447">
        <f>IF(B170&lt;&gt;0,B170,A170)</f>
        <v>19</v>
      </c>
      <c r="B171" s="893"/>
      <c r="C171" s="942"/>
      <c r="D171" s="930"/>
      <c r="E171" s="931"/>
      <c r="F171" s="913"/>
      <c r="G171" s="910"/>
      <c r="H171" s="924"/>
      <c r="I171" s="882"/>
      <c r="J171" s="943"/>
      <c r="K171" s="899" t="str">
        <f>IF(G171&lt;&gt;0,VLOOKUP(G171,'gia dat'!$A$1:$F$144,5,0)," ")</f>
        <v xml:space="preserve"> </v>
      </c>
      <c r="L171" s="899" t="str">
        <f>IF(G171&lt;&gt;0,VLOOKUP(G171,'gia dat'!$A$1:$F$144,6,0)," ")</f>
        <v xml:space="preserve"> </v>
      </c>
      <c r="M171" s="900" t="str">
        <f t="shared" si="33"/>
        <v xml:space="preserve"> </v>
      </c>
      <c r="N171" s="900" t="str">
        <f t="shared" si="34"/>
        <v xml:space="preserve"> </v>
      </c>
      <c r="O171" s="914"/>
      <c r="P171" s="968"/>
      <c r="Q171" s="900" t="str">
        <f>IF(O171&lt;&gt;0,VLOOKUP(O171,'Cây trong'!$A$2:$C$246,3,0)," ")</f>
        <v xml:space="preserve"> </v>
      </c>
      <c r="R171" s="900" t="str">
        <f t="shared" si="24"/>
        <v xml:space="preserve"> </v>
      </c>
      <c r="S171" s="914"/>
      <c r="T171" s="956"/>
      <c r="U171" s="927"/>
      <c r="V171" s="933"/>
      <c r="W171" s="900" t="str">
        <f>IF(S171&lt;&gt;0,VLOOKUP(S171,VKT!$A$2:$G$415,7,0),"")</f>
        <v/>
      </c>
      <c r="X171" s="900" t="str">
        <f t="shared" si="31"/>
        <v xml:space="preserve"> </v>
      </c>
      <c r="Y171" s="916"/>
      <c r="Z171" s="937"/>
      <c r="AA171" s="937"/>
      <c r="AB171" s="920"/>
      <c r="AC171" s="937"/>
      <c r="AD171" s="937"/>
      <c r="AE171" s="937"/>
      <c r="AF171" s="935"/>
      <c r="AG171" s="906" t="str">
        <f>IF(AE171&lt;&gt;0,VLOOKUP(AE171,ODDS!$A$2:$C$13,3,0),"")</f>
        <v/>
      </c>
      <c r="AH171" s="906" t="str">
        <f t="shared" si="25"/>
        <v xml:space="preserve"> </v>
      </c>
      <c r="AI171" s="907" t="str">
        <f t="shared" si="27"/>
        <v xml:space="preserve"> </v>
      </c>
      <c r="AJ171" s="943"/>
      <c r="AK171" s="943"/>
    </row>
    <row r="172" spans="1:37" s="376" customFormat="1" ht="43.5" outlineLevel="1" x14ac:dyDescent="0.25">
      <c r="A172" s="467" t="s">
        <v>2690</v>
      </c>
      <c r="B172" s="912">
        <v>20</v>
      </c>
      <c r="C172" s="942" t="s">
        <v>28</v>
      </c>
      <c r="D172" s="931"/>
      <c r="E172" s="931"/>
      <c r="F172" s="913"/>
      <c r="G172" s="910"/>
      <c r="H172" s="953">
        <f>SUBTOTAL(9,H173:H180)</f>
        <v>31.2</v>
      </c>
      <c r="I172" s="915">
        <f>SUBTOTAL(9,I173:I178)</f>
        <v>0</v>
      </c>
      <c r="J172" s="943"/>
      <c r="K172" s="917"/>
      <c r="L172" s="917"/>
      <c r="M172" s="907">
        <f>SUBTOTAL(9,M173:M180)</f>
        <v>17297000</v>
      </c>
      <c r="N172" s="907">
        <f>SUBTOTAL(9,N173:N180)</f>
        <v>0</v>
      </c>
      <c r="O172" s="914"/>
      <c r="P172" s="935">
        <f>SUBTOTAL(9,P173:P180)</f>
        <v>0</v>
      </c>
      <c r="Q172" s="907"/>
      <c r="R172" s="907">
        <f>SUBTOTAL(9,R173:R180)</f>
        <v>0</v>
      </c>
      <c r="S172" s="918"/>
      <c r="T172" s="933"/>
      <c r="U172" s="936">
        <f>SUBTOTAL(9,U173:U180)</f>
        <v>0</v>
      </c>
      <c r="V172" s="957"/>
      <c r="W172" s="907"/>
      <c r="X172" s="907">
        <f>SUBTOTAL(9,X173:X180)</f>
        <v>0</v>
      </c>
      <c r="Y172" s="925"/>
      <c r="Z172" s="928"/>
      <c r="AA172" s="928"/>
      <c r="AB172" s="904"/>
      <c r="AC172" s="928"/>
      <c r="AD172" s="928"/>
      <c r="AE172" s="969"/>
      <c r="AF172" s="935">
        <f>SUBTOTAL(9,AF173:AF180)</f>
        <v>0</v>
      </c>
      <c r="AG172" s="921"/>
      <c r="AH172" s="921">
        <f>SUBTOTAL(9,AH173:AH180)</f>
        <v>0</v>
      </c>
      <c r="AI172" s="907">
        <f t="shared" si="27"/>
        <v>17297000</v>
      </c>
      <c r="AJ172" s="914"/>
      <c r="AK172" s="914"/>
    </row>
    <row r="173" spans="1:37" s="376" customFormat="1" ht="135" outlineLevel="2" x14ac:dyDescent="0.3">
      <c r="A173" s="447">
        <f>IF(B172&lt;&gt;0,B172,A171)</f>
        <v>20</v>
      </c>
      <c r="B173" s="893"/>
      <c r="C173" s="894" t="s">
        <v>115</v>
      </c>
      <c r="D173" s="923">
        <v>2</v>
      </c>
      <c r="E173" s="923">
        <v>86</v>
      </c>
      <c r="F173" s="896">
        <v>705</v>
      </c>
      <c r="G173" s="894" t="s">
        <v>2891</v>
      </c>
      <c r="H173" s="924">
        <v>31.2</v>
      </c>
      <c r="I173" s="882" t="str">
        <f t="shared" ref="I173" si="38">IF(N173&gt;0,H173,"")</f>
        <v/>
      </c>
      <c r="J173" s="929"/>
      <c r="K173" s="899">
        <f>IF(G173&lt;&gt;0,VLOOKUP(G173,'gia dat'!$A$1:$F$144,5,0)," ")</f>
        <v>554400</v>
      </c>
      <c r="L173" s="899">
        <f>IF(G173&lt;&gt;0,VLOOKUP(G173,'gia dat'!$A$1:$F$144,6,0)," ")</f>
        <v>0</v>
      </c>
      <c r="M173" s="900">
        <f t="shared" si="33"/>
        <v>17297000</v>
      </c>
      <c r="N173" s="900">
        <f t="shared" si="34"/>
        <v>0</v>
      </c>
      <c r="O173" s="922"/>
      <c r="P173" s="926"/>
      <c r="Q173" s="900" t="str">
        <f>IF(O173&lt;&gt;0,VLOOKUP(O173,'Cây trong'!$A$2:$C$246,3,0)," ")</f>
        <v xml:space="preserve"> </v>
      </c>
      <c r="R173" s="900" t="str">
        <f t="shared" si="24"/>
        <v xml:space="preserve"> </v>
      </c>
      <c r="S173" s="902"/>
      <c r="T173" s="925"/>
      <c r="U173" s="927"/>
      <c r="V173" s="946"/>
      <c r="W173" s="900" t="str">
        <f>IF(S173&lt;&gt;0,VLOOKUP(S173,VKT!$A$2:$G$415,7,0),"")</f>
        <v/>
      </c>
      <c r="X173" s="900" t="str">
        <f t="shared" si="31"/>
        <v xml:space="preserve"> </v>
      </c>
      <c r="Y173" s="925"/>
      <c r="Z173" s="928"/>
      <c r="AA173" s="928"/>
      <c r="AB173" s="904"/>
      <c r="AC173" s="928"/>
      <c r="AD173" s="928"/>
      <c r="AE173" s="941"/>
      <c r="AF173" s="926"/>
      <c r="AG173" s="906" t="str">
        <f>IF(AE173&lt;&gt;0,VLOOKUP(AE173,ODDS!$A$2:$C$13,3,0),"")</f>
        <v/>
      </c>
      <c r="AH173" s="906"/>
      <c r="AI173" s="907" t="str">
        <f t="shared" si="27"/>
        <v xml:space="preserve"> </v>
      </c>
      <c r="AJ173" s="922" t="s">
        <v>1689</v>
      </c>
      <c r="AK173" s="922" t="s">
        <v>2771</v>
      </c>
    </row>
    <row r="174" spans="1:37" s="376" customFormat="1" ht="67.5" outlineLevel="2" x14ac:dyDescent="0.3">
      <c r="A174" s="447">
        <f t="shared" ref="A174:A180" si="39">IF(B173&lt;&gt;0,B173,A173)</f>
        <v>20</v>
      </c>
      <c r="B174" s="893"/>
      <c r="C174" s="910" t="s">
        <v>116</v>
      </c>
      <c r="D174" s="923"/>
      <c r="E174" s="923"/>
      <c r="F174" s="896"/>
      <c r="G174" s="894"/>
      <c r="H174" s="924"/>
      <c r="I174" s="882"/>
      <c r="J174" s="929"/>
      <c r="K174" s="899" t="str">
        <f>IF(G174&lt;&gt;0,VLOOKUP(G174,'gia dat'!$A$1:$F$144,5,0)," ")</f>
        <v xml:space="preserve"> </v>
      </c>
      <c r="L174" s="899" t="str">
        <f>IF(G174&lt;&gt;0,VLOOKUP(G174,'gia dat'!$A$1:$F$144,6,0)," ")</f>
        <v xml:space="preserve"> </v>
      </c>
      <c r="M174" s="900" t="str">
        <f t="shared" si="33"/>
        <v xml:space="preserve"> </v>
      </c>
      <c r="N174" s="900" t="str">
        <f t="shared" si="34"/>
        <v xml:space="preserve"> </v>
      </c>
      <c r="O174" s="922"/>
      <c r="P174" s="926"/>
      <c r="Q174" s="900" t="str">
        <f>IF(O174&lt;&gt;0,VLOOKUP(O174,'Cây trong'!$A$2:$C$246,3,0)," ")</f>
        <v xml:space="preserve"> </v>
      </c>
      <c r="R174" s="900" t="str">
        <f t="shared" si="24"/>
        <v xml:space="preserve"> </v>
      </c>
      <c r="S174" s="922"/>
      <c r="T174" s="944"/>
      <c r="U174" s="927"/>
      <c r="V174" s="946"/>
      <c r="W174" s="900" t="str">
        <f>IF(S174&lt;&gt;0,VLOOKUP(S174,VKT!$A$2:$G$415,7,0),"")</f>
        <v/>
      </c>
      <c r="X174" s="900" t="str">
        <f t="shared" si="31"/>
        <v xml:space="preserve"> </v>
      </c>
      <c r="Y174" s="925"/>
      <c r="Z174" s="928"/>
      <c r="AA174" s="928"/>
      <c r="AB174" s="904"/>
      <c r="AC174" s="928"/>
      <c r="AD174" s="928"/>
      <c r="AE174" s="928"/>
      <c r="AF174" s="926"/>
      <c r="AG174" s="906" t="str">
        <f>IF(AE174&lt;&gt;0,VLOOKUP(AE174,ODDS!$A$2:$C$13,3,0),"")</f>
        <v/>
      </c>
      <c r="AH174" s="906" t="str">
        <f t="shared" si="25"/>
        <v xml:space="preserve"> </v>
      </c>
      <c r="AI174" s="907" t="str">
        <f t="shared" si="27"/>
        <v xml:space="preserve"> </v>
      </c>
      <c r="AJ174" s="894" t="s">
        <v>446</v>
      </c>
      <c r="AK174" s="894"/>
    </row>
    <row r="175" spans="1:37" s="376" customFormat="1" ht="45" outlineLevel="2" x14ac:dyDescent="0.3">
      <c r="A175" s="447">
        <f t="shared" si="39"/>
        <v>20</v>
      </c>
      <c r="B175" s="893"/>
      <c r="C175" s="894" t="s">
        <v>117</v>
      </c>
      <c r="D175" s="923"/>
      <c r="E175" s="923"/>
      <c r="F175" s="896"/>
      <c r="G175" s="894"/>
      <c r="H175" s="924"/>
      <c r="I175" s="882"/>
      <c r="J175" s="929"/>
      <c r="K175" s="899" t="str">
        <f>IF(G175&lt;&gt;0,VLOOKUP(G175,'gia dat'!$A$1:$F$144,5,0)," ")</f>
        <v xml:space="preserve"> </v>
      </c>
      <c r="L175" s="899" t="str">
        <f>IF(G175&lt;&gt;0,VLOOKUP(G175,'gia dat'!$A$1:$F$144,6,0)," ")</f>
        <v xml:space="preserve"> </v>
      </c>
      <c r="M175" s="900" t="str">
        <f t="shared" si="33"/>
        <v xml:space="preserve"> </v>
      </c>
      <c r="N175" s="900" t="str">
        <f t="shared" si="34"/>
        <v xml:space="preserve"> </v>
      </c>
      <c r="O175" s="922"/>
      <c r="P175" s="926"/>
      <c r="Q175" s="900" t="str">
        <f>IF(O175&lt;&gt;0,VLOOKUP(O175,'Cây trong'!$A$2:$C$246,3,0)," ")</f>
        <v xml:space="preserve"> </v>
      </c>
      <c r="R175" s="900" t="str">
        <f t="shared" si="24"/>
        <v xml:space="preserve"> </v>
      </c>
      <c r="S175" s="922"/>
      <c r="T175" s="944"/>
      <c r="U175" s="927"/>
      <c r="V175" s="946"/>
      <c r="W175" s="900" t="str">
        <f>IF(S175&lt;&gt;0,VLOOKUP(S175,VKT!$A$2:$G$415,7,0),"")</f>
        <v/>
      </c>
      <c r="X175" s="900" t="str">
        <f t="shared" si="31"/>
        <v xml:space="preserve"> </v>
      </c>
      <c r="Y175" s="925"/>
      <c r="Z175" s="928"/>
      <c r="AA175" s="928"/>
      <c r="AB175" s="904"/>
      <c r="AC175" s="928"/>
      <c r="AD175" s="928"/>
      <c r="AE175" s="928"/>
      <c r="AF175" s="926"/>
      <c r="AG175" s="906" t="str">
        <f>IF(AE175&lt;&gt;0,VLOOKUP(AE175,ODDS!$A$2:$C$13,3,0),"")</f>
        <v/>
      </c>
      <c r="AH175" s="906" t="str">
        <f t="shared" si="25"/>
        <v xml:space="preserve"> </v>
      </c>
      <c r="AI175" s="907" t="str">
        <f t="shared" si="27"/>
        <v xml:space="preserve"> </v>
      </c>
      <c r="AJ175" s="943" t="s">
        <v>111</v>
      </c>
      <c r="AK175" s="929"/>
    </row>
    <row r="176" spans="1:37" s="376" customFormat="1" ht="67.5" outlineLevel="2" x14ac:dyDescent="0.35">
      <c r="A176" s="447">
        <f t="shared" si="39"/>
        <v>20</v>
      </c>
      <c r="B176" s="893"/>
      <c r="C176" s="894" t="s">
        <v>645</v>
      </c>
      <c r="D176" s="923"/>
      <c r="E176" s="923"/>
      <c r="F176" s="896"/>
      <c r="G176" s="894"/>
      <c r="H176" s="924"/>
      <c r="I176" s="882"/>
      <c r="J176" s="929"/>
      <c r="K176" s="899" t="str">
        <f>IF(G176&lt;&gt;0,VLOOKUP(G176,'gia dat'!$A$1:$F$144,5,0)," ")</f>
        <v xml:space="preserve"> </v>
      </c>
      <c r="L176" s="899" t="str">
        <f>IF(G176&lt;&gt;0,VLOOKUP(G176,'gia dat'!$A$1:$F$144,6,0)," ")</f>
        <v xml:space="preserve"> </v>
      </c>
      <c r="M176" s="900" t="str">
        <f t="shared" si="33"/>
        <v xml:space="preserve"> </v>
      </c>
      <c r="N176" s="900" t="str">
        <f t="shared" si="34"/>
        <v xml:space="preserve"> </v>
      </c>
      <c r="O176" s="922"/>
      <c r="P176" s="926"/>
      <c r="Q176" s="900" t="str">
        <f>IF(O176&lt;&gt;0,VLOOKUP(O176,'Cây trong'!$A$2:$C$246,3,0)," ")</f>
        <v xml:space="preserve"> </v>
      </c>
      <c r="R176" s="900" t="str">
        <f t="shared" si="24"/>
        <v xml:space="preserve"> </v>
      </c>
      <c r="S176" s="922"/>
      <c r="T176" s="944"/>
      <c r="U176" s="927"/>
      <c r="V176" s="946"/>
      <c r="W176" s="900" t="str">
        <f>IF(S176&lt;&gt;0,VLOOKUP(S176,VKT!$A$2:$G$415,7,0),"")</f>
        <v/>
      </c>
      <c r="X176" s="900" t="str">
        <f t="shared" si="31"/>
        <v xml:space="preserve"> </v>
      </c>
      <c r="Y176" s="925"/>
      <c r="Z176" s="928"/>
      <c r="AA176" s="928"/>
      <c r="AB176" s="904"/>
      <c r="AC176" s="928"/>
      <c r="AD176" s="928"/>
      <c r="AE176" s="928"/>
      <c r="AF176" s="926"/>
      <c r="AG176" s="906" t="str">
        <f>IF(AE176&lt;&gt;0,VLOOKUP(AE176,ODDS!$A$2:$C$13,3,0),"")</f>
        <v/>
      </c>
      <c r="AH176" s="906" t="str">
        <f t="shared" si="25"/>
        <v xml:space="preserve"> </v>
      </c>
      <c r="AI176" s="907" t="str">
        <f t="shared" si="27"/>
        <v xml:space="preserve"> </v>
      </c>
      <c r="AJ176" s="911"/>
      <c r="AK176" s="943"/>
    </row>
    <row r="177" spans="1:37" s="376" customFormat="1" ht="22.5" outlineLevel="2" x14ac:dyDescent="0.3">
      <c r="A177" s="447">
        <f t="shared" si="39"/>
        <v>20</v>
      </c>
      <c r="B177" s="893"/>
      <c r="C177" s="894"/>
      <c r="D177" s="923"/>
      <c r="E177" s="923"/>
      <c r="F177" s="950"/>
      <c r="G177" s="894"/>
      <c r="H177" s="940"/>
      <c r="I177" s="882"/>
      <c r="J177" s="929"/>
      <c r="K177" s="899" t="str">
        <f>IF(G177&lt;&gt;0,VLOOKUP(G177,'gia dat'!$A$1:$F$144,5,0)," ")</f>
        <v xml:space="preserve"> </v>
      </c>
      <c r="L177" s="899" t="str">
        <f>IF(G177&lt;&gt;0,VLOOKUP(G177,'gia dat'!$A$1:$F$144,6,0)," ")</f>
        <v xml:space="preserve"> </v>
      </c>
      <c r="M177" s="900" t="str">
        <f t="shared" si="33"/>
        <v xml:space="preserve"> </v>
      </c>
      <c r="N177" s="900" t="str">
        <f t="shared" si="34"/>
        <v xml:space="preserve"> </v>
      </c>
      <c r="O177" s="929"/>
      <c r="P177" s="951"/>
      <c r="Q177" s="900" t="str">
        <f>IF(O177&lt;&gt;0,VLOOKUP(O177,'Cây trong'!$A$2:$C$246,3,0)," ")</f>
        <v xml:space="preserve"> </v>
      </c>
      <c r="R177" s="900" t="str">
        <f t="shared" si="24"/>
        <v xml:space="preserve"> </v>
      </c>
      <c r="S177" s="929"/>
      <c r="T177" s="929"/>
      <c r="U177" s="952"/>
      <c r="V177" s="925"/>
      <c r="W177" s="900" t="str">
        <f>IF(S177&lt;&gt;0,VLOOKUP(S177,VKT!$A$2:$G$415,7,0),"")</f>
        <v/>
      </c>
      <c r="X177" s="900" t="str">
        <f t="shared" si="31"/>
        <v xml:space="preserve"> </v>
      </c>
      <c r="Y177" s="925"/>
      <c r="Z177" s="925"/>
      <c r="AA177" s="925"/>
      <c r="AB177" s="898"/>
      <c r="AC177" s="925"/>
      <c r="AD177" s="925"/>
      <c r="AE177" s="925"/>
      <c r="AF177" s="964"/>
      <c r="AG177" s="906" t="str">
        <f>IF(AE177&lt;&gt;0,VLOOKUP(AE177,ODDS!$A$2:$C$13,3,0),"")</f>
        <v/>
      </c>
      <c r="AH177" s="906" t="str">
        <f t="shared" si="25"/>
        <v xml:space="preserve"> </v>
      </c>
      <c r="AI177" s="907" t="str">
        <f t="shared" si="27"/>
        <v xml:space="preserve"> </v>
      </c>
      <c r="AJ177" s="929"/>
      <c r="AK177" s="929"/>
    </row>
    <row r="178" spans="1:37" s="376" customFormat="1" ht="22.5" outlineLevel="2" x14ac:dyDescent="0.3">
      <c r="A178" s="447">
        <f t="shared" si="39"/>
        <v>20</v>
      </c>
      <c r="B178" s="893"/>
      <c r="C178" s="894"/>
      <c r="D178" s="923"/>
      <c r="E178" s="923"/>
      <c r="F178" s="950"/>
      <c r="G178" s="894"/>
      <c r="H178" s="940"/>
      <c r="I178" s="882"/>
      <c r="J178" s="929"/>
      <c r="K178" s="899" t="str">
        <f>IF(G178&lt;&gt;0,VLOOKUP(G178,'gia dat'!$A$1:$F$144,5,0)," ")</f>
        <v xml:space="preserve"> </v>
      </c>
      <c r="L178" s="899" t="str">
        <f>IF(G178&lt;&gt;0,VLOOKUP(G178,'gia dat'!$A$1:$F$144,6,0)," ")</f>
        <v xml:space="preserve"> </v>
      </c>
      <c r="M178" s="900" t="str">
        <f t="shared" si="33"/>
        <v xml:space="preserve"> </v>
      </c>
      <c r="N178" s="900" t="str">
        <f t="shared" si="34"/>
        <v xml:space="preserve"> </v>
      </c>
      <c r="O178" s="929"/>
      <c r="P178" s="951"/>
      <c r="Q178" s="900" t="str">
        <f>IF(O178&lt;&gt;0,VLOOKUP(O178,'Cây trong'!$A$2:$C$246,3,0)," ")</f>
        <v xml:space="preserve"> </v>
      </c>
      <c r="R178" s="900" t="str">
        <f t="shared" si="24"/>
        <v xml:space="preserve"> </v>
      </c>
      <c r="S178" s="929"/>
      <c r="T178" s="929"/>
      <c r="U178" s="952"/>
      <c r="V178" s="925"/>
      <c r="W178" s="900" t="str">
        <f>IF(S178&lt;&gt;0,VLOOKUP(S178,VKT!$A$2:$G$415,7,0),"")</f>
        <v/>
      </c>
      <c r="X178" s="900" t="str">
        <f t="shared" si="31"/>
        <v xml:space="preserve"> </v>
      </c>
      <c r="Y178" s="925"/>
      <c r="Z178" s="925"/>
      <c r="AA178" s="925"/>
      <c r="AB178" s="898"/>
      <c r="AC178" s="925"/>
      <c r="AD178" s="925"/>
      <c r="AE178" s="925"/>
      <c r="AF178" s="964"/>
      <c r="AG178" s="906" t="str">
        <f>IF(AE178&lt;&gt;0,VLOOKUP(AE178,ODDS!$A$2:$C$13,3,0),"")</f>
        <v/>
      </c>
      <c r="AH178" s="906" t="str">
        <f t="shared" si="25"/>
        <v xml:space="preserve"> </v>
      </c>
      <c r="AI178" s="907" t="str">
        <f t="shared" si="27"/>
        <v xml:space="preserve"> </v>
      </c>
      <c r="AJ178" s="929"/>
      <c r="AK178" s="929"/>
    </row>
    <row r="179" spans="1:37" s="376" customFormat="1" ht="22.5" outlineLevel="2" x14ac:dyDescent="0.3">
      <c r="A179" s="447">
        <f t="shared" si="39"/>
        <v>20</v>
      </c>
      <c r="B179" s="893"/>
      <c r="C179" s="908"/>
      <c r="D179" s="923"/>
      <c r="E179" s="923"/>
      <c r="F179" s="950"/>
      <c r="G179" s="894"/>
      <c r="H179" s="940"/>
      <c r="I179" s="882"/>
      <c r="J179" s="929"/>
      <c r="K179" s="899" t="str">
        <f>IF(G179&lt;&gt;0,VLOOKUP(G179,'gia dat'!$A$1:$F$144,5,0)," ")</f>
        <v xml:space="preserve"> </v>
      </c>
      <c r="L179" s="899" t="str">
        <f>IF(G179&lt;&gt;0,VLOOKUP(G179,'gia dat'!$A$1:$F$144,6,0)," ")</f>
        <v xml:space="preserve"> </v>
      </c>
      <c r="M179" s="900" t="str">
        <f t="shared" si="33"/>
        <v xml:space="preserve"> </v>
      </c>
      <c r="N179" s="900" t="str">
        <f t="shared" si="34"/>
        <v xml:space="preserve"> </v>
      </c>
      <c r="O179" s="929"/>
      <c r="P179" s="951"/>
      <c r="Q179" s="900" t="str">
        <f>IF(O179&lt;&gt;0,VLOOKUP(O179,'Cây trong'!$A$2:$C$246,3,0)," ")</f>
        <v xml:space="preserve"> </v>
      </c>
      <c r="R179" s="900" t="str">
        <f t="shared" si="24"/>
        <v xml:space="preserve"> </v>
      </c>
      <c r="S179" s="929"/>
      <c r="T179" s="929"/>
      <c r="U179" s="952"/>
      <c r="V179" s="925"/>
      <c r="W179" s="900" t="str">
        <f>IF(S179&lt;&gt;0,VLOOKUP(S179,VKT!$A$2:$G$415,7,0),"")</f>
        <v/>
      </c>
      <c r="X179" s="900" t="str">
        <f t="shared" si="31"/>
        <v xml:space="preserve"> </v>
      </c>
      <c r="Y179" s="925"/>
      <c r="Z179" s="925"/>
      <c r="AA179" s="925"/>
      <c r="AB179" s="898"/>
      <c r="AC179" s="925"/>
      <c r="AD179" s="925"/>
      <c r="AE179" s="925"/>
      <c r="AF179" s="964"/>
      <c r="AG179" s="906" t="str">
        <f>IF(AE179&lt;&gt;0,VLOOKUP(AE179,ODDS!$A$2:$C$13,3,0),"")</f>
        <v/>
      </c>
      <c r="AH179" s="906" t="str">
        <f t="shared" si="25"/>
        <v xml:space="preserve"> </v>
      </c>
      <c r="AI179" s="907" t="str">
        <f t="shared" si="27"/>
        <v xml:space="preserve"> </v>
      </c>
      <c r="AJ179" s="929"/>
      <c r="AK179" s="929"/>
    </row>
    <row r="180" spans="1:37" s="376" customFormat="1" ht="22.5" outlineLevel="2" x14ac:dyDescent="0.3">
      <c r="A180" s="447">
        <f t="shared" si="39"/>
        <v>20</v>
      </c>
      <c r="B180" s="893"/>
      <c r="C180" s="942"/>
      <c r="D180" s="930"/>
      <c r="E180" s="931"/>
      <c r="F180" s="913"/>
      <c r="G180" s="910"/>
      <c r="H180" s="924"/>
      <c r="I180" s="882"/>
      <c r="J180" s="943"/>
      <c r="K180" s="899" t="str">
        <f>IF(G180&lt;&gt;0,VLOOKUP(G180,'gia dat'!$A$1:$F$144,5,0)," ")</f>
        <v xml:space="preserve"> </v>
      </c>
      <c r="L180" s="899" t="str">
        <f>IF(G180&lt;&gt;0,VLOOKUP(G180,'gia dat'!$A$1:$F$144,6,0)," ")</f>
        <v xml:space="preserve"> </v>
      </c>
      <c r="M180" s="900" t="str">
        <f t="shared" si="33"/>
        <v xml:space="preserve"> </v>
      </c>
      <c r="N180" s="900" t="str">
        <f t="shared" si="34"/>
        <v xml:space="preserve"> </v>
      </c>
      <c r="O180" s="914"/>
      <c r="P180" s="968"/>
      <c r="Q180" s="900" t="str">
        <f>IF(O180&lt;&gt;0,VLOOKUP(O180,'Cây trong'!$A$2:$C$246,3,0)," ")</f>
        <v xml:space="preserve"> </v>
      </c>
      <c r="R180" s="900" t="str">
        <f t="shared" si="24"/>
        <v xml:space="preserve"> </v>
      </c>
      <c r="S180" s="914"/>
      <c r="T180" s="956"/>
      <c r="U180" s="927"/>
      <c r="V180" s="933"/>
      <c r="W180" s="900" t="str">
        <f>IF(S180&lt;&gt;0,VLOOKUP(S180,VKT!$A$2:$G$415,7,0),"")</f>
        <v/>
      </c>
      <c r="X180" s="900" t="str">
        <f t="shared" si="31"/>
        <v xml:space="preserve"> </v>
      </c>
      <c r="Y180" s="933"/>
      <c r="Z180" s="937"/>
      <c r="AA180" s="937"/>
      <c r="AB180" s="920"/>
      <c r="AC180" s="937"/>
      <c r="AD180" s="937"/>
      <c r="AE180" s="937"/>
      <c r="AF180" s="935"/>
      <c r="AG180" s="906" t="str">
        <f>IF(AE180&lt;&gt;0,VLOOKUP(AE180,ODDS!$A$2:$C$13,3,0),"")</f>
        <v/>
      </c>
      <c r="AH180" s="906" t="str">
        <f t="shared" si="25"/>
        <v xml:space="preserve"> </v>
      </c>
      <c r="AI180" s="907" t="str">
        <f t="shared" si="27"/>
        <v xml:space="preserve"> </v>
      </c>
      <c r="AJ180" s="894"/>
      <c r="AK180" s="894"/>
    </row>
    <row r="181" spans="1:37" s="376" customFormat="1" ht="43.5" outlineLevel="1" x14ac:dyDescent="0.25">
      <c r="A181" s="467" t="s">
        <v>2689</v>
      </c>
      <c r="B181" s="912">
        <v>21</v>
      </c>
      <c r="C181" s="942" t="s">
        <v>28</v>
      </c>
      <c r="D181" s="930"/>
      <c r="E181" s="931"/>
      <c r="F181" s="913"/>
      <c r="G181" s="910"/>
      <c r="H181" s="953">
        <f>SUBTOTAL(9,H182:H189)</f>
        <v>31.1</v>
      </c>
      <c r="I181" s="915">
        <f>SUBTOTAL(9,I182:I187)</f>
        <v>0</v>
      </c>
      <c r="J181" s="943"/>
      <c r="K181" s="917"/>
      <c r="L181" s="917"/>
      <c r="M181" s="907">
        <f>SUBTOTAL(9,M182:M189)</f>
        <v>17242000</v>
      </c>
      <c r="N181" s="907">
        <f>SUBTOTAL(9,N182:N189)</f>
        <v>0</v>
      </c>
      <c r="O181" s="914"/>
      <c r="P181" s="935">
        <f>SUBTOTAL(9,P182:P189)</f>
        <v>0</v>
      </c>
      <c r="Q181" s="907"/>
      <c r="R181" s="907">
        <f>SUBTOTAL(9,R182:R189)</f>
        <v>0</v>
      </c>
      <c r="S181" s="918"/>
      <c r="T181" s="933"/>
      <c r="U181" s="936">
        <f>SUBTOTAL(9,U182:U189)</f>
        <v>0</v>
      </c>
      <c r="V181" s="957"/>
      <c r="W181" s="907"/>
      <c r="X181" s="907">
        <f>SUBTOTAL(9,X182:X189)</f>
        <v>0</v>
      </c>
      <c r="Y181" s="898"/>
      <c r="Z181" s="928"/>
      <c r="AA181" s="928"/>
      <c r="AB181" s="904"/>
      <c r="AC181" s="928"/>
      <c r="AD181" s="928"/>
      <c r="AE181" s="937"/>
      <c r="AF181" s="935">
        <f>SUBTOTAL(9,AF182:AF189)</f>
        <v>0</v>
      </c>
      <c r="AG181" s="921"/>
      <c r="AH181" s="921">
        <f>SUBTOTAL(9,AH182:AH189)</f>
        <v>0</v>
      </c>
      <c r="AI181" s="907">
        <f t="shared" si="27"/>
        <v>17242000</v>
      </c>
      <c r="AJ181" s="910"/>
      <c r="AK181" s="914"/>
    </row>
    <row r="182" spans="1:37" s="376" customFormat="1" ht="135" outlineLevel="2" x14ac:dyDescent="0.3">
      <c r="A182" s="447">
        <f>IF(B181&lt;&gt;0,B181,A180)</f>
        <v>21</v>
      </c>
      <c r="B182" s="893"/>
      <c r="C182" s="894" t="s">
        <v>115</v>
      </c>
      <c r="D182" s="930"/>
      <c r="E182" s="923">
        <v>86</v>
      </c>
      <c r="F182" s="896">
        <v>704</v>
      </c>
      <c r="G182" s="894" t="s">
        <v>2891</v>
      </c>
      <c r="H182" s="924">
        <v>31.1</v>
      </c>
      <c r="I182" s="882" t="str">
        <f t="shared" ref="I182" si="40">IF(N182&gt;0,H182,"")</f>
        <v/>
      </c>
      <c r="J182" s="929"/>
      <c r="K182" s="899">
        <f>IF(G182&lt;&gt;0,VLOOKUP(G182,'gia dat'!$A$1:$F$144,5,0)," ")</f>
        <v>554400</v>
      </c>
      <c r="L182" s="899">
        <f>IF(G182&lt;&gt;0,VLOOKUP(G182,'gia dat'!$A$1:$F$144,6,0)," ")</f>
        <v>0</v>
      </c>
      <c r="M182" s="900">
        <f t="shared" si="33"/>
        <v>17242000</v>
      </c>
      <c r="N182" s="900">
        <f t="shared" si="34"/>
        <v>0</v>
      </c>
      <c r="O182" s="922"/>
      <c r="P182" s="926"/>
      <c r="Q182" s="900" t="str">
        <f>IF(O182&lt;&gt;0,VLOOKUP(O182,'Cây trong'!$A$2:$C$246,3,0)," ")</f>
        <v xml:space="preserve"> </v>
      </c>
      <c r="R182" s="900" t="str">
        <f t="shared" si="24"/>
        <v xml:space="preserve"> </v>
      </c>
      <c r="S182" s="902"/>
      <c r="T182" s="925"/>
      <c r="U182" s="927"/>
      <c r="V182" s="946"/>
      <c r="W182" s="900" t="str">
        <f>IF(S182&lt;&gt;0,VLOOKUP(S182,VKT!$A$2:$G$415,7,0),"")</f>
        <v/>
      </c>
      <c r="X182" s="900" t="str">
        <f t="shared" si="31"/>
        <v xml:space="preserve"> </v>
      </c>
      <c r="Y182" s="898"/>
      <c r="Z182" s="928"/>
      <c r="AA182" s="928"/>
      <c r="AB182" s="904"/>
      <c r="AC182" s="928"/>
      <c r="AD182" s="928"/>
      <c r="AE182" s="928"/>
      <c r="AF182" s="926"/>
      <c r="AG182" s="906" t="str">
        <f>IF(AE182&lt;&gt;0,VLOOKUP(AE182,ODDS!$A$2:$C$13,3,0),"")</f>
        <v/>
      </c>
      <c r="AH182" s="906" t="str">
        <f t="shared" si="25"/>
        <v xml:space="preserve"> </v>
      </c>
      <c r="AI182" s="907" t="str">
        <f t="shared" si="27"/>
        <v xml:space="preserve"> </v>
      </c>
      <c r="AJ182" s="894" t="s">
        <v>1690</v>
      </c>
      <c r="AK182" s="922" t="s">
        <v>2771</v>
      </c>
    </row>
    <row r="183" spans="1:37" s="376" customFormat="1" ht="67.5" outlineLevel="2" x14ac:dyDescent="0.3">
      <c r="A183" s="447">
        <f t="shared" ref="A183:A189" si="41">IF(B182&lt;&gt;0,B182,A182)</f>
        <v>21</v>
      </c>
      <c r="B183" s="893"/>
      <c r="C183" s="894" t="s">
        <v>645</v>
      </c>
      <c r="D183" s="939"/>
      <c r="E183" s="947"/>
      <c r="F183" s="947"/>
      <c r="G183" s="922"/>
      <c r="H183" s="924"/>
      <c r="I183" s="882"/>
      <c r="J183" s="929"/>
      <c r="K183" s="899" t="str">
        <f>IF(G183&lt;&gt;0,VLOOKUP(G183,'gia dat'!$A$1:$F$144,5,0)," ")</f>
        <v xml:space="preserve"> </v>
      </c>
      <c r="L183" s="899" t="str">
        <f>IF(G183&lt;&gt;0,VLOOKUP(G183,'gia dat'!$A$1:$F$144,6,0)," ")</f>
        <v xml:space="preserve"> </v>
      </c>
      <c r="M183" s="900" t="str">
        <f t="shared" si="33"/>
        <v xml:space="preserve"> </v>
      </c>
      <c r="N183" s="900" t="str">
        <f t="shared" si="34"/>
        <v xml:space="preserve"> </v>
      </c>
      <c r="O183" s="922"/>
      <c r="P183" s="926"/>
      <c r="Q183" s="900" t="str">
        <f>IF(O183&lt;&gt;0,VLOOKUP(O183,'Cây trong'!$A$2:$C$246,3,0)," ")</f>
        <v xml:space="preserve"> </v>
      </c>
      <c r="R183" s="900" t="str">
        <f t="shared" si="24"/>
        <v xml:space="preserve"> </v>
      </c>
      <c r="S183" s="922"/>
      <c r="T183" s="944"/>
      <c r="U183" s="927"/>
      <c r="V183" s="946"/>
      <c r="W183" s="900" t="str">
        <f>IF(S183&lt;&gt;0,VLOOKUP(S183,VKT!$A$2:$G$415,7,0),"")</f>
        <v/>
      </c>
      <c r="X183" s="900" t="str">
        <f t="shared" si="31"/>
        <v xml:space="preserve"> </v>
      </c>
      <c r="Y183" s="925"/>
      <c r="Z183" s="928"/>
      <c r="AA183" s="928"/>
      <c r="AB183" s="904"/>
      <c r="AC183" s="928"/>
      <c r="AD183" s="928"/>
      <c r="AE183" s="928"/>
      <c r="AF183" s="926"/>
      <c r="AG183" s="906" t="str">
        <f>IF(AE183&lt;&gt;0,VLOOKUP(AE183,ODDS!$A$2:$C$13,3,0),"")</f>
        <v/>
      </c>
      <c r="AH183" s="906" t="str">
        <f t="shared" si="25"/>
        <v xml:space="preserve"> </v>
      </c>
      <c r="AI183" s="907" t="str">
        <f t="shared" si="27"/>
        <v xml:space="preserve"> </v>
      </c>
      <c r="AJ183" s="894" t="s">
        <v>447</v>
      </c>
      <c r="AK183" s="894"/>
    </row>
    <row r="184" spans="1:37" s="376" customFormat="1" ht="45" outlineLevel="2" x14ac:dyDescent="0.3">
      <c r="A184" s="447">
        <f t="shared" si="41"/>
        <v>21</v>
      </c>
      <c r="B184" s="893"/>
      <c r="C184" s="894" t="s">
        <v>323</v>
      </c>
      <c r="D184" s="923"/>
      <c r="E184" s="923"/>
      <c r="F184" s="896"/>
      <c r="G184" s="894"/>
      <c r="H184" s="924"/>
      <c r="I184" s="882"/>
      <c r="J184" s="925"/>
      <c r="K184" s="899" t="str">
        <f>IF(G184&lt;&gt;0,VLOOKUP(G184,'gia dat'!$A$1:$F$144,5,0)," ")</f>
        <v xml:space="preserve"> </v>
      </c>
      <c r="L184" s="899" t="str">
        <f>IF(G184&lt;&gt;0,VLOOKUP(G184,'gia dat'!$A$1:$F$144,6,0)," ")</f>
        <v xml:space="preserve"> </v>
      </c>
      <c r="M184" s="900" t="str">
        <f t="shared" si="33"/>
        <v xml:space="preserve"> </v>
      </c>
      <c r="N184" s="900" t="str">
        <f t="shared" si="34"/>
        <v xml:space="preserve"> </v>
      </c>
      <c r="O184" s="901"/>
      <c r="P184" s="926"/>
      <c r="Q184" s="900" t="str">
        <f>IF(O184&lt;&gt;0,VLOOKUP(O184,'Cây trong'!$A$2:$C$246,3,0)," ")</f>
        <v xml:space="preserve"> </v>
      </c>
      <c r="R184" s="900" t="str">
        <f t="shared" si="24"/>
        <v xml:space="preserve"> </v>
      </c>
      <c r="S184" s="902"/>
      <c r="T184" s="925"/>
      <c r="U184" s="927"/>
      <c r="V184" s="925"/>
      <c r="W184" s="900" t="str">
        <f>IF(S184&lt;&gt;0,VLOOKUP(S184,VKT!$A$2:$G$415,7,0),"")</f>
        <v/>
      </c>
      <c r="X184" s="900" t="str">
        <f t="shared" si="31"/>
        <v xml:space="preserve"> </v>
      </c>
      <c r="Y184" s="925"/>
      <c r="Z184" s="928"/>
      <c r="AA184" s="928"/>
      <c r="AB184" s="904"/>
      <c r="AC184" s="928"/>
      <c r="AD184" s="928"/>
      <c r="AE184" s="928"/>
      <c r="AF184" s="926"/>
      <c r="AG184" s="906" t="str">
        <f>IF(AE184&lt;&gt;0,VLOOKUP(AE184,ODDS!$A$2:$C$13,3,0),"")</f>
        <v/>
      </c>
      <c r="AH184" s="906" t="str">
        <f t="shared" si="25"/>
        <v xml:space="preserve"> </v>
      </c>
      <c r="AI184" s="907" t="str">
        <f t="shared" si="27"/>
        <v xml:space="preserve"> </v>
      </c>
      <c r="AJ184" s="894" t="s">
        <v>1674</v>
      </c>
      <c r="AK184" s="894"/>
    </row>
    <row r="185" spans="1:37" s="376" customFormat="1" ht="22.5" outlineLevel="2" x14ac:dyDescent="0.3">
      <c r="A185" s="447">
        <f t="shared" si="41"/>
        <v>21</v>
      </c>
      <c r="B185" s="893"/>
      <c r="C185" s="908"/>
      <c r="D185" s="923"/>
      <c r="E185" s="923"/>
      <c r="F185" s="950"/>
      <c r="G185" s="894"/>
      <c r="H185" s="940"/>
      <c r="I185" s="882"/>
      <c r="J185" s="929"/>
      <c r="K185" s="899" t="str">
        <f>IF(G185&lt;&gt;0,VLOOKUP(G185,'gia dat'!$A$1:$F$144,5,0)," ")</f>
        <v xml:space="preserve"> </v>
      </c>
      <c r="L185" s="899" t="str">
        <f>IF(G185&lt;&gt;0,VLOOKUP(G185,'gia dat'!$A$1:$F$144,6,0)," ")</f>
        <v xml:space="preserve"> </v>
      </c>
      <c r="M185" s="900" t="str">
        <f t="shared" si="33"/>
        <v xml:space="preserve"> </v>
      </c>
      <c r="N185" s="900" t="str">
        <f t="shared" si="34"/>
        <v xml:space="preserve"> </v>
      </c>
      <c r="O185" s="929"/>
      <c r="P185" s="951"/>
      <c r="Q185" s="900" t="str">
        <f>IF(O185&lt;&gt;0,VLOOKUP(O185,'Cây trong'!$A$2:$C$246,3,0)," ")</f>
        <v xml:space="preserve"> </v>
      </c>
      <c r="R185" s="900" t="str">
        <f t="shared" si="24"/>
        <v xml:space="preserve"> </v>
      </c>
      <c r="S185" s="929"/>
      <c r="T185" s="929"/>
      <c r="U185" s="952"/>
      <c r="V185" s="925"/>
      <c r="W185" s="900" t="str">
        <f>IF(S185&lt;&gt;0,VLOOKUP(S185,VKT!$A$2:$G$415,7,0),"")</f>
        <v/>
      </c>
      <c r="X185" s="900" t="str">
        <f t="shared" si="31"/>
        <v xml:space="preserve"> </v>
      </c>
      <c r="Y185" s="925"/>
      <c r="Z185" s="925"/>
      <c r="AA185" s="925"/>
      <c r="AB185" s="898"/>
      <c r="AC185" s="925"/>
      <c r="AD185" s="925"/>
      <c r="AE185" s="925"/>
      <c r="AF185" s="964"/>
      <c r="AG185" s="906" t="str">
        <f>IF(AE185&lt;&gt;0,VLOOKUP(AE185,ODDS!$A$2:$C$13,3,0),"")</f>
        <v/>
      </c>
      <c r="AH185" s="906" t="str">
        <f t="shared" si="25"/>
        <v xml:space="preserve"> </v>
      </c>
      <c r="AI185" s="907" t="str">
        <f t="shared" si="27"/>
        <v xml:space="preserve"> </v>
      </c>
      <c r="AJ185" s="929"/>
      <c r="AK185" s="929"/>
    </row>
    <row r="186" spans="1:37" s="376" customFormat="1" ht="22.5" outlineLevel="2" x14ac:dyDescent="0.3">
      <c r="A186" s="447">
        <f t="shared" si="41"/>
        <v>21</v>
      </c>
      <c r="B186" s="893"/>
      <c r="C186" s="908"/>
      <c r="D186" s="923"/>
      <c r="E186" s="923"/>
      <c r="F186" s="896"/>
      <c r="G186" s="894"/>
      <c r="H186" s="924"/>
      <c r="I186" s="882"/>
      <c r="J186" s="925"/>
      <c r="K186" s="899" t="str">
        <f>IF(G186&lt;&gt;0,VLOOKUP(G186,'gia dat'!$A$1:$F$144,5,0)," ")</f>
        <v xml:space="preserve"> </v>
      </c>
      <c r="L186" s="899" t="str">
        <f>IF(G186&lt;&gt;0,VLOOKUP(G186,'gia dat'!$A$1:$F$144,6,0)," ")</f>
        <v xml:space="preserve"> </v>
      </c>
      <c r="M186" s="900" t="str">
        <f t="shared" si="33"/>
        <v xml:space="preserve"> </v>
      </c>
      <c r="N186" s="900" t="str">
        <f t="shared" si="34"/>
        <v xml:space="preserve"> </v>
      </c>
      <c r="O186" s="901"/>
      <c r="P186" s="926"/>
      <c r="Q186" s="900" t="str">
        <f>IF(O186&lt;&gt;0,VLOOKUP(O186,'Cây trong'!$A$2:$C$246,3,0)," ")</f>
        <v xml:space="preserve"> </v>
      </c>
      <c r="R186" s="900" t="str">
        <f t="shared" si="24"/>
        <v xml:space="preserve"> </v>
      </c>
      <c r="S186" s="902"/>
      <c r="T186" s="925"/>
      <c r="U186" s="927"/>
      <c r="V186" s="925"/>
      <c r="W186" s="900" t="str">
        <f>IF(S186&lt;&gt;0,VLOOKUP(S186,VKT!$A$2:$G$415,7,0),"")</f>
        <v/>
      </c>
      <c r="X186" s="900" t="str">
        <f t="shared" si="31"/>
        <v xml:space="preserve"> </v>
      </c>
      <c r="Y186" s="925"/>
      <c r="Z186" s="928"/>
      <c r="AA186" s="928"/>
      <c r="AB186" s="904"/>
      <c r="AC186" s="928"/>
      <c r="AD186" s="928"/>
      <c r="AE186" s="928"/>
      <c r="AF186" s="926"/>
      <c r="AG186" s="906" t="str">
        <f>IF(AE186&lt;&gt;0,VLOOKUP(AE186,ODDS!$A$2:$C$13,3,0),"")</f>
        <v/>
      </c>
      <c r="AH186" s="906" t="str">
        <f t="shared" si="25"/>
        <v xml:space="preserve"> </v>
      </c>
      <c r="AI186" s="907" t="str">
        <f t="shared" si="27"/>
        <v xml:space="preserve"> </v>
      </c>
      <c r="AJ186" s="929"/>
      <c r="AK186" s="929"/>
    </row>
    <row r="187" spans="1:37" s="376" customFormat="1" ht="22.5" outlineLevel="2" x14ac:dyDescent="0.3">
      <c r="A187" s="447">
        <f t="shared" si="41"/>
        <v>21</v>
      </c>
      <c r="B187" s="893"/>
      <c r="C187" s="908"/>
      <c r="D187" s="923"/>
      <c r="E187" s="923"/>
      <c r="F187" s="896"/>
      <c r="G187" s="894"/>
      <c r="H187" s="924"/>
      <c r="I187" s="882"/>
      <c r="J187" s="925"/>
      <c r="K187" s="899" t="str">
        <f>IF(G187&lt;&gt;0,VLOOKUP(G187,'gia dat'!$A$1:$F$144,5,0)," ")</f>
        <v xml:space="preserve"> </v>
      </c>
      <c r="L187" s="899" t="str">
        <f>IF(G187&lt;&gt;0,VLOOKUP(G187,'gia dat'!$A$1:$F$144,6,0)," ")</f>
        <v xml:space="preserve"> </v>
      </c>
      <c r="M187" s="900" t="str">
        <f t="shared" si="33"/>
        <v xml:space="preserve"> </v>
      </c>
      <c r="N187" s="900" t="str">
        <f t="shared" si="34"/>
        <v xml:space="preserve"> </v>
      </c>
      <c r="O187" s="901"/>
      <c r="P187" s="926"/>
      <c r="Q187" s="900" t="str">
        <f>IF(O187&lt;&gt;0,VLOOKUP(O187,'Cây trong'!$A$2:$C$246,3,0)," ")</f>
        <v xml:space="preserve"> </v>
      </c>
      <c r="R187" s="900" t="str">
        <f t="shared" si="24"/>
        <v xml:space="preserve"> </v>
      </c>
      <c r="S187" s="902"/>
      <c r="T187" s="925"/>
      <c r="U187" s="927"/>
      <c r="V187" s="925"/>
      <c r="W187" s="900" t="str">
        <f>IF(S187&lt;&gt;0,VLOOKUP(S187,VKT!$A$2:$G$415,7,0),"")</f>
        <v/>
      </c>
      <c r="X187" s="900" t="str">
        <f t="shared" si="31"/>
        <v xml:space="preserve"> </v>
      </c>
      <c r="Y187" s="925"/>
      <c r="Z187" s="928"/>
      <c r="AA187" s="928"/>
      <c r="AB187" s="904"/>
      <c r="AC187" s="928"/>
      <c r="AD187" s="928"/>
      <c r="AE187" s="928"/>
      <c r="AF187" s="926"/>
      <c r="AG187" s="906" t="str">
        <f>IF(AE187&lt;&gt;0,VLOOKUP(AE187,ODDS!$A$2:$C$13,3,0),"")</f>
        <v/>
      </c>
      <c r="AH187" s="906" t="str">
        <f t="shared" si="25"/>
        <v xml:space="preserve"> </v>
      </c>
      <c r="AI187" s="907" t="str">
        <f t="shared" si="27"/>
        <v xml:space="preserve"> </v>
      </c>
      <c r="AJ187" s="929"/>
      <c r="AK187" s="929"/>
    </row>
    <row r="188" spans="1:37" s="376" customFormat="1" ht="22.5" outlineLevel="2" x14ac:dyDescent="0.3">
      <c r="A188" s="447">
        <f t="shared" si="41"/>
        <v>21</v>
      </c>
      <c r="B188" s="893"/>
      <c r="C188" s="894"/>
      <c r="D188" s="923"/>
      <c r="E188" s="923"/>
      <c r="F188" s="896"/>
      <c r="G188" s="894"/>
      <c r="H188" s="924"/>
      <c r="I188" s="882"/>
      <c r="J188" s="925"/>
      <c r="K188" s="899" t="str">
        <f>IF(G188&lt;&gt;0,VLOOKUP(G188,'gia dat'!$A$1:$F$144,5,0)," ")</f>
        <v xml:space="preserve"> </v>
      </c>
      <c r="L188" s="899" t="str">
        <f>IF(G188&lt;&gt;0,VLOOKUP(G188,'gia dat'!$A$1:$F$144,6,0)," ")</f>
        <v xml:space="preserve"> </v>
      </c>
      <c r="M188" s="900" t="str">
        <f t="shared" si="33"/>
        <v xml:space="preserve"> </v>
      </c>
      <c r="N188" s="900" t="str">
        <f t="shared" si="34"/>
        <v xml:space="preserve"> </v>
      </c>
      <c r="O188" s="901"/>
      <c r="P188" s="926"/>
      <c r="Q188" s="900" t="str">
        <f>IF(O188&lt;&gt;0,VLOOKUP(O188,'Cây trong'!$A$2:$C$246,3,0)," ")</f>
        <v xml:space="preserve"> </v>
      </c>
      <c r="R188" s="900" t="str">
        <f t="shared" si="24"/>
        <v xml:space="preserve"> </v>
      </c>
      <c r="S188" s="902"/>
      <c r="T188" s="925"/>
      <c r="U188" s="927"/>
      <c r="V188" s="925"/>
      <c r="W188" s="900" t="str">
        <f>IF(S188&lt;&gt;0,VLOOKUP(S188,VKT!$A$2:$G$415,7,0),"")</f>
        <v/>
      </c>
      <c r="X188" s="900" t="str">
        <f t="shared" si="31"/>
        <v xml:space="preserve"> </v>
      </c>
      <c r="Y188" s="925"/>
      <c r="Z188" s="928"/>
      <c r="AA188" s="928"/>
      <c r="AB188" s="904"/>
      <c r="AC188" s="928"/>
      <c r="AD188" s="928"/>
      <c r="AE188" s="928"/>
      <c r="AF188" s="926"/>
      <c r="AG188" s="906" t="str">
        <f>IF(AE188&lt;&gt;0,VLOOKUP(AE188,ODDS!$A$2:$C$13,3,0),"")</f>
        <v/>
      </c>
      <c r="AH188" s="906" t="str">
        <f t="shared" si="25"/>
        <v xml:space="preserve"> </v>
      </c>
      <c r="AI188" s="907" t="str">
        <f t="shared" si="27"/>
        <v xml:space="preserve"> </v>
      </c>
      <c r="AJ188" s="929"/>
      <c r="AK188" s="929"/>
    </row>
    <row r="189" spans="1:37" s="376" customFormat="1" ht="22.5" outlineLevel="2" x14ac:dyDescent="0.3">
      <c r="A189" s="447">
        <f t="shared" si="41"/>
        <v>21</v>
      </c>
      <c r="B189" s="893"/>
      <c r="C189" s="910"/>
      <c r="D189" s="923"/>
      <c r="E189" s="923"/>
      <c r="F189" s="896"/>
      <c r="G189" s="894"/>
      <c r="H189" s="924"/>
      <c r="I189" s="882"/>
      <c r="J189" s="925"/>
      <c r="K189" s="899" t="str">
        <f>IF(G189&lt;&gt;0,VLOOKUP(G189,'gia dat'!$A$1:$F$144,5,0)," ")</f>
        <v xml:space="preserve"> </v>
      </c>
      <c r="L189" s="899" t="str">
        <f>IF(G189&lt;&gt;0,VLOOKUP(G189,'gia dat'!$A$1:$F$144,6,0)," ")</f>
        <v xml:space="preserve"> </v>
      </c>
      <c r="M189" s="900" t="str">
        <f t="shared" si="33"/>
        <v xml:space="preserve"> </v>
      </c>
      <c r="N189" s="900" t="str">
        <f t="shared" si="34"/>
        <v xml:space="preserve"> </v>
      </c>
      <c r="O189" s="901"/>
      <c r="P189" s="926"/>
      <c r="Q189" s="900" t="str">
        <f>IF(O189&lt;&gt;0,VLOOKUP(O189,'Cây trong'!$A$2:$C$246,3,0)," ")</f>
        <v xml:space="preserve"> </v>
      </c>
      <c r="R189" s="900" t="str">
        <f t="shared" si="24"/>
        <v xml:space="preserve"> </v>
      </c>
      <c r="S189" s="902"/>
      <c r="T189" s="925"/>
      <c r="U189" s="927"/>
      <c r="V189" s="925"/>
      <c r="W189" s="900" t="str">
        <f>IF(S189&lt;&gt;0,VLOOKUP(S189,VKT!$A$2:$G$415,7,0),"")</f>
        <v/>
      </c>
      <c r="X189" s="900" t="str">
        <f t="shared" si="31"/>
        <v xml:space="preserve"> </v>
      </c>
      <c r="Y189" s="925"/>
      <c r="Z189" s="928"/>
      <c r="AA189" s="928"/>
      <c r="AB189" s="904"/>
      <c r="AC189" s="928"/>
      <c r="AD189" s="928"/>
      <c r="AE189" s="928"/>
      <c r="AF189" s="926"/>
      <c r="AG189" s="906" t="str">
        <f>IF(AE189&lt;&gt;0,VLOOKUP(AE189,ODDS!$A$2:$C$13,3,0),"")</f>
        <v/>
      </c>
      <c r="AH189" s="906" t="str">
        <f t="shared" si="25"/>
        <v xml:space="preserve"> </v>
      </c>
      <c r="AI189" s="907" t="str">
        <f t="shared" si="27"/>
        <v xml:space="preserve"> </v>
      </c>
      <c r="AJ189" s="894"/>
      <c r="AK189" s="894"/>
    </row>
    <row r="190" spans="1:37" s="376" customFormat="1" ht="43.5" outlineLevel="1" x14ac:dyDescent="0.25">
      <c r="A190" s="467" t="s">
        <v>2688</v>
      </c>
      <c r="B190" s="912">
        <v>22</v>
      </c>
      <c r="C190" s="910" t="s">
        <v>118</v>
      </c>
      <c r="D190" s="931"/>
      <c r="E190" s="931"/>
      <c r="F190" s="913"/>
      <c r="G190" s="910"/>
      <c r="H190" s="953">
        <f>SUBTOTAL(9,H191:H199)</f>
        <v>30.7</v>
      </c>
      <c r="I190" s="915">
        <f>SUBTOTAL(9,I191:I196)</f>
        <v>0</v>
      </c>
      <c r="J190" s="943"/>
      <c r="K190" s="917"/>
      <c r="L190" s="917"/>
      <c r="M190" s="907">
        <f>SUBTOTAL(9,M191:M199)</f>
        <v>17020000</v>
      </c>
      <c r="N190" s="907">
        <f>SUBTOTAL(9,N191:N199)</f>
        <v>0</v>
      </c>
      <c r="O190" s="914"/>
      <c r="P190" s="935">
        <f>SUBTOTAL(9,P191:P199)</f>
        <v>0</v>
      </c>
      <c r="Q190" s="907"/>
      <c r="R190" s="907">
        <f>SUBTOTAL(9,R191:R199)</f>
        <v>0</v>
      </c>
      <c r="S190" s="918"/>
      <c r="T190" s="933"/>
      <c r="U190" s="936">
        <f>SUBTOTAL(9,U191:U199)</f>
        <v>0</v>
      </c>
      <c r="V190" s="957"/>
      <c r="W190" s="907"/>
      <c r="X190" s="907">
        <f>SUBTOTAL(9,X191:X199)</f>
        <v>0</v>
      </c>
      <c r="Y190" s="925"/>
      <c r="Z190" s="928"/>
      <c r="AA190" s="928"/>
      <c r="AB190" s="904"/>
      <c r="AC190" s="928"/>
      <c r="AD190" s="928"/>
      <c r="AE190" s="937"/>
      <c r="AF190" s="935">
        <f>SUBTOTAL(9,AF191:AF199)</f>
        <v>0</v>
      </c>
      <c r="AG190" s="921"/>
      <c r="AH190" s="921">
        <f>SUBTOTAL(9,AH191:AH199)</f>
        <v>0</v>
      </c>
      <c r="AI190" s="907">
        <f t="shared" si="27"/>
        <v>17020000</v>
      </c>
      <c r="AJ190" s="910"/>
      <c r="AK190" s="914"/>
    </row>
    <row r="191" spans="1:37" s="376" customFormat="1" ht="135" outlineLevel="2" x14ac:dyDescent="0.3">
      <c r="A191" s="447">
        <f>IF(B190&lt;&gt;0,B190,A189)</f>
        <v>22</v>
      </c>
      <c r="B191" s="893"/>
      <c r="C191" s="894" t="s">
        <v>119</v>
      </c>
      <c r="D191" s="923">
        <v>4</v>
      </c>
      <c r="E191" s="923">
        <v>86</v>
      </c>
      <c r="F191" s="896">
        <v>703</v>
      </c>
      <c r="G191" s="894" t="s">
        <v>2891</v>
      </c>
      <c r="H191" s="924">
        <f>30.7-H192</f>
        <v>30.7</v>
      </c>
      <c r="I191" s="882" t="str">
        <f t="shared" ref="I191" si="42">IF(N191&gt;0,H191,"")</f>
        <v/>
      </c>
      <c r="J191" s="929"/>
      <c r="K191" s="899">
        <f>IF(G191&lt;&gt;0,VLOOKUP(G191,'gia dat'!$A$1:$F$144,5,0)," ")</f>
        <v>554400</v>
      </c>
      <c r="L191" s="899">
        <f>IF(G191&lt;&gt;0,VLOOKUP(G191,'gia dat'!$A$1:$F$144,6,0)," ")</f>
        <v>0</v>
      </c>
      <c r="M191" s="900">
        <f t="shared" si="33"/>
        <v>17020000</v>
      </c>
      <c r="N191" s="900">
        <f t="shared" si="34"/>
        <v>0</v>
      </c>
      <c r="O191" s="922"/>
      <c r="P191" s="926"/>
      <c r="Q191" s="900" t="str">
        <f>IF(O191&lt;&gt;0,VLOOKUP(O191,'Cây trong'!$A$2:$C$246,3,0)," ")</f>
        <v xml:space="preserve"> </v>
      </c>
      <c r="R191" s="900" t="str">
        <f t="shared" si="24"/>
        <v xml:space="preserve"> </v>
      </c>
      <c r="S191" s="902"/>
      <c r="T191" s="925"/>
      <c r="U191" s="927"/>
      <c r="V191" s="946"/>
      <c r="W191" s="900" t="str">
        <f>IF(S191&lt;&gt;0,VLOOKUP(S191,VKT!$A$2:$G$415,7,0),"")</f>
        <v/>
      </c>
      <c r="X191" s="900" t="str">
        <f t="shared" si="31"/>
        <v xml:space="preserve"> </v>
      </c>
      <c r="Y191" s="925"/>
      <c r="Z191" s="928"/>
      <c r="AA191" s="928"/>
      <c r="AB191" s="904"/>
      <c r="AC191" s="928"/>
      <c r="AD191" s="928"/>
      <c r="AE191" s="928"/>
      <c r="AF191" s="926"/>
      <c r="AG191" s="906" t="str">
        <f>IF(AE191&lt;&gt;0,VLOOKUP(AE191,ODDS!$A$2:$C$13,3,0),"")</f>
        <v/>
      </c>
      <c r="AH191" s="906"/>
      <c r="AI191" s="907" t="str">
        <f t="shared" si="27"/>
        <v xml:space="preserve"> </v>
      </c>
      <c r="AJ191" s="894" t="s">
        <v>1691</v>
      </c>
      <c r="AK191" s="922" t="s">
        <v>2771</v>
      </c>
    </row>
    <row r="192" spans="1:37" s="376" customFormat="1" ht="67.5" outlineLevel="2" x14ac:dyDescent="0.3">
      <c r="A192" s="447">
        <f t="shared" ref="A192:A199" si="43">IF(B191&lt;&gt;0,B191,A191)</f>
        <v>22</v>
      </c>
      <c r="B192" s="893"/>
      <c r="C192" s="910" t="s">
        <v>120</v>
      </c>
      <c r="D192" s="923"/>
      <c r="E192" s="923"/>
      <c r="F192" s="896"/>
      <c r="G192" s="894"/>
      <c r="H192" s="924"/>
      <c r="I192" s="882"/>
      <c r="J192" s="929"/>
      <c r="K192" s="899" t="str">
        <f>IF(G192&lt;&gt;0,VLOOKUP(G192,'gia dat'!$A$1:$F$144,5,0)," ")</f>
        <v xml:space="preserve"> </v>
      </c>
      <c r="L192" s="899" t="str">
        <f>IF(G192&lt;&gt;0,VLOOKUP(G192,'gia dat'!$A$1:$F$144,6,0)," ")</f>
        <v xml:space="preserve"> </v>
      </c>
      <c r="M192" s="900" t="str">
        <f t="shared" si="33"/>
        <v xml:space="preserve"> </v>
      </c>
      <c r="N192" s="900" t="str">
        <f t="shared" si="34"/>
        <v xml:space="preserve"> </v>
      </c>
      <c r="O192" s="922"/>
      <c r="P192" s="926"/>
      <c r="Q192" s="900" t="str">
        <f>IF(O192&lt;&gt;0,VLOOKUP(O192,'Cây trong'!$A$2:$C$246,3,0)," ")</f>
        <v xml:space="preserve"> </v>
      </c>
      <c r="R192" s="900" t="str">
        <f t="shared" si="24"/>
        <v xml:space="preserve"> </v>
      </c>
      <c r="S192" s="922"/>
      <c r="T192" s="944"/>
      <c r="U192" s="927"/>
      <c r="V192" s="946"/>
      <c r="W192" s="900" t="str">
        <f>IF(S192&lt;&gt;0,VLOOKUP(S192,VKT!$A$2:$G$415,7,0),"")</f>
        <v/>
      </c>
      <c r="X192" s="900" t="str">
        <f t="shared" si="31"/>
        <v xml:space="preserve"> </v>
      </c>
      <c r="Y192" s="925"/>
      <c r="Z192" s="928"/>
      <c r="AA192" s="928"/>
      <c r="AB192" s="904"/>
      <c r="AC192" s="928"/>
      <c r="AD192" s="928"/>
      <c r="AE192" s="928"/>
      <c r="AF192" s="926"/>
      <c r="AG192" s="906" t="str">
        <f>IF(AE192&lt;&gt;0,VLOOKUP(AE192,ODDS!$A$2:$C$13,3,0),"")</f>
        <v/>
      </c>
      <c r="AH192" s="906" t="str">
        <f t="shared" si="25"/>
        <v xml:space="preserve"> </v>
      </c>
      <c r="AI192" s="907" t="str">
        <f t="shared" si="27"/>
        <v xml:space="preserve"> </v>
      </c>
      <c r="AJ192" s="894" t="s">
        <v>448</v>
      </c>
      <c r="AK192" s="894"/>
    </row>
    <row r="193" spans="1:37" s="376" customFormat="1" ht="45" outlineLevel="2" x14ac:dyDescent="0.3">
      <c r="A193" s="447">
        <f t="shared" si="43"/>
        <v>22</v>
      </c>
      <c r="B193" s="893"/>
      <c r="C193" s="894" t="s">
        <v>121</v>
      </c>
      <c r="D193" s="923"/>
      <c r="E193" s="923"/>
      <c r="F193" s="896"/>
      <c r="G193" s="894"/>
      <c r="H193" s="924"/>
      <c r="I193" s="882"/>
      <c r="J193" s="929"/>
      <c r="K193" s="899" t="str">
        <f>IF(G193&lt;&gt;0,VLOOKUP(G193,'gia dat'!$A$1:$F$144,5,0)," ")</f>
        <v xml:space="preserve"> </v>
      </c>
      <c r="L193" s="899" t="str">
        <f>IF(G193&lt;&gt;0,VLOOKUP(G193,'gia dat'!$A$1:$F$144,6,0)," ")</f>
        <v xml:space="preserve"> </v>
      </c>
      <c r="M193" s="900" t="str">
        <f t="shared" si="33"/>
        <v xml:space="preserve"> </v>
      </c>
      <c r="N193" s="900" t="str">
        <f t="shared" si="34"/>
        <v xml:space="preserve"> </v>
      </c>
      <c r="O193" s="922"/>
      <c r="P193" s="926"/>
      <c r="Q193" s="900" t="str">
        <f>IF(O193&lt;&gt;0,VLOOKUP(O193,'Cây trong'!$A$2:$C$246,3,0)," ")</f>
        <v xml:space="preserve"> </v>
      </c>
      <c r="R193" s="900" t="str">
        <f t="shared" si="24"/>
        <v xml:space="preserve"> </v>
      </c>
      <c r="S193" s="922"/>
      <c r="T193" s="944"/>
      <c r="U193" s="927"/>
      <c r="V193" s="946"/>
      <c r="W193" s="900" t="str">
        <f>IF(S193&lt;&gt;0,VLOOKUP(S193,VKT!$A$2:$G$415,7,0),"")</f>
        <v/>
      </c>
      <c r="X193" s="900" t="str">
        <f t="shared" si="31"/>
        <v xml:space="preserve"> </v>
      </c>
      <c r="Y193" s="925"/>
      <c r="Z193" s="928"/>
      <c r="AA193" s="928"/>
      <c r="AB193" s="904"/>
      <c r="AC193" s="928"/>
      <c r="AD193" s="928"/>
      <c r="AE193" s="928"/>
      <c r="AF193" s="926"/>
      <c r="AG193" s="906" t="str">
        <f>IF(AE193&lt;&gt;0,VLOOKUP(AE193,ODDS!$A$2:$C$13,3,0),"")</f>
        <v/>
      </c>
      <c r="AH193" s="906" t="str">
        <f t="shared" si="25"/>
        <v xml:space="preserve"> </v>
      </c>
      <c r="AI193" s="907" t="str">
        <f t="shared" si="27"/>
        <v xml:space="preserve"> </v>
      </c>
      <c r="AJ193" s="894" t="s">
        <v>449</v>
      </c>
      <c r="AK193" s="894"/>
    </row>
    <row r="194" spans="1:37" s="376" customFormat="1" ht="112.5" outlineLevel="2" x14ac:dyDescent="0.3">
      <c r="A194" s="447">
        <f t="shared" si="43"/>
        <v>22</v>
      </c>
      <c r="B194" s="893"/>
      <c r="C194" s="894" t="s">
        <v>646</v>
      </c>
      <c r="D194" s="923"/>
      <c r="E194" s="923"/>
      <c r="F194" s="896"/>
      <c r="G194" s="894"/>
      <c r="H194" s="924"/>
      <c r="I194" s="882"/>
      <c r="J194" s="929"/>
      <c r="K194" s="899" t="str">
        <f>IF(G194&lt;&gt;0,VLOOKUP(G194,'gia dat'!$A$1:$F$144,5,0)," ")</f>
        <v xml:space="preserve"> </v>
      </c>
      <c r="L194" s="899" t="str">
        <f>IF(G194&lt;&gt;0,VLOOKUP(G194,'gia dat'!$A$1:$F$144,6,0)," ")</f>
        <v xml:space="preserve"> </v>
      </c>
      <c r="M194" s="900" t="str">
        <f t="shared" si="33"/>
        <v xml:space="preserve"> </v>
      </c>
      <c r="N194" s="900" t="str">
        <f t="shared" si="34"/>
        <v xml:space="preserve"> </v>
      </c>
      <c r="O194" s="922"/>
      <c r="P194" s="926"/>
      <c r="Q194" s="900" t="str">
        <f>IF(O194&lt;&gt;0,VLOOKUP(O194,'Cây trong'!$A$2:$C$246,3,0)," ")</f>
        <v xml:space="preserve"> </v>
      </c>
      <c r="R194" s="900" t="str">
        <f t="shared" si="24"/>
        <v xml:space="preserve"> </v>
      </c>
      <c r="S194" s="922"/>
      <c r="T194" s="944"/>
      <c r="U194" s="927"/>
      <c r="V194" s="946"/>
      <c r="W194" s="900" t="str">
        <f>IF(S194&lt;&gt;0,VLOOKUP(S194,VKT!$A$2:$G$415,7,0),"")</f>
        <v/>
      </c>
      <c r="X194" s="900" t="str">
        <f t="shared" si="31"/>
        <v xml:space="preserve"> </v>
      </c>
      <c r="Y194" s="925"/>
      <c r="Z194" s="928"/>
      <c r="AA194" s="928"/>
      <c r="AB194" s="904"/>
      <c r="AC194" s="928"/>
      <c r="AD194" s="928"/>
      <c r="AE194" s="928"/>
      <c r="AF194" s="926"/>
      <c r="AG194" s="906" t="str">
        <f>IF(AE194&lt;&gt;0,VLOOKUP(AE194,ODDS!$A$2:$C$13,3,0),"")</f>
        <v/>
      </c>
      <c r="AH194" s="906" t="str">
        <f t="shared" si="25"/>
        <v xml:space="preserve"> </v>
      </c>
      <c r="AI194" s="907" t="str">
        <f t="shared" si="27"/>
        <v xml:space="preserve"> </v>
      </c>
      <c r="AJ194" s="943" t="s">
        <v>111</v>
      </c>
      <c r="AK194" s="943"/>
    </row>
    <row r="195" spans="1:37" s="376" customFormat="1" ht="135" outlineLevel="2" x14ac:dyDescent="0.3">
      <c r="A195" s="447">
        <f t="shared" si="43"/>
        <v>22</v>
      </c>
      <c r="B195" s="893"/>
      <c r="C195" s="894"/>
      <c r="D195" s="930"/>
      <c r="E195" s="931"/>
      <c r="F195" s="913"/>
      <c r="G195" s="910"/>
      <c r="H195" s="924"/>
      <c r="I195" s="882"/>
      <c r="J195" s="943"/>
      <c r="K195" s="899" t="str">
        <f>IF(G195&lt;&gt;0,VLOOKUP(G195,'gia dat'!$A$1:$F$144,5,0)," ")</f>
        <v xml:space="preserve"> </v>
      </c>
      <c r="L195" s="899" t="str">
        <f>IF(G195&lt;&gt;0,VLOOKUP(G195,'gia dat'!$A$1:$F$144,6,0)," ")</f>
        <v xml:space="preserve"> </v>
      </c>
      <c r="M195" s="900" t="str">
        <f t="shared" si="33"/>
        <v xml:space="preserve"> </v>
      </c>
      <c r="N195" s="900" t="str">
        <f t="shared" si="34"/>
        <v xml:space="preserve"> </v>
      </c>
      <c r="O195" s="914"/>
      <c r="P195" s="926"/>
      <c r="Q195" s="900" t="str">
        <f>IF(O195&lt;&gt;0,VLOOKUP(O195,'Cây trong'!$A$2:$C$246,3,0)," ")</f>
        <v xml:space="preserve"> </v>
      </c>
      <c r="R195" s="900" t="str">
        <f t="shared" si="24"/>
        <v xml:space="preserve"> </v>
      </c>
      <c r="S195" s="914"/>
      <c r="T195" s="956"/>
      <c r="U195" s="927"/>
      <c r="V195" s="946"/>
      <c r="W195" s="900" t="str">
        <f>IF(S195&lt;&gt;0,VLOOKUP(S195,VKT!$A$2:$G$415,7,0),"")</f>
        <v/>
      </c>
      <c r="X195" s="900" t="str">
        <f t="shared" si="31"/>
        <v xml:space="preserve"> </v>
      </c>
      <c r="Y195" s="916"/>
      <c r="Z195" s="937"/>
      <c r="AA195" s="937"/>
      <c r="AB195" s="920"/>
      <c r="AC195" s="937"/>
      <c r="AD195" s="937"/>
      <c r="AE195" s="937"/>
      <c r="AF195" s="935"/>
      <c r="AG195" s="906" t="str">
        <f>IF(AE195&lt;&gt;0,VLOOKUP(AE195,ODDS!$A$2:$C$13,3,0),"")</f>
        <v/>
      </c>
      <c r="AH195" s="906" t="str">
        <f t="shared" si="25"/>
        <v xml:space="preserve"> </v>
      </c>
      <c r="AI195" s="907" t="str">
        <f t="shared" si="27"/>
        <v xml:space="preserve"> </v>
      </c>
      <c r="AJ195" s="894" t="s">
        <v>2196</v>
      </c>
      <c r="AK195" s="943"/>
    </row>
    <row r="196" spans="1:37" s="376" customFormat="1" ht="22.5" outlineLevel="2" x14ac:dyDescent="0.3">
      <c r="A196" s="447">
        <f t="shared" si="43"/>
        <v>22</v>
      </c>
      <c r="B196" s="893"/>
      <c r="C196" s="894"/>
      <c r="D196" s="923"/>
      <c r="E196" s="923"/>
      <c r="F196" s="950"/>
      <c r="G196" s="894"/>
      <c r="H196" s="940"/>
      <c r="I196" s="882"/>
      <c r="J196" s="929"/>
      <c r="K196" s="899" t="str">
        <f>IF(G196&lt;&gt;0,VLOOKUP(G196,'gia dat'!$A$1:$F$144,5,0)," ")</f>
        <v xml:space="preserve"> </v>
      </c>
      <c r="L196" s="899" t="str">
        <f>IF(G196&lt;&gt;0,VLOOKUP(G196,'gia dat'!$A$1:$F$144,6,0)," ")</f>
        <v xml:space="preserve"> </v>
      </c>
      <c r="M196" s="900" t="str">
        <f t="shared" si="33"/>
        <v xml:space="preserve"> </v>
      </c>
      <c r="N196" s="900" t="str">
        <f t="shared" si="34"/>
        <v xml:space="preserve"> </v>
      </c>
      <c r="O196" s="929"/>
      <c r="P196" s="951"/>
      <c r="Q196" s="900" t="str">
        <f>IF(O196&lt;&gt;0,VLOOKUP(O196,'Cây trong'!$A$2:$C$246,3,0)," ")</f>
        <v xml:space="preserve"> </v>
      </c>
      <c r="R196" s="900" t="str">
        <f t="shared" si="24"/>
        <v xml:space="preserve"> </v>
      </c>
      <c r="S196" s="929"/>
      <c r="T196" s="929"/>
      <c r="U196" s="952"/>
      <c r="V196" s="925"/>
      <c r="W196" s="900" t="str">
        <f>IF(S196&lt;&gt;0,VLOOKUP(S196,VKT!$A$2:$G$415,7,0),"")</f>
        <v/>
      </c>
      <c r="X196" s="900" t="str">
        <f t="shared" si="31"/>
        <v xml:space="preserve"> </v>
      </c>
      <c r="Y196" s="925"/>
      <c r="Z196" s="925"/>
      <c r="AA196" s="925"/>
      <c r="AB196" s="898"/>
      <c r="AC196" s="925"/>
      <c r="AD196" s="925"/>
      <c r="AE196" s="925"/>
      <c r="AF196" s="964"/>
      <c r="AG196" s="906" t="str">
        <f>IF(AE196&lt;&gt;0,VLOOKUP(AE196,ODDS!$A$2:$C$13,3,0),"")</f>
        <v/>
      </c>
      <c r="AH196" s="906" t="str">
        <f t="shared" si="25"/>
        <v xml:space="preserve"> </v>
      </c>
      <c r="AI196" s="907" t="str">
        <f t="shared" si="27"/>
        <v xml:space="preserve"> </v>
      </c>
      <c r="AJ196" s="929"/>
      <c r="AK196" s="929"/>
    </row>
    <row r="197" spans="1:37" s="376" customFormat="1" ht="22.5" outlineLevel="2" x14ac:dyDescent="0.3">
      <c r="A197" s="447">
        <f t="shared" si="43"/>
        <v>22</v>
      </c>
      <c r="B197" s="893"/>
      <c r="C197" s="894"/>
      <c r="D197" s="923"/>
      <c r="E197" s="923"/>
      <c r="F197" s="950"/>
      <c r="G197" s="894"/>
      <c r="H197" s="940"/>
      <c r="I197" s="882"/>
      <c r="J197" s="929"/>
      <c r="K197" s="899" t="str">
        <f>IF(G197&lt;&gt;0,VLOOKUP(G197,'gia dat'!$A$1:$F$144,5,0)," ")</f>
        <v xml:space="preserve"> </v>
      </c>
      <c r="L197" s="899" t="str">
        <f>IF(G197&lt;&gt;0,VLOOKUP(G197,'gia dat'!$A$1:$F$144,6,0)," ")</f>
        <v xml:space="preserve"> </v>
      </c>
      <c r="M197" s="900" t="str">
        <f t="shared" si="33"/>
        <v xml:space="preserve"> </v>
      </c>
      <c r="N197" s="900" t="str">
        <f t="shared" si="34"/>
        <v xml:space="preserve"> </v>
      </c>
      <c r="O197" s="929"/>
      <c r="P197" s="951"/>
      <c r="Q197" s="900" t="str">
        <f>IF(O197&lt;&gt;0,VLOOKUP(O197,'Cây trong'!$A$2:$C$246,3,0)," ")</f>
        <v xml:space="preserve"> </v>
      </c>
      <c r="R197" s="900" t="str">
        <f t="shared" ref="R197:R266" si="44">IF(O197&lt;&gt;0,ROUND(P197*Q197,-2)," ")</f>
        <v xml:space="preserve"> </v>
      </c>
      <c r="S197" s="929"/>
      <c r="T197" s="929"/>
      <c r="U197" s="952"/>
      <c r="V197" s="925"/>
      <c r="W197" s="900" t="str">
        <f>IF(S197&lt;&gt;0,VLOOKUP(S197,VKT!$A$2:$G$415,7,0),"")</f>
        <v/>
      </c>
      <c r="X197" s="900" t="str">
        <f t="shared" si="31"/>
        <v xml:space="preserve"> </v>
      </c>
      <c r="Y197" s="925"/>
      <c r="Z197" s="925"/>
      <c r="AA197" s="925"/>
      <c r="AB197" s="898"/>
      <c r="AC197" s="925"/>
      <c r="AD197" s="925"/>
      <c r="AE197" s="925"/>
      <c r="AF197" s="964"/>
      <c r="AG197" s="906" t="str">
        <f>IF(AE197&lt;&gt;0,VLOOKUP(AE197,ODDS!$A$2:$C$13,3,0),"")</f>
        <v/>
      </c>
      <c r="AH197" s="906" t="str">
        <f t="shared" ref="AH197:AH266" si="45">IF(AE197&lt;&gt;0,ROUND(AF197*AG197,-2)," ")</f>
        <v xml:space="preserve"> </v>
      </c>
      <c r="AI197" s="907" t="str">
        <f t="shared" si="27"/>
        <v xml:space="preserve"> </v>
      </c>
      <c r="AJ197" s="929"/>
      <c r="AK197" s="929"/>
    </row>
    <row r="198" spans="1:37" s="376" customFormat="1" ht="22.5" outlineLevel="2" x14ac:dyDescent="0.3">
      <c r="A198" s="447">
        <f t="shared" si="43"/>
        <v>22</v>
      </c>
      <c r="B198" s="893"/>
      <c r="C198" s="894"/>
      <c r="D198" s="923"/>
      <c r="E198" s="923"/>
      <c r="F198" s="950"/>
      <c r="G198" s="894"/>
      <c r="H198" s="940"/>
      <c r="I198" s="882"/>
      <c r="J198" s="929"/>
      <c r="K198" s="899" t="str">
        <f>IF(G198&lt;&gt;0,VLOOKUP(G198,'gia dat'!$A$1:$F$144,5,0)," ")</f>
        <v xml:space="preserve"> </v>
      </c>
      <c r="L198" s="899" t="str">
        <f>IF(G198&lt;&gt;0,VLOOKUP(G198,'gia dat'!$A$1:$F$144,6,0)," ")</f>
        <v xml:space="preserve"> </v>
      </c>
      <c r="M198" s="900" t="str">
        <f t="shared" si="33"/>
        <v xml:space="preserve"> </v>
      </c>
      <c r="N198" s="900" t="str">
        <f t="shared" si="34"/>
        <v xml:space="preserve"> </v>
      </c>
      <c r="O198" s="929"/>
      <c r="P198" s="951"/>
      <c r="Q198" s="900" t="str">
        <f>IF(O198&lt;&gt;0,VLOOKUP(O198,'Cây trong'!$A$2:$C$246,3,0)," ")</f>
        <v xml:space="preserve"> </v>
      </c>
      <c r="R198" s="900" t="str">
        <f t="shared" si="44"/>
        <v xml:space="preserve"> </v>
      </c>
      <c r="S198" s="929"/>
      <c r="T198" s="929"/>
      <c r="U198" s="952"/>
      <c r="V198" s="925"/>
      <c r="W198" s="900" t="str">
        <f>IF(S198&lt;&gt;0,VLOOKUP(S198,VKT!$A$2:$G$415,7,0),"")</f>
        <v/>
      </c>
      <c r="X198" s="900" t="str">
        <f t="shared" si="31"/>
        <v xml:space="preserve"> </v>
      </c>
      <c r="Y198" s="925"/>
      <c r="Z198" s="925"/>
      <c r="AA198" s="925"/>
      <c r="AB198" s="898"/>
      <c r="AC198" s="925"/>
      <c r="AD198" s="925"/>
      <c r="AE198" s="925"/>
      <c r="AF198" s="964"/>
      <c r="AG198" s="906" t="str">
        <f>IF(AE198&lt;&gt;0,VLOOKUP(AE198,ODDS!$A$2:$C$13,3,0),"")</f>
        <v/>
      </c>
      <c r="AH198" s="906" t="str">
        <f t="shared" si="45"/>
        <v xml:space="preserve"> </v>
      </c>
      <c r="AI198" s="907" t="str">
        <f t="shared" si="27"/>
        <v xml:space="preserve"> </v>
      </c>
      <c r="AJ198" s="929"/>
      <c r="AK198" s="929"/>
    </row>
    <row r="199" spans="1:37" s="376" customFormat="1" ht="22.5" outlineLevel="2" x14ac:dyDescent="0.3">
      <c r="A199" s="447">
        <f t="shared" si="43"/>
        <v>22</v>
      </c>
      <c r="B199" s="893"/>
      <c r="C199" s="910"/>
      <c r="D199" s="923"/>
      <c r="E199" s="923"/>
      <c r="F199" s="896"/>
      <c r="G199" s="894"/>
      <c r="H199" s="924"/>
      <c r="I199" s="882"/>
      <c r="J199" s="925"/>
      <c r="K199" s="899" t="str">
        <f>IF(G199&lt;&gt;0,VLOOKUP(G199,'gia dat'!$A$1:$F$144,5,0)," ")</f>
        <v xml:space="preserve"> </v>
      </c>
      <c r="L199" s="899" t="str">
        <f>IF(G199&lt;&gt;0,VLOOKUP(G199,'gia dat'!$A$1:$F$144,6,0)," ")</f>
        <v xml:space="preserve"> </v>
      </c>
      <c r="M199" s="900" t="str">
        <f t="shared" si="33"/>
        <v xml:space="preserve"> </v>
      </c>
      <c r="N199" s="900" t="str">
        <f t="shared" si="34"/>
        <v xml:space="preserve"> </v>
      </c>
      <c r="O199" s="894"/>
      <c r="P199" s="926"/>
      <c r="Q199" s="900" t="str">
        <f>IF(O199&lt;&gt;0,VLOOKUP(O199,'Cây trong'!$A$2:$C$246,3,0)," ")</f>
        <v xml:space="preserve"> </v>
      </c>
      <c r="R199" s="900" t="str">
        <f t="shared" si="44"/>
        <v xml:space="preserve"> </v>
      </c>
      <c r="S199" s="902"/>
      <c r="T199" s="925"/>
      <c r="U199" s="927"/>
      <c r="V199" s="925"/>
      <c r="W199" s="900" t="str">
        <f>IF(S199&lt;&gt;0,VLOOKUP(S199,VKT!$A$2:$G$415,7,0),"")</f>
        <v/>
      </c>
      <c r="X199" s="900" t="str">
        <f t="shared" si="31"/>
        <v xml:space="preserve"> </v>
      </c>
      <c r="Y199" s="925"/>
      <c r="Z199" s="928"/>
      <c r="AA199" s="928"/>
      <c r="AB199" s="904"/>
      <c r="AC199" s="928"/>
      <c r="AD199" s="928"/>
      <c r="AE199" s="928"/>
      <c r="AF199" s="926"/>
      <c r="AG199" s="906" t="str">
        <f>IF(AE199&lt;&gt;0,VLOOKUP(AE199,ODDS!$A$2:$C$13,3,0),"")</f>
        <v/>
      </c>
      <c r="AH199" s="906" t="str">
        <f t="shared" si="45"/>
        <v xml:space="preserve"> </v>
      </c>
      <c r="AI199" s="907" t="str">
        <f t="shared" si="27"/>
        <v xml:space="preserve"> </v>
      </c>
      <c r="AJ199" s="929"/>
      <c r="AK199" s="929"/>
    </row>
    <row r="200" spans="1:37" s="376" customFormat="1" ht="43.5" outlineLevel="1" x14ac:dyDescent="0.25">
      <c r="A200" s="467" t="s">
        <v>2687</v>
      </c>
      <c r="B200" s="912">
        <v>23</v>
      </c>
      <c r="C200" s="910" t="s">
        <v>29</v>
      </c>
      <c r="D200" s="931"/>
      <c r="E200" s="931"/>
      <c r="F200" s="913"/>
      <c r="G200" s="910"/>
      <c r="H200" s="953">
        <f>SUBTOTAL(9,H201:H207)</f>
        <v>30.4</v>
      </c>
      <c r="I200" s="915">
        <f>SUBTOTAL(9,I201:I206)</f>
        <v>30.4</v>
      </c>
      <c r="J200" s="933"/>
      <c r="K200" s="917"/>
      <c r="L200" s="917"/>
      <c r="M200" s="907">
        <f>SUBTOTAL(9,M201:M207)</f>
        <v>16854000</v>
      </c>
      <c r="N200" s="907">
        <f>SUBTOTAL(9,N201:N207)</f>
        <v>50561000</v>
      </c>
      <c r="O200" s="910"/>
      <c r="P200" s="935">
        <f>SUBTOTAL(9,P201:P207)</f>
        <v>0</v>
      </c>
      <c r="Q200" s="907"/>
      <c r="R200" s="907">
        <f>SUBTOTAL(9,R201:R207)</f>
        <v>0</v>
      </c>
      <c r="S200" s="918"/>
      <c r="T200" s="933"/>
      <c r="U200" s="936">
        <f>SUBTOTAL(9,U201:U207)</f>
        <v>0</v>
      </c>
      <c r="V200" s="933"/>
      <c r="W200" s="907"/>
      <c r="X200" s="907">
        <f>SUBTOTAL(9,X201:X207)</f>
        <v>0</v>
      </c>
      <c r="Y200" s="925"/>
      <c r="Z200" s="928"/>
      <c r="AA200" s="928"/>
      <c r="AB200" s="904"/>
      <c r="AC200" s="928"/>
      <c r="AD200" s="928"/>
      <c r="AE200" s="969"/>
      <c r="AF200" s="935">
        <f>SUBTOTAL(9,AF201:AF207)</f>
        <v>0</v>
      </c>
      <c r="AG200" s="921"/>
      <c r="AH200" s="921">
        <f>SUBTOTAL(9,AH201:AH207)</f>
        <v>0</v>
      </c>
      <c r="AI200" s="907">
        <f t="shared" si="27"/>
        <v>67415000</v>
      </c>
      <c r="AJ200" s="910"/>
      <c r="AK200" s="914"/>
    </row>
    <row r="201" spans="1:37" s="376" customFormat="1" ht="135" outlineLevel="2" x14ac:dyDescent="0.3">
      <c r="A201" s="447">
        <f>IF(B200&lt;&gt;0,B200,A199)</f>
        <v>23</v>
      </c>
      <c r="B201" s="893"/>
      <c r="C201" s="894" t="s">
        <v>122</v>
      </c>
      <c r="D201" s="923">
        <v>8</v>
      </c>
      <c r="E201" s="923">
        <v>86</v>
      </c>
      <c r="F201" s="896">
        <v>702</v>
      </c>
      <c r="G201" s="894" t="s">
        <v>2892</v>
      </c>
      <c r="H201" s="924">
        <f>30.4-H202</f>
        <v>30.4</v>
      </c>
      <c r="I201" s="882">
        <f t="shared" ref="I201" si="46">IF(N201&gt;0,H201,"")</f>
        <v>30.4</v>
      </c>
      <c r="J201" s="925"/>
      <c r="K201" s="899">
        <f>IF(G201&lt;&gt;0,VLOOKUP(G201,'gia dat'!$A$1:$F$144,5,0)," ")</f>
        <v>554400</v>
      </c>
      <c r="L201" s="899">
        <f>IF(G201&lt;&gt;0,VLOOKUP(G201,'gia dat'!$A$1:$F$144,6,0)," ")</f>
        <v>1663200</v>
      </c>
      <c r="M201" s="900">
        <f t="shared" si="33"/>
        <v>16854000</v>
      </c>
      <c r="N201" s="900">
        <f t="shared" si="34"/>
        <v>50561000</v>
      </c>
      <c r="O201" s="894"/>
      <c r="P201" s="926"/>
      <c r="Q201" s="900" t="str">
        <f>IF(O201&lt;&gt;0,VLOOKUP(O201,'Cây trong'!$A$2:$C$246,3,0)," ")</f>
        <v xml:space="preserve"> </v>
      </c>
      <c r="R201" s="900" t="str">
        <f t="shared" si="44"/>
        <v xml:space="preserve"> </v>
      </c>
      <c r="S201" s="902"/>
      <c r="T201" s="925"/>
      <c r="U201" s="927"/>
      <c r="V201" s="925"/>
      <c r="W201" s="900" t="str">
        <f>IF(S201&lt;&gt;0,VLOOKUP(S201,VKT!$A$2:$G$415,7,0),"")</f>
        <v/>
      </c>
      <c r="X201" s="900" t="str">
        <f t="shared" si="31"/>
        <v xml:space="preserve"> </v>
      </c>
      <c r="Y201" s="925"/>
      <c r="Z201" s="928"/>
      <c r="AA201" s="928"/>
      <c r="AB201" s="904"/>
      <c r="AC201" s="928"/>
      <c r="AD201" s="928"/>
      <c r="AE201" s="941"/>
      <c r="AF201" s="926"/>
      <c r="AG201" s="906" t="str">
        <f>IF(AE201&lt;&gt;0,VLOOKUP(AE201,ODDS!$A$2:$C$13,3,0),"")</f>
        <v/>
      </c>
      <c r="AH201" s="906"/>
      <c r="AI201" s="907" t="str">
        <f t="shared" ref="AI201:AI264" si="47">IF(B201&lt;&gt;0,M201+N201+R201+X201+AH201," ")</f>
        <v xml:space="preserve"> </v>
      </c>
      <c r="AJ201" s="894" t="s">
        <v>1692</v>
      </c>
      <c r="AK201" s="922" t="s">
        <v>2771</v>
      </c>
    </row>
    <row r="202" spans="1:37" s="376" customFormat="1" ht="90" outlineLevel="2" x14ac:dyDescent="0.3">
      <c r="A202" s="447">
        <f t="shared" ref="A202:A207" si="48">IF(B201&lt;&gt;0,B201,A201)</f>
        <v>23</v>
      </c>
      <c r="B202" s="893"/>
      <c r="C202" s="894" t="s">
        <v>647</v>
      </c>
      <c r="D202" s="930"/>
      <c r="E202" s="931"/>
      <c r="F202" s="913"/>
      <c r="G202" s="894"/>
      <c r="H202" s="924"/>
      <c r="I202" s="882"/>
      <c r="J202" s="943"/>
      <c r="K202" s="899" t="str">
        <f>IF(G202&lt;&gt;0,VLOOKUP(G202,'gia dat'!$A$1:$F$144,5,0)," ")</f>
        <v xml:space="preserve"> </v>
      </c>
      <c r="L202" s="899" t="str">
        <f>IF(G202&lt;&gt;0,VLOOKUP(G202,'gia dat'!$A$1:$F$144,6,0)," ")</f>
        <v xml:space="preserve"> </v>
      </c>
      <c r="M202" s="900" t="str">
        <f t="shared" si="33"/>
        <v xml:space="preserve"> </v>
      </c>
      <c r="N202" s="900" t="str">
        <f t="shared" si="34"/>
        <v xml:space="preserve"> </v>
      </c>
      <c r="O202" s="914"/>
      <c r="P202" s="926"/>
      <c r="Q202" s="900" t="str">
        <f>IF(O202&lt;&gt;0,VLOOKUP(O202,'Cây trong'!$A$2:$C$246,3,0)," ")</f>
        <v xml:space="preserve"> </v>
      </c>
      <c r="R202" s="900" t="str">
        <f t="shared" si="44"/>
        <v xml:space="preserve"> </v>
      </c>
      <c r="S202" s="914"/>
      <c r="T202" s="956"/>
      <c r="U202" s="927"/>
      <c r="V202" s="933"/>
      <c r="W202" s="900" t="str">
        <f>IF(S202&lt;&gt;0,VLOOKUP(S202,VKT!$A$2:$G$415,7,0),"")</f>
        <v/>
      </c>
      <c r="X202" s="900" t="str">
        <f t="shared" si="31"/>
        <v xml:space="preserve"> </v>
      </c>
      <c r="Y202" s="916"/>
      <c r="Z202" s="937"/>
      <c r="AA202" s="937"/>
      <c r="AB202" s="920"/>
      <c r="AC202" s="937"/>
      <c r="AD202" s="937"/>
      <c r="AE202" s="937"/>
      <c r="AF202" s="935"/>
      <c r="AG202" s="906" t="str">
        <f>IF(AE202&lt;&gt;0,VLOOKUP(AE202,ODDS!$A$2:$C$13,3,0),"")</f>
        <v/>
      </c>
      <c r="AH202" s="906" t="str">
        <f t="shared" si="45"/>
        <v xml:space="preserve"> </v>
      </c>
      <c r="AI202" s="907" t="str">
        <f t="shared" si="47"/>
        <v xml:space="preserve"> </v>
      </c>
      <c r="AJ202" s="894" t="s">
        <v>450</v>
      </c>
      <c r="AK202" s="894" t="s">
        <v>2448</v>
      </c>
    </row>
    <row r="203" spans="1:37" s="376" customFormat="1" ht="45" outlineLevel="2" x14ac:dyDescent="0.3">
      <c r="A203" s="447">
        <f t="shared" si="48"/>
        <v>23</v>
      </c>
      <c r="B203" s="893"/>
      <c r="C203" s="908" t="s">
        <v>308</v>
      </c>
      <c r="D203" s="939"/>
      <c r="E203" s="923"/>
      <c r="F203" s="896"/>
      <c r="G203" s="894"/>
      <c r="H203" s="924"/>
      <c r="I203" s="882"/>
      <c r="J203" s="929"/>
      <c r="K203" s="899" t="str">
        <f>IF(G203&lt;&gt;0,VLOOKUP(G203,'gia dat'!$A$1:$F$144,5,0)," ")</f>
        <v xml:space="preserve"> </v>
      </c>
      <c r="L203" s="899" t="str">
        <f>IF(G203&lt;&gt;0,VLOOKUP(G203,'gia dat'!$A$1:$F$144,6,0)," ")</f>
        <v xml:space="preserve"> </v>
      </c>
      <c r="M203" s="900" t="str">
        <f t="shared" si="33"/>
        <v xml:space="preserve"> </v>
      </c>
      <c r="N203" s="900" t="str">
        <f t="shared" si="34"/>
        <v xml:space="preserve"> </v>
      </c>
      <c r="O203" s="922"/>
      <c r="P203" s="926"/>
      <c r="Q203" s="900" t="str">
        <f>IF(O203&lt;&gt;0,VLOOKUP(O203,'Cây trong'!$A$2:$C$246,3,0)," ")</f>
        <v xml:space="preserve"> </v>
      </c>
      <c r="R203" s="900" t="str">
        <f t="shared" si="44"/>
        <v xml:space="preserve"> </v>
      </c>
      <c r="S203" s="922"/>
      <c r="T203" s="944"/>
      <c r="U203" s="927"/>
      <c r="V203" s="925"/>
      <c r="W203" s="900" t="str">
        <f>IF(S203&lt;&gt;0,VLOOKUP(S203,VKT!$A$2:$G$415,7,0),"")</f>
        <v/>
      </c>
      <c r="X203" s="900" t="str">
        <f t="shared" si="31"/>
        <v xml:space="preserve"> </v>
      </c>
      <c r="Y203" s="898"/>
      <c r="Z203" s="928"/>
      <c r="AA203" s="928"/>
      <c r="AB203" s="904"/>
      <c r="AC203" s="928"/>
      <c r="AD203" s="928"/>
      <c r="AE203" s="928"/>
      <c r="AF203" s="926"/>
      <c r="AG203" s="906" t="str">
        <f>IF(AE203&lt;&gt;0,VLOOKUP(AE203,ODDS!$A$2:$C$13,3,0),"")</f>
        <v/>
      </c>
      <c r="AH203" s="906" t="str">
        <f t="shared" si="45"/>
        <v xml:space="preserve"> </v>
      </c>
      <c r="AI203" s="907" t="str">
        <f t="shared" si="47"/>
        <v xml:space="preserve"> </v>
      </c>
      <c r="AJ203" s="929" t="s">
        <v>451</v>
      </c>
      <c r="AK203" s="929"/>
    </row>
    <row r="204" spans="1:37" s="376" customFormat="1" ht="67.5" outlineLevel="2" x14ac:dyDescent="0.3">
      <c r="A204" s="447">
        <f t="shared" si="48"/>
        <v>23</v>
      </c>
      <c r="B204" s="893"/>
      <c r="C204" s="908"/>
      <c r="D204" s="923"/>
      <c r="E204" s="923"/>
      <c r="F204" s="950"/>
      <c r="G204" s="894"/>
      <c r="H204" s="940"/>
      <c r="I204" s="882"/>
      <c r="J204" s="929"/>
      <c r="K204" s="899" t="str">
        <f>IF(G204&lt;&gt;0,VLOOKUP(G204,'gia dat'!$A$1:$F$144,5,0)," ")</f>
        <v xml:space="preserve"> </v>
      </c>
      <c r="L204" s="899" t="str">
        <f>IF(G204&lt;&gt;0,VLOOKUP(G204,'gia dat'!$A$1:$F$144,6,0)," ")</f>
        <v xml:space="preserve"> </v>
      </c>
      <c r="M204" s="900" t="str">
        <f t="shared" si="33"/>
        <v xml:space="preserve"> </v>
      </c>
      <c r="N204" s="900" t="str">
        <f t="shared" si="34"/>
        <v xml:space="preserve"> </v>
      </c>
      <c r="O204" s="929"/>
      <c r="P204" s="951"/>
      <c r="Q204" s="900" t="str">
        <f>IF(O204&lt;&gt;0,VLOOKUP(O204,'Cây trong'!$A$2:$C$246,3,0)," ")</f>
        <v xml:space="preserve"> </v>
      </c>
      <c r="R204" s="900" t="str">
        <f t="shared" si="44"/>
        <v xml:space="preserve"> </v>
      </c>
      <c r="S204" s="929"/>
      <c r="T204" s="929"/>
      <c r="U204" s="952"/>
      <c r="V204" s="925"/>
      <c r="W204" s="900" t="str">
        <f>IF(S204&lt;&gt;0,VLOOKUP(S204,VKT!$A$2:$G$415,7,0),"")</f>
        <v/>
      </c>
      <c r="X204" s="900" t="str">
        <f t="shared" si="31"/>
        <v xml:space="preserve"> </v>
      </c>
      <c r="Y204" s="925"/>
      <c r="Z204" s="925"/>
      <c r="AA204" s="925"/>
      <c r="AB204" s="898"/>
      <c r="AC204" s="925"/>
      <c r="AD204" s="925"/>
      <c r="AE204" s="925"/>
      <c r="AF204" s="964"/>
      <c r="AG204" s="906" t="str">
        <f>IF(AE204&lt;&gt;0,VLOOKUP(AE204,ODDS!$A$2:$C$13,3,0),"")</f>
        <v/>
      </c>
      <c r="AH204" s="906" t="str">
        <f t="shared" si="45"/>
        <v xml:space="preserve"> </v>
      </c>
      <c r="AI204" s="907" t="str">
        <f t="shared" si="47"/>
        <v xml:space="preserve"> </v>
      </c>
      <c r="AJ204" s="894" t="s">
        <v>2074</v>
      </c>
      <c r="AK204" s="929"/>
    </row>
    <row r="205" spans="1:37" s="376" customFormat="1" ht="22.5" outlineLevel="2" x14ac:dyDescent="0.3">
      <c r="A205" s="447">
        <f t="shared" si="48"/>
        <v>23</v>
      </c>
      <c r="B205" s="893"/>
      <c r="C205" s="908"/>
      <c r="D205" s="923"/>
      <c r="E205" s="923"/>
      <c r="F205" s="950"/>
      <c r="G205" s="894"/>
      <c r="H205" s="940"/>
      <c r="I205" s="882"/>
      <c r="J205" s="929"/>
      <c r="K205" s="899" t="str">
        <f>IF(G205&lt;&gt;0,VLOOKUP(G205,'gia dat'!$A$1:$F$144,5,0)," ")</f>
        <v xml:space="preserve"> </v>
      </c>
      <c r="L205" s="899" t="str">
        <f>IF(G205&lt;&gt;0,VLOOKUP(G205,'gia dat'!$A$1:$F$144,6,0)," ")</f>
        <v xml:space="preserve"> </v>
      </c>
      <c r="M205" s="900" t="str">
        <f t="shared" si="33"/>
        <v xml:space="preserve"> </v>
      </c>
      <c r="N205" s="900" t="str">
        <f t="shared" si="34"/>
        <v xml:space="preserve"> </v>
      </c>
      <c r="O205" s="929"/>
      <c r="P205" s="951"/>
      <c r="Q205" s="900" t="str">
        <f>IF(O205&lt;&gt;0,VLOOKUP(O205,'Cây trong'!$A$2:$C$246,3,0)," ")</f>
        <v xml:space="preserve"> </v>
      </c>
      <c r="R205" s="900" t="str">
        <f t="shared" si="44"/>
        <v xml:space="preserve"> </v>
      </c>
      <c r="S205" s="929"/>
      <c r="T205" s="929"/>
      <c r="U205" s="952"/>
      <c r="V205" s="925"/>
      <c r="W205" s="900" t="str">
        <f>IF(S205&lt;&gt;0,VLOOKUP(S205,VKT!$A$2:$G$415,7,0),"")</f>
        <v/>
      </c>
      <c r="X205" s="900" t="str">
        <f t="shared" si="31"/>
        <v xml:space="preserve"> </v>
      </c>
      <c r="Y205" s="925"/>
      <c r="Z205" s="925"/>
      <c r="AA205" s="925"/>
      <c r="AB205" s="898"/>
      <c r="AC205" s="925"/>
      <c r="AD205" s="925"/>
      <c r="AE205" s="925"/>
      <c r="AF205" s="964"/>
      <c r="AG205" s="906" t="str">
        <f>IF(AE205&lt;&gt;0,VLOOKUP(AE205,ODDS!$A$2:$C$13,3,0),"")</f>
        <v/>
      </c>
      <c r="AH205" s="906" t="str">
        <f t="shared" si="45"/>
        <v xml:space="preserve"> </v>
      </c>
      <c r="AI205" s="907" t="str">
        <f t="shared" si="47"/>
        <v xml:space="preserve"> </v>
      </c>
      <c r="AJ205" s="929"/>
      <c r="AK205" s="929"/>
    </row>
    <row r="206" spans="1:37" s="376" customFormat="1" ht="22.5" outlineLevel="2" x14ac:dyDescent="0.3">
      <c r="A206" s="447">
        <f t="shared" si="48"/>
        <v>23</v>
      </c>
      <c r="B206" s="893"/>
      <c r="C206" s="908"/>
      <c r="D206" s="923"/>
      <c r="E206" s="923"/>
      <c r="F206" s="950"/>
      <c r="G206" s="894"/>
      <c r="H206" s="940"/>
      <c r="I206" s="882"/>
      <c r="J206" s="929"/>
      <c r="K206" s="899" t="str">
        <f>IF(G206&lt;&gt;0,VLOOKUP(G206,'gia dat'!$A$1:$F$144,5,0)," ")</f>
        <v xml:space="preserve"> </v>
      </c>
      <c r="L206" s="899" t="str">
        <f>IF(G206&lt;&gt;0,VLOOKUP(G206,'gia dat'!$A$1:$F$144,6,0)," ")</f>
        <v xml:space="preserve"> </v>
      </c>
      <c r="M206" s="900" t="str">
        <f t="shared" si="33"/>
        <v xml:space="preserve"> </v>
      </c>
      <c r="N206" s="900" t="str">
        <f t="shared" si="34"/>
        <v xml:space="preserve"> </v>
      </c>
      <c r="O206" s="929"/>
      <c r="P206" s="951"/>
      <c r="Q206" s="900" t="str">
        <f>IF(O206&lt;&gt;0,VLOOKUP(O206,'Cây trong'!$A$2:$C$246,3,0)," ")</f>
        <v xml:space="preserve"> </v>
      </c>
      <c r="R206" s="900" t="str">
        <f t="shared" si="44"/>
        <v xml:space="preserve"> </v>
      </c>
      <c r="S206" s="929"/>
      <c r="T206" s="929"/>
      <c r="U206" s="952"/>
      <c r="V206" s="925"/>
      <c r="W206" s="900" t="str">
        <f>IF(S206&lt;&gt;0,VLOOKUP(S206,VKT!$A$2:$G$415,7,0),"")</f>
        <v/>
      </c>
      <c r="X206" s="900" t="str">
        <f t="shared" si="31"/>
        <v xml:space="preserve"> </v>
      </c>
      <c r="Y206" s="925"/>
      <c r="Z206" s="925"/>
      <c r="AA206" s="925"/>
      <c r="AB206" s="898"/>
      <c r="AC206" s="925"/>
      <c r="AD206" s="925"/>
      <c r="AE206" s="925"/>
      <c r="AF206" s="964"/>
      <c r="AG206" s="906" t="str">
        <f>IF(AE206&lt;&gt;0,VLOOKUP(AE206,ODDS!$A$2:$C$13,3,0),"")</f>
        <v/>
      </c>
      <c r="AH206" s="906" t="str">
        <f t="shared" si="45"/>
        <v xml:space="preserve"> </v>
      </c>
      <c r="AI206" s="907" t="str">
        <f t="shared" si="47"/>
        <v xml:space="preserve"> </v>
      </c>
      <c r="AJ206" s="929"/>
      <c r="AK206" s="929"/>
    </row>
    <row r="207" spans="1:37" s="376" customFormat="1" ht="22.5" outlineLevel="2" x14ac:dyDescent="0.3">
      <c r="A207" s="447">
        <f t="shared" si="48"/>
        <v>23</v>
      </c>
      <c r="B207" s="893"/>
      <c r="C207" s="910"/>
      <c r="D207" s="939"/>
      <c r="E207" s="923"/>
      <c r="F207" s="896"/>
      <c r="G207" s="894"/>
      <c r="H207" s="924"/>
      <c r="I207" s="882"/>
      <c r="J207" s="929"/>
      <c r="K207" s="899" t="str">
        <f>IF(G207&lt;&gt;0,VLOOKUP(G207,'gia dat'!$A$1:$F$144,5,0)," ")</f>
        <v xml:space="preserve"> </v>
      </c>
      <c r="L207" s="899" t="str">
        <f>IF(G207&lt;&gt;0,VLOOKUP(G207,'gia dat'!$A$1:$F$144,6,0)," ")</f>
        <v xml:space="preserve"> </v>
      </c>
      <c r="M207" s="900" t="str">
        <f t="shared" si="33"/>
        <v xml:space="preserve"> </v>
      </c>
      <c r="N207" s="900" t="str">
        <f t="shared" si="34"/>
        <v xml:space="preserve"> </v>
      </c>
      <c r="O207" s="922"/>
      <c r="P207" s="965"/>
      <c r="Q207" s="900" t="str">
        <f>IF(O207&lt;&gt;0,VLOOKUP(O207,'Cây trong'!$A$2:$C$246,3,0)," ")</f>
        <v xml:space="preserve"> </v>
      </c>
      <c r="R207" s="900" t="str">
        <f t="shared" si="44"/>
        <v xml:space="preserve"> </v>
      </c>
      <c r="S207" s="922"/>
      <c r="T207" s="944"/>
      <c r="U207" s="927"/>
      <c r="V207" s="925"/>
      <c r="W207" s="900" t="str">
        <f>IF(S207&lt;&gt;0,VLOOKUP(S207,VKT!$A$2:$G$415,7,0),"")</f>
        <v/>
      </c>
      <c r="X207" s="900" t="str">
        <f t="shared" si="31"/>
        <v xml:space="preserve"> </v>
      </c>
      <c r="Y207" s="898"/>
      <c r="Z207" s="928"/>
      <c r="AA207" s="928"/>
      <c r="AB207" s="904"/>
      <c r="AC207" s="928"/>
      <c r="AD207" s="928"/>
      <c r="AE207" s="928"/>
      <c r="AF207" s="926"/>
      <c r="AG207" s="906" t="str">
        <f>IF(AE207&lt;&gt;0,VLOOKUP(AE207,ODDS!$A$2:$C$13,3,0),"")</f>
        <v/>
      </c>
      <c r="AH207" s="906" t="str">
        <f t="shared" si="45"/>
        <v xml:space="preserve"> </v>
      </c>
      <c r="AI207" s="907" t="str">
        <f t="shared" si="47"/>
        <v xml:space="preserve"> </v>
      </c>
      <c r="AJ207" s="929"/>
      <c r="AK207" s="929"/>
    </row>
    <row r="208" spans="1:37" s="376" customFormat="1" ht="43.5" outlineLevel="1" x14ac:dyDescent="0.25">
      <c r="A208" s="467" t="s">
        <v>2686</v>
      </c>
      <c r="B208" s="912">
        <v>24</v>
      </c>
      <c r="C208" s="910" t="s">
        <v>123</v>
      </c>
      <c r="D208" s="931"/>
      <c r="E208" s="931"/>
      <c r="F208" s="913"/>
      <c r="G208" s="910"/>
      <c r="H208" s="953">
        <f>SUBTOTAL(9,H209:H219)</f>
        <v>89.8</v>
      </c>
      <c r="I208" s="915">
        <f>SUBTOTAL(9,I209:I214)</f>
        <v>76</v>
      </c>
      <c r="J208" s="933"/>
      <c r="K208" s="917"/>
      <c r="L208" s="917"/>
      <c r="M208" s="907">
        <f>SUBTOTAL(9,M209:M219)</f>
        <v>97799000</v>
      </c>
      <c r="N208" s="907">
        <f>SUBTOTAL(9,N209:N219)</f>
        <v>126403000</v>
      </c>
      <c r="O208" s="934"/>
      <c r="P208" s="935">
        <f>SUBTOTAL(9,P209:P219)</f>
        <v>27</v>
      </c>
      <c r="Q208" s="907"/>
      <c r="R208" s="907">
        <f>SUBTOTAL(9,R209:R219)</f>
        <v>2067000</v>
      </c>
      <c r="S208" s="918"/>
      <c r="T208" s="933"/>
      <c r="U208" s="936">
        <f>SUBTOTAL(9,U209:U219)</f>
        <v>185.83999999999997</v>
      </c>
      <c r="V208" s="933"/>
      <c r="W208" s="907"/>
      <c r="X208" s="907">
        <f>SUBTOTAL(9,X209:X219)</f>
        <v>278148000</v>
      </c>
      <c r="Y208" s="925"/>
      <c r="Z208" s="928"/>
      <c r="AA208" s="928"/>
      <c r="AB208" s="904"/>
      <c r="AC208" s="928"/>
      <c r="AD208" s="904"/>
      <c r="AE208" s="920"/>
      <c r="AF208" s="917">
        <f>SUBTOTAL(9,AF209:AF219)</f>
        <v>0</v>
      </c>
      <c r="AG208" s="921"/>
      <c r="AH208" s="921">
        <f>SUBTOTAL(9,AH209:AH219)</f>
        <v>0</v>
      </c>
      <c r="AI208" s="907">
        <f t="shared" si="47"/>
        <v>504417000</v>
      </c>
      <c r="AJ208" s="910"/>
      <c r="AK208" s="914"/>
    </row>
    <row r="209" spans="1:37" s="376" customFormat="1" ht="135" outlineLevel="2" x14ac:dyDescent="0.3">
      <c r="A209" s="447">
        <f>IF(B208&lt;&gt;0,B208,A207)</f>
        <v>24</v>
      </c>
      <c r="B209" s="893"/>
      <c r="C209" s="894" t="s">
        <v>124</v>
      </c>
      <c r="D209" s="923">
        <v>4</v>
      </c>
      <c r="E209" s="923">
        <v>86</v>
      </c>
      <c r="F209" s="896">
        <v>1589</v>
      </c>
      <c r="G209" s="894" t="s">
        <v>2033</v>
      </c>
      <c r="H209" s="924">
        <v>13.8</v>
      </c>
      <c r="I209" s="882" t="str">
        <f t="shared" ref="I209:I211" si="49">IF(N209&gt;0,H209,"")</f>
        <v/>
      </c>
      <c r="J209" s="925"/>
      <c r="K209" s="899">
        <f>IF(G209&lt;&gt;0,VLOOKUP(G209,'gia dat'!$A$1:$F$144,5,0)," ")</f>
        <v>4033679.9999999995</v>
      </c>
      <c r="L209" s="899">
        <f>IF(G209&lt;&gt;0,VLOOKUP(G209,'gia dat'!$A$1:$F$144,6,0)," ")</f>
        <v>0</v>
      </c>
      <c r="M209" s="900">
        <f t="shared" si="33"/>
        <v>55665000</v>
      </c>
      <c r="N209" s="900">
        <f t="shared" si="34"/>
        <v>0</v>
      </c>
      <c r="O209" s="901" t="s">
        <v>730</v>
      </c>
      <c r="P209" s="926">
        <v>2</v>
      </c>
      <c r="Q209" s="900">
        <f>IF(O209&lt;&gt;0,VLOOKUP(O209,'Cây trong'!$A$2:$C$246,3,0)," ")</f>
        <v>390000</v>
      </c>
      <c r="R209" s="900">
        <f t="shared" si="44"/>
        <v>780000</v>
      </c>
      <c r="S209" s="902" t="s">
        <v>1820</v>
      </c>
      <c r="T209" s="925" t="s">
        <v>53</v>
      </c>
      <c r="U209" s="927">
        <v>33.32</v>
      </c>
      <c r="V209" s="925"/>
      <c r="W209" s="900">
        <f>IF(S209&lt;&gt;0,VLOOKUP(S209,VKT!$A$2:$G$415,7,0),"")</f>
        <v>5307665</v>
      </c>
      <c r="X209" s="900">
        <f t="shared" si="31"/>
        <v>176851000</v>
      </c>
      <c r="Y209" s="925" t="s">
        <v>63</v>
      </c>
      <c r="Z209" s="928" t="s">
        <v>55</v>
      </c>
      <c r="AA209" s="928" t="s">
        <v>56</v>
      </c>
      <c r="AB209" s="904" t="s">
        <v>57</v>
      </c>
      <c r="AC209" s="928" t="s">
        <v>63</v>
      </c>
      <c r="AD209" s="904" t="s">
        <v>430</v>
      </c>
      <c r="AE209" s="904"/>
      <c r="AF209" s="899"/>
      <c r="AG209" s="906" t="str">
        <f>IF(AE209&lt;&gt;0,VLOOKUP(AE209,ODDS!$A$2:$C$13,3,0),"")</f>
        <v/>
      </c>
      <c r="AH209" s="906"/>
      <c r="AI209" s="907" t="str">
        <f t="shared" si="47"/>
        <v xml:space="preserve"> </v>
      </c>
      <c r="AJ209" s="894" t="s">
        <v>648</v>
      </c>
      <c r="AK209" s="922" t="s">
        <v>2771</v>
      </c>
    </row>
    <row r="210" spans="1:37" s="376" customFormat="1" ht="157.5" outlineLevel="2" x14ac:dyDescent="0.3">
      <c r="A210" s="447">
        <f t="shared" ref="A210:A219" si="50">IF(B209&lt;&gt;0,B209,A209)</f>
        <v>24</v>
      </c>
      <c r="B210" s="893"/>
      <c r="C210" s="910" t="s">
        <v>125</v>
      </c>
      <c r="D210" s="923"/>
      <c r="E210" s="923">
        <v>86</v>
      </c>
      <c r="F210" s="896">
        <v>178</v>
      </c>
      <c r="G210" s="894" t="s">
        <v>2892</v>
      </c>
      <c r="H210" s="924">
        <v>39.799999999999997</v>
      </c>
      <c r="I210" s="882">
        <f t="shared" si="49"/>
        <v>39.799999999999997</v>
      </c>
      <c r="J210" s="925"/>
      <c r="K210" s="899">
        <f>IF(G210&lt;&gt;0,VLOOKUP(G210,'gia dat'!$A$1:$F$144,5,0)," ")</f>
        <v>554400</v>
      </c>
      <c r="L210" s="899">
        <f>IF(G210&lt;&gt;0,VLOOKUP(G210,'gia dat'!$A$1:$F$144,6,0)," ")</f>
        <v>1663200</v>
      </c>
      <c r="M210" s="900">
        <f t="shared" si="33"/>
        <v>22065000</v>
      </c>
      <c r="N210" s="900">
        <f t="shared" si="34"/>
        <v>66195000</v>
      </c>
      <c r="O210" s="901" t="s">
        <v>731</v>
      </c>
      <c r="P210" s="926">
        <v>1</v>
      </c>
      <c r="Q210" s="900">
        <f>IF(O210&lt;&gt;0,VLOOKUP(O210,'Cây trong'!$A$2:$C$246,3,0)," ")</f>
        <v>165000</v>
      </c>
      <c r="R210" s="900">
        <f t="shared" si="44"/>
        <v>165000</v>
      </c>
      <c r="S210" s="902" t="s">
        <v>2270</v>
      </c>
      <c r="T210" s="925" t="s">
        <v>53</v>
      </c>
      <c r="U210" s="927">
        <v>10.7</v>
      </c>
      <c r="V210" s="925"/>
      <c r="W210" s="900">
        <f>IF(S210&lt;&gt;0,VLOOKUP(S210,VKT!$A$2:$G$415,7,0),"")</f>
        <v>0</v>
      </c>
      <c r="X210" s="900">
        <f t="shared" si="31"/>
        <v>0</v>
      </c>
      <c r="Y210" s="925"/>
      <c r="Z210" s="928"/>
      <c r="AA210" s="928"/>
      <c r="AB210" s="904"/>
      <c r="AC210" s="928"/>
      <c r="AD210" s="928"/>
      <c r="AE210" s="928"/>
      <c r="AF210" s="926"/>
      <c r="AG210" s="906" t="str">
        <f>IF(AE210&lt;&gt;0,VLOOKUP(AE210,ODDS!$A$2:$C$13,3,0),"")</f>
        <v/>
      </c>
      <c r="AH210" s="906" t="str">
        <f t="shared" si="45"/>
        <v xml:space="preserve"> </v>
      </c>
      <c r="AI210" s="907" t="str">
        <f t="shared" si="47"/>
        <v xml:space="preserve"> </v>
      </c>
      <c r="AJ210" s="894" t="s">
        <v>452</v>
      </c>
      <c r="AK210" s="894" t="s">
        <v>2448</v>
      </c>
    </row>
    <row r="211" spans="1:37" s="376" customFormat="1" ht="135" outlineLevel="2" x14ac:dyDescent="0.3">
      <c r="A211" s="447">
        <f t="shared" si="50"/>
        <v>24</v>
      </c>
      <c r="B211" s="893"/>
      <c r="C211" s="894" t="s">
        <v>126</v>
      </c>
      <c r="D211" s="923"/>
      <c r="E211" s="923"/>
      <c r="F211" s="896"/>
      <c r="G211" s="894" t="s">
        <v>2898</v>
      </c>
      <c r="H211" s="924">
        <v>36.200000000000003</v>
      </c>
      <c r="I211" s="882">
        <f t="shared" si="49"/>
        <v>36.200000000000003</v>
      </c>
      <c r="J211" s="925"/>
      <c r="K211" s="899">
        <f>IF(G211&lt;&gt;0,VLOOKUP(G211,'gia dat'!$A$1:$F$144,5,0)," ")</f>
        <v>554400</v>
      </c>
      <c r="L211" s="899">
        <f>IF(G211&lt;&gt;0,VLOOKUP(G211,'gia dat'!$A$1:$F$144,6,0)," ")</f>
        <v>1663200</v>
      </c>
      <c r="M211" s="900">
        <f t="shared" si="33"/>
        <v>20069000</v>
      </c>
      <c r="N211" s="900">
        <f t="shared" si="34"/>
        <v>60208000</v>
      </c>
      <c r="O211" s="894" t="s">
        <v>729</v>
      </c>
      <c r="P211" s="926">
        <v>1</v>
      </c>
      <c r="Q211" s="900">
        <f>IF(O211&lt;&gt;0,VLOOKUP(O211,'Cây trong'!$A$2:$C$246,3,0)," ")</f>
        <v>150000</v>
      </c>
      <c r="R211" s="900">
        <f t="shared" si="44"/>
        <v>150000</v>
      </c>
      <c r="S211" s="902" t="s">
        <v>1799</v>
      </c>
      <c r="T211" s="925" t="s">
        <v>53</v>
      </c>
      <c r="U211" s="927">
        <v>7</v>
      </c>
      <c r="V211" s="925"/>
      <c r="W211" s="900">
        <f>IF(S211&lt;&gt;0,VLOOKUP(S211,VKT!$A$2:$G$415,7,0),"")</f>
        <v>275180</v>
      </c>
      <c r="X211" s="900">
        <f t="shared" si="31"/>
        <v>1926000</v>
      </c>
      <c r="Y211" s="925"/>
      <c r="Z211" s="928"/>
      <c r="AA211" s="928"/>
      <c r="AB211" s="904"/>
      <c r="AC211" s="928"/>
      <c r="AD211" s="928"/>
      <c r="AE211" s="928"/>
      <c r="AF211" s="926"/>
      <c r="AG211" s="906" t="str">
        <f>IF(AE211&lt;&gt;0,VLOOKUP(AE211,ODDS!$A$2:$C$13,3,0),"")</f>
        <v/>
      </c>
      <c r="AH211" s="906" t="str">
        <f t="shared" si="45"/>
        <v xml:space="preserve"> </v>
      </c>
      <c r="AI211" s="907" t="str">
        <f t="shared" si="47"/>
        <v xml:space="preserve"> </v>
      </c>
      <c r="AJ211" s="943" t="s">
        <v>111</v>
      </c>
      <c r="AK211" s="894" t="s">
        <v>2450</v>
      </c>
    </row>
    <row r="212" spans="1:37" s="376" customFormat="1" ht="157.5" outlineLevel="2" x14ac:dyDescent="0.3">
      <c r="A212" s="447">
        <f t="shared" si="50"/>
        <v>24</v>
      </c>
      <c r="B212" s="893"/>
      <c r="C212" s="894" t="s">
        <v>649</v>
      </c>
      <c r="D212" s="923"/>
      <c r="E212" s="923"/>
      <c r="F212" s="896"/>
      <c r="G212" s="894"/>
      <c r="H212" s="924"/>
      <c r="I212" s="882"/>
      <c r="J212" s="925"/>
      <c r="K212" s="899" t="str">
        <f>IF(G212&lt;&gt;0,VLOOKUP(G212,'gia dat'!$A$1:$F$144,5,0)," ")</f>
        <v xml:space="preserve"> </v>
      </c>
      <c r="L212" s="899" t="str">
        <f>IF(G212&lt;&gt;0,VLOOKUP(G212,'gia dat'!$A$1:$F$144,6,0)," ")</f>
        <v xml:space="preserve"> </v>
      </c>
      <c r="M212" s="900" t="str">
        <f t="shared" si="33"/>
        <v xml:space="preserve"> </v>
      </c>
      <c r="N212" s="900" t="str">
        <f t="shared" si="34"/>
        <v xml:space="preserve"> </v>
      </c>
      <c r="O212" s="894" t="s">
        <v>732</v>
      </c>
      <c r="P212" s="926">
        <v>1</v>
      </c>
      <c r="Q212" s="900">
        <f>IF(O212&lt;&gt;0,VLOOKUP(O212,'Cây trong'!$A$2:$C$246,3,0)," ")</f>
        <v>72000</v>
      </c>
      <c r="R212" s="900">
        <f t="shared" si="44"/>
        <v>72000</v>
      </c>
      <c r="S212" s="902" t="s">
        <v>2271</v>
      </c>
      <c r="T212" s="925" t="s">
        <v>53</v>
      </c>
      <c r="U212" s="927">
        <v>37.53</v>
      </c>
      <c r="V212" s="925"/>
      <c r="W212" s="900">
        <f>IF(S212&lt;&gt;0,VLOOKUP(S212,VKT!$A$2:$G$415,7,0),"")</f>
        <v>805811</v>
      </c>
      <c r="X212" s="900">
        <f t="shared" si="31"/>
        <v>30242000</v>
      </c>
      <c r="Y212" s="925"/>
      <c r="Z212" s="928"/>
      <c r="AA212" s="928"/>
      <c r="AB212" s="904"/>
      <c r="AC212" s="928"/>
      <c r="AD212" s="928"/>
      <c r="AE212" s="928"/>
      <c r="AF212" s="926"/>
      <c r="AG212" s="906" t="str">
        <f>IF(AE212&lt;&gt;0,VLOOKUP(AE212,ODDS!$A$2:$C$13,3,0),"")</f>
        <v/>
      </c>
      <c r="AH212" s="906" t="str">
        <f t="shared" si="45"/>
        <v xml:space="preserve"> </v>
      </c>
      <c r="AI212" s="907" t="str">
        <f t="shared" si="47"/>
        <v xml:space="preserve"> </v>
      </c>
      <c r="AJ212" s="894" t="s">
        <v>2042</v>
      </c>
      <c r="AK212" s="894" t="s">
        <v>2449</v>
      </c>
    </row>
    <row r="213" spans="1:37" s="376" customFormat="1" ht="135" outlineLevel="2" x14ac:dyDescent="0.3">
      <c r="A213" s="447">
        <f t="shared" si="50"/>
        <v>24</v>
      </c>
      <c r="B213" s="893"/>
      <c r="C213" s="894"/>
      <c r="D213" s="923"/>
      <c r="E213" s="923"/>
      <c r="F213" s="896"/>
      <c r="G213" s="894"/>
      <c r="H213" s="924"/>
      <c r="I213" s="882"/>
      <c r="J213" s="925"/>
      <c r="K213" s="899" t="str">
        <f>IF(G213&lt;&gt;0,VLOOKUP(G213,'gia dat'!$A$1:$F$144,5,0)," ")</f>
        <v xml:space="preserve"> </v>
      </c>
      <c r="L213" s="899" t="str">
        <f>IF(G213&lt;&gt;0,VLOOKUP(G213,'gia dat'!$A$1:$F$144,6,0)," ")</f>
        <v xml:space="preserve"> </v>
      </c>
      <c r="M213" s="900" t="str">
        <f t="shared" si="33"/>
        <v xml:space="preserve"> </v>
      </c>
      <c r="N213" s="900" t="str">
        <f t="shared" si="34"/>
        <v xml:space="preserve"> </v>
      </c>
      <c r="O213" s="894" t="s">
        <v>733</v>
      </c>
      <c r="P213" s="926">
        <v>1</v>
      </c>
      <c r="Q213" s="900">
        <f>IF(O213&lt;&gt;0,VLOOKUP(O213,'Cây trong'!$A$2:$C$246,3,0)," ")</f>
        <v>150000</v>
      </c>
      <c r="R213" s="900">
        <f t="shared" si="44"/>
        <v>150000</v>
      </c>
      <c r="S213" s="902" t="s">
        <v>2272</v>
      </c>
      <c r="T213" s="925" t="s">
        <v>53</v>
      </c>
      <c r="U213" s="927">
        <v>49.55</v>
      </c>
      <c r="V213" s="925"/>
      <c r="W213" s="900">
        <f>IF(S213&lt;&gt;0,VLOOKUP(S213,VKT!$A$2:$G$415,7,0),"")</f>
        <v>1067915</v>
      </c>
      <c r="X213" s="900">
        <f t="shared" si="31"/>
        <v>52915000</v>
      </c>
      <c r="Y213" s="925"/>
      <c r="Z213" s="928"/>
      <c r="AA213" s="928"/>
      <c r="AB213" s="904"/>
      <c r="AC213" s="928"/>
      <c r="AD213" s="928"/>
      <c r="AE213" s="928"/>
      <c r="AF213" s="926"/>
      <c r="AG213" s="906" t="str">
        <f>IF(AE213&lt;&gt;0,VLOOKUP(AE213,ODDS!$A$2:$C$13,3,0),"")</f>
        <v/>
      </c>
      <c r="AH213" s="906" t="str">
        <f t="shared" si="45"/>
        <v xml:space="preserve"> </v>
      </c>
      <c r="AI213" s="907" t="str">
        <f t="shared" si="47"/>
        <v xml:space="preserve"> </v>
      </c>
      <c r="AJ213" s="894" t="s">
        <v>457</v>
      </c>
      <c r="AK213" s="894" t="s">
        <v>2800</v>
      </c>
    </row>
    <row r="214" spans="1:37" s="376" customFormat="1" ht="67.5" outlineLevel="2" x14ac:dyDescent="0.3">
      <c r="A214" s="447">
        <f t="shared" si="50"/>
        <v>24</v>
      </c>
      <c r="B214" s="893"/>
      <c r="C214" s="942"/>
      <c r="D214" s="930"/>
      <c r="E214" s="931"/>
      <c r="F214" s="913"/>
      <c r="G214" s="910"/>
      <c r="H214" s="924"/>
      <c r="I214" s="882"/>
      <c r="J214" s="943"/>
      <c r="K214" s="899" t="str">
        <f>IF(G214&lt;&gt;0,VLOOKUP(G214,'gia dat'!$A$1:$F$144,5,0)," ")</f>
        <v xml:space="preserve"> </v>
      </c>
      <c r="L214" s="899" t="str">
        <f>IF(G214&lt;&gt;0,VLOOKUP(G214,'gia dat'!$A$1:$F$144,6,0)," ")</f>
        <v xml:space="preserve"> </v>
      </c>
      <c r="M214" s="900" t="str">
        <f t="shared" si="33"/>
        <v xml:space="preserve"> </v>
      </c>
      <c r="N214" s="900" t="str">
        <f t="shared" si="34"/>
        <v xml:space="preserve"> </v>
      </c>
      <c r="O214" s="922" t="s">
        <v>734</v>
      </c>
      <c r="P214" s="926">
        <v>1</v>
      </c>
      <c r="Q214" s="900">
        <f>IF(O214&lt;&gt;0,VLOOKUP(O214,'Cây trong'!$A$2:$C$246,3,0)," ")</f>
        <v>150000</v>
      </c>
      <c r="R214" s="900">
        <f t="shared" si="44"/>
        <v>150000</v>
      </c>
      <c r="S214" s="922" t="s">
        <v>2273</v>
      </c>
      <c r="T214" s="944" t="s">
        <v>53</v>
      </c>
      <c r="U214" s="927">
        <v>46.3</v>
      </c>
      <c r="V214" s="933"/>
      <c r="W214" s="900">
        <f>IF(S214&lt;&gt;0,VLOOKUP(S214,VKT!$A$2:$G$415,7,0),"")</f>
        <v>334749</v>
      </c>
      <c r="X214" s="900">
        <f t="shared" si="31"/>
        <v>15499000</v>
      </c>
      <c r="Y214" s="916"/>
      <c r="Z214" s="937"/>
      <c r="AA214" s="937"/>
      <c r="AB214" s="920"/>
      <c r="AC214" s="937"/>
      <c r="AD214" s="937"/>
      <c r="AE214" s="937"/>
      <c r="AF214" s="935"/>
      <c r="AG214" s="906" t="str">
        <f>IF(AE214&lt;&gt;0,VLOOKUP(AE214,ODDS!$A$2:$C$13,3,0),"")</f>
        <v/>
      </c>
      <c r="AH214" s="906" t="str">
        <f t="shared" si="45"/>
        <v xml:space="preserve"> </v>
      </c>
      <c r="AI214" s="907" t="str">
        <f t="shared" si="47"/>
        <v xml:space="preserve"> </v>
      </c>
      <c r="AJ214" s="894" t="s">
        <v>2074</v>
      </c>
      <c r="AK214" s="929"/>
    </row>
    <row r="215" spans="1:37" s="376" customFormat="1" ht="112.5" outlineLevel="2" x14ac:dyDescent="0.35">
      <c r="A215" s="447">
        <f t="shared" si="50"/>
        <v>24</v>
      </c>
      <c r="B215" s="893"/>
      <c r="C215" s="908"/>
      <c r="D215" s="939"/>
      <c r="E215" s="923"/>
      <c r="F215" s="896"/>
      <c r="G215" s="894"/>
      <c r="H215" s="924"/>
      <c r="I215" s="882"/>
      <c r="J215" s="929"/>
      <c r="K215" s="899" t="str">
        <f>IF(G215&lt;&gt;0,VLOOKUP(G215,'gia dat'!$A$1:$F$144,5,0)," ")</f>
        <v xml:space="preserve"> </v>
      </c>
      <c r="L215" s="899" t="str">
        <f>IF(G215&lt;&gt;0,VLOOKUP(G215,'gia dat'!$A$1:$F$144,6,0)," ")</f>
        <v xml:space="preserve"> </v>
      </c>
      <c r="M215" s="900" t="str">
        <f t="shared" si="33"/>
        <v xml:space="preserve"> </v>
      </c>
      <c r="N215" s="900" t="str">
        <f t="shared" si="34"/>
        <v xml:space="preserve"> </v>
      </c>
      <c r="O215" s="922" t="s">
        <v>409</v>
      </c>
      <c r="P215" s="926">
        <v>8</v>
      </c>
      <c r="Q215" s="900">
        <f>IF(O215&lt;&gt;0,VLOOKUP(O215,'Cây trong'!$A$2:$C$246,3,0)," ")</f>
        <v>72000</v>
      </c>
      <c r="R215" s="900">
        <f t="shared" si="44"/>
        <v>576000</v>
      </c>
      <c r="S215" s="922" t="s">
        <v>2274</v>
      </c>
      <c r="T215" s="944" t="s">
        <v>53</v>
      </c>
      <c r="U215" s="927">
        <v>1.44</v>
      </c>
      <c r="V215" s="925"/>
      <c r="W215" s="900">
        <f>IF(S215&lt;&gt;0,VLOOKUP(S215,VKT!$A$2:$G$415,7,0),"")</f>
        <v>496651</v>
      </c>
      <c r="X215" s="900">
        <f t="shared" si="31"/>
        <v>715000</v>
      </c>
      <c r="Y215" s="898"/>
      <c r="Z215" s="928"/>
      <c r="AA215" s="928"/>
      <c r="AB215" s="904"/>
      <c r="AC215" s="928"/>
      <c r="AD215" s="928"/>
      <c r="AE215" s="928"/>
      <c r="AF215" s="926"/>
      <c r="AG215" s="906" t="str">
        <f>IF(AE215&lt;&gt;0,VLOOKUP(AE215,ODDS!$A$2:$C$13,3,0),"")</f>
        <v/>
      </c>
      <c r="AH215" s="906" t="str">
        <f t="shared" si="45"/>
        <v xml:space="preserve"> </v>
      </c>
      <c r="AI215" s="907" t="str">
        <f t="shared" si="47"/>
        <v xml:space="preserve"> </v>
      </c>
      <c r="AJ215" s="911"/>
      <c r="AK215" s="929"/>
    </row>
    <row r="216" spans="1:37" s="376" customFormat="1" ht="112.5" outlineLevel="2" x14ac:dyDescent="0.3">
      <c r="A216" s="447">
        <f t="shared" si="50"/>
        <v>24</v>
      </c>
      <c r="B216" s="893"/>
      <c r="C216" s="908"/>
      <c r="D216" s="923"/>
      <c r="E216" s="947"/>
      <c r="F216" s="947"/>
      <c r="G216" s="922"/>
      <c r="H216" s="924"/>
      <c r="I216" s="882"/>
      <c r="J216" s="929"/>
      <c r="K216" s="899" t="str">
        <f>IF(G216&lt;&gt;0,VLOOKUP(G216,'gia dat'!$A$1:$F$144,5,0)," ")</f>
        <v xml:space="preserve"> </v>
      </c>
      <c r="L216" s="899" t="str">
        <f>IF(G216&lt;&gt;0,VLOOKUP(G216,'gia dat'!$A$1:$F$144,6,0)," ")</f>
        <v xml:space="preserve"> </v>
      </c>
      <c r="M216" s="900" t="str">
        <f t="shared" si="33"/>
        <v xml:space="preserve"> </v>
      </c>
      <c r="N216" s="900" t="str">
        <f t="shared" si="34"/>
        <v xml:space="preserve"> </v>
      </c>
      <c r="O216" s="922" t="s">
        <v>719</v>
      </c>
      <c r="P216" s="926">
        <v>12</v>
      </c>
      <c r="Q216" s="900">
        <f>IF(O216&lt;&gt;0,VLOOKUP(O216,'Cây trong'!$A$2:$C$246,3,0)," ")</f>
        <v>2000</v>
      </c>
      <c r="R216" s="900">
        <f t="shared" si="44"/>
        <v>24000</v>
      </c>
      <c r="S216" s="922"/>
      <c r="T216" s="944"/>
      <c r="U216" s="927"/>
      <c r="V216" s="925"/>
      <c r="W216" s="900" t="str">
        <f>IF(S216&lt;&gt;0,VLOOKUP(S216,VKT!$A$2:$G$415,7,0),"")</f>
        <v/>
      </c>
      <c r="X216" s="900" t="str">
        <f t="shared" si="31"/>
        <v xml:space="preserve"> </v>
      </c>
      <c r="Y216" s="925"/>
      <c r="Z216" s="928"/>
      <c r="AA216" s="928"/>
      <c r="AB216" s="904"/>
      <c r="AC216" s="928"/>
      <c r="AD216" s="928"/>
      <c r="AE216" s="928"/>
      <c r="AF216" s="926"/>
      <c r="AG216" s="906" t="str">
        <f>IF(AE216&lt;&gt;0,VLOOKUP(AE216,ODDS!$A$2:$C$13,3,0),"")</f>
        <v/>
      </c>
      <c r="AH216" s="906" t="str">
        <f t="shared" si="45"/>
        <v xml:space="preserve"> </v>
      </c>
      <c r="AI216" s="907" t="str">
        <f t="shared" si="47"/>
        <v xml:space="preserve"> </v>
      </c>
      <c r="AJ216" s="929"/>
      <c r="AK216" s="929"/>
    </row>
    <row r="217" spans="1:37" s="376" customFormat="1" ht="22.5" outlineLevel="2" x14ac:dyDescent="0.3">
      <c r="A217" s="447">
        <f t="shared" si="50"/>
        <v>24</v>
      </c>
      <c r="B217" s="893"/>
      <c r="C217" s="908"/>
      <c r="D217" s="923"/>
      <c r="E217" s="923"/>
      <c r="F217" s="950"/>
      <c r="G217" s="894"/>
      <c r="H217" s="940"/>
      <c r="I217" s="882"/>
      <c r="J217" s="929"/>
      <c r="K217" s="899" t="str">
        <f>IF(G217&lt;&gt;0,VLOOKUP(G217,'gia dat'!$A$1:$F$144,5,0)," ")</f>
        <v xml:space="preserve"> </v>
      </c>
      <c r="L217" s="899" t="str">
        <f>IF(G217&lt;&gt;0,VLOOKUP(G217,'gia dat'!$A$1:$F$144,6,0)," ")</f>
        <v xml:space="preserve"> </v>
      </c>
      <c r="M217" s="900" t="str">
        <f t="shared" si="33"/>
        <v xml:space="preserve"> </v>
      </c>
      <c r="N217" s="900" t="str">
        <f t="shared" si="34"/>
        <v xml:space="preserve"> </v>
      </c>
      <c r="O217" s="929"/>
      <c r="P217" s="951"/>
      <c r="Q217" s="900" t="str">
        <f>IF(O217&lt;&gt;0,VLOOKUP(O217,'Cây trong'!$A$2:$C$246,3,0)," ")</f>
        <v xml:space="preserve"> </v>
      </c>
      <c r="R217" s="900" t="str">
        <f t="shared" si="44"/>
        <v xml:space="preserve"> </v>
      </c>
      <c r="S217" s="929"/>
      <c r="T217" s="929"/>
      <c r="U217" s="952"/>
      <c r="V217" s="925"/>
      <c r="W217" s="900" t="str">
        <f>IF(S217&lt;&gt;0,VLOOKUP(S217,VKT!$A$2:$G$415,7,0),"")</f>
        <v/>
      </c>
      <c r="X217" s="900" t="str">
        <f t="shared" si="31"/>
        <v xml:space="preserve"> </v>
      </c>
      <c r="Y217" s="925"/>
      <c r="Z217" s="925"/>
      <c r="AA217" s="925"/>
      <c r="AB217" s="898"/>
      <c r="AC217" s="925"/>
      <c r="AD217" s="925"/>
      <c r="AE217" s="925"/>
      <c r="AF217" s="964"/>
      <c r="AG217" s="906" t="str">
        <f>IF(AE217&lt;&gt;0,VLOOKUP(AE217,ODDS!$A$2:$C$13,3,0),"")</f>
        <v/>
      </c>
      <c r="AH217" s="906" t="str">
        <f t="shared" si="45"/>
        <v xml:space="preserve"> </v>
      </c>
      <c r="AI217" s="907" t="str">
        <f t="shared" si="47"/>
        <v xml:space="preserve"> </v>
      </c>
      <c r="AJ217" s="929"/>
      <c r="AK217" s="929"/>
    </row>
    <row r="218" spans="1:37" s="376" customFormat="1" ht="22.5" outlineLevel="2" x14ac:dyDescent="0.3">
      <c r="A218" s="447">
        <f t="shared" si="50"/>
        <v>24</v>
      </c>
      <c r="B218" s="893"/>
      <c r="C218" s="894"/>
      <c r="D218" s="923"/>
      <c r="E218" s="947"/>
      <c r="F218" s="947"/>
      <c r="G218" s="922"/>
      <c r="H218" s="924"/>
      <c r="I218" s="882"/>
      <c r="J218" s="929"/>
      <c r="K218" s="899" t="str">
        <f>IF(G218&lt;&gt;0,VLOOKUP(G218,'gia dat'!$A$1:$F$144,5,0)," ")</f>
        <v xml:space="preserve"> </v>
      </c>
      <c r="L218" s="899" t="str">
        <f>IF(G218&lt;&gt;0,VLOOKUP(G218,'gia dat'!$A$1:$F$144,6,0)," ")</f>
        <v xml:space="preserve"> </v>
      </c>
      <c r="M218" s="900" t="str">
        <f t="shared" si="33"/>
        <v xml:space="preserve"> </v>
      </c>
      <c r="N218" s="900" t="str">
        <f t="shared" si="34"/>
        <v xml:space="preserve"> </v>
      </c>
      <c r="O218" s="922"/>
      <c r="P218" s="926"/>
      <c r="Q218" s="900" t="str">
        <f>IF(O218&lt;&gt;0,VLOOKUP(O218,'Cây trong'!$A$2:$C$246,3,0)," ")</f>
        <v xml:space="preserve"> </v>
      </c>
      <c r="R218" s="900" t="str">
        <f t="shared" si="44"/>
        <v xml:space="preserve"> </v>
      </c>
      <c r="S218" s="922"/>
      <c r="T218" s="944"/>
      <c r="U218" s="927"/>
      <c r="V218" s="925"/>
      <c r="W218" s="900" t="str">
        <f>IF(S218&lt;&gt;0,VLOOKUP(S218,VKT!$A$2:$G$415,7,0),"")</f>
        <v/>
      </c>
      <c r="X218" s="900" t="str">
        <f t="shared" si="31"/>
        <v xml:space="preserve"> </v>
      </c>
      <c r="Y218" s="925"/>
      <c r="Z218" s="928"/>
      <c r="AA218" s="928"/>
      <c r="AB218" s="904"/>
      <c r="AC218" s="928"/>
      <c r="AD218" s="928"/>
      <c r="AE218" s="928"/>
      <c r="AF218" s="926"/>
      <c r="AG218" s="906" t="str">
        <f>IF(AE218&lt;&gt;0,VLOOKUP(AE218,ODDS!$A$2:$C$13,3,0),"")</f>
        <v/>
      </c>
      <c r="AH218" s="906" t="str">
        <f t="shared" si="45"/>
        <v xml:space="preserve"> </v>
      </c>
      <c r="AI218" s="907" t="str">
        <f t="shared" si="47"/>
        <v xml:space="preserve"> </v>
      </c>
      <c r="AJ218" s="929"/>
      <c r="AK218" s="929"/>
    </row>
    <row r="219" spans="1:37" s="376" customFormat="1" ht="22.5" outlineLevel="2" x14ac:dyDescent="0.3">
      <c r="A219" s="447">
        <f t="shared" si="50"/>
        <v>24</v>
      </c>
      <c r="B219" s="893"/>
      <c r="C219" s="910"/>
      <c r="D219" s="923"/>
      <c r="E219" s="923"/>
      <c r="F219" s="896"/>
      <c r="G219" s="894"/>
      <c r="H219" s="924"/>
      <c r="I219" s="882"/>
      <c r="J219" s="925"/>
      <c r="K219" s="899" t="str">
        <f>IF(G219&lt;&gt;0,VLOOKUP(G219,'gia dat'!$A$1:$F$144,5,0)," ")</f>
        <v xml:space="preserve"> </v>
      </c>
      <c r="L219" s="899" t="str">
        <f>IF(G219&lt;&gt;0,VLOOKUP(G219,'gia dat'!$A$1:$F$144,6,0)," ")</f>
        <v xml:space="preserve"> </v>
      </c>
      <c r="M219" s="900" t="str">
        <f t="shared" si="33"/>
        <v xml:space="preserve"> </v>
      </c>
      <c r="N219" s="900" t="str">
        <f t="shared" si="34"/>
        <v xml:space="preserve"> </v>
      </c>
      <c r="O219" s="901"/>
      <c r="P219" s="926"/>
      <c r="Q219" s="900" t="str">
        <f>IF(O219&lt;&gt;0,VLOOKUP(O219,'Cây trong'!$A$2:$C$246,3,0)," ")</f>
        <v xml:space="preserve"> </v>
      </c>
      <c r="R219" s="900" t="str">
        <f t="shared" si="44"/>
        <v xml:space="preserve"> </v>
      </c>
      <c r="S219" s="902"/>
      <c r="T219" s="925"/>
      <c r="U219" s="927"/>
      <c r="V219" s="925"/>
      <c r="W219" s="900" t="str">
        <f>IF(S219&lt;&gt;0,VLOOKUP(S219,VKT!$A$2:$G$415,7,0),"")</f>
        <v/>
      </c>
      <c r="X219" s="900" t="str">
        <f t="shared" si="31"/>
        <v xml:space="preserve"> </v>
      </c>
      <c r="Y219" s="925"/>
      <c r="Z219" s="928"/>
      <c r="AA219" s="928"/>
      <c r="AB219" s="904"/>
      <c r="AC219" s="928"/>
      <c r="AD219" s="928"/>
      <c r="AE219" s="928"/>
      <c r="AF219" s="926"/>
      <c r="AG219" s="906" t="str">
        <f>IF(AE219&lt;&gt;0,VLOOKUP(AE219,ODDS!$A$2:$C$13,3,0),"")</f>
        <v/>
      </c>
      <c r="AH219" s="906" t="str">
        <f t="shared" si="45"/>
        <v xml:space="preserve"> </v>
      </c>
      <c r="AI219" s="907" t="str">
        <f t="shared" si="47"/>
        <v xml:space="preserve"> </v>
      </c>
      <c r="AJ219" s="894"/>
      <c r="AK219" s="894"/>
    </row>
    <row r="220" spans="1:37" s="376" customFormat="1" ht="43.5" outlineLevel="1" x14ac:dyDescent="0.25">
      <c r="A220" s="467" t="s">
        <v>2685</v>
      </c>
      <c r="B220" s="912">
        <v>25</v>
      </c>
      <c r="C220" s="910" t="s">
        <v>123</v>
      </c>
      <c r="D220" s="931"/>
      <c r="E220" s="931"/>
      <c r="F220" s="913"/>
      <c r="G220" s="910"/>
      <c r="H220" s="953">
        <f>SUBTOTAL(9,H221:H227)</f>
        <v>25.9</v>
      </c>
      <c r="I220" s="915">
        <f>SUBTOTAL(9,I221:I226)</f>
        <v>0</v>
      </c>
      <c r="J220" s="943"/>
      <c r="K220" s="917"/>
      <c r="L220" s="917"/>
      <c r="M220" s="907">
        <f>SUBTOTAL(9,M221:M227)</f>
        <v>104472000</v>
      </c>
      <c r="N220" s="907">
        <f>SUBTOTAL(9,N221:N227)</f>
        <v>0</v>
      </c>
      <c r="O220" s="914"/>
      <c r="P220" s="935">
        <f>SUBTOTAL(9,P221:P227)</f>
        <v>0</v>
      </c>
      <c r="Q220" s="907"/>
      <c r="R220" s="907">
        <f>SUBTOTAL(9,R221:R227)</f>
        <v>0</v>
      </c>
      <c r="S220" s="914"/>
      <c r="T220" s="956"/>
      <c r="U220" s="936">
        <f>SUBTOTAL(9,U221:U227)</f>
        <v>0</v>
      </c>
      <c r="V220" s="957"/>
      <c r="W220" s="907"/>
      <c r="X220" s="907">
        <f>SUBTOTAL(9,X221:X227)</f>
        <v>0</v>
      </c>
      <c r="Y220" s="898"/>
      <c r="Z220" s="928"/>
      <c r="AA220" s="928"/>
      <c r="AB220" s="904"/>
      <c r="AC220" s="928"/>
      <c r="AD220" s="928"/>
      <c r="AE220" s="937"/>
      <c r="AF220" s="935">
        <f>SUBTOTAL(9,AF221:AF227)</f>
        <v>0</v>
      </c>
      <c r="AG220" s="921"/>
      <c r="AH220" s="921">
        <f>SUBTOTAL(9,AH221:AH227)</f>
        <v>0</v>
      </c>
      <c r="AI220" s="907">
        <f t="shared" si="47"/>
        <v>104472000</v>
      </c>
      <c r="AJ220" s="914"/>
      <c r="AK220" s="914"/>
    </row>
    <row r="221" spans="1:37" s="376" customFormat="1" ht="135" outlineLevel="2" x14ac:dyDescent="0.3">
      <c r="A221" s="447">
        <f>IF(B220&lt;&gt;0,B220,A219)</f>
        <v>25</v>
      </c>
      <c r="B221" s="893"/>
      <c r="C221" s="894" t="s">
        <v>124</v>
      </c>
      <c r="D221" s="931"/>
      <c r="E221" s="923">
        <v>86</v>
      </c>
      <c r="F221" s="896" t="s">
        <v>459</v>
      </c>
      <c r="G221" s="894" t="s">
        <v>2033</v>
      </c>
      <c r="H221" s="924">
        <v>25.9</v>
      </c>
      <c r="I221" s="882" t="str">
        <f t="shared" ref="I221" si="51">IF(N221&gt;0,H221,"")</f>
        <v/>
      </c>
      <c r="J221" s="929"/>
      <c r="K221" s="899">
        <f>IF(G221&lt;&gt;0,VLOOKUP(G221,'gia dat'!$A$1:$F$144,5,0)," ")</f>
        <v>4033679.9999999995</v>
      </c>
      <c r="L221" s="899">
        <f>IF(G221&lt;&gt;0,VLOOKUP(G221,'gia dat'!$A$1:$F$144,6,0)," ")</f>
        <v>0</v>
      </c>
      <c r="M221" s="900">
        <f t="shared" si="33"/>
        <v>104472000</v>
      </c>
      <c r="N221" s="900">
        <f t="shared" si="34"/>
        <v>0</v>
      </c>
      <c r="O221" s="922"/>
      <c r="P221" s="926"/>
      <c r="Q221" s="900" t="str">
        <f>IF(O221&lt;&gt;0,VLOOKUP(O221,'Cây trong'!$A$2:$C$246,3,0)," ")</f>
        <v xml:space="preserve"> </v>
      </c>
      <c r="R221" s="900" t="str">
        <f t="shared" si="44"/>
        <v xml:space="preserve"> </v>
      </c>
      <c r="S221" s="922"/>
      <c r="T221" s="944"/>
      <c r="U221" s="927"/>
      <c r="V221" s="946"/>
      <c r="W221" s="900" t="str">
        <f>IF(S221&lt;&gt;0,VLOOKUP(S221,VKT!$A$2:$G$415,7,0),"")</f>
        <v/>
      </c>
      <c r="X221" s="900" t="str">
        <f t="shared" si="31"/>
        <v xml:space="preserve"> </v>
      </c>
      <c r="Y221" s="898"/>
      <c r="Z221" s="928"/>
      <c r="AA221" s="928"/>
      <c r="AB221" s="904"/>
      <c r="AC221" s="928"/>
      <c r="AD221" s="928"/>
      <c r="AE221" s="928"/>
      <c r="AF221" s="926"/>
      <c r="AG221" s="906" t="str">
        <f>IF(AE221&lt;&gt;0,VLOOKUP(AE221,ODDS!$A$2:$C$13,3,0),"")</f>
        <v/>
      </c>
      <c r="AH221" s="906" t="str">
        <f t="shared" si="45"/>
        <v xml:space="preserve"> </v>
      </c>
      <c r="AI221" s="907" t="str">
        <f t="shared" si="47"/>
        <v xml:space="preserve"> </v>
      </c>
      <c r="AJ221" s="922" t="s">
        <v>650</v>
      </c>
      <c r="AK221" s="922"/>
    </row>
    <row r="222" spans="1:37" s="376" customFormat="1" ht="90" outlineLevel="2" x14ac:dyDescent="0.3">
      <c r="A222" s="447">
        <f t="shared" ref="A222:A227" si="52">IF(B221&lt;&gt;0,B221,A221)</f>
        <v>25</v>
      </c>
      <c r="B222" s="893"/>
      <c r="C222" s="894" t="s">
        <v>649</v>
      </c>
      <c r="D222" s="939"/>
      <c r="E222" s="947"/>
      <c r="F222" s="947"/>
      <c r="G222" s="922"/>
      <c r="H222" s="924"/>
      <c r="I222" s="882"/>
      <c r="J222" s="929"/>
      <c r="K222" s="899" t="str">
        <f>IF(G222&lt;&gt;0,VLOOKUP(G222,'gia dat'!$A$1:$F$144,5,0)," ")</f>
        <v xml:space="preserve"> </v>
      </c>
      <c r="L222" s="899" t="str">
        <f>IF(G222&lt;&gt;0,VLOOKUP(G222,'gia dat'!$A$1:$F$144,6,0)," ")</f>
        <v xml:space="preserve"> </v>
      </c>
      <c r="M222" s="900" t="str">
        <f t="shared" si="33"/>
        <v xml:space="preserve"> </v>
      </c>
      <c r="N222" s="900" t="str">
        <f t="shared" si="34"/>
        <v xml:space="preserve"> </v>
      </c>
      <c r="O222" s="922"/>
      <c r="P222" s="926"/>
      <c r="Q222" s="900" t="str">
        <f>IF(O222&lt;&gt;0,VLOOKUP(O222,'Cây trong'!$A$2:$C$246,3,0)," ")</f>
        <v xml:space="preserve"> </v>
      </c>
      <c r="R222" s="900" t="str">
        <f t="shared" si="44"/>
        <v xml:space="preserve"> </v>
      </c>
      <c r="S222" s="922"/>
      <c r="T222" s="944"/>
      <c r="U222" s="927"/>
      <c r="V222" s="946"/>
      <c r="W222" s="900" t="str">
        <f>IF(S222&lt;&gt;0,VLOOKUP(S222,VKT!$A$2:$G$415,7,0),"")</f>
        <v/>
      </c>
      <c r="X222" s="900" t="str">
        <f t="shared" ref="X222:X290" si="53">IF(S222&lt;&gt;0,ROUND(U222*W222,-3)," ")</f>
        <v xml:space="preserve"> </v>
      </c>
      <c r="Y222" s="925"/>
      <c r="Z222" s="928"/>
      <c r="AA222" s="928"/>
      <c r="AB222" s="904"/>
      <c r="AC222" s="928"/>
      <c r="AD222" s="928"/>
      <c r="AE222" s="928"/>
      <c r="AF222" s="926"/>
      <c r="AG222" s="906" t="str">
        <f>IF(AE222&lt;&gt;0,VLOOKUP(AE222,ODDS!$A$2:$C$13,3,0),"")</f>
        <v/>
      </c>
      <c r="AH222" s="906" t="str">
        <f t="shared" si="45"/>
        <v xml:space="preserve"> </v>
      </c>
      <c r="AI222" s="907" t="str">
        <f t="shared" si="47"/>
        <v xml:space="preserve"> </v>
      </c>
      <c r="AJ222" s="922" t="s">
        <v>460</v>
      </c>
      <c r="AK222" s="922"/>
    </row>
    <row r="223" spans="1:37" s="376" customFormat="1" ht="45" outlineLevel="2" x14ac:dyDescent="0.3">
      <c r="A223" s="447">
        <f t="shared" si="52"/>
        <v>25</v>
      </c>
      <c r="B223" s="893"/>
      <c r="C223" s="894" t="s">
        <v>324</v>
      </c>
      <c r="D223" s="923"/>
      <c r="E223" s="923"/>
      <c r="F223" s="896"/>
      <c r="G223" s="894"/>
      <c r="H223" s="924"/>
      <c r="I223" s="882"/>
      <c r="J223" s="929"/>
      <c r="K223" s="899" t="str">
        <f>IF(G223&lt;&gt;0,VLOOKUP(G223,'gia dat'!$A$1:$F$144,5,0)," ")</f>
        <v xml:space="preserve"> </v>
      </c>
      <c r="L223" s="899" t="str">
        <f>IF(G223&lt;&gt;0,VLOOKUP(G223,'gia dat'!$A$1:$F$144,6,0)," ")</f>
        <v xml:space="preserve"> </v>
      </c>
      <c r="M223" s="900" t="str">
        <f t="shared" si="33"/>
        <v xml:space="preserve"> </v>
      </c>
      <c r="N223" s="900" t="str">
        <f t="shared" si="34"/>
        <v xml:space="preserve"> </v>
      </c>
      <c r="O223" s="922"/>
      <c r="P223" s="926"/>
      <c r="Q223" s="900" t="str">
        <f>IF(O223&lt;&gt;0,VLOOKUP(O223,'Cây trong'!$A$2:$C$246,3,0)," ")</f>
        <v xml:space="preserve"> </v>
      </c>
      <c r="R223" s="900" t="str">
        <f t="shared" si="44"/>
        <v xml:space="preserve"> </v>
      </c>
      <c r="S223" s="922"/>
      <c r="T223" s="944"/>
      <c r="U223" s="927"/>
      <c r="V223" s="946"/>
      <c r="W223" s="900" t="str">
        <f>IF(S223&lt;&gt;0,VLOOKUP(S223,VKT!$A$2:$G$415,7,0),"")</f>
        <v/>
      </c>
      <c r="X223" s="900" t="str">
        <f t="shared" si="53"/>
        <v xml:space="preserve"> </v>
      </c>
      <c r="Y223" s="925"/>
      <c r="Z223" s="928"/>
      <c r="AA223" s="928"/>
      <c r="AB223" s="904"/>
      <c r="AC223" s="928"/>
      <c r="AD223" s="928"/>
      <c r="AE223" s="928"/>
      <c r="AF223" s="926"/>
      <c r="AG223" s="906" t="str">
        <f>IF(AE223&lt;&gt;0,VLOOKUP(AE223,ODDS!$A$2:$C$13,3,0),"")</f>
        <v/>
      </c>
      <c r="AH223" s="906" t="str">
        <f t="shared" si="45"/>
        <v xml:space="preserve"> </v>
      </c>
      <c r="AI223" s="907" t="str">
        <f t="shared" si="47"/>
        <v xml:space="preserve"> </v>
      </c>
      <c r="AJ223" s="894"/>
      <c r="AK223" s="929"/>
    </row>
    <row r="224" spans="1:37" s="376" customFormat="1" ht="22.5" outlineLevel="2" x14ac:dyDescent="0.3">
      <c r="A224" s="447">
        <f t="shared" si="52"/>
        <v>25</v>
      </c>
      <c r="B224" s="893"/>
      <c r="C224" s="894"/>
      <c r="D224" s="923"/>
      <c r="E224" s="923"/>
      <c r="F224" s="950"/>
      <c r="G224" s="894"/>
      <c r="H224" s="940"/>
      <c r="I224" s="882"/>
      <c r="J224" s="929"/>
      <c r="K224" s="899" t="str">
        <f>IF(G224&lt;&gt;0,VLOOKUP(G224,'gia dat'!$A$1:$F$144,5,0)," ")</f>
        <v xml:space="preserve"> </v>
      </c>
      <c r="L224" s="899" t="str">
        <f>IF(G224&lt;&gt;0,VLOOKUP(G224,'gia dat'!$A$1:$F$144,6,0)," ")</f>
        <v xml:space="preserve"> </v>
      </c>
      <c r="M224" s="900" t="str">
        <f t="shared" si="33"/>
        <v xml:space="preserve"> </v>
      </c>
      <c r="N224" s="900" t="str">
        <f t="shared" si="34"/>
        <v xml:space="preserve"> </v>
      </c>
      <c r="O224" s="929"/>
      <c r="P224" s="951"/>
      <c r="Q224" s="900" t="str">
        <f>IF(O224&lt;&gt;0,VLOOKUP(O224,'Cây trong'!$A$2:$C$246,3,0)," ")</f>
        <v xml:space="preserve"> </v>
      </c>
      <c r="R224" s="900" t="str">
        <f t="shared" si="44"/>
        <v xml:space="preserve"> </v>
      </c>
      <c r="S224" s="929"/>
      <c r="T224" s="929"/>
      <c r="U224" s="952"/>
      <c r="V224" s="925"/>
      <c r="W224" s="900" t="str">
        <f>IF(S224&lt;&gt;0,VLOOKUP(S224,VKT!$A$2:$G$415,7,0),"")</f>
        <v/>
      </c>
      <c r="X224" s="900" t="str">
        <f t="shared" si="53"/>
        <v xml:space="preserve"> </v>
      </c>
      <c r="Y224" s="925"/>
      <c r="Z224" s="925"/>
      <c r="AA224" s="925"/>
      <c r="AB224" s="898"/>
      <c r="AC224" s="925"/>
      <c r="AD224" s="925"/>
      <c r="AE224" s="925"/>
      <c r="AF224" s="964"/>
      <c r="AG224" s="906" t="str">
        <f>IF(AE224&lt;&gt;0,VLOOKUP(AE224,ODDS!$A$2:$C$13,3,0),"")</f>
        <v/>
      </c>
      <c r="AH224" s="906" t="str">
        <f t="shared" si="45"/>
        <v xml:space="preserve"> </v>
      </c>
      <c r="AI224" s="907" t="str">
        <f t="shared" si="47"/>
        <v xml:space="preserve"> </v>
      </c>
      <c r="AJ224" s="929"/>
      <c r="AK224" s="929"/>
    </row>
    <row r="225" spans="1:37" s="376" customFormat="1" ht="22.5" outlineLevel="2" x14ac:dyDescent="0.3">
      <c r="A225" s="447">
        <f t="shared" si="52"/>
        <v>25</v>
      </c>
      <c r="B225" s="893"/>
      <c r="C225" s="894"/>
      <c r="D225" s="923"/>
      <c r="E225" s="923"/>
      <c r="F225" s="896"/>
      <c r="G225" s="894"/>
      <c r="H225" s="924"/>
      <c r="I225" s="882"/>
      <c r="J225" s="929"/>
      <c r="K225" s="899" t="str">
        <f>IF(G225&lt;&gt;0,VLOOKUP(G225,'gia dat'!$A$1:$F$144,5,0)," ")</f>
        <v xml:space="preserve"> </v>
      </c>
      <c r="L225" s="899" t="str">
        <f>IF(G225&lt;&gt;0,VLOOKUP(G225,'gia dat'!$A$1:$F$144,6,0)," ")</f>
        <v xml:space="preserve"> </v>
      </c>
      <c r="M225" s="900" t="str">
        <f t="shared" si="33"/>
        <v xml:space="preserve"> </v>
      </c>
      <c r="N225" s="900" t="str">
        <f t="shared" si="34"/>
        <v xml:space="preserve"> </v>
      </c>
      <c r="O225" s="922"/>
      <c r="P225" s="965"/>
      <c r="Q225" s="900" t="str">
        <f>IF(O225&lt;&gt;0,VLOOKUP(O225,'Cây trong'!$A$2:$C$246,3,0)," ")</f>
        <v xml:space="preserve"> </v>
      </c>
      <c r="R225" s="900" t="str">
        <f t="shared" si="44"/>
        <v xml:space="preserve"> </v>
      </c>
      <c r="S225" s="922"/>
      <c r="T225" s="944"/>
      <c r="U225" s="927"/>
      <c r="V225" s="925"/>
      <c r="W225" s="900" t="str">
        <f>IF(S225&lt;&gt;0,VLOOKUP(S225,VKT!$A$2:$G$415,7,0),"")</f>
        <v/>
      </c>
      <c r="X225" s="900" t="str">
        <f t="shared" si="53"/>
        <v xml:space="preserve"> </v>
      </c>
      <c r="Y225" s="925"/>
      <c r="Z225" s="928"/>
      <c r="AA225" s="928"/>
      <c r="AB225" s="904"/>
      <c r="AC225" s="928"/>
      <c r="AD225" s="928"/>
      <c r="AE225" s="928"/>
      <c r="AF225" s="926"/>
      <c r="AG225" s="906" t="str">
        <f>IF(AE225&lt;&gt;0,VLOOKUP(AE225,ODDS!$A$2:$C$13,3,0),"")</f>
        <v/>
      </c>
      <c r="AH225" s="906" t="str">
        <f t="shared" si="45"/>
        <v xml:space="preserve"> </v>
      </c>
      <c r="AI225" s="907" t="str">
        <f t="shared" si="47"/>
        <v xml:space="preserve"> </v>
      </c>
      <c r="AJ225" s="894"/>
      <c r="AK225" s="894"/>
    </row>
    <row r="226" spans="1:37" s="376" customFormat="1" ht="22.5" outlineLevel="2" x14ac:dyDescent="0.3">
      <c r="A226" s="447">
        <f t="shared" si="52"/>
        <v>25</v>
      </c>
      <c r="B226" s="893"/>
      <c r="C226" s="894"/>
      <c r="D226" s="923"/>
      <c r="E226" s="923"/>
      <c r="F226" s="896"/>
      <c r="G226" s="894"/>
      <c r="H226" s="924"/>
      <c r="I226" s="882"/>
      <c r="J226" s="929"/>
      <c r="K226" s="899" t="str">
        <f>IF(G226&lt;&gt;0,VLOOKUP(G226,'gia dat'!$A$1:$F$144,5,0)," ")</f>
        <v xml:space="preserve"> </v>
      </c>
      <c r="L226" s="899" t="str">
        <f>IF(G226&lt;&gt;0,VLOOKUP(G226,'gia dat'!$A$1:$F$144,6,0)," ")</f>
        <v xml:space="preserve"> </v>
      </c>
      <c r="M226" s="900" t="str">
        <f t="shared" ref="M226:M294" si="54">IF(H226&lt;&gt;0,ROUND(H226*K226,-3)," ")</f>
        <v xml:space="preserve"> </v>
      </c>
      <c r="N226" s="900" t="str">
        <f t="shared" ref="N226:N294" si="55">IF(H226&lt;&gt;0,ROUND(H226*L226,-3)," ")</f>
        <v xml:space="preserve"> </v>
      </c>
      <c r="O226" s="922"/>
      <c r="P226" s="965"/>
      <c r="Q226" s="900" t="str">
        <f>IF(O226&lt;&gt;0,VLOOKUP(O226,'Cây trong'!$A$2:$C$246,3,0)," ")</f>
        <v xml:space="preserve"> </v>
      </c>
      <c r="R226" s="900" t="str">
        <f t="shared" si="44"/>
        <v xml:space="preserve"> </v>
      </c>
      <c r="S226" s="922"/>
      <c r="T226" s="944"/>
      <c r="U226" s="927"/>
      <c r="V226" s="925"/>
      <c r="W226" s="900" t="str">
        <f>IF(S226&lt;&gt;0,VLOOKUP(S226,VKT!$A$2:$G$415,7,0),"")</f>
        <v/>
      </c>
      <c r="X226" s="900" t="str">
        <f t="shared" si="53"/>
        <v xml:space="preserve"> </v>
      </c>
      <c r="Y226" s="925"/>
      <c r="Z226" s="928"/>
      <c r="AA226" s="928"/>
      <c r="AB226" s="904"/>
      <c r="AC226" s="928"/>
      <c r="AD226" s="928"/>
      <c r="AE226" s="928"/>
      <c r="AF226" s="926"/>
      <c r="AG226" s="906" t="str">
        <f>IF(AE226&lt;&gt;0,VLOOKUP(AE226,ODDS!$A$2:$C$13,3,0),"")</f>
        <v/>
      </c>
      <c r="AH226" s="906" t="str">
        <f t="shared" si="45"/>
        <v xml:space="preserve"> </v>
      </c>
      <c r="AI226" s="907" t="str">
        <f t="shared" si="47"/>
        <v xml:space="preserve"> </v>
      </c>
      <c r="AJ226" s="894"/>
      <c r="AK226" s="894"/>
    </row>
    <row r="227" spans="1:37" s="376" customFormat="1" ht="22.5" outlineLevel="2" x14ac:dyDescent="0.3">
      <c r="A227" s="447">
        <f t="shared" si="52"/>
        <v>25</v>
      </c>
      <c r="B227" s="893"/>
      <c r="C227" s="942"/>
      <c r="D227" s="923"/>
      <c r="E227" s="923"/>
      <c r="F227" s="896"/>
      <c r="G227" s="894"/>
      <c r="H227" s="924"/>
      <c r="I227" s="882"/>
      <c r="J227" s="925"/>
      <c r="K227" s="899" t="str">
        <f>IF(G227&lt;&gt;0,VLOOKUP(G227,'gia dat'!$A$1:$F$144,5,0)," ")</f>
        <v xml:space="preserve"> </v>
      </c>
      <c r="L227" s="899" t="str">
        <f>IF(G227&lt;&gt;0,VLOOKUP(G227,'gia dat'!$A$1:$F$144,6,0)," ")</f>
        <v xml:space="preserve"> </v>
      </c>
      <c r="M227" s="900" t="str">
        <f t="shared" si="54"/>
        <v xml:space="preserve"> </v>
      </c>
      <c r="N227" s="900" t="str">
        <f t="shared" si="55"/>
        <v xml:space="preserve"> </v>
      </c>
      <c r="O227" s="894"/>
      <c r="P227" s="926"/>
      <c r="Q227" s="900" t="str">
        <f>IF(O227&lt;&gt;0,VLOOKUP(O227,'Cây trong'!$A$2:$C$246,3,0)," ")</f>
        <v xml:space="preserve"> </v>
      </c>
      <c r="R227" s="900" t="str">
        <f t="shared" si="44"/>
        <v xml:space="preserve"> </v>
      </c>
      <c r="S227" s="902"/>
      <c r="T227" s="925"/>
      <c r="U227" s="927"/>
      <c r="V227" s="925"/>
      <c r="W227" s="900" t="str">
        <f>IF(S227&lt;&gt;0,VLOOKUP(S227,VKT!$A$2:$G$415,7,0),"")</f>
        <v/>
      </c>
      <c r="X227" s="900" t="str">
        <f t="shared" si="53"/>
        <v xml:space="preserve"> </v>
      </c>
      <c r="Y227" s="925"/>
      <c r="Z227" s="928"/>
      <c r="AA227" s="928"/>
      <c r="AB227" s="904"/>
      <c r="AC227" s="928"/>
      <c r="AD227" s="928"/>
      <c r="AE227" s="928"/>
      <c r="AF227" s="926"/>
      <c r="AG227" s="906" t="str">
        <f>IF(AE227&lt;&gt;0,VLOOKUP(AE227,ODDS!$A$2:$C$13,3,0),"")</f>
        <v/>
      </c>
      <c r="AH227" s="906" t="str">
        <f t="shared" si="45"/>
        <v xml:space="preserve"> </v>
      </c>
      <c r="AI227" s="907" t="str">
        <f t="shared" si="47"/>
        <v xml:space="preserve"> </v>
      </c>
      <c r="AJ227" s="894"/>
      <c r="AK227" s="894"/>
    </row>
    <row r="228" spans="1:37" s="376" customFormat="1" ht="43.5" outlineLevel="1" x14ac:dyDescent="0.25">
      <c r="A228" s="467" t="s">
        <v>2684</v>
      </c>
      <c r="B228" s="912">
        <v>26</v>
      </c>
      <c r="C228" s="942" t="s">
        <v>30</v>
      </c>
      <c r="D228" s="931"/>
      <c r="E228" s="931"/>
      <c r="F228" s="913"/>
      <c r="G228" s="910"/>
      <c r="H228" s="953">
        <f>SUBTOTAL(9,H229:H235)</f>
        <v>153.1</v>
      </c>
      <c r="I228" s="915">
        <f>SUBTOTAL(9,I229:I234)</f>
        <v>153.1</v>
      </c>
      <c r="J228" s="943"/>
      <c r="K228" s="917"/>
      <c r="L228" s="917"/>
      <c r="M228" s="907">
        <f>SUBTOTAL(9,M229:M235)</f>
        <v>84879000</v>
      </c>
      <c r="N228" s="907">
        <f>SUBTOTAL(9,N229:N235)</f>
        <v>254636000</v>
      </c>
      <c r="O228" s="914"/>
      <c r="P228" s="935">
        <f>SUBTOTAL(9,P229:P235)</f>
        <v>21</v>
      </c>
      <c r="Q228" s="907"/>
      <c r="R228" s="907">
        <f>SUBTOTAL(9,R229:R235)</f>
        <v>1460000</v>
      </c>
      <c r="S228" s="914"/>
      <c r="T228" s="956"/>
      <c r="U228" s="936">
        <f>SUBTOTAL(9,U229:U235)</f>
        <v>0</v>
      </c>
      <c r="V228" s="933"/>
      <c r="W228" s="907"/>
      <c r="X228" s="907">
        <f>SUBTOTAL(9,X229:X235)</f>
        <v>0</v>
      </c>
      <c r="Y228" s="925"/>
      <c r="Z228" s="928"/>
      <c r="AA228" s="928"/>
      <c r="AB228" s="904"/>
      <c r="AC228" s="928"/>
      <c r="AD228" s="928"/>
      <c r="AE228" s="937"/>
      <c r="AF228" s="935">
        <f>SUBTOTAL(9,AF229:AF235)</f>
        <v>0</v>
      </c>
      <c r="AG228" s="921"/>
      <c r="AH228" s="921">
        <f>SUBTOTAL(9,AH229:AH235)</f>
        <v>0</v>
      </c>
      <c r="AI228" s="907">
        <f t="shared" si="47"/>
        <v>340975000</v>
      </c>
      <c r="AJ228" s="910"/>
      <c r="AK228" s="914"/>
    </row>
    <row r="229" spans="1:37" s="376" customFormat="1" ht="135" outlineLevel="2" x14ac:dyDescent="0.3">
      <c r="A229" s="447">
        <f>IF(B228&lt;&gt;0,B228,A227)</f>
        <v>26</v>
      </c>
      <c r="B229" s="893"/>
      <c r="C229" s="894" t="s">
        <v>127</v>
      </c>
      <c r="D229" s="923">
        <v>7</v>
      </c>
      <c r="E229" s="923">
        <v>86</v>
      </c>
      <c r="F229" s="896">
        <v>17</v>
      </c>
      <c r="G229" s="894" t="s">
        <v>2892</v>
      </c>
      <c r="H229" s="924">
        <v>153.1</v>
      </c>
      <c r="I229" s="882">
        <f t="shared" ref="I229" si="56">IF(N229&gt;0,H229,"")</f>
        <v>153.1</v>
      </c>
      <c r="J229" s="929"/>
      <c r="K229" s="899">
        <f>IF(G229&lt;&gt;0,VLOOKUP(G229,'gia dat'!$A$1:$F$144,5,0)," ")</f>
        <v>554400</v>
      </c>
      <c r="L229" s="899">
        <f>IF(G229&lt;&gt;0,VLOOKUP(G229,'gia dat'!$A$1:$F$144,6,0)," ")</f>
        <v>1663200</v>
      </c>
      <c r="M229" s="900">
        <f t="shared" si="54"/>
        <v>84879000</v>
      </c>
      <c r="N229" s="900">
        <f t="shared" si="55"/>
        <v>254636000</v>
      </c>
      <c r="O229" s="922" t="s">
        <v>401</v>
      </c>
      <c r="P229" s="926">
        <v>17</v>
      </c>
      <c r="Q229" s="900">
        <f>IF(O229&lt;&gt;0,VLOOKUP(O229,'Cây trong'!$A$2:$C$246,3,0)," ")</f>
        <v>80000</v>
      </c>
      <c r="R229" s="900">
        <f t="shared" si="44"/>
        <v>1360000</v>
      </c>
      <c r="S229" s="922"/>
      <c r="T229" s="944"/>
      <c r="U229" s="927"/>
      <c r="V229" s="925"/>
      <c r="W229" s="900" t="str">
        <f>IF(S229&lt;&gt;0,VLOOKUP(S229,VKT!$A$2:$G$415,7,0),"")</f>
        <v/>
      </c>
      <c r="X229" s="900" t="str">
        <f t="shared" si="53"/>
        <v xml:space="preserve"> </v>
      </c>
      <c r="Y229" s="925"/>
      <c r="Z229" s="928"/>
      <c r="AA229" s="928"/>
      <c r="AB229" s="904"/>
      <c r="AC229" s="928"/>
      <c r="AD229" s="928"/>
      <c r="AE229" s="928"/>
      <c r="AF229" s="926"/>
      <c r="AG229" s="906" t="str">
        <f>IF(AE229&lt;&gt;0,VLOOKUP(AE229,ODDS!$A$2:$C$13,3,0),"")</f>
        <v/>
      </c>
      <c r="AH229" s="906" t="str">
        <f t="shared" si="45"/>
        <v xml:space="preserve"> </v>
      </c>
      <c r="AI229" s="907" t="str">
        <f t="shared" si="47"/>
        <v xml:space="preserve"> </v>
      </c>
      <c r="AJ229" s="894" t="s">
        <v>1693</v>
      </c>
      <c r="AK229" s="922" t="s">
        <v>2771</v>
      </c>
    </row>
    <row r="230" spans="1:37" s="376" customFormat="1" ht="90" outlineLevel="2" x14ac:dyDescent="0.3">
      <c r="A230" s="447">
        <f t="shared" ref="A230:A235" si="57">IF(B229&lt;&gt;0,B229,A229)</f>
        <v>26</v>
      </c>
      <c r="B230" s="893"/>
      <c r="C230" s="894" t="s">
        <v>651</v>
      </c>
      <c r="D230" s="923"/>
      <c r="E230" s="923"/>
      <c r="F230" s="896"/>
      <c r="G230" s="894"/>
      <c r="H230" s="924"/>
      <c r="I230" s="882"/>
      <c r="J230" s="929"/>
      <c r="K230" s="899" t="str">
        <f>IF(G230&lt;&gt;0,VLOOKUP(G230,'gia dat'!$A$1:$F$144,5,0)," ")</f>
        <v xml:space="preserve"> </v>
      </c>
      <c r="L230" s="899" t="str">
        <f>IF(G230&lt;&gt;0,VLOOKUP(G230,'gia dat'!$A$1:$F$144,6,0)," ")</f>
        <v xml:space="preserve"> </v>
      </c>
      <c r="M230" s="900" t="str">
        <f t="shared" si="54"/>
        <v xml:space="preserve"> </v>
      </c>
      <c r="N230" s="900" t="str">
        <f t="shared" si="55"/>
        <v xml:space="preserve"> </v>
      </c>
      <c r="O230" s="922" t="s">
        <v>462</v>
      </c>
      <c r="P230" s="926">
        <v>4</v>
      </c>
      <c r="Q230" s="900">
        <f>IF(O230&lt;&gt;0,VLOOKUP(O230,'Cây trong'!$A$2:$C$246,3,0)," ")</f>
        <v>25000</v>
      </c>
      <c r="R230" s="900">
        <f t="shared" si="44"/>
        <v>100000</v>
      </c>
      <c r="S230" s="922"/>
      <c r="T230" s="944"/>
      <c r="U230" s="927"/>
      <c r="V230" s="925"/>
      <c r="W230" s="900" t="str">
        <f>IF(S230&lt;&gt;0,VLOOKUP(S230,VKT!$A$2:$G$415,7,0),"")</f>
        <v/>
      </c>
      <c r="X230" s="900" t="str">
        <f t="shared" si="53"/>
        <v xml:space="preserve"> </v>
      </c>
      <c r="Y230" s="925"/>
      <c r="Z230" s="928"/>
      <c r="AA230" s="928"/>
      <c r="AB230" s="904"/>
      <c r="AC230" s="928"/>
      <c r="AD230" s="928"/>
      <c r="AE230" s="928"/>
      <c r="AF230" s="926"/>
      <c r="AG230" s="906" t="str">
        <f>IF(AE230&lt;&gt;0,VLOOKUP(AE230,ODDS!$A$2:$C$13,3,0),"")</f>
        <v/>
      </c>
      <c r="AH230" s="906" t="str">
        <f t="shared" si="45"/>
        <v xml:space="preserve"> </v>
      </c>
      <c r="AI230" s="907" t="str">
        <f t="shared" si="47"/>
        <v xml:space="preserve"> </v>
      </c>
      <c r="AJ230" s="894" t="s">
        <v>463</v>
      </c>
      <c r="AK230" s="894" t="s">
        <v>2448</v>
      </c>
    </row>
    <row r="231" spans="1:37" s="376" customFormat="1" ht="112.5" outlineLevel="2" x14ac:dyDescent="0.3">
      <c r="A231" s="447">
        <f t="shared" si="57"/>
        <v>26</v>
      </c>
      <c r="B231" s="893"/>
      <c r="C231" s="894" t="s">
        <v>303</v>
      </c>
      <c r="D231" s="923"/>
      <c r="E231" s="923"/>
      <c r="F231" s="896"/>
      <c r="G231" s="894"/>
      <c r="H231" s="924"/>
      <c r="I231" s="882"/>
      <c r="J231" s="929"/>
      <c r="K231" s="899" t="str">
        <f>IF(G231&lt;&gt;0,VLOOKUP(G231,'gia dat'!$A$1:$F$144,5,0)," ")</f>
        <v xml:space="preserve"> </v>
      </c>
      <c r="L231" s="899" t="str">
        <f>IF(G231&lt;&gt;0,VLOOKUP(G231,'gia dat'!$A$1:$F$144,6,0)," ")</f>
        <v xml:space="preserve"> </v>
      </c>
      <c r="M231" s="900" t="str">
        <f t="shared" si="54"/>
        <v xml:space="preserve"> </v>
      </c>
      <c r="N231" s="900" t="str">
        <f t="shared" si="55"/>
        <v xml:space="preserve"> </v>
      </c>
      <c r="O231" s="922"/>
      <c r="P231" s="926"/>
      <c r="Q231" s="900" t="str">
        <f>IF(O231&lt;&gt;0,VLOOKUP(O231,'Cây trong'!$A$2:$C$246,3,0)," ")</f>
        <v xml:space="preserve"> </v>
      </c>
      <c r="R231" s="900" t="str">
        <f t="shared" si="44"/>
        <v xml:space="preserve"> </v>
      </c>
      <c r="S231" s="922"/>
      <c r="T231" s="944"/>
      <c r="U231" s="927"/>
      <c r="V231" s="925"/>
      <c r="W231" s="900" t="str">
        <f>IF(S231&lt;&gt;0,VLOOKUP(S231,VKT!$A$2:$G$415,7,0),"")</f>
        <v/>
      </c>
      <c r="X231" s="900" t="str">
        <f t="shared" si="53"/>
        <v xml:space="preserve"> </v>
      </c>
      <c r="Y231" s="925"/>
      <c r="Z231" s="928"/>
      <c r="AA231" s="928"/>
      <c r="AB231" s="904"/>
      <c r="AC231" s="928"/>
      <c r="AD231" s="928"/>
      <c r="AE231" s="928"/>
      <c r="AF231" s="926"/>
      <c r="AG231" s="906" t="str">
        <f>IF(AE231&lt;&gt;0,VLOOKUP(AE231,ODDS!$A$2:$C$13,3,0),"")</f>
        <v/>
      </c>
      <c r="AH231" s="906" t="str">
        <f t="shared" si="45"/>
        <v xml:space="preserve"> </v>
      </c>
      <c r="AI231" s="907" t="str">
        <f t="shared" si="47"/>
        <v xml:space="preserve"> </v>
      </c>
      <c r="AJ231" s="910" t="s">
        <v>1679</v>
      </c>
      <c r="AK231" s="894" t="s">
        <v>2449</v>
      </c>
    </row>
    <row r="232" spans="1:37" s="376" customFormat="1" ht="67.5" outlineLevel="2" x14ac:dyDescent="0.3">
      <c r="A232" s="447">
        <f t="shared" si="57"/>
        <v>26</v>
      </c>
      <c r="B232" s="893"/>
      <c r="C232" s="894"/>
      <c r="D232" s="923"/>
      <c r="E232" s="923"/>
      <c r="F232" s="896"/>
      <c r="G232" s="894"/>
      <c r="H232" s="924"/>
      <c r="I232" s="882"/>
      <c r="J232" s="925"/>
      <c r="K232" s="899" t="str">
        <f>IF(G232&lt;&gt;0,VLOOKUP(G232,'gia dat'!$A$1:$F$144,5,0)," ")</f>
        <v xml:space="preserve"> </v>
      </c>
      <c r="L232" s="899" t="str">
        <f>IF(G232&lt;&gt;0,VLOOKUP(G232,'gia dat'!$A$1:$F$144,6,0)," ")</f>
        <v xml:space="preserve"> </v>
      </c>
      <c r="M232" s="900" t="str">
        <f t="shared" si="54"/>
        <v xml:space="preserve"> </v>
      </c>
      <c r="N232" s="900" t="str">
        <f t="shared" si="55"/>
        <v xml:space="preserve"> </v>
      </c>
      <c r="O232" s="894"/>
      <c r="P232" s="926"/>
      <c r="Q232" s="900" t="str">
        <f>IF(O232&lt;&gt;0,VLOOKUP(O232,'Cây trong'!$A$2:$C$246,3,0)," ")</f>
        <v xml:space="preserve"> </v>
      </c>
      <c r="R232" s="900" t="str">
        <f t="shared" si="44"/>
        <v xml:space="preserve"> </v>
      </c>
      <c r="S232" s="902"/>
      <c r="T232" s="925"/>
      <c r="U232" s="927"/>
      <c r="V232" s="925"/>
      <c r="W232" s="900" t="str">
        <f>IF(S232&lt;&gt;0,VLOOKUP(S232,VKT!$A$2:$G$415,7,0),"")</f>
        <v/>
      </c>
      <c r="X232" s="900" t="str">
        <f t="shared" si="53"/>
        <v xml:space="preserve"> </v>
      </c>
      <c r="Y232" s="925"/>
      <c r="Z232" s="928"/>
      <c r="AA232" s="928"/>
      <c r="AB232" s="904"/>
      <c r="AC232" s="928"/>
      <c r="AD232" s="928"/>
      <c r="AE232" s="928"/>
      <c r="AF232" s="926"/>
      <c r="AG232" s="906" t="str">
        <f>IF(AE232&lt;&gt;0,VLOOKUP(AE232,ODDS!$A$2:$C$13,3,0),"")</f>
        <v/>
      </c>
      <c r="AH232" s="906" t="str">
        <f t="shared" si="45"/>
        <v xml:space="preserve"> </v>
      </c>
      <c r="AI232" s="907" t="str">
        <f t="shared" si="47"/>
        <v xml:space="preserve"> </v>
      </c>
      <c r="AJ232" s="894" t="s">
        <v>2074</v>
      </c>
      <c r="AK232" s="929"/>
    </row>
    <row r="233" spans="1:37" s="376" customFormat="1" ht="22.5" outlineLevel="2" x14ac:dyDescent="0.3">
      <c r="A233" s="447">
        <f t="shared" si="57"/>
        <v>26</v>
      </c>
      <c r="B233" s="893"/>
      <c r="C233" s="894"/>
      <c r="D233" s="923"/>
      <c r="E233" s="923"/>
      <c r="F233" s="950"/>
      <c r="G233" s="894"/>
      <c r="H233" s="940"/>
      <c r="I233" s="882"/>
      <c r="J233" s="929"/>
      <c r="K233" s="899" t="str">
        <f>IF(G233&lt;&gt;0,VLOOKUP(G233,'gia dat'!$A$1:$F$144,5,0)," ")</f>
        <v xml:space="preserve"> </v>
      </c>
      <c r="L233" s="899" t="str">
        <f>IF(G233&lt;&gt;0,VLOOKUP(G233,'gia dat'!$A$1:$F$144,6,0)," ")</f>
        <v xml:space="preserve"> </v>
      </c>
      <c r="M233" s="900" t="str">
        <f t="shared" si="54"/>
        <v xml:space="preserve"> </v>
      </c>
      <c r="N233" s="900" t="str">
        <f t="shared" si="55"/>
        <v xml:space="preserve"> </v>
      </c>
      <c r="O233" s="929"/>
      <c r="P233" s="951"/>
      <c r="Q233" s="900" t="str">
        <f>IF(O233&lt;&gt;0,VLOOKUP(O233,'Cây trong'!$A$2:$C$246,3,0)," ")</f>
        <v xml:space="preserve"> </v>
      </c>
      <c r="R233" s="900" t="str">
        <f t="shared" si="44"/>
        <v xml:space="preserve"> </v>
      </c>
      <c r="S233" s="929"/>
      <c r="T233" s="929"/>
      <c r="U233" s="952"/>
      <c r="V233" s="925"/>
      <c r="W233" s="900" t="str">
        <f>IF(S233&lt;&gt;0,VLOOKUP(S233,VKT!$A$2:$G$415,7,0),"")</f>
        <v/>
      </c>
      <c r="X233" s="900" t="str">
        <f t="shared" si="53"/>
        <v xml:space="preserve"> </v>
      </c>
      <c r="Y233" s="925"/>
      <c r="Z233" s="925"/>
      <c r="AA233" s="925"/>
      <c r="AB233" s="898"/>
      <c r="AC233" s="925"/>
      <c r="AD233" s="925"/>
      <c r="AE233" s="925"/>
      <c r="AF233" s="964"/>
      <c r="AG233" s="906" t="str">
        <f>IF(AE233&lt;&gt;0,VLOOKUP(AE233,ODDS!$A$2:$C$13,3,0),"")</f>
        <v/>
      </c>
      <c r="AH233" s="906" t="str">
        <f t="shared" si="45"/>
        <v xml:space="preserve"> </v>
      </c>
      <c r="AI233" s="907" t="str">
        <f t="shared" si="47"/>
        <v xml:space="preserve"> </v>
      </c>
      <c r="AJ233" s="929"/>
      <c r="AK233" s="929"/>
    </row>
    <row r="234" spans="1:37" s="376" customFormat="1" ht="22.5" outlineLevel="2" x14ac:dyDescent="0.3">
      <c r="A234" s="447">
        <f t="shared" si="57"/>
        <v>26</v>
      </c>
      <c r="B234" s="893"/>
      <c r="C234" s="894"/>
      <c r="D234" s="923"/>
      <c r="E234" s="923"/>
      <c r="F234" s="950"/>
      <c r="G234" s="894"/>
      <c r="H234" s="940"/>
      <c r="I234" s="882"/>
      <c r="J234" s="929"/>
      <c r="K234" s="899" t="str">
        <f>IF(G234&lt;&gt;0,VLOOKUP(G234,'gia dat'!$A$1:$F$144,5,0)," ")</f>
        <v xml:space="preserve"> </v>
      </c>
      <c r="L234" s="899" t="str">
        <f>IF(G234&lt;&gt;0,VLOOKUP(G234,'gia dat'!$A$1:$F$144,6,0)," ")</f>
        <v xml:space="preserve"> </v>
      </c>
      <c r="M234" s="900" t="str">
        <f t="shared" si="54"/>
        <v xml:space="preserve"> </v>
      </c>
      <c r="N234" s="900" t="str">
        <f t="shared" si="55"/>
        <v xml:space="preserve"> </v>
      </c>
      <c r="O234" s="929"/>
      <c r="P234" s="951"/>
      <c r="Q234" s="900" t="str">
        <f>IF(O234&lt;&gt;0,VLOOKUP(O234,'Cây trong'!$A$2:$C$246,3,0)," ")</f>
        <v xml:space="preserve"> </v>
      </c>
      <c r="R234" s="900" t="str">
        <f t="shared" si="44"/>
        <v xml:space="preserve"> </v>
      </c>
      <c r="S234" s="929"/>
      <c r="T234" s="929"/>
      <c r="U234" s="952"/>
      <c r="V234" s="925"/>
      <c r="W234" s="900" t="str">
        <f>IF(S234&lt;&gt;0,VLOOKUP(S234,VKT!$A$2:$G$415,7,0),"")</f>
        <v/>
      </c>
      <c r="X234" s="900" t="str">
        <f t="shared" si="53"/>
        <v xml:space="preserve"> </v>
      </c>
      <c r="Y234" s="925"/>
      <c r="Z234" s="925"/>
      <c r="AA234" s="925"/>
      <c r="AB234" s="898"/>
      <c r="AC234" s="925"/>
      <c r="AD234" s="925"/>
      <c r="AE234" s="925"/>
      <c r="AF234" s="964"/>
      <c r="AG234" s="906" t="str">
        <f>IF(AE234&lt;&gt;0,VLOOKUP(AE234,ODDS!$A$2:$C$13,3,0),"")</f>
        <v/>
      </c>
      <c r="AH234" s="906" t="str">
        <f t="shared" si="45"/>
        <v xml:space="preserve"> </v>
      </c>
      <c r="AI234" s="907" t="str">
        <f t="shared" si="47"/>
        <v xml:space="preserve"> </v>
      </c>
      <c r="AJ234" s="929"/>
      <c r="AK234" s="929"/>
    </row>
    <row r="235" spans="1:37" s="376" customFormat="1" ht="22.5" outlineLevel="2" x14ac:dyDescent="0.3">
      <c r="A235" s="447">
        <f t="shared" si="57"/>
        <v>26</v>
      </c>
      <c r="B235" s="893"/>
      <c r="C235" s="971"/>
      <c r="D235" s="923"/>
      <c r="E235" s="923"/>
      <c r="F235" s="896"/>
      <c r="G235" s="894"/>
      <c r="H235" s="924"/>
      <c r="I235" s="882"/>
      <c r="J235" s="925"/>
      <c r="K235" s="899" t="str">
        <f>IF(G235&lt;&gt;0,VLOOKUP(G235,'gia dat'!$A$1:$F$144,5,0)," ")</f>
        <v xml:space="preserve"> </v>
      </c>
      <c r="L235" s="899" t="str">
        <f>IF(G235&lt;&gt;0,VLOOKUP(G235,'gia dat'!$A$1:$F$144,6,0)," ")</f>
        <v xml:space="preserve"> </v>
      </c>
      <c r="M235" s="900" t="str">
        <f t="shared" si="54"/>
        <v xml:space="preserve"> </v>
      </c>
      <c r="N235" s="900" t="str">
        <f t="shared" si="55"/>
        <v xml:space="preserve"> </v>
      </c>
      <c r="O235" s="894"/>
      <c r="P235" s="926"/>
      <c r="Q235" s="900" t="str">
        <f>IF(O235&lt;&gt;0,VLOOKUP(O235,'Cây trong'!$A$2:$C$246,3,0)," ")</f>
        <v xml:space="preserve"> </v>
      </c>
      <c r="R235" s="900" t="str">
        <f t="shared" si="44"/>
        <v xml:space="preserve"> </v>
      </c>
      <c r="S235" s="902"/>
      <c r="T235" s="925"/>
      <c r="U235" s="927"/>
      <c r="V235" s="925"/>
      <c r="W235" s="900" t="str">
        <f>IF(S235&lt;&gt;0,VLOOKUP(S235,VKT!$A$2:$G$415,7,0),"")</f>
        <v/>
      </c>
      <c r="X235" s="900" t="str">
        <f t="shared" si="53"/>
        <v xml:space="preserve"> </v>
      </c>
      <c r="Y235" s="925"/>
      <c r="Z235" s="928"/>
      <c r="AA235" s="928"/>
      <c r="AB235" s="904"/>
      <c r="AC235" s="928"/>
      <c r="AD235" s="928"/>
      <c r="AE235" s="928"/>
      <c r="AF235" s="926"/>
      <c r="AG235" s="906" t="str">
        <f>IF(AE235&lt;&gt;0,VLOOKUP(AE235,ODDS!$A$2:$C$13,3,0),"")</f>
        <v/>
      </c>
      <c r="AH235" s="906" t="str">
        <f t="shared" si="45"/>
        <v xml:space="preserve"> </v>
      </c>
      <c r="AI235" s="907" t="str">
        <f t="shared" si="47"/>
        <v xml:space="preserve"> </v>
      </c>
      <c r="AJ235" s="894"/>
      <c r="AK235" s="894"/>
    </row>
    <row r="236" spans="1:37" s="376" customFormat="1" ht="43.5" outlineLevel="1" x14ac:dyDescent="0.25">
      <c r="A236" s="467" t="s">
        <v>2683</v>
      </c>
      <c r="B236" s="912">
        <v>27</v>
      </c>
      <c r="C236" s="971" t="s">
        <v>31</v>
      </c>
      <c r="D236" s="931"/>
      <c r="E236" s="931"/>
      <c r="F236" s="913"/>
      <c r="G236" s="910"/>
      <c r="H236" s="953">
        <f>SUBTOTAL(9,H237:H261)</f>
        <v>156</v>
      </c>
      <c r="I236" s="915">
        <f>SUBTOTAL(9,I237:I242)</f>
        <v>27</v>
      </c>
      <c r="J236" s="933"/>
      <c r="K236" s="917"/>
      <c r="L236" s="917"/>
      <c r="M236" s="907">
        <f>SUBTOTAL(9,M237:M261)</f>
        <v>86487000</v>
      </c>
      <c r="N236" s="907">
        <f>SUBTOTAL(9,N237:N261)</f>
        <v>44906000</v>
      </c>
      <c r="O236" s="910"/>
      <c r="P236" s="935">
        <f>SUBTOTAL(9,P237:P261)</f>
        <v>13</v>
      </c>
      <c r="Q236" s="907"/>
      <c r="R236" s="907">
        <f>SUBTOTAL(9,R237:R261)</f>
        <v>4145000</v>
      </c>
      <c r="S236" s="918"/>
      <c r="T236" s="933"/>
      <c r="U236" s="936">
        <f>SUBTOTAL(9,U237:U261)</f>
        <v>358.03999999999996</v>
      </c>
      <c r="V236" s="933"/>
      <c r="W236" s="907"/>
      <c r="X236" s="907">
        <f>SUBTOTAL(9,X237:X261)</f>
        <v>359582000</v>
      </c>
      <c r="Y236" s="925"/>
      <c r="Z236" s="928"/>
      <c r="AA236" s="928"/>
      <c r="AB236" s="904"/>
      <c r="AC236" s="928"/>
      <c r="AD236" s="904"/>
      <c r="AE236" s="938"/>
      <c r="AF236" s="917">
        <f>SUBTOTAL(9,AF237:AF261)</f>
        <v>1</v>
      </c>
      <c r="AG236" s="921"/>
      <c r="AH236" s="921">
        <f>SUBTOTAL(9,AH237:AH261)</f>
        <v>13000000</v>
      </c>
      <c r="AI236" s="907">
        <f t="shared" si="47"/>
        <v>508120000</v>
      </c>
      <c r="AJ236" s="910"/>
      <c r="AK236" s="914"/>
    </row>
    <row r="237" spans="1:37" s="376" customFormat="1" ht="135" outlineLevel="2" x14ac:dyDescent="0.3">
      <c r="A237" s="447">
        <f>IF(B236&lt;&gt;0,B236,A235)</f>
        <v>27</v>
      </c>
      <c r="B237" s="893"/>
      <c r="C237" s="972" t="s">
        <v>130</v>
      </c>
      <c r="D237" s="923">
        <v>2</v>
      </c>
      <c r="E237" s="923">
        <v>86</v>
      </c>
      <c r="F237" s="896">
        <v>34</v>
      </c>
      <c r="G237" s="894" t="s">
        <v>2062</v>
      </c>
      <c r="H237" s="924">
        <f>76.1-H239</f>
        <v>49.099999999999994</v>
      </c>
      <c r="I237" s="882" t="str">
        <f t="shared" ref="I237:I239" si="58">IF(N237&gt;0,H237,"")</f>
        <v/>
      </c>
      <c r="J237" s="925"/>
      <c r="K237" s="899">
        <f>IF(G237&lt;&gt;0,VLOOKUP(G237,'gia dat'!$A$1:$F$144,5,0)," ")</f>
        <v>554400</v>
      </c>
      <c r="L237" s="899">
        <f>IF(G237&lt;&gt;0,VLOOKUP(G237,'gia dat'!$A$1:$F$144,6,0)," ")</f>
        <v>0</v>
      </c>
      <c r="M237" s="900">
        <f t="shared" si="54"/>
        <v>27221000</v>
      </c>
      <c r="N237" s="900">
        <f t="shared" si="55"/>
        <v>0</v>
      </c>
      <c r="O237" s="894" t="s">
        <v>176</v>
      </c>
      <c r="P237" s="926">
        <v>1</v>
      </c>
      <c r="Q237" s="900">
        <f>IF(O237&lt;&gt;0,VLOOKUP(O237,'Cây trong'!$A$2:$C$246,3,0)," ")</f>
        <v>390000</v>
      </c>
      <c r="R237" s="900">
        <f t="shared" si="44"/>
        <v>390000</v>
      </c>
      <c r="S237" s="902" t="s">
        <v>1840</v>
      </c>
      <c r="T237" s="925" t="s">
        <v>53</v>
      </c>
      <c r="U237" s="927">
        <v>37.4</v>
      </c>
      <c r="V237" s="925"/>
      <c r="W237" s="900">
        <f>IF(S237&lt;&gt;0,VLOOKUP(S237,VKT!$A$2:$G$415,7,0),"")</f>
        <v>1676884</v>
      </c>
      <c r="X237" s="900">
        <f t="shared" si="53"/>
        <v>62715000</v>
      </c>
      <c r="Y237" s="925"/>
      <c r="Z237" s="928" t="s">
        <v>55</v>
      </c>
      <c r="AA237" s="928" t="s">
        <v>56</v>
      </c>
      <c r="AB237" s="904" t="s">
        <v>137</v>
      </c>
      <c r="AC237" s="928" t="s">
        <v>66</v>
      </c>
      <c r="AD237" s="904" t="s">
        <v>138</v>
      </c>
      <c r="AE237" s="905"/>
      <c r="AF237" s="899"/>
      <c r="AG237" s="906"/>
      <c r="AH237" s="906"/>
      <c r="AI237" s="907" t="str">
        <f t="shared" si="47"/>
        <v xml:space="preserve"> </v>
      </c>
      <c r="AJ237" s="894" t="s">
        <v>652</v>
      </c>
      <c r="AK237" s="922" t="s">
        <v>2771</v>
      </c>
    </row>
    <row r="238" spans="1:37" s="376" customFormat="1" ht="135" outlineLevel="2" x14ac:dyDescent="0.3">
      <c r="A238" s="447">
        <f t="shared" ref="A238:A261" si="59">IF(B237&lt;&gt;0,B237,A237)</f>
        <v>27</v>
      </c>
      <c r="B238" s="893"/>
      <c r="C238" s="963" t="s">
        <v>653</v>
      </c>
      <c r="D238" s="923"/>
      <c r="E238" s="923">
        <v>86</v>
      </c>
      <c r="F238" s="896" t="s">
        <v>2069</v>
      </c>
      <c r="G238" s="894" t="s">
        <v>2063</v>
      </c>
      <c r="H238" s="924">
        <v>79.900000000000006</v>
      </c>
      <c r="I238" s="882" t="str">
        <f t="shared" si="58"/>
        <v/>
      </c>
      <c r="J238" s="925"/>
      <c r="K238" s="899">
        <f>IF(G238&lt;&gt;0,VLOOKUP(G238,'gia dat'!$A$1:$F$144,5,0)," ")</f>
        <v>554400</v>
      </c>
      <c r="L238" s="899">
        <f>IF(G238&lt;&gt;0,VLOOKUP(G238,'gia dat'!$A$1:$F$144,6,0)," ")</f>
        <v>0</v>
      </c>
      <c r="M238" s="900">
        <f t="shared" si="54"/>
        <v>44297000</v>
      </c>
      <c r="N238" s="900">
        <f t="shared" si="55"/>
        <v>0</v>
      </c>
      <c r="O238" s="894" t="s">
        <v>131</v>
      </c>
      <c r="P238" s="926">
        <v>1</v>
      </c>
      <c r="Q238" s="900">
        <f>IF(O238&lt;&gt;0,VLOOKUP(O238,'Cây trong'!$A$2:$C$246,3,0)," ")</f>
        <v>228000</v>
      </c>
      <c r="R238" s="900">
        <f t="shared" si="44"/>
        <v>228000</v>
      </c>
      <c r="S238" s="902" t="s">
        <v>1841</v>
      </c>
      <c r="T238" s="925" t="s">
        <v>53</v>
      </c>
      <c r="U238" s="927">
        <v>4.5</v>
      </c>
      <c r="V238" s="925"/>
      <c r="W238" s="900">
        <f>IF(S238&lt;&gt;0,VLOOKUP(S238,VKT!$A$2:$G$415,7,0),"")</f>
        <v>2354806</v>
      </c>
      <c r="X238" s="900">
        <f t="shared" si="53"/>
        <v>10597000</v>
      </c>
      <c r="Y238" s="925"/>
      <c r="Z238" s="928" t="s">
        <v>55</v>
      </c>
      <c r="AA238" s="928" t="s">
        <v>56</v>
      </c>
      <c r="AB238" s="904" t="s">
        <v>57</v>
      </c>
      <c r="AC238" s="928" t="s">
        <v>139</v>
      </c>
      <c r="AD238" s="928"/>
      <c r="AE238" s="905" t="s">
        <v>2789</v>
      </c>
      <c r="AF238" s="926">
        <v>1</v>
      </c>
      <c r="AG238" s="906">
        <f>IF(AE238&lt;&gt;0,VLOOKUP(AE238,ODDS!$A$2:$C$13,3,0),"")</f>
        <v>13000000</v>
      </c>
      <c r="AH238" s="906">
        <f t="shared" si="45"/>
        <v>13000000</v>
      </c>
      <c r="AI238" s="907" t="str">
        <f t="shared" si="47"/>
        <v xml:space="preserve"> </v>
      </c>
      <c r="AJ238" s="894" t="s">
        <v>465</v>
      </c>
      <c r="AK238" s="894" t="s">
        <v>2448</v>
      </c>
    </row>
    <row r="239" spans="1:37" s="376" customFormat="1" ht="112.5" outlineLevel="2" x14ac:dyDescent="0.3">
      <c r="A239" s="447">
        <f t="shared" si="59"/>
        <v>27</v>
      </c>
      <c r="B239" s="893"/>
      <c r="C239" s="972" t="s">
        <v>298</v>
      </c>
      <c r="D239" s="923"/>
      <c r="E239" s="923">
        <v>86</v>
      </c>
      <c r="F239" s="896">
        <v>34</v>
      </c>
      <c r="G239" s="894" t="s">
        <v>2068</v>
      </c>
      <c r="H239" s="924">
        <v>27</v>
      </c>
      <c r="I239" s="882">
        <f t="shared" si="58"/>
        <v>27</v>
      </c>
      <c r="J239" s="925"/>
      <c r="K239" s="899">
        <f>IF(G239&lt;&gt;0,VLOOKUP(G239,'gia dat'!$A$1:$F$144,5,0)," ")</f>
        <v>554400</v>
      </c>
      <c r="L239" s="899">
        <f>IF(G239&lt;&gt;0,VLOOKUP(G239,'gia dat'!$A$1:$F$144,6,0)," ")</f>
        <v>1663200</v>
      </c>
      <c r="M239" s="900">
        <f t="shared" si="54"/>
        <v>14969000</v>
      </c>
      <c r="N239" s="900">
        <f t="shared" si="55"/>
        <v>44906000</v>
      </c>
      <c r="O239" s="894" t="s">
        <v>132</v>
      </c>
      <c r="P239" s="926">
        <v>1</v>
      </c>
      <c r="Q239" s="900">
        <f>IF(O239&lt;&gt;0,VLOOKUP(O239,'Cây trong'!$A$2:$C$246,3,0)," ")</f>
        <v>473000</v>
      </c>
      <c r="R239" s="900">
        <f t="shared" si="44"/>
        <v>473000</v>
      </c>
      <c r="S239" s="902" t="s">
        <v>1767</v>
      </c>
      <c r="T239" s="925" t="s">
        <v>53</v>
      </c>
      <c r="U239" s="927">
        <v>15.6</v>
      </c>
      <c r="V239" s="925"/>
      <c r="W239" s="900">
        <f>IF(S239&lt;&gt;0,VLOOKUP(S239,VKT!$A$2:$G$415,7,0),"")</f>
        <v>0</v>
      </c>
      <c r="X239" s="900">
        <f t="shared" si="53"/>
        <v>0</v>
      </c>
      <c r="Y239" s="925"/>
      <c r="Z239" s="928"/>
      <c r="AA239" s="928"/>
      <c r="AB239" s="904"/>
      <c r="AC239" s="928"/>
      <c r="AD239" s="928"/>
      <c r="AE239" s="941"/>
      <c r="AF239" s="926"/>
      <c r="AG239" s="906" t="str">
        <f>IF(AE239&lt;&gt;0,VLOOKUP(AE239,ODDS!$A$2:$C$13,3,0),"")</f>
        <v/>
      </c>
      <c r="AH239" s="906" t="str">
        <f t="shared" si="45"/>
        <v xml:space="preserve"> </v>
      </c>
      <c r="AI239" s="907" t="str">
        <f t="shared" si="47"/>
        <v xml:space="preserve"> </v>
      </c>
      <c r="AJ239" s="894" t="s">
        <v>466</v>
      </c>
      <c r="AK239" s="894" t="s">
        <v>2450</v>
      </c>
    </row>
    <row r="240" spans="1:37" s="376" customFormat="1" ht="112.5" outlineLevel="2" x14ac:dyDescent="0.3">
      <c r="A240" s="447">
        <f t="shared" si="59"/>
        <v>27</v>
      </c>
      <c r="B240" s="893"/>
      <c r="C240" s="972"/>
      <c r="D240" s="923"/>
      <c r="E240" s="923"/>
      <c r="F240" s="896"/>
      <c r="G240" s="894"/>
      <c r="H240" s="924"/>
      <c r="I240" s="882"/>
      <c r="J240" s="925"/>
      <c r="K240" s="899" t="str">
        <f>IF(G240&lt;&gt;0,VLOOKUP(G240,'gia dat'!$A$1:$F$144,5,0)," ")</f>
        <v xml:space="preserve"> </v>
      </c>
      <c r="L240" s="899" t="str">
        <f>IF(G240&lt;&gt;0,VLOOKUP(G240,'gia dat'!$A$1:$F$144,6,0)," ")</f>
        <v xml:space="preserve"> </v>
      </c>
      <c r="M240" s="900" t="str">
        <f t="shared" si="54"/>
        <v xml:space="preserve"> </v>
      </c>
      <c r="N240" s="900" t="str">
        <f t="shared" si="55"/>
        <v xml:space="preserve"> </v>
      </c>
      <c r="O240" s="894" t="s">
        <v>61</v>
      </c>
      <c r="P240" s="926">
        <v>1</v>
      </c>
      <c r="Q240" s="900">
        <f>IF(O240&lt;&gt;0,VLOOKUP(O240,'Cây trong'!$A$2:$C$246,3,0)," ")</f>
        <v>1708000</v>
      </c>
      <c r="R240" s="900">
        <f t="shared" si="44"/>
        <v>1708000</v>
      </c>
      <c r="S240" s="973" t="s">
        <v>1842</v>
      </c>
      <c r="T240" s="974" t="s">
        <v>53</v>
      </c>
      <c r="U240" s="927">
        <v>22.6</v>
      </c>
      <c r="V240" s="925"/>
      <c r="W240" s="900">
        <f>IF(S240&lt;&gt;0,VLOOKUP(S240,VKT!$A$2:$G$415,7,0),"")</f>
        <v>0</v>
      </c>
      <c r="X240" s="900">
        <f t="shared" si="53"/>
        <v>0</v>
      </c>
      <c r="Y240" s="925"/>
      <c r="Z240" s="928"/>
      <c r="AA240" s="928"/>
      <c r="AB240" s="904"/>
      <c r="AC240" s="928"/>
      <c r="AD240" s="928"/>
      <c r="AE240" s="928"/>
      <c r="AF240" s="926"/>
      <c r="AG240" s="906" t="str">
        <f>IF(AE240&lt;&gt;0,VLOOKUP(AE240,ODDS!$A$2:$C$13,3,0),"")</f>
        <v/>
      </c>
      <c r="AH240" s="906" t="str">
        <f t="shared" si="45"/>
        <v xml:space="preserve"> </v>
      </c>
      <c r="AI240" s="907" t="str">
        <f t="shared" si="47"/>
        <v xml:space="preserve"> </v>
      </c>
      <c r="AJ240" s="929" t="s">
        <v>296</v>
      </c>
      <c r="AK240" s="894" t="s">
        <v>2449</v>
      </c>
    </row>
    <row r="241" spans="1:37" s="376" customFormat="1" ht="135" outlineLevel="2" x14ac:dyDescent="0.3">
      <c r="A241" s="447">
        <f t="shared" si="59"/>
        <v>27</v>
      </c>
      <c r="B241" s="893"/>
      <c r="C241" s="972"/>
      <c r="D241" s="923"/>
      <c r="E241" s="923"/>
      <c r="F241" s="896"/>
      <c r="G241" s="894"/>
      <c r="H241" s="924"/>
      <c r="I241" s="882"/>
      <c r="J241" s="925"/>
      <c r="K241" s="899" t="str">
        <f>IF(G241&lt;&gt;0,VLOOKUP(G241,'gia dat'!$A$1:$F$144,5,0)," ")</f>
        <v xml:space="preserve"> </v>
      </c>
      <c r="L241" s="899" t="str">
        <f>IF(G241&lt;&gt;0,VLOOKUP(G241,'gia dat'!$A$1:$F$144,6,0)," ")</f>
        <v xml:space="preserve"> </v>
      </c>
      <c r="M241" s="900" t="str">
        <f t="shared" si="54"/>
        <v xml:space="preserve"> </v>
      </c>
      <c r="N241" s="900" t="str">
        <f t="shared" si="55"/>
        <v xml:space="preserve"> </v>
      </c>
      <c r="O241" s="894" t="s">
        <v>133</v>
      </c>
      <c r="P241" s="926">
        <v>1</v>
      </c>
      <c r="Q241" s="900">
        <f>IF(O241&lt;&gt;0,VLOOKUP(O241,'Cây trong'!$A$2:$C$246,3,0)," ")</f>
        <v>758000</v>
      </c>
      <c r="R241" s="900">
        <f t="shared" si="44"/>
        <v>758000</v>
      </c>
      <c r="S241" s="902" t="s">
        <v>1763</v>
      </c>
      <c r="T241" s="925" t="s">
        <v>53</v>
      </c>
      <c r="U241" s="927">
        <v>50.4</v>
      </c>
      <c r="V241" s="925"/>
      <c r="W241" s="900">
        <f>IF(S241&lt;&gt;0,VLOOKUP(S241,VKT!$A$2:$G$415,7,0),"")</f>
        <v>3550600</v>
      </c>
      <c r="X241" s="900">
        <f t="shared" si="53"/>
        <v>178950000</v>
      </c>
      <c r="Y241" s="925" t="s">
        <v>63</v>
      </c>
      <c r="Z241" s="928" t="s">
        <v>55</v>
      </c>
      <c r="AA241" s="928" t="s">
        <v>56</v>
      </c>
      <c r="AB241" s="904" t="s">
        <v>57</v>
      </c>
      <c r="AC241" s="928" t="s">
        <v>54</v>
      </c>
      <c r="AD241" s="904" t="s">
        <v>430</v>
      </c>
      <c r="AE241" s="904"/>
      <c r="AF241" s="899"/>
      <c r="AG241" s="906" t="str">
        <f>IF(AE241&lt;&gt;0,VLOOKUP(AE241,ODDS!$A$2:$C$13,3,0),"")</f>
        <v/>
      </c>
      <c r="AH241" s="906" t="str">
        <f t="shared" si="45"/>
        <v xml:space="preserve"> </v>
      </c>
      <c r="AI241" s="907" t="str">
        <f t="shared" si="47"/>
        <v xml:space="preserve"> </v>
      </c>
      <c r="AJ241" s="894" t="s">
        <v>2041</v>
      </c>
      <c r="AK241" s="894" t="s">
        <v>2451</v>
      </c>
    </row>
    <row r="242" spans="1:37" s="376" customFormat="1" ht="112.5" outlineLevel="2" x14ac:dyDescent="0.3">
      <c r="A242" s="447">
        <f t="shared" si="59"/>
        <v>27</v>
      </c>
      <c r="B242" s="893"/>
      <c r="C242" s="894"/>
      <c r="D242" s="923"/>
      <c r="E242" s="923"/>
      <c r="F242" s="896"/>
      <c r="G242" s="894"/>
      <c r="H242" s="924"/>
      <c r="I242" s="882"/>
      <c r="J242" s="925"/>
      <c r="K242" s="899" t="str">
        <f>IF(G242&lt;&gt;0,VLOOKUP(G242,'gia dat'!$A$1:$F$144,5,0)," ")</f>
        <v xml:space="preserve"> </v>
      </c>
      <c r="L242" s="899" t="str">
        <f>IF(G242&lt;&gt;0,VLOOKUP(G242,'gia dat'!$A$1:$F$144,6,0)," ")</f>
        <v xml:space="preserve"> </v>
      </c>
      <c r="M242" s="900" t="str">
        <f t="shared" si="54"/>
        <v xml:space="preserve"> </v>
      </c>
      <c r="N242" s="900" t="str">
        <f t="shared" si="55"/>
        <v xml:space="preserve"> </v>
      </c>
      <c r="O242" s="894" t="s">
        <v>134</v>
      </c>
      <c r="P242" s="926">
        <v>1</v>
      </c>
      <c r="Q242" s="900">
        <f>IF(O242&lt;&gt;0,VLOOKUP(O242,'Cây trong'!$A$2:$C$246,3,0)," ")</f>
        <v>203000</v>
      </c>
      <c r="R242" s="900">
        <f t="shared" si="44"/>
        <v>203000</v>
      </c>
      <c r="S242" s="902" t="s">
        <v>1840</v>
      </c>
      <c r="T242" s="925" t="s">
        <v>53</v>
      </c>
      <c r="U242" s="927">
        <v>15.54</v>
      </c>
      <c r="V242" s="925"/>
      <c r="W242" s="900">
        <f>IF(S242&lt;&gt;0,VLOOKUP(S242,VKT!$A$2:$G$415,7,0),"")</f>
        <v>1676884</v>
      </c>
      <c r="X242" s="900">
        <f t="shared" si="53"/>
        <v>26059000</v>
      </c>
      <c r="Y242" s="925"/>
      <c r="Z242" s="928" t="s">
        <v>55</v>
      </c>
      <c r="AA242" s="928" t="s">
        <v>56</v>
      </c>
      <c r="AB242" s="904" t="s">
        <v>137</v>
      </c>
      <c r="AC242" s="928" t="s">
        <v>66</v>
      </c>
      <c r="AD242" s="904" t="s">
        <v>430</v>
      </c>
      <c r="AE242" s="904"/>
      <c r="AF242" s="899"/>
      <c r="AG242" s="906" t="str">
        <f>IF(AE242&lt;&gt;0,VLOOKUP(AE242,ODDS!$A$2:$C$13,3,0),"")</f>
        <v/>
      </c>
      <c r="AH242" s="906" t="str">
        <f t="shared" si="45"/>
        <v xml:space="preserve"> </v>
      </c>
      <c r="AI242" s="907" t="str">
        <f t="shared" si="47"/>
        <v xml:space="preserve"> </v>
      </c>
      <c r="AJ242" s="894" t="s">
        <v>2074</v>
      </c>
      <c r="AK242" s="894" t="s">
        <v>2800</v>
      </c>
    </row>
    <row r="243" spans="1:37" s="376" customFormat="1" ht="90" outlineLevel="2" x14ac:dyDescent="0.35">
      <c r="A243" s="447">
        <f t="shared" si="59"/>
        <v>27</v>
      </c>
      <c r="B243" s="893"/>
      <c r="C243" s="971"/>
      <c r="D243" s="923"/>
      <c r="E243" s="923"/>
      <c r="F243" s="896"/>
      <c r="G243" s="894"/>
      <c r="H243" s="924"/>
      <c r="I243" s="882"/>
      <c r="J243" s="925"/>
      <c r="K243" s="899" t="str">
        <f>IF(G243&lt;&gt;0,VLOOKUP(G243,'gia dat'!$A$1:$F$144,5,0)," ")</f>
        <v xml:space="preserve"> </v>
      </c>
      <c r="L243" s="899" t="str">
        <f>IF(G243&lt;&gt;0,VLOOKUP(G243,'gia dat'!$A$1:$F$144,6,0)," ")</f>
        <v xml:space="preserve"> </v>
      </c>
      <c r="M243" s="900" t="str">
        <f t="shared" si="54"/>
        <v xml:space="preserve"> </v>
      </c>
      <c r="N243" s="900" t="str">
        <f t="shared" si="55"/>
        <v xml:space="preserve"> </v>
      </c>
      <c r="O243" s="894" t="s">
        <v>76</v>
      </c>
      <c r="P243" s="926">
        <v>1</v>
      </c>
      <c r="Q243" s="900">
        <f>IF(O243&lt;&gt;0,VLOOKUP(O243,'Cây trong'!$A$2:$C$246,3,0)," ")</f>
        <v>45000</v>
      </c>
      <c r="R243" s="900">
        <f t="shared" si="44"/>
        <v>45000</v>
      </c>
      <c r="S243" s="902" t="s">
        <v>1843</v>
      </c>
      <c r="T243" s="925" t="s">
        <v>53</v>
      </c>
      <c r="U243" s="927">
        <v>3.2</v>
      </c>
      <c r="V243" s="925"/>
      <c r="W243" s="900">
        <f>IF(S243&lt;&gt;0,VLOOKUP(S243,VKT!$A$2:$G$415,7,0),"")</f>
        <v>9599897</v>
      </c>
      <c r="X243" s="900">
        <f t="shared" si="53"/>
        <v>30720000</v>
      </c>
      <c r="Y243" s="925"/>
      <c r="Z243" s="928" t="s">
        <v>55</v>
      </c>
      <c r="AA243" s="928" t="s">
        <v>56</v>
      </c>
      <c r="AB243" s="904" t="s">
        <v>57</v>
      </c>
      <c r="AC243" s="928" t="s">
        <v>54</v>
      </c>
      <c r="AD243" s="904"/>
      <c r="AE243" s="904"/>
      <c r="AF243" s="899"/>
      <c r="AG243" s="906" t="str">
        <f>IF(AE243&lt;&gt;0,VLOOKUP(AE243,ODDS!$A$2:$C$13,3,0),"")</f>
        <v/>
      </c>
      <c r="AH243" s="906" t="str">
        <f t="shared" si="45"/>
        <v xml:space="preserve"> </v>
      </c>
      <c r="AI243" s="907" t="str">
        <f t="shared" si="47"/>
        <v xml:space="preserve"> </v>
      </c>
      <c r="AJ243" s="911"/>
      <c r="AK243" s="929"/>
    </row>
    <row r="244" spans="1:37" s="376" customFormat="1" ht="67.5" outlineLevel="2" x14ac:dyDescent="0.3">
      <c r="A244" s="447">
        <f t="shared" si="59"/>
        <v>27</v>
      </c>
      <c r="B244" s="893"/>
      <c r="C244" s="972"/>
      <c r="D244" s="923"/>
      <c r="E244" s="923"/>
      <c r="F244" s="896"/>
      <c r="G244" s="894"/>
      <c r="H244" s="924"/>
      <c r="I244" s="882"/>
      <c r="J244" s="925"/>
      <c r="K244" s="899" t="str">
        <f>IF(G244&lt;&gt;0,VLOOKUP(G244,'gia dat'!$A$1:$F$144,5,0)," ")</f>
        <v xml:space="preserve"> </v>
      </c>
      <c r="L244" s="899" t="str">
        <f>IF(G244&lt;&gt;0,VLOOKUP(G244,'gia dat'!$A$1:$F$144,6,0)," ")</f>
        <v xml:space="preserve"> </v>
      </c>
      <c r="M244" s="900" t="str">
        <f t="shared" si="54"/>
        <v xml:space="preserve"> </v>
      </c>
      <c r="N244" s="900" t="str">
        <f t="shared" si="55"/>
        <v xml:space="preserve"> </v>
      </c>
      <c r="O244" s="973" t="s">
        <v>135</v>
      </c>
      <c r="P244" s="926">
        <v>1</v>
      </c>
      <c r="Q244" s="900">
        <f>IF(O244&lt;&gt;0,VLOOKUP(O244,'Cây trong'!$A$2:$C$246,3,0)," ")</f>
        <v>228000</v>
      </c>
      <c r="R244" s="900">
        <f t="shared" si="44"/>
        <v>228000</v>
      </c>
      <c r="S244" s="975" t="s">
        <v>1844</v>
      </c>
      <c r="T244" s="974" t="s">
        <v>53</v>
      </c>
      <c r="U244" s="927">
        <v>9.24</v>
      </c>
      <c r="V244" s="925"/>
      <c r="W244" s="900">
        <f>IF(S244&lt;&gt;0,VLOOKUP(S244,VKT!$A$2:$G$415,7,0),"")</f>
        <v>770070</v>
      </c>
      <c r="X244" s="900">
        <f t="shared" si="53"/>
        <v>7115000</v>
      </c>
      <c r="Y244" s="925"/>
      <c r="Z244" s="928" t="s">
        <v>55</v>
      </c>
      <c r="AA244" s="928" t="s">
        <v>140</v>
      </c>
      <c r="AB244" s="904"/>
      <c r="AC244" s="928" t="s">
        <v>66</v>
      </c>
      <c r="AD244" s="904" t="s">
        <v>138</v>
      </c>
      <c r="AE244" s="904"/>
      <c r="AF244" s="899"/>
      <c r="AG244" s="906" t="str">
        <f>IF(AE244&lt;&gt;0,VLOOKUP(AE244,ODDS!$A$2:$C$13,3,0),"")</f>
        <v/>
      </c>
      <c r="AH244" s="906" t="str">
        <f t="shared" si="45"/>
        <v xml:space="preserve"> </v>
      </c>
      <c r="AI244" s="907" t="str">
        <f t="shared" si="47"/>
        <v xml:space="preserve"> </v>
      </c>
      <c r="AJ244" s="929"/>
      <c r="AK244" s="929"/>
    </row>
    <row r="245" spans="1:37" s="376" customFormat="1" ht="45" outlineLevel="2" x14ac:dyDescent="0.3">
      <c r="A245" s="447">
        <f t="shared" si="59"/>
        <v>27</v>
      </c>
      <c r="B245" s="893"/>
      <c r="C245" s="972"/>
      <c r="D245" s="923"/>
      <c r="E245" s="923"/>
      <c r="F245" s="896"/>
      <c r="G245" s="894"/>
      <c r="H245" s="924"/>
      <c r="I245" s="882"/>
      <c r="J245" s="925"/>
      <c r="K245" s="899" t="str">
        <f>IF(G245&lt;&gt;0,VLOOKUP(G245,'gia dat'!$A$1:$F$144,5,0)," ")</f>
        <v xml:space="preserve"> </v>
      </c>
      <c r="L245" s="899" t="str">
        <f>IF(G245&lt;&gt;0,VLOOKUP(G245,'gia dat'!$A$1:$F$144,6,0)," ")</f>
        <v xml:space="preserve"> </v>
      </c>
      <c r="M245" s="900" t="str">
        <f t="shared" si="54"/>
        <v xml:space="preserve"> </v>
      </c>
      <c r="N245" s="900" t="str">
        <f t="shared" si="55"/>
        <v xml:space="preserve"> </v>
      </c>
      <c r="O245" s="894" t="s">
        <v>409</v>
      </c>
      <c r="P245" s="926">
        <v>1</v>
      </c>
      <c r="Q245" s="900">
        <f>IF(O245&lt;&gt;0,VLOOKUP(O245,'Cây trong'!$A$2:$C$246,3,0)," ")</f>
        <v>72000</v>
      </c>
      <c r="R245" s="900">
        <f t="shared" si="44"/>
        <v>72000</v>
      </c>
      <c r="S245" s="902" t="s">
        <v>1844</v>
      </c>
      <c r="T245" s="925" t="s">
        <v>53</v>
      </c>
      <c r="U245" s="927">
        <v>3.52</v>
      </c>
      <c r="V245" s="925"/>
      <c r="W245" s="900">
        <f>IF(S245&lt;&gt;0,VLOOKUP(S245,VKT!$A$2:$G$415,7,0),"")</f>
        <v>770070</v>
      </c>
      <c r="X245" s="900">
        <f t="shared" si="53"/>
        <v>2711000</v>
      </c>
      <c r="Y245" s="925"/>
      <c r="Z245" s="928" t="s">
        <v>55</v>
      </c>
      <c r="AA245" s="928" t="s">
        <v>141</v>
      </c>
      <c r="AB245" s="904"/>
      <c r="AC245" s="928" t="s">
        <v>66</v>
      </c>
      <c r="AD245" s="928"/>
      <c r="AE245" s="928"/>
      <c r="AF245" s="926"/>
      <c r="AG245" s="906" t="str">
        <f>IF(AE245&lt;&gt;0,VLOOKUP(AE245,ODDS!$A$2:$C$13,3,0),"")</f>
        <v/>
      </c>
      <c r="AH245" s="906" t="str">
        <f t="shared" si="45"/>
        <v xml:space="preserve"> </v>
      </c>
      <c r="AI245" s="907" t="str">
        <f t="shared" si="47"/>
        <v xml:space="preserve"> </v>
      </c>
      <c r="AJ245" s="929"/>
      <c r="AK245" s="929"/>
    </row>
    <row r="246" spans="1:37" s="376" customFormat="1" ht="90" outlineLevel="2" x14ac:dyDescent="0.3">
      <c r="A246" s="447">
        <f t="shared" si="59"/>
        <v>27</v>
      </c>
      <c r="B246" s="893"/>
      <c r="C246" s="894"/>
      <c r="D246" s="923"/>
      <c r="E246" s="923"/>
      <c r="F246" s="896"/>
      <c r="G246" s="894"/>
      <c r="H246" s="924"/>
      <c r="I246" s="882"/>
      <c r="J246" s="925"/>
      <c r="K246" s="899" t="str">
        <f>IF(G246&lt;&gt;0,VLOOKUP(G246,'gia dat'!$A$1:$F$144,5,0)," ")</f>
        <v xml:space="preserve"> </v>
      </c>
      <c r="L246" s="899" t="str">
        <f>IF(G246&lt;&gt;0,VLOOKUP(G246,'gia dat'!$A$1:$F$144,6,0)," ")</f>
        <v xml:space="preserve"> </v>
      </c>
      <c r="M246" s="900" t="str">
        <f t="shared" si="54"/>
        <v xml:space="preserve"> </v>
      </c>
      <c r="N246" s="900" t="str">
        <f t="shared" si="55"/>
        <v xml:space="preserve"> </v>
      </c>
      <c r="O246" s="894" t="s">
        <v>468</v>
      </c>
      <c r="P246" s="926">
        <v>4</v>
      </c>
      <c r="Q246" s="900">
        <f>IF(O246&lt;&gt;0,VLOOKUP(O246,'Cây trong'!$A$2:$C$246,3,0)," ")</f>
        <v>10000</v>
      </c>
      <c r="R246" s="900">
        <f t="shared" si="44"/>
        <v>40000</v>
      </c>
      <c r="S246" s="902" t="s">
        <v>1844</v>
      </c>
      <c r="T246" s="925" t="s">
        <v>53</v>
      </c>
      <c r="U246" s="927">
        <v>5.2</v>
      </c>
      <c r="V246" s="925"/>
      <c r="W246" s="900">
        <f>IF(S246&lt;&gt;0,VLOOKUP(S246,VKT!$A$2:$G$415,7,0),"")</f>
        <v>770070</v>
      </c>
      <c r="X246" s="900">
        <f t="shared" si="53"/>
        <v>4004000</v>
      </c>
      <c r="Y246" s="925"/>
      <c r="Z246" s="928" t="s">
        <v>55</v>
      </c>
      <c r="AA246" s="928" t="s">
        <v>141</v>
      </c>
      <c r="AB246" s="904"/>
      <c r="AC246" s="928" t="s">
        <v>66</v>
      </c>
      <c r="AD246" s="928"/>
      <c r="AE246" s="928"/>
      <c r="AF246" s="926"/>
      <c r="AG246" s="906" t="str">
        <f>IF(AE246&lt;&gt;0,VLOOKUP(AE246,ODDS!$A$2:$C$13,3,0),"")</f>
        <v/>
      </c>
      <c r="AH246" s="906" t="str">
        <f t="shared" si="45"/>
        <v xml:space="preserve"> </v>
      </c>
      <c r="AI246" s="907" t="str">
        <f t="shared" si="47"/>
        <v xml:space="preserve"> </v>
      </c>
      <c r="AJ246" s="929"/>
      <c r="AK246" s="929"/>
    </row>
    <row r="247" spans="1:37" s="376" customFormat="1" ht="45" outlineLevel="2" x14ac:dyDescent="0.3">
      <c r="A247" s="447">
        <f t="shared" si="59"/>
        <v>27</v>
      </c>
      <c r="B247" s="893"/>
      <c r="C247" s="894"/>
      <c r="D247" s="923"/>
      <c r="E247" s="947"/>
      <c r="F247" s="947"/>
      <c r="G247" s="922"/>
      <c r="H247" s="924"/>
      <c r="I247" s="882"/>
      <c r="J247" s="929"/>
      <c r="K247" s="899" t="str">
        <f>IF(G247&lt;&gt;0,VLOOKUP(G247,'gia dat'!$A$1:$F$144,5,0)," ")</f>
        <v xml:space="preserve"> </v>
      </c>
      <c r="L247" s="899" t="str">
        <f>IF(G247&lt;&gt;0,VLOOKUP(G247,'gia dat'!$A$1:$F$144,6,0)," ")</f>
        <v xml:space="preserve"> </v>
      </c>
      <c r="M247" s="900" t="str">
        <f t="shared" si="54"/>
        <v xml:space="preserve"> </v>
      </c>
      <c r="N247" s="900" t="str">
        <f t="shared" si="55"/>
        <v xml:space="preserve"> </v>
      </c>
      <c r="O247" s="922"/>
      <c r="P247" s="965"/>
      <c r="Q247" s="900" t="str">
        <f>IF(O247&lt;&gt;0,VLOOKUP(O247,'Cây trong'!$A$2:$C$246,3,0)," ")</f>
        <v xml:space="preserve"> </v>
      </c>
      <c r="R247" s="900" t="str">
        <f t="shared" si="44"/>
        <v xml:space="preserve"> </v>
      </c>
      <c r="S247" s="922" t="s">
        <v>1845</v>
      </c>
      <c r="T247" s="944" t="s">
        <v>53</v>
      </c>
      <c r="U247" s="927">
        <v>9.2799999999999994</v>
      </c>
      <c r="V247" s="946"/>
      <c r="W247" s="900">
        <f>IF(S247&lt;&gt;0,VLOOKUP(S247,VKT!$A$2:$G$415,7,0),"")</f>
        <v>1175490</v>
      </c>
      <c r="X247" s="900">
        <f t="shared" si="53"/>
        <v>10909000</v>
      </c>
      <c r="Y247" s="925"/>
      <c r="Z247" s="928" t="s">
        <v>55</v>
      </c>
      <c r="AA247" s="928" t="s">
        <v>141</v>
      </c>
      <c r="AB247" s="904" t="s">
        <v>142</v>
      </c>
      <c r="AC247" s="928" t="s">
        <v>143</v>
      </c>
      <c r="AD247" s="928"/>
      <c r="AE247" s="928"/>
      <c r="AF247" s="926"/>
      <c r="AG247" s="906" t="str">
        <f>IF(AE247&lt;&gt;0,VLOOKUP(AE247,ODDS!$A$2:$C$13,3,0),"")</f>
        <v/>
      </c>
      <c r="AH247" s="906" t="str">
        <f t="shared" si="45"/>
        <v xml:space="preserve"> </v>
      </c>
      <c r="AI247" s="907" t="str">
        <f t="shared" si="47"/>
        <v xml:space="preserve"> </v>
      </c>
      <c r="AJ247" s="929"/>
      <c r="AK247" s="929"/>
    </row>
    <row r="248" spans="1:37" s="376" customFormat="1" ht="67.5" outlineLevel="2" x14ac:dyDescent="0.3">
      <c r="A248" s="447">
        <f t="shared" si="59"/>
        <v>27</v>
      </c>
      <c r="B248" s="893"/>
      <c r="C248" s="910"/>
      <c r="D248" s="923"/>
      <c r="E248" s="923"/>
      <c r="F248" s="896"/>
      <c r="G248" s="894"/>
      <c r="H248" s="924"/>
      <c r="I248" s="882"/>
      <c r="J248" s="929"/>
      <c r="K248" s="899" t="str">
        <f>IF(G248&lt;&gt;0,VLOOKUP(G248,'gia dat'!$A$1:$F$144,5,0)," ")</f>
        <v xml:space="preserve"> </v>
      </c>
      <c r="L248" s="899" t="str">
        <f>IF(G248&lt;&gt;0,VLOOKUP(G248,'gia dat'!$A$1:$F$144,6,0)," ")</f>
        <v xml:space="preserve"> </v>
      </c>
      <c r="M248" s="900" t="str">
        <f t="shared" si="54"/>
        <v xml:space="preserve"> </v>
      </c>
      <c r="N248" s="900" t="str">
        <f t="shared" si="55"/>
        <v xml:space="preserve"> </v>
      </c>
      <c r="O248" s="922"/>
      <c r="P248" s="965"/>
      <c r="Q248" s="900" t="str">
        <f>IF(O248&lt;&gt;0,VLOOKUP(O248,'Cây trong'!$A$2:$C$246,3,0)," ")</f>
        <v xml:space="preserve"> </v>
      </c>
      <c r="R248" s="900" t="str">
        <f t="shared" si="44"/>
        <v xml:space="preserve"> </v>
      </c>
      <c r="S248" s="922" t="s">
        <v>1846</v>
      </c>
      <c r="T248" s="944" t="s">
        <v>53</v>
      </c>
      <c r="U248" s="927">
        <v>7.34</v>
      </c>
      <c r="V248" s="946"/>
      <c r="W248" s="900">
        <f>IF(S248&lt;&gt;0,VLOOKUP(S248,VKT!$A$2:$G$415,7,0),"")</f>
        <v>238288</v>
      </c>
      <c r="X248" s="900">
        <f t="shared" si="53"/>
        <v>1749000</v>
      </c>
      <c r="Y248" s="925"/>
      <c r="Z248" s="928"/>
      <c r="AA248" s="928"/>
      <c r="AB248" s="904"/>
      <c r="AC248" s="928"/>
      <c r="AD248" s="928"/>
      <c r="AE248" s="928"/>
      <c r="AF248" s="926"/>
      <c r="AG248" s="906" t="str">
        <f>IF(AE248&lt;&gt;0,VLOOKUP(AE248,ODDS!$A$2:$C$13,3,0),"")</f>
        <v/>
      </c>
      <c r="AH248" s="906" t="str">
        <f t="shared" si="45"/>
        <v xml:space="preserve"> </v>
      </c>
      <c r="AI248" s="907" t="str">
        <f t="shared" si="47"/>
        <v xml:space="preserve"> </v>
      </c>
      <c r="AJ248" s="929"/>
      <c r="AK248" s="929"/>
    </row>
    <row r="249" spans="1:37" s="376" customFormat="1" ht="67.5" outlineLevel="2" x14ac:dyDescent="0.3">
      <c r="A249" s="447">
        <f t="shared" si="59"/>
        <v>27</v>
      </c>
      <c r="B249" s="893"/>
      <c r="C249" s="894"/>
      <c r="D249" s="923"/>
      <c r="E249" s="923"/>
      <c r="F249" s="896"/>
      <c r="G249" s="894"/>
      <c r="H249" s="924"/>
      <c r="I249" s="882"/>
      <c r="J249" s="929"/>
      <c r="K249" s="899" t="str">
        <f>IF(G249&lt;&gt;0,VLOOKUP(G249,'gia dat'!$A$1:$F$144,5,0)," ")</f>
        <v xml:space="preserve"> </v>
      </c>
      <c r="L249" s="899" t="str">
        <f>IF(G249&lt;&gt;0,VLOOKUP(G249,'gia dat'!$A$1:$F$144,6,0)," ")</f>
        <v xml:space="preserve"> </v>
      </c>
      <c r="M249" s="900" t="str">
        <f t="shared" si="54"/>
        <v xml:space="preserve"> </v>
      </c>
      <c r="N249" s="900" t="str">
        <f t="shared" si="55"/>
        <v xml:space="preserve"> </v>
      </c>
      <c r="O249" s="922"/>
      <c r="P249" s="965"/>
      <c r="Q249" s="900" t="str">
        <f>IF(O249&lt;&gt;0,VLOOKUP(O249,'Cây trong'!$A$2:$C$246,3,0)," ")</f>
        <v xml:space="preserve"> </v>
      </c>
      <c r="R249" s="900" t="str">
        <f t="shared" si="44"/>
        <v xml:space="preserve"> </v>
      </c>
      <c r="S249" s="922" t="s">
        <v>1847</v>
      </c>
      <c r="T249" s="944" t="s">
        <v>53</v>
      </c>
      <c r="U249" s="927">
        <v>1.2</v>
      </c>
      <c r="V249" s="946"/>
      <c r="W249" s="900">
        <f>IF(S249&lt;&gt;0,VLOOKUP(S249,VKT!$A$2:$G$415,7,0),"")</f>
        <v>1854271</v>
      </c>
      <c r="X249" s="900">
        <f t="shared" si="53"/>
        <v>2225000</v>
      </c>
      <c r="Y249" s="925"/>
      <c r="Z249" s="928"/>
      <c r="AA249" s="928"/>
      <c r="AB249" s="904"/>
      <c r="AC249" s="928"/>
      <c r="AD249" s="928"/>
      <c r="AE249" s="928"/>
      <c r="AF249" s="926"/>
      <c r="AG249" s="906" t="str">
        <f>IF(AE249&lt;&gt;0,VLOOKUP(AE249,ODDS!$A$2:$C$13,3,0),"")</f>
        <v/>
      </c>
      <c r="AH249" s="906" t="str">
        <f t="shared" si="45"/>
        <v xml:space="preserve"> </v>
      </c>
      <c r="AI249" s="907" t="str">
        <f t="shared" si="47"/>
        <v xml:space="preserve"> </v>
      </c>
      <c r="AJ249" s="929"/>
      <c r="AK249" s="929"/>
    </row>
    <row r="250" spans="1:37" s="376" customFormat="1" ht="45" outlineLevel="2" x14ac:dyDescent="0.3">
      <c r="A250" s="447">
        <f t="shared" si="59"/>
        <v>27</v>
      </c>
      <c r="B250" s="893"/>
      <c r="C250" s="894"/>
      <c r="D250" s="923"/>
      <c r="E250" s="923"/>
      <c r="F250" s="896"/>
      <c r="G250" s="894"/>
      <c r="H250" s="924"/>
      <c r="I250" s="882"/>
      <c r="J250" s="929"/>
      <c r="K250" s="899" t="str">
        <f>IF(G250&lt;&gt;0,VLOOKUP(G250,'gia dat'!$A$1:$F$144,5,0)," ")</f>
        <v xml:space="preserve"> </v>
      </c>
      <c r="L250" s="899" t="str">
        <f>IF(G250&lt;&gt;0,VLOOKUP(G250,'gia dat'!$A$1:$F$144,6,0)," ")</f>
        <v xml:space="preserve"> </v>
      </c>
      <c r="M250" s="900" t="str">
        <f t="shared" si="54"/>
        <v xml:space="preserve"> </v>
      </c>
      <c r="N250" s="900" t="str">
        <f t="shared" si="55"/>
        <v xml:space="preserve"> </v>
      </c>
      <c r="O250" s="922"/>
      <c r="P250" s="965"/>
      <c r="Q250" s="900" t="str">
        <f>IF(O250&lt;&gt;0,VLOOKUP(O250,'Cây trong'!$A$2:$C$246,3,0)," ")</f>
        <v xml:space="preserve"> </v>
      </c>
      <c r="R250" s="900" t="str">
        <f t="shared" si="44"/>
        <v xml:space="preserve"> </v>
      </c>
      <c r="S250" s="922" t="s">
        <v>1848</v>
      </c>
      <c r="T250" s="944" t="s">
        <v>53</v>
      </c>
      <c r="U250" s="927">
        <v>2.2000000000000002</v>
      </c>
      <c r="V250" s="946"/>
      <c r="W250" s="900">
        <f>IF(S250&lt;&gt;0,VLOOKUP(S250,VKT!$A$2:$G$415,7,0),"")</f>
        <v>0</v>
      </c>
      <c r="X250" s="900">
        <f t="shared" si="53"/>
        <v>0</v>
      </c>
      <c r="Y250" s="925"/>
      <c r="Z250" s="928"/>
      <c r="AA250" s="928"/>
      <c r="AB250" s="904"/>
      <c r="AC250" s="928"/>
      <c r="AD250" s="928"/>
      <c r="AE250" s="928"/>
      <c r="AF250" s="926"/>
      <c r="AG250" s="906" t="str">
        <f>IF(AE250&lt;&gt;0,VLOOKUP(AE250,ODDS!$A$2:$C$13,3,0),"")</f>
        <v/>
      </c>
      <c r="AH250" s="906" t="str">
        <f t="shared" si="45"/>
        <v xml:space="preserve"> </v>
      </c>
      <c r="AI250" s="907" t="str">
        <f t="shared" si="47"/>
        <v xml:space="preserve"> </v>
      </c>
      <c r="AJ250" s="929"/>
      <c r="AK250" s="929"/>
    </row>
    <row r="251" spans="1:37" s="376" customFormat="1" ht="22.5" outlineLevel="2" x14ac:dyDescent="0.3">
      <c r="A251" s="447">
        <f t="shared" si="59"/>
        <v>27</v>
      </c>
      <c r="B251" s="893"/>
      <c r="C251" s="894"/>
      <c r="D251" s="923"/>
      <c r="E251" s="923"/>
      <c r="F251" s="896"/>
      <c r="G251" s="894"/>
      <c r="H251" s="924"/>
      <c r="I251" s="882"/>
      <c r="J251" s="929"/>
      <c r="K251" s="899" t="str">
        <f>IF(G251&lt;&gt;0,VLOOKUP(G251,'gia dat'!$A$1:$F$144,5,0)," ")</f>
        <v xml:space="preserve"> </v>
      </c>
      <c r="L251" s="899" t="str">
        <f>IF(G251&lt;&gt;0,VLOOKUP(G251,'gia dat'!$A$1:$F$144,6,0)," ")</f>
        <v xml:space="preserve"> </v>
      </c>
      <c r="M251" s="900" t="str">
        <f t="shared" si="54"/>
        <v xml:space="preserve"> </v>
      </c>
      <c r="N251" s="900" t="str">
        <f t="shared" si="55"/>
        <v xml:space="preserve"> </v>
      </c>
      <c r="O251" s="922"/>
      <c r="P251" s="965"/>
      <c r="Q251" s="900" t="str">
        <f>IF(O251&lt;&gt;0,VLOOKUP(O251,'Cây trong'!$A$2:$C$246,3,0)," ")</f>
        <v xml:space="preserve"> </v>
      </c>
      <c r="R251" s="900" t="str">
        <f t="shared" si="44"/>
        <v xml:space="preserve"> </v>
      </c>
      <c r="S251" s="929" t="s">
        <v>1848</v>
      </c>
      <c r="T251" s="944" t="s">
        <v>53</v>
      </c>
      <c r="U251" s="927">
        <v>1.6</v>
      </c>
      <c r="V251" s="946"/>
      <c r="W251" s="900">
        <f>IF(S251&lt;&gt;0,VLOOKUP(S251,VKT!$A$2:$G$415,7,0),"")</f>
        <v>0</v>
      </c>
      <c r="X251" s="900">
        <f t="shared" si="53"/>
        <v>0</v>
      </c>
      <c r="Y251" s="925"/>
      <c r="Z251" s="928"/>
      <c r="AA251" s="928"/>
      <c r="AB251" s="904"/>
      <c r="AC251" s="928"/>
      <c r="AD251" s="928"/>
      <c r="AE251" s="928"/>
      <c r="AF251" s="926"/>
      <c r="AG251" s="906" t="str">
        <f>IF(AE251&lt;&gt;0,VLOOKUP(AE251,ODDS!$A$2:$C$13,3,0),"")</f>
        <v/>
      </c>
      <c r="AH251" s="906" t="str">
        <f t="shared" si="45"/>
        <v xml:space="preserve"> </v>
      </c>
      <c r="AI251" s="907" t="str">
        <f t="shared" si="47"/>
        <v xml:space="preserve"> </v>
      </c>
      <c r="AJ251" s="929"/>
      <c r="AK251" s="929"/>
    </row>
    <row r="252" spans="1:37" s="376" customFormat="1" ht="45" outlineLevel="2" x14ac:dyDescent="0.3">
      <c r="A252" s="447">
        <f t="shared" si="59"/>
        <v>27</v>
      </c>
      <c r="B252" s="893"/>
      <c r="C252" s="894"/>
      <c r="D252" s="923"/>
      <c r="E252" s="923"/>
      <c r="F252" s="896"/>
      <c r="G252" s="894"/>
      <c r="H252" s="924"/>
      <c r="I252" s="882"/>
      <c r="J252" s="929"/>
      <c r="K252" s="899" t="str">
        <f>IF(G252&lt;&gt;0,VLOOKUP(G252,'gia dat'!$A$1:$F$144,5,0)," ")</f>
        <v xml:space="preserve"> </v>
      </c>
      <c r="L252" s="899" t="str">
        <f>IF(G252&lt;&gt;0,VLOOKUP(G252,'gia dat'!$A$1:$F$144,6,0)," ")</f>
        <v xml:space="preserve"> </v>
      </c>
      <c r="M252" s="900" t="str">
        <f t="shared" si="54"/>
        <v xml:space="preserve"> </v>
      </c>
      <c r="N252" s="900" t="str">
        <f t="shared" si="55"/>
        <v xml:space="preserve"> </v>
      </c>
      <c r="O252" s="922"/>
      <c r="P252" s="965"/>
      <c r="Q252" s="900" t="str">
        <f>IF(O252&lt;&gt;0,VLOOKUP(O252,'Cây trong'!$A$2:$C$246,3,0)," ")</f>
        <v xml:space="preserve"> </v>
      </c>
      <c r="R252" s="900" t="str">
        <f t="shared" si="44"/>
        <v xml:space="preserve"> </v>
      </c>
      <c r="S252" s="922" t="s">
        <v>1849</v>
      </c>
      <c r="T252" s="944" t="s">
        <v>53</v>
      </c>
      <c r="U252" s="927">
        <v>37.4</v>
      </c>
      <c r="V252" s="946"/>
      <c r="W252" s="900">
        <f>IF(S252&lt;&gt;0,VLOOKUP(S252,VKT!$A$2:$G$415,7,0),"")</f>
        <v>72865</v>
      </c>
      <c r="X252" s="900">
        <f t="shared" si="53"/>
        <v>2725000</v>
      </c>
      <c r="Y252" s="944"/>
      <c r="Z252" s="976"/>
      <c r="AA252" s="928"/>
      <c r="AB252" s="904"/>
      <c r="AC252" s="928"/>
      <c r="AD252" s="928"/>
      <c r="AE252" s="928"/>
      <c r="AF252" s="926"/>
      <c r="AG252" s="906" t="str">
        <f>IF(AE252&lt;&gt;0,VLOOKUP(AE252,ODDS!$A$2:$C$13,3,0),"")</f>
        <v/>
      </c>
      <c r="AH252" s="906" t="str">
        <f t="shared" si="45"/>
        <v xml:space="preserve"> </v>
      </c>
      <c r="AI252" s="907" t="str">
        <f t="shared" si="47"/>
        <v xml:space="preserve"> </v>
      </c>
      <c r="AJ252" s="929"/>
      <c r="AK252" s="929"/>
    </row>
    <row r="253" spans="1:37" s="376" customFormat="1" ht="67.5" outlineLevel="2" x14ac:dyDescent="0.3">
      <c r="A253" s="447">
        <f t="shared" si="59"/>
        <v>27</v>
      </c>
      <c r="B253" s="893"/>
      <c r="C253" s="894"/>
      <c r="D253" s="923"/>
      <c r="E253" s="923"/>
      <c r="F253" s="896"/>
      <c r="G253" s="894"/>
      <c r="H253" s="924"/>
      <c r="I253" s="882"/>
      <c r="J253" s="929"/>
      <c r="K253" s="899" t="str">
        <f>IF(G253&lt;&gt;0,VLOOKUP(G253,'gia dat'!$A$1:$F$144,5,0)," ")</f>
        <v xml:space="preserve"> </v>
      </c>
      <c r="L253" s="899" t="str">
        <f>IF(G253&lt;&gt;0,VLOOKUP(G253,'gia dat'!$A$1:$F$144,6,0)," ")</f>
        <v xml:space="preserve"> </v>
      </c>
      <c r="M253" s="900" t="str">
        <f t="shared" si="54"/>
        <v xml:space="preserve"> </v>
      </c>
      <c r="N253" s="900" t="str">
        <f t="shared" si="55"/>
        <v xml:space="preserve"> </v>
      </c>
      <c r="O253" s="922"/>
      <c r="P253" s="965"/>
      <c r="Q253" s="900" t="str">
        <f>IF(O253&lt;&gt;0,VLOOKUP(O253,'Cây trong'!$A$2:$C$246,3,0)," ")</f>
        <v xml:space="preserve"> </v>
      </c>
      <c r="R253" s="900" t="str">
        <f t="shared" si="44"/>
        <v xml:space="preserve"> </v>
      </c>
      <c r="S253" s="922" t="s">
        <v>1850</v>
      </c>
      <c r="T253" s="944" t="s">
        <v>53</v>
      </c>
      <c r="U253" s="927">
        <v>50.4</v>
      </c>
      <c r="V253" s="946"/>
      <c r="W253" s="900">
        <f>IF(S253&lt;&gt;0,VLOOKUP(S253,VKT!$A$2:$G$415,7,0),"")</f>
        <v>177161</v>
      </c>
      <c r="X253" s="900">
        <f t="shared" si="53"/>
        <v>8929000</v>
      </c>
      <c r="Y253" s="944"/>
      <c r="Z253" s="976"/>
      <c r="AA253" s="928"/>
      <c r="AB253" s="904"/>
      <c r="AC253" s="928"/>
      <c r="AD253" s="928"/>
      <c r="AE253" s="928"/>
      <c r="AF253" s="926"/>
      <c r="AG253" s="906" t="str">
        <f>IF(AE253&lt;&gt;0,VLOOKUP(AE253,ODDS!$A$2:$C$13,3,0),"")</f>
        <v/>
      </c>
      <c r="AH253" s="906" t="str">
        <f t="shared" si="45"/>
        <v xml:space="preserve"> </v>
      </c>
      <c r="AI253" s="907" t="str">
        <f t="shared" si="47"/>
        <v xml:space="preserve"> </v>
      </c>
      <c r="AJ253" s="929"/>
      <c r="AK253" s="929"/>
    </row>
    <row r="254" spans="1:37" s="376" customFormat="1" ht="45" outlineLevel="2" x14ac:dyDescent="0.3">
      <c r="A254" s="447">
        <f t="shared" si="59"/>
        <v>27</v>
      </c>
      <c r="B254" s="893"/>
      <c r="C254" s="894"/>
      <c r="D254" s="923"/>
      <c r="E254" s="923"/>
      <c r="F254" s="896"/>
      <c r="G254" s="894"/>
      <c r="H254" s="924"/>
      <c r="I254" s="882"/>
      <c r="J254" s="929"/>
      <c r="K254" s="899" t="str">
        <f>IF(G254&lt;&gt;0,VLOOKUP(G254,'gia dat'!$A$1:$F$144,5,0)," ")</f>
        <v xml:space="preserve"> </v>
      </c>
      <c r="L254" s="899" t="str">
        <f>IF(G254&lt;&gt;0,VLOOKUP(G254,'gia dat'!$A$1:$F$144,6,0)," ")</f>
        <v xml:space="preserve"> </v>
      </c>
      <c r="M254" s="900" t="str">
        <f t="shared" si="54"/>
        <v xml:space="preserve"> </v>
      </c>
      <c r="N254" s="900" t="str">
        <f t="shared" si="55"/>
        <v xml:space="preserve"> </v>
      </c>
      <c r="O254" s="922"/>
      <c r="P254" s="965"/>
      <c r="Q254" s="900" t="str">
        <f>IF(O254&lt;&gt;0,VLOOKUP(O254,'Cây trong'!$A$2:$C$246,3,0)," ")</f>
        <v xml:space="preserve"> </v>
      </c>
      <c r="R254" s="900" t="str">
        <f t="shared" si="44"/>
        <v xml:space="preserve"> </v>
      </c>
      <c r="S254" s="922" t="s">
        <v>1776</v>
      </c>
      <c r="T254" s="944" t="s">
        <v>53</v>
      </c>
      <c r="U254" s="927">
        <v>15.54</v>
      </c>
      <c r="V254" s="946"/>
      <c r="W254" s="900">
        <f>IF(S254&lt;&gt;0,VLOOKUP(S254,VKT!$A$2:$G$415,7,0),"")</f>
        <v>177161</v>
      </c>
      <c r="X254" s="900">
        <f t="shared" si="53"/>
        <v>2753000</v>
      </c>
      <c r="Y254" s="925"/>
      <c r="Z254" s="928"/>
      <c r="AA254" s="928"/>
      <c r="AB254" s="904"/>
      <c r="AC254" s="928"/>
      <c r="AD254" s="928"/>
      <c r="AE254" s="928"/>
      <c r="AF254" s="926"/>
      <c r="AG254" s="906" t="str">
        <f>IF(AE254&lt;&gt;0,VLOOKUP(AE254,ODDS!$A$2:$C$13,3,0),"")</f>
        <v/>
      </c>
      <c r="AH254" s="906" t="str">
        <f t="shared" si="45"/>
        <v xml:space="preserve"> </v>
      </c>
      <c r="AI254" s="907" t="str">
        <f t="shared" si="47"/>
        <v xml:space="preserve"> </v>
      </c>
      <c r="AJ254" s="929"/>
      <c r="AK254" s="929"/>
    </row>
    <row r="255" spans="1:37" s="376" customFormat="1" ht="45" outlineLevel="2" x14ac:dyDescent="0.3">
      <c r="A255" s="447">
        <f t="shared" si="59"/>
        <v>27</v>
      </c>
      <c r="B255" s="893"/>
      <c r="C255" s="894"/>
      <c r="D255" s="923"/>
      <c r="E255" s="923"/>
      <c r="F255" s="896"/>
      <c r="G255" s="894"/>
      <c r="H255" s="924"/>
      <c r="I255" s="882"/>
      <c r="J255" s="929"/>
      <c r="K255" s="899" t="str">
        <f>IF(G255&lt;&gt;0,VLOOKUP(G255,'gia dat'!$A$1:$F$144,5,0)," ")</f>
        <v xml:space="preserve"> </v>
      </c>
      <c r="L255" s="899" t="str">
        <f>IF(G255&lt;&gt;0,VLOOKUP(G255,'gia dat'!$A$1:$F$144,6,0)," ")</f>
        <v xml:space="preserve"> </v>
      </c>
      <c r="M255" s="900" t="str">
        <f t="shared" si="54"/>
        <v xml:space="preserve"> </v>
      </c>
      <c r="N255" s="900" t="str">
        <f t="shared" si="55"/>
        <v xml:space="preserve"> </v>
      </c>
      <c r="O255" s="922"/>
      <c r="P255" s="965"/>
      <c r="Q255" s="900" t="str">
        <f>IF(O255&lt;&gt;0,VLOOKUP(O255,'Cây trong'!$A$2:$C$246,3,0)," ")</f>
        <v xml:space="preserve"> </v>
      </c>
      <c r="R255" s="900" t="str">
        <f t="shared" si="44"/>
        <v xml:space="preserve"> </v>
      </c>
      <c r="S255" s="922" t="s">
        <v>1849</v>
      </c>
      <c r="T255" s="944" t="s">
        <v>53</v>
      </c>
      <c r="U255" s="927">
        <v>9.24</v>
      </c>
      <c r="V255" s="946"/>
      <c r="W255" s="900">
        <f>IF(S255&lt;&gt;0,VLOOKUP(S255,VKT!$A$2:$G$415,7,0),"")</f>
        <v>72865</v>
      </c>
      <c r="X255" s="900">
        <f t="shared" si="53"/>
        <v>673000</v>
      </c>
      <c r="Y255" s="925"/>
      <c r="Z255" s="928"/>
      <c r="AA255" s="928"/>
      <c r="AB255" s="904"/>
      <c r="AC255" s="928"/>
      <c r="AD255" s="928"/>
      <c r="AE255" s="928"/>
      <c r="AF255" s="926"/>
      <c r="AG255" s="906" t="str">
        <f>IF(AE255&lt;&gt;0,VLOOKUP(AE255,ODDS!$A$2:$C$13,3,0),"")</f>
        <v/>
      </c>
      <c r="AH255" s="906" t="str">
        <f t="shared" si="45"/>
        <v xml:space="preserve"> </v>
      </c>
      <c r="AI255" s="907" t="str">
        <f t="shared" si="47"/>
        <v xml:space="preserve"> </v>
      </c>
      <c r="AJ255" s="929"/>
      <c r="AK255" s="929"/>
    </row>
    <row r="256" spans="1:37" s="376" customFormat="1" ht="45" outlineLevel="2" x14ac:dyDescent="0.3">
      <c r="A256" s="447">
        <f t="shared" si="59"/>
        <v>27</v>
      </c>
      <c r="B256" s="893"/>
      <c r="C256" s="894"/>
      <c r="D256" s="923"/>
      <c r="E256" s="923"/>
      <c r="F256" s="896"/>
      <c r="G256" s="894"/>
      <c r="H256" s="924"/>
      <c r="I256" s="882"/>
      <c r="J256" s="929"/>
      <c r="K256" s="899" t="str">
        <f>IF(G256&lt;&gt;0,VLOOKUP(G256,'gia dat'!$A$1:$F$144,5,0)," ")</f>
        <v xml:space="preserve"> </v>
      </c>
      <c r="L256" s="899" t="str">
        <f>IF(G256&lt;&gt;0,VLOOKUP(G256,'gia dat'!$A$1:$F$144,6,0)," ")</f>
        <v xml:space="preserve"> </v>
      </c>
      <c r="M256" s="900" t="str">
        <f t="shared" si="54"/>
        <v xml:space="preserve"> </v>
      </c>
      <c r="N256" s="900" t="str">
        <f t="shared" si="55"/>
        <v xml:space="preserve"> </v>
      </c>
      <c r="O256" s="922"/>
      <c r="P256" s="965"/>
      <c r="Q256" s="900" t="str">
        <f>IF(O256&lt;&gt;0,VLOOKUP(O256,'Cây trong'!$A$2:$C$246,3,0)," ")</f>
        <v xml:space="preserve"> </v>
      </c>
      <c r="R256" s="900" t="str">
        <f t="shared" si="44"/>
        <v xml:space="preserve"> </v>
      </c>
      <c r="S256" s="922" t="s">
        <v>1767</v>
      </c>
      <c r="T256" s="944" t="s">
        <v>53</v>
      </c>
      <c r="U256" s="927">
        <v>28.32</v>
      </c>
      <c r="V256" s="946"/>
      <c r="W256" s="900">
        <f>IF(S256&lt;&gt;0,VLOOKUP(S256,VKT!$A$2:$G$415,7,0),"")</f>
        <v>0</v>
      </c>
      <c r="X256" s="900">
        <f t="shared" si="53"/>
        <v>0</v>
      </c>
      <c r="Y256" s="925"/>
      <c r="Z256" s="928"/>
      <c r="AA256" s="928"/>
      <c r="AB256" s="904"/>
      <c r="AC256" s="928"/>
      <c r="AD256" s="928"/>
      <c r="AE256" s="928"/>
      <c r="AF256" s="926"/>
      <c r="AG256" s="906" t="str">
        <f>IF(AE256&lt;&gt;0,VLOOKUP(AE256,ODDS!$A$2:$C$13,3,0),"")</f>
        <v/>
      </c>
      <c r="AH256" s="906" t="str">
        <f t="shared" si="45"/>
        <v xml:space="preserve"> </v>
      </c>
      <c r="AI256" s="907" t="str">
        <f t="shared" si="47"/>
        <v xml:space="preserve"> </v>
      </c>
      <c r="AJ256" s="929"/>
      <c r="AK256" s="929"/>
    </row>
    <row r="257" spans="1:39" s="376" customFormat="1" ht="67.5" outlineLevel="2" x14ac:dyDescent="0.3">
      <c r="A257" s="447">
        <f t="shared" si="59"/>
        <v>27</v>
      </c>
      <c r="B257" s="893"/>
      <c r="C257" s="894"/>
      <c r="D257" s="923"/>
      <c r="E257" s="923"/>
      <c r="F257" s="896"/>
      <c r="G257" s="894"/>
      <c r="H257" s="924"/>
      <c r="I257" s="882"/>
      <c r="J257" s="929"/>
      <c r="K257" s="899" t="str">
        <f>IF(G257&lt;&gt;0,VLOOKUP(G257,'gia dat'!$A$1:$F$144,5,0)," ")</f>
        <v xml:space="preserve"> </v>
      </c>
      <c r="L257" s="899" t="str">
        <f>IF(G257&lt;&gt;0,VLOOKUP(G257,'gia dat'!$A$1:$F$144,6,0)," ")</f>
        <v xml:space="preserve"> </v>
      </c>
      <c r="M257" s="900" t="str">
        <f t="shared" si="54"/>
        <v xml:space="preserve"> </v>
      </c>
      <c r="N257" s="900" t="str">
        <f t="shared" si="55"/>
        <v xml:space="preserve"> </v>
      </c>
      <c r="O257" s="922"/>
      <c r="P257" s="965"/>
      <c r="Q257" s="900" t="str">
        <f>IF(O257&lt;&gt;0,VLOOKUP(O257,'Cây trong'!$A$2:$C$246,3,0)," ")</f>
        <v xml:space="preserve"> </v>
      </c>
      <c r="R257" s="900" t="str">
        <f t="shared" si="44"/>
        <v xml:space="preserve"> </v>
      </c>
      <c r="S257" s="922" t="s">
        <v>1768</v>
      </c>
      <c r="T257" s="944" t="s">
        <v>53</v>
      </c>
      <c r="U257" s="927">
        <v>28.32</v>
      </c>
      <c r="V257" s="946"/>
      <c r="W257" s="900">
        <f>IF(S257&lt;&gt;0,VLOOKUP(S257,VKT!$A$2:$G$415,7,0),"")</f>
        <v>238288</v>
      </c>
      <c r="X257" s="900">
        <f t="shared" si="53"/>
        <v>6748000</v>
      </c>
      <c r="Y257" s="925"/>
      <c r="Z257" s="928"/>
      <c r="AA257" s="928"/>
      <c r="AB257" s="904"/>
      <c r="AC257" s="928"/>
      <c r="AD257" s="928"/>
      <c r="AE257" s="928"/>
      <c r="AF257" s="926"/>
      <c r="AG257" s="906" t="str">
        <f>IF(AE257&lt;&gt;0,VLOOKUP(AE257,ODDS!$A$2:$C$13,3,0),"")</f>
        <v/>
      </c>
      <c r="AH257" s="906" t="str">
        <f t="shared" si="45"/>
        <v xml:space="preserve"> </v>
      </c>
      <c r="AI257" s="907" t="str">
        <f t="shared" si="47"/>
        <v xml:space="preserve"> </v>
      </c>
      <c r="AJ257" s="929"/>
      <c r="AK257" s="929"/>
    </row>
    <row r="258" spans="1:39" s="376" customFormat="1" ht="22.5" outlineLevel="2" x14ac:dyDescent="0.3">
      <c r="A258" s="447">
        <f t="shared" si="59"/>
        <v>27</v>
      </c>
      <c r="B258" s="893"/>
      <c r="C258" s="894"/>
      <c r="D258" s="923"/>
      <c r="E258" s="923"/>
      <c r="F258" s="896"/>
      <c r="G258" s="894"/>
      <c r="H258" s="924"/>
      <c r="I258" s="882"/>
      <c r="J258" s="929"/>
      <c r="K258" s="899" t="str">
        <f>IF(G258&lt;&gt;0,VLOOKUP(G258,'gia dat'!$A$1:$F$144,5,0)," ")</f>
        <v xml:space="preserve"> </v>
      </c>
      <c r="L258" s="899" t="str">
        <f>IF(G258&lt;&gt;0,VLOOKUP(G258,'gia dat'!$A$1:$F$144,6,0)," ")</f>
        <v xml:space="preserve"> </v>
      </c>
      <c r="M258" s="900" t="str">
        <f t="shared" si="54"/>
        <v xml:space="preserve"> </v>
      </c>
      <c r="N258" s="900" t="str">
        <f t="shared" si="55"/>
        <v xml:space="preserve"> </v>
      </c>
      <c r="O258" s="922"/>
      <c r="P258" s="965"/>
      <c r="Q258" s="900" t="str">
        <f>IF(O258&lt;&gt;0,VLOOKUP(O258,'Cây trong'!$A$2:$C$246,3,0)," ")</f>
        <v xml:space="preserve"> </v>
      </c>
      <c r="R258" s="900" t="str">
        <f t="shared" si="44"/>
        <v xml:space="preserve"> </v>
      </c>
      <c r="S258" s="922"/>
      <c r="T258" s="944"/>
      <c r="U258" s="927"/>
      <c r="V258" s="946"/>
      <c r="W258" s="900" t="str">
        <f>IF(S258&lt;&gt;0,VLOOKUP(S258,VKT!$A$2:$G$415,7,0),"")</f>
        <v/>
      </c>
      <c r="X258" s="900" t="str">
        <f t="shared" si="53"/>
        <v xml:space="preserve"> </v>
      </c>
      <c r="Y258" s="925"/>
      <c r="Z258" s="928"/>
      <c r="AA258" s="928"/>
      <c r="AB258" s="904"/>
      <c r="AC258" s="928"/>
      <c r="AD258" s="928"/>
      <c r="AE258" s="928"/>
      <c r="AF258" s="926"/>
      <c r="AG258" s="906" t="str">
        <f>IF(AE258&lt;&gt;0,VLOOKUP(AE258,ODDS!$A$2:$C$13,3,0),"")</f>
        <v/>
      </c>
      <c r="AH258" s="906" t="str">
        <f t="shared" si="45"/>
        <v xml:space="preserve"> </v>
      </c>
      <c r="AI258" s="907" t="str">
        <f t="shared" si="47"/>
        <v xml:space="preserve"> </v>
      </c>
      <c r="AJ258" s="929"/>
      <c r="AK258" s="929"/>
    </row>
    <row r="259" spans="1:39" s="376" customFormat="1" ht="22.5" outlineLevel="2" x14ac:dyDescent="0.3">
      <c r="A259" s="447">
        <f t="shared" si="59"/>
        <v>27</v>
      </c>
      <c r="B259" s="893"/>
      <c r="C259" s="894"/>
      <c r="D259" s="923"/>
      <c r="E259" s="923"/>
      <c r="F259" s="950"/>
      <c r="G259" s="894"/>
      <c r="H259" s="940"/>
      <c r="I259" s="882"/>
      <c r="J259" s="929"/>
      <c r="K259" s="899" t="str">
        <f>IF(G259&lt;&gt;0,VLOOKUP(G259,'gia dat'!$A$1:$F$144,5,0)," ")</f>
        <v xml:space="preserve"> </v>
      </c>
      <c r="L259" s="899" t="str">
        <f>IF(G259&lt;&gt;0,VLOOKUP(G259,'gia dat'!$A$1:$F$144,6,0)," ")</f>
        <v xml:space="preserve"> </v>
      </c>
      <c r="M259" s="900" t="str">
        <f t="shared" si="54"/>
        <v xml:space="preserve"> </v>
      </c>
      <c r="N259" s="900" t="str">
        <f t="shared" si="55"/>
        <v xml:space="preserve"> </v>
      </c>
      <c r="O259" s="929"/>
      <c r="P259" s="951"/>
      <c r="Q259" s="900" t="str">
        <f>IF(O259&lt;&gt;0,VLOOKUP(O259,'Cây trong'!$A$2:$C$246,3,0)," ")</f>
        <v xml:space="preserve"> </v>
      </c>
      <c r="R259" s="900" t="str">
        <f t="shared" si="44"/>
        <v xml:space="preserve"> </v>
      </c>
      <c r="S259" s="929"/>
      <c r="T259" s="929"/>
      <c r="U259" s="952"/>
      <c r="V259" s="925"/>
      <c r="W259" s="900" t="str">
        <f>IF(S259&lt;&gt;0,VLOOKUP(S259,VKT!$A$2:$G$415,7,0),"")</f>
        <v/>
      </c>
      <c r="X259" s="900" t="str">
        <f t="shared" si="53"/>
        <v xml:space="preserve"> </v>
      </c>
      <c r="Y259" s="925"/>
      <c r="Z259" s="925"/>
      <c r="AA259" s="925"/>
      <c r="AB259" s="898"/>
      <c r="AC259" s="925"/>
      <c r="AD259" s="925"/>
      <c r="AE259" s="925"/>
      <c r="AF259" s="964"/>
      <c r="AG259" s="906" t="str">
        <f>IF(AE259&lt;&gt;0,VLOOKUP(AE259,ODDS!$A$2:$C$13,3,0),"")</f>
        <v/>
      </c>
      <c r="AH259" s="906" t="str">
        <f t="shared" si="45"/>
        <v xml:space="preserve"> </v>
      </c>
      <c r="AI259" s="907" t="str">
        <f t="shared" si="47"/>
        <v xml:space="preserve"> </v>
      </c>
      <c r="AJ259" s="929"/>
      <c r="AK259" s="929"/>
    </row>
    <row r="260" spans="1:39" s="376" customFormat="1" ht="22.5" outlineLevel="2" x14ac:dyDescent="0.3">
      <c r="A260" s="447">
        <f t="shared" si="59"/>
        <v>27</v>
      </c>
      <c r="B260" s="893"/>
      <c r="C260" s="894"/>
      <c r="D260" s="923"/>
      <c r="E260" s="923"/>
      <c r="F260" s="950"/>
      <c r="G260" s="894"/>
      <c r="H260" s="940"/>
      <c r="I260" s="882"/>
      <c r="J260" s="929"/>
      <c r="K260" s="899" t="str">
        <f>IF(G260&lt;&gt;0,VLOOKUP(G260,'gia dat'!$A$1:$F$144,5,0)," ")</f>
        <v xml:space="preserve"> </v>
      </c>
      <c r="L260" s="899" t="str">
        <f>IF(G260&lt;&gt;0,VLOOKUP(G260,'gia dat'!$A$1:$F$144,6,0)," ")</f>
        <v xml:space="preserve"> </v>
      </c>
      <c r="M260" s="900" t="str">
        <f t="shared" si="54"/>
        <v xml:space="preserve"> </v>
      </c>
      <c r="N260" s="900" t="str">
        <f t="shared" si="55"/>
        <v xml:space="preserve"> </v>
      </c>
      <c r="O260" s="929"/>
      <c r="P260" s="951"/>
      <c r="Q260" s="900" t="str">
        <f>IF(O260&lt;&gt;0,VLOOKUP(O260,'Cây trong'!$A$2:$C$246,3,0)," ")</f>
        <v xml:space="preserve"> </v>
      </c>
      <c r="R260" s="900" t="str">
        <f t="shared" si="44"/>
        <v xml:space="preserve"> </v>
      </c>
      <c r="S260" s="929"/>
      <c r="T260" s="929"/>
      <c r="U260" s="952"/>
      <c r="V260" s="925"/>
      <c r="W260" s="900" t="str">
        <f>IF(S260&lt;&gt;0,VLOOKUP(S260,VKT!$A$2:$G$415,7,0),"")</f>
        <v/>
      </c>
      <c r="X260" s="900" t="str">
        <f t="shared" si="53"/>
        <v xml:space="preserve"> </v>
      </c>
      <c r="Y260" s="925"/>
      <c r="Z260" s="925"/>
      <c r="AA260" s="925"/>
      <c r="AB260" s="898"/>
      <c r="AC260" s="925"/>
      <c r="AD260" s="925"/>
      <c r="AE260" s="925"/>
      <c r="AF260" s="964"/>
      <c r="AG260" s="906" t="str">
        <f>IF(AE260&lt;&gt;0,VLOOKUP(AE260,ODDS!$A$2:$C$13,3,0),"")</f>
        <v/>
      </c>
      <c r="AH260" s="906" t="str">
        <f t="shared" si="45"/>
        <v xml:space="preserve"> </v>
      </c>
      <c r="AI260" s="907" t="str">
        <f t="shared" si="47"/>
        <v xml:space="preserve"> </v>
      </c>
      <c r="AJ260" s="929"/>
      <c r="AK260" s="929"/>
    </row>
    <row r="261" spans="1:39" s="376" customFormat="1" ht="22.5" outlineLevel="2" x14ac:dyDescent="0.3">
      <c r="A261" s="447">
        <f t="shared" si="59"/>
        <v>27</v>
      </c>
      <c r="B261" s="893"/>
      <c r="C261" s="910"/>
      <c r="D261" s="923"/>
      <c r="E261" s="923"/>
      <c r="F261" s="896"/>
      <c r="G261" s="894"/>
      <c r="H261" s="924"/>
      <c r="I261" s="882"/>
      <c r="J261" s="929"/>
      <c r="K261" s="899" t="str">
        <f>IF(G261&lt;&gt;0,VLOOKUP(G261,'gia dat'!$A$1:$F$144,5,0)," ")</f>
        <v xml:space="preserve"> </v>
      </c>
      <c r="L261" s="899" t="str">
        <f>IF(G261&lt;&gt;0,VLOOKUP(G261,'gia dat'!$A$1:$F$144,6,0)," ")</f>
        <v xml:space="preserve"> </v>
      </c>
      <c r="M261" s="900" t="str">
        <f t="shared" si="54"/>
        <v xml:space="preserve"> </v>
      </c>
      <c r="N261" s="900" t="str">
        <f t="shared" si="55"/>
        <v xml:space="preserve"> </v>
      </c>
      <c r="O261" s="922"/>
      <c r="P261" s="965"/>
      <c r="Q261" s="900" t="str">
        <f>IF(O261&lt;&gt;0,VLOOKUP(O261,'Cây trong'!$A$2:$C$246,3,0)," ")</f>
        <v xml:space="preserve"> </v>
      </c>
      <c r="R261" s="900" t="str">
        <f t="shared" si="44"/>
        <v xml:space="preserve"> </v>
      </c>
      <c r="S261" s="929"/>
      <c r="T261" s="929"/>
      <c r="U261" s="927"/>
      <c r="V261" s="946"/>
      <c r="W261" s="900" t="str">
        <f>IF(S261&lt;&gt;0,VLOOKUP(S261,VKT!$A$2:$G$415,7,0),"")</f>
        <v/>
      </c>
      <c r="X261" s="900" t="str">
        <f t="shared" si="53"/>
        <v xml:space="preserve"> </v>
      </c>
      <c r="Y261" s="925"/>
      <c r="Z261" s="928"/>
      <c r="AA261" s="928"/>
      <c r="AB261" s="904"/>
      <c r="AC261" s="928"/>
      <c r="AD261" s="928"/>
      <c r="AE261" s="928"/>
      <c r="AF261" s="926"/>
      <c r="AG261" s="906" t="str">
        <f>IF(AE261&lt;&gt;0,VLOOKUP(AE261,ODDS!$A$2:$C$13,3,0),"")</f>
        <v/>
      </c>
      <c r="AH261" s="906" t="str">
        <f t="shared" si="45"/>
        <v xml:space="preserve"> </v>
      </c>
      <c r="AI261" s="907" t="str">
        <f t="shared" si="47"/>
        <v xml:space="preserve"> </v>
      </c>
      <c r="AJ261" s="929"/>
      <c r="AK261" s="929"/>
    </row>
    <row r="262" spans="1:39" s="376" customFormat="1" ht="43.5" outlineLevel="1" x14ac:dyDescent="0.25">
      <c r="A262" s="467" t="s">
        <v>2682</v>
      </c>
      <c r="B262" s="912">
        <v>28</v>
      </c>
      <c r="C262" s="910" t="s">
        <v>654</v>
      </c>
      <c r="D262" s="931"/>
      <c r="E262" s="931"/>
      <c r="F262" s="913"/>
      <c r="G262" s="910"/>
      <c r="H262" s="953">
        <f>SUBTOTAL(9,H263:H270)</f>
        <v>253.3</v>
      </c>
      <c r="I262" s="915">
        <f>SUBTOTAL(9,I263:I268)</f>
        <v>253.3</v>
      </c>
      <c r="J262" s="943"/>
      <c r="K262" s="917"/>
      <c r="L262" s="917"/>
      <c r="M262" s="907">
        <f>SUBTOTAL(9,M263:M270)</f>
        <v>140430000</v>
      </c>
      <c r="N262" s="907">
        <f>SUBTOTAL(9,N263:N270)</f>
        <v>421289000</v>
      </c>
      <c r="O262" s="914"/>
      <c r="P262" s="968">
        <f>SUBTOTAL(9,P263:P270)</f>
        <v>0</v>
      </c>
      <c r="Q262" s="907"/>
      <c r="R262" s="907">
        <f>SUBTOTAL(9,R263:R270)</f>
        <v>0</v>
      </c>
      <c r="S262" s="914"/>
      <c r="T262" s="956"/>
      <c r="U262" s="936">
        <f>SUBTOTAL(9,U263:U270)</f>
        <v>7.8</v>
      </c>
      <c r="V262" s="957"/>
      <c r="W262" s="907"/>
      <c r="X262" s="907">
        <f>SUBTOTAL(9,X263:X270)</f>
        <v>3443000</v>
      </c>
      <c r="Y262" s="925"/>
      <c r="Z262" s="928"/>
      <c r="AA262" s="928"/>
      <c r="AB262" s="904"/>
      <c r="AC262" s="928"/>
      <c r="AD262" s="928"/>
      <c r="AE262" s="969"/>
      <c r="AF262" s="935">
        <f>SUBTOTAL(9,AF263:AF270)</f>
        <v>0</v>
      </c>
      <c r="AG262" s="921"/>
      <c r="AH262" s="921">
        <f>SUBTOTAL(9,AH263:AH270)</f>
        <v>0</v>
      </c>
      <c r="AI262" s="907">
        <f t="shared" si="47"/>
        <v>565162000</v>
      </c>
      <c r="AJ262" s="910"/>
      <c r="AK262" s="914"/>
    </row>
    <row r="263" spans="1:39" s="376" customFormat="1" ht="135" outlineLevel="2" x14ac:dyDescent="0.3">
      <c r="A263" s="447">
        <f>IF(B262&lt;&gt;0,B262,A261)</f>
        <v>28</v>
      </c>
      <c r="B263" s="893"/>
      <c r="C263" s="894" t="s">
        <v>293</v>
      </c>
      <c r="D263" s="923">
        <v>5</v>
      </c>
      <c r="E263" s="923">
        <v>86</v>
      </c>
      <c r="F263" s="896">
        <v>271</v>
      </c>
      <c r="G263" s="894" t="s">
        <v>2068</v>
      </c>
      <c r="H263" s="924">
        <v>253.3</v>
      </c>
      <c r="I263" s="882">
        <f t="shared" ref="I263" si="60">IF(N263&gt;0,H263,"")</f>
        <v>253.3</v>
      </c>
      <c r="J263" s="929"/>
      <c r="K263" s="899">
        <f>IF(G263&lt;&gt;0,VLOOKUP(G263,'gia dat'!$A$1:$F$144,5,0)," ")</f>
        <v>554400</v>
      </c>
      <c r="L263" s="899">
        <f>IF(G263&lt;&gt;0,VLOOKUP(G263,'gia dat'!$A$1:$F$144,6,0)," ")</f>
        <v>1663200</v>
      </c>
      <c r="M263" s="900">
        <f t="shared" si="54"/>
        <v>140430000</v>
      </c>
      <c r="N263" s="900">
        <f t="shared" si="55"/>
        <v>421289000</v>
      </c>
      <c r="O263" s="922"/>
      <c r="P263" s="965"/>
      <c r="Q263" s="900" t="str">
        <f>IF(O263&lt;&gt;0,VLOOKUP(O263,'Cây trong'!$A$2:$C$246,3,0)," ")</f>
        <v xml:space="preserve"> </v>
      </c>
      <c r="R263" s="900" t="str">
        <f t="shared" si="44"/>
        <v xml:space="preserve"> </v>
      </c>
      <c r="S263" s="922" t="s">
        <v>1905</v>
      </c>
      <c r="T263" s="944" t="s">
        <v>53</v>
      </c>
      <c r="U263" s="927">
        <v>7.8</v>
      </c>
      <c r="V263" s="946"/>
      <c r="W263" s="900">
        <f>IF(S263&lt;&gt;0,VLOOKUP(S263,VKT!$A$2:$G$415,7,0),"")</f>
        <v>441467</v>
      </c>
      <c r="X263" s="900">
        <f t="shared" si="53"/>
        <v>3443000</v>
      </c>
      <c r="Y263" s="925"/>
      <c r="Z263" s="928"/>
      <c r="AA263" s="928"/>
      <c r="AB263" s="904"/>
      <c r="AC263" s="928"/>
      <c r="AD263" s="928"/>
      <c r="AE263" s="941"/>
      <c r="AF263" s="926"/>
      <c r="AG263" s="906" t="str">
        <f>IF(AE263&lt;&gt;0,VLOOKUP(AE263,ODDS!$A$2:$C$13,3,0),"")</f>
        <v/>
      </c>
      <c r="AH263" s="906"/>
      <c r="AI263" s="907" t="str">
        <f t="shared" si="47"/>
        <v xml:space="preserve"> </v>
      </c>
      <c r="AJ263" s="894" t="s">
        <v>469</v>
      </c>
      <c r="AK263" s="922" t="s">
        <v>2771</v>
      </c>
    </row>
    <row r="264" spans="1:39" s="376" customFormat="1" ht="112.5" outlineLevel="2" x14ac:dyDescent="0.3">
      <c r="A264" s="447">
        <f t="shared" ref="A264:A270" si="61">IF(B263&lt;&gt;0,B263,A263)</f>
        <v>28</v>
      </c>
      <c r="B264" s="893"/>
      <c r="C264" s="963" t="s">
        <v>655</v>
      </c>
      <c r="D264" s="923"/>
      <c r="E264" s="923"/>
      <c r="F264" s="896"/>
      <c r="G264" s="894"/>
      <c r="H264" s="924"/>
      <c r="I264" s="882"/>
      <c r="J264" s="929"/>
      <c r="K264" s="899" t="str">
        <f>IF(G264&lt;&gt;0,VLOOKUP(G264,'gia dat'!$A$1:$F$144,5,0)," ")</f>
        <v xml:space="preserve"> </v>
      </c>
      <c r="L264" s="899" t="str">
        <f>IF(G264&lt;&gt;0,VLOOKUP(G264,'gia dat'!$A$1:$F$144,6,0)," ")</f>
        <v xml:space="preserve"> </v>
      </c>
      <c r="M264" s="900" t="str">
        <f t="shared" si="54"/>
        <v xml:space="preserve"> </v>
      </c>
      <c r="N264" s="900" t="str">
        <f t="shared" si="55"/>
        <v xml:space="preserve"> </v>
      </c>
      <c r="O264" s="922"/>
      <c r="P264" s="965"/>
      <c r="Q264" s="900" t="str">
        <f>IF(O264&lt;&gt;0,VLOOKUP(O264,'Cây trong'!$A$2:$C$246,3,0)," ")</f>
        <v xml:space="preserve"> </v>
      </c>
      <c r="R264" s="900" t="str">
        <f t="shared" si="44"/>
        <v xml:space="preserve"> </v>
      </c>
      <c r="S264" s="922"/>
      <c r="T264" s="944"/>
      <c r="U264" s="927"/>
      <c r="V264" s="946"/>
      <c r="W264" s="900" t="str">
        <f>IF(S264&lt;&gt;0,VLOOKUP(S264,VKT!$A$2:$G$415,7,0),"")</f>
        <v/>
      </c>
      <c r="X264" s="900" t="str">
        <f t="shared" si="53"/>
        <v xml:space="preserve"> </v>
      </c>
      <c r="Y264" s="925"/>
      <c r="Z264" s="928"/>
      <c r="AA264" s="928"/>
      <c r="AB264" s="904"/>
      <c r="AC264" s="928"/>
      <c r="AD264" s="928"/>
      <c r="AE264" s="928"/>
      <c r="AF264" s="926"/>
      <c r="AG264" s="906" t="str">
        <f>IF(AE264&lt;&gt;0,VLOOKUP(AE264,ODDS!$A$2:$C$13,3,0),"")</f>
        <v/>
      </c>
      <c r="AH264" s="906" t="str">
        <f t="shared" si="45"/>
        <v xml:space="preserve"> </v>
      </c>
      <c r="AI264" s="907" t="str">
        <f t="shared" si="47"/>
        <v xml:space="preserve"> </v>
      </c>
      <c r="AJ264" s="894" t="s">
        <v>470</v>
      </c>
      <c r="AK264" s="894" t="s">
        <v>2448</v>
      </c>
    </row>
    <row r="265" spans="1:39" s="376" customFormat="1" ht="112.5" outlineLevel="2" x14ac:dyDescent="0.3">
      <c r="A265" s="447">
        <f t="shared" si="61"/>
        <v>28</v>
      </c>
      <c r="B265" s="893"/>
      <c r="C265" s="894" t="s">
        <v>294</v>
      </c>
      <c r="D265" s="923"/>
      <c r="E265" s="923"/>
      <c r="F265" s="896"/>
      <c r="G265" s="894"/>
      <c r="H265" s="924"/>
      <c r="I265" s="882"/>
      <c r="J265" s="929"/>
      <c r="K265" s="899" t="str">
        <f>IF(G265&lt;&gt;0,VLOOKUP(G265,'gia dat'!$A$1:$F$144,5,0)," ")</f>
        <v xml:space="preserve"> </v>
      </c>
      <c r="L265" s="899" t="str">
        <f>IF(G265&lt;&gt;0,VLOOKUP(G265,'gia dat'!$A$1:$F$144,6,0)," ")</f>
        <v xml:space="preserve"> </v>
      </c>
      <c r="M265" s="900" t="str">
        <f t="shared" si="54"/>
        <v xml:space="preserve"> </v>
      </c>
      <c r="N265" s="900" t="str">
        <f t="shared" si="55"/>
        <v xml:space="preserve"> </v>
      </c>
      <c r="O265" s="922"/>
      <c r="P265" s="965"/>
      <c r="Q265" s="900" t="str">
        <f>IF(O265&lt;&gt;0,VLOOKUP(O265,'Cây trong'!$A$2:$C$246,3,0)," ")</f>
        <v xml:space="preserve"> </v>
      </c>
      <c r="R265" s="900" t="str">
        <f t="shared" si="44"/>
        <v xml:space="preserve"> </v>
      </c>
      <c r="S265" s="922"/>
      <c r="T265" s="944"/>
      <c r="U265" s="927"/>
      <c r="V265" s="946"/>
      <c r="W265" s="900" t="str">
        <f>IF(S265&lt;&gt;0,VLOOKUP(S265,VKT!$A$2:$G$415,7,0),"")</f>
        <v/>
      </c>
      <c r="X265" s="900" t="str">
        <f t="shared" si="53"/>
        <v xml:space="preserve"> </v>
      </c>
      <c r="Y265" s="925"/>
      <c r="Z265" s="928"/>
      <c r="AA265" s="928"/>
      <c r="AB265" s="904"/>
      <c r="AC265" s="928"/>
      <c r="AD265" s="928"/>
      <c r="AE265" s="928"/>
      <c r="AF265" s="926"/>
      <c r="AG265" s="906" t="str">
        <f>IF(AE265&lt;&gt;0,VLOOKUP(AE265,ODDS!$A$2:$C$13,3,0),"")</f>
        <v/>
      </c>
      <c r="AH265" s="906" t="str">
        <f t="shared" si="45"/>
        <v xml:space="preserve"> </v>
      </c>
      <c r="AI265" s="907" t="str">
        <f t="shared" ref="AI265:AI328" si="62">IF(B265&lt;&gt;0,M265+N265+R265+X265+AH265," ")</f>
        <v xml:space="preserve"> </v>
      </c>
      <c r="AJ265" s="894" t="s">
        <v>2074</v>
      </c>
      <c r="AK265" s="894" t="s">
        <v>2450</v>
      </c>
    </row>
    <row r="266" spans="1:39" s="376" customFormat="1" ht="22.5" outlineLevel="2" x14ac:dyDescent="0.35">
      <c r="A266" s="447">
        <f t="shared" si="61"/>
        <v>28</v>
      </c>
      <c r="B266" s="893"/>
      <c r="C266" s="894"/>
      <c r="D266" s="923"/>
      <c r="E266" s="923"/>
      <c r="F266" s="950"/>
      <c r="G266" s="894"/>
      <c r="H266" s="940"/>
      <c r="I266" s="882"/>
      <c r="J266" s="929"/>
      <c r="K266" s="899" t="str">
        <f>IF(G266&lt;&gt;0,VLOOKUP(G266,'gia dat'!$A$1:$F$144,5,0)," ")</f>
        <v xml:space="preserve"> </v>
      </c>
      <c r="L266" s="899" t="str">
        <f>IF(G266&lt;&gt;0,VLOOKUP(G266,'gia dat'!$A$1:$F$144,6,0)," ")</f>
        <v xml:space="preserve"> </v>
      </c>
      <c r="M266" s="900" t="str">
        <f t="shared" si="54"/>
        <v xml:space="preserve"> </v>
      </c>
      <c r="N266" s="900" t="str">
        <f t="shared" si="55"/>
        <v xml:space="preserve"> </v>
      </c>
      <c r="O266" s="929"/>
      <c r="P266" s="951"/>
      <c r="Q266" s="900" t="str">
        <f>IF(O266&lt;&gt;0,VLOOKUP(O266,'Cây trong'!$A$2:$C$246,3,0)," ")</f>
        <v xml:space="preserve"> </v>
      </c>
      <c r="R266" s="900" t="str">
        <f t="shared" si="44"/>
        <v xml:space="preserve"> </v>
      </c>
      <c r="S266" s="929"/>
      <c r="T266" s="929"/>
      <c r="U266" s="952"/>
      <c r="V266" s="925"/>
      <c r="W266" s="900" t="str">
        <f>IF(S266&lt;&gt;0,VLOOKUP(S266,VKT!$A$2:$G$415,7,0),"")</f>
        <v/>
      </c>
      <c r="X266" s="900" t="str">
        <f t="shared" si="53"/>
        <v xml:space="preserve"> </v>
      </c>
      <c r="Y266" s="925"/>
      <c r="Z266" s="925"/>
      <c r="AA266" s="925"/>
      <c r="AB266" s="898"/>
      <c r="AC266" s="925"/>
      <c r="AD266" s="925"/>
      <c r="AE266" s="925"/>
      <c r="AF266" s="964"/>
      <c r="AG266" s="906" t="str">
        <f>IF(AE266&lt;&gt;0,VLOOKUP(AE266,ODDS!$A$2:$C$13,3,0),"")</f>
        <v/>
      </c>
      <c r="AH266" s="906" t="str">
        <f t="shared" si="45"/>
        <v xml:space="preserve"> </v>
      </c>
      <c r="AI266" s="907" t="str">
        <f t="shared" si="62"/>
        <v xml:space="preserve"> </v>
      </c>
      <c r="AJ266" s="911"/>
      <c r="AK266" s="894"/>
      <c r="AM266" s="378" t="s">
        <v>2157</v>
      </c>
    </row>
    <row r="267" spans="1:39" s="376" customFormat="1" ht="22.5" outlineLevel="2" x14ac:dyDescent="0.35">
      <c r="A267" s="447">
        <f t="shared" si="61"/>
        <v>28</v>
      </c>
      <c r="B267" s="893"/>
      <c r="C267" s="910"/>
      <c r="D267" s="923"/>
      <c r="E267" s="923"/>
      <c r="F267" s="896"/>
      <c r="G267" s="894"/>
      <c r="H267" s="924"/>
      <c r="I267" s="882"/>
      <c r="J267" s="929"/>
      <c r="K267" s="899" t="str">
        <f>IF(G267&lt;&gt;0,VLOOKUP(G267,'gia dat'!$A$1:$F$144,5,0)," ")</f>
        <v xml:space="preserve"> </v>
      </c>
      <c r="L267" s="899" t="str">
        <f>IF(G267&lt;&gt;0,VLOOKUP(G267,'gia dat'!$A$1:$F$144,6,0)," ")</f>
        <v xml:space="preserve"> </v>
      </c>
      <c r="M267" s="900" t="str">
        <f t="shared" si="54"/>
        <v xml:space="preserve"> </v>
      </c>
      <c r="N267" s="900" t="str">
        <f t="shared" si="55"/>
        <v xml:space="preserve"> </v>
      </c>
      <c r="O267" s="922"/>
      <c r="P267" s="965"/>
      <c r="Q267" s="900" t="str">
        <f>IF(O267&lt;&gt;0,VLOOKUP(O267,'Cây trong'!$A$2:$C$246,3,0)," ")</f>
        <v xml:space="preserve"> </v>
      </c>
      <c r="R267" s="900" t="str">
        <f t="shared" ref="R267:R334" si="63">IF(O267&lt;&gt;0,ROUND(P267*Q267,-2)," ")</f>
        <v xml:space="preserve"> </v>
      </c>
      <c r="S267" s="922"/>
      <c r="T267" s="944"/>
      <c r="U267" s="927"/>
      <c r="V267" s="946"/>
      <c r="W267" s="900" t="str">
        <f>IF(S267&lt;&gt;0,VLOOKUP(S267,VKT!$A$2:$G$415,7,0),"")</f>
        <v/>
      </c>
      <c r="X267" s="900" t="str">
        <f t="shared" si="53"/>
        <v xml:space="preserve"> </v>
      </c>
      <c r="Y267" s="925"/>
      <c r="Z267" s="928"/>
      <c r="AA267" s="928"/>
      <c r="AB267" s="904"/>
      <c r="AC267" s="928"/>
      <c r="AD267" s="928"/>
      <c r="AE267" s="928"/>
      <c r="AF267" s="926"/>
      <c r="AG267" s="906" t="str">
        <f>IF(AE267&lt;&gt;0,VLOOKUP(AE267,ODDS!$A$2:$C$13,3,0),"")</f>
        <v/>
      </c>
      <c r="AH267" s="906" t="str">
        <f t="shared" ref="AH267:AH334" si="64">IF(AE267&lt;&gt;0,ROUND(AF267*AG267,-2)," ")</f>
        <v xml:space="preserve"> </v>
      </c>
      <c r="AI267" s="907" t="str">
        <f t="shared" si="62"/>
        <v xml:space="preserve"> </v>
      </c>
      <c r="AJ267" s="911"/>
      <c r="AK267" s="894"/>
    </row>
    <row r="268" spans="1:39" s="376" customFormat="1" ht="22.5" outlineLevel="2" x14ac:dyDescent="0.3">
      <c r="A268" s="447">
        <f t="shared" si="61"/>
        <v>28</v>
      </c>
      <c r="B268" s="893"/>
      <c r="C268" s="894"/>
      <c r="D268" s="923"/>
      <c r="E268" s="923"/>
      <c r="F268" s="896"/>
      <c r="G268" s="894"/>
      <c r="H268" s="924"/>
      <c r="I268" s="882"/>
      <c r="J268" s="929"/>
      <c r="K268" s="899" t="str">
        <f>IF(G268&lt;&gt;0,VLOOKUP(G268,'gia dat'!$A$1:$F$144,5,0)," ")</f>
        <v xml:space="preserve"> </v>
      </c>
      <c r="L268" s="899" t="str">
        <f>IF(G268&lt;&gt;0,VLOOKUP(G268,'gia dat'!$A$1:$F$144,6,0)," ")</f>
        <v xml:space="preserve"> </v>
      </c>
      <c r="M268" s="900" t="str">
        <f t="shared" si="54"/>
        <v xml:space="preserve"> </v>
      </c>
      <c r="N268" s="900" t="str">
        <f t="shared" si="55"/>
        <v xml:space="preserve"> </v>
      </c>
      <c r="O268" s="922"/>
      <c r="P268" s="965"/>
      <c r="Q268" s="900" t="str">
        <f>IF(O268&lt;&gt;0,VLOOKUP(O268,'Cây trong'!$A$2:$C$246,3,0)," ")</f>
        <v xml:space="preserve"> </v>
      </c>
      <c r="R268" s="900" t="str">
        <f t="shared" si="63"/>
        <v xml:space="preserve"> </v>
      </c>
      <c r="S268" s="922"/>
      <c r="T268" s="944"/>
      <c r="U268" s="927"/>
      <c r="V268" s="946"/>
      <c r="W268" s="900" t="str">
        <f>IF(S268&lt;&gt;0,VLOOKUP(S268,VKT!$A$2:$G$415,7,0),"")</f>
        <v/>
      </c>
      <c r="X268" s="900" t="str">
        <f t="shared" si="53"/>
        <v xml:space="preserve"> </v>
      </c>
      <c r="Y268" s="925"/>
      <c r="Z268" s="928"/>
      <c r="AA268" s="928"/>
      <c r="AB268" s="904"/>
      <c r="AC268" s="928"/>
      <c r="AD268" s="928"/>
      <c r="AE268" s="928"/>
      <c r="AF268" s="926"/>
      <c r="AG268" s="906" t="str">
        <f>IF(AE268&lt;&gt;0,VLOOKUP(AE268,ODDS!$A$2:$C$13,3,0),"")</f>
        <v/>
      </c>
      <c r="AH268" s="906" t="str">
        <f t="shared" si="64"/>
        <v xml:space="preserve"> </v>
      </c>
      <c r="AI268" s="907" t="str">
        <f t="shared" si="62"/>
        <v xml:space="preserve"> </v>
      </c>
      <c r="AJ268" s="929"/>
      <c r="AK268" s="929"/>
    </row>
    <row r="269" spans="1:39" s="376" customFormat="1" ht="22.5" outlineLevel="2" x14ac:dyDescent="0.3">
      <c r="A269" s="447">
        <f t="shared" si="61"/>
        <v>28</v>
      </c>
      <c r="B269" s="893"/>
      <c r="C269" s="894"/>
      <c r="D269" s="923"/>
      <c r="E269" s="923"/>
      <c r="F269" s="896"/>
      <c r="G269" s="894"/>
      <c r="H269" s="924"/>
      <c r="I269" s="882"/>
      <c r="J269" s="929"/>
      <c r="K269" s="899" t="str">
        <f>IF(G269&lt;&gt;0,VLOOKUP(G269,'gia dat'!$A$1:$F$144,5,0)," ")</f>
        <v xml:space="preserve"> </v>
      </c>
      <c r="L269" s="899" t="str">
        <f>IF(G269&lt;&gt;0,VLOOKUP(G269,'gia dat'!$A$1:$F$144,6,0)," ")</f>
        <v xml:space="preserve"> </v>
      </c>
      <c r="M269" s="900" t="str">
        <f t="shared" si="54"/>
        <v xml:space="preserve"> </v>
      </c>
      <c r="N269" s="900" t="str">
        <f t="shared" si="55"/>
        <v xml:space="preserve"> </v>
      </c>
      <c r="O269" s="922"/>
      <c r="P269" s="965"/>
      <c r="Q269" s="900" t="str">
        <f>IF(O269&lt;&gt;0,VLOOKUP(O269,'Cây trong'!$A$2:$C$246,3,0)," ")</f>
        <v xml:space="preserve"> </v>
      </c>
      <c r="R269" s="900" t="str">
        <f t="shared" si="63"/>
        <v xml:space="preserve"> </v>
      </c>
      <c r="S269" s="922"/>
      <c r="T269" s="944"/>
      <c r="U269" s="927"/>
      <c r="V269" s="946"/>
      <c r="W269" s="900" t="str">
        <f>IF(S269&lt;&gt;0,VLOOKUP(S269,VKT!$A$2:$G$415,7,0),"")</f>
        <v/>
      </c>
      <c r="X269" s="900" t="str">
        <f t="shared" si="53"/>
        <v xml:space="preserve"> </v>
      </c>
      <c r="Y269" s="925"/>
      <c r="Z269" s="928"/>
      <c r="AA269" s="928"/>
      <c r="AB269" s="904"/>
      <c r="AC269" s="928"/>
      <c r="AD269" s="928"/>
      <c r="AE269" s="928"/>
      <c r="AF269" s="926"/>
      <c r="AG269" s="906" t="str">
        <f>IF(AE269&lt;&gt;0,VLOOKUP(AE269,ODDS!$A$2:$C$13,3,0),"")</f>
        <v/>
      </c>
      <c r="AH269" s="906" t="str">
        <f t="shared" si="64"/>
        <v xml:space="preserve"> </v>
      </c>
      <c r="AI269" s="907" t="str">
        <f t="shared" si="62"/>
        <v xml:space="preserve"> </v>
      </c>
      <c r="AJ269" s="929"/>
      <c r="AK269" s="929"/>
    </row>
    <row r="270" spans="1:39" s="376" customFormat="1" ht="22.5" outlineLevel="2" x14ac:dyDescent="0.3">
      <c r="A270" s="447">
        <f t="shared" si="61"/>
        <v>28</v>
      </c>
      <c r="B270" s="893"/>
      <c r="C270" s="942"/>
      <c r="D270" s="930"/>
      <c r="E270" s="931"/>
      <c r="F270" s="913"/>
      <c r="G270" s="910"/>
      <c r="H270" s="924"/>
      <c r="I270" s="882"/>
      <c r="J270" s="943"/>
      <c r="K270" s="899" t="str">
        <f>IF(G270&lt;&gt;0,VLOOKUP(G270,'gia dat'!$A$1:$F$144,5,0)," ")</f>
        <v xml:space="preserve"> </v>
      </c>
      <c r="L270" s="899" t="str">
        <f>IF(G270&lt;&gt;0,VLOOKUP(G270,'gia dat'!$A$1:$F$144,6,0)," ")</f>
        <v xml:space="preserve"> </v>
      </c>
      <c r="M270" s="900" t="str">
        <f t="shared" si="54"/>
        <v xml:space="preserve"> </v>
      </c>
      <c r="N270" s="900" t="str">
        <f t="shared" si="55"/>
        <v xml:space="preserve"> </v>
      </c>
      <c r="O270" s="914"/>
      <c r="P270" s="968"/>
      <c r="Q270" s="900" t="str">
        <f>IF(O270&lt;&gt;0,VLOOKUP(O270,'Cây trong'!$A$2:$C$246,3,0)," ")</f>
        <v xml:space="preserve"> </v>
      </c>
      <c r="R270" s="900" t="str">
        <f t="shared" si="63"/>
        <v xml:space="preserve"> </v>
      </c>
      <c r="S270" s="914"/>
      <c r="T270" s="956"/>
      <c r="U270" s="927"/>
      <c r="V270" s="946"/>
      <c r="W270" s="900" t="str">
        <f>IF(S270&lt;&gt;0,VLOOKUP(S270,VKT!$A$2:$G$415,7,0),"")</f>
        <v/>
      </c>
      <c r="X270" s="900" t="str">
        <f t="shared" si="53"/>
        <v xml:space="preserve"> </v>
      </c>
      <c r="Y270" s="916"/>
      <c r="Z270" s="937"/>
      <c r="AA270" s="937"/>
      <c r="AB270" s="920"/>
      <c r="AC270" s="937"/>
      <c r="AD270" s="937"/>
      <c r="AE270" s="937"/>
      <c r="AF270" s="935"/>
      <c r="AG270" s="906" t="str">
        <f>IF(AE270&lt;&gt;0,VLOOKUP(AE270,ODDS!$A$2:$C$13,3,0),"")</f>
        <v/>
      </c>
      <c r="AH270" s="906" t="str">
        <f t="shared" si="64"/>
        <v xml:space="preserve"> </v>
      </c>
      <c r="AI270" s="907" t="str">
        <f t="shared" si="62"/>
        <v xml:space="preserve"> </v>
      </c>
      <c r="AJ270" s="943"/>
      <c r="AK270" s="943"/>
    </row>
    <row r="271" spans="1:39" s="376" customFormat="1" ht="43.5" outlineLevel="1" x14ac:dyDescent="0.25">
      <c r="A271" s="467" t="s">
        <v>2681</v>
      </c>
      <c r="B271" s="912">
        <v>29</v>
      </c>
      <c r="C271" s="942" t="s">
        <v>284</v>
      </c>
      <c r="D271" s="931"/>
      <c r="E271" s="977"/>
      <c r="F271" s="977"/>
      <c r="G271" s="914"/>
      <c r="H271" s="953">
        <f>SUBTOTAL(9,H272:H277)</f>
        <v>251.6</v>
      </c>
      <c r="I271" s="915">
        <f>SUBTOTAL(9,I272:I277)</f>
        <v>251.6</v>
      </c>
      <c r="J271" s="943"/>
      <c r="K271" s="917"/>
      <c r="L271" s="917"/>
      <c r="M271" s="907">
        <f>SUBTOTAL(9,M272:M277)</f>
        <v>139487000</v>
      </c>
      <c r="N271" s="907">
        <f>SUBTOTAL(9,N272:N277)</f>
        <v>418461000</v>
      </c>
      <c r="O271" s="914"/>
      <c r="P271" s="968">
        <f>SUBTOTAL(9,P272:P277)</f>
        <v>25</v>
      </c>
      <c r="Q271" s="907"/>
      <c r="R271" s="907">
        <f>SUBTOTAL(9,R272:R277)</f>
        <v>2000000</v>
      </c>
      <c r="S271" s="914"/>
      <c r="T271" s="956"/>
      <c r="U271" s="936">
        <f>SUBTOTAL(9,U272:U277)</f>
        <v>7.8</v>
      </c>
      <c r="V271" s="957"/>
      <c r="W271" s="907"/>
      <c r="X271" s="907">
        <f>SUBTOTAL(9,X272:X277)</f>
        <v>3443000</v>
      </c>
      <c r="Y271" s="925"/>
      <c r="Z271" s="928"/>
      <c r="AA271" s="928"/>
      <c r="AB271" s="904"/>
      <c r="AC271" s="928"/>
      <c r="AD271" s="928"/>
      <c r="AE271" s="969"/>
      <c r="AF271" s="935">
        <f>SUBTOTAL(9,AF272:AF277)</f>
        <v>0</v>
      </c>
      <c r="AG271" s="921"/>
      <c r="AH271" s="921">
        <f>SUBTOTAL(9,AH272:AH277)</f>
        <v>0</v>
      </c>
      <c r="AI271" s="907">
        <f t="shared" si="62"/>
        <v>563391000</v>
      </c>
      <c r="AJ271" s="910"/>
      <c r="AK271" s="914"/>
      <c r="AM271" s="473"/>
    </row>
    <row r="272" spans="1:39" s="376" customFormat="1" ht="135" outlineLevel="2" x14ac:dyDescent="0.3">
      <c r="A272" s="447">
        <f>IF(B271&lt;&gt;0,B271,A270)</f>
        <v>29</v>
      </c>
      <c r="B272" s="893"/>
      <c r="C272" s="908" t="s">
        <v>285</v>
      </c>
      <c r="D272" s="923">
        <v>7</v>
      </c>
      <c r="E272" s="947">
        <v>86</v>
      </c>
      <c r="F272" s="947">
        <v>270</v>
      </c>
      <c r="G272" s="922" t="s">
        <v>2068</v>
      </c>
      <c r="H272" s="924">
        <v>251.6</v>
      </c>
      <c r="I272" s="882">
        <f t="shared" ref="I272" si="65">IF(N272&gt;0,H272,"")</f>
        <v>251.6</v>
      </c>
      <c r="J272" s="929"/>
      <c r="K272" s="899">
        <f>IF(G272&lt;&gt;0,VLOOKUP(G272,'gia dat'!$A$1:$F$144,5,0)," ")</f>
        <v>554400</v>
      </c>
      <c r="L272" s="899">
        <f>IF(G272&lt;&gt;0,VLOOKUP(G272,'gia dat'!$A$1:$F$144,6,0)," ")</f>
        <v>1663200</v>
      </c>
      <c r="M272" s="900">
        <f t="shared" si="54"/>
        <v>139487000</v>
      </c>
      <c r="N272" s="900">
        <f t="shared" si="55"/>
        <v>418461000</v>
      </c>
      <c r="O272" s="922" t="s">
        <v>344</v>
      </c>
      <c r="P272" s="965">
        <v>25</v>
      </c>
      <c r="Q272" s="900">
        <f>IF(O272&lt;&gt;0,VLOOKUP(O272,'Cây trong'!$A$2:$C$246,3,0)," ")</f>
        <v>80000</v>
      </c>
      <c r="R272" s="900">
        <f t="shared" si="63"/>
        <v>2000000</v>
      </c>
      <c r="S272" s="922" t="s">
        <v>1905</v>
      </c>
      <c r="T272" s="944" t="s">
        <v>53</v>
      </c>
      <c r="U272" s="927">
        <v>7.8</v>
      </c>
      <c r="V272" s="946"/>
      <c r="W272" s="900">
        <f>IF(S272&lt;&gt;0,VLOOKUP(S272,VKT!$A$2:$G$415,7,0),"")</f>
        <v>441467</v>
      </c>
      <c r="X272" s="900">
        <f t="shared" si="53"/>
        <v>3443000</v>
      </c>
      <c r="Y272" s="925"/>
      <c r="Z272" s="928"/>
      <c r="AA272" s="928"/>
      <c r="AB272" s="904"/>
      <c r="AC272" s="928"/>
      <c r="AD272" s="928"/>
      <c r="AE272" s="941"/>
      <c r="AF272" s="926"/>
      <c r="AG272" s="906" t="str">
        <f>IF(AE272&lt;&gt;0,VLOOKUP(AE272,ODDS!$A$2:$C$13,3,0),"")</f>
        <v/>
      </c>
      <c r="AH272" s="906"/>
      <c r="AI272" s="907" t="str">
        <f t="shared" si="62"/>
        <v xml:space="preserve"> </v>
      </c>
      <c r="AJ272" s="894" t="s">
        <v>471</v>
      </c>
      <c r="AK272" s="922" t="s">
        <v>2771</v>
      </c>
      <c r="AM272" s="378" t="s">
        <v>2156</v>
      </c>
    </row>
    <row r="273" spans="1:37" s="376" customFormat="1" ht="90" outlineLevel="2" x14ac:dyDescent="0.3">
      <c r="A273" s="447">
        <f>IF(B272&lt;&gt;0,B272,A272)</f>
        <v>29</v>
      </c>
      <c r="B273" s="893"/>
      <c r="C273" s="908" t="s">
        <v>656</v>
      </c>
      <c r="D273" s="923"/>
      <c r="E273" s="923"/>
      <c r="F273" s="896"/>
      <c r="G273" s="894"/>
      <c r="H273" s="924"/>
      <c r="I273" s="882"/>
      <c r="J273" s="929"/>
      <c r="K273" s="899" t="str">
        <f>IF(G273&lt;&gt;0,VLOOKUP(G273,'gia dat'!$A$1:$F$144,5,0)," ")</f>
        <v xml:space="preserve"> </v>
      </c>
      <c r="L273" s="899" t="str">
        <f>IF(G273&lt;&gt;0,VLOOKUP(G273,'gia dat'!$A$1:$F$144,6,0)," ")</f>
        <v xml:space="preserve"> </v>
      </c>
      <c r="M273" s="900" t="str">
        <f t="shared" si="54"/>
        <v xml:space="preserve"> </v>
      </c>
      <c r="N273" s="900" t="str">
        <f t="shared" si="55"/>
        <v xml:space="preserve"> </v>
      </c>
      <c r="O273" s="922"/>
      <c r="P273" s="965"/>
      <c r="Q273" s="900" t="str">
        <f>IF(O273&lt;&gt;0,VLOOKUP(O273,'Cây trong'!$A$2:$C$246,3,0)," ")</f>
        <v xml:space="preserve"> </v>
      </c>
      <c r="R273" s="900" t="str">
        <f t="shared" si="63"/>
        <v xml:space="preserve"> </v>
      </c>
      <c r="S273" s="922"/>
      <c r="T273" s="944"/>
      <c r="U273" s="927"/>
      <c r="V273" s="946"/>
      <c r="W273" s="900" t="str">
        <f>IF(S273&lt;&gt;0,VLOOKUP(S273,VKT!$A$2:$G$415,7,0),"")</f>
        <v/>
      </c>
      <c r="X273" s="900" t="str">
        <f t="shared" si="53"/>
        <v xml:space="preserve"> </v>
      </c>
      <c r="Y273" s="925"/>
      <c r="Z273" s="928"/>
      <c r="AA273" s="928"/>
      <c r="AB273" s="904"/>
      <c r="AC273" s="928"/>
      <c r="AD273" s="928"/>
      <c r="AE273" s="928"/>
      <c r="AF273" s="926"/>
      <c r="AG273" s="906" t="str">
        <f>IF(AE273&lt;&gt;0,VLOOKUP(AE273,ODDS!$A$2:$C$13,3,0),"")</f>
        <v/>
      </c>
      <c r="AH273" s="906" t="str">
        <f t="shared" si="64"/>
        <v xml:space="preserve"> </v>
      </c>
      <c r="AI273" s="907" t="str">
        <f t="shared" si="62"/>
        <v xml:space="preserve"> </v>
      </c>
      <c r="AJ273" s="894" t="s">
        <v>472</v>
      </c>
      <c r="AK273" s="894" t="s">
        <v>2448</v>
      </c>
    </row>
    <row r="274" spans="1:37" s="376" customFormat="1" ht="112.5" outlineLevel="2" x14ac:dyDescent="0.3">
      <c r="A274" s="447">
        <f>IF(B273&lt;&gt;0,B273,A273)</f>
        <v>29</v>
      </c>
      <c r="B274" s="893"/>
      <c r="C274" s="894" t="s">
        <v>286</v>
      </c>
      <c r="D274" s="923"/>
      <c r="E274" s="923"/>
      <c r="F274" s="896"/>
      <c r="G274" s="894"/>
      <c r="H274" s="924"/>
      <c r="I274" s="882"/>
      <c r="J274" s="929"/>
      <c r="K274" s="899" t="str">
        <f>IF(G274&lt;&gt;0,VLOOKUP(G274,'gia dat'!$A$1:$F$144,5,0)," ")</f>
        <v xml:space="preserve"> </v>
      </c>
      <c r="L274" s="899" t="str">
        <f>IF(G274&lt;&gt;0,VLOOKUP(G274,'gia dat'!$A$1:$F$144,6,0)," ")</f>
        <v xml:space="preserve"> </v>
      </c>
      <c r="M274" s="900" t="str">
        <f t="shared" si="54"/>
        <v xml:space="preserve"> </v>
      </c>
      <c r="N274" s="900" t="str">
        <f t="shared" si="55"/>
        <v xml:space="preserve"> </v>
      </c>
      <c r="O274" s="922"/>
      <c r="P274" s="965"/>
      <c r="Q274" s="900" t="str">
        <f>IF(O274&lt;&gt;0,VLOOKUP(O274,'Cây trong'!$A$2:$C$246,3,0)," ")</f>
        <v xml:space="preserve"> </v>
      </c>
      <c r="R274" s="900" t="str">
        <f t="shared" si="63"/>
        <v xml:space="preserve"> </v>
      </c>
      <c r="S274" s="922"/>
      <c r="T274" s="944"/>
      <c r="U274" s="927"/>
      <c r="V274" s="946"/>
      <c r="W274" s="900" t="str">
        <f>IF(S274&lt;&gt;0,VLOOKUP(S274,VKT!$A$2:$G$415,7,0),"")</f>
        <v/>
      </c>
      <c r="X274" s="900" t="str">
        <f t="shared" si="53"/>
        <v xml:space="preserve"> </v>
      </c>
      <c r="Y274" s="925"/>
      <c r="Z274" s="928"/>
      <c r="AA274" s="928"/>
      <c r="AB274" s="904"/>
      <c r="AC274" s="928"/>
      <c r="AD274" s="928"/>
      <c r="AE274" s="928"/>
      <c r="AF274" s="926"/>
      <c r="AG274" s="906" t="str">
        <f>IF(AE274&lt;&gt;0,VLOOKUP(AE274,ODDS!$A$2:$C$13,3,0),"")</f>
        <v/>
      </c>
      <c r="AH274" s="906" t="str">
        <f t="shared" si="64"/>
        <v xml:space="preserve"> </v>
      </c>
      <c r="AI274" s="907" t="str">
        <f t="shared" si="62"/>
        <v xml:space="preserve"> </v>
      </c>
      <c r="AJ274" s="894" t="s">
        <v>2074</v>
      </c>
      <c r="AK274" s="894" t="s">
        <v>2450</v>
      </c>
    </row>
    <row r="275" spans="1:37" s="376" customFormat="1" ht="112.5" outlineLevel="2" x14ac:dyDescent="0.35">
      <c r="A275" s="447">
        <f>IF(B274&lt;&gt;0,B274,A274)</f>
        <v>29</v>
      </c>
      <c r="B275" s="893"/>
      <c r="C275" s="910"/>
      <c r="D275" s="923"/>
      <c r="E275" s="923"/>
      <c r="F275" s="950"/>
      <c r="G275" s="894"/>
      <c r="H275" s="940"/>
      <c r="I275" s="882"/>
      <c r="J275" s="929"/>
      <c r="K275" s="899" t="str">
        <f>IF(G275&lt;&gt;0,VLOOKUP(G275,'gia dat'!$A$1:$F$144,5,0)," ")</f>
        <v xml:space="preserve"> </v>
      </c>
      <c r="L275" s="899" t="str">
        <f>IF(G275&lt;&gt;0,VLOOKUP(G275,'gia dat'!$A$1:$F$144,6,0)," ")</f>
        <v xml:space="preserve"> </v>
      </c>
      <c r="M275" s="900" t="str">
        <f t="shared" si="54"/>
        <v xml:space="preserve"> </v>
      </c>
      <c r="N275" s="900" t="str">
        <f t="shared" si="55"/>
        <v xml:space="preserve"> </v>
      </c>
      <c r="O275" s="929"/>
      <c r="P275" s="951"/>
      <c r="Q275" s="900" t="str">
        <f>IF(O275&lt;&gt;0,VLOOKUP(O275,'Cây trong'!$A$2:$C$246,3,0)," ")</f>
        <v xml:space="preserve"> </v>
      </c>
      <c r="R275" s="900" t="str">
        <f t="shared" si="63"/>
        <v xml:space="preserve"> </v>
      </c>
      <c r="S275" s="929"/>
      <c r="T275" s="929"/>
      <c r="U275" s="952"/>
      <c r="V275" s="925"/>
      <c r="W275" s="900" t="str">
        <f>IF(S275&lt;&gt;0,VLOOKUP(S275,VKT!$A$2:$G$415,7,0),"")</f>
        <v/>
      </c>
      <c r="X275" s="900" t="str">
        <f t="shared" si="53"/>
        <v xml:space="preserve"> </v>
      </c>
      <c r="Y275" s="925"/>
      <c r="Z275" s="925"/>
      <c r="AA275" s="925"/>
      <c r="AB275" s="898"/>
      <c r="AC275" s="925"/>
      <c r="AD275" s="925"/>
      <c r="AE275" s="925"/>
      <c r="AF275" s="964"/>
      <c r="AG275" s="906" t="str">
        <f>IF(AE275&lt;&gt;0,VLOOKUP(AE275,ODDS!$A$2:$C$13,3,0),"")</f>
        <v/>
      </c>
      <c r="AH275" s="906" t="str">
        <f t="shared" si="64"/>
        <v xml:space="preserve"> </v>
      </c>
      <c r="AI275" s="907" t="str">
        <f t="shared" si="62"/>
        <v xml:space="preserve"> </v>
      </c>
      <c r="AJ275" s="911"/>
      <c r="AK275" s="894" t="s">
        <v>2449</v>
      </c>
    </row>
    <row r="276" spans="1:37" s="376" customFormat="1" ht="22.5" outlineLevel="2" x14ac:dyDescent="0.35">
      <c r="A276" s="447">
        <f>IF(B275&lt;&gt;0,B275,A275)</f>
        <v>29</v>
      </c>
      <c r="B276" s="893"/>
      <c r="C276" s="894"/>
      <c r="D276" s="923"/>
      <c r="E276" s="923"/>
      <c r="F276" s="896"/>
      <c r="G276" s="894"/>
      <c r="H276" s="924"/>
      <c r="I276" s="882"/>
      <c r="J276" s="929"/>
      <c r="K276" s="899" t="str">
        <f>IF(G276&lt;&gt;0,VLOOKUP(G276,'gia dat'!$A$1:$F$144,5,0)," ")</f>
        <v xml:space="preserve"> </v>
      </c>
      <c r="L276" s="899" t="str">
        <f>IF(G276&lt;&gt;0,VLOOKUP(G276,'gia dat'!$A$1:$F$144,6,0)," ")</f>
        <v xml:space="preserve"> </v>
      </c>
      <c r="M276" s="900" t="str">
        <f t="shared" si="54"/>
        <v xml:space="preserve"> </v>
      </c>
      <c r="N276" s="900" t="str">
        <f t="shared" si="55"/>
        <v xml:space="preserve"> </v>
      </c>
      <c r="O276" s="922"/>
      <c r="P276" s="965"/>
      <c r="Q276" s="900" t="str">
        <f>IF(O276&lt;&gt;0,VLOOKUP(O276,'Cây trong'!$A$2:$C$246,3,0)," ")</f>
        <v xml:space="preserve"> </v>
      </c>
      <c r="R276" s="900" t="str">
        <f t="shared" si="63"/>
        <v xml:space="preserve"> </v>
      </c>
      <c r="S276" s="922"/>
      <c r="T276" s="944"/>
      <c r="U276" s="927"/>
      <c r="V276" s="946"/>
      <c r="W276" s="900" t="str">
        <f>IF(S276&lt;&gt;0,VLOOKUP(S276,VKT!$A$2:$G$415,7,0),"")</f>
        <v/>
      </c>
      <c r="X276" s="900" t="str">
        <f t="shared" si="53"/>
        <v xml:space="preserve"> </v>
      </c>
      <c r="Y276" s="925"/>
      <c r="Z276" s="928"/>
      <c r="AA276" s="928"/>
      <c r="AB276" s="904"/>
      <c r="AC276" s="928"/>
      <c r="AD276" s="928"/>
      <c r="AE276" s="928"/>
      <c r="AF276" s="926"/>
      <c r="AG276" s="906" t="str">
        <f>IF(AE276&lt;&gt;0,VLOOKUP(AE276,ODDS!$A$2:$C$13,3,0),"")</f>
        <v/>
      </c>
      <c r="AH276" s="906" t="str">
        <f t="shared" si="64"/>
        <v xml:space="preserve"> </v>
      </c>
      <c r="AI276" s="907" t="str">
        <f t="shared" si="62"/>
        <v xml:space="preserve"> </v>
      </c>
      <c r="AJ276" s="911"/>
      <c r="AK276" s="929"/>
    </row>
    <row r="277" spans="1:37" s="376" customFormat="1" ht="22.5" outlineLevel="2" x14ac:dyDescent="0.3">
      <c r="A277" s="447">
        <f>IF(B276&lt;&gt;0,B276,A276)</f>
        <v>29</v>
      </c>
      <c r="B277" s="893"/>
      <c r="C277" s="978"/>
      <c r="D277" s="923"/>
      <c r="E277" s="923"/>
      <c r="F277" s="896"/>
      <c r="G277" s="894"/>
      <c r="H277" s="924"/>
      <c r="I277" s="882"/>
      <c r="J277" s="925"/>
      <c r="K277" s="899" t="str">
        <f>IF(G277&lt;&gt;0,VLOOKUP(G277,'gia dat'!$A$1:$F$144,5,0)," ")</f>
        <v xml:space="preserve"> </v>
      </c>
      <c r="L277" s="899" t="str">
        <f>IF(G277&lt;&gt;0,VLOOKUP(G277,'gia dat'!$A$1:$F$144,6,0)," ")</f>
        <v xml:space="preserve"> </v>
      </c>
      <c r="M277" s="900" t="str">
        <f t="shared" si="54"/>
        <v xml:space="preserve"> </v>
      </c>
      <c r="N277" s="900" t="str">
        <f t="shared" si="55"/>
        <v xml:space="preserve"> </v>
      </c>
      <c r="O277" s="894"/>
      <c r="P277" s="926"/>
      <c r="Q277" s="900" t="str">
        <f>IF(O277&lt;&gt;0,VLOOKUP(O277,'Cây trong'!$A$2:$C$246,3,0)," ")</f>
        <v xml:space="preserve"> </v>
      </c>
      <c r="R277" s="900" t="str">
        <f t="shared" si="63"/>
        <v xml:space="preserve"> </v>
      </c>
      <c r="S277" s="902"/>
      <c r="T277" s="925"/>
      <c r="U277" s="927"/>
      <c r="V277" s="925"/>
      <c r="W277" s="900" t="str">
        <f>IF(S277&lt;&gt;0,VLOOKUP(S277,VKT!$A$2:$G$415,7,0),"")</f>
        <v/>
      </c>
      <c r="X277" s="900" t="str">
        <f t="shared" si="53"/>
        <v xml:space="preserve"> </v>
      </c>
      <c r="Y277" s="925"/>
      <c r="Z277" s="928"/>
      <c r="AA277" s="928"/>
      <c r="AB277" s="904"/>
      <c r="AC277" s="928"/>
      <c r="AD277" s="928"/>
      <c r="AE277" s="928"/>
      <c r="AF277" s="926"/>
      <c r="AG277" s="906" t="str">
        <f>IF(AE277&lt;&gt;0,VLOOKUP(AE277,ODDS!$A$2:$C$13,3,0),"")</f>
        <v/>
      </c>
      <c r="AH277" s="906" t="str">
        <f t="shared" si="64"/>
        <v xml:space="preserve"> </v>
      </c>
      <c r="AI277" s="907" t="str">
        <f t="shared" si="62"/>
        <v xml:space="preserve"> </v>
      </c>
      <c r="AJ277" s="894"/>
      <c r="AK277" s="894"/>
    </row>
    <row r="278" spans="1:37" s="376" customFormat="1" ht="22.5" outlineLevel="1" x14ac:dyDescent="0.25">
      <c r="A278" s="467" t="s">
        <v>2680</v>
      </c>
      <c r="B278" s="912">
        <v>30</v>
      </c>
      <c r="C278" s="978" t="s">
        <v>32</v>
      </c>
      <c r="D278" s="931"/>
      <c r="E278" s="931"/>
      <c r="F278" s="913"/>
      <c r="G278" s="910"/>
      <c r="H278" s="953">
        <f>SUBTOTAL(9,H279:H307)</f>
        <v>249.6</v>
      </c>
      <c r="I278" s="915">
        <f>SUBTOTAL(9,I279:I284)</f>
        <v>0</v>
      </c>
      <c r="J278" s="933"/>
      <c r="K278" s="917"/>
      <c r="L278" s="917"/>
      <c r="M278" s="907">
        <f>SUBTOTAL(9,M279:M307)</f>
        <v>1823829000</v>
      </c>
      <c r="N278" s="907">
        <f>SUBTOTAL(9,N279:N307)</f>
        <v>0</v>
      </c>
      <c r="O278" s="910"/>
      <c r="P278" s="935">
        <f>SUBTOTAL(9,P279:P307)</f>
        <v>51</v>
      </c>
      <c r="Q278" s="907"/>
      <c r="R278" s="907">
        <f>SUBTOTAL(9,R279:R307)</f>
        <v>7718000</v>
      </c>
      <c r="S278" s="979"/>
      <c r="T278" s="980"/>
      <c r="U278" s="936">
        <f>SUBTOTAL(9,U279:U307)</f>
        <v>618.99999999999989</v>
      </c>
      <c r="V278" s="933"/>
      <c r="W278" s="907"/>
      <c r="X278" s="907">
        <f>SUBTOTAL(9,X279:X307)</f>
        <v>932776000</v>
      </c>
      <c r="Y278" s="925"/>
      <c r="Z278" s="928"/>
      <c r="AA278" s="928"/>
      <c r="AB278" s="904"/>
      <c r="AC278" s="928"/>
      <c r="AD278" s="904"/>
      <c r="AE278" s="938"/>
      <c r="AF278" s="917">
        <f>SUBTOTAL(9,AF279:AF307)</f>
        <v>2</v>
      </c>
      <c r="AG278" s="921"/>
      <c r="AH278" s="921">
        <f>SUBTOTAL(9,AH279:AH307)</f>
        <v>17000000</v>
      </c>
      <c r="AI278" s="907">
        <f t="shared" si="62"/>
        <v>2781323000</v>
      </c>
      <c r="AJ278" s="910"/>
      <c r="AK278" s="914"/>
    </row>
    <row r="279" spans="1:37" s="376" customFormat="1" ht="112.5" outlineLevel="2" x14ac:dyDescent="0.3">
      <c r="A279" s="447">
        <f>IF(B278&lt;&gt;0,B278,A277)</f>
        <v>30</v>
      </c>
      <c r="B279" s="893"/>
      <c r="C279" s="894" t="s">
        <v>144</v>
      </c>
      <c r="D279" s="923">
        <v>4</v>
      </c>
      <c r="E279" s="923">
        <v>86</v>
      </c>
      <c r="F279" s="896">
        <v>269</v>
      </c>
      <c r="G279" s="894" t="s">
        <v>2499</v>
      </c>
      <c r="H279" s="924">
        <v>42.3</v>
      </c>
      <c r="I279" s="882" t="str">
        <f t="shared" ref="I279:I281" si="66">IF(N279&gt;0,H279,"")</f>
        <v/>
      </c>
      <c r="J279" s="925"/>
      <c r="K279" s="899">
        <f>IF(G279&lt;&gt;0,VLOOKUP(G279,'gia dat'!$A$1:$F$144,5,0)," ")</f>
        <v>4645200</v>
      </c>
      <c r="L279" s="899">
        <f>IF(G279&lt;&gt;0,VLOOKUP(G279,'gia dat'!$A$1:$F$144,6,0)," ")</f>
        <v>0</v>
      </c>
      <c r="M279" s="900">
        <f t="shared" si="54"/>
        <v>196492000</v>
      </c>
      <c r="N279" s="900">
        <f t="shared" si="55"/>
        <v>0</v>
      </c>
      <c r="O279" s="894" t="s">
        <v>145</v>
      </c>
      <c r="P279" s="926">
        <v>1</v>
      </c>
      <c r="Q279" s="900">
        <f>IF(O279&lt;&gt;0,VLOOKUP(O279,'Cây trong'!$A$2:$C$246,3,0)," ")</f>
        <v>4240000</v>
      </c>
      <c r="R279" s="900">
        <f t="shared" si="63"/>
        <v>4240000</v>
      </c>
      <c r="S279" s="981" t="s">
        <v>1840</v>
      </c>
      <c r="T279" s="982" t="s">
        <v>53</v>
      </c>
      <c r="U279" s="927">
        <v>57</v>
      </c>
      <c r="V279" s="925"/>
      <c r="W279" s="900">
        <f>IF(S279&lt;&gt;0,VLOOKUP(S279,VKT!$A$2:$G$415,7,0),"")</f>
        <v>1676884</v>
      </c>
      <c r="X279" s="900">
        <f t="shared" si="53"/>
        <v>95582000</v>
      </c>
      <c r="Y279" s="925"/>
      <c r="Z279" s="928" t="s">
        <v>55</v>
      </c>
      <c r="AA279" s="928" t="s">
        <v>56</v>
      </c>
      <c r="AB279" s="904" t="s">
        <v>473</v>
      </c>
      <c r="AC279" s="928" t="s">
        <v>66</v>
      </c>
      <c r="AD279" s="904" t="s">
        <v>206</v>
      </c>
      <c r="AE279" s="905" t="s">
        <v>811</v>
      </c>
      <c r="AF279" s="899">
        <v>1</v>
      </c>
      <c r="AG279" s="906">
        <f>IF(AE279&lt;&gt;0,VLOOKUP(AE279,ODDS!$A$2:$C$13,3,0),"")</f>
        <v>0</v>
      </c>
      <c r="AH279" s="906">
        <f t="shared" si="64"/>
        <v>0</v>
      </c>
      <c r="AI279" s="907" t="str">
        <f t="shared" si="62"/>
        <v xml:space="preserve"> </v>
      </c>
      <c r="AJ279" s="894" t="s">
        <v>146</v>
      </c>
      <c r="AK279" s="922" t="s">
        <v>2797</v>
      </c>
    </row>
    <row r="280" spans="1:37" s="376" customFormat="1" ht="112.5" outlineLevel="2" x14ac:dyDescent="0.3">
      <c r="A280" s="447">
        <f t="shared" ref="A280:A307" si="67">IF(B279&lt;&gt;0,B279,A279)</f>
        <v>30</v>
      </c>
      <c r="B280" s="893"/>
      <c r="C280" s="963" t="s">
        <v>657</v>
      </c>
      <c r="D280" s="923"/>
      <c r="E280" s="923"/>
      <c r="F280" s="896"/>
      <c r="G280" s="894" t="s">
        <v>2794</v>
      </c>
      <c r="H280" s="924">
        <v>118.8</v>
      </c>
      <c r="I280" s="882" t="str">
        <f t="shared" si="66"/>
        <v/>
      </c>
      <c r="J280" s="925"/>
      <c r="K280" s="899">
        <f>IF(G280&lt;&gt;0,VLOOKUP(G280,'gia dat'!$A$1:$F$144,5,0)," ")</f>
        <v>6636000</v>
      </c>
      <c r="L280" s="899">
        <f>IF(G280&lt;&gt;0,VLOOKUP(G280,'gia dat'!$A$1:$F$144,6,0)," ")</f>
        <v>0</v>
      </c>
      <c r="M280" s="900">
        <f t="shared" si="54"/>
        <v>788357000</v>
      </c>
      <c r="N280" s="900">
        <f t="shared" si="55"/>
        <v>0</v>
      </c>
      <c r="O280" s="894" t="s">
        <v>147</v>
      </c>
      <c r="P280" s="926">
        <v>1</v>
      </c>
      <c r="Q280" s="900">
        <f>IF(O280&lt;&gt;0,VLOOKUP(O280,'Cây trong'!$A$2:$C$246,3,0)," ")</f>
        <v>979000</v>
      </c>
      <c r="R280" s="900">
        <f t="shared" si="63"/>
        <v>979000</v>
      </c>
      <c r="S280" s="981" t="s">
        <v>1827</v>
      </c>
      <c r="T280" s="982" t="s">
        <v>53</v>
      </c>
      <c r="U280" s="927">
        <v>75.5</v>
      </c>
      <c r="V280" s="925"/>
      <c r="W280" s="900">
        <f>IF(S280&lt;&gt;0,VLOOKUP(S280,VKT!$A$2:$G$415,7,0),"")</f>
        <v>5469063</v>
      </c>
      <c r="X280" s="900">
        <f t="shared" si="53"/>
        <v>412914000</v>
      </c>
      <c r="Y280" s="925" t="s">
        <v>63</v>
      </c>
      <c r="Z280" s="928" t="s">
        <v>55</v>
      </c>
      <c r="AA280" s="928" t="s">
        <v>56</v>
      </c>
      <c r="AB280" s="904" t="s">
        <v>57</v>
      </c>
      <c r="AC280" s="928" t="s">
        <v>63</v>
      </c>
      <c r="AD280" s="904" t="s">
        <v>206</v>
      </c>
      <c r="AE280" s="905"/>
      <c r="AF280" s="899"/>
      <c r="AG280" s="906"/>
      <c r="AH280" s="906"/>
      <c r="AI280" s="907" t="str">
        <f t="shared" si="62"/>
        <v xml:space="preserve"> </v>
      </c>
      <c r="AJ280" s="894" t="s">
        <v>474</v>
      </c>
      <c r="AK280" s="894" t="s">
        <v>2450</v>
      </c>
    </row>
    <row r="281" spans="1:37" s="376" customFormat="1" ht="112.5" outlineLevel="2" x14ac:dyDescent="0.3">
      <c r="A281" s="447">
        <f t="shared" si="67"/>
        <v>30</v>
      </c>
      <c r="B281" s="893"/>
      <c r="C281" s="894" t="s">
        <v>297</v>
      </c>
      <c r="D281" s="923"/>
      <c r="E281" s="923"/>
      <c r="F281" s="896"/>
      <c r="G281" s="894" t="s">
        <v>2795</v>
      </c>
      <c r="H281" s="924">
        <v>88.5</v>
      </c>
      <c r="I281" s="882" t="str">
        <f t="shared" si="66"/>
        <v/>
      </c>
      <c r="J281" s="925"/>
      <c r="K281" s="899">
        <f>IF(G281&lt;&gt;0,VLOOKUP(G281,'gia dat'!$A$1:$F$144,5,0)," ")</f>
        <v>9480000</v>
      </c>
      <c r="L281" s="899">
        <f>IF(G281&lt;&gt;0,VLOOKUP(G281,'gia dat'!$A$1:$F$144,6,0)," ")</f>
        <v>0</v>
      </c>
      <c r="M281" s="900">
        <f t="shared" si="54"/>
        <v>838980000</v>
      </c>
      <c r="N281" s="900">
        <f t="shared" si="55"/>
        <v>0</v>
      </c>
      <c r="O281" s="894" t="s">
        <v>735</v>
      </c>
      <c r="P281" s="926">
        <v>1</v>
      </c>
      <c r="Q281" s="900">
        <f>IF(O281&lt;&gt;0,VLOOKUP(O281,'Cây trong'!$A$2:$C$246,3,0)," ")</f>
        <v>165000</v>
      </c>
      <c r="R281" s="900">
        <f t="shared" si="63"/>
        <v>165000</v>
      </c>
      <c r="S281" s="981" t="s">
        <v>1886</v>
      </c>
      <c r="T281" s="982" t="s">
        <v>53</v>
      </c>
      <c r="U281" s="927">
        <v>3.68</v>
      </c>
      <c r="V281" s="925"/>
      <c r="W281" s="900">
        <f>IF(S281&lt;&gt;0,VLOOKUP(S281,VKT!$A$2:$G$415,7,0),"")</f>
        <v>9347414</v>
      </c>
      <c r="X281" s="900">
        <f t="shared" si="53"/>
        <v>34398000</v>
      </c>
      <c r="Y281" s="925" t="s">
        <v>63</v>
      </c>
      <c r="Z281" s="928" t="s">
        <v>63</v>
      </c>
      <c r="AA281" s="928" t="s">
        <v>56</v>
      </c>
      <c r="AB281" s="904" t="s">
        <v>57</v>
      </c>
      <c r="AC281" s="928" t="s">
        <v>63</v>
      </c>
      <c r="AD281" s="928"/>
      <c r="AE281" s="905" t="s">
        <v>2791</v>
      </c>
      <c r="AF281" s="926">
        <v>1</v>
      </c>
      <c r="AG281" s="906">
        <f>IF(AE281&lt;&gt;0,VLOOKUP(AE281,ODDS!$A$2:$C$13,3,0),"")</f>
        <v>17000000</v>
      </c>
      <c r="AH281" s="906">
        <f t="shared" si="64"/>
        <v>17000000</v>
      </c>
      <c r="AI281" s="907" t="str">
        <f t="shared" si="62"/>
        <v xml:space="preserve"> </v>
      </c>
      <c r="AJ281" s="894" t="s">
        <v>296</v>
      </c>
      <c r="AK281" s="894" t="s">
        <v>2449</v>
      </c>
    </row>
    <row r="282" spans="1:37" s="376" customFormat="1" ht="90" outlineLevel="2" x14ac:dyDescent="0.3">
      <c r="A282" s="447">
        <f t="shared" si="67"/>
        <v>30</v>
      </c>
      <c r="B282" s="893"/>
      <c r="C282" s="894"/>
      <c r="D282" s="923"/>
      <c r="E282" s="923"/>
      <c r="F282" s="896"/>
      <c r="G282" s="894"/>
      <c r="H282" s="924"/>
      <c r="I282" s="882"/>
      <c r="J282" s="925"/>
      <c r="K282" s="899" t="str">
        <f>IF(G282&lt;&gt;0,VLOOKUP(G282,'gia dat'!$A$1:$F$144,5,0)," ")</f>
        <v xml:space="preserve"> </v>
      </c>
      <c r="L282" s="899" t="str">
        <f>IF(G282&lt;&gt;0,VLOOKUP(G282,'gia dat'!$A$1:$F$144,6,0)," ")</f>
        <v xml:space="preserve"> </v>
      </c>
      <c r="M282" s="900" t="str">
        <f t="shared" si="54"/>
        <v xml:space="preserve"> </v>
      </c>
      <c r="N282" s="900" t="str">
        <f t="shared" si="55"/>
        <v xml:space="preserve"> </v>
      </c>
      <c r="O282" s="894" t="s">
        <v>736</v>
      </c>
      <c r="P282" s="926">
        <v>13</v>
      </c>
      <c r="Q282" s="900">
        <f>IF(O282&lt;&gt;0,VLOOKUP(O282,'Cây trong'!$A$2:$C$246,3,0)," ")</f>
        <v>32000</v>
      </c>
      <c r="R282" s="900">
        <f t="shared" si="63"/>
        <v>416000</v>
      </c>
      <c r="S282" s="902" t="s">
        <v>1863</v>
      </c>
      <c r="T282" s="925" t="s">
        <v>53</v>
      </c>
      <c r="U282" s="927">
        <v>20.399999999999999</v>
      </c>
      <c r="V282" s="925"/>
      <c r="W282" s="900">
        <f>IF(S282&lt;&gt;0,VLOOKUP(S282,VKT!$A$2:$G$415,7,0),"")</f>
        <v>1107311</v>
      </c>
      <c r="X282" s="900">
        <f t="shared" si="53"/>
        <v>22589000</v>
      </c>
      <c r="Y282" s="925"/>
      <c r="Z282" s="928" t="s">
        <v>55</v>
      </c>
      <c r="AA282" s="928" t="s">
        <v>56</v>
      </c>
      <c r="AB282" s="904" t="s">
        <v>475</v>
      </c>
      <c r="AC282" s="928" t="s">
        <v>66</v>
      </c>
      <c r="AD282" s="928"/>
      <c r="AE282" s="941"/>
      <c r="AF282" s="926"/>
      <c r="AG282" s="906" t="str">
        <f>IF(AE282&lt;&gt;0,VLOOKUP(AE282,ODDS!$A$2:$C$13,3,0),"")</f>
        <v/>
      </c>
      <c r="AH282" s="906" t="str">
        <f t="shared" si="64"/>
        <v xml:space="preserve"> </v>
      </c>
      <c r="AI282" s="907" t="str">
        <f t="shared" si="62"/>
        <v xml:space="preserve"> </v>
      </c>
      <c r="AJ282" s="910" t="s">
        <v>476</v>
      </c>
      <c r="AK282" s="894" t="s">
        <v>2451</v>
      </c>
    </row>
    <row r="283" spans="1:37" s="376" customFormat="1" ht="112.5" outlineLevel="2" x14ac:dyDescent="0.3">
      <c r="A283" s="447">
        <f t="shared" si="67"/>
        <v>30</v>
      </c>
      <c r="B283" s="893"/>
      <c r="C283" s="978"/>
      <c r="D283" s="923"/>
      <c r="E283" s="923"/>
      <c r="F283" s="896"/>
      <c r="G283" s="894"/>
      <c r="H283" s="924"/>
      <c r="I283" s="882"/>
      <c r="J283" s="925"/>
      <c r="K283" s="899" t="str">
        <f>IF(G283&lt;&gt;0,VLOOKUP(G283,'gia dat'!$A$1:$F$144,5,0)," ")</f>
        <v xml:space="preserve"> </v>
      </c>
      <c r="L283" s="899" t="str">
        <f>IF(G283&lt;&gt;0,VLOOKUP(G283,'gia dat'!$A$1:$F$144,6,0)," ")</f>
        <v xml:space="preserve"> </v>
      </c>
      <c r="M283" s="900" t="str">
        <f t="shared" si="54"/>
        <v xml:space="preserve"> </v>
      </c>
      <c r="N283" s="900" t="str">
        <f t="shared" si="55"/>
        <v xml:space="preserve"> </v>
      </c>
      <c r="O283" s="894" t="s">
        <v>737</v>
      </c>
      <c r="P283" s="926">
        <v>1</v>
      </c>
      <c r="Q283" s="900">
        <f>IF(O283&lt;&gt;0,VLOOKUP(O283,'Cây trong'!$A$2:$C$246,3,0)," ")</f>
        <v>0</v>
      </c>
      <c r="R283" s="900">
        <f t="shared" si="63"/>
        <v>0</v>
      </c>
      <c r="S283" s="902" t="s">
        <v>1844</v>
      </c>
      <c r="T283" s="925" t="s">
        <v>53</v>
      </c>
      <c r="U283" s="927">
        <v>23.4</v>
      </c>
      <c r="V283" s="925"/>
      <c r="W283" s="900">
        <f>IF(S283&lt;&gt;0,VLOOKUP(S283,VKT!$A$2:$G$415,7,0),"")</f>
        <v>770070</v>
      </c>
      <c r="X283" s="900">
        <f t="shared" si="53"/>
        <v>18020000</v>
      </c>
      <c r="Y283" s="925"/>
      <c r="Z283" s="928" t="s">
        <v>55</v>
      </c>
      <c r="AA283" s="928" t="s">
        <v>56</v>
      </c>
      <c r="AB283" s="904"/>
      <c r="AC283" s="928" t="s">
        <v>66</v>
      </c>
      <c r="AD283" s="928"/>
      <c r="AE283" s="928"/>
      <c r="AF283" s="926"/>
      <c r="AG283" s="906" t="str">
        <f>IF(AE283&lt;&gt;0,VLOOKUP(AE283,ODDS!$A$2:$C$13,3,0),"")</f>
        <v/>
      </c>
      <c r="AH283" s="906" t="str">
        <f t="shared" si="64"/>
        <v xml:space="preserve"> </v>
      </c>
      <c r="AI283" s="907" t="str">
        <f t="shared" si="62"/>
        <v xml:space="preserve"> </v>
      </c>
      <c r="AJ283" s="910"/>
      <c r="AK283" s="894" t="s">
        <v>2800</v>
      </c>
    </row>
    <row r="284" spans="1:37" s="376" customFormat="1" ht="135" outlineLevel="2" x14ac:dyDescent="0.3">
      <c r="A284" s="447">
        <f t="shared" si="67"/>
        <v>30</v>
      </c>
      <c r="B284" s="893"/>
      <c r="C284" s="983"/>
      <c r="D284" s="923"/>
      <c r="E284" s="923"/>
      <c r="F284" s="896"/>
      <c r="G284" s="894"/>
      <c r="H284" s="924"/>
      <c r="I284" s="882"/>
      <c r="J284" s="925"/>
      <c r="K284" s="899" t="str">
        <f>IF(G284&lt;&gt;0,VLOOKUP(G284,'gia dat'!$A$1:$F$144,5,0)," ")</f>
        <v xml:space="preserve"> </v>
      </c>
      <c r="L284" s="899" t="str">
        <f>IF(G284&lt;&gt;0,VLOOKUP(G284,'gia dat'!$A$1:$F$144,6,0)," ")</f>
        <v xml:space="preserve"> </v>
      </c>
      <c r="M284" s="900" t="str">
        <f t="shared" si="54"/>
        <v xml:space="preserve"> </v>
      </c>
      <c r="N284" s="900" t="str">
        <f t="shared" si="55"/>
        <v xml:space="preserve"> </v>
      </c>
      <c r="O284" s="981" t="s">
        <v>148</v>
      </c>
      <c r="P284" s="926">
        <v>2</v>
      </c>
      <c r="Q284" s="900">
        <f>IF(O284&lt;&gt;0,VLOOKUP(O284,'Cây trong'!$A$2:$C$246,3,0)," ")</f>
        <v>70000</v>
      </c>
      <c r="R284" s="900">
        <f t="shared" si="63"/>
        <v>140000</v>
      </c>
      <c r="S284" s="981" t="s">
        <v>2275</v>
      </c>
      <c r="T284" s="982" t="s">
        <v>53</v>
      </c>
      <c r="U284" s="927">
        <v>178.35</v>
      </c>
      <c r="V284" s="984"/>
      <c r="W284" s="900">
        <f>IF(S284&lt;&gt;0,VLOOKUP(S284,VKT!$A$2:$G$415,7,0),"")</f>
        <v>1116028</v>
      </c>
      <c r="X284" s="900">
        <f t="shared" si="53"/>
        <v>199044000</v>
      </c>
      <c r="Y284" s="925"/>
      <c r="Z284" s="928"/>
      <c r="AA284" s="928"/>
      <c r="AB284" s="904"/>
      <c r="AC284" s="928"/>
      <c r="AD284" s="928"/>
      <c r="AE284" s="928"/>
      <c r="AF284" s="926"/>
      <c r="AG284" s="906" t="str">
        <f>IF(AE284&lt;&gt;0,VLOOKUP(AE284,ODDS!$A$2:$C$13,3,0),"")</f>
        <v/>
      </c>
      <c r="AH284" s="906" t="str">
        <f t="shared" si="64"/>
        <v xml:space="preserve"> </v>
      </c>
      <c r="AI284" s="907" t="str">
        <f t="shared" si="62"/>
        <v xml:space="preserve"> </v>
      </c>
      <c r="AJ284" s="894"/>
      <c r="AK284" s="894"/>
    </row>
    <row r="285" spans="1:37" s="376" customFormat="1" ht="112.5" outlineLevel="2" x14ac:dyDescent="0.3">
      <c r="A285" s="447">
        <f t="shared" si="67"/>
        <v>30</v>
      </c>
      <c r="B285" s="893"/>
      <c r="C285" s="983"/>
      <c r="D285" s="923"/>
      <c r="E285" s="923"/>
      <c r="F285" s="896"/>
      <c r="G285" s="894"/>
      <c r="H285" s="924"/>
      <c r="I285" s="882"/>
      <c r="J285" s="925"/>
      <c r="K285" s="899" t="str">
        <f>IF(G285&lt;&gt;0,VLOOKUP(G285,'gia dat'!$A$1:$F$144,5,0)," ")</f>
        <v xml:space="preserve"> </v>
      </c>
      <c r="L285" s="899" t="str">
        <f>IF(G285&lt;&gt;0,VLOOKUP(G285,'gia dat'!$A$1:$F$144,6,0)," ")</f>
        <v xml:space="preserve"> </v>
      </c>
      <c r="M285" s="900" t="str">
        <f t="shared" si="54"/>
        <v xml:space="preserve"> </v>
      </c>
      <c r="N285" s="900" t="str">
        <f t="shared" si="55"/>
        <v xml:space="preserve"> </v>
      </c>
      <c r="O285" s="981" t="s">
        <v>149</v>
      </c>
      <c r="P285" s="926">
        <v>1</v>
      </c>
      <c r="Q285" s="900">
        <f>IF(O285&lt;&gt;0,VLOOKUP(O285,'Cây trong'!$A$2:$C$246,3,0)," ")</f>
        <v>146000</v>
      </c>
      <c r="R285" s="900">
        <f t="shared" si="63"/>
        <v>146000</v>
      </c>
      <c r="S285" s="981" t="s">
        <v>2276</v>
      </c>
      <c r="T285" s="982" t="s">
        <v>53</v>
      </c>
      <c r="U285" s="927">
        <v>100.45</v>
      </c>
      <c r="V285" s="984"/>
      <c r="W285" s="900">
        <f>IF(S285&lt;&gt;0,VLOOKUP(S285,VKT!$A$2:$G$415,7,0),"")</f>
        <v>1116028</v>
      </c>
      <c r="X285" s="900">
        <f t="shared" si="53"/>
        <v>112105000</v>
      </c>
      <c r="Y285" s="925"/>
      <c r="Z285" s="928"/>
      <c r="AA285" s="928"/>
      <c r="AB285" s="904"/>
      <c r="AC285" s="928"/>
      <c r="AD285" s="928"/>
      <c r="AE285" s="928"/>
      <c r="AF285" s="926"/>
      <c r="AG285" s="906" t="str">
        <f>IF(AE285&lt;&gt;0,VLOOKUP(AE285,ODDS!$A$2:$C$13,3,0),"")</f>
        <v/>
      </c>
      <c r="AH285" s="906" t="str">
        <f t="shared" si="64"/>
        <v xml:space="preserve"> </v>
      </c>
      <c r="AI285" s="907" t="str">
        <f t="shared" si="62"/>
        <v xml:space="preserve"> </v>
      </c>
      <c r="AJ285" s="929"/>
      <c r="AK285" s="929"/>
    </row>
    <row r="286" spans="1:37" s="376" customFormat="1" ht="45" outlineLevel="2" x14ac:dyDescent="0.3">
      <c r="A286" s="447">
        <f t="shared" si="67"/>
        <v>30</v>
      </c>
      <c r="B286" s="893"/>
      <c r="C286" s="894"/>
      <c r="D286" s="923"/>
      <c r="E286" s="923"/>
      <c r="F286" s="896"/>
      <c r="G286" s="894"/>
      <c r="H286" s="924"/>
      <c r="I286" s="882"/>
      <c r="J286" s="925"/>
      <c r="K286" s="899" t="str">
        <f>IF(G286&lt;&gt;0,VLOOKUP(G286,'gia dat'!$A$1:$F$144,5,0)," ")</f>
        <v xml:space="preserve"> </v>
      </c>
      <c r="L286" s="899" t="str">
        <f>IF(G286&lt;&gt;0,VLOOKUP(G286,'gia dat'!$A$1:$F$144,6,0)," ")</f>
        <v xml:space="preserve"> </v>
      </c>
      <c r="M286" s="900" t="str">
        <f t="shared" si="54"/>
        <v xml:space="preserve"> </v>
      </c>
      <c r="N286" s="900" t="str">
        <f t="shared" si="55"/>
        <v xml:space="preserve"> </v>
      </c>
      <c r="O286" s="981" t="s">
        <v>76</v>
      </c>
      <c r="P286" s="926">
        <v>3</v>
      </c>
      <c r="Q286" s="900">
        <f>IF(O286&lt;&gt;0,VLOOKUP(O286,'Cây trong'!$A$2:$C$246,3,0)," ")</f>
        <v>45000</v>
      </c>
      <c r="R286" s="900">
        <f t="shared" si="63"/>
        <v>135000</v>
      </c>
      <c r="S286" s="981" t="s">
        <v>1799</v>
      </c>
      <c r="T286" s="982" t="s">
        <v>53</v>
      </c>
      <c r="U286" s="927">
        <v>10.199999999999999</v>
      </c>
      <c r="V286" s="984"/>
      <c r="W286" s="900">
        <f>IF(S286&lt;&gt;0,VLOOKUP(S286,VKT!$A$2:$G$415,7,0),"")</f>
        <v>275180</v>
      </c>
      <c r="X286" s="900">
        <f t="shared" si="53"/>
        <v>2807000</v>
      </c>
      <c r="Y286" s="925"/>
      <c r="Z286" s="928"/>
      <c r="AA286" s="928"/>
      <c r="AB286" s="904"/>
      <c r="AC286" s="928"/>
      <c r="AD286" s="928"/>
      <c r="AE286" s="928"/>
      <c r="AF286" s="926"/>
      <c r="AG286" s="906" t="str">
        <f>IF(AE286&lt;&gt;0,VLOOKUP(AE286,ODDS!$A$2:$C$13,3,0),"")</f>
        <v/>
      </c>
      <c r="AH286" s="906" t="str">
        <f t="shared" si="64"/>
        <v xml:space="preserve"> </v>
      </c>
      <c r="AI286" s="907" t="str">
        <f t="shared" si="62"/>
        <v xml:space="preserve"> </v>
      </c>
      <c r="AJ286" s="929"/>
      <c r="AK286" s="929"/>
    </row>
    <row r="287" spans="1:37" s="376" customFormat="1" ht="45" outlineLevel="2" x14ac:dyDescent="0.3">
      <c r="A287" s="447">
        <f t="shared" si="67"/>
        <v>30</v>
      </c>
      <c r="B287" s="893"/>
      <c r="C287" s="894"/>
      <c r="D287" s="923"/>
      <c r="E287" s="923"/>
      <c r="F287" s="896"/>
      <c r="G287" s="894"/>
      <c r="H287" s="924"/>
      <c r="I287" s="882"/>
      <c r="J287" s="925"/>
      <c r="K287" s="899" t="str">
        <f>IF(G287&lt;&gt;0,VLOOKUP(G287,'gia dat'!$A$1:$F$144,5,0)," ")</f>
        <v xml:space="preserve"> </v>
      </c>
      <c r="L287" s="899" t="str">
        <f>IF(G287&lt;&gt;0,VLOOKUP(G287,'gia dat'!$A$1:$F$144,6,0)," ")</f>
        <v xml:space="preserve"> </v>
      </c>
      <c r="M287" s="900" t="str">
        <f t="shared" si="54"/>
        <v xml:space="preserve"> </v>
      </c>
      <c r="N287" s="900" t="str">
        <f t="shared" si="55"/>
        <v xml:space="preserve"> </v>
      </c>
      <c r="O287" s="981" t="s">
        <v>738</v>
      </c>
      <c r="P287" s="926">
        <v>10</v>
      </c>
      <c r="Q287" s="900">
        <f>IF(O287&lt;&gt;0,VLOOKUP(O287,'Cây trong'!$A$2:$C$246,3,0)," ")</f>
        <v>0</v>
      </c>
      <c r="R287" s="900">
        <f t="shared" si="63"/>
        <v>0</v>
      </c>
      <c r="S287" s="981" t="s">
        <v>1799</v>
      </c>
      <c r="T287" s="982" t="s">
        <v>53</v>
      </c>
      <c r="U287" s="927">
        <v>20.399999999999999</v>
      </c>
      <c r="V287" s="984"/>
      <c r="W287" s="900">
        <f>IF(S287&lt;&gt;0,VLOOKUP(S287,VKT!$A$2:$G$415,7,0),"")</f>
        <v>275180</v>
      </c>
      <c r="X287" s="900">
        <f t="shared" si="53"/>
        <v>5614000</v>
      </c>
      <c r="Y287" s="925"/>
      <c r="Z287" s="928"/>
      <c r="AA287" s="928"/>
      <c r="AB287" s="904"/>
      <c r="AC287" s="928"/>
      <c r="AD287" s="928"/>
      <c r="AE287" s="928"/>
      <c r="AF287" s="926"/>
      <c r="AG287" s="906" t="str">
        <f>IF(AE287&lt;&gt;0,VLOOKUP(AE287,ODDS!$A$2:$C$13,3,0),"")</f>
        <v/>
      </c>
      <c r="AH287" s="906" t="str">
        <f t="shared" si="64"/>
        <v xml:space="preserve"> </v>
      </c>
      <c r="AI287" s="907" t="str">
        <f t="shared" si="62"/>
        <v xml:space="preserve"> </v>
      </c>
      <c r="AJ287" s="929"/>
      <c r="AK287" s="929"/>
    </row>
    <row r="288" spans="1:37" s="376" customFormat="1" ht="45" outlineLevel="2" x14ac:dyDescent="0.3">
      <c r="A288" s="447">
        <f t="shared" si="67"/>
        <v>30</v>
      </c>
      <c r="B288" s="893"/>
      <c r="C288" s="894"/>
      <c r="D288" s="923"/>
      <c r="E288" s="923"/>
      <c r="F288" s="896"/>
      <c r="G288" s="894"/>
      <c r="H288" s="924"/>
      <c r="I288" s="882"/>
      <c r="J288" s="925"/>
      <c r="K288" s="899" t="str">
        <f>IF(G288&lt;&gt;0,VLOOKUP(G288,'gia dat'!$A$1:$F$144,5,0)," ")</f>
        <v xml:space="preserve"> </v>
      </c>
      <c r="L288" s="899" t="str">
        <f>IF(G288&lt;&gt;0,VLOOKUP(G288,'gia dat'!$A$1:$F$144,6,0)," ")</f>
        <v xml:space="preserve"> </v>
      </c>
      <c r="M288" s="900" t="str">
        <f t="shared" si="54"/>
        <v xml:space="preserve"> </v>
      </c>
      <c r="N288" s="900" t="str">
        <f t="shared" si="55"/>
        <v xml:space="preserve"> </v>
      </c>
      <c r="O288" s="981" t="s">
        <v>401</v>
      </c>
      <c r="P288" s="926">
        <v>15</v>
      </c>
      <c r="Q288" s="900">
        <f>IF(O288&lt;&gt;0,VLOOKUP(O288,'Cây trong'!$A$2:$C$246,3,0)," ")</f>
        <v>80000</v>
      </c>
      <c r="R288" s="900">
        <f t="shared" si="63"/>
        <v>1200000</v>
      </c>
      <c r="S288" s="981" t="s">
        <v>1799</v>
      </c>
      <c r="T288" s="982" t="s">
        <v>53</v>
      </c>
      <c r="U288" s="927">
        <v>23.4</v>
      </c>
      <c r="V288" s="984"/>
      <c r="W288" s="900">
        <f>IF(S288&lt;&gt;0,VLOOKUP(S288,VKT!$A$2:$G$415,7,0),"")</f>
        <v>275180</v>
      </c>
      <c r="X288" s="900">
        <f t="shared" si="53"/>
        <v>6439000</v>
      </c>
      <c r="Y288" s="925"/>
      <c r="Z288" s="928"/>
      <c r="AA288" s="928"/>
      <c r="AB288" s="904"/>
      <c r="AC288" s="928"/>
      <c r="AD288" s="928"/>
      <c r="AE288" s="928"/>
      <c r="AF288" s="926"/>
      <c r="AG288" s="906" t="str">
        <f>IF(AE288&lt;&gt;0,VLOOKUP(AE288,ODDS!$A$2:$C$13,3,0),"")</f>
        <v/>
      </c>
      <c r="AH288" s="906" t="str">
        <f t="shared" si="64"/>
        <v xml:space="preserve"> </v>
      </c>
      <c r="AI288" s="907" t="str">
        <f t="shared" si="62"/>
        <v xml:space="preserve"> </v>
      </c>
      <c r="AJ288" s="929"/>
      <c r="AK288" s="929"/>
    </row>
    <row r="289" spans="1:37" s="376" customFormat="1" ht="67.5" outlineLevel="2" x14ac:dyDescent="0.3">
      <c r="A289" s="447">
        <f t="shared" si="67"/>
        <v>30</v>
      </c>
      <c r="B289" s="893"/>
      <c r="C289" s="894"/>
      <c r="D289" s="923"/>
      <c r="E289" s="923"/>
      <c r="F289" s="896"/>
      <c r="G289" s="894"/>
      <c r="H289" s="924"/>
      <c r="I289" s="882"/>
      <c r="J289" s="925"/>
      <c r="K289" s="899" t="str">
        <f>IF(G289&lt;&gt;0,VLOOKUP(G289,'gia dat'!$A$1:$F$144,5,0)," ")</f>
        <v xml:space="preserve"> </v>
      </c>
      <c r="L289" s="899" t="str">
        <f>IF(G289&lt;&gt;0,VLOOKUP(G289,'gia dat'!$A$1:$F$144,6,0)," ")</f>
        <v xml:space="preserve"> </v>
      </c>
      <c r="M289" s="900" t="str">
        <f t="shared" si="54"/>
        <v xml:space="preserve"> </v>
      </c>
      <c r="N289" s="900" t="str">
        <f t="shared" si="55"/>
        <v xml:space="preserve"> </v>
      </c>
      <c r="O289" s="981" t="s">
        <v>739</v>
      </c>
      <c r="P289" s="926">
        <v>1</v>
      </c>
      <c r="Q289" s="900">
        <f>IF(O289&lt;&gt;0,VLOOKUP(O289,'Cây trong'!$A$2:$C$246,3,0)," ")</f>
        <v>72000</v>
      </c>
      <c r="R289" s="900">
        <f t="shared" si="63"/>
        <v>72000</v>
      </c>
      <c r="S289" s="981" t="s">
        <v>1767</v>
      </c>
      <c r="T289" s="982" t="s">
        <v>53</v>
      </c>
      <c r="U289" s="927">
        <v>4.05</v>
      </c>
      <c r="V289" s="984"/>
      <c r="W289" s="900">
        <f>IF(S289&lt;&gt;0,VLOOKUP(S289,VKT!$A$2:$G$415,7,0),"")</f>
        <v>0</v>
      </c>
      <c r="X289" s="900">
        <f t="shared" si="53"/>
        <v>0</v>
      </c>
      <c r="Y289" s="925"/>
      <c r="Z289" s="928"/>
      <c r="AA289" s="928"/>
      <c r="AB289" s="904"/>
      <c r="AC289" s="928"/>
      <c r="AD289" s="928"/>
      <c r="AE289" s="928"/>
      <c r="AF289" s="926"/>
      <c r="AG289" s="906" t="str">
        <f>IF(AE289&lt;&gt;0,VLOOKUP(AE289,ODDS!$A$2:$C$13,3,0),"")</f>
        <v/>
      </c>
      <c r="AH289" s="906" t="str">
        <f t="shared" si="64"/>
        <v xml:space="preserve"> </v>
      </c>
      <c r="AI289" s="907" t="str">
        <f t="shared" si="62"/>
        <v xml:space="preserve"> </v>
      </c>
      <c r="AJ289" s="929"/>
      <c r="AK289" s="929"/>
    </row>
    <row r="290" spans="1:37" s="376" customFormat="1" ht="67.5" outlineLevel="2" x14ac:dyDescent="0.3">
      <c r="A290" s="447">
        <f t="shared" si="67"/>
        <v>30</v>
      </c>
      <c r="B290" s="893"/>
      <c r="C290" s="894"/>
      <c r="D290" s="923"/>
      <c r="E290" s="923"/>
      <c r="F290" s="896"/>
      <c r="G290" s="894"/>
      <c r="H290" s="924"/>
      <c r="I290" s="882"/>
      <c r="J290" s="925"/>
      <c r="K290" s="899" t="str">
        <f>IF(G290&lt;&gt;0,VLOOKUP(G290,'gia dat'!$A$1:$F$144,5,0)," ")</f>
        <v xml:space="preserve"> </v>
      </c>
      <c r="L290" s="899" t="str">
        <f>IF(G290&lt;&gt;0,VLOOKUP(G290,'gia dat'!$A$1:$F$144,6,0)," ")</f>
        <v xml:space="preserve"> </v>
      </c>
      <c r="M290" s="900" t="str">
        <f t="shared" si="54"/>
        <v xml:space="preserve"> </v>
      </c>
      <c r="N290" s="900" t="str">
        <f t="shared" si="55"/>
        <v xml:space="preserve"> </v>
      </c>
      <c r="O290" s="981" t="s">
        <v>731</v>
      </c>
      <c r="P290" s="926">
        <v>1</v>
      </c>
      <c r="Q290" s="900">
        <f>IF(O290&lt;&gt;0,VLOOKUP(O290,'Cây trong'!$A$2:$C$246,3,0)," ")</f>
        <v>165000</v>
      </c>
      <c r="R290" s="900">
        <f t="shared" si="63"/>
        <v>165000</v>
      </c>
      <c r="S290" s="922" t="s">
        <v>1801</v>
      </c>
      <c r="T290" s="944" t="s">
        <v>78</v>
      </c>
      <c r="U290" s="927">
        <v>0.12</v>
      </c>
      <c r="V290" s="984"/>
      <c r="W290" s="900">
        <f>IF(S290&lt;&gt;0,VLOOKUP(S290,VKT!$A$2:$G$415,7,0),"")</f>
        <v>0</v>
      </c>
      <c r="X290" s="900">
        <f t="shared" si="53"/>
        <v>0</v>
      </c>
      <c r="Y290" s="925"/>
      <c r="Z290" s="928"/>
      <c r="AA290" s="928"/>
      <c r="AB290" s="904"/>
      <c r="AC290" s="928"/>
      <c r="AD290" s="928"/>
      <c r="AE290" s="928"/>
      <c r="AF290" s="926"/>
      <c r="AG290" s="906" t="str">
        <f>IF(AE290&lt;&gt;0,VLOOKUP(AE290,ODDS!$A$2:$C$13,3,0),"")</f>
        <v/>
      </c>
      <c r="AH290" s="906" t="str">
        <f t="shared" si="64"/>
        <v xml:space="preserve"> </v>
      </c>
      <c r="AI290" s="907" t="str">
        <f t="shared" si="62"/>
        <v xml:space="preserve"> </v>
      </c>
      <c r="AJ290" s="929"/>
      <c r="AK290" s="929"/>
    </row>
    <row r="291" spans="1:37" s="376" customFormat="1" ht="45" outlineLevel="2" x14ac:dyDescent="0.3">
      <c r="A291" s="447">
        <f t="shared" si="67"/>
        <v>30</v>
      </c>
      <c r="B291" s="893"/>
      <c r="C291" s="894"/>
      <c r="D291" s="923"/>
      <c r="E291" s="923"/>
      <c r="F291" s="896"/>
      <c r="G291" s="894"/>
      <c r="H291" s="924"/>
      <c r="I291" s="882"/>
      <c r="J291" s="925"/>
      <c r="K291" s="899" t="str">
        <f>IF(G291&lt;&gt;0,VLOOKUP(G291,'gia dat'!$A$1:$F$144,5,0)," ")</f>
        <v xml:space="preserve"> </v>
      </c>
      <c r="L291" s="899" t="str">
        <f>IF(G291&lt;&gt;0,VLOOKUP(G291,'gia dat'!$A$1:$F$144,6,0)," ")</f>
        <v xml:space="preserve"> </v>
      </c>
      <c r="M291" s="900" t="str">
        <f t="shared" si="54"/>
        <v xml:space="preserve"> </v>
      </c>
      <c r="N291" s="900" t="str">
        <f t="shared" si="55"/>
        <v xml:space="preserve"> </v>
      </c>
      <c r="O291" s="981" t="s">
        <v>740</v>
      </c>
      <c r="P291" s="926">
        <v>1</v>
      </c>
      <c r="Q291" s="900">
        <f>IF(O291&lt;&gt;0,VLOOKUP(O291,'Cây trong'!$A$2:$C$246,3,0)," ")</f>
        <v>60000</v>
      </c>
      <c r="R291" s="900">
        <f t="shared" si="63"/>
        <v>60000</v>
      </c>
      <c r="S291" s="922" t="s">
        <v>2277</v>
      </c>
      <c r="T291" s="944" t="s">
        <v>78</v>
      </c>
      <c r="U291" s="927">
        <v>15.48</v>
      </c>
      <c r="V291" s="984"/>
      <c r="W291" s="900">
        <f>IF(S291&lt;&gt;0,VLOOKUP(S291,VKT!$A$2:$G$415,7,0),"")</f>
        <v>0</v>
      </c>
      <c r="X291" s="900">
        <f t="shared" ref="X291:X357" si="68">IF(S291&lt;&gt;0,ROUND(U291*W291,-3)," ")</f>
        <v>0</v>
      </c>
      <c r="Y291" s="925"/>
      <c r="Z291" s="928"/>
      <c r="AA291" s="928"/>
      <c r="AB291" s="904"/>
      <c r="AC291" s="928"/>
      <c r="AD291" s="928"/>
      <c r="AE291" s="928"/>
      <c r="AF291" s="926"/>
      <c r="AG291" s="906" t="str">
        <f>IF(AE291&lt;&gt;0,VLOOKUP(AE291,ODDS!$A$2:$C$13,3,0),"")</f>
        <v/>
      </c>
      <c r="AH291" s="906" t="str">
        <f t="shared" si="64"/>
        <v xml:space="preserve"> </v>
      </c>
      <c r="AI291" s="907" t="str">
        <f t="shared" si="62"/>
        <v xml:space="preserve"> </v>
      </c>
      <c r="AJ291" s="929"/>
      <c r="AK291" s="929"/>
    </row>
    <row r="292" spans="1:37" s="376" customFormat="1" ht="45" outlineLevel="2" x14ac:dyDescent="0.3">
      <c r="A292" s="447">
        <f t="shared" si="67"/>
        <v>30</v>
      </c>
      <c r="B292" s="893"/>
      <c r="C292" s="894"/>
      <c r="D292" s="923"/>
      <c r="E292" s="923"/>
      <c r="F292" s="896"/>
      <c r="G292" s="894"/>
      <c r="H292" s="924"/>
      <c r="I292" s="882"/>
      <c r="J292" s="925"/>
      <c r="K292" s="899" t="str">
        <f>IF(G292&lt;&gt;0,VLOOKUP(G292,'gia dat'!$A$1:$F$144,5,0)," ")</f>
        <v xml:space="preserve"> </v>
      </c>
      <c r="L292" s="899" t="str">
        <f>IF(G292&lt;&gt;0,VLOOKUP(G292,'gia dat'!$A$1:$F$144,6,0)," ")</f>
        <v xml:space="preserve"> </v>
      </c>
      <c r="M292" s="900" t="str">
        <f t="shared" si="54"/>
        <v xml:space="preserve"> </v>
      </c>
      <c r="N292" s="900" t="str">
        <f t="shared" si="55"/>
        <v xml:space="preserve"> </v>
      </c>
      <c r="O292" s="929"/>
      <c r="P292" s="951"/>
      <c r="Q292" s="900" t="str">
        <f>IF(O292&lt;&gt;0,VLOOKUP(O292,'Cây trong'!$A$2:$C$246,3,0)," ")</f>
        <v xml:space="preserve"> </v>
      </c>
      <c r="R292" s="900" t="str">
        <f t="shared" si="63"/>
        <v xml:space="preserve"> </v>
      </c>
      <c r="S292" s="922" t="s">
        <v>2149</v>
      </c>
      <c r="T292" s="944" t="s">
        <v>78</v>
      </c>
      <c r="U292" s="927">
        <v>1.02</v>
      </c>
      <c r="V292" s="984"/>
      <c r="W292" s="900">
        <f>IF(S292&lt;&gt;0,VLOOKUP(S292,VKT!$A$2:$G$415,7,0),"")</f>
        <v>0</v>
      </c>
      <c r="X292" s="900">
        <f t="shared" si="68"/>
        <v>0</v>
      </c>
      <c r="Y292" s="925"/>
      <c r="Z292" s="928"/>
      <c r="AA292" s="928"/>
      <c r="AB292" s="904"/>
      <c r="AC292" s="928"/>
      <c r="AD292" s="928"/>
      <c r="AE292" s="928"/>
      <c r="AF292" s="926"/>
      <c r="AG292" s="906" t="str">
        <f>IF(AE292&lt;&gt;0,VLOOKUP(AE292,ODDS!$A$2:$C$13,3,0),"")</f>
        <v/>
      </c>
      <c r="AH292" s="906" t="str">
        <f t="shared" si="64"/>
        <v xml:space="preserve"> </v>
      </c>
      <c r="AI292" s="907" t="str">
        <f t="shared" si="62"/>
        <v xml:space="preserve"> </v>
      </c>
      <c r="AJ292" s="929"/>
      <c r="AK292" s="929"/>
    </row>
    <row r="293" spans="1:37" s="376" customFormat="1" ht="90" outlineLevel="2" x14ac:dyDescent="0.3">
      <c r="A293" s="447">
        <f t="shared" si="67"/>
        <v>30</v>
      </c>
      <c r="B293" s="893"/>
      <c r="C293" s="894"/>
      <c r="D293" s="923"/>
      <c r="E293" s="923"/>
      <c r="F293" s="896"/>
      <c r="G293" s="894"/>
      <c r="H293" s="924"/>
      <c r="I293" s="882"/>
      <c r="J293" s="929"/>
      <c r="K293" s="899" t="str">
        <f>IF(G293&lt;&gt;0,VLOOKUP(G293,'gia dat'!$A$1:$F$144,5,0)," ")</f>
        <v xml:space="preserve"> </v>
      </c>
      <c r="L293" s="899" t="str">
        <f>IF(G293&lt;&gt;0,VLOOKUP(G293,'gia dat'!$A$1:$F$144,6,0)," ")</f>
        <v xml:space="preserve"> </v>
      </c>
      <c r="M293" s="900" t="str">
        <f t="shared" si="54"/>
        <v xml:space="preserve"> </v>
      </c>
      <c r="N293" s="900" t="str">
        <f t="shared" si="55"/>
        <v xml:space="preserve"> </v>
      </c>
      <c r="O293" s="922"/>
      <c r="P293" s="965"/>
      <c r="Q293" s="900" t="str">
        <f>IF(O293&lt;&gt;0,VLOOKUP(O293,'Cây trong'!$A$2:$C$246,3,0)," ")</f>
        <v xml:space="preserve"> </v>
      </c>
      <c r="R293" s="900" t="str">
        <f t="shared" si="63"/>
        <v xml:space="preserve"> </v>
      </c>
      <c r="S293" s="922" t="s">
        <v>2278</v>
      </c>
      <c r="T293" s="944" t="s">
        <v>78</v>
      </c>
      <c r="U293" s="927">
        <v>2.15</v>
      </c>
      <c r="V293" s="925"/>
      <c r="W293" s="900">
        <f>IF(S293&lt;&gt;0,VLOOKUP(S293,VKT!$A$2:$G$415,7,0),"")</f>
        <v>3135130</v>
      </c>
      <c r="X293" s="900">
        <f t="shared" si="68"/>
        <v>6741000</v>
      </c>
      <c r="Y293" s="925"/>
      <c r="Z293" s="928"/>
      <c r="AA293" s="928"/>
      <c r="AB293" s="904"/>
      <c r="AC293" s="928"/>
      <c r="AD293" s="928"/>
      <c r="AE293" s="928"/>
      <c r="AF293" s="926"/>
      <c r="AG293" s="906" t="str">
        <f>IF(AE293&lt;&gt;0,VLOOKUP(AE293,ODDS!$A$2:$C$13,3,0),"")</f>
        <v/>
      </c>
      <c r="AH293" s="906" t="str">
        <f t="shared" si="64"/>
        <v xml:space="preserve"> </v>
      </c>
      <c r="AI293" s="907" t="str">
        <f t="shared" si="62"/>
        <v xml:space="preserve"> </v>
      </c>
      <c r="AJ293" s="929"/>
      <c r="AK293" s="929"/>
    </row>
    <row r="294" spans="1:37" s="376" customFormat="1" ht="67.5" outlineLevel="2" x14ac:dyDescent="0.3">
      <c r="A294" s="447">
        <f t="shared" si="67"/>
        <v>30</v>
      </c>
      <c r="B294" s="893"/>
      <c r="C294" s="894"/>
      <c r="D294" s="923"/>
      <c r="E294" s="923"/>
      <c r="F294" s="896"/>
      <c r="G294" s="894"/>
      <c r="H294" s="924"/>
      <c r="I294" s="882"/>
      <c r="J294" s="929"/>
      <c r="K294" s="899" t="str">
        <f>IF(G294&lt;&gt;0,VLOOKUP(G294,'gia dat'!$A$1:$F$144,5,0)," ")</f>
        <v xml:space="preserve"> </v>
      </c>
      <c r="L294" s="899" t="str">
        <f>IF(G294&lt;&gt;0,VLOOKUP(G294,'gia dat'!$A$1:$F$144,6,0)," ")</f>
        <v xml:space="preserve"> </v>
      </c>
      <c r="M294" s="900" t="str">
        <f t="shared" si="54"/>
        <v xml:space="preserve"> </v>
      </c>
      <c r="N294" s="900" t="str">
        <f t="shared" si="55"/>
        <v xml:space="preserve"> </v>
      </c>
      <c r="O294" s="922"/>
      <c r="P294" s="965"/>
      <c r="Q294" s="900" t="str">
        <f>IF(O294&lt;&gt;0,VLOOKUP(O294,'Cây trong'!$A$2:$C$246,3,0)," ")</f>
        <v xml:space="preserve"> </v>
      </c>
      <c r="R294" s="900" t="str">
        <f t="shared" si="63"/>
        <v xml:space="preserve"> </v>
      </c>
      <c r="S294" s="922" t="s">
        <v>2279</v>
      </c>
      <c r="T294" s="944" t="s">
        <v>101</v>
      </c>
      <c r="U294" s="927">
        <v>4</v>
      </c>
      <c r="V294" s="925"/>
      <c r="W294" s="900">
        <f>IF(S294&lt;&gt;0,VLOOKUP(S294,VKT!$A$2:$G$415,7,0),"")</f>
        <v>85020</v>
      </c>
      <c r="X294" s="900">
        <f t="shared" si="68"/>
        <v>340000</v>
      </c>
      <c r="Y294" s="925"/>
      <c r="Z294" s="928"/>
      <c r="AA294" s="928"/>
      <c r="AB294" s="904"/>
      <c r="AC294" s="928"/>
      <c r="AD294" s="928"/>
      <c r="AE294" s="928"/>
      <c r="AF294" s="926"/>
      <c r="AG294" s="906" t="str">
        <f>IF(AE294&lt;&gt;0,VLOOKUP(AE294,ODDS!$A$2:$C$13,3,0),"")</f>
        <v/>
      </c>
      <c r="AH294" s="906" t="str">
        <f t="shared" si="64"/>
        <v xml:space="preserve"> </v>
      </c>
      <c r="AI294" s="907" t="str">
        <f t="shared" si="62"/>
        <v xml:space="preserve"> </v>
      </c>
      <c r="AJ294" s="929"/>
      <c r="AK294" s="929"/>
    </row>
    <row r="295" spans="1:37" s="376" customFormat="1" ht="67.5" outlineLevel="2" x14ac:dyDescent="0.3">
      <c r="A295" s="447">
        <f t="shared" si="67"/>
        <v>30</v>
      </c>
      <c r="B295" s="893"/>
      <c r="C295" s="910"/>
      <c r="D295" s="923"/>
      <c r="E295" s="923"/>
      <c r="F295" s="896"/>
      <c r="G295" s="894"/>
      <c r="H295" s="924"/>
      <c r="I295" s="882"/>
      <c r="J295" s="929"/>
      <c r="K295" s="899" t="str">
        <f>IF(G295&lt;&gt;0,VLOOKUP(G295,'gia dat'!$A$1:$F$144,5,0)," ")</f>
        <v xml:space="preserve"> </v>
      </c>
      <c r="L295" s="899" t="str">
        <f>IF(G295&lt;&gt;0,VLOOKUP(G295,'gia dat'!$A$1:$F$144,6,0)," ")</f>
        <v xml:space="preserve"> </v>
      </c>
      <c r="M295" s="900" t="str">
        <f t="shared" ref="M295:M361" si="69">IF(H295&lt;&gt;0,ROUND(H295*K295,-3)," ")</f>
        <v xml:space="preserve"> </v>
      </c>
      <c r="N295" s="900" t="str">
        <f t="shared" ref="N295:N361" si="70">IF(H295&lt;&gt;0,ROUND(H295*L295,-3)," ")</f>
        <v xml:space="preserve"> </v>
      </c>
      <c r="O295" s="922"/>
      <c r="P295" s="965"/>
      <c r="Q295" s="900" t="str">
        <f>IF(O295&lt;&gt;0,VLOOKUP(O295,'Cây trong'!$A$2:$C$246,3,0)," ")</f>
        <v xml:space="preserve"> </v>
      </c>
      <c r="R295" s="900" t="str">
        <f t="shared" si="63"/>
        <v xml:space="preserve"> </v>
      </c>
      <c r="S295" s="922" t="s">
        <v>2280</v>
      </c>
      <c r="T295" s="944" t="s">
        <v>101</v>
      </c>
      <c r="U295" s="927">
        <v>6</v>
      </c>
      <c r="V295" s="925"/>
      <c r="W295" s="900">
        <f>IF(S295&lt;&gt;0,VLOOKUP(S295,VKT!$A$2:$G$415,7,0),"")</f>
        <v>107278</v>
      </c>
      <c r="X295" s="900">
        <f t="shared" si="68"/>
        <v>644000</v>
      </c>
      <c r="Y295" s="925"/>
      <c r="Z295" s="928"/>
      <c r="AA295" s="928"/>
      <c r="AB295" s="904"/>
      <c r="AC295" s="928"/>
      <c r="AD295" s="928"/>
      <c r="AE295" s="928"/>
      <c r="AF295" s="926"/>
      <c r="AG295" s="906" t="str">
        <f>IF(AE295&lt;&gt;0,VLOOKUP(AE295,ODDS!$A$2:$C$13,3,0),"")</f>
        <v/>
      </c>
      <c r="AH295" s="906" t="str">
        <f t="shared" si="64"/>
        <v xml:space="preserve"> </v>
      </c>
      <c r="AI295" s="907" t="str">
        <f t="shared" si="62"/>
        <v xml:space="preserve"> </v>
      </c>
      <c r="AJ295" s="929"/>
      <c r="AK295" s="929"/>
    </row>
    <row r="296" spans="1:37" s="376" customFormat="1" ht="45" outlineLevel="2" x14ac:dyDescent="0.3">
      <c r="A296" s="447">
        <f t="shared" si="67"/>
        <v>30</v>
      </c>
      <c r="B296" s="893"/>
      <c r="C296" s="910"/>
      <c r="D296" s="923"/>
      <c r="E296" s="923"/>
      <c r="F296" s="896"/>
      <c r="G296" s="894"/>
      <c r="H296" s="924"/>
      <c r="I296" s="882"/>
      <c r="J296" s="929"/>
      <c r="K296" s="899" t="str">
        <f>IF(G296&lt;&gt;0,VLOOKUP(G296,'gia dat'!$A$1:$F$144,5,0)," ")</f>
        <v xml:space="preserve"> </v>
      </c>
      <c r="L296" s="899" t="str">
        <f>IF(G296&lt;&gt;0,VLOOKUP(G296,'gia dat'!$A$1:$F$144,6,0)," ")</f>
        <v xml:space="preserve"> </v>
      </c>
      <c r="M296" s="900" t="str">
        <f t="shared" si="69"/>
        <v xml:space="preserve"> </v>
      </c>
      <c r="N296" s="900" t="str">
        <f t="shared" si="70"/>
        <v xml:space="preserve"> </v>
      </c>
      <c r="O296" s="922"/>
      <c r="P296" s="965"/>
      <c r="Q296" s="900" t="str">
        <f>IF(O296&lt;&gt;0,VLOOKUP(O296,'Cây trong'!$A$2:$C$246,3,0)," ")</f>
        <v xml:space="preserve"> </v>
      </c>
      <c r="R296" s="900" t="str">
        <f t="shared" si="63"/>
        <v xml:space="preserve"> </v>
      </c>
      <c r="S296" s="922" t="s">
        <v>2281</v>
      </c>
      <c r="T296" s="944" t="s">
        <v>53</v>
      </c>
      <c r="U296" s="927">
        <v>15.4</v>
      </c>
      <c r="V296" s="925"/>
      <c r="W296" s="900">
        <f>IF(S296&lt;&gt;0,VLOOKUP(S296,VKT!$A$2:$G$415,7,0),"")</f>
        <v>0</v>
      </c>
      <c r="X296" s="900">
        <f t="shared" si="68"/>
        <v>0</v>
      </c>
      <c r="Y296" s="925"/>
      <c r="Z296" s="928"/>
      <c r="AA296" s="928"/>
      <c r="AB296" s="904"/>
      <c r="AC296" s="928"/>
      <c r="AD296" s="928"/>
      <c r="AE296" s="928"/>
      <c r="AF296" s="926"/>
      <c r="AG296" s="906" t="str">
        <f>IF(AE296&lt;&gt;0,VLOOKUP(AE296,ODDS!$A$2:$C$13,3,0),"")</f>
        <v/>
      </c>
      <c r="AH296" s="906" t="str">
        <f t="shared" si="64"/>
        <v xml:space="preserve"> </v>
      </c>
      <c r="AI296" s="907" t="str">
        <f t="shared" si="62"/>
        <v xml:space="preserve"> </v>
      </c>
      <c r="AJ296" s="929"/>
      <c r="AK296" s="929"/>
    </row>
    <row r="297" spans="1:37" s="376" customFormat="1" ht="67.5" outlineLevel="2" x14ac:dyDescent="0.3">
      <c r="A297" s="447">
        <f t="shared" si="67"/>
        <v>30</v>
      </c>
      <c r="B297" s="893"/>
      <c r="C297" s="910"/>
      <c r="D297" s="931"/>
      <c r="E297" s="930"/>
      <c r="F297" s="913"/>
      <c r="G297" s="910"/>
      <c r="H297" s="924"/>
      <c r="I297" s="882"/>
      <c r="J297" s="943"/>
      <c r="K297" s="899" t="str">
        <f>IF(G297&lt;&gt;0,VLOOKUP(G297,'gia dat'!$A$1:$F$144,5,0)," ")</f>
        <v xml:space="preserve"> </v>
      </c>
      <c r="L297" s="899" t="str">
        <f>IF(G297&lt;&gt;0,VLOOKUP(G297,'gia dat'!$A$1:$F$144,6,0)," ")</f>
        <v xml:space="preserve"> </v>
      </c>
      <c r="M297" s="900" t="str">
        <f t="shared" si="69"/>
        <v xml:space="preserve"> </v>
      </c>
      <c r="N297" s="900" t="str">
        <f t="shared" si="70"/>
        <v xml:space="preserve"> </v>
      </c>
      <c r="O297" s="914"/>
      <c r="P297" s="968"/>
      <c r="Q297" s="900" t="str">
        <f>IF(O297&lt;&gt;0,VLOOKUP(O297,'Cây trong'!$A$2:$C$246,3,0)," ")</f>
        <v xml:space="preserve"> </v>
      </c>
      <c r="R297" s="900" t="str">
        <f t="shared" si="63"/>
        <v xml:space="preserve"> </v>
      </c>
      <c r="S297" s="922" t="s">
        <v>1825</v>
      </c>
      <c r="T297" s="944" t="s">
        <v>93</v>
      </c>
      <c r="U297" s="927">
        <v>1</v>
      </c>
      <c r="V297" s="945"/>
      <c r="W297" s="900">
        <f>IF(S297&lt;&gt;0,VLOOKUP(S297,VKT!$A$2:$G$415,7,0),"")</f>
        <v>0</v>
      </c>
      <c r="X297" s="900">
        <f t="shared" si="68"/>
        <v>0</v>
      </c>
      <c r="Y297" s="937"/>
      <c r="Z297" s="916"/>
      <c r="AA297" s="937"/>
      <c r="AB297" s="920"/>
      <c r="AC297" s="937"/>
      <c r="AD297" s="937"/>
      <c r="AE297" s="937"/>
      <c r="AF297" s="935"/>
      <c r="AG297" s="906" t="str">
        <f>IF(AE297&lt;&gt;0,VLOOKUP(AE297,ODDS!$A$2:$C$13,3,0),"")</f>
        <v/>
      </c>
      <c r="AH297" s="906" t="str">
        <f t="shared" si="64"/>
        <v xml:space="preserve"> </v>
      </c>
      <c r="AI297" s="907" t="str">
        <f t="shared" si="62"/>
        <v xml:space="preserve"> </v>
      </c>
      <c r="AJ297" s="985"/>
      <c r="AK297" s="985"/>
    </row>
    <row r="298" spans="1:37" s="376" customFormat="1" ht="67.5" outlineLevel="2" x14ac:dyDescent="0.3">
      <c r="A298" s="447">
        <f t="shared" si="67"/>
        <v>30</v>
      </c>
      <c r="B298" s="893"/>
      <c r="C298" s="894"/>
      <c r="D298" s="939"/>
      <c r="E298" s="923"/>
      <c r="F298" s="896"/>
      <c r="G298" s="894"/>
      <c r="H298" s="924"/>
      <c r="I298" s="882"/>
      <c r="J298" s="929"/>
      <c r="K298" s="899" t="str">
        <f>IF(G298&lt;&gt;0,VLOOKUP(G298,'gia dat'!$A$1:$F$144,5,0)," ")</f>
        <v xml:space="preserve"> </v>
      </c>
      <c r="L298" s="899" t="str">
        <f>IF(G298&lt;&gt;0,VLOOKUP(G298,'gia dat'!$A$1:$F$144,6,0)," ")</f>
        <v xml:space="preserve"> </v>
      </c>
      <c r="M298" s="900" t="str">
        <f t="shared" si="69"/>
        <v xml:space="preserve"> </v>
      </c>
      <c r="N298" s="900" t="str">
        <f t="shared" si="70"/>
        <v xml:space="preserve"> </v>
      </c>
      <c r="O298" s="922"/>
      <c r="P298" s="965"/>
      <c r="Q298" s="900" t="str">
        <f>IF(O298&lt;&gt;0,VLOOKUP(O298,'Cây trong'!$A$2:$C$246,3,0)," ")</f>
        <v xml:space="preserve"> </v>
      </c>
      <c r="R298" s="900" t="str">
        <f t="shared" si="63"/>
        <v xml:space="preserve"> </v>
      </c>
      <c r="S298" s="922" t="s">
        <v>2282</v>
      </c>
      <c r="T298" s="944" t="s">
        <v>53</v>
      </c>
      <c r="U298" s="927">
        <v>57</v>
      </c>
      <c r="V298" s="946"/>
      <c r="W298" s="900">
        <f>IF(S298&lt;&gt;0,VLOOKUP(S298,VKT!$A$2:$G$415,7,0),"")</f>
        <v>272615</v>
      </c>
      <c r="X298" s="900">
        <f t="shared" si="68"/>
        <v>15539000</v>
      </c>
      <c r="Y298" s="898"/>
      <c r="Z298" s="928"/>
      <c r="AA298" s="928"/>
      <c r="AB298" s="904"/>
      <c r="AC298" s="928"/>
      <c r="AD298" s="928"/>
      <c r="AE298" s="928"/>
      <c r="AF298" s="926"/>
      <c r="AG298" s="906" t="str">
        <f>IF(AE298&lt;&gt;0,VLOOKUP(AE298,ODDS!$A$2:$C$13,3,0),"")</f>
        <v/>
      </c>
      <c r="AH298" s="906" t="str">
        <f t="shared" si="64"/>
        <v xml:space="preserve"> </v>
      </c>
      <c r="AI298" s="907" t="str">
        <f t="shared" si="62"/>
        <v xml:space="preserve"> </v>
      </c>
      <c r="AJ298" s="922"/>
      <c r="AK298" s="922"/>
    </row>
    <row r="299" spans="1:37" s="376" customFormat="1" ht="22.5" outlineLevel="2" x14ac:dyDescent="0.3">
      <c r="A299" s="447">
        <f t="shared" si="67"/>
        <v>30</v>
      </c>
      <c r="B299" s="893"/>
      <c r="C299" s="894"/>
      <c r="D299" s="939"/>
      <c r="E299" s="923"/>
      <c r="F299" s="896"/>
      <c r="G299" s="894"/>
      <c r="H299" s="924"/>
      <c r="I299" s="882"/>
      <c r="J299" s="929"/>
      <c r="K299" s="899" t="str">
        <f>IF(G299&lt;&gt;0,VLOOKUP(G299,'gia dat'!$A$1:$F$144,5,0)," ")</f>
        <v xml:space="preserve"> </v>
      </c>
      <c r="L299" s="899" t="str">
        <f>IF(G299&lt;&gt;0,VLOOKUP(G299,'gia dat'!$A$1:$F$144,6,0)," ")</f>
        <v xml:space="preserve"> </v>
      </c>
      <c r="M299" s="900" t="str">
        <f t="shared" si="69"/>
        <v xml:space="preserve"> </v>
      </c>
      <c r="N299" s="900" t="str">
        <f t="shared" si="70"/>
        <v xml:space="preserve"> </v>
      </c>
      <c r="O299" s="922"/>
      <c r="P299" s="965"/>
      <c r="Q299" s="900" t="str">
        <f>IF(O299&lt;&gt;0,VLOOKUP(O299,'Cây trong'!$A$2:$C$246,3,0)," ")</f>
        <v xml:space="preserve"> </v>
      </c>
      <c r="R299" s="900" t="str">
        <f t="shared" si="63"/>
        <v xml:space="preserve"> </v>
      </c>
      <c r="S299" s="929"/>
      <c r="T299" s="929"/>
      <c r="U299" s="952"/>
      <c r="V299" s="946"/>
      <c r="W299" s="900" t="str">
        <f>IF(S299&lt;&gt;0,VLOOKUP(S299,VKT!$A$2:$G$415,7,0),"")</f>
        <v/>
      </c>
      <c r="X299" s="900" t="str">
        <f t="shared" si="68"/>
        <v xml:space="preserve"> </v>
      </c>
      <c r="Y299" s="898"/>
      <c r="Z299" s="928"/>
      <c r="AA299" s="928"/>
      <c r="AB299" s="904"/>
      <c r="AC299" s="928"/>
      <c r="AD299" s="928"/>
      <c r="AE299" s="928"/>
      <c r="AF299" s="926"/>
      <c r="AG299" s="906" t="str">
        <f>IF(AE299&lt;&gt;0,VLOOKUP(AE299,ODDS!$A$2:$C$13,3,0),"")</f>
        <v/>
      </c>
      <c r="AH299" s="906" t="str">
        <f t="shared" si="64"/>
        <v xml:space="preserve"> </v>
      </c>
      <c r="AI299" s="907" t="str">
        <f t="shared" si="62"/>
        <v xml:space="preserve"> </v>
      </c>
      <c r="AJ299" s="922"/>
      <c r="AK299" s="922"/>
    </row>
    <row r="300" spans="1:37" s="376" customFormat="1" ht="22.5" outlineLevel="2" x14ac:dyDescent="0.3">
      <c r="A300" s="447">
        <f t="shared" si="67"/>
        <v>30</v>
      </c>
      <c r="B300" s="893"/>
      <c r="C300" s="894"/>
      <c r="D300" s="939"/>
      <c r="E300" s="923"/>
      <c r="F300" s="896"/>
      <c r="G300" s="894"/>
      <c r="H300" s="924"/>
      <c r="I300" s="882"/>
      <c r="J300" s="929"/>
      <c r="K300" s="899" t="str">
        <f>IF(G300&lt;&gt;0,VLOOKUP(G300,'gia dat'!$A$1:$F$144,5,0)," ")</f>
        <v xml:space="preserve"> </v>
      </c>
      <c r="L300" s="899" t="str">
        <f>IF(G300&lt;&gt;0,VLOOKUP(G300,'gia dat'!$A$1:$F$144,6,0)," ")</f>
        <v xml:space="preserve"> </v>
      </c>
      <c r="M300" s="900" t="str">
        <f t="shared" si="69"/>
        <v xml:space="preserve"> </v>
      </c>
      <c r="N300" s="900" t="str">
        <f t="shared" si="70"/>
        <v xml:space="preserve"> </v>
      </c>
      <c r="O300" s="922"/>
      <c r="P300" s="965"/>
      <c r="Q300" s="900" t="str">
        <f>IF(O300&lt;&gt;0,VLOOKUP(O300,'Cây trong'!$A$2:$C$246,3,0)," ")</f>
        <v xml:space="preserve"> </v>
      </c>
      <c r="R300" s="900" t="str">
        <f t="shared" si="63"/>
        <v xml:space="preserve"> </v>
      </c>
      <c r="S300" s="929"/>
      <c r="T300" s="929"/>
      <c r="U300" s="952"/>
      <c r="V300" s="946"/>
      <c r="W300" s="900" t="str">
        <f>IF(S300&lt;&gt;0,VLOOKUP(S300,VKT!$A$2:$G$415,7,0),"")</f>
        <v/>
      </c>
      <c r="X300" s="900" t="str">
        <f t="shared" si="68"/>
        <v xml:space="preserve"> </v>
      </c>
      <c r="Y300" s="898"/>
      <c r="Z300" s="928"/>
      <c r="AA300" s="928"/>
      <c r="AB300" s="904"/>
      <c r="AC300" s="928"/>
      <c r="AD300" s="928"/>
      <c r="AE300" s="928"/>
      <c r="AF300" s="926"/>
      <c r="AG300" s="906" t="str">
        <f>IF(AE300&lt;&gt;0,VLOOKUP(AE300,ODDS!$A$2:$C$13,3,0),"")</f>
        <v/>
      </c>
      <c r="AH300" s="906" t="str">
        <f t="shared" si="64"/>
        <v xml:space="preserve"> </v>
      </c>
      <c r="AI300" s="907" t="str">
        <f t="shared" si="62"/>
        <v xml:space="preserve"> </v>
      </c>
      <c r="AJ300" s="922"/>
      <c r="AK300" s="922"/>
    </row>
    <row r="301" spans="1:37" s="376" customFormat="1" ht="22.5" outlineLevel="2" x14ac:dyDescent="0.3">
      <c r="A301" s="447">
        <f t="shared" si="67"/>
        <v>30</v>
      </c>
      <c r="B301" s="893"/>
      <c r="C301" s="894"/>
      <c r="D301" s="939"/>
      <c r="E301" s="923"/>
      <c r="F301" s="896"/>
      <c r="G301" s="894"/>
      <c r="H301" s="924"/>
      <c r="I301" s="882"/>
      <c r="J301" s="929"/>
      <c r="K301" s="899" t="str">
        <f>IF(G301&lt;&gt;0,VLOOKUP(G301,'gia dat'!$A$1:$F$144,5,0)," ")</f>
        <v xml:space="preserve"> </v>
      </c>
      <c r="L301" s="899" t="str">
        <f>IF(G301&lt;&gt;0,VLOOKUP(G301,'gia dat'!$A$1:$F$144,6,0)," ")</f>
        <v xml:space="preserve"> </v>
      </c>
      <c r="M301" s="900" t="str">
        <f t="shared" si="69"/>
        <v xml:space="preserve"> </v>
      </c>
      <c r="N301" s="900" t="str">
        <f t="shared" si="70"/>
        <v xml:space="preserve"> </v>
      </c>
      <c r="O301" s="922"/>
      <c r="P301" s="965"/>
      <c r="Q301" s="900" t="str">
        <f>IF(O301&lt;&gt;0,VLOOKUP(O301,'Cây trong'!$A$2:$C$246,3,0)," ")</f>
        <v xml:space="preserve"> </v>
      </c>
      <c r="R301" s="900" t="str">
        <f t="shared" si="63"/>
        <v xml:space="preserve"> </v>
      </c>
      <c r="S301" s="929"/>
      <c r="T301" s="929"/>
      <c r="U301" s="952"/>
      <c r="V301" s="946"/>
      <c r="W301" s="900" t="str">
        <f>IF(S301&lt;&gt;0,VLOOKUP(S301,VKT!$A$2:$G$415,7,0),"")</f>
        <v/>
      </c>
      <c r="X301" s="900" t="str">
        <f t="shared" si="68"/>
        <v xml:space="preserve"> </v>
      </c>
      <c r="Y301" s="898"/>
      <c r="Z301" s="928"/>
      <c r="AA301" s="928"/>
      <c r="AB301" s="904"/>
      <c r="AC301" s="928"/>
      <c r="AD301" s="928"/>
      <c r="AE301" s="928"/>
      <c r="AF301" s="926"/>
      <c r="AG301" s="906" t="str">
        <f>IF(AE301&lt;&gt;0,VLOOKUP(AE301,ODDS!$A$2:$C$13,3,0),"")</f>
        <v/>
      </c>
      <c r="AH301" s="906" t="str">
        <f t="shared" si="64"/>
        <v xml:space="preserve"> </v>
      </c>
      <c r="AI301" s="907" t="str">
        <f t="shared" si="62"/>
        <v xml:space="preserve"> </v>
      </c>
      <c r="AJ301" s="922"/>
      <c r="AK301" s="922"/>
    </row>
    <row r="302" spans="1:37" s="376" customFormat="1" ht="22.5" outlineLevel="2" x14ac:dyDescent="0.3">
      <c r="A302" s="447">
        <f t="shared" si="67"/>
        <v>30</v>
      </c>
      <c r="B302" s="893"/>
      <c r="C302" s="894"/>
      <c r="D302" s="939"/>
      <c r="E302" s="923"/>
      <c r="F302" s="896"/>
      <c r="G302" s="894"/>
      <c r="H302" s="924"/>
      <c r="I302" s="882"/>
      <c r="J302" s="929"/>
      <c r="K302" s="899" t="str">
        <f>IF(G302&lt;&gt;0,VLOOKUP(G302,'gia dat'!$A$1:$F$144,5,0)," ")</f>
        <v xml:space="preserve"> </v>
      </c>
      <c r="L302" s="899" t="str">
        <f>IF(G302&lt;&gt;0,VLOOKUP(G302,'gia dat'!$A$1:$F$144,6,0)," ")</f>
        <v xml:space="preserve"> </v>
      </c>
      <c r="M302" s="900" t="str">
        <f t="shared" si="69"/>
        <v xml:space="preserve"> </v>
      </c>
      <c r="N302" s="900" t="str">
        <f t="shared" si="70"/>
        <v xml:space="preserve"> </v>
      </c>
      <c r="O302" s="922"/>
      <c r="P302" s="965"/>
      <c r="Q302" s="900" t="str">
        <f>IF(O302&lt;&gt;0,VLOOKUP(O302,'Cây trong'!$A$2:$C$246,3,0)," ")</f>
        <v xml:space="preserve"> </v>
      </c>
      <c r="R302" s="900" t="str">
        <f t="shared" si="63"/>
        <v xml:space="preserve"> </v>
      </c>
      <c r="S302" s="929"/>
      <c r="T302" s="929"/>
      <c r="U302" s="952"/>
      <c r="V302" s="946"/>
      <c r="W302" s="900" t="str">
        <f>IF(S302&lt;&gt;0,VLOOKUP(S302,VKT!$A$2:$G$415,7,0),"")</f>
        <v/>
      </c>
      <c r="X302" s="900" t="str">
        <f t="shared" si="68"/>
        <v xml:space="preserve"> </v>
      </c>
      <c r="Y302" s="898"/>
      <c r="Z302" s="928"/>
      <c r="AA302" s="928"/>
      <c r="AB302" s="904"/>
      <c r="AC302" s="928"/>
      <c r="AD302" s="928"/>
      <c r="AE302" s="928"/>
      <c r="AF302" s="926"/>
      <c r="AG302" s="906" t="str">
        <f>IF(AE302&lt;&gt;0,VLOOKUP(AE302,ODDS!$A$2:$C$13,3,0),"")</f>
        <v/>
      </c>
      <c r="AH302" s="906" t="str">
        <f t="shared" si="64"/>
        <v xml:space="preserve"> </v>
      </c>
      <c r="AI302" s="907" t="str">
        <f t="shared" si="62"/>
        <v xml:space="preserve"> </v>
      </c>
      <c r="AJ302" s="922"/>
      <c r="AK302" s="922"/>
    </row>
    <row r="303" spans="1:37" s="376" customFormat="1" ht="22.5" outlineLevel="2" x14ac:dyDescent="0.3">
      <c r="A303" s="447">
        <f t="shared" si="67"/>
        <v>30</v>
      </c>
      <c r="B303" s="893"/>
      <c r="C303" s="894"/>
      <c r="D303" s="939"/>
      <c r="E303" s="923"/>
      <c r="F303" s="896"/>
      <c r="G303" s="894"/>
      <c r="H303" s="924"/>
      <c r="I303" s="882"/>
      <c r="J303" s="929"/>
      <c r="K303" s="899" t="str">
        <f>IF(G303&lt;&gt;0,VLOOKUP(G303,'gia dat'!$A$1:$F$144,5,0)," ")</f>
        <v xml:space="preserve"> </v>
      </c>
      <c r="L303" s="899" t="str">
        <f>IF(G303&lt;&gt;0,VLOOKUP(G303,'gia dat'!$A$1:$F$144,6,0)," ")</f>
        <v xml:space="preserve"> </v>
      </c>
      <c r="M303" s="900" t="str">
        <f t="shared" si="69"/>
        <v xml:space="preserve"> </v>
      </c>
      <c r="N303" s="900" t="str">
        <f t="shared" si="70"/>
        <v xml:space="preserve"> </v>
      </c>
      <c r="O303" s="922"/>
      <c r="P303" s="965"/>
      <c r="Q303" s="900" t="str">
        <f>IF(O303&lt;&gt;0,VLOOKUP(O303,'Cây trong'!$A$2:$C$246,3,0)," ")</f>
        <v xml:space="preserve"> </v>
      </c>
      <c r="R303" s="900" t="str">
        <f t="shared" si="63"/>
        <v xml:space="preserve"> </v>
      </c>
      <c r="S303" s="929"/>
      <c r="T303" s="929"/>
      <c r="U303" s="952"/>
      <c r="V303" s="946"/>
      <c r="W303" s="900" t="str">
        <f>IF(S303&lt;&gt;0,VLOOKUP(S303,VKT!$A$2:$G$415,7,0),"")</f>
        <v/>
      </c>
      <c r="X303" s="900" t="str">
        <f t="shared" si="68"/>
        <v xml:space="preserve"> </v>
      </c>
      <c r="Y303" s="898"/>
      <c r="Z303" s="928"/>
      <c r="AA303" s="928"/>
      <c r="AB303" s="904"/>
      <c r="AC303" s="928"/>
      <c r="AD303" s="928"/>
      <c r="AE303" s="928"/>
      <c r="AF303" s="926"/>
      <c r="AG303" s="906" t="str">
        <f>IF(AE303&lt;&gt;0,VLOOKUP(AE303,ODDS!$A$2:$C$13,3,0),"")</f>
        <v/>
      </c>
      <c r="AH303" s="906" t="str">
        <f t="shared" si="64"/>
        <v xml:space="preserve"> </v>
      </c>
      <c r="AI303" s="907" t="str">
        <f t="shared" si="62"/>
        <v xml:space="preserve"> </v>
      </c>
      <c r="AJ303" s="922"/>
      <c r="AK303" s="922"/>
    </row>
    <row r="304" spans="1:37" s="376" customFormat="1" ht="22.5" outlineLevel="2" x14ac:dyDescent="0.3">
      <c r="A304" s="447">
        <f t="shared" si="67"/>
        <v>30</v>
      </c>
      <c r="B304" s="893"/>
      <c r="C304" s="894"/>
      <c r="D304" s="923"/>
      <c r="E304" s="923"/>
      <c r="F304" s="950"/>
      <c r="G304" s="894"/>
      <c r="H304" s="940"/>
      <c r="I304" s="882"/>
      <c r="J304" s="929"/>
      <c r="K304" s="899" t="str">
        <f>IF(G304&lt;&gt;0,VLOOKUP(G304,'gia dat'!$A$1:$F$144,5,0)," ")</f>
        <v xml:space="preserve"> </v>
      </c>
      <c r="L304" s="899" t="str">
        <f>IF(G304&lt;&gt;0,VLOOKUP(G304,'gia dat'!$A$1:$F$144,6,0)," ")</f>
        <v xml:space="preserve"> </v>
      </c>
      <c r="M304" s="900" t="str">
        <f t="shared" si="69"/>
        <v xml:space="preserve"> </v>
      </c>
      <c r="N304" s="900" t="str">
        <f t="shared" si="70"/>
        <v xml:space="preserve"> </v>
      </c>
      <c r="O304" s="929"/>
      <c r="P304" s="951"/>
      <c r="Q304" s="900" t="str">
        <f>IF(O304&lt;&gt;0,VLOOKUP(O304,'Cây trong'!$A$2:$C$246,3,0)," ")</f>
        <v xml:space="preserve"> </v>
      </c>
      <c r="R304" s="900" t="str">
        <f t="shared" si="63"/>
        <v xml:space="preserve"> </v>
      </c>
      <c r="S304" s="929"/>
      <c r="T304" s="929"/>
      <c r="U304" s="952"/>
      <c r="V304" s="925"/>
      <c r="W304" s="900" t="str">
        <f>IF(S304&lt;&gt;0,VLOOKUP(S304,VKT!$A$2:$G$415,7,0),"")</f>
        <v/>
      </c>
      <c r="X304" s="900" t="str">
        <f t="shared" si="68"/>
        <v xml:space="preserve"> </v>
      </c>
      <c r="Y304" s="925"/>
      <c r="Z304" s="925"/>
      <c r="AA304" s="925"/>
      <c r="AB304" s="898"/>
      <c r="AC304" s="925"/>
      <c r="AD304" s="925"/>
      <c r="AE304" s="925"/>
      <c r="AF304" s="964"/>
      <c r="AG304" s="906" t="str">
        <f>IF(AE304&lt;&gt;0,VLOOKUP(AE304,ODDS!$A$2:$C$13,3,0),"")</f>
        <v/>
      </c>
      <c r="AH304" s="906" t="str">
        <f t="shared" si="64"/>
        <v xml:space="preserve"> </v>
      </c>
      <c r="AI304" s="907" t="str">
        <f t="shared" si="62"/>
        <v xml:space="preserve"> </v>
      </c>
      <c r="AJ304" s="929"/>
      <c r="AK304" s="929"/>
    </row>
    <row r="305" spans="1:37" s="376" customFormat="1" ht="22.5" outlineLevel="2" x14ac:dyDescent="0.3">
      <c r="A305" s="447">
        <f t="shared" si="67"/>
        <v>30</v>
      </c>
      <c r="B305" s="893"/>
      <c r="C305" s="894"/>
      <c r="D305" s="939"/>
      <c r="E305" s="923"/>
      <c r="F305" s="896"/>
      <c r="G305" s="894"/>
      <c r="H305" s="924"/>
      <c r="I305" s="882"/>
      <c r="J305" s="929"/>
      <c r="K305" s="899" t="str">
        <f>IF(G305&lt;&gt;0,VLOOKUP(G305,'gia dat'!$A$1:$F$144,5,0)," ")</f>
        <v xml:space="preserve"> </v>
      </c>
      <c r="L305" s="899" t="str">
        <f>IF(G305&lt;&gt;0,VLOOKUP(G305,'gia dat'!$A$1:$F$144,6,0)," ")</f>
        <v xml:space="preserve"> </v>
      </c>
      <c r="M305" s="900" t="str">
        <f t="shared" si="69"/>
        <v xml:space="preserve"> </v>
      </c>
      <c r="N305" s="900" t="str">
        <f t="shared" si="70"/>
        <v xml:space="preserve"> </v>
      </c>
      <c r="O305" s="922"/>
      <c r="P305" s="965"/>
      <c r="Q305" s="900" t="str">
        <f>IF(O305&lt;&gt;0,VLOOKUP(O305,'Cây trong'!$A$2:$C$246,3,0)," ")</f>
        <v xml:space="preserve"> </v>
      </c>
      <c r="R305" s="900" t="str">
        <f t="shared" si="63"/>
        <v xml:space="preserve"> </v>
      </c>
      <c r="S305" s="922"/>
      <c r="T305" s="944"/>
      <c r="U305" s="927"/>
      <c r="V305" s="946"/>
      <c r="W305" s="900" t="str">
        <f>IF(S305&lt;&gt;0,VLOOKUP(S305,VKT!$A$2:$G$415,7,0),"")</f>
        <v/>
      </c>
      <c r="X305" s="900" t="str">
        <f t="shared" si="68"/>
        <v xml:space="preserve"> </v>
      </c>
      <c r="Y305" s="898"/>
      <c r="Z305" s="928"/>
      <c r="AA305" s="928"/>
      <c r="AB305" s="904"/>
      <c r="AC305" s="928"/>
      <c r="AD305" s="928"/>
      <c r="AE305" s="928"/>
      <c r="AF305" s="926"/>
      <c r="AG305" s="906" t="str">
        <f>IF(AE305&lt;&gt;0,VLOOKUP(AE305,ODDS!$A$2:$C$13,3,0),"")</f>
        <v/>
      </c>
      <c r="AH305" s="906" t="str">
        <f t="shared" si="64"/>
        <v xml:space="preserve"> </v>
      </c>
      <c r="AI305" s="907" t="str">
        <f t="shared" si="62"/>
        <v xml:space="preserve"> </v>
      </c>
      <c r="AJ305" s="922"/>
      <c r="AK305" s="922"/>
    </row>
    <row r="306" spans="1:37" s="376" customFormat="1" ht="22.5" outlineLevel="2" x14ac:dyDescent="0.3">
      <c r="A306" s="447">
        <f t="shared" si="67"/>
        <v>30</v>
      </c>
      <c r="B306" s="893"/>
      <c r="C306" s="894"/>
      <c r="D306" s="939"/>
      <c r="E306" s="923"/>
      <c r="F306" s="896"/>
      <c r="G306" s="894"/>
      <c r="H306" s="924"/>
      <c r="I306" s="882"/>
      <c r="J306" s="929"/>
      <c r="K306" s="899" t="str">
        <f>IF(G306&lt;&gt;0,VLOOKUP(G306,'gia dat'!$A$1:$F$144,5,0)," ")</f>
        <v xml:space="preserve"> </v>
      </c>
      <c r="L306" s="899" t="str">
        <f>IF(G306&lt;&gt;0,VLOOKUP(G306,'gia dat'!$A$1:$F$144,6,0)," ")</f>
        <v xml:space="preserve"> </v>
      </c>
      <c r="M306" s="900" t="str">
        <f t="shared" si="69"/>
        <v xml:space="preserve"> </v>
      </c>
      <c r="N306" s="900" t="str">
        <f t="shared" si="70"/>
        <v xml:space="preserve"> </v>
      </c>
      <c r="O306" s="922"/>
      <c r="P306" s="965"/>
      <c r="Q306" s="900" t="str">
        <f>IF(O306&lt;&gt;0,VLOOKUP(O306,'Cây trong'!$A$2:$C$246,3,0)," ")</f>
        <v xml:space="preserve"> </v>
      </c>
      <c r="R306" s="900" t="str">
        <f t="shared" si="63"/>
        <v xml:space="preserve"> </v>
      </c>
      <c r="S306" s="922"/>
      <c r="T306" s="944"/>
      <c r="U306" s="927"/>
      <c r="V306" s="946"/>
      <c r="W306" s="900" t="str">
        <f>IF(S306&lt;&gt;0,VLOOKUP(S306,VKT!$A$2:$G$415,7,0),"")</f>
        <v/>
      </c>
      <c r="X306" s="900" t="str">
        <f t="shared" si="68"/>
        <v xml:space="preserve"> </v>
      </c>
      <c r="Y306" s="898"/>
      <c r="Z306" s="928"/>
      <c r="AA306" s="928"/>
      <c r="AB306" s="904"/>
      <c r="AC306" s="928"/>
      <c r="AD306" s="928"/>
      <c r="AE306" s="928"/>
      <c r="AF306" s="926"/>
      <c r="AG306" s="906" t="str">
        <f>IF(AE306&lt;&gt;0,VLOOKUP(AE306,ODDS!$A$2:$C$13,3,0),"")</f>
        <v/>
      </c>
      <c r="AH306" s="906" t="str">
        <f t="shared" si="64"/>
        <v xml:space="preserve"> </v>
      </c>
      <c r="AI306" s="907" t="str">
        <f t="shared" si="62"/>
        <v xml:space="preserve"> </v>
      </c>
      <c r="AJ306" s="922"/>
      <c r="AK306" s="922"/>
    </row>
    <row r="307" spans="1:37" s="376" customFormat="1" ht="22.5" outlineLevel="2" x14ac:dyDescent="0.3">
      <c r="A307" s="447">
        <f t="shared" si="67"/>
        <v>30</v>
      </c>
      <c r="B307" s="893"/>
      <c r="C307" s="978"/>
      <c r="D307" s="939"/>
      <c r="E307" s="923"/>
      <c r="F307" s="896"/>
      <c r="G307" s="894"/>
      <c r="H307" s="924"/>
      <c r="I307" s="882"/>
      <c r="J307" s="929"/>
      <c r="K307" s="899" t="str">
        <f>IF(G307&lt;&gt;0,VLOOKUP(G307,'gia dat'!$A$1:$F$144,5,0)," ")</f>
        <v xml:space="preserve"> </v>
      </c>
      <c r="L307" s="899" t="str">
        <f>IF(G307&lt;&gt;0,VLOOKUP(G307,'gia dat'!$A$1:$F$144,6,0)," ")</f>
        <v xml:space="preserve"> </v>
      </c>
      <c r="M307" s="900" t="str">
        <f t="shared" si="69"/>
        <v xml:space="preserve"> </v>
      </c>
      <c r="N307" s="900" t="str">
        <f t="shared" si="70"/>
        <v xml:space="preserve"> </v>
      </c>
      <c r="O307" s="922"/>
      <c r="P307" s="965"/>
      <c r="Q307" s="900" t="str">
        <f>IF(O307&lt;&gt;0,VLOOKUP(O307,'Cây trong'!$A$2:$C$246,3,0)," ")</f>
        <v xml:space="preserve"> </v>
      </c>
      <c r="R307" s="900" t="str">
        <f t="shared" si="63"/>
        <v xml:space="preserve"> </v>
      </c>
      <c r="S307" s="922"/>
      <c r="T307" s="944"/>
      <c r="U307" s="927"/>
      <c r="V307" s="946"/>
      <c r="W307" s="900" t="str">
        <f>IF(S307&lt;&gt;0,VLOOKUP(S307,VKT!$A$2:$G$415,7,0),"")</f>
        <v/>
      </c>
      <c r="X307" s="900" t="str">
        <f t="shared" si="68"/>
        <v xml:space="preserve"> </v>
      </c>
      <c r="Y307" s="898"/>
      <c r="Z307" s="928"/>
      <c r="AA307" s="928"/>
      <c r="AB307" s="904"/>
      <c r="AC307" s="928"/>
      <c r="AD307" s="928"/>
      <c r="AE307" s="928"/>
      <c r="AF307" s="926"/>
      <c r="AG307" s="906" t="str">
        <f>IF(AE307&lt;&gt;0,VLOOKUP(AE307,ODDS!$A$2:$C$13,3,0),"")</f>
        <v/>
      </c>
      <c r="AH307" s="906" t="str">
        <f t="shared" si="64"/>
        <v xml:space="preserve"> </v>
      </c>
      <c r="AI307" s="907" t="str">
        <f t="shared" si="62"/>
        <v xml:space="preserve"> </v>
      </c>
      <c r="AJ307" s="922"/>
      <c r="AK307" s="922"/>
    </row>
    <row r="308" spans="1:37" s="376" customFormat="1" ht="43.5" outlineLevel="1" x14ac:dyDescent="0.25">
      <c r="A308" s="467" t="s">
        <v>2679</v>
      </c>
      <c r="B308" s="912">
        <v>31</v>
      </c>
      <c r="C308" s="978" t="s">
        <v>150</v>
      </c>
      <c r="D308" s="931"/>
      <c r="E308" s="931"/>
      <c r="F308" s="913"/>
      <c r="G308" s="910"/>
      <c r="H308" s="953">
        <f>SUBTOTAL(9,H309:H331)</f>
        <v>243</v>
      </c>
      <c r="I308" s="915">
        <f>SUBTOTAL(9,I309:I314)</f>
        <v>0</v>
      </c>
      <c r="J308" s="933"/>
      <c r="K308" s="917"/>
      <c r="L308" s="917"/>
      <c r="M308" s="907">
        <f>SUBTOTAL(9,M309:M331)</f>
        <v>1780716000</v>
      </c>
      <c r="N308" s="907">
        <f>SUBTOTAL(9,N309:N331)</f>
        <v>0</v>
      </c>
      <c r="O308" s="910"/>
      <c r="P308" s="935">
        <f>SUBTOTAL(9,P309:P331)</f>
        <v>7</v>
      </c>
      <c r="Q308" s="907"/>
      <c r="R308" s="907">
        <f>SUBTOTAL(9,R309:R331)</f>
        <v>10019000</v>
      </c>
      <c r="S308" s="918"/>
      <c r="T308" s="986"/>
      <c r="U308" s="936">
        <f>SUBTOTAL(9,U309:U331)</f>
        <v>280.82</v>
      </c>
      <c r="V308" s="933"/>
      <c r="W308" s="907"/>
      <c r="X308" s="907">
        <f>SUBTOTAL(9,X309:X331)</f>
        <v>966043000</v>
      </c>
      <c r="Y308" s="925"/>
      <c r="Z308" s="928"/>
      <c r="AA308" s="928"/>
      <c r="AB308" s="904"/>
      <c r="AC308" s="928"/>
      <c r="AD308" s="928"/>
      <c r="AE308" s="969"/>
      <c r="AF308" s="935">
        <f>SUBTOTAL(9,AF309:AF331)</f>
        <v>2</v>
      </c>
      <c r="AG308" s="921"/>
      <c r="AH308" s="921">
        <f>SUBTOTAL(9,AH309:AH331)</f>
        <v>17000000</v>
      </c>
      <c r="AI308" s="907">
        <f t="shared" si="62"/>
        <v>2773778000</v>
      </c>
      <c r="AJ308" s="910"/>
      <c r="AK308" s="914"/>
    </row>
    <row r="309" spans="1:37" s="376" customFormat="1" ht="112.5" outlineLevel="2" x14ac:dyDescent="0.3">
      <c r="A309" s="447">
        <f>IF(B308&lt;&gt;0,B308,A307)</f>
        <v>31</v>
      </c>
      <c r="B309" s="893"/>
      <c r="C309" s="983" t="s">
        <v>151</v>
      </c>
      <c r="D309" s="923">
        <v>4</v>
      </c>
      <c r="E309" s="923">
        <v>86</v>
      </c>
      <c r="F309" s="896">
        <v>268</v>
      </c>
      <c r="G309" s="894" t="s">
        <v>2500</v>
      </c>
      <c r="H309" s="924">
        <v>36.1</v>
      </c>
      <c r="I309" s="882" t="str">
        <f t="shared" ref="I309:I312" si="71">IF(N309&gt;0,H309,"")</f>
        <v/>
      </c>
      <c r="J309" s="925"/>
      <c r="K309" s="899">
        <f>IF(G309&lt;&gt;0,VLOOKUP(G309,'gia dat'!$A$1:$F$144,5,0)," ")</f>
        <v>4645200</v>
      </c>
      <c r="L309" s="899">
        <f>IF(G309&lt;&gt;0,VLOOKUP(G309,'gia dat'!$A$1:$F$144,6,0)," ")</f>
        <v>0</v>
      </c>
      <c r="M309" s="900">
        <f t="shared" si="69"/>
        <v>167692000</v>
      </c>
      <c r="N309" s="900">
        <f t="shared" si="70"/>
        <v>0</v>
      </c>
      <c r="O309" s="894" t="s">
        <v>145</v>
      </c>
      <c r="P309" s="926">
        <v>2</v>
      </c>
      <c r="Q309" s="900">
        <f>IF(O309&lt;&gt;0,VLOOKUP(O309,'Cây trong'!$A$2:$C$246,3,0)," ")</f>
        <v>4240000</v>
      </c>
      <c r="R309" s="900">
        <f t="shared" si="63"/>
        <v>8480000</v>
      </c>
      <c r="S309" s="902" t="s">
        <v>2283</v>
      </c>
      <c r="T309" s="987" t="s">
        <v>53</v>
      </c>
      <c r="U309" s="927">
        <v>26</v>
      </c>
      <c r="V309" s="925"/>
      <c r="W309" s="900">
        <f>IF(S309&lt;&gt;0,VLOOKUP(S309,VKT!$A$2:$G$415,7,0),"")</f>
        <v>265836</v>
      </c>
      <c r="X309" s="900">
        <f t="shared" si="68"/>
        <v>6912000</v>
      </c>
      <c r="Y309" s="925"/>
      <c r="Z309" s="928"/>
      <c r="AA309" s="928"/>
      <c r="AB309" s="904"/>
      <c r="AC309" s="928"/>
      <c r="AD309" s="928"/>
      <c r="AE309" s="941" t="s">
        <v>811</v>
      </c>
      <c r="AF309" s="926">
        <v>1</v>
      </c>
      <c r="AG309" s="906">
        <f>IF(AE309&lt;&gt;0,VLOOKUP(AE309,ODDS!$A$2:$C$13,3,0),"")</f>
        <v>0</v>
      </c>
      <c r="AH309" s="906">
        <f t="shared" si="64"/>
        <v>0</v>
      </c>
      <c r="AI309" s="907" t="str">
        <f t="shared" si="62"/>
        <v xml:space="preserve"> </v>
      </c>
      <c r="AJ309" s="894" t="s">
        <v>658</v>
      </c>
      <c r="AK309" s="922" t="s">
        <v>2797</v>
      </c>
    </row>
    <row r="310" spans="1:37" s="376" customFormat="1" ht="112.5" outlineLevel="2" x14ac:dyDescent="0.3">
      <c r="A310" s="447">
        <f t="shared" ref="A310:A331" si="72">IF(B309&lt;&gt;0,B309,A309)</f>
        <v>31</v>
      </c>
      <c r="B310" s="893"/>
      <c r="C310" s="910" t="s">
        <v>152</v>
      </c>
      <c r="D310" s="923"/>
      <c r="E310" s="923"/>
      <c r="F310" s="896"/>
      <c r="G310" s="988" t="s">
        <v>2794</v>
      </c>
      <c r="H310" s="924">
        <v>102.1</v>
      </c>
      <c r="I310" s="882" t="str">
        <f t="shared" si="71"/>
        <v/>
      </c>
      <c r="J310" s="925"/>
      <c r="K310" s="899">
        <f>IF(G310&lt;&gt;0,VLOOKUP(G310,'gia dat'!$A$1:$F$144,5,0)," ")</f>
        <v>6636000</v>
      </c>
      <c r="L310" s="899">
        <f>IF(G310&lt;&gt;0,VLOOKUP(G310,'gia dat'!$A$1:$F$144,6,0)," ")</f>
        <v>0</v>
      </c>
      <c r="M310" s="900">
        <f t="shared" si="69"/>
        <v>677536000</v>
      </c>
      <c r="N310" s="900">
        <f t="shared" si="70"/>
        <v>0</v>
      </c>
      <c r="O310" s="894" t="s">
        <v>741</v>
      </c>
      <c r="P310" s="926">
        <v>1</v>
      </c>
      <c r="Q310" s="900">
        <f>IF(O310&lt;&gt;0,VLOOKUP(O310,'Cây trong'!$A$2:$C$246,3,0)," ")</f>
        <v>150000</v>
      </c>
      <c r="R310" s="900">
        <f t="shared" si="63"/>
        <v>150000</v>
      </c>
      <c r="S310" s="902" t="s">
        <v>1820</v>
      </c>
      <c r="T310" s="987" t="s">
        <v>53</v>
      </c>
      <c r="U310" s="927">
        <v>37</v>
      </c>
      <c r="V310" s="925"/>
      <c r="W310" s="900">
        <f>IF(S310&lt;&gt;0,VLOOKUP(S310,VKT!$A$2:$G$415,7,0),"")</f>
        <v>5307665</v>
      </c>
      <c r="X310" s="900">
        <f t="shared" si="68"/>
        <v>196384000</v>
      </c>
      <c r="Y310" s="925" t="s">
        <v>63</v>
      </c>
      <c r="Z310" s="928" t="s">
        <v>55</v>
      </c>
      <c r="AA310" s="928" t="s">
        <v>56</v>
      </c>
      <c r="AB310" s="904" t="s">
        <v>57</v>
      </c>
      <c r="AC310" s="928" t="s">
        <v>63</v>
      </c>
      <c r="AD310" s="904" t="s">
        <v>206</v>
      </c>
      <c r="AE310" s="905"/>
      <c r="AF310" s="899"/>
      <c r="AG310" s="906"/>
      <c r="AH310" s="906"/>
      <c r="AI310" s="907" t="str">
        <f t="shared" si="62"/>
        <v xml:space="preserve"> </v>
      </c>
      <c r="AJ310" s="894" t="s">
        <v>481</v>
      </c>
      <c r="AK310" s="894" t="s">
        <v>2448</v>
      </c>
    </row>
    <row r="311" spans="1:37" s="376" customFormat="1" ht="112.5" outlineLevel="2" x14ac:dyDescent="0.3">
      <c r="A311" s="447">
        <f t="shared" si="72"/>
        <v>31</v>
      </c>
      <c r="B311" s="893"/>
      <c r="C311" s="983" t="s">
        <v>153</v>
      </c>
      <c r="D311" s="923"/>
      <c r="E311" s="923"/>
      <c r="F311" s="896"/>
      <c r="G311" s="894" t="s">
        <v>2036</v>
      </c>
      <c r="H311" s="924">
        <f>6.5</f>
        <v>6.5</v>
      </c>
      <c r="I311" s="882" t="str">
        <f t="shared" si="71"/>
        <v/>
      </c>
      <c r="J311" s="925"/>
      <c r="K311" s="899">
        <f>IF(G311&lt;&gt;0,VLOOKUP(G311,'gia dat'!$A$1:$F$144,5,0)," ")</f>
        <v>554400</v>
      </c>
      <c r="L311" s="899">
        <f>IF(G311&lt;&gt;0,VLOOKUP(G311,'gia dat'!$A$1:$F$144,6,0)," ")</f>
        <v>0</v>
      </c>
      <c r="M311" s="900">
        <f t="shared" si="69"/>
        <v>3604000</v>
      </c>
      <c r="N311" s="900">
        <f t="shared" si="70"/>
        <v>0</v>
      </c>
      <c r="O311" s="894" t="s">
        <v>740</v>
      </c>
      <c r="P311" s="926">
        <v>1</v>
      </c>
      <c r="Q311" s="900">
        <f>IF(O311&lt;&gt;0,VLOOKUP(O311,'Cây trong'!$A$2:$C$246,3,0)," ")</f>
        <v>60000</v>
      </c>
      <c r="R311" s="900">
        <f t="shared" si="63"/>
        <v>60000</v>
      </c>
      <c r="S311" s="902" t="s">
        <v>1868</v>
      </c>
      <c r="T311" s="987" t="s">
        <v>53</v>
      </c>
      <c r="U311" s="927">
        <v>6.15</v>
      </c>
      <c r="V311" s="925"/>
      <c r="W311" s="900">
        <f>IF(S311&lt;&gt;0,VLOOKUP(S311,VKT!$A$2:$G$415,7,0),"")</f>
        <v>4631321</v>
      </c>
      <c r="X311" s="900">
        <f t="shared" si="68"/>
        <v>28483000</v>
      </c>
      <c r="Y311" s="925" t="s">
        <v>63</v>
      </c>
      <c r="Z311" s="928" t="s">
        <v>63</v>
      </c>
      <c r="AA311" s="928" t="s">
        <v>56</v>
      </c>
      <c r="AB311" s="904" t="s">
        <v>170</v>
      </c>
      <c r="AC311" s="928" t="s">
        <v>63</v>
      </c>
      <c r="AD311" s="928"/>
      <c r="AE311" s="905" t="s">
        <v>2791</v>
      </c>
      <c r="AF311" s="926">
        <v>1</v>
      </c>
      <c r="AG311" s="906">
        <f>IF(AE311&lt;&gt;0,VLOOKUP(AE311,ODDS!$A$2:$C$13,3,0),"")</f>
        <v>17000000</v>
      </c>
      <c r="AH311" s="906">
        <f t="shared" si="64"/>
        <v>17000000</v>
      </c>
      <c r="AI311" s="907" t="str">
        <f t="shared" si="62"/>
        <v xml:space="preserve"> </v>
      </c>
      <c r="AJ311" s="929" t="s">
        <v>296</v>
      </c>
      <c r="AK311" s="894" t="s">
        <v>2450</v>
      </c>
    </row>
    <row r="312" spans="1:37" s="376" customFormat="1" ht="112.5" outlineLevel="2" x14ac:dyDescent="0.3">
      <c r="A312" s="447">
        <f t="shared" si="72"/>
        <v>31</v>
      </c>
      <c r="B312" s="893"/>
      <c r="C312" s="983" t="s">
        <v>659</v>
      </c>
      <c r="D312" s="923"/>
      <c r="E312" s="923"/>
      <c r="F312" s="896"/>
      <c r="G312" s="988" t="s">
        <v>2795</v>
      </c>
      <c r="H312" s="924">
        <v>98.3</v>
      </c>
      <c r="I312" s="882" t="str">
        <f t="shared" si="71"/>
        <v/>
      </c>
      <c r="J312" s="925"/>
      <c r="K312" s="899">
        <f>IF(G312&lt;&gt;0,VLOOKUP(G312,'gia dat'!$A$1:$F$144,5,0)," ")</f>
        <v>9480000</v>
      </c>
      <c r="L312" s="899">
        <f>IF(G312&lt;&gt;0,VLOOKUP(G312,'gia dat'!$A$1:$F$144,6,0)," ")</f>
        <v>0</v>
      </c>
      <c r="M312" s="900">
        <f t="shared" si="69"/>
        <v>931884000</v>
      </c>
      <c r="N312" s="900">
        <f t="shared" si="70"/>
        <v>0</v>
      </c>
      <c r="O312" s="981" t="s">
        <v>155</v>
      </c>
      <c r="P312" s="926">
        <v>1</v>
      </c>
      <c r="Q312" s="900">
        <f>IF(O312&lt;&gt;0,VLOOKUP(O312,'Cây trong'!$A$2:$C$246,3,0)," ")</f>
        <v>758000</v>
      </c>
      <c r="R312" s="900">
        <f t="shared" si="63"/>
        <v>758000</v>
      </c>
      <c r="S312" s="981" t="s">
        <v>1827</v>
      </c>
      <c r="T312" s="987" t="s">
        <v>53</v>
      </c>
      <c r="U312" s="927">
        <v>87.1</v>
      </c>
      <c r="V312" s="925"/>
      <c r="W312" s="900">
        <f>IF(S312&lt;&gt;0,VLOOKUP(S312,VKT!$A$2:$G$415,7,0),"")</f>
        <v>5469063</v>
      </c>
      <c r="X312" s="900">
        <f t="shared" si="68"/>
        <v>476355000</v>
      </c>
      <c r="Y312" s="925" t="s">
        <v>63</v>
      </c>
      <c r="Z312" s="928" t="s">
        <v>55</v>
      </c>
      <c r="AA312" s="928" t="s">
        <v>56</v>
      </c>
      <c r="AB312" s="904" t="s">
        <v>57</v>
      </c>
      <c r="AC312" s="928" t="s">
        <v>63</v>
      </c>
      <c r="AD312" s="904" t="s">
        <v>338</v>
      </c>
      <c r="AE312" s="941"/>
      <c r="AF312" s="926"/>
      <c r="AG312" s="906" t="str">
        <f>IF(AE312&lt;&gt;0,VLOOKUP(AE312,ODDS!$A$2:$C$13,3,0),"")</f>
        <v/>
      </c>
      <c r="AH312" s="906" t="str">
        <f t="shared" si="64"/>
        <v xml:space="preserve"> </v>
      </c>
      <c r="AI312" s="907" t="str">
        <f t="shared" si="62"/>
        <v xml:space="preserve"> </v>
      </c>
      <c r="AJ312" s="943" t="s">
        <v>111</v>
      </c>
      <c r="AK312" s="894" t="s">
        <v>2449</v>
      </c>
    </row>
    <row r="313" spans="1:37" s="376" customFormat="1" ht="90" outlineLevel="2" x14ac:dyDescent="0.3">
      <c r="A313" s="447">
        <f t="shared" si="72"/>
        <v>31</v>
      </c>
      <c r="B313" s="893"/>
      <c r="C313" s="983"/>
      <c r="D313" s="923"/>
      <c r="E313" s="923"/>
      <c r="F313" s="896"/>
      <c r="G313" s="894"/>
      <c r="H313" s="924"/>
      <c r="I313" s="882"/>
      <c r="J313" s="925"/>
      <c r="K313" s="899" t="str">
        <f>IF(G313&lt;&gt;0,VLOOKUP(G313,'gia dat'!$A$1:$F$144,5,0)," ")</f>
        <v xml:space="preserve"> </v>
      </c>
      <c r="L313" s="899" t="str">
        <f>IF(G313&lt;&gt;0,VLOOKUP(G313,'gia dat'!$A$1:$F$144,6,0)," ")</f>
        <v xml:space="preserve"> </v>
      </c>
      <c r="M313" s="900" t="str">
        <f t="shared" si="69"/>
        <v xml:space="preserve"> </v>
      </c>
      <c r="N313" s="900" t="str">
        <f t="shared" si="70"/>
        <v xml:space="preserve"> </v>
      </c>
      <c r="O313" s="981" t="s">
        <v>156</v>
      </c>
      <c r="P313" s="926">
        <v>1</v>
      </c>
      <c r="Q313" s="900">
        <f>IF(O313&lt;&gt;0,VLOOKUP(O313,'Cây trong'!$A$2:$C$246,3,0)," ")</f>
        <v>288000</v>
      </c>
      <c r="R313" s="900">
        <f t="shared" si="63"/>
        <v>288000</v>
      </c>
      <c r="S313" s="981" t="s">
        <v>1820</v>
      </c>
      <c r="T313" s="987" t="s">
        <v>53</v>
      </c>
      <c r="U313" s="927">
        <v>8.41</v>
      </c>
      <c r="V313" s="925"/>
      <c r="W313" s="900">
        <f>IF(S313&lt;&gt;0,VLOOKUP(S313,VKT!$A$2:$G$415,7,0),"")</f>
        <v>5307665</v>
      </c>
      <c r="X313" s="900">
        <f t="shared" si="68"/>
        <v>44637000</v>
      </c>
      <c r="Y313" s="925" t="s">
        <v>63</v>
      </c>
      <c r="Z313" s="928" t="s">
        <v>55</v>
      </c>
      <c r="AA313" s="928" t="s">
        <v>56</v>
      </c>
      <c r="AB313" s="904" t="s">
        <v>57</v>
      </c>
      <c r="AC313" s="928" t="s">
        <v>63</v>
      </c>
      <c r="AD313" s="904" t="s">
        <v>206</v>
      </c>
      <c r="AE313" s="904"/>
      <c r="AF313" s="899"/>
      <c r="AG313" s="906" t="str">
        <f>IF(AE313&lt;&gt;0,VLOOKUP(AE313,ODDS!$A$2:$C$13,3,0),"")</f>
        <v/>
      </c>
      <c r="AH313" s="906" t="str">
        <f t="shared" si="64"/>
        <v xml:space="preserve"> </v>
      </c>
      <c r="AI313" s="907" t="str">
        <f t="shared" si="62"/>
        <v xml:space="preserve"> </v>
      </c>
      <c r="AJ313" s="910" t="s">
        <v>483</v>
      </c>
      <c r="AK313" s="894" t="s">
        <v>2451</v>
      </c>
    </row>
    <row r="314" spans="1:37" s="376" customFormat="1" ht="135" outlineLevel="2" x14ac:dyDescent="0.3">
      <c r="A314" s="447">
        <f t="shared" si="72"/>
        <v>31</v>
      </c>
      <c r="B314" s="893"/>
      <c r="C314" s="894"/>
      <c r="D314" s="923"/>
      <c r="E314" s="923"/>
      <c r="F314" s="896"/>
      <c r="G314" s="894"/>
      <c r="H314" s="924"/>
      <c r="I314" s="882"/>
      <c r="J314" s="925"/>
      <c r="K314" s="899" t="str">
        <f>IF(G314&lt;&gt;0,VLOOKUP(G314,'gia dat'!$A$1:$F$144,5,0)," ")</f>
        <v xml:space="preserve"> </v>
      </c>
      <c r="L314" s="899" t="str">
        <f>IF(G314&lt;&gt;0,VLOOKUP(G314,'gia dat'!$A$1:$F$144,6,0)," ")</f>
        <v xml:space="preserve"> </v>
      </c>
      <c r="M314" s="900" t="str">
        <f t="shared" si="69"/>
        <v xml:space="preserve"> </v>
      </c>
      <c r="N314" s="900" t="str">
        <f t="shared" si="70"/>
        <v xml:space="preserve"> </v>
      </c>
      <c r="O314" s="981" t="s">
        <v>89</v>
      </c>
      <c r="P314" s="926">
        <v>1</v>
      </c>
      <c r="Q314" s="900">
        <f>IF(O314&lt;&gt;0,VLOOKUP(O314,'Cây trong'!$A$2:$C$246,3,0)," ")</f>
        <v>283000</v>
      </c>
      <c r="R314" s="900">
        <f t="shared" si="63"/>
        <v>283000</v>
      </c>
      <c r="S314" s="981" t="s">
        <v>1763</v>
      </c>
      <c r="T314" s="987" t="s">
        <v>53</v>
      </c>
      <c r="U314" s="927">
        <v>10.199999999999999</v>
      </c>
      <c r="V314" s="925"/>
      <c r="W314" s="900">
        <f>IF(S314&lt;&gt;0,VLOOKUP(S314,VKT!$A$2:$G$415,7,0),"")</f>
        <v>3550600</v>
      </c>
      <c r="X314" s="900">
        <f t="shared" si="68"/>
        <v>36216000</v>
      </c>
      <c r="Y314" s="925" t="s">
        <v>63</v>
      </c>
      <c r="Z314" s="928" t="s">
        <v>55</v>
      </c>
      <c r="AA314" s="928" t="s">
        <v>56</v>
      </c>
      <c r="AB314" s="904" t="s">
        <v>57</v>
      </c>
      <c r="AC314" s="928" t="s">
        <v>63</v>
      </c>
      <c r="AD314" s="904" t="s">
        <v>206</v>
      </c>
      <c r="AE314" s="904"/>
      <c r="AF314" s="899"/>
      <c r="AG314" s="906" t="str">
        <f>IF(AE314&lt;&gt;0,VLOOKUP(AE314,ODDS!$A$2:$C$13,3,0),"")</f>
        <v/>
      </c>
      <c r="AH314" s="906" t="str">
        <f t="shared" si="64"/>
        <v xml:space="preserve"> </v>
      </c>
      <c r="AI314" s="907" t="str">
        <f t="shared" si="62"/>
        <v xml:space="preserve"> </v>
      </c>
      <c r="AJ314" s="894" t="s">
        <v>484</v>
      </c>
      <c r="AK314" s="894" t="s">
        <v>2800</v>
      </c>
    </row>
    <row r="315" spans="1:37" s="376" customFormat="1" ht="112.5" outlineLevel="2" x14ac:dyDescent="0.3">
      <c r="A315" s="447">
        <f t="shared" si="72"/>
        <v>31</v>
      </c>
      <c r="B315" s="893"/>
      <c r="C315" s="894"/>
      <c r="D315" s="923"/>
      <c r="E315" s="923"/>
      <c r="F315" s="896"/>
      <c r="G315" s="894"/>
      <c r="H315" s="924"/>
      <c r="I315" s="882"/>
      <c r="J315" s="925"/>
      <c r="K315" s="899" t="str">
        <f>IF(G315&lt;&gt;0,VLOOKUP(G315,'gia dat'!$A$1:$F$144,5,0)," ")</f>
        <v xml:space="preserve"> </v>
      </c>
      <c r="L315" s="899" t="str">
        <f>IF(G315&lt;&gt;0,VLOOKUP(G315,'gia dat'!$A$1:$F$144,6,0)," ")</f>
        <v xml:space="preserve"> </v>
      </c>
      <c r="M315" s="900" t="str">
        <f t="shared" si="69"/>
        <v xml:space="preserve"> </v>
      </c>
      <c r="N315" s="900" t="str">
        <f t="shared" si="70"/>
        <v xml:space="preserve"> </v>
      </c>
      <c r="O315" s="981"/>
      <c r="P315" s="926"/>
      <c r="Q315" s="900" t="str">
        <f>IF(O315&lt;&gt;0,VLOOKUP(O315,'Cây trong'!$A$2:$C$246,3,0)," ")</f>
        <v xml:space="preserve"> </v>
      </c>
      <c r="R315" s="900" t="str">
        <f t="shared" si="63"/>
        <v xml:space="preserve"> </v>
      </c>
      <c r="S315" s="981" t="s">
        <v>2284</v>
      </c>
      <c r="T315" s="987" t="s">
        <v>53</v>
      </c>
      <c r="U315" s="927">
        <v>6.09</v>
      </c>
      <c r="V315" s="925"/>
      <c r="W315" s="900">
        <f>IF(S315&lt;&gt;0,VLOOKUP(S315,VKT!$A$2:$G$415,7,0),"")</f>
        <v>9347414</v>
      </c>
      <c r="X315" s="900">
        <f t="shared" si="68"/>
        <v>56926000</v>
      </c>
      <c r="Y315" s="925" t="s">
        <v>63</v>
      </c>
      <c r="Z315" s="928" t="s">
        <v>63</v>
      </c>
      <c r="AA315" s="928" t="s">
        <v>56</v>
      </c>
      <c r="AB315" s="904" t="s">
        <v>57</v>
      </c>
      <c r="AC315" s="928" t="s">
        <v>63</v>
      </c>
      <c r="AD315" s="904"/>
      <c r="AE315" s="904"/>
      <c r="AF315" s="899"/>
      <c r="AG315" s="906" t="str">
        <f>IF(AE315&lt;&gt;0,VLOOKUP(AE315,ODDS!$A$2:$C$13,3,0),"")</f>
        <v/>
      </c>
      <c r="AH315" s="906" t="str">
        <f t="shared" si="64"/>
        <v xml:space="preserve"> </v>
      </c>
      <c r="AI315" s="907" t="str">
        <f t="shared" si="62"/>
        <v xml:space="preserve"> </v>
      </c>
      <c r="AJ315" s="894" t="s">
        <v>2489</v>
      </c>
      <c r="AK315" s="894"/>
    </row>
    <row r="316" spans="1:37" s="376" customFormat="1" ht="112.5" outlineLevel="2" x14ac:dyDescent="0.3">
      <c r="A316" s="447">
        <f t="shared" si="72"/>
        <v>31</v>
      </c>
      <c r="B316" s="893"/>
      <c r="C316" s="894"/>
      <c r="D316" s="923"/>
      <c r="E316" s="923"/>
      <c r="F316" s="896"/>
      <c r="G316" s="894"/>
      <c r="H316" s="924"/>
      <c r="I316" s="882"/>
      <c r="J316" s="929"/>
      <c r="K316" s="899" t="str">
        <f>IF(G316&lt;&gt;0,VLOOKUP(G316,'gia dat'!$A$1:$F$144,5,0)," ")</f>
        <v xml:space="preserve"> </v>
      </c>
      <c r="L316" s="899" t="str">
        <f>IF(G316&lt;&gt;0,VLOOKUP(G316,'gia dat'!$A$1:$F$144,6,0)," ")</f>
        <v xml:space="preserve"> </v>
      </c>
      <c r="M316" s="900" t="str">
        <f t="shared" si="69"/>
        <v xml:space="preserve"> </v>
      </c>
      <c r="N316" s="900" t="str">
        <f t="shared" si="70"/>
        <v xml:space="preserve"> </v>
      </c>
      <c r="O316" s="922"/>
      <c r="P316" s="965"/>
      <c r="Q316" s="900" t="str">
        <f>IF(O316&lt;&gt;0,VLOOKUP(O316,'Cây trong'!$A$2:$C$246,3,0)," ")</f>
        <v xml:space="preserve"> </v>
      </c>
      <c r="R316" s="900" t="str">
        <f t="shared" si="63"/>
        <v xml:space="preserve"> </v>
      </c>
      <c r="S316" s="922" t="s">
        <v>1886</v>
      </c>
      <c r="T316" s="987" t="s">
        <v>53</v>
      </c>
      <c r="U316" s="927">
        <v>4.8</v>
      </c>
      <c r="V316" s="925"/>
      <c r="W316" s="900">
        <f>IF(S316&lt;&gt;0,VLOOKUP(S316,VKT!$A$2:$G$415,7,0),"")</f>
        <v>9347414</v>
      </c>
      <c r="X316" s="900">
        <f t="shared" si="68"/>
        <v>44868000</v>
      </c>
      <c r="Y316" s="925"/>
      <c r="Z316" s="928"/>
      <c r="AA316" s="928" t="s">
        <v>56</v>
      </c>
      <c r="AB316" s="904" t="s">
        <v>57</v>
      </c>
      <c r="AC316" s="928" t="s">
        <v>63</v>
      </c>
      <c r="AD316" s="904" t="s">
        <v>338</v>
      </c>
      <c r="AE316" s="904"/>
      <c r="AF316" s="899"/>
      <c r="AG316" s="906" t="str">
        <f>IF(AE316&lt;&gt;0,VLOOKUP(AE316,ODDS!$A$2:$C$13,3,0),"")</f>
        <v/>
      </c>
      <c r="AH316" s="906" t="str">
        <f t="shared" si="64"/>
        <v xml:space="preserve"> </v>
      </c>
      <c r="AI316" s="907" t="str">
        <f t="shared" si="62"/>
        <v xml:space="preserve"> </v>
      </c>
      <c r="AJ316" s="894"/>
      <c r="AK316" s="894"/>
    </row>
    <row r="317" spans="1:37" s="376" customFormat="1" ht="45" outlineLevel="2" x14ac:dyDescent="0.3">
      <c r="A317" s="447">
        <f t="shared" si="72"/>
        <v>31</v>
      </c>
      <c r="B317" s="893"/>
      <c r="C317" s="894"/>
      <c r="D317" s="923"/>
      <c r="E317" s="923"/>
      <c r="F317" s="896"/>
      <c r="G317" s="894"/>
      <c r="H317" s="924"/>
      <c r="I317" s="882"/>
      <c r="J317" s="929"/>
      <c r="K317" s="899" t="str">
        <f>IF(G317&lt;&gt;0,VLOOKUP(G317,'gia dat'!$A$1:$F$144,5,0)," ")</f>
        <v xml:space="preserve"> </v>
      </c>
      <c r="L317" s="899" t="str">
        <f>IF(G317&lt;&gt;0,VLOOKUP(G317,'gia dat'!$A$1:$F$144,6,0)," ")</f>
        <v xml:space="preserve"> </v>
      </c>
      <c r="M317" s="900" t="str">
        <f t="shared" si="69"/>
        <v xml:space="preserve"> </v>
      </c>
      <c r="N317" s="900" t="str">
        <f t="shared" si="70"/>
        <v xml:space="preserve"> </v>
      </c>
      <c r="O317" s="922"/>
      <c r="P317" s="965"/>
      <c r="Q317" s="900" t="str">
        <f>IF(O317&lt;&gt;0,VLOOKUP(O317,'Cây trong'!$A$2:$C$246,3,0)," ")</f>
        <v xml:space="preserve"> </v>
      </c>
      <c r="R317" s="900" t="str">
        <f t="shared" si="63"/>
        <v xml:space="preserve"> </v>
      </c>
      <c r="S317" s="922" t="s">
        <v>1863</v>
      </c>
      <c r="T317" s="987" t="s">
        <v>53</v>
      </c>
      <c r="U317" s="927">
        <v>16.2</v>
      </c>
      <c r="V317" s="925"/>
      <c r="W317" s="900">
        <f>IF(S317&lt;&gt;0,VLOOKUP(S317,VKT!$A$2:$G$415,7,0),"")</f>
        <v>1107311</v>
      </c>
      <c r="X317" s="900">
        <f t="shared" si="68"/>
        <v>17938000</v>
      </c>
      <c r="Y317" s="925"/>
      <c r="Z317" s="928" t="s">
        <v>55</v>
      </c>
      <c r="AA317" s="928" t="s">
        <v>56</v>
      </c>
      <c r="AB317" s="904" t="s">
        <v>339</v>
      </c>
      <c r="AC317" s="928" t="s">
        <v>66</v>
      </c>
      <c r="AD317" s="928"/>
      <c r="AE317" s="928"/>
      <c r="AF317" s="926"/>
      <c r="AG317" s="906" t="str">
        <f>IF(AE317&lt;&gt;0,VLOOKUP(AE317,ODDS!$A$2:$C$13,3,0),"")</f>
        <v/>
      </c>
      <c r="AH317" s="906" t="str">
        <f t="shared" si="64"/>
        <v xml:space="preserve"> </v>
      </c>
      <c r="AI317" s="907" t="str">
        <f t="shared" si="62"/>
        <v xml:space="preserve"> </v>
      </c>
      <c r="AJ317" s="929"/>
      <c r="AK317" s="929"/>
    </row>
    <row r="318" spans="1:37" s="376" customFormat="1" ht="135" outlineLevel="2" x14ac:dyDescent="0.3">
      <c r="A318" s="447">
        <f t="shared" si="72"/>
        <v>31</v>
      </c>
      <c r="B318" s="893"/>
      <c r="C318" s="894"/>
      <c r="D318" s="923"/>
      <c r="E318" s="923"/>
      <c r="F318" s="896"/>
      <c r="G318" s="894"/>
      <c r="H318" s="924"/>
      <c r="I318" s="882"/>
      <c r="J318" s="929"/>
      <c r="K318" s="899" t="str">
        <f>IF(G318&lt;&gt;0,VLOOKUP(G318,'gia dat'!$A$1:$F$144,5,0)," ")</f>
        <v xml:space="preserve"> </v>
      </c>
      <c r="L318" s="899" t="str">
        <f>IF(G318&lt;&gt;0,VLOOKUP(G318,'gia dat'!$A$1:$F$144,6,0)," ")</f>
        <v xml:space="preserve"> </v>
      </c>
      <c r="M318" s="900" t="str">
        <f t="shared" si="69"/>
        <v xml:space="preserve"> </v>
      </c>
      <c r="N318" s="900" t="str">
        <f t="shared" si="70"/>
        <v xml:space="preserve"> </v>
      </c>
      <c r="O318" s="922"/>
      <c r="P318" s="965"/>
      <c r="Q318" s="900" t="str">
        <f>IF(O318&lt;&gt;0,VLOOKUP(O318,'Cây trong'!$A$2:$C$246,3,0)," ")</f>
        <v xml:space="preserve"> </v>
      </c>
      <c r="R318" s="900" t="str">
        <f t="shared" si="63"/>
        <v xml:space="preserve"> </v>
      </c>
      <c r="S318" s="922" t="s">
        <v>2275</v>
      </c>
      <c r="T318" s="987" t="s">
        <v>53</v>
      </c>
      <c r="U318" s="927">
        <v>35.19</v>
      </c>
      <c r="V318" s="925"/>
      <c r="W318" s="900">
        <f>IF(S318&lt;&gt;0,VLOOKUP(S318,VKT!$A$2:$G$415,7,0),"")</f>
        <v>1116028</v>
      </c>
      <c r="X318" s="900">
        <f t="shared" si="68"/>
        <v>39273000</v>
      </c>
      <c r="Y318" s="925"/>
      <c r="Z318" s="928"/>
      <c r="AA318" s="928"/>
      <c r="AB318" s="904"/>
      <c r="AC318" s="928"/>
      <c r="AD318" s="928"/>
      <c r="AE318" s="928"/>
      <c r="AF318" s="926"/>
      <c r="AG318" s="906" t="str">
        <f>IF(AE318&lt;&gt;0,VLOOKUP(AE318,ODDS!$A$2:$C$13,3,0),"")</f>
        <v/>
      </c>
      <c r="AH318" s="906" t="str">
        <f t="shared" si="64"/>
        <v xml:space="preserve"> </v>
      </c>
      <c r="AI318" s="907" t="str">
        <f t="shared" si="62"/>
        <v xml:space="preserve"> </v>
      </c>
      <c r="AJ318" s="929"/>
      <c r="AK318" s="929"/>
    </row>
    <row r="319" spans="1:37" s="376" customFormat="1" ht="45" outlineLevel="2" x14ac:dyDescent="0.3">
      <c r="A319" s="447">
        <f t="shared" si="72"/>
        <v>31</v>
      </c>
      <c r="B319" s="893"/>
      <c r="C319" s="910"/>
      <c r="D319" s="923"/>
      <c r="E319" s="923"/>
      <c r="F319" s="896"/>
      <c r="G319" s="894"/>
      <c r="H319" s="924"/>
      <c r="I319" s="882"/>
      <c r="J319" s="929"/>
      <c r="K319" s="899" t="str">
        <f>IF(G319&lt;&gt;0,VLOOKUP(G319,'gia dat'!$A$1:$F$144,5,0)," ")</f>
        <v xml:space="preserve"> </v>
      </c>
      <c r="L319" s="899" t="str">
        <f>IF(G319&lt;&gt;0,VLOOKUP(G319,'gia dat'!$A$1:$F$144,6,0)," ")</f>
        <v xml:space="preserve"> </v>
      </c>
      <c r="M319" s="900" t="str">
        <f t="shared" si="69"/>
        <v xml:space="preserve"> </v>
      </c>
      <c r="N319" s="900" t="str">
        <f t="shared" si="70"/>
        <v xml:space="preserve"> </v>
      </c>
      <c r="O319" s="922"/>
      <c r="P319" s="965"/>
      <c r="Q319" s="900" t="str">
        <f>IF(O319&lt;&gt;0,VLOOKUP(O319,'Cây trong'!$A$2:$C$246,3,0)," ")</f>
        <v xml:space="preserve"> </v>
      </c>
      <c r="R319" s="900" t="str">
        <f t="shared" si="63"/>
        <v xml:space="preserve"> </v>
      </c>
      <c r="S319" s="922" t="s">
        <v>2149</v>
      </c>
      <c r="T319" s="987" t="s">
        <v>78</v>
      </c>
      <c r="U319" s="927">
        <v>0.03</v>
      </c>
      <c r="V319" s="925"/>
      <c r="W319" s="900">
        <f>IF(S319&lt;&gt;0,VLOOKUP(S319,VKT!$A$2:$G$415,7,0),"")</f>
        <v>0</v>
      </c>
      <c r="X319" s="900">
        <f t="shared" si="68"/>
        <v>0</v>
      </c>
      <c r="Y319" s="925"/>
      <c r="Z319" s="928"/>
      <c r="AA319" s="928"/>
      <c r="AB319" s="904"/>
      <c r="AC319" s="928"/>
      <c r="AD319" s="928"/>
      <c r="AE319" s="928"/>
      <c r="AF319" s="926"/>
      <c r="AG319" s="906" t="str">
        <f>IF(AE319&lt;&gt;0,VLOOKUP(AE319,ODDS!$A$2:$C$13,3,0),"")</f>
        <v/>
      </c>
      <c r="AH319" s="906" t="str">
        <f t="shared" si="64"/>
        <v xml:space="preserve"> </v>
      </c>
      <c r="AI319" s="907" t="str">
        <f t="shared" si="62"/>
        <v xml:space="preserve"> </v>
      </c>
      <c r="AJ319" s="929"/>
      <c r="AK319" s="929"/>
    </row>
    <row r="320" spans="1:37" s="376" customFormat="1" ht="67.5" outlineLevel="2" x14ac:dyDescent="0.3">
      <c r="A320" s="447">
        <f t="shared" si="72"/>
        <v>31</v>
      </c>
      <c r="B320" s="893"/>
      <c r="C320" s="894"/>
      <c r="D320" s="923"/>
      <c r="E320" s="923"/>
      <c r="F320" s="896"/>
      <c r="G320" s="894"/>
      <c r="H320" s="924"/>
      <c r="I320" s="882"/>
      <c r="J320" s="929"/>
      <c r="K320" s="899" t="str">
        <f>IF(G320&lt;&gt;0,VLOOKUP(G320,'gia dat'!$A$1:$F$144,5,0)," ")</f>
        <v xml:space="preserve"> </v>
      </c>
      <c r="L320" s="899" t="str">
        <f>IF(G320&lt;&gt;0,VLOOKUP(G320,'gia dat'!$A$1:$F$144,6,0)," ")</f>
        <v xml:space="preserve"> </v>
      </c>
      <c r="M320" s="900" t="str">
        <f t="shared" si="69"/>
        <v xml:space="preserve"> </v>
      </c>
      <c r="N320" s="900" t="str">
        <f t="shared" si="70"/>
        <v xml:space="preserve"> </v>
      </c>
      <c r="O320" s="922"/>
      <c r="P320" s="965"/>
      <c r="Q320" s="900" t="str">
        <f>IF(O320&lt;&gt;0,VLOOKUP(O320,'Cây trong'!$A$2:$C$246,3,0)," ")</f>
        <v xml:space="preserve"> </v>
      </c>
      <c r="R320" s="900" t="str">
        <f t="shared" si="63"/>
        <v xml:space="preserve"> </v>
      </c>
      <c r="S320" s="922" t="s">
        <v>2285</v>
      </c>
      <c r="T320" s="987" t="s">
        <v>78</v>
      </c>
      <c r="U320" s="927">
        <v>0.08</v>
      </c>
      <c r="V320" s="925"/>
      <c r="W320" s="900">
        <f>IF(S320&lt;&gt;0,VLOOKUP(S320,VKT!$A$2:$G$415,7,0),"")</f>
        <v>0</v>
      </c>
      <c r="X320" s="900">
        <f t="shared" si="68"/>
        <v>0</v>
      </c>
      <c r="Y320" s="925"/>
      <c r="Z320" s="928"/>
      <c r="AA320" s="928"/>
      <c r="AB320" s="904"/>
      <c r="AC320" s="928"/>
      <c r="AD320" s="928"/>
      <c r="AE320" s="928"/>
      <c r="AF320" s="926"/>
      <c r="AG320" s="906" t="str">
        <f>IF(AE320&lt;&gt;0,VLOOKUP(AE320,ODDS!$A$2:$C$13,3,0),"")</f>
        <v/>
      </c>
      <c r="AH320" s="906" t="str">
        <f t="shared" si="64"/>
        <v xml:space="preserve"> </v>
      </c>
      <c r="AI320" s="907" t="str">
        <f t="shared" si="62"/>
        <v xml:space="preserve"> </v>
      </c>
      <c r="AJ320" s="894"/>
      <c r="AK320" s="894"/>
    </row>
    <row r="321" spans="1:37" s="376" customFormat="1" ht="135" outlineLevel="2" x14ac:dyDescent="0.3">
      <c r="A321" s="447">
        <f t="shared" si="72"/>
        <v>31</v>
      </c>
      <c r="B321" s="893"/>
      <c r="C321" s="894"/>
      <c r="D321" s="923"/>
      <c r="E321" s="923"/>
      <c r="F321" s="896"/>
      <c r="G321" s="894"/>
      <c r="H321" s="924"/>
      <c r="I321" s="882"/>
      <c r="J321" s="929"/>
      <c r="K321" s="899" t="str">
        <f>IF(G321&lt;&gt;0,VLOOKUP(G321,'gia dat'!$A$1:$F$144,5,0)," ")</f>
        <v xml:space="preserve"> </v>
      </c>
      <c r="L321" s="899" t="str">
        <f>IF(G321&lt;&gt;0,VLOOKUP(G321,'gia dat'!$A$1:$F$144,6,0)," ")</f>
        <v xml:space="preserve"> </v>
      </c>
      <c r="M321" s="900" t="str">
        <f t="shared" si="69"/>
        <v xml:space="preserve"> </v>
      </c>
      <c r="N321" s="900" t="str">
        <f t="shared" si="70"/>
        <v xml:space="preserve"> </v>
      </c>
      <c r="O321" s="922"/>
      <c r="P321" s="965"/>
      <c r="Q321" s="900" t="str">
        <f>IF(O321&lt;&gt;0,VLOOKUP(O321,'Cây trong'!$A$2:$C$246,3,0)," ")</f>
        <v xml:space="preserve"> </v>
      </c>
      <c r="R321" s="900" t="str">
        <f t="shared" si="63"/>
        <v xml:space="preserve"> </v>
      </c>
      <c r="S321" s="922" t="s">
        <v>2286</v>
      </c>
      <c r="T321" s="987" t="s">
        <v>53</v>
      </c>
      <c r="U321" s="927">
        <v>27.37</v>
      </c>
      <c r="V321" s="925"/>
      <c r="W321" s="900">
        <f>IF(S321&lt;&gt;0,VLOOKUP(S321,VKT!$A$2:$G$415,7,0),"")</f>
        <v>496651</v>
      </c>
      <c r="X321" s="900">
        <f t="shared" si="68"/>
        <v>13593000</v>
      </c>
      <c r="Y321" s="925"/>
      <c r="Z321" s="928"/>
      <c r="AA321" s="928"/>
      <c r="AB321" s="904"/>
      <c r="AC321" s="928"/>
      <c r="AD321" s="928"/>
      <c r="AE321" s="928"/>
      <c r="AF321" s="926"/>
      <c r="AG321" s="906" t="str">
        <f>IF(AE321&lt;&gt;0,VLOOKUP(AE321,ODDS!$A$2:$C$13,3,0),"")</f>
        <v/>
      </c>
      <c r="AH321" s="906" t="str">
        <f t="shared" si="64"/>
        <v xml:space="preserve"> </v>
      </c>
      <c r="AI321" s="907" t="str">
        <f t="shared" si="62"/>
        <v xml:space="preserve"> </v>
      </c>
      <c r="AJ321" s="894"/>
      <c r="AK321" s="894"/>
    </row>
    <row r="322" spans="1:37" s="376" customFormat="1" ht="45" outlineLevel="2" x14ac:dyDescent="0.3">
      <c r="A322" s="447">
        <f t="shared" si="72"/>
        <v>31</v>
      </c>
      <c r="B322" s="893"/>
      <c r="C322" s="894"/>
      <c r="D322" s="923"/>
      <c r="E322" s="923"/>
      <c r="F322" s="896"/>
      <c r="G322" s="894"/>
      <c r="H322" s="924"/>
      <c r="I322" s="882"/>
      <c r="J322" s="929"/>
      <c r="K322" s="899" t="str">
        <f>IF(G322&lt;&gt;0,VLOOKUP(G322,'gia dat'!$A$1:$F$144,5,0)," ")</f>
        <v xml:space="preserve"> </v>
      </c>
      <c r="L322" s="899" t="str">
        <f>IF(G322&lt;&gt;0,VLOOKUP(G322,'gia dat'!$A$1:$F$144,6,0)," ")</f>
        <v xml:space="preserve"> </v>
      </c>
      <c r="M322" s="900" t="str">
        <f t="shared" si="69"/>
        <v xml:space="preserve"> </v>
      </c>
      <c r="N322" s="900" t="str">
        <f t="shared" si="70"/>
        <v xml:space="preserve"> </v>
      </c>
      <c r="O322" s="922"/>
      <c r="P322" s="965"/>
      <c r="Q322" s="900" t="str">
        <f>IF(O322&lt;&gt;0,VLOOKUP(O322,'Cây trong'!$A$2:$C$246,3,0)," ")</f>
        <v xml:space="preserve"> </v>
      </c>
      <c r="R322" s="900" t="str">
        <f t="shared" si="63"/>
        <v xml:space="preserve"> </v>
      </c>
      <c r="S322" s="922" t="s">
        <v>1799</v>
      </c>
      <c r="T322" s="987" t="s">
        <v>53</v>
      </c>
      <c r="U322" s="927">
        <v>16.2</v>
      </c>
      <c r="V322" s="925"/>
      <c r="W322" s="900">
        <f>IF(S322&lt;&gt;0,VLOOKUP(S322,VKT!$A$2:$G$415,7,0),"")</f>
        <v>275180</v>
      </c>
      <c r="X322" s="900">
        <f t="shared" si="68"/>
        <v>4458000</v>
      </c>
      <c r="Y322" s="925"/>
      <c r="Z322" s="928"/>
      <c r="AA322" s="928"/>
      <c r="AB322" s="904"/>
      <c r="AC322" s="928"/>
      <c r="AD322" s="928"/>
      <c r="AE322" s="928"/>
      <c r="AF322" s="926"/>
      <c r="AG322" s="906" t="str">
        <f>IF(AE322&lt;&gt;0,VLOOKUP(AE322,ODDS!$A$2:$C$13,3,0),"")</f>
        <v/>
      </c>
      <c r="AH322" s="906" t="str">
        <f t="shared" si="64"/>
        <v xml:space="preserve"> </v>
      </c>
      <c r="AI322" s="907" t="str">
        <f t="shared" si="62"/>
        <v xml:space="preserve"> </v>
      </c>
      <c r="AJ322" s="894"/>
      <c r="AK322" s="894"/>
    </row>
    <row r="323" spans="1:37" s="376" customFormat="1" ht="22.5" outlineLevel="2" x14ac:dyDescent="0.3">
      <c r="A323" s="447">
        <f t="shared" si="72"/>
        <v>31</v>
      </c>
      <c r="B323" s="893"/>
      <c r="C323" s="894"/>
      <c r="D323" s="923"/>
      <c r="E323" s="923"/>
      <c r="F323" s="896"/>
      <c r="G323" s="894"/>
      <c r="H323" s="924"/>
      <c r="I323" s="882"/>
      <c r="J323" s="929"/>
      <c r="K323" s="899" t="str">
        <f>IF(G323&lt;&gt;0,VLOOKUP(G323,'gia dat'!$A$1:$F$144,5,0)," ")</f>
        <v xml:space="preserve"> </v>
      </c>
      <c r="L323" s="899" t="str">
        <f>IF(G323&lt;&gt;0,VLOOKUP(G323,'gia dat'!$A$1:$F$144,6,0)," ")</f>
        <v xml:space="preserve"> </v>
      </c>
      <c r="M323" s="900" t="str">
        <f t="shared" si="69"/>
        <v xml:space="preserve"> </v>
      </c>
      <c r="N323" s="900" t="str">
        <f t="shared" si="70"/>
        <v xml:space="preserve"> </v>
      </c>
      <c r="O323" s="922"/>
      <c r="P323" s="965"/>
      <c r="Q323" s="900" t="str">
        <f>IF(O323&lt;&gt;0,VLOOKUP(O323,'Cây trong'!$A$2:$C$246,3,0)," ")</f>
        <v xml:space="preserve"> </v>
      </c>
      <c r="R323" s="900" t="str">
        <f t="shared" si="63"/>
        <v xml:space="preserve"> </v>
      </c>
      <c r="S323" s="922"/>
      <c r="T323" s="987"/>
      <c r="U323" s="927"/>
      <c r="V323" s="925"/>
      <c r="W323" s="900" t="str">
        <f>IF(S323&lt;&gt;0,VLOOKUP(S323,VKT!$A$2:$G$415,7,0),"")</f>
        <v/>
      </c>
      <c r="X323" s="900" t="str">
        <f t="shared" si="68"/>
        <v xml:space="preserve"> </v>
      </c>
      <c r="Y323" s="925"/>
      <c r="Z323" s="928"/>
      <c r="AA323" s="928"/>
      <c r="AB323" s="904"/>
      <c r="AC323" s="928"/>
      <c r="AD323" s="928"/>
      <c r="AE323" s="928"/>
      <c r="AF323" s="926"/>
      <c r="AG323" s="906" t="str">
        <f>IF(AE323&lt;&gt;0,VLOOKUP(AE323,ODDS!$A$2:$C$13,3,0),"")</f>
        <v/>
      </c>
      <c r="AH323" s="906" t="str">
        <f t="shared" si="64"/>
        <v xml:space="preserve"> </v>
      </c>
      <c r="AI323" s="907" t="str">
        <f t="shared" si="62"/>
        <v xml:space="preserve"> </v>
      </c>
      <c r="AJ323" s="929"/>
      <c r="AK323" s="929"/>
    </row>
    <row r="324" spans="1:37" s="376" customFormat="1" ht="22.5" outlineLevel="2" x14ac:dyDescent="0.3">
      <c r="A324" s="447">
        <f t="shared" si="72"/>
        <v>31</v>
      </c>
      <c r="B324" s="893"/>
      <c r="C324" s="894"/>
      <c r="D324" s="923"/>
      <c r="E324" s="923"/>
      <c r="F324" s="896"/>
      <c r="G324" s="894"/>
      <c r="H324" s="924"/>
      <c r="I324" s="882"/>
      <c r="J324" s="929"/>
      <c r="K324" s="899" t="str">
        <f>IF(G324&lt;&gt;0,VLOOKUP(G324,'gia dat'!$A$1:$F$144,5,0)," ")</f>
        <v xml:space="preserve"> </v>
      </c>
      <c r="L324" s="899" t="str">
        <f>IF(G324&lt;&gt;0,VLOOKUP(G324,'gia dat'!$A$1:$F$144,6,0)," ")</f>
        <v xml:space="preserve"> </v>
      </c>
      <c r="M324" s="900" t="str">
        <f t="shared" si="69"/>
        <v xml:space="preserve"> </v>
      </c>
      <c r="N324" s="900" t="str">
        <f t="shared" si="70"/>
        <v xml:space="preserve"> </v>
      </c>
      <c r="O324" s="922"/>
      <c r="P324" s="965"/>
      <c r="Q324" s="900" t="str">
        <f>IF(O324&lt;&gt;0,VLOOKUP(O324,'Cây trong'!$A$2:$C$246,3,0)," ")</f>
        <v xml:space="preserve"> </v>
      </c>
      <c r="R324" s="900" t="str">
        <f t="shared" si="63"/>
        <v xml:space="preserve"> </v>
      </c>
      <c r="S324" s="922"/>
      <c r="T324" s="987"/>
      <c r="U324" s="927"/>
      <c r="V324" s="925"/>
      <c r="W324" s="900" t="str">
        <f>IF(S324&lt;&gt;0,VLOOKUP(S324,VKT!$A$2:$G$415,7,0),"")</f>
        <v/>
      </c>
      <c r="X324" s="900" t="str">
        <f t="shared" si="68"/>
        <v xml:space="preserve"> </v>
      </c>
      <c r="Y324" s="925"/>
      <c r="Z324" s="928"/>
      <c r="AA324" s="928"/>
      <c r="AB324" s="904"/>
      <c r="AC324" s="928"/>
      <c r="AD324" s="928"/>
      <c r="AE324" s="928"/>
      <c r="AF324" s="926"/>
      <c r="AG324" s="906" t="str">
        <f>IF(AE324&lt;&gt;0,VLOOKUP(AE324,ODDS!$A$2:$C$13,3,0),"")</f>
        <v/>
      </c>
      <c r="AH324" s="906" t="str">
        <f t="shared" si="64"/>
        <v xml:space="preserve"> </v>
      </c>
      <c r="AI324" s="907" t="str">
        <f t="shared" si="62"/>
        <v xml:space="preserve"> </v>
      </c>
      <c r="AJ324" s="929"/>
      <c r="AK324" s="929"/>
    </row>
    <row r="325" spans="1:37" s="376" customFormat="1" ht="22.5" outlineLevel="2" x14ac:dyDescent="0.3">
      <c r="A325" s="447">
        <f t="shared" si="72"/>
        <v>31</v>
      </c>
      <c r="B325" s="893"/>
      <c r="C325" s="894"/>
      <c r="D325" s="923"/>
      <c r="E325" s="923"/>
      <c r="F325" s="896"/>
      <c r="G325" s="894"/>
      <c r="H325" s="924"/>
      <c r="I325" s="882"/>
      <c r="J325" s="929"/>
      <c r="K325" s="899" t="str">
        <f>IF(G325&lt;&gt;0,VLOOKUP(G325,'gia dat'!$A$1:$F$144,5,0)," ")</f>
        <v xml:space="preserve"> </v>
      </c>
      <c r="L325" s="899" t="str">
        <f>IF(G325&lt;&gt;0,VLOOKUP(G325,'gia dat'!$A$1:$F$144,6,0)," ")</f>
        <v xml:space="preserve"> </v>
      </c>
      <c r="M325" s="900" t="str">
        <f t="shared" si="69"/>
        <v xml:space="preserve"> </v>
      </c>
      <c r="N325" s="900" t="str">
        <f t="shared" si="70"/>
        <v xml:space="preserve"> </v>
      </c>
      <c r="O325" s="922"/>
      <c r="P325" s="965"/>
      <c r="Q325" s="900" t="str">
        <f>IF(O325&lt;&gt;0,VLOOKUP(O325,'Cây trong'!$A$2:$C$246,3,0)," ")</f>
        <v xml:space="preserve"> </v>
      </c>
      <c r="R325" s="900" t="str">
        <f t="shared" si="63"/>
        <v xml:space="preserve"> </v>
      </c>
      <c r="S325" s="922"/>
      <c r="T325" s="987"/>
      <c r="U325" s="927"/>
      <c r="V325" s="925"/>
      <c r="W325" s="900" t="str">
        <f>IF(S325&lt;&gt;0,VLOOKUP(S325,VKT!$A$2:$G$415,7,0),"")</f>
        <v/>
      </c>
      <c r="X325" s="900" t="str">
        <f t="shared" si="68"/>
        <v xml:space="preserve"> </v>
      </c>
      <c r="Y325" s="925"/>
      <c r="Z325" s="928"/>
      <c r="AA325" s="928"/>
      <c r="AB325" s="904"/>
      <c r="AC325" s="928"/>
      <c r="AD325" s="928"/>
      <c r="AE325" s="928"/>
      <c r="AF325" s="926"/>
      <c r="AG325" s="906" t="str">
        <f>IF(AE325&lt;&gt;0,VLOOKUP(AE325,ODDS!$A$2:$C$13,3,0),"")</f>
        <v/>
      </c>
      <c r="AH325" s="906" t="str">
        <f t="shared" si="64"/>
        <v xml:space="preserve"> </v>
      </c>
      <c r="AI325" s="907" t="str">
        <f t="shared" si="62"/>
        <v xml:space="preserve"> </v>
      </c>
      <c r="AJ325" s="929"/>
      <c r="AK325" s="929"/>
    </row>
    <row r="326" spans="1:37" s="376" customFormat="1" ht="22.5" outlineLevel="2" x14ac:dyDescent="0.3">
      <c r="A326" s="447">
        <f t="shared" si="72"/>
        <v>31</v>
      </c>
      <c r="B326" s="893"/>
      <c r="C326" s="942"/>
      <c r="D326" s="930"/>
      <c r="E326" s="931"/>
      <c r="F326" s="913"/>
      <c r="G326" s="910"/>
      <c r="H326" s="924"/>
      <c r="I326" s="882"/>
      <c r="J326" s="929"/>
      <c r="K326" s="899" t="str">
        <f>IF(G326&lt;&gt;0,VLOOKUP(G326,'gia dat'!$A$1:$F$144,5,0)," ")</f>
        <v xml:space="preserve"> </v>
      </c>
      <c r="L326" s="899" t="str">
        <f>IF(G326&lt;&gt;0,VLOOKUP(G326,'gia dat'!$A$1:$F$144,6,0)," ")</f>
        <v xml:space="preserve"> </v>
      </c>
      <c r="M326" s="900" t="str">
        <f t="shared" si="69"/>
        <v xml:space="preserve"> </v>
      </c>
      <c r="N326" s="900" t="str">
        <f t="shared" si="70"/>
        <v xml:space="preserve"> </v>
      </c>
      <c r="O326" s="922"/>
      <c r="P326" s="965"/>
      <c r="Q326" s="900" t="str">
        <f>IF(O326&lt;&gt;0,VLOOKUP(O326,'Cây trong'!$A$2:$C$246,3,0)," ")</f>
        <v xml:space="preserve"> </v>
      </c>
      <c r="R326" s="900" t="str">
        <f t="shared" si="63"/>
        <v xml:space="preserve"> </v>
      </c>
      <c r="S326" s="922"/>
      <c r="T326" s="987"/>
      <c r="U326" s="927"/>
      <c r="V326" s="933"/>
      <c r="W326" s="900" t="str">
        <f>IF(S326&lt;&gt;0,VLOOKUP(S326,VKT!$A$2:$G$415,7,0),"")</f>
        <v/>
      </c>
      <c r="X326" s="900" t="str">
        <f t="shared" si="68"/>
        <v xml:space="preserve"> </v>
      </c>
      <c r="Y326" s="916"/>
      <c r="Z326" s="937"/>
      <c r="AA326" s="937"/>
      <c r="AB326" s="920"/>
      <c r="AC326" s="937"/>
      <c r="AD326" s="937"/>
      <c r="AE326" s="937"/>
      <c r="AF326" s="935"/>
      <c r="AG326" s="906" t="str">
        <f>IF(AE326&lt;&gt;0,VLOOKUP(AE326,ODDS!$A$2:$C$13,3,0),"")</f>
        <v/>
      </c>
      <c r="AH326" s="906" t="str">
        <f t="shared" si="64"/>
        <v xml:space="preserve"> </v>
      </c>
      <c r="AI326" s="907" t="str">
        <f t="shared" si="62"/>
        <v xml:space="preserve"> </v>
      </c>
      <c r="AJ326" s="943"/>
      <c r="AK326" s="943"/>
    </row>
    <row r="327" spans="1:37" s="376" customFormat="1" ht="22.5" outlineLevel="2" x14ac:dyDescent="0.3">
      <c r="A327" s="447">
        <f t="shared" si="72"/>
        <v>31</v>
      </c>
      <c r="B327" s="893"/>
      <c r="C327" s="908"/>
      <c r="D327" s="939"/>
      <c r="E327" s="923"/>
      <c r="F327" s="896"/>
      <c r="G327" s="894"/>
      <c r="H327" s="924"/>
      <c r="I327" s="882"/>
      <c r="J327" s="929"/>
      <c r="K327" s="899" t="str">
        <f>IF(G327&lt;&gt;0,VLOOKUP(G327,'gia dat'!$A$1:$F$144,5,0)," ")</f>
        <v xml:space="preserve"> </v>
      </c>
      <c r="L327" s="899" t="str">
        <f>IF(G327&lt;&gt;0,VLOOKUP(G327,'gia dat'!$A$1:$F$144,6,0)," ")</f>
        <v xml:space="preserve"> </v>
      </c>
      <c r="M327" s="900" t="str">
        <f t="shared" si="69"/>
        <v xml:space="preserve"> </v>
      </c>
      <c r="N327" s="900" t="str">
        <f t="shared" si="70"/>
        <v xml:space="preserve"> </v>
      </c>
      <c r="O327" s="922"/>
      <c r="P327" s="965"/>
      <c r="Q327" s="900" t="str">
        <f>IF(O327&lt;&gt;0,VLOOKUP(O327,'Cây trong'!$A$2:$C$246,3,0)," ")</f>
        <v xml:space="preserve"> </v>
      </c>
      <c r="R327" s="900" t="str">
        <f t="shared" si="63"/>
        <v xml:space="preserve"> </v>
      </c>
      <c r="S327" s="922"/>
      <c r="T327" s="987"/>
      <c r="U327" s="927"/>
      <c r="V327" s="946"/>
      <c r="W327" s="900" t="str">
        <f>IF(S327&lt;&gt;0,VLOOKUP(S327,VKT!$A$2:$G$415,7,0),"")</f>
        <v/>
      </c>
      <c r="X327" s="900" t="str">
        <f t="shared" si="68"/>
        <v xml:space="preserve"> </v>
      </c>
      <c r="Y327" s="898"/>
      <c r="Z327" s="928"/>
      <c r="AA327" s="928"/>
      <c r="AB327" s="904"/>
      <c r="AC327" s="928"/>
      <c r="AD327" s="928"/>
      <c r="AE327" s="928"/>
      <c r="AF327" s="926"/>
      <c r="AG327" s="906" t="str">
        <f>IF(AE327&lt;&gt;0,VLOOKUP(AE327,ODDS!$A$2:$C$13,3,0),"")</f>
        <v/>
      </c>
      <c r="AH327" s="906" t="str">
        <f t="shared" si="64"/>
        <v xml:space="preserve"> </v>
      </c>
      <c r="AI327" s="907" t="str">
        <f t="shared" si="62"/>
        <v xml:space="preserve"> </v>
      </c>
      <c r="AJ327" s="929"/>
      <c r="AK327" s="929"/>
    </row>
    <row r="328" spans="1:37" s="376" customFormat="1" ht="22.5" outlineLevel="2" x14ac:dyDescent="0.3">
      <c r="A328" s="447">
        <f t="shared" si="72"/>
        <v>31</v>
      </c>
      <c r="B328" s="893"/>
      <c r="C328" s="908"/>
      <c r="D328" s="923"/>
      <c r="E328" s="923"/>
      <c r="F328" s="896"/>
      <c r="G328" s="922"/>
      <c r="H328" s="924"/>
      <c r="I328" s="882"/>
      <c r="J328" s="929"/>
      <c r="K328" s="899" t="str">
        <f>IF(G328&lt;&gt;0,VLOOKUP(G328,'gia dat'!$A$1:$F$144,5,0)," ")</f>
        <v xml:space="preserve"> </v>
      </c>
      <c r="L328" s="899" t="str">
        <f>IF(G328&lt;&gt;0,VLOOKUP(G328,'gia dat'!$A$1:$F$144,6,0)," ")</f>
        <v xml:space="preserve"> </v>
      </c>
      <c r="M328" s="900" t="str">
        <f t="shared" si="69"/>
        <v xml:space="preserve"> </v>
      </c>
      <c r="N328" s="900" t="str">
        <f t="shared" si="70"/>
        <v xml:space="preserve"> </v>
      </c>
      <c r="O328" s="922"/>
      <c r="P328" s="965"/>
      <c r="Q328" s="900" t="str">
        <f>IF(O328&lt;&gt;0,VLOOKUP(O328,'Cây trong'!$A$2:$C$246,3,0)," ")</f>
        <v xml:space="preserve"> </v>
      </c>
      <c r="R328" s="900" t="str">
        <f t="shared" si="63"/>
        <v xml:space="preserve"> </v>
      </c>
      <c r="S328" s="922"/>
      <c r="T328" s="987"/>
      <c r="U328" s="927"/>
      <c r="V328" s="946"/>
      <c r="W328" s="900" t="str">
        <f>IF(S328&lt;&gt;0,VLOOKUP(S328,VKT!$A$2:$G$415,7,0),"")</f>
        <v/>
      </c>
      <c r="X328" s="900" t="str">
        <f t="shared" si="68"/>
        <v xml:space="preserve"> </v>
      </c>
      <c r="Y328" s="925"/>
      <c r="Z328" s="928"/>
      <c r="AA328" s="928"/>
      <c r="AB328" s="904"/>
      <c r="AC328" s="928"/>
      <c r="AD328" s="928"/>
      <c r="AE328" s="928"/>
      <c r="AF328" s="926"/>
      <c r="AG328" s="906" t="str">
        <f>IF(AE328&lt;&gt;0,VLOOKUP(AE328,ODDS!$A$2:$C$13,3,0),"")</f>
        <v/>
      </c>
      <c r="AH328" s="906" t="str">
        <f t="shared" si="64"/>
        <v xml:space="preserve"> </v>
      </c>
      <c r="AI328" s="907" t="str">
        <f t="shared" si="62"/>
        <v xml:space="preserve"> </v>
      </c>
      <c r="AJ328" s="929"/>
      <c r="AK328" s="929"/>
    </row>
    <row r="329" spans="1:37" s="376" customFormat="1" ht="22.5" outlineLevel="2" x14ac:dyDescent="0.3">
      <c r="A329" s="447">
        <f t="shared" si="72"/>
        <v>31</v>
      </c>
      <c r="B329" s="893"/>
      <c r="C329" s="908"/>
      <c r="D329" s="923"/>
      <c r="E329" s="923"/>
      <c r="F329" s="950"/>
      <c r="G329" s="894"/>
      <c r="H329" s="940"/>
      <c r="I329" s="882"/>
      <c r="J329" s="929"/>
      <c r="K329" s="899" t="str">
        <f>IF(G329&lt;&gt;0,VLOOKUP(G329,'gia dat'!$A$1:$F$144,5,0)," ")</f>
        <v xml:space="preserve"> </v>
      </c>
      <c r="L329" s="899" t="str">
        <f>IF(G329&lt;&gt;0,VLOOKUP(G329,'gia dat'!$A$1:$F$144,6,0)," ")</f>
        <v xml:space="preserve"> </v>
      </c>
      <c r="M329" s="900" t="str">
        <f t="shared" si="69"/>
        <v xml:space="preserve"> </v>
      </c>
      <c r="N329" s="900" t="str">
        <f t="shared" si="70"/>
        <v xml:space="preserve"> </v>
      </c>
      <c r="O329" s="929"/>
      <c r="P329" s="951"/>
      <c r="Q329" s="900" t="str">
        <f>IF(O329&lt;&gt;0,VLOOKUP(O329,'Cây trong'!$A$2:$C$246,3,0)," ")</f>
        <v xml:space="preserve"> </v>
      </c>
      <c r="R329" s="900" t="str">
        <f t="shared" si="63"/>
        <v xml:space="preserve"> </v>
      </c>
      <c r="S329" s="929"/>
      <c r="T329" s="929"/>
      <c r="U329" s="952"/>
      <c r="V329" s="925"/>
      <c r="W329" s="900" t="str">
        <f>IF(S329&lt;&gt;0,VLOOKUP(S329,VKT!$A$2:$G$415,7,0),"")</f>
        <v/>
      </c>
      <c r="X329" s="900" t="str">
        <f t="shared" si="68"/>
        <v xml:space="preserve"> </v>
      </c>
      <c r="Y329" s="925"/>
      <c r="Z329" s="925"/>
      <c r="AA329" s="925"/>
      <c r="AB329" s="898"/>
      <c r="AC329" s="925"/>
      <c r="AD329" s="925"/>
      <c r="AE329" s="925"/>
      <c r="AF329" s="964"/>
      <c r="AG329" s="906" t="str">
        <f>IF(AE329&lt;&gt;0,VLOOKUP(AE329,ODDS!$A$2:$C$13,3,0),"")</f>
        <v/>
      </c>
      <c r="AH329" s="906" t="str">
        <f t="shared" si="64"/>
        <v xml:space="preserve"> </v>
      </c>
      <c r="AI329" s="907" t="str">
        <f t="shared" ref="AI329:AI392" si="73">IF(B329&lt;&gt;0,M329+N329+R329+X329+AH329," ")</f>
        <v xml:space="preserve"> </v>
      </c>
      <c r="AJ329" s="929"/>
      <c r="AK329" s="929"/>
    </row>
    <row r="330" spans="1:37" s="376" customFormat="1" ht="22.5" outlineLevel="2" x14ac:dyDescent="0.3">
      <c r="A330" s="447">
        <f t="shared" si="72"/>
        <v>31</v>
      </c>
      <c r="B330" s="893"/>
      <c r="C330" s="908"/>
      <c r="D330" s="923"/>
      <c r="E330" s="923"/>
      <c r="F330" s="896"/>
      <c r="G330" s="922"/>
      <c r="H330" s="924"/>
      <c r="I330" s="882"/>
      <c r="J330" s="929"/>
      <c r="K330" s="899" t="str">
        <f>IF(G330&lt;&gt;0,VLOOKUP(G330,'gia dat'!$A$1:$F$144,5,0)," ")</f>
        <v xml:space="preserve"> </v>
      </c>
      <c r="L330" s="899" t="str">
        <f>IF(G330&lt;&gt;0,VLOOKUP(G330,'gia dat'!$A$1:$F$144,6,0)," ")</f>
        <v xml:space="preserve"> </v>
      </c>
      <c r="M330" s="900" t="str">
        <f t="shared" si="69"/>
        <v xml:space="preserve"> </v>
      </c>
      <c r="N330" s="900" t="str">
        <f t="shared" si="70"/>
        <v xml:space="preserve"> </v>
      </c>
      <c r="O330" s="922"/>
      <c r="P330" s="965"/>
      <c r="Q330" s="900" t="str">
        <f>IF(O330&lt;&gt;0,VLOOKUP(O330,'Cây trong'!$A$2:$C$246,3,0)," ")</f>
        <v xml:space="preserve"> </v>
      </c>
      <c r="R330" s="900" t="str">
        <f t="shared" si="63"/>
        <v xml:space="preserve"> </v>
      </c>
      <c r="S330" s="922"/>
      <c r="T330" s="989"/>
      <c r="U330" s="927"/>
      <c r="V330" s="946"/>
      <c r="W330" s="900" t="str">
        <f>IF(S330&lt;&gt;0,VLOOKUP(S330,VKT!$A$2:$G$415,7,0),"")</f>
        <v/>
      </c>
      <c r="X330" s="900" t="str">
        <f t="shared" si="68"/>
        <v xml:space="preserve"> </v>
      </c>
      <c r="Y330" s="925"/>
      <c r="Z330" s="928"/>
      <c r="AA330" s="928"/>
      <c r="AB330" s="904"/>
      <c r="AC330" s="928"/>
      <c r="AD330" s="928"/>
      <c r="AE330" s="928"/>
      <c r="AF330" s="926"/>
      <c r="AG330" s="906" t="str">
        <f>IF(AE330&lt;&gt;0,VLOOKUP(AE330,ODDS!$A$2:$C$13,3,0),"")</f>
        <v/>
      </c>
      <c r="AH330" s="906" t="str">
        <f t="shared" si="64"/>
        <v xml:space="preserve"> </v>
      </c>
      <c r="AI330" s="907" t="str">
        <f t="shared" si="73"/>
        <v xml:space="preserve"> </v>
      </c>
      <c r="AJ330" s="929"/>
      <c r="AK330" s="929"/>
    </row>
    <row r="331" spans="1:37" s="376" customFormat="1" ht="22.5" outlineLevel="2" x14ac:dyDescent="0.3">
      <c r="A331" s="447">
        <f t="shared" si="72"/>
        <v>31</v>
      </c>
      <c r="B331" s="893"/>
      <c r="C331" s="978"/>
      <c r="D331" s="923"/>
      <c r="E331" s="923"/>
      <c r="F331" s="896"/>
      <c r="G331" s="922"/>
      <c r="H331" s="924"/>
      <c r="I331" s="882"/>
      <c r="J331" s="929"/>
      <c r="K331" s="899" t="str">
        <f>IF(G331&lt;&gt;0,VLOOKUP(G331,'gia dat'!$A$1:$F$144,5,0)," ")</f>
        <v xml:space="preserve"> </v>
      </c>
      <c r="L331" s="899" t="str">
        <f>IF(G331&lt;&gt;0,VLOOKUP(G331,'gia dat'!$A$1:$F$144,6,0)," ")</f>
        <v xml:space="preserve"> </v>
      </c>
      <c r="M331" s="900" t="str">
        <f t="shared" si="69"/>
        <v xml:space="preserve"> </v>
      </c>
      <c r="N331" s="900" t="str">
        <f t="shared" si="70"/>
        <v xml:space="preserve"> </v>
      </c>
      <c r="O331" s="922"/>
      <c r="P331" s="965"/>
      <c r="Q331" s="900" t="str">
        <f>IF(O331&lt;&gt;0,VLOOKUP(O331,'Cây trong'!$A$2:$C$246,3,0)," ")</f>
        <v xml:space="preserve"> </v>
      </c>
      <c r="R331" s="900" t="str">
        <f t="shared" si="63"/>
        <v xml:space="preserve"> </v>
      </c>
      <c r="S331" s="922"/>
      <c r="T331" s="989"/>
      <c r="U331" s="927"/>
      <c r="V331" s="946"/>
      <c r="W331" s="900" t="str">
        <f>IF(S331&lt;&gt;0,VLOOKUP(S331,VKT!$A$2:$G$415,7,0),"")</f>
        <v/>
      </c>
      <c r="X331" s="900" t="str">
        <f t="shared" si="68"/>
        <v xml:space="preserve"> </v>
      </c>
      <c r="Y331" s="925"/>
      <c r="Z331" s="928"/>
      <c r="AA331" s="928"/>
      <c r="AB331" s="904"/>
      <c r="AC331" s="928"/>
      <c r="AD331" s="928"/>
      <c r="AE331" s="928"/>
      <c r="AF331" s="926"/>
      <c r="AG331" s="906" t="str">
        <f>IF(AE331&lt;&gt;0,VLOOKUP(AE331,ODDS!$A$2:$C$13,3,0),"")</f>
        <v/>
      </c>
      <c r="AH331" s="906" t="str">
        <f t="shared" si="64"/>
        <v xml:space="preserve"> </v>
      </c>
      <c r="AI331" s="907" t="str">
        <f t="shared" si="73"/>
        <v xml:space="preserve"> </v>
      </c>
      <c r="AJ331" s="929"/>
      <c r="AK331" s="929"/>
    </row>
    <row r="332" spans="1:37" s="376" customFormat="1" ht="43.5" outlineLevel="1" x14ac:dyDescent="0.25">
      <c r="A332" s="467" t="s">
        <v>2678</v>
      </c>
      <c r="B332" s="912">
        <v>32</v>
      </c>
      <c r="C332" s="978" t="s">
        <v>33</v>
      </c>
      <c r="D332" s="931"/>
      <c r="E332" s="931"/>
      <c r="F332" s="913"/>
      <c r="G332" s="910"/>
      <c r="H332" s="953">
        <f>SUBTOTAL(9,H333:H348)</f>
        <v>342.5</v>
      </c>
      <c r="I332" s="915">
        <f>SUBTOTAL(9,I333:I338)</f>
        <v>250.7</v>
      </c>
      <c r="J332" s="933"/>
      <c r="K332" s="917"/>
      <c r="L332" s="917"/>
      <c r="M332" s="907">
        <f>SUBTOTAL(9,M333:M348)</f>
        <v>189882000</v>
      </c>
      <c r="N332" s="907">
        <f>SUBTOTAL(9,N333:N348)</f>
        <v>416964000</v>
      </c>
      <c r="O332" s="910"/>
      <c r="P332" s="935">
        <f>SUBTOTAL(9,P333:P348)</f>
        <v>0</v>
      </c>
      <c r="Q332" s="907"/>
      <c r="R332" s="907">
        <f>SUBTOTAL(9,R333:R348)</f>
        <v>0</v>
      </c>
      <c r="S332" s="979"/>
      <c r="T332" s="990"/>
      <c r="U332" s="936">
        <f>SUBTOTAL(9,U333:U348)</f>
        <v>125.82</v>
      </c>
      <c r="V332" s="933"/>
      <c r="W332" s="907"/>
      <c r="X332" s="907">
        <f>SUBTOTAL(9,X333:X348)</f>
        <v>78892000</v>
      </c>
      <c r="Y332" s="925"/>
      <c r="Z332" s="928"/>
      <c r="AA332" s="928"/>
      <c r="AB332" s="904"/>
      <c r="AC332" s="928"/>
      <c r="AD332" s="904"/>
      <c r="AE332" s="938"/>
      <c r="AF332" s="917">
        <f>SUBTOTAL(9,AF333:AF348)</f>
        <v>0</v>
      </c>
      <c r="AG332" s="921"/>
      <c r="AH332" s="921">
        <f>SUBTOTAL(9,AH333:AH348)</f>
        <v>0</v>
      </c>
      <c r="AI332" s="907">
        <f t="shared" si="73"/>
        <v>685738000</v>
      </c>
      <c r="AJ332" s="910"/>
      <c r="AK332" s="914"/>
    </row>
    <row r="333" spans="1:37" s="376" customFormat="1" ht="135" outlineLevel="2" x14ac:dyDescent="0.3">
      <c r="A333" s="447">
        <f>IF(B332&lt;&gt;0,B332,A331)</f>
        <v>32</v>
      </c>
      <c r="B333" s="893"/>
      <c r="C333" s="983" t="s">
        <v>157</v>
      </c>
      <c r="D333" s="923">
        <v>4</v>
      </c>
      <c r="E333" s="923">
        <v>86</v>
      </c>
      <c r="F333" s="896">
        <v>266</v>
      </c>
      <c r="G333" s="894" t="s">
        <v>2469</v>
      </c>
      <c r="H333" s="924">
        <f>338.2-H335</f>
        <v>246.39999999999998</v>
      </c>
      <c r="I333" s="882">
        <f t="shared" ref="I333:I335" si="74">IF(N333&gt;0,H333,"")</f>
        <v>246.39999999999998</v>
      </c>
      <c r="J333" s="925"/>
      <c r="K333" s="899">
        <f>IF(G333&lt;&gt;0,VLOOKUP(G333,'gia dat'!$A$1:$F$144,5,0)," ")</f>
        <v>554400</v>
      </c>
      <c r="L333" s="899">
        <f>IF(G333&lt;&gt;0,VLOOKUP(G333,'gia dat'!$A$1:$F$144,6,0)," ")</f>
        <v>1663200</v>
      </c>
      <c r="M333" s="900">
        <f t="shared" si="69"/>
        <v>136604000</v>
      </c>
      <c r="N333" s="900">
        <f t="shared" si="70"/>
        <v>409812000</v>
      </c>
      <c r="O333" s="894"/>
      <c r="P333" s="926"/>
      <c r="Q333" s="900" t="str">
        <f>IF(O333&lt;&gt;0,VLOOKUP(O333,'Cây trong'!$A$2:$C$246,3,0)," ")</f>
        <v xml:space="preserve"> </v>
      </c>
      <c r="R333" s="900" t="str">
        <f t="shared" si="63"/>
        <v xml:space="preserve"> </v>
      </c>
      <c r="S333" s="981" t="s">
        <v>1852</v>
      </c>
      <c r="T333" s="984" t="s">
        <v>53</v>
      </c>
      <c r="U333" s="927">
        <v>28.2</v>
      </c>
      <c r="V333" s="925"/>
      <c r="W333" s="900">
        <f>IF(S333&lt;&gt;0,VLOOKUP(S333,VKT!$A$2:$G$415,7,0),"")</f>
        <v>1490563</v>
      </c>
      <c r="X333" s="900">
        <f t="shared" si="68"/>
        <v>42034000</v>
      </c>
      <c r="Y333" s="925" t="s">
        <v>54</v>
      </c>
      <c r="Z333" s="928" t="s">
        <v>55</v>
      </c>
      <c r="AA333" s="928" t="s">
        <v>56</v>
      </c>
      <c r="AB333" s="904" t="s">
        <v>137</v>
      </c>
      <c r="AC333" s="928" t="s">
        <v>66</v>
      </c>
      <c r="AD333" s="904" t="s">
        <v>430</v>
      </c>
      <c r="AE333" s="905"/>
      <c r="AF333" s="899"/>
      <c r="AG333" s="906" t="str">
        <f>IF(AE333&lt;&gt;0,VLOOKUP(AE333,ODDS!$A$2:$C$13,3,0),"")</f>
        <v/>
      </c>
      <c r="AH333" s="906"/>
      <c r="AI333" s="907" t="str">
        <f t="shared" si="73"/>
        <v xml:space="preserve"> </v>
      </c>
      <c r="AJ333" s="894" t="s">
        <v>660</v>
      </c>
      <c r="AK333" s="922" t="s">
        <v>2771</v>
      </c>
    </row>
    <row r="334" spans="1:37" s="376" customFormat="1" ht="112.5" outlineLevel="2" x14ac:dyDescent="0.3">
      <c r="A334" s="447">
        <f t="shared" ref="A334:A348" si="75">IF(B333&lt;&gt;0,B333,A333)</f>
        <v>32</v>
      </c>
      <c r="B334" s="893"/>
      <c r="C334" s="983" t="s">
        <v>661</v>
      </c>
      <c r="D334" s="923"/>
      <c r="E334" s="923"/>
      <c r="F334" s="896"/>
      <c r="G334" s="894" t="s">
        <v>2470</v>
      </c>
      <c r="H334" s="924">
        <v>4.3</v>
      </c>
      <c r="I334" s="882">
        <f t="shared" si="74"/>
        <v>4.3</v>
      </c>
      <c r="J334" s="925"/>
      <c r="K334" s="899">
        <f>IF(G334&lt;&gt;0,VLOOKUP(G334,'gia dat'!$A$1:$F$144,5,0)," ")</f>
        <v>554400</v>
      </c>
      <c r="L334" s="899">
        <f>IF(G334&lt;&gt;0,VLOOKUP(G334,'gia dat'!$A$1:$F$144,6,0)," ")</f>
        <v>1663200</v>
      </c>
      <c r="M334" s="900">
        <f t="shared" si="69"/>
        <v>2384000</v>
      </c>
      <c r="N334" s="900">
        <f t="shared" si="70"/>
        <v>7152000</v>
      </c>
      <c r="O334" s="894"/>
      <c r="P334" s="926"/>
      <c r="Q334" s="900" t="str">
        <f>IF(O334&lt;&gt;0,VLOOKUP(O334,'Cây trong'!$A$2:$C$246,3,0)," ")</f>
        <v xml:space="preserve"> </v>
      </c>
      <c r="R334" s="900" t="str">
        <f t="shared" si="63"/>
        <v xml:space="preserve"> </v>
      </c>
      <c r="S334" s="902" t="s">
        <v>1853</v>
      </c>
      <c r="T334" s="925" t="s">
        <v>53</v>
      </c>
      <c r="U334" s="927">
        <v>3</v>
      </c>
      <c r="V334" s="925"/>
      <c r="W334" s="900">
        <f>IF(S334&lt;&gt;0,VLOOKUP(S334,VKT!$A$2:$G$415,7,0),"")</f>
        <v>2093161</v>
      </c>
      <c r="X334" s="900">
        <f t="shared" si="68"/>
        <v>6279000</v>
      </c>
      <c r="Y334" s="925"/>
      <c r="Z334" s="928"/>
      <c r="AA334" s="928" t="s">
        <v>56</v>
      </c>
      <c r="AB334" s="904" t="s">
        <v>57</v>
      </c>
      <c r="AC334" s="928" t="s">
        <v>139</v>
      </c>
      <c r="AD334" s="928"/>
      <c r="AE334" s="928"/>
      <c r="AF334" s="926"/>
      <c r="AG334" s="906" t="str">
        <f>IF(AE334&lt;&gt;0,VLOOKUP(AE334,ODDS!$A$2:$C$13,3,0),"")</f>
        <v/>
      </c>
      <c r="AH334" s="906" t="str">
        <f t="shared" si="64"/>
        <v xml:space="preserve"> </v>
      </c>
      <c r="AI334" s="907" t="str">
        <f t="shared" si="73"/>
        <v xml:space="preserve"> </v>
      </c>
      <c r="AJ334" s="894" t="s">
        <v>487</v>
      </c>
      <c r="AK334" s="894" t="s">
        <v>2448</v>
      </c>
    </row>
    <row r="335" spans="1:37" s="376" customFormat="1" ht="112.5" outlineLevel="2" x14ac:dyDescent="0.3">
      <c r="A335" s="447">
        <f t="shared" si="75"/>
        <v>32</v>
      </c>
      <c r="B335" s="893"/>
      <c r="C335" s="894" t="s">
        <v>304</v>
      </c>
      <c r="D335" s="923"/>
      <c r="E335" s="923">
        <v>86</v>
      </c>
      <c r="F335" s="896">
        <v>266</v>
      </c>
      <c r="G335" s="894" t="s">
        <v>2471</v>
      </c>
      <c r="H335" s="924">
        <v>91.8</v>
      </c>
      <c r="I335" s="882" t="str">
        <f t="shared" si="74"/>
        <v/>
      </c>
      <c r="J335" s="925"/>
      <c r="K335" s="899">
        <f>IF(G335&lt;&gt;0,VLOOKUP(G335,'gia dat'!$A$1:$F$144,5,0)," ")</f>
        <v>554400</v>
      </c>
      <c r="L335" s="899">
        <f>IF(G335&lt;&gt;0,VLOOKUP(G335,'gia dat'!$A$1:$F$144,6,0)," ")</f>
        <v>0</v>
      </c>
      <c r="M335" s="900">
        <f t="shared" si="69"/>
        <v>50894000</v>
      </c>
      <c r="N335" s="900">
        <f t="shared" si="70"/>
        <v>0</v>
      </c>
      <c r="O335" s="894"/>
      <c r="P335" s="926"/>
      <c r="Q335" s="900" t="str">
        <f>IF(O335&lt;&gt;0,VLOOKUP(O335,'Cây trong'!$A$2:$C$246,3,0)," ")</f>
        <v xml:space="preserve"> </v>
      </c>
      <c r="R335" s="900" t="str">
        <f t="shared" ref="R335:R400" si="76">IF(O335&lt;&gt;0,ROUND(P335*Q335,-2)," ")</f>
        <v xml:space="preserve"> </v>
      </c>
      <c r="S335" s="902" t="s">
        <v>1839</v>
      </c>
      <c r="T335" s="925" t="s">
        <v>53</v>
      </c>
      <c r="U335" s="927">
        <v>4.8</v>
      </c>
      <c r="V335" s="925"/>
      <c r="W335" s="900">
        <f>IF(S335&lt;&gt;0,VLOOKUP(S335,VKT!$A$2:$G$415,7,0),"")</f>
        <v>244604</v>
      </c>
      <c r="X335" s="900">
        <f t="shared" si="68"/>
        <v>1174000</v>
      </c>
      <c r="Y335" s="925"/>
      <c r="Z335" s="928"/>
      <c r="AA335" s="928"/>
      <c r="AB335" s="904"/>
      <c r="AC335" s="928"/>
      <c r="AD335" s="928"/>
      <c r="AE335" s="928"/>
      <c r="AF335" s="926"/>
      <c r="AG335" s="906" t="str">
        <f>IF(AE335&lt;&gt;0,VLOOKUP(AE335,ODDS!$A$2:$C$13,3,0),"")</f>
        <v/>
      </c>
      <c r="AH335" s="906" t="str">
        <f t="shared" ref="AH335:AH400" si="77">IF(AE335&lt;&gt;0,ROUND(AF335*AG335,-2)," ")</f>
        <v xml:space="preserve"> </v>
      </c>
      <c r="AI335" s="907" t="str">
        <f t="shared" si="73"/>
        <v xml:space="preserve"> </v>
      </c>
      <c r="AJ335" s="929" t="s">
        <v>488</v>
      </c>
      <c r="AK335" s="894" t="s">
        <v>2450</v>
      </c>
    </row>
    <row r="336" spans="1:37" s="376" customFormat="1" ht="135" outlineLevel="2" x14ac:dyDescent="0.3">
      <c r="A336" s="447">
        <f t="shared" si="75"/>
        <v>32</v>
      </c>
      <c r="B336" s="893"/>
      <c r="C336" s="908"/>
      <c r="D336" s="939"/>
      <c r="E336" s="923"/>
      <c r="F336" s="896"/>
      <c r="G336" s="894"/>
      <c r="H336" s="924"/>
      <c r="I336" s="882"/>
      <c r="J336" s="929"/>
      <c r="K336" s="899" t="str">
        <f>IF(G336&lt;&gt;0,VLOOKUP(G336,'gia dat'!$A$1:$F$144,5,0)," ")</f>
        <v xml:space="preserve"> </v>
      </c>
      <c r="L336" s="899" t="str">
        <f>IF(G336&lt;&gt;0,VLOOKUP(G336,'gia dat'!$A$1:$F$144,6,0)," ")</f>
        <v xml:space="preserve"> </v>
      </c>
      <c r="M336" s="900" t="str">
        <f t="shared" si="69"/>
        <v xml:space="preserve"> </v>
      </c>
      <c r="N336" s="900" t="str">
        <f t="shared" si="70"/>
        <v xml:space="preserve"> </v>
      </c>
      <c r="O336" s="922"/>
      <c r="P336" s="965"/>
      <c r="Q336" s="900" t="str">
        <f>IF(O336&lt;&gt;0,VLOOKUP(O336,'Cây trong'!$A$2:$C$246,3,0)," ")</f>
        <v xml:space="preserve"> </v>
      </c>
      <c r="R336" s="900" t="str">
        <f t="shared" si="76"/>
        <v xml:space="preserve"> </v>
      </c>
      <c r="S336" s="922" t="s">
        <v>1748</v>
      </c>
      <c r="T336" s="944" t="s">
        <v>53</v>
      </c>
      <c r="U336" s="927">
        <v>4.8</v>
      </c>
      <c r="V336" s="925"/>
      <c r="W336" s="900">
        <f>IF(S336&lt;&gt;0,VLOOKUP(S336,VKT!$A$2:$G$415,7,0),"")</f>
        <v>0</v>
      </c>
      <c r="X336" s="900">
        <f t="shared" si="68"/>
        <v>0</v>
      </c>
      <c r="Y336" s="898"/>
      <c r="Z336" s="928"/>
      <c r="AA336" s="928"/>
      <c r="AB336" s="904"/>
      <c r="AC336" s="928"/>
      <c r="AD336" s="928"/>
      <c r="AE336" s="928"/>
      <c r="AF336" s="926"/>
      <c r="AG336" s="906" t="str">
        <f>IF(AE336&lt;&gt;0,VLOOKUP(AE336,ODDS!$A$2:$C$13,3,0),"")</f>
        <v/>
      </c>
      <c r="AH336" s="906" t="str">
        <f t="shared" si="77"/>
        <v xml:space="preserve"> </v>
      </c>
      <c r="AI336" s="907" t="str">
        <f t="shared" si="73"/>
        <v xml:space="preserve"> </v>
      </c>
      <c r="AJ336" s="894" t="s">
        <v>662</v>
      </c>
      <c r="AK336" s="894" t="s">
        <v>2800</v>
      </c>
    </row>
    <row r="337" spans="1:37" s="376" customFormat="1" ht="67.5" outlineLevel="2" x14ac:dyDescent="0.3">
      <c r="A337" s="447">
        <f t="shared" si="75"/>
        <v>32</v>
      </c>
      <c r="B337" s="893"/>
      <c r="C337" s="908"/>
      <c r="D337" s="923"/>
      <c r="E337" s="947"/>
      <c r="F337" s="947"/>
      <c r="G337" s="922"/>
      <c r="H337" s="924"/>
      <c r="I337" s="882"/>
      <c r="J337" s="929"/>
      <c r="K337" s="899" t="str">
        <f>IF(G337&lt;&gt;0,VLOOKUP(G337,'gia dat'!$A$1:$F$144,5,0)," ")</f>
        <v xml:space="preserve"> </v>
      </c>
      <c r="L337" s="899" t="str">
        <f>IF(G337&lt;&gt;0,VLOOKUP(G337,'gia dat'!$A$1:$F$144,6,0)," ")</f>
        <v xml:space="preserve"> </v>
      </c>
      <c r="M337" s="900" t="str">
        <f t="shared" si="69"/>
        <v xml:space="preserve"> </v>
      </c>
      <c r="N337" s="900" t="str">
        <f t="shared" si="70"/>
        <v xml:space="preserve"> </v>
      </c>
      <c r="O337" s="922"/>
      <c r="P337" s="965"/>
      <c r="Q337" s="900" t="str">
        <f>IF(O337&lt;&gt;0,VLOOKUP(O337,'Cây trong'!$A$2:$C$246,3,0)," ")</f>
        <v xml:space="preserve"> </v>
      </c>
      <c r="R337" s="900" t="str">
        <f t="shared" si="76"/>
        <v xml:space="preserve"> </v>
      </c>
      <c r="S337" s="922" t="s">
        <v>1748</v>
      </c>
      <c r="T337" s="944" t="s">
        <v>53</v>
      </c>
      <c r="U337" s="927">
        <v>6.8</v>
      </c>
      <c r="V337" s="925"/>
      <c r="W337" s="900">
        <f>IF(S337&lt;&gt;0,VLOOKUP(S337,VKT!$A$2:$G$415,7,0),"")</f>
        <v>0</v>
      </c>
      <c r="X337" s="900">
        <f t="shared" si="68"/>
        <v>0</v>
      </c>
      <c r="Y337" s="925"/>
      <c r="Z337" s="928"/>
      <c r="AA337" s="928"/>
      <c r="AB337" s="904"/>
      <c r="AC337" s="928"/>
      <c r="AD337" s="928"/>
      <c r="AE337" s="928"/>
      <c r="AF337" s="926"/>
      <c r="AG337" s="906" t="str">
        <f>IF(AE337&lt;&gt;0,VLOOKUP(AE337,ODDS!$A$2:$C$13,3,0),"")</f>
        <v/>
      </c>
      <c r="AH337" s="906" t="str">
        <f t="shared" si="77"/>
        <v xml:space="preserve"> </v>
      </c>
      <c r="AI337" s="907" t="str">
        <f t="shared" si="73"/>
        <v xml:space="preserve"> </v>
      </c>
      <c r="AJ337" s="894" t="s">
        <v>2074</v>
      </c>
      <c r="AK337" s="894"/>
    </row>
    <row r="338" spans="1:37" s="376" customFormat="1" ht="67.5" outlineLevel="2" x14ac:dyDescent="0.35">
      <c r="A338" s="447">
        <f t="shared" si="75"/>
        <v>32</v>
      </c>
      <c r="B338" s="893"/>
      <c r="C338" s="910"/>
      <c r="D338" s="923"/>
      <c r="E338" s="923"/>
      <c r="F338" s="896"/>
      <c r="G338" s="894"/>
      <c r="H338" s="924"/>
      <c r="I338" s="882"/>
      <c r="J338" s="929"/>
      <c r="K338" s="899" t="str">
        <f>IF(G338&lt;&gt;0,VLOOKUP(G338,'gia dat'!$A$1:$F$144,5,0)," ")</f>
        <v xml:space="preserve"> </v>
      </c>
      <c r="L338" s="899" t="str">
        <f>IF(G338&lt;&gt;0,VLOOKUP(G338,'gia dat'!$A$1:$F$144,6,0)," ")</f>
        <v xml:space="preserve"> </v>
      </c>
      <c r="M338" s="900" t="str">
        <f t="shared" si="69"/>
        <v xml:space="preserve"> </v>
      </c>
      <c r="N338" s="900" t="str">
        <f t="shared" si="70"/>
        <v xml:space="preserve"> </v>
      </c>
      <c r="O338" s="922"/>
      <c r="P338" s="965"/>
      <c r="Q338" s="900" t="str">
        <f>IF(O338&lt;&gt;0,VLOOKUP(O338,'Cây trong'!$A$2:$C$246,3,0)," ")</f>
        <v xml:space="preserve"> </v>
      </c>
      <c r="R338" s="900" t="str">
        <f t="shared" si="76"/>
        <v xml:space="preserve"> </v>
      </c>
      <c r="S338" s="922" t="s">
        <v>1749</v>
      </c>
      <c r="T338" s="944" t="s">
        <v>53</v>
      </c>
      <c r="U338" s="927">
        <v>6.8</v>
      </c>
      <c r="V338" s="925"/>
      <c r="W338" s="900">
        <f>IF(S338&lt;&gt;0,VLOOKUP(S338,VKT!$A$2:$G$415,7,0),"")</f>
        <v>211811</v>
      </c>
      <c r="X338" s="900">
        <f t="shared" si="68"/>
        <v>1440000</v>
      </c>
      <c r="Y338" s="925"/>
      <c r="Z338" s="928"/>
      <c r="AA338" s="928"/>
      <c r="AB338" s="904"/>
      <c r="AC338" s="928"/>
      <c r="AD338" s="928"/>
      <c r="AE338" s="928"/>
      <c r="AF338" s="926"/>
      <c r="AG338" s="906" t="str">
        <f>IF(AE338&lt;&gt;0,VLOOKUP(AE338,ODDS!$A$2:$C$13,3,0),"")</f>
        <v/>
      </c>
      <c r="AH338" s="906" t="str">
        <f t="shared" si="77"/>
        <v xml:space="preserve"> </v>
      </c>
      <c r="AI338" s="907" t="str">
        <f t="shared" si="73"/>
        <v xml:space="preserve"> </v>
      </c>
      <c r="AJ338" s="911"/>
      <c r="AK338" s="929"/>
    </row>
    <row r="339" spans="1:37" s="376" customFormat="1" ht="90" outlineLevel="2" x14ac:dyDescent="0.3">
      <c r="A339" s="447">
        <f t="shared" si="75"/>
        <v>32</v>
      </c>
      <c r="B339" s="893"/>
      <c r="C339" s="894"/>
      <c r="D339" s="923"/>
      <c r="E339" s="923"/>
      <c r="F339" s="896"/>
      <c r="G339" s="894"/>
      <c r="H339" s="924"/>
      <c r="I339" s="882"/>
      <c r="J339" s="929"/>
      <c r="K339" s="899" t="str">
        <f>IF(G339&lt;&gt;0,VLOOKUP(G339,'gia dat'!$A$1:$F$144,5,0)," ")</f>
        <v xml:space="preserve"> </v>
      </c>
      <c r="L339" s="899" t="str">
        <f>IF(G339&lt;&gt;0,VLOOKUP(G339,'gia dat'!$A$1:$F$144,6,0)," ")</f>
        <v xml:space="preserve"> </v>
      </c>
      <c r="M339" s="900" t="str">
        <f t="shared" si="69"/>
        <v xml:space="preserve"> </v>
      </c>
      <c r="N339" s="900" t="str">
        <f t="shared" si="70"/>
        <v xml:space="preserve"> </v>
      </c>
      <c r="O339" s="922"/>
      <c r="P339" s="965"/>
      <c r="Q339" s="900" t="str">
        <f>IF(O339&lt;&gt;0,VLOOKUP(O339,'Cây trong'!$A$2:$C$246,3,0)," ")</f>
        <v xml:space="preserve"> </v>
      </c>
      <c r="R339" s="900" t="str">
        <f t="shared" si="76"/>
        <v xml:space="preserve"> </v>
      </c>
      <c r="S339" s="922" t="s">
        <v>1854</v>
      </c>
      <c r="T339" s="944" t="s">
        <v>53</v>
      </c>
      <c r="U339" s="927">
        <v>3.57</v>
      </c>
      <c r="V339" s="925"/>
      <c r="W339" s="900">
        <f>IF(S339&lt;&gt;0,VLOOKUP(S339,VKT!$A$2:$G$415,7,0),"")</f>
        <v>2093161</v>
      </c>
      <c r="X339" s="900">
        <f t="shared" si="68"/>
        <v>7473000</v>
      </c>
      <c r="Y339" s="925"/>
      <c r="Z339" s="928" t="s">
        <v>55</v>
      </c>
      <c r="AA339" s="928" t="s">
        <v>56</v>
      </c>
      <c r="AB339" s="904" t="s">
        <v>57</v>
      </c>
      <c r="AC339" s="928" t="s">
        <v>54</v>
      </c>
      <c r="AD339" s="928"/>
      <c r="AE339" s="928"/>
      <c r="AF339" s="926"/>
      <c r="AG339" s="906" t="str">
        <f>IF(AE339&lt;&gt;0,VLOOKUP(AE339,ODDS!$A$2:$C$13,3,0),"")</f>
        <v/>
      </c>
      <c r="AH339" s="906" t="str">
        <f t="shared" si="77"/>
        <v xml:space="preserve"> </v>
      </c>
      <c r="AI339" s="907" t="str">
        <f t="shared" si="73"/>
        <v xml:space="preserve"> </v>
      </c>
      <c r="AJ339" s="929"/>
      <c r="AK339" s="929"/>
    </row>
    <row r="340" spans="1:37" s="376" customFormat="1" ht="67.5" outlineLevel="2" x14ac:dyDescent="0.3">
      <c r="A340" s="447">
        <f t="shared" si="75"/>
        <v>32</v>
      </c>
      <c r="B340" s="893"/>
      <c r="C340" s="894"/>
      <c r="D340" s="923"/>
      <c r="E340" s="923"/>
      <c r="F340" s="896"/>
      <c r="G340" s="894"/>
      <c r="H340" s="924"/>
      <c r="I340" s="882"/>
      <c r="J340" s="929"/>
      <c r="K340" s="899" t="str">
        <f>IF(G340&lt;&gt;0,VLOOKUP(G340,'gia dat'!$A$1:$F$144,5,0)," ")</f>
        <v xml:space="preserve"> </v>
      </c>
      <c r="L340" s="899" t="str">
        <f>IF(G340&lt;&gt;0,VLOOKUP(G340,'gia dat'!$A$1:$F$144,6,0)," ")</f>
        <v xml:space="preserve"> </v>
      </c>
      <c r="M340" s="900" t="str">
        <f t="shared" si="69"/>
        <v xml:space="preserve"> </v>
      </c>
      <c r="N340" s="900" t="str">
        <f t="shared" si="70"/>
        <v xml:space="preserve"> </v>
      </c>
      <c r="O340" s="922"/>
      <c r="P340" s="965"/>
      <c r="Q340" s="900" t="str">
        <f>IF(O340&lt;&gt;0,VLOOKUP(O340,'Cây trong'!$A$2:$C$246,3,0)," ")</f>
        <v xml:space="preserve"> </v>
      </c>
      <c r="R340" s="900" t="str">
        <f t="shared" si="76"/>
        <v xml:space="preserve"> </v>
      </c>
      <c r="S340" s="922" t="s">
        <v>1749</v>
      </c>
      <c r="T340" s="944" t="s">
        <v>53</v>
      </c>
      <c r="U340" s="927">
        <v>4.0999999999999996</v>
      </c>
      <c r="V340" s="925"/>
      <c r="W340" s="900">
        <f>IF(S340&lt;&gt;0,VLOOKUP(S340,VKT!$A$2:$G$415,7,0),"")</f>
        <v>211811</v>
      </c>
      <c r="X340" s="900">
        <f t="shared" si="68"/>
        <v>868000</v>
      </c>
      <c r="Y340" s="925"/>
      <c r="Z340" s="928"/>
      <c r="AA340" s="928"/>
      <c r="AB340" s="904"/>
      <c r="AC340" s="928"/>
      <c r="AD340" s="928"/>
      <c r="AE340" s="928"/>
      <c r="AF340" s="926"/>
      <c r="AG340" s="906" t="str">
        <f>IF(AE340&lt;&gt;0,VLOOKUP(AE340,ODDS!$A$2:$C$13,3,0),"")</f>
        <v/>
      </c>
      <c r="AH340" s="906" t="str">
        <f t="shared" si="77"/>
        <v xml:space="preserve"> </v>
      </c>
      <c r="AI340" s="907" t="str">
        <f t="shared" si="73"/>
        <v xml:space="preserve"> </v>
      </c>
      <c r="AJ340" s="929"/>
      <c r="AK340" s="929"/>
    </row>
    <row r="341" spans="1:37" s="376" customFormat="1" ht="67.5" outlineLevel="2" x14ac:dyDescent="0.3">
      <c r="A341" s="447">
        <f t="shared" si="75"/>
        <v>32</v>
      </c>
      <c r="B341" s="893"/>
      <c r="C341" s="894"/>
      <c r="D341" s="923"/>
      <c r="E341" s="923"/>
      <c r="F341" s="896"/>
      <c r="G341" s="894"/>
      <c r="H341" s="924"/>
      <c r="I341" s="882"/>
      <c r="J341" s="929"/>
      <c r="K341" s="899" t="str">
        <f>IF(G341&lt;&gt;0,VLOOKUP(G341,'gia dat'!$A$1:$F$144,5,0)," ")</f>
        <v xml:space="preserve"> </v>
      </c>
      <c r="L341" s="899" t="str">
        <f>IF(G341&lt;&gt;0,VLOOKUP(G341,'gia dat'!$A$1:$F$144,6,0)," ")</f>
        <v xml:space="preserve"> </v>
      </c>
      <c r="M341" s="900" t="str">
        <f t="shared" si="69"/>
        <v xml:space="preserve"> </v>
      </c>
      <c r="N341" s="900" t="str">
        <f t="shared" si="70"/>
        <v xml:space="preserve"> </v>
      </c>
      <c r="O341" s="922"/>
      <c r="P341" s="965"/>
      <c r="Q341" s="900" t="str">
        <f>IF(O341&lt;&gt;0,VLOOKUP(O341,'Cây trong'!$A$2:$C$246,3,0)," ")</f>
        <v xml:space="preserve"> </v>
      </c>
      <c r="R341" s="900" t="str">
        <f t="shared" si="76"/>
        <v xml:space="preserve"> </v>
      </c>
      <c r="S341" s="922" t="s">
        <v>1855</v>
      </c>
      <c r="T341" s="944" t="s">
        <v>53</v>
      </c>
      <c r="U341" s="927">
        <v>0.96</v>
      </c>
      <c r="V341" s="925"/>
      <c r="W341" s="900">
        <f>IF(S341&lt;&gt;0,VLOOKUP(S341,VKT!$A$2:$G$415,7,0),"")</f>
        <v>310020</v>
      </c>
      <c r="X341" s="900">
        <f t="shared" si="68"/>
        <v>298000</v>
      </c>
      <c r="Y341" s="925"/>
      <c r="Z341" s="928"/>
      <c r="AA341" s="928"/>
      <c r="AB341" s="904"/>
      <c r="AC341" s="928"/>
      <c r="AD341" s="928"/>
      <c r="AE341" s="928"/>
      <c r="AF341" s="926"/>
      <c r="AG341" s="906" t="str">
        <f>IF(AE341&lt;&gt;0,VLOOKUP(AE341,ODDS!$A$2:$C$13,3,0),"")</f>
        <v/>
      </c>
      <c r="AH341" s="906" t="str">
        <f t="shared" si="77"/>
        <v xml:space="preserve"> </v>
      </c>
      <c r="AI341" s="907" t="str">
        <f t="shared" si="73"/>
        <v xml:space="preserve"> </v>
      </c>
      <c r="AJ341" s="929"/>
      <c r="AK341" s="929"/>
    </row>
    <row r="342" spans="1:37" s="376" customFormat="1" ht="67.5" outlineLevel="2" x14ac:dyDescent="0.3">
      <c r="A342" s="447">
        <f t="shared" si="75"/>
        <v>32</v>
      </c>
      <c r="B342" s="893"/>
      <c r="C342" s="894"/>
      <c r="D342" s="923"/>
      <c r="E342" s="923"/>
      <c r="F342" s="896"/>
      <c r="G342" s="894"/>
      <c r="H342" s="924"/>
      <c r="I342" s="882"/>
      <c r="J342" s="929"/>
      <c r="K342" s="899" t="str">
        <f>IF(G342&lt;&gt;0,VLOOKUP(G342,'gia dat'!$A$1:$F$144,5,0)," ")</f>
        <v xml:space="preserve"> </v>
      </c>
      <c r="L342" s="899" t="str">
        <f>IF(G342&lt;&gt;0,VLOOKUP(G342,'gia dat'!$A$1:$F$144,6,0)," ")</f>
        <v xml:space="preserve"> </v>
      </c>
      <c r="M342" s="900" t="str">
        <f t="shared" si="69"/>
        <v xml:space="preserve"> </v>
      </c>
      <c r="N342" s="900" t="str">
        <f t="shared" si="70"/>
        <v xml:space="preserve"> </v>
      </c>
      <c r="O342" s="922"/>
      <c r="P342" s="965"/>
      <c r="Q342" s="900" t="str">
        <f>IF(O342&lt;&gt;0,VLOOKUP(O342,'Cây trong'!$A$2:$C$246,3,0)," ")</f>
        <v xml:space="preserve"> </v>
      </c>
      <c r="R342" s="900" t="str">
        <f t="shared" si="76"/>
        <v xml:space="preserve"> </v>
      </c>
      <c r="S342" s="922" t="s">
        <v>1856</v>
      </c>
      <c r="T342" s="987" t="s">
        <v>78</v>
      </c>
      <c r="U342" s="927">
        <v>0.36</v>
      </c>
      <c r="V342" s="925"/>
      <c r="W342" s="900">
        <f>IF(S342&lt;&gt;0,VLOOKUP(S342,VKT!$A$2:$G$415,7,0),"")</f>
        <v>0</v>
      </c>
      <c r="X342" s="900">
        <f t="shared" si="68"/>
        <v>0</v>
      </c>
      <c r="Y342" s="925"/>
      <c r="Z342" s="928"/>
      <c r="AA342" s="928"/>
      <c r="AB342" s="904"/>
      <c r="AC342" s="928"/>
      <c r="AD342" s="928"/>
      <c r="AE342" s="928"/>
      <c r="AF342" s="926"/>
      <c r="AG342" s="906" t="str">
        <f>IF(AE342&lt;&gt;0,VLOOKUP(AE342,ODDS!$A$2:$C$13,3,0),"")</f>
        <v/>
      </c>
      <c r="AH342" s="906" t="str">
        <f t="shared" si="77"/>
        <v xml:space="preserve"> </v>
      </c>
      <c r="AI342" s="907" t="str">
        <f t="shared" si="73"/>
        <v xml:space="preserve"> </v>
      </c>
      <c r="AJ342" s="929"/>
      <c r="AK342" s="929"/>
    </row>
    <row r="343" spans="1:37" s="376" customFormat="1" ht="67.5" outlineLevel="2" x14ac:dyDescent="0.3">
      <c r="A343" s="447">
        <f t="shared" si="75"/>
        <v>32</v>
      </c>
      <c r="B343" s="893"/>
      <c r="C343" s="894"/>
      <c r="D343" s="923"/>
      <c r="E343" s="923"/>
      <c r="F343" s="896"/>
      <c r="G343" s="894"/>
      <c r="H343" s="924"/>
      <c r="I343" s="882"/>
      <c r="J343" s="929"/>
      <c r="K343" s="899" t="str">
        <f>IF(G343&lt;&gt;0,VLOOKUP(G343,'gia dat'!$A$1:$F$144,5,0)," ")</f>
        <v xml:space="preserve"> </v>
      </c>
      <c r="L343" s="899" t="str">
        <f>IF(G343&lt;&gt;0,VLOOKUP(G343,'gia dat'!$A$1:$F$144,6,0)," ")</f>
        <v xml:space="preserve"> </v>
      </c>
      <c r="M343" s="900" t="str">
        <f t="shared" si="69"/>
        <v xml:space="preserve"> </v>
      </c>
      <c r="N343" s="900" t="str">
        <f t="shared" si="70"/>
        <v xml:space="preserve"> </v>
      </c>
      <c r="O343" s="922"/>
      <c r="P343" s="965"/>
      <c r="Q343" s="900" t="str">
        <f>IF(O343&lt;&gt;0,VLOOKUP(O343,'Cây trong'!$A$2:$C$246,3,0)," ")</f>
        <v xml:space="preserve"> </v>
      </c>
      <c r="R343" s="900" t="str">
        <f t="shared" si="76"/>
        <v xml:space="preserve"> </v>
      </c>
      <c r="S343" s="922" t="s">
        <v>1857</v>
      </c>
      <c r="T343" s="944" t="s">
        <v>53</v>
      </c>
      <c r="U343" s="927">
        <v>1.05</v>
      </c>
      <c r="V343" s="925"/>
      <c r="W343" s="900">
        <f>IF(S343&lt;&gt;0,VLOOKUP(S343,VKT!$A$2:$G$415,7,0),"")</f>
        <v>226126</v>
      </c>
      <c r="X343" s="900">
        <f t="shared" si="68"/>
        <v>237000</v>
      </c>
      <c r="Y343" s="925"/>
      <c r="Z343" s="928"/>
      <c r="AA343" s="928"/>
      <c r="AB343" s="904"/>
      <c r="AC343" s="928"/>
      <c r="AD343" s="928"/>
      <c r="AE343" s="928"/>
      <c r="AF343" s="926"/>
      <c r="AG343" s="906" t="str">
        <f>IF(AE343&lt;&gt;0,VLOOKUP(AE343,ODDS!$A$2:$C$13,3,0),"")</f>
        <v/>
      </c>
      <c r="AH343" s="906" t="str">
        <f t="shared" si="77"/>
        <v xml:space="preserve"> </v>
      </c>
      <c r="AI343" s="907" t="str">
        <f t="shared" si="73"/>
        <v xml:space="preserve"> </v>
      </c>
      <c r="AJ343" s="929"/>
      <c r="AK343" s="929"/>
    </row>
    <row r="344" spans="1:37" s="376" customFormat="1" ht="45" outlineLevel="2" x14ac:dyDescent="0.3">
      <c r="A344" s="447">
        <f t="shared" si="75"/>
        <v>32</v>
      </c>
      <c r="B344" s="893"/>
      <c r="C344" s="894"/>
      <c r="D344" s="923"/>
      <c r="E344" s="923"/>
      <c r="F344" s="896"/>
      <c r="G344" s="894"/>
      <c r="H344" s="924"/>
      <c r="I344" s="882"/>
      <c r="J344" s="929"/>
      <c r="K344" s="899" t="str">
        <f>IF(G344&lt;&gt;0,VLOOKUP(G344,'gia dat'!$A$1:$F$144,5,0)," ")</f>
        <v xml:space="preserve"> </v>
      </c>
      <c r="L344" s="899" t="str">
        <f>IF(G344&lt;&gt;0,VLOOKUP(G344,'gia dat'!$A$1:$F$144,6,0)," ")</f>
        <v xml:space="preserve"> </v>
      </c>
      <c r="M344" s="900" t="str">
        <f t="shared" si="69"/>
        <v xml:space="preserve"> </v>
      </c>
      <c r="N344" s="900" t="str">
        <f t="shared" si="70"/>
        <v xml:space="preserve"> </v>
      </c>
      <c r="O344" s="922"/>
      <c r="P344" s="965"/>
      <c r="Q344" s="900" t="str">
        <f>IF(O344&lt;&gt;0,VLOOKUP(O344,'Cây trong'!$A$2:$C$246,3,0)," ")</f>
        <v xml:space="preserve"> </v>
      </c>
      <c r="R344" s="900" t="str">
        <f t="shared" si="76"/>
        <v xml:space="preserve"> </v>
      </c>
      <c r="S344" s="922" t="s">
        <v>1757</v>
      </c>
      <c r="T344" s="944" t="s">
        <v>53</v>
      </c>
      <c r="U344" s="927">
        <v>28.2</v>
      </c>
      <c r="V344" s="925"/>
      <c r="W344" s="900">
        <f>IF(S344&lt;&gt;0,VLOOKUP(S344,VKT!$A$2:$G$415,7,0),"")</f>
        <v>157477</v>
      </c>
      <c r="X344" s="900">
        <f t="shared" si="68"/>
        <v>4441000</v>
      </c>
      <c r="Y344" s="925"/>
      <c r="Z344" s="928"/>
      <c r="AA344" s="928"/>
      <c r="AB344" s="904"/>
      <c r="AC344" s="928"/>
      <c r="AD344" s="928"/>
      <c r="AE344" s="928"/>
      <c r="AF344" s="926"/>
      <c r="AG344" s="906" t="str">
        <f>IF(AE344&lt;&gt;0,VLOOKUP(AE344,ODDS!$A$2:$C$13,3,0),"")</f>
        <v/>
      </c>
      <c r="AH344" s="906" t="str">
        <f t="shared" si="77"/>
        <v xml:space="preserve"> </v>
      </c>
      <c r="AI344" s="907" t="str">
        <f t="shared" si="73"/>
        <v xml:space="preserve"> </v>
      </c>
      <c r="AJ344" s="929"/>
      <c r="AK344" s="929"/>
    </row>
    <row r="345" spans="1:37" s="376" customFormat="1" ht="90" outlineLevel="2" x14ac:dyDescent="0.3">
      <c r="A345" s="447">
        <f t="shared" si="75"/>
        <v>32</v>
      </c>
      <c r="B345" s="893"/>
      <c r="C345" s="894"/>
      <c r="D345" s="923"/>
      <c r="E345" s="923"/>
      <c r="F345" s="896"/>
      <c r="G345" s="894"/>
      <c r="H345" s="924"/>
      <c r="I345" s="882"/>
      <c r="J345" s="929"/>
      <c r="K345" s="899" t="str">
        <f>IF(G345&lt;&gt;0,VLOOKUP(G345,'gia dat'!$A$1:$F$144,5,0)," ")</f>
        <v xml:space="preserve"> </v>
      </c>
      <c r="L345" s="899" t="str">
        <f>IF(G345&lt;&gt;0,VLOOKUP(G345,'gia dat'!$A$1:$F$144,6,0)," ")</f>
        <v xml:space="preserve"> </v>
      </c>
      <c r="M345" s="900" t="str">
        <f t="shared" si="69"/>
        <v xml:space="preserve"> </v>
      </c>
      <c r="N345" s="900" t="str">
        <f t="shared" si="70"/>
        <v xml:space="preserve"> </v>
      </c>
      <c r="O345" s="922"/>
      <c r="P345" s="965"/>
      <c r="Q345" s="900" t="str">
        <f>IF(O345&lt;&gt;0,VLOOKUP(O345,'Cây trong'!$A$2:$C$246,3,0)," ")</f>
        <v xml:space="preserve"> </v>
      </c>
      <c r="R345" s="900" t="str">
        <f t="shared" si="76"/>
        <v xml:space="preserve"> </v>
      </c>
      <c r="S345" s="981" t="s">
        <v>1858</v>
      </c>
      <c r="T345" s="982" t="s">
        <v>53</v>
      </c>
      <c r="U345" s="927">
        <v>33.18</v>
      </c>
      <c r="V345" s="925"/>
      <c r="W345" s="900">
        <f>IF(S345&lt;&gt;0,VLOOKUP(S345,VKT!$A$2:$G$415,7,0),"")</f>
        <v>441467</v>
      </c>
      <c r="X345" s="900">
        <f t="shared" si="68"/>
        <v>14648000</v>
      </c>
      <c r="Y345" s="925"/>
      <c r="Z345" s="928"/>
      <c r="AA345" s="928"/>
      <c r="AB345" s="904"/>
      <c r="AC345" s="928"/>
      <c r="AD345" s="928"/>
      <c r="AE345" s="928"/>
      <c r="AF345" s="926"/>
      <c r="AG345" s="906" t="str">
        <f>IF(AE345&lt;&gt;0,VLOOKUP(AE345,ODDS!$A$2:$C$13,3,0),"")</f>
        <v/>
      </c>
      <c r="AH345" s="906" t="str">
        <f t="shared" si="77"/>
        <v xml:space="preserve"> </v>
      </c>
      <c r="AI345" s="907" t="str">
        <f t="shared" si="73"/>
        <v xml:space="preserve"> </v>
      </c>
      <c r="AJ345" s="929"/>
      <c r="AK345" s="929"/>
    </row>
    <row r="346" spans="1:37" s="376" customFormat="1" ht="22.5" outlineLevel="2" x14ac:dyDescent="0.3">
      <c r="A346" s="447">
        <f t="shared" si="75"/>
        <v>32</v>
      </c>
      <c r="B346" s="893"/>
      <c r="C346" s="894"/>
      <c r="D346" s="923"/>
      <c r="E346" s="923"/>
      <c r="F346" s="896"/>
      <c r="G346" s="894"/>
      <c r="H346" s="924"/>
      <c r="I346" s="882"/>
      <c r="J346" s="929"/>
      <c r="K346" s="899" t="str">
        <f>IF(G346&lt;&gt;0,VLOOKUP(G346,'gia dat'!$A$1:$F$144,5,0)," ")</f>
        <v xml:space="preserve"> </v>
      </c>
      <c r="L346" s="899" t="str">
        <f>IF(G346&lt;&gt;0,VLOOKUP(G346,'gia dat'!$A$1:$F$144,6,0)," ")</f>
        <v xml:space="preserve"> </v>
      </c>
      <c r="M346" s="900" t="str">
        <f t="shared" si="69"/>
        <v xml:space="preserve"> </v>
      </c>
      <c r="N346" s="900" t="str">
        <f t="shared" si="70"/>
        <v xml:space="preserve"> </v>
      </c>
      <c r="O346" s="922"/>
      <c r="P346" s="965"/>
      <c r="Q346" s="900" t="str">
        <f>IF(O346&lt;&gt;0,VLOOKUP(O346,'Cây trong'!$A$2:$C$246,3,0)," ")</f>
        <v xml:space="preserve"> </v>
      </c>
      <c r="R346" s="900" t="str">
        <f t="shared" si="76"/>
        <v xml:space="preserve"> </v>
      </c>
      <c r="S346" s="922"/>
      <c r="T346" s="944"/>
      <c r="U346" s="927"/>
      <c r="V346" s="925"/>
      <c r="W346" s="900" t="str">
        <f>IF(S346&lt;&gt;0,VLOOKUP(S346,VKT!$A$2:$G$415,7,0),"")</f>
        <v/>
      </c>
      <c r="X346" s="900" t="str">
        <f t="shared" si="68"/>
        <v xml:space="preserve"> </v>
      </c>
      <c r="Y346" s="925"/>
      <c r="Z346" s="928"/>
      <c r="AA346" s="928"/>
      <c r="AB346" s="904"/>
      <c r="AC346" s="928"/>
      <c r="AD346" s="928"/>
      <c r="AE346" s="928"/>
      <c r="AF346" s="926"/>
      <c r="AG346" s="906" t="str">
        <f>IF(AE346&lt;&gt;0,VLOOKUP(AE346,ODDS!$A$2:$C$13,3,0),"")</f>
        <v/>
      </c>
      <c r="AH346" s="906" t="str">
        <f t="shared" si="77"/>
        <v xml:space="preserve"> </v>
      </c>
      <c r="AI346" s="907" t="str">
        <f t="shared" si="73"/>
        <v xml:space="preserve"> </v>
      </c>
      <c r="AJ346" s="929"/>
      <c r="AK346" s="929"/>
    </row>
    <row r="347" spans="1:37" s="376" customFormat="1" ht="22.5" outlineLevel="2" x14ac:dyDescent="0.3">
      <c r="A347" s="447">
        <f t="shared" si="75"/>
        <v>32</v>
      </c>
      <c r="B347" s="893"/>
      <c r="C347" s="894"/>
      <c r="D347" s="923"/>
      <c r="E347" s="923"/>
      <c r="F347" s="896"/>
      <c r="G347" s="894"/>
      <c r="H347" s="924"/>
      <c r="I347" s="882"/>
      <c r="J347" s="929"/>
      <c r="K347" s="899" t="str">
        <f>IF(G347&lt;&gt;0,VLOOKUP(G347,'gia dat'!$A$1:$F$144,5,0)," ")</f>
        <v xml:space="preserve"> </v>
      </c>
      <c r="L347" s="899" t="str">
        <f>IF(G347&lt;&gt;0,VLOOKUP(G347,'gia dat'!$A$1:$F$144,6,0)," ")</f>
        <v xml:space="preserve"> </v>
      </c>
      <c r="M347" s="900" t="str">
        <f t="shared" si="69"/>
        <v xml:space="preserve"> </v>
      </c>
      <c r="N347" s="900" t="str">
        <f t="shared" si="70"/>
        <v xml:space="preserve"> </v>
      </c>
      <c r="O347" s="922"/>
      <c r="P347" s="965"/>
      <c r="Q347" s="900" t="str">
        <f>IF(O347&lt;&gt;0,VLOOKUP(O347,'Cây trong'!$A$2:$C$246,3,0)," ")</f>
        <v xml:space="preserve"> </v>
      </c>
      <c r="R347" s="900" t="str">
        <f t="shared" si="76"/>
        <v xml:space="preserve"> </v>
      </c>
      <c r="S347" s="922"/>
      <c r="T347" s="944"/>
      <c r="U347" s="927"/>
      <c r="V347" s="925"/>
      <c r="W347" s="900" t="str">
        <f>IF(S347&lt;&gt;0,VLOOKUP(S347,VKT!$A$2:$G$415,7,0),"")</f>
        <v/>
      </c>
      <c r="X347" s="900" t="str">
        <f t="shared" si="68"/>
        <v xml:space="preserve"> </v>
      </c>
      <c r="Y347" s="925"/>
      <c r="Z347" s="928"/>
      <c r="AA347" s="928"/>
      <c r="AB347" s="904"/>
      <c r="AC347" s="928"/>
      <c r="AD347" s="928"/>
      <c r="AE347" s="928"/>
      <c r="AF347" s="926"/>
      <c r="AG347" s="906" t="str">
        <f>IF(AE347&lt;&gt;0,VLOOKUP(AE347,ODDS!$A$2:$C$13,3,0),"")</f>
        <v/>
      </c>
      <c r="AH347" s="906" t="str">
        <f t="shared" si="77"/>
        <v xml:space="preserve"> </v>
      </c>
      <c r="AI347" s="907" t="str">
        <f t="shared" si="73"/>
        <v xml:space="preserve"> </v>
      </c>
      <c r="AJ347" s="929"/>
      <c r="AK347" s="929"/>
    </row>
    <row r="348" spans="1:37" s="376" customFormat="1" ht="22.5" outlineLevel="2" x14ac:dyDescent="0.3">
      <c r="A348" s="447">
        <f t="shared" si="75"/>
        <v>32</v>
      </c>
      <c r="B348" s="893"/>
      <c r="C348" s="978"/>
      <c r="D348" s="923"/>
      <c r="E348" s="923"/>
      <c r="F348" s="950"/>
      <c r="G348" s="894"/>
      <c r="H348" s="940"/>
      <c r="I348" s="882"/>
      <c r="J348" s="929"/>
      <c r="K348" s="899" t="str">
        <f>IF(G348&lt;&gt;0,VLOOKUP(G348,'gia dat'!$A$1:$F$144,5,0)," ")</f>
        <v xml:space="preserve"> </v>
      </c>
      <c r="L348" s="899" t="str">
        <f>IF(G348&lt;&gt;0,VLOOKUP(G348,'gia dat'!$A$1:$F$144,6,0)," ")</f>
        <v xml:space="preserve"> </v>
      </c>
      <c r="M348" s="900" t="str">
        <f t="shared" si="69"/>
        <v xml:space="preserve"> </v>
      </c>
      <c r="N348" s="900" t="str">
        <f t="shared" si="70"/>
        <v xml:space="preserve"> </v>
      </c>
      <c r="O348" s="929"/>
      <c r="P348" s="951"/>
      <c r="Q348" s="900" t="str">
        <f>IF(O348&lt;&gt;0,VLOOKUP(O348,'Cây trong'!$A$2:$C$246,3,0)," ")</f>
        <v xml:space="preserve"> </v>
      </c>
      <c r="R348" s="900" t="str">
        <f t="shared" si="76"/>
        <v xml:space="preserve"> </v>
      </c>
      <c r="S348" s="929"/>
      <c r="T348" s="929"/>
      <c r="U348" s="952"/>
      <c r="V348" s="925"/>
      <c r="W348" s="900" t="str">
        <f>IF(S348&lt;&gt;0,VLOOKUP(S348,VKT!$A$2:$G$415,7,0),"")</f>
        <v/>
      </c>
      <c r="X348" s="900" t="str">
        <f t="shared" si="68"/>
        <v xml:space="preserve"> </v>
      </c>
      <c r="Y348" s="925"/>
      <c r="Z348" s="925"/>
      <c r="AA348" s="925"/>
      <c r="AB348" s="898"/>
      <c r="AC348" s="925"/>
      <c r="AD348" s="925"/>
      <c r="AE348" s="925"/>
      <c r="AF348" s="964"/>
      <c r="AG348" s="906" t="str">
        <f>IF(AE348&lt;&gt;0,VLOOKUP(AE348,ODDS!$A$2:$C$13,3,0),"")</f>
        <v/>
      </c>
      <c r="AH348" s="906" t="str">
        <f t="shared" si="77"/>
        <v xml:space="preserve"> </v>
      </c>
      <c r="AI348" s="907" t="str">
        <f t="shared" si="73"/>
        <v xml:space="preserve"> </v>
      </c>
      <c r="AJ348" s="929"/>
      <c r="AK348" s="929"/>
    </row>
    <row r="349" spans="1:37" s="376" customFormat="1" ht="43.5" outlineLevel="1" x14ac:dyDescent="0.25">
      <c r="A349" s="467" t="s">
        <v>2677</v>
      </c>
      <c r="B349" s="912">
        <v>33</v>
      </c>
      <c r="C349" s="978" t="s">
        <v>33</v>
      </c>
      <c r="D349" s="931"/>
      <c r="E349" s="931"/>
      <c r="F349" s="913"/>
      <c r="G349" s="910"/>
      <c r="H349" s="953">
        <f>SUBTOTAL(9,H350:H384)</f>
        <v>410.3</v>
      </c>
      <c r="I349" s="915">
        <f>SUBTOTAL(9,I350:I355)</f>
        <v>208.8</v>
      </c>
      <c r="J349" s="933"/>
      <c r="K349" s="917"/>
      <c r="L349" s="917"/>
      <c r="M349" s="907">
        <f>SUBTOTAL(9,M350:M384)</f>
        <v>1276883000</v>
      </c>
      <c r="N349" s="907">
        <f>SUBTOTAL(9,N350:N384)</f>
        <v>347277000</v>
      </c>
      <c r="O349" s="910"/>
      <c r="P349" s="935">
        <f>SUBTOTAL(9,P350:P384)</f>
        <v>49</v>
      </c>
      <c r="Q349" s="907"/>
      <c r="R349" s="907">
        <f>SUBTOTAL(9,R350:R384)</f>
        <v>37315000</v>
      </c>
      <c r="S349" s="918"/>
      <c r="T349" s="933"/>
      <c r="U349" s="936">
        <f>SUBTOTAL(9,U350:U384)</f>
        <v>291.37999999999994</v>
      </c>
      <c r="V349" s="933"/>
      <c r="W349" s="907"/>
      <c r="X349" s="907">
        <f>SUBTOTAL(9,X350:X384)</f>
        <v>204368000</v>
      </c>
      <c r="Y349" s="925"/>
      <c r="Z349" s="928"/>
      <c r="AA349" s="928"/>
      <c r="AB349" s="904"/>
      <c r="AC349" s="928"/>
      <c r="AD349" s="904"/>
      <c r="AE349" s="938"/>
      <c r="AF349" s="917">
        <f>SUBTOTAL(9,AF350:AF384)</f>
        <v>1</v>
      </c>
      <c r="AG349" s="921"/>
      <c r="AH349" s="921">
        <f>SUBTOTAL(9,AH350:AH384)</f>
        <v>10000000</v>
      </c>
      <c r="AI349" s="907">
        <f t="shared" si="73"/>
        <v>1875843000</v>
      </c>
      <c r="AJ349" s="910"/>
      <c r="AK349" s="914"/>
    </row>
    <row r="350" spans="1:37" s="376" customFormat="1" ht="135" outlineLevel="2" x14ac:dyDescent="0.3">
      <c r="A350" s="447">
        <f>IF(B349&lt;&gt;0,B349,A348)</f>
        <v>33</v>
      </c>
      <c r="B350" s="893"/>
      <c r="C350" s="983" t="s">
        <v>157</v>
      </c>
      <c r="D350" s="923"/>
      <c r="E350" s="923">
        <v>86</v>
      </c>
      <c r="F350" s="896">
        <v>257</v>
      </c>
      <c r="G350" s="894" t="s">
        <v>2037</v>
      </c>
      <c r="H350" s="924">
        <v>201.5</v>
      </c>
      <c r="I350" s="882" t="str">
        <f t="shared" ref="I350:I352" si="78">IF(N350&gt;0,H350,"")</f>
        <v/>
      </c>
      <c r="J350" s="925"/>
      <c r="K350" s="899">
        <f>IF(G350&lt;&gt;0,VLOOKUP(G350,'gia dat'!$A$1:$F$144,5,0)," ")</f>
        <v>5762400</v>
      </c>
      <c r="L350" s="899">
        <f>IF(G350&lt;&gt;0,VLOOKUP(G350,'gia dat'!$A$1:$F$144,6,0)," ")</f>
        <v>0</v>
      </c>
      <c r="M350" s="900">
        <f t="shared" si="69"/>
        <v>1161124000</v>
      </c>
      <c r="N350" s="900">
        <f t="shared" si="70"/>
        <v>0</v>
      </c>
      <c r="O350" s="894" t="s">
        <v>145</v>
      </c>
      <c r="P350" s="926">
        <v>1</v>
      </c>
      <c r="Q350" s="900">
        <f>IF(O350&lt;&gt;0,VLOOKUP(O350,'Cây trong'!$A$2:$C$246,3,0)," ")</f>
        <v>4240000</v>
      </c>
      <c r="R350" s="900">
        <f t="shared" si="76"/>
        <v>4240000</v>
      </c>
      <c r="S350" s="902" t="s">
        <v>1852</v>
      </c>
      <c r="T350" s="925" t="s">
        <v>53</v>
      </c>
      <c r="U350" s="927">
        <v>28.2</v>
      </c>
      <c r="V350" s="925"/>
      <c r="W350" s="900">
        <f>IF(S350&lt;&gt;0,VLOOKUP(S350,VKT!$A$2:$G$415,7,0),"")</f>
        <v>1490563</v>
      </c>
      <c r="X350" s="900">
        <f t="shared" si="68"/>
        <v>42034000</v>
      </c>
      <c r="Y350" s="925"/>
      <c r="Z350" s="928" t="s">
        <v>55</v>
      </c>
      <c r="AA350" s="928" t="s">
        <v>56</v>
      </c>
      <c r="AB350" s="904" t="s">
        <v>137</v>
      </c>
      <c r="AC350" s="928" t="s">
        <v>66</v>
      </c>
      <c r="AD350" s="904" t="s">
        <v>430</v>
      </c>
      <c r="AE350" s="905"/>
      <c r="AF350" s="899"/>
      <c r="AG350" s="906"/>
      <c r="AH350" s="906"/>
      <c r="AI350" s="907" t="str">
        <f t="shared" si="73"/>
        <v xml:space="preserve"> </v>
      </c>
      <c r="AJ350" s="894" t="s">
        <v>663</v>
      </c>
      <c r="AK350" s="922" t="s">
        <v>2771</v>
      </c>
    </row>
    <row r="351" spans="1:37" s="376" customFormat="1" ht="112.5" outlineLevel="2" x14ac:dyDescent="0.3">
      <c r="A351" s="447">
        <f t="shared" ref="A351:A384" si="79">IF(B350&lt;&gt;0,B350,A350)</f>
        <v>33</v>
      </c>
      <c r="B351" s="893"/>
      <c r="C351" s="983" t="s">
        <v>661</v>
      </c>
      <c r="D351" s="923"/>
      <c r="E351" s="923">
        <v>86</v>
      </c>
      <c r="F351" s="896">
        <v>257</v>
      </c>
      <c r="G351" s="894" t="s">
        <v>2469</v>
      </c>
      <c r="H351" s="924">
        <v>205.5</v>
      </c>
      <c r="I351" s="882">
        <f t="shared" si="78"/>
        <v>205.5</v>
      </c>
      <c r="J351" s="925"/>
      <c r="K351" s="899">
        <f>IF(G351&lt;&gt;0,VLOOKUP(G351,'gia dat'!$A$1:$F$144,5,0)," ")</f>
        <v>554400</v>
      </c>
      <c r="L351" s="899">
        <f>IF(G351&lt;&gt;0,VLOOKUP(G351,'gia dat'!$A$1:$F$144,6,0)," ")</f>
        <v>1663200</v>
      </c>
      <c r="M351" s="900">
        <f t="shared" si="69"/>
        <v>113929000</v>
      </c>
      <c r="N351" s="900">
        <f t="shared" si="70"/>
        <v>341788000</v>
      </c>
      <c r="O351" s="894" t="s">
        <v>77</v>
      </c>
      <c r="P351" s="926">
        <v>8</v>
      </c>
      <c r="Q351" s="900">
        <f>IF(O351&lt;&gt;0,VLOOKUP(O351,'Cây trong'!$A$2:$C$246,3,0)," ")</f>
        <v>3064000</v>
      </c>
      <c r="R351" s="900">
        <f t="shared" si="76"/>
        <v>24512000</v>
      </c>
      <c r="S351" s="902" t="s">
        <v>2287</v>
      </c>
      <c r="T351" s="925" t="s">
        <v>53</v>
      </c>
      <c r="U351" s="927">
        <v>3</v>
      </c>
      <c r="V351" s="925"/>
      <c r="W351" s="900">
        <f>IF(S351&lt;&gt;0,VLOOKUP(S351,VKT!$A$2:$G$415,7,0),"")</f>
        <v>2093161</v>
      </c>
      <c r="X351" s="900">
        <f t="shared" si="68"/>
        <v>6279000</v>
      </c>
      <c r="Y351" s="925"/>
      <c r="Z351" s="928"/>
      <c r="AA351" s="928" t="s">
        <v>56</v>
      </c>
      <c r="AB351" s="904" t="s">
        <v>57</v>
      </c>
      <c r="AC351" s="928" t="s">
        <v>54</v>
      </c>
      <c r="AD351" s="928"/>
      <c r="AE351" s="905" t="s">
        <v>2790</v>
      </c>
      <c r="AF351" s="926">
        <v>1</v>
      </c>
      <c r="AG351" s="906">
        <f>IF(AE351&lt;&gt;0,VLOOKUP(AE351,ODDS!$A$2:$C$13,3,0),"")</f>
        <v>10000000</v>
      </c>
      <c r="AH351" s="906">
        <f t="shared" si="77"/>
        <v>10000000</v>
      </c>
      <c r="AI351" s="907" t="str">
        <f t="shared" si="73"/>
        <v xml:space="preserve"> </v>
      </c>
      <c r="AJ351" s="894" t="s">
        <v>490</v>
      </c>
      <c r="AK351" s="894" t="s">
        <v>2448</v>
      </c>
    </row>
    <row r="352" spans="1:37" s="376" customFormat="1" ht="112.5" outlineLevel="2" x14ac:dyDescent="0.3">
      <c r="A352" s="447">
        <f t="shared" si="79"/>
        <v>33</v>
      </c>
      <c r="B352" s="893"/>
      <c r="C352" s="894" t="s">
        <v>304</v>
      </c>
      <c r="D352" s="923"/>
      <c r="E352" s="923"/>
      <c r="F352" s="896"/>
      <c r="G352" s="894" t="s">
        <v>2470</v>
      </c>
      <c r="H352" s="924">
        <v>3.3</v>
      </c>
      <c r="I352" s="882">
        <f t="shared" si="78"/>
        <v>3.3</v>
      </c>
      <c r="J352" s="925"/>
      <c r="K352" s="899">
        <f>IF(G352&lt;&gt;0,VLOOKUP(G352,'gia dat'!$A$1:$F$144,5,0)," ")</f>
        <v>554400</v>
      </c>
      <c r="L352" s="899">
        <f>IF(G352&lt;&gt;0,VLOOKUP(G352,'gia dat'!$A$1:$F$144,6,0)," ")</f>
        <v>1663200</v>
      </c>
      <c r="M352" s="900">
        <f t="shared" si="69"/>
        <v>1830000</v>
      </c>
      <c r="N352" s="900">
        <f t="shared" si="70"/>
        <v>5489000</v>
      </c>
      <c r="O352" s="981" t="s">
        <v>149</v>
      </c>
      <c r="P352" s="926">
        <v>1</v>
      </c>
      <c r="Q352" s="900">
        <f>IF(O352&lt;&gt;0,VLOOKUP(O352,'Cây trong'!$A$2:$C$246,3,0)," ")</f>
        <v>146000</v>
      </c>
      <c r="R352" s="900">
        <f t="shared" si="76"/>
        <v>146000</v>
      </c>
      <c r="S352" s="981" t="s">
        <v>1839</v>
      </c>
      <c r="T352" s="984" t="s">
        <v>53</v>
      </c>
      <c r="U352" s="927">
        <v>4.8</v>
      </c>
      <c r="V352" s="925"/>
      <c r="W352" s="900">
        <f>IF(S352&lt;&gt;0,VLOOKUP(S352,VKT!$A$2:$G$415,7,0),"")</f>
        <v>244604</v>
      </c>
      <c r="X352" s="900">
        <f t="shared" si="68"/>
        <v>1174000</v>
      </c>
      <c r="Y352" s="925"/>
      <c r="Z352" s="928"/>
      <c r="AA352" s="928"/>
      <c r="AB352" s="904"/>
      <c r="AC352" s="928"/>
      <c r="AD352" s="928"/>
      <c r="AE352" s="941"/>
      <c r="AF352" s="926"/>
      <c r="AG352" s="906" t="str">
        <f>IF(AE352&lt;&gt;0,VLOOKUP(AE352,ODDS!$A$2:$C$13,3,0),"")</f>
        <v/>
      </c>
      <c r="AH352" s="906" t="str">
        <f t="shared" si="77"/>
        <v xml:space="preserve"> </v>
      </c>
      <c r="AI352" s="907" t="str">
        <f t="shared" si="73"/>
        <v xml:space="preserve"> </v>
      </c>
      <c r="AJ352" s="929" t="s">
        <v>488</v>
      </c>
      <c r="AK352" s="894" t="s">
        <v>2450</v>
      </c>
    </row>
    <row r="353" spans="1:37" s="376" customFormat="1" ht="135" outlineLevel="2" x14ac:dyDescent="0.3">
      <c r="A353" s="447">
        <f t="shared" si="79"/>
        <v>33</v>
      </c>
      <c r="B353" s="893"/>
      <c r="C353" s="983"/>
      <c r="D353" s="923"/>
      <c r="E353" s="923"/>
      <c r="F353" s="896"/>
      <c r="G353" s="894"/>
      <c r="H353" s="924"/>
      <c r="I353" s="882"/>
      <c r="J353" s="925"/>
      <c r="K353" s="899" t="str">
        <f>IF(G353&lt;&gt;0,VLOOKUP(G353,'gia dat'!$A$1:$F$144,5,0)," ")</f>
        <v xml:space="preserve"> </v>
      </c>
      <c r="L353" s="899" t="str">
        <f>IF(G353&lt;&gt;0,VLOOKUP(G353,'gia dat'!$A$1:$F$144,6,0)," ")</f>
        <v xml:space="preserve"> </v>
      </c>
      <c r="M353" s="900" t="str">
        <f t="shared" si="69"/>
        <v xml:space="preserve"> </v>
      </c>
      <c r="N353" s="900" t="str">
        <f t="shared" si="70"/>
        <v xml:space="preserve"> </v>
      </c>
      <c r="O353" s="981" t="s">
        <v>76</v>
      </c>
      <c r="P353" s="926">
        <v>6</v>
      </c>
      <c r="Q353" s="900">
        <f>IF(O353&lt;&gt;0,VLOOKUP(O353,'Cây trong'!$A$2:$C$246,3,0)," ")</f>
        <v>45000</v>
      </c>
      <c r="R353" s="900">
        <f t="shared" si="76"/>
        <v>270000</v>
      </c>
      <c r="S353" s="922" t="s">
        <v>1748</v>
      </c>
      <c r="T353" s="982" t="s">
        <v>53</v>
      </c>
      <c r="U353" s="927">
        <v>4.8</v>
      </c>
      <c r="V353" s="925"/>
      <c r="W353" s="900">
        <f>IF(S353&lt;&gt;0,VLOOKUP(S353,VKT!$A$2:$G$415,7,0),"")</f>
        <v>0</v>
      </c>
      <c r="X353" s="900">
        <f t="shared" si="68"/>
        <v>0</v>
      </c>
      <c r="Y353" s="925"/>
      <c r="Z353" s="928"/>
      <c r="AA353" s="928"/>
      <c r="AB353" s="904"/>
      <c r="AC353" s="928"/>
      <c r="AD353" s="928"/>
      <c r="AE353" s="928"/>
      <c r="AF353" s="926"/>
      <c r="AG353" s="906" t="str">
        <f>IF(AE353&lt;&gt;0,VLOOKUP(AE353,ODDS!$A$2:$C$13,3,0),"")</f>
        <v/>
      </c>
      <c r="AH353" s="906" t="str">
        <f t="shared" si="77"/>
        <v xml:space="preserve"> </v>
      </c>
      <c r="AI353" s="907" t="str">
        <f t="shared" si="73"/>
        <v xml:space="preserve"> </v>
      </c>
      <c r="AJ353" s="894" t="s">
        <v>491</v>
      </c>
      <c r="AK353" s="894" t="s">
        <v>2449</v>
      </c>
    </row>
    <row r="354" spans="1:37" s="376" customFormat="1" ht="90" outlineLevel="2" x14ac:dyDescent="0.3">
      <c r="A354" s="447">
        <f t="shared" si="79"/>
        <v>33</v>
      </c>
      <c r="B354" s="893"/>
      <c r="C354" s="894"/>
      <c r="D354" s="923"/>
      <c r="E354" s="923"/>
      <c r="F354" s="896"/>
      <c r="G354" s="894"/>
      <c r="H354" s="924"/>
      <c r="I354" s="882"/>
      <c r="J354" s="929"/>
      <c r="K354" s="899" t="str">
        <f>IF(G354&lt;&gt;0,VLOOKUP(G354,'gia dat'!$A$1:$F$144,5,0)," ")</f>
        <v xml:space="preserve"> </v>
      </c>
      <c r="L354" s="899" t="str">
        <f>IF(G354&lt;&gt;0,VLOOKUP(G354,'gia dat'!$A$1:$F$144,6,0)," ")</f>
        <v xml:space="preserve"> </v>
      </c>
      <c r="M354" s="900" t="str">
        <f t="shared" si="69"/>
        <v xml:space="preserve"> </v>
      </c>
      <c r="N354" s="900" t="str">
        <f t="shared" si="70"/>
        <v xml:space="preserve"> </v>
      </c>
      <c r="O354" s="922" t="s">
        <v>72</v>
      </c>
      <c r="P354" s="965">
        <v>4</v>
      </c>
      <c r="Q354" s="900">
        <f>IF(O354&lt;&gt;0,VLOOKUP(O354,'Cây trong'!$A$2:$C$246,3,0)," ")</f>
        <v>132000</v>
      </c>
      <c r="R354" s="900">
        <f t="shared" si="76"/>
        <v>528000</v>
      </c>
      <c r="S354" s="922" t="s">
        <v>1748</v>
      </c>
      <c r="T354" s="944" t="s">
        <v>53</v>
      </c>
      <c r="U354" s="927">
        <v>6.8</v>
      </c>
      <c r="V354" s="925"/>
      <c r="W354" s="900">
        <f>IF(S354&lt;&gt;0,VLOOKUP(S354,VKT!$A$2:$G$415,7,0),"")</f>
        <v>0</v>
      </c>
      <c r="X354" s="900">
        <f t="shared" si="68"/>
        <v>0</v>
      </c>
      <c r="Y354" s="925"/>
      <c r="Z354" s="928"/>
      <c r="AA354" s="928"/>
      <c r="AB354" s="904"/>
      <c r="AC354" s="928"/>
      <c r="AD354" s="928"/>
      <c r="AE354" s="928"/>
      <c r="AF354" s="926"/>
      <c r="AG354" s="906" t="str">
        <f>IF(AE354&lt;&gt;0,VLOOKUP(AE354,ODDS!$A$2:$C$13,3,0),"")</f>
        <v/>
      </c>
      <c r="AH354" s="906" t="str">
        <f t="shared" si="77"/>
        <v xml:space="preserve"> </v>
      </c>
      <c r="AI354" s="907" t="str">
        <f t="shared" si="73"/>
        <v xml:space="preserve"> </v>
      </c>
      <c r="AJ354" s="894" t="s">
        <v>2074</v>
      </c>
      <c r="AK354" s="894" t="s">
        <v>2451</v>
      </c>
    </row>
    <row r="355" spans="1:37" s="376" customFormat="1" ht="112.5" outlineLevel="2" x14ac:dyDescent="0.3">
      <c r="A355" s="447">
        <f t="shared" si="79"/>
        <v>33</v>
      </c>
      <c r="B355" s="893"/>
      <c r="C355" s="894"/>
      <c r="D355" s="923"/>
      <c r="E355" s="923"/>
      <c r="F355" s="896"/>
      <c r="G355" s="894"/>
      <c r="H355" s="924"/>
      <c r="I355" s="882"/>
      <c r="J355" s="929"/>
      <c r="K355" s="899" t="str">
        <f>IF(G355&lt;&gt;0,VLOOKUP(G355,'gia dat'!$A$1:$F$144,5,0)," ")</f>
        <v xml:space="preserve"> </v>
      </c>
      <c r="L355" s="899" t="str">
        <f>IF(G355&lt;&gt;0,VLOOKUP(G355,'gia dat'!$A$1:$F$144,6,0)," ")</f>
        <v xml:space="preserve"> </v>
      </c>
      <c r="M355" s="900" t="str">
        <f t="shared" si="69"/>
        <v xml:space="preserve"> </v>
      </c>
      <c r="N355" s="900" t="str">
        <f t="shared" si="70"/>
        <v xml:space="preserve"> </v>
      </c>
      <c r="O355" s="922" t="s">
        <v>73</v>
      </c>
      <c r="P355" s="965">
        <v>3</v>
      </c>
      <c r="Q355" s="900">
        <f>IF(O355&lt;&gt;0,VLOOKUP(O355,'Cây trong'!$A$2:$C$246,3,0)," ")</f>
        <v>76000</v>
      </c>
      <c r="R355" s="900">
        <f t="shared" si="76"/>
        <v>228000</v>
      </c>
      <c r="S355" s="922" t="s">
        <v>1749</v>
      </c>
      <c r="T355" s="944" t="s">
        <v>53</v>
      </c>
      <c r="U355" s="927">
        <v>6.8</v>
      </c>
      <c r="V355" s="925"/>
      <c r="W355" s="900">
        <f>IF(S355&lt;&gt;0,VLOOKUP(S355,VKT!$A$2:$G$415,7,0),"")</f>
        <v>211811</v>
      </c>
      <c r="X355" s="900">
        <f t="shared" si="68"/>
        <v>1440000</v>
      </c>
      <c r="Y355" s="925"/>
      <c r="Z355" s="928"/>
      <c r="AA355" s="928"/>
      <c r="AB355" s="904"/>
      <c r="AC355" s="928"/>
      <c r="AD355" s="928"/>
      <c r="AE355" s="928"/>
      <c r="AF355" s="926"/>
      <c r="AG355" s="906" t="str">
        <f>IF(AE355&lt;&gt;0,VLOOKUP(AE355,ODDS!$A$2:$C$13,3,0),"")</f>
        <v/>
      </c>
      <c r="AH355" s="906" t="str">
        <f t="shared" si="77"/>
        <v xml:space="preserve"> </v>
      </c>
      <c r="AI355" s="907" t="str">
        <f t="shared" si="73"/>
        <v xml:space="preserve"> </v>
      </c>
      <c r="AJ355" s="929" t="s">
        <v>492</v>
      </c>
      <c r="AK355" s="894" t="s">
        <v>2800</v>
      </c>
    </row>
    <row r="356" spans="1:37" s="376" customFormat="1" ht="67.5" outlineLevel="2" x14ac:dyDescent="0.35">
      <c r="A356" s="447">
        <f t="shared" si="79"/>
        <v>33</v>
      </c>
      <c r="B356" s="893"/>
      <c r="C356" s="894"/>
      <c r="D356" s="923"/>
      <c r="E356" s="923"/>
      <c r="F356" s="896"/>
      <c r="G356" s="894"/>
      <c r="H356" s="924"/>
      <c r="I356" s="882"/>
      <c r="J356" s="929"/>
      <c r="K356" s="899" t="str">
        <f>IF(G356&lt;&gt;0,VLOOKUP(G356,'gia dat'!$A$1:$F$144,5,0)," ")</f>
        <v xml:space="preserve"> </v>
      </c>
      <c r="L356" s="899" t="str">
        <f>IF(G356&lt;&gt;0,VLOOKUP(G356,'gia dat'!$A$1:$F$144,6,0)," ")</f>
        <v xml:space="preserve"> </v>
      </c>
      <c r="M356" s="900" t="str">
        <f t="shared" si="69"/>
        <v xml:space="preserve"> </v>
      </c>
      <c r="N356" s="900" t="str">
        <f t="shared" si="70"/>
        <v xml:space="preserve"> </v>
      </c>
      <c r="O356" s="922" t="s">
        <v>75</v>
      </c>
      <c r="P356" s="965">
        <v>6</v>
      </c>
      <c r="Q356" s="900">
        <f>IF(O356&lt;&gt;0,VLOOKUP(O356,'Cây trong'!$A$2:$C$246,3,0)," ")</f>
        <v>34000</v>
      </c>
      <c r="R356" s="900">
        <f t="shared" si="76"/>
        <v>204000</v>
      </c>
      <c r="S356" s="922" t="s">
        <v>1749</v>
      </c>
      <c r="T356" s="944" t="s">
        <v>53</v>
      </c>
      <c r="U356" s="927">
        <v>8.5</v>
      </c>
      <c r="V356" s="925"/>
      <c r="W356" s="900">
        <f>IF(S356&lt;&gt;0,VLOOKUP(S356,VKT!$A$2:$G$415,7,0),"")</f>
        <v>211811</v>
      </c>
      <c r="X356" s="900">
        <f t="shared" si="68"/>
        <v>1800000</v>
      </c>
      <c r="Y356" s="925"/>
      <c r="Z356" s="928"/>
      <c r="AA356" s="928"/>
      <c r="AB356" s="904"/>
      <c r="AC356" s="928"/>
      <c r="AD356" s="928"/>
      <c r="AE356" s="928"/>
      <c r="AF356" s="926"/>
      <c r="AG356" s="906" t="str">
        <f>IF(AE356&lt;&gt;0,VLOOKUP(AE356,ODDS!$A$2:$C$13,3,0),"")</f>
        <v/>
      </c>
      <c r="AH356" s="906" t="str">
        <f t="shared" si="77"/>
        <v xml:space="preserve"> </v>
      </c>
      <c r="AI356" s="907" t="str">
        <f t="shared" si="73"/>
        <v xml:space="preserve"> </v>
      </c>
      <c r="AJ356" s="911"/>
      <c r="AK356" s="929"/>
    </row>
    <row r="357" spans="1:37" s="376" customFormat="1" ht="90" outlineLevel="2" x14ac:dyDescent="0.3">
      <c r="A357" s="447">
        <f t="shared" si="79"/>
        <v>33</v>
      </c>
      <c r="B357" s="893"/>
      <c r="C357" s="894"/>
      <c r="D357" s="923"/>
      <c r="E357" s="923"/>
      <c r="F357" s="896"/>
      <c r="G357" s="894"/>
      <c r="H357" s="924"/>
      <c r="I357" s="882"/>
      <c r="J357" s="929"/>
      <c r="K357" s="899" t="str">
        <f>IF(G357&lt;&gt;0,VLOOKUP(G357,'gia dat'!$A$1:$F$144,5,0)," ")</f>
        <v xml:space="preserve"> </v>
      </c>
      <c r="L357" s="899" t="str">
        <f>IF(G357&lt;&gt;0,VLOOKUP(G357,'gia dat'!$A$1:$F$144,6,0)," ")</f>
        <v xml:space="preserve"> </v>
      </c>
      <c r="M357" s="900" t="str">
        <f t="shared" si="69"/>
        <v xml:space="preserve"> </v>
      </c>
      <c r="N357" s="900" t="str">
        <f t="shared" si="70"/>
        <v xml:space="preserve"> </v>
      </c>
      <c r="O357" s="922" t="s">
        <v>70</v>
      </c>
      <c r="P357" s="965">
        <v>2</v>
      </c>
      <c r="Q357" s="900">
        <f>IF(O357&lt;&gt;0,VLOOKUP(O357,'Cây trong'!$A$2:$C$246,3,0)," ")</f>
        <v>1632000</v>
      </c>
      <c r="R357" s="900">
        <f t="shared" si="76"/>
        <v>3264000</v>
      </c>
      <c r="S357" s="922" t="s">
        <v>2288</v>
      </c>
      <c r="T357" s="944" t="s">
        <v>53</v>
      </c>
      <c r="U357" s="927">
        <v>60.06</v>
      </c>
      <c r="V357" s="925"/>
      <c r="W357" s="900">
        <f>IF(S357&lt;&gt;0,VLOOKUP(S357,VKT!$A$2:$G$415,7,0),"")</f>
        <v>441467</v>
      </c>
      <c r="X357" s="900">
        <f t="shared" si="68"/>
        <v>26515000</v>
      </c>
      <c r="Y357" s="925"/>
      <c r="Z357" s="928"/>
      <c r="AA357" s="928"/>
      <c r="AB357" s="904"/>
      <c r="AC357" s="928"/>
      <c r="AD357" s="928"/>
      <c r="AE357" s="928"/>
      <c r="AF357" s="926"/>
      <c r="AG357" s="906" t="str">
        <f>IF(AE357&lt;&gt;0,VLOOKUP(AE357,ODDS!$A$2:$C$13,3,0),"")</f>
        <v/>
      </c>
      <c r="AH357" s="906" t="str">
        <f t="shared" si="77"/>
        <v xml:space="preserve"> </v>
      </c>
      <c r="AI357" s="907" t="str">
        <f t="shared" si="73"/>
        <v xml:space="preserve"> </v>
      </c>
      <c r="AJ357" s="929"/>
      <c r="AK357" s="929"/>
    </row>
    <row r="358" spans="1:37" s="376" customFormat="1" ht="45" outlineLevel="2" x14ac:dyDescent="0.35">
      <c r="A358" s="447">
        <f t="shared" si="79"/>
        <v>33</v>
      </c>
      <c r="B358" s="893"/>
      <c r="C358" s="894"/>
      <c r="D358" s="923"/>
      <c r="E358" s="923"/>
      <c r="F358" s="896"/>
      <c r="G358" s="894"/>
      <c r="H358" s="924"/>
      <c r="I358" s="882"/>
      <c r="J358" s="929"/>
      <c r="K358" s="899" t="str">
        <f>IF(G358&lt;&gt;0,VLOOKUP(G358,'gia dat'!$A$1:$F$144,5,0)," ")</f>
        <v xml:space="preserve"> </v>
      </c>
      <c r="L358" s="899" t="str">
        <f>IF(G358&lt;&gt;0,VLOOKUP(G358,'gia dat'!$A$1:$F$144,6,0)," ")</f>
        <v xml:space="preserve"> </v>
      </c>
      <c r="M358" s="900" t="str">
        <f t="shared" si="69"/>
        <v xml:space="preserve"> </v>
      </c>
      <c r="N358" s="900" t="str">
        <f t="shared" si="70"/>
        <v xml:space="preserve"> </v>
      </c>
      <c r="O358" s="922" t="s">
        <v>133</v>
      </c>
      <c r="P358" s="965">
        <v>1</v>
      </c>
      <c r="Q358" s="900">
        <f>IF(O358&lt;&gt;0,VLOOKUP(O358,'Cây trong'!$A$2:$C$246,3,0)," ")</f>
        <v>758000</v>
      </c>
      <c r="R358" s="900">
        <f t="shared" si="76"/>
        <v>758000</v>
      </c>
      <c r="S358" s="922" t="s">
        <v>1852</v>
      </c>
      <c r="T358" s="944" t="s">
        <v>53</v>
      </c>
      <c r="U358" s="927">
        <v>36.049999999999997</v>
      </c>
      <c r="V358" s="925"/>
      <c r="W358" s="900">
        <f>IF(S358&lt;&gt;0,VLOOKUP(S358,VKT!$A$2:$G$415,7,0),"")</f>
        <v>1490563</v>
      </c>
      <c r="X358" s="900">
        <f t="shared" ref="X358:X422" si="80">IF(S358&lt;&gt;0,ROUND(U358*W358,-3)," ")</f>
        <v>53735000</v>
      </c>
      <c r="Y358" s="925"/>
      <c r="Z358" s="928" t="s">
        <v>55</v>
      </c>
      <c r="AA358" s="928" t="s">
        <v>56</v>
      </c>
      <c r="AB358" s="904" t="s">
        <v>137</v>
      </c>
      <c r="AC358" s="928" t="s">
        <v>66</v>
      </c>
      <c r="AD358" s="928"/>
      <c r="AE358" s="928"/>
      <c r="AF358" s="926"/>
      <c r="AG358" s="906" t="str">
        <f>IF(AE358&lt;&gt;0,VLOOKUP(AE358,ODDS!$A$2:$C$13,3,0),"")</f>
        <v/>
      </c>
      <c r="AH358" s="906" t="str">
        <f t="shared" si="77"/>
        <v xml:space="preserve"> </v>
      </c>
      <c r="AI358" s="907" t="str">
        <f t="shared" si="73"/>
        <v xml:space="preserve"> </v>
      </c>
      <c r="AJ358" s="911"/>
      <c r="AK358" s="929"/>
    </row>
    <row r="359" spans="1:37" s="376" customFormat="1" ht="45" outlineLevel="2" x14ac:dyDescent="0.3">
      <c r="A359" s="447">
        <f t="shared" si="79"/>
        <v>33</v>
      </c>
      <c r="B359" s="893"/>
      <c r="C359" s="894"/>
      <c r="D359" s="923"/>
      <c r="E359" s="923"/>
      <c r="F359" s="896"/>
      <c r="G359" s="894"/>
      <c r="H359" s="924"/>
      <c r="I359" s="882"/>
      <c r="J359" s="929"/>
      <c r="K359" s="899" t="str">
        <f>IF(G359&lt;&gt;0,VLOOKUP(G359,'gia dat'!$A$1:$F$144,5,0)," ")</f>
        <v xml:space="preserve"> </v>
      </c>
      <c r="L359" s="899" t="str">
        <f>IF(G359&lt;&gt;0,VLOOKUP(G359,'gia dat'!$A$1:$F$144,6,0)," ")</f>
        <v xml:space="preserve"> </v>
      </c>
      <c r="M359" s="900" t="str">
        <f t="shared" si="69"/>
        <v xml:space="preserve"> </v>
      </c>
      <c r="N359" s="900" t="str">
        <f t="shared" si="70"/>
        <v xml:space="preserve"> </v>
      </c>
      <c r="O359" s="922" t="s">
        <v>165</v>
      </c>
      <c r="P359" s="965">
        <v>3</v>
      </c>
      <c r="Q359" s="900">
        <f>IF(O359&lt;&gt;0,VLOOKUP(O359,'Cây trong'!$A$2:$C$246,3,0)," ")</f>
        <v>180000</v>
      </c>
      <c r="R359" s="900">
        <f t="shared" si="76"/>
        <v>540000</v>
      </c>
      <c r="S359" s="922" t="s">
        <v>2289</v>
      </c>
      <c r="T359" s="944" t="s">
        <v>53</v>
      </c>
      <c r="U359" s="927">
        <v>17.600000000000001</v>
      </c>
      <c r="V359" s="925"/>
      <c r="W359" s="900">
        <f>IF(S359&lt;&gt;0,VLOOKUP(S359,VKT!$A$2:$G$415,7,0),"")</f>
        <v>684506</v>
      </c>
      <c r="X359" s="900">
        <f t="shared" si="80"/>
        <v>12047000</v>
      </c>
      <c r="Y359" s="925"/>
      <c r="Z359" s="928" t="s">
        <v>55</v>
      </c>
      <c r="AA359" s="928" t="s">
        <v>141</v>
      </c>
      <c r="AB359" s="904"/>
      <c r="AC359" s="928" t="s">
        <v>66</v>
      </c>
      <c r="AD359" s="928"/>
      <c r="AE359" s="928"/>
      <c r="AF359" s="926"/>
      <c r="AG359" s="906" t="str">
        <f>IF(AE359&lt;&gt;0,VLOOKUP(AE359,ODDS!$A$2:$C$13,3,0),"")</f>
        <v/>
      </c>
      <c r="AH359" s="906" t="str">
        <f t="shared" si="77"/>
        <v xml:space="preserve"> </v>
      </c>
      <c r="AI359" s="907" t="str">
        <f t="shared" si="73"/>
        <v xml:space="preserve"> </v>
      </c>
      <c r="AJ359" s="929"/>
      <c r="AK359" s="929"/>
    </row>
    <row r="360" spans="1:37" s="376" customFormat="1" ht="45" outlineLevel="2" x14ac:dyDescent="0.3">
      <c r="A360" s="447">
        <f t="shared" si="79"/>
        <v>33</v>
      </c>
      <c r="B360" s="893"/>
      <c r="C360" s="894"/>
      <c r="D360" s="923"/>
      <c r="E360" s="923"/>
      <c r="F360" s="896"/>
      <c r="G360" s="894"/>
      <c r="H360" s="924"/>
      <c r="I360" s="882"/>
      <c r="J360" s="929"/>
      <c r="K360" s="899" t="str">
        <f>IF(G360&lt;&gt;0,VLOOKUP(G360,'gia dat'!$A$1:$F$144,5,0)," ")</f>
        <v xml:space="preserve"> </v>
      </c>
      <c r="L360" s="899" t="str">
        <f>IF(G360&lt;&gt;0,VLOOKUP(G360,'gia dat'!$A$1:$F$144,6,0)," ")</f>
        <v xml:space="preserve"> </v>
      </c>
      <c r="M360" s="900" t="str">
        <f t="shared" si="69"/>
        <v xml:space="preserve"> </v>
      </c>
      <c r="N360" s="900" t="str">
        <f t="shared" si="70"/>
        <v xml:space="preserve"> </v>
      </c>
      <c r="O360" s="922" t="s">
        <v>84</v>
      </c>
      <c r="P360" s="965">
        <v>3</v>
      </c>
      <c r="Q360" s="900">
        <f>IF(O360&lt;&gt;0,VLOOKUP(O360,'Cây trong'!$A$2:$C$246,3,0)," ")</f>
        <v>300000</v>
      </c>
      <c r="R360" s="900">
        <f t="shared" si="76"/>
        <v>900000</v>
      </c>
      <c r="S360" s="922" t="s">
        <v>2289</v>
      </c>
      <c r="T360" s="944" t="s">
        <v>53</v>
      </c>
      <c r="U360" s="927">
        <v>7.2</v>
      </c>
      <c r="V360" s="925"/>
      <c r="W360" s="900">
        <f>IF(S360&lt;&gt;0,VLOOKUP(S360,VKT!$A$2:$G$415,7,0),"")</f>
        <v>684506</v>
      </c>
      <c r="X360" s="900">
        <f t="shared" si="80"/>
        <v>4928000</v>
      </c>
      <c r="Y360" s="925"/>
      <c r="Z360" s="928" t="s">
        <v>55</v>
      </c>
      <c r="AA360" s="928" t="s">
        <v>141</v>
      </c>
      <c r="AB360" s="904"/>
      <c r="AC360" s="928" t="s">
        <v>66</v>
      </c>
      <c r="AD360" s="928"/>
      <c r="AE360" s="928"/>
      <c r="AF360" s="926"/>
      <c r="AG360" s="906" t="str">
        <f>IF(AE360&lt;&gt;0,VLOOKUP(AE360,ODDS!$A$2:$C$13,3,0),"")</f>
        <v/>
      </c>
      <c r="AH360" s="906" t="str">
        <f t="shared" si="77"/>
        <v xml:space="preserve"> </v>
      </c>
      <c r="AI360" s="907" t="str">
        <f t="shared" si="73"/>
        <v xml:space="preserve"> </v>
      </c>
      <c r="AJ360" s="929"/>
      <c r="AK360" s="929"/>
    </row>
    <row r="361" spans="1:37" s="376" customFormat="1" ht="112.5" outlineLevel="2" x14ac:dyDescent="0.3">
      <c r="A361" s="447">
        <f t="shared" si="79"/>
        <v>33</v>
      </c>
      <c r="B361" s="893"/>
      <c r="C361" s="894"/>
      <c r="D361" s="923"/>
      <c r="E361" s="923"/>
      <c r="F361" s="896"/>
      <c r="G361" s="894"/>
      <c r="H361" s="924"/>
      <c r="I361" s="882"/>
      <c r="J361" s="929"/>
      <c r="K361" s="899" t="str">
        <f>IF(G361&lt;&gt;0,VLOOKUP(G361,'gia dat'!$A$1:$F$144,5,0)," ")</f>
        <v xml:space="preserve"> </v>
      </c>
      <c r="L361" s="899" t="str">
        <f>IF(G361&lt;&gt;0,VLOOKUP(G361,'gia dat'!$A$1:$F$144,6,0)," ")</f>
        <v xml:space="preserve"> </v>
      </c>
      <c r="M361" s="900" t="str">
        <f t="shared" si="69"/>
        <v xml:space="preserve"> </v>
      </c>
      <c r="N361" s="900" t="str">
        <f t="shared" si="70"/>
        <v xml:space="preserve"> </v>
      </c>
      <c r="O361" s="922" t="s">
        <v>67</v>
      </c>
      <c r="P361" s="965">
        <v>1</v>
      </c>
      <c r="Q361" s="900">
        <f>IF(O361&lt;&gt;0,VLOOKUP(O361,'Cây trong'!$A$2:$C$246,3,0)," ")</f>
        <v>494000</v>
      </c>
      <c r="R361" s="900">
        <f t="shared" si="76"/>
        <v>494000</v>
      </c>
      <c r="S361" s="922" t="s">
        <v>2290</v>
      </c>
      <c r="T361" s="944" t="s">
        <v>53</v>
      </c>
      <c r="U361" s="927">
        <v>3.15</v>
      </c>
      <c r="V361" s="925"/>
      <c r="W361" s="900">
        <f>IF(S361&lt;&gt;0,VLOOKUP(S361,VKT!$A$2:$G$415,7,0),"")</f>
        <v>8308812</v>
      </c>
      <c r="X361" s="900">
        <f t="shared" si="80"/>
        <v>26173000</v>
      </c>
      <c r="Y361" s="925"/>
      <c r="Z361" s="928"/>
      <c r="AA361" s="928" t="s">
        <v>56</v>
      </c>
      <c r="AB361" s="904" t="s">
        <v>57</v>
      </c>
      <c r="AC361" s="928" t="s">
        <v>54</v>
      </c>
      <c r="AD361" s="928"/>
      <c r="AE361" s="928"/>
      <c r="AF361" s="926"/>
      <c r="AG361" s="906" t="str">
        <f>IF(AE361&lt;&gt;0,VLOOKUP(AE361,ODDS!$A$2:$C$13,3,0),"")</f>
        <v/>
      </c>
      <c r="AH361" s="906" t="str">
        <f t="shared" si="77"/>
        <v xml:space="preserve"> </v>
      </c>
      <c r="AI361" s="907" t="str">
        <f t="shared" si="73"/>
        <v xml:space="preserve"> </v>
      </c>
      <c r="AJ361" s="929"/>
      <c r="AK361" s="929"/>
    </row>
    <row r="362" spans="1:37" s="376" customFormat="1" ht="90" outlineLevel="2" x14ac:dyDescent="0.3">
      <c r="A362" s="447">
        <f t="shared" si="79"/>
        <v>33</v>
      </c>
      <c r="B362" s="893"/>
      <c r="C362" s="894"/>
      <c r="D362" s="923"/>
      <c r="E362" s="923"/>
      <c r="F362" s="896"/>
      <c r="G362" s="894"/>
      <c r="H362" s="924"/>
      <c r="I362" s="882"/>
      <c r="J362" s="925"/>
      <c r="K362" s="899" t="str">
        <f>IF(G362&lt;&gt;0,VLOOKUP(G362,'gia dat'!$A$1:$F$144,5,0)," ")</f>
        <v xml:space="preserve"> </v>
      </c>
      <c r="L362" s="899" t="str">
        <f>IF(G362&lt;&gt;0,VLOOKUP(G362,'gia dat'!$A$1:$F$144,6,0)," ")</f>
        <v xml:space="preserve"> </v>
      </c>
      <c r="M362" s="900" t="str">
        <f t="shared" ref="M362:M429" si="81">IF(H362&lt;&gt;0,ROUND(H362*K362,-3)," ")</f>
        <v xml:space="preserve"> </v>
      </c>
      <c r="N362" s="900" t="str">
        <f t="shared" ref="N362:N429" si="82">IF(H362&lt;&gt;0,ROUND(H362*L362,-3)," ")</f>
        <v xml:space="preserve"> </v>
      </c>
      <c r="O362" s="901" t="s">
        <v>429</v>
      </c>
      <c r="P362" s="926">
        <v>5</v>
      </c>
      <c r="Q362" s="900">
        <f>IF(O362&lt;&gt;0,VLOOKUP(O362,'Cây trong'!$A$2:$C$246,3,0)," ")</f>
        <v>12000</v>
      </c>
      <c r="R362" s="900">
        <f t="shared" si="76"/>
        <v>60000</v>
      </c>
      <c r="S362" s="902" t="s">
        <v>1749</v>
      </c>
      <c r="T362" s="925" t="s">
        <v>53</v>
      </c>
      <c r="U362" s="927">
        <v>20.8</v>
      </c>
      <c r="V362" s="925"/>
      <c r="W362" s="900">
        <f>IF(S362&lt;&gt;0,VLOOKUP(S362,VKT!$A$2:$G$415,7,0),"")</f>
        <v>211811</v>
      </c>
      <c r="X362" s="900">
        <f t="shared" si="80"/>
        <v>4406000</v>
      </c>
      <c r="Y362" s="925"/>
      <c r="Z362" s="928"/>
      <c r="AA362" s="928"/>
      <c r="AB362" s="904"/>
      <c r="AC362" s="928"/>
      <c r="AD362" s="928"/>
      <c r="AE362" s="928"/>
      <c r="AF362" s="926"/>
      <c r="AG362" s="906" t="str">
        <f>IF(AE362&lt;&gt;0,VLOOKUP(AE362,ODDS!$A$2:$C$13,3,0),"")</f>
        <v/>
      </c>
      <c r="AH362" s="906" t="str">
        <f t="shared" si="77"/>
        <v xml:space="preserve"> </v>
      </c>
      <c r="AI362" s="907" t="str">
        <f t="shared" si="73"/>
        <v xml:space="preserve"> </v>
      </c>
      <c r="AJ362" s="929"/>
      <c r="AK362" s="929"/>
    </row>
    <row r="363" spans="1:37" s="376" customFormat="1" ht="67.5" outlineLevel="2" x14ac:dyDescent="0.3">
      <c r="A363" s="447">
        <f t="shared" si="79"/>
        <v>33</v>
      </c>
      <c r="B363" s="893"/>
      <c r="C363" s="942"/>
      <c r="D363" s="923"/>
      <c r="E363" s="931"/>
      <c r="F363" s="913"/>
      <c r="G363" s="910"/>
      <c r="H363" s="924"/>
      <c r="I363" s="882"/>
      <c r="J363" s="943"/>
      <c r="K363" s="899" t="str">
        <f>IF(G363&lt;&gt;0,VLOOKUP(G363,'gia dat'!$A$1:$F$144,5,0)," ")</f>
        <v xml:space="preserve"> </v>
      </c>
      <c r="L363" s="899" t="str">
        <f>IF(G363&lt;&gt;0,VLOOKUP(G363,'gia dat'!$A$1:$F$144,6,0)," ")</f>
        <v xml:space="preserve"> </v>
      </c>
      <c r="M363" s="900" t="str">
        <f t="shared" si="81"/>
        <v xml:space="preserve"> </v>
      </c>
      <c r="N363" s="900" t="str">
        <f t="shared" si="82"/>
        <v xml:space="preserve"> </v>
      </c>
      <c r="O363" s="922" t="s">
        <v>166</v>
      </c>
      <c r="P363" s="965">
        <v>1</v>
      </c>
      <c r="Q363" s="900">
        <f>IF(O363&lt;&gt;0,VLOOKUP(O363,'Cây trong'!$A$2:$C$246,3,0)," ")</f>
        <v>120000</v>
      </c>
      <c r="R363" s="900">
        <f t="shared" si="76"/>
        <v>120000</v>
      </c>
      <c r="S363" s="922" t="s">
        <v>1749</v>
      </c>
      <c r="T363" s="944" t="s">
        <v>53</v>
      </c>
      <c r="U363" s="927">
        <v>13.18</v>
      </c>
      <c r="V363" s="945"/>
      <c r="W363" s="900">
        <f>IF(S363&lt;&gt;0,VLOOKUP(S363,VKT!$A$2:$G$415,7,0),"")</f>
        <v>211811</v>
      </c>
      <c r="X363" s="900">
        <f t="shared" si="80"/>
        <v>2792000</v>
      </c>
      <c r="Y363" s="916"/>
      <c r="Z363" s="937"/>
      <c r="AA363" s="937"/>
      <c r="AB363" s="920"/>
      <c r="AC363" s="937"/>
      <c r="AD363" s="937"/>
      <c r="AE363" s="937"/>
      <c r="AF363" s="935"/>
      <c r="AG363" s="906" t="str">
        <f>IF(AE363&lt;&gt;0,VLOOKUP(AE363,ODDS!$A$2:$C$13,3,0),"")</f>
        <v/>
      </c>
      <c r="AH363" s="906" t="str">
        <f t="shared" si="77"/>
        <v xml:space="preserve"> </v>
      </c>
      <c r="AI363" s="907" t="str">
        <f t="shared" si="73"/>
        <v xml:space="preserve"> </v>
      </c>
      <c r="AJ363" s="943"/>
      <c r="AK363" s="943"/>
    </row>
    <row r="364" spans="1:37" s="376" customFormat="1" ht="67.5" outlineLevel="2" x14ac:dyDescent="0.3">
      <c r="A364" s="447">
        <f t="shared" si="79"/>
        <v>33</v>
      </c>
      <c r="B364" s="893"/>
      <c r="C364" s="908"/>
      <c r="D364" s="930"/>
      <c r="E364" s="923"/>
      <c r="F364" s="896"/>
      <c r="G364" s="894"/>
      <c r="H364" s="924"/>
      <c r="I364" s="882"/>
      <c r="J364" s="929"/>
      <c r="K364" s="899" t="str">
        <f>IF(G364&lt;&gt;0,VLOOKUP(G364,'gia dat'!$A$1:$F$144,5,0)," ")</f>
        <v xml:space="preserve"> </v>
      </c>
      <c r="L364" s="899" t="str">
        <f>IF(G364&lt;&gt;0,VLOOKUP(G364,'gia dat'!$A$1:$F$144,6,0)," ")</f>
        <v xml:space="preserve"> </v>
      </c>
      <c r="M364" s="900" t="str">
        <f t="shared" si="81"/>
        <v xml:space="preserve"> </v>
      </c>
      <c r="N364" s="900" t="str">
        <f t="shared" si="82"/>
        <v xml:space="preserve"> </v>
      </c>
      <c r="O364" s="922" t="s">
        <v>167</v>
      </c>
      <c r="P364" s="965">
        <v>1</v>
      </c>
      <c r="Q364" s="900">
        <f>IF(O364&lt;&gt;0,VLOOKUP(O364,'Cây trong'!$A$2:$C$246,3,0)," ")</f>
        <v>150000</v>
      </c>
      <c r="R364" s="900">
        <f t="shared" si="76"/>
        <v>150000</v>
      </c>
      <c r="S364" s="922" t="s">
        <v>1749</v>
      </c>
      <c r="T364" s="944" t="s">
        <v>53</v>
      </c>
      <c r="U364" s="927">
        <v>5.5</v>
      </c>
      <c r="V364" s="946"/>
      <c r="W364" s="900">
        <f>IF(S364&lt;&gt;0,VLOOKUP(S364,VKT!$A$2:$G$415,7,0),"")</f>
        <v>211811</v>
      </c>
      <c r="X364" s="900">
        <f t="shared" si="80"/>
        <v>1165000</v>
      </c>
      <c r="Y364" s="898"/>
      <c r="Z364" s="928"/>
      <c r="AA364" s="928"/>
      <c r="AB364" s="904"/>
      <c r="AC364" s="928"/>
      <c r="AD364" s="928"/>
      <c r="AE364" s="928"/>
      <c r="AF364" s="926"/>
      <c r="AG364" s="906" t="str">
        <f>IF(AE364&lt;&gt;0,VLOOKUP(AE364,ODDS!$A$2:$C$13,3,0),"")</f>
        <v/>
      </c>
      <c r="AH364" s="906" t="str">
        <f t="shared" si="77"/>
        <v xml:space="preserve"> </v>
      </c>
      <c r="AI364" s="907" t="str">
        <f t="shared" si="73"/>
        <v xml:space="preserve"> </v>
      </c>
      <c r="AJ364" s="929"/>
      <c r="AK364" s="929"/>
    </row>
    <row r="365" spans="1:37" s="376" customFormat="1" ht="45" outlineLevel="2" x14ac:dyDescent="0.3">
      <c r="A365" s="447">
        <f t="shared" si="79"/>
        <v>33</v>
      </c>
      <c r="B365" s="893"/>
      <c r="C365" s="908"/>
      <c r="D365" s="939"/>
      <c r="E365" s="947"/>
      <c r="F365" s="947"/>
      <c r="G365" s="922"/>
      <c r="H365" s="924"/>
      <c r="I365" s="882"/>
      <c r="J365" s="929"/>
      <c r="K365" s="899" t="str">
        <f>IF(G365&lt;&gt;0,VLOOKUP(G365,'gia dat'!$A$1:$F$144,5,0)," ")</f>
        <v xml:space="preserve"> </v>
      </c>
      <c r="L365" s="899" t="str">
        <f>IF(G365&lt;&gt;0,VLOOKUP(G365,'gia dat'!$A$1:$F$144,6,0)," ")</f>
        <v xml:space="preserve"> </v>
      </c>
      <c r="M365" s="900" t="str">
        <f t="shared" si="81"/>
        <v xml:space="preserve"> </v>
      </c>
      <c r="N365" s="900" t="str">
        <f t="shared" si="82"/>
        <v xml:space="preserve"> </v>
      </c>
      <c r="O365" s="922" t="s">
        <v>91</v>
      </c>
      <c r="P365" s="965">
        <v>1</v>
      </c>
      <c r="Q365" s="900">
        <f>IF(O365&lt;&gt;0,VLOOKUP(O365,'Cây trong'!$A$2:$C$246,3,0)," ")</f>
        <v>93000</v>
      </c>
      <c r="R365" s="900">
        <f t="shared" si="76"/>
        <v>93000</v>
      </c>
      <c r="S365" s="922" t="s">
        <v>2289</v>
      </c>
      <c r="T365" s="944" t="s">
        <v>53</v>
      </c>
      <c r="U365" s="927">
        <v>15.81</v>
      </c>
      <c r="V365" s="946"/>
      <c r="W365" s="900">
        <f>IF(S365&lt;&gt;0,VLOOKUP(S365,VKT!$A$2:$G$415,7,0),"")</f>
        <v>684506</v>
      </c>
      <c r="X365" s="900">
        <f t="shared" si="80"/>
        <v>10822000</v>
      </c>
      <c r="Y365" s="925"/>
      <c r="Z365" s="928"/>
      <c r="AA365" s="928"/>
      <c r="AB365" s="904"/>
      <c r="AC365" s="928"/>
      <c r="AD365" s="928"/>
      <c r="AE365" s="928"/>
      <c r="AF365" s="926"/>
      <c r="AG365" s="906" t="str">
        <f>IF(AE365&lt;&gt;0,VLOOKUP(AE365,ODDS!$A$2:$C$13,3,0),"")</f>
        <v/>
      </c>
      <c r="AH365" s="906" t="str">
        <f t="shared" si="77"/>
        <v xml:space="preserve"> </v>
      </c>
      <c r="AI365" s="907" t="str">
        <f t="shared" si="73"/>
        <v xml:space="preserve"> </v>
      </c>
      <c r="AJ365" s="929"/>
      <c r="AK365" s="929"/>
    </row>
    <row r="366" spans="1:37" s="376" customFormat="1" ht="67.5" outlineLevel="2" x14ac:dyDescent="0.3">
      <c r="A366" s="447">
        <f t="shared" si="79"/>
        <v>33</v>
      </c>
      <c r="B366" s="893"/>
      <c r="C366" s="908"/>
      <c r="D366" s="923"/>
      <c r="E366" s="923"/>
      <c r="F366" s="896"/>
      <c r="G366" s="894"/>
      <c r="H366" s="924"/>
      <c r="I366" s="882"/>
      <c r="J366" s="929"/>
      <c r="K366" s="899" t="str">
        <f>IF(G366&lt;&gt;0,VLOOKUP(G366,'gia dat'!$A$1:$F$144,5,0)," ")</f>
        <v xml:space="preserve"> </v>
      </c>
      <c r="L366" s="899" t="str">
        <f>IF(G366&lt;&gt;0,VLOOKUP(G366,'gia dat'!$A$1:$F$144,6,0)," ")</f>
        <v xml:space="preserve"> </v>
      </c>
      <c r="M366" s="900" t="str">
        <f t="shared" si="81"/>
        <v xml:space="preserve"> </v>
      </c>
      <c r="N366" s="900" t="str">
        <f t="shared" si="82"/>
        <v xml:space="preserve"> </v>
      </c>
      <c r="O366" s="922" t="s">
        <v>131</v>
      </c>
      <c r="P366" s="965">
        <v>1</v>
      </c>
      <c r="Q366" s="900">
        <f>IF(O366&lt;&gt;0,VLOOKUP(O366,'Cây trong'!$A$2:$C$246,3,0)," ")</f>
        <v>228000</v>
      </c>
      <c r="R366" s="900">
        <f t="shared" si="76"/>
        <v>228000</v>
      </c>
      <c r="S366" s="922" t="s">
        <v>1749</v>
      </c>
      <c r="T366" s="944" t="s">
        <v>53</v>
      </c>
      <c r="U366" s="927">
        <v>3.6</v>
      </c>
      <c r="V366" s="946"/>
      <c r="W366" s="900">
        <f>IF(S366&lt;&gt;0,VLOOKUP(S366,VKT!$A$2:$G$415,7,0),"")</f>
        <v>211811</v>
      </c>
      <c r="X366" s="900">
        <f t="shared" si="80"/>
        <v>763000</v>
      </c>
      <c r="Y366" s="925"/>
      <c r="Z366" s="928"/>
      <c r="AA366" s="928"/>
      <c r="AB366" s="904"/>
      <c r="AC366" s="928"/>
      <c r="AD366" s="928"/>
      <c r="AE366" s="928"/>
      <c r="AF366" s="926"/>
      <c r="AG366" s="906" t="str">
        <f>IF(AE366&lt;&gt;0,VLOOKUP(AE366,ODDS!$A$2:$C$13,3,0),"")</f>
        <v/>
      </c>
      <c r="AH366" s="906" t="str">
        <f t="shared" si="77"/>
        <v xml:space="preserve"> </v>
      </c>
      <c r="AI366" s="907" t="str">
        <f t="shared" si="73"/>
        <v xml:space="preserve"> </v>
      </c>
      <c r="AJ366" s="929"/>
      <c r="AK366" s="929"/>
    </row>
    <row r="367" spans="1:37" s="376" customFormat="1" ht="45" outlineLevel="2" x14ac:dyDescent="0.3">
      <c r="A367" s="447">
        <f t="shared" si="79"/>
        <v>33</v>
      </c>
      <c r="B367" s="893"/>
      <c r="C367" s="894"/>
      <c r="D367" s="923"/>
      <c r="E367" s="923"/>
      <c r="F367" s="896"/>
      <c r="G367" s="894"/>
      <c r="H367" s="924"/>
      <c r="I367" s="882"/>
      <c r="J367" s="929"/>
      <c r="K367" s="899" t="str">
        <f>IF(G367&lt;&gt;0,VLOOKUP(G367,'gia dat'!$A$1:$F$144,5,0)," ")</f>
        <v xml:space="preserve"> </v>
      </c>
      <c r="L367" s="899" t="str">
        <f>IF(G367&lt;&gt;0,VLOOKUP(G367,'gia dat'!$A$1:$F$144,6,0)," ")</f>
        <v xml:space="preserve"> </v>
      </c>
      <c r="M367" s="900" t="str">
        <f t="shared" si="81"/>
        <v xml:space="preserve"> </v>
      </c>
      <c r="N367" s="900" t="str">
        <f t="shared" si="82"/>
        <v xml:space="preserve"> </v>
      </c>
      <c r="O367" s="922" t="s">
        <v>168</v>
      </c>
      <c r="P367" s="965">
        <v>1</v>
      </c>
      <c r="Q367" s="900">
        <f>IF(O367&lt;&gt;0,VLOOKUP(O367,'Cây trong'!$A$2:$C$246,3,0)," ")</f>
        <v>580000</v>
      </c>
      <c r="R367" s="900">
        <f t="shared" si="76"/>
        <v>580000</v>
      </c>
      <c r="S367" s="922" t="s">
        <v>1748</v>
      </c>
      <c r="T367" s="944" t="s">
        <v>53</v>
      </c>
      <c r="U367" s="927">
        <v>1.76</v>
      </c>
      <c r="V367" s="946"/>
      <c r="W367" s="900">
        <f>IF(S367&lt;&gt;0,VLOOKUP(S367,VKT!$A$2:$G$415,7,0),"")</f>
        <v>0</v>
      </c>
      <c r="X367" s="900">
        <f t="shared" si="80"/>
        <v>0</v>
      </c>
      <c r="Y367" s="925"/>
      <c r="Z367" s="928"/>
      <c r="AA367" s="928"/>
      <c r="AB367" s="904"/>
      <c r="AC367" s="928"/>
      <c r="AD367" s="928"/>
      <c r="AE367" s="928"/>
      <c r="AF367" s="926"/>
      <c r="AG367" s="906" t="str">
        <f>IF(AE367&lt;&gt;0,VLOOKUP(AE367,ODDS!$A$2:$C$13,3,0),"")</f>
        <v/>
      </c>
      <c r="AH367" s="906" t="str">
        <f t="shared" si="77"/>
        <v xml:space="preserve"> </v>
      </c>
      <c r="AI367" s="907" t="str">
        <f t="shared" si="73"/>
        <v xml:space="preserve"> </v>
      </c>
      <c r="AJ367" s="929"/>
      <c r="AK367" s="929"/>
    </row>
    <row r="368" spans="1:37" s="376" customFormat="1" ht="67.5" outlineLevel="2" x14ac:dyDescent="0.3">
      <c r="A368" s="447">
        <f t="shared" si="79"/>
        <v>33</v>
      </c>
      <c r="B368" s="893"/>
      <c r="C368" s="894"/>
      <c r="D368" s="923"/>
      <c r="E368" s="923"/>
      <c r="F368" s="896"/>
      <c r="G368" s="894"/>
      <c r="H368" s="924"/>
      <c r="I368" s="882"/>
      <c r="J368" s="929"/>
      <c r="K368" s="899" t="str">
        <f>IF(G368&lt;&gt;0,VLOOKUP(G368,'gia dat'!$A$1:$F$144,5,0)," ")</f>
        <v xml:space="preserve"> </v>
      </c>
      <c r="L368" s="899" t="str">
        <f>IF(G368&lt;&gt;0,VLOOKUP(G368,'gia dat'!$A$1:$F$144,6,0)," ")</f>
        <v xml:space="preserve"> </v>
      </c>
      <c r="M368" s="900" t="str">
        <f t="shared" si="81"/>
        <v xml:space="preserve"> </v>
      </c>
      <c r="N368" s="900" t="str">
        <f t="shared" si="82"/>
        <v xml:space="preserve"> </v>
      </c>
      <c r="O368" s="922"/>
      <c r="P368" s="965"/>
      <c r="Q368" s="900" t="str">
        <f>IF(O368&lt;&gt;0,VLOOKUP(O368,'Cây trong'!$A$2:$C$246,3,0)," ")</f>
        <v xml:space="preserve"> </v>
      </c>
      <c r="R368" s="900" t="str">
        <f t="shared" si="76"/>
        <v xml:space="preserve"> </v>
      </c>
      <c r="S368" s="922" t="s">
        <v>1749</v>
      </c>
      <c r="T368" s="944" t="s">
        <v>53</v>
      </c>
      <c r="U368" s="927">
        <v>1.76</v>
      </c>
      <c r="V368" s="946"/>
      <c r="W368" s="900">
        <f>IF(S368&lt;&gt;0,VLOOKUP(S368,VKT!$A$2:$G$415,7,0),"")</f>
        <v>211811</v>
      </c>
      <c r="X368" s="900">
        <f t="shared" si="80"/>
        <v>373000</v>
      </c>
      <c r="Y368" s="925"/>
      <c r="Z368" s="928"/>
      <c r="AA368" s="928"/>
      <c r="AB368" s="904"/>
      <c r="AC368" s="928"/>
      <c r="AD368" s="928"/>
      <c r="AE368" s="928"/>
      <c r="AF368" s="926"/>
      <c r="AG368" s="906" t="str">
        <f>IF(AE368&lt;&gt;0,VLOOKUP(AE368,ODDS!$A$2:$C$13,3,0),"")</f>
        <v/>
      </c>
      <c r="AH368" s="906" t="str">
        <f t="shared" si="77"/>
        <v xml:space="preserve"> </v>
      </c>
      <c r="AI368" s="907" t="str">
        <f t="shared" si="73"/>
        <v xml:space="preserve"> </v>
      </c>
      <c r="AJ368" s="929"/>
      <c r="AK368" s="929"/>
    </row>
    <row r="369" spans="1:37" s="376" customFormat="1" ht="45" outlineLevel="2" x14ac:dyDescent="0.3">
      <c r="A369" s="447">
        <f t="shared" si="79"/>
        <v>33</v>
      </c>
      <c r="B369" s="893"/>
      <c r="C369" s="894"/>
      <c r="D369" s="923"/>
      <c r="E369" s="923"/>
      <c r="F369" s="896"/>
      <c r="G369" s="894"/>
      <c r="H369" s="924"/>
      <c r="I369" s="882"/>
      <c r="J369" s="929"/>
      <c r="K369" s="899" t="str">
        <f>IF(G369&lt;&gt;0,VLOOKUP(G369,'gia dat'!$A$1:$F$144,5,0)," ")</f>
        <v xml:space="preserve"> </v>
      </c>
      <c r="L369" s="899" t="str">
        <f>IF(G369&lt;&gt;0,VLOOKUP(G369,'gia dat'!$A$1:$F$144,6,0)," ")</f>
        <v xml:space="preserve"> </v>
      </c>
      <c r="M369" s="900" t="str">
        <f t="shared" si="81"/>
        <v xml:space="preserve"> </v>
      </c>
      <c r="N369" s="900" t="str">
        <f t="shared" si="82"/>
        <v xml:space="preserve"> </v>
      </c>
      <c r="O369" s="922"/>
      <c r="P369" s="965"/>
      <c r="Q369" s="900" t="str">
        <f>IF(O369&lt;&gt;0,VLOOKUP(O369,'Cây trong'!$A$2:$C$246,3,0)," ")</f>
        <v xml:space="preserve"> </v>
      </c>
      <c r="R369" s="900" t="str">
        <f t="shared" si="76"/>
        <v xml:space="preserve"> </v>
      </c>
      <c r="S369" s="922" t="s">
        <v>2291</v>
      </c>
      <c r="T369" s="944" t="s">
        <v>78</v>
      </c>
      <c r="U369" s="927">
        <v>0.03</v>
      </c>
      <c r="V369" s="946"/>
      <c r="W369" s="900">
        <f>IF(S369&lt;&gt;0,VLOOKUP(S369,VKT!$A$2:$G$415,7,0),"")</f>
        <v>0</v>
      </c>
      <c r="X369" s="900">
        <f t="shared" si="80"/>
        <v>0</v>
      </c>
      <c r="Y369" s="925"/>
      <c r="Z369" s="928"/>
      <c r="AA369" s="928"/>
      <c r="AB369" s="904"/>
      <c r="AC369" s="928"/>
      <c r="AD369" s="928"/>
      <c r="AE369" s="928"/>
      <c r="AF369" s="926"/>
      <c r="AG369" s="906" t="str">
        <f>IF(AE369&lt;&gt;0,VLOOKUP(AE369,ODDS!$A$2:$C$13,3,0),"")</f>
        <v/>
      </c>
      <c r="AH369" s="906" t="str">
        <f t="shared" si="77"/>
        <v xml:space="preserve"> </v>
      </c>
      <c r="AI369" s="907" t="str">
        <f t="shared" si="73"/>
        <v xml:space="preserve"> </v>
      </c>
      <c r="AJ369" s="929"/>
      <c r="AK369" s="929"/>
    </row>
    <row r="370" spans="1:37" s="376" customFormat="1" ht="67.5" outlineLevel="2" x14ac:dyDescent="0.3">
      <c r="A370" s="447">
        <f t="shared" si="79"/>
        <v>33</v>
      </c>
      <c r="B370" s="893"/>
      <c r="C370" s="894"/>
      <c r="D370" s="923"/>
      <c r="E370" s="923"/>
      <c r="F370" s="896"/>
      <c r="G370" s="894"/>
      <c r="H370" s="924"/>
      <c r="I370" s="882"/>
      <c r="J370" s="929"/>
      <c r="K370" s="899" t="str">
        <f>IF(G370&lt;&gt;0,VLOOKUP(G370,'gia dat'!$A$1:$F$144,5,0)," ")</f>
        <v xml:space="preserve"> </v>
      </c>
      <c r="L370" s="899" t="str">
        <f>IF(G370&lt;&gt;0,VLOOKUP(G370,'gia dat'!$A$1:$F$144,6,0)," ")</f>
        <v xml:space="preserve"> </v>
      </c>
      <c r="M370" s="900" t="str">
        <f t="shared" si="81"/>
        <v xml:space="preserve"> </v>
      </c>
      <c r="N370" s="900" t="str">
        <f t="shared" si="82"/>
        <v xml:space="preserve"> </v>
      </c>
      <c r="O370" s="922"/>
      <c r="P370" s="965"/>
      <c r="Q370" s="900" t="str">
        <f>IF(O370&lt;&gt;0,VLOOKUP(O370,'Cây trong'!$A$2:$C$246,3,0)," ")</f>
        <v xml:space="preserve"> </v>
      </c>
      <c r="R370" s="900" t="str">
        <f t="shared" si="76"/>
        <v xml:space="preserve"> </v>
      </c>
      <c r="S370" s="922" t="s">
        <v>2292</v>
      </c>
      <c r="T370" s="944" t="s">
        <v>53</v>
      </c>
      <c r="U370" s="927">
        <v>0.8</v>
      </c>
      <c r="V370" s="946"/>
      <c r="W370" s="900">
        <f>IF(S370&lt;&gt;0,VLOOKUP(S370,VKT!$A$2:$G$415,7,0),"")</f>
        <v>310020</v>
      </c>
      <c r="X370" s="900">
        <f t="shared" si="80"/>
        <v>248000</v>
      </c>
      <c r="Y370" s="925"/>
      <c r="Z370" s="928"/>
      <c r="AA370" s="928"/>
      <c r="AB370" s="904"/>
      <c r="AC370" s="928"/>
      <c r="AD370" s="928"/>
      <c r="AE370" s="928"/>
      <c r="AF370" s="926"/>
      <c r="AG370" s="906" t="str">
        <f>IF(AE370&lt;&gt;0,VLOOKUP(AE370,ODDS!$A$2:$C$13,3,0),"")</f>
        <v/>
      </c>
      <c r="AH370" s="906" t="str">
        <f t="shared" si="77"/>
        <v xml:space="preserve"> </v>
      </c>
      <c r="AI370" s="907" t="str">
        <f t="shared" si="73"/>
        <v xml:space="preserve"> </v>
      </c>
      <c r="AJ370" s="929"/>
      <c r="AK370" s="929"/>
    </row>
    <row r="371" spans="1:37" s="376" customFormat="1" ht="45" outlineLevel="2" x14ac:dyDescent="0.3">
      <c r="A371" s="447">
        <f t="shared" si="79"/>
        <v>33</v>
      </c>
      <c r="B371" s="893"/>
      <c r="C371" s="894"/>
      <c r="D371" s="923"/>
      <c r="E371" s="923"/>
      <c r="F371" s="896"/>
      <c r="G371" s="894"/>
      <c r="H371" s="924"/>
      <c r="I371" s="882"/>
      <c r="J371" s="929"/>
      <c r="K371" s="899" t="str">
        <f>IF(G371&lt;&gt;0,VLOOKUP(G371,'gia dat'!$A$1:$F$144,5,0)," ")</f>
        <v xml:space="preserve"> </v>
      </c>
      <c r="L371" s="899" t="str">
        <f>IF(G371&lt;&gt;0,VLOOKUP(G371,'gia dat'!$A$1:$F$144,6,0)," ")</f>
        <v xml:space="preserve"> </v>
      </c>
      <c r="M371" s="900" t="str">
        <f t="shared" si="81"/>
        <v xml:space="preserve"> </v>
      </c>
      <c r="N371" s="900" t="str">
        <f t="shared" si="82"/>
        <v xml:space="preserve"> </v>
      </c>
      <c r="O371" s="922"/>
      <c r="P371" s="965"/>
      <c r="Q371" s="900" t="str">
        <f>IF(O371&lt;&gt;0,VLOOKUP(O371,'Cây trong'!$A$2:$C$246,3,0)," ")</f>
        <v xml:space="preserve"> </v>
      </c>
      <c r="R371" s="900" t="str">
        <f t="shared" si="76"/>
        <v xml:space="preserve"> </v>
      </c>
      <c r="S371" s="922" t="s">
        <v>2293</v>
      </c>
      <c r="T371" s="944" t="s">
        <v>53</v>
      </c>
      <c r="U371" s="927">
        <v>0.5</v>
      </c>
      <c r="V371" s="946"/>
      <c r="W371" s="900">
        <f>IF(S371&lt;&gt;0,VLOOKUP(S371,VKT!$A$2:$G$415,7,0),"")</f>
        <v>254982</v>
      </c>
      <c r="X371" s="900">
        <f t="shared" si="80"/>
        <v>127000</v>
      </c>
      <c r="Y371" s="925"/>
      <c r="Z371" s="928"/>
      <c r="AA371" s="928"/>
      <c r="AB371" s="904"/>
      <c r="AC371" s="928"/>
      <c r="AD371" s="928"/>
      <c r="AE371" s="928"/>
      <c r="AF371" s="926"/>
      <c r="AG371" s="906" t="str">
        <f>IF(AE371&lt;&gt;0,VLOOKUP(AE371,ODDS!$A$2:$C$13,3,0),"")</f>
        <v/>
      </c>
      <c r="AH371" s="906" t="str">
        <f t="shared" si="77"/>
        <v xml:space="preserve"> </v>
      </c>
      <c r="AI371" s="907" t="str">
        <f t="shared" si="73"/>
        <v xml:space="preserve"> </v>
      </c>
      <c r="AJ371" s="929"/>
      <c r="AK371" s="929"/>
    </row>
    <row r="372" spans="1:37" s="376" customFormat="1" ht="45" outlineLevel="2" x14ac:dyDescent="0.3">
      <c r="A372" s="447">
        <f t="shared" si="79"/>
        <v>33</v>
      </c>
      <c r="B372" s="893"/>
      <c r="C372" s="910"/>
      <c r="D372" s="923"/>
      <c r="E372" s="923"/>
      <c r="F372" s="896"/>
      <c r="G372" s="894"/>
      <c r="H372" s="924"/>
      <c r="I372" s="882"/>
      <c r="J372" s="929"/>
      <c r="K372" s="899" t="str">
        <f>IF(G372&lt;&gt;0,VLOOKUP(G372,'gia dat'!$A$1:$F$144,5,0)," ")</f>
        <v xml:space="preserve"> </v>
      </c>
      <c r="L372" s="899" t="str">
        <f>IF(G372&lt;&gt;0,VLOOKUP(G372,'gia dat'!$A$1:$F$144,6,0)," ")</f>
        <v xml:space="preserve"> </v>
      </c>
      <c r="M372" s="900" t="str">
        <f t="shared" si="81"/>
        <v xml:space="preserve"> </v>
      </c>
      <c r="N372" s="900" t="str">
        <f t="shared" si="82"/>
        <v xml:space="preserve"> </v>
      </c>
      <c r="O372" s="922"/>
      <c r="P372" s="965"/>
      <c r="Q372" s="900" t="str">
        <f>IF(O372&lt;&gt;0,VLOOKUP(O372,'Cây trong'!$A$2:$C$246,3,0)," ")</f>
        <v xml:space="preserve"> </v>
      </c>
      <c r="R372" s="900" t="str">
        <f t="shared" si="76"/>
        <v xml:space="preserve"> </v>
      </c>
      <c r="S372" s="922" t="s">
        <v>1748</v>
      </c>
      <c r="T372" s="944" t="s">
        <v>53</v>
      </c>
      <c r="U372" s="927">
        <v>2.66</v>
      </c>
      <c r="V372" s="976"/>
      <c r="W372" s="900">
        <f>IF(S372&lt;&gt;0,VLOOKUP(S372,VKT!$A$2:$G$415,7,0),"")</f>
        <v>0</v>
      </c>
      <c r="X372" s="900">
        <f t="shared" si="80"/>
        <v>0</v>
      </c>
      <c r="Y372" s="925"/>
      <c r="Z372" s="928"/>
      <c r="AA372" s="928"/>
      <c r="AB372" s="904"/>
      <c r="AC372" s="928"/>
      <c r="AD372" s="928"/>
      <c r="AE372" s="928"/>
      <c r="AF372" s="926"/>
      <c r="AG372" s="906" t="str">
        <f>IF(AE372&lt;&gt;0,VLOOKUP(AE372,ODDS!$A$2:$C$13,3,0),"")</f>
        <v/>
      </c>
      <c r="AH372" s="906" t="str">
        <f t="shared" si="77"/>
        <v xml:space="preserve"> </v>
      </c>
      <c r="AI372" s="907" t="str">
        <f t="shared" si="73"/>
        <v xml:space="preserve"> </v>
      </c>
      <c r="AJ372" s="929"/>
      <c r="AK372" s="929"/>
    </row>
    <row r="373" spans="1:37" s="376" customFormat="1" ht="45" outlineLevel="2" x14ac:dyDescent="0.3">
      <c r="A373" s="447">
        <f t="shared" si="79"/>
        <v>33</v>
      </c>
      <c r="B373" s="893"/>
      <c r="C373" s="910"/>
      <c r="D373" s="923"/>
      <c r="E373" s="923"/>
      <c r="F373" s="896"/>
      <c r="G373" s="894"/>
      <c r="H373" s="924"/>
      <c r="I373" s="882"/>
      <c r="J373" s="929"/>
      <c r="K373" s="899" t="str">
        <f>IF(G373&lt;&gt;0,VLOOKUP(G373,'gia dat'!$A$1:$F$144,5,0)," ")</f>
        <v xml:space="preserve"> </v>
      </c>
      <c r="L373" s="899" t="str">
        <f>IF(G373&lt;&gt;0,VLOOKUP(G373,'gia dat'!$A$1:$F$144,6,0)," ")</f>
        <v xml:space="preserve"> </v>
      </c>
      <c r="M373" s="900" t="str">
        <f t="shared" si="81"/>
        <v xml:space="preserve"> </v>
      </c>
      <c r="N373" s="900" t="str">
        <f t="shared" si="82"/>
        <v xml:space="preserve"> </v>
      </c>
      <c r="O373" s="922"/>
      <c r="P373" s="965"/>
      <c r="Q373" s="900" t="str">
        <f>IF(O373&lt;&gt;0,VLOOKUP(O373,'Cây trong'!$A$2:$C$246,3,0)," ")</f>
        <v xml:space="preserve"> </v>
      </c>
      <c r="R373" s="900" t="str">
        <f t="shared" si="76"/>
        <v xml:space="preserve"> </v>
      </c>
      <c r="S373" s="922" t="s">
        <v>1839</v>
      </c>
      <c r="T373" s="944" t="s">
        <v>53</v>
      </c>
      <c r="U373" s="927">
        <v>4.8</v>
      </c>
      <c r="V373" s="976"/>
      <c r="W373" s="900">
        <f>IF(S373&lt;&gt;0,VLOOKUP(S373,VKT!$A$2:$G$415,7,0),"")</f>
        <v>244604</v>
      </c>
      <c r="X373" s="900">
        <f t="shared" si="80"/>
        <v>1174000</v>
      </c>
      <c r="Y373" s="925"/>
      <c r="Z373" s="928"/>
      <c r="AA373" s="928"/>
      <c r="AB373" s="904"/>
      <c r="AC373" s="928"/>
      <c r="AD373" s="928"/>
      <c r="AE373" s="928"/>
      <c r="AF373" s="926"/>
      <c r="AG373" s="906" t="str">
        <f>IF(AE373&lt;&gt;0,VLOOKUP(AE373,ODDS!$A$2:$C$13,3,0),"")</f>
        <v/>
      </c>
      <c r="AH373" s="906" t="str">
        <f t="shared" si="77"/>
        <v xml:space="preserve"> </v>
      </c>
      <c r="AI373" s="907" t="str">
        <f t="shared" si="73"/>
        <v xml:space="preserve"> </v>
      </c>
      <c r="AJ373" s="929"/>
      <c r="AK373" s="929"/>
    </row>
    <row r="374" spans="1:37" s="376" customFormat="1" ht="90" outlineLevel="2" x14ac:dyDescent="0.3">
      <c r="A374" s="447">
        <f t="shared" si="79"/>
        <v>33</v>
      </c>
      <c r="B374" s="893"/>
      <c r="C374" s="910"/>
      <c r="D374" s="923"/>
      <c r="E374" s="923"/>
      <c r="F374" s="896"/>
      <c r="G374" s="894"/>
      <c r="H374" s="924"/>
      <c r="I374" s="882"/>
      <c r="J374" s="929"/>
      <c r="K374" s="899" t="str">
        <f>IF(G374&lt;&gt;0,VLOOKUP(G374,'gia dat'!$A$1:$F$144,5,0)," ")</f>
        <v xml:space="preserve"> </v>
      </c>
      <c r="L374" s="899" t="str">
        <f>IF(G374&lt;&gt;0,VLOOKUP(G374,'gia dat'!$A$1:$F$144,6,0)," ")</f>
        <v xml:space="preserve"> </v>
      </c>
      <c r="M374" s="900" t="str">
        <f t="shared" si="81"/>
        <v xml:space="preserve"> </v>
      </c>
      <c r="N374" s="900" t="str">
        <f t="shared" si="82"/>
        <v xml:space="preserve"> </v>
      </c>
      <c r="O374" s="922"/>
      <c r="P374" s="965"/>
      <c r="Q374" s="900" t="str">
        <f>IF(O374&lt;&gt;0,VLOOKUP(O374,'Cây trong'!$A$2:$C$246,3,0)," ")</f>
        <v xml:space="preserve"> </v>
      </c>
      <c r="R374" s="900" t="str">
        <f t="shared" si="76"/>
        <v xml:space="preserve"> </v>
      </c>
      <c r="S374" s="922" t="s">
        <v>2294</v>
      </c>
      <c r="T374" s="944" t="s">
        <v>53</v>
      </c>
      <c r="U374" s="927">
        <v>0.45</v>
      </c>
      <c r="V374" s="976"/>
      <c r="W374" s="900">
        <f>IF(S374&lt;&gt;0,VLOOKUP(S374,VKT!$A$2:$G$415,7,0),"")</f>
        <v>441467</v>
      </c>
      <c r="X374" s="900">
        <f t="shared" si="80"/>
        <v>199000</v>
      </c>
      <c r="Y374" s="925"/>
      <c r="Z374" s="928"/>
      <c r="AA374" s="928"/>
      <c r="AB374" s="904"/>
      <c r="AC374" s="928"/>
      <c r="AD374" s="928"/>
      <c r="AE374" s="928"/>
      <c r="AF374" s="926"/>
      <c r="AG374" s="906" t="str">
        <f>IF(AE374&lt;&gt;0,VLOOKUP(AE374,ODDS!$A$2:$C$13,3,0),"")</f>
        <v/>
      </c>
      <c r="AH374" s="906" t="str">
        <f t="shared" si="77"/>
        <v xml:space="preserve"> </v>
      </c>
      <c r="AI374" s="907" t="str">
        <f t="shared" si="73"/>
        <v xml:space="preserve"> </v>
      </c>
      <c r="AJ374" s="929"/>
      <c r="AK374" s="929"/>
    </row>
    <row r="375" spans="1:37" s="376" customFormat="1" ht="90" outlineLevel="2" x14ac:dyDescent="0.3">
      <c r="A375" s="447">
        <f t="shared" si="79"/>
        <v>33</v>
      </c>
      <c r="B375" s="893"/>
      <c r="C375" s="910"/>
      <c r="D375" s="923"/>
      <c r="E375" s="923"/>
      <c r="F375" s="896"/>
      <c r="G375" s="894"/>
      <c r="H375" s="924"/>
      <c r="I375" s="882"/>
      <c r="J375" s="929"/>
      <c r="K375" s="899" t="str">
        <f>IF(G375&lt;&gt;0,VLOOKUP(G375,'gia dat'!$A$1:$F$144,5,0)," ")</f>
        <v xml:space="preserve"> </v>
      </c>
      <c r="L375" s="899" t="str">
        <f>IF(G375&lt;&gt;0,VLOOKUP(G375,'gia dat'!$A$1:$F$144,6,0)," ")</f>
        <v xml:space="preserve"> </v>
      </c>
      <c r="M375" s="900" t="str">
        <f t="shared" si="81"/>
        <v xml:space="preserve"> </v>
      </c>
      <c r="N375" s="900" t="str">
        <f t="shared" si="82"/>
        <v xml:space="preserve"> </v>
      </c>
      <c r="O375" s="922"/>
      <c r="P375" s="965"/>
      <c r="Q375" s="900" t="str">
        <f>IF(O375&lt;&gt;0,VLOOKUP(O375,'Cây trong'!$A$2:$C$246,3,0)," ")</f>
        <v xml:space="preserve"> </v>
      </c>
      <c r="R375" s="900" t="str">
        <f t="shared" si="76"/>
        <v xml:space="preserve"> </v>
      </c>
      <c r="S375" s="922" t="s">
        <v>1858</v>
      </c>
      <c r="T375" s="944" t="s">
        <v>53</v>
      </c>
      <c r="U375" s="927">
        <v>2.2000000000000002</v>
      </c>
      <c r="V375" s="976"/>
      <c r="W375" s="900">
        <f>IF(S375&lt;&gt;0,VLOOKUP(S375,VKT!$A$2:$G$415,7,0),"")</f>
        <v>441467</v>
      </c>
      <c r="X375" s="900">
        <f t="shared" si="80"/>
        <v>971000</v>
      </c>
      <c r="Y375" s="925"/>
      <c r="Z375" s="928"/>
      <c r="AA375" s="928"/>
      <c r="AB375" s="904"/>
      <c r="AC375" s="928"/>
      <c r="AD375" s="928"/>
      <c r="AE375" s="928"/>
      <c r="AF375" s="926"/>
      <c r="AG375" s="906" t="str">
        <f>IF(AE375&lt;&gt;0,VLOOKUP(AE375,ODDS!$A$2:$C$13,3,0),"")</f>
        <v/>
      </c>
      <c r="AH375" s="906" t="str">
        <f t="shared" si="77"/>
        <v xml:space="preserve"> </v>
      </c>
      <c r="AI375" s="907" t="str">
        <f t="shared" si="73"/>
        <v xml:space="preserve"> </v>
      </c>
      <c r="AJ375" s="929"/>
      <c r="AK375" s="929"/>
    </row>
    <row r="376" spans="1:37" s="376" customFormat="1" ht="67.5" outlineLevel="2" x14ac:dyDescent="0.3">
      <c r="A376" s="447">
        <f t="shared" si="79"/>
        <v>33</v>
      </c>
      <c r="B376" s="893"/>
      <c r="C376" s="910"/>
      <c r="D376" s="923"/>
      <c r="E376" s="923"/>
      <c r="F376" s="896"/>
      <c r="G376" s="894"/>
      <c r="H376" s="924"/>
      <c r="I376" s="882"/>
      <c r="J376" s="925"/>
      <c r="K376" s="899" t="str">
        <f>IF(G376&lt;&gt;0,VLOOKUP(G376,'gia dat'!$A$1:$F$144,5,0)," ")</f>
        <v xml:space="preserve"> </v>
      </c>
      <c r="L376" s="899" t="str">
        <f>IF(G376&lt;&gt;0,VLOOKUP(G376,'gia dat'!$A$1:$F$144,6,0)," ")</f>
        <v xml:space="preserve"> </v>
      </c>
      <c r="M376" s="900" t="str">
        <f t="shared" si="81"/>
        <v xml:space="preserve"> </v>
      </c>
      <c r="N376" s="900" t="str">
        <f t="shared" si="82"/>
        <v xml:space="preserve"> </v>
      </c>
      <c r="O376" s="981"/>
      <c r="P376" s="926"/>
      <c r="Q376" s="900" t="str">
        <f>IF(O376&lt;&gt;0,VLOOKUP(O376,'Cây trong'!$A$2:$C$246,3,0)," ")</f>
        <v xml:space="preserve"> </v>
      </c>
      <c r="R376" s="900" t="str">
        <f t="shared" si="76"/>
        <v xml:space="preserve"> </v>
      </c>
      <c r="S376" s="981" t="s">
        <v>2295</v>
      </c>
      <c r="T376" s="982" t="s">
        <v>53</v>
      </c>
      <c r="U376" s="927">
        <v>1.05</v>
      </c>
      <c r="V376" s="925"/>
      <c r="W376" s="900">
        <f>IF(S376&lt;&gt;0,VLOOKUP(S376,VKT!$A$2:$G$415,7,0),"")</f>
        <v>441467</v>
      </c>
      <c r="X376" s="900">
        <f t="shared" si="80"/>
        <v>464000</v>
      </c>
      <c r="Y376" s="925"/>
      <c r="Z376" s="928"/>
      <c r="AA376" s="928"/>
      <c r="AB376" s="904"/>
      <c r="AC376" s="928"/>
      <c r="AD376" s="928"/>
      <c r="AE376" s="928"/>
      <c r="AF376" s="926"/>
      <c r="AG376" s="906" t="str">
        <f>IF(AE376&lt;&gt;0,VLOOKUP(AE376,ODDS!$A$2:$C$13,3,0),"")</f>
        <v/>
      </c>
      <c r="AH376" s="906" t="str">
        <f t="shared" si="77"/>
        <v xml:space="preserve"> </v>
      </c>
      <c r="AI376" s="907" t="str">
        <f t="shared" si="73"/>
        <v xml:space="preserve"> </v>
      </c>
      <c r="AJ376" s="929"/>
      <c r="AK376" s="929"/>
    </row>
    <row r="377" spans="1:37" s="376" customFormat="1" ht="67.5" outlineLevel="2" x14ac:dyDescent="0.3">
      <c r="A377" s="447">
        <f t="shared" si="79"/>
        <v>33</v>
      </c>
      <c r="B377" s="893"/>
      <c r="C377" s="894"/>
      <c r="D377" s="923"/>
      <c r="E377" s="923"/>
      <c r="F377" s="896"/>
      <c r="G377" s="894"/>
      <c r="H377" s="924"/>
      <c r="I377" s="882"/>
      <c r="J377" s="925"/>
      <c r="K377" s="899" t="str">
        <f>IF(G377&lt;&gt;0,VLOOKUP(G377,'gia dat'!$A$1:$F$144,5,0)," ")</f>
        <v xml:space="preserve"> </v>
      </c>
      <c r="L377" s="899" t="str">
        <f>IF(G377&lt;&gt;0,VLOOKUP(G377,'gia dat'!$A$1:$F$144,6,0)," ")</f>
        <v xml:space="preserve"> </v>
      </c>
      <c r="M377" s="900" t="str">
        <f t="shared" si="81"/>
        <v xml:space="preserve"> </v>
      </c>
      <c r="N377" s="900" t="str">
        <f t="shared" si="82"/>
        <v xml:space="preserve"> </v>
      </c>
      <c r="O377" s="894"/>
      <c r="P377" s="926"/>
      <c r="Q377" s="900" t="str">
        <f>IF(O377&lt;&gt;0,VLOOKUP(O377,'Cây trong'!$A$2:$C$246,3,0)," ")</f>
        <v xml:space="preserve"> </v>
      </c>
      <c r="R377" s="900" t="str">
        <f t="shared" si="76"/>
        <v xml:space="preserve"> </v>
      </c>
      <c r="S377" s="902" t="s">
        <v>2296</v>
      </c>
      <c r="T377" s="925" t="s">
        <v>53</v>
      </c>
      <c r="U377" s="927">
        <v>0.96</v>
      </c>
      <c r="V377" s="925"/>
      <c r="W377" s="900">
        <f>IF(S377&lt;&gt;0,VLOOKUP(S377,VKT!$A$2:$G$415,7,0),"")</f>
        <v>310020</v>
      </c>
      <c r="X377" s="900">
        <f t="shared" si="80"/>
        <v>298000</v>
      </c>
      <c r="Y377" s="925"/>
      <c r="Z377" s="928"/>
      <c r="AA377" s="928"/>
      <c r="AB377" s="904"/>
      <c r="AC377" s="928"/>
      <c r="AD377" s="928"/>
      <c r="AE377" s="928"/>
      <c r="AF377" s="926"/>
      <c r="AG377" s="906" t="str">
        <f>IF(AE377&lt;&gt;0,VLOOKUP(AE377,ODDS!$A$2:$C$13,3,0),"")</f>
        <v/>
      </c>
      <c r="AH377" s="906" t="str">
        <f t="shared" si="77"/>
        <v xml:space="preserve"> </v>
      </c>
      <c r="AI377" s="907" t="str">
        <f t="shared" si="73"/>
        <v xml:space="preserve"> </v>
      </c>
      <c r="AJ377" s="894"/>
      <c r="AK377" s="894"/>
    </row>
    <row r="378" spans="1:37" s="376" customFormat="1" ht="67.5" outlineLevel="2" x14ac:dyDescent="0.3">
      <c r="A378" s="447">
        <f t="shared" si="79"/>
        <v>33</v>
      </c>
      <c r="B378" s="893"/>
      <c r="C378" s="983"/>
      <c r="D378" s="923"/>
      <c r="E378" s="923"/>
      <c r="F378" s="896"/>
      <c r="G378" s="894"/>
      <c r="H378" s="924"/>
      <c r="I378" s="882"/>
      <c r="J378" s="925"/>
      <c r="K378" s="899" t="str">
        <f>IF(G378&lt;&gt;0,VLOOKUP(G378,'gia dat'!$A$1:$F$144,5,0)," ")</f>
        <v xml:space="preserve"> </v>
      </c>
      <c r="L378" s="899" t="str">
        <f>IF(G378&lt;&gt;0,VLOOKUP(G378,'gia dat'!$A$1:$F$144,6,0)," ")</f>
        <v xml:space="preserve"> </v>
      </c>
      <c r="M378" s="900" t="str">
        <f t="shared" si="81"/>
        <v xml:space="preserve"> </v>
      </c>
      <c r="N378" s="900" t="str">
        <f t="shared" si="82"/>
        <v xml:space="preserve"> </v>
      </c>
      <c r="O378" s="894"/>
      <c r="P378" s="926"/>
      <c r="Q378" s="900" t="str">
        <f>IF(O378&lt;&gt;0,VLOOKUP(O378,'Cây trong'!$A$2:$C$246,3,0)," ")</f>
        <v xml:space="preserve"> </v>
      </c>
      <c r="R378" s="900" t="str">
        <f t="shared" si="76"/>
        <v xml:space="preserve"> </v>
      </c>
      <c r="S378" s="902" t="s">
        <v>1856</v>
      </c>
      <c r="T378" s="925" t="s">
        <v>78</v>
      </c>
      <c r="U378" s="927">
        <v>0.36</v>
      </c>
      <c r="V378" s="925"/>
      <c r="W378" s="900">
        <f>IF(S378&lt;&gt;0,VLOOKUP(S378,VKT!$A$2:$G$415,7,0),"")</f>
        <v>0</v>
      </c>
      <c r="X378" s="900">
        <f t="shared" si="80"/>
        <v>0</v>
      </c>
      <c r="Y378" s="925"/>
      <c r="Z378" s="928"/>
      <c r="AA378" s="928"/>
      <c r="AB378" s="904"/>
      <c r="AC378" s="928"/>
      <c r="AD378" s="928"/>
      <c r="AE378" s="928"/>
      <c r="AF378" s="926"/>
      <c r="AG378" s="906" t="str">
        <f>IF(AE378&lt;&gt;0,VLOOKUP(AE378,ODDS!$A$2:$C$13,3,0),"")</f>
        <v/>
      </c>
      <c r="AH378" s="906" t="str">
        <f t="shared" si="77"/>
        <v xml:space="preserve"> </v>
      </c>
      <c r="AI378" s="907" t="str">
        <f t="shared" si="73"/>
        <v xml:space="preserve"> </v>
      </c>
      <c r="AJ378" s="894"/>
      <c r="AK378" s="894"/>
    </row>
    <row r="379" spans="1:37" s="376" customFormat="1" ht="45" outlineLevel="2" x14ac:dyDescent="0.3">
      <c r="A379" s="447">
        <f t="shared" si="79"/>
        <v>33</v>
      </c>
      <c r="B379" s="893"/>
      <c r="C379" s="983"/>
      <c r="D379" s="923"/>
      <c r="E379" s="923"/>
      <c r="F379" s="896"/>
      <c r="G379" s="894"/>
      <c r="H379" s="924"/>
      <c r="I379" s="882"/>
      <c r="J379" s="925"/>
      <c r="K379" s="899" t="str">
        <f>IF(G379&lt;&gt;0,VLOOKUP(G379,'gia dat'!$A$1:$F$144,5,0)," ")</f>
        <v xml:space="preserve"> </v>
      </c>
      <c r="L379" s="899" t="str">
        <f>IF(G379&lt;&gt;0,VLOOKUP(G379,'gia dat'!$A$1:$F$144,6,0)," ")</f>
        <v xml:space="preserve"> </v>
      </c>
      <c r="M379" s="900" t="str">
        <f t="shared" si="81"/>
        <v xml:space="preserve"> </v>
      </c>
      <c r="N379" s="900" t="str">
        <f t="shared" si="82"/>
        <v xml:space="preserve"> </v>
      </c>
      <c r="O379" s="981"/>
      <c r="P379" s="926"/>
      <c r="Q379" s="900" t="str">
        <f>IF(O379&lt;&gt;0,VLOOKUP(O379,'Cây trong'!$A$2:$C$246,3,0)," ")</f>
        <v xml:space="preserve"> </v>
      </c>
      <c r="R379" s="900" t="str">
        <f t="shared" si="76"/>
        <v xml:space="preserve"> </v>
      </c>
      <c r="S379" s="922" t="s">
        <v>1757</v>
      </c>
      <c r="T379" s="944" t="s">
        <v>53</v>
      </c>
      <c r="U379" s="927">
        <v>28.2</v>
      </c>
      <c r="V379" s="925"/>
      <c r="W379" s="900">
        <f>IF(S379&lt;&gt;0,VLOOKUP(S379,VKT!$A$2:$G$415,7,0),"")</f>
        <v>157477</v>
      </c>
      <c r="X379" s="900">
        <f t="shared" si="80"/>
        <v>4441000</v>
      </c>
      <c r="Y379" s="925"/>
      <c r="Z379" s="928"/>
      <c r="AA379" s="928"/>
      <c r="AB379" s="904"/>
      <c r="AC379" s="928"/>
      <c r="AD379" s="928"/>
      <c r="AE379" s="928"/>
      <c r="AF379" s="926"/>
      <c r="AG379" s="906" t="str">
        <f>IF(AE379&lt;&gt;0,VLOOKUP(AE379,ODDS!$A$2:$C$13,3,0),"")</f>
        <v/>
      </c>
      <c r="AH379" s="906" t="str">
        <f t="shared" si="77"/>
        <v xml:space="preserve"> </v>
      </c>
      <c r="AI379" s="907" t="str">
        <f t="shared" si="73"/>
        <v xml:space="preserve"> </v>
      </c>
      <c r="AJ379" s="929"/>
      <c r="AK379" s="929"/>
    </row>
    <row r="380" spans="1:37" s="376" customFormat="1" ht="22.5" outlineLevel="2" x14ac:dyDescent="0.3">
      <c r="A380" s="447">
        <f t="shared" si="79"/>
        <v>33</v>
      </c>
      <c r="B380" s="893"/>
      <c r="C380" s="908"/>
      <c r="D380" s="923"/>
      <c r="E380" s="923"/>
      <c r="F380" s="896"/>
      <c r="G380" s="894"/>
      <c r="H380" s="924"/>
      <c r="I380" s="882"/>
      <c r="J380" s="929"/>
      <c r="K380" s="899" t="str">
        <f>IF(G380&lt;&gt;0,VLOOKUP(G380,'gia dat'!$A$1:$F$144,5,0)," ")</f>
        <v xml:space="preserve"> </v>
      </c>
      <c r="L380" s="899" t="str">
        <f>IF(G380&lt;&gt;0,VLOOKUP(G380,'gia dat'!$A$1:$F$144,6,0)," ")</f>
        <v xml:space="preserve"> </v>
      </c>
      <c r="M380" s="900" t="str">
        <f t="shared" si="81"/>
        <v xml:space="preserve"> </v>
      </c>
      <c r="N380" s="900" t="str">
        <f t="shared" si="82"/>
        <v xml:space="preserve"> </v>
      </c>
      <c r="O380" s="922"/>
      <c r="P380" s="965"/>
      <c r="Q380" s="900" t="str">
        <f>IF(O380&lt;&gt;0,VLOOKUP(O380,'Cây trong'!$A$2:$C$246,3,0)," ")</f>
        <v xml:space="preserve"> </v>
      </c>
      <c r="R380" s="900" t="str">
        <f t="shared" si="76"/>
        <v xml:space="preserve"> </v>
      </c>
      <c r="S380" s="929"/>
      <c r="T380" s="929"/>
      <c r="U380" s="952"/>
      <c r="V380" s="946"/>
      <c r="W380" s="900" t="str">
        <f>IF(S380&lt;&gt;0,VLOOKUP(S380,VKT!$A$2:$G$415,7,0),"")</f>
        <v/>
      </c>
      <c r="X380" s="900" t="str">
        <f t="shared" si="80"/>
        <v xml:space="preserve"> </v>
      </c>
      <c r="Y380" s="898"/>
      <c r="Z380" s="928"/>
      <c r="AA380" s="928"/>
      <c r="AB380" s="904"/>
      <c r="AC380" s="928"/>
      <c r="AD380" s="928"/>
      <c r="AE380" s="928"/>
      <c r="AF380" s="926"/>
      <c r="AG380" s="906" t="str">
        <f>IF(AE380&lt;&gt;0,VLOOKUP(AE380,ODDS!$A$2:$C$13,3,0),"")</f>
        <v/>
      </c>
      <c r="AH380" s="906" t="str">
        <f t="shared" si="77"/>
        <v xml:space="preserve"> </v>
      </c>
      <c r="AI380" s="907" t="str">
        <f t="shared" si="73"/>
        <v xml:space="preserve"> </v>
      </c>
      <c r="AJ380" s="894"/>
      <c r="AK380" s="894"/>
    </row>
    <row r="381" spans="1:37" s="376" customFormat="1" ht="22.5" outlineLevel="2" x14ac:dyDescent="0.3">
      <c r="A381" s="447">
        <f t="shared" si="79"/>
        <v>33</v>
      </c>
      <c r="B381" s="893"/>
      <c r="C381" s="908"/>
      <c r="D381" s="939"/>
      <c r="E381" s="923"/>
      <c r="F381" s="896"/>
      <c r="G381" s="894"/>
      <c r="H381" s="924"/>
      <c r="I381" s="882"/>
      <c r="J381" s="929"/>
      <c r="K381" s="899" t="str">
        <f>IF(G381&lt;&gt;0,VLOOKUP(G381,'gia dat'!$A$1:$F$144,5,0)," ")</f>
        <v xml:space="preserve"> </v>
      </c>
      <c r="L381" s="899" t="str">
        <f>IF(G381&lt;&gt;0,VLOOKUP(G381,'gia dat'!$A$1:$F$144,6,0)," ")</f>
        <v xml:space="preserve"> </v>
      </c>
      <c r="M381" s="900" t="str">
        <f t="shared" si="81"/>
        <v xml:space="preserve"> </v>
      </c>
      <c r="N381" s="900" t="str">
        <f t="shared" si="82"/>
        <v xml:space="preserve"> </v>
      </c>
      <c r="O381" s="922"/>
      <c r="P381" s="965"/>
      <c r="Q381" s="900" t="str">
        <f>IF(O381&lt;&gt;0,VLOOKUP(O381,'Cây trong'!$A$2:$C$246,3,0)," ")</f>
        <v xml:space="preserve"> </v>
      </c>
      <c r="R381" s="900" t="str">
        <f t="shared" si="76"/>
        <v xml:space="preserve"> </v>
      </c>
      <c r="S381" s="922"/>
      <c r="T381" s="944"/>
      <c r="U381" s="927"/>
      <c r="V381" s="946"/>
      <c r="W381" s="900" t="str">
        <f>IF(S381&lt;&gt;0,VLOOKUP(S381,VKT!$A$2:$G$415,7,0),"")</f>
        <v/>
      </c>
      <c r="X381" s="900" t="str">
        <f t="shared" si="80"/>
        <v xml:space="preserve"> </v>
      </c>
      <c r="Y381" s="898"/>
      <c r="Z381" s="928"/>
      <c r="AA381" s="928"/>
      <c r="AB381" s="904"/>
      <c r="AC381" s="928"/>
      <c r="AD381" s="928"/>
      <c r="AE381" s="928"/>
      <c r="AF381" s="926"/>
      <c r="AG381" s="906" t="str">
        <f>IF(AE381&lt;&gt;0,VLOOKUP(AE381,ODDS!$A$2:$C$13,3,0),"")</f>
        <v/>
      </c>
      <c r="AH381" s="906" t="str">
        <f t="shared" si="77"/>
        <v xml:space="preserve"> </v>
      </c>
      <c r="AI381" s="907" t="str">
        <f t="shared" si="73"/>
        <v xml:space="preserve"> </v>
      </c>
      <c r="AJ381" s="894"/>
      <c r="AK381" s="894"/>
    </row>
    <row r="382" spans="1:37" s="376" customFormat="1" ht="22.5" outlineLevel="2" x14ac:dyDescent="0.3">
      <c r="A382" s="447">
        <f t="shared" si="79"/>
        <v>33</v>
      </c>
      <c r="B382" s="893"/>
      <c r="C382" s="908"/>
      <c r="D382" s="939"/>
      <c r="E382" s="923"/>
      <c r="F382" s="950"/>
      <c r="G382" s="894"/>
      <c r="H382" s="940"/>
      <c r="I382" s="882"/>
      <c r="J382" s="929"/>
      <c r="K382" s="899" t="str">
        <f>IF(G382&lt;&gt;0,VLOOKUP(G382,'gia dat'!$A$1:$F$144,5,0)," ")</f>
        <v xml:space="preserve"> </v>
      </c>
      <c r="L382" s="899" t="str">
        <f>IF(G382&lt;&gt;0,VLOOKUP(G382,'gia dat'!$A$1:$F$144,6,0)," ")</f>
        <v xml:space="preserve"> </v>
      </c>
      <c r="M382" s="900" t="str">
        <f t="shared" si="81"/>
        <v xml:space="preserve"> </v>
      </c>
      <c r="N382" s="900" t="str">
        <f t="shared" si="82"/>
        <v xml:space="preserve"> </v>
      </c>
      <c r="O382" s="929"/>
      <c r="P382" s="951"/>
      <c r="Q382" s="900" t="str">
        <f>IF(O382&lt;&gt;0,VLOOKUP(O382,'Cây trong'!$A$2:$C$246,3,0)," ")</f>
        <v xml:space="preserve"> </v>
      </c>
      <c r="R382" s="900" t="str">
        <f t="shared" si="76"/>
        <v xml:space="preserve"> </v>
      </c>
      <c r="S382" s="929"/>
      <c r="T382" s="929"/>
      <c r="U382" s="952"/>
      <c r="V382" s="925"/>
      <c r="W382" s="900" t="str">
        <f>IF(S382&lt;&gt;0,VLOOKUP(S382,VKT!$A$2:$G$415,7,0),"")</f>
        <v/>
      </c>
      <c r="X382" s="900" t="str">
        <f t="shared" si="80"/>
        <v xml:space="preserve"> </v>
      </c>
      <c r="Y382" s="925"/>
      <c r="Z382" s="925"/>
      <c r="AA382" s="925"/>
      <c r="AB382" s="898"/>
      <c r="AC382" s="925"/>
      <c r="AD382" s="925"/>
      <c r="AE382" s="925"/>
      <c r="AF382" s="964"/>
      <c r="AG382" s="906" t="str">
        <f>IF(AE382&lt;&gt;0,VLOOKUP(AE382,ODDS!$A$2:$C$13,3,0),"")</f>
        <v/>
      </c>
      <c r="AH382" s="906" t="str">
        <f t="shared" si="77"/>
        <v xml:space="preserve"> </v>
      </c>
      <c r="AI382" s="907" t="str">
        <f t="shared" si="73"/>
        <v xml:space="preserve"> </v>
      </c>
      <c r="AJ382" s="929"/>
      <c r="AK382" s="929"/>
    </row>
    <row r="383" spans="1:37" s="376" customFormat="1" ht="22.5" outlineLevel="2" x14ac:dyDescent="0.3">
      <c r="A383" s="447">
        <f t="shared" si="79"/>
        <v>33</v>
      </c>
      <c r="B383" s="893"/>
      <c r="C383" s="908"/>
      <c r="D383" s="939"/>
      <c r="E383" s="923"/>
      <c r="F383" s="950"/>
      <c r="G383" s="894"/>
      <c r="H383" s="940"/>
      <c r="I383" s="882"/>
      <c r="J383" s="929"/>
      <c r="K383" s="899" t="str">
        <f>IF(G383&lt;&gt;0,VLOOKUP(G383,'gia dat'!$A$1:$F$144,5,0)," ")</f>
        <v xml:space="preserve"> </v>
      </c>
      <c r="L383" s="899" t="str">
        <f>IF(G383&lt;&gt;0,VLOOKUP(G383,'gia dat'!$A$1:$F$144,6,0)," ")</f>
        <v xml:space="preserve"> </v>
      </c>
      <c r="M383" s="900" t="str">
        <f t="shared" si="81"/>
        <v xml:space="preserve"> </v>
      </c>
      <c r="N383" s="900" t="str">
        <f t="shared" si="82"/>
        <v xml:space="preserve"> </v>
      </c>
      <c r="O383" s="929"/>
      <c r="P383" s="951"/>
      <c r="Q383" s="900" t="str">
        <f>IF(O383&lt;&gt;0,VLOOKUP(O383,'Cây trong'!$A$2:$C$246,3,0)," ")</f>
        <v xml:space="preserve"> </v>
      </c>
      <c r="R383" s="900" t="str">
        <f t="shared" si="76"/>
        <v xml:space="preserve"> </v>
      </c>
      <c r="S383" s="929"/>
      <c r="T383" s="929"/>
      <c r="U383" s="952"/>
      <c r="V383" s="925"/>
      <c r="W383" s="900" t="str">
        <f>IF(S383&lt;&gt;0,VLOOKUP(S383,VKT!$A$2:$G$415,7,0),"")</f>
        <v/>
      </c>
      <c r="X383" s="900" t="str">
        <f t="shared" si="80"/>
        <v xml:space="preserve"> </v>
      </c>
      <c r="Y383" s="925"/>
      <c r="Z383" s="925"/>
      <c r="AA383" s="925"/>
      <c r="AB383" s="898"/>
      <c r="AC383" s="925"/>
      <c r="AD383" s="925"/>
      <c r="AE383" s="925"/>
      <c r="AF383" s="964"/>
      <c r="AG383" s="906" t="str">
        <f>IF(AE383&lt;&gt;0,VLOOKUP(AE383,ODDS!$A$2:$C$13,3,0),"")</f>
        <v/>
      </c>
      <c r="AH383" s="906" t="str">
        <f t="shared" si="77"/>
        <v xml:space="preserve"> </v>
      </c>
      <c r="AI383" s="907" t="str">
        <f t="shared" si="73"/>
        <v xml:space="preserve"> </v>
      </c>
      <c r="AJ383" s="929"/>
      <c r="AK383" s="929"/>
    </row>
    <row r="384" spans="1:37" s="376" customFormat="1" ht="22.5" outlineLevel="2" x14ac:dyDescent="0.3">
      <c r="A384" s="447">
        <f t="shared" si="79"/>
        <v>33</v>
      </c>
      <c r="B384" s="893"/>
      <c r="C384" s="910"/>
      <c r="D384" s="923"/>
      <c r="E384" s="947"/>
      <c r="F384" s="947"/>
      <c r="G384" s="922"/>
      <c r="H384" s="924"/>
      <c r="I384" s="882"/>
      <c r="J384" s="929"/>
      <c r="K384" s="899" t="str">
        <f>IF(G384&lt;&gt;0,VLOOKUP(G384,'gia dat'!$A$1:$F$144,5,0)," ")</f>
        <v xml:space="preserve"> </v>
      </c>
      <c r="L384" s="899" t="str">
        <f>IF(G384&lt;&gt;0,VLOOKUP(G384,'gia dat'!$A$1:$F$144,6,0)," ")</f>
        <v xml:space="preserve"> </v>
      </c>
      <c r="M384" s="900" t="str">
        <f t="shared" si="81"/>
        <v xml:space="preserve"> </v>
      </c>
      <c r="N384" s="900" t="str">
        <f t="shared" si="82"/>
        <v xml:space="preserve"> </v>
      </c>
      <c r="O384" s="922"/>
      <c r="P384" s="965"/>
      <c r="Q384" s="900" t="str">
        <f>IF(O384&lt;&gt;0,VLOOKUP(O384,'Cây trong'!$A$2:$C$246,3,0)," ")</f>
        <v xml:space="preserve"> </v>
      </c>
      <c r="R384" s="900" t="str">
        <f t="shared" si="76"/>
        <v xml:space="preserve"> </v>
      </c>
      <c r="S384" s="922"/>
      <c r="T384" s="944"/>
      <c r="U384" s="927"/>
      <c r="V384" s="946"/>
      <c r="W384" s="900" t="str">
        <f>IF(S384&lt;&gt;0,VLOOKUP(S384,VKT!$A$2:$G$415,7,0),"")</f>
        <v/>
      </c>
      <c r="X384" s="900" t="str">
        <f t="shared" si="80"/>
        <v xml:space="preserve"> </v>
      </c>
      <c r="Y384" s="925"/>
      <c r="Z384" s="928"/>
      <c r="AA384" s="928"/>
      <c r="AB384" s="904"/>
      <c r="AC384" s="928"/>
      <c r="AD384" s="928"/>
      <c r="AE384" s="928"/>
      <c r="AF384" s="926"/>
      <c r="AG384" s="906" t="str">
        <f>IF(AE384&lt;&gt;0,VLOOKUP(AE384,ODDS!$A$2:$C$13,3,0),"")</f>
        <v/>
      </c>
      <c r="AH384" s="906" t="str">
        <f t="shared" si="77"/>
        <v xml:space="preserve"> </v>
      </c>
      <c r="AI384" s="907" t="str">
        <f t="shared" si="73"/>
        <v xml:space="preserve"> </v>
      </c>
      <c r="AJ384" s="894"/>
      <c r="AK384" s="894"/>
    </row>
    <row r="385" spans="1:37" s="376" customFormat="1" ht="43.5" outlineLevel="1" x14ac:dyDescent="0.25">
      <c r="A385" s="467" t="s">
        <v>2676</v>
      </c>
      <c r="B385" s="912">
        <v>34</v>
      </c>
      <c r="C385" s="910" t="s">
        <v>34</v>
      </c>
      <c r="D385" s="931"/>
      <c r="E385" s="931"/>
      <c r="F385" s="913"/>
      <c r="G385" s="910"/>
      <c r="H385" s="953">
        <f>SUBTOTAL(9,H386:H410)</f>
        <v>323.79999999999995</v>
      </c>
      <c r="I385" s="915">
        <f>SUBTOTAL(9,I386:I391)</f>
        <v>123.60000000000001</v>
      </c>
      <c r="J385" s="933"/>
      <c r="K385" s="917"/>
      <c r="L385" s="917"/>
      <c r="M385" s="907">
        <f>SUBTOTAL(9,M386:M410)</f>
        <v>960714000</v>
      </c>
      <c r="N385" s="907">
        <f>SUBTOTAL(9,N386:N410)</f>
        <v>205571000</v>
      </c>
      <c r="O385" s="910"/>
      <c r="P385" s="935">
        <f>SUBTOTAL(9,P386:P410)</f>
        <v>17</v>
      </c>
      <c r="Q385" s="907"/>
      <c r="R385" s="907">
        <f>SUBTOTAL(9,R386:R410)</f>
        <v>3188000</v>
      </c>
      <c r="S385" s="918"/>
      <c r="T385" s="933"/>
      <c r="U385" s="936">
        <f>SUBTOTAL(9,U386:U410)</f>
        <v>436.88000000000005</v>
      </c>
      <c r="V385" s="933"/>
      <c r="W385" s="907"/>
      <c r="X385" s="907">
        <f>SUBTOTAL(9,X386:X410)</f>
        <v>794296000</v>
      </c>
      <c r="Y385" s="925"/>
      <c r="Z385" s="928"/>
      <c r="AA385" s="928"/>
      <c r="AB385" s="904"/>
      <c r="AC385" s="928"/>
      <c r="AD385" s="928"/>
      <c r="AE385" s="938"/>
      <c r="AF385" s="917">
        <f>SUBTOTAL(9,AF386:AF410)</f>
        <v>1</v>
      </c>
      <c r="AG385" s="921"/>
      <c r="AH385" s="921">
        <f>SUBTOTAL(9,AH386:AH410)</f>
        <v>17000000</v>
      </c>
      <c r="AI385" s="907">
        <f t="shared" si="73"/>
        <v>1980769000</v>
      </c>
      <c r="AJ385" s="910"/>
      <c r="AK385" s="914"/>
    </row>
    <row r="386" spans="1:37" s="376" customFormat="1" ht="135" outlineLevel="2" x14ac:dyDescent="0.3">
      <c r="A386" s="447">
        <f>IF(B385&lt;&gt;0,B385,A384)</f>
        <v>34</v>
      </c>
      <c r="B386" s="893"/>
      <c r="C386" s="894" t="s">
        <v>162</v>
      </c>
      <c r="D386" s="923">
        <v>3</v>
      </c>
      <c r="E386" s="923">
        <v>86</v>
      </c>
      <c r="F386" s="896">
        <v>263</v>
      </c>
      <c r="G386" s="894" t="s">
        <v>2037</v>
      </c>
      <c r="H386" s="924">
        <v>150</v>
      </c>
      <c r="I386" s="882" t="str">
        <f t="shared" ref="I386:I389" si="83">IF(N386&gt;0,H386,"")</f>
        <v/>
      </c>
      <c r="J386" s="925"/>
      <c r="K386" s="899">
        <f>IF(G386&lt;&gt;0,VLOOKUP(G386,'gia dat'!$A$1:$F$144,5,0)," ")</f>
        <v>5762400</v>
      </c>
      <c r="L386" s="899">
        <f>IF(G386&lt;&gt;0,VLOOKUP(G386,'gia dat'!$A$1:$F$144,6,0)," ")</f>
        <v>0</v>
      </c>
      <c r="M386" s="900">
        <f t="shared" si="81"/>
        <v>864360000</v>
      </c>
      <c r="N386" s="900">
        <f t="shared" si="82"/>
        <v>0</v>
      </c>
      <c r="O386" s="894" t="s">
        <v>175</v>
      </c>
      <c r="P386" s="926">
        <v>1</v>
      </c>
      <c r="Q386" s="900">
        <f>IF(O386&lt;&gt;0,VLOOKUP(O386,'Cây trong'!$A$2:$C$246,3,0)," ")</f>
        <v>979000</v>
      </c>
      <c r="R386" s="900">
        <f t="shared" si="76"/>
        <v>979000</v>
      </c>
      <c r="S386" s="902" t="s">
        <v>2297</v>
      </c>
      <c r="T386" s="925" t="s">
        <v>53</v>
      </c>
      <c r="U386" s="927">
        <v>8.5500000000000007</v>
      </c>
      <c r="V386" s="925"/>
      <c r="W386" s="900">
        <f>IF(S386&lt;&gt;0,VLOOKUP(S386,VKT!$A$2:$G$415,7,0),"")</f>
        <v>4116730</v>
      </c>
      <c r="X386" s="900">
        <f t="shared" si="80"/>
        <v>35198000</v>
      </c>
      <c r="Y386" s="925" t="s">
        <v>63</v>
      </c>
      <c r="Z386" s="928" t="s">
        <v>63</v>
      </c>
      <c r="AA386" s="928" t="s">
        <v>56</v>
      </c>
      <c r="AB386" s="904"/>
      <c r="AC386" s="928" t="s">
        <v>63</v>
      </c>
      <c r="AD386" s="928"/>
      <c r="AE386" s="905"/>
      <c r="AF386" s="899"/>
      <c r="AG386" s="906"/>
      <c r="AH386" s="906"/>
      <c r="AI386" s="907" t="str">
        <f t="shared" si="73"/>
        <v xml:space="preserve"> </v>
      </c>
      <c r="AJ386" s="894" t="s">
        <v>664</v>
      </c>
      <c r="AK386" s="922" t="s">
        <v>2771</v>
      </c>
    </row>
    <row r="387" spans="1:37" s="376" customFormat="1" ht="112.5" outlineLevel="2" x14ac:dyDescent="0.3">
      <c r="A387" s="447">
        <f t="shared" ref="A387:A410" si="84">IF(B386&lt;&gt;0,B386,A386)</f>
        <v>34</v>
      </c>
      <c r="B387" s="893"/>
      <c r="C387" s="983" t="s">
        <v>665</v>
      </c>
      <c r="D387" s="923"/>
      <c r="E387" s="923">
        <v>86</v>
      </c>
      <c r="F387" s="896">
        <v>263</v>
      </c>
      <c r="G387" s="894" t="s">
        <v>2469</v>
      </c>
      <c r="H387" s="924">
        <f>169.4-H389</f>
        <v>119.2</v>
      </c>
      <c r="I387" s="882">
        <f t="shared" si="83"/>
        <v>119.2</v>
      </c>
      <c r="J387" s="925"/>
      <c r="K387" s="899">
        <f>IF(G387&lt;&gt;0,VLOOKUP(G387,'gia dat'!$A$1:$F$144,5,0)," ")</f>
        <v>554400</v>
      </c>
      <c r="L387" s="899">
        <f>IF(G387&lt;&gt;0,VLOOKUP(G387,'gia dat'!$A$1:$F$144,6,0)," ")</f>
        <v>1663200</v>
      </c>
      <c r="M387" s="900">
        <f t="shared" si="81"/>
        <v>66084000</v>
      </c>
      <c r="N387" s="900">
        <f t="shared" si="82"/>
        <v>198253000</v>
      </c>
      <c r="O387" s="894" t="s">
        <v>742</v>
      </c>
      <c r="P387" s="926">
        <v>3</v>
      </c>
      <c r="Q387" s="900">
        <f>IF(O387&lt;&gt;0,VLOOKUP(O387,'Cây trong'!$A$2:$C$246,3,0)," ")</f>
        <v>72000</v>
      </c>
      <c r="R387" s="900">
        <f t="shared" si="76"/>
        <v>216000</v>
      </c>
      <c r="S387" s="902" t="s">
        <v>1752</v>
      </c>
      <c r="T387" s="925" t="s">
        <v>53</v>
      </c>
      <c r="U387" s="927">
        <v>87.9</v>
      </c>
      <c r="V387" s="925"/>
      <c r="W387" s="900">
        <f>IF(S387&lt;&gt;0,VLOOKUP(S387,VKT!$A$2:$G$415,7,0),"")</f>
        <v>4861390</v>
      </c>
      <c r="X387" s="900">
        <f t="shared" si="80"/>
        <v>427316000</v>
      </c>
      <c r="Y387" s="925" t="s">
        <v>63</v>
      </c>
      <c r="Z387" s="928" t="s">
        <v>55</v>
      </c>
      <c r="AA387" s="928" t="s">
        <v>56</v>
      </c>
      <c r="AB387" s="904" t="s">
        <v>57</v>
      </c>
      <c r="AC387" s="928" t="s">
        <v>63</v>
      </c>
      <c r="AD387" s="904" t="s">
        <v>430</v>
      </c>
      <c r="AE387" s="905" t="s">
        <v>2791</v>
      </c>
      <c r="AF387" s="926">
        <v>1</v>
      </c>
      <c r="AG387" s="906">
        <f>IF(AE387&lt;&gt;0,VLOOKUP(AE387,ODDS!$A$2:$C$13,3,0),"")</f>
        <v>17000000</v>
      </c>
      <c r="AH387" s="906">
        <f t="shared" si="77"/>
        <v>17000000</v>
      </c>
      <c r="AI387" s="907" t="str">
        <f t="shared" si="73"/>
        <v xml:space="preserve"> </v>
      </c>
      <c r="AJ387" s="894" t="s">
        <v>496</v>
      </c>
      <c r="AK387" s="894" t="s">
        <v>2448</v>
      </c>
    </row>
    <row r="388" spans="1:37" s="376" customFormat="1" ht="112.5" outlineLevel="2" x14ac:dyDescent="0.3">
      <c r="A388" s="447">
        <f t="shared" si="84"/>
        <v>34</v>
      </c>
      <c r="B388" s="893"/>
      <c r="C388" s="983" t="s">
        <v>305</v>
      </c>
      <c r="D388" s="923"/>
      <c r="E388" s="923"/>
      <c r="F388" s="896"/>
      <c r="G388" s="894" t="s">
        <v>2470</v>
      </c>
      <c r="H388" s="924">
        <v>4.4000000000000004</v>
      </c>
      <c r="I388" s="882">
        <f t="shared" si="83"/>
        <v>4.4000000000000004</v>
      </c>
      <c r="J388" s="925"/>
      <c r="K388" s="899">
        <f>IF(G388&lt;&gt;0,VLOOKUP(G388,'gia dat'!$A$1:$F$144,5,0)," ")</f>
        <v>554400</v>
      </c>
      <c r="L388" s="899">
        <f>IF(G388&lt;&gt;0,VLOOKUP(G388,'gia dat'!$A$1:$F$144,6,0)," ")</f>
        <v>1663200</v>
      </c>
      <c r="M388" s="900">
        <f t="shared" si="81"/>
        <v>2439000</v>
      </c>
      <c r="N388" s="900">
        <f t="shared" si="82"/>
        <v>7318000</v>
      </c>
      <c r="O388" s="922" t="s">
        <v>741</v>
      </c>
      <c r="P388" s="965">
        <v>3</v>
      </c>
      <c r="Q388" s="900">
        <f>IF(O388&lt;&gt;0,VLOOKUP(O388,'Cây trong'!$A$2:$C$246,3,0)," ")</f>
        <v>150000</v>
      </c>
      <c r="R388" s="900">
        <f t="shared" si="76"/>
        <v>450000</v>
      </c>
      <c r="S388" s="981" t="s">
        <v>2289</v>
      </c>
      <c r="T388" s="984" t="s">
        <v>53</v>
      </c>
      <c r="U388" s="927">
        <v>22</v>
      </c>
      <c r="V388" s="925"/>
      <c r="W388" s="900">
        <f>IF(S388&lt;&gt;0,VLOOKUP(S388,VKT!$A$2:$G$415,7,0),"")</f>
        <v>684506</v>
      </c>
      <c r="X388" s="900">
        <f t="shared" si="80"/>
        <v>15059000</v>
      </c>
      <c r="Y388" s="925"/>
      <c r="Z388" s="928" t="s">
        <v>55</v>
      </c>
      <c r="AA388" s="928" t="s">
        <v>141</v>
      </c>
      <c r="AB388" s="904"/>
      <c r="AC388" s="928" t="s">
        <v>66</v>
      </c>
      <c r="AD388" s="904"/>
      <c r="AE388" s="941"/>
      <c r="AF388" s="926"/>
      <c r="AG388" s="906" t="str">
        <f>IF(AE388&lt;&gt;0,VLOOKUP(AE388,ODDS!$A$2:$C$13,3,0),"")</f>
        <v/>
      </c>
      <c r="AH388" s="906" t="str">
        <f t="shared" si="77"/>
        <v xml:space="preserve"> </v>
      </c>
      <c r="AI388" s="907" t="str">
        <f t="shared" si="73"/>
        <v xml:space="preserve"> </v>
      </c>
      <c r="AJ388" s="929" t="s">
        <v>169</v>
      </c>
      <c r="AK388" s="894" t="s">
        <v>2450</v>
      </c>
    </row>
    <row r="389" spans="1:37" s="376" customFormat="1" ht="135" outlineLevel="2" x14ac:dyDescent="0.3">
      <c r="A389" s="447">
        <f t="shared" si="84"/>
        <v>34</v>
      </c>
      <c r="B389" s="893"/>
      <c r="C389" s="908"/>
      <c r="D389" s="939"/>
      <c r="E389" s="923">
        <v>86</v>
      </c>
      <c r="F389" s="896">
        <v>263</v>
      </c>
      <c r="G389" s="894" t="s">
        <v>2471</v>
      </c>
      <c r="H389" s="924">
        <v>50.2</v>
      </c>
      <c r="I389" s="882" t="str">
        <f t="shared" si="83"/>
        <v/>
      </c>
      <c r="J389" s="929"/>
      <c r="K389" s="899">
        <f>IF(G389&lt;&gt;0,VLOOKUP(G389,'gia dat'!$A$1:$F$144,5,0)," ")</f>
        <v>554400</v>
      </c>
      <c r="L389" s="899">
        <f>IF(G389&lt;&gt;0,VLOOKUP(G389,'gia dat'!$A$1:$F$144,6,0)," ")</f>
        <v>0</v>
      </c>
      <c r="M389" s="900">
        <f t="shared" si="81"/>
        <v>27831000</v>
      </c>
      <c r="N389" s="900">
        <f t="shared" si="82"/>
        <v>0</v>
      </c>
      <c r="O389" s="922" t="s">
        <v>743</v>
      </c>
      <c r="P389" s="965">
        <v>5</v>
      </c>
      <c r="Q389" s="900">
        <f>IF(O389&lt;&gt;0,VLOOKUP(O389,'Cây trong'!$A$2:$C$246,3,0)," ")</f>
        <v>72000</v>
      </c>
      <c r="R389" s="900">
        <f t="shared" si="76"/>
        <v>360000</v>
      </c>
      <c r="S389" s="922" t="s">
        <v>2289</v>
      </c>
      <c r="T389" s="944" t="s">
        <v>53</v>
      </c>
      <c r="U389" s="927">
        <v>17.7</v>
      </c>
      <c r="V389" s="925"/>
      <c r="W389" s="900">
        <f>IF(S389&lt;&gt;0,VLOOKUP(S389,VKT!$A$2:$G$415,7,0),"")</f>
        <v>684506</v>
      </c>
      <c r="X389" s="900">
        <f t="shared" si="80"/>
        <v>12116000</v>
      </c>
      <c r="Y389" s="898"/>
      <c r="Z389" s="928" t="s">
        <v>55</v>
      </c>
      <c r="AA389" s="928" t="s">
        <v>56</v>
      </c>
      <c r="AB389" s="904"/>
      <c r="AC389" s="928" t="s">
        <v>66</v>
      </c>
      <c r="AD389" s="904"/>
      <c r="AE389" s="904"/>
      <c r="AF389" s="899"/>
      <c r="AG389" s="906" t="str">
        <f>IF(AE389&lt;&gt;0,VLOOKUP(AE389,ODDS!$A$2:$C$13,3,0),"")</f>
        <v/>
      </c>
      <c r="AH389" s="906" t="str">
        <f t="shared" si="77"/>
        <v xml:space="preserve"> </v>
      </c>
      <c r="AI389" s="907" t="str">
        <f t="shared" si="73"/>
        <v xml:space="preserve"> </v>
      </c>
      <c r="AJ389" s="894" t="s">
        <v>2197</v>
      </c>
      <c r="AK389" s="894" t="s">
        <v>2449</v>
      </c>
    </row>
    <row r="390" spans="1:37" s="376" customFormat="1" ht="90" outlineLevel="2" x14ac:dyDescent="0.3">
      <c r="A390" s="447">
        <f t="shared" si="84"/>
        <v>34</v>
      </c>
      <c r="B390" s="893"/>
      <c r="C390" s="908"/>
      <c r="D390" s="923"/>
      <c r="E390" s="947"/>
      <c r="F390" s="947"/>
      <c r="G390" s="922"/>
      <c r="H390" s="924"/>
      <c r="I390" s="882"/>
      <c r="J390" s="929"/>
      <c r="K390" s="899" t="str">
        <f>IF(G390&lt;&gt;0,VLOOKUP(G390,'gia dat'!$A$1:$F$144,5,0)," ")</f>
        <v xml:space="preserve"> </v>
      </c>
      <c r="L390" s="899" t="str">
        <f>IF(G390&lt;&gt;0,VLOOKUP(G390,'gia dat'!$A$1:$F$144,6,0)," ")</f>
        <v xml:space="preserve"> </v>
      </c>
      <c r="M390" s="900" t="str">
        <f t="shared" si="81"/>
        <v xml:space="preserve"> </v>
      </c>
      <c r="N390" s="900" t="str">
        <f t="shared" si="82"/>
        <v xml:space="preserve"> </v>
      </c>
      <c r="O390" s="922" t="s">
        <v>149</v>
      </c>
      <c r="P390" s="965">
        <v>1</v>
      </c>
      <c r="Q390" s="900">
        <f>IF(O390&lt;&gt;0,VLOOKUP(O390,'Cây trong'!$A$2:$C$246,3,0)," ")</f>
        <v>146000</v>
      </c>
      <c r="R390" s="900">
        <f t="shared" si="76"/>
        <v>146000</v>
      </c>
      <c r="S390" s="922" t="s">
        <v>2298</v>
      </c>
      <c r="T390" s="944" t="s">
        <v>53</v>
      </c>
      <c r="U390" s="927">
        <v>3.92</v>
      </c>
      <c r="V390" s="925"/>
      <c r="W390" s="900">
        <f>IF(S390&lt;&gt;0,VLOOKUP(S390,VKT!$A$2:$G$415,7,0),"")</f>
        <v>1479010</v>
      </c>
      <c r="X390" s="900">
        <f t="shared" si="80"/>
        <v>5798000</v>
      </c>
      <c r="Y390" s="925"/>
      <c r="Z390" s="928" t="s">
        <v>55</v>
      </c>
      <c r="AA390" s="928" t="s">
        <v>140</v>
      </c>
      <c r="AB390" s="904" t="s">
        <v>170</v>
      </c>
      <c r="AC390" s="928" t="s">
        <v>66</v>
      </c>
      <c r="AD390" s="904"/>
      <c r="AE390" s="904"/>
      <c r="AF390" s="899"/>
      <c r="AG390" s="906" t="str">
        <f>IF(AE390&lt;&gt;0,VLOOKUP(AE390,ODDS!$A$2:$C$13,3,0),"")</f>
        <v/>
      </c>
      <c r="AH390" s="906" t="str">
        <f t="shared" si="77"/>
        <v xml:space="preserve"> </v>
      </c>
      <c r="AI390" s="907" t="str">
        <f t="shared" si="73"/>
        <v xml:space="preserve"> </v>
      </c>
      <c r="AJ390" s="894" t="s">
        <v>2074</v>
      </c>
      <c r="AK390" s="894" t="s">
        <v>2451</v>
      </c>
    </row>
    <row r="391" spans="1:37" s="376" customFormat="1" ht="112.5" outlineLevel="2" x14ac:dyDescent="0.35">
      <c r="A391" s="447">
        <f t="shared" si="84"/>
        <v>34</v>
      </c>
      <c r="B391" s="893"/>
      <c r="C391" s="910"/>
      <c r="D391" s="923"/>
      <c r="E391" s="923"/>
      <c r="F391" s="896"/>
      <c r="G391" s="894"/>
      <c r="H391" s="924"/>
      <c r="I391" s="882"/>
      <c r="J391" s="929"/>
      <c r="K391" s="899" t="str">
        <f>IF(G391&lt;&gt;0,VLOOKUP(G391,'gia dat'!$A$1:$F$144,5,0)," ")</f>
        <v xml:space="preserve"> </v>
      </c>
      <c r="L391" s="899" t="str">
        <f>IF(G391&lt;&gt;0,VLOOKUP(G391,'gia dat'!$A$1:$F$144,6,0)," ")</f>
        <v xml:space="preserve"> </v>
      </c>
      <c r="M391" s="900" t="str">
        <f t="shared" si="81"/>
        <v xml:space="preserve"> </v>
      </c>
      <c r="N391" s="900" t="str">
        <f t="shared" si="82"/>
        <v xml:space="preserve"> </v>
      </c>
      <c r="O391" s="922" t="s">
        <v>177</v>
      </c>
      <c r="P391" s="965">
        <v>1</v>
      </c>
      <c r="Q391" s="900">
        <f>IF(O391&lt;&gt;0,VLOOKUP(O391,'Cây trong'!$A$2:$C$246,3,0)," ")</f>
        <v>473000</v>
      </c>
      <c r="R391" s="900">
        <f t="shared" si="76"/>
        <v>473000</v>
      </c>
      <c r="S391" s="922" t="s">
        <v>2299</v>
      </c>
      <c r="T391" s="944" t="s">
        <v>53</v>
      </c>
      <c r="U391" s="927">
        <v>3.08</v>
      </c>
      <c r="V391" s="925"/>
      <c r="W391" s="900">
        <f>IF(S391&lt;&gt;0,VLOOKUP(S391,VKT!$A$2:$G$415,7,0),"")</f>
        <v>8308812</v>
      </c>
      <c r="X391" s="900">
        <f t="shared" si="80"/>
        <v>25591000</v>
      </c>
      <c r="Y391" s="925"/>
      <c r="Z391" s="928" t="s">
        <v>55</v>
      </c>
      <c r="AA391" s="928" t="s">
        <v>56</v>
      </c>
      <c r="AB391" s="904" t="s">
        <v>57</v>
      </c>
      <c r="AC391" s="928" t="s">
        <v>54</v>
      </c>
      <c r="AD391" s="904" t="s">
        <v>430</v>
      </c>
      <c r="AE391" s="904"/>
      <c r="AF391" s="899"/>
      <c r="AG391" s="906" t="str">
        <f>IF(AE391&lt;&gt;0,VLOOKUP(AE391,ODDS!$A$2:$C$13,3,0),"")</f>
        <v/>
      </c>
      <c r="AH391" s="906" t="str">
        <f t="shared" si="77"/>
        <v xml:space="preserve"> </v>
      </c>
      <c r="AI391" s="907" t="str">
        <f t="shared" si="73"/>
        <v xml:space="preserve"> </v>
      </c>
      <c r="AJ391" s="911"/>
      <c r="AK391" s="894" t="s">
        <v>2800</v>
      </c>
    </row>
    <row r="392" spans="1:37" s="376" customFormat="1" ht="90" outlineLevel="2" x14ac:dyDescent="0.3">
      <c r="A392" s="447">
        <f t="shared" si="84"/>
        <v>34</v>
      </c>
      <c r="B392" s="893"/>
      <c r="C392" s="894"/>
      <c r="D392" s="923"/>
      <c r="E392" s="923"/>
      <c r="F392" s="896"/>
      <c r="G392" s="894"/>
      <c r="H392" s="924"/>
      <c r="I392" s="882"/>
      <c r="J392" s="929"/>
      <c r="K392" s="899" t="str">
        <f>IF(G392&lt;&gt;0,VLOOKUP(G392,'gia dat'!$A$1:$F$144,5,0)," ")</f>
        <v xml:space="preserve"> </v>
      </c>
      <c r="L392" s="899" t="str">
        <f>IF(G392&lt;&gt;0,VLOOKUP(G392,'gia dat'!$A$1:$F$144,6,0)," ")</f>
        <v xml:space="preserve"> </v>
      </c>
      <c r="M392" s="900" t="str">
        <f t="shared" si="81"/>
        <v xml:space="preserve"> </v>
      </c>
      <c r="N392" s="900" t="str">
        <f t="shared" si="82"/>
        <v xml:space="preserve"> </v>
      </c>
      <c r="O392" s="922" t="s">
        <v>744</v>
      </c>
      <c r="P392" s="965">
        <v>1</v>
      </c>
      <c r="Q392" s="900">
        <f>IF(O392&lt;&gt;0,VLOOKUP(O392,'Cây trong'!$A$2:$C$246,3,0)," ")</f>
        <v>0</v>
      </c>
      <c r="R392" s="900">
        <f t="shared" si="76"/>
        <v>0</v>
      </c>
      <c r="S392" s="922" t="s">
        <v>2300</v>
      </c>
      <c r="T392" s="944" t="s">
        <v>53</v>
      </c>
      <c r="U392" s="927">
        <v>6.3</v>
      </c>
      <c r="V392" s="925"/>
      <c r="W392" s="900">
        <f>IF(S392&lt;&gt;0,VLOOKUP(S392,VKT!$A$2:$G$415,7,0),"")</f>
        <v>8308812</v>
      </c>
      <c r="X392" s="900">
        <f t="shared" si="80"/>
        <v>52346000</v>
      </c>
      <c r="Y392" s="925"/>
      <c r="Z392" s="928" t="s">
        <v>63</v>
      </c>
      <c r="AA392" s="928" t="s">
        <v>56</v>
      </c>
      <c r="AB392" s="904" t="s">
        <v>57</v>
      </c>
      <c r="AC392" s="928" t="s">
        <v>63</v>
      </c>
      <c r="AD392" s="928"/>
      <c r="AE392" s="928"/>
      <c r="AF392" s="926"/>
      <c r="AG392" s="906" t="str">
        <f>IF(AE392&lt;&gt;0,VLOOKUP(AE392,ODDS!$A$2:$C$13,3,0),"")</f>
        <v/>
      </c>
      <c r="AH392" s="906" t="str">
        <f t="shared" si="77"/>
        <v xml:space="preserve"> </v>
      </c>
      <c r="AI392" s="907" t="str">
        <f t="shared" si="73"/>
        <v xml:space="preserve"> </v>
      </c>
      <c r="AJ392" s="929"/>
      <c r="AK392" s="894"/>
    </row>
    <row r="393" spans="1:37" s="376" customFormat="1" ht="45" outlineLevel="2" x14ac:dyDescent="0.3">
      <c r="A393" s="447">
        <f t="shared" si="84"/>
        <v>34</v>
      </c>
      <c r="B393" s="893"/>
      <c r="C393" s="970"/>
      <c r="D393" s="923"/>
      <c r="E393" s="923"/>
      <c r="F393" s="896"/>
      <c r="G393" s="894"/>
      <c r="H393" s="924"/>
      <c r="I393" s="882"/>
      <c r="J393" s="929"/>
      <c r="K393" s="899" t="str">
        <f>IF(G393&lt;&gt;0,VLOOKUP(G393,'gia dat'!$A$1:$F$144,5,0)," ")</f>
        <v xml:space="preserve"> </v>
      </c>
      <c r="L393" s="899" t="str">
        <f>IF(G393&lt;&gt;0,VLOOKUP(G393,'gia dat'!$A$1:$F$144,6,0)," ")</f>
        <v xml:space="preserve"> </v>
      </c>
      <c r="M393" s="900" t="str">
        <f t="shared" si="81"/>
        <v xml:space="preserve"> </v>
      </c>
      <c r="N393" s="900" t="str">
        <f t="shared" si="82"/>
        <v xml:space="preserve"> </v>
      </c>
      <c r="O393" s="922" t="s">
        <v>178</v>
      </c>
      <c r="P393" s="965">
        <v>1</v>
      </c>
      <c r="Q393" s="900">
        <f>IF(O393&lt;&gt;0,VLOOKUP(O393,'Cây trong'!$A$2:$C$246,3,0)," ")</f>
        <v>554000</v>
      </c>
      <c r="R393" s="900">
        <f t="shared" si="76"/>
        <v>554000</v>
      </c>
      <c r="S393" s="922" t="s">
        <v>2301</v>
      </c>
      <c r="T393" s="944" t="s">
        <v>53</v>
      </c>
      <c r="U393" s="927">
        <v>43.2</v>
      </c>
      <c r="V393" s="925"/>
      <c r="W393" s="900">
        <f>IF(S393&lt;&gt;0,VLOOKUP(S393,VKT!$A$2:$G$415,7,0),"")</f>
        <v>1226656</v>
      </c>
      <c r="X393" s="900">
        <f t="shared" si="80"/>
        <v>52992000</v>
      </c>
      <c r="Y393" s="925"/>
      <c r="Z393" s="928" t="s">
        <v>55</v>
      </c>
      <c r="AA393" s="928" t="s">
        <v>141</v>
      </c>
      <c r="AB393" s="904" t="s">
        <v>171</v>
      </c>
      <c r="AC393" s="928" t="s">
        <v>88</v>
      </c>
      <c r="AD393" s="928"/>
      <c r="AE393" s="928"/>
      <c r="AF393" s="926"/>
      <c r="AG393" s="906" t="str">
        <f>IF(AE393&lt;&gt;0,VLOOKUP(AE393,ODDS!$A$2:$C$13,3,0),"")</f>
        <v/>
      </c>
      <c r="AH393" s="906" t="str">
        <f t="shared" si="77"/>
        <v xml:space="preserve"> </v>
      </c>
      <c r="AI393" s="907" t="str">
        <f t="shared" ref="AI393:AI456" si="85">IF(B393&lt;&gt;0,M393+N393+R393+X393+AH393," ")</f>
        <v xml:space="preserve"> </v>
      </c>
      <c r="AJ393" s="929"/>
      <c r="AK393" s="929"/>
    </row>
    <row r="394" spans="1:37" s="376" customFormat="1" ht="45" outlineLevel="2" x14ac:dyDescent="0.3">
      <c r="A394" s="447">
        <f t="shared" si="84"/>
        <v>34</v>
      </c>
      <c r="B394" s="893"/>
      <c r="C394" s="894"/>
      <c r="D394" s="923"/>
      <c r="E394" s="923"/>
      <c r="F394" s="896"/>
      <c r="G394" s="894"/>
      <c r="H394" s="924"/>
      <c r="I394" s="882"/>
      <c r="J394" s="929"/>
      <c r="K394" s="899" t="str">
        <f>IF(G394&lt;&gt;0,VLOOKUP(G394,'gia dat'!$A$1:$F$144,5,0)," ")</f>
        <v xml:space="preserve"> </v>
      </c>
      <c r="L394" s="899" t="str">
        <f>IF(G394&lt;&gt;0,VLOOKUP(G394,'gia dat'!$A$1:$F$144,6,0)," ")</f>
        <v xml:space="preserve"> </v>
      </c>
      <c r="M394" s="900" t="str">
        <f t="shared" si="81"/>
        <v xml:space="preserve"> </v>
      </c>
      <c r="N394" s="900" t="str">
        <f t="shared" si="82"/>
        <v xml:space="preserve"> </v>
      </c>
      <c r="O394" s="922" t="s">
        <v>179</v>
      </c>
      <c r="P394" s="965">
        <v>1</v>
      </c>
      <c r="Q394" s="900">
        <f>IF(O394&lt;&gt;0,VLOOKUP(O394,'Cây trong'!$A$2:$C$246,3,0)," ")</f>
        <v>10000</v>
      </c>
      <c r="R394" s="900">
        <f t="shared" si="76"/>
        <v>10000</v>
      </c>
      <c r="S394" s="922" t="s">
        <v>2301</v>
      </c>
      <c r="T394" s="944" t="s">
        <v>53</v>
      </c>
      <c r="U394" s="927">
        <v>20.8</v>
      </c>
      <c r="V394" s="925"/>
      <c r="W394" s="900">
        <f>IF(S394&lt;&gt;0,VLOOKUP(S394,VKT!$A$2:$G$415,7,0),"")</f>
        <v>1226656</v>
      </c>
      <c r="X394" s="900">
        <f t="shared" si="80"/>
        <v>25514000</v>
      </c>
      <c r="Y394" s="925"/>
      <c r="Z394" s="928" t="s">
        <v>55</v>
      </c>
      <c r="AA394" s="928" t="s">
        <v>140</v>
      </c>
      <c r="AB394" s="904" t="s">
        <v>172</v>
      </c>
      <c r="AC394" s="928" t="s">
        <v>143</v>
      </c>
      <c r="AD394" s="928"/>
      <c r="AE394" s="928"/>
      <c r="AF394" s="926"/>
      <c r="AG394" s="906" t="str">
        <f>IF(AE394&lt;&gt;0,VLOOKUP(AE394,ODDS!$A$2:$C$13,3,0),"")</f>
        <v/>
      </c>
      <c r="AH394" s="906" t="str">
        <f t="shared" si="77"/>
        <v xml:space="preserve"> </v>
      </c>
      <c r="AI394" s="907" t="str">
        <f t="shared" si="85"/>
        <v xml:space="preserve"> </v>
      </c>
      <c r="AJ394" s="929"/>
      <c r="AK394" s="929"/>
    </row>
    <row r="395" spans="1:37" s="376" customFormat="1" ht="67.5" outlineLevel="2" x14ac:dyDescent="0.3">
      <c r="A395" s="447">
        <f t="shared" si="84"/>
        <v>34</v>
      </c>
      <c r="B395" s="893"/>
      <c r="C395" s="894"/>
      <c r="D395" s="923"/>
      <c r="E395" s="923"/>
      <c r="F395" s="896"/>
      <c r="G395" s="894"/>
      <c r="H395" s="924"/>
      <c r="I395" s="882"/>
      <c r="J395" s="929"/>
      <c r="K395" s="899" t="str">
        <f>IF(G395&lt;&gt;0,VLOOKUP(G395,'gia dat'!$A$1:$F$144,5,0)," ")</f>
        <v xml:space="preserve"> </v>
      </c>
      <c r="L395" s="899" t="str">
        <f>IF(G395&lt;&gt;0,VLOOKUP(G395,'gia dat'!$A$1:$F$144,6,0)," ")</f>
        <v xml:space="preserve"> </v>
      </c>
      <c r="M395" s="900" t="str">
        <f t="shared" si="81"/>
        <v xml:space="preserve"> </v>
      </c>
      <c r="N395" s="900" t="str">
        <f t="shared" si="82"/>
        <v xml:space="preserve"> </v>
      </c>
      <c r="O395" s="929"/>
      <c r="P395" s="951"/>
      <c r="Q395" s="900" t="str">
        <f>IF(O395&lt;&gt;0,VLOOKUP(O395,'Cây trong'!$A$2:$C$246,3,0)," ")</f>
        <v xml:space="preserve"> </v>
      </c>
      <c r="R395" s="900" t="str">
        <f t="shared" si="76"/>
        <v xml:space="preserve"> </v>
      </c>
      <c r="S395" s="922" t="s">
        <v>1860</v>
      </c>
      <c r="T395" s="944" t="s">
        <v>53</v>
      </c>
      <c r="U395" s="927">
        <v>44.9</v>
      </c>
      <c r="V395" s="925"/>
      <c r="W395" s="900">
        <f>IF(S395&lt;&gt;0,VLOOKUP(S395,VKT!$A$2:$G$415,7,0),"")</f>
        <v>236298</v>
      </c>
      <c r="X395" s="900">
        <f t="shared" si="80"/>
        <v>10610000</v>
      </c>
      <c r="Y395" s="925"/>
      <c r="Z395" s="928"/>
      <c r="AA395" s="928"/>
      <c r="AB395" s="904"/>
      <c r="AC395" s="928"/>
      <c r="AD395" s="928"/>
      <c r="AE395" s="928"/>
      <c r="AF395" s="926"/>
      <c r="AG395" s="906" t="str">
        <f>IF(AE395&lt;&gt;0,VLOOKUP(AE395,ODDS!$A$2:$C$13,3,0),"")</f>
        <v/>
      </c>
      <c r="AH395" s="906" t="str">
        <f t="shared" si="77"/>
        <v xml:space="preserve"> </v>
      </c>
      <c r="AI395" s="907" t="str">
        <f t="shared" si="85"/>
        <v xml:space="preserve"> </v>
      </c>
      <c r="AJ395" s="929"/>
      <c r="AK395" s="929"/>
    </row>
    <row r="396" spans="1:37" s="376" customFormat="1" ht="135" outlineLevel="2" x14ac:dyDescent="0.3">
      <c r="A396" s="447">
        <f t="shared" si="84"/>
        <v>34</v>
      </c>
      <c r="B396" s="893"/>
      <c r="C396" s="894"/>
      <c r="D396" s="923"/>
      <c r="E396" s="923"/>
      <c r="F396" s="896"/>
      <c r="G396" s="894"/>
      <c r="H396" s="924"/>
      <c r="I396" s="882"/>
      <c r="J396" s="929"/>
      <c r="K396" s="899" t="str">
        <f>IF(G396&lt;&gt;0,VLOOKUP(G396,'gia dat'!$A$1:$F$144,5,0)," ")</f>
        <v xml:space="preserve"> </v>
      </c>
      <c r="L396" s="899" t="str">
        <f>IF(G396&lt;&gt;0,VLOOKUP(G396,'gia dat'!$A$1:$F$144,6,0)," ")</f>
        <v xml:space="preserve"> </v>
      </c>
      <c r="M396" s="900" t="str">
        <f t="shared" si="81"/>
        <v xml:space="preserve"> </v>
      </c>
      <c r="N396" s="900" t="str">
        <f t="shared" si="82"/>
        <v xml:space="preserve"> </v>
      </c>
      <c r="O396" s="922"/>
      <c r="P396" s="965"/>
      <c r="Q396" s="900" t="str">
        <f>IF(O396&lt;&gt;0,VLOOKUP(O396,'Cây trong'!$A$2:$C$246,3,0)," ")</f>
        <v xml:space="preserve"> </v>
      </c>
      <c r="R396" s="900" t="str">
        <f t="shared" si="76"/>
        <v xml:space="preserve"> </v>
      </c>
      <c r="S396" s="902" t="s">
        <v>2302</v>
      </c>
      <c r="T396" s="925" t="s">
        <v>53</v>
      </c>
      <c r="U396" s="927">
        <v>16.8</v>
      </c>
      <c r="V396" s="925"/>
      <c r="W396" s="900">
        <f>IF(S396&lt;&gt;0,VLOOKUP(S396,VKT!$A$2:$G$415,7,0),"")</f>
        <v>992025</v>
      </c>
      <c r="X396" s="900">
        <f t="shared" si="80"/>
        <v>16666000</v>
      </c>
      <c r="Y396" s="925"/>
      <c r="Z396" s="928"/>
      <c r="AA396" s="928"/>
      <c r="AB396" s="904"/>
      <c r="AC396" s="928"/>
      <c r="AD396" s="928"/>
      <c r="AE396" s="928"/>
      <c r="AF396" s="926"/>
      <c r="AG396" s="906" t="str">
        <f>IF(AE396&lt;&gt;0,VLOOKUP(AE396,ODDS!$A$2:$C$13,3,0),"")</f>
        <v/>
      </c>
      <c r="AH396" s="906" t="str">
        <f t="shared" si="77"/>
        <v xml:space="preserve"> </v>
      </c>
      <c r="AI396" s="907" t="str">
        <f t="shared" si="85"/>
        <v xml:space="preserve"> </v>
      </c>
      <c r="AJ396" s="929"/>
      <c r="AK396" s="929"/>
    </row>
    <row r="397" spans="1:37" s="376" customFormat="1" ht="135" outlineLevel="2" x14ac:dyDescent="0.3">
      <c r="A397" s="447">
        <f t="shared" si="84"/>
        <v>34</v>
      </c>
      <c r="B397" s="893"/>
      <c r="C397" s="894"/>
      <c r="D397" s="923"/>
      <c r="E397" s="923"/>
      <c r="F397" s="896"/>
      <c r="G397" s="894"/>
      <c r="H397" s="924"/>
      <c r="I397" s="882"/>
      <c r="J397" s="925"/>
      <c r="K397" s="899" t="str">
        <f>IF(G397&lt;&gt;0,VLOOKUP(G397,'gia dat'!$A$1:$F$144,5,0)," ")</f>
        <v xml:space="preserve"> </v>
      </c>
      <c r="L397" s="899" t="str">
        <f>IF(G397&lt;&gt;0,VLOOKUP(G397,'gia dat'!$A$1:$F$144,6,0)," ")</f>
        <v xml:space="preserve"> </v>
      </c>
      <c r="M397" s="900" t="str">
        <f t="shared" si="81"/>
        <v xml:space="preserve"> </v>
      </c>
      <c r="N397" s="900" t="str">
        <f t="shared" si="82"/>
        <v xml:space="preserve"> </v>
      </c>
      <c r="O397" s="894"/>
      <c r="P397" s="926"/>
      <c r="Q397" s="900" t="str">
        <f>IF(O397&lt;&gt;0,VLOOKUP(O397,'Cây trong'!$A$2:$C$246,3,0)," ")</f>
        <v xml:space="preserve"> </v>
      </c>
      <c r="R397" s="900" t="str">
        <f t="shared" si="76"/>
        <v xml:space="preserve"> </v>
      </c>
      <c r="S397" s="902" t="s">
        <v>2303</v>
      </c>
      <c r="T397" s="925" t="s">
        <v>53</v>
      </c>
      <c r="U397" s="927">
        <v>43.68</v>
      </c>
      <c r="V397" s="925"/>
      <c r="W397" s="900">
        <f>IF(S397&lt;&gt;0,VLOOKUP(S397,VKT!$A$2:$G$415,7,0),"")</f>
        <v>840258</v>
      </c>
      <c r="X397" s="900">
        <f t="shared" si="80"/>
        <v>36702000</v>
      </c>
      <c r="Y397" s="925"/>
      <c r="Z397" s="928"/>
      <c r="AA397" s="928"/>
      <c r="AB397" s="904"/>
      <c r="AC397" s="928"/>
      <c r="AD397" s="928"/>
      <c r="AE397" s="928"/>
      <c r="AF397" s="926"/>
      <c r="AG397" s="906" t="str">
        <f>IF(AE397&lt;&gt;0,VLOOKUP(AE397,ODDS!$A$2:$C$13,3,0),"")</f>
        <v/>
      </c>
      <c r="AH397" s="906" t="str">
        <f t="shared" si="77"/>
        <v xml:space="preserve"> </v>
      </c>
      <c r="AI397" s="907" t="str">
        <f t="shared" si="85"/>
        <v xml:space="preserve"> </v>
      </c>
      <c r="AJ397" s="929"/>
      <c r="AK397" s="929"/>
    </row>
    <row r="398" spans="1:37" s="376" customFormat="1" ht="67.5" outlineLevel="2" x14ac:dyDescent="0.3">
      <c r="A398" s="447">
        <f t="shared" si="84"/>
        <v>34</v>
      </c>
      <c r="B398" s="893"/>
      <c r="C398" s="910"/>
      <c r="D398" s="923"/>
      <c r="E398" s="923"/>
      <c r="F398" s="896"/>
      <c r="G398" s="894"/>
      <c r="H398" s="924"/>
      <c r="I398" s="882"/>
      <c r="J398" s="925"/>
      <c r="K398" s="899" t="str">
        <f>IF(G398&lt;&gt;0,VLOOKUP(G398,'gia dat'!$A$1:$F$144,5,0)," ")</f>
        <v xml:space="preserve"> </v>
      </c>
      <c r="L398" s="899" t="str">
        <f>IF(G398&lt;&gt;0,VLOOKUP(G398,'gia dat'!$A$1:$F$144,6,0)," ")</f>
        <v xml:space="preserve"> </v>
      </c>
      <c r="M398" s="900" t="str">
        <f t="shared" si="81"/>
        <v xml:space="preserve"> </v>
      </c>
      <c r="N398" s="900" t="str">
        <f t="shared" si="82"/>
        <v xml:space="preserve"> </v>
      </c>
      <c r="O398" s="894"/>
      <c r="P398" s="926"/>
      <c r="Q398" s="900" t="str">
        <f>IF(O398&lt;&gt;0,VLOOKUP(O398,'Cây trong'!$A$2:$C$246,3,0)," ")</f>
        <v xml:space="preserve"> </v>
      </c>
      <c r="R398" s="900" t="str">
        <f t="shared" si="76"/>
        <v xml:space="preserve"> </v>
      </c>
      <c r="S398" s="922" t="s">
        <v>2304</v>
      </c>
      <c r="T398" s="944" t="s">
        <v>53</v>
      </c>
      <c r="U398" s="927">
        <v>3.36</v>
      </c>
      <c r="V398" s="925"/>
      <c r="W398" s="900">
        <f>IF(S398&lt;&gt;0,VLOOKUP(S398,VKT!$A$2:$G$415,7,0),"")</f>
        <v>441467</v>
      </c>
      <c r="X398" s="900">
        <f t="shared" si="80"/>
        <v>1483000</v>
      </c>
      <c r="Y398" s="925"/>
      <c r="Z398" s="928"/>
      <c r="AA398" s="928"/>
      <c r="AB398" s="904"/>
      <c r="AC398" s="928"/>
      <c r="AD398" s="928"/>
      <c r="AE398" s="928"/>
      <c r="AF398" s="926"/>
      <c r="AG398" s="906" t="str">
        <f>IF(AE398&lt;&gt;0,VLOOKUP(AE398,ODDS!$A$2:$C$13,3,0),"")</f>
        <v/>
      </c>
      <c r="AH398" s="906" t="str">
        <f t="shared" si="77"/>
        <v xml:space="preserve"> </v>
      </c>
      <c r="AI398" s="907" t="str">
        <f t="shared" si="85"/>
        <v xml:space="preserve"> </v>
      </c>
      <c r="AJ398" s="929"/>
      <c r="AK398" s="929"/>
    </row>
    <row r="399" spans="1:37" s="376" customFormat="1" ht="45" outlineLevel="2" x14ac:dyDescent="0.3">
      <c r="A399" s="447">
        <f t="shared" si="84"/>
        <v>34</v>
      </c>
      <c r="B399" s="893"/>
      <c r="C399" s="942"/>
      <c r="D399" s="930"/>
      <c r="E399" s="931"/>
      <c r="F399" s="913"/>
      <c r="G399" s="910"/>
      <c r="H399" s="924"/>
      <c r="I399" s="882"/>
      <c r="J399" s="943"/>
      <c r="K399" s="899" t="str">
        <f>IF(G399&lt;&gt;0,VLOOKUP(G399,'gia dat'!$A$1:$F$144,5,0)," ")</f>
        <v xml:space="preserve"> </v>
      </c>
      <c r="L399" s="899" t="str">
        <f>IF(G399&lt;&gt;0,VLOOKUP(G399,'gia dat'!$A$1:$F$144,6,0)," ")</f>
        <v xml:space="preserve"> </v>
      </c>
      <c r="M399" s="900" t="str">
        <f t="shared" si="81"/>
        <v xml:space="preserve"> </v>
      </c>
      <c r="N399" s="900" t="str">
        <f t="shared" si="82"/>
        <v xml:space="preserve"> </v>
      </c>
      <c r="O399" s="914"/>
      <c r="P399" s="968"/>
      <c r="Q399" s="900" t="str">
        <f>IF(O399&lt;&gt;0,VLOOKUP(O399,'Cây trong'!$A$2:$C$246,3,0)," ")</f>
        <v xml:space="preserve"> </v>
      </c>
      <c r="R399" s="900" t="str">
        <f t="shared" si="76"/>
        <v xml:space="preserve"> </v>
      </c>
      <c r="S399" s="922" t="s">
        <v>2021</v>
      </c>
      <c r="T399" s="944" t="s">
        <v>53</v>
      </c>
      <c r="U399" s="927">
        <v>4.63</v>
      </c>
      <c r="V399" s="933"/>
      <c r="W399" s="900">
        <f>IF(S399&lt;&gt;0,VLOOKUP(S399,VKT!$A$2:$G$415,7,0),"")</f>
        <v>107866</v>
      </c>
      <c r="X399" s="900">
        <f t="shared" si="80"/>
        <v>499000</v>
      </c>
      <c r="Y399" s="916"/>
      <c r="Z399" s="937"/>
      <c r="AA399" s="937"/>
      <c r="AB399" s="920"/>
      <c r="AC399" s="937"/>
      <c r="AD399" s="937"/>
      <c r="AE399" s="937"/>
      <c r="AF399" s="935"/>
      <c r="AG399" s="906" t="str">
        <f>IF(AE399&lt;&gt;0,VLOOKUP(AE399,ODDS!$A$2:$C$13,3,0),"")</f>
        <v/>
      </c>
      <c r="AH399" s="906" t="str">
        <f t="shared" si="77"/>
        <v xml:space="preserve"> </v>
      </c>
      <c r="AI399" s="907" t="str">
        <f t="shared" si="85"/>
        <v xml:space="preserve"> </v>
      </c>
      <c r="AJ399" s="943"/>
      <c r="AK399" s="943"/>
    </row>
    <row r="400" spans="1:37" s="376" customFormat="1" ht="112.5" outlineLevel="2" x14ac:dyDescent="0.3">
      <c r="A400" s="447">
        <f t="shared" si="84"/>
        <v>34</v>
      </c>
      <c r="B400" s="893"/>
      <c r="C400" s="908"/>
      <c r="D400" s="939"/>
      <c r="E400" s="923"/>
      <c r="F400" s="896"/>
      <c r="G400" s="894"/>
      <c r="H400" s="924"/>
      <c r="I400" s="882"/>
      <c r="J400" s="929"/>
      <c r="K400" s="899" t="str">
        <f>IF(G400&lt;&gt;0,VLOOKUP(G400,'gia dat'!$A$1:$F$144,5,0)," ")</f>
        <v xml:space="preserve"> </v>
      </c>
      <c r="L400" s="899" t="str">
        <f>IF(G400&lt;&gt;0,VLOOKUP(G400,'gia dat'!$A$1:$F$144,6,0)," ")</f>
        <v xml:space="preserve"> </v>
      </c>
      <c r="M400" s="900" t="str">
        <f t="shared" si="81"/>
        <v xml:space="preserve"> </v>
      </c>
      <c r="N400" s="900" t="str">
        <f t="shared" si="82"/>
        <v xml:space="preserve"> </v>
      </c>
      <c r="O400" s="922"/>
      <c r="P400" s="965"/>
      <c r="Q400" s="900" t="str">
        <f>IF(O400&lt;&gt;0,VLOOKUP(O400,'Cây trong'!$A$2:$C$246,3,0)," ")</f>
        <v xml:space="preserve"> </v>
      </c>
      <c r="R400" s="900" t="str">
        <f t="shared" si="76"/>
        <v xml:space="preserve"> </v>
      </c>
      <c r="S400" s="922" t="s">
        <v>2305</v>
      </c>
      <c r="T400" s="944" t="s">
        <v>53</v>
      </c>
      <c r="U400" s="927">
        <v>11.76</v>
      </c>
      <c r="V400" s="925"/>
      <c r="W400" s="900">
        <f>IF(S400&lt;&gt;0,VLOOKUP(S400,VKT!$A$2:$G$415,7,0),"")</f>
        <v>441467</v>
      </c>
      <c r="X400" s="900">
        <f t="shared" si="80"/>
        <v>5192000</v>
      </c>
      <c r="Y400" s="898"/>
      <c r="Z400" s="928"/>
      <c r="AA400" s="928"/>
      <c r="AB400" s="904"/>
      <c r="AC400" s="928"/>
      <c r="AD400" s="928"/>
      <c r="AE400" s="928"/>
      <c r="AF400" s="926"/>
      <c r="AG400" s="906" t="str">
        <f>IF(AE400&lt;&gt;0,VLOOKUP(AE400,ODDS!$A$2:$C$13,3,0),"")</f>
        <v/>
      </c>
      <c r="AH400" s="906" t="str">
        <f t="shared" si="77"/>
        <v xml:space="preserve"> </v>
      </c>
      <c r="AI400" s="907" t="str">
        <f t="shared" si="85"/>
        <v xml:space="preserve"> </v>
      </c>
      <c r="AJ400" s="894"/>
      <c r="AK400" s="894"/>
    </row>
    <row r="401" spans="1:37" s="376" customFormat="1" ht="135" outlineLevel="2" x14ac:dyDescent="0.3">
      <c r="A401" s="447">
        <f t="shared" si="84"/>
        <v>34</v>
      </c>
      <c r="B401" s="893"/>
      <c r="C401" s="908"/>
      <c r="D401" s="923"/>
      <c r="E401" s="923"/>
      <c r="F401" s="896"/>
      <c r="G401" s="922"/>
      <c r="H401" s="924"/>
      <c r="I401" s="882"/>
      <c r="J401" s="929"/>
      <c r="K401" s="899" t="str">
        <f>IF(G401&lt;&gt;0,VLOOKUP(G401,'gia dat'!$A$1:$F$144,5,0)," ")</f>
        <v xml:space="preserve"> </v>
      </c>
      <c r="L401" s="899" t="str">
        <f>IF(G401&lt;&gt;0,VLOOKUP(G401,'gia dat'!$A$1:$F$144,6,0)," ")</f>
        <v xml:space="preserve"> </v>
      </c>
      <c r="M401" s="900" t="str">
        <f t="shared" si="81"/>
        <v xml:space="preserve"> </v>
      </c>
      <c r="N401" s="900" t="str">
        <f t="shared" si="82"/>
        <v xml:space="preserve"> </v>
      </c>
      <c r="O401" s="922"/>
      <c r="P401" s="965"/>
      <c r="Q401" s="900" t="str">
        <f>IF(O401&lt;&gt;0,VLOOKUP(O401,'Cây trong'!$A$2:$C$246,3,0)," ")</f>
        <v xml:space="preserve"> </v>
      </c>
      <c r="R401" s="900" t="str">
        <f t="shared" ref="R401:R512" si="86">IF(O401&lt;&gt;0,ROUND(P401*Q401,-2)," ")</f>
        <v xml:space="preserve"> </v>
      </c>
      <c r="S401" s="902" t="s">
        <v>2306</v>
      </c>
      <c r="T401" s="925" t="s">
        <v>53</v>
      </c>
      <c r="U401" s="927">
        <v>79.599999999999994</v>
      </c>
      <c r="V401" s="925"/>
      <c r="W401" s="900">
        <f>IF(S401&lt;&gt;0,VLOOKUP(S401,VKT!$A$2:$G$415,7,0),"")</f>
        <v>840258</v>
      </c>
      <c r="X401" s="900">
        <f t="shared" si="80"/>
        <v>66885000</v>
      </c>
      <c r="Y401" s="925"/>
      <c r="Z401" s="928"/>
      <c r="AA401" s="928"/>
      <c r="AB401" s="904"/>
      <c r="AC401" s="928"/>
      <c r="AD401" s="928"/>
      <c r="AE401" s="928"/>
      <c r="AF401" s="926"/>
      <c r="AG401" s="906" t="str">
        <f>IF(AE401&lt;&gt;0,VLOOKUP(AE401,ODDS!$A$2:$C$13,3,0),"")</f>
        <v/>
      </c>
      <c r="AH401" s="906" t="str">
        <f t="shared" ref="AH401:AH512" si="87">IF(AE401&lt;&gt;0,ROUND(AF401*AG401,-2)," ")</f>
        <v xml:space="preserve"> </v>
      </c>
      <c r="AI401" s="907" t="str">
        <f t="shared" si="85"/>
        <v xml:space="preserve"> </v>
      </c>
      <c r="AJ401" s="894"/>
      <c r="AK401" s="894"/>
    </row>
    <row r="402" spans="1:37" s="376" customFormat="1" ht="67.5" outlineLevel="2" x14ac:dyDescent="0.3">
      <c r="A402" s="447">
        <f t="shared" si="84"/>
        <v>34</v>
      </c>
      <c r="B402" s="893"/>
      <c r="C402" s="978"/>
      <c r="D402" s="923"/>
      <c r="E402" s="923"/>
      <c r="F402" s="896"/>
      <c r="G402" s="894"/>
      <c r="H402" s="924"/>
      <c r="I402" s="882"/>
      <c r="J402" s="925"/>
      <c r="K402" s="899" t="str">
        <f>IF(G402&lt;&gt;0,VLOOKUP(G402,'gia dat'!$A$1:$F$144,5,0)," ")</f>
        <v xml:space="preserve"> </v>
      </c>
      <c r="L402" s="899" t="str">
        <f>IF(G402&lt;&gt;0,VLOOKUP(G402,'gia dat'!$A$1:$F$144,6,0)," ")</f>
        <v xml:space="preserve"> </v>
      </c>
      <c r="M402" s="900" t="str">
        <f t="shared" si="81"/>
        <v xml:space="preserve"> </v>
      </c>
      <c r="N402" s="900" t="str">
        <f t="shared" si="82"/>
        <v xml:space="preserve"> </v>
      </c>
      <c r="O402" s="894"/>
      <c r="P402" s="926"/>
      <c r="Q402" s="900" t="str">
        <f>IF(O402&lt;&gt;0,VLOOKUP(O402,'Cây trong'!$A$2:$C$246,3,0)," ")</f>
        <v xml:space="preserve"> </v>
      </c>
      <c r="R402" s="900" t="str">
        <f t="shared" si="86"/>
        <v xml:space="preserve"> </v>
      </c>
      <c r="S402" s="981" t="s">
        <v>1758</v>
      </c>
      <c r="T402" s="984" t="s">
        <v>174</v>
      </c>
      <c r="U402" s="927">
        <v>1</v>
      </c>
      <c r="V402" s="925"/>
      <c r="W402" s="900">
        <f>IF(S402&lt;&gt;0,VLOOKUP(S402,VKT!$A$2:$G$415,7,0),"")</f>
        <v>0</v>
      </c>
      <c r="X402" s="900">
        <f t="shared" si="80"/>
        <v>0</v>
      </c>
      <c r="Y402" s="925"/>
      <c r="Z402" s="928"/>
      <c r="AA402" s="928"/>
      <c r="AB402" s="904"/>
      <c r="AC402" s="928"/>
      <c r="AD402" s="928"/>
      <c r="AE402" s="928"/>
      <c r="AF402" s="926"/>
      <c r="AG402" s="906" t="str">
        <f>IF(AE402&lt;&gt;0,VLOOKUP(AE402,ODDS!$A$2:$C$13,3,0),"")</f>
        <v/>
      </c>
      <c r="AH402" s="906" t="str">
        <f t="shared" si="87"/>
        <v xml:space="preserve"> </v>
      </c>
      <c r="AI402" s="907" t="str">
        <f t="shared" si="85"/>
        <v xml:space="preserve"> </v>
      </c>
      <c r="AJ402" s="929"/>
      <c r="AK402" s="929"/>
    </row>
    <row r="403" spans="1:37" s="376" customFormat="1" ht="45" outlineLevel="2" x14ac:dyDescent="0.3">
      <c r="A403" s="447">
        <f t="shared" si="84"/>
        <v>34</v>
      </c>
      <c r="B403" s="893"/>
      <c r="C403" s="983"/>
      <c r="D403" s="923"/>
      <c r="E403" s="923"/>
      <c r="F403" s="896"/>
      <c r="G403" s="894"/>
      <c r="H403" s="924"/>
      <c r="I403" s="882"/>
      <c r="J403" s="925"/>
      <c r="K403" s="899" t="str">
        <f>IF(G403&lt;&gt;0,VLOOKUP(G403,'gia dat'!$A$1:$F$144,5,0)," ")</f>
        <v xml:space="preserve"> </v>
      </c>
      <c r="L403" s="899" t="str">
        <f>IF(G403&lt;&gt;0,VLOOKUP(G403,'gia dat'!$A$1:$F$144,6,0)," ")</f>
        <v xml:space="preserve"> </v>
      </c>
      <c r="M403" s="900" t="str">
        <f t="shared" si="81"/>
        <v xml:space="preserve"> </v>
      </c>
      <c r="N403" s="900" t="str">
        <f t="shared" si="82"/>
        <v xml:space="preserve"> </v>
      </c>
      <c r="O403" s="981"/>
      <c r="P403" s="926"/>
      <c r="Q403" s="900" t="str">
        <f>IF(O403&lt;&gt;0,VLOOKUP(O403,'Cây trong'!$A$2:$C$246,3,0)," ")</f>
        <v xml:space="preserve"> </v>
      </c>
      <c r="R403" s="900" t="str">
        <f t="shared" si="86"/>
        <v xml:space="preserve"> </v>
      </c>
      <c r="S403" s="981" t="s">
        <v>1839</v>
      </c>
      <c r="T403" s="982" t="s">
        <v>53</v>
      </c>
      <c r="U403" s="927">
        <v>17.7</v>
      </c>
      <c r="V403" s="925"/>
      <c r="W403" s="900">
        <f>IF(S403&lt;&gt;0,VLOOKUP(S403,VKT!$A$2:$G$415,7,0),"")</f>
        <v>244604</v>
      </c>
      <c r="X403" s="900">
        <f t="shared" si="80"/>
        <v>4329000</v>
      </c>
      <c r="Y403" s="925"/>
      <c r="Z403" s="928"/>
      <c r="AA403" s="928"/>
      <c r="AB403" s="904"/>
      <c r="AC403" s="928"/>
      <c r="AD403" s="928"/>
      <c r="AE403" s="928"/>
      <c r="AF403" s="926"/>
      <c r="AG403" s="906" t="str">
        <f>IF(AE403&lt;&gt;0,VLOOKUP(AE403,ODDS!$A$2:$C$13,3,0),"")</f>
        <v/>
      </c>
      <c r="AH403" s="906" t="str">
        <f t="shared" si="87"/>
        <v xml:space="preserve"> </v>
      </c>
      <c r="AI403" s="907" t="str">
        <f t="shared" si="85"/>
        <v xml:space="preserve"> </v>
      </c>
      <c r="AJ403" s="894"/>
      <c r="AK403" s="894"/>
    </row>
    <row r="404" spans="1:37" s="376" customFormat="1" ht="22.5" outlineLevel="2" x14ac:dyDescent="0.3">
      <c r="A404" s="447">
        <f t="shared" si="84"/>
        <v>34</v>
      </c>
      <c r="B404" s="893"/>
      <c r="C404" s="983"/>
      <c r="D404" s="923"/>
      <c r="E404" s="923"/>
      <c r="F404" s="950"/>
      <c r="G404" s="894"/>
      <c r="H404" s="940"/>
      <c r="I404" s="882"/>
      <c r="J404" s="929"/>
      <c r="K404" s="899" t="str">
        <f>IF(G404&lt;&gt;0,VLOOKUP(G404,'gia dat'!$A$1:$F$144,5,0)," ")</f>
        <v xml:space="preserve"> </v>
      </c>
      <c r="L404" s="899" t="str">
        <f>IF(G404&lt;&gt;0,VLOOKUP(G404,'gia dat'!$A$1:$F$144,6,0)," ")</f>
        <v xml:space="preserve"> </v>
      </c>
      <c r="M404" s="900" t="str">
        <f t="shared" si="81"/>
        <v xml:space="preserve"> </v>
      </c>
      <c r="N404" s="900" t="str">
        <f t="shared" si="82"/>
        <v xml:space="preserve"> </v>
      </c>
      <c r="O404" s="929"/>
      <c r="P404" s="951"/>
      <c r="Q404" s="900" t="str">
        <f>IF(O404&lt;&gt;0,VLOOKUP(O404,'Cây trong'!$A$2:$C$246,3,0)," ")</f>
        <v xml:space="preserve"> </v>
      </c>
      <c r="R404" s="900" t="str">
        <f t="shared" si="86"/>
        <v xml:space="preserve"> </v>
      </c>
      <c r="S404" s="929"/>
      <c r="T404" s="929"/>
      <c r="U404" s="952"/>
      <c r="V404" s="925"/>
      <c r="W404" s="900" t="str">
        <f>IF(S404&lt;&gt;0,VLOOKUP(S404,VKT!$A$2:$G$415,7,0),"")</f>
        <v/>
      </c>
      <c r="X404" s="900" t="str">
        <f t="shared" si="80"/>
        <v xml:space="preserve"> </v>
      </c>
      <c r="Y404" s="925"/>
      <c r="Z404" s="925"/>
      <c r="AA404" s="925"/>
      <c r="AB404" s="898"/>
      <c r="AC404" s="925"/>
      <c r="AD404" s="925"/>
      <c r="AE404" s="925"/>
      <c r="AF404" s="964"/>
      <c r="AG404" s="906" t="str">
        <f>IF(AE404&lt;&gt;0,VLOOKUP(AE404,ODDS!$A$2:$C$13,3,0),"")</f>
        <v/>
      </c>
      <c r="AH404" s="906" t="str">
        <f t="shared" si="87"/>
        <v xml:space="preserve"> </v>
      </c>
      <c r="AI404" s="907" t="str">
        <f t="shared" si="85"/>
        <v xml:space="preserve"> </v>
      </c>
      <c r="AJ404" s="929"/>
      <c r="AK404" s="929"/>
    </row>
    <row r="405" spans="1:37" s="376" customFormat="1" ht="22.5" outlineLevel="2" x14ac:dyDescent="0.3">
      <c r="A405" s="447">
        <f t="shared" si="84"/>
        <v>34</v>
      </c>
      <c r="B405" s="893"/>
      <c r="C405" s="894"/>
      <c r="D405" s="923"/>
      <c r="E405" s="923"/>
      <c r="F405" s="896"/>
      <c r="G405" s="894"/>
      <c r="H405" s="924"/>
      <c r="I405" s="882"/>
      <c r="J405" s="925"/>
      <c r="K405" s="899" t="str">
        <f>IF(G405&lt;&gt;0,VLOOKUP(G405,'gia dat'!$A$1:$F$144,5,0)," ")</f>
        <v xml:space="preserve"> </v>
      </c>
      <c r="L405" s="899" t="str">
        <f>IF(G405&lt;&gt;0,VLOOKUP(G405,'gia dat'!$A$1:$F$144,6,0)," ")</f>
        <v xml:space="preserve"> </v>
      </c>
      <c r="M405" s="900" t="str">
        <f t="shared" si="81"/>
        <v xml:space="preserve"> </v>
      </c>
      <c r="N405" s="900" t="str">
        <f t="shared" si="82"/>
        <v xml:space="preserve"> </v>
      </c>
      <c r="O405" s="981"/>
      <c r="P405" s="926"/>
      <c r="Q405" s="900" t="str">
        <f>IF(O405&lt;&gt;0,VLOOKUP(O405,'Cây trong'!$A$2:$C$246,3,0)," ")</f>
        <v xml:space="preserve"> </v>
      </c>
      <c r="R405" s="900" t="str">
        <f t="shared" si="86"/>
        <v xml:space="preserve"> </v>
      </c>
      <c r="S405" s="929"/>
      <c r="T405" s="929"/>
      <c r="U405" s="952"/>
      <c r="V405" s="925"/>
      <c r="W405" s="900" t="str">
        <f>IF(S405&lt;&gt;0,VLOOKUP(S405,VKT!$A$2:$G$415,7,0),"")</f>
        <v/>
      </c>
      <c r="X405" s="900" t="str">
        <f t="shared" si="80"/>
        <v xml:space="preserve"> </v>
      </c>
      <c r="Y405" s="925"/>
      <c r="Z405" s="928"/>
      <c r="AA405" s="928"/>
      <c r="AB405" s="904"/>
      <c r="AC405" s="928"/>
      <c r="AD405" s="928"/>
      <c r="AE405" s="928"/>
      <c r="AF405" s="926"/>
      <c r="AG405" s="906" t="str">
        <f>IF(AE405&lt;&gt;0,VLOOKUP(AE405,ODDS!$A$2:$C$13,3,0),"")</f>
        <v/>
      </c>
      <c r="AH405" s="906" t="str">
        <f t="shared" si="87"/>
        <v xml:space="preserve"> </v>
      </c>
      <c r="AI405" s="907" t="str">
        <f t="shared" si="85"/>
        <v xml:space="preserve"> </v>
      </c>
      <c r="AJ405" s="894"/>
      <c r="AK405" s="894"/>
    </row>
    <row r="406" spans="1:37" s="376" customFormat="1" ht="22.5" outlineLevel="2" x14ac:dyDescent="0.3">
      <c r="A406" s="447">
        <f t="shared" si="84"/>
        <v>34</v>
      </c>
      <c r="B406" s="893"/>
      <c r="C406" s="942"/>
      <c r="D406" s="923"/>
      <c r="E406" s="923"/>
      <c r="F406" s="896"/>
      <c r="G406" s="894"/>
      <c r="H406" s="924"/>
      <c r="I406" s="882"/>
      <c r="J406" s="925"/>
      <c r="K406" s="899" t="str">
        <f>IF(G406&lt;&gt;0,VLOOKUP(G406,'gia dat'!$A$1:$F$144,5,0)," ")</f>
        <v xml:space="preserve"> </v>
      </c>
      <c r="L406" s="899" t="str">
        <f>IF(G406&lt;&gt;0,VLOOKUP(G406,'gia dat'!$A$1:$F$144,6,0)," ")</f>
        <v xml:space="preserve"> </v>
      </c>
      <c r="M406" s="900" t="str">
        <f t="shared" si="81"/>
        <v xml:space="preserve"> </v>
      </c>
      <c r="N406" s="900" t="str">
        <f t="shared" si="82"/>
        <v xml:space="preserve"> </v>
      </c>
      <c r="O406" s="981"/>
      <c r="P406" s="926"/>
      <c r="Q406" s="900" t="str">
        <f>IF(O406&lt;&gt;0,VLOOKUP(O406,'Cây trong'!$A$2:$C$246,3,0)," ")</f>
        <v xml:space="preserve"> </v>
      </c>
      <c r="R406" s="900" t="str">
        <f t="shared" si="86"/>
        <v xml:space="preserve"> </v>
      </c>
      <c r="S406" s="981"/>
      <c r="T406" s="982"/>
      <c r="U406" s="927"/>
      <c r="V406" s="925"/>
      <c r="W406" s="900" t="str">
        <f>IF(S406&lt;&gt;0,VLOOKUP(S406,VKT!$A$2:$G$415,7,0),"")</f>
        <v/>
      </c>
      <c r="X406" s="900" t="str">
        <f t="shared" si="80"/>
        <v xml:space="preserve"> </v>
      </c>
      <c r="Y406" s="925"/>
      <c r="Z406" s="928"/>
      <c r="AA406" s="928"/>
      <c r="AB406" s="904"/>
      <c r="AC406" s="928"/>
      <c r="AD406" s="928"/>
      <c r="AE406" s="928"/>
      <c r="AF406" s="926"/>
      <c r="AG406" s="906" t="str">
        <f>IF(AE406&lt;&gt;0,VLOOKUP(AE406,ODDS!$A$2:$C$13,3,0),"")</f>
        <v/>
      </c>
      <c r="AH406" s="906" t="str">
        <f t="shared" si="87"/>
        <v xml:space="preserve"> </v>
      </c>
      <c r="AI406" s="907" t="str">
        <f t="shared" si="85"/>
        <v xml:space="preserve"> </v>
      </c>
      <c r="AJ406" s="894"/>
      <c r="AK406" s="894"/>
    </row>
    <row r="407" spans="1:37" s="376" customFormat="1" ht="22.5" outlineLevel="2" x14ac:dyDescent="0.3">
      <c r="A407" s="447">
        <f t="shared" si="84"/>
        <v>34</v>
      </c>
      <c r="B407" s="893"/>
      <c r="C407" s="942"/>
      <c r="D407" s="930"/>
      <c r="E407" s="931"/>
      <c r="F407" s="913"/>
      <c r="G407" s="910"/>
      <c r="H407" s="924"/>
      <c r="I407" s="882"/>
      <c r="J407" s="933"/>
      <c r="K407" s="899" t="str">
        <f>IF(G407&lt;&gt;0,VLOOKUP(G407,'gia dat'!$A$1:$F$144,5,0)," ")</f>
        <v xml:space="preserve"> </v>
      </c>
      <c r="L407" s="899" t="str">
        <f>IF(G407&lt;&gt;0,VLOOKUP(G407,'gia dat'!$A$1:$F$144,6,0)," ")</f>
        <v xml:space="preserve"> </v>
      </c>
      <c r="M407" s="900" t="str">
        <f t="shared" si="81"/>
        <v xml:space="preserve"> </v>
      </c>
      <c r="N407" s="900" t="str">
        <f t="shared" si="82"/>
        <v xml:space="preserve"> </v>
      </c>
      <c r="O407" s="934"/>
      <c r="P407" s="935"/>
      <c r="Q407" s="900" t="str">
        <f>IF(O407&lt;&gt;0,VLOOKUP(O407,'Cây trong'!$A$2:$C$246,3,0)," ")</f>
        <v xml:space="preserve"> </v>
      </c>
      <c r="R407" s="900" t="str">
        <f t="shared" si="86"/>
        <v xml:space="preserve"> </v>
      </c>
      <c r="S407" s="918"/>
      <c r="T407" s="933"/>
      <c r="U407" s="927"/>
      <c r="V407" s="933"/>
      <c r="W407" s="900" t="str">
        <f>IF(S407&lt;&gt;0,VLOOKUP(S407,VKT!$A$2:$G$415,7,0),"")</f>
        <v/>
      </c>
      <c r="X407" s="900" t="str">
        <f t="shared" si="80"/>
        <v xml:space="preserve"> </v>
      </c>
      <c r="Y407" s="925"/>
      <c r="Z407" s="928"/>
      <c r="AA407" s="928"/>
      <c r="AB407" s="904"/>
      <c r="AC407" s="928"/>
      <c r="AD407" s="928"/>
      <c r="AE407" s="928"/>
      <c r="AF407" s="926"/>
      <c r="AG407" s="906" t="str">
        <f>IF(AE407&lt;&gt;0,VLOOKUP(AE407,ODDS!$A$2:$C$13,3,0),"")</f>
        <v/>
      </c>
      <c r="AH407" s="906" t="str">
        <f t="shared" si="87"/>
        <v xml:space="preserve"> </v>
      </c>
      <c r="AI407" s="907" t="str">
        <f t="shared" si="85"/>
        <v xml:space="preserve"> </v>
      </c>
      <c r="AJ407" s="929"/>
      <c r="AK407" s="929"/>
    </row>
    <row r="408" spans="1:37" s="376" customFormat="1" ht="22.5" outlineLevel="2" x14ac:dyDescent="0.3">
      <c r="A408" s="447">
        <f t="shared" si="84"/>
        <v>34</v>
      </c>
      <c r="B408" s="893"/>
      <c r="C408" s="942"/>
      <c r="D408" s="930"/>
      <c r="E408" s="931"/>
      <c r="F408" s="913"/>
      <c r="G408" s="910"/>
      <c r="H408" s="924"/>
      <c r="I408" s="882"/>
      <c r="J408" s="933"/>
      <c r="K408" s="899" t="str">
        <f>IF(G408&lt;&gt;0,VLOOKUP(G408,'gia dat'!$A$1:$F$144,5,0)," ")</f>
        <v xml:space="preserve"> </v>
      </c>
      <c r="L408" s="899" t="str">
        <f>IF(G408&lt;&gt;0,VLOOKUP(G408,'gia dat'!$A$1:$F$144,6,0)," ")</f>
        <v xml:space="preserve"> </v>
      </c>
      <c r="M408" s="900" t="str">
        <f t="shared" si="81"/>
        <v xml:space="preserve"> </v>
      </c>
      <c r="N408" s="900" t="str">
        <f t="shared" si="82"/>
        <v xml:space="preserve"> </v>
      </c>
      <c r="O408" s="934"/>
      <c r="P408" s="935"/>
      <c r="Q408" s="900"/>
      <c r="R408" s="900"/>
      <c r="S408" s="918"/>
      <c r="T408" s="933"/>
      <c r="U408" s="927"/>
      <c r="V408" s="933"/>
      <c r="W408" s="900" t="str">
        <f>IF(S408&lt;&gt;0,VLOOKUP(S408,VKT!$A$2:$G$415,7,0),"")</f>
        <v/>
      </c>
      <c r="X408" s="900" t="str">
        <f t="shared" si="80"/>
        <v xml:space="preserve"> </v>
      </c>
      <c r="Y408" s="925"/>
      <c r="Z408" s="928"/>
      <c r="AA408" s="928"/>
      <c r="AB408" s="904"/>
      <c r="AC408" s="928"/>
      <c r="AD408" s="928"/>
      <c r="AE408" s="928"/>
      <c r="AF408" s="926"/>
      <c r="AG408" s="906" t="str">
        <f>IF(AE408&lt;&gt;0,VLOOKUP(AE408,ODDS!$A$2:$C$13,3,0),"")</f>
        <v/>
      </c>
      <c r="AH408" s="906"/>
      <c r="AI408" s="907" t="str">
        <f t="shared" si="85"/>
        <v xml:space="preserve"> </v>
      </c>
      <c r="AJ408" s="929"/>
      <c r="AK408" s="929"/>
    </row>
    <row r="409" spans="1:37" s="376" customFormat="1" ht="22.5" outlineLevel="2" x14ac:dyDescent="0.3">
      <c r="A409" s="447">
        <f t="shared" si="84"/>
        <v>34</v>
      </c>
      <c r="B409" s="893"/>
      <c r="C409" s="942"/>
      <c r="D409" s="930"/>
      <c r="E409" s="931"/>
      <c r="F409" s="913"/>
      <c r="G409" s="910"/>
      <c r="H409" s="924"/>
      <c r="I409" s="882"/>
      <c r="J409" s="933"/>
      <c r="K409" s="899" t="str">
        <f>IF(G409&lt;&gt;0,VLOOKUP(G409,'gia dat'!$A$1:$F$144,5,0)," ")</f>
        <v xml:space="preserve"> </v>
      </c>
      <c r="L409" s="899" t="str">
        <f>IF(G409&lt;&gt;0,VLOOKUP(G409,'gia dat'!$A$1:$F$144,6,0)," ")</f>
        <v xml:space="preserve"> </v>
      </c>
      <c r="M409" s="900" t="str">
        <f t="shared" si="81"/>
        <v xml:space="preserve"> </v>
      </c>
      <c r="N409" s="900" t="str">
        <f t="shared" si="82"/>
        <v xml:space="preserve"> </v>
      </c>
      <c r="O409" s="934"/>
      <c r="P409" s="935"/>
      <c r="Q409" s="900"/>
      <c r="R409" s="900"/>
      <c r="S409" s="918"/>
      <c r="T409" s="933"/>
      <c r="U409" s="927"/>
      <c r="V409" s="933"/>
      <c r="W409" s="900" t="str">
        <f>IF(S409&lt;&gt;0,VLOOKUP(S409,VKT!$A$2:$G$415,7,0),"")</f>
        <v/>
      </c>
      <c r="X409" s="900" t="str">
        <f t="shared" si="80"/>
        <v xml:space="preserve"> </v>
      </c>
      <c r="Y409" s="925"/>
      <c r="Z409" s="928"/>
      <c r="AA409" s="928"/>
      <c r="AB409" s="904"/>
      <c r="AC409" s="928"/>
      <c r="AD409" s="928"/>
      <c r="AE409" s="928"/>
      <c r="AF409" s="926"/>
      <c r="AG409" s="906" t="str">
        <f>IF(AE409&lt;&gt;0,VLOOKUP(AE409,ODDS!$A$2:$C$13,3,0),"")</f>
        <v/>
      </c>
      <c r="AH409" s="906"/>
      <c r="AI409" s="907" t="str">
        <f t="shared" si="85"/>
        <v xml:space="preserve"> </v>
      </c>
      <c r="AJ409" s="929"/>
      <c r="AK409" s="929"/>
    </row>
    <row r="410" spans="1:37" s="376" customFormat="1" ht="22.5" outlineLevel="2" x14ac:dyDescent="0.3">
      <c r="A410" s="447">
        <f t="shared" si="84"/>
        <v>34</v>
      </c>
      <c r="B410" s="893"/>
      <c r="C410" s="910"/>
      <c r="D410" s="930"/>
      <c r="E410" s="931"/>
      <c r="F410" s="913"/>
      <c r="G410" s="910"/>
      <c r="H410" s="924"/>
      <c r="I410" s="882"/>
      <c r="J410" s="933"/>
      <c r="K410" s="899" t="str">
        <f>IF(G410&lt;&gt;0,VLOOKUP(G410,'gia dat'!$A$1:$F$144,5,0)," ")</f>
        <v xml:space="preserve"> </v>
      </c>
      <c r="L410" s="899" t="str">
        <f>IF(G410&lt;&gt;0,VLOOKUP(G410,'gia dat'!$A$1:$F$144,6,0)," ")</f>
        <v xml:space="preserve"> </v>
      </c>
      <c r="M410" s="900" t="str">
        <f t="shared" si="81"/>
        <v xml:space="preserve"> </v>
      </c>
      <c r="N410" s="900" t="str">
        <f t="shared" si="82"/>
        <v xml:space="preserve"> </v>
      </c>
      <c r="O410" s="934"/>
      <c r="P410" s="935"/>
      <c r="Q410" s="900"/>
      <c r="R410" s="900"/>
      <c r="S410" s="918"/>
      <c r="T410" s="933"/>
      <c r="U410" s="927"/>
      <c r="V410" s="933"/>
      <c r="W410" s="900" t="str">
        <f>IF(S410&lt;&gt;0,VLOOKUP(S410,VKT!$A$2:$G$415,7,0),"")</f>
        <v/>
      </c>
      <c r="X410" s="900" t="str">
        <f t="shared" si="80"/>
        <v xml:space="preserve"> </v>
      </c>
      <c r="Y410" s="925"/>
      <c r="Z410" s="928"/>
      <c r="AA410" s="928"/>
      <c r="AB410" s="904"/>
      <c r="AC410" s="928"/>
      <c r="AD410" s="928"/>
      <c r="AE410" s="928"/>
      <c r="AF410" s="926"/>
      <c r="AG410" s="906" t="str">
        <f>IF(AE410&lt;&gt;0,VLOOKUP(AE410,ODDS!$A$2:$C$13,3,0),"")</f>
        <v/>
      </c>
      <c r="AH410" s="906"/>
      <c r="AI410" s="907" t="str">
        <f t="shared" si="85"/>
        <v xml:space="preserve"> </v>
      </c>
      <c r="AJ410" s="929"/>
      <c r="AK410" s="929"/>
    </row>
    <row r="411" spans="1:37" s="376" customFormat="1" ht="43.5" outlineLevel="1" x14ac:dyDescent="0.25">
      <c r="A411" s="467" t="s">
        <v>2675</v>
      </c>
      <c r="B411" s="912">
        <v>35</v>
      </c>
      <c r="C411" s="910" t="s">
        <v>34</v>
      </c>
      <c r="D411" s="930"/>
      <c r="E411" s="931"/>
      <c r="F411" s="913"/>
      <c r="G411" s="910"/>
      <c r="H411" s="953">
        <f>SUBTOTAL(9,H412:H418)</f>
        <v>67.099999999999994</v>
      </c>
      <c r="I411" s="915">
        <f>SUBTOTAL(9,I412:I417)</f>
        <v>28.1</v>
      </c>
      <c r="J411" s="933"/>
      <c r="K411" s="917"/>
      <c r="L411" s="917"/>
      <c r="M411" s="907">
        <f>SUBTOTAL(9,M412:M418)</f>
        <v>37200000</v>
      </c>
      <c r="N411" s="907">
        <f>SUBTOTAL(9,N412:N418)</f>
        <v>46736000</v>
      </c>
      <c r="O411" s="934"/>
      <c r="P411" s="935">
        <f>SUBTOTAL(9,P412:P418)</f>
        <v>0</v>
      </c>
      <c r="Q411" s="907"/>
      <c r="R411" s="907">
        <f>SUBTOTAL(9,R412:R418)</f>
        <v>0</v>
      </c>
      <c r="S411" s="918"/>
      <c r="T411" s="933"/>
      <c r="U411" s="936">
        <f>SUBTOTAL(9,U412:U418)</f>
        <v>0</v>
      </c>
      <c r="V411" s="933"/>
      <c r="W411" s="907"/>
      <c r="X411" s="907">
        <f>SUBTOTAL(9,X412:X418)</f>
        <v>0</v>
      </c>
      <c r="Y411" s="925"/>
      <c r="Z411" s="928"/>
      <c r="AA411" s="928"/>
      <c r="AB411" s="904"/>
      <c r="AC411" s="928"/>
      <c r="AD411" s="928"/>
      <c r="AE411" s="937"/>
      <c r="AF411" s="935">
        <f>SUBTOTAL(9,AF412:AF418)</f>
        <v>0</v>
      </c>
      <c r="AG411" s="921"/>
      <c r="AH411" s="921">
        <f>SUBTOTAL(9,AH412:AH418)</f>
        <v>0</v>
      </c>
      <c r="AI411" s="907">
        <f t="shared" si="85"/>
        <v>83936000</v>
      </c>
      <c r="AJ411" s="910"/>
      <c r="AK411" s="914"/>
    </row>
    <row r="412" spans="1:37" s="376" customFormat="1" ht="247.5" outlineLevel="2" x14ac:dyDescent="0.3">
      <c r="A412" s="447">
        <f>IF(B411&lt;&gt;0,B411,A410)</f>
        <v>35</v>
      </c>
      <c r="B412" s="893"/>
      <c r="C412" s="894" t="s">
        <v>162</v>
      </c>
      <c r="D412" s="930"/>
      <c r="E412" s="923">
        <v>86</v>
      </c>
      <c r="F412" s="896">
        <v>263</v>
      </c>
      <c r="G412" s="894" t="s">
        <v>2469</v>
      </c>
      <c r="H412" s="924">
        <f>65-H414</f>
        <v>26</v>
      </c>
      <c r="I412" s="882">
        <f t="shared" ref="I412:I414" si="88">IF(N412&gt;0,H412,"")</f>
        <v>26</v>
      </c>
      <c r="J412" s="933"/>
      <c r="K412" s="899">
        <f>IF(G412&lt;&gt;0,VLOOKUP(G412,'gia dat'!$A$1:$F$144,5,0)," ")</f>
        <v>554400</v>
      </c>
      <c r="L412" s="899">
        <f>IF(G412&lt;&gt;0,VLOOKUP(G412,'gia dat'!$A$1:$F$144,6,0)," ")</f>
        <v>1663200</v>
      </c>
      <c r="M412" s="900">
        <f t="shared" si="81"/>
        <v>14414000</v>
      </c>
      <c r="N412" s="900">
        <f t="shared" si="82"/>
        <v>43243000</v>
      </c>
      <c r="O412" s="934"/>
      <c r="P412" s="935"/>
      <c r="Q412" s="900"/>
      <c r="R412" s="900"/>
      <c r="S412" s="918"/>
      <c r="T412" s="933"/>
      <c r="U412" s="927"/>
      <c r="V412" s="933"/>
      <c r="W412" s="900" t="str">
        <f>IF(S412&lt;&gt;0,VLOOKUP(S412,VKT!$A$2:$G$415,7,0),"")</f>
        <v/>
      </c>
      <c r="X412" s="900" t="str">
        <f t="shared" si="80"/>
        <v xml:space="preserve"> </v>
      </c>
      <c r="Y412" s="925"/>
      <c r="Z412" s="928"/>
      <c r="AA412" s="928"/>
      <c r="AB412" s="904"/>
      <c r="AC412" s="928"/>
      <c r="AD412" s="928"/>
      <c r="AE412" s="928"/>
      <c r="AF412" s="926"/>
      <c r="AG412" s="906" t="str">
        <f>IF(AE412&lt;&gt;0,VLOOKUP(AE412,ODDS!$A$2:$C$13,3,0),"")</f>
        <v/>
      </c>
      <c r="AH412" s="906"/>
      <c r="AI412" s="907" t="str">
        <f t="shared" si="85"/>
        <v xml:space="preserve"> </v>
      </c>
      <c r="AJ412" s="894" t="s">
        <v>2198</v>
      </c>
      <c r="AK412" s="922" t="s">
        <v>2771</v>
      </c>
    </row>
    <row r="413" spans="1:37" s="376" customFormat="1" ht="112.5" outlineLevel="2" x14ac:dyDescent="0.3">
      <c r="A413" s="447">
        <f t="shared" ref="A413:A418" si="89">IF(B412&lt;&gt;0,B412,A412)</f>
        <v>35</v>
      </c>
      <c r="B413" s="893"/>
      <c r="C413" s="983" t="s">
        <v>665</v>
      </c>
      <c r="D413" s="930"/>
      <c r="E413" s="923"/>
      <c r="F413" s="896"/>
      <c r="G413" s="894" t="s">
        <v>2470</v>
      </c>
      <c r="H413" s="924">
        <v>2.1</v>
      </c>
      <c r="I413" s="882">
        <f t="shared" si="88"/>
        <v>2.1</v>
      </c>
      <c r="J413" s="933"/>
      <c r="K413" s="899">
        <f>IF(G413&lt;&gt;0,VLOOKUP(G413,'gia dat'!$A$1:$F$144,5,0)," ")</f>
        <v>554400</v>
      </c>
      <c r="L413" s="899">
        <f>IF(G413&lt;&gt;0,VLOOKUP(G413,'gia dat'!$A$1:$F$144,6,0)," ")</f>
        <v>1663200</v>
      </c>
      <c r="M413" s="900">
        <f t="shared" si="81"/>
        <v>1164000</v>
      </c>
      <c r="N413" s="900">
        <f t="shared" si="82"/>
        <v>3493000</v>
      </c>
      <c r="O413" s="934"/>
      <c r="P413" s="935"/>
      <c r="Q413" s="900"/>
      <c r="R413" s="900"/>
      <c r="S413" s="918"/>
      <c r="T413" s="933"/>
      <c r="U413" s="927"/>
      <c r="V413" s="933"/>
      <c r="W413" s="900" t="str">
        <f>IF(S413&lt;&gt;0,VLOOKUP(S413,VKT!$A$2:$G$415,7,0),"")</f>
        <v/>
      </c>
      <c r="X413" s="900" t="str">
        <f t="shared" si="80"/>
        <v xml:space="preserve"> </v>
      </c>
      <c r="Y413" s="925"/>
      <c r="Z413" s="928"/>
      <c r="AA413" s="928"/>
      <c r="AB413" s="904"/>
      <c r="AC413" s="928"/>
      <c r="AD413" s="928"/>
      <c r="AE413" s="928"/>
      <c r="AF413" s="926"/>
      <c r="AG413" s="906" t="str">
        <f>IF(AE413&lt;&gt;0,VLOOKUP(AE413,ODDS!$A$2:$C$13,3,0),"")</f>
        <v/>
      </c>
      <c r="AH413" s="906"/>
      <c r="AI413" s="907" t="str">
        <f t="shared" si="85"/>
        <v xml:space="preserve"> </v>
      </c>
      <c r="AJ413" s="894" t="s">
        <v>2802</v>
      </c>
      <c r="AK413" s="894" t="s">
        <v>2448</v>
      </c>
    </row>
    <row r="414" spans="1:37" s="376" customFormat="1" ht="90" outlineLevel="2" x14ac:dyDescent="0.3">
      <c r="A414" s="447">
        <f t="shared" si="89"/>
        <v>35</v>
      </c>
      <c r="B414" s="893"/>
      <c r="C414" s="983" t="s">
        <v>305</v>
      </c>
      <c r="D414" s="930"/>
      <c r="E414" s="923">
        <v>86</v>
      </c>
      <c r="F414" s="896">
        <v>263</v>
      </c>
      <c r="G414" s="894" t="s">
        <v>2471</v>
      </c>
      <c r="H414" s="924">
        <v>39</v>
      </c>
      <c r="I414" s="882" t="str">
        <f t="shared" si="88"/>
        <v/>
      </c>
      <c r="J414" s="933"/>
      <c r="K414" s="899">
        <f>IF(G414&lt;&gt;0,VLOOKUP(G414,'gia dat'!$A$1:$F$144,5,0)," ")</f>
        <v>554400</v>
      </c>
      <c r="L414" s="899">
        <f>IF(G414&lt;&gt;0,VLOOKUP(G414,'gia dat'!$A$1:$F$144,6,0)," ")</f>
        <v>0</v>
      </c>
      <c r="M414" s="900">
        <f t="shared" si="81"/>
        <v>21622000</v>
      </c>
      <c r="N414" s="900">
        <f t="shared" si="82"/>
        <v>0</v>
      </c>
      <c r="O414" s="934"/>
      <c r="P414" s="935"/>
      <c r="Q414" s="900"/>
      <c r="R414" s="900"/>
      <c r="S414" s="918"/>
      <c r="T414" s="933"/>
      <c r="U414" s="927"/>
      <c r="V414" s="933"/>
      <c r="W414" s="900" t="str">
        <f>IF(S414&lt;&gt;0,VLOOKUP(S414,VKT!$A$2:$G$415,7,0),"")</f>
        <v/>
      </c>
      <c r="X414" s="900" t="str">
        <f t="shared" si="80"/>
        <v xml:space="preserve"> </v>
      </c>
      <c r="Y414" s="925"/>
      <c r="Z414" s="928"/>
      <c r="AA414" s="928"/>
      <c r="AB414" s="904"/>
      <c r="AC414" s="928"/>
      <c r="AD414" s="928"/>
      <c r="AE414" s="928"/>
      <c r="AF414" s="926"/>
      <c r="AG414" s="906" t="str">
        <f>IF(AE414&lt;&gt;0,VLOOKUP(AE414,ODDS!$A$2:$C$13,3,0),"")</f>
        <v/>
      </c>
      <c r="AH414" s="906"/>
      <c r="AI414" s="907" t="str">
        <f t="shared" si="85"/>
        <v xml:space="preserve"> </v>
      </c>
      <c r="AJ414" s="894" t="s">
        <v>2074</v>
      </c>
      <c r="AK414" s="894"/>
    </row>
    <row r="415" spans="1:37" s="376" customFormat="1" ht="22.5" outlineLevel="2" x14ac:dyDescent="0.3">
      <c r="A415" s="447">
        <f t="shared" si="89"/>
        <v>35</v>
      </c>
      <c r="B415" s="893"/>
      <c r="C415" s="942"/>
      <c r="D415" s="930"/>
      <c r="E415" s="931"/>
      <c r="F415" s="913"/>
      <c r="G415" s="910"/>
      <c r="H415" s="924"/>
      <c r="I415" s="882"/>
      <c r="J415" s="933"/>
      <c r="K415" s="899" t="str">
        <f>IF(G415&lt;&gt;0,VLOOKUP(G415,'gia dat'!$A$1:$F$144,5,0)," ")</f>
        <v xml:space="preserve"> </v>
      </c>
      <c r="L415" s="899" t="str">
        <f>IF(G415&lt;&gt;0,VLOOKUP(G415,'gia dat'!$A$1:$F$144,6,0)," ")</f>
        <v xml:space="preserve"> </v>
      </c>
      <c r="M415" s="900" t="str">
        <f t="shared" si="81"/>
        <v xml:space="preserve"> </v>
      </c>
      <c r="N415" s="900" t="str">
        <f t="shared" si="82"/>
        <v xml:space="preserve"> </v>
      </c>
      <c r="O415" s="934"/>
      <c r="P415" s="935"/>
      <c r="Q415" s="900"/>
      <c r="R415" s="900"/>
      <c r="S415" s="918"/>
      <c r="T415" s="933"/>
      <c r="U415" s="927"/>
      <c r="V415" s="933"/>
      <c r="W415" s="900" t="str">
        <f>IF(S415&lt;&gt;0,VLOOKUP(S415,VKT!$A$2:$G$415,7,0),"")</f>
        <v/>
      </c>
      <c r="X415" s="900" t="str">
        <f t="shared" si="80"/>
        <v xml:space="preserve"> </v>
      </c>
      <c r="Y415" s="925"/>
      <c r="Z415" s="928"/>
      <c r="AA415" s="928"/>
      <c r="AB415" s="904"/>
      <c r="AC415" s="928"/>
      <c r="AD415" s="928"/>
      <c r="AE415" s="928"/>
      <c r="AF415" s="926"/>
      <c r="AG415" s="906" t="str">
        <f>IF(AE415&lt;&gt;0,VLOOKUP(AE415,ODDS!$A$2:$C$13,3,0),"")</f>
        <v/>
      </c>
      <c r="AH415" s="906"/>
      <c r="AI415" s="907" t="str">
        <f t="shared" si="85"/>
        <v xml:space="preserve"> </v>
      </c>
      <c r="AJ415" s="929"/>
      <c r="AK415" s="894"/>
    </row>
    <row r="416" spans="1:37" s="376" customFormat="1" ht="22.5" outlineLevel="2" x14ac:dyDescent="0.3">
      <c r="A416" s="447">
        <f t="shared" si="89"/>
        <v>35</v>
      </c>
      <c r="B416" s="893"/>
      <c r="C416" s="942"/>
      <c r="D416" s="930"/>
      <c r="E416" s="931"/>
      <c r="F416" s="913"/>
      <c r="G416" s="910"/>
      <c r="H416" s="924"/>
      <c r="I416" s="882"/>
      <c r="J416" s="933"/>
      <c r="K416" s="899" t="str">
        <f>IF(G416&lt;&gt;0,VLOOKUP(G416,'gia dat'!$A$1:$F$144,5,0)," ")</f>
        <v xml:space="preserve"> </v>
      </c>
      <c r="L416" s="899" t="str">
        <f>IF(G416&lt;&gt;0,VLOOKUP(G416,'gia dat'!$A$1:$F$144,6,0)," ")</f>
        <v xml:space="preserve"> </v>
      </c>
      <c r="M416" s="900" t="str">
        <f t="shared" si="81"/>
        <v xml:space="preserve"> </v>
      </c>
      <c r="N416" s="900" t="str">
        <f t="shared" si="82"/>
        <v xml:space="preserve"> </v>
      </c>
      <c r="O416" s="934"/>
      <c r="P416" s="935"/>
      <c r="Q416" s="900"/>
      <c r="R416" s="900"/>
      <c r="S416" s="918"/>
      <c r="T416" s="933"/>
      <c r="U416" s="927"/>
      <c r="V416" s="933"/>
      <c r="W416" s="900" t="str">
        <f>IF(S416&lt;&gt;0,VLOOKUP(S416,VKT!$A$2:$G$415,7,0),"")</f>
        <v/>
      </c>
      <c r="X416" s="900" t="str">
        <f t="shared" si="80"/>
        <v xml:space="preserve"> </v>
      </c>
      <c r="Y416" s="925"/>
      <c r="Z416" s="928"/>
      <c r="AA416" s="928"/>
      <c r="AB416" s="904"/>
      <c r="AC416" s="928"/>
      <c r="AD416" s="928"/>
      <c r="AE416" s="928"/>
      <c r="AF416" s="926"/>
      <c r="AG416" s="906" t="str">
        <f>IF(AE416&lt;&gt;0,VLOOKUP(AE416,ODDS!$A$2:$C$13,3,0),"")</f>
        <v/>
      </c>
      <c r="AH416" s="906"/>
      <c r="AI416" s="907" t="str">
        <f t="shared" si="85"/>
        <v xml:space="preserve"> </v>
      </c>
      <c r="AJ416" s="929"/>
      <c r="AK416" s="929"/>
    </row>
    <row r="417" spans="1:38" s="376" customFormat="1" ht="22.5" outlineLevel="2" x14ac:dyDescent="0.3">
      <c r="A417" s="447">
        <f t="shared" si="89"/>
        <v>35</v>
      </c>
      <c r="B417" s="893"/>
      <c r="C417" s="942"/>
      <c r="D417" s="930"/>
      <c r="E417" s="931"/>
      <c r="F417" s="913"/>
      <c r="G417" s="910"/>
      <c r="H417" s="924"/>
      <c r="I417" s="882"/>
      <c r="J417" s="933"/>
      <c r="K417" s="899" t="str">
        <f>IF(G417&lt;&gt;0,VLOOKUP(G417,'gia dat'!$A$1:$F$144,5,0)," ")</f>
        <v xml:space="preserve"> </v>
      </c>
      <c r="L417" s="899" t="str">
        <f>IF(G417&lt;&gt;0,VLOOKUP(G417,'gia dat'!$A$1:$F$144,6,0)," ")</f>
        <v xml:space="preserve"> </v>
      </c>
      <c r="M417" s="900" t="str">
        <f t="shared" si="81"/>
        <v xml:space="preserve"> </v>
      </c>
      <c r="N417" s="900" t="str">
        <f t="shared" si="82"/>
        <v xml:space="preserve"> </v>
      </c>
      <c r="O417" s="934"/>
      <c r="P417" s="935"/>
      <c r="Q417" s="900"/>
      <c r="R417" s="900"/>
      <c r="S417" s="918"/>
      <c r="T417" s="933"/>
      <c r="U417" s="927"/>
      <c r="V417" s="933"/>
      <c r="W417" s="900" t="str">
        <f>IF(S417&lt;&gt;0,VLOOKUP(S417,VKT!$A$2:$G$415,7,0),"")</f>
        <v/>
      </c>
      <c r="X417" s="900" t="str">
        <f t="shared" si="80"/>
        <v xml:space="preserve"> </v>
      </c>
      <c r="Y417" s="925"/>
      <c r="Z417" s="928"/>
      <c r="AA417" s="928"/>
      <c r="AB417" s="904"/>
      <c r="AC417" s="928"/>
      <c r="AD417" s="928"/>
      <c r="AE417" s="928"/>
      <c r="AF417" s="926"/>
      <c r="AG417" s="906" t="str">
        <f>IF(AE417&lt;&gt;0,VLOOKUP(AE417,ODDS!$A$2:$C$13,3,0),"")</f>
        <v/>
      </c>
      <c r="AH417" s="906"/>
      <c r="AI417" s="907" t="str">
        <f t="shared" si="85"/>
        <v xml:space="preserve"> </v>
      </c>
      <c r="AJ417" s="929"/>
      <c r="AK417" s="929"/>
    </row>
    <row r="418" spans="1:38" s="376" customFormat="1" ht="22.5" outlineLevel="2" x14ac:dyDescent="0.3">
      <c r="A418" s="447">
        <f t="shared" si="89"/>
        <v>35</v>
      </c>
      <c r="B418" s="893"/>
      <c r="C418" s="978"/>
      <c r="D418" s="930"/>
      <c r="E418" s="931"/>
      <c r="F418" s="913"/>
      <c r="G418" s="910"/>
      <c r="H418" s="924"/>
      <c r="I418" s="882"/>
      <c r="J418" s="933"/>
      <c r="K418" s="899" t="str">
        <f>IF(G418&lt;&gt;0,VLOOKUP(G418,'gia dat'!$A$1:$F$144,5,0)," ")</f>
        <v xml:space="preserve"> </v>
      </c>
      <c r="L418" s="899" t="str">
        <f>IF(G418&lt;&gt;0,VLOOKUP(G418,'gia dat'!$A$1:$F$144,6,0)," ")</f>
        <v xml:space="preserve"> </v>
      </c>
      <c r="M418" s="900" t="str">
        <f t="shared" si="81"/>
        <v xml:space="preserve"> </v>
      </c>
      <c r="N418" s="900" t="str">
        <f t="shared" si="82"/>
        <v xml:space="preserve"> </v>
      </c>
      <c r="O418" s="934"/>
      <c r="P418" s="935"/>
      <c r="Q418" s="900"/>
      <c r="R418" s="900"/>
      <c r="S418" s="918"/>
      <c r="T418" s="933"/>
      <c r="U418" s="927"/>
      <c r="V418" s="933"/>
      <c r="W418" s="900" t="str">
        <f>IF(S418&lt;&gt;0,VLOOKUP(S418,VKT!$A$2:$G$415,7,0),"")</f>
        <v/>
      </c>
      <c r="X418" s="900" t="str">
        <f t="shared" si="80"/>
        <v xml:space="preserve"> </v>
      </c>
      <c r="Y418" s="925"/>
      <c r="Z418" s="928"/>
      <c r="AA418" s="928"/>
      <c r="AB418" s="904"/>
      <c r="AC418" s="928"/>
      <c r="AD418" s="928"/>
      <c r="AE418" s="928"/>
      <c r="AF418" s="926"/>
      <c r="AG418" s="906" t="str">
        <f>IF(AE418&lt;&gt;0,VLOOKUP(AE418,ODDS!$A$2:$C$13,3,0),"")</f>
        <v/>
      </c>
      <c r="AH418" s="906"/>
      <c r="AI418" s="907" t="str">
        <f t="shared" si="85"/>
        <v xml:space="preserve"> </v>
      </c>
      <c r="AJ418" s="929"/>
      <c r="AK418" s="929"/>
    </row>
    <row r="419" spans="1:38" s="376" customFormat="1" ht="22.5" outlineLevel="1" x14ac:dyDescent="0.3">
      <c r="A419" s="467" t="s">
        <v>2674</v>
      </c>
      <c r="B419" s="912">
        <v>36</v>
      </c>
      <c r="C419" s="978" t="s">
        <v>2171</v>
      </c>
      <c r="D419" s="931"/>
      <c r="E419" s="958"/>
      <c r="F419" s="958"/>
      <c r="G419" s="959"/>
      <c r="H419" s="960">
        <f>SUBTOTAL(9,H420:H427)</f>
        <v>0</v>
      </c>
      <c r="I419" s="915">
        <f>SUBTOTAL(9,I420:I425)</f>
        <v>0</v>
      </c>
      <c r="J419" s="933"/>
      <c r="K419" s="917"/>
      <c r="L419" s="917"/>
      <c r="M419" s="907">
        <f>SUBTOTAL(9,M420:M427)</f>
        <v>0</v>
      </c>
      <c r="N419" s="907">
        <f>SUBTOTAL(9,N420:N427)</f>
        <v>0</v>
      </c>
      <c r="O419" s="979"/>
      <c r="P419" s="935">
        <f>SUBTOTAL(9,P420:P427)</f>
        <v>6</v>
      </c>
      <c r="Q419" s="907"/>
      <c r="R419" s="907">
        <f>SUBTOTAL(9,R420:R427)</f>
        <v>12893000</v>
      </c>
      <c r="S419" s="979"/>
      <c r="T419" s="990"/>
      <c r="U419" s="936">
        <f>SUBTOTAL(9,U420:U427)</f>
        <v>88.850000000000009</v>
      </c>
      <c r="V419" s="933"/>
      <c r="W419" s="907"/>
      <c r="X419" s="907">
        <f>SUBTOTAL(9,X420:X427)</f>
        <v>254355000</v>
      </c>
      <c r="Y419" s="925"/>
      <c r="Z419" s="928"/>
      <c r="AA419" s="928"/>
      <c r="AB419" s="904"/>
      <c r="AC419" s="928"/>
      <c r="AD419" s="904"/>
      <c r="AE419" s="920"/>
      <c r="AF419" s="917">
        <f>SUBTOTAL(9,AF420:AF427)</f>
        <v>0</v>
      </c>
      <c r="AG419" s="921"/>
      <c r="AH419" s="921">
        <f>SUBTOTAL(9,AH420:AH427)</f>
        <v>0</v>
      </c>
      <c r="AI419" s="907">
        <f t="shared" si="85"/>
        <v>267248000</v>
      </c>
      <c r="AJ419" s="943"/>
      <c r="AK419" s="910"/>
    </row>
    <row r="420" spans="1:38" s="376" customFormat="1" ht="112.5" outlineLevel="2" x14ac:dyDescent="0.35">
      <c r="A420" s="447">
        <f>IF(B419&lt;&gt;0,B419,A418)</f>
        <v>36</v>
      </c>
      <c r="B420" s="893"/>
      <c r="C420" s="983" t="s">
        <v>181</v>
      </c>
      <c r="D420" s="923">
        <v>4</v>
      </c>
      <c r="E420" s="962"/>
      <c r="F420" s="962"/>
      <c r="G420" s="911"/>
      <c r="H420" s="897"/>
      <c r="I420" s="882"/>
      <c r="J420" s="925"/>
      <c r="K420" s="899" t="str">
        <f>IF(G420&lt;&gt;0,VLOOKUP(G420,'gia dat'!$A$1:$F$144,5,0)," ")</f>
        <v xml:space="preserve"> </v>
      </c>
      <c r="L420" s="899" t="str">
        <f>IF(G420&lt;&gt;0,VLOOKUP(G420,'gia dat'!$A$1:$F$144,6,0)," ")</f>
        <v xml:space="preserve"> </v>
      </c>
      <c r="M420" s="900" t="str">
        <f t="shared" si="81"/>
        <v xml:space="preserve"> </v>
      </c>
      <c r="N420" s="900" t="str">
        <f t="shared" si="82"/>
        <v xml:space="preserve"> </v>
      </c>
      <c r="O420" s="981" t="s">
        <v>145</v>
      </c>
      <c r="P420" s="926">
        <v>2</v>
      </c>
      <c r="Q420" s="900">
        <f>IF(O420&lt;&gt;0,VLOOKUP(O420,'Cây trong'!$A$2:$C$246,3,0)," ")</f>
        <v>4240000</v>
      </c>
      <c r="R420" s="900">
        <f t="shared" si="86"/>
        <v>8480000</v>
      </c>
      <c r="S420" s="981" t="s">
        <v>1754</v>
      </c>
      <c r="T420" s="984" t="s">
        <v>53</v>
      </c>
      <c r="U420" s="927">
        <v>42.7</v>
      </c>
      <c r="V420" s="925"/>
      <c r="W420" s="900">
        <f>IF(S420&lt;&gt;0,VLOOKUP(S420,VKT!$A$2:$G$415,7,0),"")</f>
        <v>4717925</v>
      </c>
      <c r="X420" s="900">
        <f t="shared" si="80"/>
        <v>201455000</v>
      </c>
      <c r="Y420" s="925" t="s">
        <v>63</v>
      </c>
      <c r="Z420" s="928" t="s">
        <v>55</v>
      </c>
      <c r="AA420" s="928" t="s">
        <v>56</v>
      </c>
      <c r="AB420" s="904" t="s">
        <v>57</v>
      </c>
      <c r="AC420" s="928" t="s">
        <v>63</v>
      </c>
      <c r="AD420" s="904" t="s">
        <v>430</v>
      </c>
      <c r="AE420" s="904"/>
      <c r="AF420" s="899"/>
      <c r="AG420" s="906" t="str">
        <f>IF(AE420&lt;&gt;0,VLOOKUP(AE420,ODDS!$A$2:$C$13,3,0),"")</f>
        <v/>
      </c>
      <c r="AH420" s="906" t="str">
        <f t="shared" si="87"/>
        <v xml:space="preserve"> </v>
      </c>
      <c r="AI420" s="907" t="str">
        <f t="shared" si="85"/>
        <v xml:space="preserve"> </v>
      </c>
      <c r="AJ420" s="929" t="s">
        <v>182</v>
      </c>
      <c r="AK420" s="894" t="s">
        <v>2450</v>
      </c>
    </row>
    <row r="421" spans="1:38" s="376" customFormat="1" ht="112.5" outlineLevel="2" x14ac:dyDescent="0.35">
      <c r="A421" s="447">
        <f t="shared" ref="A421:A427" si="90">IF(B420&lt;&gt;0,B420,A420)</f>
        <v>36</v>
      </c>
      <c r="B421" s="893"/>
      <c r="C421" s="983" t="s">
        <v>667</v>
      </c>
      <c r="D421" s="923"/>
      <c r="E421" s="962"/>
      <c r="F421" s="962"/>
      <c r="G421" s="911"/>
      <c r="H421" s="897"/>
      <c r="I421" s="882"/>
      <c r="J421" s="925"/>
      <c r="K421" s="899" t="str">
        <f>IF(G421&lt;&gt;0,VLOOKUP(G421,'gia dat'!$A$1:$F$144,5,0)," ")</f>
        <v xml:space="preserve"> </v>
      </c>
      <c r="L421" s="899" t="str">
        <f>IF(G421&lt;&gt;0,VLOOKUP(G421,'gia dat'!$A$1:$F$144,6,0)," ")</f>
        <v xml:space="preserve"> </v>
      </c>
      <c r="M421" s="900" t="str">
        <f t="shared" si="81"/>
        <v xml:space="preserve"> </v>
      </c>
      <c r="N421" s="900" t="str">
        <f t="shared" si="82"/>
        <v xml:space="preserve"> </v>
      </c>
      <c r="O421" s="981" t="s">
        <v>183</v>
      </c>
      <c r="P421" s="926">
        <v>1</v>
      </c>
      <c r="Q421" s="900">
        <f>IF(O421&lt;&gt;0,VLOOKUP(O421,'Cây trong'!$A$2:$C$246,3,0)," ")</f>
        <v>2236000</v>
      </c>
      <c r="R421" s="900">
        <f t="shared" si="86"/>
        <v>2236000</v>
      </c>
      <c r="S421" s="922" t="s">
        <v>1859</v>
      </c>
      <c r="T421" s="982" t="s">
        <v>53</v>
      </c>
      <c r="U421" s="927">
        <v>18.350000000000001</v>
      </c>
      <c r="V421" s="925"/>
      <c r="W421" s="900">
        <f>IF(S421&lt;&gt;0,VLOOKUP(S421,VKT!$A$2:$G$415,7,0),"")</f>
        <v>2524871</v>
      </c>
      <c r="X421" s="900">
        <f t="shared" si="80"/>
        <v>46331000</v>
      </c>
      <c r="Y421" s="925"/>
      <c r="Z421" s="928"/>
      <c r="AA421" s="928"/>
      <c r="AB421" s="904"/>
      <c r="AC421" s="928"/>
      <c r="AD421" s="928"/>
      <c r="AE421" s="928"/>
      <c r="AF421" s="926"/>
      <c r="AG421" s="906" t="str">
        <f>IF(AE421&lt;&gt;0,VLOOKUP(AE421,ODDS!$A$2:$C$13,3,0),"")</f>
        <v/>
      </c>
      <c r="AH421" s="906" t="str">
        <f t="shared" si="87"/>
        <v xml:space="preserve"> </v>
      </c>
      <c r="AI421" s="907" t="str">
        <f t="shared" si="85"/>
        <v xml:space="preserve"> </v>
      </c>
      <c r="AJ421" s="929"/>
      <c r="AK421" s="894" t="s">
        <v>2449</v>
      </c>
    </row>
    <row r="422" spans="1:38" s="376" customFormat="1" ht="67.5" outlineLevel="2" x14ac:dyDescent="0.35">
      <c r="A422" s="447">
        <f t="shared" si="90"/>
        <v>36</v>
      </c>
      <c r="B422" s="893"/>
      <c r="C422" s="894"/>
      <c r="D422" s="923"/>
      <c r="E422" s="962"/>
      <c r="F422" s="962"/>
      <c r="G422" s="911"/>
      <c r="H422" s="897"/>
      <c r="I422" s="882"/>
      <c r="J422" s="925"/>
      <c r="K422" s="899" t="str">
        <f>IF(G422&lt;&gt;0,VLOOKUP(G422,'gia dat'!$A$1:$F$144,5,0)," ")</f>
        <v xml:space="preserve"> </v>
      </c>
      <c r="L422" s="899" t="str">
        <f>IF(G422&lt;&gt;0,VLOOKUP(G422,'gia dat'!$A$1:$F$144,6,0)," ")</f>
        <v xml:space="preserve"> </v>
      </c>
      <c r="M422" s="900" t="str">
        <f t="shared" si="81"/>
        <v xml:space="preserve"> </v>
      </c>
      <c r="N422" s="900" t="str">
        <f t="shared" si="82"/>
        <v xml:space="preserve"> </v>
      </c>
      <c r="O422" s="981" t="s">
        <v>184</v>
      </c>
      <c r="P422" s="926">
        <v>1</v>
      </c>
      <c r="Q422" s="900">
        <f>IF(O422&lt;&gt;0,VLOOKUP(O422,'Cây trong'!$A$2:$C$246,3,0)," ")</f>
        <v>1632000</v>
      </c>
      <c r="R422" s="900">
        <f t="shared" si="86"/>
        <v>1632000</v>
      </c>
      <c r="S422" s="981" t="s">
        <v>1860</v>
      </c>
      <c r="T422" s="982" t="s">
        <v>53</v>
      </c>
      <c r="U422" s="927">
        <v>27.8</v>
      </c>
      <c r="V422" s="925"/>
      <c r="W422" s="900">
        <f>IF(S422&lt;&gt;0,VLOOKUP(S422,VKT!$A$2:$G$415,7,0),"")</f>
        <v>236298</v>
      </c>
      <c r="X422" s="900">
        <f t="shared" si="80"/>
        <v>6569000</v>
      </c>
      <c r="Y422" s="925"/>
      <c r="Z422" s="928"/>
      <c r="AA422" s="928"/>
      <c r="AB422" s="904"/>
      <c r="AC422" s="928"/>
      <c r="AD422" s="928"/>
      <c r="AE422" s="928"/>
      <c r="AF422" s="926"/>
      <c r="AG422" s="906" t="str">
        <f>IF(AE422&lt;&gt;0,VLOOKUP(AE422,ODDS!$A$2:$C$13,3,0),"")</f>
        <v/>
      </c>
      <c r="AH422" s="906" t="str">
        <f t="shared" si="87"/>
        <v xml:space="preserve"> </v>
      </c>
      <c r="AI422" s="907" t="str">
        <f t="shared" si="85"/>
        <v xml:space="preserve"> </v>
      </c>
      <c r="AJ422" s="929"/>
      <c r="AK422" s="929"/>
    </row>
    <row r="423" spans="1:38" s="376" customFormat="1" ht="22.5" outlineLevel="2" x14ac:dyDescent="0.3">
      <c r="A423" s="447">
        <f t="shared" si="90"/>
        <v>36</v>
      </c>
      <c r="B423" s="893"/>
      <c r="C423" s="970"/>
      <c r="D423" s="923"/>
      <c r="E423" s="923"/>
      <c r="F423" s="896"/>
      <c r="G423" s="894"/>
      <c r="H423" s="924"/>
      <c r="I423" s="882"/>
      <c r="J423" s="925"/>
      <c r="K423" s="899" t="str">
        <f>IF(G423&lt;&gt;0,VLOOKUP(G423,'gia dat'!$A$1:$F$144,5,0)," ")</f>
        <v xml:space="preserve"> </v>
      </c>
      <c r="L423" s="899" t="str">
        <f>IF(G423&lt;&gt;0,VLOOKUP(G423,'gia dat'!$A$1:$F$144,6,0)," ")</f>
        <v xml:space="preserve"> </v>
      </c>
      <c r="M423" s="900" t="str">
        <f t="shared" si="81"/>
        <v xml:space="preserve"> </v>
      </c>
      <c r="N423" s="900" t="str">
        <f t="shared" si="82"/>
        <v xml:space="preserve"> </v>
      </c>
      <c r="O423" s="894" t="s">
        <v>185</v>
      </c>
      <c r="P423" s="926">
        <v>1</v>
      </c>
      <c r="Q423" s="900">
        <f>IF(O423&lt;&gt;0,VLOOKUP(O423,'Cây trong'!$A$2:$C$246,3,0)," ")</f>
        <v>473000</v>
      </c>
      <c r="R423" s="900">
        <f t="shared" si="86"/>
        <v>473000</v>
      </c>
      <c r="S423" s="902"/>
      <c r="T423" s="925"/>
      <c r="U423" s="927"/>
      <c r="V423" s="925"/>
      <c r="W423" s="900" t="str">
        <f>IF(S423&lt;&gt;0,VLOOKUP(S423,VKT!$A$2:$G$415,7,0),"")</f>
        <v/>
      </c>
      <c r="X423" s="900" t="str">
        <f t="shared" ref="X423:X486" si="91">IF(S423&lt;&gt;0,ROUND(U423*W423,-3)," ")</f>
        <v xml:space="preserve"> </v>
      </c>
      <c r="Y423" s="925"/>
      <c r="Z423" s="928"/>
      <c r="AA423" s="928"/>
      <c r="AB423" s="904"/>
      <c r="AC423" s="928"/>
      <c r="AD423" s="928"/>
      <c r="AE423" s="928"/>
      <c r="AF423" s="926"/>
      <c r="AG423" s="906" t="str">
        <f>IF(AE423&lt;&gt;0,VLOOKUP(AE423,ODDS!$A$2:$C$13,3,0),"")</f>
        <v/>
      </c>
      <c r="AH423" s="906" t="str">
        <f t="shared" si="87"/>
        <v xml:space="preserve"> </v>
      </c>
      <c r="AI423" s="907" t="str">
        <f t="shared" si="85"/>
        <v xml:space="preserve"> </v>
      </c>
      <c r="AJ423" s="929"/>
      <c r="AK423" s="894"/>
    </row>
    <row r="424" spans="1:38" s="376" customFormat="1" ht="45" outlineLevel="2" x14ac:dyDescent="0.3">
      <c r="A424" s="447">
        <f t="shared" si="90"/>
        <v>36</v>
      </c>
      <c r="B424" s="893"/>
      <c r="C424" s="894"/>
      <c r="D424" s="923"/>
      <c r="E424" s="923"/>
      <c r="F424" s="896"/>
      <c r="G424" s="894"/>
      <c r="H424" s="924"/>
      <c r="I424" s="882"/>
      <c r="J424" s="925"/>
      <c r="K424" s="899" t="str">
        <f>IF(G424&lt;&gt;0,VLOOKUP(G424,'gia dat'!$A$1:$F$144,5,0)," ")</f>
        <v xml:space="preserve"> </v>
      </c>
      <c r="L424" s="899" t="str">
        <f>IF(G424&lt;&gt;0,VLOOKUP(G424,'gia dat'!$A$1:$F$144,6,0)," ")</f>
        <v xml:space="preserve"> </v>
      </c>
      <c r="M424" s="900" t="str">
        <f t="shared" si="81"/>
        <v xml:space="preserve"> </v>
      </c>
      <c r="N424" s="900" t="str">
        <f t="shared" si="82"/>
        <v xml:space="preserve"> </v>
      </c>
      <c r="O424" s="894" t="s">
        <v>745</v>
      </c>
      <c r="P424" s="926">
        <v>1</v>
      </c>
      <c r="Q424" s="900">
        <f>IF(O424&lt;&gt;0,VLOOKUP(O424,'Cây trong'!$A$2:$C$246,3,0)," ")</f>
        <v>72000</v>
      </c>
      <c r="R424" s="900">
        <f t="shared" si="86"/>
        <v>72000</v>
      </c>
      <c r="S424" s="902"/>
      <c r="T424" s="925"/>
      <c r="U424" s="927"/>
      <c r="V424" s="925"/>
      <c r="W424" s="900" t="str">
        <f>IF(S424&lt;&gt;0,VLOOKUP(S424,VKT!$A$2:$G$415,7,0),"")</f>
        <v/>
      </c>
      <c r="X424" s="900" t="str">
        <f t="shared" si="91"/>
        <v xml:space="preserve"> </v>
      </c>
      <c r="Y424" s="925"/>
      <c r="Z424" s="928"/>
      <c r="AA424" s="928"/>
      <c r="AB424" s="904"/>
      <c r="AC424" s="928"/>
      <c r="AD424" s="928"/>
      <c r="AE424" s="928"/>
      <c r="AF424" s="926"/>
      <c r="AG424" s="906" t="str">
        <f>IF(AE424&lt;&gt;0,VLOOKUP(AE424,ODDS!$A$2:$C$13,3,0),"")</f>
        <v/>
      </c>
      <c r="AH424" s="906" t="str">
        <f t="shared" si="87"/>
        <v xml:space="preserve"> </v>
      </c>
      <c r="AI424" s="907" t="str">
        <f t="shared" si="85"/>
        <v xml:space="preserve"> </v>
      </c>
      <c r="AJ424" s="929"/>
      <c r="AK424" s="929"/>
    </row>
    <row r="425" spans="1:38" s="376" customFormat="1" ht="22.5" outlineLevel="2" x14ac:dyDescent="0.3">
      <c r="A425" s="447">
        <f t="shared" si="90"/>
        <v>36</v>
      </c>
      <c r="B425" s="893"/>
      <c r="C425" s="894"/>
      <c r="D425" s="923"/>
      <c r="E425" s="923"/>
      <c r="F425" s="896"/>
      <c r="G425" s="894"/>
      <c r="H425" s="924"/>
      <c r="I425" s="882"/>
      <c r="J425" s="925"/>
      <c r="K425" s="899" t="str">
        <f>IF(G425&lt;&gt;0,VLOOKUP(G425,'gia dat'!$A$1:$F$144,5,0)," ")</f>
        <v xml:space="preserve"> </v>
      </c>
      <c r="L425" s="899" t="str">
        <f>IF(G425&lt;&gt;0,VLOOKUP(G425,'gia dat'!$A$1:$F$144,6,0)," ")</f>
        <v xml:space="preserve"> </v>
      </c>
      <c r="M425" s="900" t="str">
        <f t="shared" si="81"/>
        <v xml:space="preserve"> </v>
      </c>
      <c r="N425" s="900" t="str">
        <f t="shared" si="82"/>
        <v xml:space="preserve"> </v>
      </c>
      <c r="O425" s="894"/>
      <c r="P425" s="926"/>
      <c r="Q425" s="900" t="str">
        <f>IF(O425&lt;&gt;0,VLOOKUP(O425,'Cây trong'!$A$2:$C$246,3,0)," ")</f>
        <v xml:space="preserve"> </v>
      </c>
      <c r="R425" s="900" t="str">
        <f t="shared" si="86"/>
        <v xml:space="preserve"> </v>
      </c>
      <c r="S425" s="902"/>
      <c r="T425" s="925"/>
      <c r="U425" s="927"/>
      <c r="V425" s="925"/>
      <c r="W425" s="900" t="str">
        <f>IF(S425&lt;&gt;0,VLOOKUP(S425,VKT!$A$2:$G$415,7,0),"")</f>
        <v/>
      </c>
      <c r="X425" s="900" t="str">
        <f t="shared" si="91"/>
        <v xml:space="preserve"> </v>
      </c>
      <c r="Y425" s="925"/>
      <c r="Z425" s="928"/>
      <c r="AA425" s="928"/>
      <c r="AB425" s="904"/>
      <c r="AC425" s="928"/>
      <c r="AD425" s="928"/>
      <c r="AE425" s="928"/>
      <c r="AF425" s="926"/>
      <c r="AG425" s="906" t="str">
        <f>IF(AE425&lt;&gt;0,VLOOKUP(AE425,ODDS!$A$2:$C$13,3,0),"")</f>
        <v/>
      </c>
      <c r="AH425" s="906" t="str">
        <f t="shared" si="87"/>
        <v xml:space="preserve"> </v>
      </c>
      <c r="AI425" s="907" t="str">
        <f t="shared" si="85"/>
        <v xml:space="preserve"> </v>
      </c>
      <c r="AJ425" s="929"/>
      <c r="AK425" s="929"/>
    </row>
    <row r="426" spans="1:38" s="376" customFormat="1" ht="22.5" outlineLevel="2" x14ac:dyDescent="0.3">
      <c r="A426" s="447">
        <f t="shared" si="90"/>
        <v>36</v>
      </c>
      <c r="B426" s="893"/>
      <c r="C426" s="942"/>
      <c r="D426" s="930"/>
      <c r="E426" s="931"/>
      <c r="F426" s="913"/>
      <c r="G426" s="910"/>
      <c r="H426" s="924"/>
      <c r="I426" s="882"/>
      <c r="J426" s="933"/>
      <c r="K426" s="899" t="str">
        <f>IF(G426&lt;&gt;0,VLOOKUP(G426,'gia dat'!$A$1:$F$144,5,0)," ")</f>
        <v xml:space="preserve"> </v>
      </c>
      <c r="L426" s="899" t="str">
        <f>IF(G426&lt;&gt;0,VLOOKUP(G426,'gia dat'!$A$1:$F$144,6,0)," ")</f>
        <v xml:space="preserve"> </v>
      </c>
      <c r="M426" s="900" t="str">
        <f t="shared" si="81"/>
        <v xml:space="preserve"> </v>
      </c>
      <c r="N426" s="900" t="str">
        <f t="shared" si="82"/>
        <v xml:space="preserve"> </v>
      </c>
      <c r="O426" s="934"/>
      <c r="P426" s="935"/>
      <c r="Q426" s="900" t="str">
        <f>IF(O426&lt;&gt;0,VLOOKUP(O426,'Cây trong'!$A$2:$C$246,3,0)," ")</f>
        <v xml:space="preserve"> </v>
      </c>
      <c r="R426" s="900" t="str">
        <f t="shared" si="86"/>
        <v xml:space="preserve"> </v>
      </c>
      <c r="S426" s="918"/>
      <c r="T426" s="933"/>
      <c r="U426" s="927"/>
      <c r="V426" s="933"/>
      <c r="W426" s="900" t="str">
        <f>IF(S426&lt;&gt;0,VLOOKUP(S426,VKT!$A$2:$G$415,7,0),"")</f>
        <v/>
      </c>
      <c r="X426" s="900" t="str">
        <f t="shared" si="91"/>
        <v xml:space="preserve"> </v>
      </c>
      <c r="Y426" s="925"/>
      <c r="Z426" s="928"/>
      <c r="AA426" s="928"/>
      <c r="AB426" s="904"/>
      <c r="AC426" s="928"/>
      <c r="AD426" s="928"/>
      <c r="AE426" s="928"/>
      <c r="AF426" s="926"/>
      <c r="AG426" s="906" t="str">
        <f>IF(AE426&lt;&gt;0,VLOOKUP(AE426,ODDS!$A$2:$C$13,3,0),"")</f>
        <v/>
      </c>
      <c r="AH426" s="906" t="str">
        <f t="shared" si="87"/>
        <v xml:space="preserve"> </v>
      </c>
      <c r="AI426" s="907" t="str">
        <f t="shared" si="85"/>
        <v xml:space="preserve"> </v>
      </c>
      <c r="AJ426" s="929"/>
      <c r="AK426" s="929"/>
    </row>
    <row r="427" spans="1:38" s="376" customFormat="1" ht="22.5" outlineLevel="2" x14ac:dyDescent="0.3">
      <c r="A427" s="447">
        <f t="shared" si="90"/>
        <v>36</v>
      </c>
      <c r="B427" s="893"/>
      <c r="C427" s="942"/>
      <c r="D427" s="923"/>
      <c r="E427" s="923"/>
      <c r="F427" s="950"/>
      <c r="G427" s="894"/>
      <c r="H427" s="940"/>
      <c r="I427" s="882"/>
      <c r="J427" s="929"/>
      <c r="K427" s="899" t="str">
        <f>IF(G427&lt;&gt;0,VLOOKUP(G427,'gia dat'!$A$1:$F$144,5,0)," ")</f>
        <v xml:space="preserve"> </v>
      </c>
      <c r="L427" s="899" t="str">
        <f>IF(G427&lt;&gt;0,VLOOKUP(G427,'gia dat'!$A$1:$F$144,6,0)," ")</f>
        <v xml:space="preserve"> </v>
      </c>
      <c r="M427" s="900" t="str">
        <f t="shared" si="81"/>
        <v xml:space="preserve"> </v>
      </c>
      <c r="N427" s="900" t="str">
        <f t="shared" si="82"/>
        <v xml:space="preserve"> </v>
      </c>
      <c r="O427" s="929"/>
      <c r="P427" s="951"/>
      <c r="Q427" s="900" t="str">
        <f>IF(O427&lt;&gt;0,VLOOKUP(O427,'Cây trong'!$A$2:$C$246,3,0)," ")</f>
        <v xml:space="preserve"> </v>
      </c>
      <c r="R427" s="900" t="str">
        <f t="shared" si="86"/>
        <v xml:space="preserve"> </v>
      </c>
      <c r="S427" s="929"/>
      <c r="T427" s="929"/>
      <c r="U427" s="952"/>
      <c r="V427" s="925"/>
      <c r="W427" s="900" t="str">
        <f>IF(S427&lt;&gt;0,VLOOKUP(S427,VKT!$A$2:$G$415,7,0),"")</f>
        <v/>
      </c>
      <c r="X427" s="900" t="str">
        <f t="shared" si="91"/>
        <v xml:space="preserve"> </v>
      </c>
      <c r="Y427" s="925"/>
      <c r="Z427" s="925"/>
      <c r="AA427" s="925"/>
      <c r="AB427" s="898"/>
      <c r="AC427" s="925"/>
      <c r="AD427" s="925"/>
      <c r="AE427" s="925"/>
      <c r="AF427" s="964"/>
      <c r="AG427" s="906" t="str">
        <f>IF(AE427&lt;&gt;0,VLOOKUP(AE427,ODDS!$A$2:$C$13,3,0),"")</f>
        <v/>
      </c>
      <c r="AH427" s="906" t="str">
        <f t="shared" si="87"/>
        <v xml:space="preserve"> </v>
      </c>
      <c r="AI427" s="907" t="str">
        <f t="shared" si="85"/>
        <v xml:space="preserve"> </v>
      </c>
      <c r="AJ427" s="929"/>
      <c r="AK427" s="929"/>
    </row>
    <row r="428" spans="1:38" s="376" customFormat="1" ht="22.5" outlineLevel="1" x14ac:dyDescent="0.25">
      <c r="A428" s="467" t="s">
        <v>2673</v>
      </c>
      <c r="B428" s="912">
        <v>37</v>
      </c>
      <c r="C428" s="942" t="s">
        <v>2172</v>
      </c>
      <c r="D428" s="931"/>
      <c r="E428" s="931"/>
      <c r="F428" s="913"/>
      <c r="G428" s="910"/>
      <c r="H428" s="953">
        <f>SUBTOTAL(9,H429:H434)</f>
        <v>195.40000000000003</v>
      </c>
      <c r="I428" s="915">
        <f>SUBTOTAL(9,I429:I434)</f>
        <v>0</v>
      </c>
      <c r="J428" s="943"/>
      <c r="K428" s="917"/>
      <c r="L428" s="917"/>
      <c r="M428" s="907">
        <f>SUBTOTAL(9,M429:M434)</f>
        <v>524449000</v>
      </c>
      <c r="N428" s="907">
        <f>SUBTOTAL(9,N429:N434)</f>
        <v>0</v>
      </c>
      <c r="O428" s="943"/>
      <c r="P428" s="954">
        <f>SUBTOTAL(9,P429:P434)</f>
        <v>0</v>
      </c>
      <c r="Q428" s="907"/>
      <c r="R428" s="907">
        <f>SUBTOTAL(9,R429:R434)</f>
        <v>0</v>
      </c>
      <c r="S428" s="943"/>
      <c r="T428" s="943"/>
      <c r="U428" s="955">
        <f>SUBTOTAL(9,U429:U434)</f>
        <v>0</v>
      </c>
      <c r="V428" s="933"/>
      <c r="W428" s="907"/>
      <c r="X428" s="907">
        <f>SUBTOTAL(9,X429:X434)</f>
        <v>0</v>
      </c>
      <c r="Y428" s="925"/>
      <c r="Z428" s="925"/>
      <c r="AA428" s="925"/>
      <c r="AB428" s="898"/>
      <c r="AC428" s="925"/>
      <c r="AD428" s="925"/>
      <c r="AE428" s="938"/>
      <c r="AF428" s="917">
        <f>SUBTOTAL(9,AF429:AF434)</f>
        <v>0</v>
      </c>
      <c r="AG428" s="921"/>
      <c r="AH428" s="921">
        <f>SUBTOTAL(9,AH429:AH434)</f>
        <v>0</v>
      </c>
      <c r="AI428" s="907">
        <f t="shared" si="85"/>
        <v>524449000</v>
      </c>
      <c r="AJ428" s="910"/>
      <c r="AK428" s="914"/>
    </row>
    <row r="429" spans="1:38" s="376" customFormat="1" ht="247.5" outlineLevel="2" x14ac:dyDescent="0.3">
      <c r="A429" s="447">
        <f>IF(B428&lt;&gt;0,B428,A427)</f>
        <v>37</v>
      </c>
      <c r="B429" s="893"/>
      <c r="C429" s="908" t="s">
        <v>2798</v>
      </c>
      <c r="D429" s="923"/>
      <c r="E429" s="923">
        <v>86</v>
      </c>
      <c r="F429" s="896">
        <v>259</v>
      </c>
      <c r="G429" s="894" t="s">
        <v>2037</v>
      </c>
      <c r="H429" s="924">
        <v>79.900000000000006</v>
      </c>
      <c r="I429" s="882" t="str">
        <f t="shared" ref="I429:I432" si="92">IF(N429&gt;0,H429,"")</f>
        <v/>
      </c>
      <c r="J429" s="929"/>
      <c r="K429" s="899">
        <f>IF(G429&lt;&gt;0,VLOOKUP(G429,'gia dat'!$A$1:$F$144,5,0)," ")</f>
        <v>5762400</v>
      </c>
      <c r="L429" s="899">
        <f>IF(G429&lt;&gt;0,VLOOKUP(G429,'gia dat'!$A$1:$F$144,6,0)," ")</f>
        <v>0</v>
      </c>
      <c r="M429" s="900">
        <f t="shared" si="81"/>
        <v>460416000</v>
      </c>
      <c r="N429" s="900">
        <f t="shared" si="82"/>
        <v>0</v>
      </c>
      <c r="O429" s="929"/>
      <c r="P429" s="951"/>
      <c r="Q429" s="900"/>
      <c r="R429" s="900"/>
      <c r="S429" s="929"/>
      <c r="T429" s="929"/>
      <c r="U429" s="952"/>
      <c r="V429" s="925"/>
      <c r="W429" s="900" t="str">
        <f>IF(S429&lt;&gt;0,VLOOKUP(S429,VKT!$A$2:$G$415,7,0),"")</f>
        <v/>
      </c>
      <c r="X429" s="900" t="str">
        <f t="shared" si="91"/>
        <v xml:space="preserve"> </v>
      </c>
      <c r="Y429" s="925"/>
      <c r="Z429" s="925"/>
      <c r="AA429" s="925"/>
      <c r="AB429" s="898"/>
      <c r="AC429" s="925"/>
      <c r="AD429" s="925"/>
      <c r="AE429" s="905"/>
      <c r="AF429" s="899"/>
      <c r="AG429" s="906"/>
      <c r="AH429" s="906"/>
      <c r="AI429" s="907" t="str">
        <f t="shared" si="85"/>
        <v xml:space="preserve"> </v>
      </c>
      <c r="AJ429" s="894" t="s">
        <v>2199</v>
      </c>
      <c r="AK429" s="922" t="s">
        <v>2771</v>
      </c>
      <c r="AL429" s="376" t="s">
        <v>2202</v>
      </c>
    </row>
    <row r="430" spans="1:38" s="376" customFormat="1" ht="135" outlineLevel="2" x14ac:dyDescent="0.3">
      <c r="A430" s="447">
        <f>IF(B429&lt;&gt;0,B429,A429)</f>
        <v>37</v>
      </c>
      <c r="B430" s="893"/>
      <c r="C430" s="908" t="s">
        <v>2799</v>
      </c>
      <c r="D430" s="923"/>
      <c r="E430" s="923">
        <v>86</v>
      </c>
      <c r="F430" s="896">
        <v>259</v>
      </c>
      <c r="G430" s="894" t="s">
        <v>2472</v>
      </c>
      <c r="H430" s="924">
        <f>111.7-H432</f>
        <v>92.800000000000011</v>
      </c>
      <c r="I430" s="882" t="str">
        <f t="shared" si="92"/>
        <v/>
      </c>
      <c r="J430" s="929"/>
      <c r="K430" s="899">
        <f>IF(G430&lt;&gt;0,VLOOKUP(G430,'gia dat'!$A$1:$F$144,5,0)," ")</f>
        <v>554400</v>
      </c>
      <c r="L430" s="899">
        <f>IF(G430&lt;&gt;0,VLOOKUP(G430,'gia dat'!$A$1:$F$144,6,0)," ")</f>
        <v>0</v>
      </c>
      <c r="M430" s="900">
        <f t="shared" ref="M430:M499" si="93">IF(H430&lt;&gt;0,ROUND(H430*K430,-3)," ")</f>
        <v>51448000</v>
      </c>
      <c r="N430" s="900">
        <f t="shared" ref="N430:N499" si="94">IF(H430&lt;&gt;0,ROUND(H430*L430,-3)," ")</f>
        <v>0</v>
      </c>
      <c r="O430" s="929"/>
      <c r="P430" s="951"/>
      <c r="Q430" s="900"/>
      <c r="R430" s="900"/>
      <c r="S430" s="929"/>
      <c r="T430" s="929"/>
      <c r="U430" s="952"/>
      <c r="V430" s="925"/>
      <c r="W430" s="900" t="str">
        <f>IF(S430&lt;&gt;0,VLOOKUP(S430,VKT!$A$2:$G$415,7,0),"")</f>
        <v/>
      </c>
      <c r="X430" s="900" t="str">
        <f t="shared" si="91"/>
        <v xml:space="preserve"> </v>
      </c>
      <c r="Y430" s="925"/>
      <c r="Z430" s="925"/>
      <c r="AA430" s="925"/>
      <c r="AB430" s="898"/>
      <c r="AC430" s="925"/>
      <c r="AD430" s="925"/>
      <c r="AE430" s="905"/>
      <c r="AF430" s="926"/>
      <c r="AG430" s="906" t="str">
        <f>IF(AE430&lt;&gt;0,VLOOKUP(AE430,ODDS!$A$2:$C$13,3,0),"")</f>
        <v/>
      </c>
      <c r="AH430" s="906" t="str">
        <f t="shared" ref="AH430" si="95">IF(AE430&lt;&gt;0,ROUND(AF430*AG430,-2)," ")</f>
        <v xml:space="preserve"> </v>
      </c>
      <c r="AI430" s="907" t="str">
        <f t="shared" si="85"/>
        <v xml:space="preserve"> </v>
      </c>
      <c r="AJ430" s="894" t="s">
        <v>502</v>
      </c>
      <c r="AK430" s="894" t="s">
        <v>2451</v>
      </c>
    </row>
    <row r="431" spans="1:38" s="376" customFormat="1" ht="90" outlineLevel="2" x14ac:dyDescent="0.3">
      <c r="A431" s="447">
        <f>IF(B430&lt;&gt;0,B430,A430)</f>
        <v>37</v>
      </c>
      <c r="B431" s="893"/>
      <c r="C431" s="942"/>
      <c r="D431" s="923"/>
      <c r="E431" s="923"/>
      <c r="F431" s="896"/>
      <c r="G431" s="894" t="s">
        <v>2473</v>
      </c>
      <c r="H431" s="924">
        <v>3.8</v>
      </c>
      <c r="I431" s="882" t="str">
        <f t="shared" si="92"/>
        <v/>
      </c>
      <c r="J431" s="929"/>
      <c r="K431" s="899">
        <f>IF(G431&lt;&gt;0,VLOOKUP(G431,'gia dat'!$A$1:$F$144,5,0)," ")</f>
        <v>554400</v>
      </c>
      <c r="L431" s="899">
        <f>IF(G431&lt;&gt;0,VLOOKUP(G431,'gia dat'!$A$1:$F$144,6,0)," ")</f>
        <v>0</v>
      </c>
      <c r="M431" s="900">
        <f t="shared" si="93"/>
        <v>2107000</v>
      </c>
      <c r="N431" s="900">
        <f t="shared" si="94"/>
        <v>0</v>
      </c>
      <c r="O431" s="929"/>
      <c r="P431" s="951"/>
      <c r="Q431" s="900"/>
      <c r="R431" s="900"/>
      <c r="S431" s="929"/>
      <c r="T431" s="929"/>
      <c r="U431" s="952"/>
      <c r="V431" s="925"/>
      <c r="W431" s="900" t="str">
        <f>IF(S431&lt;&gt;0,VLOOKUP(S431,VKT!$A$2:$G$415,7,0),"")</f>
        <v/>
      </c>
      <c r="X431" s="900" t="str">
        <f t="shared" si="91"/>
        <v xml:space="preserve"> </v>
      </c>
      <c r="Y431" s="925"/>
      <c r="Z431" s="925"/>
      <c r="AA431" s="925"/>
      <c r="AB431" s="898"/>
      <c r="AC431" s="925"/>
      <c r="AD431" s="925"/>
      <c r="AE431" s="941"/>
      <c r="AF431" s="926"/>
      <c r="AG431" s="906" t="str">
        <f>IF(AE431&lt;&gt;0,VLOOKUP(AE431,ODDS!$A$2:$C$13,3,0),"")</f>
        <v/>
      </c>
      <c r="AH431" s="906"/>
      <c r="AI431" s="907" t="str">
        <f t="shared" si="85"/>
        <v xml:space="preserve"> </v>
      </c>
      <c r="AJ431" s="894" t="s">
        <v>2453</v>
      </c>
      <c r="AK431" s="894"/>
    </row>
    <row r="432" spans="1:38" s="376" customFormat="1" ht="90" outlineLevel="2" x14ac:dyDescent="0.3">
      <c r="A432" s="447">
        <f>IF(B431&lt;&gt;0,B431,A431)</f>
        <v>37</v>
      </c>
      <c r="B432" s="893"/>
      <c r="C432" s="942"/>
      <c r="D432" s="923"/>
      <c r="E432" s="923"/>
      <c r="F432" s="896"/>
      <c r="G432" s="894" t="s">
        <v>2471</v>
      </c>
      <c r="H432" s="924">
        <v>18.899999999999999</v>
      </c>
      <c r="I432" s="882" t="str">
        <f t="shared" si="92"/>
        <v/>
      </c>
      <c r="J432" s="929"/>
      <c r="K432" s="899">
        <f>IF(G432&lt;&gt;0,VLOOKUP(G432,'gia dat'!$A$1:$F$144,5,0)," ")</f>
        <v>554400</v>
      </c>
      <c r="L432" s="899">
        <f>IF(G432&lt;&gt;0,VLOOKUP(G432,'gia dat'!$A$1:$F$144,6,0)," ")</f>
        <v>0</v>
      </c>
      <c r="M432" s="900">
        <f t="shared" si="93"/>
        <v>10478000</v>
      </c>
      <c r="N432" s="900">
        <f t="shared" si="94"/>
        <v>0</v>
      </c>
      <c r="O432" s="929"/>
      <c r="P432" s="951"/>
      <c r="Q432" s="900"/>
      <c r="R432" s="900"/>
      <c r="S432" s="929"/>
      <c r="T432" s="929"/>
      <c r="U432" s="952"/>
      <c r="V432" s="925"/>
      <c r="W432" s="900" t="str">
        <f>IF(S432&lt;&gt;0,VLOOKUP(S432,VKT!$A$2:$G$415,7,0),"")</f>
        <v/>
      </c>
      <c r="X432" s="900" t="str">
        <f t="shared" si="91"/>
        <v xml:space="preserve"> </v>
      </c>
      <c r="Y432" s="925"/>
      <c r="Z432" s="925"/>
      <c r="AA432" s="925"/>
      <c r="AB432" s="898"/>
      <c r="AC432" s="925"/>
      <c r="AD432" s="925"/>
      <c r="AE432" s="925"/>
      <c r="AF432" s="964"/>
      <c r="AG432" s="906" t="str">
        <f>IF(AE432&lt;&gt;0,VLOOKUP(AE432,ODDS!$A$2:$C$13,3,0),"")</f>
        <v/>
      </c>
      <c r="AH432" s="906"/>
      <c r="AI432" s="907" t="str">
        <f t="shared" si="85"/>
        <v xml:space="preserve"> </v>
      </c>
      <c r="AJ432" s="929"/>
      <c r="AK432" s="929"/>
    </row>
    <row r="433" spans="1:38" s="376" customFormat="1" ht="22.5" outlineLevel="2" x14ac:dyDescent="0.3">
      <c r="A433" s="447">
        <f>IF(B432&lt;&gt;0,B432,A432)</f>
        <v>37</v>
      </c>
      <c r="B433" s="893"/>
      <c r="C433" s="942"/>
      <c r="D433" s="923"/>
      <c r="E433" s="923"/>
      <c r="F433" s="950"/>
      <c r="G433" s="894"/>
      <c r="H433" s="940"/>
      <c r="I433" s="882"/>
      <c r="J433" s="929"/>
      <c r="K433" s="899" t="str">
        <f>IF(G433&lt;&gt;0,VLOOKUP(G433,'gia dat'!$A$1:$F$144,5,0)," ")</f>
        <v xml:space="preserve"> </v>
      </c>
      <c r="L433" s="899" t="str">
        <f>IF(G433&lt;&gt;0,VLOOKUP(G433,'gia dat'!$A$1:$F$144,6,0)," ")</f>
        <v xml:space="preserve"> </v>
      </c>
      <c r="M433" s="900" t="str">
        <f t="shared" si="93"/>
        <v xml:space="preserve"> </v>
      </c>
      <c r="N433" s="900" t="str">
        <f t="shared" si="94"/>
        <v xml:space="preserve"> </v>
      </c>
      <c r="O433" s="929"/>
      <c r="P433" s="951"/>
      <c r="Q433" s="900"/>
      <c r="R433" s="900"/>
      <c r="S433" s="929"/>
      <c r="T433" s="929"/>
      <c r="U433" s="952"/>
      <c r="V433" s="925"/>
      <c r="W433" s="900" t="str">
        <f>IF(S433&lt;&gt;0,VLOOKUP(S433,VKT!$A$2:$G$415,7,0),"")</f>
        <v/>
      </c>
      <c r="X433" s="900" t="str">
        <f t="shared" si="91"/>
        <v xml:space="preserve"> </v>
      </c>
      <c r="Y433" s="925"/>
      <c r="Z433" s="925"/>
      <c r="AA433" s="925"/>
      <c r="AB433" s="898"/>
      <c r="AC433" s="925"/>
      <c r="AD433" s="925"/>
      <c r="AE433" s="925"/>
      <c r="AF433" s="964"/>
      <c r="AG433" s="906" t="str">
        <f>IF(AE433&lt;&gt;0,VLOOKUP(AE433,ODDS!$A$2:$C$13,3,0),"")</f>
        <v/>
      </c>
      <c r="AH433" s="906"/>
      <c r="AI433" s="907" t="str">
        <f t="shared" si="85"/>
        <v xml:space="preserve"> </v>
      </c>
      <c r="AJ433" s="929"/>
      <c r="AK433" s="929"/>
    </row>
    <row r="434" spans="1:38" s="376" customFormat="1" ht="22.5" outlineLevel="2" x14ac:dyDescent="0.3">
      <c r="A434" s="447">
        <f>IF(B433&lt;&gt;0,B433,A433)</f>
        <v>37</v>
      </c>
      <c r="B434" s="893"/>
      <c r="C434" s="942"/>
      <c r="D434" s="923"/>
      <c r="E434" s="923"/>
      <c r="F434" s="950"/>
      <c r="G434" s="894"/>
      <c r="H434" s="940"/>
      <c r="I434" s="882"/>
      <c r="J434" s="929"/>
      <c r="K434" s="899" t="str">
        <f>IF(G434&lt;&gt;0,VLOOKUP(G434,'gia dat'!$A$1:$F$144,5,0)," ")</f>
        <v xml:space="preserve"> </v>
      </c>
      <c r="L434" s="899" t="str">
        <f>IF(G434&lt;&gt;0,VLOOKUP(G434,'gia dat'!$A$1:$F$144,6,0)," ")</f>
        <v xml:space="preserve"> </v>
      </c>
      <c r="M434" s="900" t="str">
        <f t="shared" si="93"/>
        <v xml:space="preserve"> </v>
      </c>
      <c r="N434" s="900" t="str">
        <f t="shared" si="94"/>
        <v xml:space="preserve"> </v>
      </c>
      <c r="O434" s="929"/>
      <c r="P434" s="951"/>
      <c r="Q434" s="900"/>
      <c r="R434" s="900"/>
      <c r="S434" s="929"/>
      <c r="T434" s="929"/>
      <c r="U434" s="952"/>
      <c r="V434" s="925"/>
      <c r="W434" s="900" t="str">
        <f>IF(S434&lt;&gt;0,VLOOKUP(S434,VKT!$A$2:$G$415,7,0),"")</f>
        <v/>
      </c>
      <c r="X434" s="900" t="str">
        <f t="shared" si="91"/>
        <v xml:space="preserve"> </v>
      </c>
      <c r="Y434" s="925"/>
      <c r="Z434" s="925"/>
      <c r="AA434" s="925"/>
      <c r="AB434" s="898"/>
      <c r="AC434" s="925"/>
      <c r="AD434" s="925"/>
      <c r="AE434" s="925"/>
      <c r="AF434" s="964"/>
      <c r="AG434" s="906" t="str">
        <f>IF(AE434&lt;&gt;0,VLOOKUP(AE434,ODDS!$A$2:$C$13,3,0),"")</f>
        <v/>
      </c>
      <c r="AH434" s="906"/>
      <c r="AI434" s="907" t="str">
        <f t="shared" si="85"/>
        <v xml:space="preserve"> </v>
      </c>
      <c r="AJ434" s="929"/>
      <c r="AK434" s="929"/>
    </row>
    <row r="435" spans="1:38" s="376" customFormat="1" ht="22.5" outlineLevel="1" x14ac:dyDescent="0.25">
      <c r="A435" s="467" t="s">
        <v>2672</v>
      </c>
      <c r="B435" s="912">
        <v>38</v>
      </c>
      <c r="C435" s="942" t="s">
        <v>2172</v>
      </c>
      <c r="D435" s="931"/>
      <c r="E435" s="931"/>
      <c r="F435" s="913"/>
      <c r="G435" s="910"/>
      <c r="H435" s="953">
        <f>SUBTOTAL(9,H436:H441)</f>
        <v>195.8</v>
      </c>
      <c r="I435" s="915">
        <f>SUBTOTAL(9,I436:I441)</f>
        <v>0</v>
      </c>
      <c r="J435" s="943"/>
      <c r="K435" s="917"/>
      <c r="L435" s="917"/>
      <c r="M435" s="907">
        <f>SUBTOTAL(9,M436:M441)</f>
        <v>525191000</v>
      </c>
      <c r="N435" s="907">
        <f>SUBTOTAL(9,N436:N441)</f>
        <v>0</v>
      </c>
      <c r="O435" s="943"/>
      <c r="P435" s="954">
        <f>SUBTOTAL(9,P436:P441)</f>
        <v>0</v>
      </c>
      <c r="Q435" s="907"/>
      <c r="R435" s="907">
        <f>SUBTOTAL(9,R436:R441)</f>
        <v>0</v>
      </c>
      <c r="S435" s="943"/>
      <c r="T435" s="943"/>
      <c r="U435" s="955">
        <f>SUBTOTAL(9,U436:U441)</f>
        <v>0</v>
      </c>
      <c r="V435" s="933"/>
      <c r="W435" s="907"/>
      <c r="X435" s="907">
        <f>SUBTOTAL(9,X436:X441)</f>
        <v>0</v>
      </c>
      <c r="Y435" s="925"/>
      <c r="Z435" s="925"/>
      <c r="AA435" s="925"/>
      <c r="AB435" s="898"/>
      <c r="AC435" s="925"/>
      <c r="AD435" s="925"/>
      <c r="AE435" s="933"/>
      <c r="AF435" s="991">
        <f>SUBTOTAL(9,AF436:AF441)</f>
        <v>0</v>
      </c>
      <c r="AG435" s="921"/>
      <c r="AH435" s="921">
        <f>SUBTOTAL(9,AH436:AH441)</f>
        <v>0</v>
      </c>
      <c r="AI435" s="907">
        <f t="shared" si="85"/>
        <v>525191000</v>
      </c>
      <c r="AJ435" s="910"/>
      <c r="AK435" s="914"/>
    </row>
    <row r="436" spans="1:38" s="376" customFormat="1" ht="247.5" outlineLevel="2" x14ac:dyDescent="0.3">
      <c r="A436" s="447">
        <f>IF(B435&lt;&gt;0,B435,A434)</f>
        <v>38</v>
      </c>
      <c r="B436" s="893"/>
      <c r="C436" s="908" t="s">
        <v>2798</v>
      </c>
      <c r="D436" s="923"/>
      <c r="E436" s="923">
        <v>86</v>
      </c>
      <c r="F436" s="896">
        <v>259</v>
      </c>
      <c r="G436" s="894" t="s">
        <v>2037</v>
      </c>
      <c r="H436" s="924">
        <v>80</v>
      </c>
      <c r="I436" s="882" t="str">
        <f t="shared" ref="I436:I439" si="96">IF(N436&gt;0,H436,"")</f>
        <v/>
      </c>
      <c r="J436" s="929"/>
      <c r="K436" s="899">
        <f>IF(G436&lt;&gt;0,VLOOKUP(G436,'gia dat'!$A$1:$F$144,5,0)," ")</f>
        <v>5762400</v>
      </c>
      <c r="L436" s="899">
        <f>IF(G436&lt;&gt;0,VLOOKUP(G436,'gia dat'!$A$1:$F$144,6,0)," ")</f>
        <v>0</v>
      </c>
      <c r="M436" s="900">
        <f t="shared" si="93"/>
        <v>460992000</v>
      </c>
      <c r="N436" s="900">
        <f t="shared" si="94"/>
        <v>0</v>
      </c>
      <c r="O436" s="929"/>
      <c r="P436" s="951"/>
      <c r="Q436" s="900"/>
      <c r="R436" s="900"/>
      <c r="S436" s="929"/>
      <c r="T436" s="929"/>
      <c r="U436" s="952"/>
      <c r="V436" s="925"/>
      <c r="W436" s="900" t="str">
        <f>IF(S436&lt;&gt;0,VLOOKUP(S436,VKT!$A$2:$G$415,7,0),"")</f>
        <v/>
      </c>
      <c r="X436" s="900" t="str">
        <f t="shared" si="91"/>
        <v xml:space="preserve"> </v>
      </c>
      <c r="Y436" s="925"/>
      <c r="Z436" s="925"/>
      <c r="AA436" s="925"/>
      <c r="AB436" s="898"/>
      <c r="AC436" s="925"/>
      <c r="AD436" s="925"/>
      <c r="AE436" s="925"/>
      <c r="AF436" s="964"/>
      <c r="AG436" s="906" t="str">
        <f>IF(AE436&lt;&gt;0,VLOOKUP(AE436,ODDS!$A$2:$C$13,3,0),"")</f>
        <v/>
      </c>
      <c r="AH436" s="906"/>
      <c r="AI436" s="907" t="str">
        <f t="shared" si="85"/>
        <v xml:space="preserve"> </v>
      </c>
      <c r="AJ436" s="894" t="s">
        <v>2200</v>
      </c>
      <c r="AK436" s="922" t="s">
        <v>2771</v>
      </c>
      <c r="AL436" s="376" t="s">
        <v>2202</v>
      </c>
    </row>
    <row r="437" spans="1:38" s="376" customFormat="1" ht="135" outlineLevel="2" x14ac:dyDescent="0.3">
      <c r="A437" s="447">
        <f>IF(B436&lt;&gt;0,B436,A436)</f>
        <v>38</v>
      </c>
      <c r="B437" s="893"/>
      <c r="C437" s="908" t="s">
        <v>2799</v>
      </c>
      <c r="D437" s="923"/>
      <c r="E437" s="923">
        <v>86</v>
      </c>
      <c r="F437" s="896">
        <v>259</v>
      </c>
      <c r="G437" s="894" t="s">
        <v>2472</v>
      </c>
      <c r="H437" s="924">
        <f>111.7-H439</f>
        <v>96.9</v>
      </c>
      <c r="I437" s="882" t="str">
        <f t="shared" si="96"/>
        <v/>
      </c>
      <c r="J437" s="929"/>
      <c r="K437" s="899">
        <f>IF(G437&lt;&gt;0,VLOOKUP(G437,'gia dat'!$A$1:$F$144,5,0)," ")</f>
        <v>554400</v>
      </c>
      <c r="L437" s="899">
        <f>IF(G437&lt;&gt;0,VLOOKUP(G437,'gia dat'!$A$1:$F$144,6,0)," ")</f>
        <v>0</v>
      </c>
      <c r="M437" s="900">
        <f t="shared" si="93"/>
        <v>53721000</v>
      </c>
      <c r="N437" s="900">
        <f t="shared" si="94"/>
        <v>0</v>
      </c>
      <c r="O437" s="929"/>
      <c r="P437" s="951"/>
      <c r="Q437" s="900"/>
      <c r="R437" s="900"/>
      <c r="S437" s="929"/>
      <c r="T437" s="929"/>
      <c r="U437" s="952"/>
      <c r="V437" s="925"/>
      <c r="W437" s="900" t="str">
        <f>IF(S437&lt;&gt;0,VLOOKUP(S437,VKT!$A$2:$G$415,7,0),"")</f>
        <v/>
      </c>
      <c r="X437" s="900" t="str">
        <f t="shared" si="91"/>
        <v xml:space="preserve"> </v>
      </c>
      <c r="Y437" s="925"/>
      <c r="Z437" s="925"/>
      <c r="AA437" s="925"/>
      <c r="AB437" s="898"/>
      <c r="AC437" s="925"/>
      <c r="AD437" s="925"/>
      <c r="AE437" s="925"/>
      <c r="AF437" s="964"/>
      <c r="AG437" s="906" t="str">
        <f>IF(AE437&lt;&gt;0,VLOOKUP(AE437,ODDS!$A$2:$C$13,3,0),"")</f>
        <v/>
      </c>
      <c r="AH437" s="906"/>
      <c r="AI437" s="907" t="str">
        <f t="shared" si="85"/>
        <v xml:space="preserve"> </v>
      </c>
      <c r="AJ437" s="894" t="s">
        <v>2201</v>
      </c>
      <c r="AK437" s="929"/>
    </row>
    <row r="438" spans="1:38" s="376" customFormat="1" ht="90" outlineLevel="2" x14ac:dyDescent="0.3">
      <c r="A438" s="447">
        <f>IF(B437&lt;&gt;0,B437,A437)</f>
        <v>38</v>
      </c>
      <c r="B438" s="893"/>
      <c r="C438" s="942"/>
      <c r="D438" s="923"/>
      <c r="E438" s="923"/>
      <c r="F438" s="896"/>
      <c r="G438" s="894" t="s">
        <v>2473</v>
      </c>
      <c r="H438" s="924">
        <v>4.0999999999999996</v>
      </c>
      <c r="I438" s="882" t="str">
        <f t="shared" si="96"/>
        <v/>
      </c>
      <c r="J438" s="929"/>
      <c r="K438" s="899">
        <f>IF(G438&lt;&gt;0,VLOOKUP(G438,'gia dat'!$A$1:$F$144,5,0)," ")</f>
        <v>554400</v>
      </c>
      <c r="L438" s="899">
        <f>IF(G438&lt;&gt;0,VLOOKUP(G438,'gia dat'!$A$1:$F$144,6,0)," ")</f>
        <v>0</v>
      </c>
      <c r="M438" s="900">
        <f t="shared" si="93"/>
        <v>2273000</v>
      </c>
      <c r="N438" s="900">
        <f t="shared" si="94"/>
        <v>0</v>
      </c>
      <c r="O438" s="929"/>
      <c r="P438" s="951"/>
      <c r="Q438" s="900"/>
      <c r="R438" s="900"/>
      <c r="S438" s="929"/>
      <c r="T438" s="929"/>
      <c r="U438" s="952"/>
      <c r="V438" s="925"/>
      <c r="W438" s="900" t="str">
        <f>IF(S438&lt;&gt;0,VLOOKUP(S438,VKT!$A$2:$G$415,7,0),"")</f>
        <v/>
      </c>
      <c r="X438" s="900" t="str">
        <f t="shared" si="91"/>
        <v xml:space="preserve"> </v>
      </c>
      <c r="Y438" s="925"/>
      <c r="Z438" s="925"/>
      <c r="AA438" s="925"/>
      <c r="AB438" s="898"/>
      <c r="AC438" s="925"/>
      <c r="AD438" s="925"/>
      <c r="AE438" s="925"/>
      <c r="AF438" s="964"/>
      <c r="AG438" s="906" t="str">
        <f>IF(AE438&lt;&gt;0,VLOOKUP(AE438,ODDS!$A$2:$C$13,3,0),"")</f>
        <v/>
      </c>
      <c r="AH438" s="906"/>
      <c r="AI438" s="907" t="str">
        <f t="shared" si="85"/>
        <v xml:space="preserve"> </v>
      </c>
      <c r="AJ438" s="894" t="s">
        <v>2453</v>
      </c>
      <c r="AK438" s="929"/>
    </row>
    <row r="439" spans="1:38" s="376" customFormat="1" ht="90" outlineLevel="2" x14ac:dyDescent="0.3">
      <c r="A439" s="447">
        <f>IF(B438&lt;&gt;0,B438,A438)</f>
        <v>38</v>
      </c>
      <c r="B439" s="893"/>
      <c r="C439" s="942"/>
      <c r="D439" s="923"/>
      <c r="E439" s="947"/>
      <c r="F439" s="947"/>
      <c r="G439" s="894" t="s">
        <v>2471</v>
      </c>
      <c r="H439" s="924">
        <v>14.8</v>
      </c>
      <c r="I439" s="882" t="str">
        <f t="shared" si="96"/>
        <v/>
      </c>
      <c r="J439" s="929"/>
      <c r="K439" s="899">
        <f>IF(G439&lt;&gt;0,VLOOKUP(G439,'gia dat'!$A$1:$F$144,5,0)," ")</f>
        <v>554400</v>
      </c>
      <c r="L439" s="899">
        <f>IF(G439&lt;&gt;0,VLOOKUP(G439,'gia dat'!$A$1:$F$144,6,0)," ")</f>
        <v>0</v>
      </c>
      <c r="M439" s="900">
        <f t="shared" si="93"/>
        <v>8205000</v>
      </c>
      <c r="N439" s="900">
        <f t="shared" si="94"/>
        <v>0</v>
      </c>
      <c r="O439" s="929"/>
      <c r="P439" s="951"/>
      <c r="Q439" s="900"/>
      <c r="R439" s="900"/>
      <c r="S439" s="929"/>
      <c r="T439" s="929"/>
      <c r="U439" s="952"/>
      <c r="V439" s="925"/>
      <c r="W439" s="900" t="str">
        <f>IF(S439&lt;&gt;0,VLOOKUP(S439,VKT!$A$2:$G$415,7,0),"")</f>
        <v/>
      </c>
      <c r="X439" s="900" t="str">
        <f t="shared" si="91"/>
        <v xml:space="preserve"> </v>
      </c>
      <c r="Y439" s="925"/>
      <c r="Z439" s="925"/>
      <c r="AA439" s="925"/>
      <c r="AB439" s="898"/>
      <c r="AC439" s="925"/>
      <c r="AD439" s="925"/>
      <c r="AE439" s="925"/>
      <c r="AF439" s="964"/>
      <c r="AG439" s="906" t="str">
        <f>IF(AE439&lt;&gt;0,VLOOKUP(AE439,ODDS!$A$2:$C$13,3,0),"")</f>
        <v/>
      </c>
      <c r="AH439" s="906"/>
      <c r="AI439" s="907" t="str">
        <f t="shared" si="85"/>
        <v xml:space="preserve"> </v>
      </c>
      <c r="AJ439" s="929"/>
      <c r="AK439" s="929"/>
    </row>
    <row r="440" spans="1:38" s="376" customFormat="1" ht="22.5" outlineLevel="2" x14ac:dyDescent="0.3">
      <c r="A440" s="447">
        <f>IF(B439&lt;&gt;0,B439,A439)</f>
        <v>38</v>
      </c>
      <c r="B440" s="893"/>
      <c r="C440" s="942"/>
      <c r="D440" s="923"/>
      <c r="E440" s="923"/>
      <c r="F440" s="950"/>
      <c r="G440" s="894"/>
      <c r="H440" s="940"/>
      <c r="I440" s="882"/>
      <c r="J440" s="929"/>
      <c r="K440" s="899" t="str">
        <f>IF(G440&lt;&gt;0,VLOOKUP(G440,'gia dat'!$A$1:$F$144,5,0)," ")</f>
        <v xml:space="preserve"> </v>
      </c>
      <c r="L440" s="899" t="str">
        <f>IF(G440&lt;&gt;0,VLOOKUP(G440,'gia dat'!$A$1:$F$144,6,0)," ")</f>
        <v xml:space="preserve"> </v>
      </c>
      <c r="M440" s="900" t="str">
        <f t="shared" si="93"/>
        <v xml:space="preserve"> </v>
      </c>
      <c r="N440" s="900" t="str">
        <f t="shared" si="94"/>
        <v xml:space="preserve"> </v>
      </c>
      <c r="O440" s="929"/>
      <c r="P440" s="951"/>
      <c r="Q440" s="900"/>
      <c r="R440" s="900"/>
      <c r="S440" s="929"/>
      <c r="T440" s="929"/>
      <c r="U440" s="952"/>
      <c r="V440" s="925"/>
      <c r="W440" s="900" t="str">
        <f>IF(S440&lt;&gt;0,VLOOKUP(S440,VKT!$A$2:$G$415,7,0),"")</f>
        <v/>
      </c>
      <c r="X440" s="900" t="str">
        <f t="shared" si="91"/>
        <v xml:space="preserve"> </v>
      </c>
      <c r="Y440" s="925"/>
      <c r="Z440" s="925"/>
      <c r="AA440" s="925"/>
      <c r="AB440" s="898"/>
      <c r="AC440" s="925"/>
      <c r="AD440" s="925"/>
      <c r="AE440" s="925"/>
      <c r="AF440" s="964"/>
      <c r="AG440" s="906" t="str">
        <f>IF(AE440&lt;&gt;0,VLOOKUP(AE440,ODDS!$A$2:$C$13,3,0),"")</f>
        <v/>
      </c>
      <c r="AH440" s="906"/>
      <c r="AI440" s="907" t="str">
        <f t="shared" si="85"/>
        <v xml:space="preserve"> </v>
      </c>
      <c r="AJ440" s="929"/>
      <c r="AK440" s="929"/>
    </row>
    <row r="441" spans="1:38" s="376" customFormat="1" ht="22.5" outlineLevel="2" x14ac:dyDescent="0.3">
      <c r="A441" s="447">
        <f>IF(B440&lt;&gt;0,B440,A440)</f>
        <v>38</v>
      </c>
      <c r="B441" s="893"/>
      <c r="C441" s="910"/>
      <c r="D441" s="923"/>
      <c r="E441" s="923"/>
      <c r="F441" s="950"/>
      <c r="G441" s="894"/>
      <c r="H441" s="940"/>
      <c r="I441" s="882"/>
      <c r="J441" s="929"/>
      <c r="K441" s="899" t="str">
        <f>IF(G441&lt;&gt;0,VLOOKUP(G441,'gia dat'!$A$1:$F$144,5,0)," ")</f>
        <v xml:space="preserve"> </v>
      </c>
      <c r="L441" s="899" t="str">
        <f>IF(G441&lt;&gt;0,VLOOKUP(G441,'gia dat'!$A$1:$F$144,6,0)," ")</f>
        <v xml:space="preserve"> </v>
      </c>
      <c r="M441" s="900" t="str">
        <f t="shared" si="93"/>
        <v xml:space="preserve"> </v>
      </c>
      <c r="N441" s="900" t="str">
        <f t="shared" si="94"/>
        <v xml:space="preserve"> </v>
      </c>
      <c r="O441" s="929"/>
      <c r="P441" s="951"/>
      <c r="Q441" s="900"/>
      <c r="R441" s="900"/>
      <c r="S441" s="929"/>
      <c r="T441" s="929"/>
      <c r="U441" s="952"/>
      <c r="V441" s="925"/>
      <c r="W441" s="900" t="str">
        <f>IF(S441&lt;&gt;0,VLOOKUP(S441,VKT!$A$2:$G$415,7,0),"")</f>
        <v/>
      </c>
      <c r="X441" s="900" t="str">
        <f t="shared" si="91"/>
        <v xml:space="preserve"> </v>
      </c>
      <c r="Y441" s="925"/>
      <c r="Z441" s="925"/>
      <c r="AA441" s="925"/>
      <c r="AB441" s="898"/>
      <c r="AC441" s="925"/>
      <c r="AD441" s="925"/>
      <c r="AE441" s="925"/>
      <c r="AF441" s="964"/>
      <c r="AG441" s="906" t="str">
        <f>IF(AE441&lt;&gt;0,VLOOKUP(AE441,ODDS!$A$2:$C$13,3,0),"")</f>
        <v/>
      </c>
      <c r="AH441" s="906"/>
      <c r="AI441" s="907" t="str">
        <f t="shared" si="85"/>
        <v xml:space="preserve"> </v>
      </c>
      <c r="AJ441" s="929"/>
      <c r="AK441" s="929"/>
    </row>
    <row r="442" spans="1:38" s="376" customFormat="1" ht="22.5" outlineLevel="1" x14ac:dyDescent="0.3">
      <c r="A442" s="467" t="s">
        <v>2671</v>
      </c>
      <c r="B442" s="912">
        <v>39</v>
      </c>
      <c r="C442" s="910" t="s">
        <v>2176</v>
      </c>
      <c r="D442" s="931"/>
      <c r="E442" s="958"/>
      <c r="F442" s="958"/>
      <c r="G442" s="959"/>
      <c r="H442" s="960">
        <f>SUBTOTAL(9,H443:H454)</f>
        <v>0</v>
      </c>
      <c r="I442" s="915">
        <f>SUBTOTAL(9,I443:I448)</f>
        <v>0</v>
      </c>
      <c r="J442" s="943"/>
      <c r="K442" s="917"/>
      <c r="L442" s="917"/>
      <c r="M442" s="907">
        <f>SUBTOTAL(9,M443:M454)</f>
        <v>0</v>
      </c>
      <c r="N442" s="907">
        <f>SUBTOTAL(9,N443:N454)</f>
        <v>0</v>
      </c>
      <c r="O442" s="914"/>
      <c r="P442" s="935">
        <f>SUBTOTAL(9,P443:P454)</f>
        <v>21</v>
      </c>
      <c r="Q442" s="907"/>
      <c r="R442" s="907">
        <f>SUBTOTAL(9,R443:R454)</f>
        <v>11462000</v>
      </c>
      <c r="S442" s="914"/>
      <c r="T442" s="956"/>
      <c r="U442" s="936">
        <f>SUBTOTAL(9,U443:U454)</f>
        <v>44.4</v>
      </c>
      <c r="V442" s="933"/>
      <c r="W442" s="907"/>
      <c r="X442" s="907">
        <f>SUBTOTAL(9,X443:X454)</f>
        <v>49803000</v>
      </c>
      <c r="Y442" s="925"/>
      <c r="Z442" s="928"/>
      <c r="AA442" s="928"/>
      <c r="AB442" s="904"/>
      <c r="AC442" s="928"/>
      <c r="AD442" s="928"/>
      <c r="AE442" s="937"/>
      <c r="AF442" s="935">
        <f>SUBTOTAL(9,AF443:AF454)</f>
        <v>0</v>
      </c>
      <c r="AG442" s="921"/>
      <c r="AH442" s="921">
        <f>SUBTOTAL(9,AH443:AH454)</f>
        <v>0</v>
      </c>
      <c r="AI442" s="907">
        <f t="shared" si="85"/>
        <v>61265000</v>
      </c>
      <c r="AJ442" s="943"/>
      <c r="AK442" s="910"/>
    </row>
    <row r="443" spans="1:38" s="376" customFormat="1" ht="112.5" outlineLevel="2" x14ac:dyDescent="0.35">
      <c r="A443" s="447">
        <f>IF(B442&lt;&gt;0,B442,A441)</f>
        <v>39</v>
      </c>
      <c r="B443" s="893"/>
      <c r="C443" s="894" t="s">
        <v>129</v>
      </c>
      <c r="D443" s="923">
        <v>1</v>
      </c>
      <c r="E443" s="962"/>
      <c r="F443" s="962"/>
      <c r="G443" s="911"/>
      <c r="H443" s="897"/>
      <c r="I443" s="882"/>
      <c r="J443" s="929"/>
      <c r="K443" s="899" t="str">
        <f>IF(G443&lt;&gt;0,VLOOKUP(G443,'gia dat'!$A$1:$F$144,5,0)," ")</f>
        <v xml:space="preserve"> </v>
      </c>
      <c r="L443" s="899" t="str">
        <f>IF(G443&lt;&gt;0,VLOOKUP(G443,'gia dat'!$A$1:$F$144,6,0)," ")</f>
        <v xml:space="preserve"> </v>
      </c>
      <c r="M443" s="900" t="str">
        <f t="shared" si="93"/>
        <v xml:space="preserve"> </v>
      </c>
      <c r="N443" s="900" t="str">
        <f t="shared" si="94"/>
        <v xml:space="preserve"> </v>
      </c>
      <c r="O443" s="922" t="s">
        <v>145</v>
      </c>
      <c r="P443" s="926">
        <v>1</v>
      </c>
      <c r="Q443" s="900">
        <f>IF(O443&lt;&gt;0,VLOOKUP(O443,'Cây trong'!$A$2:$C$246,3,0)," ")</f>
        <v>4240000</v>
      </c>
      <c r="R443" s="900">
        <f t="shared" si="86"/>
        <v>4240000</v>
      </c>
      <c r="S443" s="922" t="s">
        <v>1852</v>
      </c>
      <c r="T443" s="944" t="s">
        <v>53</v>
      </c>
      <c r="U443" s="927">
        <v>28.9</v>
      </c>
      <c r="V443" s="925"/>
      <c r="W443" s="900">
        <f>IF(S443&lt;&gt;0,VLOOKUP(S443,VKT!$A$2:$G$415,7,0),"")</f>
        <v>1490563</v>
      </c>
      <c r="X443" s="900">
        <f t="shared" si="91"/>
        <v>43077000</v>
      </c>
      <c r="Y443" s="925" t="s">
        <v>54</v>
      </c>
      <c r="Z443" s="928" t="s">
        <v>55</v>
      </c>
      <c r="AA443" s="928" t="s">
        <v>56</v>
      </c>
      <c r="AB443" s="904" t="s">
        <v>186</v>
      </c>
      <c r="AC443" s="928" t="s">
        <v>66</v>
      </c>
      <c r="AD443" s="928"/>
      <c r="AE443" s="928"/>
      <c r="AF443" s="926"/>
      <c r="AG443" s="906" t="str">
        <f>IF(AE443&lt;&gt;0,VLOOKUP(AE443,ODDS!$A$2:$C$13,3,0),"")</f>
        <v/>
      </c>
      <c r="AH443" s="906" t="str">
        <f t="shared" si="87"/>
        <v xml:space="preserve"> </v>
      </c>
      <c r="AI443" s="907" t="str">
        <f t="shared" si="85"/>
        <v xml:space="preserve"> </v>
      </c>
      <c r="AJ443" s="929" t="s">
        <v>488</v>
      </c>
      <c r="AK443" s="894" t="s">
        <v>2450</v>
      </c>
    </row>
    <row r="444" spans="1:38" s="376" customFormat="1" ht="112.5" outlineLevel="2" x14ac:dyDescent="0.35">
      <c r="A444" s="447">
        <f t="shared" ref="A444:A454" si="97">IF(B443&lt;&gt;0,B443,A443)</f>
        <v>39</v>
      </c>
      <c r="B444" s="893"/>
      <c r="C444" s="963" t="s">
        <v>669</v>
      </c>
      <c r="D444" s="923"/>
      <c r="E444" s="962"/>
      <c r="F444" s="962"/>
      <c r="G444" s="911"/>
      <c r="H444" s="897"/>
      <c r="I444" s="882"/>
      <c r="J444" s="929"/>
      <c r="K444" s="899" t="str">
        <f>IF(G444&lt;&gt;0,VLOOKUP(G444,'gia dat'!$A$1:$F$144,5,0)," ")</f>
        <v xml:space="preserve"> </v>
      </c>
      <c r="L444" s="899" t="str">
        <f>IF(G444&lt;&gt;0,VLOOKUP(G444,'gia dat'!$A$1:$F$144,6,0)," ")</f>
        <v xml:space="preserve"> </v>
      </c>
      <c r="M444" s="900" t="str">
        <f t="shared" si="93"/>
        <v xml:space="preserve"> </v>
      </c>
      <c r="N444" s="900" t="str">
        <f t="shared" si="94"/>
        <v xml:space="preserve"> </v>
      </c>
      <c r="O444" s="922" t="s">
        <v>77</v>
      </c>
      <c r="P444" s="926">
        <v>1</v>
      </c>
      <c r="Q444" s="900">
        <f>IF(O444&lt;&gt;0,VLOOKUP(O444,'Cây trong'!$A$2:$C$246,3,0)," ")</f>
        <v>3064000</v>
      </c>
      <c r="R444" s="900">
        <f t="shared" si="86"/>
        <v>3064000</v>
      </c>
      <c r="S444" s="922" t="s">
        <v>2307</v>
      </c>
      <c r="T444" s="944" t="s">
        <v>53</v>
      </c>
      <c r="U444" s="927">
        <v>2.6</v>
      </c>
      <c r="V444" s="925"/>
      <c r="W444" s="900">
        <f>IF(S444&lt;&gt;0,VLOOKUP(S444,VKT!$A$2:$G$415,7,0),"")</f>
        <v>2093161</v>
      </c>
      <c r="X444" s="900">
        <f t="shared" si="91"/>
        <v>5442000</v>
      </c>
      <c r="Y444" s="925"/>
      <c r="Z444" s="928"/>
      <c r="AA444" s="928" t="s">
        <v>56</v>
      </c>
      <c r="AB444" s="904" t="s">
        <v>57</v>
      </c>
      <c r="AC444" s="928" t="s">
        <v>139</v>
      </c>
      <c r="AD444" s="928"/>
      <c r="AE444" s="928"/>
      <c r="AF444" s="926"/>
      <c r="AG444" s="906" t="str">
        <f>IF(AE444&lt;&gt;0,VLOOKUP(AE444,ODDS!$A$2:$C$13,3,0),"")</f>
        <v/>
      </c>
      <c r="AH444" s="906" t="str">
        <f t="shared" si="87"/>
        <v xml:space="preserve"> </v>
      </c>
      <c r="AI444" s="907" t="str">
        <f t="shared" si="85"/>
        <v xml:space="preserve"> </v>
      </c>
      <c r="AJ444" s="911"/>
      <c r="AK444" s="894" t="s">
        <v>2449</v>
      </c>
    </row>
    <row r="445" spans="1:38" s="376" customFormat="1" ht="112.5" outlineLevel="2" x14ac:dyDescent="0.35">
      <c r="A445" s="447">
        <f t="shared" si="97"/>
        <v>39</v>
      </c>
      <c r="B445" s="893"/>
      <c r="C445" s="894"/>
      <c r="D445" s="923"/>
      <c r="E445" s="962"/>
      <c r="F445" s="962"/>
      <c r="G445" s="911"/>
      <c r="H445" s="897"/>
      <c r="I445" s="882"/>
      <c r="J445" s="929"/>
      <c r="K445" s="899" t="str">
        <f>IF(G445&lt;&gt;0,VLOOKUP(G445,'gia dat'!$A$1:$F$144,5,0)," ")</f>
        <v xml:space="preserve"> </v>
      </c>
      <c r="L445" s="899" t="str">
        <f>IF(G445&lt;&gt;0,VLOOKUP(G445,'gia dat'!$A$1:$F$144,6,0)," ")</f>
        <v xml:space="preserve"> </v>
      </c>
      <c r="M445" s="900" t="str">
        <f t="shared" si="93"/>
        <v xml:space="preserve"> </v>
      </c>
      <c r="N445" s="900" t="str">
        <f t="shared" si="94"/>
        <v xml:space="preserve"> </v>
      </c>
      <c r="O445" s="922" t="s">
        <v>61</v>
      </c>
      <c r="P445" s="926">
        <v>1</v>
      </c>
      <c r="Q445" s="900">
        <f>IF(O445&lt;&gt;0,VLOOKUP(O445,'Cây trong'!$A$2:$C$246,3,0)," ")</f>
        <v>1708000</v>
      </c>
      <c r="R445" s="900">
        <f t="shared" si="86"/>
        <v>1708000</v>
      </c>
      <c r="S445" s="922" t="s">
        <v>1748</v>
      </c>
      <c r="T445" s="944" t="s">
        <v>53</v>
      </c>
      <c r="U445" s="927">
        <v>6.65</v>
      </c>
      <c r="V445" s="925"/>
      <c r="W445" s="900">
        <f>IF(S445&lt;&gt;0,VLOOKUP(S445,VKT!$A$2:$G$415,7,0),"")</f>
        <v>0</v>
      </c>
      <c r="X445" s="900">
        <f t="shared" si="91"/>
        <v>0</v>
      </c>
      <c r="Y445" s="925"/>
      <c r="Z445" s="928"/>
      <c r="AA445" s="928"/>
      <c r="AB445" s="904"/>
      <c r="AC445" s="928"/>
      <c r="AD445" s="928"/>
      <c r="AE445" s="928"/>
      <c r="AF445" s="926"/>
      <c r="AG445" s="906" t="str">
        <f>IF(AE445&lt;&gt;0,VLOOKUP(AE445,ODDS!$A$2:$C$13,3,0),"")</f>
        <v/>
      </c>
      <c r="AH445" s="906" t="str">
        <f t="shared" si="87"/>
        <v xml:space="preserve"> </v>
      </c>
      <c r="AI445" s="907" t="str">
        <f t="shared" si="85"/>
        <v xml:space="preserve"> </v>
      </c>
      <c r="AJ445" s="929"/>
      <c r="AK445" s="894" t="s">
        <v>2800</v>
      </c>
    </row>
    <row r="446" spans="1:38" s="376" customFormat="1" ht="45" outlineLevel="2" x14ac:dyDescent="0.35">
      <c r="A446" s="447">
        <f t="shared" si="97"/>
        <v>39</v>
      </c>
      <c r="B446" s="893"/>
      <c r="C446" s="894"/>
      <c r="D446" s="923"/>
      <c r="E446" s="962"/>
      <c r="F446" s="962"/>
      <c r="G446" s="911"/>
      <c r="H446" s="897"/>
      <c r="I446" s="882"/>
      <c r="J446" s="929"/>
      <c r="K446" s="899" t="str">
        <f>IF(G446&lt;&gt;0,VLOOKUP(G446,'gia dat'!$A$1:$F$144,5,0)," ")</f>
        <v xml:space="preserve"> </v>
      </c>
      <c r="L446" s="899" t="str">
        <f>IF(G446&lt;&gt;0,VLOOKUP(G446,'gia dat'!$A$1:$F$144,6,0)," ")</f>
        <v xml:space="preserve"> </v>
      </c>
      <c r="M446" s="900" t="str">
        <f t="shared" si="93"/>
        <v xml:space="preserve"> </v>
      </c>
      <c r="N446" s="900" t="str">
        <f t="shared" si="94"/>
        <v xml:space="preserve"> </v>
      </c>
      <c r="O446" s="922" t="s">
        <v>64</v>
      </c>
      <c r="P446" s="926">
        <v>1</v>
      </c>
      <c r="Q446" s="900">
        <f>IF(O446&lt;&gt;0,VLOOKUP(O446,'Cây trong'!$A$2:$C$246,3,0)," ")</f>
        <v>1122000</v>
      </c>
      <c r="R446" s="900">
        <f t="shared" si="86"/>
        <v>1122000</v>
      </c>
      <c r="S446" s="922" t="s">
        <v>1839</v>
      </c>
      <c r="T446" s="944" t="s">
        <v>53</v>
      </c>
      <c r="U446" s="927">
        <v>5.25</v>
      </c>
      <c r="V446" s="925"/>
      <c r="W446" s="900">
        <f>IF(S446&lt;&gt;0,VLOOKUP(S446,VKT!$A$2:$G$415,7,0),"")</f>
        <v>244604</v>
      </c>
      <c r="X446" s="900">
        <f t="shared" si="91"/>
        <v>1284000</v>
      </c>
      <c r="Y446" s="925"/>
      <c r="Z446" s="928"/>
      <c r="AA446" s="928"/>
      <c r="AB446" s="904"/>
      <c r="AC446" s="928"/>
      <c r="AD446" s="928"/>
      <c r="AE446" s="928"/>
      <c r="AF446" s="926"/>
      <c r="AG446" s="906" t="str">
        <f>IF(AE446&lt;&gt;0,VLOOKUP(AE446,ODDS!$A$2:$C$13,3,0),"")</f>
        <v/>
      </c>
      <c r="AH446" s="906" t="str">
        <f t="shared" si="87"/>
        <v xml:space="preserve"> </v>
      </c>
      <c r="AI446" s="907" t="str">
        <f t="shared" si="85"/>
        <v xml:space="preserve"> </v>
      </c>
      <c r="AJ446" s="911"/>
      <c r="AK446" s="894"/>
    </row>
    <row r="447" spans="1:38" s="376" customFormat="1" ht="67.5" outlineLevel="2" x14ac:dyDescent="0.35">
      <c r="A447" s="447">
        <f t="shared" si="97"/>
        <v>39</v>
      </c>
      <c r="B447" s="893"/>
      <c r="C447" s="908"/>
      <c r="D447" s="939"/>
      <c r="E447" s="923"/>
      <c r="F447" s="896"/>
      <c r="G447" s="894"/>
      <c r="H447" s="924"/>
      <c r="I447" s="882"/>
      <c r="J447" s="925"/>
      <c r="K447" s="899" t="str">
        <f>IF(G447&lt;&gt;0,VLOOKUP(G447,'gia dat'!$A$1:$F$144,5,0)," ")</f>
        <v xml:space="preserve"> </v>
      </c>
      <c r="L447" s="899" t="str">
        <f>IF(G447&lt;&gt;0,VLOOKUP(G447,'gia dat'!$A$1:$F$144,6,0)," ")</f>
        <v xml:space="preserve"> </v>
      </c>
      <c r="M447" s="900" t="str">
        <f t="shared" si="93"/>
        <v xml:space="preserve"> </v>
      </c>
      <c r="N447" s="900" t="str">
        <f t="shared" si="94"/>
        <v xml:space="preserve"> </v>
      </c>
      <c r="O447" s="901" t="s">
        <v>746</v>
      </c>
      <c r="P447" s="926">
        <v>1</v>
      </c>
      <c r="Q447" s="900">
        <f>IF(O447&lt;&gt;0,VLOOKUP(O447,'Cây trong'!$A$2:$C$246,3,0)," ")</f>
        <v>32000</v>
      </c>
      <c r="R447" s="900">
        <f t="shared" si="86"/>
        <v>32000</v>
      </c>
      <c r="S447" s="902" t="s">
        <v>1758</v>
      </c>
      <c r="T447" s="925" t="s">
        <v>93</v>
      </c>
      <c r="U447" s="927">
        <v>1</v>
      </c>
      <c r="V447" s="925"/>
      <c r="W447" s="900">
        <f>IF(S447&lt;&gt;0,VLOOKUP(S447,VKT!$A$2:$G$415,7,0),"")</f>
        <v>0</v>
      </c>
      <c r="X447" s="900">
        <f t="shared" si="91"/>
        <v>0</v>
      </c>
      <c r="Y447" s="925"/>
      <c r="Z447" s="928"/>
      <c r="AA447" s="928"/>
      <c r="AB447" s="904"/>
      <c r="AC447" s="928"/>
      <c r="AD447" s="928"/>
      <c r="AE447" s="928"/>
      <c r="AF447" s="926"/>
      <c r="AG447" s="906" t="str">
        <f>IF(AE447&lt;&gt;0,VLOOKUP(AE447,ODDS!$A$2:$C$13,3,0),"")</f>
        <v/>
      </c>
      <c r="AH447" s="906" t="str">
        <f t="shared" si="87"/>
        <v xml:space="preserve"> </v>
      </c>
      <c r="AI447" s="907" t="str">
        <f t="shared" si="85"/>
        <v xml:space="preserve"> </v>
      </c>
      <c r="AJ447" s="911"/>
      <c r="AK447" s="929"/>
    </row>
    <row r="448" spans="1:38" s="376" customFormat="1" ht="45" outlineLevel="2" x14ac:dyDescent="0.3">
      <c r="A448" s="447">
        <f t="shared" si="97"/>
        <v>39</v>
      </c>
      <c r="B448" s="893"/>
      <c r="C448" s="908"/>
      <c r="D448" s="923"/>
      <c r="E448" s="947"/>
      <c r="F448" s="947"/>
      <c r="G448" s="922"/>
      <c r="H448" s="924"/>
      <c r="I448" s="882"/>
      <c r="J448" s="929"/>
      <c r="K448" s="899" t="str">
        <f>IF(G448&lt;&gt;0,VLOOKUP(G448,'gia dat'!$A$1:$F$144,5,0)," ")</f>
        <v xml:space="preserve"> </v>
      </c>
      <c r="L448" s="899" t="str">
        <f>IF(G448&lt;&gt;0,VLOOKUP(G448,'gia dat'!$A$1:$F$144,6,0)," ")</f>
        <v xml:space="preserve"> </v>
      </c>
      <c r="M448" s="900" t="str">
        <f t="shared" si="93"/>
        <v xml:space="preserve"> </v>
      </c>
      <c r="N448" s="900" t="str">
        <f t="shared" si="94"/>
        <v xml:space="preserve"> </v>
      </c>
      <c r="O448" s="922" t="s">
        <v>187</v>
      </c>
      <c r="P448" s="965">
        <v>1</v>
      </c>
      <c r="Q448" s="900">
        <f>IF(O448&lt;&gt;0,VLOOKUP(O448,'Cây trong'!$A$2:$C$246,3,0)," ")</f>
        <v>120000</v>
      </c>
      <c r="R448" s="900">
        <f t="shared" si="86"/>
        <v>120000</v>
      </c>
      <c r="S448" s="902"/>
      <c r="T448" s="925"/>
      <c r="U448" s="927"/>
      <c r="V448" s="925"/>
      <c r="W448" s="900" t="str">
        <f>IF(S448&lt;&gt;0,VLOOKUP(S448,VKT!$A$2:$G$415,7,0),"")</f>
        <v/>
      </c>
      <c r="X448" s="900" t="str">
        <f t="shared" si="91"/>
        <v xml:space="preserve"> </v>
      </c>
      <c r="Y448" s="925"/>
      <c r="Z448" s="928"/>
      <c r="AA448" s="928"/>
      <c r="AB448" s="904"/>
      <c r="AC448" s="928"/>
      <c r="AD448" s="928"/>
      <c r="AE448" s="928"/>
      <c r="AF448" s="926"/>
      <c r="AG448" s="906" t="str">
        <f>IF(AE448&lt;&gt;0,VLOOKUP(AE448,ODDS!$A$2:$C$13,3,0),"")</f>
        <v/>
      </c>
      <c r="AH448" s="906" t="str">
        <f t="shared" si="87"/>
        <v xml:space="preserve"> </v>
      </c>
      <c r="AI448" s="907" t="str">
        <f t="shared" si="85"/>
        <v xml:space="preserve"> </v>
      </c>
      <c r="AJ448" s="929"/>
      <c r="AK448" s="929"/>
    </row>
    <row r="449" spans="1:37" s="376" customFormat="1" ht="22.5" outlineLevel="2" x14ac:dyDescent="0.3">
      <c r="A449" s="447">
        <f t="shared" si="97"/>
        <v>39</v>
      </c>
      <c r="B449" s="893"/>
      <c r="C449" s="894"/>
      <c r="D449" s="923"/>
      <c r="E449" s="923"/>
      <c r="F449" s="896"/>
      <c r="G449" s="894"/>
      <c r="H449" s="924"/>
      <c r="I449" s="882"/>
      <c r="J449" s="929"/>
      <c r="K449" s="899" t="str">
        <f>IF(G449&lt;&gt;0,VLOOKUP(G449,'gia dat'!$A$1:$F$144,5,0)," ")</f>
        <v xml:space="preserve"> </v>
      </c>
      <c r="L449" s="899" t="str">
        <f>IF(G449&lt;&gt;0,VLOOKUP(G449,'gia dat'!$A$1:$F$144,6,0)," ")</f>
        <v xml:space="preserve"> </v>
      </c>
      <c r="M449" s="900" t="str">
        <f t="shared" si="93"/>
        <v xml:space="preserve"> </v>
      </c>
      <c r="N449" s="900" t="str">
        <f t="shared" si="94"/>
        <v xml:space="preserve"> </v>
      </c>
      <c r="O449" s="922" t="s">
        <v>747</v>
      </c>
      <c r="P449" s="965">
        <v>1</v>
      </c>
      <c r="Q449" s="900">
        <f>IF(O449&lt;&gt;0,VLOOKUP(O449,'Cây trong'!$A$2:$C$246,3,0)," ")</f>
        <v>0</v>
      </c>
      <c r="R449" s="900">
        <f t="shared" si="86"/>
        <v>0</v>
      </c>
      <c r="S449" s="922"/>
      <c r="T449" s="944"/>
      <c r="U449" s="927"/>
      <c r="V449" s="925"/>
      <c r="W449" s="900" t="str">
        <f>IF(S449&lt;&gt;0,VLOOKUP(S449,VKT!$A$2:$G$415,7,0),"")</f>
        <v/>
      </c>
      <c r="X449" s="900" t="str">
        <f t="shared" si="91"/>
        <v xml:space="preserve"> </v>
      </c>
      <c r="Y449" s="925"/>
      <c r="Z449" s="928"/>
      <c r="AA449" s="928"/>
      <c r="AB449" s="904"/>
      <c r="AC449" s="928"/>
      <c r="AD449" s="928"/>
      <c r="AE449" s="928"/>
      <c r="AF449" s="926"/>
      <c r="AG449" s="906" t="str">
        <f>IF(AE449&lt;&gt;0,VLOOKUP(AE449,ODDS!$A$2:$C$13,3,0),"")</f>
        <v/>
      </c>
      <c r="AH449" s="906" t="str">
        <f t="shared" si="87"/>
        <v xml:space="preserve"> </v>
      </c>
      <c r="AI449" s="907" t="str">
        <f t="shared" si="85"/>
        <v xml:space="preserve"> </v>
      </c>
      <c r="AJ449" s="929"/>
      <c r="AK449" s="929"/>
    </row>
    <row r="450" spans="1:37" s="376" customFormat="1" ht="22.5" outlineLevel="2" x14ac:dyDescent="0.3">
      <c r="A450" s="447">
        <f t="shared" si="97"/>
        <v>39</v>
      </c>
      <c r="B450" s="893"/>
      <c r="C450" s="894"/>
      <c r="D450" s="923"/>
      <c r="E450" s="923"/>
      <c r="F450" s="896"/>
      <c r="G450" s="894"/>
      <c r="H450" s="924"/>
      <c r="I450" s="882"/>
      <c r="J450" s="925"/>
      <c r="K450" s="899" t="str">
        <f>IF(G450&lt;&gt;0,VLOOKUP(G450,'gia dat'!$A$1:$F$144,5,0)," ")</f>
        <v xml:space="preserve"> </v>
      </c>
      <c r="L450" s="899" t="str">
        <f>IF(G450&lt;&gt;0,VLOOKUP(G450,'gia dat'!$A$1:$F$144,6,0)," ")</f>
        <v xml:space="preserve"> </v>
      </c>
      <c r="M450" s="900" t="str">
        <f t="shared" si="93"/>
        <v xml:space="preserve"> </v>
      </c>
      <c r="N450" s="900" t="str">
        <f t="shared" si="94"/>
        <v xml:space="preserve"> </v>
      </c>
      <c r="O450" s="894" t="s">
        <v>72</v>
      </c>
      <c r="P450" s="926">
        <v>5</v>
      </c>
      <c r="Q450" s="900">
        <f>IF(O450&lt;&gt;0,VLOOKUP(O450,'Cây trong'!$A$2:$C$246,3,0)," ")</f>
        <v>132000</v>
      </c>
      <c r="R450" s="900">
        <f t="shared" si="86"/>
        <v>660000</v>
      </c>
      <c r="S450" s="902"/>
      <c r="T450" s="925"/>
      <c r="U450" s="927"/>
      <c r="V450" s="925"/>
      <c r="W450" s="900" t="str">
        <f>IF(S450&lt;&gt;0,VLOOKUP(S450,VKT!$A$2:$G$415,7,0),"")</f>
        <v/>
      </c>
      <c r="X450" s="900" t="str">
        <f t="shared" si="91"/>
        <v xml:space="preserve"> </v>
      </c>
      <c r="Y450" s="925"/>
      <c r="Z450" s="928"/>
      <c r="AA450" s="928"/>
      <c r="AB450" s="904"/>
      <c r="AC450" s="928"/>
      <c r="AD450" s="928"/>
      <c r="AE450" s="928"/>
      <c r="AF450" s="926"/>
      <c r="AG450" s="906" t="str">
        <f>IF(AE450&lt;&gt;0,VLOOKUP(AE450,ODDS!$A$2:$C$13,3,0),"")</f>
        <v/>
      </c>
      <c r="AH450" s="906" t="str">
        <f t="shared" si="87"/>
        <v xml:space="preserve"> </v>
      </c>
      <c r="AI450" s="907" t="str">
        <f t="shared" si="85"/>
        <v xml:space="preserve"> </v>
      </c>
      <c r="AJ450" s="929"/>
      <c r="AK450" s="929"/>
    </row>
    <row r="451" spans="1:37" s="376" customFormat="1" ht="22.5" outlineLevel="2" x14ac:dyDescent="0.3">
      <c r="A451" s="447">
        <f t="shared" si="97"/>
        <v>39</v>
      </c>
      <c r="B451" s="893"/>
      <c r="C451" s="894"/>
      <c r="D451" s="923"/>
      <c r="E451" s="923"/>
      <c r="F451" s="896"/>
      <c r="G451" s="894"/>
      <c r="H451" s="924"/>
      <c r="I451" s="882"/>
      <c r="J451" s="925"/>
      <c r="K451" s="899" t="str">
        <f>IF(G451&lt;&gt;0,VLOOKUP(G451,'gia dat'!$A$1:$F$144,5,0)," ")</f>
        <v xml:space="preserve"> </v>
      </c>
      <c r="L451" s="899" t="str">
        <f>IF(G451&lt;&gt;0,VLOOKUP(G451,'gia dat'!$A$1:$F$144,6,0)," ")</f>
        <v xml:space="preserve"> </v>
      </c>
      <c r="M451" s="900" t="str">
        <f t="shared" si="93"/>
        <v xml:space="preserve"> </v>
      </c>
      <c r="N451" s="900" t="str">
        <f t="shared" si="94"/>
        <v xml:space="preserve"> </v>
      </c>
      <c r="O451" s="894" t="s">
        <v>73</v>
      </c>
      <c r="P451" s="926">
        <v>5</v>
      </c>
      <c r="Q451" s="900">
        <f>IF(O451&lt;&gt;0,VLOOKUP(O451,'Cây trong'!$A$2:$C$246,3,0)," ")</f>
        <v>76000</v>
      </c>
      <c r="R451" s="900">
        <f t="shared" si="86"/>
        <v>380000</v>
      </c>
      <c r="S451" s="902"/>
      <c r="T451" s="925"/>
      <c r="U451" s="927"/>
      <c r="V451" s="925"/>
      <c r="W451" s="900" t="str">
        <f>IF(S451&lt;&gt;0,VLOOKUP(S451,VKT!$A$2:$G$415,7,0),"")</f>
        <v/>
      </c>
      <c r="X451" s="900" t="str">
        <f t="shared" si="91"/>
        <v xml:space="preserve"> </v>
      </c>
      <c r="Y451" s="925"/>
      <c r="Z451" s="928"/>
      <c r="AA451" s="928"/>
      <c r="AB451" s="904"/>
      <c r="AC451" s="928"/>
      <c r="AD451" s="928"/>
      <c r="AE451" s="928"/>
      <c r="AF451" s="926"/>
      <c r="AG451" s="906" t="str">
        <f>IF(AE451&lt;&gt;0,VLOOKUP(AE451,ODDS!$A$2:$C$13,3,0),"")</f>
        <v/>
      </c>
      <c r="AH451" s="906" t="str">
        <f t="shared" si="87"/>
        <v xml:space="preserve"> </v>
      </c>
      <c r="AI451" s="907" t="str">
        <f t="shared" si="85"/>
        <v xml:space="preserve"> </v>
      </c>
      <c r="AJ451" s="929"/>
      <c r="AK451" s="929"/>
    </row>
    <row r="452" spans="1:37" s="376" customFormat="1" ht="22.5" outlineLevel="2" x14ac:dyDescent="0.3">
      <c r="A452" s="447">
        <f t="shared" si="97"/>
        <v>39</v>
      </c>
      <c r="B452" s="893"/>
      <c r="C452" s="894"/>
      <c r="D452" s="923"/>
      <c r="E452" s="923"/>
      <c r="F452" s="896"/>
      <c r="G452" s="894"/>
      <c r="H452" s="924"/>
      <c r="I452" s="882"/>
      <c r="J452" s="925"/>
      <c r="K452" s="899" t="str">
        <f>IF(G452&lt;&gt;0,VLOOKUP(G452,'gia dat'!$A$1:$F$144,5,0)," ")</f>
        <v xml:space="preserve"> </v>
      </c>
      <c r="L452" s="899" t="str">
        <f>IF(G452&lt;&gt;0,VLOOKUP(G452,'gia dat'!$A$1:$F$144,6,0)," ")</f>
        <v xml:space="preserve"> </v>
      </c>
      <c r="M452" s="900" t="str">
        <f t="shared" si="93"/>
        <v xml:space="preserve"> </v>
      </c>
      <c r="N452" s="900" t="str">
        <f t="shared" si="94"/>
        <v xml:space="preserve"> </v>
      </c>
      <c r="O452" s="894" t="s">
        <v>75</v>
      </c>
      <c r="P452" s="926">
        <v>4</v>
      </c>
      <c r="Q452" s="900">
        <f>IF(O452&lt;&gt;0,VLOOKUP(O452,'Cây trong'!$A$2:$C$246,3,0)," ")</f>
        <v>34000</v>
      </c>
      <c r="R452" s="900">
        <f t="shared" si="86"/>
        <v>136000</v>
      </c>
      <c r="S452" s="902"/>
      <c r="T452" s="925"/>
      <c r="U452" s="927"/>
      <c r="V452" s="925"/>
      <c r="W452" s="900" t="str">
        <f>IF(S452&lt;&gt;0,VLOOKUP(S452,VKT!$A$2:$G$415,7,0),"")</f>
        <v/>
      </c>
      <c r="X452" s="900" t="str">
        <f t="shared" si="91"/>
        <v xml:space="preserve"> </v>
      </c>
      <c r="Y452" s="925"/>
      <c r="Z452" s="928"/>
      <c r="AA452" s="928"/>
      <c r="AB452" s="904"/>
      <c r="AC452" s="928"/>
      <c r="AD452" s="928"/>
      <c r="AE452" s="928"/>
      <c r="AF452" s="926"/>
      <c r="AG452" s="906" t="str">
        <f>IF(AE452&lt;&gt;0,VLOOKUP(AE452,ODDS!$A$2:$C$13,3,0),"")</f>
        <v/>
      </c>
      <c r="AH452" s="906" t="str">
        <f t="shared" si="87"/>
        <v xml:space="preserve"> </v>
      </c>
      <c r="AI452" s="907" t="str">
        <f t="shared" si="85"/>
        <v xml:space="preserve"> </v>
      </c>
      <c r="AJ452" s="929"/>
      <c r="AK452" s="929"/>
    </row>
    <row r="453" spans="1:37" s="376" customFormat="1" ht="22.5" outlineLevel="2" x14ac:dyDescent="0.3">
      <c r="A453" s="447">
        <f t="shared" si="97"/>
        <v>39</v>
      </c>
      <c r="B453" s="893"/>
      <c r="C453" s="894"/>
      <c r="D453" s="923"/>
      <c r="E453" s="923"/>
      <c r="F453" s="950"/>
      <c r="G453" s="894"/>
      <c r="H453" s="940"/>
      <c r="I453" s="882"/>
      <c r="J453" s="929"/>
      <c r="K453" s="899" t="str">
        <f>IF(G453&lt;&gt;0,VLOOKUP(G453,'gia dat'!$A$1:$F$144,5,0)," ")</f>
        <v xml:space="preserve"> </v>
      </c>
      <c r="L453" s="899" t="str">
        <f>IF(G453&lt;&gt;0,VLOOKUP(G453,'gia dat'!$A$1:$F$144,6,0)," ")</f>
        <v xml:space="preserve"> </v>
      </c>
      <c r="M453" s="900" t="str">
        <f t="shared" si="93"/>
        <v xml:space="preserve"> </v>
      </c>
      <c r="N453" s="900" t="str">
        <f t="shared" si="94"/>
        <v xml:space="preserve"> </v>
      </c>
      <c r="O453" s="929"/>
      <c r="P453" s="951"/>
      <c r="Q453" s="900" t="str">
        <f>IF(O453&lt;&gt;0,VLOOKUP(O453,'Cây trong'!$A$2:$C$246,3,0)," ")</f>
        <v xml:space="preserve"> </v>
      </c>
      <c r="R453" s="900" t="str">
        <f t="shared" si="86"/>
        <v xml:space="preserve"> </v>
      </c>
      <c r="S453" s="929"/>
      <c r="T453" s="929"/>
      <c r="U453" s="952"/>
      <c r="V453" s="925"/>
      <c r="W453" s="900" t="str">
        <f>IF(S453&lt;&gt;0,VLOOKUP(S453,VKT!$A$2:$G$415,7,0),"")</f>
        <v/>
      </c>
      <c r="X453" s="900" t="str">
        <f t="shared" si="91"/>
        <v xml:space="preserve"> </v>
      </c>
      <c r="Y453" s="925"/>
      <c r="Z453" s="925"/>
      <c r="AA453" s="925"/>
      <c r="AB453" s="898"/>
      <c r="AC453" s="925"/>
      <c r="AD453" s="925"/>
      <c r="AE453" s="925"/>
      <c r="AF453" s="964"/>
      <c r="AG453" s="906" t="str">
        <f>IF(AE453&lt;&gt;0,VLOOKUP(AE453,ODDS!$A$2:$C$13,3,0),"")</f>
        <v/>
      </c>
      <c r="AH453" s="906" t="str">
        <f t="shared" si="87"/>
        <v xml:space="preserve"> </v>
      </c>
      <c r="AI453" s="907" t="str">
        <f t="shared" si="85"/>
        <v xml:space="preserve"> </v>
      </c>
      <c r="AJ453" s="929"/>
      <c r="AK453" s="929"/>
    </row>
    <row r="454" spans="1:37" s="376" customFormat="1" ht="22.5" outlineLevel="2" x14ac:dyDescent="0.3">
      <c r="A454" s="447">
        <f t="shared" si="97"/>
        <v>39</v>
      </c>
      <c r="B454" s="893"/>
      <c r="C454" s="910"/>
      <c r="D454" s="923"/>
      <c r="E454" s="923"/>
      <c r="F454" s="896"/>
      <c r="G454" s="894"/>
      <c r="H454" s="924"/>
      <c r="I454" s="882"/>
      <c r="J454" s="925"/>
      <c r="K454" s="899" t="str">
        <f>IF(G454&lt;&gt;0,VLOOKUP(G454,'gia dat'!$A$1:$F$144,5,0)," ")</f>
        <v xml:space="preserve"> </v>
      </c>
      <c r="L454" s="899" t="str">
        <f>IF(G454&lt;&gt;0,VLOOKUP(G454,'gia dat'!$A$1:$F$144,6,0)," ")</f>
        <v xml:space="preserve"> </v>
      </c>
      <c r="M454" s="900" t="str">
        <f t="shared" si="93"/>
        <v xml:space="preserve"> </v>
      </c>
      <c r="N454" s="900" t="str">
        <f t="shared" si="94"/>
        <v xml:space="preserve"> </v>
      </c>
      <c r="O454" s="894"/>
      <c r="P454" s="926"/>
      <c r="Q454" s="900" t="str">
        <f>IF(O454&lt;&gt;0,VLOOKUP(O454,'Cây trong'!$A$2:$C$246,3,0)," ")</f>
        <v xml:space="preserve"> </v>
      </c>
      <c r="R454" s="900" t="str">
        <f t="shared" si="86"/>
        <v xml:space="preserve"> </v>
      </c>
      <c r="S454" s="902"/>
      <c r="T454" s="925"/>
      <c r="U454" s="927"/>
      <c r="V454" s="925"/>
      <c r="W454" s="900" t="str">
        <f>IF(S454&lt;&gt;0,VLOOKUP(S454,VKT!$A$2:$G$415,7,0),"")</f>
        <v/>
      </c>
      <c r="X454" s="900" t="str">
        <f t="shared" si="91"/>
        <v xml:space="preserve"> </v>
      </c>
      <c r="Y454" s="925"/>
      <c r="Z454" s="928"/>
      <c r="AA454" s="928"/>
      <c r="AB454" s="904"/>
      <c r="AC454" s="928"/>
      <c r="AD454" s="928"/>
      <c r="AE454" s="928"/>
      <c r="AF454" s="926"/>
      <c r="AG454" s="906" t="str">
        <f>IF(AE454&lt;&gt;0,VLOOKUP(AE454,ODDS!$A$2:$C$13,3,0),"")</f>
        <v/>
      </c>
      <c r="AH454" s="906" t="str">
        <f t="shared" si="87"/>
        <v xml:space="preserve"> </v>
      </c>
      <c r="AI454" s="907" t="str">
        <f t="shared" si="85"/>
        <v xml:space="preserve"> </v>
      </c>
      <c r="AJ454" s="929"/>
      <c r="AK454" s="929"/>
    </row>
    <row r="455" spans="1:37" s="376" customFormat="1" ht="22.5" outlineLevel="1" x14ac:dyDescent="0.3">
      <c r="A455" s="467" t="s">
        <v>2670</v>
      </c>
      <c r="B455" s="912">
        <v>40</v>
      </c>
      <c r="C455" s="910" t="s">
        <v>2177</v>
      </c>
      <c r="D455" s="931"/>
      <c r="E455" s="958"/>
      <c r="F455" s="958"/>
      <c r="G455" s="959"/>
      <c r="H455" s="960">
        <f>SUBTOTAL(9,H456:H464)</f>
        <v>0</v>
      </c>
      <c r="I455" s="915">
        <f>SUBTOTAL(9,I456:I461)</f>
        <v>0</v>
      </c>
      <c r="J455" s="943"/>
      <c r="K455" s="917"/>
      <c r="L455" s="917"/>
      <c r="M455" s="907">
        <f>SUBTOTAL(9,M456:M464)</f>
        <v>0</v>
      </c>
      <c r="N455" s="907">
        <f>SUBTOTAL(9,N456:N464)</f>
        <v>0</v>
      </c>
      <c r="O455" s="914"/>
      <c r="P455" s="935">
        <f>SUBTOTAL(9,P456:P464)</f>
        <v>0</v>
      </c>
      <c r="Q455" s="907"/>
      <c r="R455" s="907">
        <f>SUBTOTAL(9,R456:R464)</f>
        <v>0</v>
      </c>
      <c r="S455" s="914"/>
      <c r="T455" s="956"/>
      <c r="U455" s="936">
        <f>SUBTOTAL(9,U456:U464)</f>
        <v>73.2</v>
      </c>
      <c r="V455" s="933"/>
      <c r="W455" s="907"/>
      <c r="X455" s="907">
        <f>SUBTOTAL(9,X456:X464)</f>
        <v>59605000</v>
      </c>
      <c r="Y455" s="925"/>
      <c r="Z455" s="928"/>
      <c r="AA455" s="928"/>
      <c r="AB455" s="904"/>
      <c r="AC455" s="928"/>
      <c r="AD455" s="928"/>
      <c r="AE455" s="937"/>
      <c r="AF455" s="935">
        <f>SUBTOTAL(9,AF456:AF464)</f>
        <v>0</v>
      </c>
      <c r="AG455" s="921"/>
      <c r="AH455" s="921">
        <f>SUBTOTAL(9,AH456:AH464)</f>
        <v>0</v>
      </c>
      <c r="AI455" s="907">
        <f t="shared" si="85"/>
        <v>59605000</v>
      </c>
      <c r="AJ455" s="943"/>
      <c r="AK455" s="910"/>
    </row>
    <row r="456" spans="1:37" s="376" customFormat="1" ht="112.5" outlineLevel="2" x14ac:dyDescent="0.35">
      <c r="A456" s="447">
        <f>IF(B455&lt;&gt;0,B455,A454)</f>
        <v>40</v>
      </c>
      <c r="B456" s="893"/>
      <c r="C456" s="894" t="s">
        <v>189</v>
      </c>
      <c r="D456" s="923">
        <v>1</v>
      </c>
      <c r="E456" s="962"/>
      <c r="F456" s="962"/>
      <c r="G456" s="911"/>
      <c r="H456" s="897"/>
      <c r="I456" s="882"/>
      <c r="J456" s="929"/>
      <c r="K456" s="899" t="str">
        <f>IF(G456&lt;&gt;0,VLOOKUP(G456,'gia dat'!$A$1:$F$144,5,0)," ")</f>
        <v xml:space="preserve"> </v>
      </c>
      <c r="L456" s="899" t="str">
        <f>IF(G456&lt;&gt;0,VLOOKUP(G456,'gia dat'!$A$1:$F$144,6,0)," ")</f>
        <v xml:space="preserve"> </v>
      </c>
      <c r="M456" s="900" t="str">
        <f t="shared" si="93"/>
        <v xml:space="preserve"> </v>
      </c>
      <c r="N456" s="900" t="str">
        <f t="shared" si="94"/>
        <v xml:space="preserve"> </v>
      </c>
      <c r="O456" s="922"/>
      <c r="P456" s="926"/>
      <c r="Q456" s="900" t="str">
        <f>IF(O456&lt;&gt;0,VLOOKUP(O456,'Cây trong'!$A$2:$C$246,3,0)," ")</f>
        <v xml:space="preserve"> </v>
      </c>
      <c r="R456" s="900" t="str">
        <f t="shared" si="86"/>
        <v xml:space="preserve"> </v>
      </c>
      <c r="S456" s="922" t="s">
        <v>1852</v>
      </c>
      <c r="T456" s="944" t="s">
        <v>53</v>
      </c>
      <c r="U456" s="927">
        <v>28.9</v>
      </c>
      <c r="V456" s="925"/>
      <c r="W456" s="900">
        <f>IF(S456&lt;&gt;0,VLOOKUP(S456,VKT!$A$2:$G$415,7,0),"")</f>
        <v>1490563</v>
      </c>
      <c r="X456" s="900">
        <f t="shared" si="91"/>
        <v>43077000</v>
      </c>
      <c r="Y456" s="925" t="s">
        <v>54</v>
      </c>
      <c r="Z456" s="928" t="s">
        <v>55</v>
      </c>
      <c r="AA456" s="928" t="s">
        <v>56</v>
      </c>
      <c r="AB456" s="904" t="s">
        <v>186</v>
      </c>
      <c r="AC456" s="928" t="s">
        <v>66</v>
      </c>
      <c r="AD456" s="928"/>
      <c r="AE456" s="928"/>
      <c r="AF456" s="926"/>
      <c r="AG456" s="906" t="str">
        <f>IF(AE456&lt;&gt;0,VLOOKUP(AE456,ODDS!$A$2:$C$13,3,0),"")</f>
        <v/>
      </c>
      <c r="AH456" s="906" t="str">
        <f t="shared" si="87"/>
        <v xml:space="preserve"> </v>
      </c>
      <c r="AI456" s="907" t="str">
        <f t="shared" si="85"/>
        <v xml:space="preserve"> </v>
      </c>
      <c r="AJ456" s="929" t="s">
        <v>488</v>
      </c>
      <c r="AK456" s="894" t="s">
        <v>2450</v>
      </c>
    </row>
    <row r="457" spans="1:37" s="376" customFormat="1" ht="112.5" outlineLevel="2" x14ac:dyDescent="0.35">
      <c r="A457" s="447">
        <f t="shared" ref="A457:A464" si="98">IF(B456&lt;&gt;0,B456,A456)</f>
        <v>40</v>
      </c>
      <c r="B457" s="893"/>
      <c r="C457" s="963" t="s">
        <v>671</v>
      </c>
      <c r="D457" s="930"/>
      <c r="E457" s="962"/>
      <c r="F457" s="962"/>
      <c r="G457" s="911"/>
      <c r="H457" s="897"/>
      <c r="I457" s="882"/>
      <c r="J457" s="943"/>
      <c r="K457" s="899" t="str">
        <f>IF(G457&lt;&gt;0,VLOOKUP(G457,'gia dat'!$A$1:$F$144,5,0)," ")</f>
        <v xml:space="preserve"> </v>
      </c>
      <c r="L457" s="899" t="str">
        <f>IF(G457&lt;&gt;0,VLOOKUP(G457,'gia dat'!$A$1:$F$144,6,0)," ")</f>
        <v xml:space="preserve"> </v>
      </c>
      <c r="M457" s="900" t="str">
        <f t="shared" si="93"/>
        <v xml:space="preserve"> </v>
      </c>
      <c r="N457" s="900" t="str">
        <f t="shared" si="94"/>
        <v xml:space="preserve"> </v>
      </c>
      <c r="O457" s="914"/>
      <c r="P457" s="926"/>
      <c r="Q457" s="900" t="str">
        <f>IF(O457&lt;&gt;0,VLOOKUP(O457,'Cây trong'!$A$2:$C$246,3,0)," ")</f>
        <v xml:space="preserve"> </v>
      </c>
      <c r="R457" s="900" t="str">
        <f t="shared" si="86"/>
        <v xml:space="preserve"> </v>
      </c>
      <c r="S457" s="922" t="s">
        <v>1749</v>
      </c>
      <c r="T457" s="944" t="s">
        <v>53</v>
      </c>
      <c r="U457" s="927">
        <v>14.6</v>
      </c>
      <c r="V457" s="933"/>
      <c r="W457" s="900">
        <f>IF(S457&lt;&gt;0,VLOOKUP(S457,VKT!$A$2:$G$415,7,0),"")</f>
        <v>211811</v>
      </c>
      <c r="X457" s="900">
        <f t="shared" si="91"/>
        <v>3092000</v>
      </c>
      <c r="Y457" s="916"/>
      <c r="Z457" s="937"/>
      <c r="AA457" s="937"/>
      <c r="AB457" s="920"/>
      <c r="AC457" s="937"/>
      <c r="AD457" s="937"/>
      <c r="AE457" s="937"/>
      <c r="AF457" s="935"/>
      <c r="AG457" s="906" t="str">
        <f>IF(AE457&lt;&gt;0,VLOOKUP(AE457,ODDS!$A$2:$C$13,3,0),"")</f>
        <v/>
      </c>
      <c r="AH457" s="906" t="str">
        <f t="shared" si="87"/>
        <v xml:space="preserve"> </v>
      </c>
      <c r="AI457" s="907" t="str">
        <f t="shared" ref="AI457:AI520" si="99">IF(B457&lt;&gt;0,M457+N457+R457+X457+AH457," ")</f>
        <v xml:space="preserve"> </v>
      </c>
      <c r="AJ457" s="894" t="s">
        <v>2074</v>
      </c>
      <c r="AK457" s="894" t="s">
        <v>2800</v>
      </c>
    </row>
    <row r="458" spans="1:37" s="376" customFormat="1" ht="112.5" outlineLevel="2" x14ac:dyDescent="0.35">
      <c r="A458" s="447">
        <f t="shared" si="98"/>
        <v>40</v>
      </c>
      <c r="B458" s="893"/>
      <c r="C458" s="908"/>
      <c r="D458" s="939"/>
      <c r="E458" s="962"/>
      <c r="F458" s="962"/>
      <c r="G458" s="911"/>
      <c r="H458" s="897"/>
      <c r="I458" s="882"/>
      <c r="J458" s="929"/>
      <c r="K458" s="899" t="str">
        <f>IF(G458&lt;&gt;0,VLOOKUP(G458,'gia dat'!$A$1:$F$144,5,0)," ")</f>
        <v xml:space="preserve"> </v>
      </c>
      <c r="L458" s="899" t="str">
        <f>IF(G458&lt;&gt;0,VLOOKUP(G458,'gia dat'!$A$1:$F$144,6,0)," ")</f>
        <v xml:space="preserve"> </v>
      </c>
      <c r="M458" s="900" t="str">
        <f t="shared" si="93"/>
        <v xml:space="preserve"> </v>
      </c>
      <c r="N458" s="900" t="str">
        <f t="shared" si="94"/>
        <v xml:space="preserve"> </v>
      </c>
      <c r="O458" s="922"/>
      <c r="P458" s="926"/>
      <c r="Q458" s="900" t="str">
        <f>IF(O458&lt;&gt;0,VLOOKUP(O458,'Cây trong'!$A$2:$C$246,3,0)," ")</f>
        <v xml:space="preserve"> </v>
      </c>
      <c r="R458" s="900" t="str">
        <f t="shared" si="86"/>
        <v xml:space="preserve"> </v>
      </c>
      <c r="S458" s="922" t="s">
        <v>2305</v>
      </c>
      <c r="T458" s="944" t="s">
        <v>53</v>
      </c>
      <c r="U458" s="927">
        <v>15.2</v>
      </c>
      <c r="V458" s="925"/>
      <c r="W458" s="900">
        <f>IF(S458&lt;&gt;0,VLOOKUP(S458,VKT!$A$2:$G$415,7,0),"")</f>
        <v>441467</v>
      </c>
      <c r="X458" s="900">
        <f t="shared" si="91"/>
        <v>6710000</v>
      </c>
      <c r="Y458" s="898"/>
      <c r="Z458" s="928"/>
      <c r="AA458" s="928"/>
      <c r="AB458" s="904"/>
      <c r="AC458" s="928"/>
      <c r="AD458" s="928"/>
      <c r="AE458" s="928"/>
      <c r="AF458" s="926"/>
      <c r="AG458" s="906" t="str">
        <f>IF(AE458&lt;&gt;0,VLOOKUP(AE458,ODDS!$A$2:$C$13,3,0),"")</f>
        <v/>
      </c>
      <c r="AH458" s="906" t="str">
        <f t="shared" si="87"/>
        <v xml:space="preserve"> </v>
      </c>
      <c r="AI458" s="907" t="str">
        <f t="shared" si="99"/>
        <v xml:space="preserve"> </v>
      </c>
      <c r="AJ458" s="911"/>
      <c r="AK458" s="929"/>
    </row>
    <row r="459" spans="1:37" s="376" customFormat="1" ht="112.5" outlineLevel="2" x14ac:dyDescent="0.35">
      <c r="A459" s="447">
        <f t="shared" si="98"/>
        <v>40</v>
      </c>
      <c r="B459" s="893"/>
      <c r="C459" s="908"/>
      <c r="D459" s="923"/>
      <c r="E459" s="962"/>
      <c r="F459" s="962"/>
      <c r="G459" s="911"/>
      <c r="H459" s="897"/>
      <c r="I459" s="882"/>
      <c r="J459" s="929"/>
      <c r="K459" s="899" t="str">
        <f>IF(G459&lt;&gt;0,VLOOKUP(G459,'gia dat'!$A$1:$F$144,5,0)," ")</f>
        <v xml:space="preserve"> </v>
      </c>
      <c r="L459" s="899" t="str">
        <f>IF(G459&lt;&gt;0,VLOOKUP(G459,'gia dat'!$A$1:$F$144,6,0)," ")</f>
        <v xml:space="preserve"> </v>
      </c>
      <c r="M459" s="900" t="str">
        <f t="shared" si="93"/>
        <v xml:space="preserve"> </v>
      </c>
      <c r="N459" s="900" t="str">
        <f t="shared" si="94"/>
        <v xml:space="preserve"> </v>
      </c>
      <c r="O459" s="922"/>
      <c r="P459" s="926"/>
      <c r="Q459" s="900" t="str">
        <f>IF(O459&lt;&gt;0,VLOOKUP(O459,'Cây trong'!$A$2:$C$246,3,0)," ")</f>
        <v xml:space="preserve"> </v>
      </c>
      <c r="R459" s="900" t="str">
        <f t="shared" si="86"/>
        <v xml:space="preserve"> </v>
      </c>
      <c r="S459" s="922" t="s">
        <v>2307</v>
      </c>
      <c r="T459" s="944" t="s">
        <v>53</v>
      </c>
      <c r="U459" s="927">
        <v>2.6</v>
      </c>
      <c r="V459" s="925"/>
      <c r="W459" s="900">
        <f>IF(S459&lt;&gt;0,VLOOKUP(S459,VKT!$A$2:$G$415,7,0),"")</f>
        <v>2093161</v>
      </c>
      <c r="X459" s="900">
        <f t="shared" si="91"/>
        <v>5442000</v>
      </c>
      <c r="Y459" s="925"/>
      <c r="Z459" s="928"/>
      <c r="AA459" s="928" t="s">
        <v>56</v>
      </c>
      <c r="AB459" s="904" t="s">
        <v>57</v>
      </c>
      <c r="AC459" s="928" t="s">
        <v>54</v>
      </c>
      <c r="AD459" s="928"/>
      <c r="AE459" s="928"/>
      <c r="AF459" s="926"/>
      <c r="AG459" s="906" t="str">
        <f>IF(AE459&lt;&gt;0,VLOOKUP(AE459,ODDS!$A$2:$C$13,3,0),"")</f>
        <v/>
      </c>
      <c r="AH459" s="906" t="str">
        <f t="shared" si="87"/>
        <v xml:space="preserve"> </v>
      </c>
      <c r="AI459" s="907" t="str">
        <f t="shared" si="99"/>
        <v xml:space="preserve"> </v>
      </c>
      <c r="AJ459" s="911"/>
      <c r="AK459" s="894"/>
    </row>
    <row r="460" spans="1:37" s="376" customFormat="1" ht="45" outlineLevel="2" x14ac:dyDescent="0.35">
      <c r="A460" s="447">
        <f t="shared" si="98"/>
        <v>40</v>
      </c>
      <c r="B460" s="893"/>
      <c r="C460" s="910"/>
      <c r="D460" s="923"/>
      <c r="E460" s="923"/>
      <c r="F460" s="896"/>
      <c r="G460" s="894"/>
      <c r="H460" s="924"/>
      <c r="I460" s="882"/>
      <c r="J460" s="925"/>
      <c r="K460" s="899" t="str">
        <f>IF(G460&lt;&gt;0,VLOOKUP(G460,'gia dat'!$A$1:$F$144,5,0)," ")</f>
        <v xml:space="preserve"> </v>
      </c>
      <c r="L460" s="899" t="str">
        <f>IF(G460&lt;&gt;0,VLOOKUP(G460,'gia dat'!$A$1:$F$144,6,0)," ")</f>
        <v xml:space="preserve"> </v>
      </c>
      <c r="M460" s="900" t="str">
        <f t="shared" si="93"/>
        <v xml:space="preserve"> </v>
      </c>
      <c r="N460" s="900" t="str">
        <f t="shared" si="94"/>
        <v xml:space="preserve"> </v>
      </c>
      <c r="O460" s="894"/>
      <c r="P460" s="926"/>
      <c r="Q460" s="900" t="str">
        <f>IF(O460&lt;&gt;0,VLOOKUP(O460,'Cây trong'!$A$2:$C$246,3,0)," ")</f>
        <v xml:space="preserve"> </v>
      </c>
      <c r="R460" s="900" t="str">
        <f t="shared" si="86"/>
        <v xml:space="preserve"> </v>
      </c>
      <c r="S460" s="922" t="s">
        <v>1748</v>
      </c>
      <c r="T460" s="925" t="s">
        <v>53</v>
      </c>
      <c r="U460" s="927">
        <v>6.65</v>
      </c>
      <c r="V460" s="925"/>
      <c r="W460" s="900">
        <f>IF(S460&lt;&gt;0,VLOOKUP(S460,VKT!$A$2:$G$415,7,0),"")</f>
        <v>0</v>
      </c>
      <c r="X460" s="900">
        <f t="shared" si="91"/>
        <v>0</v>
      </c>
      <c r="Y460" s="925"/>
      <c r="Z460" s="928"/>
      <c r="AA460" s="928"/>
      <c r="AB460" s="904"/>
      <c r="AC460" s="928"/>
      <c r="AD460" s="928"/>
      <c r="AE460" s="928"/>
      <c r="AF460" s="926"/>
      <c r="AG460" s="906" t="str">
        <f>IF(AE460&lt;&gt;0,VLOOKUP(AE460,ODDS!$A$2:$C$13,3,0),"")</f>
        <v/>
      </c>
      <c r="AH460" s="906" t="str">
        <f t="shared" si="87"/>
        <v xml:space="preserve"> </v>
      </c>
      <c r="AI460" s="907" t="str">
        <f t="shared" si="99"/>
        <v xml:space="preserve"> </v>
      </c>
      <c r="AJ460" s="911"/>
      <c r="AK460" s="929"/>
    </row>
    <row r="461" spans="1:37" s="376" customFormat="1" ht="45" outlineLevel="2" x14ac:dyDescent="0.3">
      <c r="A461" s="447">
        <f t="shared" si="98"/>
        <v>40</v>
      </c>
      <c r="B461" s="893"/>
      <c r="C461" s="983"/>
      <c r="D461" s="930"/>
      <c r="E461" s="931"/>
      <c r="F461" s="913"/>
      <c r="G461" s="910"/>
      <c r="H461" s="924"/>
      <c r="I461" s="882"/>
      <c r="J461" s="933"/>
      <c r="K461" s="899" t="str">
        <f>IF(G461&lt;&gt;0,VLOOKUP(G461,'gia dat'!$A$1:$F$144,5,0)," ")</f>
        <v xml:space="preserve"> </v>
      </c>
      <c r="L461" s="899" t="str">
        <f>IF(G461&lt;&gt;0,VLOOKUP(G461,'gia dat'!$A$1:$F$144,6,0)," ")</f>
        <v xml:space="preserve"> </v>
      </c>
      <c r="M461" s="900" t="str">
        <f t="shared" si="93"/>
        <v xml:space="preserve"> </v>
      </c>
      <c r="N461" s="900" t="str">
        <f t="shared" si="94"/>
        <v xml:space="preserve"> </v>
      </c>
      <c r="O461" s="934"/>
      <c r="P461" s="935"/>
      <c r="Q461" s="900" t="str">
        <f>IF(O461&lt;&gt;0,VLOOKUP(O461,'Cây trong'!$A$2:$C$246,3,0)," ")</f>
        <v xml:space="preserve"> </v>
      </c>
      <c r="R461" s="900" t="str">
        <f t="shared" si="86"/>
        <v xml:space="preserve"> </v>
      </c>
      <c r="S461" s="902" t="s">
        <v>1839</v>
      </c>
      <c r="T461" s="925" t="s">
        <v>53</v>
      </c>
      <c r="U461" s="927">
        <v>5.25</v>
      </c>
      <c r="V461" s="933"/>
      <c r="W461" s="900">
        <f>IF(S461&lt;&gt;0,VLOOKUP(S461,VKT!$A$2:$G$415,7,0),"")</f>
        <v>244604</v>
      </c>
      <c r="X461" s="900">
        <f t="shared" si="91"/>
        <v>1284000</v>
      </c>
      <c r="Y461" s="925"/>
      <c r="Z461" s="928"/>
      <c r="AA461" s="928"/>
      <c r="AB461" s="904"/>
      <c r="AC461" s="928"/>
      <c r="AD461" s="928"/>
      <c r="AE461" s="928"/>
      <c r="AF461" s="926"/>
      <c r="AG461" s="906" t="str">
        <f>IF(AE461&lt;&gt;0,VLOOKUP(AE461,ODDS!$A$2:$C$13,3,0),"")</f>
        <v/>
      </c>
      <c r="AH461" s="906" t="str">
        <f t="shared" si="87"/>
        <v xml:space="preserve"> </v>
      </c>
      <c r="AI461" s="907" t="str">
        <f t="shared" si="99"/>
        <v xml:space="preserve"> </v>
      </c>
      <c r="AJ461" s="929"/>
      <c r="AK461" s="929"/>
    </row>
    <row r="462" spans="1:37" s="376" customFormat="1" ht="22.5" outlineLevel="2" x14ac:dyDescent="0.3">
      <c r="A462" s="447">
        <f t="shared" si="98"/>
        <v>40</v>
      </c>
      <c r="B462" s="893"/>
      <c r="C462" s="908"/>
      <c r="D462" s="939"/>
      <c r="E462" s="923"/>
      <c r="F462" s="896"/>
      <c r="G462" s="894"/>
      <c r="H462" s="924"/>
      <c r="I462" s="882"/>
      <c r="J462" s="925"/>
      <c r="K462" s="899" t="str">
        <f>IF(G462&lt;&gt;0,VLOOKUP(G462,'gia dat'!$A$1:$F$144,5,0)," ")</f>
        <v xml:space="preserve"> </v>
      </c>
      <c r="L462" s="899" t="str">
        <f>IF(G462&lt;&gt;0,VLOOKUP(G462,'gia dat'!$A$1:$F$144,6,0)," ")</f>
        <v xml:space="preserve"> </v>
      </c>
      <c r="M462" s="900" t="str">
        <f t="shared" si="93"/>
        <v xml:space="preserve"> </v>
      </c>
      <c r="N462" s="900" t="str">
        <f t="shared" si="94"/>
        <v xml:space="preserve"> </v>
      </c>
      <c r="O462" s="901"/>
      <c r="P462" s="926"/>
      <c r="Q462" s="900" t="str">
        <f>IF(O462&lt;&gt;0,VLOOKUP(O462,'Cây trong'!$A$2:$C$246,3,0)," ")</f>
        <v xml:space="preserve"> </v>
      </c>
      <c r="R462" s="900" t="str">
        <f t="shared" si="86"/>
        <v xml:space="preserve"> </v>
      </c>
      <c r="S462" s="902"/>
      <c r="T462" s="925"/>
      <c r="U462" s="927"/>
      <c r="V462" s="925"/>
      <c r="W462" s="900" t="str">
        <f>IF(S462&lt;&gt;0,VLOOKUP(S462,VKT!$A$2:$G$415,7,0),"")</f>
        <v/>
      </c>
      <c r="X462" s="900" t="str">
        <f t="shared" si="91"/>
        <v xml:space="preserve"> </v>
      </c>
      <c r="Y462" s="916"/>
      <c r="Z462" s="937"/>
      <c r="AA462" s="937"/>
      <c r="AB462" s="920"/>
      <c r="AC462" s="937"/>
      <c r="AD462" s="937"/>
      <c r="AE462" s="937"/>
      <c r="AF462" s="935"/>
      <c r="AG462" s="906" t="str">
        <f>IF(AE462&lt;&gt;0,VLOOKUP(AE462,ODDS!$A$2:$C$13,3,0),"")</f>
        <v/>
      </c>
      <c r="AH462" s="906" t="str">
        <f t="shared" si="87"/>
        <v xml:space="preserve"> </v>
      </c>
      <c r="AI462" s="907" t="str">
        <f t="shared" si="99"/>
        <v xml:space="preserve"> </v>
      </c>
      <c r="AJ462" s="894"/>
      <c r="AK462" s="894"/>
    </row>
    <row r="463" spans="1:37" s="376" customFormat="1" ht="22.5" outlineLevel="2" x14ac:dyDescent="0.3">
      <c r="A463" s="447">
        <f t="shared" si="98"/>
        <v>40</v>
      </c>
      <c r="B463" s="893"/>
      <c r="C463" s="908"/>
      <c r="D463" s="923"/>
      <c r="E463" s="923"/>
      <c r="F463" s="950"/>
      <c r="G463" s="894"/>
      <c r="H463" s="940"/>
      <c r="I463" s="882"/>
      <c r="J463" s="929"/>
      <c r="K463" s="899" t="str">
        <f>IF(G463&lt;&gt;0,VLOOKUP(G463,'gia dat'!$A$1:$F$144,5,0)," ")</f>
        <v xml:space="preserve"> </v>
      </c>
      <c r="L463" s="899" t="str">
        <f>IF(G463&lt;&gt;0,VLOOKUP(G463,'gia dat'!$A$1:$F$144,6,0)," ")</f>
        <v xml:space="preserve"> </v>
      </c>
      <c r="M463" s="900" t="str">
        <f t="shared" si="93"/>
        <v xml:space="preserve"> </v>
      </c>
      <c r="N463" s="900" t="str">
        <f t="shared" si="94"/>
        <v xml:space="preserve"> </v>
      </c>
      <c r="O463" s="929"/>
      <c r="P463" s="951"/>
      <c r="Q463" s="900" t="str">
        <f>IF(O463&lt;&gt;0,VLOOKUP(O463,'Cây trong'!$A$2:$C$246,3,0)," ")</f>
        <v xml:space="preserve"> </v>
      </c>
      <c r="R463" s="900" t="str">
        <f t="shared" si="86"/>
        <v xml:space="preserve"> </v>
      </c>
      <c r="S463" s="929"/>
      <c r="T463" s="929"/>
      <c r="U463" s="952"/>
      <c r="V463" s="925"/>
      <c r="W463" s="900" t="str">
        <f>IF(S463&lt;&gt;0,VLOOKUP(S463,VKT!$A$2:$G$415,7,0),"")</f>
        <v/>
      </c>
      <c r="X463" s="900" t="str">
        <f t="shared" si="91"/>
        <v xml:space="preserve"> </v>
      </c>
      <c r="Y463" s="925"/>
      <c r="Z463" s="925"/>
      <c r="AA463" s="925"/>
      <c r="AB463" s="898"/>
      <c r="AC463" s="925"/>
      <c r="AD463" s="925"/>
      <c r="AE463" s="925"/>
      <c r="AF463" s="964"/>
      <c r="AG463" s="906" t="str">
        <f>IF(AE463&lt;&gt;0,VLOOKUP(AE463,ODDS!$A$2:$C$13,3,0),"")</f>
        <v/>
      </c>
      <c r="AH463" s="906" t="str">
        <f t="shared" si="87"/>
        <v xml:space="preserve"> </v>
      </c>
      <c r="AI463" s="907" t="str">
        <f t="shared" si="99"/>
        <v xml:space="preserve"> </v>
      </c>
      <c r="AJ463" s="929"/>
      <c r="AK463" s="929"/>
    </row>
    <row r="464" spans="1:37" s="376" customFormat="1" ht="22.5" outlineLevel="2" x14ac:dyDescent="0.3">
      <c r="A464" s="447">
        <f t="shared" si="98"/>
        <v>40</v>
      </c>
      <c r="B464" s="893"/>
      <c r="C464" s="910"/>
      <c r="D464" s="923"/>
      <c r="E464" s="992"/>
      <c r="F464" s="992"/>
      <c r="G464" s="922"/>
      <c r="H464" s="924"/>
      <c r="I464" s="882"/>
      <c r="J464" s="929"/>
      <c r="K464" s="899" t="str">
        <f>IF(G464&lt;&gt;0,VLOOKUP(G464,'gia dat'!$A$1:$F$144,5,0)," ")</f>
        <v xml:space="preserve"> </v>
      </c>
      <c r="L464" s="899" t="str">
        <f>IF(G464&lt;&gt;0,VLOOKUP(G464,'gia dat'!$A$1:$F$144,6,0)," ")</f>
        <v xml:space="preserve"> </v>
      </c>
      <c r="M464" s="900" t="str">
        <f t="shared" si="93"/>
        <v xml:space="preserve"> </v>
      </c>
      <c r="N464" s="900" t="str">
        <f t="shared" si="94"/>
        <v xml:space="preserve"> </v>
      </c>
      <c r="O464" s="981"/>
      <c r="P464" s="993"/>
      <c r="Q464" s="900" t="str">
        <f>IF(O464&lt;&gt;0,VLOOKUP(O464,'Cây trong'!$A$2:$C$246,3,0)," ")</f>
        <v xml:space="preserve"> </v>
      </c>
      <c r="R464" s="900" t="str">
        <f t="shared" si="86"/>
        <v xml:space="preserve"> </v>
      </c>
      <c r="S464" s="922"/>
      <c r="T464" s="944"/>
      <c r="U464" s="927"/>
      <c r="V464" s="925"/>
      <c r="W464" s="900" t="str">
        <f>IF(S464&lt;&gt;0,VLOOKUP(S464,VKT!$A$2:$G$415,7,0),"")</f>
        <v/>
      </c>
      <c r="X464" s="900" t="str">
        <f t="shared" si="91"/>
        <v xml:space="preserve"> </v>
      </c>
      <c r="Y464" s="898"/>
      <c r="Z464" s="928"/>
      <c r="AA464" s="928"/>
      <c r="AB464" s="904"/>
      <c r="AC464" s="928"/>
      <c r="AD464" s="928"/>
      <c r="AE464" s="928"/>
      <c r="AF464" s="926"/>
      <c r="AG464" s="906" t="str">
        <f>IF(AE464&lt;&gt;0,VLOOKUP(AE464,ODDS!$A$2:$C$13,3,0),"")</f>
        <v/>
      </c>
      <c r="AH464" s="906" t="str">
        <f t="shared" si="87"/>
        <v xml:space="preserve"> </v>
      </c>
      <c r="AI464" s="907" t="str">
        <f t="shared" si="99"/>
        <v xml:space="preserve"> </v>
      </c>
      <c r="AJ464" s="929"/>
      <c r="AK464" s="929"/>
    </row>
    <row r="465" spans="1:37" s="376" customFormat="1" ht="43.5" outlineLevel="1" x14ac:dyDescent="0.25">
      <c r="A465" s="467" t="s">
        <v>2669</v>
      </c>
      <c r="B465" s="912">
        <v>41</v>
      </c>
      <c r="C465" s="910" t="s">
        <v>35</v>
      </c>
      <c r="D465" s="931"/>
      <c r="E465" s="931"/>
      <c r="F465" s="913"/>
      <c r="G465" s="910"/>
      <c r="H465" s="953">
        <f>SUBTOTAL(9,H466:H487)</f>
        <v>195.5</v>
      </c>
      <c r="I465" s="915">
        <f>SUBTOTAL(9,I466:I471)</f>
        <v>79.099999999999994</v>
      </c>
      <c r="J465" s="943"/>
      <c r="K465" s="917"/>
      <c r="L465" s="917"/>
      <c r="M465" s="907">
        <f>SUBTOTAL(9,M466:M487)</f>
        <v>714596000</v>
      </c>
      <c r="N465" s="907">
        <f>SUBTOTAL(9,N466:N487)</f>
        <v>131559000</v>
      </c>
      <c r="O465" s="914"/>
      <c r="P465" s="935">
        <f>SUBTOTAL(9,P466:P487)</f>
        <v>119</v>
      </c>
      <c r="Q465" s="907"/>
      <c r="R465" s="907">
        <f>SUBTOTAL(9,R466:R487)</f>
        <v>8006000</v>
      </c>
      <c r="S465" s="914"/>
      <c r="T465" s="956"/>
      <c r="U465" s="936">
        <f>SUBTOTAL(9,U466:U487)</f>
        <v>357.28</v>
      </c>
      <c r="V465" s="933"/>
      <c r="W465" s="907"/>
      <c r="X465" s="907">
        <f>SUBTOTAL(9,X466:X487)</f>
        <v>365853000</v>
      </c>
      <c r="Y465" s="925"/>
      <c r="Z465" s="928"/>
      <c r="AA465" s="928"/>
      <c r="AB465" s="904"/>
      <c r="AC465" s="928"/>
      <c r="AD465" s="904"/>
      <c r="AE465" s="938"/>
      <c r="AF465" s="917">
        <f>SUBTOTAL(9,AF466:AF487)</f>
        <v>1</v>
      </c>
      <c r="AG465" s="921"/>
      <c r="AH465" s="921">
        <f>SUBTOTAL(9,AH466:AH487)</f>
        <v>13000000</v>
      </c>
      <c r="AI465" s="907">
        <f t="shared" si="99"/>
        <v>1233014000</v>
      </c>
      <c r="AJ465" s="910"/>
      <c r="AK465" s="914"/>
    </row>
    <row r="466" spans="1:37" s="376" customFormat="1" ht="135" outlineLevel="2" x14ac:dyDescent="0.3">
      <c r="A466" s="447">
        <f>IF(B465&lt;&gt;0,B465,A464)</f>
        <v>41</v>
      </c>
      <c r="B466" s="893"/>
      <c r="C466" s="894" t="s">
        <v>190</v>
      </c>
      <c r="D466" s="923">
        <v>9</v>
      </c>
      <c r="E466" s="923">
        <v>86</v>
      </c>
      <c r="F466" s="896">
        <v>256</v>
      </c>
      <c r="G466" s="894" t="s">
        <v>2037</v>
      </c>
      <c r="H466" s="924">
        <v>116.4</v>
      </c>
      <c r="I466" s="882" t="str">
        <f t="shared" ref="I466:I468" si="100">IF(N466&gt;0,H466,"")</f>
        <v/>
      </c>
      <c r="J466" s="929"/>
      <c r="K466" s="899">
        <f>IF(G466&lt;&gt;0,VLOOKUP(G466,'gia dat'!$A$1:$F$144,5,0)," ")</f>
        <v>5762400</v>
      </c>
      <c r="L466" s="899">
        <f>IF(G466&lt;&gt;0,VLOOKUP(G466,'gia dat'!$A$1:$F$144,6,0)," ")</f>
        <v>0</v>
      </c>
      <c r="M466" s="900">
        <f t="shared" si="93"/>
        <v>670743000</v>
      </c>
      <c r="N466" s="900">
        <f t="shared" si="94"/>
        <v>0</v>
      </c>
      <c r="O466" s="922" t="s">
        <v>72</v>
      </c>
      <c r="P466" s="926">
        <v>19</v>
      </c>
      <c r="Q466" s="900">
        <f>IF(O466&lt;&gt;0,VLOOKUP(O466,'Cây trong'!$A$2:$C$246,3,0)," ")</f>
        <v>132000</v>
      </c>
      <c r="R466" s="900">
        <f t="shared" si="86"/>
        <v>2508000</v>
      </c>
      <c r="S466" s="922" t="s">
        <v>1838</v>
      </c>
      <c r="T466" s="944" t="s">
        <v>53</v>
      </c>
      <c r="U466" s="927">
        <v>79.430000000000007</v>
      </c>
      <c r="V466" s="925"/>
      <c r="W466" s="900">
        <f>IF(S466&lt;&gt;0,VLOOKUP(S466,VKT!$A$2:$G$415,7,0),"")</f>
        <v>3156089</v>
      </c>
      <c r="X466" s="900">
        <f t="shared" si="91"/>
        <v>250688000</v>
      </c>
      <c r="Y466" s="925" t="s">
        <v>63</v>
      </c>
      <c r="Z466" s="928" t="s">
        <v>55</v>
      </c>
      <c r="AA466" s="928" t="s">
        <v>56</v>
      </c>
      <c r="AB466" s="904" t="s">
        <v>186</v>
      </c>
      <c r="AC466" s="928" t="s">
        <v>63</v>
      </c>
      <c r="AD466" s="904" t="s">
        <v>206</v>
      </c>
      <c r="AE466" s="905"/>
      <c r="AF466" s="899"/>
      <c r="AG466" s="906"/>
      <c r="AH466" s="906"/>
      <c r="AI466" s="907" t="str">
        <f t="shared" si="99"/>
        <v xml:space="preserve"> </v>
      </c>
      <c r="AJ466" s="894" t="s">
        <v>672</v>
      </c>
      <c r="AK466" s="922" t="s">
        <v>2771</v>
      </c>
    </row>
    <row r="467" spans="1:37" s="376" customFormat="1" ht="135" outlineLevel="2" x14ac:dyDescent="0.3">
      <c r="A467" s="447">
        <f t="shared" ref="A467:A487" si="101">IF(B466&lt;&gt;0,B466,A466)</f>
        <v>41</v>
      </c>
      <c r="B467" s="893"/>
      <c r="C467" s="963" t="s">
        <v>673</v>
      </c>
      <c r="D467" s="923"/>
      <c r="E467" s="923">
        <v>86</v>
      </c>
      <c r="F467" s="896">
        <v>256</v>
      </c>
      <c r="G467" s="894" t="s">
        <v>2469</v>
      </c>
      <c r="H467" s="924">
        <v>72</v>
      </c>
      <c r="I467" s="882">
        <f t="shared" si="100"/>
        <v>72</v>
      </c>
      <c r="J467" s="929"/>
      <c r="K467" s="899">
        <f>IF(G467&lt;&gt;0,VLOOKUP(G467,'gia dat'!$A$1:$F$144,5,0)," ")</f>
        <v>554400</v>
      </c>
      <c r="L467" s="899">
        <f>IF(G467&lt;&gt;0,VLOOKUP(G467,'gia dat'!$A$1:$F$144,6,0)," ")</f>
        <v>1663200</v>
      </c>
      <c r="M467" s="900">
        <f t="shared" si="93"/>
        <v>39917000</v>
      </c>
      <c r="N467" s="900">
        <f t="shared" si="94"/>
        <v>119750000</v>
      </c>
      <c r="O467" s="922" t="s">
        <v>73</v>
      </c>
      <c r="P467" s="926">
        <v>20</v>
      </c>
      <c r="Q467" s="900">
        <f>IF(O467&lt;&gt;0,VLOOKUP(O467,'Cây trong'!$A$2:$C$246,3,0)," ")</f>
        <v>76000</v>
      </c>
      <c r="R467" s="900">
        <f t="shared" si="86"/>
        <v>1520000</v>
      </c>
      <c r="S467" s="922" t="s">
        <v>1884</v>
      </c>
      <c r="T467" s="944" t="s">
        <v>53</v>
      </c>
      <c r="U467" s="927">
        <v>23.5</v>
      </c>
      <c r="V467" s="925"/>
      <c r="W467" s="900">
        <f>IF(S467&lt;&gt;0,VLOOKUP(S467,VKT!$A$2:$G$415,7,0),"")</f>
        <v>984277</v>
      </c>
      <c r="X467" s="900">
        <f t="shared" si="91"/>
        <v>23131000</v>
      </c>
      <c r="Y467" s="925"/>
      <c r="Z467" s="928" t="s">
        <v>55</v>
      </c>
      <c r="AA467" s="928" t="s">
        <v>56</v>
      </c>
      <c r="AB467" s="904" t="s">
        <v>186</v>
      </c>
      <c r="AC467" s="928" t="s">
        <v>66</v>
      </c>
      <c r="AD467" s="928"/>
      <c r="AE467" s="905" t="s">
        <v>2789</v>
      </c>
      <c r="AF467" s="926">
        <v>1</v>
      </c>
      <c r="AG467" s="906">
        <f>IF(AE467&lt;&gt;0,VLOOKUP(AE467,ODDS!$A$2:$C$13,3,0),"")</f>
        <v>13000000</v>
      </c>
      <c r="AH467" s="906">
        <f t="shared" si="87"/>
        <v>13000000</v>
      </c>
      <c r="AI467" s="907" t="str">
        <f t="shared" si="99"/>
        <v xml:space="preserve"> </v>
      </c>
      <c r="AJ467" s="894" t="s">
        <v>504</v>
      </c>
      <c r="AK467" s="894" t="s">
        <v>2448</v>
      </c>
    </row>
    <row r="468" spans="1:37" s="376" customFormat="1" ht="112.5" outlineLevel="2" x14ac:dyDescent="0.3">
      <c r="A468" s="447">
        <f t="shared" si="101"/>
        <v>41</v>
      </c>
      <c r="B468" s="893"/>
      <c r="C468" s="894" t="s">
        <v>309</v>
      </c>
      <c r="D468" s="923"/>
      <c r="E468" s="923"/>
      <c r="F468" s="896"/>
      <c r="G468" s="894" t="s">
        <v>2470</v>
      </c>
      <c r="H468" s="924">
        <v>7.1</v>
      </c>
      <c r="I468" s="882">
        <f t="shared" si="100"/>
        <v>7.1</v>
      </c>
      <c r="J468" s="929"/>
      <c r="K468" s="899">
        <f>IF(G468&lt;&gt;0,VLOOKUP(G468,'gia dat'!$A$1:$F$144,5,0)," ")</f>
        <v>554400</v>
      </c>
      <c r="L468" s="899">
        <f>IF(G468&lt;&gt;0,VLOOKUP(G468,'gia dat'!$A$1:$F$144,6,0)," ")</f>
        <v>1663200</v>
      </c>
      <c r="M468" s="900">
        <f t="shared" si="93"/>
        <v>3936000</v>
      </c>
      <c r="N468" s="900">
        <f t="shared" si="94"/>
        <v>11809000</v>
      </c>
      <c r="O468" s="922" t="s">
        <v>75</v>
      </c>
      <c r="P468" s="926">
        <v>29</v>
      </c>
      <c r="Q468" s="900">
        <f>IF(O468&lt;&gt;0,VLOOKUP(O468,'Cây trong'!$A$2:$C$246,3,0)," ")</f>
        <v>34000</v>
      </c>
      <c r="R468" s="900">
        <f t="shared" si="86"/>
        <v>986000</v>
      </c>
      <c r="S468" s="922" t="s">
        <v>1884</v>
      </c>
      <c r="T468" s="944" t="s">
        <v>53</v>
      </c>
      <c r="U468" s="927">
        <v>13.3</v>
      </c>
      <c r="V468" s="925"/>
      <c r="W468" s="900">
        <f>IF(S468&lt;&gt;0,VLOOKUP(S468,VKT!$A$2:$G$415,7,0),"")</f>
        <v>984277</v>
      </c>
      <c r="X468" s="900">
        <f t="shared" si="91"/>
        <v>13091000</v>
      </c>
      <c r="Y468" s="925"/>
      <c r="Z468" s="928" t="s">
        <v>55</v>
      </c>
      <c r="AA468" s="928" t="s">
        <v>56</v>
      </c>
      <c r="AB468" s="904" t="s">
        <v>186</v>
      </c>
      <c r="AC468" s="928" t="s">
        <v>66</v>
      </c>
      <c r="AD468" s="928"/>
      <c r="AE468" s="941"/>
      <c r="AF468" s="926"/>
      <c r="AG468" s="906" t="str">
        <f>IF(AE468&lt;&gt;0,VLOOKUP(AE468,ODDS!$A$2:$C$13,3,0),"")</f>
        <v/>
      </c>
      <c r="AH468" s="906" t="str">
        <f t="shared" si="87"/>
        <v xml:space="preserve"> </v>
      </c>
      <c r="AI468" s="907" t="str">
        <f t="shared" si="99"/>
        <v xml:space="preserve"> </v>
      </c>
      <c r="AJ468" s="929" t="s">
        <v>207</v>
      </c>
      <c r="AK468" s="894" t="s">
        <v>2450</v>
      </c>
    </row>
    <row r="469" spans="1:37" s="376" customFormat="1" ht="135" outlineLevel="2" x14ac:dyDescent="0.3">
      <c r="A469" s="447">
        <f t="shared" si="101"/>
        <v>41</v>
      </c>
      <c r="B469" s="893"/>
      <c r="C469" s="894"/>
      <c r="D469" s="923"/>
      <c r="E469" s="923"/>
      <c r="F469" s="896"/>
      <c r="G469" s="894"/>
      <c r="H469" s="924"/>
      <c r="I469" s="882"/>
      <c r="J469" s="929"/>
      <c r="K469" s="899" t="str">
        <f>IF(G469&lt;&gt;0,VLOOKUP(G469,'gia dat'!$A$1:$F$144,5,0)," ")</f>
        <v xml:space="preserve"> </v>
      </c>
      <c r="L469" s="899" t="str">
        <f>IF(G469&lt;&gt;0,VLOOKUP(G469,'gia dat'!$A$1:$F$144,6,0)," ")</f>
        <v xml:space="preserve"> </v>
      </c>
      <c r="M469" s="900" t="str">
        <f t="shared" si="93"/>
        <v xml:space="preserve"> </v>
      </c>
      <c r="N469" s="900" t="str">
        <f t="shared" si="94"/>
        <v xml:space="preserve"> </v>
      </c>
      <c r="O469" s="922" t="s">
        <v>748</v>
      </c>
      <c r="P469" s="926">
        <v>1</v>
      </c>
      <c r="Q469" s="900">
        <f>IF(O469&lt;&gt;0,VLOOKUP(O469,'Cây trong'!$A$2:$C$246,3,0)," ")</f>
        <v>0</v>
      </c>
      <c r="R469" s="900">
        <f t="shared" si="86"/>
        <v>0</v>
      </c>
      <c r="S469" s="922" t="s">
        <v>2290</v>
      </c>
      <c r="T469" s="944" t="s">
        <v>53</v>
      </c>
      <c r="U469" s="927">
        <v>4.5599999999999996</v>
      </c>
      <c r="V469" s="925"/>
      <c r="W469" s="900">
        <f>IF(S469&lt;&gt;0,VLOOKUP(S469,VKT!$A$2:$G$415,7,0),"")</f>
        <v>8308812</v>
      </c>
      <c r="X469" s="900">
        <f t="shared" si="91"/>
        <v>37888000</v>
      </c>
      <c r="Y469" s="925"/>
      <c r="Z469" s="928"/>
      <c r="AA469" s="928" t="s">
        <v>56</v>
      </c>
      <c r="AB469" s="904" t="s">
        <v>57</v>
      </c>
      <c r="AC469" s="928" t="s">
        <v>54</v>
      </c>
      <c r="AD469" s="928"/>
      <c r="AE469" s="928"/>
      <c r="AF469" s="926"/>
      <c r="AG469" s="906" t="str">
        <f>IF(AE469&lt;&gt;0,VLOOKUP(AE469,ODDS!$A$2:$C$13,3,0),"")</f>
        <v/>
      </c>
      <c r="AH469" s="906" t="str">
        <f t="shared" si="87"/>
        <v xml:space="preserve"> </v>
      </c>
      <c r="AI469" s="907" t="str">
        <f t="shared" si="99"/>
        <v xml:space="preserve"> </v>
      </c>
      <c r="AJ469" s="894" t="s">
        <v>506</v>
      </c>
      <c r="AK469" s="894" t="s">
        <v>2449</v>
      </c>
    </row>
    <row r="470" spans="1:37" s="376" customFormat="1" ht="90" outlineLevel="2" x14ac:dyDescent="0.3">
      <c r="A470" s="447">
        <f t="shared" si="101"/>
        <v>41</v>
      </c>
      <c r="B470" s="893"/>
      <c r="C470" s="894"/>
      <c r="D470" s="923"/>
      <c r="E470" s="923"/>
      <c r="F470" s="896"/>
      <c r="G470" s="894"/>
      <c r="H470" s="924"/>
      <c r="I470" s="882"/>
      <c r="J470" s="929"/>
      <c r="K470" s="899" t="str">
        <f>IF(G470&lt;&gt;0,VLOOKUP(G470,'gia dat'!$A$1:$F$144,5,0)," ")</f>
        <v xml:space="preserve"> </v>
      </c>
      <c r="L470" s="899" t="str">
        <f>IF(G470&lt;&gt;0,VLOOKUP(G470,'gia dat'!$A$1:$F$144,6,0)," ")</f>
        <v xml:space="preserve"> </v>
      </c>
      <c r="M470" s="900" t="str">
        <f t="shared" si="93"/>
        <v xml:space="preserve"> </v>
      </c>
      <c r="N470" s="900" t="str">
        <f t="shared" si="94"/>
        <v xml:space="preserve"> </v>
      </c>
      <c r="O470" s="922" t="s">
        <v>352</v>
      </c>
      <c r="P470" s="926">
        <v>1</v>
      </c>
      <c r="Q470" s="900">
        <f>IF(O470&lt;&gt;0,VLOOKUP(O470,'Cây trong'!$A$2:$C$246,3,0)," ")</f>
        <v>60000</v>
      </c>
      <c r="R470" s="900">
        <f t="shared" si="86"/>
        <v>60000</v>
      </c>
      <c r="S470" s="922" t="s">
        <v>2308</v>
      </c>
      <c r="T470" s="944" t="s">
        <v>53</v>
      </c>
      <c r="U470" s="927">
        <v>32.9</v>
      </c>
      <c r="V470" s="925"/>
      <c r="W470" s="900">
        <f>IF(S470&lt;&gt;0,VLOOKUP(S470,VKT!$A$2:$G$415,7,0),"")</f>
        <v>0</v>
      </c>
      <c r="X470" s="900">
        <f t="shared" si="91"/>
        <v>0</v>
      </c>
      <c r="Y470" s="925"/>
      <c r="Z470" s="928"/>
      <c r="AA470" s="928"/>
      <c r="AB470" s="904"/>
      <c r="AC470" s="928"/>
      <c r="AD470" s="928"/>
      <c r="AE470" s="928"/>
      <c r="AF470" s="926"/>
      <c r="AG470" s="906" t="str">
        <f>IF(AE470&lt;&gt;0,VLOOKUP(AE470,ODDS!$A$2:$C$13,3,0),"")</f>
        <v/>
      </c>
      <c r="AH470" s="906" t="str">
        <f t="shared" si="87"/>
        <v xml:space="preserve"> </v>
      </c>
      <c r="AI470" s="907" t="str">
        <f t="shared" si="99"/>
        <v xml:space="preserve"> </v>
      </c>
      <c r="AJ470" s="894" t="s">
        <v>2074</v>
      </c>
      <c r="AK470" s="894" t="s">
        <v>2451</v>
      </c>
    </row>
    <row r="471" spans="1:37" s="376" customFormat="1" ht="112.5" outlineLevel="2" x14ac:dyDescent="0.35">
      <c r="A471" s="447">
        <f t="shared" si="101"/>
        <v>41</v>
      </c>
      <c r="B471" s="893"/>
      <c r="C471" s="894"/>
      <c r="D471" s="923"/>
      <c r="E471" s="923"/>
      <c r="F471" s="896"/>
      <c r="G471" s="894"/>
      <c r="H471" s="924"/>
      <c r="I471" s="882"/>
      <c r="J471" s="929"/>
      <c r="K471" s="899" t="str">
        <f>IF(G471&lt;&gt;0,VLOOKUP(G471,'gia dat'!$A$1:$F$144,5,0)," ")</f>
        <v xml:space="preserve"> </v>
      </c>
      <c r="L471" s="899" t="str">
        <f>IF(G471&lt;&gt;0,VLOOKUP(G471,'gia dat'!$A$1:$F$144,6,0)," ")</f>
        <v xml:space="preserve"> </v>
      </c>
      <c r="M471" s="900" t="str">
        <f t="shared" si="93"/>
        <v xml:space="preserve"> </v>
      </c>
      <c r="N471" s="900" t="str">
        <f t="shared" si="94"/>
        <v xml:space="preserve"> </v>
      </c>
      <c r="O471" s="922" t="s">
        <v>191</v>
      </c>
      <c r="P471" s="926">
        <v>16</v>
      </c>
      <c r="Q471" s="900">
        <f>IF(O471&lt;&gt;0,VLOOKUP(O471,'Cây trong'!$A$2:$C$246,3,0)," ")</f>
        <v>10000</v>
      </c>
      <c r="R471" s="900">
        <f t="shared" si="86"/>
        <v>160000</v>
      </c>
      <c r="S471" s="922" t="s">
        <v>1749</v>
      </c>
      <c r="T471" s="944" t="s">
        <v>53</v>
      </c>
      <c r="U471" s="927">
        <v>32.9</v>
      </c>
      <c r="V471" s="925"/>
      <c r="W471" s="900">
        <f>IF(S471&lt;&gt;0,VLOOKUP(S471,VKT!$A$2:$G$415,7,0),"")</f>
        <v>211811</v>
      </c>
      <c r="X471" s="900">
        <f t="shared" si="91"/>
        <v>6969000</v>
      </c>
      <c r="Y471" s="925"/>
      <c r="Z471" s="928"/>
      <c r="AA471" s="928"/>
      <c r="AB471" s="904"/>
      <c r="AC471" s="928"/>
      <c r="AD471" s="928"/>
      <c r="AE471" s="928"/>
      <c r="AF471" s="926"/>
      <c r="AG471" s="906" t="str">
        <f>IF(AE471&lt;&gt;0,VLOOKUP(AE471,ODDS!$A$2:$C$13,3,0),"")</f>
        <v/>
      </c>
      <c r="AH471" s="906" t="str">
        <f t="shared" si="87"/>
        <v xml:space="preserve"> </v>
      </c>
      <c r="AI471" s="907" t="str">
        <f t="shared" si="99"/>
        <v xml:space="preserve"> </v>
      </c>
      <c r="AJ471" s="911"/>
      <c r="AK471" s="894" t="s">
        <v>2800</v>
      </c>
    </row>
    <row r="472" spans="1:37" s="376" customFormat="1" ht="67.5" outlineLevel="2" x14ac:dyDescent="0.35">
      <c r="A472" s="447">
        <f t="shared" si="101"/>
        <v>41</v>
      </c>
      <c r="B472" s="893"/>
      <c r="C472" s="894"/>
      <c r="D472" s="923"/>
      <c r="E472" s="923"/>
      <c r="F472" s="896"/>
      <c r="G472" s="894"/>
      <c r="H472" s="924"/>
      <c r="I472" s="882"/>
      <c r="J472" s="929"/>
      <c r="K472" s="899" t="str">
        <f>IF(G472&lt;&gt;0,VLOOKUP(G472,'gia dat'!$A$1:$F$144,5,0)," ")</f>
        <v xml:space="preserve"> </v>
      </c>
      <c r="L472" s="899" t="str">
        <f>IF(G472&lt;&gt;0,VLOOKUP(G472,'gia dat'!$A$1:$F$144,6,0)," ")</f>
        <v xml:space="preserve"> </v>
      </c>
      <c r="M472" s="900" t="str">
        <f t="shared" si="93"/>
        <v xml:space="preserve"> </v>
      </c>
      <c r="N472" s="900" t="str">
        <f t="shared" si="94"/>
        <v xml:space="preserve"> </v>
      </c>
      <c r="O472" s="922" t="s">
        <v>192</v>
      </c>
      <c r="P472" s="926">
        <v>5</v>
      </c>
      <c r="Q472" s="900">
        <f>IF(O472&lt;&gt;0,VLOOKUP(O472,'Cây trong'!$A$2:$C$246,3,0)," ")</f>
        <v>8000</v>
      </c>
      <c r="R472" s="900">
        <f t="shared" si="86"/>
        <v>40000</v>
      </c>
      <c r="S472" s="922" t="s">
        <v>1749</v>
      </c>
      <c r="T472" s="944" t="s">
        <v>53</v>
      </c>
      <c r="U472" s="927">
        <v>26.91</v>
      </c>
      <c r="V472" s="925"/>
      <c r="W472" s="900">
        <f>IF(S472&lt;&gt;0,VLOOKUP(S472,VKT!$A$2:$G$415,7,0),"")</f>
        <v>211811</v>
      </c>
      <c r="X472" s="900">
        <f t="shared" si="91"/>
        <v>5700000</v>
      </c>
      <c r="Y472" s="925"/>
      <c r="Z472" s="928"/>
      <c r="AA472" s="928"/>
      <c r="AB472" s="904"/>
      <c r="AC472" s="928"/>
      <c r="AD472" s="928"/>
      <c r="AE472" s="928"/>
      <c r="AF472" s="926"/>
      <c r="AG472" s="906" t="str">
        <f>IF(AE472&lt;&gt;0,VLOOKUP(AE472,ODDS!$A$2:$C$13,3,0),"")</f>
        <v/>
      </c>
      <c r="AH472" s="906" t="str">
        <f t="shared" si="87"/>
        <v xml:space="preserve"> </v>
      </c>
      <c r="AI472" s="907" t="str">
        <f t="shared" si="99"/>
        <v xml:space="preserve"> </v>
      </c>
      <c r="AJ472" s="911"/>
      <c r="AK472" s="929"/>
    </row>
    <row r="473" spans="1:37" s="376" customFormat="1" ht="67.5" outlineLevel="2" x14ac:dyDescent="0.3">
      <c r="A473" s="447">
        <f t="shared" si="101"/>
        <v>41</v>
      </c>
      <c r="B473" s="893"/>
      <c r="C473" s="894"/>
      <c r="D473" s="923"/>
      <c r="E473" s="923"/>
      <c r="F473" s="896"/>
      <c r="G473" s="894"/>
      <c r="H473" s="924"/>
      <c r="I473" s="882"/>
      <c r="J473" s="929"/>
      <c r="K473" s="899" t="str">
        <f>IF(G473&lt;&gt;0,VLOOKUP(G473,'gia dat'!$A$1:$F$144,5,0)," ")</f>
        <v xml:space="preserve"> </v>
      </c>
      <c r="L473" s="899" t="str">
        <f>IF(G473&lt;&gt;0,VLOOKUP(G473,'gia dat'!$A$1:$F$144,6,0)," ")</f>
        <v xml:space="preserve"> </v>
      </c>
      <c r="M473" s="900" t="str">
        <f t="shared" si="93"/>
        <v xml:space="preserve"> </v>
      </c>
      <c r="N473" s="900" t="str">
        <f t="shared" si="94"/>
        <v xml:space="preserve"> </v>
      </c>
      <c r="O473" s="922" t="s">
        <v>154</v>
      </c>
      <c r="P473" s="926">
        <v>5</v>
      </c>
      <c r="Q473" s="900">
        <f>IF(O473&lt;&gt;0,VLOOKUP(O473,'Cây trong'!$A$2:$C$246,3,0)," ")</f>
        <v>248000</v>
      </c>
      <c r="R473" s="900">
        <f t="shared" si="86"/>
        <v>1240000</v>
      </c>
      <c r="S473" s="922" t="s">
        <v>1749</v>
      </c>
      <c r="T473" s="944" t="s">
        <v>53</v>
      </c>
      <c r="U473" s="927">
        <v>3.7</v>
      </c>
      <c r="V473" s="925"/>
      <c r="W473" s="900">
        <f>IF(S473&lt;&gt;0,VLOOKUP(S473,VKT!$A$2:$G$415,7,0),"")</f>
        <v>211811</v>
      </c>
      <c r="X473" s="900">
        <f t="shared" si="91"/>
        <v>784000</v>
      </c>
      <c r="Y473" s="925"/>
      <c r="Z473" s="928"/>
      <c r="AA473" s="928"/>
      <c r="AB473" s="904"/>
      <c r="AC473" s="928"/>
      <c r="AD473" s="928"/>
      <c r="AE473" s="928"/>
      <c r="AF473" s="926"/>
      <c r="AG473" s="906" t="str">
        <f>IF(AE473&lt;&gt;0,VLOOKUP(AE473,ODDS!$A$2:$C$13,3,0),"")</f>
        <v/>
      </c>
      <c r="AH473" s="906" t="str">
        <f t="shared" si="87"/>
        <v xml:space="preserve"> </v>
      </c>
      <c r="AI473" s="907" t="str">
        <f t="shared" si="99"/>
        <v xml:space="preserve"> </v>
      </c>
      <c r="AJ473" s="929"/>
      <c r="AK473" s="929"/>
    </row>
    <row r="474" spans="1:37" s="376" customFormat="1" ht="45" outlineLevel="2" x14ac:dyDescent="0.3">
      <c r="A474" s="447">
        <f t="shared" si="101"/>
        <v>41</v>
      </c>
      <c r="B474" s="893"/>
      <c r="C474" s="894"/>
      <c r="D474" s="923"/>
      <c r="E474" s="923"/>
      <c r="F474" s="896"/>
      <c r="G474" s="894"/>
      <c r="H474" s="924"/>
      <c r="I474" s="882"/>
      <c r="J474" s="929"/>
      <c r="K474" s="899" t="str">
        <f>IF(G474&lt;&gt;0,VLOOKUP(G474,'gia dat'!$A$1:$F$144,5,0)," ")</f>
        <v xml:space="preserve"> </v>
      </c>
      <c r="L474" s="899" t="str">
        <f>IF(G474&lt;&gt;0,VLOOKUP(G474,'gia dat'!$A$1:$F$144,6,0)," ")</f>
        <v xml:space="preserve"> </v>
      </c>
      <c r="M474" s="900" t="str">
        <f t="shared" si="93"/>
        <v xml:space="preserve"> </v>
      </c>
      <c r="N474" s="900" t="str">
        <f t="shared" si="94"/>
        <v xml:space="preserve"> </v>
      </c>
      <c r="O474" s="922" t="s">
        <v>149</v>
      </c>
      <c r="P474" s="926">
        <v>7</v>
      </c>
      <c r="Q474" s="900">
        <f>IF(O474&lt;&gt;0,VLOOKUP(O474,'Cây trong'!$A$2:$C$246,3,0)," ")</f>
        <v>146000</v>
      </c>
      <c r="R474" s="900">
        <f t="shared" si="86"/>
        <v>1022000</v>
      </c>
      <c r="S474" s="922" t="s">
        <v>2291</v>
      </c>
      <c r="T474" s="944" t="s">
        <v>78</v>
      </c>
      <c r="U474" s="927">
        <v>7.0000000000000007E-2</v>
      </c>
      <c r="V474" s="925"/>
      <c r="W474" s="900">
        <f>IF(S474&lt;&gt;0,VLOOKUP(S474,VKT!$A$2:$G$415,7,0),"")</f>
        <v>0</v>
      </c>
      <c r="X474" s="900">
        <f t="shared" si="91"/>
        <v>0</v>
      </c>
      <c r="Y474" s="925"/>
      <c r="Z474" s="928"/>
      <c r="AA474" s="928"/>
      <c r="AB474" s="904"/>
      <c r="AC474" s="928"/>
      <c r="AD474" s="928"/>
      <c r="AE474" s="928"/>
      <c r="AF474" s="926"/>
      <c r="AG474" s="906" t="str">
        <f>IF(AE474&lt;&gt;0,VLOOKUP(AE474,ODDS!$A$2:$C$13,3,0),"")</f>
        <v/>
      </c>
      <c r="AH474" s="906" t="str">
        <f t="shared" si="87"/>
        <v xml:space="preserve"> </v>
      </c>
      <c r="AI474" s="907" t="str">
        <f t="shared" si="99"/>
        <v xml:space="preserve"> </v>
      </c>
      <c r="AJ474" s="929"/>
      <c r="AK474" s="929"/>
    </row>
    <row r="475" spans="1:37" s="376" customFormat="1" ht="45" outlineLevel="2" x14ac:dyDescent="0.3">
      <c r="A475" s="447">
        <f t="shared" si="101"/>
        <v>41</v>
      </c>
      <c r="B475" s="893"/>
      <c r="C475" s="894"/>
      <c r="D475" s="923"/>
      <c r="E475" s="923"/>
      <c r="F475" s="896"/>
      <c r="G475" s="894"/>
      <c r="H475" s="924"/>
      <c r="I475" s="882"/>
      <c r="J475" s="929"/>
      <c r="K475" s="899" t="str">
        <f>IF(G475&lt;&gt;0,VLOOKUP(G475,'gia dat'!$A$1:$F$144,5,0)," ")</f>
        <v xml:space="preserve"> </v>
      </c>
      <c r="L475" s="899" t="str">
        <f>IF(G475&lt;&gt;0,VLOOKUP(G475,'gia dat'!$A$1:$F$144,6,0)," ")</f>
        <v xml:space="preserve"> </v>
      </c>
      <c r="M475" s="900" t="str">
        <f t="shared" si="93"/>
        <v xml:space="preserve"> </v>
      </c>
      <c r="N475" s="900" t="str">
        <f t="shared" si="94"/>
        <v xml:space="preserve"> </v>
      </c>
      <c r="O475" s="922" t="s">
        <v>193</v>
      </c>
      <c r="P475" s="926">
        <v>1</v>
      </c>
      <c r="Q475" s="900">
        <f>IF(O475&lt;&gt;0,VLOOKUP(O475,'Cây trong'!$A$2:$C$246,3,0)," ")</f>
        <v>275000</v>
      </c>
      <c r="R475" s="900">
        <f t="shared" si="86"/>
        <v>275000</v>
      </c>
      <c r="S475" s="922" t="s">
        <v>2293</v>
      </c>
      <c r="T475" s="944" t="s">
        <v>53</v>
      </c>
      <c r="U475" s="927">
        <v>0.9</v>
      </c>
      <c r="V475" s="925"/>
      <c r="W475" s="900">
        <f>IF(S475&lt;&gt;0,VLOOKUP(S475,VKT!$A$2:$G$415,7,0),"")</f>
        <v>254982</v>
      </c>
      <c r="X475" s="900">
        <f t="shared" si="91"/>
        <v>229000</v>
      </c>
      <c r="Y475" s="925"/>
      <c r="Z475" s="928"/>
      <c r="AA475" s="928"/>
      <c r="AB475" s="904"/>
      <c r="AC475" s="928"/>
      <c r="AD475" s="928"/>
      <c r="AE475" s="928"/>
      <c r="AF475" s="926"/>
      <c r="AG475" s="906" t="str">
        <f>IF(AE475&lt;&gt;0,VLOOKUP(AE475,ODDS!$A$2:$C$13,3,0),"")</f>
        <v/>
      </c>
      <c r="AH475" s="906" t="str">
        <f t="shared" si="87"/>
        <v xml:space="preserve"> </v>
      </c>
      <c r="AI475" s="907" t="str">
        <f t="shared" si="99"/>
        <v xml:space="preserve"> </v>
      </c>
      <c r="AJ475" s="929"/>
      <c r="AK475" s="929"/>
    </row>
    <row r="476" spans="1:37" s="376" customFormat="1" ht="67.5" outlineLevel="2" x14ac:dyDescent="0.3">
      <c r="A476" s="447">
        <f t="shared" si="101"/>
        <v>41</v>
      </c>
      <c r="B476" s="893"/>
      <c r="C476" s="894"/>
      <c r="D476" s="923"/>
      <c r="E476" s="923"/>
      <c r="F476" s="896"/>
      <c r="G476" s="894"/>
      <c r="H476" s="924"/>
      <c r="I476" s="882"/>
      <c r="J476" s="929"/>
      <c r="K476" s="899" t="str">
        <f>IF(G476&lt;&gt;0,VLOOKUP(G476,'gia dat'!$A$1:$F$144,5,0)," ")</f>
        <v xml:space="preserve"> </v>
      </c>
      <c r="L476" s="899" t="str">
        <f>IF(G476&lt;&gt;0,VLOOKUP(G476,'gia dat'!$A$1:$F$144,6,0)," ")</f>
        <v xml:space="preserve"> </v>
      </c>
      <c r="M476" s="900" t="str">
        <f t="shared" si="93"/>
        <v xml:space="preserve"> </v>
      </c>
      <c r="N476" s="900" t="str">
        <f t="shared" si="94"/>
        <v xml:space="preserve"> </v>
      </c>
      <c r="O476" s="922" t="s">
        <v>194</v>
      </c>
      <c r="P476" s="926">
        <v>15</v>
      </c>
      <c r="Q476" s="900">
        <f>IF(O476&lt;&gt;0,VLOOKUP(O476,'Cây trong'!$A$2:$C$246,3,0)," ")</f>
        <v>13000</v>
      </c>
      <c r="R476" s="900">
        <f t="shared" si="86"/>
        <v>195000</v>
      </c>
      <c r="S476" s="922" t="s">
        <v>2292</v>
      </c>
      <c r="T476" s="944" t="s">
        <v>53</v>
      </c>
      <c r="U476" s="927">
        <v>0.9</v>
      </c>
      <c r="V476" s="925"/>
      <c r="W476" s="900">
        <f>IF(S476&lt;&gt;0,VLOOKUP(S476,VKT!$A$2:$G$415,7,0),"")</f>
        <v>310020</v>
      </c>
      <c r="X476" s="900">
        <f t="shared" si="91"/>
        <v>279000</v>
      </c>
      <c r="Y476" s="925"/>
      <c r="Z476" s="928"/>
      <c r="AA476" s="928"/>
      <c r="AB476" s="904"/>
      <c r="AC476" s="928"/>
      <c r="AD476" s="928"/>
      <c r="AE476" s="928"/>
      <c r="AF476" s="926"/>
      <c r="AG476" s="906" t="str">
        <f>IF(AE476&lt;&gt;0,VLOOKUP(AE476,ODDS!$A$2:$C$13,3,0),"")</f>
        <v/>
      </c>
      <c r="AH476" s="906" t="str">
        <f t="shared" si="87"/>
        <v xml:space="preserve"> </v>
      </c>
      <c r="AI476" s="907" t="str">
        <f t="shared" si="99"/>
        <v xml:space="preserve"> </v>
      </c>
      <c r="AJ476" s="929"/>
      <c r="AK476" s="929"/>
    </row>
    <row r="477" spans="1:37" s="376" customFormat="1" ht="67.5" outlineLevel="2" x14ac:dyDescent="0.3">
      <c r="A477" s="447">
        <f t="shared" si="101"/>
        <v>41</v>
      </c>
      <c r="B477" s="893"/>
      <c r="C477" s="910"/>
      <c r="D477" s="923"/>
      <c r="E477" s="923"/>
      <c r="F477" s="896"/>
      <c r="G477" s="894"/>
      <c r="H477" s="924"/>
      <c r="I477" s="882"/>
      <c r="J477" s="929"/>
      <c r="K477" s="899" t="str">
        <f>IF(G477&lt;&gt;0,VLOOKUP(G477,'gia dat'!$A$1:$F$144,5,0)," ")</f>
        <v xml:space="preserve"> </v>
      </c>
      <c r="L477" s="899" t="str">
        <f>IF(G477&lt;&gt;0,VLOOKUP(G477,'gia dat'!$A$1:$F$144,6,0)," ")</f>
        <v xml:space="preserve"> </v>
      </c>
      <c r="M477" s="900" t="str">
        <f t="shared" si="93"/>
        <v xml:space="preserve"> </v>
      </c>
      <c r="N477" s="900" t="str">
        <f t="shared" si="94"/>
        <v xml:space="preserve"> </v>
      </c>
      <c r="O477" s="981"/>
      <c r="P477" s="993"/>
      <c r="Q477" s="900" t="str">
        <f>IF(O477&lt;&gt;0,VLOOKUP(O477,'Cây trong'!$A$2:$C$246,3,0)," ")</f>
        <v xml:space="preserve"> </v>
      </c>
      <c r="R477" s="900" t="str">
        <f t="shared" si="86"/>
        <v xml:space="preserve"> </v>
      </c>
      <c r="S477" s="922" t="s">
        <v>2309</v>
      </c>
      <c r="T477" s="944" t="s">
        <v>53</v>
      </c>
      <c r="U477" s="927">
        <v>5.2</v>
      </c>
      <c r="V477" s="925"/>
      <c r="W477" s="900">
        <f>IF(S477&lt;&gt;0,VLOOKUP(S477,VKT!$A$2:$G$415,7,0),"")</f>
        <v>0</v>
      </c>
      <c r="X477" s="900">
        <f t="shared" si="91"/>
        <v>0</v>
      </c>
      <c r="Y477" s="925"/>
      <c r="Z477" s="928"/>
      <c r="AA477" s="928"/>
      <c r="AB477" s="904"/>
      <c r="AC477" s="928"/>
      <c r="AD477" s="928"/>
      <c r="AE477" s="928"/>
      <c r="AF477" s="926"/>
      <c r="AG477" s="906" t="str">
        <f>IF(AE477&lt;&gt;0,VLOOKUP(AE477,ODDS!$A$2:$C$13,3,0),"")</f>
        <v/>
      </c>
      <c r="AH477" s="906" t="str">
        <f t="shared" si="87"/>
        <v xml:space="preserve"> </v>
      </c>
      <c r="AI477" s="907" t="str">
        <f t="shared" si="99"/>
        <v xml:space="preserve"> </v>
      </c>
      <c r="AJ477" s="929"/>
      <c r="AK477" s="929"/>
    </row>
    <row r="478" spans="1:37" s="376" customFormat="1" ht="112.5" outlineLevel="2" x14ac:dyDescent="0.3">
      <c r="A478" s="447">
        <f t="shared" si="101"/>
        <v>41</v>
      </c>
      <c r="B478" s="893"/>
      <c r="C478" s="894"/>
      <c r="D478" s="923"/>
      <c r="E478" s="923"/>
      <c r="F478" s="896"/>
      <c r="G478" s="894"/>
      <c r="H478" s="924"/>
      <c r="I478" s="882"/>
      <c r="J478" s="929"/>
      <c r="K478" s="899" t="str">
        <f>IF(G478&lt;&gt;0,VLOOKUP(G478,'gia dat'!$A$1:$F$144,5,0)," ")</f>
        <v xml:space="preserve"> </v>
      </c>
      <c r="L478" s="899" t="str">
        <f>IF(G478&lt;&gt;0,VLOOKUP(G478,'gia dat'!$A$1:$F$144,6,0)," ")</f>
        <v xml:space="preserve"> </v>
      </c>
      <c r="M478" s="900" t="str">
        <f t="shared" si="93"/>
        <v xml:space="preserve"> </v>
      </c>
      <c r="N478" s="900" t="str">
        <f t="shared" si="94"/>
        <v xml:space="preserve"> </v>
      </c>
      <c r="O478" s="981"/>
      <c r="P478" s="993"/>
      <c r="Q478" s="900" t="str">
        <f>IF(O478&lt;&gt;0,VLOOKUP(O478,'Cây trong'!$A$2:$C$246,3,0)," ")</f>
        <v xml:space="preserve"> </v>
      </c>
      <c r="R478" s="900" t="str">
        <f t="shared" si="86"/>
        <v xml:space="preserve"> </v>
      </c>
      <c r="S478" s="922" t="s">
        <v>2310</v>
      </c>
      <c r="T478" s="944" t="s">
        <v>53</v>
      </c>
      <c r="U478" s="927">
        <v>18.63</v>
      </c>
      <c r="V478" s="925"/>
      <c r="W478" s="900">
        <f>IF(S478&lt;&gt;0,VLOOKUP(S478,VKT!$A$2:$G$415,7,0),"")</f>
        <v>441467</v>
      </c>
      <c r="X478" s="900">
        <f t="shared" si="91"/>
        <v>8225000</v>
      </c>
      <c r="Y478" s="925"/>
      <c r="Z478" s="928"/>
      <c r="AA478" s="928"/>
      <c r="AB478" s="904"/>
      <c r="AC478" s="928"/>
      <c r="AD478" s="928"/>
      <c r="AE478" s="928"/>
      <c r="AF478" s="926"/>
      <c r="AG478" s="906" t="str">
        <f>IF(AE478&lt;&gt;0,VLOOKUP(AE478,ODDS!$A$2:$C$13,3,0),"")</f>
        <v/>
      </c>
      <c r="AH478" s="906" t="str">
        <f t="shared" si="87"/>
        <v xml:space="preserve"> </v>
      </c>
      <c r="AI478" s="907" t="str">
        <f t="shared" si="99"/>
        <v xml:space="preserve"> </v>
      </c>
      <c r="AJ478" s="929"/>
      <c r="AK478" s="929"/>
    </row>
    <row r="479" spans="1:37" s="376" customFormat="1" ht="67.5" outlineLevel="2" x14ac:dyDescent="0.3">
      <c r="A479" s="447">
        <f t="shared" si="101"/>
        <v>41</v>
      </c>
      <c r="B479" s="893"/>
      <c r="C479" s="970"/>
      <c r="D479" s="923"/>
      <c r="E479" s="923"/>
      <c r="F479" s="896"/>
      <c r="G479" s="894"/>
      <c r="H479" s="924"/>
      <c r="I479" s="882"/>
      <c r="J479" s="929"/>
      <c r="K479" s="899" t="str">
        <f>IF(G479&lt;&gt;0,VLOOKUP(G479,'gia dat'!$A$1:$F$144,5,0)," ")</f>
        <v xml:space="preserve"> </v>
      </c>
      <c r="L479" s="899" t="str">
        <f>IF(G479&lt;&gt;0,VLOOKUP(G479,'gia dat'!$A$1:$F$144,6,0)," ")</f>
        <v xml:space="preserve"> </v>
      </c>
      <c r="M479" s="900" t="str">
        <f t="shared" si="93"/>
        <v xml:space="preserve"> </v>
      </c>
      <c r="N479" s="900" t="str">
        <f t="shared" si="94"/>
        <v xml:space="preserve"> </v>
      </c>
      <c r="O479" s="981"/>
      <c r="P479" s="993"/>
      <c r="Q479" s="900" t="str">
        <f>IF(O479&lt;&gt;0,VLOOKUP(O479,'Cây trong'!$A$2:$C$246,3,0)," ")</f>
        <v xml:space="preserve"> </v>
      </c>
      <c r="R479" s="900" t="str">
        <f t="shared" si="86"/>
        <v xml:space="preserve"> </v>
      </c>
      <c r="S479" s="922" t="s">
        <v>2311</v>
      </c>
      <c r="T479" s="944" t="s">
        <v>53</v>
      </c>
      <c r="U479" s="927">
        <v>8.2799999999999994</v>
      </c>
      <c r="V479" s="925"/>
      <c r="W479" s="900">
        <f>IF(S479&lt;&gt;0,VLOOKUP(S479,VKT!$A$2:$G$415,7,0),"")</f>
        <v>441467</v>
      </c>
      <c r="X479" s="900">
        <f t="shared" si="91"/>
        <v>3655000</v>
      </c>
      <c r="Y479" s="925"/>
      <c r="Z479" s="928"/>
      <c r="AA479" s="928"/>
      <c r="AB479" s="904"/>
      <c r="AC479" s="928"/>
      <c r="AD479" s="928"/>
      <c r="AE479" s="928"/>
      <c r="AF479" s="926"/>
      <c r="AG479" s="906" t="str">
        <f>IF(AE479&lt;&gt;0,VLOOKUP(AE479,ODDS!$A$2:$C$13,3,0),"")</f>
        <v/>
      </c>
      <c r="AH479" s="906" t="str">
        <f t="shared" si="87"/>
        <v xml:space="preserve"> </v>
      </c>
      <c r="AI479" s="907" t="str">
        <f t="shared" si="99"/>
        <v xml:space="preserve"> </v>
      </c>
      <c r="AJ479" s="929"/>
      <c r="AK479" s="929"/>
    </row>
    <row r="480" spans="1:37" s="376" customFormat="1" ht="90" outlineLevel="2" x14ac:dyDescent="0.3">
      <c r="A480" s="447">
        <f t="shared" si="101"/>
        <v>41</v>
      </c>
      <c r="B480" s="893"/>
      <c r="C480" s="894"/>
      <c r="D480" s="923"/>
      <c r="E480" s="923"/>
      <c r="F480" s="896"/>
      <c r="G480" s="894"/>
      <c r="H480" s="924"/>
      <c r="I480" s="882"/>
      <c r="J480" s="925"/>
      <c r="K480" s="899" t="str">
        <f>IF(G480&lt;&gt;0,VLOOKUP(G480,'gia dat'!$A$1:$F$144,5,0)," ")</f>
        <v xml:space="preserve"> </v>
      </c>
      <c r="L480" s="899" t="str">
        <f>IF(G480&lt;&gt;0,VLOOKUP(G480,'gia dat'!$A$1:$F$144,6,0)," ")</f>
        <v xml:space="preserve"> </v>
      </c>
      <c r="M480" s="900" t="str">
        <f t="shared" si="93"/>
        <v xml:space="preserve"> </v>
      </c>
      <c r="N480" s="900" t="str">
        <f t="shared" si="94"/>
        <v xml:space="preserve"> </v>
      </c>
      <c r="O480" s="894"/>
      <c r="P480" s="926"/>
      <c r="Q480" s="900" t="str">
        <f>IF(O480&lt;&gt;0,VLOOKUP(O480,'Cây trong'!$A$2:$C$246,3,0)," ")</f>
        <v xml:space="preserve"> </v>
      </c>
      <c r="R480" s="900" t="str">
        <f t="shared" si="86"/>
        <v xml:space="preserve"> </v>
      </c>
      <c r="S480" s="902" t="s">
        <v>2312</v>
      </c>
      <c r="T480" s="925" t="s">
        <v>101</v>
      </c>
      <c r="U480" s="927">
        <v>50</v>
      </c>
      <c r="V480" s="925"/>
      <c r="W480" s="900">
        <f>IF(S480&lt;&gt;0,VLOOKUP(S480,VKT!$A$2:$G$415,7,0),"")</f>
        <v>80723</v>
      </c>
      <c r="X480" s="900">
        <f t="shared" si="91"/>
        <v>4036000</v>
      </c>
      <c r="Y480" s="925"/>
      <c r="Z480" s="928"/>
      <c r="AA480" s="928"/>
      <c r="AB480" s="904"/>
      <c r="AC480" s="928"/>
      <c r="AD480" s="928"/>
      <c r="AE480" s="928"/>
      <c r="AF480" s="926"/>
      <c r="AG480" s="906" t="str">
        <f>IF(AE480&lt;&gt;0,VLOOKUP(AE480,ODDS!$A$2:$C$13,3,0),"")</f>
        <v/>
      </c>
      <c r="AH480" s="906" t="str">
        <f t="shared" si="87"/>
        <v xml:space="preserve"> </v>
      </c>
      <c r="AI480" s="907" t="str">
        <f t="shared" si="99"/>
        <v xml:space="preserve"> </v>
      </c>
      <c r="AJ480" s="994"/>
      <c r="AK480" s="994"/>
    </row>
    <row r="481" spans="1:37" s="376" customFormat="1" ht="45" outlineLevel="2" x14ac:dyDescent="0.3">
      <c r="A481" s="447">
        <f t="shared" si="101"/>
        <v>41</v>
      </c>
      <c r="B481" s="893"/>
      <c r="C481" s="894"/>
      <c r="D481" s="923"/>
      <c r="E481" s="923"/>
      <c r="F481" s="896"/>
      <c r="G481" s="894"/>
      <c r="H481" s="924"/>
      <c r="I481" s="882"/>
      <c r="J481" s="925"/>
      <c r="K481" s="899" t="str">
        <f>IF(G481&lt;&gt;0,VLOOKUP(G481,'gia dat'!$A$1:$F$144,5,0)," ")</f>
        <v xml:space="preserve"> </v>
      </c>
      <c r="L481" s="899" t="str">
        <f>IF(G481&lt;&gt;0,VLOOKUP(G481,'gia dat'!$A$1:$F$144,6,0)," ")</f>
        <v xml:space="preserve"> </v>
      </c>
      <c r="M481" s="900" t="str">
        <f t="shared" si="93"/>
        <v xml:space="preserve"> </v>
      </c>
      <c r="N481" s="900" t="str">
        <f t="shared" si="94"/>
        <v xml:space="preserve"> </v>
      </c>
      <c r="O481" s="894"/>
      <c r="P481" s="926"/>
      <c r="Q481" s="900" t="str">
        <f>IF(O481&lt;&gt;0,VLOOKUP(O481,'Cây trong'!$A$2:$C$246,3,0)," ")</f>
        <v xml:space="preserve"> </v>
      </c>
      <c r="R481" s="900" t="str">
        <f t="shared" si="86"/>
        <v xml:space="preserve"> </v>
      </c>
      <c r="S481" s="922" t="s">
        <v>1748</v>
      </c>
      <c r="T481" s="925" t="s">
        <v>53</v>
      </c>
      <c r="U481" s="927">
        <v>5.88</v>
      </c>
      <c r="V481" s="925"/>
      <c r="W481" s="900">
        <f>IF(S481&lt;&gt;0,VLOOKUP(S481,VKT!$A$2:$G$415,7,0),"")</f>
        <v>0</v>
      </c>
      <c r="X481" s="900">
        <f t="shared" si="91"/>
        <v>0</v>
      </c>
      <c r="Y481" s="925"/>
      <c r="Z481" s="928"/>
      <c r="AA481" s="928"/>
      <c r="AB481" s="904"/>
      <c r="AC481" s="928"/>
      <c r="AD481" s="928"/>
      <c r="AE481" s="928"/>
      <c r="AF481" s="926"/>
      <c r="AG481" s="906" t="str">
        <f>IF(AE481&lt;&gt;0,VLOOKUP(AE481,ODDS!$A$2:$C$13,3,0),"")</f>
        <v/>
      </c>
      <c r="AH481" s="906" t="str">
        <f t="shared" si="87"/>
        <v xml:space="preserve"> </v>
      </c>
      <c r="AI481" s="907" t="str">
        <f t="shared" si="99"/>
        <v xml:space="preserve"> </v>
      </c>
      <c r="AJ481" s="929"/>
      <c r="AK481" s="929"/>
    </row>
    <row r="482" spans="1:37" s="376" customFormat="1" ht="67.5" outlineLevel="2" x14ac:dyDescent="0.3">
      <c r="A482" s="447">
        <f t="shared" si="101"/>
        <v>41</v>
      </c>
      <c r="B482" s="893"/>
      <c r="C482" s="942"/>
      <c r="D482" s="923"/>
      <c r="E482" s="923"/>
      <c r="F482" s="896"/>
      <c r="G482" s="894"/>
      <c r="H482" s="924"/>
      <c r="I482" s="882"/>
      <c r="J482" s="925"/>
      <c r="K482" s="899" t="str">
        <f>IF(G482&lt;&gt;0,VLOOKUP(G482,'gia dat'!$A$1:$F$144,5,0)," ")</f>
        <v xml:space="preserve"> </v>
      </c>
      <c r="L482" s="899" t="str">
        <f>IF(G482&lt;&gt;0,VLOOKUP(G482,'gia dat'!$A$1:$F$144,6,0)," ")</f>
        <v xml:space="preserve"> </v>
      </c>
      <c r="M482" s="900" t="str">
        <f t="shared" si="93"/>
        <v xml:space="preserve"> </v>
      </c>
      <c r="N482" s="900" t="str">
        <f t="shared" si="94"/>
        <v xml:space="preserve"> </v>
      </c>
      <c r="O482" s="894"/>
      <c r="P482" s="926"/>
      <c r="Q482" s="900" t="str">
        <f>IF(O482&lt;&gt;0,VLOOKUP(O482,'Cây trong'!$A$2:$C$246,3,0)," ")</f>
        <v xml:space="preserve"> </v>
      </c>
      <c r="R482" s="900" t="str">
        <f t="shared" si="86"/>
        <v xml:space="preserve"> </v>
      </c>
      <c r="S482" s="902" t="s">
        <v>1749</v>
      </c>
      <c r="T482" s="925" t="s">
        <v>53</v>
      </c>
      <c r="U482" s="927">
        <v>5.88</v>
      </c>
      <c r="V482" s="925"/>
      <c r="W482" s="900">
        <f>IF(S482&lt;&gt;0,VLOOKUP(S482,VKT!$A$2:$G$415,7,0),"")</f>
        <v>211811</v>
      </c>
      <c r="X482" s="900">
        <f t="shared" si="91"/>
        <v>1245000</v>
      </c>
      <c r="Y482" s="925"/>
      <c r="Z482" s="928"/>
      <c r="AA482" s="928"/>
      <c r="AB482" s="904"/>
      <c r="AC482" s="928"/>
      <c r="AD482" s="928"/>
      <c r="AE482" s="928"/>
      <c r="AF482" s="926"/>
      <c r="AG482" s="906" t="str">
        <f>IF(AE482&lt;&gt;0,VLOOKUP(AE482,ODDS!$A$2:$C$13,3,0),"")</f>
        <v/>
      </c>
      <c r="AH482" s="906" t="str">
        <f t="shared" si="87"/>
        <v xml:space="preserve"> </v>
      </c>
      <c r="AI482" s="907" t="str">
        <f t="shared" si="99"/>
        <v xml:space="preserve"> </v>
      </c>
      <c r="AJ482" s="929"/>
      <c r="AK482" s="929"/>
    </row>
    <row r="483" spans="1:37" s="376" customFormat="1" ht="45" outlineLevel="2" x14ac:dyDescent="0.3">
      <c r="A483" s="447">
        <f t="shared" si="101"/>
        <v>41</v>
      </c>
      <c r="B483" s="893"/>
      <c r="C483" s="894"/>
      <c r="D483" s="923"/>
      <c r="E483" s="947"/>
      <c r="F483" s="947"/>
      <c r="G483" s="922"/>
      <c r="H483" s="924"/>
      <c r="I483" s="882"/>
      <c r="J483" s="925"/>
      <c r="K483" s="899" t="str">
        <f>IF(G483&lt;&gt;0,VLOOKUP(G483,'gia dat'!$A$1:$F$144,5,0)," ")</f>
        <v xml:space="preserve"> </v>
      </c>
      <c r="L483" s="899" t="str">
        <f>IF(G483&lt;&gt;0,VLOOKUP(G483,'gia dat'!$A$1:$F$144,6,0)," ")</f>
        <v xml:space="preserve"> </v>
      </c>
      <c r="M483" s="900" t="str">
        <f t="shared" si="93"/>
        <v xml:space="preserve"> </v>
      </c>
      <c r="N483" s="900" t="str">
        <f t="shared" si="94"/>
        <v xml:space="preserve"> </v>
      </c>
      <c r="O483" s="894"/>
      <c r="P483" s="926"/>
      <c r="Q483" s="900" t="str">
        <f>IF(O483&lt;&gt;0,VLOOKUP(O483,'Cây trong'!$A$2:$C$246,3,0)," ")</f>
        <v xml:space="preserve"> </v>
      </c>
      <c r="R483" s="900" t="str">
        <f t="shared" si="86"/>
        <v xml:space="preserve"> </v>
      </c>
      <c r="S483" s="902" t="s">
        <v>1839</v>
      </c>
      <c r="T483" s="944" t="s">
        <v>53</v>
      </c>
      <c r="U483" s="927">
        <v>36.799999999999997</v>
      </c>
      <c r="V483" s="925"/>
      <c r="W483" s="900">
        <f>IF(S483&lt;&gt;0,VLOOKUP(S483,VKT!$A$2:$G$415,7,0),"")</f>
        <v>244604</v>
      </c>
      <c r="X483" s="900">
        <f t="shared" si="91"/>
        <v>9001000</v>
      </c>
      <c r="Y483" s="925"/>
      <c r="Z483" s="928"/>
      <c r="AA483" s="928"/>
      <c r="AB483" s="904"/>
      <c r="AC483" s="928"/>
      <c r="AD483" s="928"/>
      <c r="AE483" s="928"/>
      <c r="AF483" s="926"/>
      <c r="AG483" s="906" t="str">
        <f>IF(AE483&lt;&gt;0,VLOOKUP(AE483,ODDS!$A$2:$C$13,3,0),"")</f>
        <v/>
      </c>
      <c r="AH483" s="906" t="str">
        <f t="shared" si="87"/>
        <v xml:space="preserve"> </v>
      </c>
      <c r="AI483" s="907" t="str">
        <f t="shared" si="99"/>
        <v xml:space="preserve"> </v>
      </c>
      <c r="AJ483" s="929"/>
      <c r="AK483" s="929"/>
    </row>
    <row r="484" spans="1:37" s="376" customFormat="1" ht="112.5" outlineLevel="2" x14ac:dyDescent="0.3">
      <c r="A484" s="447">
        <f t="shared" si="101"/>
        <v>41</v>
      </c>
      <c r="B484" s="893"/>
      <c r="C484" s="908"/>
      <c r="D484" s="923"/>
      <c r="E484" s="947"/>
      <c r="F484" s="947"/>
      <c r="G484" s="922"/>
      <c r="H484" s="924"/>
      <c r="I484" s="882"/>
      <c r="J484" s="929"/>
      <c r="K484" s="899" t="str">
        <f>IF(G484&lt;&gt;0,VLOOKUP(G484,'gia dat'!$A$1:$F$144,5,0)," ")</f>
        <v xml:space="preserve"> </v>
      </c>
      <c r="L484" s="899" t="str">
        <f>IF(G484&lt;&gt;0,VLOOKUP(G484,'gia dat'!$A$1:$F$144,6,0)," ")</f>
        <v xml:space="preserve"> </v>
      </c>
      <c r="M484" s="900" t="str">
        <f t="shared" si="93"/>
        <v xml:space="preserve"> </v>
      </c>
      <c r="N484" s="900" t="str">
        <f t="shared" si="94"/>
        <v xml:space="preserve"> </v>
      </c>
      <c r="O484" s="981"/>
      <c r="P484" s="993"/>
      <c r="Q484" s="900" t="str">
        <f>IF(O484&lt;&gt;0,VLOOKUP(O484,'Cây trong'!$A$2:$C$246,3,0)," ")</f>
        <v xml:space="preserve"> </v>
      </c>
      <c r="R484" s="900" t="str">
        <f t="shared" si="86"/>
        <v xml:space="preserve"> </v>
      </c>
      <c r="S484" s="902" t="s">
        <v>2313</v>
      </c>
      <c r="T484" s="944" t="s">
        <v>93</v>
      </c>
      <c r="U484" s="927">
        <v>1</v>
      </c>
      <c r="V484" s="925"/>
      <c r="W484" s="900">
        <f>IF(S484&lt;&gt;0,VLOOKUP(S484,VKT!$A$2:$G$415,7,0),"")</f>
        <v>0</v>
      </c>
      <c r="X484" s="900">
        <f t="shared" si="91"/>
        <v>0</v>
      </c>
      <c r="Y484" s="925"/>
      <c r="Z484" s="928"/>
      <c r="AA484" s="928"/>
      <c r="AB484" s="904"/>
      <c r="AC484" s="928"/>
      <c r="AD484" s="928"/>
      <c r="AE484" s="928"/>
      <c r="AF484" s="926"/>
      <c r="AG484" s="906" t="str">
        <f>IF(AE484&lt;&gt;0,VLOOKUP(AE484,ODDS!$A$2:$C$13,3,0),"")</f>
        <v/>
      </c>
      <c r="AH484" s="906" t="str">
        <f t="shared" si="87"/>
        <v xml:space="preserve"> </v>
      </c>
      <c r="AI484" s="907" t="str">
        <f t="shared" si="99"/>
        <v xml:space="preserve"> </v>
      </c>
      <c r="AJ484" s="929"/>
      <c r="AK484" s="929"/>
    </row>
    <row r="485" spans="1:37" s="376" customFormat="1" ht="67.5" outlineLevel="2" x14ac:dyDescent="0.3">
      <c r="A485" s="447">
        <f t="shared" si="101"/>
        <v>41</v>
      </c>
      <c r="B485" s="893"/>
      <c r="C485" s="910"/>
      <c r="D485" s="923"/>
      <c r="E485" s="923"/>
      <c r="F485" s="950"/>
      <c r="G485" s="894"/>
      <c r="H485" s="940"/>
      <c r="I485" s="882"/>
      <c r="J485" s="929"/>
      <c r="K485" s="899" t="str">
        <f>IF(G485&lt;&gt;0,VLOOKUP(G485,'gia dat'!$A$1:$F$144,5,0)," ")</f>
        <v xml:space="preserve"> </v>
      </c>
      <c r="L485" s="899" t="str">
        <f>IF(G485&lt;&gt;0,VLOOKUP(G485,'gia dat'!$A$1:$F$144,6,0)," ")</f>
        <v xml:space="preserve"> </v>
      </c>
      <c r="M485" s="900" t="str">
        <f t="shared" si="93"/>
        <v xml:space="preserve"> </v>
      </c>
      <c r="N485" s="900" t="str">
        <f t="shared" si="94"/>
        <v xml:space="preserve"> </v>
      </c>
      <c r="O485" s="929"/>
      <c r="P485" s="951"/>
      <c r="Q485" s="900" t="str">
        <f>IF(O485&lt;&gt;0,VLOOKUP(O485,'Cây trong'!$A$2:$C$246,3,0)," ")</f>
        <v xml:space="preserve"> </v>
      </c>
      <c r="R485" s="900" t="str">
        <f t="shared" si="86"/>
        <v xml:space="preserve"> </v>
      </c>
      <c r="S485" s="894" t="s">
        <v>2314</v>
      </c>
      <c r="T485" s="944" t="s">
        <v>53</v>
      </c>
      <c r="U485" s="927">
        <v>6.54</v>
      </c>
      <c r="V485" s="925"/>
      <c r="W485" s="900">
        <f>IF(S485&lt;&gt;0,VLOOKUP(S485,VKT!$A$2:$G$415,7,0),"")</f>
        <v>142450</v>
      </c>
      <c r="X485" s="900">
        <f t="shared" si="91"/>
        <v>932000</v>
      </c>
      <c r="Y485" s="925"/>
      <c r="Z485" s="925"/>
      <c r="AA485" s="925"/>
      <c r="AB485" s="898"/>
      <c r="AC485" s="925"/>
      <c r="AD485" s="925"/>
      <c r="AE485" s="925"/>
      <c r="AF485" s="964"/>
      <c r="AG485" s="906" t="str">
        <f>IF(AE485&lt;&gt;0,VLOOKUP(AE485,ODDS!$A$2:$C$13,3,0),"")</f>
        <v/>
      </c>
      <c r="AH485" s="906" t="str">
        <f t="shared" si="87"/>
        <v xml:space="preserve"> </v>
      </c>
      <c r="AI485" s="907" t="str">
        <f t="shared" si="99"/>
        <v xml:space="preserve"> </v>
      </c>
      <c r="AJ485" s="929"/>
      <c r="AK485" s="929"/>
    </row>
    <row r="486" spans="1:37" s="376" customFormat="1" ht="22.5" outlineLevel="2" x14ac:dyDescent="0.3">
      <c r="A486" s="447">
        <f t="shared" si="101"/>
        <v>41</v>
      </c>
      <c r="B486" s="893"/>
      <c r="C486" s="894"/>
      <c r="D486" s="923"/>
      <c r="E486" s="947"/>
      <c r="F486" s="947"/>
      <c r="G486" s="922"/>
      <c r="H486" s="924"/>
      <c r="I486" s="882"/>
      <c r="J486" s="929"/>
      <c r="K486" s="899" t="str">
        <f>IF(G486&lt;&gt;0,VLOOKUP(G486,'gia dat'!$A$1:$F$144,5,0)," ")</f>
        <v xml:space="preserve"> </v>
      </c>
      <c r="L486" s="899" t="str">
        <f>IF(G486&lt;&gt;0,VLOOKUP(G486,'gia dat'!$A$1:$F$144,6,0)," ")</f>
        <v xml:space="preserve"> </v>
      </c>
      <c r="M486" s="900" t="str">
        <f t="shared" si="93"/>
        <v xml:space="preserve"> </v>
      </c>
      <c r="N486" s="900" t="str">
        <f t="shared" si="94"/>
        <v xml:space="preserve"> </v>
      </c>
      <c r="O486" s="981"/>
      <c r="P486" s="993"/>
      <c r="Q486" s="900" t="str">
        <f>IF(O486&lt;&gt;0,VLOOKUP(O486,'Cây trong'!$A$2:$C$246,3,0)," ")</f>
        <v xml:space="preserve"> </v>
      </c>
      <c r="R486" s="900" t="str">
        <f t="shared" si="86"/>
        <v xml:space="preserve"> </v>
      </c>
      <c r="S486" s="922"/>
      <c r="T486" s="944"/>
      <c r="U486" s="927"/>
      <c r="V486" s="925"/>
      <c r="W486" s="900" t="str">
        <f>IF(S486&lt;&gt;0,VLOOKUP(S486,VKT!$A$2:$G$415,7,0),"")</f>
        <v/>
      </c>
      <c r="X486" s="900" t="str">
        <f t="shared" si="91"/>
        <v xml:space="preserve"> </v>
      </c>
      <c r="Y486" s="925"/>
      <c r="Z486" s="928"/>
      <c r="AA486" s="928"/>
      <c r="AB486" s="904"/>
      <c r="AC486" s="928"/>
      <c r="AD486" s="928"/>
      <c r="AE486" s="928"/>
      <c r="AF486" s="926"/>
      <c r="AG486" s="906" t="str">
        <f>IF(AE486&lt;&gt;0,VLOOKUP(AE486,ODDS!$A$2:$C$13,3,0),"")</f>
        <v/>
      </c>
      <c r="AH486" s="906" t="str">
        <f t="shared" si="87"/>
        <v xml:space="preserve"> </v>
      </c>
      <c r="AI486" s="907" t="str">
        <f t="shared" si="99"/>
        <v xml:space="preserve"> </v>
      </c>
      <c r="AJ486" s="929"/>
      <c r="AK486" s="929"/>
    </row>
    <row r="487" spans="1:37" s="376" customFormat="1" ht="22.5" outlineLevel="2" x14ac:dyDescent="0.3">
      <c r="A487" s="447">
        <f t="shared" si="101"/>
        <v>41</v>
      </c>
      <c r="B487" s="893"/>
      <c r="C487" s="910"/>
      <c r="D487" s="923"/>
      <c r="E487" s="923"/>
      <c r="F487" s="896"/>
      <c r="G487" s="894"/>
      <c r="H487" s="924"/>
      <c r="I487" s="882"/>
      <c r="J487" s="925"/>
      <c r="K487" s="899" t="str">
        <f>IF(G487&lt;&gt;0,VLOOKUP(G487,'gia dat'!$A$1:$F$144,5,0)," ")</f>
        <v xml:space="preserve"> </v>
      </c>
      <c r="L487" s="899" t="str">
        <f>IF(G487&lt;&gt;0,VLOOKUP(G487,'gia dat'!$A$1:$F$144,6,0)," ")</f>
        <v xml:space="preserve"> </v>
      </c>
      <c r="M487" s="900" t="str">
        <f t="shared" si="93"/>
        <v xml:space="preserve"> </v>
      </c>
      <c r="N487" s="900" t="str">
        <f t="shared" si="94"/>
        <v xml:space="preserve"> </v>
      </c>
      <c r="O487" s="894"/>
      <c r="P487" s="926"/>
      <c r="Q487" s="900" t="str">
        <f>IF(O487&lt;&gt;0,VLOOKUP(O487,'Cây trong'!$A$2:$C$246,3,0)," ")</f>
        <v xml:space="preserve"> </v>
      </c>
      <c r="R487" s="900" t="str">
        <f t="shared" si="86"/>
        <v xml:space="preserve"> </v>
      </c>
      <c r="S487" s="902"/>
      <c r="T487" s="925"/>
      <c r="U487" s="927"/>
      <c r="V487" s="925"/>
      <c r="W487" s="900" t="str">
        <f>IF(S487&lt;&gt;0,VLOOKUP(S487,VKT!$A$2:$G$415,7,0),"")</f>
        <v/>
      </c>
      <c r="X487" s="900" t="str">
        <f t="shared" ref="X487:X556" si="102">IF(S487&lt;&gt;0,ROUND(U487*W487,-3)," ")</f>
        <v xml:space="preserve"> </v>
      </c>
      <c r="Y487" s="925"/>
      <c r="Z487" s="928"/>
      <c r="AA487" s="928"/>
      <c r="AB487" s="904"/>
      <c r="AC487" s="928"/>
      <c r="AD487" s="928"/>
      <c r="AE487" s="928"/>
      <c r="AF487" s="926"/>
      <c r="AG487" s="906" t="str">
        <f>IF(AE487&lt;&gt;0,VLOOKUP(AE487,ODDS!$A$2:$C$13,3,0),"")</f>
        <v/>
      </c>
      <c r="AH487" s="906" t="str">
        <f t="shared" si="87"/>
        <v xml:space="preserve"> </v>
      </c>
      <c r="AI487" s="907" t="str">
        <f t="shared" si="99"/>
        <v xml:space="preserve"> </v>
      </c>
      <c r="AJ487" s="929"/>
      <c r="AK487" s="929"/>
    </row>
    <row r="488" spans="1:37" s="376" customFormat="1" ht="43.5" outlineLevel="1" x14ac:dyDescent="0.25">
      <c r="A488" s="467" t="s">
        <v>2668</v>
      </c>
      <c r="B488" s="912">
        <v>42</v>
      </c>
      <c r="C488" s="910" t="s">
        <v>35</v>
      </c>
      <c r="D488" s="931"/>
      <c r="E488" s="931"/>
      <c r="F488" s="913"/>
      <c r="G488" s="910"/>
      <c r="H488" s="953">
        <f>SUBTOTAL(9,H489:H495)</f>
        <v>49.2</v>
      </c>
      <c r="I488" s="915">
        <f>SUBTOTAL(9,I489:I494)</f>
        <v>0</v>
      </c>
      <c r="J488" s="933"/>
      <c r="K488" s="917"/>
      <c r="L488" s="917"/>
      <c r="M488" s="907">
        <f>SUBTOTAL(9,M489:M495)</f>
        <v>283510000</v>
      </c>
      <c r="N488" s="907">
        <f>SUBTOTAL(9,N489:N495)</f>
        <v>0</v>
      </c>
      <c r="O488" s="910"/>
      <c r="P488" s="935">
        <f>SUBTOTAL(9,P489:P495)</f>
        <v>0</v>
      </c>
      <c r="Q488" s="907"/>
      <c r="R488" s="907">
        <f>SUBTOTAL(9,R489:R495)</f>
        <v>0</v>
      </c>
      <c r="S488" s="918"/>
      <c r="T488" s="933"/>
      <c r="U488" s="936">
        <f>SUBTOTAL(9,U489:U495)</f>
        <v>0</v>
      </c>
      <c r="V488" s="933"/>
      <c r="W488" s="907"/>
      <c r="X488" s="907">
        <f>SUBTOTAL(9,X489:X495)</f>
        <v>0</v>
      </c>
      <c r="Y488" s="925"/>
      <c r="Z488" s="928"/>
      <c r="AA488" s="928"/>
      <c r="AB488" s="904"/>
      <c r="AC488" s="928"/>
      <c r="AD488" s="928"/>
      <c r="AE488" s="937"/>
      <c r="AF488" s="935">
        <f>SUBTOTAL(9,AF489:AF495)</f>
        <v>0</v>
      </c>
      <c r="AG488" s="921"/>
      <c r="AH488" s="921">
        <f>SUBTOTAL(9,AH489:AH495)</f>
        <v>0</v>
      </c>
      <c r="AI488" s="907">
        <f t="shared" si="99"/>
        <v>283510000</v>
      </c>
      <c r="AJ488" s="910"/>
      <c r="AK488" s="914"/>
    </row>
    <row r="489" spans="1:37" s="376" customFormat="1" ht="247.5" outlineLevel="2" x14ac:dyDescent="0.3">
      <c r="A489" s="447">
        <f>IF(B488&lt;&gt;0,B488,A487)</f>
        <v>42</v>
      </c>
      <c r="B489" s="893"/>
      <c r="C489" s="894" t="s">
        <v>190</v>
      </c>
      <c r="D489" s="923"/>
      <c r="E489" s="923">
        <v>86</v>
      </c>
      <c r="F489" s="896">
        <v>256</v>
      </c>
      <c r="G489" s="894" t="s">
        <v>2038</v>
      </c>
      <c r="H489" s="924">
        <v>49.2</v>
      </c>
      <c r="I489" s="882" t="str">
        <f t="shared" ref="I489" si="103">IF(N489&gt;0,H489,"")</f>
        <v/>
      </c>
      <c r="J489" s="925"/>
      <c r="K489" s="899">
        <f>IF(G489&lt;&gt;0,VLOOKUP(G489,'gia dat'!$A$1:$F$144,5,0)," ")</f>
        <v>5762400</v>
      </c>
      <c r="L489" s="899">
        <f>IF(G489&lt;&gt;0,VLOOKUP(G489,'gia dat'!$A$1:$F$144,6,0)," ")</f>
        <v>0</v>
      </c>
      <c r="M489" s="900">
        <f t="shared" si="93"/>
        <v>283510000</v>
      </c>
      <c r="N489" s="900">
        <f t="shared" si="94"/>
        <v>0</v>
      </c>
      <c r="O489" s="894"/>
      <c r="P489" s="926"/>
      <c r="Q489" s="900"/>
      <c r="R489" s="900"/>
      <c r="S489" s="902"/>
      <c r="T489" s="925"/>
      <c r="U489" s="927"/>
      <c r="V489" s="925"/>
      <c r="W489" s="900" t="str">
        <f>IF(S489&lt;&gt;0,VLOOKUP(S489,VKT!$A$2:$G$415,7,0),"")</f>
        <v/>
      </c>
      <c r="X489" s="900" t="str">
        <f t="shared" si="102"/>
        <v xml:space="preserve"> </v>
      </c>
      <c r="Y489" s="925"/>
      <c r="Z489" s="928"/>
      <c r="AA489" s="928"/>
      <c r="AB489" s="904"/>
      <c r="AC489" s="928"/>
      <c r="AD489" s="928"/>
      <c r="AE489" s="928"/>
      <c r="AF489" s="926"/>
      <c r="AG489" s="906" t="str">
        <f>IF(AE489&lt;&gt;0,VLOOKUP(AE489,ODDS!$A$2:$C$13,3,0),"")</f>
        <v/>
      </c>
      <c r="AH489" s="906"/>
      <c r="AI489" s="907" t="str">
        <f t="shared" si="99"/>
        <v xml:space="preserve"> </v>
      </c>
      <c r="AJ489" s="894" t="s">
        <v>2203</v>
      </c>
      <c r="AK489" s="922" t="s">
        <v>2771</v>
      </c>
    </row>
    <row r="490" spans="1:37" s="376" customFormat="1" ht="112.5" outlineLevel="2" x14ac:dyDescent="0.3">
      <c r="A490" s="447">
        <f t="shared" ref="A490:A495" si="104">IF(B489&lt;&gt;0,B489,A489)</f>
        <v>42</v>
      </c>
      <c r="B490" s="893"/>
      <c r="C490" s="963" t="s">
        <v>673</v>
      </c>
      <c r="D490" s="923"/>
      <c r="E490" s="923"/>
      <c r="F490" s="896"/>
      <c r="G490" s="894"/>
      <c r="H490" s="924"/>
      <c r="I490" s="882"/>
      <c r="J490" s="925"/>
      <c r="K490" s="899" t="str">
        <f>IF(G490&lt;&gt;0,VLOOKUP(G490,'gia dat'!$A$1:$F$144,5,0)," ")</f>
        <v xml:space="preserve"> </v>
      </c>
      <c r="L490" s="899" t="str">
        <f>IF(G490&lt;&gt;0,VLOOKUP(G490,'gia dat'!$A$1:$F$144,6,0)," ")</f>
        <v xml:space="preserve"> </v>
      </c>
      <c r="M490" s="900" t="str">
        <f t="shared" si="93"/>
        <v xml:space="preserve"> </v>
      </c>
      <c r="N490" s="900" t="str">
        <f t="shared" si="94"/>
        <v xml:space="preserve"> </v>
      </c>
      <c r="O490" s="894"/>
      <c r="P490" s="926"/>
      <c r="Q490" s="900"/>
      <c r="R490" s="900"/>
      <c r="S490" s="902"/>
      <c r="T490" s="925"/>
      <c r="U490" s="927"/>
      <c r="V490" s="925"/>
      <c r="W490" s="900" t="str">
        <f>IF(S490&lt;&gt;0,VLOOKUP(S490,VKT!$A$2:$G$415,7,0),"")</f>
        <v/>
      </c>
      <c r="X490" s="900" t="str">
        <f t="shared" si="102"/>
        <v xml:space="preserve"> </v>
      </c>
      <c r="Y490" s="925"/>
      <c r="Z490" s="928"/>
      <c r="AA490" s="928"/>
      <c r="AB490" s="904"/>
      <c r="AC490" s="928"/>
      <c r="AD490" s="928"/>
      <c r="AE490" s="928"/>
      <c r="AF490" s="926"/>
      <c r="AG490" s="906" t="str">
        <f>IF(AE490&lt;&gt;0,VLOOKUP(AE490,ODDS!$A$2:$C$13,3,0),"")</f>
        <v/>
      </c>
      <c r="AH490" s="906"/>
      <c r="AI490" s="907" t="str">
        <f t="shared" si="99"/>
        <v xml:space="preserve"> </v>
      </c>
      <c r="AJ490" s="894"/>
      <c r="AK490" s="929"/>
    </row>
    <row r="491" spans="1:37" s="376" customFormat="1" ht="45" outlineLevel="2" x14ac:dyDescent="0.3">
      <c r="A491" s="447">
        <f t="shared" si="104"/>
        <v>42</v>
      </c>
      <c r="B491" s="893"/>
      <c r="C491" s="894" t="s">
        <v>309</v>
      </c>
      <c r="D491" s="923"/>
      <c r="E491" s="923"/>
      <c r="F491" s="896"/>
      <c r="G491" s="894"/>
      <c r="H491" s="924"/>
      <c r="I491" s="882"/>
      <c r="J491" s="925"/>
      <c r="K491" s="899" t="str">
        <f>IF(G491&lt;&gt;0,VLOOKUP(G491,'gia dat'!$A$1:$F$144,5,0)," ")</f>
        <v xml:space="preserve"> </v>
      </c>
      <c r="L491" s="899" t="str">
        <f>IF(G491&lt;&gt;0,VLOOKUP(G491,'gia dat'!$A$1:$F$144,6,0)," ")</f>
        <v xml:space="preserve"> </v>
      </c>
      <c r="M491" s="900" t="str">
        <f t="shared" si="93"/>
        <v xml:space="preserve"> </v>
      </c>
      <c r="N491" s="900" t="str">
        <f t="shared" si="94"/>
        <v xml:space="preserve"> </v>
      </c>
      <c r="O491" s="894"/>
      <c r="P491" s="926"/>
      <c r="Q491" s="900"/>
      <c r="R491" s="900"/>
      <c r="S491" s="902"/>
      <c r="T491" s="925"/>
      <c r="U491" s="927"/>
      <c r="V491" s="925"/>
      <c r="W491" s="900" t="str">
        <f>IF(S491&lt;&gt;0,VLOOKUP(S491,VKT!$A$2:$G$415,7,0),"")</f>
        <v/>
      </c>
      <c r="X491" s="900" t="str">
        <f t="shared" si="102"/>
        <v xml:space="preserve"> </v>
      </c>
      <c r="Y491" s="925"/>
      <c r="Z491" s="928"/>
      <c r="AA491" s="928"/>
      <c r="AB491" s="904"/>
      <c r="AC491" s="928"/>
      <c r="AD491" s="928"/>
      <c r="AE491" s="928"/>
      <c r="AF491" s="926"/>
      <c r="AG491" s="906" t="str">
        <f>IF(AE491&lt;&gt;0,VLOOKUP(AE491,ODDS!$A$2:$C$13,3,0),"")</f>
        <v/>
      </c>
      <c r="AH491" s="906"/>
      <c r="AI491" s="907" t="str">
        <f t="shared" si="99"/>
        <v xml:space="preserve"> </v>
      </c>
      <c r="AJ491" s="929"/>
      <c r="AK491" s="929"/>
    </row>
    <row r="492" spans="1:37" s="376" customFormat="1" ht="22.5" outlineLevel="2" x14ac:dyDescent="0.3">
      <c r="A492" s="447">
        <f t="shared" si="104"/>
        <v>42</v>
      </c>
      <c r="B492" s="893"/>
      <c r="C492" s="894"/>
      <c r="D492" s="923"/>
      <c r="E492" s="923"/>
      <c r="F492" s="896"/>
      <c r="G492" s="894"/>
      <c r="H492" s="924"/>
      <c r="I492" s="882"/>
      <c r="J492" s="925"/>
      <c r="K492" s="899" t="str">
        <f>IF(G492&lt;&gt;0,VLOOKUP(G492,'gia dat'!$A$1:$F$144,5,0)," ")</f>
        <v xml:space="preserve"> </v>
      </c>
      <c r="L492" s="899" t="str">
        <f>IF(G492&lt;&gt;0,VLOOKUP(G492,'gia dat'!$A$1:$F$144,6,0)," ")</f>
        <v xml:space="preserve"> </v>
      </c>
      <c r="M492" s="900" t="str">
        <f t="shared" si="93"/>
        <v xml:space="preserve"> </v>
      </c>
      <c r="N492" s="900" t="str">
        <f t="shared" si="94"/>
        <v xml:space="preserve"> </v>
      </c>
      <c r="O492" s="894"/>
      <c r="P492" s="926"/>
      <c r="Q492" s="900"/>
      <c r="R492" s="900"/>
      <c r="S492" s="902"/>
      <c r="T492" s="925"/>
      <c r="U492" s="927"/>
      <c r="V492" s="925"/>
      <c r="W492" s="900" t="str">
        <f>IF(S492&lt;&gt;0,VLOOKUP(S492,VKT!$A$2:$G$415,7,0),"")</f>
        <v/>
      </c>
      <c r="X492" s="900" t="str">
        <f t="shared" si="102"/>
        <v xml:space="preserve"> </v>
      </c>
      <c r="Y492" s="925"/>
      <c r="Z492" s="928"/>
      <c r="AA492" s="928"/>
      <c r="AB492" s="904"/>
      <c r="AC492" s="928"/>
      <c r="AD492" s="928"/>
      <c r="AE492" s="928"/>
      <c r="AF492" s="926"/>
      <c r="AG492" s="906" t="str">
        <f>IF(AE492&lt;&gt;0,VLOOKUP(AE492,ODDS!$A$2:$C$13,3,0),"")</f>
        <v/>
      </c>
      <c r="AH492" s="906"/>
      <c r="AI492" s="907" t="str">
        <f t="shared" si="99"/>
        <v xml:space="preserve"> </v>
      </c>
      <c r="AJ492" s="929"/>
      <c r="AK492" s="929"/>
    </row>
    <row r="493" spans="1:37" s="376" customFormat="1" ht="22.5" outlineLevel="2" x14ac:dyDescent="0.3">
      <c r="A493" s="447">
        <f t="shared" si="104"/>
        <v>42</v>
      </c>
      <c r="B493" s="893"/>
      <c r="C493" s="894"/>
      <c r="D493" s="923"/>
      <c r="E493" s="923"/>
      <c r="F493" s="896"/>
      <c r="G493" s="894"/>
      <c r="H493" s="924"/>
      <c r="I493" s="882"/>
      <c r="J493" s="925"/>
      <c r="K493" s="899" t="str">
        <f>IF(G493&lt;&gt;0,VLOOKUP(G493,'gia dat'!$A$1:$F$144,5,0)," ")</f>
        <v xml:space="preserve"> </v>
      </c>
      <c r="L493" s="899" t="str">
        <f>IF(G493&lt;&gt;0,VLOOKUP(G493,'gia dat'!$A$1:$F$144,6,0)," ")</f>
        <v xml:space="preserve"> </v>
      </c>
      <c r="M493" s="900" t="str">
        <f t="shared" si="93"/>
        <v xml:space="preserve"> </v>
      </c>
      <c r="N493" s="900" t="str">
        <f t="shared" si="94"/>
        <v xml:space="preserve"> </v>
      </c>
      <c r="O493" s="894"/>
      <c r="P493" s="926"/>
      <c r="Q493" s="900"/>
      <c r="R493" s="900"/>
      <c r="S493" s="902"/>
      <c r="T493" s="925"/>
      <c r="U493" s="927"/>
      <c r="V493" s="925"/>
      <c r="W493" s="900" t="str">
        <f>IF(S493&lt;&gt;0,VLOOKUP(S493,VKT!$A$2:$G$415,7,0),"")</f>
        <v/>
      </c>
      <c r="X493" s="900" t="str">
        <f t="shared" si="102"/>
        <v xml:space="preserve"> </v>
      </c>
      <c r="Y493" s="925"/>
      <c r="Z493" s="928"/>
      <c r="AA493" s="928"/>
      <c r="AB493" s="904"/>
      <c r="AC493" s="928"/>
      <c r="AD493" s="928"/>
      <c r="AE493" s="928"/>
      <c r="AF493" s="926"/>
      <c r="AG493" s="906" t="str">
        <f>IF(AE493&lt;&gt;0,VLOOKUP(AE493,ODDS!$A$2:$C$13,3,0),"")</f>
        <v/>
      </c>
      <c r="AH493" s="906"/>
      <c r="AI493" s="907" t="str">
        <f t="shared" si="99"/>
        <v xml:space="preserve"> </v>
      </c>
      <c r="AJ493" s="929"/>
      <c r="AK493" s="929"/>
    </row>
    <row r="494" spans="1:37" s="376" customFormat="1" ht="22.5" outlineLevel="2" x14ac:dyDescent="0.3">
      <c r="A494" s="447">
        <f t="shared" si="104"/>
        <v>42</v>
      </c>
      <c r="B494" s="893"/>
      <c r="C494" s="894"/>
      <c r="D494" s="923"/>
      <c r="E494" s="923"/>
      <c r="F494" s="896"/>
      <c r="G494" s="894"/>
      <c r="H494" s="924"/>
      <c r="I494" s="882"/>
      <c r="J494" s="925"/>
      <c r="K494" s="899" t="str">
        <f>IF(G494&lt;&gt;0,VLOOKUP(G494,'gia dat'!$A$1:$F$144,5,0)," ")</f>
        <v xml:space="preserve"> </v>
      </c>
      <c r="L494" s="899" t="str">
        <f>IF(G494&lt;&gt;0,VLOOKUP(G494,'gia dat'!$A$1:$F$144,6,0)," ")</f>
        <v xml:space="preserve"> </v>
      </c>
      <c r="M494" s="900" t="str">
        <f t="shared" si="93"/>
        <v xml:space="preserve"> </v>
      </c>
      <c r="N494" s="900" t="str">
        <f t="shared" si="94"/>
        <v xml:space="preserve"> </v>
      </c>
      <c r="O494" s="894"/>
      <c r="P494" s="926"/>
      <c r="Q494" s="900"/>
      <c r="R494" s="900"/>
      <c r="S494" s="902"/>
      <c r="T494" s="925"/>
      <c r="U494" s="927"/>
      <c r="V494" s="925"/>
      <c r="W494" s="900" t="str">
        <f>IF(S494&lt;&gt;0,VLOOKUP(S494,VKT!$A$2:$G$415,7,0),"")</f>
        <v/>
      </c>
      <c r="X494" s="900" t="str">
        <f t="shared" si="102"/>
        <v xml:space="preserve"> </v>
      </c>
      <c r="Y494" s="925"/>
      <c r="Z494" s="928"/>
      <c r="AA494" s="928"/>
      <c r="AB494" s="904"/>
      <c r="AC494" s="928"/>
      <c r="AD494" s="928"/>
      <c r="AE494" s="928"/>
      <c r="AF494" s="926"/>
      <c r="AG494" s="906" t="str">
        <f>IF(AE494&lt;&gt;0,VLOOKUP(AE494,ODDS!$A$2:$C$13,3,0),"")</f>
        <v/>
      </c>
      <c r="AH494" s="906"/>
      <c r="AI494" s="907" t="str">
        <f t="shared" si="99"/>
        <v xml:space="preserve"> </v>
      </c>
      <c r="AJ494" s="929"/>
      <c r="AK494" s="929"/>
    </row>
    <row r="495" spans="1:37" s="376" customFormat="1" ht="22.5" outlineLevel="2" x14ac:dyDescent="0.3">
      <c r="A495" s="447">
        <f t="shared" si="104"/>
        <v>42</v>
      </c>
      <c r="B495" s="893"/>
      <c r="C495" s="910"/>
      <c r="D495" s="923"/>
      <c r="E495" s="923"/>
      <c r="F495" s="896"/>
      <c r="G495" s="894"/>
      <c r="H495" s="924"/>
      <c r="I495" s="882"/>
      <c r="J495" s="925"/>
      <c r="K495" s="899" t="str">
        <f>IF(G495&lt;&gt;0,VLOOKUP(G495,'gia dat'!$A$1:$F$144,5,0)," ")</f>
        <v xml:space="preserve"> </v>
      </c>
      <c r="L495" s="899" t="str">
        <f>IF(G495&lt;&gt;0,VLOOKUP(G495,'gia dat'!$A$1:$F$144,6,0)," ")</f>
        <v xml:space="preserve"> </v>
      </c>
      <c r="M495" s="900" t="str">
        <f t="shared" si="93"/>
        <v xml:space="preserve"> </v>
      </c>
      <c r="N495" s="900" t="str">
        <f t="shared" si="94"/>
        <v xml:space="preserve"> </v>
      </c>
      <c r="O495" s="894"/>
      <c r="P495" s="926"/>
      <c r="Q495" s="900"/>
      <c r="R495" s="900"/>
      <c r="S495" s="902"/>
      <c r="T495" s="925"/>
      <c r="U495" s="927"/>
      <c r="V495" s="925"/>
      <c r="W495" s="900" t="str">
        <f>IF(S495&lt;&gt;0,VLOOKUP(S495,VKT!$A$2:$G$415,7,0),"")</f>
        <v/>
      </c>
      <c r="X495" s="900" t="str">
        <f t="shared" si="102"/>
        <v xml:space="preserve"> </v>
      </c>
      <c r="Y495" s="925"/>
      <c r="Z495" s="928"/>
      <c r="AA495" s="928"/>
      <c r="AB495" s="904"/>
      <c r="AC495" s="928"/>
      <c r="AD495" s="928"/>
      <c r="AE495" s="928"/>
      <c r="AF495" s="926"/>
      <c r="AG495" s="906" t="str">
        <f>IF(AE495&lt;&gt;0,VLOOKUP(AE495,ODDS!$A$2:$C$13,3,0),"")</f>
        <v/>
      </c>
      <c r="AH495" s="906"/>
      <c r="AI495" s="907" t="str">
        <f t="shared" si="99"/>
        <v xml:space="preserve"> </v>
      </c>
      <c r="AJ495" s="929"/>
      <c r="AK495" s="929"/>
    </row>
    <row r="496" spans="1:37" s="376" customFormat="1" ht="43.5" outlineLevel="1" x14ac:dyDescent="0.25">
      <c r="A496" s="467" t="s">
        <v>2667</v>
      </c>
      <c r="B496" s="912">
        <v>43</v>
      </c>
      <c r="C496" s="910" t="s">
        <v>35</v>
      </c>
      <c r="D496" s="931"/>
      <c r="E496" s="931"/>
      <c r="F496" s="913"/>
      <c r="G496" s="910"/>
      <c r="H496" s="953">
        <f>SUBTOTAL(9,H497:H505)</f>
        <v>49.2</v>
      </c>
      <c r="I496" s="915">
        <f>SUBTOTAL(9,I497:I502)</f>
        <v>0</v>
      </c>
      <c r="J496" s="933"/>
      <c r="K496" s="917"/>
      <c r="L496" s="917"/>
      <c r="M496" s="907">
        <f>SUBTOTAL(9,M497:M505)</f>
        <v>283510000</v>
      </c>
      <c r="N496" s="907">
        <f>SUBTOTAL(9,N497:N505)</f>
        <v>0</v>
      </c>
      <c r="O496" s="910"/>
      <c r="P496" s="935">
        <f>SUBTOTAL(9,P497:P505)</f>
        <v>0</v>
      </c>
      <c r="Q496" s="907"/>
      <c r="R496" s="907">
        <f>SUBTOTAL(9,R497:R505)</f>
        <v>0</v>
      </c>
      <c r="S496" s="918"/>
      <c r="T496" s="933"/>
      <c r="U496" s="936">
        <f>SUBTOTAL(9,U497:U505)</f>
        <v>0</v>
      </c>
      <c r="V496" s="933"/>
      <c r="W496" s="907"/>
      <c r="X496" s="907">
        <f>SUBTOTAL(9,X497:X505)</f>
        <v>0</v>
      </c>
      <c r="Y496" s="925"/>
      <c r="Z496" s="928"/>
      <c r="AA496" s="928"/>
      <c r="AB496" s="904"/>
      <c r="AC496" s="928"/>
      <c r="AD496" s="928"/>
      <c r="AE496" s="937"/>
      <c r="AF496" s="935">
        <f>SUBTOTAL(9,AF497:AF505)</f>
        <v>0</v>
      </c>
      <c r="AG496" s="921"/>
      <c r="AH496" s="921">
        <f>SUBTOTAL(9,AH497:AH505)</f>
        <v>0</v>
      </c>
      <c r="AI496" s="907">
        <f t="shared" si="99"/>
        <v>283510000</v>
      </c>
      <c r="AJ496" s="910"/>
      <c r="AK496" s="914"/>
    </row>
    <row r="497" spans="1:37" s="376" customFormat="1" ht="247.5" outlineLevel="2" x14ac:dyDescent="0.3">
      <c r="A497" s="447">
        <f>IF(B496&lt;&gt;0,B496,A495)</f>
        <v>43</v>
      </c>
      <c r="B497" s="893"/>
      <c r="C497" s="894" t="s">
        <v>190</v>
      </c>
      <c r="D497" s="923"/>
      <c r="E497" s="923">
        <v>86</v>
      </c>
      <c r="F497" s="896">
        <v>256</v>
      </c>
      <c r="G497" s="894" t="s">
        <v>2037</v>
      </c>
      <c r="H497" s="924">
        <v>49.2</v>
      </c>
      <c r="I497" s="882" t="str">
        <f t="shared" ref="I497" si="105">IF(N497&gt;0,H497,"")</f>
        <v/>
      </c>
      <c r="J497" s="925"/>
      <c r="K497" s="899">
        <f>IF(G497&lt;&gt;0,VLOOKUP(G497,'gia dat'!$A$1:$F$144,5,0)," ")</f>
        <v>5762400</v>
      </c>
      <c r="L497" s="899">
        <f>IF(G497&lt;&gt;0,VLOOKUP(G497,'gia dat'!$A$1:$F$144,6,0)," ")</f>
        <v>0</v>
      </c>
      <c r="M497" s="900">
        <f t="shared" si="93"/>
        <v>283510000</v>
      </c>
      <c r="N497" s="900">
        <f t="shared" si="94"/>
        <v>0</v>
      </c>
      <c r="O497" s="894"/>
      <c r="P497" s="926"/>
      <c r="Q497" s="900"/>
      <c r="R497" s="900"/>
      <c r="S497" s="902"/>
      <c r="T497" s="925"/>
      <c r="U497" s="927"/>
      <c r="V497" s="925"/>
      <c r="W497" s="900" t="str">
        <f>IF(S497&lt;&gt;0,VLOOKUP(S497,VKT!$A$2:$G$415,7,0),"")</f>
        <v/>
      </c>
      <c r="X497" s="900" t="str">
        <f t="shared" si="102"/>
        <v xml:space="preserve"> </v>
      </c>
      <c r="Y497" s="925"/>
      <c r="Z497" s="928"/>
      <c r="AA497" s="928"/>
      <c r="AB497" s="904"/>
      <c r="AC497" s="928"/>
      <c r="AD497" s="928"/>
      <c r="AE497" s="928"/>
      <c r="AF497" s="926"/>
      <c r="AG497" s="906" t="str">
        <f>IF(AE497&lt;&gt;0,VLOOKUP(AE497,ODDS!$A$2:$C$13,3,0),"")</f>
        <v/>
      </c>
      <c r="AH497" s="906"/>
      <c r="AI497" s="907" t="str">
        <f t="shared" si="99"/>
        <v xml:space="preserve"> </v>
      </c>
      <c r="AJ497" s="894" t="s">
        <v>2204</v>
      </c>
      <c r="AK497" s="922" t="s">
        <v>2771</v>
      </c>
    </row>
    <row r="498" spans="1:37" s="376" customFormat="1" ht="112.5" outlineLevel="2" x14ac:dyDescent="0.3">
      <c r="A498" s="447">
        <f t="shared" ref="A498:A505" si="106">IF(B497&lt;&gt;0,B497,A497)</f>
        <v>43</v>
      </c>
      <c r="B498" s="893"/>
      <c r="C498" s="963" t="s">
        <v>673</v>
      </c>
      <c r="D498" s="923"/>
      <c r="E498" s="923"/>
      <c r="F498" s="896"/>
      <c r="G498" s="894"/>
      <c r="H498" s="924"/>
      <c r="I498" s="882"/>
      <c r="J498" s="925"/>
      <c r="K498" s="899" t="str">
        <f>IF(G498&lt;&gt;0,VLOOKUP(G498,'gia dat'!$A$1:$F$144,5,0)," ")</f>
        <v xml:space="preserve"> </v>
      </c>
      <c r="L498" s="899" t="str">
        <f>IF(G498&lt;&gt;0,VLOOKUP(G498,'gia dat'!$A$1:$F$144,6,0)," ")</f>
        <v xml:space="preserve"> </v>
      </c>
      <c r="M498" s="900" t="str">
        <f t="shared" si="93"/>
        <v xml:space="preserve"> </v>
      </c>
      <c r="N498" s="900" t="str">
        <f t="shared" si="94"/>
        <v xml:space="preserve"> </v>
      </c>
      <c r="O498" s="894"/>
      <c r="P498" s="926"/>
      <c r="Q498" s="900"/>
      <c r="R498" s="900"/>
      <c r="S498" s="902"/>
      <c r="T498" s="925"/>
      <c r="U498" s="927"/>
      <c r="V498" s="925"/>
      <c r="W498" s="900" t="str">
        <f>IF(S498&lt;&gt;0,VLOOKUP(S498,VKT!$A$2:$G$415,7,0),"")</f>
        <v/>
      </c>
      <c r="X498" s="900" t="str">
        <f t="shared" si="102"/>
        <v xml:space="preserve"> </v>
      </c>
      <c r="Y498" s="925"/>
      <c r="Z498" s="928"/>
      <c r="AA498" s="928"/>
      <c r="AB498" s="904"/>
      <c r="AC498" s="928"/>
      <c r="AD498" s="928"/>
      <c r="AE498" s="928"/>
      <c r="AF498" s="926"/>
      <c r="AG498" s="906" t="str">
        <f>IF(AE498&lt;&gt;0,VLOOKUP(AE498,ODDS!$A$2:$C$13,3,0),"")</f>
        <v/>
      </c>
      <c r="AH498" s="906"/>
      <c r="AI498" s="907" t="str">
        <f t="shared" si="99"/>
        <v xml:space="preserve"> </v>
      </c>
      <c r="AJ498" s="894"/>
      <c r="AK498" s="929"/>
    </row>
    <row r="499" spans="1:37" s="376" customFormat="1" ht="45" outlineLevel="2" x14ac:dyDescent="0.3">
      <c r="A499" s="447">
        <f t="shared" si="106"/>
        <v>43</v>
      </c>
      <c r="B499" s="893"/>
      <c r="C499" s="894" t="s">
        <v>309</v>
      </c>
      <c r="D499" s="923"/>
      <c r="E499" s="923"/>
      <c r="F499" s="896"/>
      <c r="G499" s="894"/>
      <c r="H499" s="924"/>
      <c r="I499" s="882"/>
      <c r="J499" s="925"/>
      <c r="K499" s="899" t="str">
        <f>IF(G499&lt;&gt;0,VLOOKUP(G499,'gia dat'!$A$1:$F$144,5,0)," ")</f>
        <v xml:space="preserve"> </v>
      </c>
      <c r="L499" s="899" t="str">
        <f>IF(G499&lt;&gt;0,VLOOKUP(G499,'gia dat'!$A$1:$F$144,6,0)," ")</f>
        <v xml:space="preserve"> </v>
      </c>
      <c r="M499" s="900" t="str">
        <f t="shared" si="93"/>
        <v xml:space="preserve"> </v>
      </c>
      <c r="N499" s="900" t="str">
        <f t="shared" si="94"/>
        <v xml:space="preserve"> </v>
      </c>
      <c r="O499" s="894"/>
      <c r="P499" s="926"/>
      <c r="Q499" s="900"/>
      <c r="R499" s="900"/>
      <c r="S499" s="902"/>
      <c r="T499" s="925"/>
      <c r="U499" s="927"/>
      <c r="V499" s="925"/>
      <c r="W499" s="900" t="str">
        <f>IF(S499&lt;&gt;0,VLOOKUP(S499,VKT!$A$2:$G$415,7,0),"")</f>
        <v/>
      </c>
      <c r="X499" s="900" t="str">
        <f t="shared" si="102"/>
        <v xml:space="preserve"> </v>
      </c>
      <c r="Y499" s="925"/>
      <c r="Z499" s="928"/>
      <c r="AA499" s="928"/>
      <c r="AB499" s="904"/>
      <c r="AC499" s="928"/>
      <c r="AD499" s="928"/>
      <c r="AE499" s="928"/>
      <c r="AF499" s="926"/>
      <c r="AG499" s="906" t="str">
        <f>IF(AE499&lt;&gt;0,VLOOKUP(AE499,ODDS!$A$2:$C$13,3,0),"")</f>
        <v/>
      </c>
      <c r="AH499" s="906"/>
      <c r="AI499" s="907" t="str">
        <f t="shared" si="99"/>
        <v xml:space="preserve"> </v>
      </c>
      <c r="AJ499" s="929"/>
      <c r="AK499" s="929"/>
    </row>
    <row r="500" spans="1:37" s="376" customFormat="1" ht="22.5" outlineLevel="2" x14ac:dyDescent="0.3">
      <c r="A500" s="447">
        <f t="shared" si="106"/>
        <v>43</v>
      </c>
      <c r="B500" s="893"/>
      <c r="C500" s="894"/>
      <c r="D500" s="923"/>
      <c r="E500" s="923"/>
      <c r="F500" s="896"/>
      <c r="G500" s="894"/>
      <c r="H500" s="924"/>
      <c r="I500" s="882"/>
      <c r="J500" s="925"/>
      <c r="K500" s="899" t="str">
        <f>IF(G500&lt;&gt;0,VLOOKUP(G500,'gia dat'!$A$1:$F$144,5,0)," ")</f>
        <v xml:space="preserve"> </v>
      </c>
      <c r="L500" s="899" t="str">
        <f>IF(G500&lt;&gt;0,VLOOKUP(G500,'gia dat'!$A$1:$F$144,6,0)," ")</f>
        <v xml:space="preserve"> </v>
      </c>
      <c r="M500" s="900" t="str">
        <f t="shared" ref="M500:M569" si="107">IF(H500&lt;&gt;0,ROUND(H500*K500,-3)," ")</f>
        <v xml:space="preserve"> </v>
      </c>
      <c r="N500" s="900" t="str">
        <f t="shared" ref="N500:N569" si="108">IF(H500&lt;&gt;0,ROUND(H500*L500,-3)," ")</f>
        <v xml:space="preserve"> </v>
      </c>
      <c r="O500" s="894"/>
      <c r="P500" s="926"/>
      <c r="Q500" s="900"/>
      <c r="R500" s="900"/>
      <c r="S500" s="902"/>
      <c r="T500" s="925"/>
      <c r="U500" s="927"/>
      <c r="V500" s="925"/>
      <c r="W500" s="900" t="str">
        <f>IF(S500&lt;&gt;0,VLOOKUP(S500,VKT!$A$2:$G$415,7,0),"")</f>
        <v/>
      </c>
      <c r="X500" s="900" t="str">
        <f t="shared" si="102"/>
        <v xml:space="preserve"> </v>
      </c>
      <c r="Y500" s="925"/>
      <c r="Z500" s="928"/>
      <c r="AA500" s="928"/>
      <c r="AB500" s="904"/>
      <c r="AC500" s="928"/>
      <c r="AD500" s="928"/>
      <c r="AE500" s="928"/>
      <c r="AF500" s="926"/>
      <c r="AG500" s="906" t="str">
        <f>IF(AE500&lt;&gt;0,VLOOKUP(AE500,ODDS!$A$2:$C$13,3,0),"")</f>
        <v/>
      </c>
      <c r="AH500" s="906"/>
      <c r="AI500" s="907" t="str">
        <f t="shared" si="99"/>
        <v xml:space="preserve"> </v>
      </c>
      <c r="AJ500" s="929"/>
      <c r="AK500" s="929"/>
    </row>
    <row r="501" spans="1:37" s="376" customFormat="1" ht="22.5" outlineLevel="2" x14ac:dyDescent="0.3">
      <c r="A501" s="447">
        <f t="shared" si="106"/>
        <v>43</v>
      </c>
      <c r="B501" s="893"/>
      <c r="C501" s="894"/>
      <c r="D501" s="923"/>
      <c r="E501" s="923"/>
      <c r="F501" s="896"/>
      <c r="G501" s="894"/>
      <c r="H501" s="924"/>
      <c r="I501" s="882"/>
      <c r="J501" s="925"/>
      <c r="K501" s="899" t="str">
        <f>IF(G501&lt;&gt;0,VLOOKUP(G501,'gia dat'!$A$1:$F$144,5,0)," ")</f>
        <v xml:space="preserve"> </v>
      </c>
      <c r="L501" s="899" t="str">
        <f>IF(G501&lt;&gt;0,VLOOKUP(G501,'gia dat'!$A$1:$F$144,6,0)," ")</f>
        <v xml:space="preserve"> </v>
      </c>
      <c r="M501" s="900" t="str">
        <f t="shared" si="107"/>
        <v xml:space="preserve"> </v>
      </c>
      <c r="N501" s="900" t="str">
        <f t="shared" si="108"/>
        <v xml:space="preserve"> </v>
      </c>
      <c r="O501" s="894"/>
      <c r="P501" s="926"/>
      <c r="Q501" s="900"/>
      <c r="R501" s="900"/>
      <c r="S501" s="902"/>
      <c r="T501" s="925"/>
      <c r="U501" s="927"/>
      <c r="V501" s="925"/>
      <c r="W501" s="900" t="str">
        <f>IF(S501&lt;&gt;0,VLOOKUP(S501,VKT!$A$2:$G$415,7,0),"")</f>
        <v/>
      </c>
      <c r="X501" s="900" t="str">
        <f t="shared" si="102"/>
        <v xml:space="preserve"> </v>
      </c>
      <c r="Y501" s="925"/>
      <c r="Z501" s="928"/>
      <c r="AA501" s="928"/>
      <c r="AB501" s="904"/>
      <c r="AC501" s="928"/>
      <c r="AD501" s="928"/>
      <c r="AE501" s="928"/>
      <c r="AF501" s="926"/>
      <c r="AG501" s="906" t="str">
        <f>IF(AE501&lt;&gt;0,VLOOKUP(AE501,ODDS!$A$2:$C$13,3,0),"")</f>
        <v/>
      </c>
      <c r="AH501" s="906"/>
      <c r="AI501" s="907" t="str">
        <f t="shared" si="99"/>
        <v xml:space="preserve"> </v>
      </c>
      <c r="AJ501" s="929"/>
      <c r="AK501" s="929"/>
    </row>
    <row r="502" spans="1:37" s="376" customFormat="1" ht="22.5" outlineLevel="2" x14ac:dyDescent="0.3">
      <c r="A502" s="447">
        <f t="shared" si="106"/>
        <v>43</v>
      </c>
      <c r="B502" s="893"/>
      <c r="C502" s="894"/>
      <c r="D502" s="923"/>
      <c r="E502" s="923"/>
      <c r="F502" s="896"/>
      <c r="G502" s="894"/>
      <c r="H502" s="924"/>
      <c r="I502" s="882"/>
      <c r="J502" s="925"/>
      <c r="K502" s="899" t="str">
        <f>IF(G502&lt;&gt;0,VLOOKUP(G502,'gia dat'!$A$1:$F$144,5,0)," ")</f>
        <v xml:space="preserve"> </v>
      </c>
      <c r="L502" s="899" t="str">
        <f>IF(G502&lt;&gt;0,VLOOKUP(G502,'gia dat'!$A$1:$F$144,6,0)," ")</f>
        <v xml:space="preserve"> </v>
      </c>
      <c r="M502" s="900" t="str">
        <f t="shared" si="107"/>
        <v xml:space="preserve"> </v>
      </c>
      <c r="N502" s="900" t="str">
        <f t="shared" si="108"/>
        <v xml:space="preserve"> </v>
      </c>
      <c r="O502" s="894"/>
      <c r="P502" s="926"/>
      <c r="Q502" s="900"/>
      <c r="R502" s="900"/>
      <c r="S502" s="902"/>
      <c r="T502" s="925"/>
      <c r="U502" s="927"/>
      <c r="V502" s="925"/>
      <c r="W502" s="900" t="str">
        <f>IF(S502&lt;&gt;0,VLOOKUP(S502,VKT!$A$2:$G$415,7,0),"")</f>
        <v/>
      </c>
      <c r="X502" s="900" t="str">
        <f t="shared" si="102"/>
        <v xml:space="preserve"> </v>
      </c>
      <c r="Y502" s="925"/>
      <c r="Z502" s="928"/>
      <c r="AA502" s="928"/>
      <c r="AB502" s="904"/>
      <c r="AC502" s="928"/>
      <c r="AD502" s="928"/>
      <c r="AE502" s="928"/>
      <c r="AF502" s="926"/>
      <c r="AG502" s="906" t="str">
        <f>IF(AE502&lt;&gt;0,VLOOKUP(AE502,ODDS!$A$2:$C$13,3,0),"")</f>
        <v/>
      </c>
      <c r="AH502" s="906"/>
      <c r="AI502" s="907" t="str">
        <f t="shared" si="99"/>
        <v xml:space="preserve"> </v>
      </c>
      <c r="AJ502" s="929"/>
      <c r="AK502" s="929"/>
    </row>
    <row r="503" spans="1:37" s="376" customFormat="1" ht="22.5" outlineLevel="2" x14ac:dyDescent="0.3">
      <c r="A503" s="447">
        <f t="shared" si="106"/>
        <v>43</v>
      </c>
      <c r="B503" s="893"/>
      <c r="C503" s="894"/>
      <c r="D503" s="923"/>
      <c r="E503" s="923"/>
      <c r="F503" s="896"/>
      <c r="G503" s="894"/>
      <c r="H503" s="924"/>
      <c r="I503" s="882"/>
      <c r="J503" s="925"/>
      <c r="K503" s="899" t="str">
        <f>IF(G503&lt;&gt;0,VLOOKUP(G503,'gia dat'!$A$1:$F$144,5,0)," ")</f>
        <v xml:space="preserve"> </v>
      </c>
      <c r="L503" s="899" t="str">
        <f>IF(G503&lt;&gt;0,VLOOKUP(G503,'gia dat'!$A$1:$F$144,6,0)," ")</f>
        <v xml:space="preserve"> </v>
      </c>
      <c r="M503" s="900" t="str">
        <f t="shared" si="107"/>
        <v xml:space="preserve"> </v>
      </c>
      <c r="N503" s="900" t="str">
        <f t="shared" si="108"/>
        <v xml:space="preserve"> </v>
      </c>
      <c r="O503" s="894"/>
      <c r="P503" s="926"/>
      <c r="Q503" s="900"/>
      <c r="R503" s="900"/>
      <c r="S503" s="902"/>
      <c r="T503" s="925"/>
      <c r="U503" s="927"/>
      <c r="V503" s="925"/>
      <c r="W503" s="900" t="str">
        <f>IF(S503&lt;&gt;0,VLOOKUP(S503,VKT!$A$2:$G$415,7,0),"")</f>
        <v/>
      </c>
      <c r="X503" s="900" t="str">
        <f t="shared" si="102"/>
        <v xml:space="preserve"> </v>
      </c>
      <c r="Y503" s="925"/>
      <c r="Z503" s="928"/>
      <c r="AA503" s="928"/>
      <c r="AB503" s="904"/>
      <c r="AC503" s="928"/>
      <c r="AD503" s="928"/>
      <c r="AE503" s="928"/>
      <c r="AF503" s="926"/>
      <c r="AG503" s="906" t="str">
        <f>IF(AE503&lt;&gt;0,VLOOKUP(AE503,ODDS!$A$2:$C$13,3,0),"")</f>
        <v/>
      </c>
      <c r="AH503" s="906"/>
      <c r="AI503" s="907" t="str">
        <f t="shared" si="99"/>
        <v xml:space="preserve"> </v>
      </c>
      <c r="AJ503" s="929"/>
      <c r="AK503" s="929"/>
    </row>
    <row r="504" spans="1:37" s="376" customFormat="1" ht="22.5" outlineLevel="2" x14ac:dyDescent="0.3">
      <c r="A504" s="447">
        <f t="shared" si="106"/>
        <v>43</v>
      </c>
      <c r="B504" s="893"/>
      <c r="C504" s="894"/>
      <c r="D504" s="923"/>
      <c r="E504" s="923"/>
      <c r="F504" s="896"/>
      <c r="G504" s="894"/>
      <c r="H504" s="924"/>
      <c r="I504" s="882"/>
      <c r="J504" s="925"/>
      <c r="K504" s="899" t="str">
        <f>IF(G504&lt;&gt;0,VLOOKUP(G504,'gia dat'!$A$1:$F$144,5,0)," ")</f>
        <v xml:space="preserve"> </v>
      </c>
      <c r="L504" s="899" t="str">
        <f>IF(G504&lt;&gt;0,VLOOKUP(G504,'gia dat'!$A$1:$F$144,6,0)," ")</f>
        <v xml:space="preserve"> </v>
      </c>
      <c r="M504" s="900" t="str">
        <f t="shared" si="107"/>
        <v xml:space="preserve"> </v>
      </c>
      <c r="N504" s="900" t="str">
        <f t="shared" si="108"/>
        <v xml:space="preserve"> </v>
      </c>
      <c r="O504" s="894"/>
      <c r="P504" s="926"/>
      <c r="Q504" s="900"/>
      <c r="R504" s="900"/>
      <c r="S504" s="902"/>
      <c r="T504" s="925"/>
      <c r="U504" s="927"/>
      <c r="V504" s="925"/>
      <c r="W504" s="900" t="str">
        <f>IF(S504&lt;&gt;0,VLOOKUP(S504,VKT!$A$2:$G$415,7,0),"")</f>
        <v/>
      </c>
      <c r="X504" s="900" t="str">
        <f t="shared" si="102"/>
        <v xml:space="preserve"> </v>
      </c>
      <c r="Y504" s="925"/>
      <c r="Z504" s="928"/>
      <c r="AA504" s="928"/>
      <c r="AB504" s="904"/>
      <c r="AC504" s="928"/>
      <c r="AD504" s="928"/>
      <c r="AE504" s="928"/>
      <c r="AF504" s="926"/>
      <c r="AG504" s="906" t="str">
        <f>IF(AE504&lt;&gt;0,VLOOKUP(AE504,ODDS!$A$2:$C$13,3,0),"")</f>
        <v/>
      </c>
      <c r="AH504" s="906"/>
      <c r="AI504" s="907" t="str">
        <f t="shared" si="99"/>
        <v xml:space="preserve"> </v>
      </c>
      <c r="AJ504" s="929"/>
      <c r="AK504" s="929"/>
    </row>
    <row r="505" spans="1:37" s="376" customFormat="1" ht="22.5" outlineLevel="2" x14ac:dyDescent="0.3">
      <c r="A505" s="447">
        <f t="shared" si="106"/>
        <v>43</v>
      </c>
      <c r="B505" s="893"/>
      <c r="C505" s="942"/>
      <c r="D505" s="923"/>
      <c r="E505" s="923"/>
      <c r="F505" s="896"/>
      <c r="G505" s="894"/>
      <c r="H505" s="924"/>
      <c r="I505" s="882"/>
      <c r="J505" s="925"/>
      <c r="K505" s="899" t="str">
        <f>IF(G505&lt;&gt;0,VLOOKUP(G505,'gia dat'!$A$1:$F$144,5,0)," ")</f>
        <v xml:space="preserve"> </v>
      </c>
      <c r="L505" s="899" t="str">
        <f>IF(G505&lt;&gt;0,VLOOKUP(G505,'gia dat'!$A$1:$F$144,6,0)," ")</f>
        <v xml:space="preserve"> </v>
      </c>
      <c r="M505" s="900" t="str">
        <f t="shared" si="107"/>
        <v xml:space="preserve"> </v>
      </c>
      <c r="N505" s="900" t="str">
        <f t="shared" si="108"/>
        <v xml:space="preserve"> </v>
      </c>
      <c r="O505" s="894"/>
      <c r="P505" s="926"/>
      <c r="Q505" s="900"/>
      <c r="R505" s="900"/>
      <c r="S505" s="902"/>
      <c r="T505" s="925"/>
      <c r="U505" s="927"/>
      <c r="V505" s="925"/>
      <c r="W505" s="900" t="str">
        <f>IF(S505&lt;&gt;0,VLOOKUP(S505,VKT!$A$2:$G$415,7,0),"")</f>
        <v/>
      </c>
      <c r="X505" s="900" t="str">
        <f t="shared" si="102"/>
        <v xml:space="preserve"> </v>
      </c>
      <c r="Y505" s="925"/>
      <c r="Z505" s="928"/>
      <c r="AA505" s="928"/>
      <c r="AB505" s="904"/>
      <c r="AC505" s="928"/>
      <c r="AD505" s="928"/>
      <c r="AE505" s="928"/>
      <c r="AF505" s="926"/>
      <c r="AG505" s="906" t="str">
        <f>IF(AE505&lt;&gt;0,VLOOKUP(AE505,ODDS!$A$2:$C$13,3,0),"")</f>
        <v/>
      </c>
      <c r="AH505" s="906"/>
      <c r="AI505" s="907" t="str">
        <f t="shared" si="99"/>
        <v xml:space="preserve"> </v>
      </c>
      <c r="AJ505" s="929"/>
      <c r="AK505" s="929"/>
    </row>
    <row r="506" spans="1:37" s="376" customFormat="1" ht="22.5" outlineLevel="1" x14ac:dyDescent="0.3">
      <c r="A506" s="467" t="s">
        <v>2666</v>
      </c>
      <c r="B506" s="912">
        <v>44</v>
      </c>
      <c r="C506" s="942" t="s">
        <v>2178</v>
      </c>
      <c r="D506" s="930"/>
      <c r="E506" s="958"/>
      <c r="F506" s="958"/>
      <c r="G506" s="959"/>
      <c r="H506" s="960">
        <f>SUBTOTAL(9,H507:H520)</f>
        <v>0</v>
      </c>
      <c r="I506" s="915">
        <f>SUBTOTAL(9,I507:I512)</f>
        <v>0</v>
      </c>
      <c r="J506" s="943"/>
      <c r="K506" s="917"/>
      <c r="L506" s="917"/>
      <c r="M506" s="907">
        <f>SUBTOTAL(9,M507:M520)</f>
        <v>0</v>
      </c>
      <c r="N506" s="907">
        <f>SUBTOTAL(9,N507:N520)</f>
        <v>0</v>
      </c>
      <c r="O506" s="914"/>
      <c r="P506" s="935">
        <f>SUBTOTAL(9,P507:P520)</f>
        <v>0</v>
      </c>
      <c r="Q506" s="907"/>
      <c r="R506" s="907">
        <f>SUBTOTAL(9,R507:R520)</f>
        <v>0</v>
      </c>
      <c r="S506" s="914"/>
      <c r="T506" s="956"/>
      <c r="U506" s="936">
        <f>SUBTOTAL(9,U507:U520)</f>
        <v>100.2</v>
      </c>
      <c r="V506" s="957"/>
      <c r="W506" s="907"/>
      <c r="X506" s="907">
        <f>SUBTOTAL(9,X507:X520)</f>
        <v>116218000</v>
      </c>
      <c r="Y506" s="898"/>
      <c r="Z506" s="928"/>
      <c r="AA506" s="928"/>
      <c r="AB506" s="904"/>
      <c r="AC506" s="928"/>
      <c r="AD506" s="904"/>
      <c r="AE506" s="920"/>
      <c r="AF506" s="917">
        <f>SUBTOTAL(9,AF507:AF520)</f>
        <v>0</v>
      </c>
      <c r="AG506" s="921"/>
      <c r="AH506" s="921">
        <f>SUBTOTAL(9,AH507:AH520)</f>
        <v>0</v>
      </c>
      <c r="AI506" s="907">
        <f t="shared" si="99"/>
        <v>116218000</v>
      </c>
      <c r="AJ506" s="943"/>
      <c r="AK506" s="910"/>
    </row>
    <row r="507" spans="1:37" s="376" customFormat="1" ht="112.5" outlineLevel="2" x14ac:dyDescent="0.35">
      <c r="A507" s="447">
        <f>IF(B506&lt;&gt;0,B506,A505)</f>
        <v>44</v>
      </c>
      <c r="B507" s="893"/>
      <c r="C507" s="908" t="s">
        <v>196</v>
      </c>
      <c r="D507" s="939">
        <v>3</v>
      </c>
      <c r="E507" s="962"/>
      <c r="F507" s="962"/>
      <c r="G507" s="911"/>
      <c r="H507" s="897"/>
      <c r="I507" s="882"/>
      <c r="J507" s="929"/>
      <c r="K507" s="899" t="str">
        <f>IF(G507&lt;&gt;0,VLOOKUP(G507,'gia dat'!$A$1:$F$144,5,0)," ")</f>
        <v xml:space="preserve"> </v>
      </c>
      <c r="L507" s="899" t="str">
        <f>IF(G507&lt;&gt;0,VLOOKUP(G507,'gia dat'!$A$1:$F$144,6,0)," ")</f>
        <v xml:space="preserve"> </v>
      </c>
      <c r="M507" s="900" t="str">
        <f t="shared" si="107"/>
        <v xml:space="preserve"> </v>
      </c>
      <c r="N507" s="900" t="str">
        <f t="shared" si="108"/>
        <v xml:space="preserve"> </v>
      </c>
      <c r="O507" s="922"/>
      <c r="P507" s="926"/>
      <c r="Q507" s="900" t="str">
        <f>IF(O507&lt;&gt;0,VLOOKUP(O507,'Cây trong'!$A$2:$C$246,3,0)," ")</f>
        <v xml:space="preserve"> </v>
      </c>
      <c r="R507" s="900" t="str">
        <f t="shared" si="86"/>
        <v xml:space="preserve"> </v>
      </c>
      <c r="S507" s="922" t="s">
        <v>1838</v>
      </c>
      <c r="T507" s="944" t="s">
        <v>53</v>
      </c>
      <c r="U507" s="927">
        <v>15.3</v>
      </c>
      <c r="V507" s="946"/>
      <c r="W507" s="900">
        <f>IF(S507&lt;&gt;0,VLOOKUP(S507,VKT!$A$2:$G$415,7,0),"")</f>
        <v>3156089</v>
      </c>
      <c r="X507" s="900">
        <f t="shared" si="102"/>
        <v>48288000</v>
      </c>
      <c r="Y507" s="898" t="s">
        <v>63</v>
      </c>
      <c r="Z507" s="928" t="s">
        <v>55</v>
      </c>
      <c r="AA507" s="928" t="s">
        <v>56</v>
      </c>
      <c r="AB507" s="904" t="s">
        <v>57</v>
      </c>
      <c r="AC507" s="928" t="s">
        <v>54</v>
      </c>
      <c r="AD507" s="904" t="s">
        <v>430</v>
      </c>
      <c r="AE507" s="904"/>
      <c r="AF507" s="899"/>
      <c r="AG507" s="906" t="str">
        <f>IF(AE507&lt;&gt;0,VLOOKUP(AE507,ODDS!$A$2:$C$13,3,0),"")</f>
        <v/>
      </c>
      <c r="AH507" s="906" t="str">
        <f t="shared" si="87"/>
        <v xml:space="preserve"> </v>
      </c>
      <c r="AI507" s="907" t="str">
        <f t="shared" si="99"/>
        <v xml:space="preserve"> </v>
      </c>
      <c r="AJ507" s="929" t="s">
        <v>207</v>
      </c>
      <c r="AK507" s="894" t="s">
        <v>2450</v>
      </c>
    </row>
    <row r="508" spans="1:37" s="376" customFormat="1" ht="112.5" outlineLevel="2" x14ac:dyDescent="0.35">
      <c r="A508" s="447">
        <f t="shared" ref="A508:A520" si="109">IF(B507&lt;&gt;0,B507,A507)</f>
        <v>44</v>
      </c>
      <c r="B508" s="893"/>
      <c r="C508" s="908" t="s">
        <v>675</v>
      </c>
      <c r="D508" s="923"/>
      <c r="E508" s="947"/>
      <c r="F508" s="947"/>
      <c r="G508" s="922"/>
      <c r="H508" s="924"/>
      <c r="I508" s="882"/>
      <c r="J508" s="929"/>
      <c r="K508" s="899" t="str">
        <f>IF(G508&lt;&gt;0,VLOOKUP(G508,'gia dat'!$A$1:$F$144,5,0)," ")</f>
        <v xml:space="preserve"> </v>
      </c>
      <c r="L508" s="899" t="str">
        <f>IF(G508&lt;&gt;0,VLOOKUP(G508,'gia dat'!$A$1:$F$144,6,0)," ")</f>
        <v xml:space="preserve"> </v>
      </c>
      <c r="M508" s="900" t="str">
        <f t="shared" si="107"/>
        <v xml:space="preserve"> </v>
      </c>
      <c r="N508" s="900" t="str">
        <f t="shared" si="108"/>
        <v xml:space="preserve"> </v>
      </c>
      <c r="O508" s="922"/>
      <c r="P508" s="926"/>
      <c r="Q508" s="900" t="str">
        <f>IF(O508&lt;&gt;0,VLOOKUP(O508,'Cây trong'!$A$2:$C$246,3,0)," ")</f>
        <v xml:space="preserve"> </v>
      </c>
      <c r="R508" s="900" t="str">
        <f t="shared" si="86"/>
        <v xml:space="preserve"> </v>
      </c>
      <c r="S508" s="922" t="s">
        <v>1838</v>
      </c>
      <c r="T508" s="944" t="s">
        <v>53</v>
      </c>
      <c r="U508" s="927">
        <v>15.3</v>
      </c>
      <c r="V508" s="946"/>
      <c r="W508" s="900">
        <f>IF(S508&lt;&gt;0,VLOOKUP(S508,VKT!$A$2:$G$415,7,0),"")</f>
        <v>3156089</v>
      </c>
      <c r="X508" s="900">
        <f t="shared" si="102"/>
        <v>48288000</v>
      </c>
      <c r="Y508" s="925" t="s">
        <v>63</v>
      </c>
      <c r="Z508" s="928" t="s">
        <v>55</v>
      </c>
      <c r="AA508" s="928" t="s">
        <v>56</v>
      </c>
      <c r="AB508" s="904" t="s">
        <v>57</v>
      </c>
      <c r="AC508" s="928" t="s">
        <v>54</v>
      </c>
      <c r="AD508" s="904" t="s">
        <v>206</v>
      </c>
      <c r="AE508" s="904"/>
      <c r="AF508" s="899"/>
      <c r="AG508" s="906" t="str">
        <f>IF(AE508&lt;&gt;0,VLOOKUP(AE508,ODDS!$A$2:$C$13,3,0),"")</f>
        <v/>
      </c>
      <c r="AH508" s="906" t="str">
        <f t="shared" si="87"/>
        <v xml:space="preserve"> </v>
      </c>
      <c r="AI508" s="907" t="str">
        <f t="shared" si="99"/>
        <v xml:space="preserve"> </v>
      </c>
      <c r="AJ508" s="911"/>
      <c r="AK508" s="894" t="s">
        <v>2800</v>
      </c>
    </row>
    <row r="509" spans="1:37" s="376" customFormat="1" ht="112.5" outlineLevel="2" x14ac:dyDescent="0.3">
      <c r="A509" s="447">
        <f t="shared" si="109"/>
        <v>44</v>
      </c>
      <c r="B509" s="893"/>
      <c r="C509" s="894" t="s">
        <v>310</v>
      </c>
      <c r="D509" s="923"/>
      <c r="E509" s="923"/>
      <c r="F509" s="896"/>
      <c r="G509" s="894"/>
      <c r="H509" s="924"/>
      <c r="I509" s="882"/>
      <c r="J509" s="929"/>
      <c r="K509" s="899" t="str">
        <f>IF(G509&lt;&gt;0,VLOOKUP(G509,'gia dat'!$A$1:$F$144,5,0)," ")</f>
        <v xml:space="preserve"> </v>
      </c>
      <c r="L509" s="899" t="str">
        <f>IF(G509&lt;&gt;0,VLOOKUP(G509,'gia dat'!$A$1:$F$144,6,0)," ")</f>
        <v xml:space="preserve"> </v>
      </c>
      <c r="M509" s="900" t="str">
        <f t="shared" si="107"/>
        <v xml:space="preserve"> </v>
      </c>
      <c r="N509" s="900" t="str">
        <f t="shared" si="108"/>
        <v xml:space="preserve"> </v>
      </c>
      <c r="O509" s="922"/>
      <c r="P509" s="926"/>
      <c r="Q509" s="900" t="str">
        <f>IF(O509&lt;&gt;0,VLOOKUP(O509,'Cây trong'!$A$2:$C$246,3,0)," ")</f>
        <v xml:space="preserve"> </v>
      </c>
      <c r="R509" s="900" t="str">
        <f t="shared" si="86"/>
        <v xml:space="preserve"> </v>
      </c>
      <c r="S509" s="922" t="s">
        <v>2307</v>
      </c>
      <c r="T509" s="944" t="s">
        <v>53</v>
      </c>
      <c r="U509" s="927">
        <v>1.92</v>
      </c>
      <c r="V509" s="946"/>
      <c r="W509" s="900">
        <f>IF(S509&lt;&gt;0,VLOOKUP(S509,VKT!$A$2:$G$415,7,0),"")</f>
        <v>2093161</v>
      </c>
      <c r="X509" s="900">
        <f t="shared" si="102"/>
        <v>4019000</v>
      </c>
      <c r="Y509" s="925"/>
      <c r="Z509" s="928"/>
      <c r="AA509" s="928" t="s">
        <v>56</v>
      </c>
      <c r="AB509" s="904" t="s">
        <v>57</v>
      </c>
      <c r="AC509" s="928" t="s">
        <v>54</v>
      </c>
      <c r="AD509" s="928"/>
      <c r="AE509" s="928"/>
      <c r="AF509" s="926"/>
      <c r="AG509" s="906" t="str">
        <f>IF(AE509&lt;&gt;0,VLOOKUP(AE509,ODDS!$A$2:$C$13,3,0),"")</f>
        <v/>
      </c>
      <c r="AH509" s="906" t="str">
        <f t="shared" si="87"/>
        <v xml:space="preserve"> </v>
      </c>
      <c r="AI509" s="907" t="str">
        <f t="shared" si="99"/>
        <v xml:space="preserve"> </v>
      </c>
      <c r="AJ509" s="929"/>
      <c r="AK509" s="929"/>
    </row>
    <row r="510" spans="1:37" s="376" customFormat="1" ht="112.5" outlineLevel="2" x14ac:dyDescent="0.3">
      <c r="A510" s="447">
        <f t="shared" si="109"/>
        <v>44</v>
      </c>
      <c r="B510" s="893"/>
      <c r="C510" s="970"/>
      <c r="D510" s="923"/>
      <c r="E510" s="923"/>
      <c r="F510" s="896"/>
      <c r="G510" s="894"/>
      <c r="H510" s="924"/>
      <c r="I510" s="882"/>
      <c r="J510" s="929"/>
      <c r="K510" s="899" t="str">
        <f>IF(G510&lt;&gt;0,VLOOKUP(G510,'gia dat'!$A$1:$F$144,5,0)," ")</f>
        <v xml:space="preserve"> </v>
      </c>
      <c r="L510" s="899" t="str">
        <f>IF(G510&lt;&gt;0,VLOOKUP(G510,'gia dat'!$A$1:$F$144,6,0)," ")</f>
        <v xml:space="preserve"> </v>
      </c>
      <c r="M510" s="900" t="str">
        <f t="shared" si="107"/>
        <v xml:space="preserve"> </v>
      </c>
      <c r="N510" s="900" t="str">
        <f t="shared" si="108"/>
        <v xml:space="preserve"> </v>
      </c>
      <c r="O510" s="922"/>
      <c r="P510" s="965"/>
      <c r="Q510" s="900" t="str">
        <f>IF(O510&lt;&gt;0,VLOOKUP(O510,'Cây trong'!$A$2:$C$246,3,0)," ")</f>
        <v xml:space="preserve"> </v>
      </c>
      <c r="R510" s="900" t="str">
        <f t="shared" si="86"/>
        <v xml:space="preserve"> </v>
      </c>
      <c r="S510" s="922" t="s">
        <v>2307</v>
      </c>
      <c r="T510" s="944" t="s">
        <v>53</v>
      </c>
      <c r="U510" s="927">
        <v>1.92</v>
      </c>
      <c r="V510" s="925"/>
      <c r="W510" s="900">
        <f>IF(S510&lt;&gt;0,VLOOKUP(S510,VKT!$A$2:$G$415,7,0),"")</f>
        <v>2093161</v>
      </c>
      <c r="X510" s="900">
        <f t="shared" si="102"/>
        <v>4019000</v>
      </c>
      <c r="Y510" s="925"/>
      <c r="Z510" s="928"/>
      <c r="AA510" s="928" t="s">
        <v>56</v>
      </c>
      <c r="AB510" s="904" t="s">
        <v>57</v>
      </c>
      <c r="AC510" s="928" t="s">
        <v>54</v>
      </c>
      <c r="AD510" s="928"/>
      <c r="AE510" s="928"/>
      <c r="AF510" s="926"/>
      <c r="AG510" s="906" t="str">
        <f>IF(AE510&lt;&gt;0,VLOOKUP(AE510,ODDS!$A$2:$C$13,3,0),"")</f>
        <v/>
      </c>
      <c r="AH510" s="906" t="str">
        <f t="shared" si="87"/>
        <v xml:space="preserve"> </v>
      </c>
      <c r="AI510" s="907" t="str">
        <f t="shared" si="99"/>
        <v xml:space="preserve"> </v>
      </c>
      <c r="AJ510" s="929"/>
      <c r="AK510" s="929"/>
    </row>
    <row r="511" spans="1:37" s="376" customFormat="1" ht="45" outlineLevel="2" x14ac:dyDescent="0.3">
      <c r="A511" s="447">
        <f t="shared" si="109"/>
        <v>44</v>
      </c>
      <c r="B511" s="893"/>
      <c r="C511" s="910"/>
      <c r="D511" s="923"/>
      <c r="E511" s="923"/>
      <c r="F511" s="896"/>
      <c r="G511" s="894"/>
      <c r="H511" s="924"/>
      <c r="I511" s="882"/>
      <c r="J511" s="925"/>
      <c r="K511" s="899" t="str">
        <f>IF(G511&lt;&gt;0,VLOOKUP(G511,'gia dat'!$A$1:$F$144,5,0)," ")</f>
        <v xml:space="preserve"> </v>
      </c>
      <c r="L511" s="899" t="str">
        <f>IF(G511&lt;&gt;0,VLOOKUP(G511,'gia dat'!$A$1:$F$144,6,0)," ")</f>
        <v xml:space="preserve"> </v>
      </c>
      <c r="M511" s="900" t="str">
        <f t="shared" si="107"/>
        <v xml:space="preserve"> </v>
      </c>
      <c r="N511" s="900" t="str">
        <f t="shared" si="108"/>
        <v xml:space="preserve"> </v>
      </c>
      <c r="O511" s="894"/>
      <c r="P511" s="926"/>
      <c r="Q511" s="900" t="str">
        <f>IF(O511&lt;&gt;0,VLOOKUP(O511,'Cây trong'!$A$2:$C$246,3,0)," ")</f>
        <v xml:space="preserve"> </v>
      </c>
      <c r="R511" s="900" t="str">
        <f t="shared" si="86"/>
        <v xml:space="preserve"> </v>
      </c>
      <c r="S511" s="922" t="s">
        <v>1748</v>
      </c>
      <c r="T511" s="925" t="s">
        <v>53</v>
      </c>
      <c r="U511" s="927">
        <v>14.76</v>
      </c>
      <c r="V511" s="925"/>
      <c r="W511" s="900">
        <f>IF(S511&lt;&gt;0,VLOOKUP(S511,VKT!$A$2:$G$415,7,0),"")</f>
        <v>0</v>
      </c>
      <c r="X511" s="900">
        <f t="shared" si="102"/>
        <v>0</v>
      </c>
      <c r="Y511" s="925"/>
      <c r="Z511" s="928"/>
      <c r="AA511" s="928"/>
      <c r="AB511" s="904"/>
      <c r="AC511" s="928"/>
      <c r="AD511" s="928"/>
      <c r="AE511" s="928"/>
      <c r="AF511" s="926"/>
      <c r="AG511" s="906" t="str">
        <f>IF(AE511&lt;&gt;0,VLOOKUP(AE511,ODDS!$A$2:$C$13,3,0),"")</f>
        <v/>
      </c>
      <c r="AH511" s="906" t="str">
        <f t="shared" si="87"/>
        <v xml:space="preserve"> </v>
      </c>
      <c r="AI511" s="907" t="str">
        <f t="shared" si="99"/>
        <v xml:space="preserve"> </v>
      </c>
      <c r="AJ511" s="894"/>
      <c r="AK511" s="894"/>
    </row>
    <row r="512" spans="1:37" s="376" customFormat="1" ht="67.5" outlineLevel="2" x14ac:dyDescent="0.3">
      <c r="A512" s="447">
        <f t="shared" si="109"/>
        <v>44</v>
      </c>
      <c r="B512" s="893"/>
      <c r="C512" s="910"/>
      <c r="D512" s="923"/>
      <c r="E512" s="923"/>
      <c r="F512" s="896"/>
      <c r="G512" s="894"/>
      <c r="H512" s="924"/>
      <c r="I512" s="882"/>
      <c r="J512" s="925"/>
      <c r="K512" s="899" t="str">
        <f>IF(G512&lt;&gt;0,VLOOKUP(G512,'gia dat'!$A$1:$F$144,5,0)," ")</f>
        <v xml:space="preserve"> </v>
      </c>
      <c r="L512" s="899" t="str">
        <f>IF(G512&lt;&gt;0,VLOOKUP(G512,'gia dat'!$A$1:$F$144,6,0)," ")</f>
        <v xml:space="preserve"> </v>
      </c>
      <c r="M512" s="900" t="str">
        <f t="shared" si="107"/>
        <v xml:space="preserve"> </v>
      </c>
      <c r="N512" s="900" t="str">
        <f t="shared" si="108"/>
        <v xml:space="preserve"> </v>
      </c>
      <c r="O512" s="894"/>
      <c r="P512" s="926"/>
      <c r="Q512" s="900" t="str">
        <f>IF(O512&lt;&gt;0,VLOOKUP(O512,'Cây trong'!$A$2:$C$246,3,0)," ")</f>
        <v xml:space="preserve"> </v>
      </c>
      <c r="R512" s="900" t="str">
        <f t="shared" si="86"/>
        <v xml:space="preserve"> </v>
      </c>
      <c r="S512" s="902" t="s">
        <v>1749</v>
      </c>
      <c r="T512" s="925" t="s">
        <v>53</v>
      </c>
      <c r="U512" s="927">
        <v>14.76</v>
      </c>
      <c r="V512" s="925"/>
      <c r="W512" s="900">
        <f>IF(S512&lt;&gt;0,VLOOKUP(S512,VKT!$A$2:$G$415,7,0),"")</f>
        <v>211811</v>
      </c>
      <c r="X512" s="900">
        <f t="shared" si="102"/>
        <v>3126000</v>
      </c>
      <c r="Y512" s="925"/>
      <c r="Z512" s="928"/>
      <c r="AA512" s="928"/>
      <c r="AB512" s="904"/>
      <c r="AC512" s="928"/>
      <c r="AD512" s="928"/>
      <c r="AE512" s="928"/>
      <c r="AF512" s="926"/>
      <c r="AG512" s="906" t="str">
        <f>IF(AE512&lt;&gt;0,VLOOKUP(AE512,ODDS!$A$2:$C$13,3,0),"")</f>
        <v/>
      </c>
      <c r="AH512" s="906" t="str">
        <f t="shared" si="87"/>
        <v xml:space="preserve"> </v>
      </c>
      <c r="AI512" s="907" t="str">
        <f t="shared" si="99"/>
        <v xml:space="preserve"> </v>
      </c>
      <c r="AJ512" s="929"/>
      <c r="AK512" s="929"/>
    </row>
    <row r="513" spans="1:37" s="376" customFormat="1" ht="45" outlineLevel="2" x14ac:dyDescent="0.3">
      <c r="A513" s="447">
        <f t="shared" si="109"/>
        <v>44</v>
      </c>
      <c r="B513" s="893"/>
      <c r="C513" s="910"/>
      <c r="D513" s="923"/>
      <c r="E513" s="923"/>
      <c r="F513" s="896"/>
      <c r="G513" s="894"/>
      <c r="H513" s="924"/>
      <c r="I513" s="882"/>
      <c r="J513" s="925"/>
      <c r="K513" s="899" t="str">
        <f>IF(G513&lt;&gt;0,VLOOKUP(G513,'gia dat'!$A$1:$F$144,5,0)," ")</f>
        <v xml:space="preserve"> </v>
      </c>
      <c r="L513" s="899" t="str">
        <f>IF(G513&lt;&gt;0,VLOOKUP(G513,'gia dat'!$A$1:$F$144,6,0)," ")</f>
        <v xml:space="preserve"> </v>
      </c>
      <c r="M513" s="900" t="str">
        <f t="shared" si="107"/>
        <v xml:space="preserve"> </v>
      </c>
      <c r="N513" s="900" t="str">
        <f t="shared" si="108"/>
        <v xml:space="preserve"> </v>
      </c>
      <c r="O513" s="894"/>
      <c r="P513" s="926"/>
      <c r="Q513" s="900" t="str">
        <f>IF(O513&lt;&gt;0,VLOOKUP(O513,'Cây trong'!$A$2:$C$246,3,0)," ")</f>
        <v xml:space="preserve"> </v>
      </c>
      <c r="R513" s="900" t="str">
        <f t="shared" ref="R513:R581" si="110">IF(O513&lt;&gt;0,ROUND(P513*Q513,-2)," ")</f>
        <v xml:space="preserve"> </v>
      </c>
      <c r="S513" s="902" t="s">
        <v>2291</v>
      </c>
      <c r="T513" s="925" t="s">
        <v>78</v>
      </c>
      <c r="U513" s="927">
        <v>0.02</v>
      </c>
      <c r="V513" s="925"/>
      <c r="W513" s="900">
        <f>IF(S513&lt;&gt;0,VLOOKUP(S513,VKT!$A$2:$G$415,7,0),"")</f>
        <v>0</v>
      </c>
      <c r="X513" s="900">
        <f t="shared" si="102"/>
        <v>0</v>
      </c>
      <c r="Y513" s="925"/>
      <c r="Z513" s="928"/>
      <c r="AA513" s="928"/>
      <c r="AB513" s="904"/>
      <c r="AC513" s="928"/>
      <c r="AD513" s="928"/>
      <c r="AE513" s="928"/>
      <c r="AF513" s="926"/>
      <c r="AG513" s="906" t="str">
        <f>IF(AE513&lt;&gt;0,VLOOKUP(AE513,ODDS!$A$2:$C$13,3,0),"")</f>
        <v/>
      </c>
      <c r="AH513" s="906" t="str">
        <f t="shared" ref="AH513:AH581" si="111">IF(AE513&lt;&gt;0,ROUND(AF513*AG513,-2)," ")</f>
        <v xml:space="preserve"> </v>
      </c>
      <c r="AI513" s="907" t="str">
        <f t="shared" si="99"/>
        <v xml:space="preserve"> </v>
      </c>
      <c r="AJ513" s="929"/>
      <c r="AK513" s="929"/>
    </row>
    <row r="514" spans="1:37" s="376" customFormat="1" ht="45" outlineLevel="2" x14ac:dyDescent="0.3">
      <c r="A514" s="447">
        <f t="shared" si="109"/>
        <v>44</v>
      </c>
      <c r="B514" s="893"/>
      <c r="C514" s="910"/>
      <c r="D514" s="923"/>
      <c r="E514" s="923"/>
      <c r="F514" s="896"/>
      <c r="G514" s="894"/>
      <c r="H514" s="924"/>
      <c r="I514" s="882"/>
      <c r="J514" s="925"/>
      <c r="K514" s="899" t="str">
        <f>IF(G514&lt;&gt;0,VLOOKUP(G514,'gia dat'!$A$1:$F$144,5,0)," ")</f>
        <v xml:space="preserve"> </v>
      </c>
      <c r="L514" s="899" t="str">
        <f>IF(G514&lt;&gt;0,VLOOKUP(G514,'gia dat'!$A$1:$F$144,6,0)," ")</f>
        <v xml:space="preserve"> </v>
      </c>
      <c r="M514" s="900" t="str">
        <f t="shared" si="107"/>
        <v xml:space="preserve"> </v>
      </c>
      <c r="N514" s="900" t="str">
        <f t="shared" si="108"/>
        <v xml:space="preserve"> </v>
      </c>
      <c r="O514" s="894"/>
      <c r="P514" s="926"/>
      <c r="Q514" s="900" t="str">
        <f>IF(O514&lt;&gt;0,VLOOKUP(O514,'Cây trong'!$A$2:$C$246,3,0)," ")</f>
        <v xml:space="preserve"> </v>
      </c>
      <c r="R514" s="900" t="str">
        <f t="shared" si="110"/>
        <v xml:space="preserve"> </v>
      </c>
      <c r="S514" s="902" t="s">
        <v>2293</v>
      </c>
      <c r="T514" s="925" t="s">
        <v>53</v>
      </c>
      <c r="U514" s="927">
        <v>0.5</v>
      </c>
      <c r="V514" s="925"/>
      <c r="W514" s="900">
        <f>IF(S514&lt;&gt;0,VLOOKUP(S514,VKT!$A$2:$G$415,7,0),"")</f>
        <v>254982</v>
      </c>
      <c r="X514" s="900">
        <f t="shared" si="102"/>
        <v>127000</v>
      </c>
      <c r="Y514" s="925"/>
      <c r="Z514" s="928"/>
      <c r="AA514" s="928"/>
      <c r="AB514" s="904"/>
      <c r="AC514" s="928"/>
      <c r="AD514" s="928"/>
      <c r="AE514" s="928"/>
      <c r="AF514" s="926"/>
      <c r="AG514" s="906" t="str">
        <f>IF(AE514&lt;&gt;0,VLOOKUP(AE514,ODDS!$A$2:$C$13,3,0),"")</f>
        <v/>
      </c>
      <c r="AH514" s="906" t="str">
        <f t="shared" si="111"/>
        <v xml:space="preserve"> </v>
      </c>
      <c r="AI514" s="907" t="str">
        <f t="shared" si="99"/>
        <v xml:space="preserve"> </v>
      </c>
      <c r="AJ514" s="929"/>
      <c r="AK514" s="929"/>
    </row>
    <row r="515" spans="1:37" s="376" customFormat="1" ht="67.5" outlineLevel="2" x14ac:dyDescent="0.3">
      <c r="A515" s="447">
        <f t="shared" si="109"/>
        <v>44</v>
      </c>
      <c r="B515" s="893"/>
      <c r="C515" s="910"/>
      <c r="D515" s="923"/>
      <c r="E515" s="923"/>
      <c r="F515" s="896"/>
      <c r="G515" s="894"/>
      <c r="H515" s="924"/>
      <c r="I515" s="882"/>
      <c r="J515" s="925"/>
      <c r="K515" s="899" t="str">
        <f>IF(G515&lt;&gt;0,VLOOKUP(G515,'gia dat'!$A$1:$F$144,5,0)," ")</f>
        <v xml:space="preserve"> </v>
      </c>
      <c r="L515" s="899" t="str">
        <f>IF(G515&lt;&gt;0,VLOOKUP(G515,'gia dat'!$A$1:$F$144,6,0)," ")</f>
        <v xml:space="preserve"> </v>
      </c>
      <c r="M515" s="900" t="str">
        <f t="shared" si="107"/>
        <v xml:space="preserve"> </v>
      </c>
      <c r="N515" s="900" t="str">
        <f t="shared" si="108"/>
        <v xml:space="preserve"> </v>
      </c>
      <c r="O515" s="894"/>
      <c r="P515" s="926"/>
      <c r="Q515" s="900" t="str">
        <f>IF(O515&lt;&gt;0,VLOOKUP(O515,'Cây trong'!$A$2:$C$246,3,0)," ")</f>
        <v xml:space="preserve"> </v>
      </c>
      <c r="R515" s="900" t="str">
        <f t="shared" si="110"/>
        <v xml:space="preserve"> </v>
      </c>
      <c r="S515" s="902" t="s">
        <v>2315</v>
      </c>
      <c r="T515" s="925" t="s">
        <v>53</v>
      </c>
      <c r="U515" s="927">
        <v>0.2</v>
      </c>
      <c r="V515" s="925"/>
      <c r="W515" s="900">
        <f>IF(S515&lt;&gt;0,VLOOKUP(S515,VKT!$A$2:$G$415,7,0),"")</f>
        <v>310020</v>
      </c>
      <c r="X515" s="900">
        <f t="shared" si="102"/>
        <v>62000</v>
      </c>
      <c r="Y515" s="925"/>
      <c r="Z515" s="928"/>
      <c r="AA515" s="928"/>
      <c r="AB515" s="904"/>
      <c r="AC515" s="928"/>
      <c r="AD515" s="928"/>
      <c r="AE515" s="928"/>
      <c r="AF515" s="926"/>
      <c r="AG515" s="906" t="str">
        <f>IF(AE515&lt;&gt;0,VLOOKUP(AE515,ODDS!$A$2:$C$13,3,0),"")</f>
        <v/>
      </c>
      <c r="AH515" s="906" t="str">
        <f t="shared" si="111"/>
        <v xml:space="preserve"> </v>
      </c>
      <c r="AI515" s="907" t="str">
        <f t="shared" si="99"/>
        <v xml:space="preserve"> </v>
      </c>
      <c r="AJ515" s="929"/>
      <c r="AK515" s="929"/>
    </row>
    <row r="516" spans="1:37" s="376" customFormat="1" ht="112.5" outlineLevel="2" x14ac:dyDescent="0.3">
      <c r="A516" s="447">
        <f t="shared" si="109"/>
        <v>44</v>
      </c>
      <c r="B516" s="893"/>
      <c r="C516" s="910"/>
      <c r="D516" s="923"/>
      <c r="E516" s="923"/>
      <c r="F516" s="896"/>
      <c r="G516" s="894"/>
      <c r="H516" s="924"/>
      <c r="I516" s="882"/>
      <c r="J516" s="925"/>
      <c r="K516" s="899" t="str">
        <f>IF(G516&lt;&gt;0,VLOOKUP(G516,'gia dat'!$A$1:$F$144,5,0)," ")</f>
        <v xml:space="preserve"> </v>
      </c>
      <c r="L516" s="899" t="str">
        <f>IF(G516&lt;&gt;0,VLOOKUP(G516,'gia dat'!$A$1:$F$144,6,0)," ")</f>
        <v xml:space="preserve"> </v>
      </c>
      <c r="M516" s="900" t="str">
        <f t="shared" si="107"/>
        <v xml:space="preserve"> </v>
      </c>
      <c r="N516" s="900" t="str">
        <f t="shared" si="108"/>
        <v xml:space="preserve"> </v>
      </c>
      <c r="O516" s="894"/>
      <c r="P516" s="926"/>
      <c r="Q516" s="900" t="str">
        <f>IF(O516&lt;&gt;0,VLOOKUP(O516,'Cây trong'!$A$2:$C$246,3,0)," ")</f>
        <v xml:space="preserve"> </v>
      </c>
      <c r="R516" s="900" t="str">
        <f t="shared" si="110"/>
        <v xml:space="preserve"> </v>
      </c>
      <c r="S516" s="902" t="s">
        <v>2316</v>
      </c>
      <c r="T516" s="925" t="s">
        <v>53</v>
      </c>
      <c r="U516" s="927">
        <v>4.92</v>
      </c>
      <c r="V516" s="925"/>
      <c r="W516" s="900">
        <f>IF(S516&lt;&gt;0,VLOOKUP(S516,VKT!$A$2:$G$415,7,0),"")</f>
        <v>441467</v>
      </c>
      <c r="X516" s="900">
        <f t="shared" si="102"/>
        <v>2172000</v>
      </c>
      <c r="Y516" s="925"/>
      <c r="Z516" s="928"/>
      <c r="AA516" s="928"/>
      <c r="AB516" s="904"/>
      <c r="AC516" s="928"/>
      <c r="AD516" s="928"/>
      <c r="AE516" s="928"/>
      <c r="AF516" s="926"/>
      <c r="AG516" s="906" t="str">
        <f>IF(AE516&lt;&gt;0,VLOOKUP(AE516,ODDS!$A$2:$C$13,3,0),"")</f>
        <v/>
      </c>
      <c r="AH516" s="906" t="str">
        <f t="shared" si="111"/>
        <v xml:space="preserve"> </v>
      </c>
      <c r="AI516" s="907" t="str">
        <f t="shared" si="99"/>
        <v xml:space="preserve"> </v>
      </c>
      <c r="AJ516" s="929"/>
      <c r="AK516" s="929"/>
    </row>
    <row r="517" spans="1:37" s="376" customFormat="1" ht="45" outlineLevel="2" x14ac:dyDescent="0.3">
      <c r="A517" s="447">
        <f t="shared" si="109"/>
        <v>44</v>
      </c>
      <c r="B517" s="893"/>
      <c r="C517" s="910"/>
      <c r="D517" s="923"/>
      <c r="E517" s="923"/>
      <c r="F517" s="896"/>
      <c r="G517" s="894"/>
      <c r="H517" s="924"/>
      <c r="I517" s="882"/>
      <c r="J517" s="925"/>
      <c r="K517" s="899" t="str">
        <f>IF(G517&lt;&gt;0,VLOOKUP(G517,'gia dat'!$A$1:$F$144,5,0)," ")</f>
        <v xml:space="preserve"> </v>
      </c>
      <c r="L517" s="899" t="str">
        <f>IF(G517&lt;&gt;0,VLOOKUP(G517,'gia dat'!$A$1:$F$144,6,0)," ")</f>
        <v xml:space="preserve"> </v>
      </c>
      <c r="M517" s="900" t="str">
        <f t="shared" si="107"/>
        <v xml:space="preserve"> </v>
      </c>
      <c r="N517" s="900" t="str">
        <f t="shared" si="108"/>
        <v xml:space="preserve"> </v>
      </c>
      <c r="O517" s="894"/>
      <c r="P517" s="926"/>
      <c r="Q517" s="900" t="str">
        <f>IF(O517&lt;&gt;0,VLOOKUP(O517,'Cây trong'!$A$2:$C$246,3,0)," ")</f>
        <v xml:space="preserve"> </v>
      </c>
      <c r="R517" s="900" t="str">
        <f t="shared" si="110"/>
        <v xml:space="preserve"> </v>
      </c>
      <c r="S517" s="902" t="s">
        <v>1757</v>
      </c>
      <c r="T517" s="925" t="s">
        <v>53</v>
      </c>
      <c r="U517" s="927">
        <v>15.3</v>
      </c>
      <c r="V517" s="925"/>
      <c r="W517" s="900">
        <f>IF(S517&lt;&gt;0,VLOOKUP(S517,VKT!$A$2:$G$415,7,0),"")</f>
        <v>157477</v>
      </c>
      <c r="X517" s="900">
        <f t="shared" si="102"/>
        <v>2409000</v>
      </c>
      <c r="Y517" s="925"/>
      <c r="Z517" s="928"/>
      <c r="AA517" s="928"/>
      <c r="AB517" s="904"/>
      <c r="AC517" s="928"/>
      <c r="AD517" s="928"/>
      <c r="AE517" s="928"/>
      <c r="AF517" s="926"/>
      <c r="AG517" s="906" t="str">
        <f>IF(AE517&lt;&gt;0,VLOOKUP(AE517,ODDS!$A$2:$C$13,3,0),"")</f>
        <v/>
      </c>
      <c r="AH517" s="906" t="str">
        <f t="shared" si="111"/>
        <v xml:space="preserve"> </v>
      </c>
      <c r="AI517" s="907" t="str">
        <f t="shared" si="99"/>
        <v xml:space="preserve"> </v>
      </c>
      <c r="AJ517" s="929"/>
      <c r="AK517" s="929"/>
    </row>
    <row r="518" spans="1:37" s="376" customFormat="1" ht="45" outlineLevel="2" x14ac:dyDescent="0.3">
      <c r="A518" s="447">
        <f t="shared" si="109"/>
        <v>44</v>
      </c>
      <c r="B518" s="893"/>
      <c r="C518" s="910"/>
      <c r="D518" s="923"/>
      <c r="E518" s="923"/>
      <c r="F518" s="896"/>
      <c r="G518" s="894"/>
      <c r="H518" s="924"/>
      <c r="I518" s="882"/>
      <c r="J518" s="925"/>
      <c r="K518" s="899" t="str">
        <f>IF(G518&lt;&gt;0,VLOOKUP(G518,'gia dat'!$A$1:$F$144,5,0)," ")</f>
        <v xml:space="preserve"> </v>
      </c>
      <c r="L518" s="899" t="str">
        <f>IF(G518&lt;&gt;0,VLOOKUP(G518,'gia dat'!$A$1:$F$144,6,0)," ")</f>
        <v xml:space="preserve"> </v>
      </c>
      <c r="M518" s="900" t="str">
        <f t="shared" si="107"/>
        <v xml:space="preserve"> </v>
      </c>
      <c r="N518" s="900" t="str">
        <f t="shared" si="108"/>
        <v xml:space="preserve"> </v>
      </c>
      <c r="O518" s="894"/>
      <c r="P518" s="926"/>
      <c r="Q518" s="900" t="str">
        <f>IF(O518&lt;&gt;0,VLOOKUP(O518,'Cây trong'!$A$2:$C$246,3,0)," ")</f>
        <v xml:space="preserve"> </v>
      </c>
      <c r="R518" s="900" t="str">
        <f t="shared" si="110"/>
        <v xml:space="preserve"> </v>
      </c>
      <c r="S518" s="902" t="s">
        <v>2317</v>
      </c>
      <c r="T518" s="925" t="s">
        <v>53</v>
      </c>
      <c r="U518" s="927">
        <v>15.3</v>
      </c>
      <c r="V518" s="925"/>
      <c r="W518" s="900">
        <f>IF(S518&lt;&gt;0,VLOOKUP(S518,VKT!$A$2:$G$415,7,0),"")</f>
        <v>242324</v>
      </c>
      <c r="X518" s="900">
        <f t="shared" si="102"/>
        <v>3708000</v>
      </c>
      <c r="Y518" s="925"/>
      <c r="Z518" s="928"/>
      <c r="AA518" s="928"/>
      <c r="AB518" s="904"/>
      <c r="AC518" s="928"/>
      <c r="AD518" s="928"/>
      <c r="AE518" s="928"/>
      <c r="AF518" s="926"/>
      <c r="AG518" s="906" t="str">
        <f>IF(AE518&lt;&gt;0,VLOOKUP(AE518,ODDS!$A$2:$C$13,3,0),"")</f>
        <v/>
      </c>
      <c r="AH518" s="906" t="str">
        <f t="shared" si="111"/>
        <v xml:space="preserve"> </v>
      </c>
      <c r="AI518" s="907" t="str">
        <f t="shared" si="99"/>
        <v xml:space="preserve"> </v>
      </c>
      <c r="AJ518" s="929"/>
      <c r="AK518" s="929"/>
    </row>
    <row r="519" spans="1:37" s="376" customFormat="1" ht="22.5" outlineLevel="2" x14ac:dyDescent="0.3">
      <c r="A519" s="447">
        <f t="shared" si="109"/>
        <v>44</v>
      </c>
      <c r="B519" s="893"/>
      <c r="C519" s="910"/>
      <c r="D519" s="923"/>
      <c r="E519" s="923"/>
      <c r="F519" s="950"/>
      <c r="G519" s="894"/>
      <c r="H519" s="940"/>
      <c r="I519" s="882"/>
      <c r="J519" s="929"/>
      <c r="K519" s="899" t="str">
        <f>IF(G519&lt;&gt;0,VLOOKUP(G519,'gia dat'!$A$1:$F$144,5,0)," ")</f>
        <v xml:space="preserve"> </v>
      </c>
      <c r="L519" s="899" t="str">
        <f>IF(G519&lt;&gt;0,VLOOKUP(G519,'gia dat'!$A$1:$F$144,6,0)," ")</f>
        <v xml:space="preserve"> </v>
      </c>
      <c r="M519" s="900" t="str">
        <f t="shared" si="107"/>
        <v xml:space="preserve"> </v>
      </c>
      <c r="N519" s="900" t="str">
        <f t="shared" si="108"/>
        <v xml:space="preserve"> </v>
      </c>
      <c r="O519" s="929"/>
      <c r="P519" s="951"/>
      <c r="Q519" s="900" t="str">
        <f>IF(O519&lt;&gt;0,VLOOKUP(O519,'Cây trong'!$A$2:$C$246,3,0)," ")</f>
        <v xml:space="preserve"> </v>
      </c>
      <c r="R519" s="900" t="str">
        <f t="shared" si="110"/>
        <v xml:space="preserve"> </v>
      </c>
      <c r="S519" s="929"/>
      <c r="T519" s="929"/>
      <c r="U519" s="952"/>
      <c r="V519" s="925"/>
      <c r="W519" s="900" t="str">
        <f>IF(S519&lt;&gt;0,VLOOKUP(S519,VKT!$A$2:$G$415,7,0),"")</f>
        <v/>
      </c>
      <c r="X519" s="900" t="str">
        <f t="shared" si="102"/>
        <v xml:space="preserve"> </v>
      </c>
      <c r="Y519" s="925"/>
      <c r="Z519" s="925"/>
      <c r="AA519" s="925"/>
      <c r="AB519" s="898"/>
      <c r="AC519" s="925"/>
      <c r="AD519" s="925"/>
      <c r="AE519" s="925"/>
      <c r="AF519" s="964"/>
      <c r="AG519" s="906" t="str">
        <f>IF(AE519&lt;&gt;0,VLOOKUP(AE519,ODDS!$A$2:$C$13,3,0),"")</f>
        <v/>
      </c>
      <c r="AH519" s="906" t="str">
        <f t="shared" si="111"/>
        <v xml:space="preserve"> </v>
      </c>
      <c r="AI519" s="907" t="str">
        <f t="shared" si="99"/>
        <v xml:space="preserve"> </v>
      </c>
      <c r="AJ519" s="929"/>
      <c r="AK519" s="929"/>
    </row>
    <row r="520" spans="1:37" s="376" customFormat="1" ht="22.5" outlineLevel="2" x14ac:dyDescent="0.3">
      <c r="A520" s="447">
        <f t="shared" si="109"/>
        <v>44</v>
      </c>
      <c r="B520" s="893"/>
      <c r="C520" s="942"/>
      <c r="D520" s="923"/>
      <c r="E520" s="923"/>
      <c r="F520" s="896"/>
      <c r="G520" s="894"/>
      <c r="H520" s="924"/>
      <c r="I520" s="882"/>
      <c r="J520" s="925"/>
      <c r="K520" s="899" t="str">
        <f>IF(G520&lt;&gt;0,VLOOKUP(G520,'gia dat'!$A$1:$F$144,5,0)," ")</f>
        <v xml:space="preserve"> </v>
      </c>
      <c r="L520" s="899" t="str">
        <f>IF(G520&lt;&gt;0,VLOOKUP(G520,'gia dat'!$A$1:$F$144,6,0)," ")</f>
        <v xml:space="preserve"> </v>
      </c>
      <c r="M520" s="900" t="str">
        <f t="shared" si="107"/>
        <v xml:space="preserve"> </v>
      </c>
      <c r="N520" s="900" t="str">
        <f t="shared" si="108"/>
        <v xml:space="preserve"> </v>
      </c>
      <c r="O520" s="894"/>
      <c r="P520" s="926"/>
      <c r="Q520" s="900" t="str">
        <f>IF(O520&lt;&gt;0,VLOOKUP(O520,'Cây trong'!$A$2:$C$246,3,0)," ")</f>
        <v xml:space="preserve"> </v>
      </c>
      <c r="R520" s="900" t="str">
        <f t="shared" si="110"/>
        <v xml:space="preserve"> </v>
      </c>
      <c r="S520" s="902"/>
      <c r="T520" s="925"/>
      <c r="U520" s="927"/>
      <c r="V520" s="925"/>
      <c r="W520" s="900" t="str">
        <f>IF(S520&lt;&gt;0,VLOOKUP(S520,VKT!$A$2:$G$415,7,0),"")</f>
        <v/>
      </c>
      <c r="X520" s="900" t="str">
        <f t="shared" si="102"/>
        <v xml:space="preserve"> </v>
      </c>
      <c r="Y520" s="925"/>
      <c r="Z520" s="928"/>
      <c r="AA520" s="928"/>
      <c r="AB520" s="904"/>
      <c r="AC520" s="928"/>
      <c r="AD520" s="928"/>
      <c r="AE520" s="928"/>
      <c r="AF520" s="926"/>
      <c r="AG520" s="906" t="str">
        <f>IF(AE520&lt;&gt;0,VLOOKUP(AE520,ODDS!$A$2:$C$13,3,0),"")</f>
        <v/>
      </c>
      <c r="AH520" s="906" t="str">
        <f t="shared" si="111"/>
        <v xml:space="preserve"> </v>
      </c>
      <c r="AI520" s="907" t="str">
        <f t="shared" si="99"/>
        <v xml:space="preserve"> </v>
      </c>
      <c r="AJ520" s="929"/>
      <c r="AK520" s="929"/>
    </row>
    <row r="521" spans="1:37" s="376" customFormat="1" ht="22.5" outlineLevel="1" x14ac:dyDescent="0.3">
      <c r="A521" s="467" t="s">
        <v>2665</v>
      </c>
      <c r="B521" s="912">
        <v>45</v>
      </c>
      <c r="C521" s="942" t="s">
        <v>2179</v>
      </c>
      <c r="D521" s="930"/>
      <c r="E521" s="958"/>
      <c r="F521" s="958"/>
      <c r="G521" s="959"/>
      <c r="H521" s="960">
        <f>SUBTOTAL(9,H522:H538)</f>
        <v>0</v>
      </c>
      <c r="I521" s="915">
        <f>SUBTOTAL(9,I522:I527)</f>
        <v>0</v>
      </c>
      <c r="J521" s="933"/>
      <c r="K521" s="917"/>
      <c r="L521" s="917"/>
      <c r="M521" s="907">
        <f>SUBTOTAL(9,M522:M538)</f>
        <v>0</v>
      </c>
      <c r="N521" s="907">
        <f>SUBTOTAL(9,N522:N538)</f>
        <v>0</v>
      </c>
      <c r="O521" s="934"/>
      <c r="P521" s="935">
        <f>SUBTOTAL(9,P522:P538)</f>
        <v>0</v>
      </c>
      <c r="Q521" s="907"/>
      <c r="R521" s="907">
        <f>SUBTOTAL(9,R522:R538)</f>
        <v>0</v>
      </c>
      <c r="S521" s="918"/>
      <c r="T521" s="933"/>
      <c r="U521" s="936">
        <f>SUBTOTAL(9,U522:U538)</f>
        <v>112.16</v>
      </c>
      <c r="V521" s="933"/>
      <c r="W521" s="907"/>
      <c r="X521" s="907">
        <f>SUBTOTAL(9,X522:X538)</f>
        <v>122341000</v>
      </c>
      <c r="Y521" s="925"/>
      <c r="Z521" s="928"/>
      <c r="AA521" s="928"/>
      <c r="AB521" s="904"/>
      <c r="AC521" s="928"/>
      <c r="AD521" s="904"/>
      <c r="AE521" s="920"/>
      <c r="AF521" s="917">
        <f>SUBTOTAL(9,AF522:AF538)</f>
        <v>0</v>
      </c>
      <c r="AG521" s="921"/>
      <c r="AH521" s="921">
        <f>SUBTOTAL(9,AH522:AH538)</f>
        <v>0</v>
      </c>
      <c r="AI521" s="907">
        <f t="shared" ref="AI521:AI584" si="112">IF(B521&lt;&gt;0,M521+N521+R521+X521+AH521," ")</f>
        <v>122341000</v>
      </c>
      <c r="AJ521" s="943"/>
      <c r="AK521" s="910"/>
    </row>
    <row r="522" spans="1:37" s="376" customFormat="1" ht="112.5" outlineLevel="2" x14ac:dyDescent="0.35">
      <c r="A522" s="447">
        <f>IF(B521&lt;&gt;0,B521,A520)</f>
        <v>45</v>
      </c>
      <c r="B522" s="893"/>
      <c r="C522" s="908" t="s">
        <v>198</v>
      </c>
      <c r="D522" s="930">
        <v>1</v>
      </c>
      <c r="E522" s="962"/>
      <c r="F522" s="962"/>
      <c r="G522" s="911"/>
      <c r="H522" s="897"/>
      <c r="I522" s="882"/>
      <c r="J522" s="925"/>
      <c r="K522" s="899" t="str">
        <f>IF(G522&lt;&gt;0,VLOOKUP(G522,'gia dat'!$A$1:$F$144,5,0)," ")</f>
        <v xml:space="preserve"> </v>
      </c>
      <c r="L522" s="899" t="str">
        <f>IF(G522&lt;&gt;0,VLOOKUP(G522,'gia dat'!$A$1:$F$144,6,0)," ")</f>
        <v xml:space="preserve"> </v>
      </c>
      <c r="M522" s="900" t="str">
        <f t="shared" si="107"/>
        <v xml:space="preserve"> </v>
      </c>
      <c r="N522" s="900" t="str">
        <f t="shared" si="108"/>
        <v xml:space="preserve"> </v>
      </c>
      <c r="O522" s="901"/>
      <c r="P522" s="926"/>
      <c r="Q522" s="900" t="str">
        <f>IF(O522&lt;&gt;0,VLOOKUP(O522,'Cây trong'!$A$2:$C$246,3,0)," ")</f>
        <v xml:space="preserve"> </v>
      </c>
      <c r="R522" s="900" t="str">
        <f t="shared" si="110"/>
        <v xml:space="preserve"> </v>
      </c>
      <c r="S522" s="902" t="s">
        <v>1838</v>
      </c>
      <c r="T522" s="925" t="s">
        <v>53</v>
      </c>
      <c r="U522" s="927">
        <v>15.3</v>
      </c>
      <c r="V522" s="925"/>
      <c r="W522" s="900">
        <f>IF(S522&lt;&gt;0,VLOOKUP(S522,VKT!$A$2:$G$415,7,0),"")</f>
        <v>3156089</v>
      </c>
      <c r="X522" s="900">
        <f t="shared" si="102"/>
        <v>48288000</v>
      </c>
      <c r="Y522" s="925" t="s">
        <v>63</v>
      </c>
      <c r="Z522" s="928" t="s">
        <v>55</v>
      </c>
      <c r="AA522" s="928" t="s">
        <v>56</v>
      </c>
      <c r="AB522" s="904" t="s">
        <v>57</v>
      </c>
      <c r="AC522" s="928" t="s">
        <v>54</v>
      </c>
      <c r="AD522" s="904" t="s">
        <v>206</v>
      </c>
      <c r="AE522" s="904"/>
      <c r="AF522" s="899"/>
      <c r="AG522" s="906" t="str">
        <f>IF(AE522&lt;&gt;0,VLOOKUP(AE522,ODDS!$A$2:$C$13,3,0),"")</f>
        <v/>
      </c>
      <c r="AH522" s="906" t="str">
        <f t="shared" si="111"/>
        <v xml:space="preserve"> </v>
      </c>
      <c r="AI522" s="907" t="str">
        <f t="shared" si="112"/>
        <v xml:space="preserve"> </v>
      </c>
      <c r="AJ522" s="929" t="s">
        <v>207</v>
      </c>
      <c r="AK522" s="894" t="s">
        <v>2450</v>
      </c>
    </row>
    <row r="523" spans="1:37" s="376" customFormat="1" ht="112.5" outlineLevel="2" x14ac:dyDescent="0.3">
      <c r="A523" s="447">
        <f t="shared" ref="A523:A538" si="113">IF(B522&lt;&gt;0,B522,A522)</f>
        <v>45</v>
      </c>
      <c r="B523" s="893"/>
      <c r="C523" s="963" t="s">
        <v>673</v>
      </c>
      <c r="D523" s="939"/>
      <c r="E523" s="947"/>
      <c r="F523" s="947"/>
      <c r="G523" s="922"/>
      <c r="H523" s="924"/>
      <c r="I523" s="882"/>
      <c r="J523" s="925"/>
      <c r="K523" s="899" t="str">
        <f>IF(G523&lt;&gt;0,VLOOKUP(G523,'gia dat'!$A$1:$F$144,5,0)," ")</f>
        <v xml:space="preserve"> </v>
      </c>
      <c r="L523" s="899" t="str">
        <f>IF(G523&lt;&gt;0,VLOOKUP(G523,'gia dat'!$A$1:$F$144,6,0)," ")</f>
        <v xml:space="preserve"> </v>
      </c>
      <c r="M523" s="900" t="str">
        <f t="shared" si="107"/>
        <v xml:space="preserve"> </v>
      </c>
      <c r="N523" s="900" t="str">
        <f t="shared" si="108"/>
        <v xml:space="preserve"> </v>
      </c>
      <c r="O523" s="894"/>
      <c r="P523" s="926"/>
      <c r="Q523" s="900" t="str">
        <f>IF(O523&lt;&gt;0,VLOOKUP(O523,'Cây trong'!$A$2:$C$246,3,0)," ")</f>
        <v xml:space="preserve"> </v>
      </c>
      <c r="R523" s="900" t="str">
        <f t="shared" si="110"/>
        <v xml:space="preserve"> </v>
      </c>
      <c r="S523" s="922" t="s">
        <v>1838</v>
      </c>
      <c r="T523" s="944" t="s">
        <v>53</v>
      </c>
      <c r="U523" s="927">
        <v>15.3</v>
      </c>
      <c r="V523" s="925"/>
      <c r="W523" s="900">
        <f>IF(S523&lt;&gt;0,VLOOKUP(S523,VKT!$A$2:$G$415,7,0),"")</f>
        <v>3156089</v>
      </c>
      <c r="X523" s="900">
        <f t="shared" si="102"/>
        <v>48288000</v>
      </c>
      <c r="Y523" s="925" t="s">
        <v>63</v>
      </c>
      <c r="Z523" s="928" t="s">
        <v>55</v>
      </c>
      <c r="AA523" s="928" t="s">
        <v>56</v>
      </c>
      <c r="AB523" s="904" t="s">
        <v>57</v>
      </c>
      <c r="AC523" s="928" t="s">
        <v>54</v>
      </c>
      <c r="AD523" s="904" t="s">
        <v>206</v>
      </c>
      <c r="AE523" s="904"/>
      <c r="AF523" s="899"/>
      <c r="AG523" s="906" t="str">
        <f>IF(AE523&lt;&gt;0,VLOOKUP(AE523,ODDS!$A$2:$C$13,3,0),"")</f>
        <v/>
      </c>
      <c r="AH523" s="906" t="str">
        <f t="shared" si="111"/>
        <v xml:space="preserve"> </v>
      </c>
      <c r="AI523" s="907" t="str">
        <f t="shared" si="112"/>
        <v xml:space="preserve"> </v>
      </c>
      <c r="AJ523" s="910" t="s">
        <v>1731</v>
      </c>
      <c r="AK523" s="894" t="s">
        <v>2800</v>
      </c>
    </row>
    <row r="524" spans="1:37" s="376" customFormat="1" ht="112.5" outlineLevel="2" x14ac:dyDescent="0.35">
      <c r="A524" s="447">
        <f t="shared" si="113"/>
        <v>45</v>
      </c>
      <c r="B524" s="893"/>
      <c r="C524" s="894"/>
      <c r="D524" s="923"/>
      <c r="E524" s="923"/>
      <c r="F524" s="896"/>
      <c r="G524" s="894"/>
      <c r="H524" s="924"/>
      <c r="I524" s="882"/>
      <c r="J524" s="925"/>
      <c r="K524" s="899" t="str">
        <f>IF(G524&lt;&gt;0,VLOOKUP(G524,'gia dat'!$A$1:$F$144,5,0)," ")</f>
        <v xml:space="preserve"> </v>
      </c>
      <c r="L524" s="899" t="str">
        <f>IF(G524&lt;&gt;0,VLOOKUP(G524,'gia dat'!$A$1:$F$144,6,0)," ")</f>
        <v xml:space="preserve"> </v>
      </c>
      <c r="M524" s="900" t="str">
        <f t="shared" si="107"/>
        <v xml:space="preserve"> </v>
      </c>
      <c r="N524" s="900" t="str">
        <f t="shared" si="108"/>
        <v xml:space="preserve"> </v>
      </c>
      <c r="O524" s="894"/>
      <c r="P524" s="926"/>
      <c r="Q524" s="900" t="str">
        <f>IF(O524&lt;&gt;0,VLOOKUP(O524,'Cây trong'!$A$2:$C$246,3,0)," ")</f>
        <v xml:space="preserve"> </v>
      </c>
      <c r="R524" s="900" t="str">
        <f t="shared" si="110"/>
        <v xml:space="preserve"> </v>
      </c>
      <c r="S524" s="902" t="s">
        <v>2307</v>
      </c>
      <c r="T524" s="925" t="s">
        <v>53</v>
      </c>
      <c r="U524" s="927">
        <v>1.92</v>
      </c>
      <c r="V524" s="925"/>
      <c r="W524" s="900">
        <f>IF(S524&lt;&gt;0,VLOOKUP(S524,VKT!$A$2:$G$415,7,0),"")</f>
        <v>2093161</v>
      </c>
      <c r="X524" s="900">
        <f t="shared" si="102"/>
        <v>4019000</v>
      </c>
      <c r="Y524" s="925"/>
      <c r="Z524" s="928"/>
      <c r="AA524" s="928" t="s">
        <v>56</v>
      </c>
      <c r="AB524" s="904" t="s">
        <v>57</v>
      </c>
      <c r="AC524" s="928" t="s">
        <v>54</v>
      </c>
      <c r="AD524" s="928"/>
      <c r="AE524" s="928"/>
      <c r="AF524" s="926"/>
      <c r="AG524" s="906" t="str">
        <f>IF(AE524&lt;&gt;0,VLOOKUP(AE524,ODDS!$A$2:$C$13,3,0),"")</f>
        <v/>
      </c>
      <c r="AH524" s="906" t="str">
        <f t="shared" si="111"/>
        <v xml:space="preserve"> </v>
      </c>
      <c r="AI524" s="907" t="str">
        <f t="shared" si="112"/>
        <v xml:space="preserve"> </v>
      </c>
      <c r="AJ524" s="911"/>
      <c r="AK524" s="910"/>
    </row>
    <row r="525" spans="1:37" s="376" customFormat="1" ht="112.5" outlineLevel="2" x14ac:dyDescent="0.3">
      <c r="A525" s="447">
        <f t="shared" si="113"/>
        <v>45</v>
      </c>
      <c r="B525" s="893"/>
      <c r="C525" s="894"/>
      <c r="D525" s="923"/>
      <c r="E525" s="923"/>
      <c r="F525" s="896"/>
      <c r="G525" s="894"/>
      <c r="H525" s="924"/>
      <c r="I525" s="882"/>
      <c r="J525" s="929"/>
      <c r="K525" s="899" t="str">
        <f>IF(G525&lt;&gt;0,VLOOKUP(G525,'gia dat'!$A$1:$F$144,5,0)," ")</f>
        <v xml:space="preserve"> </v>
      </c>
      <c r="L525" s="899" t="str">
        <f>IF(G525&lt;&gt;0,VLOOKUP(G525,'gia dat'!$A$1:$F$144,6,0)," ")</f>
        <v xml:space="preserve"> </v>
      </c>
      <c r="M525" s="900" t="str">
        <f t="shared" si="107"/>
        <v xml:space="preserve"> </v>
      </c>
      <c r="N525" s="900" t="str">
        <f t="shared" si="108"/>
        <v xml:space="preserve"> </v>
      </c>
      <c r="O525" s="922"/>
      <c r="P525" s="965"/>
      <c r="Q525" s="900" t="str">
        <f>IF(O525&lt;&gt;0,VLOOKUP(O525,'Cây trong'!$A$2:$C$246,3,0)," ")</f>
        <v xml:space="preserve"> </v>
      </c>
      <c r="R525" s="900" t="str">
        <f t="shared" si="110"/>
        <v xml:space="preserve"> </v>
      </c>
      <c r="S525" s="902" t="s">
        <v>2307</v>
      </c>
      <c r="T525" s="944" t="s">
        <v>53</v>
      </c>
      <c r="U525" s="927">
        <v>1.92</v>
      </c>
      <c r="V525" s="925"/>
      <c r="W525" s="900">
        <f>IF(S525&lt;&gt;0,VLOOKUP(S525,VKT!$A$2:$G$415,7,0),"")</f>
        <v>2093161</v>
      </c>
      <c r="X525" s="900">
        <f t="shared" si="102"/>
        <v>4019000</v>
      </c>
      <c r="Y525" s="925"/>
      <c r="Z525" s="928"/>
      <c r="AA525" s="928" t="s">
        <v>56</v>
      </c>
      <c r="AB525" s="904" t="s">
        <v>57</v>
      </c>
      <c r="AC525" s="928" t="s">
        <v>54</v>
      </c>
      <c r="AD525" s="928"/>
      <c r="AE525" s="928"/>
      <c r="AF525" s="926"/>
      <c r="AG525" s="906" t="str">
        <f>IF(AE525&lt;&gt;0,VLOOKUP(AE525,ODDS!$A$2:$C$13,3,0),"")</f>
        <v/>
      </c>
      <c r="AH525" s="906" t="str">
        <f t="shared" si="111"/>
        <v xml:space="preserve"> </v>
      </c>
      <c r="AI525" s="907" t="str">
        <f t="shared" si="112"/>
        <v xml:space="preserve"> </v>
      </c>
      <c r="AJ525" s="910"/>
      <c r="AK525" s="910"/>
    </row>
    <row r="526" spans="1:37" s="376" customFormat="1" ht="45" outlineLevel="2" x14ac:dyDescent="0.3">
      <c r="A526" s="447">
        <f t="shared" si="113"/>
        <v>45</v>
      </c>
      <c r="B526" s="893"/>
      <c r="C526" s="894"/>
      <c r="D526" s="923"/>
      <c r="E526" s="923"/>
      <c r="F526" s="896"/>
      <c r="G526" s="894"/>
      <c r="H526" s="924"/>
      <c r="I526" s="882"/>
      <c r="J526" s="925"/>
      <c r="K526" s="899" t="str">
        <f>IF(G526&lt;&gt;0,VLOOKUP(G526,'gia dat'!$A$1:$F$144,5,0)," ")</f>
        <v xml:space="preserve"> </v>
      </c>
      <c r="L526" s="899" t="str">
        <f>IF(G526&lt;&gt;0,VLOOKUP(G526,'gia dat'!$A$1:$F$144,6,0)," ")</f>
        <v xml:space="preserve"> </v>
      </c>
      <c r="M526" s="900" t="str">
        <f t="shared" si="107"/>
        <v xml:space="preserve"> </v>
      </c>
      <c r="N526" s="900" t="str">
        <f t="shared" si="108"/>
        <v xml:space="preserve"> </v>
      </c>
      <c r="O526" s="894"/>
      <c r="P526" s="926"/>
      <c r="Q526" s="900" t="str">
        <f>IF(O526&lt;&gt;0,VLOOKUP(O526,'Cây trong'!$A$2:$C$246,3,0)," ")</f>
        <v xml:space="preserve"> </v>
      </c>
      <c r="R526" s="900" t="str">
        <f t="shared" si="110"/>
        <v xml:space="preserve"> </v>
      </c>
      <c r="S526" s="922" t="s">
        <v>1748</v>
      </c>
      <c r="T526" s="925" t="s">
        <v>53</v>
      </c>
      <c r="U526" s="927">
        <v>14.76</v>
      </c>
      <c r="V526" s="925"/>
      <c r="W526" s="900">
        <f>IF(S526&lt;&gt;0,VLOOKUP(S526,VKT!$A$2:$G$415,7,0),"")</f>
        <v>0</v>
      </c>
      <c r="X526" s="900">
        <f t="shared" si="102"/>
        <v>0</v>
      </c>
      <c r="Y526" s="925"/>
      <c r="Z526" s="928"/>
      <c r="AA526" s="928"/>
      <c r="AB526" s="904"/>
      <c r="AC526" s="928"/>
      <c r="AD526" s="928"/>
      <c r="AE526" s="928"/>
      <c r="AF526" s="926"/>
      <c r="AG526" s="906" t="str">
        <f>IF(AE526&lt;&gt;0,VLOOKUP(AE526,ODDS!$A$2:$C$13,3,0),"")</f>
        <v/>
      </c>
      <c r="AH526" s="906" t="str">
        <f t="shared" si="111"/>
        <v xml:space="preserve"> </v>
      </c>
      <c r="AI526" s="907" t="str">
        <f t="shared" si="112"/>
        <v xml:space="preserve"> </v>
      </c>
      <c r="AJ526" s="894"/>
      <c r="AK526" s="894"/>
    </row>
    <row r="527" spans="1:37" s="376" customFormat="1" ht="67.5" outlineLevel="2" x14ac:dyDescent="0.3">
      <c r="A527" s="447">
        <f t="shared" si="113"/>
        <v>45</v>
      </c>
      <c r="B527" s="893"/>
      <c r="C527" s="910"/>
      <c r="D527" s="923"/>
      <c r="E527" s="923"/>
      <c r="F527" s="896"/>
      <c r="G527" s="894"/>
      <c r="H527" s="924"/>
      <c r="I527" s="882"/>
      <c r="J527" s="925"/>
      <c r="K527" s="899" t="str">
        <f>IF(G527&lt;&gt;0,VLOOKUP(G527,'gia dat'!$A$1:$F$144,5,0)," ")</f>
        <v xml:space="preserve"> </v>
      </c>
      <c r="L527" s="899" t="str">
        <f>IF(G527&lt;&gt;0,VLOOKUP(G527,'gia dat'!$A$1:$F$144,6,0)," ")</f>
        <v xml:space="preserve"> </v>
      </c>
      <c r="M527" s="900" t="str">
        <f t="shared" si="107"/>
        <v xml:space="preserve"> </v>
      </c>
      <c r="N527" s="900" t="str">
        <f t="shared" si="108"/>
        <v xml:space="preserve"> </v>
      </c>
      <c r="O527" s="894"/>
      <c r="P527" s="926"/>
      <c r="Q527" s="900" t="str">
        <f>IF(O527&lt;&gt;0,VLOOKUP(O527,'Cây trong'!$A$2:$C$246,3,0)," ")</f>
        <v xml:space="preserve"> </v>
      </c>
      <c r="R527" s="900" t="str">
        <f t="shared" si="110"/>
        <v xml:space="preserve"> </v>
      </c>
      <c r="S527" s="902" t="s">
        <v>1749</v>
      </c>
      <c r="T527" s="925" t="s">
        <v>53</v>
      </c>
      <c r="U527" s="927">
        <v>14.76</v>
      </c>
      <c r="V527" s="925"/>
      <c r="W527" s="900">
        <f>IF(S527&lt;&gt;0,VLOOKUP(S527,VKT!$A$2:$G$415,7,0),"")</f>
        <v>211811</v>
      </c>
      <c r="X527" s="900">
        <f t="shared" si="102"/>
        <v>3126000</v>
      </c>
      <c r="Y527" s="925"/>
      <c r="Z527" s="928"/>
      <c r="AA527" s="928"/>
      <c r="AB527" s="904"/>
      <c r="AC527" s="928"/>
      <c r="AD527" s="928"/>
      <c r="AE527" s="928"/>
      <c r="AF527" s="926"/>
      <c r="AG527" s="906" t="str">
        <f>IF(AE527&lt;&gt;0,VLOOKUP(AE527,ODDS!$A$2:$C$13,3,0),"")</f>
        <v/>
      </c>
      <c r="AH527" s="906" t="str">
        <f t="shared" si="111"/>
        <v xml:space="preserve"> </v>
      </c>
      <c r="AI527" s="907" t="str">
        <f t="shared" si="112"/>
        <v xml:space="preserve"> </v>
      </c>
      <c r="AJ527" s="894"/>
      <c r="AK527" s="894"/>
    </row>
    <row r="528" spans="1:37" s="376" customFormat="1" ht="45" outlineLevel="2" x14ac:dyDescent="0.3">
      <c r="A528" s="447">
        <f t="shared" si="113"/>
        <v>45</v>
      </c>
      <c r="B528" s="893"/>
      <c r="C528" s="894"/>
      <c r="D528" s="923"/>
      <c r="E528" s="923"/>
      <c r="F528" s="896"/>
      <c r="G528" s="894"/>
      <c r="H528" s="924"/>
      <c r="I528" s="882"/>
      <c r="J528" s="925"/>
      <c r="K528" s="899" t="str">
        <f>IF(G528&lt;&gt;0,VLOOKUP(G528,'gia dat'!$A$1:$F$144,5,0)," ")</f>
        <v xml:space="preserve"> </v>
      </c>
      <c r="L528" s="899" t="str">
        <f>IF(G528&lt;&gt;0,VLOOKUP(G528,'gia dat'!$A$1:$F$144,6,0)," ")</f>
        <v xml:space="preserve"> </v>
      </c>
      <c r="M528" s="900" t="str">
        <f t="shared" si="107"/>
        <v xml:space="preserve"> </v>
      </c>
      <c r="N528" s="900" t="str">
        <f t="shared" si="108"/>
        <v xml:space="preserve"> </v>
      </c>
      <c r="O528" s="894"/>
      <c r="P528" s="926"/>
      <c r="Q528" s="900" t="str">
        <f>IF(O528&lt;&gt;0,VLOOKUP(O528,'Cây trong'!$A$2:$C$246,3,0)," ")</f>
        <v xml:space="preserve"> </v>
      </c>
      <c r="R528" s="900" t="str">
        <f t="shared" si="110"/>
        <v xml:space="preserve"> </v>
      </c>
      <c r="S528" s="902" t="s">
        <v>2291</v>
      </c>
      <c r="T528" s="925" t="s">
        <v>78</v>
      </c>
      <c r="U528" s="927">
        <v>0.06</v>
      </c>
      <c r="V528" s="925"/>
      <c r="W528" s="900">
        <f>IF(S528&lt;&gt;0,VLOOKUP(S528,VKT!$A$2:$G$415,7,0),"")</f>
        <v>0</v>
      </c>
      <c r="X528" s="900">
        <f t="shared" si="102"/>
        <v>0</v>
      </c>
      <c r="Y528" s="925"/>
      <c r="Z528" s="928"/>
      <c r="AA528" s="928"/>
      <c r="AB528" s="904"/>
      <c r="AC528" s="928"/>
      <c r="AD528" s="928"/>
      <c r="AE528" s="928"/>
      <c r="AF528" s="926"/>
      <c r="AG528" s="906" t="str">
        <f>IF(AE528&lt;&gt;0,VLOOKUP(AE528,ODDS!$A$2:$C$13,3,0),"")</f>
        <v/>
      </c>
      <c r="AH528" s="906" t="str">
        <f t="shared" si="111"/>
        <v xml:space="preserve"> </v>
      </c>
      <c r="AI528" s="907" t="str">
        <f t="shared" si="112"/>
        <v xml:space="preserve"> </v>
      </c>
      <c r="AJ528" s="929"/>
      <c r="AK528" s="929"/>
    </row>
    <row r="529" spans="1:37" s="376" customFormat="1" ht="67.5" outlineLevel="2" x14ac:dyDescent="0.3">
      <c r="A529" s="447">
        <f t="shared" si="113"/>
        <v>45</v>
      </c>
      <c r="B529" s="893"/>
      <c r="C529" s="908"/>
      <c r="D529" s="923"/>
      <c r="E529" s="931"/>
      <c r="F529" s="913"/>
      <c r="G529" s="910"/>
      <c r="H529" s="924"/>
      <c r="I529" s="882"/>
      <c r="J529" s="933"/>
      <c r="K529" s="899" t="str">
        <f>IF(G529&lt;&gt;0,VLOOKUP(G529,'gia dat'!$A$1:$F$144,5,0)," ")</f>
        <v xml:space="preserve"> </v>
      </c>
      <c r="L529" s="899" t="str">
        <f>IF(G529&lt;&gt;0,VLOOKUP(G529,'gia dat'!$A$1:$F$144,6,0)," ")</f>
        <v xml:space="preserve"> </v>
      </c>
      <c r="M529" s="900" t="str">
        <f t="shared" si="107"/>
        <v xml:space="preserve"> </v>
      </c>
      <c r="N529" s="900" t="str">
        <f t="shared" si="108"/>
        <v xml:space="preserve"> </v>
      </c>
      <c r="O529" s="934"/>
      <c r="P529" s="935"/>
      <c r="Q529" s="900" t="str">
        <f>IF(O529&lt;&gt;0,VLOOKUP(O529,'Cây trong'!$A$2:$C$246,3,0)," ")</f>
        <v xml:space="preserve"> </v>
      </c>
      <c r="R529" s="900" t="str">
        <f t="shared" si="110"/>
        <v xml:space="preserve"> </v>
      </c>
      <c r="S529" s="902" t="s">
        <v>2318</v>
      </c>
      <c r="T529" s="925" t="s">
        <v>53</v>
      </c>
      <c r="U529" s="927">
        <v>0.9</v>
      </c>
      <c r="V529" s="933"/>
      <c r="W529" s="900">
        <f>IF(S529&lt;&gt;0,VLOOKUP(S529,VKT!$A$2:$G$415,7,0),"")</f>
        <v>254982</v>
      </c>
      <c r="X529" s="900">
        <f t="shared" si="102"/>
        <v>229000</v>
      </c>
      <c r="Y529" s="916"/>
      <c r="Z529" s="937"/>
      <c r="AA529" s="937"/>
      <c r="AB529" s="920"/>
      <c r="AC529" s="937"/>
      <c r="AD529" s="937"/>
      <c r="AE529" s="937"/>
      <c r="AF529" s="935"/>
      <c r="AG529" s="906" t="str">
        <f>IF(AE529&lt;&gt;0,VLOOKUP(AE529,ODDS!$A$2:$C$13,3,0),"")</f>
        <v/>
      </c>
      <c r="AH529" s="906" t="str">
        <f t="shared" si="111"/>
        <v xml:space="preserve"> </v>
      </c>
      <c r="AI529" s="907" t="str">
        <f t="shared" si="112"/>
        <v xml:space="preserve"> </v>
      </c>
      <c r="AJ529" s="943"/>
      <c r="AK529" s="943"/>
    </row>
    <row r="530" spans="1:37" s="376" customFormat="1" ht="67.5" outlineLevel="2" x14ac:dyDescent="0.3">
      <c r="A530" s="447">
        <f t="shared" si="113"/>
        <v>45</v>
      </c>
      <c r="B530" s="893"/>
      <c r="C530" s="908"/>
      <c r="D530" s="930"/>
      <c r="E530" s="923"/>
      <c r="F530" s="896"/>
      <c r="G530" s="894"/>
      <c r="H530" s="924"/>
      <c r="I530" s="882"/>
      <c r="J530" s="925"/>
      <c r="K530" s="899" t="str">
        <f>IF(G530&lt;&gt;0,VLOOKUP(G530,'gia dat'!$A$1:$F$144,5,0)," ")</f>
        <v xml:space="preserve"> </v>
      </c>
      <c r="L530" s="899" t="str">
        <f>IF(G530&lt;&gt;0,VLOOKUP(G530,'gia dat'!$A$1:$F$144,6,0)," ")</f>
        <v xml:space="preserve"> </v>
      </c>
      <c r="M530" s="900" t="str">
        <f t="shared" si="107"/>
        <v xml:space="preserve"> </v>
      </c>
      <c r="N530" s="900" t="str">
        <f t="shared" si="108"/>
        <v xml:space="preserve"> </v>
      </c>
      <c r="O530" s="901"/>
      <c r="P530" s="926"/>
      <c r="Q530" s="900" t="str">
        <f>IF(O530&lt;&gt;0,VLOOKUP(O530,'Cây trong'!$A$2:$C$246,3,0)," ")</f>
        <v xml:space="preserve"> </v>
      </c>
      <c r="R530" s="900" t="str">
        <f t="shared" si="110"/>
        <v xml:space="preserve"> </v>
      </c>
      <c r="S530" s="902" t="s">
        <v>2292</v>
      </c>
      <c r="T530" s="925" t="s">
        <v>53</v>
      </c>
      <c r="U530" s="927">
        <v>0.5</v>
      </c>
      <c r="V530" s="925"/>
      <c r="W530" s="900">
        <f>IF(S530&lt;&gt;0,VLOOKUP(S530,VKT!$A$2:$G$415,7,0),"")</f>
        <v>310020</v>
      </c>
      <c r="X530" s="900">
        <f t="shared" si="102"/>
        <v>155000</v>
      </c>
      <c r="Y530" s="898"/>
      <c r="Z530" s="928"/>
      <c r="AA530" s="928"/>
      <c r="AB530" s="904"/>
      <c r="AC530" s="928"/>
      <c r="AD530" s="928"/>
      <c r="AE530" s="928"/>
      <c r="AF530" s="926"/>
      <c r="AG530" s="906" t="str">
        <f>IF(AE530&lt;&gt;0,VLOOKUP(AE530,ODDS!$A$2:$C$13,3,0),"")</f>
        <v/>
      </c>
      <c r="AH530" s="906" t="str">
        <f t="shared" si="111"/>
        <v xml:space="preserve"> </v>
      </c>
      <c r="AI530" s="907" t="str">
        <f t="shared" si="112"/>
        <v xml:space="preserve"> </v>
      </c>
      <c r="AJ530" s="929"/>
      <c r="AK530" s="929"/>
    </row>
    <row r="531" spans="1:37" s="376" customFormat="1" ht="67.5" outlineLevel="2" x14ac:dyDescent="0.3">
      <c r="A531" s="447">
        <f t="shared" si="113"/>
        <v>45</v>
      </c>
      <c r="B531" s="893"/>
      <c r="C531" s="908"/>
      <c r="D531" s="939"/>
      <c r="E531" s="947"/>
      <c r="F531" s="947"/>
      <c r="G531" s="922"/>
      <c r="H531" s="924"/>
      <c r="I531" s="882"/>
      <c r="J531" s="929"/>
      <c r="K531" s="899" t="str">
        <f>IF(G531&lt;&gt;0,VLOOKUP(G531,'gia dat'!$A$1:$F$144,5,0)," ")</f>
        <v xml:space="preserve"> </v>
      </c>
      <c r="L531" s="899" t="str">
        <f>IF(G531&lt;&gt;0,VLOOKUP(G531,'gia dat'!$A$1:$F$144,6,0)," ")</f>
        <v xml:space="preserve"> </v>
      </c>
      <c r="M531" s="900" t="str">
        <f t="shared" si="107"/>
        <v xml:space="preserve"> </v>
      </c>
      <c r="N531" s="900" t="str">
        <f t="shared" si="108"/>
        <v xml:space="preserve"> </v>
      </c>
      <c r="O531" s="922"/>
      <c r="P531" s="965"/>
      <c r="Q531" s="900" t="str">
        <f>IF(O531&lt;&gt;0,VLOOKUP(O531,'Cây trong'!$A$2:$C$246,3,0)," ")</f>
        <v xml:space="preserve"> </v>
      </c>
      <c r="R531" s="900" t="str">
        <f t="shared" si="110"/>
        <v xml:space="preserve"> </v>
      </c>
      <c r="S531" s="922" t="s">
        <v>2319</v>
      </c>
      <c r="T531" s="944" t="s">
        <v>53</v>
      </c>
      <c r="U531" s="927">
        <v>1.08</v>
      </c>
      <c r="V531" s="925"/>
      <c r="W531" s="900">
        <f>IF(S531&lt;&gt;0,VLOOKUP(S531,VKT!$A$2:$G$415,7,0),"")</f>
        <v>142450</v>
      </c>
      <c r="X531" s="900">
        <f t="shared" si="102"/>
        <v>154000</v>
      </c>
      <c r="Y531" s="925"/>
      <c r="Z531" s="928"/>
      <c r="AA531" s="928"/>
      <c r="AB531" s="904"/>
      <c r="AC531" s="928"/>
      <c r="AD531" s="928"/>
      <c r="AE531" s="928"/>
      <c r="AF531" s="926"/>
      <c r="AG531" s="906" t="str">
        <f>IF(AE531&lt;&gt;0,VLOOKUP(AE531,ODDS!$A$2:$C$13,3,0),"")</f>
        <v/>
      </c>
      <c r="AH531" s="906" t="str">
        <f t="shared" si="111"/>
        <v xml:space="preserve"> </v>
      </c>
      <c r="AI531" s="907" t="str">
        <f t="shared" si="112"/>
        <v xml:space="preserve"> </v>
      </c>
      <c r="AJ531" s="929"/>
      <c r="AK531" s="929"/>
    </row>
    <row r="532" spans="1:37" s="376" customFormat="1" ht="112.5" outlineLevel="2" x14ac:dyDescent="0.3">
      <c r="A532" s="447">
        <f t="shared" si="113"/>
        <v>45</v>
      </c>
      <c r="B532" s="893"/>
      <c r="C532" s="910"/>
      <c r="D532" s="923"/>
      <c r="E532" s="923"/>
      <c r="F532" s="896"/>
      <c r="G532" s="894"/>
      <c r="H532" s="924"/>
      <c r="I532" s="882"/>
      <c r="J532" s="929"/>
      <c r="K532" s="899" t="str">
        <f>IF(G532&lt;&gt;0,VLOOKUP(G532,'gia dat'!$A$1:$F$144,5,0)," ")</f>
        <v xml:space="preserve"> </v>
      </c>
      <c r="L532" s="899" t="str">
        <f>IF(G532&lt;&gt;0,VLOOKUP(G532,'gia dat'!$A$1:$F$144,6,0)," ")</f>
        <v xml:space="preserve"> </v>
      </c>
      <c r="M532" s="900" t="str">
        <f t="shared" si="107"/>
        <v xml:space="preserve"> </v>
      </c>
      <c r="N532" s="900" t="str">
        <f t="shared" si="108"/>
        <v xml:space="preserve"> </v>
      </c>
      <c r="O532" s="922"/>
      <c r="P532" s="965"/>
      <c r="Q532" s="900" t="str">
        <f>IF(O532&lt;&gt;0,VLOOKUP(O532,'Cây trong'!$A$2:$C$246,3,0)," ")</f>
        <v xml:space="preserve"> </v>
      </c>
      <c r="R532" s="900" t="str">
        <f t="shared" si="110"/>
        <v xml:space="preserve"> </v>
      </c>
      <c r="S532" s="922" t="s">
        <v>2320</v>
      </c>
      <c r="T532" s="944" t="s">
        <v>53</v>
      </c>
      <c r="U532" s="927">
        <v>4.92</v>
      </c>
      <c r="V532" s="925"/>
      <c r="W532" s="900">
        <f>IF(S532&lt;&gt;0,VLOOKUP(S532,VKT!$A$2:$G$415,7,0),"")</f>
        <v>441467</v>
      </c>
      <c r="X532" s="900">
        <f t="shared" si="102"/>
        <v>2172000</v>
      </c>
      <c r="Y532" s="925"/>
      <c r="Z532" s="928"/>
      <c r="AA532" s="928"/>
      <c r="AB532" s="904"/>
      <c r="AC532" s="928"/>
      <c r="AD532" s="928"/>
      <c r="AE532" s="928"/>
      <c r="AF532" s="926"/>
      <c r="AG532" s="906" t="str">
        <f>IF(AE532&lt;&gt;0,VLOOKUP(AE532,ODDS!$A$2:$C$13,3,0),"")</f>
        <v/>
      </c>
      <c r="AH532" s="906" t="str">
        <f t="shared" si="111"/>
        <v xml:space="preserve"> </v>
      </c>
      <c r="AI532" s="907" t="str">
        <f t="shared" si="112"/>
        <v xml:space="preserve"> </v>
      </c>
      <c r="AJ532" s="929"/>
      <c r="AK532" s="929"/>
    </row>
    <row r="533" spans="1:37" s="376" customFormat="1" ht="90" outlineLevel="2" x14ac:dyDescent="0.3">
      <c r="A533" s="447">
        <f t="shared" si="113"/>
        <v>45</v>
      </c>
      <c r="B533" s="893"/>
      <c r="C533" s="910"/>
      <c r="D533" s="923"/>
      <c r="E533" s="923"/>
      <c r="F533" s="896"/>
      <c r="G533" s="894"/>
      <c r="H533" s="924"/>
      <c r="I533" s="882"/>
      <c r="J533" s="929"/>
      <c r="K533" s="899" t="str">
        <f>IF(G533&lt;&gt;0,VLOOKUP(G533,'gia dat'!$A$1:$F$144,5,0)," ")</f>
        <v xml:space="preserve"> </v>
      </c>
      <c r="L533" s="899" t="str">
        <f>IF(G533&lt;&gt;0,VLOOKUP(G533,'gia dat'!$A$1:$F$144,6,0)," ")</f>
        <v xml:space="preserve"> </v>
      </c>
      <c r="M533" s="900" t="str">
        <f t="shared" si="107"/>
        <v xml:space="preserve"> </v>
      </c>
      <c r="N533" s="900" t="str">
        <f t="shared" si="108"/>
        <v xml:space="preserve"> </v>
      </c>
      <c r="O533" s="922"/>
      <c r="P533" s="965"/>
      <c r="Q533" s="900" t="str">
        <f>IF(O533&lt;&gt;0,VLOOKUP(O533,'Cây trong'!$A$2:$C$246,3,0)," ")</f>
        <v xml:space="preserve"> </v>
      </c>
      <c r="R533" s="900" t="str">
        <f t="shared" si="110"/>
        <v xml:space="preserve"> </v>
      </c>
      <c r="S533" s="922" t="s">
        <v>2288</v>
      </c>
      <c r="T533" s="944" t="s">
        <v>53</v>
      </c>
      <c r="U533" s="927">
        <v>10.14</v>
      </c>
      <c r="V533" s="925"/>
      <c r="W533" s="900">
        <f>IF(S533&lt;&gt;0,VLOOKUP(S533,VKT!$A$2:$G$415,7,0),"")</f>
        <v>441467</v>
      </c>
      <c r="X533" s="900">
        <f t="shared" si="102"/>
        <v>4476000</v>
      </c>
      <c r="Y533" s="925"/>
      <c r="Z533" s="928"/>
      <c r="AA533" s="928"/>
      <c r="AB533" s="904"/>
      <c r="AC533" s="928"/>
      <c r="AD533" s="928"/>
      <c r="AE533" s="928"/>
      <c r="AF533" s="926"/>
      <c r="AG533" s="906" t="str">
        <f>IF(AE533&lt;&gt;0,VLOOKUP(AE533,ODDS!$A$2:$C$13,3,0),"")</f>
        <v/>
      </c>
      <c r="AH533" s="906" t="str">
        <f t="shared" si="111"/>
        <v xml:space="preserve"> </v>
      </c>
      <c r="AI533" s="907" t="str">
        <f t="shared" si="112"/>
        <v xml:space="preserve"> </v>
      </c>
      <c r="AJ533" s="929"/>
      <c r="AK533" s="929"/>
    </row>
    <row r="534" spans="1:37" s="376" customFormat="1" ht="45" outlineLevel="2" x14ac:dyDescent="0.3">
      <c r="A534" s="447">
        <f t="shared" si="113"/>
        <v>45</v>
      </c>
      <c r="B534" s="893"/>
      <c r="C534" s="910"/>
      <c r="D534" s="923"/>
      <c r="E534" s="923"/>
      <c r="F534" s="896"/>
      <c r="G534" s="894"/>
      <c r="H534" s="924"/>
      <c r="I534" s="882"/>
      <c r="J534" s="929"/>
      <c r="K534" s="899" t="str">
        <f>IF(G534&lt;&gt;0,VLOOKUP(G534,'gia dat'!$A$1:$F$144,5,0)," ")</f>
        <v xml:space="preserve"> </v>
      </c>
      <c r="L534" s="899" t="str">
        <f>IF(G534&lt;&gt;0,VLOOKUP(G534,'gia dat'!$A$1:$F$144,6,0)," ")</f>
        <v xml:space="preserve"> </v>
      </c>
      <c r="M534" s="900" t="str">
        <f t="shared" si="107"/>
        <v xml:space="preserve"> </v>
      </c>
      <c r="N534" s="900" t="str">
        <f t="shared" si="108"/>
        <v xml:space="preserve"> </v>
      </c>
      <c r="O534" s="922"/>
      <c r="P534" s="965"/>
      <c r="Q534" s="900" t="str">
        <f>IF(O534&lt;&gt;0,VLOOKUP(O534,'Cây trong'!$A$2:$C$246,3,0)," ")</f>
        <v xml:space="preserve"> </v>
      </c>
      <c r="R534" s="900" t="str">
        <f t="shared" si="110"/>
        <v xml:space="preserve"> </v>
      </c>
      <c r="S534" s="922" t="s">
        <v>2317</v>
      </c>
      <c r="T534" s="944" t="s">
        <v>53</v>
      </c>
      <c r="U534" s="927">
        <v>30.6</v>
      </c>
      <c r="V534" s="925"/>
      <c r="W534" s="900">
        <f>IF(S534&lt;&gt;0,VLOOKUP(S534,VKT!$A$2:$G$415,7,0),"")</f>
        <v>242324</v>
      </c>
      <c r="X534" s="900">
        <f t="shared" si="102"/>
        <v>7415000</v>
      </c>
      <c r="Y534" s="925"/>
      <c r="Z534" s="928"/>
      <c r="AA534" s="928"/>
      <c r="AB534" s="904"/>
      <c r="AC534" s="928"/>
      <c r="AD534" s="928"/>
      <c r="AE534" s="928"/>
      <c r="AF534" s="926"/>
      <c r="AG534" s="906" t="str">
        <f>IF(AE534&lt;&gt;0,VLOOKUP(AE534,ODDS!$A$2:$C$13,3,0),"")</f>
        <v/>
      </c>
      <c r="AH534" s="906" t="str">
        <f t="shared" si="111"/>
        <v xml:space="preserve"> </v>
      </c>
      <c r="AI534" s="907" t="str">
        <f t="shared" si="112"/>
        <v xml:space="preserve"> </v>
      </c>
      <c r="AJ534" s="929"/>
      <c r="AK534" s="929"/>
    </row>
    <row r="535" spans="1:37" s="376" customFormat="1" ht="22.5" outlineLevel="2" x14ac:dyDescent="0.3">
      <c r="A535" s="447">
        <f t="shared" si="113"/>
        <v>45</v>
      </c>
      <c r="B535" s="893"/>
      <c r="C535" s="910"/>
      <c r="D535" s="923"/>
      <c r="E535" s="923"/>
      <c r="F535" s="896"/>
      <c r="G535" s="894"/>
      <c r="H535" s="924"/>
      <c r="I535" s="882"/>
      <c r="J535" s="929"/>
      <c r="K535" s="899" t="str">
        <f>IF(G535&lt;&gt;0,VLOOKUP(G535,'gia dat'!$A$1:$F$144,5,0)," ")</f>
        <v xml:space="preserve"> </v>
      </c>
      <c r="L535" s="899" t="str">
        <f>IF(G535&lt;&gt;0,VLOOKUP(G535,'gia dat'!$A$1:$F$144,6,0)," ")</f>
        <v xml:space="preserve"> </v>
      </c>
      <c r="M535" s="900" t="str">
        <f t="shared" si="107"/>
        <v xml:space="preserve"> </v>
      </c>
      <c r="N535" s="900" t="str">
        <f t="shared" si="108"/>
        <v xml:space="preserve"> </v>
      </c>
      <c r="O535" s="922"/>
      <c r="P535" s="965"/>
      <c r="Q535" s="900" t="str">
        <f>IF(O535&lt;&gt;0,VLOOKUP(O535,'Cây trong'!$A$2:$C$246,3,0)," ")</f>
        <v xml:space="preserve"> </v>
      </c>
      <c r="R535" s="900" t="str">
        <f t="shared" si="110"/>
        <v xml:space="preserve"> </v>
      </c>
      <c r="S535" s="929"/>
      <c r="T535" s="929"/>
      <c r="U535" s="952"/>
      <c r="V535" s="925"/>
      <c r="W535" s="900" t="str">
        <f>IF(S535&lt;&gt;0,VLOOKUP(S535,VKT!$A$2:$G$415,7,0),"")</f>
        <v/>
      </c>
      <c r="X535" s="900" t="str">
        <f t="shared" si="102"/>
        <v xml:space="preserve"> </v>
      </c>
      <c r="Y535" s="925"/>
      <c r="Z535" s="928"/>
      <c r="AA535" s="928"/>
      <c r="AB535" s="904"/>
      <c r="AC535" s="928"/>
      <c r="AD535" s="928"/>
      <c r="AE535" s="928"/>
      <c r="AF535" s="926"/>
      <c r="AG535" s="906" t="str">
        <f>IF(AE535&lt;&gt;0,VLOOKUP(AE535,ODDS!$A$2:$C$13,3,0),"")</f>
        <v/>
      </c>
      <c r="AH535" s="906" t="str">
        <f t="shared" si="111"/>
        <v xml:space="preserve"> </v>
      </c>
      <c r="AI535" s="907" t="str">
        <f t="shared" si="112"/>
        <v xml:space="preserve"> </v>
      </c>
      <c r="AJ535" s="929"/>
      <c r="AK535" s="929"/>
    </row>
    <row r="536" spans="1:37" s="376" customFormat="1" ht="22.5" outlineLevel="2" x14ac:dyDescent="0.3">
      <c r="A536" s="447">
        <f t="shared" si="113"/>
        <v>45</v>
      </c>
      <c r="B536" s="893"/>
      <c r="C536" s="894"/>
      <c r="D536" s="923"/>
      <c r="E536" s="923"/>
      <c r="F536" s="950"/>
      <c r="G536" s="894"/>
      <c r="H536" s="940"/>
      <c r="I536" s="882"/>
      <c r="J536" s="929"/>
      <c r="K536" s="899" t="str">
        <f>IF(G536&lt;&gt;0,VLOOKUP(G536,'gia dat'!$A$1:$F$144,5,0)," ")</f>
        <v xml:space="preserve"> </v>
      </c>
      <c r="L536" s="899" t="str">
        <f>IF(G536&lt;&gt;0,VLOOKUP(G536,'gia dat'!$A$1:$F$144,6,0)," ")</f>
        <v xml:space="preserve"> </v>
      </c>
      <c r="M536" s="900" t="str">
        <f t="shared" si="107"/>
        <v xml:space="preserve"> </v>
      </c>
      <c r="N536" s="900" t="str">
        <f t="shared" si="108"/>
        <v xml:space="preserve"> </v>
      </c>
      <c r="O536" s="929"/>
      <c r="P536" s="951"/>
      <c r="Q536" s="900" t="str">
        <f>IF(O536&lt;&gt;0,VLOOKUP(O536,'Cây trong'!$A$2:$C$246,3,0)," ")</f>
        <v xml:space="preserve"> </v>
      </c>
      <c r="R536" s="900" t="str">
        <f t="shared" si="110"/>
        <v xml:space="preserve"> </v>
      </c>
      <c r="S536" s="929"/>
      <c r="T536" s="929"/>
      <c r="U536" s="952"/>
      <c r="V536" s="925"/>
      <c r="W536" s="900" t="str">
        <f>IF(S536&lt;&gt;0,VLOOKUP(S536,VKT!$A$2:$G$415,7,0),"")</f>
        <v/>
      </c>
      <c r="X536" s="900" t="str">
        <f t="shared" si="102"/>
        <v xml:space="preserve"> </v>
      </c>
      <c r="Y536" s="925"/>
      <c r="Z536" s="925"/>
      <c r="AA536" s="925"/>
      <c r="AB536" s="898"/>
      <c r="AC536" s="925"/>
      <c r="AD536" s="925"/>
      <c r="AE536" s="925"/>
      <c r="AF536" s="964"/>
      <c r="AG536" s="906" t="str">
        <f>IF(AE536&lt;&gt;0,VLOOKUP(AE536,ODDS!$A$2:$C$13,3,0),"")</f>
        <v/>
      </c>
      <c r="AH536" s="906" t="str">
        <f t="shared" si="111"/>
        <v xml:space="preserve"> </v>
      </c>
      <c r="AI536" s="907" t="str">
        <f t="shared" si="112"/>
        <v xml:space="preserve"> </v>
      </c>
      <c r="AJ536" s="929"/>
      <c r="AK536" s="929"/>
    </row>
    <row r="537" spans="1:37" s="376" customFormat="1" ht="22.5" outlineLevel="2" x14ac:dyDescent="0.3">
      <c r="A537" s="447">
        <f t="shared" si="113"/>
        <v>45</v>
      </c>
      <c r="B537" s="893"/>
      <c r="C537" s="894"/>
      <c r="D537" s="923"/>
      <c r="E537" s="923"/>
      <c r="F537" s="896"/>
      <c r="G537" s="894"/>
      <c r="H537" s="924"/>
      <c r="I537" s="882"/>
      <c r="J537" s="925"/>
      <c r="K537" s="899" t="str">
        <f>IF(G537&lt;&gt;0,VLOOKUP(G537,'gia dat'!$A$1:$F$144,5,0)," ")</f>
        <v xml:space="preserve"> </v>
      </c>
      <c r="L537" s="899" t="str">
        <f>IF(G537&lt;&gt;0,VLOOKUP(G537,'gia dat'!$A$1:$F$144,6,0)," ")</f>
        <v xml:space="preserve"> </v>
      </c>
      <c r="M537" s="900" t="str">
        <f t="shared" si="107"/>
        <v xml:space="preserve"> </v>
      </c>
      <c r="N537" s="900" t="str">
        <f t="shared" si="108"/>
        <v xml:space="preserve"> </v>
      </c>
      <c r="O537" s="894"/>
      <c r="P537" s="926"/>
      <c r="Q537" s="900" t="str">
        <f>IF(O537&lt;&gt;0,VLOOKUP(O537,'Cây trong'!$A$2:$C$246,3,0)," ")</f>
        <v xml:space="preserve"> </v>
      </c>
      <c r="R537" s="900" t="str">
        <f t="shared" si="110"/>
        <v xml:space="preserve"> </v>
      </c>
      <c r="S537" s="902"/>
      <c r="T537" s="944"/>
      <c r="U537" s="927"/>
      <c r="V537" s="925"/>
      <c r="W537" s="900" t="str">
        <f>IF(S537&lt;&gt;0,VLOOKUP(S537,VKT!$A$2:$G$415,7,0),"")</f>
        <v/>
      </c>
      <c r="X537" s="900" t="str">
        <f t="shared" si="102"/>
        <v xml:space="preserve"> </v>
      </c>
      <c r="Y537" s="925"/>
      <c r="Z537" s="928"/>
      <c r="AA537" s="928"/>
      <c r="AB537" s="904"/>
      <c r="AC537" s="928"/>
      <c r="AD537" s="928"/>
      <c r="AE537" s="928"/>
      <c r="AF537" s="926"/>
      <c r="AG537" s="906" t="str">
        <f>IF(AE537&lt;&gt;0,VLOOKUP(AE537,ODDS!$A$2:$C$13,3,0),"")</f>
        <v/>
      </c>
      <c r="AH537" s="906" t="str">
        <f t="shared" si="111"/>
        <v xml:space="preserve"> </v>
      </c>
      <c r="AI537" s="907" t="str">
        <f t="shared" si="112"/>
        <v xml:space="preserve"> </v>
      </c>
      <c r="AJ537" s="929"/>
      <c r="AK537" s="929"/>
    </row>
    <row r="538" spans="1:37" s="376" customFormat="1" ht="22.5" outlineLevel="2" x14ac:dyDescent="0.3">
      <c r="A538" s="447">
        <f t="shared" si="113"/>
        <v>45</v>
      </c>
      <c r="B538" s="893"/>
      <c r="C538" s="942"/>
      <c r="D538" s="923"/>
      <c r="E538" s="923"/>
      <c r="F538" s="896"/>
      <c r="G538" s="894"/>
      <c r="H538" s="924"/>
      <c r="I538" s="882"/>
      <c r="J538" s="925"/>
      <c r="K538" s="899" t="str">
        <f>IF(G538&lt;&gt;0,VLOOKUP(G538,'gia dat'!$A$1:$F$144,5,0)," ")</f>
        <v xml:space="preserve"> </v>
      </c>
      <c r="L538" s="899" t="str">
        <f>IF(G538&lt;&gt;0,VLOOKUP(G538,'gia dat'!$A$1:$F$144,6,0)," ")</f>
        <v xml:space="preserve"> </v>
      </c>
      <c r="M538" s="900" t="str">
        <f t="shared" si="107"/>
        <v xml:space="preserve"> </v>
      </c>
      <c r="N538" s="900" t="str">
        <f t="shared" si="108"/>
        <v xml:space="preserve"> </v>
      </c>
      <c r="O538" s="894"/>
      <c r="P538" s="926"/>
      <c r="Q538" s="900" t="str">
        <f>IF(O538&lt;&gt;0,VLOOKUP(O538,'Cây trong'!$A$2:$C$246,3,0)," ")</f>
        <v xml:space="preserve"> </v>
      </c>
      <c r="R538" s="900" t="str">
        <f t="shared" si="110"/>
        <v xml:space="preserve"> </v>
      </c>
      <c r="S538" s="902"/>
      <c r="T538" s="925"/>
      <c r="U538" s="927"/>
      <c r="V538" s="925"/>
      <c r="W538" s="900" t="str">
        <f>IF(S538&lt;&gt;0,VLOOKUP(S538,VKT!$A$2:$G$415,7,0),"")</f>
        <v/>
      </c>
      <c r="X538" s="900" t="str">
        <f t="shared" si="102"/>
        <v xml:space="preserve"> </v>
      </c>
      <c r="Y538" s="925"/>
      <c r="Z538" s="928"/>
      <c r="AA538" s="928"/>
      <c r="AB538" s="904"/>
      <c r="AC538" s="928"/>
      <c r="AD538" s="928"/>
      <c r="AE538" s="928"/>
      <c r="AF538" s="926"/>
      <c r="AG538" s="906" t="str">
        <f>IF(AE538&lt;&gt;0,VLOOKUP(AE538,ODDS!$A$2:$C$13,3,0),"")</f>
        <v/>
      </c>
      <c r="AH538" s="906" t="str">
        <f t="shared" si="111"/>
        <v xml:space="preserve"> </v>
      </c>
      <c r="AI538" s="907" t="str">
        <f t="shared" si="112"/>
        <v xml:space="preserve"> </v>
      </c>
      <c r="AJ538" s="929"/>
      <c r="AK538" s="929"/>
    </row>
    <row r="539" spans="1:37" s="376" customFormat="1" ht="43.5" outlineLevel="1" x14ac:dyDescent="0.25">
      <c r="A539" s="467" t="s">
        <v>2664</v>
      </c>
      <c r="B539" s="912">
        <v>46</v>
      </c>
      <c r="C539" s="942" t="s">
        <v>199</v>
      </c>
      <c r="D539" s="931"/>
      <c r="E539" s="931"/>
      <c r="F539" s="913"/>
      <c r="G539" s="910"/>
      <c r="H539" s="953">
        <f>SUBTOTAL(9,H540:H548)</f>
        <v>245</v>
      </c>
      <c r="I539" s="915">
        <f>SUBTOTAL(9,I540:I545)</f>
        <v>0</v>
      </c>
      <c r="J539" s="943"/>
      <c r="K539" s="917"/>
      <c r="L539" s="917"/>
      <c r="M539" s="907">
        <f>SUBTOTAL(9,M540:M548)</f>
        <v>656108000</v>
      </c>
      <c r="N539" s="907">
        <f>SUBTOTAL(9,N540:N548)</f>
        <v>0</v>
      </c>
      <c r="O539" s="914"/>
      <c r="P539" s="935">
        <f>SUBTOTAL(9,P540:P548)</f>
        <v>0</v>
      </c>
      <c r="Q539" s="907"/>
      <c r="R539" s="907">
        <f>SUBTOTAL(9,R540:R548)</f>
        <v>0</v>
      </c>
      <c r="S539" s="914"/>
      <c r="T539" s="956"/>
      <c r="U539" s="936">
        <f>SUBTOTAL(9,U540:U548)</f>
        <v>0</v>
      </c>
      <c r="V539" s="933"/>
      <c r="W539" s="907"/>
      <c r="X539" s="907">
        <f>SUBTOTAL(9,X540:X548)</f>
        <v>0</v>
      </c>
      <c r="Y539" s="925"/>
      <c r="Z539" s="928"/>
      <c r="AA539" s="928"/>
      <c r="AB539" s="904"/>
      <c r="AC539" s="928"/>
      <c r="AD539" s="928"/>
      <c r="AE539" s="938"/>
      <c r="AF539" s="917">
        <f>SUBTOTAL(9,AF540:AF548)</f>
        <v>0</v>
      </c>
      <c r="AG539" s="921"/>
      <c r="AH539" s="921">
        <f>SUBTOTAL(9,AH540:AH548)</f>
        <v>0</v>
      </c>
      <c r="AI539" s="907">
        <f t="shared" si="112"/>
        <v>656108000</v>
      </c>
      <c r="AJ539" s="910"/>
      <c r="AK539" s="914"/>
    </row>
    <row r="540" spans="1:37" s="376" customFormat="1" ht="135" outlineLevel="2" x14ac:dyDescent="0.3">
      <c r="A540" s="447">
        <f>IF(B539&lt;&gt;0,B539,A538)</f>
        <v>46</v>
      </c>
      <c r="B540" s="893"/>
      <c r="C540" s="894" t="s">
        <v>200</v>
      </c>
      <c r="D540" s="923">
        <v>1</v>
      </c>
      <c r="E540" s="923">
        <v>86</v>
      </c>
      <c r="F540" s="896">
        <v>255</v>
      </c>
      <c r="G540" s="894" t="s">
        <v>2037</v>
      </c>
      <c r="H540" s="924">
        <v>99.9</v>
      </c>
      <c r="I540" s="882" t="str">
        <f t="shared" ref="I540:I542" si="114">IF(N540&gt;0,H540,"")</f>
        <v/>
      </c>
      <c r="J540" s="929"/>
      <c r="K540" s="899">
        <f>IF(G540&lt;&gt;0,VLOOKUP(G540,'gia dat'!$A$1:$F$144,5,0)," ")</f>
        <v>5762400</v>
      </c>
      <c r="L540" s="899">
        <f>IF(G540&lt;&gt;0,VLOOKUP(G540,'gia dat'!$A$1:$F$144,6,0)," ")</f>
        <v>0</v>
      </c>
      <c r="M540" s="900">
        <f t="shared" si="107"/>
        <v>575664000</v>
      </c>
      <c r="N540" s="900">
        <f t="shared" si="108"/>
        <v>0</v>
      </c>
      <c r="O540" s="922"/>
      <c r="P540" s="926"/>
      <c r="Q540" s="900" t="str">
        <f>IF(O540&lt;&gt;0,VLOOKUP(O540,'Cây trong'!$A$2:$C$246,3,0)," ")</f>
        <v xml:space="preserve"> </v>
      </c>
      <c r="R540" s="900" t="str">
        <f t="shared" si="110"/>
        <v xml:space="preserve"> </v>
      </c>
      <c r="S540" s="922"/>
      <c r="T540" s="944"/>
      <c r="U540" s="927"/>
      <c r="V540" s="925"/>
      <c r="W540" s="900" t="str">
        <f>IF(S540&lt;&gt;0,VLOOKUP(S540,VKT!$A$2:$G$415,7,0),"")</f>
        <v/>
      </c>
      <c r="X540" s="900" t="str">
        <f t="shared" si="102"/>
        <v xml:space="preserve"> </v>
      </c>
      <c r="Y540" s="925"/>
      <c r="Z540" s="928"/>
      <c r="AA540" s="928"/>
      <c r="AB540" s="904"/>
      <c r="AC540" s="928"/>
      <c r="AD540" s="928"/>
      <c r="AE540" s="905"/>
      <c r="AF540" s="899"/>
      <c r="AG540" s="906"/>
      <c r="AH540" s="906"/>
      <c r="AI540" s="907" t="str">
        <f t="shared" si="112"/>
        <v xml:space="preserve"> </v>
      </c>
      <c r="AJ540" s="894" t="s">
        <v>1694</v>
      </c>
      <c r="AK540" s="922" t="s">
        <v>2771</v>
      </c>
    </row>
    <row r="541" spans="1:37" s="376" customFormat="1" ht="112.5" outlineLevel="2" x14ac:dyDescent="0.3">
      <c r="A541" s="447">
        <f t="shared" ref="A541:A548" si="115">IF(B540&lt;&gt;0,B540,A540)</f>
        <v>46</v>
      </c>
      <c r="B541" s="893"/>
      <c r="C541" s="894" t="s">
        <v>677</v>
      </c>
      <c r="D541" s="923"/>
      <c r="E541" s="923">
        <v>86</v>
      </c>
      <c r="F541" s="896">
        <v>255</v>
      </c>
      <c r="G541" s="894" t="s">
        <v>2472</v>
      </c>
      <c r="H541" s="924">
        <v>138.6</v>
      </c>
      <c r="I541" s="882" t="str">
        <f t="shared" si="114"/>
        <v/>
      </c>
      <c r="J541" s="925"/>
      <c r="K541" s="899">
        <f>IF(G541&lt;&gt;0,VLOOKUP(G541,'gia dat'!$A$1:$F$144,5,0)," ")</f>
        <v>554400</v>
      </c>
      <c r="L541" s="899">
        <f>IF(G541&lt;&gt;0,VLOOKUP(G541,'gia dat'!$A$1:$F$144,6,0)," ")</f>
        <v>0</v>
      </c>
      <c r="M541" s="900">
        <f t="shared" si="107"/>
        <v>76840000</v>
      </c>
      <c r="N541" s="900">
        <f t="shared" si="108"/>
        <v>0</v>
      </c>
      <c r="O541" s="894"/>
      <c r="P541" s="926"/>
      <c r="Q541" s="900" t="str">
        <f>IF(O541&lt;&gt;0,VLOOKUP(O541,'Cây trong'!$A$2:$C$246,3,0)," ")</f>
        <v xml:space="preserve"> </v>
      </c>
      <c r="R541" s="900" t="str">
        <f t="shared" si="110"/>
        <v xml:space="preserve"> </v>
      </c>
      <c r="S541" s="902"/>
      <c r="T541" s="925"/>
      <c r="U541" s="927"/>
      <c r="V541" s="925"/>
      <c r="W541" s="900" t="str">
        <f>IF(S541&lt;&gt;0,VLOOKUP(S541,VKT!$A$2:$G$415,7,0),"")</f>
        <v/>
      </c>
      <c r="X541" s="900" t="str">
        <f t="shared" si="102"/>
        <v xml:space="preserve"> </v>
      </c>
      <c r="Y541" s="925"/>
      <c r="Z541" s="928"/>
      <c r="AA541" s="928"/>
      <c r="AB541" s="904"/>
      <c r="AC541" s="928"/>
      <c r="AD541" s="928"/>
      <c r="AE541" s="905"/>
      <c r="AF541" s="926"/>
      <c r="AG541" s="906" t="str">
        <f>IF(AE541&lt;&gt;0,VLOOKUP(AE541,ODDS!$A$2:$C$13,3,0),"")</f>
        <v/>
      </c>
      <c r="AH541" s="906" t="str">
        <f t="shared" si="111"/>
        <v xml:space="preserve"> </v>
      </c>
      <c r="AI541" s="907" t="str">
        <f t="shared" si="112"/>
        <v xml:space="preserve"> </v>
      </c>
      <c r="AJ541" s="894" t="s">
        <v>513</v>
      </c>
      <c r="AK541" s="894"/>
    </row>
    <row r="542" spans="1:37" s="376" customFormat="1" ht="90" outlineLevel="2" x14ac:dyDescent="0.3">
      <c r="A542" s="447">
        <f t="shared" si="115"/>
        <v>46</v>
      </c>
      <c r="B542" s="893"/>
      <c r="C542" s="910" t="s">
        <v>201</v>
      </c>
      <c r="D542" s="923"/>
      <c r="E542" s="923"/>
      <c r="F542" s="896"/>
      <c r="G542" s="894" t="s">
        <v>2473</v>
      </c>
      <c r="H542" s="924">
        <v>6.5</v>
      </c>
      <c r="I542" s="882" t="str">
        <f t="shared" si="114"/>
        <v/>
      </c>
      <c r="J542" s="925"/>
      <c r="K542" s="899">
        <f>IF(G542&lt;&gt;0,VLOOKUP(G542,'gia dat'!$A$1:$F$144,5,0)," ")</f>
        <v>554400</v>
      </c>
      <c r="L542" s="899">
        <f>IF(G542&lt;&gt;0,VLOOKUP(G542,'gia dat'!$A$1:$F$144,6,0)," ")</f>
        <v>0</v>
      </c>
      <c r="M542" s="900">
        <f t="shared" si="107"/>
        <v>3604000</v>
      </c>
      <c r="N542" s="900">
        <f t="shared" si="108"/>
        <v>0</v>
      </c>
      <c r="O542" s="894"/>
      <c r="P542" s="926"/>
      <c r="Q542" s="900" t="str">
        <f>IF(O542&lt;&gt;0,VLOOKUP(O542,'Cây trong'!$A$2:$C$246,3,0)," ")</f>
        <v xml:space="preserve"> </v>
      </c>
      <c r="R542" s="900" t="str">
        <f t="shared" si="110"/>
        <v xml:space="preserve"> </v>
      </c>
      <c r="S542" s="902"/>
      <c r="T542" s="925"/>
      <c r="U542" s="927"/>
      <c r="V542" s="925"/>
      <c r="W542" s="900" t="str">
        <f>IF(S542&lt;&gt;0,VLOOKUP(S542,VKT!$A$2:$G$415,7,0),"")</f>
        <v/>
      </c>
      <c r="X542" s="900" t="str">
        <f t="shared" si="102"/>
        <v xml:space="preserve"> </v>
      </c>
      <c r="Y542" s="925"/>
      <c r="Z542" s="928"/>
      <c r="AA542" s="928"/>
      <c r="AB542" s="904"/>
      <c r="AC542" s="928"/>
      <c r="AD542" s="928"/>
      <c r="AE542" s="941"/>
      <c r="AF542" s="926"/>
      <c r="AG542" s="906" t="str">
        <f>IF(AE542&lt;&gt;0,VLOOKUP(AE542,ODDS!$A$2:$C$13,3,0),"")</f>
        <v/>
      </c>
      <c r="AH542" s="906" t="str">
        <f t="shared" si="111"/>
        <v xml:space="preserve"> </v>
      </c>
      <c r="AI542" s="907" t="str">
        <f t="shared" si="112"/>
        <v xml:space="preserve"> </v>
      </c>
      <c r="AJ542" s="943" t="s">
        <v>111</v>
      </c>
      <c r="AK542" s="929"/>
    </row>
    <row r="543" spans="1:37" s="376" customFormat="1" ht="135" outlineLevel="2" x14ac:dyDescent="0.3">
      <c r="A543" s="447">
        <f t="shared" si="115"/>
        <v>46</v>
      </c>
      <c r="B543" s="893"/>
      <c r="C543" s="983" t="s">
        <v>202</v>
      </c>
      <c r="D543" s="939">
        <v>1</v>
      </c>
      <c r="E543" s="931"/>
      <c r="F543" s="913"/>
      <c r="G543" s="910"/>
      <c r="H543" s="924"/>
      <c r="I543" s="882"/>
      <c r="J543" s="933"/>
      <c r="K543" s="899" t="str">
        <f>IF(G543&lt;&gt;0,VLOOKUP(G543,'gia dat'!$A$1:$F$144,5,0)," ")</f>
        <v xml:space="preserve"> </v>
      </c>
      <c r="L543" s="899" t="str">
        <f>IF(G543&lt;&gt;0,VLOOKUP(G543,'gia dat'!$A$1:$F$144,6,0)," ")</f>
        <v xml:space="preserve"> </v>
      </c>
      <c r="M543" s="900" t="str">
        <f t="shared" si="107"/>
        <v xml:space="preserve"> </v>
      </c>
      <c r="N543" s="900" t="str">
        <f t="shared" si="108"/>
        <v xml:space="preserve"> </v>
      </c>
      <c r="O543" s="934"/>
      <c r="P543" s="926"/>
      <c r="Q543" s="900" t="str">
        <f>IF(O543&lt;&gt;0,VLOOKUP(O543,'Cây trong'!$A$2:$C$246,3,0)," ")</f>
        <v xml:space="preserve"> </v>
      </c>
      <c r="R543" s="900" t="str">
        <f t="shared" si="110"/>
        <v xml:space="preserve"> </v>
      </c>
      <c r="S543" s="918"/>
      <c r="T543" s="933"/>
      <c r="U543" s="927"/>
      <c r="V543" s="933"/>
      <c r="W543" s="900" t="str">
        <f>IF(S543&lt;&gt;0,VLOOKUP(S543,VKT!$A$2:$G$415,7,0),"")</f>
        <v/>
      </c>
      <c r="X543" s="900" t="str">
        <f t="shared" si="102"/>
        <v xml:space="preserve"> </v>
      </c>
      <c r="Y543" s="925"/>
      <c r="Z543" s="928"/>
      <c r="AA543" s="928"/>
      <c r="AB543" s="904"/>
      <c r="AC543" s="928"/>
      <c r="AD543" s="928"/>
      <c r="AE543" s="928"/>
      <c r="AF543" s="926"/>
      <c r="AG543" s="906" t="str">
        <f>IF(AE543&lt;&gt;0,VLOOKUP(AE543,ODDS!$A$2:$C$13,3,0),"")</f>
        <v/>
      </c>
      <c r="AH543" s="906" t="str">
        <f t="shared" si="111"/>
        <v xml:space="preserve"> </v>
      </c>
      <c r="AI543" s="907" t="str">
        <f t="shared" si="112"/>
        <v xml:space="preserve"> </v>
      </c>
      <c r="AJ543" s="894" t="s">
        <v>1695</v>
      </c>
      <c r="AK543" s="943"/>
    </row>
    <row r="544" spans="1:37" s="376" customFormat="1" ht="112.5" outlineLevel="2" x14ac:dyDescent="0.3">
      <c r="A544" s="447">
        <f t="shared" si="115"/>
        <v>46</v>
      </c>
      <c r="B544" s="893"/>
      <c r="C544" s="908" t="s">
        <v>678</v>
      </c>
      <c r="D544" s="939"/>
      <c r="E544" s="923"/>
      <c r="F544" s="896"/>
      <c r="G544" s="894"/>
      <c r="H544" s="924"/>
      <c r="I544" s="882"/>
      <c r="J544" s="925"/>
      <c r="K544" s="899" t="str">
        <f>IF(G544&lt;&gt;0,VLOOKUP(G544,'gia dat'!$A$1:$F$144,5,0)," ")</f>
        <v xml:space="preserve"> </v>
      </c>
      <c r="L544" s="899" t="str">
        <f>IF(G544&lt;&gt;0,VLOOKUP(G544,'gia dat'!$A$1:$F$144,6,0)," ")</f>
        <v xml:space="preserve"> </v>
      </c>
      <c r="M544" s="900" t="str">
        <f t="shared" si="107"/>
        <v xml:space="preserve"> </v>
      </c>
      <c r="N544" s="900" t="str">
        <f t="shared" si="108"/>
        <v xml:space="preserve"> </v>
      </c>
      <c r="O544" s="901"/>
      <c r="P544" s="926"/>
      <c r="Q544" s="900" t="str">
        <f>IF(O544&lt;&gt;0,VLOOKUP(O544,'Cây trong'!$A$2:$C$246,3,0)," ")</f>
        <v xml:space="preserve"> </v>
      </c>
      <c r="R544" s="900" t="str">
        <f t="shared" si="110"/>
        <v xml:space="preserve"> </v>
      </c>
      <c r="S544" s="902"/>
      <c r="T544" s="925"/>
      <c r="U544" s="927"/>
      <c r="V544" s="925"/>
      <c r="W544" s="900" t="str">
        <f>IF(S544&lt;&gt;0,VLOOKUP(S544,VKT!$A$2:$G$415,7,0),"")</f>
        <v/>
      </c>
      <c r="X544" s="900" t="str">
        <f t="shared" si="102"/>
        <v xml:space="preserve"> </v>
      </c>
      <c r="Y544" s="916"/>
      <c r="Z544" s="937"/>
      <c r="AA544" s="937"/>
      <c r="AB544" s="920"/>
      <c r="AC544" s="937"/>
      <c r="AD544" s="937"/>
      <c r="AE544" s="937"/>
      <c r="AF544" s="935"/>
      <c r="AG544" s="906" t="str">
        <f>IF(AE544&lt;&gt;0,VLOOKUP(AE544,ODDS!$A$2:$C$13,3,0),"")</f>
        <v/>
      </c>
      <c r="AH544" s="906" t="str">
        <f t="shared" si="111"/>
        <v xml:space="preserve"> </v>
      </c>
      <c r="AI544" s="907" t="str">
        <f t="shared" si="112"/>
        <v xml:space="preserve"> </v>
      </c>
      <c r="AJ544" s="894" t="s">
        <v>2205</v>
      </c>
      <c r="AK544" s="894"/>
    </row>
    <row r="545" spans="1:39" s="376" customFormat="1" ht="22.5" outlineLevel="2" x14ac:dyDescent="0.35">
      <c r="A545" s="447">
        <f t="shared" si="115"/>
        <v>46</v>
      </c>
      <c r="B545" s="893"/>
      <c r="C545" s="908"/>
      <c r="D545" s="923"/>
      <c r="E545" s="923"/>
      <c r="F545" s="950"/>
      <c r="G545" s="894"/>
      <c r="H545" s="940"/>
      <c r="I545" s="882"/>
      <c r="J545" s="929"/>
      <c r="K545" s="899" t="str">
        <f>IF(G545&lt;&gt;0,VLOOKUP(G545,'gia dat'!$A$1:$F$144,5,0)," ")</f>
        <v xml:space="preserve"> </v>
      </c>
      <c r="L545" s="899" t="str">
        <f>IF(G545&lt;&gt;0,VLOOKUP(G545,'gia dat'!$A$1:$F$144,6,0)," ")</f>
        <v xml:space="preserve"> </v>
      </c>
      <c r="M545" s="900" t="str">
        <f t="shared" si="107"/>
        <v xml:space="preserve"> </v>
      </c>
      <c r="N545" s="900" t="str">
        <f t="shared" si="108"/>
        <v xml:space="preserve"> </v>
      </c>
      <c r="O545" s="929"/>
      <c r="P545" s="951"/>
      <c r="Q545" s="900" t="str">
        <f>IF(O545&lt;&gt;0,VLOOKUP(O545,'Cây trong'!$A$2:$C$246,3,0)," ")</f>
        <v xml:space="preserve"> </v>
      </c>
      <c r="R545" s="900" t="str">
        <f t="shared" si="110"/>
        <v xml:space="preserve"> </v>
      </c>
      <c r="S545" s="929"/>
      <c r="T545" s="929"/>
      <c r="U545" s="952"/>
      <c r="V545" s="925"/>
      <c r="W545" s="900" t="str">
        <f>IF(S545&lt;&gt;0,VLOOKUP(S545,VKT!$A$2:$G$415,7,0),"")</f>
        <v/>
      </c>
      <c r="X545" s="900" t="str">
        <f t="shared" si="102"/>
        <v xml:space="preserve"> </v>
      </c>
      <c r="Y545" s="925"/>
      <c r="Z545" s="925"/>
      <c r="AA545" s="925"/>
      <c r="AB545" s="898"/>
      <c r="AC545" s="925"/>
      <c r="AD545" s="925"/>
      <c r="AE545" s="925"/>
      <c r="AF545" s="964"/>
      <c r="AG545" s="906" t="str">
        <f>IF(AE545&lt;&gt;0,VLOOKUP(AE545,ODDS!$A$2:$C$13,3,0),"")</f>
        <v/>
      </c>
      <c r="AH545" s="906" t="str">
        <f t="shared" si="111"/>
        <v xml:space="preserve"> </v>
      </c>
      <c r="AI545" s="907" t="str">
        <f t="shared" si="112"/>
        <v xml:space="preserve"> </v>
      </c>
      <c r="AJ545" s="911"/>
      <c r="AK545" s="929"/>
    </row>
    <row r="546" spans="1:39" s="376" customFormat="1" ht="22.5" outlineLevel="2" x14ac:dyDescent="0.3">
      <c r="A546" s="447">
        <f t="shared" si="115"/>
        <v>46</v>
      </c>
      <c r="B546" s="893"/>
      <c r="C546" s="908"/>
      <c r="D546" s="923"/>
      <c r="E546" s="923"/>
      <c r="F546" s="950"/>
      <c r="G546" s="894"/>
      <c r="H546" s="940"/>
      <c r="I546" s="882"/>
      <c r="J546" s="929"/>
      <c r="K546" s="899" t="str">
        <f>IF(G546&lt;&gt;0,VLOOKUP(G546,'gia dat'!$A$1:$F$144,5,0)," ")</f>
        <v xml:space="preserve"> </v>
      </c>
      <c r="L546" s="899" t="str">
        <f>IF(G546&lt;&gt;0,VLOOKUP(G546,'gia dat'!$A$1:$F$144,6,0)," ")</f>
        <v xml:space="preserve"> </v>
      </c>
      <c r="M546" s="900" t="str">
        <f t="shared" si="107"/>
        <v xml:space="preserve"> </v>
      </c>
      <c r="N546" s="900" t="str">
        <f t="shared" si="108"/>
        <v xml:space="preserve"> </v>
      </c>
      <c r="O546" s="929"/>
      <c r="P546" s="951"/>
      <c r="Q546" s="900" t="str">
        <f>IF(O546&lt;&gt;0,VLOOKUP(O546,'Cây trong'!$A$2:$C$246,3,0)," ")</f>
        <v xml:space="preserve"> </v>
      </c>
      <c r="R546" s="900" t="str">
        <f t="shared" si="110"/>
        <v xml:space="preserve"> </v>
      </c>
      <c r="S546" s="929"/>
      <c r="T546" s="929"/>
      <c r="U546" s="952"/>
      <c r="V546" s="925"/>
      <c r="W546" s="900" t="str">
        <f>IF(S546&lt;&gt;0,VLOOKUP(S546,VKT!$A$2:$G$415,7,0),"")</f>
        <v/>
      </c>
      <c r="X546" s="900" t="str">
        <f t="shared" si="102"/>
        <v xml:space="preserve"> </v>
      </c>
      <c r="Y546" s="925"/>
      <c r="Z546" s="925"/>
      <c r="AA546" s="925"/>
      <c r="AB546" s="898"/>
      <c r="AC546" s="925"/>
      <c r="AD546" s="925"/>
      <c r="AE546" s="925"/>
      <c r="AF546" s="964"/>
      <c r="AG546" s="906" t="str">
        <f>IF(AE546&lt;&gt;0,VLOOKUP(AE546,ODDS!$A$2:$C$13,3,0),"")</f>
        <v/>
      </c>
      <c r="AH546" s="906" t="str">
        <f t="shared" si="111"/>
        <v xml:space="preserve"> </v>
      </c>
      <c r="AI546" s="907" t="str">
        <f t="shared" si="112"/>
        <v xml:space="preserve"> </v>
      </c>
      <c r="AJ546" s="929"/>
      <c r="AK546" s="929"/>
    </row>
    <row r="547" spans="1:39" s="376" customFormat="1" ht="22.5" outlineLevel="2" x14ac:dyDescent="0.3">
      <c r="A547" s="447">
        <f t="shared" si="115"/>
        <v>46</v>
      </c>
      <c r="B547" s="893"/>
      <c r="C547" s="942"/>
      <c r="D547" s="923"/>
      <c r="E547" s="923"/>
      <c r="F547" s="950"/>
      <c r="G547" s="894"/>
      <c r="H547" s="940"/>
      <c r="I547" s="882"/>
      <c r="J547" s="929"/>
      <c r="K547" s="899" t="str">
        <f>IF(G547&lt;&gt;0,VLOOKUP(G547,'gia dat'!$A$1:$F$144,5,0)," ")</f>
        <v xml:space="preserve"> </v>
      </c>
      <c r="L547" s="899" t="str">
        <f>IF(G547&lt;&gt;0,VLOOKUP(G547,'gia dat'!$A$1:$F$144,6,0)," ")</f>
        <v xml:space="preserve"> </v>
      </c>
      <c r="M547" s="900" t="str">
        <f t="shared" si="107"/>
        <v xml:space="preserve"> </v>
      </c>
      <c r="N547" s="900" t="str">
        <f t="shared" si="108"/>
        <v xml:space="preserve"> </v>
      </c>
      <c r="O547" s="929"/>
      <c r="P547" s="951"/>
      <c r="Q547" s="900" t="str">
        <f>IF(O547&lt;&gt;0,VLOOKUP(O547,'Cây trong'!$A$2:$C$246,3,0)," ")</f>
        <v xml:space="preserve"> </v>
      </c>
      <c r="R547" s="900" t="str">
        <f t="shared" si="110"/>
        <v xml:space="preserve"> </v>
      </c>
      <c r="S547" s="929"/>
      <c r="T547" s="929"/>
      <c r="U547" s="952"/>
      <c r="V547" s="925"/>
      <c r="W547" s="900" t="str">
        <f>IF(S547&lt;&gt;0,VLOOKUP(S547,VKT!$A$2:$G$415,7,0),"")</f>
        <v/>
      </c>
      <c r="X547" s="900" t="str">
        <f t="shared" si="102"/>
        <v xml:space="preserve"> </v>
      </c>
      <c r="Y547" s="925"/>
      <c r="Z547" s="925"/>
      <c r="AA547" s="925"/>
      <c r="AB547" s="898"/>
      <c r="AC547" s="925"/>
      <c r="AD547" s="925"/>
      <c r="AE547" s="925"/>
      <c r="AF547" s="964"/>
      <c r="AG547" s="906" t="str">
        <f>IF(AE547&lt;&gt;0,VLOOKUP(AE547,ODDS!$A$2:$C$13,3,0),"")</f>
        <v/>
      </c>
      <c r="AH547" s="906" t="str">
        <f t="shared" si="111"/>
        <v xml:space="preserve"> </v>
      </c>
      <c r="AI547" s="907" t="str">
        <f t="shared" si="112"/>
        <v xml:space="preserve"> </v>
      </c>
      <c r="AJ547" s="929"/>
      <c r="AK547" s="929"/>
    </row>
    <row r="548" spans="1:39" s="376" customFormat="1" ht="22.5" outlineLevel="2" x14ac:dyDescent="0.3">
      <c r="A548" s="447">
        <f t="shared" si="115"/>
        <v>46</v>
      </c>
      <c r="B548" s="893"/>
      <c r="C548" s="942"/>
      <c r="D548" s="923"/>
      <c r="E548" s="923"/>
      <c r="F548" s="896"/>
      <c r="G548" s="894"/>
      <c r="H548" s="924"/>
      <c r="I548" s="882"/>
      <c r="J548" s="925"/>
      <c r="K548" s="899" t="str">
        <f>IF(G548&lt;&gt;0,VLOOKUP(G548,'gia dat'!$A$1:$F$144,5,0)," ")</f>
        <v xml:space="preserve"> </v>
      </c>
      <c r="L548" s="899" t="str">
        <f>IF(G548&lt;&gt;0,VLOOKUP(G548,'gia dat'!$A$1:$F$144,6,0)," ")</f>
        <v xml:space="preserve"> </v>
      </c>
      <c r="M548" s="900" t="str">
        <f t="shared" si="107"/>
        <v xml:space="preserve"> </v>
      </c>
      <c r="N548" s="900" t="str">
        <f t="shared" si="108"/>
        <v xml:space="preserve"> </v>
      </c>
      <c r="O548" s="894"/>
      <c r="P548" s="926"/>
      <c r="Q548" s="900" t="str">
        <f>IF(O548&lt;&gt;0,VLOOKUP(O548,'Cây trong'!$A$2:$C$246,3,0)," ")</f>
        <v xml:space="preserve"> </v>
      </c>
      <c r="R548" s="900" t="str">
        <f t="shared" si="110"/>
        <v xml:space="preserve"> </v>
      </c>
      <c r="S548" s="902"/>
      <c r="T548" s="925"/>
      <c r="U548" s="927"/>
      <c r="V548" s="925"/>
      <c r="W548" s="900" t="str">
        <f>IF(S548&lt;&gt;0,VLOOKUP(S548,VKT!$A$2:$G$415,7,0),"")</f>
        <v/>
      </c>
      <c r="X548" s="900" t="str">
        <f t="shared" si="102"/>
        <v xml:space="preserve"> </v>
      </c>
      <c r="Y548" s="925"/>
      <c r="Z548" s="928"/>
      <c r="AA548" s="928"/>
      <c r="AB548" s="904"/>
      <c r="AC548" s="928"/>
      <c r="AD548" s="928"/>
      <c r="AE548" s="928"/>
      <c r="AF548" s="926"/>
      <c r="AG548" s="906" t="str">
        <f>IF(AE548&lt;&gt;0,VLOOKUP(AE548,ODDS!$A$2:$C$13,3,0),"")</f>
        <v/>
      </c>
      <c r="AH548" s="906" t="str">
        <f t="shared" si="111"/>
        <v xml:space="preserve"> </v>
      </c>
      <c r="AI548" s="907" t="str">
        <f t="shared" si="112"/>
        <v xml:space="preserve"> </v>
      </c>
      <c r="AJ548" s="994"/>
      <c r="AK548" s="994"/>
    </row>
    <row r="549" spans="1:39" s="376" customFormat="1" ht="43.5" outlineLevel="1" x14ac:dyDescent="0.25">
      <c r="A549" s="467" t="s">
        <v>2663</v>
      </c>
      <c r="B549" s="912">
        <v>47</v>
      </c>
      <c r="C549" s="942" t="s">
        <v>30</v>
      </c>
      <c r="D549" s="930"/>
      <c r="E549" s="931"/>
      <c r="F549" s="913"/>
      <c r="G549" s="910"/>
      <c r="H549" s="953">
        <f>SUBTOTAL(9,H550:H558)</f>
        <v>1580.5</v>
      </c>
      <c r="I549" s="915">
        <f>SUBTOTAL(9,I550:I555)</f>
        <v>493.9</v>
      </c>
      <c r="J549" s="933"/>
      <c r="K549" s="917"/>
      <c r="L549" s="917"/>
      <c r="M549" s="907">
        <f>SUBTOTAL(9,M550:M558)</f>
        <v>6535242000</v>
      </c>
      <c r="N549" s="907">
        <f>SUBTOTAL(9,N550:N558)</f>
        <v>821454000</v>
      </c>
      <c r="O549" s="934"/>
      <c r="P549" s="935">
        <f>SUBTOTAL(9,P550:P558)</f>
        <v>0</v>
      </c>
      <c r="Q549" s="907"/>
      <c r="R549" s="907">
        <f>SUBTOTAL(9,R550:R558)</f>
        <v>0</v>
      </c>
      <c r="S549" s="918"/>
      <c r="T549" s="933"/>
      <c r="U549" s="936">
        <f>SUBTOTAL(9,U550:U558)</f>
        <v>0</v>
      </c>
      <c r="V549" s="933"/>
      <c r="W549" s="907"/>
      <c r="X549" s="907">
        <f>SUBTOTAL(9,X550:X558)</f>
        <v>0</v>
      </c>
      <c r="Y549" s="925"/>
      <c r="Z549" s="928"/>
      <c r="AA549" s="928"/>
      <c r="AB549" s="904"/>
      <c r="AC549" s="928"/>
      <c r="AD549" s="928"/>
      <c r="AE549" s="938"/>
      <c r="AF549" s="917">
        <f>SUBTOTAL(9,AF550:AF558)</f>
        <v>0</v>
      </c>
      <c r="AG549" s="921"/>
      <c r="AH549" s="921">
        <f>SUBTOTAL(9,AH550:AH558)</f>
        <v>0</v>
      </c>
      <c r="AI549" s="907">
        <f t="shared" si="112"/>
        <v>7356696000</v>
      </c>
      <c r="AJ549" s="910"/>
      <c r="AK549" s="914"/>
      <c r="AL549" s="414"/>
      <c r="AM549" s="383"/>
    </row>
    <row r="550" spans="1:39" s="376" customFormat="1" ht="135" outlineLevel="2" x14ac:dyDescent="0.3">
      <c r="A550" s="447">
        <f>IF(B549&lt;&gt;0,B549,A548)</f>
        <v>47</v>
      </c>
      <c r="B550" s="893"/>
      <c r="C550" s="894" t="s">
        <v>127</v>
      </c>
      <c r="D550" s="939">
        <v>1</v>
      </c>
      <c r="E550" s="923">
        <v>86</v>
      </c>
      <c r="F550" s="896">
        <v>151</v>
      </c>
      <c r="G550" s="894" t="s">
        <v>2037</v>
      </c>
      <c r="H550" s="924">
        <v>1086.5999999999999</v>
      </c>
      <c r="I550" s="882" t="str">
        <f t="shared" ref="I550:I551" si="116">IF(N550&gt;0,H550,"")</f>
        <v/>
      </c>
      <c r="J550" s="925"/>
      <c r="K550" s="899">
        <f>IF(G550&lt;&gt;0,VLOOKUP(G550,'gia dat'!$A$1:$F$144,5,0)," ")</f>
        <v>5762400</v>
      </c>
      <c r="L550" s="899">
        <f>IF(G550&lt;&gt;0,VLOOKUP(G550,'gia dat'!$A$1:$F$144,6,0)," ")</f>
        <v>0</v>
      </c>
      <c r="M550" s="900">
        <f t="shared" si="107"/>
        <v>6261424000</v>
      </c>
      <c r="N550" s="900">
        <f t="shared" si="108"/>
        <v>0</v>
      </c>
      <c r="O550" s="901"/>
      <c r="P550" s="926"/>
      <c r="Q550" s="900" t="str">
        <f>IF(O550&lt;&gt;0,VLOOKUP(O550,'Cây trong'!$A$2:$C$246,3,0)," ")</f>
        <v xml:space="preserve"> </v>
      </c>
      <c r="R550" s="900" t="str">
        <f t="shared" si="110"/>
        <v xml:space="preserve"> </v>
      </c>
      <c r="S550" s="902"/>
      <c r="T550" s="925"/>
      <c r="U550" s="927"/>
      <c r="V550" s="925"/>
      <c r="W550" s="900" t="str">
        <f>IF(S550&lt;&gt;0,VLOOKUP(S550,VKT!$A$2:$G$415,7,0),"")</f>
        <v/>
      </c>
      <c r="X550" s="900" t="str">
        <f t="shared" si="102"/>
        <v xml:space="preserve"> </v>
      </c>
      <c r="Y550" s="925"/>
      <c r="Z550" s="928"/>
      <c r="AA550" s="928"/>
      <c r="AB550" s="904"/>
      <c r="AC550" s="928"/>
      <c r="AD550" s="928"/>
      <c r="AE550" s="905"/>
      <c r="AF550" s="899"/>
      <c r="AG550" s="906"/>
      <c r="AH550" s="906"/>
      <c r="AI550" s="907" t="str">
        <f t="shared" si="112"/>
        <v xml:space="preserve"> </v>
      </c>
      <c r="AJ550" s="894" t="s">
        <v>514</v>
      </c>
      <c r="AK550" s="922" t="s">
        <v>2771</v>
      </c>
      <c r="AL550" s="414" t="s">
        <v>2206</v>
      </c>
      <c r="AM550" s="383"/>
    </row>
    <row r="551" spans="1:39" s="376" customFormat="1" ht="90" outlineLevel="2" x14ac:dyDescent="0.3">
      <c r="A551" s="447">
        <f t="shared" ref="A551:A558" si="117">IF(B550&lt;&gt;0,B550,A550)</f>
        <v>47</v>
      </c>
      <c r="B551" s="893"/>
      <c r="C551" s="894" t="s">
        <v>651</v>
      </c>
      <c r="D551" s="923"/>
      <c r="E551" s="923">
        <v>86</v>
      </c>
      <c r="F551" s="896">
        <v>151</v>
      </c>
      <c r="G551" s="922" t="s">
        <v>2469</v>
      </c>
      <c r="H551" s="924">
        <v>493.9</v>
      </c>
      <c r="I551" s="882">
        <f t="shared" si="116"/>
        <v>493.9</v>
      </c>
      <c r="J551" s="929"/>
      <c r="K551" s="899">
        <f>IF(G551&lt;&gt;0,VLOOKUP(G551,'gia dat'!$A$1:$F$144,5,0)," ")</f>
        <v>554400</v>
      </c>
      <c r="L551" s="899">
        <f>IF(G551&lt;&gt;0,VLOOKUP(G551,'gia dat'!$A$1:$F$144,6,0)," ")</f>
        <v>1663200</v>
      </c>
      <c r="M551" s="900">
        <f t="shared" si="107"/>
        <v>273818000</v>
      </c>
      <c r="N551" s="900">
        <f t="shared" si="108"/>
        <v>821454000</v>
      </c>
      <c r="O551" s="922"/>
      <c r="P551" s="926"/>
      <c r="Q551" s="900" t="str">
        <f>IF(O551&lt;&gt;0,VLOOKUP(O551,'Cây trong'!$A$2:$C$246,3,0)," ")</f>
        <v xml:space="preserve"> </v>
      </c>
      <c r="R551" s="900" t="str">
        <f t="shared" si="110"/>
        <v xml:space="preserve"> </v>
      </c>
      <c r="S551" s="922"/>
      <c r="T551" s="944"/>
      <c r="U551" s="927"/>
      <c r="V551" s="925"/>
      <c r="W551" s="900" t="str">
        <f>IF(S551&lt;&gt;0,VLOOKUP(S551,VKT!$A$2:$G$415,7,0),"")</f>
        <v/>
      </c>
      <c r="X551" s="900" t="str">
        <f t="shared" si="102"/>
        <v xml:space="preserve"> </v>
      </c>
      <c r="Y551" s="925"/>
      <c r="Z551" s="928"/>
      <c r="AA551" s="928"/>
      <c r="AB551" s="904"/>
      <c r="AC551" s="928"/>
      <c r="AD551" s="928"/>
      <c r="AE551" s="928"/>
      <c r="AF551" s="926"/>
      <c r="AG551" s="906" t="str">
        <f>IF(AE551&lt;&gt;0,VLOOKUP(AE551,ODDS!$A$2:$C$13,3,0),"")</f>
        <v/>
      </c>
      <c r="AH551" s="906" t="str">
        <f t="shared" si="111"/>
        <v xml:space="preserve"> </v>
      </c>
      <c r="AI551" s="907" t="str">
        <f t="shared" si="112"/>
        <v xml:space="preserve"> </v>
      </c>
      <c r="AJ551" s="894" t="s">
        <v>516</v>
      </c>
      <c r="AK551" s="894" t="s">
        <v>2448</v>
      </c>
    </row>
    <row r="552" spans="1:39" s="376" customFormat="1" ht="22.5" outlineLevel="2" x14ac:dyDescent="0.3">
      <c r="A552" s="447">
        <f t="shared" si="117"/>
        <v>47</v>
      </c>
      <c r="B552" s="893"/>
      <c r="C552" s="910" t="s">
        <v>203</v>
      </c>
      <c r="D552" s="923"/>
      <c r="E552" s="923"/>
      <c r="F552" s="896"/>
      <c r="G552" s="894"/>
      <c r="H552" s="924"/>
      <c r="I552" s="882"/>
      <c r="J552" s="929"/>
      <c r="K552" s="899" t="str">
        <f>IF(G552&lt;&gt;0,VLOOKUP(G552,'gia dat'!$A$1:$F$144,5,0)," ")</f>
        <v xml:space="preserve"> </v>
      </c>
      <c r="L552" s="899" t="str">
        <f>IF(G552&lt;&gt;0,VLOOKUP(G552,'gia dat'!$A$1:$F$144,6,0)," ")</f>
        <v xml:space="preserve"> </v>
      </c>
      <c r="M552" s="900" t="str">
        <f t="shared" si="107"/>
        <v xml:space="preserve"> </v>
      </c>
      <c r="N552" s="900" t="str">
        <f t="shared" si="108"/>
        <v xml:space="preserve"> </v>
      </c>
      <c r="O552" s="922"/>
      <c r="P552" s="926"/>
      <c r="Q552" s="900" t="str">
        <f>IF(O552&lt;&gt;0,VLOOKUP(O552,'Cây trong'!$A$2:$C$246,3,0)," ")</f>
        <v xml:space="preserve"> </v>
      </c>
      <c r="R552" s="900" t="str">
        <f t="shared" si="110"/>
        <v xml:space="preserve"> </v>
      </c>
      <c r="S552" s="922"/>
      <c r="T552" s="944"/>
      <c r="U552" s="927"/>
      <c r="V552" s="925"/>
      <c r="W552" s="900" t="str">
        <f>IF(S552&lt;&gt;0,VLOOKUP(S552,VKT!$A$2:$G$415,7,0),"")</f>
        <v/>
      </c>
      <c r="X552" s="900" t="str">
        <f t="shared" si="102"/>
        <v xml:space="preserve"> </v>
      </c>
      <c r="Y552" s="925"/>
      <c r="Z552" s="928"/>
      <c r="AA552" s="928"/>
      <c r="AB552" s="904"/>
      <c r="AC552" s="928"/>
      <c r="AD552" s="928"/>
      <c r="AE552" s="928"/>
      <c r="AF552" s="926"/>
      <c r="AG552" s="906" t="str">
        <f>IF(AE552&lt;&gt;0,VLOOKUP(AE552,ODDS!$A$2:$C$13,3,0),"")</f>
        <v/>
      </c>
      <c r="AH552" s="906" t="str">
        <f t="shared" si="111"/>
        <v xml:space="preserve"> </v>
      </c>
      <c r="AI552" s="907" t="str">
        <f t="shared" si="112"/>
        <v xml:space="preserve"> </v>
      </c>
      <c r="AJ552" s="995" t="s">
        <v>111</v>
      </c>
      <c r="AK552" s="894"/>
    </row>
    <row r="553" spans="1:39" s="376" customFormat="1" ht="67.5" outlineLevel="2" x14ac:dyDescent="0.3">
      <c r="A553" s="447">
        <f t="shared" si="117"/>
        <v>47</v>
      </c>
      <c r="B553" s="893"/>
      <c r="C553" s="894" t="s">
        <v>204</v>
      </c>
      <c r="D553" s="923">
        <v>1</v>
      </c>
      <c r="E553" s="923"/>
      <c r="F553" s="896"/>
      <c r="G553" s="894"/>
      <c r="H553" s="924"/>
      <c r="I553" s="882"/>
      <c r="J553" s="925"/>
      <c r="K553" s="899" t="str">
        <f>IF(G553&lt;&gt;0,VLOOKUP(G553,'gia dat'!$A$1:$F$144,5,0)," ")</f>
        <v xml:space="preserve"> </v>
      </c>
      <c r="L553" s="899" t="str">
        <f>IF(G553&lt;&gt;0,VLOOKUP(G553,'gia dat'!$A$1:$F$144,6,0)," ")</f>
        <v xml:space="preserve"> </v>
      </c>
      <c r="M553" s="900" t="str">
        <f t="shared" si="107"/>
        <v xml:space="preserve"> </v>
      </c>
      <c r="N553" s="900" t="str">
        <f t="shared" si="108"/>
        <v xml:space="preserve"> </v>
      </c>
      <c r="O553" s="894"/>
      <c r="P553" s="926"/>
      <c r="Q553" s="900" t="str">
        <f>IF(O553&lt;&gt;0,VLOOKUP(O553,'Cây trong'!$A$2:$C$246,3,0)," ")</f>
        <v xml:space="preserve"> </v>
      </c>
      <c r="R553" s="900" t="str">
        <f t="shared" si="110"/>
        <v xml:space="preserve"> </v>
      </c>
      <c r="S553" s="902"/>
      <c r="T553" s="925"/>
      <c r="U553" s="927"/>
      <c r="V553" s="925"/>
      <c r="W553" s="900" t="str">
        <f>IF(S553&lt;&gt;0,VLOOKUP(S553,VKT!$A$2:$G$415,7,0),"")</f>
        <v/>
      </c>
      <c r="X553" s="900" t="str">
        <f t="shared" si="102"/>
        <v xml:space="preserve"> </v>
      </c>
      <c r="Y553" s="925"/>
      <c r="Z553" s="928"/>
      <c r="AA553" s="928"/>
      <c r="AB553" s="904"/>
      <c r="AC553" s="928"/>
      <c r="AD553" s="928"/>
      <c r="AE553" s="928"/>
      <c r="AF553" s="926"/>
      <c r="AG553" s="906" t="str">
        <f>IF(AE553&lt;&gt;0,VLOOKUP(AE553,ODDS!$A$2:$C$13,3,0),"")</f>
        <v/>
      </c>
      <c r="AH553" s="906" t="str">
        <f t="shared" si="111"/>
        <v xml:space="preserve"> </v>
      </c>
      <c r="AI553" s="907" t="str">
        <f t="shared" si="112"/>
        <v xml:space="preserve"> </v>
      </c>
      <c r="AJ553" s="894" t="s">
        <v>2074</v>
      </c>
      <c r="AK553" s="995"/>
    </row>
    <row r="554" spans="1:39" s="376" customFormat="1" ht="90" outlineLevel="2" x14ac:dyDescent="0.35">
      <c r="A554" s="447">
        <f t="shared" si="117"/>
        <v>47</v>
      </c>
      <c r="B554" s="893"/>
      <c r="C554" s="908" t="s">
        <v>679</v>
      </c>
      <c r="D554" s="930"/>
      <c r="E554" s="931"/>
      <c r="F554" s="913"/>
      <c r="G554" s="910"/>
      <c r="H554" s="924"/>
      <c r="I554" s="882"/>
      <c r="J554" s="933"/>
      <c r="K554" s="899" t="str">
        <f>IF(G554&lt;&gt;0,VLOOKUP(G554,'gia dat'!$A$1:$F$144,5,0)," ")</f>
        <v xml:space="preserve"> </v>
      </c>
      <c r="L554" s="899" t="str">
        <f>IF(G554&lt;&gt;0,VLOOKUP(G554,'gia dat'!$A$1:$F$144,6,0)," ")</f>
        <v xml:space="preserve"> </v>
      </c>
      <c r="M554" s="900" t="str">
        <f t="shared" si="107"/>
        <v xml:space="preserve"> </v>
      </c>
      <c r="N554" s="900" t="str">
        <f t="shared" si="108"/>
        <v xml:space="preserve"> </v>
      </c>
      <c r="O554" s="934"/>
      <c r="P554" s="926"/>
      <c r="Q554" s="900" t="str">
        <f>IF(O554&lt;&gt;0,VLOOKUP(O554,'Cây trong'!$A$2:$C$246,3,0)," ")</f>
        <v xml:space="preserve"> </v>
      </c>
      <c r="R554" s="900" t="str">
        <f t="shared" si="110"/>
        <v xml:space="preserve"> </v>
      </c>
      <c r="S554" s="918"/>
      <c r="T554" s="933"/>
      <c r="U554" s="927"/>
      <c r="V554" s="933"/>
      <c r="W554" s="900" t="str">
        <f>IF(S554&lt;&gt;0,VLOOKUP(S554,VKT!$A$2:$G$415,7,0),"")</f>
        <v/>
      </c>
      <c r="X554" s="900" t="str">
        <f t="shared" si="102"/>
        <v xml:space="preserve"> </v>
      </c>
      <c r="Y554" s="916"/>
      <c r="Z554" s="937"/>
      <c r="AA554" s="937"/>
      <c r="AB554" s="920"/>
      <c r="AC554" s="937"/>
      <c r="AD554" s="937"/>
      <c r="AE554" s="937"/>
      <c r="AF554" s="935"/>
      <c r="AG554" s="906" t="str">
        <f>IF(AE554&lt;&gt;0,VLOOKUP(AE554,ODDS!$A$2:$C$13,3,0),"")</f>
        <v/>
      </c>
      <c r="AH554" s="906" t="str">
        <f t="shared" si="111"/>
        <v xml:space="preserve"> </v>
      </c>
      <c r="AI554" s="907" t="str">
        <f t="shared" si="112"/>
        <v xml:space="preserve"> </v>
      </c>
      <c r="AJ554" s="911"/>
      <c r="AK554" s="943"/>
    </row>
    <row r="555" spans="1:39" s="376" customFormat="1" ht="22.5" outlineLevel="2" x14ac:dyDescent="0.3">
      <c r="A555" s="447">
        <f t="shared" si="117"/>
        <v>47</v>
      </c>
      <c r="B555" s="893"/>
      <c r="C555" s="908"/>
      <c r="D555" s="923"/>
      <c r="E555" s="923"/>
      <c r="F555" s="950"/>
      <c r="G555" s="894"/>
      <c r="H555" s="940"/>
      <c r="I555" s="882"/>
      <c r="J555" s="929"/>
      <c r="K555" s="899" t="str">
        <f>IF(G555&lt;&gt;0,VLOOKUP(G555,'gia dat'!$A$1:$F$144,5,0)," ")</f>
        <v xml:space="preserve"> </v>
      </c>
      <c r="L555" s="899" t="str">
        <f>IF(G555&lt;&gt;0,VLOOKUP(G555,'gia dat'!$A$1:$F$144,6,0)," ")</f>
        <v xml:space="preserve"> </v>
      </c>
      <c r="M555" s="900" t="str">
        <f t="shared" si="107"/>
        <v xml:space="preserve"> </v>
      </c>
      <c r="N555" s="900" t="str">
        <f t="shared" si="108"/>
        <v xml:space="preserve"> </v>
      </c>
      <c r="O555" s="929"/>
      <c r="P555" s="951"/>
      <c r="Q555" s="900" t="str">
        <f>IF(O555&lt;&gt;0,VLOOKUP(O555,'Cây trong'!$A$2:$C$246,3,0)," ")</f>
        <v xml:space="preserve"> </v>
      </c>
      <c r="R555" s="900" t="str">
        <f t="shared" si="110"/>
        <v xml:space="preserve"> </v>
      </c>
      <c r="S555" s="929"/>
      <c r="T555" s="929"/>
      <c r="U555" s="952"/>
      <c r="V555" s="925"/>
      <c r="W555" s="900" t="str">
        <f>IF(S555&lt;&gt;0,VLOOKUP(S555,VKT!$A$2:$G$415,7,0),"")</f>
        <v/>
      </c>
      <c r="X555" s="900" t="str">
        <f t="shared" si="102"/>
        <v xml:space="preserve"> </v>
      </c>
      <c r="Y555" s="925"/>
      <c r="Z555" s="925"/>
      <c r="AA555" s="925"/>
      <c r="AB555" s="898"/>
      <c r="AC555" s="925"/>
      <c r="AD555" s="925"/>
      <c r="AE555" s="925"/>
      <c r="AF555" s="964"/>
      <c r="AG555" s="906" t="str">
        <f>IF(AE555&lt;&gt;0,VLOOKUP(AE555,ODDS!$A$2:$C$13,3,0),"")</f>
        <v/>
      </c>
      <c r="AH555" s="906" t="str">
        <f t="shared" si="111"/>
        <v xml:space="preserve"> </v>
      </c>
      <c r="AI555" s="907" t="str">
        <f t="shared" si="112"/>
        <v xml:space="preserve"> </v>
      </c>
      <c r="AJ555" s="929"/>
      <c r="AK555" s="929"/>
    </row>
    <row r="556" spans="1:39" s="376" customFormat="1" ht="22.5" outlineLevel="2" x14ac:dyDescent="0.3">
      <c r="A556" s="447">
        <f t="shared" si="117"/>
        <v>47</v>
      </c>
      <c r="B556" s="893"/>
      <c r="C556" s="908"/>
      <c r="D556" s="923"/>
      <c r="E556" s="923"/>
      <c r="F556" s="950"/>
      <c r="G556" s="894"/>
      <c r="H556" s="940"/>
      <c r="I556" s="882"/>
      <c r="J556" s="929"/>
      <c r="K556" s="899" t="str">
        <f>IF(G556&lt;&gt;0,VLOOKUP(G556,'gia dat'!$A$1:$F$144,5,0)," ")</f>
        <v xml:space="preserve"> </v>
      </c>
      <c r="L556" s="899" t="str">
        <f>IF(G556&lt;&gt;0,VLOOKUP(G556,'gia dat'!$A$1:$F$144,6,0)," ")</f>
        <v xml:space="preserve"> </v>
      </c>
      <c r="M556" s="900" t="str">
        <f t="shared" si="107"/>
        <v xml:space="preserve"> </v>
      </c>
      <c r="N556" s="900" t="str">
        <f t="shared" si="108"/>
        <v xml:space="preserve"> </v>
      </c>
      <c r="O556" s="929"/>
      <c r="P556" s="951"/>
      <c r="Q556" s="900" t="str">
        <f>IF(O556&lt;&gt;0,VLOOKUP(O556,'Cây trong'!$A$2:$C$246,3,0)," ")</f>
        <v xml:space="preserve"> </v>
      </c>
      <c r="R556" s="900" t="str">
        <f t="shared" si="110"/>
        <v xml:space="preserve"> </v>
      </c>
      <c r="S556" s="929"/>
      <c r="T556" s="929"/>
      <c r="U556" s="952"/>
      <c r="V556" s="925"/>
      <c r="W556" s="900" t="str">
        <f>IF(S556&lt;&gt;0,VLOOKUP(S556,VKT!$A$2:$G$415,7,0),"")</f>
        <v/>
      </c>
      <c r="X556" s="900" t="str">
        <f t="shared" si="102"/>
        <v xml:space="preserve"> </v>
      </c>
      <c r="Y556" s="925"/>
      <c r="Z556" s="925"/>
      <c r="AA556" s="925"/>
      <c r="AB556" s="898"/>
      <c r="AC556" s="925"/>
      <c r="AD556" s="925"/>
      <c r="AE556" s="925"/>
      <c r="AF556" s="964"/>
      <c r="AG556" s="906" t="str">
        <f>IF(AE556&lt;&gt;0,VLOOKUP(AE556,ODDS!$A$2:$C$13,3,0),"")</f>
        <v/>
      </c>
      <c r="AH556" s="906" t="str">
        <f t="shared" si="111"/>
        <v xml:space="preserve"> </v>
      </c>
      <c r="AI556" s="907" t="str">
        <f t="shared" si="112"/>
        <v xml:space="preserve"> </v>
      </c>
      <c r="AJ556" s="929"/>
      <c r="AK556" s="929"/>
    </row>
    <row r="557" spans="1:39" s="376" customFormat="1" ht="22.5" outlineLevel="2" x14ac:dyDescent="0.3">
      <c r="A557" s="447">
        <f t="shared" si="117"/>
        <v>47</v>
      </c>
      <c r="B557" s="893"/>
      <c r="C557" s="894"/>
      <c r="D557" s="923"/>
      <c r="E557" s="923"/>
      <c r="F557" s="950"/>
      <c r="G557" s="894"/>
      <c r="H557" s="940"/>
      <c r="I557" s="882"/>
      <c r="J557" s="929"/>
      <c r="K557" s="899" t="str">
        <f>IF(G557&lt;&gt;0,VLOOKUP(G557,'gia dat'!$A$1:$F$144,5,0)," ")</f>
        <v xml:space="preserve"> </v>
      </c>
      <c r="L557" s="899" t="str">
        <f>IF(G557&lt;&gt;0,VLOOKUP(G557,'gia dat'!$A$1:$F$144,6,0)," ")</f>
        <v xml:space="preserve"> </v>
      </c>
      <c r="M557" s="900" t="str">
        <f t="shared" si="107"/>
        <v xml:space="preserve"> </v>
      </c>
      <c r="N557" s="900" t="str">
        <f t="shared" si="108"/>
        <v xml:space="preserve"> </v>
      </c>
      <c r="O557" s="929"/>
      <c r="P557" s="951"/>
      <c r="Q557" s="900" t="str">
        <f>IF(O557&lt;&gt;0,VLOOKUP(O557,'Cây trong'!$A$2:$C$246,3,0)," ")</f>
        <v xml:space="preserve"> </v>
      </c>
      <c r="R557" s="900" t="str">
        <f t="shared" si="110"/>
        <v xml:space="preserve"> </v>
      </c>
      <c r="S557" s="929"/>
      <c r="T557" s="929"/>
      <c r="U557" s="952"/>
      <c r="V557" s="925"/>
      <c r="W557" s="900" t="str">
        <f>IF(S557&lt;&gt;0,VLOOKUP(S557,VKT!$A$2:$G$415,7,0),"")</f>
        <v/>
      </c>
      <c r="X557" s="900" t="str">
        <f t="shared" ref="X557:X625" si="118">IF(S557&lt;&gt;0,ROUND(U557*W557,-3)," ")</f>
        <v xml:space="preserve"> </v>
      </c>
      <c r="Y557" s="925"/>
      <c r="Z557" s="925"/>
      <c r="AA557" s="925"/>
      <c r="AB557" s="898"/>
      <c r="AC557" s="925"/>
      <c r="AD557" s="925"/>
      <c r="AE557" s="925"/>
      <c r="AF557" s="964"/>
      <c r="AG557" s="906" t="str">
        <f>IF(AE557&lt;&gt;0,VLOOKUP(AE557,ODDS!$A$2:$C$13,3,0),"")</f>
        <v/>
      </c>
      <c r="AH557" s="906" t="str">
        <f t="shared" si="111"/>
        <v xml:space="preserve"> </v>
      </c>
      <c r="AI557" s="907" t="str">
        <f t="shared" si="112"/>
        <v xml:space="preserve"> </v>
      </c>
      <c r="AJ557" s="929"/>
      <c r="AK557" s="929"/>
    </row>
    <row r="558" spans="1:39" s="376" customFormat="1" ht="22.5" outlineLevel="2" x14ac:dyDescent="0.3">
      <c r="A558" s="447">
        <f t="shared" si="117"/>
        <v>47</v>
      </c>
      <c r="B558" s="893"/>
      <c r="C558" s="910"/>
      <c r="D558" s="923"/>
      <c r="E558" s="923"/>
      <c r="F558" s="896"/>
      <c r="G558" s="894"/>
      <c r="H558" s="924"/>
      <c r="I558" s="882"/>
      <c r="J558" s="929"/>
      <c r="K558" s="899" t="str">
        <f>IF(G558&lt;&gt;0,VLOOKUP(G558,'gia dat'!$A$1:$F$144,5,0)," ")</f>
        <v xml:space="preserve"> </v>
      </c>
      <c r="L558" s="899" t="str">
        <f>IF(G558&lt;&gt;0,VLOOKUP(G558,'gia dat'!$A$1:$F$144,6,0)," ")</f>
        <v xml:space="preserve"> </v>
      </c>
      <c r="M558" s="900" t="str">
        <f t="shared" si="107"/>
        <v xml:space="preserve"> </v>
      </c>
      <c r="N558" s="900" t="str">
        <f t="shared" si="108"/>
        <v xml:space="preserve"> </v>
      </c>
      <c r="O558" s="922"/>
      <c r="P558" s="965"/>
      <c r="Q558" s="900" t="str">
        <f>IF(O558&lt;&gt;0,VLOOKUP(O558,'Cây trong'!$A$2:$C$246,3,0)," ")</f>
        <v xml:space="preserve"> </v>
      </c>
      <c r="R558" s="900" t="str">
        <f t="shared" si="110"/>
        <v xml:space="preserve"> </v>
      </c>
      <c r="S558" s="996"/>
      <c r="T558" s="944"/>
      <c r="U558" s="927"/>
      <c r="V558" s="925"/>
      <c r="W558" s="900" t="str">
        <f>IF(S558&lt;&gt;0,VLOOKUP(S558,VKT!$A$2:$G$415,7,0),"")</f>
        <v/>
      </c>
      <c r="X558" s="900" t="str">
        <f t="shared" si="118"/>
        <v xml:space="preserve"> </v>
      </c>
      <c r="Y558" s="925"/>
      <c r="Z558" s="928"/>
      <c r="AA558" s="928"/>
      <c r="AB558" s="904"/>
      <c r="AC558" s="928"/>
      <c r="AD558" s="928"/>
      <c r="AE558" s="928"/>
      <c r="AF558" s="926"/>
      <c r="AG558" s="906" t="str">
        <f>IF(AE558&lt;&gt;0,VLOOKUP(AE558,ODDS!$A$2:$C$13,3,0),"")</f>
        <v/>
      </c>
      <c r="AH558" s="906" t="str">
        <f t="shared" si="111"/>
        <v xml:space="preserve"> </v>
      </c>
      <c r="AI558" s="907" t="str">
        <f t="shared" si="112"/>
        <v xml:space="preserve"> </v>
      </c>
      <c r="AJ558" s="929"/>
      <c r="AK558" s="929"/>
    </row>
    <row r="559" spans="1:39" s="376" customFormat="1" ht="22.5" outlineLevel="1" x14ac:dyDescent="0.25">
      <c r="A559" s="467" t="s">
        <v>2662</v>
      </c>
      <c r="B559" s="912">
        <v>48</v>
      </c>
      <c r="C559" s="910" t="s">
        <v>36</v>
      </c>
      <c r="D559" s="931"/>
      <c r="E559" s="931"/>
      <c r="F559" s="913"/>
      <c r="G559" s="910"/>
      <c r="H559" s="953">
        <f>SUBTOTAL(9,H560:H566)</f>
        <v>246.5</v>
      </c>
      <c r="I559" s="915">
        <f>SUBTOTAL(9,I560:I565)</f>
        <v>37.1</v>
      </c>
      <c r="J559" s="933"/>
      <c r="K559" s="917"/>
      <c r="L559" s="917"/>
      <c r="M559" s="907">
        <f>SUBTOTAL(9,M560:M566)</f>
        <v>1227215000</v>
      </c>
      <c r="N559" s="907">
        <f>SUBTOTAL(9,N560:N566)</f>
        <v>61704000</v>
      </c>
      <c r="O559" s="910"/>
      <c r="P559" s="935">
        <f>SUBTOTAL(9,P560:P566)</f>
        <v>95</v>
      </c>
      <c r="Q559" s="907"/>
      <c r="R559" s="907">
        <f>SUBTOTAL(9,R560:R566)</f>
        <v>11207000</v>
      </c>
      <c r="S559" s="918"/>
      <c r="T559" s="933"/>
      <c r="U559" s="936">
        <f>SUBTOTAL(9,U560:U566)</f>
        <v>0</v>
      </c>
      <c r="V559" s="933"/>
      <c r="W559" s="907"/>
      <c r="X559" s="907">
        <f>SUBTOTAL(9,X560:X566)</f>
        <v>0</v>
      </c>
      <c r="Y559" s="925"/>
      <c r="Z559" s="928"/>
      <c r="AA559" s="928"/>
      <c r="AB559" s="904"/>
      <c r="AC559" s="928"/>
      <c r="AD559" s="928"/>
      <c r="AE559" s="937"/>
      <c r="AF559" s="935">
        <f>SUBTOTAL(9,AF560:AF566)</f>
        <v>0</v>
      </c>
      <c r="AG559" s="921"/>
      <c r="AH559" s="921">
        <f>SUBTOTAL(9,AH560:AH566)</f>
        <v>0</v>
      </c>
      <c r="AI559" s="907">
        <f t="shared" si="112"/>
        <v>1300126000</v>
      </c>
      <c r="AJ559" s="910"/>
      <c r="AK559" s="914"/>
    </row>
    <row r="560" spans="1:39" s="376" customFormat="1" ht="135" outlineLevel="2" x14ac:dyDescent="0.3">
      <c r="A560" s="447">
        <f>IF(B559&lt;&gt;0,B559,A558)</f>
        <v>48</v>
      </c>
      <c r="B560" s="893"/>
      <c r="C560" s="983" t="s">
        <v>205</v>
      </c>
      <c r="D560" s="923">
        <v>4</v>
      </c>
      <c r="E560" s="923">
        <v>86</v>
      </c>
      <c r="F560" s="896">
        <v>370</v>
      </c>
      <c r="G560" s="894" t="s">
        <v>2037</v>
      </c>
      <c r="H560" s="924">
        <v>209.4</v>
      </c>
      <c r="I560" s="882" t="str">
        <f t="shared" ref="I560:I562" si="119">IF(N560&gt;0,H560,"")</f>
        <v/>
      </c>
      <c r="J560" s="925"/>
      <c r="K560" s="899">
        <f>IF(G560&lt;&gt;0,VLOOKUP(G560,'gia dat'!$A$1:$F$144,5,0)," ")</f>
        <v>5762400</v>
      </c>
      <c r="L560" s="899">
        <f>IF(G560&lt;&gt;0,VLOOKUP(G560,'gia dat'!$A$1:$F$144,6,0)," ")</f>
        <v>0</v>
      </c>
      <c r="M560" s="900">
        <f t="shared" si="107"/>
        <v>1206647000</v>
      </c>
      <c r="N560" s="900">
        <f t="shared" si="108"/>
        <v>0</v>
      </c>
      <c r="O560" s="894" t="s">
        <v>319</v>
      </c>
      <c r="P560" s="926">
        <v>71</v>
      </c>
      <c r="Q560" s="900">
        <f>IF(O560&lt;&gt;0,VLOOKUP(O560,'Cây trong'!$A$2:$C$246,3,0)," ")</f>
        <v>132000</v>
      </c>
      <c r="R560" s="900">
        <f t="shared" si="110"/>
        <v>9372000</v>
      </c>
      <c r="S560" s="902"/>
      <c r="T560" s="925"/>
      <c r="U560" s="927"/>
      <c r="V560" s="925"/>
      <c r="W560" s="900" t="str">
        <f>IF(S560&lt;&gt;0,VLOOKUP(S560,VKT!$A$2:$G$415,7,0),"")</f>
        <v/>
      </c>
      <c r="X560" s="900" t="str">
        <f t="shared" si="118"/>
        <v xml:space="preserve"> </v>
      </c>
      <c r="Y560" s="925"/>
      <c r="Z560" s="928"/>
      <c r="AA560" s="928"/>
      <c r="AB560" s="904"/>
      <c r="AC560" s="928"/>
      <c r="AD560" s="928"/>
      <c r="AE560" s="928"/>
      <c r="AF560" s="926"/>
      <c r="AG560" s="906" t="str">
        <f>IF(AE560&lt;&gt;0,VLOOKUP(AE560,ODDS!$A$2:$C$13,3,0),"")</f>
        <v/>
      </c>
      <c r="AH560" s="906"/>
      <c r="AI560" s="907" t="str">
        <f t="shared" si="112"/>
        <v xml:space="preserve"> </v>
      </c>
      <c r="AJ560" s="894" t="s">
        <v>680</v>
      </c>
      <c r="AK560" s="922" t="s">
        <v>2771</v>
      </c>
    </row>
    <row r="561" spans="1:37" s="376" customFormat="1" ht="112.5" outlineLevel="2" x14ac:dyDescent="0.3">
      <c r="A561" s="447">
        <f t="shared" ref="A561:A566" si="120">IF(B560&lt;&gt;0,B560,A560)</f>
        <v>48</v>
      </c>
      <c r="B561" s="893"/>
      <c r="C561" s="983" t="s">
        <v>681</v>
      </c>
      <c r="D561" s="923"/>
      <c r="E561" s="923">
        <v>86</v>
      </c>
      <c r="F561" s="896">
        <v>370</v>
      </c>
      <c r="G561" s="894" t="s">
        <v>2469</v>
      </c>
      <c r="H561" s="924">
        <v>35.1</v>
      </c>
      <c r="I561" s="882">
        <f t="shared" si="119"/>
        <v>35.1</v>
      </c>
      <c r="J561" s="925"/>
      <c r="K561" s="899">
        <f>IF(G561&lt;&gt;0,VLOOKUP(G561,'gia dat'!$A$1:$F$144,5,0)," ")</f>
        <v>554400</v>
      </c>
      <c r="L561" s="899">
        <f>IF(G561&lt;&gt;0,VLOOKUP(G561,'gia dat'!$A$1:$F$144,6,0)," ")</f>
        <v>1663200</v>
      </c>
      <c r="M561" s="900">
        <f t="shared" si="107"/>
        <v>19459000</v>
      </c>
      <c r="N561" s="900">
        <f t="shared" si="108"/>
        <v>58378000</v>
      </c>
      <c r="O561" s="981" t="s">
        <v>73</v>
      </c>
      <c r="P561" s="926">
        <v>11</v>
      </c>
      <c r="Q561" s="900">
        <f>IF(O561&lt;&gt;0,VLOOKUP(O561,'Cây trong'!$A$2:$C$246,3,0)," ")</f>
        <v>76000</v>
      </c>
      <c r="R561" s="900">
        <f t="shared" si="110"/>
        <v>836000</v>
      </c>
      <c r="S561" s="981"/>
      <c r="T561" s="997"/>
      <c r="U561" s="927"/>
      <c r="V561" s="925"/>
      <c r="W561" s="900" t="str">
        <f>IF(S561&lt;&gt;0,VLOOKUP(S561,VKT!$A$2:$G$415,7,0),"")</f>
        <v/>
      </c>
      <c r="X561" s="900" t="str">
        <f t="shared" si="118"/>
        <v xml:space="preserve"> </v>
      </c>
      <c r="Y561" s="925"/>
      <c r="Z561" s="928"/>
      <c r="AA561" s="928"/>
      <c r="AB561" s="904"/>
      <c r="AC561" s="928"/>
      <c r="AD561" s="928"/>
      <c r="AE561" s="928"/>
      <c r="AF561" s="926"/>
      <c r="AG561" s="906" t="str">
        <f>IF(AE561&lt;&gt;0,VLOOKUP(AE561,ODDS!$A$2:$C$13,3,0),"")</f>
        <v/>
      </c>
      <c r="AH561" s="906" t="str">
        <f t="shared" si="111"/>
        <v xml:space="preserve"> </v>
      </c>
      <c r="AI561" s="907" t="str">
        <f t="shared" si="112"/>
        <v xml:space="preserve"> </v>
      </c>
      <c r="AJ561" s="894" t="s">
        <v>517</v>
      </c>
      <c r="AK561" s="894" t="s">
        <v>2448</v>
      </c>
    </row>
    <row r="562" spans="1:37" s="376" customFormat="1" ht="135" outlineLevel="2" x14ac:dyDescent="0.3">
      <c r="A562" s="447">
        <f t="shared" si="120"/>
        <v>48</v>
      </c>
      <c r="B562" s="893"/>
      <c r="C562" s="983" t="s">
        <v>311</v>
      </c>
      <c r="D562" s="923"/>
      <c r="E562" s="923"/>
      <c r="F562" s="896"/>
      <c r="G562" s="894" t="s">
        <v>2470</v>
      </c>
      <c r="H562" s="924">
        <v>2</v>
      </c>
      <c r="I562" s="882">
        <f t="shared" si="119"/>
        <v>2</v>
      </c>
      <c r="J562" s="925"/>
      <c r="K562" s="899">
        <f>IF(G562&lt;&gt;0,VLOOKUP(G562,'gia dat'!$A$1:$F$144,5,0)," ")</f>
        <v>554400</v>
      </c>
      <c r="L562" s="899">
        <f>IF(G562&lt;&gt;0,VLOOKUP(G562,'gia dat'!$A$1:$F$144,6,0)," ")</f>
        <v>1663200</v>
      </c>
      <c r="M562" s="900">
        <f t="shared" si="107"/>
        <v>1109000</v>
      </c>
      <c r="N562" s="900">
        <f t="shared" si="108"/>
        <v>3326000</v>
      </c>
      <c r="O562" s="894" t="s">
        <v>75</v>
      </c>
      <c r="P562" s="926">
        <v>9</v>
      </c>
      <c r="Q562" s="900">
        <f>IF(O562&lt;&gt;0,VLOOKUP(O562,'Cây trong'!$A$2:$C$246,3,0)," ")</f>
        <v>34000</v>
      </c>
      <c r="R562" s="900">
        <f t="shared" si="110"/>
        <v>306000</v>
      </c>
      <c r="S562" s="902"/>
      <c r="T562" s="925"/>
      <c r="U562" s="927"/>
      <c r="V562" s="925"/>
      <c r="W562" s="900" t="str">
        <f>IF(S562&lt;&gt;0,VLOOKUP(S562,VKT!$A$2:$G$415,7,0),"")</f>
        <v/>
      </c>
      <c r="X562" s="900" t="str">
        <f t="shared" si="118"/>
        <v xml:space="preserve"> </v>
      </c>
      <c r="Y562" s="925"/>
      <c r="Z562" s="928"/>
      <c r="AA562" s="928"/>
      <c r="AB562" s="904"/>
      <c r="AC562" s="928"/>
      <c r="AD562" s="928"/>
      <c r="AE562" s="928"/>
      <c r="AF562" s="926"/>
      <c r="AG562" s="906" t="str">
        <f>IF(AE562&lt;&gt;0,VLOOKUP(AE562,ODDS!$A$2:$C$13,3,0),"")</f>
        <v/>
      </c>
      <c r="AH562" s="906" t="str">
        <f t="shared" si="111"/>
        <v xml:space="preserve"> </v>
      </c>
      <c r="AI562" s="907" t="str">
        <f t="shared" si="112"/>
        <v xml:space="preserve"> </v>
      </c>
      <c r="AJ562" s="894" t="s">
        <v>518</v>
      </c>
      <c r="AK562" s="894" t="s">
        <v>2449</v>
      </c>
    </row>
    <row r="563" spans="1:37" s="376" customFormat="1" ht="67.5" outlineLevel="2" x14ac:dyDescent="0.3">
      <c r="A563" s="447">
        <f t="shared" si="120"/>
        <v>48</v>
      </c>
      <c r="B563" s="893"/>
      <c r="C563" s="894"/>
      <c r="D563" s="923"/>
      <c r="E563" s="923"/>
      <c r="F563" s="896"/>
      <c r="G563" s="894"/>
      <c r="H563" s="924"/>
      <c r="I563" s="882"/>
      <c r="J563" s="929"/>
      <c r="K563" s="899" t="str">
        <f>IF(G563&lt;&gt;0,VLOOKUP(G563,'gia dat'!$A$1:$F$144,5,0)," ")</f>
        <v xml:space="preserve"> </v>
      </c>
      <c r="L563" s="899" t="str">
        <f>IF(G563&lt;&gt;0,VLOOKUP(G563,'gia dat'!$A$1:$F$144,6,0)," ")</f>
        <v xml:space="preserve"> </v>
      </c>
      <c r="M563" s="900" t="str">
        <f t="shared" si="107"/>
        <v xml:space="preserve"> </v>
      </c>
      <c r="N563" s="900" t="str">
        <f t="shared" si="108"/>
        <v xml:space="preserve"> </v>
      </c>
      <c r="O563" s="922" t="s">
        <v>69</v>
      </c>
      <c r="P563" s="965">
        <v>3</v>
      </c>
      <c r="Q563" s="900">
        <f>IF(O563&lt;&gt;0,VLOOKUP(O563,'Cây trong'!$A$2:$C$246,3,0)," ")</f>
        <v>211000</v>
      </c>
      <c r="R563" s="900">
        <f t="shared" si="110"/>
        <v>633000</v>
      </c>
      <c r="S563" s="922"/>
      <c r="T563" s="944"/>
      <c r="U563" s="927"/>
      <c r="V563" s="925"/>
      <c r="W563" s="900" t="str">
        <f>IF(S563&lt;&gt;0,VLOOKUP(S563,VKT!$A$2:$G$415,7,0),"")</f>
        <v/>
      </c>
      <c r="X563" s="900" t="str">
        <f t="shared" si="118"/>
        <v xml:space="preserve"> </v>
      </c>
      <c r="Y563" s="925"/>
      <c r="Z563" s="928"/>
      <c r="AA563" s="928"/>
      <c r="AB563" s="904"/>
      <c r="AC563" s="928"/>
      <c r="AD563" s="928"/>
      <c r="AE563" s="928"/>
      <c r="AF563" s="926"/>
      <c r="AG563" s="906" t="str">
        <f>IF(AE563&lt;&gt;0,VLOOKUP(AE563,ODDS!$A$2:$C$13,3,0),"")</f>
        <v/>
      </c>
      <c r="AH563" s="906" t="str">
        <f t="shared" si="111"/>
        <v xml:space="preserve"> </v>
      </c>
      <c r="AI563" s="907" t="str">
        <f t="shared" si="112"/>
        <v xml:space="preserve"> </v>
      </c>
      <c r="AJ563" s="894" t="s">
        <v>2074</v>
      </c>
      <c r="AK563" s="929"/>
    </row>
    <row r="564" spans="1:37" s="376" customFormat="1" ht="22.5" outlineLevel="2" x14ac:dyDescent="0.35">
      <c r="A564" s="447">
        <f t="shared" si="120"/>
        <v>48</v>
      </c>
      <c r="B564" s="893"/>
      <c r="C564" s="894"/>
      <c r="D564" s="923"/>
      <c r="E564" s="923"/>
      <c r="F564" s="896"/>
      <c r="G564" s="894"/>
      <c r="H564" s="924"/>
      <c r="I564" s="882"/>
      <c r="J564" s="925"/>
      <c r="K564" s="899" t="str">
        <f>IF(G564&lt;&gt;0,VLOOKUP(G564,'gia dat'!$A$1:$F$144,5,0)," ")</f>
        <v xml:space="preserve"> </v>
      </c>
      <c r="L564" s="899" t="str">
        <f>IF(G564&lt;&gt;0,VLOOKUP(G564,'gia dat'!$A$1:$F$144,6,0)," ")</f>
        <v xml:space="preserve"> </v>
      </c>
      <c r="M564" s="900" t="str">
        <f t="shared" si="107"/>
        <v xml:space="preserve"> </v>
      </c>
      <c r="N564" s="900" t="str">
        <f t="shared" si="108"/>
        <v xml:space="preserve"> </v>
      </c>
      <c r="O564" s="894" t="s">
        <v>749</v>
      </c>
      <c r="P564" s="926">
        <v>1</v>
      </c>
      <c r="Q564" s="900">
        <f>IF(O564&lt;&gt;0,VLOOKUP(O564,'Cây trong'!$A$2:$C$246,3,0)," ")</f>
        <v>60000</v>
      </c>
      <c r="R564" s="900">
        <f t="shared" si="110"/>
        <v>60000</v>
      </c>
      <c r="S564" s="902"/>
      <c r="T564" s="925"/>
      <c r="U564" s="927"/>
      <c r="V564" s="925"/>
      <c r="W564" s="900" t="str">
        <f>IF(S564&lt;&gt;0,VLOOKUP(S564,VKT!$A$2:$G$415,7,0),"")</f>
        <v/>
      </c>
      <c r="X564" s="900" t="str">
        <f t="shared" si="118"/>
        <v xml:space="preserve"> </v>
      </c>
      <c r="Y564" s="925"/>
      <c r="Z564" s="928"/>
      <c r="AA564" s="928"/>
      <c r="AB564" s="904"/>
      <c r="AC564" s="928"/>
      <c r="AD564" s="928"/>
      <c r="AE564" s="928"/>
      <c r="AF564" s="926"/>
      <c r="AG564" s="906" t="str">
        <f>IF(AE564&lt;&gt;0,VLOOKUP(AE564,ODDS!$A$2:$C$13,3,0),"")</f>
        <v/>
      </c>
      <c r="AH564" s="906" t="str">
        <f t="shared" si="111"/>
        <v xml:space="preserve"> </v>
      </c>
      <c r="AI564" s="907" t="str">
        <f t="shared" si="112"/>
        <v xml:space="preserve"> </v>
      </c>
      <c r="AJ564" s="911"/>
      <c r="AK564" s="929"/>
    </row>
    <row r="565" spans="1:37" s="376" customFormat="1" ht="22.5" outlineLevel="2" x14ac:dyDescent="0.3">
      <c r="A565" s="447">
        <f t="shared" si="120"/>
        <v>48</v>
      </c>
      <c r="B565" s="893"/>
      <c r="C565" s="942"/>
      <c r="D565" s="923"/>
      <c r="E565" s="923"/>
      <c r="F565" s="950"/>
      <c r="G565" s="894"/>
      <c r="H565" s="940"/>
      <c r="I565" s="882"/>
      <c r="J565" s="929"/>
      <c r="K565" s="899" t="str">
        <f>IF(G565&lt;&gt;0,VLOOKUP(G565,'gia dat'!$A$1:$F$144,5,0)," ")</f>
        <v xml:space="preserve"> </v>
      </c>
      <c r="L565" s="899" t="str">
        <f>IF(G565&lt;&gt;0,VLOOKUP(G565,'gia dat'!$A$1:$F$144,6,0)," ")</f>
        <v xml:space="preserve"> </v>
      </c>
      <c r="M565" s="900" t="str">
        <f t="shared" si="107"/>
        <v xml:space="preserve"> </v>
      </c>
      <c r="N565" s="900" t="str">
        <f t="shared" si="108"/>
        <v xml:space="preserve"> </v>
      </c>
      <c r="O565" s="929"/>
      <c r="P565" s="951"/>
      <c r="Q565" s="900" t="str">
        <f>IF(O565&lt;&gt;0,VLOOKUP(O565,'Cây trong'!$A$2:$C$246,3,0)," ")</f>
        <v xml:space="preserve"> </v>
      </c>
      <c r="R565" s="900" t="str">
        <f t="shared" si="110"/>
        <v xml:space="preserve"> </v>
      </c>
      <c r="S565" s="929"/>
      <c r="T565" s="929"/>
      <c r="U565" s="952"/>
      <c r="V565" s="925"/>
      <c r="W565" s="900" t="str">
        <f>IF(S565&lt;&gt;0,VLOOKUP(S565,VKT!$A$2:$G$415,7,0),"")</f>
        <v/>
      </c>
      <c r="X565" s="900" t="str">
        <f t="shared" si="118"/>
        <v xml:space="preserve"> </v>
      </c>
      <c r="Y565" s="925"/>
      <c r="Z565" s="925"/>
      <c r="AA565" s="925"/>
      <c r="AB565" s="898"/>
      <c r="AC565" s="925"/>
      <c r="AD565" s="925"/>
      <c r="AE565" s="925"/>
      <c r="AF565" s="964"/>
      <c r="AG565" s="906" t="str">
        <f>IF(AE565&lt;&gt;0,VLOOKUP(AE565,ODDS!$A$2:$C$13,3,0),"")</f>
        <v/>
      </c>
      <c r="AH565" s="906" t="str">
        <f t="shared" si="111"/>
        <v xml:space="preserve"> </v>
      </c>
      <c r="AI565" s="907" t="str">
        <f t="shared" si="112"/>
        <v xml:space="preserve"> </v>
      </c>
      <c r="AJ565" s="929"/>
      <c r="AK565" s="929"/>
    </row>
    <row r="566" spans="1:37" s="376" customFormat="1" ht="22.5" outlineLevel="2" x14ac:dyDescent="0.3">
      <c r="A566" s="447">
        <f t="shared" si="120"/>
        <v>48</v>
      </c>
      <c r="B566" s="893"/>
      <c r="C566" s="910"/>
      <c r="D566" s="923"/>
      <c r="E566" s="923"/>
      <c r="F566" s="896"/>
      <c r="G566" s="894"/>
      <c r="H566" s="924"/>
      <c r="I566" s="882"/>
      <c r="J566" s="925"/>
      <c r="K566" s="899" t="str">
        <f>IF(G566&lt;&gt;0,VLOOKUP(G566,'gia dat'!$A$1:$F$144,5,0)," ")</f>
        <v xml:space="preserve"> </v>
      </c>
      <c r="L566" s="899" t="str">
        <f>IF(G566&lt;&gt;0,VLOOKUP(G566,'gia dat'!$A$1:$F$144,6,0)," ")</f>
        <v xml:space="preserve"> </v>
      </c>
      <c r="M566" s="900" t="str">
        <f t="shared" si="107"/>
        <v xml:space="preserve"> </v>
      </c>
      <c r="N566" s="900" t="str">
        <f t="shared" si="108"/>
        <v xml:space="preserve"> </v>
      </c>
      <c r="O566" s="894"/>
      <c r="P566" s="926"/>
      <c r="Q566" s="900" t="str">
        <f>IF(O566&lt;&gt;0,VLOOKUP(O566,'Cây trong'!$A$2:$C$246,3,0)," ")</f>
        <v xml:space="preserve"> </v>
      </c>
      <c r="R566" s="900" t="str">
        <f t="shared" si="110"/>
        <v xml:space="preserve"> </v>
      </c>
      <c r="S566" s="902"/>
      <c r="T566" s="925"/>
      <c r="U566" s="927"/>
      <c r="V566" s="925"/>
      <c r="W566" s="900" t="str">
        <f>IF(S566&lt;&gt;0,VLOOKUP(S566,VKT!$A$2:$G$415,7,0),"")</f>
        <v/>
      </c>
      <c r="X566" s="900" t="str">
        <f t="shared" si="118"/>
        <v xml:space="preserve"> </v>
      </c>
      <c r="Y566" s="925"/>
      <c r="Z566" s="928"/>
      <c r="AA566" s="928"/>
      <c r="AB566" s="904"/>
      <c r="AC566" s="928"/>
      <c r="AD566" s="928"/>
      <c r="AE566" s="928"/>
      <c r="AF566" s="926"/>
      <c r="AG566" s="906" t="str">
        <f>IF(AE566&lt;&gt;0,VLOOKUP(AE566,ODDS!$A$2:$C$13,3,0),"")</f>
        <v/>
      </c>
      <c r="AH566" s="906" t="str">
        <f t="shared" si="111"/>
        <v xml:space="preserve"> </v>
      </c>
      <c r="AI566" s="907" t="str">
        <f t="shared" si="112"/>
        <v xml:space="preserve"> </v>
      </c>
      <c r="AJ566" s="929"/>
      <c r="AK566" s="929"/>
    </row>
    <row r="567" spans="1:37" s="376" customFormat="1" ht="22.5" outlineLevel="1" x14ac:dyDescent="0.25">
      <c r="A567" s="467" t="s">
        <v>2661</v>
      </c>
      <c r="B567" s="912">
        <v>49</v>
      </c>
      <c r="C567" s="910" t="s">
        <v>36</v>
      </c>
      <c r="D567" s="931"/>
      <c r="E567" s="931"/>
      <c r="F567" s="913"/>
      <c r="G567" s="910"/>
      <c r="H567" s="953">
        <f>SUBTOTAL(9,H568:H584)</f>
        <v>246.1</v>
      </c>
      <c r="I567" s="915">
        <f>SUBTOTAL(9,I568:I573)</f>
        <v>36.5</v>
      </c>
      <c r="J567" s="933"/>
      <c r="K567" s="917"/>
      <c r="L567" s="917"/>
      <c r="M567" s="907">
        <f>SUBTOTAL(9,M568:M584)</f>
        <v>1228035000</v>
      </c>
      <c r="N567" s="907">
        <f>SUBTOTAL(9,N568:N584)</f>
        <v>60707000</v>
      </c>
      <c r="O567" s="979"/>
      <c r="P567" s="935">
        <f>SUBTOTAL(9,P568:P584)</f>
        <v>2</v>
      </c>
      <c r="Q567" s="907"/>
      <c r="R567" s="907">
        <f>SUBTOTAL(9,R568:R584)</f>
        <v>248000</v>
      </c>
      <c r="S567" s="979"/>
      <c r="T567" s="980"/>
      <c r="U567" s="936">
        <f>SUBTOTAL(9,U568:U584)</f>
        <v>153.55000000000001</v>
      </c>
      <c r="V567" s="933"/>
      <c r="W567" s="907"/>
      <c r="X567" s="907">
        <f>SUBTOTAL(9,X568:X584)</f>
        <v>380029000</v>
      </c>
      <c r="Y567" s="925"/>
      <c r="Z567" s="928"/>
      <c r="AA567" s="928"/>
      <c r="AB567" s="904"/>
      <c r="AC567" s="928"/>
      <c r="AD567" s="904"/>
      <c r="AE567" s="938"/>
      <c r="AF567" s="917">
        <f>SUBTOTAL(9,AF568:AF584)</f>
        <v>1</v>
      </c>
      <c r="AG567" s="921"/>
      <c r="AH567" s="921">
        <f>SUBTOTAL(9,AH568:AH584)</f>
        <v>13000000</v>
      </c>
      <c r="AI567" s="907">
        <f t="shared" si="112"/>
        <v>1682019000</v>
      </c>
      <c r="AJ567" s="910"/>
      <c r="AK567" s="914"/>
    </row>
    <row r="568" spans="1:37" s="376" customFormat="1" ht="135" outlineLevel="2" x14ac:dyDescent="0.3">
      <c r="A568" s="447">
        <f>IF(B567&lt;&gt;0,B567,A566)</f>
        <v>49</v>
      </c>
      <c r="B568" s="893"/>
      <c r="C568" s="983" t="s">
        <v>205</v>
      </c>
      <c r="D568" s="923"/>
      <c r="E568" s="923">
        <v>86</v>
      </c>
      <c r="F568" s="896">
        <v>695</v>
      </c>
      <c r="G568" s="894" t="s">
        <v>2039</v>
      </c>
      <c r="H568" s="924">
        <v>209.6</v>
      </c>
      <c r="I568" s="882" t="str">
        <f t="shared" ref="I568:I570" si="121">IF(N568&gt;0,H568,"")</f>
        <v/>
      </c>
      <c r="J568" s="925"/>
      <c r="K568" s="899">
        <f>IF(G568&lt;&gt;0,VLOOKUP(G568,'gia dat'!$A$1:$F$144,5,0)," ")</f>
        <v>5762400</v>
      </c>
      <c r="L568" s="899">
        <f>IF(G568&lt;&gt;0,VLOOKUP(G568,'gia dat'!$A$1:$F$144,6,0)," ")</f>
        <v>0</v>
      </c>
      <c r="M568" s="900">
        <f t="shared" si="107"/>
        <v>1207799000</v>
      </c>
      <c r="N568" s="900">
        <f t="shared" si="108"/>
        <v>0</v>
      </c>
      <c r="O568" s="981" t="s">
        <v>154</v>
      </c>
      <c r="P568" s="926">
        <v>1</v>
      </c>
      <c r="Q568" s="900">
        <f>IF(O568&lt;&gt;0,VLOOKUP(O568,'Cây trong'!$A$2:$C$246,3,0)," ")</f>
        <v>248000</v>
      </c>
      <c r="R568" s="900">
        <f t="shared" si="110"/>
        <v>248000</v>
      </c>
      <c r="S568" s="981" t="s">
        <v>1820</v>
      </c>
      <c r="T568" s="982" t="s">
        <v>53</v>
      </c>
      <c r="U568" s="927">
        <v>43.1</v>
      </c>
      <c r="V568" s="925"/>
      <c r="W568" s="900">
        <f>IF(S568&lt;&gt;0,VLOOKUP(S568,VKT!$A$2:$G$415,7,0),"")</f>
        <v>5307665</v>
      </c>
      <c r="X568" s="900">
        <f t="shared" si="118"/>
        <v>228760000</v>
      </c>
      <c r="Y568" s="925" t="s">
        <v>63</v>
      </c>
      <c r="Z568" s="928" t="s">
        <v>55</v>
      </c>
      <c r="AA568" s="928" t="s">
        <v>56</v>
      </c>
      <c r="AB568" s="904" t="s">
        <v>57</v>
      </c>
      <c r="AC568" s="928" t="s">
        <v>63</v>
      </c>
      <c r="AD568" s="904" t="s">
        <v>206</v>
      </c>
      <c r="AE568" s="905"/>
      <c r="AF568" s="899"/>
      <c r="AG568" s="906"/>
      <c r="AH568" s="906"/>
      <c r="AI568" s="907" t="str">
        <f t="shared" si="112"/>
        <v xml:space="preserve"> </v>
      </c>
      <c r="AJ568" s="894" t="s">
        <v>1696</v>
      </c>
      <c r="AK568" s="922" t="s">
        <v>2771</v>
      </c>
    </row>
    <row r="569" spans="1:37" s="376" customFormat="1" ht="135" outlineLevel="2" x14ac:dyDescent="0.3">
      <c r="A569" s="447">
        <f t="shared" ref="A569:A584" si="122">IF(B568&lt;&gt;0,B568,A568)</f>
        <v>49</v>
      </c>
      <c r="B569" s="893"/>
      <c r="C569" s="983" t="s">
        <v>681</v>
      </c>
      <c r="D569" s="923"/>
      <c r="E569" s="923">
        <v>86</v>
      </c>
      <c r="F569" s="896">
        <v>695</v>
      </c>
      <c r="G569" s="894" t="s">
        <v>2469</v>
      </c>
      <c r="H569" s="924">
        <v>34.9</v>
      </c>
      <c r="I569" s="882">
        <f t="shared" si="121"/>
        <v>34.9</v>
      </c>
      <c r="J569" s="925"/>
      <c r="K569" s="899">
        <f>IF(G569&lt;&gt;0,VLOOKUP(G569,'gia dat'!$A$1:$F$144,5,0)," ")</f>
        <v>554400</v>
      </c>
      <c r="L569" s="899">
        <f>IF(G569&lt;&gt;0,VLOOKUP(G569,'gia dat'!$A$1:$F$144,6,0)," ")</f>
        <v>1663200</v>
      </c>
      <c r="M569" s="900">
        <f t="shared" si="107"/>
        <v>19349000</v>
      </c>
      <c r="N569" s="900">
        <f t="shared" si="108"/>
        <v>58046000</v>
      </c>
      <c r="O569" s="981" t="s">
        <v>750</v>
      </c>
      <c r="P569" s="926">
        <v>1</v>
      </c>
      <c r="Q569" s="900">
        <f>IF(O569&lt;&gt;0,VLOOKUP(O569,'Cây trong'!$A$2:$C$246,3,0)," ")</f>
        <v>0</v>
      </c>
      <c r="R569" s="900">
        <f t="shared" si="110"/>
        <v>0</v>
      </c>
      <c r="S569" s="981" t="s">
        <v>2321</v>
      </c>
      <c r="T569" s="982" t="s">
        <v>53</v>
      </c>
      <c r="U569" s="927">
        <v>8.4</v>
      </c>
      <c r="V569" s="925"/>
      <c r="W569" s="900">
        <f>IF(S569&lt;&gt;0,VLOOKUP(S569,VKT!$A$2:$G$415,7,0),"")</f>
        <v>4246132</v>
      </c>
      <c r="X569" s="900">
        <f t="shared" si="118"/>
        <v>35668000</v>
      </c>
      <c r="Y569" s="925" t="s">
        <v>63</v>
      </c>
      <c r="Z569" s="928" t="s">
        <v>55</v>
      </c>
      <c r="AA569" s="928" t="s">
        <v>56</v>
      </c>
      <c r="AB569" s="904"/>
      <c r="AC569" s="928" t="s">
        <v>63</v>
      </c>
      <c r="AD569" s="928"/>
      <c r="AE569" s="905" t="s">
        <v>2789</v>
      </c>
      <c r="AF569" s="926">
        <v>1</v>
      </c>
      <c r="AG569" s="906">
        <f>IF(AE569&lt;&gt;0,VLOOKUP(AE569,ODDS!$A$2:$C$13,3,0),"")</f>
        <v>13000000</v>
      </c>
      <c r="AH569" s="906">
        <f t="shared" si="111"/>
        <v>13000000</v>
      </c>
      <c r="AI569" s="907" t="str">
        <f t="shared" si="112"/>
        <v xml:space="preserve"> </v>
      </c>
      <c r="AJ569" s="894" t="s">
        <v>521</v>
      </c>
      <c r="AK569" s="894" t="s">
        <v>2448</v>
      </c>
    </row>
    <row r="570" spans="1:37" s="376" customFormat="1" ht="112.5" outlineLevel="2" x14ac:dyDescent="0.3">
      <c r="A570" s="447">
        <f t="shared" si="122"/>
        <v>49</v>
      </c>
      <c r="B570" s="893"/>
      <c r="C570" s="983" t="s">
        <v>311</v>
      </c>
      <c r="D570" s="923"/>
      <c r="E570" s="923"/>
      <c r="F570" s="896"/>
      <c r="G570" s="894" t="s">
        <v>2470</v>
      </c>
      <c r="H570" s="924">
        <v>1.6</v>
      </c>
      <c r="I570" s="882">
        <f t="shared" si="121"/>
        <v>1.6</v>
      </c>
      <c r="J570" s="925"/>
      <c r="K570" s="899">
        <f>IF(G570&lt;&gt;0,VLOOKUP(G570,'gia dat'!$A$1:$F$144,5,0)," ")</f>
        <v>554400</v>
      </c>
      <c r="L570" s="899">
        <f>IF(G570&lt;&gt;0,VLOOKUP(G570,'gia dat'!$A$1:$F$144,6,0)," ")</f>
        <v>1663200</v>
      </c>
      <c r="M570" s="900">
        <f t="shared" ref="M570:M637" si="123">IF(H570&lt;&gt;0,ROUND(H570*K570,-3)," ")</f>
        <v>887000</v>
      </c>
      <c r="N570" s="900">
        <f t="shared" ref="N570:N637" si="124">IF(H570&lt;&gt;0,ROUND(H570*L570,-3)," ")</f>
        <v>2661000</v>
      </c>
      <c r="O570" s="981"/>
      <c r="P570" s="926"/>
      <c r="Q570" s="900" t="str">
        <f>IF(O570&lt;&gt;0,VLOOKUP(O570,'Cây trong'!$A$2:$C$246,3,0)," ")</f>
        <v xml:space="preserve"> </v>
      </c>
      <c r="R570" s="900" t="str">
        <f t="shared" si="110"/>
        <v xml:space="preserve"> </v>
      </c>
      <c r="S570" s="981" t="s">
        <v>1886</v>
      </c>
      <c r="T570" s="982" t="s">
        <v>53</v>
      </c>
      <c r="U570" s="927">
        <v>3.08</v>
      </c>
      <c r="V570" s="925"/>
      <c r="W570" s="900">
        <f>IF(S570&lt;&gt;0,VLOOKUP(S570,VKT!$A$2:$G$415,7,0),"")</f>
        <v>9347414</v>
      </c>
      <c r="X570" s="900">
        <f t="shared" si="118"/>
        <v>28790000</v>
      </c>
      <c r="Y570" s="925"/>
      <c r="Z570" s="928"/>
      <c r="AA570" s="928" t="s">
        <v>56</v>
      </c>
      <c r="AB570" s="904" t="s">
        <v>57</v>
      </c>
      <c r="AC570" s="928" t="s">
        <v>54</v>
      </c>
      <c r="AD570" s="928"/>
      <c r="AE570" s="941"/>
      <c r="AF570" s="926"/>
      <c r="AG570" s="906" t="str">
        <f>IF(AE570&lt;&gt;0,VLOOKUP(AE570,ODDS!$A$2:$C$13,3,0),"")</f>
        <v/>
      </c>
      <c r="AH570" s="906" t="str">
        <f t="shared" si="111"/>
        <v xml:space="preserve"> </v>
      </c>
      <c r="AI570" s="907" t="str">
        <f t="shared" si="112"/>
        <v xml:space="preserve"> </v>
      </c>
      <c r="AJ570" s="929" t="s">
        <v>250</v>
      </c>
      <c r="AK570" s="894" t="s">
        <v>2450</v>
      </c>
    </row>
    <row r="571" spans="1:37" s="376" customFormat="1" ht="135" outlineLevel="2" x14ac:dyDescent="0.3">
      <c r="A571" s="447">
        <f t="shared" si="122"/>
        <v>49</v>
      </c>
      <c r="B571" s="893"/>
      <c r="C571" s="983"/>
      <c r="D571" s="923"/>
      <c r="E571" s="923"/>
      <c r="F571" s="896"/>
      <c r="G571" s="894"/>
      <c r="H571" s="924"/>
      <c r="I571" s="882"/>
      <c r="J571" s="925"/>
      <c r="K571" s="899" t="str">
        <f>IF(G571&lt;&gt;0,VLOOKUP(G571,'gia dat'!$A$1:$F$144,5,0)," ")</f>
        <v xml:space="preserve"> </v>
      </c>
      <c r="L571" s="899" t="str">
        <f>IF(G571&lt;&gt;0,VLOOKUP(G571,'gia dat'!$A$1:$F$144,6,0)," ")</f>
        <v xml:space="preserve"> </v>
      </c>
      <c r="M571" s="900" t="str">
        <f t="shared" si="123"/>
        <v xml:space="preserve"> </v>
      </c>
      <c r="N571" s="900" t="str">
        <f t="shared" si="124"/>
        <v xml:space="preserve"> </v>
      </c>
      <c r="O571" s="981"/>
      <c r="P571" s="926"/>
      <c r="Q571" s="900" t="str">
        <f>IF(O571&lt;&gt;0,VLOOKUP(O571,'Cây trong'!$A$2:$C$246,3,0)," ")</f>
        <v xml:space="preserve"> </v>
      </c>
      <c r="R571" s="900" t="str">
        <f t="shared" si="110"/>
        <v xml:space="preserve"> </v>
      </c>
      <c r="S571" s="981" t="s">
        <v>1844</v>
      </c>
      <c r="T571" s="982" t="s">
        <v>53</v>
      </c>
      <c r="U571" s="927">
        <v>22</v>
      </c>
      <c r="V571" s="925"/>
      <c r="W571" s="900">
        <f>IF(S571&lt;&gt;0,VLOOKUP(S571,VKT!$A$2:$G$415,7,0),"")</f>
        <v>770070</v>
      </c>
      <c r="X571" s="900">
        <f t="shared" si="118"/>
        <v>16942000</v>
      </c>
      <c r="Y571" s="925"/>
      <c r="Z571" s="928" t="s">
        <v>55</v>
      </c>
      <c r="AA571" s="928" t="s">
        <v>141</v>
      </c>
      <c r="AB571" s="904"/>
      <c r="AC571" s="928" t="s">
        <v>66</v>
      </c>
      <c r="AD571" s="928"/>
      <c r="AE571" s="928"/>
      <c r="AF571" s="926"/>
      <c r="AG571" s="906" t="str">
        <f>IF(AE571&lt;&gt;0,VLOOKUP(AE571,ODDS!$A$2:$C$13,3,0),"")</f>
        <v/>
      </c>
      <c r="AH571" s="906" t="str">
        <f t="shared" si="111"/>
        <v xml:space="preserve"> </v>
      </c>
      <c r="AI571" s="907" t="str">
        <f t="shared" si="112"/>
        <v xml:space="preserve"> </v>
      </c>
      <c r="AJ571" s="894" t="s">
        <v>1697</v>
      </c>
      <c r="AK571" s="894" t="s">
        <v>2449</v>
      </c>
    </row>
    <row r="572" spans="1:37" s="376" customFormat="1" ht="90" outlineLevel="2" x14ac:dyDescent="0.3">
      <c r="A572" s="447">
        <f t="shared" si="122"/>
        <v>49</v>
      </c>
      <c r="B572" s="893"/>
      <c r="C572" s="983"/>
      <c r="D572" s="923"/>
      <c r="E572" s="923"/>
      <c r="F572" s="896"/>
      <c r="G572" s="894"/>
      <c r="H572" s="924"/>
      <c r="I572" s="882"/>
      <c r="J572" s="925"/>
      <c r="K572" s="899" t="str">
        <f>IF(G572&lt;&gt;0,VLOOKUP(G572,'gia dat'!$A$1:$F$144,5,0)," ")</f>
        <v xml:space="preserve"> </v>
      </c>
      <c r="L572" s="899" t="str">
        <f>IF(G572&lt;&gt;0,VLOOKUP(G572,'gia dat'!$A$1:$F$144,6,0)," ")</f>
        <v xml:space="preserve"> </v>
      </c>
      <c r="M572" s="900" t="str">
        <f t="shared" si="123"/>
        <v xml:space="preserve"> </v>
      </c>
      <c r="N572" s="900" t="str">
        <f t="shared" si="124"/>
        <v xml:space="preserve"> </v>
      </c>
      <c r="O572" s="981"/>
      <c r="P572" s="926"/>
      <c r="Q572" s="900" t="str">
        <f>IF(O572&lt;&gt;0,VLOOKUP(O572,'Cây trong'!$A$2:$C$246,3,0)," ")</f>
        <v xml:space="preserve"> </v>
      </c>
      <c r="R572" s="900" t="str">
        <f t="shared" si="110"/>
        <v xml:space="preserve"> </v>
      </c>
      <c r="S572" s="981" t="s">
        <v>1840</v>
      </c>
      <c r="T572" s="982" t="s">
        <v>53</v>
      </c>
      <c r="U572" s="927">
        <v>25</v>
      </c>
      <c r="V572" s="925"/>
      <c r="W572" s="900">
        <f>IF(S572&lt;&gt;0,VLOOKUP(S572,VKT!$A$2:$G$415,7,0),"")</f>
        <v>1676884</v>
      </c>
      <c r="X572" s="900">
        <f t="shared" si="118"/>
        <v>41922000</v>
      </c>
      <c r="Y572" s="925"/>
      <c r="Z572" s="928" t="s">
        <v>55</v>
      </c>
      <c r="AA572" s="928" t="s">
        <v>56</v>
      </c>
      <c r="AB572" s="904" t="s">
        <v>320</v>
      </c>
      <c r="AC572" s="928" t="s">
        <v>66</v>
      </c>
      <c r="AD572" s="928"/>
      <c r="AE572" s="928"/>
      <c r="AF572" s="926"/>
      <c r="AG572" s="906" t="str">
        <f>IF(AE572&lt;&gt;0,VLOOKUP(AE572,ODDS!$A$2:$C$13,3,0),"")</f>
        <v/>
      </c>
      <c r="AH572" s="906" t="str">
        <f t="shared" si="111"/>
        <v xml:space="preserve"> </v>
      </c>
      <c r="AI572" s="907" t="str">
        <f t="shared" si="112"/>
        <v xml:space="preserve"> </v>
      </c>
      <c r="AJ572" s="894" t="s">
        <v>2074</v>
      </c>
      <c r="AK572" s="894" t="s">
        <v>2451</v>
      </c>
    </row>
    <row r="573" spans="1:37" s="376" customFormat="1" ht="112.5" outlineLevel="2" x14ac:dyDescent="0.35">
      <c r="A573" s="447">
        <f t="shared" si="122"/>
        <v>49</v>
      </c>
      <c r="B573" s="893"/>
      <c r="C573" s="983"/>
      <c r="D573" s="923"/>
      <c r="E573" s="923"/>
      <c r="F573" s="896"/>
      <c r="G573" s="894"/>
      <c r="H573" s="924"/>
      <c r="I573" s="882"/>
      <c r="J573" s="925"/>
      <c r="K573" s="899" t="str">
        <f>IF(G573&lt;&gt;0,VLOOKUP(G573,'gia dat'!$A$1:$F$144,5,0)," ")</f>
        <v xml:space="preserve"> </v>
      </c>
      <c r="L573" s="899" t="str">
        <f>IF(G573&lt;&gt;0,VLOOKUP(G573,'gia dat'!$A$1:$F$144,6,0)," ")</f>
        <v xml:space="preserve"> </v>
      </c>
      <c r="M573" s="900" t="str">
        <f t="shared" si="123"/>
        <v xml:space="preserve"> </v>
      </c>
      <c r="N573" s="900" t="str">
        <f t="shared" si="124"/>
        <v xml:space="preserve"> </v>
      </c>
      <c r="O573" s="981"/>
      <c r="P573" s="926"/>
      <c r="Q573" s="900" t="str">
        <f>IF(O573&lt;&gt;0,VLOOKUP(O573,'Cây trong'!$A$2:$C$246,3,0)," ")</f>
        <v xml:space="preserve"> </v>
      </c>
      <c r="R573" s="900" t="str">
        <f t="shared" si="110"/>
        <v xml:space="preserve"> </v>
      </c>
      <c r="S573" s="981" t="s">
        <v>1846</v>
      </c>
      <c r="T573" s="982" t="s">
        <v>53</v>
      </c>
      <c r="U573" s="927">
        <v>13</v>
      </c>
      <c r="V573" s="925"/>
      <c r="W573" s="900">
        <f>IF(S573&lt;&gt;0,VLOOKUP(S573,VKT!$A$2:$G$415,7,0),"")</f>
        <v>238288</v>
      </c>
      <c r="X573" s="900">
        <f t="shared" si="118"/>
        <v>3098000</v>
      </c>
      <c r="Y573" s="925"/>
      <c r="Z573" s="928"/>
      <c r="AA573" s="928"/>
      <c r="AB573" s="904"/>
      <c r="AC573" s="928"/>
      <c r="AD573" s="928"/>
      <c r="AE573" s="928"/>
      <c r="AF573" s="926"/>
      <c r="AG573" s="906" t="str">
        <f>IF(AE573&lt;&gt;0,VLOOKUP(AE573,ODDS!$A$2:$C$13,3,0),"")</f>
        <v/>
      </c>
      <c r="AH573" s="906" t="str">
        <f t="shared" si="111"/>
        <v xml:space="preserve"> </v>
      </c>
      <c r="AI573" s="907" t="str">
        <f t="shared" si="112"/>
        <v xml:space="preserve"> </v>
      </c>
      <c r="AJ573" s="911"/>
      <c r="AK573" s="894" t="s">
        <v>2800</v>
      </c>
    </row>
    <row r="574" spans="1:37" s="376" customFormat="1" ht="67.5" outlineLevel="2" x14ac:dyDescent="0.3">
      <c r="A574" s="447">
        <f t="shared" si="122"/>
        <v>49</v>
      </c>
      <c r="B574" s="893"/>
      <c r="C574" s="983"/>
      <c r="D574" s="923"/>
      <c r="E574" s="923"/>
      <c r="F574" s="896"/>
      <c r="G574" s="894"/>
      <c r="H574" s="924"/>
      <c r="I574" s="882"/>
      <c r="J574" s="925"/>
      <c r="K574" s="899" t="str">
        <f>IF(G574&lt;&gt;0,VLOOKUP(G574,'gia dat'!$A$1:$F$144,5,0)," ")</f>
        <v xml:space="preserve"> </v>
      </c>
      <c r="L574" s="899" t="str">
        <f>IF(G574&lt;&gt;0,VLOOKUP(G574,'gia dat'!$A$1:$F$144,6,0)," ")</f>
        <v xml:space="preserve"> </v>
      </c>
      <c r="M574" s="900" t="str">
        <f t="shared" si="123"/>
        <v xml:space="preserve"> </v>
      </c>
      <c r="N574" s="900" t="str">
        <f t="shared" si="124"/>
        <v xml:space="preserve"> </v>
      </c>
      <c r="O574" s="981"/>
      <c r="P574" s="926"/>
      <c r="Q574" s="900" t="str">
        <f>IF(O574&lt;&gt;0,VLOOKUP(O574,'Cây trong'!$A$2:$C$246,3,0)," ")</f>
        <v xml:space="preserve"> </v>
      </c>
      <c r="R574" s="900" t="str">
        <f t="shared" si="110"/>
        <v xml:space="preserve"> </v>
      </c>
      <c r="S574" s="981" t="s">
        <v>1768</v>
      </c>
      <c r="T574" s="982" t="s">
        <v>53</v>
      </c>
      <c r="U574" s="927">
        <v>8.8000000000000007</v>
      </c>
      <c r="V574" s="925"/>
      <c r="W574" s="900">
        <f>IF(S574&lt;&gt;0,VLOOKUP(S574,VKT!$A$2:$G$415,7,0),"")</f>
        <v>238288</v>
      </c>
      <c r="X574" s="900">
        <f t="shared" si="118"/>
        <v>2097000</v>
      </c>
      <c r="Y574" s="925"/>
      <c r="Z574" s="928"/>
      <c r="AA574" s="928"/>
      <c r="AB574" s="904"/>
      <c r="AC574" s="928"/>
      <c r="AD574" s="928"/>
      <c r="AE574" s="928"/>
      <c r="AF574" s="926"/>
      <c r="AG574" s="906" t="str">
        <f>IF(AE574&lt;&gt;0,VLOOKUP(AE574,ODDS!$A$2:$C$13,3,0),"")</f>
        <v/>
      </c>
      <c r="AH574" s="906" t="str">
        <f t="shared" si="111"/>
        <v xml:space="preserve"> </v>
      </c>
      <c r="AI574" s="907" t="str">
        <f t="shared" si="112"/>
        <v xml:space="preserve"> </v>
      </c>
      <c r="AJ574" s="894"/>
      <c r="AK574" s="894"/>
    </row>
    <row r="575" spans="1:37" s="376" customFormat="1" ht="90" outlineLevel="2" x14ac:dyDescent="0.3">
      <c r="A575" s="447">
        <f t="shared" si="122"/>
        <v>49</v>
      </c>
      <c r="B575" s="893"/>
      <c r="C575" s="983"/>
      <c r="D575" s="923"/>
      <c r="E575" s="923"/>
      <c r="F575" s="896"/>
      <c r="G575" s="894"/>
      <c r="H575" s="924"/>
      <c r="I575" s="882"/>
      <c r="J575" s="925"/>
      <c r="K575" s="899" t="str">
        <f>IF(G575&lt;&gt;0,VLOOKUP(G575,'gia dat'!$A$1:$F$144,5,0)," ")</f>
        <v xml:space="preserve"> </v>
      </c>
      <c r="L575" s="899" t="str">
        <f>IF(G575&lt;&gt;0,VLOOKUP(G575,'gia dat'!$A$1:$F$144,6,0)," ")</f>
        <v xml:space="preserve"> </v>
      </c>
      <c r="M575" s="900" t="str">
        <f t="shared" si="123"/>
        <v xml:space="preserve"> </v>
      </c>
      <c r="N575" s="900" t="str">
        <f t="shared" si="124"/>
        <v xml:space="preserve"> </v>
      </c>
      <c r="O575" s="981"/>
      <c r="P575" s="926"/>
      <c r="Q575" s="900" t="str">
        <f>IF(O575&lt;&gt;0,VLOOKUP(O575,'Cây trong'!$A$2:$C$246,3,0)," ")</f>
        <v xml:space="preserve"> </v>
      </c>
      <c r="R575" s="900" t="str">
        <f t="shared" si="110"/>
        <v xml:space="preserve"> </v>
      </c>
      <c r="S575" s="981" t="s">
        <v>2322</v>
      </c>
      <c r="T575" s="982" t="s">
        <v>53</v>
      </c>
      <c r="U575" s="927">
        <v>14</v>
      </c>
      <c r="V575" s="925"/>
      <c r="W575" s="900">
        <f>IF(S575&lt;&gt;0,VLOOKUP(S575,VKT!$A$2:$G$415,7,0),"")</f>
        <v>1116028</v>
      </c>
      <c r="X575" s="900">
        <f t="shared" si="118"/>
        <v>15624000</v>
      </c>
      <c r="Y575" s="925"/>
      <c r="Z575" s="928"/>
      <c r="AA575" s="928"/>
      <c r="AB575" s="904"/>
      <c r="AC575" s="928"/>
      <c r="AD575" s="928"/>
      <c r="AE575" s="928"/>
      <c r="AF575" s="926"/>
      <c r="AG575" s="906" t="str">
        <f>IF(AE575&lt;&gt;0,VLOOKUP(AE575,ODDS!$A$2:$C$13,3,0),"")</f>
        <v/>
      </c>
      <c r="AH575" s="906" t="str">
        <f t="shared" si="111"/>
        <v xml:space="preserve"> </v>
      </c>
      <c r="AI575" s="907" t="str">
        <f t="shared" si="112"/>
        <v xml:space="preserve"> </v>
      </c>
      <c r="AJ575" s="894"/>
      <c r="AK575" s="894"/>
    </row>
    <row r="576" spans="1:37" s="376" customFormat="1" ht="45" outlineLevel="2" x14ac:dyDescent="0.3">
      <c r="A576" s="447">
        <f t="shared" si="122"/>
        <v>49</v>
      </c>
      <c r="B576" s="893"/>
      <c r="C576" s="983"/>
      <c r="D576" s="923"/>
      <c r="E576" s="923"/>
      <c r="F576" s="896"/>
      <c r="G576" s="894"/>
      <c r="H576" s="924"/>
      <c r="I576" s="882"/>
      <c r="J576" s="925"/>
      <c r="K576" s="899" t="str">
        <f>IF(G576&lt;&gt;0,VLOOKUP(G576,'gia dat'!$A$1:$F$144,5,0)," ")</f>
        <v xml:space="preserve"> </v>
      </c>
      <c r="L576" s="899" t="str">
        <f>IF(G576&lt;&gt;0,VLOOKUP(G576,'gia dat'!$A$1:$F$144,6,0)," ")</f>
        <v xml:space="preserve"> </v>
      </c>
      <c r="M576" s="900" t="str">
        <f t="shared" si="123"/>
        <v xml:space="preserve"> </v>
      </c>
      <c r="N576" s="900" t="str">
        <f t="shared" si="124"/>
        <v xml:space="preserve"> </v>
      </c>
      <c r="O576" s="981"/>
      <c r="P576" s="926"/>
      <c r="Q576" s="900" t="str">
        <f>IF(O576&lt;&gt;0,VLOOKUP(O576,'Cây trong'!$A$2:$C$246,3,0)," ")</f>
        <v xml:space="preserve"> </v>
      </c>
      <c r="R576" s="900" t="str">
        <f t="shared" si="110"/>
        <v xml:space="preserve"> </v>
      </c>
      <c r="S576" s="981" t="s">
        <v>1880</v>
      </c>
      <c r="T576" s="982" t="s">
        <v>78</v>
      </c>
      <c r="U576" s="927">
        <v>0.11</v>
      </c>
      <c r="V576" s="925"/>
      <c r="W576" s="900">
        <f>IF(S576&lt;&gt;0,VLOOKUP(S576,VKT!$A$2:$G$415,7,0),"")</f>
        <v>0</v>
      </c>
      <c r="X576" s="900">
        <f t="shared" si="118"/>
        <v>0</v>
      </c>
      <c r="Y576" s="925"/>
      <c r="Z576" s="928"/>
      <c r="AA576" s="928"/>
      <c r="AB576" s="904"/>
      <c r="AC576" s="928"/>
      <c r="AD576" s="928"/>
      <c r="AE576" s="928"/>
      <c r="AF576" s="926"/>
      <c r="AG576" s="906" t="str">
        <f>IF(AE576&lt;&gt;0,VLOOKUP(AE576,ODDS!$A$2:$C$13,3,0),"")</f>
        <v/>
      </c>
      <c r="AH576" s="906" t="str">
        <f t="shared" si="111"/>
        <v xml:space="preserve"> </v>
      </c>
      <c r="AI576" s="907" t="str">
        <f t="shared" si="112"/>
        <v xml:space="preserve"> </v>
      </c>
      <c r="AJ576" s="894"/>
      <c r="AK576" s="894"/>
    </row>
    <row r="577" spans="1:37" s="376" customFormat="1" ht="67.5" outlineLevel="2" x14ac:dyDescent="0.3">
      <c r="A577" s="447">
        <f t="shared" si="122"/>
        <v>49</v>
      </c>
      <c r="B577" s="893"/>
      <c r="C577" s="983"/>
      <c r="D577" s="923"/>
      <c r="E577" s="923"/>
      <c r="F577" s="896"/>
      <c r="G577" s="894"/>
      <c r="H577" s="924"/>
      <c r="I577" s="882"/>
      <c r="J577" s="925"/>
      <c r="K577" s="899" t="str">
        <f>IF(G577&lt;&gt;0,VLOOKUP(G577,'gia dat'!$A$1:$F$144,5,0)," ")</f>
        <v xml:space="preserve"> </v>
      </c>
      <c r="L577" s="899" t="str">
        <f>IF(G577&lt;&gt;0,VLOOKUP(G577,'gia dat'!$A$1:$F$144,6,0)," ")</f>
        <v xml:space="preserve"> </v>
      </c>
      <c r="M577" s="900" t="str">
        <f t="shared" si="123"/>
        <v xml:space="preserve"> </v>
      </c>
      <c r="N577" s="900" t="str">
        <f t="shared" si="124"/>
        <v xml:space="preserve"> </v>
      </c>
      <c r="O577" s="981"/>
      <c r="P577" s="926"/>
      <c r="Q577" s="900" t="str">
        <f>IF(O577&lt;&gt;0,VLOOKUP(O577,'Cây trong'!$A$2:$C$246,3,0)," ")</f>
        <v xml:space="preserve"> </v>
      </c>
      <c r="R577" s="900" t="str">
        <f t="shared" si="110"/>
        <v xml:space="preserve"> </v>
      </c>
      <c r="S577" s="981" t="s">
        <v>1774</v>
      </c>
      <c r="T577" s="982" t="s">
        <v>53</v>
      </c>
      <c r="U577" s="927">
        <v>1.86</v>
      </c>
      <c r="V577" s="925"/>
      <c r="W577" s="900">
        <f>IF(S577&lt;&gt;0,VLOOKUP(S577,VKT!$A$2:$G$415,7,0),"")</f>
        <v>286855</v>
      </c>
      <c r="X577" s="900">
        <f t="shared" si="118"/>
        <v>534000</v>
      </c>
      <c r="Y577" s="925"/>
      <c r="Z577" s="928"/>
      <c r="AA577" s="928"/>
      <c r="AB577" s="904"/>
      <c r="AC577" s="928"/>
      <c r="AD577" s="928"/>
      <c r="AE577" s="928"/>
      <c r="AF577" s="926"/>
      <c r="AG577" s="906" t="str">
        <f>IF(AE577&lt;&gt;0,VLOOKUP(AE577,ODDS!$A$2:$C$13,3,0),"")</f>
        <v/>
      </c>
      <c r="AH577" s="906" t="str">
        <f t="shared" si="111"/>
        <v xml:space="preserve"> </v>
      </c>
      <c r="AI577" s="907" t="str">
        <f t="shared" si="112"/>
        <v xml:space="preserve"> </v>
      </c>
      <c r="AJ577" s="894"/>
      <c r="AK577" s="894"/>
    </row>
    <row r="578" spans="1:37" s="376" customFormat="1" ht="67.5" outlineLevel="2" x14ac:dyDescent="0.3">
      <c r="A578" s="447">
        <f t="shared" si="122"/>
        <v>49</v>
      </c>
      <c r="B578" s="893"/>
      <c r="C578" s="983"/>
      <c r="D578" s="923"/>
      <c r="E578" s="923"/>
      <c r="F578" s="896"/>
      <c r="G578" s="894"/>
      <c r="H578" s="924"/>
      <c r="I578" s="882"/>
      <c r="J578" s="925"/>
      <c r="K578" s="899" t="str">
        <f>IF(G578&lt;&gt;0,VLOOKUP(G578,'gia dat'!$A$1:$F$144,5,0)," ")</f>
        <v xml:space="preserve"> </v>
      </c>
      <c r="L578" s="899" t="str">
        <f>IF(G578&lt;&gt;0,VLOOKUP(G578,'gia dat'!$A$1:$F$144,6,0)," ")</f>
        <v xml:space="preserve"> </v>
      </c>
      <c r="M578" s="900" t="str">
        <f t="shared" si="123"/>
        <v xml:space="preserve"> </v>
      </c>
      <c r="N578" s="900" t="str">
        <f t="shared" si="124"/>
        <v xml:space="preserve"> </v>
      </c>
      <c r="O578" s="981"/>
      <c r="P578" s="926"/>
      <c r="Q578" s="900" t="str">
        <f>IF(O578&lt;&gt;0,VLOOKUP(O578,'Cây trong'!$A$2:$C$246,3,0)," ")</f>
        <v xml:space="preserve"> </v>
      </c>
      <c r="R578" s="900" t="str">
        <f t="shared" si="110"/>
        <v xml:space="preserve"> </v>
      </c>
      <c r="S578" s="981" t="s">
        <v>1894</v>
      </c>
      <c r="T578" s="982" t="s">
        <v>53</v>
      </c>
      <c r="U578" s="927">
        <v>1.26</v>
      </c>
      <c r="V578" s="925"/>
      <c r="W578" s="900">
        <f>IF(S578&lt;&gt;0,VLOOKUP(S578,VKT!$A$2:$G$415,7,0),"")</f>
        <v>348773</v>
      </c>
      <c r="X578" s="900">
        <f t="shared" si="118"/>
        <v>439000</v>
      </c>
      <c r="Y578" s="925"/>
      <c r="Z578" s="928"/>
      <c r="AA578" s="928"/>
      <c r="AB578" s="904"/>
      <c r="AC578" s="928"/>
      <c r="AD578" s="928"/>
      <c r="AE578" s="928"/>
      <c r="AF578" s="926"/>
      <c r="AG578" s="906" t="str">
        <f>IF(AE578&lt;&gt;0,VLOOKUP(AE578,ODDS!$A$2:$C$13,3,0),"")</f>
        <v/>
      </c>
      <c r="AH578" s="906" t="str">
        <f t="shared" si="111"/>
        <v xml:space="preserve"> </v>
      </c>
      <c r="AI578" s="907" t="str">
        <f t="shared" si="112"/>
        <v xml:space="preserve"> </v>
      </c>
      <c r="AJ578" s="894"/>
      <c r="AK578" s="894"/>
    </row>
    <row r="579" spans="1:37" s="376" customFormat="1" ht="67.5" outlineLevel="2" x14ac:dyDescent="0.3">
      <c r="A579" s="447">
        <f t="shared" si="122"/>
        <v>49</v>
      </c>
      <c r="B579" s="893"/>
      <c r="C579" s="983"/>
      <c r="D579" s="923"/>
      <c r="E579" s="923"/>
      <c r="F579" s="896"/>
      <c r="G579" s="894"/>
      <c r="H579" s="924"/>
      <c r="I579" s="882"/>
      <c r="J579" s="925"/>
      <c r="K579" s="899" t="str">
        <f>IF(G579&lt;&gt;0,VLOOKUP(G579,'gia dat'!$A$1:$F$144,5,0)," ")</f>
        <v xml:space="preserve"> </v>
      </c>
      <c r="L579" s="899" t="str">
        <f>IF(G579&lt;&gt;0,VLOOKUP(G579,'gia dat'!$A$1:$F$144,6,0)," ")</f>
        <v xml:space="preserve"> </v>
      </c>
      <c r="M579" s="900" t="str">
        <f t="shared" si="123"/>
        <v xml:space="preserve"> </v>
      </c>
      <c r="N579" s="900" t="str">
        <f t="shared" si="124"/>
        <v xml:space="preserve"> </v>
      </c>
      <c r="O579" s="981"/>
      <c r="P579" s="926"/>
      <c r="Q579" s="900" t="str">
        <f>IF(O579&lt;&gt;0,VLOOKUP(O579,'Cây trong'!$A$2:$C$246,3,0)," ")</f>
        <v xml:space="preserve"> </v>
      </c>
      <c r="R579" s="900" t="str">
        <f t="shared" si="110"/>
        <v xml:space="preserve"> </v>
      </c>
      <c r="S579" s="981" t="s">
        <v>2323</v>
      </c>
      <c r="T579" s="982" t="s">
        <v>53</v>
      </c>
      <c r="U579" s="927">
        <v>1.84</v>
      </c>
      <c r="V579" s="925"/>
      <c r="W579" s="900">
        <f>IF(S579&lt;&gt;0,VLOOKUP(S579,VKT!$A$2:$G$415,7,0),"")</f>
        <v>348773</v>
      </c>
      <c r="X579" s="900">
        <f t="shared" si="118"/>
        <v>642000</v>
      </c>
      <c r="Y579" s="925"/>
      <c r="Z579" s="928"/>
      <c r="AA579" s="928"/>
      <c r="AB579" s="904"/>
      <c r="AC579" s="928"/>
      <c r="AD579" s="928"/>
      <c r="AE579" s="928"/>
      <c r="AF579" s="926"/>
      <c r="AG579" s="906" t="str">
        <f>IF(AE579&lt;&gt;0,VLOOKUP(AE579,ODDS!$A$2:$C$13,3,0),"")</f>
        <v/>
      </c>
      <c r="AH579" s="906" t="str">
        <f t="shared" si="111"/>
        <v xml:space="preserve"> </v>
      </c>
      <c r="AI579" s="907" t="str">
        <f t="shared" si="112"/>
        <v xml:space="preserve"> </v>
      </c>
      <c r="AJ579" s="894"/>
      <c r="AK579" s="894"/>
    </row>
    <row r="580" spans="1:37" s="376" customFormat="1" ht="90" outlineLevel="2" x14ac:dyDescent="0.3">
      <c r="A580" s="447">
        <f t="shared" si="122"/>
        <v>49</v>
      </c>
      <c r="B580" s="893"/>
      <c r="C580" s="983"/>
      <c r="D580" s="923"/>
      <c r="E580" s="923"/>
      <c r="F580" s="896"/>
      <c r="G580" s="894"/>
      <c r="H580" s="924"/>
      <c r="I580" s="882"/>
      <c r="J580" s="925"/>
      <c r="K580" s="899" t="str">
        <f>IF(G580&lt;&gt;0,VLOOKUP(G580,'gia dat'!$A$1:$F$144,5,0)," ")</f>
        <v xml:space="preserve"> </v>
      </c>
      <c r="L580" s="899" t="str">
        <f>IF(G580&lt;&gt;0,VLOOKUP(G580,'gia dat'!$A$1:$F$144,6,0)," ")</f>
        <v xml:space="preserve"> </v>
      </c>
      <c r="M580" s="900" t="str">
        <f t="shared" si="123"/>
        <v xml:space="preserve"> </v>
      </c>
      <c r="N580" s="900" t="str">
        <f t="shared" si="124"/>
        <v xml:space="preserve"> </v>
      </c>
      <c r="O580" s="981"/>
      <c r="P580" s="926"/>
      <c r="Q580" s="900" t="str">
        <f>IF(O580&lt;&gt;0,VLOOKUP(O580,'Cây trong'!$A$2:$C$246,3,0)," ")</f>
        <v xml:space="preserve"> </v>
      </c>
      <c r="R580" s="900" t="str">
        <f t="shared" si="110"/>
        <v xml:space="preserve"> </v>
      </c>
      <c r="S580" s="981" t="s">
        <v>2324</v>
      </c>
      <c r="T580" s="982" t="s">
        <v>53</v>
      </c>
      <c r="U580" s="927">
        <v>4.76</v>
      </c>
      <c r="V580" s="925"/>
      <c r="W580" s="900">
        <f>IF(S580&lt;&gt;0,VLOOKUP(S580,VKT!$A$2:$G$415,7,0),"")</f>
        <v>496651</v>
      </c>
      <c r="X580" s="900">
        <f t="shared" si="118"/>
        <v>2364000</v>
      </c>
      <c r="Y580" s="925"/>
      <c r="Z580" s="928"/>
      <c r="AA580" s="928"/>
      <c r="AB580" s="904"/>
      <c r="AC580" s="928"/>
      <c r="AD580" s="928"/>
      <c r="AE580" s="928"/>
      <c r="AF580" s="926"/>
      <c r="AG580" s="906" t="str">
        <f>IF(AE580&lt;&gt;0,VLOOKUP(AE580,ODDS!$A$2:$C$13,3,0),"")</f>
        <v/>
      </c>
      <c r="AH580" s="906" t="str">
        <f t="shared" si="111"/>
        <v xml:space="preserve"> </v>
      </c>
      <c r="AI580" s="907" t="str">
        <f t="shared" si="112"/>
        <v xml:space="preserve"> </v>
      </c>
      <c r="AJ580" s="894"/>
      <c r="AK580" s="894"/>
    </row>
    <row r="581" spans="1:37" s="376" customFormat="1" ht="90" outlineLevel="2" x14ac:dyDescent="0.3">
      <c r="A581" s="447">
        <f t="shared" si="122"/>
        <v>49</v>
      </c>
      <c r="B581" s="893"/>
      <c r="C581" s="983"/>
      <c r="D581" s="923"/>
      <c r="E581" s="923"/>
      <c r="F581" s="896"/>
      <c r="G581" s="894"/>
      <c r="H581" s="924"/>
      <c r="I581" s="882"/>
      <c r="J581" s="925"/>
      <c r="K581" s="899" t="str">
        <f>IF(G581&lt;&gt;0,VLOOKUP(G581,'gia dat'!$A$1:$F$144,5,0)," ")</f>
        <v xml:space="preserve"> </v>
      </c>
      <c r="L581" s="899" t="str">
        <f>IF(G581&lt;&gt;0,VLOOKUP(G581,'gia dat'!$A$1:$F$144,6,0)," ")</f>
        <v xml:space="preserve"> </v>
      </c>
      <c r="M581" s="900" t="str">
        <f t="shared" si="123"/>
        <v xml:space="preserve"> </v>
      </c>
      <c r="N581" s="900" t="str">
        <f t="shared" si="124"/>
        <v xml:space="preserve"> </v>
      </c>
      <c r="O581" s="981"/>
      <c r="P581" s="926"/>
      <c r="Q581" s="900" t="str">
        <f>IF(O581&lt;&gt;0,VLOOKUP(O581,'Cây trong'!$A$2:$C$246,3,0)," ")</f>
        <v xml:space="preserve"> </v>
      </c>
      <c r="R581" s="900" t="str">
        <f t="shared" si="110"/>
        <v xml:space="preserve"> </v>
      </c>
      <c r="S581" s="981" t="s">
        <v>2325</v>
      </c>
      <c r="T581" s="982" t="s">
        <v>53</v>
      </c>
      <c r="U581" s="927">
        <v>6.34</v>
      </c>
      <c r="V581" s="925"/>
      <c r="W581" s="900">
        <f>IF(S581&lt;&gt;0,VLOOKUP(S581,VKT!$A$2:$G$415,7,0),"")</f>
        <v>496651</v>
      </c>
      <c r="X581" s="900">
        <f t="shared" si="118"/>
        <v>3149000</v>
      </c>
      <c r="Y581" s="925"/>
      <c r="Z581" s="928"/>
      <c r="AA581" s="928"/>
      <c r="AB581" s="904"/>
      <c r="AC581" s="928"/>
      <c r="AD581" s="928"/>
      <c r="AE581" s="928"/>
      <c r="AF581" s="926"/>
      <c r="AG581" s="906" t="str">
        <f>IF(AE581&lt;&gt;0,VLOOKUP(AE581,ODDS!$A$2:$C$13,3,0),"")</f>
        <v/>
      </c>
      <c r="AH581" s="906" t="str">
        <f t="shared" si="111"/>
        <v xml:space="preserve"> </v>
      </c>
      <c r="AI581" s="907" t="str">
        <f t="shared" si="112"/>
        <v xml:space="preserve"> </v>
      </c>
      <c r="AJ581" s="894"/>
      <c r="AK581" s="894"/>
    </row>
    <row r="582" spans="1:37" s="376" customFormat="1" ht="22.5" outlineLevel="2" x14ac:dyDescent="0.3">
      <c r="A582" s="447">
        <f t="shared" si="122"/>
        <v>49</v>
      </c>
      <c r="B582" s="893"/>
      <c r="C582" s="983"/>
      <c r="D582" s="923"/>
      <c r="E582" s="923"/>
      <c r="F582" s="896"/>
      <c r="G582" s="894"/>
      <c r="H582" s="924"/>
      <c r="I582" s="882"/>
      <c r="J582" s="925"/>
      <c r="K582" s="899" t="str">
        <f>IF(G582&lt;&gt;0,VLOOKUP(G582,'gia dat'!$A$1:$F$144,5,0)," ")</f>
        <v xml:space="preserve"> </v>
      </c>
      <c r="L582" s="899" t="str">
        <f>IF(G582&lt;&gt;0,VLOOKUP(G582,'gia dat'!$A$1:$F$144,6,0)," ")</f>
        <v xml:space="preserve"> </v>
      </c>
      <c r="M582" s="900" t="str">
        <f t="shared" si="123"/>
        <v xml:space="preserve"> </v>
      </c>
      <c r="N582" s="900" t="str">
        <f t="shared" si="124"/>
        <v xml:space="preserve"> </v>
      </c>
      <c r="O582" s="981"/>
      <c r="P582" s="926"/>
      <c r="Q582" s="900" t="str">
        <f>IF(O582&lt;&gt;0,VLOOKUP(O582,'Cây trong'!$A$2:$C$246,3,0)," ")</f>
        <v xml:space="preserve"> </v>
      </c>
      <c r="R582" s="900" t="str">
        <f t="shared" ref="R582:R651" si="125">IF(O582&lt;&gt;0,ROUND(P582*Q582,-2)," ")</f>
        <v xml:space="preserve"> </v>
      </c>
      <c r="S582" s="981"/>
      <c r="T582" s="982"/>
      <c r="U582" s="927"/>
      <c r="V582" s="925"/>
      <c r="W582" s="900" t="str">
        <f>IF(S582&lt;&gt;0,VLOOKUP(S582,VKT!$A$2:$G$415,7,0),"")</f>
        <v/>
      </c>
      <c r="X582" s="900" t="str">
        <f t="shared" si="118"/>
        <v xml:space="preserve"> </v>
      </c>
      <c r="Y582" s="925"/>
      <c r="Z582" s="928"/>
      <c r="AA582" s="928"/>
      <c r="AB582" s="904"/>
      <c r="AC582" s="928"/>
      <c r="AD582" s="928"/>
      <c r="AE582" s="928"/>
      <c r="AF582" s="926"/>
      <c r="AG582" s="906" t="str">
        <f>IF(AE582&lt;&gt;0,VLOOKUP(AE582,ODDS!$A$2:$C$13,3,0),"")</f>
        <v/>
      </c>
      <c r="AH582" s="906" t="str">
        <f t="shared" ref="AH582:AH651" si="126">IF(AE582&lt;&gt;0,ROUND(AF582*AG582,-2)," ")</f>
        <v xml:space="preserve"> </v>
      </c>
      <c r="AI582" s="907" t="str">
        <f t="shared" si="112"/>
        <v xml:space="preserve"> </v>
      </c>
      <c r="AJ582" s="894"/>
      <c r="AK582" s="894"/>
    </row>
    <row r="583" spans="1:37" s="376" customFormat="1" ht="22.5" outlineLevel="2" x14ac:dyDescent="0.3">
      <c r="A583" s="447">
        <f t="shared" si="122"/>
        <v>49</v>
      </c>
      <c r="B583" s="893"/>
      <c r="C583" s="983"/>
      <c r="D583" s="923"/>
      <c r="E583" s="923"/>
      <c r="F583" s="950"/>
      <c r="G583" s="894"/>
      <c r="H583" s="940"/>
      <c r="I583" s="882"/>
      <c r="J583" s="929"/>
      <c r="K583" s="899" t="str">
        <f>IF(G583&lt;&gt;0,VLOOKUP(G583,'gia dat'!$A$1:$F$144,5,0)," ")</f>
        <v xml:space="preserve"> </v>
      </c>
      <c r="L583" s="899" t="str">
        <f>IF(G583&lt;&gt;0,VLOOKUP(G583,'gia dat'!$A$1:$F$144,6,0)," ")</f>
        <v xml:space="preserve"> </v>
      </c>
      <c r="M583" s="900" t="str">
        <f t="shared" si="123"/>
        <v xml:space="preserve"> </v>
      </c>
      <c r="N583" s="900" t="str">
        <f t="shared" si="124"/>
        <v xml:space="preserve"> </v>
      </c>
      <c r="O583" s="929"/>
      <c r="P583" s="951"/>
      <c r="Q583" s="900" t="str">
        <f>IF(O583&lt;&gt;0,VLOOKUP(O583,'Cây trong'!$A$2:$C$246,3,0)," ")</f>
        <v xml:space="preserve"> </v>
      </c>
      <c r="R583" s="900" t="str">
        <f t="shared" si="125"/>
        <v xml:space="preserve"> </v>
      </c>
      <c r="S583" s="929"/>
      <c r="T583" s="929"/>
      <c r="U583" s="952"/>
      <c r="V583" s="925"/>
      <c r="W583" s="900" t="str">
        <f>IF(S583&lt;&gt;0,VLOOKUP(S583,VKT!$A$2:$G$415,7,0),"")</f>
        <v/>
      </c>
      <c r="X583" s="900" t="str">
        <f t="shared" si="118"/>
        <v xml:space="preserve"> </v>
      </c>
      <c r="Y583" s="925"/>
      <c r="Z583" s="925"/>
      <c r="AA583" s="925"/>
      <c r="AB583" s="898"/>
      <c r="AC583" s="925"/>
      <c r="AD583" s="925"/>
      <c r="AE583" s="925"/>
      <c r="AF583" s="964"/>
      <c r="AG583" s="906" t="str">
        <f>IF(AE583&lt;&gt;0,VLOOKUP(AE583,ODDS!$A$2:$C$13,3,0),"")</f>
        <v/>
      </c>
      <c r="AH583" s="906" t="str">
        <f t="shared" si="126"/>
        <v xml:space="preserve"> </v>
      </c>
      <c r="AI583" s="907" t="str">
        <f t="shared" si="112"/>
        <v xml:space="preserve"> </v>
      </c>
      <c r="AJ583" s="929"/>
      <c r="AK583" s="929"/>
    </row>
    <row r="584" spans="1:37" s="376" customFormat="1" ht="22.5" outlineLevel="2" x14ac:dyDescent="0.3">
      <c r="A584" s="447">
        <f t="shared" si="122"/>
        <v>49</v>
      </c>
      <c r="B584" s="893"/>
      <c r="C584" s="910"/>
      <c r="D584" s="923"/>
      <c r="E584" s="923"/>
      <c r="F584" s="896"/>
      <c r="G584" s="894"/>
      <c r="H584" s="924"/>
      <c r="I584" s="882"/>
      <c r="J584" s="925"/>
      <c r="K584" s="899" t="str">
        <f>IF(G584&lt;&gt;0,VLOOKUP(G584,'gia dat'!$A$1:$F$144,5,0)," ")</f>
        <v xml:space="preserve"> </v>
      </c>
      <c r="L584" s="899" t="str">
        <f>IF(G584&lt;&gt;0,VLOOKUP(G584,'gia dat'!$A$1:$F$144,6,0)," ")</f>
        <v xml:space="preserve"> </v>
      </c>
      <c r="M584" s="900" t="str">
        <f t="shared" si="123"/>
        <v xml:space="preserve"> </v>
      </c>
      <c r="N584" s="900" t="str">
        <f t="shared" si="124"/>
        <v xml:space="preserve"> </v>
      </c>
      <c r="O584" s="981"/>
      <c r="P584" s="926"/>
      <c r="Q584" s="900" t="str">
        <f>IF(O584&lt;&gt;0,VLOOKUP(O584,'Cây trong'!$A$2:$C$246,3,0)," ")</f>
        <v xml:space="preserve"> </v>
      </c>
      <c r="R584" s="900" t="str">
        <f t="shared" si="125"/>
        <v xml:space="preserve"> </v>
      </c>
      <c r="S584" s="981"/>
      <c r="T584" s="982"/>
      <c r="U584" s="927"/>
      <c r="V584" s="925"/>
      <c r="W584" s="900" t="str">
        <f>IF(S584&lt;&gt;0,VLOOKUP(S584,VKT!$A$2:$G$415,7,0),"")</f>
        <v/>
      </c>
      <c r="X584" s="900" t="str">
        <f t="shared" si="118"/>
        <v xml:space="preserve"> </v>
      </c>
      <c r="Y584" s="925"/>
      <c r="Z584" s="928"/>
      <c r="AA584" s="928"/>
      <c r="AB584" s="904"/>
      <c r="AC584" s="928"/>
      <c r="AD584" s="928"/>
      <c r="AE584" s="928"/>
      <c r="AF584" s="926"/>
      <c r="AG584" s="906" t="str">
        <f>IF(AE584&lt;&gt;0,VLOOKUP(AE584,ODDS!$A$2:$C$13,3,0),"")</f>
        <v/>
      </c>
      <c r="AH584" s="906" t="str">
        <f t="shared" si="126"/>
        <v xml:space="preserve"> </v>
      </c>
      <c r="AI584" s="907" t="str">
        <f t="shared" si="112"/>
        <v xml:space="preserve"> </v>
      </c>
      <c r="AJ584" s="894"/>
      <c r="AK584" s="894"/>
    </row>
    <row r="585" spans="1:37" s="376" customFormat="1" ht="22.5" outlineLevel="1" x14ac:dyDescent="0.25">
      <c r="A585" s="467" t="s">
        <v>2660</v>
      </c>
      <c r="B585" s="912">
        <v>50</v>
      </c>
      <c r="C585" s="910" t="s">
        <v>37</v>
      </c>
      <c r="D585" s="931"/>
      <c r="E585" s="931"/>
      <c r="F585" s="913"/>
      <c r="G585" s="910"/>
      <c r="H585" s="953">
        <f>SUBTOTAL(9,H586:H607)</f>
        <v>511.3</v>
      </c>
      <c r="I585" s="915">
        <f>SUBTOTAL(9,I586:I591)</f>
        <v>0</v>
      </c>
      <c r="J585" s="933"/>
      <c r="K585" s="917"/>
      <c r="L585" s="917"/>
      <c r="M585" s="907">
        <f>SUBTOTAL(9,M586:M607)</f>
        <v>1180281000</v>
      </c>
      <c r="N585" s="907">
        <f>SUBTOTAL(9,N586:N607)</f>
        <v>0</v>
      </c>
      <c r="O585" s="910"/>
      <c r="P585" s="935">
        <f>SUBTOTAL(9,P586:P607)</f>
        <v>20</v>
      </c>
      <c r="Q585" s="907"/>
      <c r="R585" s="907">
        <f>SUBTOTAL(9,R586:R607)</f>
        <v>2956000</v>
      </c>
      <c r="S585" s="918"/>
      <c r="T585" s="933"/>
      <c r="U585" s="936">
        <f>SUBTOTAL(9,U586:U607)</f>
        <v>549.25</v>
      </c>
      <c r="V585" s="933"/>
      <c r="W585" s="907"/>
      <c r="X585" s="907">
        <f>SUBTOTAL(9,X586:X607)</f>
        <v>721740000</v>
      </c>
      <c r="Y585" s="925"/>
      <c r="Z585" s="928"/>
      <c r="AA585" s="928"/>
      <c r="AB585" s="904"/>
      <c r="AC585" s="928"/>
      <c r="AD585" s="928"/>
      <c r="AE585" s="938"/>
      <c r="AF585" s="917">
        <f>SUBTOTAL(9,AF586:AF607)</f>
        <v>1</v>
      </c>
      <c r="AG585" s="921"/>
      <c r="AH585" s="921">
        <f>SUBTOTAL(9,AH586:AH607)</f>
        <v>13000000</v>
      </c>
      <c r="AI585" s="907">
        <f t="shared" ref="AI585:AI648" si="127">IF(B585&lt;&gt;0,M585+N585+R585+X585+AH585," ")</f>
        <v>1917977000</v>
      </c>
      <c r="AJ585" s="910"/>
      <c r="AK585" s="914"/>
    </row>
    <row r="586" spans="1:37" s="376" customFormat="1" ht="135" outlineLevel="2" x14ac:dyDescent="0.3">
      <c r="A586" s="447">
        <f>IF(B585&lt;&gt;0,B585,A584)</f>
        <v>50</v>
      </c>
      <c r="B586" s="893"/>
      <c r="C586" s="894" t="s">
        <v>300</v>
      </c>
      <c r="D586" s="923">
        <v>6</v>
      </c>
      <c r="E586" s="923">
        <v>86</v>
      </c>
      <c r="F586" s="896">
        <v>506</v>
      </c>
      <c r="G586" s="894" t="s">
        <v>2037</v>
      </c>
      <c r="H586" s="924">
        <v>172.2</v>
      </c>
      <c r="I586" s="882" t="str">
        <f t="shared" ref="I586:I589" si="128">IF(N586&gt;0,H586,"")</f>
        <v/>
      </c>
      <c r="J586" s="925"/>
      <c r="K586" s="899">
        <f>IF(G586&lt;&gt;0,VLOOKUP(G586,'gia dat'!$A$1:$F$144,5,0)," ")</f>
        <v>5762400</v>
      </c>
      <c r="L586" s="899">
        <f>IF(G586&lt;&gt;0,VLOOKUP(G586,'gia dat'!$A$1:$F$144,6,0)," ")</f>
        <v>0</v>
      </c>
      <c r="M586" s="900">
        <f t="shared" si="123"/>
        <v>992285000</v>
      </c>
      <c r="N586" s="900">
        <f t="shared" si="124"/>
        <v>0</v>
      </c>
      <c r="O586" s="894" t="s">
        <v>72</v>
      </c>
      <c r="P586" s="926">
        <v>5</v>
      </c>
      <c r="Q586" s="900">
        <f>IF(O586&lt;&gt;0,VLOOKUP(O586,'Cây trong'!$A$2:$C$246,3,0)," ")</f>
        <v>132000</v>
      </c>
      <c r="R586" s="900">
        <f t="shared" si="125"/>
        <v>660000</v>
      </c>
      <c r="S586" s="902" t="s">
        <v>2321</v>
      </c>
      <c r="T586" s="925" t="s">
        <v>53</v>
      </c>
      <c r="U586" s="927">
        <v>10.4</v>
      </c>
      <c r="V586" s="925"/>
      <c r="W586" s="900">
        <f>IF(S586&lt;&gt;0,VLOOKUP(S586,VKT!$A$2:$G$415,7,0),"")</f>
        <v>4246132</v>
      </c>
      <c r="X586" s="900">
        <f t="shared" si="118"/>
        <v>44160000</v>
      </c>
      <c r="Y586" s="925" t="s">
        <v>63</v>
      </c>
      <c r="Z586" s="928" t="s">
        <v>55</v>
      </c>
      <c r="AA586" s="928" t="s">
        <v>56</v>
      </c>
      <c r="AB586" s="904"/>
      <c r="AC586" s="928" t="s">
        <v>63</v>
      </c>
      <c r="AD586" s="928"/>
      <c r="AE586" s="905"/>
      <c r="AF586" s="899"/>
      <c r="AG586" s="906"/>
      <c r="AH586" s="906"/>
      <c r="AI586" s="907" t="str">
        <f t="shared" si="127"/>
        <v xml:space="preserve"> </v>
      </c>
      <c r="AJ586" s="894" t="s">
        <v>1698</v>
      </c>
      <c r="AK586" s="922" t="s">
        <v>2771</v>
      </c>
    </row>
    <row r="587" spans="1:37" s="376" customFormat="1" ht="135" outlineLevel="2" x14ac:dyDescent="0.3">
      <c r="A587" s="447">
        <f t="shared" ref="A587:A607" si="129">IF(B586&lt;&gt;0,B586,A586)</f>
        <v>50</v>
      </c>
      <c r="B587" s="893"/>
      <c r="C587" s="908" t="s">
        <v>682</v>
      </c>
      <c r="D587" s="923"/>
      <c r="E587" s="923">
        <v>86</v>
      </c>
      <c r="F587" s="896">
        <v>506</v>
      </c>
      <c r="G587" s="894" t="s">
        <v>2472</v>
      </c>
      <c r="H587" s="924">
        <v>332.1</v>
      </c>
      <c r="I587" s="882" t="str">
        <f t="shared" si="128"/>
        <v/>
      </c>
      <c r="J587" s="925"/>
      <c r="K587" s="899">
        <f>IF(G587&lt;&gt;0,VLOOKUP(G587,'gia dat'!$A$1:$F$144,5,0)," ")</f>
        <v>554400</v>
      </c>
      <c r="L587" s="899">
        <f>IF(G587&lt;&gt;0,VLOOKUP(G587,'gia dat'!$A$1:$F$144,6,0)," ")</f>
        <v>0</v>
      </c>
      <c r="M587" s="900">
        <f t="shared" si="123"/>
        <v>184116000</v>
      </c>
      <c r="N587" s="900">
        <f t="shared" si="124"/>
        <v>0</v>
      </c>
      <c r="O587" s="894" t="s">
        <v>73</v>
      </c>
      <c r="P587" s="926">
        <v>4</v>
      </c>
      <c r="Q587" s="900">
        <f>IF(O587&lt;&gt;0,VLOOKUP(O587,'Cây trong'!$A$2:$C$246,3,0)," ")</f>
        <v>76000</v>
      </c>
      <c r="R587" s="900">
        <f t="shared" si="125"/>
        <v>304000</v>
      </c>
      <c r="S587" s="902" t="s">
        <v>1820</v>
      </c>
      <c r="T587" s="925" t="s">
        <v>53</v>
      </c>
      <c r="U587" s="927">
        <v>68.2</v>
      </c>
      <c r="V587" s="933"/>
      <c r="W587" s="900">
        <f>IF(S587&lt;&gt;0,VLOOKUP(S587,VKT!$A$2:$G$415,7,0),"")</f>
        <v>5307665</v>
      </c>
      <c r="X587" s="900">
        <f t="shared" si="118"/>
        <v>361983000</v>
      </c>
      <c r="Y587" s="925" t="s">
        <v>63</v>
      </c>
      <c r="Z587" s="928" t="s">
        <v>55</v>
      </c>
      <c r="AA587" s="928" t="s">
        <v>56</v>
      </c>
      <c r="AB587" s="904" t="s">
        <v>57</v>
      </c>
      <c r="AC587" s="928" t="s">
        <v>63</v>
      </c>
      <c r="AD587" s="904" t="s">
        <v>430</v>
      </c>
      <c r="AE587" s="905" t="s">
        <v>2789</v>
      </c>
      <c r="AF587" s="926">
        <v>1</v>
      </c>
      <c r="AG587" s="906">
        <f>IF(AE587&lt;&gt;0,VLOOKUP(AE587,ODDS!$A$2:$C$13,3,0),"")</f>
        <v>13000000</v>
      </c>
      <c r="AH587" s="906">
        <f t="shared" si="126"/>
        <v>13000000</v>
      </c>
      <c r="AI587" s="907" t="str">
        <f t="shared" si="127"/>
        <v xml:space="preserve"> </v>
      </c>
      <c r="AJ587" s="894" t="s">
        <v>522</v>
      </c>
      <c r="AK587" s="894" t="s">
        <v>2448</v>
      </c>
    </row>
    <row r="588" spans="1:37" s="376" customFormat="1" ht="112.5" outlineLevel="2" x14ac:dyDescent="0.3">
      <c r="A588" s="447">
        <f t="shared" si="129"/>
        <v>50</v>
      </c>
      <c r="B588" s="893"/>
      <c r="C588" s="908" t="s">
        <v>312</v>
      </c>
      <c r="D588" s="939"/>
      <c r="E588" s="923">
        <v>86</v>
      </c>
      <c r="F588" s="896">
        <v>506</v>
      </c>
      <c r="G588" s="894" t="s">
        <v>2474</v>
      </c>
      <c r="H588" s="924">
        <v>1</v>
      </c>
      <c r="I588" s="882" t="str">
        <f t="shared" si="128"/>
        <v/>
      </c>
      <c r="J588" s="933"/>
      <c r="K588" s="899">
        <f>IF(G588&lt;&gt;0,VLOOKUP(G588,'gia dat'!$A$1:$F$144,5,0)," ")</f>
        <v>554400</v>
      </c>
      <c r="L588" s="899">
        <f>IF(G588&lt;&gt;0,VLOOKUP(G588,'gia dat'!$A$1:$F$144,6,0)," ")</f>
        <v>0</v>
      </c>
      <c r="M588" s="900">
        <f t="shared" si="123"/>
        <v>554000</v>
      </c>
      <c r="N588" s="900">
        <f t="shared" si="124"/>
        <v>0</v>
      </c>
      <c r="O588" s="901" t="s">
        <v>75</v>
      </c>
      <c r="P588" s="926">
        <v>6</v>
      </c>
      <c r="Q588" s="900">
        <f>IF(O588&lt;&gt;0,VLOOKUP(O588,'Cây trong'!$A$2:$C$246,3,0)," ")</f>
        <v>34000</v>
      </c>
      <c r="R588" s="900">
        <f t="shared" si="125"/>
        <v>204000</v>
      </c>
      <c r="S588" s="902" t="s">
        <v>2326</v>
      </c>
      <c r="T588" s="925" t="s">
        <v>53</v>
      </c>
      <c r="U588" s="927">
        <v>5.04</v>
      </c>
      <c r="V588" s="925"/>
      <c r="W588" s="900">
        <f>IF(S588&lt;&gt;0,VLOOKUP(S588,VKT!$A$2:$G$415,7,0),"")</f>
        <v>9347414</v>
      </c>
      <c r="X588" s="900">
        <f t="shared" si="118"/>
        <v>47111000</v>
      </c>
      <c r="Y588" s="925"/>
      <c r="Z588" s="928"/>
      <c r="AA588" s="928" t="s">
        <v>56</v>
      </c>
      <c r="AB588" s="904" t="s">
        <v>57</v>
      </c>
      <c r="AC588" s="928" t="s">
        <v>139</v>
      </c>
      <c r="AD588" s="928"/>
      <c r="AE588" s="941"/>
      <c r="AF588" s="926"/>
      <c r="AG588" s="906" t="str">
        <f>IF(AE588&lt;&gt;0,VLOOKUP(AE588,ODDS!$A$2:$C$13,3,0),"")</f>
        <v/>
      </c>
      <c r="AH588" s="906" t="str">
        <f t="shared" si="126"/>
        <v xml:space="preserve"> </v>
      </c>
      <c r="AI588" s="907" t="str">
        <f t="shared" si="127"/>
        <v xml:space="preserve"> </v>
      </c>
      <c r="AJ588" s="894" t="s">
        <v>524</v>
      </c>
      <c r="AK588" s="894" t="s">
        <v>2450</v>
      </c>
    </row>
    <row r="589" spans="1:37" s="376" customFormat="1" ht="112.5" outlineLevel="2" x14ac:dyDescent="0.3">
      <c r="A589" s="447">
        <f t="shared" si="129"/>
        <v>50</v>
      </c>
      <c r="B589" s="893"/>
      <c r="C589" s="908"/>
      <c r="D589" s="923"/>
      <c r="E589" s="947"/>
      <c r="F589" s="947"/>
      <c r="G589" s="922" t="s">
        <v>2473</v>
      </c>
      <c r="H589" s="924">
        <v>6</v>
      </c>
      <c r="I589" s="882" t="str">
        <f t="shared" si="128"/>
        <v/>
      </c>
      <c r="J589" s="925"/>
      <c r="K589" s="899">
        <f>IF(G589&lt;&gt;0,VLOOKUP(G589,'gia dat'!$A$1:$F$144,5,0)," ")</f>
        <v>554400</v>
      </c>
      <c r="L589" s="899">
        <f>IF(G589&lt;&gt;0,VLOOKUP(G589,'gia dat'!$A$1:$F$144,6,0)," ")</f>
        <v>0</v>
      </c>
      <c r="M589" s="900">
        <f t="shared" si="123"/>
        <v>3326000</v>
      </c>
      <c r="N589" s="900">
        <f t="shared" si="124"/>
        <v>0</v>
      </c>
      <c r="O589" s="922" t="s">
        <v>301</v>
      </c>
      <c r="P589" s="926">
        <v>1</v>
      </c>
      <c r="Q589" s="900">
        <f>IF(O589&lt;&gt;0,VLOOKUP(O589,'Cây trong'!$A$2:$C$246,3,0)," ")</f>
        <v>50000</v>
      </c>
      <c r="R589" s="900">
        <f t="shared" si="125"/>
        <v>50000</v>
      </c>
      <c r="S589" s="922" t="s">
        <v>1768</v>
      </c>
      <c r="T589" s="944" t="s">
        <v>53</v>
      </c>
      <c r="U589" s="927">
        <v>33.15</v>
      </c>
      <c r="V589" s="925"/>
      <c r="W589" s="900">
        <f>IF(S589&lt;&gt;0,VLOOKUP(S589,VKT!$A$2:$G$415,7,0),"")</f>
        <v>238288</v>
      </c>
      <c r="X589" s="900">
        <f t="shared" si="118"/>
        <v>7899000</v>
      </c>
      <c r="Y589" s="898"/>
      <c r="Z589" s="928"/>
      <c r="AA589" s="928"/>
      <c r="AB589" s="904"/>
      <c r="AC589" s="928"/>
      <c r="AD589" s="928"/>
      <c r="AE589" s="928"/>
      <c r="AF589" s="926"/>
      <c r="AG589" s="906" t="str">
        <f>IF(AE589&lt;&gt;0,VLOOKUP(AE589,ODDS!$A$2:$C$13,3,0),"")</f>
        <v/>
      </c>
      <c r="AH589" s="906" t="str">
        <f t="shared" si="126"/>
        <v xml:space="preserve"> </v>
      </c>
      <c r="AI589" s="907" t="str">
        <f t="shared" si="127"/>
        <v xml:space="preserve"> </v>
      </c>
      <c r="AJ589" s="929" t="s">
        <v>250</v>
      </c>
      <c r="AK589" s="894" t="s">
        <v>2449</v>
      </c>
    </row>
    <row r="590" spans="1:37" s="376" customFormat="1" ht="135" outlineLevel="2" x14ac:dyDescent="0.3">
      <c r="A590" s="447">
        <f t="shared" si="129"/>
        <v>50</v>
      </c>
      <c r="B590" s="893"/>
      <c r="C590" s="910"/>
      <c r="D590" s="923"/>
      <c r="E590" s="923"/>
      <c r="F590" s="896"/>
      <c r="G590" s="894"/>
      <c r="H590" s="924"/>
      <c r="I590" s="882"/>
      <c r="J590" s="925"/>
      <c r="K590" s="899" t="str">
        <f>IF(G590&lt;&gt;0,VLOOKUP(G590,'gia dat'!$A$1:$F$144,5,0)," ")</f>
        <v xml:space="preserve"> </v>
      </c>
      <c r="L590" s="899" t="str">
        <f>IF(G590&lt;&gt;0,VLOOKUP(G590,'gia dat'!$A$1:$F$144,6,0)," ")</f>
        <v xml:space="preserve"> </v>
      </c>
      <c r="M590" s="900" t="str">
        <f t="shared" si="123"/>
        <v xml:space="preserve"> </v>
      </c>
      <c r="N590" s="900" t="str">
        <f t="shared" si="124"/>
        <v xml:space="preserve"> </v>
      </c>
      <c r="O590" s="922" t="s">
        <v>133</v>
      </c>
      <c r="P590" s="926">
        <v>2</v>
      </c>
      <c r="Q590" s="900">
        <f>IF(O590&lt;&gt;0,VLOOKUP(O590,'Cây trong'!$A$2:$C$246,3,0)," ")</f>
        <v>758000</v>
      </c>
      <c r="R590" s="900">
        <f t="shared" si="125"/>
        <v>1516000</v>
      </c>
      <c r="S590" s="922" t="s">
        <v>1768</v>
      </c>
      <c r="T590" s="944" t="s">
        <v>53</v>
      </c>
      <c r="U590" s="927">
        <v>45.9</v>
      </c>
      <c r="V590" s="925"/>
      <c r="W590" s="900">
        <f>IF(S590&lt;&gt;0,VLOOKUP(S590,VKT!$A$2:$G$415,7,0),"")</f>
        <v>238288</v>
      </c>
      <c r="X590" s="900">
        <f t="shared" si="118"/>
        <v>10937000</v>
      </c>
      <c r="Y590" s="925"/>
      <c r="Z590" s="928"/>
      <c r="AA590" s="928"/>
      <c r="AB590" s="904"/>
      <c r="AC590" s="928"/>
      <c r="AD590" s="928"/>
      <c r="AE590" s="928"/>
      <c r="AF590" s="926"/>
      <c r="AG590" s="906" t="str">
        <f>IF(AE590&lt;&gt;0,VLOOKUP(AE590,ODDS!$A$2:$C$13,3,0),"")</f>
        <v/>
      </c>
      <c r="AH590" s="906" t="str">
        <f t="shared" si="126"/>
        <v xml:space="preserve"> </v>
      </c>
      <c r="AI590" s="907" t="str">
        <f t="shared" si="127"/>
        <v xml:space="preserve"> </v>
      </c>
      <c r="AJ590" s="894" t="s">
        <v>1699</v>
      </c>
      <c r="AK590" s="894" t="s">
        <v>2451</v>
      </c>
    </row>
    <row r="591" spans="1:37" s="376" customFormat="1" ht="112.5" outlineLevel="2" x14ac:dyDescent="0.35">
      <c r="A591" s="447">
        <f t="shared" si="129"/>
        <v>50</v>
      </c>
      <c r="B591" s="893"/>
      <c r="C591" s="894"/>
      <c r="D591" s="923"/>
      <c r="E591" s="923"/>
      <c r="F591" s="896"/>
      <c r="G591" s="894"/>
      <c r="H591" s="924"/>
      <c r="I591" s="882"/>
      <c r="J591" s="929"/>
      <c r="K591" s="899" t="str">
        <f>IF(G591&lt;&gt;0,VLOOKUP(G591,'gia dat'!$A$1:$F$144,5,0)," ")</f>
        <v xml:space="preserve"> </v>
      </c>
      <c r="L591" s="899" t="str">
        <f>IF(G591&lt;&gt;0,VLOOKUP(G591,'gia dat'!$A$1:$F$144,6,0)," ")</f>
        <v xml:space="preserve"> </v>
      </c>
      <c r="M591" s="900" t="str">
        <f t="shared" si="123"/>
        <v xml:space="preserve"> </v>
      </c>
      <c r="N591" s="900" t="str">
        <f t="shared" si="124"/>
        <v xml:space="preserve"> </v>
      </c>
      <c r="O591" s="922" t="s">
        <v>751</v>
      </c>
      <c r="P591" s="926">
        <v>1</v>
      </c>
      <c r="Q591" s="900">
        <f>IF(O591&lt;&gt;0,VLOOKUP(O591,'Cây trong'!$A$2:$C$246,3,0)," ")</f>
        <v>72000</v>
      </c>
      <c r="R591" s="900">
        <f t="shared" si="125"/>
        <v>72000</v>
      </c>
      <c r="S591" s="922" t="s">
        <v>1888</v>
      </c>
      <c r="T591" s="944" t="s">
        <v>53</v>
      </c>
      <c r="U591" s="927">
        <v>51.1</v>
      </c>
      <c r="V591" s="925"/>
      <c r="W591" s="900">
        <f>IF(S591&lt;&gt;0,VLOOKUP(S591,VKT!$A$2:$G$415,7,0),"")</f>
        <v>1574011</v>
      </c>
      <c r="X591" s="900">
        <f t="shared" si="118"/>
        <v>80432000</v>
      </c>
      <c r="Y591" s="925" t="s">
        <v>54</v>
      </c>
      <c r="Z591" s="928" t="s">
        <v>55</v>
      </c>
      <c r="AA591" s="928" t="s">
        <v>325</v>
      </c>
      <c r="AB591" s="904" t="s">
        <v>326</v>
      </c>
      <c r="AC591" s="928" t="s">
        <v>327</v>
      </c>
      <c r="AD591" s="928"/>
      <c r="AE591" s="928"/>
      <c r="AF591" s="926"/>
      <c r="AG591" s="906" t="str">
        <f>IF(AE591&lt;&gt;0,VLOOKUP(AE591,ODDS!$A$2:$C$13,3,0),"")</f>
        <v/>
      </c>
      <c r="AH591" s="906" t="str">
        <f t="shared" si="126"/>
        <v xml:space="preserve"> </v>
      </c>
      <c r="AI591" s="907" t="str">
        <f t="shared" si="127"/>
        <v xml:space="preserve"> </v>
      </c>
      <c r="AJ591" s="911"/>
      <c r="AK591" s="894" t="s">
        <v>2800</v>
      </c>
    </row>
    <row r="592" spans="1:37" s="376" customFormat="1" ht="90" outlineLevel="2" x14ac:dyDescent="0.3">
      <c r="A592" s="447">
        <f t="shared" si="129"/>
        <v>50</v>
      </c>
      <c r="B592" s="893"/>
      <c r="C592" s="970"/>
      <c r="D592" s="923"/>
      <c r="E592" s="923"/>
      <c r="F592" s="896"/>
      <c r="G592" s="894"/>
      <c r="H592" s="924"/>
      <c r="I592" s="882"/>
      <c r="J592" s="929"/>
      <c r="K592" s="899" t="str">
        <f>IF(G592&lt;&gt;0,VLOOKUP(G592,'gia dat'!$A$1:$F$144,5,0)," ")</f>
        <v xml:space="preserve"> </v>
      </c>
      <c r="L592" s="899" t="str">
        <f>IF(G592&lt;&gt;0,VLOOKUP(G592,'gia dat'!$A$1:$F$144,6,0)," ")</f>
        <v xml:space="preserve"> </v>
      </c>
      <c r="M592" s="900" t="str">
        <f t="shared" si="123"/>
        <v xml:space="preserve"> </v>
      </c>
      <c r="N592" s="900" t="str">
        <f t="shared" si="124"/>
        <v xml:space="preserve"> </v>
      </c>
      <c r="O592" s="922" t="s">
        <v>741</v>
      </c>
      <c r="P592" s="926">
        <v>1</v>
      </c>
      <c r="Q592" s="900">
        <f>IF(O592&lt;&gt;0,VLOOKUP(O592,'Cây trong'!$A$2:$C$246,3,0)," ")</f>
        <v>150000</v>
      </c>
      <c r="R592" s="900">
        <f t="shared" si="125"/>
        <v>150000</v>
      </c>
      <c r="S592" s="922" t="s">
        <v>2327</v>
      </c>
      <c r="T592" s="944" t="s">
        <v>53</v>
      </c>
      <c r="U592" s="927">
        <v>2.2400000000000002</v>
      </c>
      <c r="V592" s="925"/>
      <c r="W592" s="900">
        <f>IF(S592&lt;&gt;0,VLOOKUP(S592,VKT!$A$2:$G$415,7,0),"")</f>
        <v>2354806</v>
      </c>
      <c r="X592" s="900">
        <f t="shared" si="118"/>
        <v>5275000</v>
      </c>
      <c r="Y592" s="925"/>
      <c r="Z592" s="928"/>
      <c r="AA592" s="928" t="s">
        <v>141</v>
      </c>
      <c r="AB592" s="904" t="s">
        <v>57</v>
      </c>
      <c r="AC592" s="928" t="s">
        <v>328</v>
      </c>
      <c r="AD592" s="928"/>
      <c r="AE592" s="928"/>
      <c r="AF592" s="926"/>
      <c r="AG592" s="906" t="str">
        <f>IF(AE592&lt;&gt;0,VLOOKUP(AE592,ODDS!$A$2:$C$13,3,0),"")</f>
        <v/>
      </c>
      <c r="AH592" s="906" t="str">
        <f t="shared" si="126"/>
        <v xml:space="preserve"> </v>
      </c>
      <c r="AI592" s="907" t="str">
        <f t="shared" si="127"/>
        <v xml:space="preserve"> </v>
      </c>
      <c r="AJ592" s="929"/>
      <c r="AK592" s="894"/>
    </row>
    <row r="593" spans="1:37" s="376" customFormat="1" ht="45" outlineLevel="2" x14ac:dyDescent="0.3">
      <c r="A593" s="447">
        <f t="shared" si="129"/>
        <v>50</v>
      </c>
      <c r="B593" s="893"/>
      <c r="C593" s="970"/>
      <c r="D593" s="923"/>
      <c r="E593" s="923"/>
      <c r="F593" s="896"/>
      <c r="G593" s="894"/>
      <c r="H593" s="924"/>
      <c r="I593" s="882"/>
      <c r="J593" s="929"/>
      <c r="K593" s="899" t="str">
        <f>IF(G593&lt;&gt;0,VLOOKUP(G593,'gia dat'!$A$1:$F$144,5,0)," ")</f>
        <v xml:space="preserve"> </v>
      </c>
      <c r="L593" s="899" t="str">
        <f>IF(G593&lt;&gt;0,VLOOKUP(G593,'gia dat'!$A$1:$F$144,6,0)," ")</f>
        <v xml:space="preserve"> </v>
      </c>
      <c r="M593" s="900" t="str">
        <f t="shared" si="123"/>
        <v xml:space="preserve"> </v>
      </c>
      <c r="N593" s="900" t="str">
        <f t="shared" si="124"/>
        <v xml:space="preserve"> </v>
      </c>
      <c r="O593" s="922"/>
      <c r="P593" s="926"/>
      <c r="Q593" s="900" t="str">
        <f>IF(O593&lt;&gt;0,VLOOKUP(O593,'Cây trong'!$A$2:$C$246,3,0)," ")</f>
        <v xml:space="preserve"> </v>
      </c>
      <c r="R593" s="900" t="str">
        <f t="shared" si="125"/>
        <v xml:space="preserve"> </v>
      </c>
      <c r="S593" s="922" t="s">
        <v>2328</v>
      </c>
      <c r="T593" s="944" t="s">
        <v>53</v>
      </c>
      <c r="U593" s="927">
        <v>28.7</v>
      </c>
      <c r="V593" s="925"/>
      <c r="W593" s="900">
        <f>IF(S593&lt;&gt;0,VLOOKUP(S593,VKT!$A$2:$G$415,7,0),"")</f>
        <v>1379988</v>
      </c>
      <c r="X593" s="900">
        <f t="shared" si="118"/>
        <v>39606000</v>
      </c>
      <c r="Y593" s="925" t="s">
        <v>54</v>
      </c>
      <c r="Z593" s="928" t="s">
        <v>55</v>
      </c>
      <c r="AA593" s="928" t="s">
        <v>141</v>
      </c>
      <c r="AB593" s="904" t="s">
        <v>326</v>
      </c>
      <c r="AC593" s="928" t="s">
        <v>143</v>
      </c>
      <c r="AD593" s="928"/>
      <c r="AE593" s="928"/>
      <c r="AF593" s="926"/>
      <c r="AG593" s="906" t="str">
        <f>IF(AE593&lt;&gt;0,VLOOKUP(AE593,ODDS!$A$2:$C$13,3,0),"")</f>
        <v/>
      </c>
      <c r="AH593" s="906" t="str">
        <f t="shared" si="126"/>
        <v xml:space="preserve"> </v>
      </c>
      <c r="AI593" s="907" t="str">
        <f t="shared" si="127"/>
        <v xml:space="preserve"> </v>
      </c>
      <c r="AJ593" s="929"/>
      <c r="AK593" s="929"/>
    </row>
    <row r="594" spans="1:37" s="376" customFormat="1" ht="45" outlineLevel="2" x14ac:dyDescent="0.3">
      <c r="A594" s="447">
        <f t="shared" si="129"/>
        <v>50</v>
      </c>
      <c r="B594" s="893"/>
      <c r="C594" s="970"/>
      <c r="D594" s="923"/>
      <c r="E594" s="923"/>
      <c r="F594" s="896"/>
      <c r="G594" s="894"/>
      <c r="H594" s="924"/>
      <c r="I594" s="882"/>
      <c r="J594" s="929"/>
      <c r="K594" s="899" t="str">
        <f>IF(G594&lt;&gt;0,VLOOKUP(G594,'gia dat'!$A$1:$F$144,5,0)," ")</f>
        <v xml:space="preserve"> </v>
      </c>
      <c r="L594" s="899" t="str">
        <f>IF(G594&lt;&gt;0,VLOOKUP(G594,'gia dat'!$A$1:$F$144,6,0)," ")</f>
        <v xml:space="preserve"> </v>
      </c>
      <c r="M594" s="900" t="str">
        <f t="shared" si="123"/>
        <v xml:space="preserve"> </v>
      </c>
      <c r="N594" s="900" t="str">
        <f t="shared" si="124"/>
        <v xml:space="preserve"> </v>
      </c>
      <c r="O594" s="922"/>
      <c r="P594" s="926"/>
      <c r="Q594" s="900" t="str">
        <f>IF(O594&lt;&gt;0,VLOOKUP(O594,'Cây trong'!$A$2:$C$246,3,0)," ")</f>
        <v xml:space="preserve"> </v>
      </c>
      <c r="R594" s="900" t="str">
        <f t="shared" si="125"/>
        <v xml:space="preserve"> </v>
      </c>
      <c r="S594" s="922" t="s">
        <v>1767</v>
      </c>
      <c r="T594" s="944" t="s">
        <v>53</v>
      </c>
      <c r="U594" s="927">
        <v>13.12</v>
      </c>
      <c r="V594" s="925"/>
      <c r="W594" s="900">
        <f>IF(S594&lt;&gt;0,VLOOKUP(S594,VKT!$A$2:$G$415,7,0),"")</f>
        <v>0</v>
      </c>
      <c r="X594" s="900">
        <f t="shared" si="118"/>
        <v>0</v>
      </c>
      <c r="Y594" s="925"/>
      <c r="Z594" s="928" t="s">
        <v>55</v>
      </c>
      <c r="AA594" s="928" t="s">
        <v>87</v>
      </c>
      <c r="AB594" s="904" t="s">
        <v>171</v>
      </c>
      <c r="AC594" s="928" t="s">
        <v>143</v>
      </c>
      <c r="AD594" s="928"/>
      <c r="AE594" s="928"/>
      <c r="AF594" s="926"/>
      <c r="AG594" s="906" t="str">
        <f>IF(AE594&lt;&gt;0,VLOOKUP(AE594,ODDS!$A$2:$C$13,3,0),"")</f>
        <v/>
      </c>
      <c r="AH594" s="906" t="str">
        <f t="shared" si="126"/>
        <v xml:space="preserve"> </v>
      </c>
      <c r="AI594" s="907" t="str">
        <f t="shared" si="127"/>
        <v xml:space="preserve"> </v>
      </c>
      <c r="AJ594" s="929"/>
      <c r="AK594" s="929"/>
    </row>
    <row r="595" spans="1:37" s="376" customFormat="1" ht="67.5" outlineLevel="2" x14ac:dyDescent="0.3">
      <c r="A595" s="447">
        <f t="shared" si="129"/>
        <v>50</v>
      </c>
      <c r="B595" s="893"/>
      <c r="C595" s="970"/>
      <c r="D595" s="923"/>
      <c r="E595" s="923"/>
      <c r="F595" s="896"/>
      <c r="G595" s="894"/>
      <c r="H595" s="924"/>
      <c r="I595" s="882"/>
      <c r="J595" s="929"/>
      <c r="K595" s="899" t="str">
        <f>IF(G595&lt;&gt;0,VLOOKUP(G595,'gia dat'!$A$1:$F$144,5,0)," ")</f>
        <v xml:space="preserve"> </v>
      </c>
      <c r="L595" s="899" t="str">
        <f>IF(G595&lt;&gt;0,VLOOKUP(G595,'gia dat'!$A$1:$F$144,6,0)," ")</f>
        <v xml:space="preserve"> </v>
      </c>
      <c r="M595" s="900" t="str">
        <f t="shared" si="123"/>
        <v xml:space="preserve"> </v>
      </c>
      <c r="N595" s="900" t="str">
        <f t="shared" si="124"/>
        <v xml:space="preserve"> </v>
      </c>
      <c r="O595" s="922"/>
      <c r="P595" s="926"/>
      <c r="Q595" s="900" t="str">
        <f>IF(O595&lt;&gt;0,VLOOKUP(O595,'Cây trong'!$A$2:$C$246,3,0)," ")</f>
        <v xml:space="preserve"> </v>
      </c>
      <c r="R595" s="900" t="str">
        <f t="shared" si="125"/>
        <v xml:space="preserve"> </v>
      </c>
      <c r="S595" s="922" t="s">
        <v>1768</v>
      </c>
      <c r="T595" s="944" t="s">
        <v>53</v>
      </c>
      <c r="U595" s="927">
        <v>13.12</v>
      </c>
      <c r="V595" s="925"/>
      <c r="W595" s="900">
        <f>IF(S595&lt;&gt;0,VLOOKUP(S595,VKT!$A$2:$G$415,7,0),"")</f>
        <v>238288</v>
      </c>
      <c r="X595" s="900">
        <f t="shared" si="118"/>
        <v>3126000</v>
      </c>
      <c r="Y595" s="925"/>
      <c r="Z595" s="928"/>
      <c r="AA595" s="928"/>
      <c r="AB595" s="904"/>
      <c r="AC595" s="928"/>
      <c r="AD595" s="928"/>
      <c r="AE595" s="928"/>
      <c r="AF595" s="926"/>
      <c r="AG595" s="906" t="str">
        <f>IF(AE595&lt;&gt;0,VLOOKUP(AE595,ODDS!$A$2:$C$13,3,0),"")</f>
        <v/>
      </c>
      <c r="AH595" s="906" t="str">
        <f t="shared" si="126"/>
        <v xml:space="preserve"> </v>
      </c>
      <c r="AI595" s="907" t="str">
        <f t="shared" si="127"/>
        <v xml:space="preserve"> </v>
      </c>
      <c r="AJ595" s="929"/>
      <c r="AK595" s="929"/>
    </row>
    <row r="596" spans="1:37" s="376" customFormat="1" ht="67.5" outlineLevel="2" x14ac:dyDescent="0.3">
      <c r="A596" s="447">
        <f t="shared" si="129"/>
        <v>50</v>
      </c>
      <c r="B596" s="893"/>
      <c r="C596" s="970"/>
      <c r="D596" s="923"/>
      <c r="E596" s="923"/>
      <c r="F596" s="896"/>
      <c r="G596" s="894"/>
      <c r="H596" s="924"/>
      <c r="I596" s="882"/>
      <c r="J596" s="929"/>
      <c r="K596" s="899" t="str">
        <f>IF(G596&lt;&gt;0,VLOOKUP(G596,'gia dat'!$A$1:$F$144,5,0)," ")</f>
        <v xml:space="preserve"> </v>
      </c>
      <c r="L596" s="899" t="str">
        <f>IF(G596&lt;&gt;0,VLOOKUP(G596,'gia dat'!$A$1:$F$144,6,0)," ")</f>
        <v xml:space="preserve"> </v>
      </c>
      <c r="M596" s="900" t="str">
        <f t="shared" si="123"/>
        <v xml:space="preserve"> </v>
      </c>
      <c r="N596" s="900" t="str">
        <f t="shared" si="124"/>
        <v xml:space="preserve"> </v>
      </c>
      <c r="O596" s="922"/>
      <c r="P596" s="926"/>
      <c r="Q596" s="900" t="str">
        <f>IF(O596&lt;&gt;0,VLOOKUP(O596,'Cây trong'!$A$2:$C$246,3,0)," ")</f>
        <v xml:space="preserve"> </v>
      </c>
      <c r="R596" s="900" t="str">
        <f t="shared" si="125"/>
        <v xml:space="preserve"> </v>
      </c>
      <c r="S596" s="922" t="s">
        <v>1846</v>
      </c>
      <c r="T596" s="944" t="s">
        <v>53</v>
      </c>
      <c r="U596" s="927">
        <v>91.5</v>
      </c>
      <c r="V596" s="925"/>
      <c r="W596" s="900">
        <f>IF(S596&lt;&gt;0,VLOOKUP(S596,VKT!$A$2:$G$415,7,0),"")</f>
        <v>238288</v>
      </c>
      <c r="X596" s="900">
        <f t="shared" si="118"/>
        <v>21803000</v>
      </c>
      <c r="Y596" s="925"/>
      <c r="Z596" s="928"/>
      <c r="AA596" s="928"/>
      <c r="AB596" s="904"/>
      <c r="AC596" s="928"/>
      <c r="AD596" s="928"/>
      <c r="AE596" s="928"/>
      <c r="AF596" s="926"/>
      <c r="AG596" s="906" t="str">
        <f>IF(AE596&lt;&gt;0,VLOOKUP(AE596,ODDS!$A$2:$C$13,3,0),"")</f>
        <v/>
      </c>
      <c r="AH596" s="906" t="str">
        <f t="shared" si="126"/>
        <v xml:space="preserve"> </v>
      </c>
      <c r="AI596" s="907" t="str">
        <f t="shared" si="127"/>
        <v xml:space="preserve"> </v>
      </c>
      <c r="AJ596" s="929"/>
      <c r="AK596" s="929"/>
    </row>
    <row r="597" spans="1:37" s="376" customFormat="1" ht="45" outlineLevel="2" x14ac:dyDescent="0.3">
      <c r="A597" s="447">
        <f t="shared" si="129"/>
        <v>50</v>
      </c>
      <c r="B597" s="893"/>
      <c r="C597" s="970"/>
      <c r="D597" s="923"/>
      <c r="E597" s="923"/>
      <c r="F597" s="896"/>
      <c r="G597" s="894"/>
      <c r="H597" s="924"/>
      <c r="I597" s="882"/>
      <c r="J597" s="929"/>
      <c r="K597" s="899" t="str">
        <f>IF(G597&lt;&gt;0,VLOOKUP(G597,'gia dat'!$A$1:$F$144,5,0)," ")</f>
        <v xml:space="preserve"> </v>
      </c>
      <c r="L597" s="899" t="str">
        <f>IF(G597&lt;&gt;0,VLOOKUP(G597,'gia dat'!$A$1:$F$144,6,0)," ")</f>
        <v xml:space="preserve"> </v>
      </c>
      <c r="M597" s="900" t="str">
        <f t="shared" si="123"/>
        <v xml:space="preserve"> </v>
      </c>
      <c r="N597" s="900" t="str">
        <f t="shared" si="124"/>
        <v xml:space="preserve"> </v>
      </c>
      <c r="O597" s="922"/>
      <c r="P597" s="926"/>
      <c r="Q597" s="900" t="str">
        <f>IF(O597&lt;&gt;0,VLOOKUP(O597,'Cây trong'!$A$2:$C$246,3,0)," ")</f>
        <v xml:space="preserve"> </v>
      </c>
      <c r="R597" s="900" t="str">
        <f t="shared" si="125"/>
        <v xml:space="preserve"> </v>
      </c>
      <c r="S597" s="922" t="s">
        <v>2007</v>
      </c>
      <c r="T597" s="944" t="s">
        <v>53</v>
      </c>
      <c r="U597" s="927">
        <v>9.57</v>
      </c>
      <c r="V597" s="925"/>
      <c r="W597" s="900">
        <f>IF(S597&lt;&gt;0,VLOOKUP(S597,VKT!$A$2:$G$415,7,0),"")</f>
        <v>1641213</v>
      </c>
      <c r="X597" s="900">
        <f t="shared" si="118"/>
        <v>15706000</v>
      </c>
      <c r="Y597" s="925"/>
      <c r="Z597" s="928"/>
      <c r="AA597" s="928"/>
      <c r="AB597" s="904"/>
      <c r="AC597" s="928"/>
      <c r="AD597" s="928"/>
      <c r="AE597" s="928"/>
      <c r="AF597" s="926"/>
      <c r="AG597" s="906" t="str">
        <f>IF(AE597&lt;&gt;0,VLOOKUP(AE597,ODDS!$A$2:$C$13,3,0),"")</f>
        <v/>
      </c>
      <c r="AH597" s="906" t="str">
        <f t="shared" si="126"/>
        <v xml:space="preserve"> </v>
      </c>
      <c r="AI597" s="907" t="str">
        <f t="shared" si="127"/>
        <v xml:space="preserve"> </v>
      </c>
      <c r="AJ597" s="929"/>
      <c r="AK597" s="929"/>
    </row>
    <row r="598" spans="1:37" s="376" customFormat="1" ht="112.5" outlineLevel="2" x14ac:dyDescent="0.3">
      <c r="A598" s="447">
        <f t="shared" si="129"/>
        <v>50</v>
      </c>
      <c r="B598" s="893"/>
      <c r="C598" s="970"/>
      <c r="D598" s="923"/>
      <c r="E598" s="923"/>
      <c r="F598" s="896"/>
      <c r="G598" s="894"/>
      <c r="H598" s="924"/>
      <c r="I598" s="882"/>
      <c r="J598" s="929"/>
      <c r="K598" s="899" t="str">
        <f>IF(G598&lt;&gt;0,VLOOKUP(G598,'gia dat'!$A$1:$F$144,5,0)," ")</f>
        <v xml:space="preserve"> </v>
      </c>
      <c r="L598" s="899" t="str">
        <f>IF(G598&lt;&gt;0,VLOOKUP(G598,'gia dat'!$A$1:$F$144,6,0)," ")</f>
        <v xml:space="preserve"> </v>
      </c>
      <c r="M598" s="900" t="str">
        <f t="shared" si="123"/>
        <v xml:space="preserve"> </v>
      </c>
      <c r="N598" s="900" t="str">
        <f t="shared" si="124"/>
        <v xml:space="preserve"> </v>
      </c>
      <c r="O598" s="922"/>
      <c r="P598" s="926"/>
      <c r="Q598" s="900" t="str">
        <f>IF(O598&lt;&gt;0,VLOOKUP(O598,'Cây trong'!$A$2:$C$246,3,0)," ")</f>
        <v xml:space="preserve"> </v>
      </c>
      <c r="R598" s="900" t="str">
        <f t="shared" si="125"/>
        <v xml:space="preserve"> </v>
      </c>
      <c r="S598" s="922" t="s">
        <v>2329</v>
      </c>
      <c r="T598" s="944" t="s">
        <v>53</v>
      </c>
      <c r="U598" s="927">
        <v>24.66</v>
      </c>
      <c r="V598" s="925"/>
      <c r="W598" s="900">
        <f>IF(S598&lt;&gt;0,VLOOKUP(S598,VKT!$A$2:$G$415,7,0),"")</f>
        <v>300398</v>
      </c>
      <c r="X598" s="900">
        <f t="shared" si="118"/>
        <v>7408000</v>
      </c>
      <c r="Y598" s="925"/>
      <c r="Z598" s="928"/>
      <c r="AA598" s="928"/>
      <c r="AB598" s="904"/>
      <c r="AC598" s="928"/>
      <c r="AD598" s="928"/>
      <c r="AE598" s="928"/>
      <c r="AF598" s="926"/>
      <c r="AG598" s="906" t="str">
        <f>IF(AE598&lt;&gt;0,VLOOKUP(AE598,ODDS!$A$2:$C$13,3,0),"")</f>
        <v/>
      </c>
      <c r="AH598" s="906" t="str">
        <f t="shared" si="126"/>
        <v xml:space="preserve"> </v>
      </c>
      <c r="AI598" s="907" t="str">
        <f t="shared" si="127"/>
        <v xml:space="preserve"> </v>
      </c>
      <c r="AJ598" s="929"/>
      <c r="AK598" s="929"/>
    </row>
    <row r="599" spans="1:37" s="376" customFormat="1" ht="67.5" outlineLevel="2" x14ac:dyDescent="0.3">
      <c r="A599" s="447">
        <f t="shared" si="129"/>
        <v>50</v>
      </c>
      <c r="B599" s="893"/>
      <c r="C599" s="970"/>
      <c r="D599" s="923"/>
      <c r="E599" s="923"/>
      <c r="F599" s="896"/>
      <c r="G599" s="894"/>
      <c r="H599" s="924"/>
      <c r="I599" s="882"/>
      <c r="J599" s="929"/>
      <c r="K599" s="899" t="str">
        <f>IF(G599&lt;&gt;0,VLOOKUP(G599,'gia dat'!$A$1:$F$144,5,0)," ")</f>
        <v xml:space="preserve"> </v>
      </c>
      <c r="L599" s="899" t="str">
        <f>IF(G599&lt;&gt;0,VLOOKUP(G599,'gia dat'!$A$1:$F$144,6,0)," ")</f>
        <v xml:space="preserve"> </v>
      </c>
      <c r="M599" s="900" t="str">
        <f t="shared" si="123"/>
        <v xml:space="preserve"> </v>
      </c>
      <c r="N599" s="900" t="str">
        <f t="shared" si="124"/>
        <v xml:space="preserve"> </v>
      </c>
      <c r="O599" s="922"/>
      <c r="P599" s="926"/>
      <c r="Q599" s="900" t="str">
        <f>IF(O599&lt;&gt;0,VLOOKUP(O599,'Cây trong'!$A$2:$C$246,3,0)," ")</f>
        <v xml:space="preserve"> </v>
      </c>
      <c r="R599" s="900" t="str">
        <f t="shared" si="125"/>
        <v xml:space="preserve"> </v>
      </c>
      <c r="S599" s="922" t="s">
        <v>1801</v>
      </c>
      <c r="T599" s="944" t="s">
        <v>78</v>
      </c>
      <c r="U599" s="927">
        <v>0.52</v>
      </c>
      <c r="V599" s="925"/>
      <c r="W599" s="900">
        <f>IF(S599&lt;&gt;0,VLOOKUP(S599,VKT!$A$2:$G$415,7,0),"")</f>
        <v>0</v>
      </c>
      <c r="X599" s="900">
        <f t="shared" si="118"/>
        <v>0</v>
      </c>
      <c r="Y599" s="925"/>
      <c r="Z599" s="928"/>
      <c r="AA599" s="928"/>
      <c r="AB599" s="904"/>
      <c r="AC599" s="928"/>
      <c r="AD599" s="928"/>
      <c r="AE599" s="928"/>
      <c r="AF599" s="926"/>
      <c r="AG599" s="906" t="str">
        <f>IF(AE599&lt;&gt;0,VLOOKUP(AE599,ODDS!$A$2:$C$13,3,0),"")</f>
        <v/>
      </c>
      <c r="AH599" s="906" t="str">
        <f t="shared" si="126"/>
        <v xml:space="preserve"> </v>
      </c>
      <c r="AI599" s="907" t="str">
        <f t="shared" si="127"/>
        <v xml:space="preserve"> </v>
      </c>
      <c r="AJ599" s="929"/>
      <c r="AK599" s="929"/>
    </row>
    <row r="600" spans="1:37" s="376" customFormat="1" ht="45" outlineLevel="2" x14ac:dyDescent="0.3">
      <c r="A600" s="447">
        <f t="shared" si="129"/>
        <v>50</v>
      </c>
      <c r="B600" s="893"/>
      <c r="C600" s="970"/>
      <c r="D600" s="923"/>
      <c r="E600" s="923"/>
      <c r="F600" s="896"/>
      <c r="G600" s="894"/>
      <c r="H600" s="924"/>
      <c r="I600" s="882"/>
      <c r="J600" s="929"/>
      <c r="K600" s="899" t="str">
        <f>IF(G600&lt;&gt;0,VLOOKUP(G600,'gia dat'!$A$1:$F$144,5,0)," ")</f>
        <v xml:space="preserve"> </v>
      </c>
      <c r="L600" s="899" t="str">
        <f>IF(G600&lt;&gt;0,VLOOKUP(G600,'gia dat'!$A$1:$F$144,6,0)," ")</f>
        <v xml:space="preserve"> </v>
      </c>
      <c r="M600" s="900" t="str">
        <f t="shared" si="123"/>
        <v xml:space="preserve"> </v>
      </c>
      <c r="N600" s="900" t="str">
        <f t="shared" si="124"/>
        <v xml:space="preserve"> </v>
      </c>
      <c r="O600" s="922"/>
      <c r="P600" s="926"/>
      <c r="Q600" s="900" t="str">
        <f>IF(O600&lt;&gt;0,VLOOKUP(O600,'Cây trong'!$A$2:$C$246,3,0)," ")</f>
        <v xml:space="preserve"> </v>
      </c>
      <c r="R600" s="900" t="str">
        <f t="shared" si="125"/>
        <v xml:space="preserve"> </v>
      </c>
      <c r="S600" s="922" t="s">
        <v>1880</v>
      </c>
      <c r="T600" s="944" t="s">
        <v>78</v>
      </c>
      <c r="U600" s="927">
        <v>0.25</v>
      </c>
      <c r="V600" s="925"/>
      <c r="W600" s="900">
        <f>IF(S600&lt;&gt;0,VLOOKUP(S600,VKT!$A$2:$G$415,7,0),"")</f>
        <v>0</v>
      </c>
      <c r="X600" s="900">
        <f t="shared" si="118"/>
        <v>0</v>
      </c>
      <c r="Y600" s="925"/>
      <c r="Z600" s="928"/>
      <c r="AA600" s="928"/>
      <c r="AB600" s="904"/>
      <c r="AC600" s="928"/>
      <c r="AD600" s="928"/>
      <c r="AE600" s="928"/>
      <c r="AF600" s="926"/>
      <c r="AG600" s="906" t="str">
        <f>IF(AE600&lt;&gt;0,VLOOKUP(AE600,ODDS!$A$2:$C$13,3,0),"")</f>
        <v/>
      </c>
      <c r="AH600" s="906" t="str">
        <f t="shared" si="126"/>
        <v xml:space="preserve"> </v>
      </c>
      <c r="AI600" s="907" t="str">
        <f t="shared" si="127"/>
        <v xml:space="preserve"> </v>
      </c>
      <c r="AJ600" s="929"/>
      <c r="AK600" s="929"/>
    </row>
    <row r="601" spans="1:37" s="376" customFormat="1" ht="45" outlineLevel="2" x14ac:dyDescent="0.3">
      <c r="A601" s="447">
        <f t="shared" si="129"/>
        <v>50</v>
      </c>
      <c r="B601" s="893"/>
      <c r="C601" s="970"/>
      <c r="D601" s="923"/>
      <c r="E601" s="923"/>
      <c r="F601" s="896"/>
      <c r="G601" s="894"/>
      <c r="H601" s="924"/>
      <c r="I601" s="882"/>
      <c r="J601" s="929"/>
      <c r="K601" s="899" t="str">
        <f>IF(G601&lt;&gt;0,VLOOKUP(G601,'gia dat'!$A$1:$F$144,5,0)," ")</f>
        <v xml:space="preserve"> </v>
      </c>
      <c r="L601" s="899" t="str">
        <f>IF(G601&lt;&gt;0,VLOOKUP(G601,'gia dat'!$A$1:$F$144,6,0)," ")</f>
        <v xml:space="preserve"> </v>
      </c>
      <c r="M601" s="900" t="str">
        <f t="shared" si="123"/>
        <v xml:space="preserve"> </v>
      </c>
      <c r="N601" s="900" t="str">
        <f t="shared" si="124"/>
        <v xml:space="preserve"> </v>
      </c>
      <c r="O601" s="922"/>
      <c r="P601" s="926"/>
      <c r="Q601" s="900" t="str">
        <f>IF(O601&lt;&gt;0,VLOOKUP(O601,'Cây trong'!$A$2:$C$246,3,0)," ")</f>
        <v xml:space="preserve"> </v>
      </c>
      <c r="R601" s="900" t="str">
        <f t="shared" si="125"/>
        <v xml:space="preserve"> </v>
      </c>
      <c r="S601" s="922" t="s">
        <v>1881</v>
      </c>
      <c r="T601" s="944" t="s">
        <v>53</v>
      </c>
      <c r="U601" s="927">
        <v>1.68</v>
      </c>
      <c r="V601" s="925"/>
      <c r="W601" s="900">
        <f>IF(S601&lt;&gt;0,VLOOKUP(S601,VKT!$A$2:$G$415,7,0),"")</f>
        <v>286855</v>
      </c>
      <c r="X601" s="900">
        <f t="shared" si="118"/>
        <v>482000</v>
      </c>
      <c r="Y601" s="925"/>
      <c r="Z601" s="928"/>
      <c r="AA601" s="928"/>
      <c r="AB601" s="904"/>
      <c r="AC601" s="928"/>
      <c r="AD601" s="928"/>
      <c r="AE601" s="928"/>
      <c r="AF601" s="926"/>
      <c r="AG601" s="906" t="str">
        <f>IF(AE601&lt;&gt;0,VLOOKUP(AE601,ODDS!$A$2:$C$13,3,0),"")</f>
        <v/>
      </c>
      <c r="AH601" s="906" t="str">
        <f t="shared" si="126"/>
        <v xml:space="preserve"> </v>
      </c>
      <c r="AI601" s="907" t="str">
        <f t="shared" si="127"/>
        <v xml:space="preserve"> </v>
      </c>
      <c r="AJ601" s="929"/>
      <c r="AK601" s="929"/>
    </row>
    <row r="602" spans="1:37" s="376" customFormat="1" ht="67.5" outlineLevel="2" x14ac:dyDescent="0.3">
      <c r="A602" s="447">
        <f t="shared" si="129"/>
        <v>50</v>
      </c>
      <c r="B602" s="893"/>
      <c r="C602" s="970"/>
      <c r="D602" s="923"/>
      <c r="E602" s="923"/>
      <c r="F602" s="896"/>
      <c r="G602" s="894"/>
      <c r="H602" s="924"/>
      <c r="I602" s="882"/>
      <c r="J602" s="929"/>
      <c r="K602" s="899" t="str">
        <f>IF(G602&lt;&gt;0,VLOOKUP(G602,'gia dat'!$A$1:$F$144,5,0)," ")</f>
        <v xml:space="preserve"> </v>
      </c>
      <c r="L602" s="899" t="str">
        <f>IF(G602&lt;&gt;0,VLOOKUP(G602,'gia dat'!$A$1:$F$144,6,0)," ")</f>
        <v xml:space="preserve"> </v>
      </c>
      <c r="M602" s="900" t="str">
        <f t="shared" si="123"/>
        <v xml:space="preserve"> </v>
      </c>
      <c r="N602" s="900" t="str">
        <f t="shared" si="124"/>
        <v xml:space="preserve"> </v>
      </c>
      <c r="O602" s="922"/>
      <c r="P602" s="926"/>
      <c r="Q602" s="900" t="str">
        <f>IF(O602&lt;&gt;0,VLOOKUP(O602,'Cây trong'!$A$2:$C$246,3,0)," ")</f>
        <v xml:space="preserve"> </v>
      </c>
      <c r="R602" s="900" t="str">
        <f t="shared" si="125"/>
        <v xml:space="preserve"> </v>
      </c>
      <c r="S602" s="922" t="s">
        <v>1894</v>
      </c>
      <c r="T602" s="944" t="s">
        <v>53</v>
      </c>
      <c r="U602" s="927">
        <v>1.4</v>
      </c>
      <c r="V602" s="925"/>
      <c r="W602" s="900">
        <f>IF(S602&lt;&gt;0,VLOOKUP(S602,VKT!$A$2:$G$415,7,0),"")</f>
        <v>348773</v>
      </c>
      <c r="X602" s="900">
        <f t="shared" si="118"/>
        <v>488000</v>
      </c>
      <c r="Y602" s="925"/>
      <c r="Z602" s="928"/>
      <c r="AA602" s="928"/>
      <c r="AB602" s="904"/>
      <c r="AC602" s="928"/>
      <c r="AD602" s="928"/>
      <c r="AE602" s="928"/>
      <c r="AF602" s="926"/>
      <c r="AG602" s="906" t="str">
        <f>IF(AE602&lt;&gt;0,VLOOKUP(AE602,ODDS!$A$2:$C$13,3,0),"")</f>
        <v/>
      </c>
      <c r="AH602" s="906" t="str">
        <f t="shared" si="126"/>
        <v xml:space="preserve"> </v>
      </c>
      <c r="AI602" s="907" t="str">
        <f t="shared" si="127"/>
        <v xml:space="preserve"> </v>
      </c>
      <c r="AJ602" s="929"/>
      <c r="AK602" s="929"/>
    </row>
    <row r="603" spans="1:37" s="376" customFormat="1" ht="90" outlineLevel="2" x14ac:dyDescent="0.3">
      <c r="A603" s="447">
        <f t="shared" si="129"/>
        <v>50</v>
      </c>
      <c r="B603" s="893"/>
      <c r="C603" s="970"/>
      <c r="D603" s="923"/>
      <c r="E603" s="923"/>
      <c r="F603" s="896"/>
      <c r="G603" s="894"/>
      <c r="H603" s="924"/>
      <c r="I603" s="882"/>
      <c r="J603" s="929"/>
      <c r="K603" s="899" t="str">
        <f>IF(G603&lt;&gt;0,VLOOKUP(G603,'gia dat'!$A$1:$F$144,5,0)," ")</f>
        <v xml:space="preserve"> </v>
      </c>
      <c r="L603" s="899" t="str">
        <f>IF(G603&lt;&gt;0,VLOOKUP(G603,'gia dat'!$A$1:$F$144,6,0)," ")</f>
        <v xml:space="preserve"> </v>
      </c>
      <c r="M603" s="900" t="str">
        <f t="shared" si="123"/>
        <v xml:space="preserve"> </v>
      </c>
      <c r="N603" s="900" t="str">
        <f t="shared" si="124"/>
        <v xml:space="preserve"> </v>
      </c>
      <c r="O603" s="922"/>
      <c r="P603" s="926"/>
      <c r="Q603" s="900" t="str">
        <f>IF(O603&lt;&gt;0,VLOOKUP(O603,'Cây trong'!$A$2:$C$246,3,0)," ")</f>
        <v xml:space="preserve"> </v>
      </c>
      <c r="R603" s="900" t="str">
        <f t="shared" si="125"/>
        <v xml:space="preserve"> </v>
      </c>
      <c r="S603" s="922" t="s">
        <v>1862</v>
      </c>
      <c r="T603" s="944" t="s">
        <v>53</v>
      </c>
      <c r="U603" s="927">
        <v>144.96</v>
      </c>
      <c r="V603" s="925"/>
      <c r="W603" s="900">
        <f>IF(S603&lt;&gt;0,VLOOKUP(S603,VKT!$A$2:$G$415,7,0),"")</f>
        <v>496651</v>
      </c>
      <c r="X603" s="900">
        <f t="shared" si="118"/>
        <v>71995000</v>
      </c>
      <c r="Y603" s="925"/>
      <c r="Z603" s="928"/>
      <c r="AA603" s="928"/>
      <c r="AB603" s="904"/>
      <c r="AC603" s="928"/>
      <c r="AD603" s="928"/>
      <c r="AE603" s="928"/>
      <c r="AF603" s="926"/>
      <c r="AG603" s="906" t="str">
        <f>IF(AE603&lt;&gt;0,VLOOKUP(AE603,ODDS!$A$2:$C$13,3,0),"")</f>
        <v/>
      </c>
      <c r="AH603" s="906" t="str">
        <f t="shared" si="126"/>
        <v xml:space="preserve"> </v>
      </c>
      <c r="AI603" s="907" t="str">
        <f t="shared" si="127"/>
        <v xml:space="preserve"> </v>
      </c>
      <c r="AJ603" s="929"/>
      <c r="AK603" s="929"/>
    </row>
    <row r="604" spans="1:37" s="376" customFormat="1" ht="90" outlineLevel="2" x14ac:dyDescent="0.3">
      <c r="A604" s="447">
        <f t="shared" si="129"/>
        <v>50</v>
      </c>
      <c r="B604" s="893"/>
      <c r="C604" s="970"/>
      <c r="D604" s="923"/>
      <c r="E604" s="923"/>
      <c r="F604" s="896"/>
      <c r="G604" s="894"/>
      <c r="H604" s="924"/>
      <c r="I604" s="882"/>
      <c r="J604" s="929"/>
      <c r="K604" s="899" t="str">
        <f>IF(G604&lt;&gt;0,VLOOKUP(G604,'gia dat'!$A$1:$F$144,5,0)," ")</f>
        <v xml:space="preserve"> </v>
      </c>
      <c r="L604" s="899" t="str">
        <f>IF(G604&lt;&gt;0,VLOOKUP(G604,'gia dat'!$A$1:$F$144,6,0)," ")</f>
        <v xml:space="preserve"> </v>
      </c>
      <c r="M604" s="900" t="str">
        <f t="shared" si="123"/>
        <v xml:space="preserve"> </v>
      </c>
      <c r="N604" s="900" t="str">
        <f t="shared" si="124"/>
        <v xml:space="preserve"> </v>
      </c>
      <c r="O604" s="922"/>
      <c r="P604" s="926"/>
      <c r="Q604" s="900" t="str">
        <f>IF(O604&lt;&gt;0,VLOOKUP(O604,'Cây trong'!$A$2:$C$246,3,0)," ")</f>
        <v xml:space="preserve"> </v>
      </c>
      <c r="R604" s="900" t="str">
        <f t="shared" si="125"/>
        <v xml:space="preserve"> </v>
      </c>
      <c r="S604" s="922" t="s">
        <v>2330</v>
      </c>
      <c r="T604" s="944" t="s">
        <v>78</v>
      </c>
      <c r="U604" s="927">
        <v>3.74</v>
      </c>
      <c r="V604" s="925"/>
      <c r="W604" s="900">
        <f>IF(S604&lt;&gt;0,VLOOKUP(S604,VKT!$A$2:$G$415,7,0),"")</f>
        <v>890132</v>
      </c>
      <c r="X604" s="900">
        <f t="shared" si="118"/>
        <v>3329000</v>
      </c>
      <c r="Y604" s="925"/>
      <c r="Z604" s="928"/>
      <c r="AA604" s="928"/>
      <c r="AB604" s="904"/>
      <c r="AC604" s="928"/>
      <c r="AD604" s="928"/>
      <c r="AE604" s="928"/>
      <c r="AF604" s="926"/>
      <c r="AG604" s="906" t="str">
        <f>IF(AE604&lt;&gt;0,VLOOKUP(AE604,ODDS!$A$2:$C$13,3,0),"")</f>
        <v/>
      </c>
      <c r="AH604" s="906" t="str">
        <f t="shared" si="126"/>
        <v xml:space="preserve"> </v>
      </c>
      <c r="AI604" s="907" t="str">
        <f t="shared" si="127"/>
        <v xml:space="preserve"> </v>
      </c>
      <c r="AJ604" s="929"/>
      <c r="AK604" s="929"/>
    </row>
    <row r="605" spans="1:37" s="376" customFormat="1" ht="22.5" outlineLevel="2" x14ac:dyDescent="0.3">
      <c r="A605" s="447">
        <f t="shared" si="129"/>
        <v>50</v>
      </c>
      <c r="B605" s="893"/>
      <c r="C605" s="970"/>
      <c r="D605" s="923"/>
      <c r="E605" s="923"/>
      <c r="F605" s="896"/>
      <c r="G605" s="894"/>
      <c r="H605" s="924"/>
      <c r="I605" s="882"/>
      <c r="J605" s="929"/>
      <c r="K605" s="899" t="str">
        <f>IF(G605&lt;&gt;0,VLOOKUP(G605,'gia dat'!$A$1:$F$144,5,0)," ")</f>
        <v xml:space="preserve"> </v>
      </c>
      <c r="L605" s="899" t="str">
        <f>IF(G605&lt;&gt;0,VLOOKUP(G605,'gia dat'!$A$1:$F$144,6,0)," ")</f>
        <v xml:space="preserve"> </v>
      </c>
      <c r="M605" s="900" t="str">
        <f t="shared" si="123"/>
        <v xml:space="preserve"> </v>
      </c>
      <c r="N605" s="900" t="str">
        <f t="shared" si="124"/>
        <v xml:space="preserve"> </v>
      </c>
      <c r="O605" s="922"/>
      <c r="P605" s="926"/>
      <c r="Q605" s="900" t="str">
        <f>IF(O605&lt;&gt;0,VLOOKUP(O605,'Cây trong'!$A$2:$C$246,3,0)," ")</f>
        <v xml:space="preserve"> </v>
      </c>
      <c r="R605" s="900" t="str">
        <f t="shared" si="125"/>
        <v xml:space="preserve"> </v>
      </c>
      <c r="S605" s="929"/>
      <c r="T605" s="929"/>
      <c r="U605" s="952"/>
      <c r="V605" s="925"/>
      <c r="W605" s="900" t="str">
        <f>IF(S605&lt;&gt;0,VLOOKUP(S605,VKT!$A$2:$G$415,7,0),"")</f>
        <v/>
      </c>
      <c r="X605" s="900" t="str">
        <f t="shared" si="118"/>
        <v xml:space="preserve"> </v>
      </c>
      <c r="Y605" s="925"/>
      <c r="Z605" s="928"/>
      <c r="AA605" s="928"/>
      <c r="AB605" s="904"/>
      <c r="AC605" s="928"/>
      <c r="AD605" s="928"/>
      <c r="AE605" s="928"/>
      <c r="AF605" s="926"/>
      <c r="AG605" s="906" t="str">
        <f>IF(AE605&lt;&gt;0,VLOOKUP(AE605,ODDS!$A$2:$C$13,3,0),"")</f>
        <v/>
      </c>
      <c r="AH605" s="906" t="str">
        <f t="shared" si="126"/>
        <v xml:space="preserve"> </v>
      </c>
      <c r="AI605" s="907" t="str">
        <f t="shared" si="127"/>
        <v xml:space="preserve"> </v>
      </c>
      <c r="AJ605" s="929"/>
      <c r="AK605" s="929"/>
    </row>
    <row r="606" spans="1:37" s="376" customFormat="1" ht="22.5" outlineLevel="2" x14ac:dyDescent="0.3">
      <c r="A606" s="447">
        <f t="shared" si="129"/>
        <v>50</v>
      </c>
      <c r="B606" s="893"/>
      <c r="C606" s="970"/>
      <c r="D606" s="923"/>
      <c r="E606" s="923"/>
      <c r="F606" s="896"/>
      <c r="G606" s="894"/>
      <c r="H606" s="924"/>
      <c r="I606" s="882"/>
      <c r="J606" s="929"/>
      <c r="K606" s="899" t="str">
        <f>IF(G606&lt;&gt;0,VLOOKUP(G606,'gia dat'!$A$1:$F$144,5,0)," ")</f>
        <v xml:space="preserve"> </v>
      </c>
      <c r="L606" s="899" t="str">
        <f>IF(G606&lt;&gt;0,VLOOKUP(G606,'gia dat'!$A$1:$F$144,6,0)," ")</f>
        <v xml:space="preserve"> </v>
      </c>
      <c r="M606" s="900" t="str">
        <f t="shared" si="123"/>
        <v xml:space="preserve"> </v>
      </c>
      <c r="N606" s="900" t="str">
        <f t="shared" si="124"/>
        <v xml:space="preserve"> </v>
      </c>
      <c r="O606" s="929"/>
      <c r="P606" s="951"/>
      <c r="Q606" s="900" t="str">
        <f>IF(O606&lt;&gt;0,VLOOKUP(O606,'Cây trong'!$A$2:$C$246,3,0)," ")</f>
        <v xml:space="preserve"> </v>
      </c>
      <c r="R606" s="900" t="str">
        <f t="shared" si="125"/>
        <v xml:space="preserve"> </v>
      </c>
      <c r="S606" s="929"/>
      <c r="T606" s="929"/>
      <c r="U606" s="952"/>
      <c r="V606" s="929"/>
      <c r="W606" s="900" t="str">
        <f>IF(S606&lt;&gt;0,VLOOKUP(S606,VKT!$A$2:$G$415,7,0),"")</f>
        <v/>
      </c>
      <c r="X606" s="900" t="str">
        <f t="shared" si="118"/>
        <v xml:space="preserve"> </v>
      </c>
      <c r="Y606" s="929"/>
      <c r="Z606" s="929"/>
      <c r="AA606" s="929"/>
      <c r="AB606" s="894"/>
      <c r="AC606" s="929"/>
      <c r="AD606" s="929"/>
      <c r="AE606" s="929"/>
      <c r="AF606" s="964"/>
      <c r="AG606" s="906" t="str">
        <f>IF(AE606&lt;&gt;0,VLOOKUP(AE606,ODDS!$A$2:$C$13,3,0),"")</f>
        <v/>
      </c>
      <c r="AH606" s="906" t="str">
        <f t="shared" si="126"/>
        <v xml:space="preserve"> </v>
      </c>
      <c r="AI606" s="907" t="str">
        <f t="shared" si="127"/>
        <v xml:space="preserve"> </v>
      </c>
      <c r="AJ606" s="929"/>
      <c r="AK606" s="929"/>
    </row>
    <row r="607" spans="1:37" s="376" customFormat="1" ht="22.5" outlineLevel="2" x14ac:dyDescent="0.3">
      <c r="A607" s="447">
        <f t="shared" si="129"/>
        <v>50</v>
      </c>
      <c r="B607" s="893"/>
      <c r="C607" s="942"/>
      <c r="D607" s="923"/>
      <c r="E607" s="923"/>
      <c r="F607" s="896"/>
      <c r="G607" s="894"/>
      <c r="H607" s="924"/>
      <c r="I607" s="882"/>
      <c r="J607" s="929"/>
      <c r="K607" s="899" t="str">
        <f>IF(G607&lt;&gt;0,VLOOKUP(G607,'gia dat'!$A$1:$F$144,5,0)," ")</f>
        <v xml:space="preserve"> </v>
      </c>
      <c r="L607" s="899" t="str">
        <f>IF(G607&lt;&gt;0,VLOOKUP(G607,'gia dat'!$A$1:$F$144,6,0)," ")</f>
        <v xml:space="preserve"> </v>
      </c>
      <c r="M607" s="900" t="str">
        <f t="shared" si="123"/>
        <v xml:space="preserve"> </v>
      </c>
      <c r="N607" s="900" t="str">
        <f t="shared" si="124"/>
        <v xml:space="preserve"> </v>
      </c>
      <c r="O607" s="922"/>
      <c r="P607" s="926"/>
      <c r="Q607" s="900" t="str">
        <f>IF(O607&lt;&gt;0,VLOOKUP(O607,'Cây trong'!$A$2:$C$246,3,0)," ")</f>
        <v xml:space="preserve"> </v>
      </c>
      <c r="R607" s="900" t="str">
        <f t="shared" si="125"/>
        <v xml:space="preserve"> </v>
      </c>
      <c r="S607" s="929"/>
      <c r="T607" s="929"/>
      <c r="U607" s="952"/>
      <c r="V607" s="925"/>
      <c r="W607" s="900" t="str">
        <f>IF(S607&lt;&gt;0,VLOOKUP(S607,VKT!$A$2:$G$415,7,0),"")</f>
        <v/>
      </c>
      <c r="X607" s="900" t="str">
        <f t="shared" si="118"/>
        <v xml:space="preserve"> </v>
      </c>
      <c r="Y607" s="925"/>
      <c r="Z607" s="925"/>
      <c r="AA607" s="925"/>
      <c r="AB607" s="898"/>
      <c r="AC607" s="925"/>
      <c r="AD607" s="925"/>
      <c r="AE607" s="925"/>
      <c r="AF607" s="964"/>
      <c r="AG607" s="906" t="str">
        <f>IF(AE607&lt;&gt;0,VLOOKUP(AE607,ODDS!$A$2:$C$13,3,0),"")</f>
        <v/>
      </c>
      <c r="AH607" s="906" t="str">
        <f t="shared" si="126"/>
        <v xml:space="preserve"> </v>
      </c>
      <c r="AI607" s="907" t="str">
        <f t="shared" si="127"/>
        <v xml:space="preserve"> </v>
      </c>
      <c r="AJ607" s="929"/>
      <c r="AK607" s="929"/>
    </row>
    <row r="608" spans="1:37" s="376" customFormat="1" ht="22.5" outlineLevel="1" x14ac:dyDescent="0.25">
      <c r="A608" s="467" t="s">
        <v>2659</v>
      </c>
      <c r="B608" s="912">
        <v>51</v>
      </c>
      <c r="C608" s="942" t="s">
        <v>212</v>
      </c>
      <c r="D608" s="931"/>
      <c r="E608" s="931"/>
      <c r="F608" s="913"/>
      <c r="G608" s="910"/>
      <c r="H608" s="953">
        <f>SUBTOTAL(9,H609:H618)</f>
        <v>745.9</v>
      </c>
      <c r="I608" s="915">
        <f>SUBTOTAL(9,I609:I614)</f>
        <v>452.4</v>
      </c>
      <c r="J608" s="943"/>
      <c r="K608" s="917"/>
      <c r="L608" s="917"/>
      <c r="M608" s="907">
        <f>SUBTOTAL(9,M609:M618)</f>
        <v>1942075000</v>
      </c>
      <c r="N608" s="907">
        <f>SUBTOTAL(9,N609:N618)</f>
        <v>752432000</v>
      </c>
      <c r="O608" s="914"/>
      <c r="P608" s="935">
        <f>SUBTOTAL(9,P609:P618)</f>
        <v>46</v>
      </c>
      <c r="Q608" s="907"/>
      <c r="R608" s="907">
        <f>SUBTOTAL(9,R609:R618)</f>
        <v>4518000</v>
      </c>
      <c r="S608" s="914"/>
      <c r="T608" s="956"/>
      <c r="U608" s="936">
        <f>SUBTOTAL(9,U609:U618)</f>
        <v>0</v>
      </c>
      <c r="V608" s="933"/>
      <c r="W608" s="907"/>
      <c r="X608" s="907">
        <f>SUBTOTAL(9,X609:X618)</f>
        <v>0</v>
      </c>
      <c r="Y608" s="925"/>
      <c r="Z608" s="928"/>
      <c r="AA608" s="928"/>
      <c r="AB608" s="904"/>
      <c r="AC608" s="928"/>
      <c r="AD608" s="928"/>
      <c r="AE608" s="938"/>
      <c r="AF608" s="917">
        <f>SUBTOTAL(9,AF609:AF618)</f>
        <v>0</v>
      </c>
      <c r="AG608" s="921"/>
      <c r="AH608" s="921">
        <f>SUBTOTAL(9,AH609:AH618)</f>
        <v>0</v>
      </c>
      <c r="AI608" s="907">
        <f t="shared" si="127"/>
        <v>2699025000</v>
      </c>
      <c r="AJ608" s="910"/>
      <c r="AK608" s="914"/>
    </row>
    <row r="609" spans="1:37" s="376" customFormat="1" ht="135" outlineLevel="2" x14ac:dyDescent="0.3">
      <c r="A609" s="447">
        <f>IF(B608&lt;&gt;0,B608,A607)</f>
        <v>51</v>
      </c>
      <c r="B609" s="893"/>
      <c r="C609" s="894" t="s">
        <v>213</v>
      </c>
      <c r="D609" s="923">
        <v>4</v>
      </c>
      <c r="E609" s="923">
        <v>86</v>
      </c>
      <c r="F609" s="896">
        <v>632</v>
      </c>
      <c r="G609" s="894" t="s">
        <v>2037</v>
      </c>
      <c r="H609" s="924">
        <v>293.5</v>
      </c>
      <c r="I609" s="882" t="str">
        <f t="shared" ref="I609:I610" si="130">IF(N609&gt;0,H609,"")</f>
        <v/>
      </c>
      <c r="J609" s="929"/>
      <c r="K609" s="899">
        <f>IF(G609&lt;&gt;0,VLOOKUP(G609,'gia dat'!$A$1:$F$144,5,0)," ")</f>
        <v>5762400</v>
      </c>
      <c r="L609" s="899">
        <f>IF(G609&lt;&gt;0,VLOOKUP(G609,'gia dat'!$A$1:$F$144,6,0)," ")</f>
        <v>0</v>
      </c>
      <c r="M609" s="900">
        <f t="shared" si="123"/>
        <v>1691264000</v>
      </c>
      <c r="N609" s="900">
        <f t="shared" si="124"/>
        <v>0</v>
      </c>
      <c r="O609" s="922" t="s">
        <v>72</v>
      </c>
      <c r="P609" s="926">
        <v>25</v>
      </c>
      <c r="Q609" s="900">
        <f>IF(O609&lt;&gt;0,VLOOKUP(O609,'Cây trong'!$A$2:$C$246,3,0)," ")</f>
        <v>132000</v>
      </c>
      <c r="R609" s="900">
        <f t="shared" si="125"/>
        <v>3300000</v>
      </c>
      <c r="S609" s="922"/>
      <c r="T609" s="944"/>
      <c r="U609" s="927"/>
      <c r="V609" s="925"/>
      <c r="W609" s="900" t="str">
        <f>IF(S609&lt;&gt;0,VLOOKUP(S609,VKT!$A$2:$G$415,7,0),"")</f>
        <v/>
      </c>
      <c r="X609" s="900" t="str">
        <f t="shared" si="118"/>
        <v xml:space="preserve"> </v>
      </c>
      <c r="Y609" s="925"/>
      <c r="Z609" s="928"/>
      <c r="AA609" s="928"/>
      <c r="AB609" s="904"/>
      <c r="AC609" s="928"/>
      <c r="AD609" s="928"/>
      <c r="AE609" s="905"/>
      <c r="AF609" s="899"/>
      <c r="AG609" s="906"/>
      <c r="AH609" s="906"/>
      <c r="AI609" s="907" t="str">
        <f t="shared" si="127"/>
        <v xml:space="preserve"> </v>
      </c>
      <c r="AJ609" s="894" t="s">
        <v>1700</v>
      </c>
      <c r="AK609" s="922" t="s">
        <v>2771</v>
      </c>
    </row>
    <row r="610" spans="1:37" s="376" customFormat="1" ht="112.5" outlineLevel="2" x14ac:dyDescent="0.3">
      <c r="A610" s="447">
        <f t="shared" ref="A610:A618" si="131">IF(B609&lt;&gt;0,B609,A609)</f>
        <v>51</v>
      </c>
      <c r="B610" s="893"/>
      <c r="C610" s="894" t="s">
        <v>678</v>
      </c>
      <c r="D610" s="923"/>
      <c r="E610" s="923">
        <v>86</v>
      </c>
      <c r="F610" s="896">
        <v>632</v>
      </c>
      <c r="G610" s="894" t="s">
        <v>2469</v>
      </c>
      <c r="H610" s="924">
        <v>452.4</v>
      </c>
      <c r="I610" s="882">
        <f t="shared" si="130"/>
        <v>452.4</v>
      </c>
      <c r="J610" s="925"/>
      <c r="K610" s="899">
        <f>IF(G610&lt;&gt;0,VLOOKUP(G610,'gia dat'!$A$1:$F$144,5,0)," ")</f>
        <v>554400</v>
      </c>
      <c r="L610" s="899">
        <f>IF(G610&lt;&gt;0,VLOOKUP(G610,'gia dat'!$A$1:$F$144,6,0)," ")</f>
        <v>1663200</v>
      </c>
      <c r="M610" s="900">
        <f t="shared" si="123"/>
        <v>250811000</v>
      </c>
      <c r="N610" s="900">
        <f t="shared" si="124"/>
        <v>752432000</v>
      </c>
      <c r="O610" s="894" t="s">
        <v>73</v>
      </c>
      <c r="P610" s="926">
        <v>12</v>
      </c>
      <c r="Q610" s="900">
        <f>IF(O610&lt;&gt;0,VLOOKUP(O610,'Cây trong'!$A$2:$C$246,3,0)," ")</f>
        <v>76000</v>
      </c>
      <c r="R610" s="900">
        <f t="shared" si="125"/>
        <v>912000</v>
      </c>
      <c r="S610" s="902"/>
      <c r="T610" s="925"/>
      <c r="U610" s="927"/>
      <c r="V610" s="925"/>
      <c r="W610" s="900" t="str">
        <f>IF(S610&lt;&gt;0,VLOOKUP(S610,VKT!$A$2:$G$415,7,0),"")</f>
        <v/>
      </c>
      <c r="X610" s="900" t="str">
        <f t="shared" si="118"/>
        <v xml:space="preserve"> </v>
      </c>
      <c r="Y610" s="925"/>
      <c r="Z610" s="928"/>
      <c r="AA610" s="928"/>
      <c r="AB610" s="904"/>
      <c r="AC610" s="928"/>
      <c r="AD610" s="928"/>
      <c r="AE610" s="905"/>
      <c r="AF610" s="899"/>
      <c r="AG610" s="906" t="str">
        <f>IF(AE610&lt;&gt;0,VLOOKUP(AE610,ODDS!$A$2:$C$13,3,0),"")</f>
        <v/>
      </c>
      <c r="AH610" s="906" t="str">
        <f t="shared" si="126"/>
        <v xml:space="preserve"> </v>
      </c>
      <c r="AI610" s="907" t="str">
        <f t="shared" si="127"/>
        <v xml:space="preserve"> </v>
      </c>
      <c r="AJ610" s="894" t="s">
        <v>528</v>
      </c>
      <c r="AK610" s="894" t="s">
        <v>2448</v>
      </c>
    </row>
    <row r="611" spans="1:37" s="376" customFormat="1" ht="112.5" outlineLevel="2" x14ac:dyDescent="0.3">
      <c r="A611" s="447">
        <f t="shared" si="131"/>
        <v>51</v>
      </c>
      <c r="B611" s="893"/>
      <c r="C611" s="910" t="s">
        <v>214</v>
      </c>
      <c r="D611" s="923"/>
      <c r="E611" s="923"/>
      <c r="F611" s="896"/>
      <c r="G611" s="894"/>
      <c r="H611" s="924"/>
      <c r="I611" s="882"/>
      <c r="J611" s="925"/>
      <c r="K611" s="899" t="str">
        <f>IF(G611&lt;&gt;0,VLOOKUP(G611,'gia dat'!$A$1:$F$144,5,0)," ")</f>
        <v xml:space="preserve"> </v>
      </c>
      <c r="L611" s="899" t="str">
        <f>IF(G611&lt;&gt;0,VLOOKUP(G611,'gia dat'!$A$1:$F$144,6,0)," ")</f>
        <v xml:space="preserve"> </v>
      </c>
      <c r="M611" s="900" t="str">
        <f t="shared" si="123"/>
        <v xml:space="preserve"> </v>
      </c>
      <c r="N611" s="900" t="str">
        <f t="shared" si="124"/>
        <v xml:space="preserve"> </v>
      </c>
      <c r="O611" s="894" t="s">
        <v>75</v>
      </c>
      <c r="P611" s="926">
        <v>9</v>
      </c>
      <c r="Q611" s="900">
        <f>IF(O611&lt;&gt;0,VLOOKUP(O611,'Cây trong'!$A$2:$C$246,3,0)," ")</f>
        <v>34000</v>
      </c>
      <c r="R611" s="900">
        <f t="shared" si="125"/>
        <v>306000</v>
      </c>
      <c r="S611" s="902"/>
      <c r="T611" s="925"/>
      <c r="U611" s="927"/>
      <c r="V611" s="925"/>
      <c r="W611" s="900" t="str">
        <f>IF(S611&lt;&gt;0,VLOOKUP(S611,VKT!$A$2:$G$415,7,0),"")</f>
        <v/>
      </c>
      <c r="X611" s="900" t="str">
        <f t="shared" si="118"/>
        <v xml:space="preserve"> </v>
      </c>
      <c r="Y611" s="925"/>
      <c r="Z611" s="928"/>
      <c r="AA611" s="928"/>
      <c r="AB611" s="904"/>
      <c r="AC611" s="928"/>
      <c r="AD611" s="928"/>
      <c r="AE611" s="905"/>
      <c r="AF611" s="899"/>
      <c r="AG611" s="906" t="str">
        <f>IF(AE611&lt;&gt;0,VLOOKUP(AE611,ODDS!$A$2:$C$13,3,0),"")</f>
        <v/>
      </c>
      <c r="AH611" s="906" t="str">
        <f t="shared" si="126"/>
        <v xml:space="preserve"> </v>
      </c>
      <c r="AI611" s="907" t="str">
        <f t="shared" si="127"/>
        <v xml:space="preserve"> </v>
      </c>
      <c r="AJ611" s="943" t="s">
        <v>111</v>
      </c>
      <c r="AK611" s="894" t="s">
        <v>2449</v>
      </c>
    </row>
    <row r="612" spans="1:37" s="376" customFormat="1" ht="67.5" outlineLevel="2" x14ac:dyDescent="0.3">
      <c r="A612" s="447">
        <f t="shared" si="131"/>
        <v>51</v>
      </c>
      <c r="B612" s="893"/>
      <c r="C612" s="894" t="s">
        <v>215</v>
      </c>
      <c r="D612" s="923"/>
      <c r="E612" s="923"/>
      <c r="F612" s="896"/>
      <c r="G612" s="894"/>
      <c r="H612" s="924"/>
      <c r="I612" s="882"/>
      <c r="J612" s="925"/>
      <c r="K612" s="899" t="str">
        <f>IF(G612&lt;&gt;0,VLOOKUP(G612,'gia dat'!$A$1:$F$144,5,0)," ")</f>
        <v xml:space="preserve"> </v>
      </c>
      <c r="L612" s="899" t="str">
        <f>IF(G612&lt;&gt;0,VLOOKUP(G612,'gia dat'!$A$1:$F$144,6,0)," ")</f>
        <v xml:space="preserve"> </v>
      </c>
      <c r="M612" s="900" t="str">
        <f t="shared" si="123"/>
        <v xml:space="preserve"> </v>
      </c>
      <c r="N612" s="900" t="str">
        <f t="shared" si="124"/>
        <v xml:space="preserve"> </v>
      </c>
      <c r="O612" s="894"/>
      <c r="P612" s="926"/>
      <c r="Q612" s="900" t="str">
        <f>IF(O612&lt;&gt;0,VLOOKUP(O612,'Cây trong'!$A$2:$C$246,3,0)," ")</f>
        <v xml:space="preserve"> </v>
      </c>
      <c r="R612" s="900" t="str">
        <f t="shared" si="125"/>
        <v xml:space="preserve"> </v>
      </c>
      <c r="S612" s="902"/>
      <c r="T612" s="925"/>
      <c r="U612" s="927"/>
      <c r="V612" s="925"/>
      <c r="W612" s="900" t="str">
        <f>IF(S612&lt;&gt;0,VLOOKUP(S612,VKT!$A$2:$G$415,7,0),"")</f>
        <v/>
      </c>
      <c r="X612" s="900" t="str">
        <f t="shared" si="118"/>
        <v xml:space="preserve"> </v>
      </c>
      <c r="Y612" s="925"/>
      <c r="Z612" s="928"/>
      <c r="AA612" s="928"/>
      <c r="AB612" s="904"/>
      <c r="AC612" s="928"/>
      <c r="AD612" s="928"/>
      <c r="AE612" s="928"/>
      <c r="AF612" s="926"/>
      <c r="AG612" s="906" t="str">
        <f>IF(AE612&lt;&gt;0,VLOOKUP(AE612,ODDS!$A$2:$C$13,3,0),"")</f>
        <v/>
      </c>
      <c r="AH612" s="906" t="str">
        <f t="shared" si="126"/>
        <v xml:space="preserve"> </v>
      </c>
      <c r="AI612" s="907" t="str">
        <f t="shared" si="127"/>
        <v xml:space="preserve"> </v>
      </c>
      <c r="AJ612" s="894" t="s">
        <v>2074</v>
      </c>
      <c r="AK612" s="894"/>
    </row>
    <row r="613" spans="1:37" s="376" customFormat="1" ht="90" outlineLevel="2" x14ac:dyDescent="0.35">
      <c r="A613" s="447">
        <f t="shared" si="131"/>
        <v>51</v>
      </c>
      <c r="B613" s="893"/>
      <c r="C613" s="908" t="s">
        <v>683</v>
      </c>
      <c r="D613" s="930"/>
      <c r="E613" s="931"/>
      <c r="F613" s="913"/>
      <c r="G613" s="910"/>
      <c r="H613" s="924"/>
      <c r="I613" s="882"/>
      <c r="J613" s="933"/>
      <c r="K613" s="899" t="str">
        <f>IF(G613&lt;&gt;0,VLOOKUP(G613,'gia dat'!$A$1:$F$144,5,0)," ")</f>
        <v xml:space="preserve"> </v>
      </c>
      <c r="L613" s="899" t="str">
        <f>IF(G613&lt;&gt;0,VLOOKUP(G613,'gia dat'!$A$1:$F$144,6,0)," ")</f>
        <v xml:space="preserve"> </v>
      </c>
      <c r="M613" s="900" t="str">
        <f t="shared" si="123"/>
        <v xml:space="preserve"> </v>
      </c>
      <c r="N613" s="900" t="str">
        <f t="shared" si="124"/>
        <v xml:space="preserve"> </v>
      </c>
      <c r="O613" s="934"/>
      <c r="P613" s="926"/>
      <c r="Q613" s="900" t="str">
        <f>IF(O613&lt;&gt;0,VLOOKUP(O613,'Cây trong'!$A$2:$C$246,3,0)," ")</f>
        <v xml:space="preserve"> </v>
      </c>
      <c r="R613" s="900" t="str">
        <f t="shared" si="125"/>
        <v xml:space="preserve"> </v>
      </c>
      <c r="S613" s="918"/>
      <c r="T613" s="933"/>
      <c r="U613" s="927"/>
      <c r="V613" s="933"/>
      <c r="W613" s="900" t="str">
        <f>IF(S613&lt;&gt;0,VLOOKUP(S613,VKT!$A$2:$G$415,7,0),"")</f>
        <v/>
      </c>
      <c r="X613" s="900" t="str">
        <f t="shared" si="118"/>
        <v xml:space="preserve"> </v>
      </c>
      <c r="Y613" s="916"/>
      <c r="Z613" s="937"/>
      <c r="AA613" s="937"/>
      <c r="AB613" s="920"/>
      <c r="AC613" s="937"/>
      <c r="AD613" s="937"/>
      <c r="AE613" s="937"/>
      <c r="AF613" s="935"/>
      <c r="AG613" s="906" t="str">
        <f>IF(AE613&lt;&gt;0,VLOOKUP(AE613,ODDS!$A$2:$C$13,3,0),"")</f>
        <v/>
      </c>
      <c r="AH613" s="906" t="str">
        <f t="shared" si="126"/>
        <v xml:space="preserve"> </v>
      </c>
      <c r="AI613" s="907" t="str">
        <f t="shared" si="127"/>
        <v xml:space="preserve"> </v>
      </c>
      <c r="AJ613" s="911"/>
      <c r="AK613" s="943"/>
    </row>
    <row r="614" spans="1:37" s="376" customFormat="1" ht="22.5" outlineLevel="2" x14ac:dyDescent="0.3">
      <c r="A614" s="447">
        <f t="shared" si="131"/>
        <v>51</v>
      </c>
      <c r="B614" s="893"/>
      <c r="C614" s="908"/>
      <c r="D614" s="923"/>
      <c r="E614" s="923"/>
      <c r="F614" s="950"/>
      <c r="G614" s="894"/>
      <c r="H614" s="940"/>
      <c r="I614" s="882"/>
      <c r="J614" s="929"/>
      <c r="K614" s="899" t="str">
        <f>IF(G614&lt;&gt;0,VLOOKUP(G614,'gia dat'!$A$1:$F$144,5,0)," ")</f>
        <v xml:space="preserve"> </v>
      </c>
      <c r="L614" s="899" t="str">
        <f>IF(G614&lt;&gt;0,VLOOKUP(G614,'gia dat'!$A$1:$F$144,6,0)," ")</f>
        <v xml:space="preserve"> </v>
      </c>
      <c r="M614" s="900" t="str">
        <f t="shared" si="123"/>
        <v xml:space="preserve"> </v>
      </c>
      <c r="N614" s="900" t="str">
        <f t="shared" si="124"/>
        <v xml:space="preserve"> </v>
      </c>
      <c r="O614" s="929"/>
      <c r="P614" s="951"/>
      <c r="Q614" s="900" t="str">
        <f>IF(O614&lt;&gt;0,VLOOKUP(O614,'Cây trong'!$A$2:$C$246,3,0)," ")</f>
        <v xml:space="preserve"> </v>
      </c>
      <c r="R614" s="900" t="str">
        <f t="shared" si="125"/>
        <v xml:space="preserve"> </v>
      </c>
      <c r="S614" s="929"/>
      <c r="T614" s="929"/>
      <c r="U614" s="952"/>
      <c r="V614" s="925"/>
      <c r="W614" s="900" t="str">
        <f>IF(S614&lt;&gt;0,VLOOKUP(S614,VKT!$A$2:$G$415,7,0),"")</f>
        <v/>
      </c>
      <c r="X614" s="900" t="str">
        <f t="shared" si="118"/>
        <v xml:space="preserve"> </v>
      </c>
      <c r="Y614" s="925"/>
      <c r="Z614" s="925"/>
      <c r="AA614" s="925"/>
      <c r="AB614" s="898"/>
      <c r="AC614" s="925"/>
      <c r="AD614" s="925"/>
      <c r="AE614" s="925"/>
      <c r="AF614" s="964"/>
      <c r="AG614" s="906" t="str">
        <f>IF(AE614&lt;&gt;0,VLOOKUP(AE614,ODDS!$A$2:$C$13,3,0),"")</f>
        <v/>
      </c>
      <c r="AH614" s="906" t="str">
        <f t="shared" si="126"/>
        <v xml:space="preserve"> </v>
      </c>
      <c r="AI614" s="907" t="str">
        <f t="shared" si="127"/>
        <v xml:space="preserve"> </v>
      </c>
      <c r="AJ614" s="929"/>
      <c r="AK614" s="929"/>
    </row>
    <row r="615" spans="1:37" s="376" customFormat="1" ht="22.5" outlineLevel="2" x14ac:dyDescent="0.3">
      <c r="A615" s="447">
        <f t="shared" si="131"/>
        <v>51</v>
      </c>
      <c r="B615" s="893"/>
      <c r="C615" s="908"/>
      <c r="D615" s="923"/>
      <c r="E615" s="923"/>
      <c r="F615" s="950"/>
      <c r="G615" s="894"/>
      <c r="H615" s="940"/>
      <c r="I615" s="882"/>
      <c r="J615" s="929"/>
      <c r="K615" s="899" t="str">
        <f>IF(G615&lt;&gt;0,VLOOKUP(G615,'gia dat'!$A$1:$F$144,5,0)," ")</f>
        <v xml:space="preserve"> </v>
      </c>
      <c r="L615" s="899" t="str">
        <f>IF(G615&lt;&gt;0,VLOOKUP(G615,'gia dat'!$A$1:$F$144,6,0)," ")</f>
        <v xml:space="preserve"> </v>
      </c>
      <c r="M615" s="900" t="str">
        <f t="shared" si="123"/>
        <v xml:space="preserve"> </v>
      </c>
      <c r="N615" s="900" t="str">
        <f t="shared" si="124"/>
        <v xml:space="preserve"> </v>
      </c>
      <c r="O615" s="929"/>
      <c r="P615" s="951"/>
      <c r="Q615" s="900" t="str">
        <f>IF(O615&lt;&gt;0,VLOOKUP(O615,'Cây trong'!$A$2:$C$246,3,0)," ")</f>
        <v xml:space="preserve"> </v>
      </c>
      <c r="R615" s="900" t="str">
        <f t="shared" si="125"/>
        <v xml:space="preserve"> </v>
      </c>
      <c r="S615" s="929"/>
      <c r="T615" s="929"/>
      <c r="U615" s="952"/>
      <c r="V615" s="925"/>
      <c r="W615" s="900" t="str">
        <f>IF(S615&lt;&gt;0,VLOOKUP(S615,VKT!$A$2:$G$415,7,0),"")</f>
        <v/>
      </c>
      <c r="X615" s="900" t="str">
        <f t="shared" si="118"/>
        <v xml:space="preserve"> </v>
      </c>
      <c r="Y615" s="925"/>
      <c r="Z615" s="925"/>
      <c r="AA615" s="925"/>
      <c r="AB615" s="898"/>
      <c r="AC615" s="925"/>
      <c r="AD615" s="925"/>
      <c r="AE615" s="925"/>
      <c r="AF615" s="964"/>
      <c r="AG615" s="906" t="str">
        <f>IF(AE615&lt;&gt;0,VLOOKUP(AE615,ODDS!$A$2:$C$13,3,0),"")</f>
        <v/>
      </c>
      <c r="AH615" s="906" t="str">
        <f t="shared" si="126"/>
        <v xml:space="preserve"> </v>
      </c>
      <c r="AI615" s="907" t="str">
        <f t="shared" si="127"/>
        <v xml:space="preserve"> </v>
      </c>
      <c r="AJ615" s="929"/>
      <c r="AK615" s="929"/>
    </row>
    <row r="616" spans="1:37" s="376" customFormat="1" ht="22.5" outlineLevel="2" x14ac:dyDescent="0.3">
      <c r="A616" s="447">
        <f t="shared" si="131"/>
        <v>51</v>
      </c>
      <c r="B616" s="893"/>
      <c r="C616" s="908"/>
      <c r="D616" s="923"/>
      <c r="E616" s="923"/>
      <c r="F616" s="950"/>
      <c r="G616" s="894"/>
      <c r="H616" s="940"/>
      <c r="I616" s="882"/>
      <c r="J616" s="929"/>
      <c r="K616" s="899" t="str">
        <f>IF(G616&lt;&gt;0,VLOOKUP(G616,'gia dat'!$A$1:$F$144,5,0)," ")</f>
        <v xml:space="preserve"> </v>
      </c>
      <c r="L616" s="899" t="str">
        <f>IF(G616&lt;&gt;0,VLOOKUP(G616,'gia dat'!$A$1:$F$144,6,0)," ")</f>
        <v xml:space="preserve"> </v>
      </c>
      <c r="M616" s="900" t="str">
        <f t="shared" si="123"/>
        <v xml:space="preserve"> </v>
      </c>
      <c r="N616" s="900" t="str">
        <f t="shared" si="124"/>
        <v xml:space="preserve"> </v>
      </c>
      <c r="O616" s="929"/>
      <c r="P616" s="951"/>
      <c r="Q616" s="900" t="str">
        <f>IF(O616&lt;&gt;0,VLOOKUP(O616,'Cây trong'!$A$2:$C$246,3,0)," ")</f>
        <v xml:space="preserve"> </v>
      </c>
      <c r="R616" s="900" t="str">
        <f t="shared" si="125"/>
        <v xml:space="preserve"> </v>
      </c>
      <c r="S616" s="929"/>
      <c r="T616" s="929"/>
      <c r="U616" s="952"/>
      <c r="V616" s="925"/>
      <c r="W616" s="900" t="str">
        <f>IF(S616&lt;&gt;0,VLOOKUP(S616,VKT!$A$2:$G$415,7,0),"")</f>
        <v/>
      </c>
      <c r="X616" s="900" t="str">
        <f t="shared" si="118"/>
        <v xml:space="preserve"> </v>
      </c>
      <c r="Y616" s="925"/>
      <c r="Z616" s="925"/>
      <c r="AA616" s="925"/>
      <c r="AB616" s="898"/>
      <c r="AC616" s="925"/>
      <c r="AD616" s="925"/>
      <c r="AE616" s="925"/>
      <c r="AF616" s="964"/>
      <c r="AG616" s="906" t="str">
        <f>IF(AE616&lt;&gt;0,VLOOKUP(AE616,ODDS!$A$2:$C$13,3,0),"")</f>
        <v/>
      </c>
      <c r="AH616" s="906" t="str">
        <f t="shared" si="126"/>
        <v xml:space="preserve"> </v>
      </c>
      <c r="AI616" s="907" t="str">
        <f t="shared" si="127"/>
        <v xml:space="preserve"> </v>
      </c>
      <c r="AJ616" s="929"/>
      <c r="AK616" s="929"/>
    </row>
    <row r="617" spans="1:37" s="376" customFormat="1" ht="22.5" outlineLevel="2" x14ac:dyDescent="0.3">
      <c r="A617" s="447">
        <f t="shared" si="131"/>
        <v>51</v>
      </c>
      <c r="B617" s="893"/>
      <c r="C617" s="908"/>
      <c r="D617" s="923"/>
      <c r="E617" s="923"/>
      <c r="F617" s="950"/>
      <c r="G617" s="894"/>
      <c r="H617" s="940"/>
      <c r="I617" s="882"/>
      <c r="J617" s="929"/>
      <c r="K617" s="899" t="str">
        <f>IF(G617&lt;&gt;0,VLOOKUP(G617,'gia dat'!$A$1:$F$144,5,0)," ")</f>
        <v xml:space="preserve"> </v>
      </c>
      <c r="L617" s="899" t="str">
        <f>IF(G617&lt;&gt;0,VLOOKUP(G617,'gia dat'!$A$1:$F$144,6,0)," ")</f>
        <v xml:space="preserve"> </v>
      </c>
      <c r="M617" s="900" t="str">
        <f t="shared" si="123"/>
        <v xml:space="preserve"> </v>
      </c>
      <c r="N617" s="900" t="str">
        <f t="shared" si="124"/>
        <v xml:space="preserve"> </v>
      </c>
      <c r="O617" s="929"/>
      <c r="P617" s="951"/>
      <c r="Q617" s="900" t="str">
        <f>IF(O617&lt;&gt;0,VLOOKUP(O617,'Cây trong'!$A$2:$C$246,3,0)," ")</f>
        <v xml:space="preserve"> </v>
      </c>
      <c r="R617" s="900" t="str">
        <f t="shared" si="125"/>
        <v xml:space="preserve"> </v>
      </c>
      <c r="S617" s="929"/>
      <c r="T617" s="929"/>
      <c r="U617" s="952"/>
      <c r="V617" s="925"/>
      <c r="W617" s="900" t="str">
        <f>IF(S617&lt;&gt;0,VLOOKUP(S617,VKT!$A$2:$G$415,7,0),"")</f>
        <v/>
      </c>
      <c r="X617" s="900" t="str">
        <f t="shared" si="118"/>
        <v xml:space="preserve"> </v>
      </c>
      <c r="Y617" s="925"/>
      <c r="Z617" s="925"/>
      <c r="AA617" s="925"/>
      <c r="AB617" s="898"/>
      <c r="AC617" s="925"/>
      <c r="AD617" s="925"/>
      <c r="AE617" s="925"/>
      <c r="AF617" s="964"/>
      <c r="AG617" s="906" t="str">
        <f>IF(AE617&lt;&gt;0,VLOOKUP(AE617,ODDS!$A$2:$C$13,3,0),"")</f>
        <v/>
      </c>
      <c r="AH617" s="906" t="str">
        <f t="shared" si="126"/>
        <v xml:space="preserve"> </v>
      </c>
      <c r="AI617" s="907" t="str">
        <f t="shared" si="127"/>
        <v xml:space="preserve"> </v>
      </c>
      <c r="AJ617" s="929"/>
      <c r="AK617" s="929"/>
    </row>
    <row r="618" spans="1:37" s="376" customFormat="1" ht="22.5" outlineLevel="2" x14ac:dyDescent="0.3">
      <c r="A618" s="447">
        <f t="shared" si="131"/>
        <v>51</v>
      </c>
      <c r="B618" s="893"/>
      <c r="C618" s="910"/>
      <c r="D618" s="923"/>
      <c r="E618" s="923"/>
      <c r="F618" s="896"/>
      <c r="G618" s="894"/>
      <c r="H618" s="924"/>
      <c r="I618" s="882"/>
      <c r="J618" s="925"/>
      <c r="K618" s="899" t="str">
        <f>IF(G618&lt;&gt;0,VLOOKUP(G618,'gia dat'!$A$1:$F$144,5,0)," ")</f>
        <v xml:space="preserve"> </v>
      </c>
      <c r="L618" s="899" t="str">
        <f>IF(G618&lt;&gt;0,VLOOKUP(G618,'gia dat'!$A$1:$F$144,6,0)," ")</f>
        <v xml:space="preserve"> </v>
      </c>
      <c r="M618" s="900" t="str">
        <f t="shared" si="123"/>
        <v xml:space="preserve"> </v>
      </c>
      <c r="N618" s="900" t="str">
        <f t="shared" si="124"/>
        <v xml:space="preserve"> </v>
      </c>
      <c r="O618" s="894"/>
      <c r="P618" s="926"/>
      <c r="Q618" s="900" t="str">
        <f>IF(O618&lt;&gt;0,VLOOKUP(O618,'Cây trong'!$A$2:$C$246,3,0)," ")</f>
        <v xml:space="preserve"> </v>
      </c>
      <c r="R618" s="900" t="str">
        <f t="shared" si="125"/>
        <v xml:space="preserve"> </v>
      </c>
      <c r="S618" s="902"/>
      <c r="T618" s="925"/>
      <c r="U618" s="927"/>
      <c r="V618" s="925"/>
      <c r="W618" s="900" t="str">
        <f>IF(S618&lt;&gt;0,VLOOKUP(S618,VKT!$A$2:$G$415,7,0),"")</f>
        <v/>
      </c>
      <c r="X618" s="900" t="str">
        <f t="shared" si="118"/>
        <v xml:space="preserve"> </v>
      </c>
      <c r="Y618" s="925"/>
      <c r="Z618" s="928"/>
      <c r="AA618" s="928"/>
      <c r="AB618" s="904"/>
      <c r="AC618" s="928"/>
      <c r="AD618" s="928"/>
      <c r="AE618" s="928"/>
      <c r="AF618" s="926"/>
      <c r="AG618" s="906" t="str">
        <f>IF(AE618&lt;&gt;0,VLOOKUP(AE618,ODDS!$A$2:$C$13,3,0),"")</f>
        <v/>
      </c>
      <c r="AH618" s="906" t="str">
        <f t="shared" si="126"/>
        <v xml:space="preserve"> </v>
      </c>
      <c r="AI618" s="907" t="str">
        <f t="shared" si="127"/>
        <v xml:space="preserve"> </v>
      </c>
      <c r="AJ618" s="894"/>
      <c r="AK618" s="894"/>
    </row>
    <row r="619" spans="1:37" s="376" customFormat="1" ht="43.5" outlineLevel="1" x14ac:dyDescent="0.25">
      <c r="A619" s="467" t="s">
        <v>2658</v>
      </c>
      <c r="B619" s="912">
        <v>52</v>
      </c>
      <c r="C619" s="910" t="s">
        <v>216</v>
      </c>
      <c r="D619" s="931"/>
      <c r="E619" s="931"/>
      <c r="F619" s="913"/>
      <c r="G619" s="910"/>
      <c r="H619" s="953">
        <f>SUBTOTAL(9,H620:H628)</f>
        <v>35.900000000000006</v>
      </c>
      <c r="I619" s="915">
        <f>SUBTOTAL(9,I620:I625)</f>
        <v>35.1</v>
      </c>
      <c r="J619" s="943"/>
      <c r="K619" s="917"/>
      <c r="L619" s="917"/>
      <c r="M619" s="907">
        <f>SUBTOTAL(9,M620:M628)</f>
        <v>24070000</v>
      </c>
      <c r="N619" s="907">
        <f>SUBTOTAL(9,N620:N628)</f>
        <v>58378000</v>
      </c>
      <c r="O619" s="914"/>
      <c r="P619" s="935">
        <f>SUBTOTAL(9,P620:P628)</f>
        <v>0</v>
      </c>
      <c r="Q619" s="907"/>
      <c r="R619" s="907">
        <f>SUBTOTAL(9,R620:R628)</f>
        <v>0</v>
      </c>
      <c r="S619" s="998"/>
      <c r="T619" s="956"/>
      <c r="U619" s="936">
        <f>SUBTOTAL(9,U620:U628)</f>
        <v>62</v>
      </c>
      <c r="V619" s="933"/>
      <c r="W619" s="907"/>
      <c r="X619" s="907">
        <f>SUBTOTAL(9,X620:X628)</f>
        <v>67617000</v>
      </c>
      <c r="Y619" s="925"/>
      <c r="Z619" s="928"/>
      <c r="AA619" s="928"/>
      <c r="AB619" s="904"/>
      <c r="AC619" s="928"/>
      <c r="AD619" s="928"/>
      <c r="AE619" s="937"/>
      <c r="AF619" s="935">
        <f>SUBTOTAL(9,AF620:AF628)</f>
        <v>0</v>
      </c>
      <c r="AG619" s="921"/>
      <c r="AH619" s="921">
        <f>SUBTOTAL(9,AH620:AH628)</f>
        <v>0</v>
      </c>
      <c r="AI619" s="907">
        <f t="shared" si="127"/>
        <v>150065000</v>
      </c>
      <c r="AJ619" s="910"/>
      <c r="AK619" s="914"/>
    </row>
    <row r="620" spans="1:37" s="376" customFormat="1" ht="135" outlineLevel="2" x14ac:dyDescent="0.3">
      <c r="A620" s="447">
        <f>IF(B619&lt;&gt;0,B619,A618)</f>
        <v>52</v>
      </c>
      <c r="B620" s="893"/>
      <c r="C620" s="894" t="s">
        <v>217</v>
      </c>
      <c r="D620" s="923">
        <v>4</v>
      </c>
      <c r="E620" s="923">
        <v>86</v>
      </c>
      <c r="F620" s="896">
        <v>342</v>
      </c>
      <c r="G620" s="894" t="s">
        <v>2037</v>
      </c>
      <c r="H620" s="924">
        <v>0.8</v>
      </c>
      <c r="I620" s="882" t="str">
        <f t="shared" ref="I620:I622" si="132">IF(N620&gt;0,H620,"")</f>
        <v/>
      </c>
      <c r="J620" s="929"/>
      <c r="K620" s="899">
        <f>IF(G620&lt;&gt;0,VLOOKUP(G620,'gia dat'!$A$1:$F$144,5,0)," ")</f>
        <v>5762400</v>
      </c>
      <c r="L620" s="899">
        <f>IF(G620&lt;&gt;0,VLOOKUP(G620,'gia dat'!$A$1:$F$144,6,0)," ")</f>
        <v>0</v>
      </c>
      <c r="M620" s="900">
        <f t="shared" si="123"/>
        <v>4610000</v>
      </c>
      <c r="N620" s="900">
        <f t="shared" si="124"/>
        <v>0</v>
      </c>
      <c r="O620" s="922"/>
      <c r="P620" s="926"/>
      <c r="Q620" s="900" t="str">
        <f>IF(O620&lt;&gt;0,VLOOKUP(O620,'Cây trong'!$A$2:$C$246,3,0)," ")</f>
        <v xml:space="preserve"> </v>
      </c>
      <c r="R620" s="900" t="str">
        <f t="shared" si="125"/>
        <v xml:space="preserve"> </v>
      </c>
      <c r="S620" s="996" t="s">
        <v>1754</v>
      </c>
      <c r="T620" s="944" t="s">
        <v>53</v>
      </c>
      <c r="U620" s="927">
        <f>4.9</f>
        <v>4.9000000000000004</v>
      </c>
      <c r="V620" s="925">
        <v>16.100000000000001</v>
      </c>
      <c r="W620" s="900">
        <f>IF(S620&lt;&gt;0,VLOOKUP(S620,VKT!$A$2:$G$415,7,0),"")</f>
        <v>4717925</v>
      </c>
      <c r="X620" s="900">
        <f t="shared" si="118"/>
        <v>23118000</v>
      </c>
      <c r="Y620" s="925" t="s">
        <v>63</v>
      </c>
      <c r="Z620" s="928" t="s">
        <v>55</v>
      </c>
      <c r="AA620" s="928" t="s">
        <v>56</v>
      </c>
      <c r="AB620" s="904" t="s">
        <v>57</v>
      </c>
      <c r="AC620" s="928" t="s">
        <v>63</v>
      </c>
      <c r="AD620" s="928" t="s">
        <v>206</v>
      </c>
      <c r="AE620" s="928"/>
      <c r="AF620" s="926"/>
      <c r="AG620" s="906" t="str">
        <f>IF(AE620&lt;&gt;0,VLOOKUP(AE620,ODDS!$A$2:$C$13,3,0),"")</f>
        <v/>
      </c>
      <c r="AH620" s="906"/>
      <c r="AI620" s="907" t="str">
        <f t="shared" si="127"/>
        <v xml:space="preserve"> </v>
      </c>
      <c r="AJ620" s="894" t="s">
        <v>684</v>
      </c>
      <c r="AK620" s="922" t="s">
        <v>2771</v>
      </c>
    </row>
    <row r="621" spans="1:37" s="376" customFormat="1" ht="90" outlineLevel="2" x14ac:dyDescent="0.3">
      <c r="A621" s="447">
        <f t="shared" ref="A621:A628" si="133">IF(B620&lt;&gt;0,B620,A620)</f>
        <v>52</v>
      </c>
      <c r="B621" s="893"/>
      <c r="C621" s="910" t="s">
        <v>218</v>
      </c>
      <c r="D621" s="923"/>
      <c r="E621" s="923">
        <v>86</v>
      </c>
      <c r="F621" s="896">
        <v>342</v>
      </c>
      <c r="G621" s="894" t="s">
        <v>2469</v>
      </c>
      <c r="H621" s="924">
        <v>30.6</v>
      </c>
      <c r="I621" s="882">
        <f t="shared" si="132"/>
        <v>30.6</v>
      </c>
      <c r="J621" s="929"/>
      <c r="K621" s="899">
        <f>IF(G621&lt;&gt;0,VLOOKUP(G621,'gia dat'!$A$1:$F$144,5,0)," ")</f>
        <v>554400</v>
      </c>
      <c r="L621" s="899">
        <f>IF(G621&lt;&gt;0,VLOOKUP(G621,'gia dat'!$A$1:$F$144,6,0)," ")</f>
        <v>1663200</v>
      </c>
      <c r="M621" s="900">
        <f t="shared" si="123"/>
        <v>16965000</v>
      </c>
      <c r="N621" s="900">
        <f t="shared" si="124"/>
        <v>50894000</v>
      </c>
      <c r="O621" s="922"/>
      <c r="P621" s="926"/>
      <c r="Q621" s="900" t="str">
        <f>IF(O621&lt;&gt;0,VLOOKUP(O621,'Cây trong'!$A$2:$C$246,3,0)," ")</f>
        <v xml:space="preserve"> </v>
      </c>
      <c r="R621" s="900" t="str">
        <f t="shared" si="125"/>
        <v xml:space="preserve"> </v>
      </c>
      <c r="S621" s="996" t="s">
        <v>1852</v>
      </c>
      <c r="T621" s="944" t="s">
        <v>53</v>
      </c>
      <c r="U621" s="927">
        <v>26.5</v>
      </c>
      <c r="V621" s="925"/>
      <c r="W621" s="900">
        <f>IF(S621&lt;&gt;0,VLOOKUP(S621,VKT!$A$2:$G$415,7,0),"")</f>
        <v>1490563</v>
      </c>
      <c r="X621" s="900">
        <f t="shared" si="118"/>
        <v>39500000</v>
      </c>
      <c r="Y621" s="925"/>
      <c r="Z621" s="928" t="s">
        <v>55</v>
      </c>
      <c r="AA621" s="928" t="s">
        <v>56</v>
      </c>
      <c r="AB621" s="904" t="s">
        <v>137</v>
      </c>
      <c r="AC621" s="928" t="s">
        <v>66</v>
      </c>
      <c r="AD621" s="928" t="s">
        <v>206</v>
      </c>
      <c r="AE621" s="928"/>
      <c r="AF621" s="926"/>
      <c r="AG621" s="906" t="str">
        <f>IF(AE621&lt;&gt;0,VLOOKUP(AE621,ODDS!$A$2:$C$13,3,0),"")</f>
        <v/>
      </c>
      <c r="AH621" s="906" t="str">
        <f t="shared" si="126"/>
        <v xml:space="preserve"> </v>
      </c>
      <c r="AI621" s="907" t="str">
        <f t="shared" si="127"/>
        <v xml:space="preserve"> </v>
      </c>
      <c r="AJ621" s="894" t="s">
        <v>530</v>
      </c>
      <c r="AK621" s="894" t="s">
        <v>2448</v>
      </c>
    </row>
    <row r="622" spans="1:37" s="376" customFormat="1" ht="112.5" outlineLevel="2" x14ac:dyDescent="0.3">
      <c r="A622" s="447">
        <f t="shared" si="133"/>
        <v>52</v>
      </c>
      <c r="B622" s="893"/>
      <c r="C622" s="894" t="s">
        <v>219</v>
      </c>
      <c r="D622" s="923"/>
      <c r="E622" s="923"/>
      <c r="F622" s="896"/>
      <c r="G622" s="894" t="s">
        <v>2470</v>
      </c>
      <c r="H622" s="924">
        <v>4.5</v>
      </c>
      <c r="I622" s="882">
        <f t="shared" si="132"/>
        <v>4.5</v>
      </c>
      <c r="J622" s="929"/>
      <c r="K622" s="899">
        <f>IF(G622&lt;&gt;0,VLOOKUP(G622,'gia dat'!$A$1:$F$144,5,0)," ")</f>
        <v>554400</v>
      </c>
      <c r="L622" s="899">
        <f>IF(G622&lt;&gt;0,VLOOKUP(G622,'gia dat'!$A$1:$F$144,6,0)," ")</f>
        <v>1663200</v>
      </c>
      <c r="M622" s="900">
        <f t="shared" si="123"/>
        <v>2495000</v>
      </c>
      <c r="N622" s="900">
        <f t="shared" si="124"/>
        <v>7484000</v>
      </c>
      <c r="O622" s="922"/>
      <c r="P622" s="926"/>
      <c r="Q622" s="900" t="str">
        <f>IF(O622&lt;&gt;0,VLOOKUP(O622,'Cây trong'!$A$2:$C$246,3,0)," ")</f>
        <v xml:space="preserve"> </v>
      </c>
      <c r="R622" s="900" t="str">
        <f t="shared" si="125"/>
        <v xml:space="preserve"> </v>
      </c>
      <c r="S622" s="922" t="s">
        <v>1749</v>
      </c>
      <c r="T622" s="944" t="s">
        <v>53</v>
      </c>
      <c r="U622" s="927">
        <v>3.9</v>
      </c>
      <c r="V622" s="925"/>
      <c r="W622" s="900">
        <f>IF(S622&lt;&gt;0,VLOOKUP(S622,VKT!$A$2:$G$415,7,0),"")</f>
        <v>211811</v>
      </c>
      <c r="X622" s="900">
        <f t="shared" si="118"/>
        <v>826000</v>
      </c>
      <c r="Y622" s="925"/>
      <c r="Z622" s="928"/>
      <c r="AA622" s="928"/>
      <c r="AB622" s="904"/>
      <c r="AC622" s="928"/>
      <c r="AD622" s="928"/>
      <c r="AE622" s="928"/>
      <c r="AF622" s="926"/>
      <c r="AG622" s="906" t="str">
        <f>IF(AE622&lt;&gt;0,VLOOKUP(AE622,ODDS!$A$2:$C$13,3,0),"")</f>
        <v/>
      </c>
      <c r="AH622" s="906" t="str">
        <f t="shared" si="126"/>
        <v xml:space="preserve"> </v>
      </c>
      <c r="AI622" s="907" t="str">
        <f t="shared" si="127"/>
        <v xml:space="preserve"> </v>
      </c>
      <c r="AJ622" s="929" t="s">
        <v>169</v>
      </c>
      <c r="AK622" s="894" t="s">
        <v>2450</v>
      </c>
    </row>
    <row r="623" spans="1:37" s="376" customFormat="1" ht="112.5" outlineLevel="2" x14ac:dyDescent="0.3">
      <c r="A623" s="447">
        <f t="shared" si="133"/>
        <v>52</v>
      </c>
      <c r="B623" s="893"/>
      <c r="C623" s="963" t="s">
        <v>685</v>
      </c>
      <c r="D623" s="923"/>
      <c r="E623" s="923"/>
      <c r="F623" s="896"/>
      <c r="G623" s="894"/>
      <c r="H623" s="924"/>
      <c r="I623" s="882"/>
      <c r="J623" s="929"/>
      <c r="K623" s="899" t="str">
        <f>IF(G623&lt;&gt;0,VLOOKUP(G623,'gia dat'!$A$1:$F$144,5,0)," ")</f>
        <v xml:space="preserve"> </v>
      </c>
      <c r="L623" s="899" t="str">
        <f>IF(G623&lt;&gt;0,VLOOKUP(G623,'gia dat'!$A$1:$F$144,6,0)," ")</f>
        <v xml:space="preserve"> </v>
      </c>
      <c r="M623" s="900" t="str">
        <f t="shared" si="123"/>
        <v xml:space="preserve"> </v>
      </c>
      <c r="N623" s="900" t="str">
        <f t="shared" si="124"/>
        <v xml:space="preserve"> </v>
      </c>
      <c r="O623" s="922"/>
      <c r="P623" s="926"/>
      <c r="Q623" s="900" t="str">
        <f>IF(O623&lt;&gt;0,VLOOKUP(O623,'Cây trong'!$A$2:$C$246,3,0)," ")</f>
        <v xml:space="preserve"> </v>
      </c>
      <c r="R623" s="900" t="str">
        <f t="shared" si="125"/>
        <v xml:space="preserve"> </v>
      </c>
      <c r="S623" s="922" t="s">
        <v>2331</v>
      </c>
      <c r="T623" s="944" t="s">
        <v>78</v>
      </c>
      <c r="U623" s="927">
        <v>0.2</v>
      </c>
      <c r="V623" s="925"/>
      <c r="W623" s="900">
        <f>IF(S623&lt;&gt;0,VLOOKUP(S623,VKT!$A$2:$G$415,7,0),"")</f>
        <v>0</v>
      </c>
      <c r="X623" s="900">
        <f t="shared" si="118"/>
        <v>0</v>
      </c>
      <c r="Y623" s="925"/>
      <c r="Z623" s="928"/>
      <c r="AA623" s="928"/>
      <c r="AB623" s="904"/>
      <c r="AC623" s="928"/>
      <c r="AD623" s="928"/>
      <c r="AE623" s="928"/>
      <c r="AF623" s="926"/>
      <c r="AG623" s="906" t="str">
        <f>IF(AE623&lt;&gt;0,VLOOKUP(AE623,ODDS!$A$2:$C$13,3,0),"")</f>
        <v/>
      </c>
      <c r="AH623" s="906" t="str">
        <f t="shared" si="126"/>
        <v xml:space="preserve"> </v>
      </c>
      <c r="AI623" s="907" t="str">
        <f t="shared" si="127"/>
        <v xml:space="preserve"> </v>
      </c>
      <c r="AJ623" s="943" t="s">
        <v>111</v>
      </c>
      <c r="AK623" s="894" t="s">
        <v>2800</v>
      </c>
    </row>
    <row r="624" spans="1:37" s="376" customFormat="1" ht="135" outlineLevel="2" x14ac:dyDescent="0.3">
      <c r="A624" s="447">
        <f t="shared" si="133"/>
        <v>52</v>
      </c>
      <c r="B624" s="893"/>
      <c r="C624" s="894"/>
      <c r="D624" s="923"/>
      <c r="E624" s="923"/>
      <c r="F624" s="896"/>
      <c r="G624" s="894"/>
      <c r="H624" s="924"/>
      <c r="I624" s="882"/>
      <c r="J624" s="929"/>
      <c r="K624" s="899" t="str">
        <f>IF(G624&lt;&gt;0,VLOOKUP(G624,'gia dat'!$A$1:$F$144,5,0)," ")</f>
        <v xml:space="preserve"> </v>
      </c>
      <c r="L624" s="899" t="str">
        <f>IF(G624&lt;&gt;0,VLOOKUP(G624,'gia dat'!$A$1:$F$144,6,0)," ")</f>
        <v xml:space="preserve"> </v>
      </c>
      <c r="M624" s="900" t="str">
        <f t="shared" si="123"/>
        <v xml:space="preserve"> </v>
      </c>
      <c r="N624" s="900" t="str">
        <f t="shared" si="124"/>
        <v xml:space="preserve"> </v>
      </c>
      <c r="O624" s="922"/>
      <c r="P624" s="926"/>
      <c r="Q624" s="900" t="str">
        <f>IF(O624&lt;&gt;0,VLOOKUP(O624,'Cây trong'!$A$2:$C$246,3,0)," ")</f>
        <v xml:space="preserve"> </v>
      </c>
      <c r="R624" s="900" t="str">
        <f t="shared" si="125"/>
        <v xml:space="preserve"> </v>
      </c>
      <c r="S624" s="902" t="s">
        <v>1757</v>
      </c>
      <c r="T624" s="925" t="s">
        <v>53</v>
      </c>
      <c r="U624" s="927">
        <v>26.5</v>
      </c>
      <c r="V624" s="925"/>
      <c r="W624" s="900">
        <f>IF(S624&lt;&gt;0,VLOOKUP(S624,VKT!$A$2:$G$415,7,0),"")</f>
        <v>157477</v>
      </c>
      <c r="X624" s="900">
        <f t="shared" si="118"/>
        <v>4173000</v>
      </c>
      <c r="Y624" s="925"/>
      <c r="Z624" s="928"/>
      <c r="AA624" s="928"/>
      <c r="AB624" s="904"/>
      <c r="AC624" s="928"/>
      <c r="AD624" s="928"/>
      <c r="AE624" s="928"/>
      <c r="AF624" s="926"/>
      <c r="AG624" s="906" t="str">
        <f>IF(AE624&lt;&gt;0,VLOOKUP(AE624,ODDS!$A$2:$C$13,3,0),"")</f>
        <v/>
      </c>
      <c r="AH624" s="906" t="str">
        <f t="shared" si="126"/>
        <v xml:space="preserve"> </v>
      </c>
      <c r="AI624" s="907" t="str">
        <f t="shared" si="127"/>
        <v xml:space="preserve"> </v>
      </c>
      <c r="AJ624" s="894" t="s">
        <v>532</v>
      </c>
      <c r="AK624" s="929"/>
    </row>
    <row r="625" spans="1:37" s="376" customFormat="1" ht="67.5" outlineLevel="2" x14ac:dyDescent="0.3">
      <c r="A625" s="447">
        <f t="shared" si="133"/>
        <v>52</v>
      </c>
      <c r="B625" s="893"/>
      <c r="C625" s="894"/>
      <c r="D625" s="923"/>
      <c r="E625" s="923"/>
      <c r="F625" s="896"/>
      <c r="G625" s="894"/>
      <c r="H625" s="924"/>
      <c r="I625" s="882"/>
      <c r="J625" s="929"/>
      <c r="K625" s="899" t="str">
        <f>IF(G625&lt;&gt;0,VLOOKUP(G625,'gia dat'!$A$1:$F$144,5,0)," ")</f>
        <v xml:space="preserve"> </v>
      </c>
      <c r="L625" s="899" t="str">
        <f>IF(G625&lt;&gt;0,VLOOKUP(G625,'gia dat'!$A$1:$F$144,6,0)," ")</f>
        <v xml:space="preserve"> </v>
      </c>
      <c r="M625" s="900" t="str">
        <f t="shared" si="123"/>
        <v xml:space="preserve"> </v>
      </c>
      <c r="N625" s="900" t="str">
        <f t="shared" si="124"/>
        <v xml:space="preserve"> </v>
      </c>
      <c r="O625" s="922"/>
      <c r="P625" s="965"/>
      <c r="Q625" s="900" t="str">
        <f>IF(O625&lt;&gt;0,VLOOKUP(O625,'Cây trong'!$A$2:$C$246,3,0)," ")</f>
        <v xml:space="preserve"> </v>
      </c>
      <c r="R625" s="900" t="str">
        <f t="shared" si="125"/>
        <v xml:space="preserve"> </v>
      </c>
      <c r="S625" s="996"/>
      <c r="T625" s="944"/>
      <c r="U625" s="927"/>
      <c r="V625" s="925"/>
      <c r="W625" s="900" t="str">
        <f>IF(S625&lt;&gt;0,VLOOKUP(S625,VKT!$A$2:$G$415,7,0),"")</f>
        <v/>
      </c>
      <c r="X625" s="900" t="str">
        <f t="shared" si="118"/>
        <v xml:space="preserve"> </v>
      </c>
      <c r="Y625" s="925"/>
      <c r="Z625" s="928"/>
      <c r="AA625" s="928"/>
      <c r="AB625" s="904"/>
      <c r="AC625" s="928"/>
      <c r="AD625" s="928"/>
      <c r="AE625" s="928"/>
      <c r="AF625" s="926"/>
      <c r="AG625" s="906" t="str">
        <f>IF(AE625&lt;&gt;0,VLOOKUP(AE625,ODDS!$A$2:$C$13,3,0),"")</f>
        <v/>
      </c>
      <c r="AH625" s="906" t="str">
        <f t="shared" si="126"/>
        <v xml:space="preserve"> </v>
      </c>
      <c r="AI625" s="907" t="str">
        <f t="shared" si="127"/>
        <v xml:space="preserve"> </v>
      </c>
      <c r="AJ625" s="894" t="s">
        <v>2074</v>
      </c>
      <c r="AK625" s="894"/>
    </row>
    <row r="626" spans="1:37" s="376" customFormat="1" ht="22.5" outlineLevel="2" x14ac:dyDescent="0.35">
      <c r="A626" s="447">
        <f t="shared" si="133"/>
        <v>52</v>
      </c>
      <c r="B626" s="893"/>
      <c r="C626" s="942"/>
      <c r="D626" s="923"/>
      <c r="E626" s="923"/>
      <c r="F626" s="896"/>
      <c r="G626" s="894"/>
      <c r="H626" s="924"/>
      <c r="I626" s="882"/>
      <c r="J626" s="929"/>
      <c r="K626" s="899" t="str">
        <f>IF(G626&lt;&gt;0,VLOOKUP(G626,'gia dat'!$A$1:$F$144,5,0)," ")</f>
        <v xml:space="preserve"> </v>
      </c>
      <c r="L626" s="899" t="str">
        <f>IF(G626&lt;&gt;0,VLOOKUP(G626,'gia dat'!$A$1:$F$144,6,0)," ")</f>
        <v xml:space="preserve"> </v>
      </c>
      <c r="M626" s="900" t="str">
        <f t="shared" si="123"/>
        <v xml:space="preserve"> </v>
      </c>
      <c r="N626" s="900" t="str">
        <f t="shared" si="124"/>
        <v xml:space="preserve"> </v>
      </c>
      <c r="O626" s="922"/>
      <c r="P626" s="965"/>
      <c r="Q626" s="900" t="str">
        <f>IF(O626&lt;&gt;0,VLOOKUP(O626,'Cây trong'!$A$2:$C$246,3,0)," ")</f>
        <v xml:space="preserve"> </v>
      </c>
      <c r="R626" s="900" t="str">
        <f t="shared" si="125"/>
        <v xml:space="preserve"> </v>
      </c>
      <c r="S626" s="902"/>
      <c r="T626" s="925"/>
      <c r="U626" s="927"/>
      <c r="V626" s="925"/>
      <c r="W626" s="900" t="str">
        <f>IF(S626&lt;&gt;0,VLOOKUP(S626,VKT!$A$2:$G$415,7,0),"")</f>
        <v/>
      </c>
      <c r="X626" s="900" t="str">
        <f t="shared" ref="X626:X697" si="134">IF(S626&lt;&gt;0,ROUND(U626*W626,-3)," ")</f>
        <v xml:space="preserve"> </v>
      </c>
      <c r="Y626" s="925"/>
      <c r="Z626" s="928"/>
      <c r="AA626" s="928"/>
      <c r="AB626" s="904"/>
      <c r="AC626" s="928"/>
      <c r="AD626" s="928"/>
      <c r="AE626" s="928"/>
      <c r="AF626" s="926"/>
      <c r="AG626" s="906" t="str">
        <f>IF(AE626&lt;&gt;0,VLOOKUP(AE626,ODDS!$A$2:$C$13,3,0),"")</f>
        <v/>
      </c>
      <c r="AH626" s="906" t="str">
        <f t="shared" si="126"/>
        <v xml:space="preserve"> </v>
      </c>
      <c r="AI626" s="907" t="str">
        <f t="shared" si="127"/>
        <v xml:space="preserve"> </v>
      </c>
      <c r="AJ626" s="911"/>
      <c r="AK626" s="894"/>
    </row>
    <row r="627" spans="1:37" s="376" customFormat="1" ht="22.5" outlineLevel="2" x14ac:dyDescent="0.3">
      <c r="A627" s="447">
        <f t="shared" si="133"/>
        <v>52</v>
      </c>
      <c r="B627" s="893"/>
      <c r="C627" s="894"/>
      <c r="D627" s="923"/>
      <c r="E627" s="923"/>
      <c r="F627" s="896"/>
      <c r="G627" s="894"/>
      <c r="H627" s="924"/>
      <c r="I627" s="882"/>
      <c r="J627" s="925"/>
      <c r="K627" s="899" t="str">
        <f>IF(G627&lt;&gt;0,VLOOKUP(G627,'gia dat'!$A$1:$F$144,5,0)," ")</f>
        <v xml:space="preserve"> </v>
      </c>
      <c r="L627" s="899" t="str">
        <f>IF(G627&lt;&gt;0,VLOOKUP(G627,'gia dat'!$A$1:$F$144,6,0)," ")</f>
        <v xml:space="preserve"> </v>
      </c>
      <c r="M627" s="900" t="str">
        <f t="shared" si="123"/>
        <v xml:space="preserve"> </v>
      </c>
      <c r="N627" s="900" t="str">
        <f t="shared" si="124"/>
        <v xml:space="preserve"> </v>
      </c>
      <c r="O627" s="894"/>
      <c r="P627" s="926"/>
      <c r="Q627" s="900" t="str">
        <f>IF(O627&lt;&gt;0,VLOOKUP(O627,'Cây trong'!$A$2:$C$246,3,0)," ")</f>
        <v xml:space="preserve"> </v>
      </c>
      <c r="R627" s="900" t="str">
        <f t="shared" si="125"/>
        <v xml:space="preserve"> </v>
      </c>
      <c r="S627" s="902"/>
      <c r="T627" s="925"/>
      <c r="U627" s="927"/>
      <c r="V627" s="925"/>
      <c r="W627" s="900" t="str">
        <f>IF(S627&lt;&gt;0,VLOOKUP(S627,VKT!$A$2:$G$415,7,0),"")</f>
        <v/>
      </c>
      <c r="X627" s="900" t="str">
        <f t="shared" si="134"/>
        <v xml:space="preserve"> </v>
      </c>
      <c r="Y627" s="925"/>
      <c r="Z627" s="928"/>
      <c r="AA627" s="928"/>
      <c r="AB627" s="904"/>
      <c r="AC627" s="928"/>
      <c r="AD627" s="928"/>
      <c r="AE627" s="928"/>
      <c r="AF627" s="926"/>
      <c r="AG627" s="906" t="str">
        <f>IF(AE627&lt;&gt;0,VLOOKUP(AE627,ODDS!$A$2:$C$13,3,0),"")</f>
        <v/>
      </c>
      <c r="AH627" s="906" t="str">
        <f t="shared" si="126"/>
        <v xml:space="preserve"> </v>
      </c>
      <c r="AI627" s="907" t="str">
        <f t="shared" si="127"/>
        <v xml:space="preserve"> </v>
      </c>
      <c r="AJ627" s="929"/>
      <c r="AK627" s="929"/>
    </row>
    <row r="628" spans="1:37" s="376" customFormat="1" ht="22.5" outlineLevel="2" x14ac:dyDescent="0.3">
      <c r="A628" s="447">
        <f t="shared" si="133"/>
        <v>52</v>
      </c>
      <c r="B628" s="893"/>
      <c r="C628" s="942"/>
      <c r="D628" s="923"/>
      <c r="E628" s="923"/>
      <c r="F628" s="896"/>
      <c r="G628" s="894"/>
      <c r="H628" s="924"/>
      <c r="I628" s="882"/>
      <c r="J628" s="925"/>
      <c r="K628" s="899" t="str">
        <f>IF(G628&lt;&gt;0,VLOOKUP(G628,'gia dat'!$A$1:$F$144,5,0)," ")</f>
        <v xml:space="preserve"> </v>
      </c>
      <c r="L628" s="899" t="str">
        <f>IF(G628&lt;&gt;0,VLOOKUP(G628,'gia dat'!$A$1:$F$144,6,0)," ")</f>
        <v xml:space="preserve"> </v>
      </c>
      <c r="M628" s="900" t="str">
        <f t="shared" si="123"/>
        <v xml:space="preserve"> </v>
      </c>
      <c r="N628" s="900" t="str">
        <f t="shared" si="124"/>
        <v xml:space="preserve"> </v>
      </c>
      <c r="O628" s="922"/>
      <c r="P628" s="965"/>
      <c r="Q628" s="900" t="str">
        <f>IF(O628&lt;&gt;0,VLOOKUP(O628,'Cây trong'!$A$2:$C$246,3,0)," ")</f>
        <v xml:space="preserve"> </v>
      </c>
      <c r="R628" s="900" t="str">
        <f t="shared" si="125"/>
        <v xml:space="preserve"> </v>
      </c>
      <c r="S628" s="922"/>
      <c r="T628" s="944"/>
      <c r="U628" s="927"/>
      <c r="V628" s="925"/>
      <c r="W628" s="900" t="str">
        <f>IF(S628&lt;&gt;0,VLOOKUP(S628,VKT!$A$2:$G$415,7,0),"")</f>
        <v/>
      </c>
      <c r="X628" s="900" t="str">
        <f t="shared" si="134"/>
        <v xml:space="preserve"> </v>
      </c>
      <c r="Y628" s="925"/>
      <c r="Z628" s="928"/>
      <c r="AA628" s="928"/>
      <c r="AB628" s="904"/>
      <c r="AC628" s="928"/>
      <c r="AD628" s="928"/>
      <c r="AE628" s="928"/>
      <c r="AF628" s="926"/>
      <c r="AG628" s="906" t="str">
        <f>IF(AE628&lt;&gt;0,VLOOKUP(AE628,ODDS!$A$2:$C$13,3,0),"")</f>
        <v/>
      </c>
      <c r="AH628" s="906" t="str">
        <f t="shared" si="126"/>
        <v xml:space="preserve"> </v>
      </c>
      <c r="AI628" s="907" t="str">
        <f t="shared" si="127"/>
        <v xml:space="preserve"> </v>
      </c>
      <c r="AJ628" s="894"/>
      <c r="AK628" s="894"/>
    </row>
    <row r="629" spans="1:37" s="376" customFormat="1" ht="43.5" outlineLevel="1" x14ac:dyDescent="0.25">
      <c r="A629" s="467" t="s">
        <v>2657</v>
      </c>
      <c r="B629" s="912">
        <v>53</v>
      </c>
      <c r="C629" s="942" t="s">
        <v>38</v>
      </c>
      <c r="D629" s="931"/>
      <c r="E629" s="931"/>
      <c r="F629" s="913"/>
      <c r="G629" s="910"/>
      <c r="H629" s="953">
        <f>SUBTOTAL(9,H630:H639)</f>
        <v>48.9</v>
      </c>
      <c r="I629" s="915">
        <f>SUBTOTAL(9,I630:I635)</f>
        <v>48.5</v>
      </c>
      <c r="J629" s="943"/>
      <c r="K629" s="917"/>
      <c r="L629" s="917"/>
      <c r="M629" s="907">
        <f>SUBTOTAL(9,M630:M639)</f>
        <v>29193000</v>
      </c>
      <c r="N629" s="907">
        <f>SUBTOTAL(9,N630:N639)</f>
        <v>80665000</v>
      </c>
      <c r="O629" s="914"/>
      <c r="P629" s="935">
        <f>SUBTOTAL(9,P630:P639)</f>
        <v>0</v>
      </c>
      <c r="Q629" s="907"/>
      <c r="R629" s="907">
        <f>SUBTOTAL(9,R630:R639)</f>
        <v>0</v>
      </c>
      <c r="S629" s="914"/>
      <c r="T629" s="956"/>
      <c r="U629" s="936">
        <f>SUBTOTAL(9,U630:U639)</f>
        <v>78.800000000000011</v>
      </c>
      <c r="V629" s="933"/>
      <c r="W629" s="907"/>
      <c r="X629" s="907">
        <f>SUBTOTAL(9,X630:X639)</f>
        <v>63492000</v>
      </c>
      <c r="Y629" s="925"/>
      <c r="Z629" s="928"/>
      <c r="AA629" s="928"/>
      <c r="AB629" s="904"/>
      <c r="AC629" s="928"/>
      <c r="AD629" s="928"/>
      <c r="AE629" s="937"/>
      <c r="AF629" s="935">
        <f>SUBTOTAL(9,AF630:AF639)</f>
        <v>0</v>
      </c>
      <c r="AG629" s="921"/>
      <c r="AH629" s="921">
        <f>SUBTOTAL(9,AH630:AH639)</f>
        <v>0</v>
      </c>
      <c r="AI629" s="907">
        <f t="shared" si="127"/>
        <v>173350000</v>
      </c>
      <c r="AJ629" s="910"/>
      <c r="AK629" s="914"/>
    </row>
    <row r="630" spans="1:37" s="376" customFormat="1" ht="135" outlineLevel="2" x14ac:dyDescent="0.3">
      <c r="A630" s="447">
        <f>IF(B629&lt;&gt;0,B629,A628)</f>
        <v>53</v>
      </c>
      <c r="B630" s="893"/>
      <c r="C630" s="908" t="s">
        <v>220</v>
      </c>
      <c r="D630" s="923">
        <v>5</v>
      </c>
      <c r="E630" s="923">
        <v>86</v>
      </c>
      <c r="F630" s="896">
        <v>327</v>
      </c>
      <c r="G630" s="894" t="s">
        <v>2037</v>
      </c>
      <c r="H630" s="924">
        <v>0.4</v>
      </c>
      <c r="I630" s="882" t="str">
        <f t="shared" ref="I630:I632" si="135">IF(N630&gt;0,H630,"")</f>
        <v/>
      </c>
      <c r="J630" s="929"/>
      <c r="K630" s="899">
        <f>IF(G630&lt;&gt;0,VLOOKUP(G630,'gia dat'!$A$1:$F$144,5,0)," ")</f>
        <v>5762400</v>
      </c>
      <c r="L630" s="899">
        <f>IF(G630&lt;&gt;0,VLOOKUP(G630,'gia dat'!$A$1:$F$144,6,0)," ")</f>
        <v>0</v>
      </c>
      <c r="M630" s="900">
        <f t="shared" si="123"/>
        <v>2305000</v>
      </c>
      <c r="N630" s="900">
        <f t="shared" si="124"/>
        <v>0</v>
      </c>
      <c r="O630" s="922"/>
      <c r="P630" s="926"/>
      <c r="Q630" s="900" t="str">
        <f>IF(O630&lt;&gt;0,VLOOKUP(O630,'Cây trong'!$A$2:$C$246,3,0)," ")</f>
        <v xml:space="preserve"> </v>
      </c>
      <c r="R630" s="900" t="str">
        <f t="shared" si="125"/>
        <v xml:space="preserve"> </v>
      </c>
      <c r="S630" s="922" t="s">
        <v>1820</v>
      </c>
      <c r="T630" s="944" t="s">
        <v>53</v>
      </c>
      <c r="U630" s="927">
        <f>3.6</f>
        <v>3.6</v>
      </c>
      <c r="V630" s="925">
        <v>14.4</v>
      </c>
      <c r="W630" s="900">
        <f>IF(S630&lt;&gt;0,VLOOKUP(S630,VKT!$A$2:$G$415,7,0),"")</f>
        <v>5307665</v>
      </c>
      <c r="X630" s="900">
        <f t="shared" si="134"/>
        <v>19108000</v>
      </c>
      <c r="Y630" s="925" t="s">
        <v>63</v>
      </c>
      <c r="Z630" s="928" t="s">
        <v>55</v>
      </c>
      <c r="AA630" s="928" t="s">
        <v>56</v>
      </c>
      <c r="AB630" s="904" t="s">
        <v>57</v>
      </c>
      <c r="AC630" s="928" t="s">
        <v>63</v>
      </c>
      <c r="AD630" s="928" t="s">
        <v>206</v>
      </c>
      <c r="AE630" s="928"/>
      <c r="AF630" s="926"/>
      <c r="AG630" s="906" t="str">
        <f>IF(AE630&lt;&gt;0,VLOOKUP(AE630,ODDS!$A$2:$C$13,3,0),"")</f>
        <v/>
      </c>
      <c r="AH630" s="906"/>
      <c r="AI630" s="907" t="str">
        <f t="shared" si="127"/>
        <v xml:space="preserve"> </v>
      </c>
      <c r="AJ630" s="894" t="s">
        <v>686</v>
      </c>
      <c r="AK630" s="922" t="s">
        <v>2771</v>
      </c>
    </row>
    <row r="631" spans="1:37" s="376" customFormat="1" ht="90" outlineLevel="2" x14ac:dyDescent="0.3">
      <c r="A631" s="447">
        <f t="shared" ref="A631:A639" si="136">IF(B630&lt;&gt;0,B630,A630)</f>
        <v>53</v>
      </c>
      <c r="B631" s="893"/>
      <c r="C631" s="910" t="s">
        <v>393</v>
      </c>
      <c r="D631" s="923"/>
      <c r="E631" s="923">
        <v>86</v>
      </c>
      <c r="F631" s="896">
        <v>327</v>
      </c>
      <c r="G631" s="894" t="s">
        <v>2469</v>
      </c>
      <c r="H631" s="924">
        <v>42.1</v>
      </c>
      <c r="I631" s="882">
        <f t="shared" si="135"/>
        <v>42.1</v>
      </c>
      <c r="J631" s="929"/>
      <c r="K631" s="899">
        <f>IF(G631&lt;&gt;0,VLOOKUP(G631,'gia dat'!$A$1:$F$144,5,0)," ")</f>
        <v>554400</v>
      </c>
      <c r="L631" s="899">
        <f>IF(G631&lt;&gt;0,VLOOKUP(G631,'gia dat'!$A$1:$F$144,6,0)," ")</f>
        <v>1663200</v>
      </c>
      <c r="M631" s="900">
        <f t="shared" si="123"/>
        <v>23340000</v>
      </c>
      <c r="N631" s="900">
        <f t="shared" si="124"/>
        <v>70021000</v>
      </c>
      <c r="O631" s="922"/>
      <c r="P631" s="926"/>
      <c r="Q631" s="900" t="str">
        <f>IF(O631&lt;&gt;0,VLOOKUP(O631,'Cây trong'!$A$2:$C$246,3,0)," ")</f>
        <v xml:space="preserve"> </v>
      </c>
      <c r="R631" s="900" t="str">
        <f t="shared" si="125"/>
        <v xml:space="preserve"> </v>
      </c>
      <c r="S631" s="922" t="s">
        <v>1863</v>
      </c>
      <c r="T631" s="944" t="s">
        <v>53</v>
      </c>
      <c r="U631" s="927">
        <v>16.5</v>
      </c>
      <c r="V631" s="925"/>
      <c r="W631" s="900">
        <f>IF(S631&lt;&gt;0,VLOOKUP(S631,VKT!$A$2:$G$415,7,0),"")</f>
        <v>1107311</v>
      </c>
      <c r="X631" s="900">
        <f t="shared" si="134"/>
        <v>18271000</v>
      </c>
      <c r="Y631" s="925"/>
      <c r="Z631" s="928" t="s">
        <v>55</v>
      </c>
      <c r="AA631" s="928" t="s">
        <v>56</v>
      </c>
      <c r="AB631" s="904" t="s">
        <v>332</v>
      </c>
      <c r="AC631" s="928" t="s">
        <v>66</v>
      </c>
      <c r="AD631" s="928"/>
      <c r="AE631" s="928"/>
      <c r="AF631" s="926"/>
      <c r="AG631" s="906" t="str">
        <f>IF(AE631&lt;&gt;0,VLOOKUP(AE631,ODDS!$A$2:$C$13,3,0),"")</f>
        <v/>
      </c>
      <c r="AH631" s="906" t="str">
        <f t="shared" si="126"/>
        <v xml:space="preserve"> </v>
      </c>
      <c r="AI631" s="907" t="str">
        <f t="shared" si="127"/>
        <v xml:space="preserve"> </v>
      </c>
      <c r="AJ631" s="894" t="s">
        <v>533</v>
      </c>
      <c r="AK631" s="894" t="s">
        <v>2448</v>
      </c>
    </row>
    <row r="632" spans="1:37" s="376" customFormat="1" ht="112.5" outlineLevel="2" x14ac:dyDescent="0.3">
      <c r="A632" s="447">
        <f t="shared" si="136"/>
        <v>53</v>
      </c>
      <c r="B632" s="893"/>
      <c r="C632" s="894" t="s">
        <v>394</v>
      </c>
      <c r="D632" s="923"/>
      <c r="E632" s="923"/>
      <c r="F632" s="896"/>
      <c r="G632" s="894" t="s">
        <v>2470</v>
      </c>
      <c r="H632" s="924">
        <v>6.4</v>
      </c>
      <c r="I632" s="882">
        <f t="shared" si="135"/>
        <v>6.4</v>
      </c>
      <c r="J632" s="925"/>
      <c r="K632" s="899">
        <f>IF(G632&lt;&gt;0,VLOOKUP(G632,'gia dat'!$A$1:$F$144,5,0)," ")</f>
        <v>554400</v>
      </c>
      <c r="L632" s="899">
        <f>IF(G632&lt;&gt;0,VLOOKUP(G632,'gia dat'!$A$1:$F$144,6,0)," ")</f>
        <v>1663200</v>
      </c>
      <c r="M632" s="900">
        <f t="shared" si="123"/>
        <v>3548000</v>
      </c>
      <c r="N632" s="900">
        <f t="shared" si="124"/>
        <v>10644000</v>
      </c>
      <c r="O632" s="894"/>
      <c r="P632" s="926"/>
      <c r="Q632" s="900" t="str">
        <f>IF(O632&lt;&gt;0,VLOOKUP(O632,'Cây trong'!$A$2:$C$246,3,0)," ")</f>
        <v xml:space="preserve"> </v>
      </c>
      <c r="R632" s="900" t="str">
        <f t="shared" si="125"/>
        <v xml:space="preserve"> </v>
      </c>
      <c r="S632" s="902" t="s">
        <v>1766</v>
      </c>
      <c r="T632" s="925" t="s">
        <v>53</v>
      </c>
      <c r="U632" s="927">
        <v>11.5</v>
      </c>
      <c r="V632" s="925"/>
      <c r="W632" s="900">
        <f>IF(S632&lt;&gt;0,VLOOKUP(S632,VKT!$A$2:$G$415,7,0),"")</f>
        <v>265836</v>
      </c>
      <c r="X632" s="900">
        <f t="shared" si="134"/>
        <v>3057000</v>
      </c>
      <c r="Y632" s="925"/>
      <c r="Z632" s="928"/>
      <c r="AA632" s="928"/>
      <c r="AB632" s="904"/>
      <c r="AC632" s="928"/>
      <c r="AD632" s="928"/>
      <c r="AE632" s="928"/>
      <c r="AF632" s="926"/>
      <c r="AG632" s="906" t="str">
        <f>IF(AE632&lt;&gt;0,VLOOKUP(AE632,ODDS!$A$2:$C$13,3,0),"")</f>
        <v/>
      </c>
      <c r="AH632" s="906" t="str">
        <f t="shared" si="126"/>
        <v xml:space="preserve"> </v>
      </c>
      <c r="AI632" s="907" t="str">
        <f t="shared" si="127"/>
        <v xml:space="preserve"> </v>
      </c>
      <c r="AJ632" s="929" t="s">
        <v>296</v>
      </c>
      <c r="AK632" s="894" t="s">
        <v>2450</v>
      </c>
    </row>
    <row r="633" spans="1:37" s="376" customFormat="1" ht="112.5" outlineLevel="2" x14ac:dyDescent="0.3">
      <c r="A633" s="447">
        <f t="shared" si="136"/>
        <v>53</v>
      </c>
      <c r="B633" s="893"/>
      <c r="C633" s="963" t="s">
        <v>687</v>
      </c>
      <c r="D633" s="923"/>
      <c r="E633" s="923"/>
      <c r="F633" s="896"/>
      <c r="G633" s="894"/>
      <c r="H633" s="924"/>
      <c r="I633" s="882"/>
      <c r="J633" s="925"/>
      <c r="K633" s="899" t="str">
        <f>IF(G633&lt;&gt;0,VLOOKUP(G633,'gia dat'!$A$1:$F$144,5,0)," ")</f>
        <v xml:space="preserve"> </v>
      </c>
      <c r="L633" s="899" t="str">
        <f>IF(G633&lt;&gt;0,VLOOKUP(G633,'gia dat'!$A$1:$F$144,6,0)," ")</f>
        <v xml:space="preserve"> </v>
      </c>
      <c r="M633" s="900" t="str">
        <f t="shared" si="123"/>
        <v xml:space="preserve"> </v>
      </c>
      <c r="N633" s="900" t="str">
        <f t="shared" si="124"/>
        <v xml:space="preserve"> </v>
      </c>
      <c r="O633" s="894"/>
      <c r="P633" s="926"/>
      <c r="Q633" s="900" t="str">
        <f>IF(O633&lt;&gt;0,VLOOKUP(O633,'Cây trong'!$A$2:$C$246,3,0)," ")</f>
        <v xml:space="preserve"> </v>
      </c>
      <c r="R633" s="900" t="str">
        <f t="shared" si="125"/>
        <v xml:space="preserve"> </v>
      </c>
      <c r="S633" s="902" t="s">
        <v>1768</v>
      </c>
      <c r="T633" s="925" t="s">
        <v>53</v>
      </c>
      <c r="U633" s="927">
        <v>3.2</v>
      </c>
      <c r="V633" s="925"/>
      <c r="W633" s="900">
        <f>IF(S633&lt;&gt;0,VLOOKUP(S633,VKT!$A$2:$G$415,7,0),"")</f>
        <v>238288</v>
      </c>
      <c r="X633" s="900">
        <f t="shared" si="134"/>
        <v>763000</v>
      </c>
      <c r="Y633" s="925"/>
      <c r="Z633" s="928"/>
      <c r="AA633" s="928"/>
      <c r="AB633" s="904"/>
      <c r="AC633" s="928"/>
      <c r="AD633" s="928"/>
      <c r="AE633" s="928"/>
      <c r="AF633" s="926"/>
      <c r="AG633" s="906" t="str">
        <f>IF(AE633&lt;&gt;0,VLOOKUP(AE633,ODDS!$A$2:$C$13,3,0),"")</f>
        <v/>
      </c>
      <c r="AH633" s="906" t="str">
        <f t="shared" si="126"/>
        <v xml:space="preserve"> </v>
      </c>
      <c r="AI633" s="907" t="str">
        <f t="shared" si="127"/>
        <v xml:space="preserve"> </v>
      </c>
      <c r="AJ633" s="943" t="s">
        <v>111</v>
      </c>
      <c r="AK633" s="894" t="s">
        <v>2800</v>
      </c>
    </row>
    <row r="634" spans="1:37" s="376" customFormat="1" ht="135" outlineLevel="2" x14ac:dyDescent="0.3">
      <c r="A634" s="447">
        <f t="shared" si="136"/>
        <v>53</v>
      </c>
      <c r="B634" s="893"/>
      <c r="C634" s="894"/>
      <c r="D634" s="923"/>
      <c r="E634" s="923"/>
      <c r="F634" s="896"/>
      <c r="G634" s="894"/>
      <c r="H634" s="924"/>
      <c r="I634" s="882"/>
      <c r="J634" s="925"/>
      <c r="K634" s="899" t="str">
        <f>IF(G634&lt;&gt;0,VLOOKUP(G634,'gia dat'!$A$1:$F$144,5,0)," ")</f>
        <v xml:space="preserve"> </v>
      </c>
      <c r="L634" s="899" t="str">
        <f>IF(G634&lt;&gt;0,VLOOKUP(G634,'gia dat'!$A$1:$F$144,6,0)," ")</f>
        <v xml:space="preserve"> </v>
      </c>
      <c r="M634" s="900" t="str">
        <f t="shared" si="123"/>
        <v xml:space="preserve"> </v>
      </c>
      <c r="N634" s="900" t="str">
        <f t="shared" si="124"/>
        <v xml:space="preserve"> </v>
      </c>
      <c r="O634" s="894"/>
      <c r="P634" s="926"/>
      <c r="Q634" s="900" t="str">
        <f>IF(O634&lt;&gt;0,VLOOKUP(O634,'Cây trong'!$A$2:$C$246,3,0)," ")</f>
        <v xml:space="preserve"> </v>
      </c>
      <c r="R634" s="900" t="str">
        <f t="shared" si="125"/>
        <v xml:space="preserve"> </v>
      </c>
      <c r="S634" s="902" t="s">
        <v>1768</v>
      </c>
      <c r="T634" s="925" t="s">
        <v>53</v>
      </c>
      <c r="U634" s="927">
        <v>14</v>
      </c>
      <c r="V634" s="925"/>
      <c r="W634" s="900">
        <f>IF(S634&lt;&gt;0,VLOOKUP(S634,VKT!$A$2:$G$415,7,0),"")</f>
        <v>238288</v>
      </c>
      <c r="X634" s="900">
        <f t="shared" si="134"/>
        <v>3336000</v>
      </c>
      <c r="Y634" s="925"/>
      <c r="Z634" s="928"/>
      <c r="AA634" s="928"/>
      <c r="AB634" s="904"/>
      <c r="AC634" s="928"/>
      <c r="AD634" s="928"/>
      <c r="AE634" s="928"/>
      <c r="AF634" s="926"/>
      <c r="AG634" s="906" t="str">
        <f>IF(AE634&lt;&gt;0,VLOOKUP(AE634,ODDS!$A$2:$C$13,3,0),"")</f>
        <v/>
      </c>
      <c r="AH634" s="906" t="str">
        <f t="shared" si="126"/>
        <v xml:space="preserve"> </v>
      </c>
      <c r="AI634" s="907" t="str">
        <f t="shared" si="127"/>
        <v xml:space="preserve"> </v>
      </c>
      <c r="AJ634" s="894" t="s">
        <v>535</v>
      </c>
      <c r="AK634" s="943"/>
    </row>
    <row r="635" spans="1:37" s="376" customFormat="1" ht="90" outlineLevel="2" x14ac:dyDescent="0.3">
      <c r="A635" s="447">
        <f t="shared" si="136"/>
        <v>53</v>
      </c>
      <c r="B635" s="893"/>
      <c r="C635" s="942"/>
      <c r="D635" s="923"/>
      <c r="E635" s="923"/>
      <c r="F635" s="896"/>
      <c r="G635" s="894"/>
      <c r="H635" s="924"/>
      <c r="I635" s="882"/>
      <c r="J635" s="925"/>
      <c r="K635" s="899" t="str">
        <f>IF(G635&lt;&gt;0,VLOOKUP(G635,'gia dat'!$A$1:$F$144,5,0)," ")</f>
        <v xml:space="preserve"> </v>
      </c>
      <c r="L635" s="899" t="str">
        <f>IF(G635&lt;&gt;0,VLOOKUP(G635,'gia dat'!$A$1:$F$144,6,0)," ")</f>
        <v xml:space="preserve"> </v>
      </c>
      <c r="M635" s="900" t="str">
        <f t="shared" si="123"/>
        <v xml:space="preserve"> </v>
      </c>
      <c r="N635" s="900" t="str">
        <f t="shared" si="124"/>
        <v xml:space="preserve"> </v>
      </c>
      <c r="O635" s="894"/>
      <c r="P635" s="926"/>
      <c r="Q635" s="900" t="str">
        <f>IF(O635&lt;&gt;0,VLOOKUP(O635,'Cây trong'!$A$2:$C$246,3,0)," ")</f>
        <v xml:space="preserve"> </v>
      </c>
      <c r="R635" s="900" t="str">
        <f t="shared" si="125"/>
        <v xml:space="preserve"> </v>
      </c>
      <c r="S635" s="902" t="s">
        <v>2150</v>
      </c>
      <c r="T635" s="925" t="s">
        <v>53</v>
      </c>
      <c r="U635" s="927">
        <v>13.5</v>
      </c>
      <c r="V635" s="925"/>
      <c r="W635" s="900">
        <f>IF(S635&lt;&gt;0,VLOOKUP(S635,VKT!$A$2:$G$415,7,0),"")</f>
        <v>1067915</v>
      </c>
      <c r="X635" s="900">
        <f t="shared" si="134"/>
        <v>14417000</v>
      </c>
      <c r="Y635" s="925"/>
      <c r="Z635" s="928"/>
      <c r="AA635" s="928"/>
      <c r="AB635" s="904"/>
      <c r="AC635" s="928"/>
      <c r="AD635" s="928"/>
      <c r="AE635" s="928"/>
      <c r="AF635" s="926"/>
      <c r="AG635" s="906" t="str">
        <f>IF(AE635&lt;&gt;0,VLOOKUP(AE635,ODDS!$A$2:$C$13,3,0),"")</f>
        <v/>
      </c>
      <c r="AH635" s="906" t="str">
        <f t="shared" si="126"/>
        <v xml:space="preserve"> </v>
      </c>
      <c r="AI635" s="907" t="str">
        <f t="shared" si="127"/>
        <v xml:space="preserve"> </v>
      </c>
      <c r="AJ635" s="894" t="s">
        <v>2074</v>
      </c>
      <c r="AK635" s="894"/>
    </row>
    <row r="636" spans="1:37" s="376" customFormat="1" ht="45" outlineLevel="2" x14ac:dyDescent="0.35">
      <c r="A636" s="447">
        <f t="shared" si="136"/>
        <v>53</v>
      </c>
      <c r="B636" s="893"/>
      <c r="C636" s="908"/>
      <c r="D636" s="923"/>
      <c r="E636" s="923"/>
      <c r="F636" s="896"/>
      <c r="G636" s="894"/>
      <c r="H636" s="924"/>
      <c r="I636" s="882"/>
      <c r="J636" s="925"/>
      <c r="K636" s="899" t="str">
        <f>IF(G636&lt;&gt;0,VLOOKUP(G636,'gia dat'!$A$1:$F$144,5,0)," ")</f>
        <v xml:space="preserve"> </v>
      </c>
      <c r="L636" s="899" t="str">
        <f>IF(G636&lt;&gt;0,VLOOKUP(G636,'gia dat'!$A$1:$F$144,6,0)," ")</f>
        <v xml:space="preserve"> </v>
      </c>
      <c r="M636" s="900" t="str">
        <f t="shared" si="123"/>
        <v xml:space="preserve"> </v>
      </c>
      <c r="N636" s="900" t="str">
        <f t="shared" si="124"/>
        <v xml:space="preserve"> </v>
      </c>
      <c r="O636" s="894"/>
      <c r="P636" s="926"/>
      <c r="Q636" s="900" t="str">
        <f>IF(O636&lt;&gt;0,VLOOKUP(O636,'Cây trong'!$A$2:$C$246,3,0)," ")</f>
        <v xml:space="preserve"> </v>
      </c>
      <c r="R636" s="900" t="str">
        <f t="shared" si="125"/>
        <v xml:space="preserve"> </v>
      </c>
      <c r="S636" s="902" t="s">
        <v>1799</v>
      </c>
      <c r="T636" s="925" t="s">
        <v>53</v>
      </c>
      <c r="U636" s="927">
        <v>16.5</v>
      </c>
      <c r="V636" s="925"/>
      <c r="W636" s="900">
        <f>IF(S636&lt;&gt;0,VLOOKUP(S636,VKT!$A$2:$G$415,7,0),"")</f>
        <v>275180</v>
      </c>
      <c r="X636" s="900">
        <f t="shared" si="134"/>
        <v>4540000</v>
      </c>
      <c r="Y636" s="925"/>
      <c r="Z636" s="928"/>
      <c r="AA636" s="928"/>
      <c r="AB636" s="904"/>
      <c r="AC636" s="928"/>
      <c r="AD636" s="928"/>
      <c r="AE636" s="928"/>
      <c r="AF636" s="926"/>
      <c r="AG636" s="906" t="str">
        <f>IF(AE636&lt;&gt;0,VLOOKUP(AE636,ODDS!$A$2:$C$13,3,0),"")</f>
        <v/>
      </c>
      <c r="AH636" s="906" t="str">
        <f t="shared" si="126"/>
        <v xml:space="preserve"> </v>
      </c>
      <c r="AI636" s="907" t="str">
        <f t="shared" si="127"/>
        <v xml:space="preserve"> </v>
      </c>
      <c r="AJ636" s="911"/>
      <c r="AK636" s="929"/>
    </row>
    <row r="637" spans="1:37" s="376" customFormat="1" ht="22.5" outlineLevel="2" x14ac:dyDescent="0.3">
      <c r="A637" s="447">
        <f t="shared" si="136"/>
        <v>53</v>
      </c>
      <c r="B637" s="893"/>
      <c r="C637" s="908"/>
      <c r="D637" s="923"/>
      <c r="E637" s="923"/>
      <c r="F637" s="950"/>
      <c r="G637" s="894"/>
      <c r="H637" s="940"/>
      <c r="I637" s="882"/>
      <c r="J637" s="929"/>
      <c r="K637" s="899" t="str">
        <f>IF(G637&lt;&gt;0,VLOOKUP(G637,'gia dat'!$A$1:$F$144,5,0)," ")</f>
        <v xml:space="preserve"> </v>
      </c>
      <c r="L637" s="899" t="str">
        <f>IF(G637&lt;&gt;0,VLOOKUP(G637,'gia dat'!$A$1:$F$144,6,0)," ")</f>
        <v xml:space="preserve"> </v>
      </c>
      <c r="M637" s="900" t="str">
        <f t="shared" si="123"/>
        <v xml:space="preserve"> </v>
      </c>
      <c r="N637" s="900" t="str">
        <f t="shared" si="124"/>
        <v xml:space="preserve"> </v>
      </c>
      <c r="O637" s="929"/>
      <c r="P637" s="951"/>
      <c r="Q637" s="900" t="str">
        <f>IF(O637&lt;&gt;0,VLOOKUP(O637,'Cây trong'!$A$2:$C$246,3,0)," ")</f>
        <v xml:space="preserve"> </v>
      </c>
      <c r="R637" s="900" t="str">
        <f t="shared" si="125"/>
        <v xml:space="preserve"> </v>
      </c>
      <c r="S637" s="922"/>
      <c r="T637" s="944"/>
      <c r="U637" s="952"/>
      <c r="V637" s="925"/>
      <c r="W637" s="900" t="str">
        <f>IF(S637&lt;&gt;0,VLOOKUP(S637,VKT!$A$2:$G$415,7,0),"")</f>
        <v/>
      </c>
      <c r="X637" s="900" t="str">
        <f t="shared" si="134"/>
        <v xml:space="preserve"> </v>
      </c>
      <c r="Y637" s="925"/>
      <c r="Z637" s="925"/>
      <c r="AA637" s="925"/>
      <c r="AB637" s="898"/>
      <c r="AC637" s="925"/>
      <c r="AD637" s="925"/>
      <c r="AE637" s="925"/>
      <c r="AF637" s="964"/>
      <c r="AG637" s="906" t="str">
        <f>IF(AE637&lt;&gt;0,VLOOKUP(AE637,ODDS!$A$2:$C$13,3,0),"")</f>
        <v/>
      </c>
      <c r="AH637" s="906" t="str">
        <f t="shared" si="126"/>
        <v xml:space="preserve"> </v>
      </c>
      <c r="AI637" s="907" t="str">
        <f t="shared" si="127"/>
        <v xml:space="preserve"> </v>
      </c>
      <c r="AJ637" s="929"/>
      <c r="AK637" s="929"/>
    </row>
    <row r="638" spans="1:37" s="376" customFormat="1" ht="22.5" outlineLevel="2" x14ac:dyDescent="0.3">
      <c r="A638" s="447">
        <f t="shared" si="136"/>
        <v>53</v>
      </c>
      <c r="B638" s="893"/>
      <c r="C638" s="908"/>
      <c r="D638" s="923"/>
      <c r="E638" s="923"/>
      <c r="F638" s="950"/>
      <c r="G638" s="894"/>
      <c r="H638" s="940"/>
      <c r="I638" s="882"/>
      <c r="J638" s="929"/>
      <c r="K638" s="899" t="str">
        <f>IF(G638&lt;&gt;0,VLOOKUP(G638,'gia dat'!$A$1:$F$144,5,0)," ")</f>
        <v xml:space="preserve"> </v>
      </c>
      <c r="L638" s="899" t="str">
        <f>IF(G638&lt;&gt;0,VLOOKUP(G638,'gia dat'!$A$1:$F$144,6,0)," ")</f>
        <v xml:space="preserve"> </v>
      </c>
      <c r="M638" s="900" t="str">
        <f t="shared" ref="M638:M709" si="137">IF(H638&lt;&gt;0,ROUND(H638*K638,-3)," ")</f>
        <v xml:space="preserve"> </v>
      </c>
      <c r="N638" s="900" t="str">
        <f t="shared" ref="N638:N709" si="138">IF(H638&lt;&gt;0,ROUND(H638*L638,-3)," ")</f>
        <v xml:space="preserve"> </v>
      </c>
      <c r="O638" s="929"/>
      <c r="P638" s="951"/>
      <c r="Q638" s="900" t="str">
        <f>IF(O638&lt;&gt;0,VLOOKUP(O638,'Cây trong'!$A$2:$C$246,3,0)," ")</f>
        <v xml:space="preserve"> </v>
      </c>
      <c r="R638" s="900" t="str">
        <f t="shared" si="125"/>
        <v xml:space="preserve"> </v>
      </c>
      <c r="S638" s="929"/>
      <c r="T638" s="929"/>
      <c r="U638" s="952"/>
      <c r="V638" s="925"/>
      <c r="W638" s="900" t="str">
        <f>IF(S638&lt;&gt;0,VLOOKUP(S638,VKT!$A$2:$G$415,7,0),"")</f>
        <v/>
      </c>
      <c r="X638" s="900" t="str">
        <f t="shared" si="134"/>
        <v xml:space="preserve"> </v>
      </c>
      <c r="Y638" s="925"/>
      <c r="Z638" s="925"/>
      <c r="AA638" s="925"/>
      <c r="AB638" s="898"/>
      <c r="AC638" s="925"/>
      <c r="AD638" s="925"/>
      <c r="AE638" s="925"/>
      <c r="AF638" s="964"/>
      <c r="AG638" s="906" t="str">
        <f>IF(AE638&lt;&gt;0,VLOOKUP(AE638,ODDS!$A$2:$C$13,3,0),"")</f>
        <v/>
      </c>
      <c r="AH638" s="906" t="str">
        <f t="shared" si="126"/>
        <v xml:space="preserve"> </v>
      </c>
      <c r="AI638" s="907" t="str">
        <f t="shared" si="127"/>
        <v xml:space="preserve"> </v>
      </c>
      <c r="AJ638" s="929"/>
      <c r="AK638" s="929"/>
    </row>
    <row r="639" spans="1:37" s="376" customFormat="1" ht="22.5" outlineLevel="2" x14ac:dyDescent="0.3">
      <c r="A639" s="447">
        <f t="shared" si="136"/>
        <v>53</v>
      </c>
      <c r="B639" s="893"/>
      <c r="C639" s="910"/>
      <c r="D639" s="923"/>
      <c r="E639" s="947"/>
      <c r="F639" s="947"/>
      <c r="G639" s="922"/>
      <c r="H639" s="924"/>
      <c r="I639" s="882"/>
      <c r="J639" s="929"/>
      <c r="K639" s="899" t="str">
        <f>IF(G639&lt;&gt;0,VLOOKUP(G639,'gia dat'!$A$1:$F$144,5,0)," ")</f>
        <v xml:space="preserve"> </v>
      </c>
      <c r="L639" s="899" t="str">
        <f>IF(G639&lt;&gt;0,VLOOKUP(G639,'gia dat'!$A$1:$F$144,6,0)," ")</f>
        <v xml:space="preserve"> </v>
      </c>
      <c r="M639" s="900" t="str">
        <f t="shared" si="137"/>
        <v xml:space="preserve"> </v>
      </c>
      <c r="N639" s="900" t="str">
        <f t="shared" si="138"/>
        <v xml:space="preserve"> </v>
      </c>
      <c r="O639" s="922"/>
      <c r="P639" s="965"/>
      <c r="Q639" s="900" t="str">
        <f>IF(O639&lt;&gt;0,VLOOKUP(O639,'Cây trong'!$A$2:$C$246,3,0)," ")</f>
        <v xml:space="preserve"> </v>
      </c>
      <c r="R639" s="900" t="str">
        <f t="shared" si="125"/>
        <v xml:space="preserve"> </v>
      </c>
      <c r="S639" s="922"/>
      <c r="T639" s="944"/>
      <c r="U639" s="927"/>
      <c r="V639" s="925"/>
      <c r="W639" s="900" t="str">
        <f>IF(S639&lt;&gt;0,VLOOKUP(S639,VKT!$A$2:$G$415,7,0),"")</f>
        <v/>
      </c>
      <c r="X639" s="900" t="str">
        <f t="shared" si="134"/>
        <v xml:space="preserve"> </v>
      </c>
      <c r="Y639" s="925"/>
      <c r="Z639" s="928"/>
      <c r="AA639" s="928"/>
      <c r="AB639" s="904"/>
      <c r="AC639" s="928"/>
      <c r="AD639" s="928"/>
      <c r="AE639" s="928"/>
      <c r="AF639" s="926"/>
      <c r="AG639" s="906" t="str">
        <f>IF(AE639&lt;&gt;0,VLOOKUP(AE639,ODDS!$A$2:$C$13,3,0),"")</f>
        <v/>
      </c>
      <c r="AH639" s="906" t="str">
        <f t="shared" si="126"/>
        <v xml:space="preserve"> </v>
      </c>
      <c r="AI639" s="907" t="str">
        <f t="shared" si="127"/>
        <v xml:space="preserve"> </v>
      </c>
      <c r="AJ639" s="929"/>
      <c r="AK639" s="929"/>
    </row>
    <row r="640" spans="1:37" s="376" customFormat="1" ht="43.5" outlineLevel="1" x14ac:dyDescent="0.25">
      <c r="A640" s="467" t="s">
        <v>2656</v>
      </c>
      <c r="B640" s="912">
        <v>54</v>
      </c>
      <c r="C640" s="910" t="s">
        <v>39</v>
      </c>
      <c r="D640" s="931"/>
      <c r="E640" s="931"/>
      <c r="F640" s="913"/>
      <c r="G640" s="910"/>
      <c r="H640" s="953">
        <f>SUBTOTAL(9,H641:H648)</f>
        <v>55.099999999999994</v>
      </c>
      <c r="I640" s="915">
        <f>SUBTOTAL(9,I641:I646)</f>
        <v>0</v>
      </c>
      <c r="J640" s="933"/>
      <c r="K640" s="917"/>
      <c r="L640" s="917"/>
      <c r="M640" s="907">
        <f>SUBTOTAL(9,M641:M648)</f>
        <v>30548000</v>
      </c>
      <c r="N640" s="907">
        <f>SUBTOTAL(9,N641:N648)</f>
        <v>0</v>
      </c>
      <c r="O640" s="910"/>
      <c r="P640" s="935">
        <f>SUBTOTAL(9,P641:P648)</f>
        <v>6</v>
      </c>
      <c r="Q640" s="907"/>
      <c r="R640" s="907">
        <f>SUBTOTAL(9,R641:R648)</f>
        <v>637000</v>
      </c>
      <c r="S640" s="918"/>
      <c r="T640" s="933"/>
      <c r="U640" s="936">
        <f>SUBTOTAL(9,U641:U648)</f>
        <v>56.22</v>
      </c>
      <c r="V640" s="933"/>
      <c r="W640" s="907"/>
      <c r="X640" s="907">
        <f>SUBTOTAL(9,X641:X648)</f>
        <v>26187000</v>
      </c>
      <c r="Y640" s="925"/>
      <c r="Z640" s="928"/>
      <c r="AA640" s="928"/>
      <c r="AB640" s="904"/>
      <c r="AC640" s="928"/>
      <c r="AD640" s="928"/>
      <c r="AE640" s="937"/>
      <c r="AF640" s="935">
        <f>SUBTOTAL(9,AF641:AF648)</f>
        <v>0</v>
      </c>
      <c r="AG640" s="921"/>
      <c r="AH640" s="921">
        <f>SUBTOTAL(9,AH641:AH648)</f>
        <v>0</v>
      </c>
      <c r="AI640" s="907">
        <f t="shared" si="127"/>
        <v>57372000</v>
      </c>
      <c r="AJ640" s="910"/>
      <c r="AK640" s="914"/>
    </row>
    <row r="641" spans="1:39" s="376" customFormat="1" ht="135" outlineLevel="2" x14ac:dyDescent="0.3">
      <c r="A641" s="447">
        <f>IF(B640&lt;&gt;0,B640,A639)</f>
        <v>54</v>
      </c>
      <c r="B641" s="893"/>
      <c r="C641" s="908" t="s">
        <v>221</v>
      </c>
      <c r="D641" s="923">
        <v>5</v>
      </c>
      <c r="E641" s="923">
        <v>86</v>
      </c>
      <c r="F641" s="896">
        <v>1574</v>
      </c>
      <c r="G641" s="894" t="s">
        <v>2472</v>
      </c>
      <c r="H641" s="924">
        <f>48.8-H643</f>
        <v>48.8</v>
      </c>
      <c r="I641" s="882" t="str">
        <f t="shared" ref="I641:I642" si="139">IF(N641&gt;0,H641,"")</f>
        <v/>
      </c>
      <c r="J641" s="925"/>
      <c r="K641" s="899">
        <f>IF(G641&lt;&gt;0,VLOOKUP(G641,'gia dat'!$A$1:$F$144,5,0)," ")</f>
        <v>554400</v>
      </c>
      <c r="L641" s="899">
        <f>IF(G641&lt;&gt;0,VLOOKUP(G641,'gia dat'!$A$1:$F$144,6,0)," ")</f>
        <v>0</v>
      </c>
      <c r="M641" s="900">
        <f t="shared" si="137"/>
        <v>27055000</v>
      </c>
      <c r="N641" s="900">
        <f t="shared" si="138"/>
        <v>0</v>
      </c>
      <c r="O641" s="894" t="s">
        <v>408</v>
      </c>
      <c r="P641" s="926">
        <v>1</v>
      </c>
      <c r="Q641" s="900">
        <f>IF(O641&lt;&gt;0,VLOOKUP(O641,'Cây trong'!$A$2:$C$246,3,0)," ")</f>
        <v>337000</v>
      </c>
      <c r="R641" s="900">
        <f t="shared" si="125"/>
        <v>337000</v>
      </c>
      <c r="S641" s="902" t="s">
        <v>2289</v>
      </c>
      <c r="T641" s="925" t="s">
        <v>53</v>
      </c>
      <c r="U641" s="927">
        <v>17.82</v>
      </c>
      <c r="V641" s="925"/>
      <c r="W641" s="900">
        <f>IF(S641&lt;&gt;0,VLOOKUP(S641,VKT!$A$2:$G$415,7,0),"")</f>
        <v>684506</v>
      </c>
      <c r="X641" s="900">
        <f t="shared" si="134"/>
        <v>12198000</v>
      </c>
      <c r="Y641" s="925"/>
      <c r="Z641" s="928" t="s">
        <v>55</v>
      </c>
      <c r="AA641" s="928" t="s">
        <v>141</v>
      </c>
      <c r="AB641" s="904"/>
      <c r="AC641" s="928" t="s">
        <v>66</v>
      </c>
      <c r="AD641" s="928"/>
      <c r="AE641" s="928"/>
      <c r="AF641" s="926"/>
      <c r="AG641" s="906" t="str">
        <f>IF(AE641&lt;&gt;0,VLOOKUP(AE641,ODDS!$A$2:$C$13,3,0),"")</f>
        <v/>
      </c>
      <c r="AH641" s="906"/>
      <c r="AI641" s="907" t="str">
        <f t="shared" si="127"/>
        <v xml:space="preserve"> </v>
      </c>
      <c r="AJ641" s="894" t="s">
        <v>1701</v>
      </c>
      <c r="AK641" s="922" t="s">
        <v>2771</v>
      </c>
    </row>
    <row r="642" spans="1:39" s="376" customFormat="1" ht="112.5" outlineLevel="2" x14ac:dyDescent="0.3">
      <c r="A642" s="447">
        <f t="shared" ref="A642:A648" si="140">IF(B641&lt;&gt;0,B641,A641)</f>
        <v>54</v>
      </c>
      <c r="B642" s="893"/>
      <c r="C642" s="908" t="s">
        <v>688</v>
      </c>
      <c r="D642" s="923"/>
      <c r="E642" s="923"/>
      <c r="F642" s="896"/>
      <c r="G642" s="894" t="s">
        <v>2473</v>
      </c>
      <c r="H642" s="924">
        <v>6.3</v>
      </c>
      <c r="I642" s="882" t="str">
        <f t="shared" si="139"/>
        <v/>
      </c>
      <c r="J642" s="925"/>
      <c r="K642" s="899">
        <f>IF(G642&lt;&gt;0,VLOOKUP(G642,'gia dat'!$A$1:$F$144,5,0)," ")</f>
        <v>554400</v>
      </c>
      <c r="L642" s="899">
        <f>IF(G642&lt;&gt;0,VLOOKUP(G642,'gia dat'!$A$1:$F$144,6,0)," ")</f>
        <v>0</v>
      </c>
      <c r="M642" s="900">
        <f t="shared" si="137"/>
        <v>3493000</v>
      </c>
      <c r="N642" s="900">
        <f t="shared" si="138"/>
        <v>0</v>
      </c>
      <c r="O642" s="894" t="s">
        <v>352</v>
      </c>
      <c r="P642" s="926">
        <v>5</v>
      </c>
      <c r="Q642" s="900">
        <f>IF(O642&lt;&gt;0,VLOOKUP(O642,'Cây trong'!$A$2:$C$246,3,0)," ")</f>
        <v>60000</v>
      </c>
      <c r="R642" s="900">
        <f t="shared" si="125"/>
        <v>300000</v>
      </c>
      <c r="S642" s="902" t="s">
        <v>1749</v>
      </c>
      <c r="T642" s="925" t="s">
        <v>53</v>
      </c>
      <c r="U642" s="927">
        <v>12.9</v>
      </c>
      <c r="V642" s="925"/>
      <c r="W642" s="900">
        <f>IF(S642&lt;&gt;0,VLOOKUP(S642,VKT!$A$2:$G$415,7,0),"")</f>
        <v>211811</v>
      </c>
      <c r="X642" s="900">
        <f t="shared" si="134"/>
        <v>2732000</v>
      </c>
      <c r="Y642" s="925"/>
      <c r="Z642" s="928"/>
      <c r="AA642" s="928"/>
      <c r="AB642" s="904"/>
      <c r="AC642" s="928"/>
      <c r="AD642" s="928"/>
      <c r="AE642" s="928"/>
      <c r="AF642" s="926"/>
      <c r="AG642" s="906" t="str">
        <f>IF(AE642&lt;&gt;0,VLOOKUP(AE642,ODDS!$A$2:$C$13,3,0),"")</f>
        <v/>
      </c>
      <c r="AH642" s="906" t="str">
        <f t="shared" si="126"/>
        <v xml:space="preserve"> </v>
      </c>
      <c r="AI642" s="907" t="str">
        <f t="shared" si="127"/>
        <v xml:space="preserve"> </v>
      </c>
      <c r="AJ642" s="894" t="s">
        <v>536</v>
      </c>
      <c r="AK642" s="894" t="s">
        <v>2450</v>
      </c>
    </row>
    <row r="643" spans="1:39" s="376" customFormat="1" ht="135" outlineLevel="2" x14ac:dyDescent="0.3">
      <c r="A643" s="447">
        <f t="shared" si="140"/>
        <v>54</v>
      </c>
      <c r="B643" s="893"/>
      <c r="C643" s="908" t="s">
        <v>313</v>
      </c>
      <c r="D643" s="923"/>
      <c r="E643" s="947"/>
      <c r="F643" s="947"/>
      <c r="G643" s="894"/>
      <c r="H643" s="924"/>
      <c r="I643" s="882"/>
      <c r="J643" s="925"/>
      <c r="K643" s="899" t="str">
        <f>IF(G643&lt;&gt;0,VLOOKUP(G643,'gia dat'!$A$1:$F$144,5,0)," ")</f>
        <v xml:space="preserve"> </v>
      </c>
      <c r="L643" s="899" t="str">
        <f>IF(G643&lt;&gt;0,VLOOKUP(G643,'gia dat'!$A$1:$F$144,6,0)," ")</f>
        <v xml:space="preserve"> </v>
      </c>
      <c r="M643" s="900" t="str">
        <f t="shared" si="137"/>
        <v xml:space="preserve"> </v>
      </c>
      <c r="N643" s="900" t="str">
        <f t="shared" si="138"/>
        <v xml:space="preserve"> </v>
      </c>
      <c r="O643" s="894"/>
      <c r="P643" s="926"/>
      <c r="Q643" s="900" t="str">
        <f>IF(O643&lt;&gt;0,VLOOKUP(O643,'Cây trong'!$A$2:$C$246,3,0)," ")</f>
        <v xml:space="preserve"> </v>
      </c>
      <c r="R643" s="900" t="str">
        <f t="shared" si="125"/>
        <v xml:space="preserve"> </v>
      </c>
      <c r="S643" s="922" t="s">
        <v>1901</v>
      </c>
      <c r="T643" s="944" t="s">
        <v>53</v>
      </c>
      <c r="U643" s="927">
        <v>25.5</v>
      </c>
      <c r="V643" s="925"/>
      <c r="W643" s="900">
        <f>IF(S643&lt;&gt;0,VLOOKUP(S643,VKT!$A$2:$G$415,7,0),"")</f>
        <v>441467</v>
      </c>
      <c r="X643" s="900">
        <f t="shared" si="134"/>
        <v>11257000</v>
      </c>
      <c r="Y643" s="925"/>
      <c r="Z643" s="928"/>
      <c r="AA643" s="928"/>
      <c r="AB643" s="904"/>
      <c r="AC643" s="928"/>
      <c r="AD643" s="928"/>
      <c r="AE643" s="928"/>
      <c r="AF643" s="926"/>
      <c r="AG643" s="906" t="str">
        <f>IF(AE643&lt;&gt;0,VLOOKUP(AE643,ODDS!$A$2:$C$13,3,0),"")</f>
        <v/>
      </c>
      <c r="AH643" s="906" t="str">
        <f t="shared" si="126"/>
        <v xml:space="preserve"> </v>
      </c>
      <c r="AI643" s="907" t="str">
        <f t="shared" si="127"/>
        <v xml:space="preserve"> </v>
      </c>
      <c r="AJ643" s="894" t="s">
        <v>1702</v>
      </c>
      <c r="AK643" s="894" t="s">
        <v>2449</v>
      </c>
    </row>
    <row r="644" spans="1:39" s="376" customFormat="1" ht="112.5" outlineLevel="2" x14ac:dyDescent="0.3">
      <c r="A644" s="447">
        <f t="shared" si="140"/>
        <v>54</v>
      </c>
      <c r="B644" s="893"/>
      <c r="C644" s="908"/>
      <c r="D644" s="923"/>
      <c r="E644" s="923"/>
      <c r="F644" s="950"/>
      <c r="G644" s="894"/>
      <c r="H644" s="940"/>
      <c r="I644" s="882"/>
      <c r="J644" s="929"/>
      <c r="K644" s="899" t="str">
        <f>IF(G644&lt;&gt;0,VLOOKUP(G644,'gia dat'!$A$1:$F$144,5,0)," ")</f>
        <v xml:space="preserve"> </v>
      </c>
      <c r="L644" s="899" t="str">
        <f>IF(G644&lt;&gt;0,VLOOKUP(G644,'gia dat'!$A$1:$F$144,6,0)," ")</f>
        <v xml:space="preserve"> </v>
      </c>
      <c r="M644" s="900" t="str">
        <f t="shared" si="137"/>
        <v xml:space="preserve"> </v>
      </c>
      <c r="N644" s="900" t="str">
        <f t="shared" si="138"/>
        <v xml:space="preserve"> </v>
      </c>
      <c r="O644" s="929"/>
      <c r="P644" s="951"/>
      <c r="Q644" s="900" t="str">
        <f>IF(O644&lt;&gt;0,VLOOKUP(O644,'Cây trong'!$A$2:$C$246,3,0)," ")</f>
        <v xml:space="preserve"> </v>
      </c>
      <c r="R644" s="900" t="str">
        <f t="shared" si="125"/>
        <v xml:space="preserve"> </v>
      </c>
      <c r="S644" s="929"/>
      <c r="T644" s="929"/>
      <c r="U644" s="952"/>
      <c r="V644" s="925"/>
      <c r="W644" s="900" t="str">
        <f>IF(S644&lt;&gt;0,VLOOKUP(S644,VKT!$A$2:$G$415,7,0),"")</f>
        <v/>
      </c>
      <c r="X644" s="900" t="str">
        <f t="shared" si="134"/>
        <v xml:space="preserve"> </v>
      </c>
      <c r="Y644" s="925"/>
      <c r="Z644" s="925"/>
      <c r="AA644" s="925"/>
      <c r="AB644" s="898"/>
      <c r="AC644" s="925"/>
      <c r="AD644" s="925"/>
      <c r="AE644" s="925"/>
      <c r="AF644" s="964"/>
      <c r="AG644" s="906" t="str">
        <f>IF(AE644&lt;&gt;0,VLOOKUP(AE644,ODDS!$A$2:$C$13,3,0),"")</f>
        <v/>
      </c>
      <c r="AH644" s="906" t="str">
        <f t="shared" si="126"/>
        <v xml:space="preserve"> </v>
      </c>
      <c r="AI644" s="907" t="str">
        <f t="shared" si="127"/>
        <v xml:space="preserve"> </v>
      </c>
      <c r="AJ644" s="894" t="s">
        <v>2207</v>
      </c>
      <c r="AK644" s="894" t="s">
        <v>2800</v>
      </c>
    </row>
    <row r="645" spans="1:39" s="376" customFormat="1" ht="22.5" outlineLevel="2" x14ac:dyDescent="0.35">
      <c r="A645" s="447">
        <f t="shared" si="140"/>
        <v>54</v>
      </c>
      <c r="B645" s="893"/>
      <c r="C645" s="908"/>
      <c r="D645" s="923"/>
      <c r="E645" s="923"/>
      <c r="F645" s="950"/>
      <c r="G645" s="894"/>
      <c r="H645" s="940"/>
      <c r="I645" s="882"/>
      <c r="J645" s="929"/>
      <c r="K645" s="899" t="str">
        <f>IF(G645&lt;&gt;0,VLOOKUP(G645,'gia dat'!$A$1:$F$144,5,0)," ")</f>
        <v xml:space="preserve"> </v>
      </c>
      <c r="L645" s="899" t="str">
        <f>IF(G645&lt;&gt;0,VLOOKUP(G645,'gia dat'!$A$1:$F$144,6,0)," ")</f>
        <v xml:space="preserve"> </v>
      </c>
      <c r="M645" s="900" t="str">
        <f t="shared" si="137"/>
        <v xml:space="preserve"> </v>
      </c>
      <c r="N645" s="900" t="str">
        <f t="shared" si="138"/>
        <v xml:space="preserve"> </v>
      </c>
      <c r="O645" s="929"/>
      <c r="P645" s="951"/>
      <c r="Q645" s="900" t="str">
        <f>IF(O645&lt;&gt;0,VLOOKUP(O645,'Cây trong'!$A$2:$C$246,3,0)," ")</f>
        <v xml:space="preserve"> </v>
      </c>
      <c r="R645" s="900" t="str">
        <f t="shared" si="125"/>
        <v xml:space="preserve"> </v>
      </c>
      <c r="S645" s="929"/>
      <c r="T645" s="929"/>
      <c r="U645" s="952"/>
      <c r="V645" s="925"/>
      <c r="W645" s="900" t="str">
        <f>IF(S645&lt;&gt;0,VLOOKUP(S645,VKT!$A$2:$G$415,7,0),"")</f>
        <v/>
      </c>
      <c r="X645" s="900" t="str">
        <f t="shared" si="134"/>
        <v xml:space="preserve"> </v>
      </c>
      <c r="Y645" s="925"/>
      <c r="Z645" s="925"/>
      <c r="AA645" s="925"/>
      <c r="AB645" s="898"/>
      <c r="AC645" s="925"/>
      <c r="AD645" s="925"/>
      <c r="AE645" s="925"/>
      <c r="AF645" s="964"/>
      <c r="AG645" s="906" t="str">
        <f>IF(AE645&lt;&gt;0,VLOOKUP(AE645,ODDS!$A$2:$C$13,3,0),"")</f>
        <v/>
      </c>
      <c r="AH645" s="906" t="str">
        <f t="shared" si="126"/>
        <v xml:space="preserve"> </v>
      </c>
      <c r="AI645" s="907" t="str">
        <f t="shared" si="127"/>
        <v xml:space="preserve"> </v>
      </c>
      <c r="AJ645" s="911"/>
      <c r="AK645" s="894"/>
    </row>
    <row r="646" spans="1:39" s="376" customFormat="1" ht="22.5" outlineLevel="2" x14ac:dyDescent="0.35">
      <c r="A646" s="447">
        <f t="shared" si="140"/>
        <v>54</v>
      </c>
      <c r="B646" s="893"/>
      <c r="C646" s="971"/>
      <c r="D646" s="923"/>
      <c r="E646" s="923"/>
      <c r="F646" s="950"/>
      <c r="G646" s="894"/>
      <c r="H646" s="940"/>
      <c r="I646" s="882"/>
      <c r="J646" s="929"/>
      <c r="K646" s="899" t="str">
        <f>IF(G646&lt;&gt;0,VLOOKUP(G646,'gia dat'!$A$1:$F$144,5,0)," ")</f>
        <v xml:space="preserve"> </v>
      </c>
      <c r="L646" s="899" t="str">
        <f>IF(G646&lt;&gt;0,VLOOKUP(G646,'gia dat'!$A$1:$F$144,6,0)," ")</f>
        <v xml:space="preserve"> </v>
      </c>
      <c r="M646" s="900" t="str">
        <f t="shared" si="137"/>
        <v xml:space="preserve"> </v>
      </c>
      <c r="N646" s="900" t="str">
        <f t="shared" si="138"/>
        <v xml:space="preserve"> </v>
      </c>
      <c r="O646" s="929"/>
      <c r="P646" s="951"/>
      <c r="Q646" s="900" t="str">
        <f>IF(O646&lt;&gt;0,VLOOKUP(O646,'Cây trong'!$A$2:$C$246,3,0)," ")</f>
        <v xml:space="preserve"> </v>
      </c>
      <c r="R646" s="900" t="str">
        <f t="shared" si="125"/>
        <v xml:space="preserve"> </v>
      </c>
      <c r="S646" s="929"/>
      <c r="T646" s="929"/>
      <c r="U646" s="952"/>
      <c r="V646" s="925"/>
      <c r="W646" s="900" t="str">
        <f>IF(S646&lt;&gt;0,VLOOKUP(S646,VKT!$A$2:$G$415,7,0),"")</f>
        <v/>
      </c>
      <c r="X646" s="900" t="str">
        <f t="shared" si="134"/>
        <v xml:space="preserve"> </v>
      </c>
      <c r="Y646" s="925"/>
      <c r="Z646" s="925"/>
      <c r="AA646" s="925"/>
      <c r="AB646" s="898"/>
      <c r="AC646" s="925"/>
      <c r="AD646" s="925"/>
      <c r="AE646" s="925"/>
      <c r="AF646" s="964"/>
      <c r="AG646" s="906" t="str">
        <f>IF(AE646&lt;&gt;0,VLOOKUP(AE646,ODDS!$A$2:$C$13,3,0),"")</f>
        <v/>
      </c>
      <c r="AH646" s="906" t="str">
        <f t="shared" si="126"/>
        <v xml:space="preserve"> </v>
      </c>
      <c r="AI646" s="907" t="str">
        <f t="shared" si="127"/>
        <v xml:space="preserve"> </v>
      </c>
      <c r="AJ646" s="911"/>
      <c r="AK646" s="894"/>
      <c r="AM646" s="377" t="s">
        <v>2151</v>
      </c>
    </row>
    <row r="647" spans="1:39" s="376" customFormat="1" ht="22.5" outlineLevel="2" x14ac:dyDescent="0.3">
      <c r="A647" s="447">
        <f t="shared" si="140"/>
        <v>54</v>
      </c>
      <c r="B647" s="893"/>
      <c r="C647" s="894"/>
      <c r="D647" s="923"/>
      <c r="E647" s="923"/>
      <c r="F647" s="896"/>
      <c r="G647" s="972"/>
      <c r="H647" s="924"/>
      <c r="I647" s="882"/>
      <c r="J647" s="925"/>
      <c r="K647" s="899" t="str">
        <f>IF(G647&lt;&gt;0,VLOOKUP(G647,'gia dat'!$A$1:$F$144,5,0)," ")</f>
        <v xml:space="preserve"> </v>
      </c>
      <c r="L647" s="899" t="str">
        <f>IF(G647&lt;&gt;0,VLOOKUP(G647,'gia dat'!$A$1:$F$144,6,0)," ")</f>
        <v xml:space="preserve"> </v>
      </c>
      <c r="M647" s="900" t="str">
        <f t="shared" si="137"/>
        <v xml:space="preserve"> </v>
      </c>
      <c r="N647" s="900" t="str">
        <f t="shared" si="138"/>
        <v xml:space="preserve"> </v>
      </c>
      <c r="O647" s="894"/>
      <c r="P647" s="926"/>
      <c r="Q647" s="900" t="str">
        <f>IF(O647&lt;&gt;0,VLOOKUP(O647,'Cây trong'!$A$2:$C$246,3,0)," ")</f>
        <v xml:space="preserve"> </v>
      </c>
      <c r="R647" s="900" t="str">
        <f t="shared" si="125"/>
        <v xml:space="preserve"> </v>
      </c>
      <c r="S647" s="902"/>
      <c r="T647" s="925"/>
      <c r="U647" s="927"/>
      <c r="V647" s="925"/>
      <c r="W647" s="900" t="str">
        <f>IF(S647&lt;&gt;0,VLOOKUP(S647,VKT!$A$2:$G$415,7,0),"")</f>
        <v/>
      </c>
      <c r="X647" s="900" t="str">
        <f t="shared" si="134"/>
        <v xml:space="preserve"> </v>
      </c>
      <c r="Y647" s="925"/>
      <c r="Z647" s="928"/>
      <c r="AA647" s="928"/>
      <c r="AB647" s="904"/>
      <c r="AC647" s="928"/>
      <c r="AD647" s="928"/>
      <c r="AE647" s="928"/>
      <c r="AF647" s="926"/>
      <c r="AG647" s="906" t="str">
        <f>IF(AE647&lt;&gt;0,VLOOKUP(AE647,ODDS!$A$2:$C$13,3,0),"")</f>
        <v/>
      </c>
      <c r="AH647" s="906" t="str">
        <f t="shared" si="126"/>
        <v xml:space="preserve"> </v>
      </c>
      <c r="AI647" s="907" t="str">
        <f t="shared" si="127"/>
        <v xml:space="preserve"> </v>
      </c>
      <c r="AJ647" s="894"/>
      <c r="AK647" s="894"/>
    </row>
    <row r="648" spans="1:39" s="376" customFormat="1" ht="22.5" outlineLevel="2" x14ac:dyDescent="0.3">
      <c r="A648" s="447">
        <f t="shared" si="140"/>
        <v>54</v>
      </c>
      <c r="B648" s="893"/>
      <c r="C648" s="910"/>
      <c r="D648" s="923"/>
      <c r="E648" s="923"/>
      <c r="F648" s="896"/>
      <c r="G648" s="894"/>
      <c r="H648" s="924"/>
      <c r="I648" s="882"/>
      <c r="J648" s="925"/>
      <c r="K648" s="899" t="str">
        <f>IF(G648&lt;&gt;0,VLOOKUP(G648,'gia dat'!$A$1:$F$144,5,0)," ")</f>
        <v xml:space="preserve"> </v>
      </c>
      <c r="L648" s="899" t="str">
        <f>IF(G648&lt;&gt;0,VLOOKUP(G648,'gia dat'!$A$1:$F$144,6,0)," ")</f>
        <v xml:space="preserve"> </v>
      </c>
      <c r="M648" s="900" t="str">
        <f t="shared" si="137"/>
        <v xml:space="preserve"> </v>
      </c>
      <c r="N648" s="900" t="str">
        <f t="shared" si="138"/>
        <v xml:space="preserve"> </v>
      </c>
      <c r="O648" s="894"/>
      <c r="P648" s="926"/>
      <c r="Q648" s="900" t="str">
        <f>IF(O648&lt;&gt;0,VLOOKUP(O648,'Cây trong'!$A$2:$C$246,3,0)," ")</f>
        <v xml:space="preserve"> </v>
      </c>
      <c r="R648" s="900" t="str">
        <f t="shared" si="125"/>
        <v xml:space="preserve"> </v>
      </c>
      <c r="S648" s="902"/>
      <c r="T648" s="925"/>
      <c r="U648" s="927"/>
      <c r="V648" s="925"/>
      <c r="W648" s="900" t="str">
        <f>IF(S648&lt;&gt;0,VLOOKUP(S648,VKT!$A$2:$G$415,7,0),"")</f>
        <v/>
      </c>
      <c r="X648" s="900" t="str">
        <f t="shared" si="134"/>
        <v xml:space="preserve"> </v>
      </c>
      <c r="Y648" s="925"/>
      <c r="Z648" s="928"/>
      <c r="AA648" s="928"/>
      <c r="AB648" s="904"/>
      <c r="AC648" s="928"/>
      <c r="AD648" s="928"/>
      <c r="AE648" s="928"/>
      <c r="AF648" s="926"/>
      <c r="AG648" s="906" t="str">
        <f>IF(AE648&lt;&gt;0,VLOOKUP(AE648,ODDS!$A$2:$C$13,3,0),"")</f>
        <v/>
      </c>
      <c r="AH648" s="906" t="str">
        <f t="shared" si="126"/>
        <v xml:space="preserve"> </v>
      </c>
      <c r="AI648" s="907" t="str">
        <f t="shared" si="127"/>
        <v xml:space="preserve"> </v>
      </c>
      <c r="AJ648" s="929"/>
      <c r="AK648" s="929"/>
    </row>
    <row r="649" spans="1:39" s="376" customFormat="1" ht="22.5" outlineLevel="1" x14ac:dyDescent="0.25">
      <c r="A649" s="467" t="s">
        <v>2655</v>
      </c>
      <c r="B649" s="912">
        <v>55</v>
      </c>
      <c r="C649" s="910" t="s">
        <v>40</v>
      </c>
      <c r="D649" s="931"/>
      <c r="E649" s="931"/>
      <c r="F649" s="913"/>
      <c r="G649" s="910"/>
      <c r="H649" s="953">
        <f>SUBTOTAL(9,H650:H660)</f>
        <v>63.4</v>
      </c>
      <c r="I649" s="915">
        <f>SUBTOTAL(9,I650:I655)</f>
        <v>57.1</v>
      </c>
      <c r="J649" s="933"/>
      <c r="K649" s="917"/>
      <c r="L649" s="917"/>
      <c r="M649" s="907">
        <f>SUBTOTAL(9,M650:M660)</f>
        <v>67959000</v>
      </c>
      <c r="N649" s="907">
        <f>SUBTOTAL(9,N650:N660)</f>
        <v>94968000</v>
      </c>
      <c r="O649" s="914"/>
      <c r="P649" s="935">
        <f>SUBTOTAL(9,P650:P660)</f>
        <v>0</v>
      </c>
      <c r="Q649" s="907"/>
      <c r="R649" s="907">
        <f>SUBTOTAL(9,R650:R660)</f>
        <v>0</v>
      </c>
      <c r="S649" s="918"/>
      <c r="T649" s="933"/>
      <c r="U649" s="936">
        <f>SUBTOTAL(9,U650:U660)</f>
        <v>73.12</v>
      </c>
      <c r="V649" s="933"/>
      <c r="W649" s="907"/>
      <c r="X649" s="907">
        <f>SUBTOTAL(9,X650:X660)</f>
        <v>71522000</v>
      </c>
      <c r="Y649" s="925"/>
      <c r="Z649" s="928"/>
      <c r="AA649" s="928"/>
      <c r="AB649" s="904"/>
      <c r="AC649" s="928"/>
      <c r="AD649" s="928"/>
      <c r="AE649" s="937"/>
      <c r="AF649" s="935">
        <f>SUBTOTAL(9,AF650:AF660)</f>
        <v>0</v>
      </c>
      <c r="AG649" s="921"/>
      <c r="AH649" s="921">
        <f>SUBTOTAL(9,AH650:AH660)</f>
        <v>0</v>
      </c>
      <c r="AI649" s="907">
        <f t="shared" ref="AI649:AI712" si="141">IF(B649&lt;&gt;0,M649+N649+R649+X649+AH649," ")</f>
        <v>234449000</v>
      </c>
      <c r="AJ649" s="910"/>
      <c r="AK649" s="914"/>
    </row>
    <row r="650" spans="1:39" s="376" customFormat="1" ht="135" outlineLevel="2" x14ac:dyDescent="0.3">
      <c r="A650" s="447">
        <f>IF(B649&lt;&gt;0,B649,A648)</f>
        <v>55</v>
      </c>
      <c r="B650" s="893"/>
      <c r="C650" s="894" t="s">
        <v>222</v>
      </c>
      <c r="D650" s="923">
        <v>11</v>
      </c>
      <c r="E650" s="923">
        <v>86</v>
      </c>
      <c r="F650" s="896">
        <v>1573</v>
      </c>
      <c r="G650" s="894" t="s">
        <v>2037</v>
      </c>
      <c r="H650" s="924">
        <f>6.3</f>
        <v>6.3</v>
      </c>
      <c r="I650" s="882" t="str">
        <f t="shared" ref="I650:I652" si="142">IF(N650&gt;0,H650,"")</f>
        <v/>
      </c>
      <c r="J650" s="925"/>
      <c r="K650" s="899">
        <f>IF(G650&lt;&gt;0,VLOOKUP(G650,'gia dat'!$A$1:$F$144,5,0)," ")</f>
        <v>5762400</v>
      </c>
      <c r="L650" s="899">
        <f>IF(G650&lt;&gt;0,VLOOKUP(G650,'gia dat'!$A$1:$F$144,6,0)," ")</f>
        <v>0</v>
      </c>
      <c r="M650" s="900">
        <f t="shared" si="137"/>
        <v>36303000</v>
      </c>
      <c r="N650" s="900">
        <f t="shared" si="138"/>
        <v>0</v>
      </c>
      <c r="O650" s="922"/>
      <c r="P650" s="926"/>
      <c r="Q650" s="900" t="str">
        <f>IF(O650&lt;&gt;0,VLOOKUP(O650,'Cây trong'!$A$2:$C$246,3,0)," ")</f>
        <v xml:space="preserve"> </v>
      </c>
      <c r="R650" s="900" t="str">
        <f t="shared" si="125"/>
        <v xml:space="preserve"> </v>
      </c>
      <c r="S650" s="902" t="s">
        <v>1863</v>
      </c>
      <c r="T650" s="925" t="s">
        <v>53</v>
      </c>
      <c r="U650" s="927">
        <f>57.8</f>
        <v>57.8</v>
      </c>
      <c r="V650" s="925">
        <v>14.4</v>
      </c>
      <c r="W650" s="900">
        <f>IF(S650&lt;&gt;0,VLOOKUP(S650,VKT!$A$2:$G$415,7,0),"")</f>
        <v>1107311</v>
      </c>
      <c r="X650" s="900">
        <f t="shared" si="134"/>
        <v>64003000</v>
      </c>
      <c r="Y650" s="925" t="s">
        <v>63</v>
      </c>
      <c r="Z650" s="928" t="s">
        <v>55</v>
      </c>
      <c r="AA650" s="928" t="s">
        <v>56</v>
      </c>
      <c r="AB650" s="904" t="s">
        <v>57</v>
      </c>
      <c r="AC650" s="928" t="s">
        <v>63</v>
      </c>
      <c r="AD650" s="928" t="s">
        <v>430</v>
      </c>
      <c r="AE650" s="928"/>
      <c r="AF650" s="926"/>
      <c r="AG650" s="906" t="str">
        <f>IF(AE650&lt;&gt;0,VLOOKUP(AE650,ODDS!$A$2:$C$13,3,0),"")</f>
        <v/>
      </c>
      <c r="AH650" s="906"/>
      <c r="AI650" s="907" t="str">
        <f t="shared" si="141"/>
        <v xml:space="preserve"> </v>
      </c>
      <c r="AJ650" s="894" t="s">
        <v>1703</v>
      </c>
      <c r="AK650" s="922" t="s">
        <v>2771</v>
      </c>
      <c r="AM650" s="376" t="s">
        <v>2332</v>
      </c>
    </row>
    <row r="651" spans="1:39" s="376" customFormat="1" ht="112.5" outlineLevel="2" x14ac:dyDescent="0.3">
      <c r="A651" s="447">
        <f t="shared" ref="A651:A660" si="143">IF(B650&lt;&gt;0,B650,A650)</f>
        <v>55</v>
      </c>
      <c r="B651" s="893"/>
      <c r="C651" s="963" t="s">
        <v>689</v>
      </c>
      <c r="D651" s="923"/>
      <c r="E651" s="923">
        <v>86</v>
      </c>
      <c r="F651" s="896">
        <v>1573</v>
      </c>
      <c r="G651" s="894" t="s">
        <v>2469</v>
      </c>
      <c r="H651" s="924">
        <f>46.7</f>
        <v>46.7</v>
      </c>
      <c r="I651" s="882">
        <f t="shared" si="142"/>
        <v>46.7</v>
      </c>
      <c r="J651" s="925"/>
      <c r="K651" s="899">
        <f>IF(G651&lt;&gt;0,VLOOKUP(G651,'gia dat'!$A$1:$F$144,5,0)," ")</f>
        <v>554400</v>
      </c>
      <c r="L651" s="899">
        <f>IF(G651&lt;&gt;0,VLOOKUP(G651,'gia dat'!$A$1:$F$144,6,0)," ")</f>
        <v>1663200</v>
      </c>
      <c r="M651" s="900">
        <f t="shared" si="137"/>
        <v>25890000</v>
      </c>
      <c r="N651" s="900">
        <f t="shared" si="138"/>
        <v>77671000</v>
      </c>
      <c r="O651" s="894"/>
      <c r="P651" s="926"/>
      <c r="Q651" s="900" t="str">
        <f>IF(O651&lt;&gt;0,VLOOKUP(O651,'Cây trong'!$A$2:$C$246,3,0)," ")</f>
        <v xml:space="preserve"> </v>
      </c>
      <c r="R651" s="900" t="str">
        <f t="shared" si="125"/>
        <v xml:space="preserve"> </v>
      </c>
      <c r="S651" s="973" t="s">
        <v>1799</v>
      </c>
      <c r="T651" s="974" t="s">
        <v>53</v>
      </c>
      <c r="U651" s="927">
        <v>9.9</v>
      </c>
      <c r="V651" s="925">
        <v>14.7</v>
      </c>
      <c r="W651" s="900">
        <f>IF(S651&lt;&gt;0,VLOOKUP(S651,VKT!$A$2:$G$415,7,0),"")</f>
        <v>275180</v>
      </c>
      <c r="X651" s="900">
        <f t="shared" si="134"/>
        <v>2724000</v>
      </c>
      <c r="Y651" s="925" t="s">
        <v>63</v>
      </c>
      <c r="Z651" s="928" t="s">
        <v>55</v>
      </c>
      <c r="AA651" s="928" t="s">
        <v>56</v>
      </c>
      <c r="AB651" s="904" t="s">
        <v>57</v>
      </c>
      <c r="AC651" s="928" t="s">
        <v>63</v>
      </c>
      <c r="AD651" s="928" t="s">
        <v>430</v>
      </c>
      <c r="AE651" s="928"/>
      <c r="AF651" s="926"/>
      <c r="AG651" s="906" t="str">
        <f>IF(AE651&lt;&gt;0,VLOOKUP(AE651,ODDS!$A$2:$C$13,3,0),"")</f>
        <v/>
      </c>
      <c r="AH651" s="906" t="str">
        <f t="shared" si="126"/>
        <v xml:space="preserve"> </v>
      </c>
      <c r="AI651" s="907" t="str">
        <f t="shared" si="141"/>
        <v xml:space="preserve"> </v>
      </c>
      <c r="AJ651" s="894" t="s">
        <v>538</v>
      </c>
      <c r="AK651" s="894" t="s">
        <v>2448</v>
      </c>
    </row>
    <row r="652" spans="1:39" s="376" customFormat="1" ht="112.5" outlineLevel="2" x14ac:dyDescent="0.3">
      <c r="A652" s="447">
        <f t="shared" si="143"/>
        <v>55</v>
      </c>
      <c r="B652" s="893"/>
      <c r="C652" s="942"/>
      <c r="D652" s="923"/>
      <c r="E652" s="923"/>
      <c r="F652" s="896"/>
      <c r="G652" s="894" t="s">
        <v>2475</v>
      </c>
      <c r="H652" s="924">
        <v>10.4</v>
      </c>
      <c r="I652" s="882">
        <f t="shared" si="142"/>
        <v>10.4</v>
      </c>
      <c r="J652" s="925"/>
      <c r="K652" s="899">
        <f>IF(G652&lt;&gt;0,VLOOKUP(G652,'gia dat'!$A$1:$F$144,5,0)," ")</f>
        <v>554400</v>
      </c>
      <c r="L652" s="899">
        <f>IF(G652&lt;&gt;0,VLOOKUP(G652,'gia dat'!$A$1:$F$144,6,0)," ")</f>
        <v>1663200</v>
      </c>
      <c r="M652" s="900">
        <f t="shared" si="137"/>
        <v>5766000</v>
      </c>
      <c r="N652" s="900">
        <f t="shared" si="138"/>
        <v>17297000</v>
      </c>
      <c r="O652" s="894"/>
      <c r="P652" s="926"/>
      <c r="Q652" s="900" t="str">
        <f>IF(O652&lt;&gt;0,VLOOKUP(O652,'Cây trong'!$A$2:$C$246,3,0)," ")</f>
        <v xml:space="preserve"> </v>
      </c>
      <c r="R652" s="900" t="str">
        <f t="shared" ref="R652:R721" si="144">IF(O652&lt;&gt;0,ROUND(P652*Q652,-2)," ")</f>
        <v xml:space="preserve"> </v>
      </c>
      <c r="S652" s="902" t="s">
        <v>2149</v>
      </c>
      <c r="T652" s="925" t="s">
        <v>78</v>
      </c>
      <c r="U652" s="927">
        <v>1.08</v>
      </c>
      <c r="V652" s="925"/>
      <c r="W652" s="900">
        <f>IF(S652&lt;&gt;0,VLOOKUP(S652,VKT!$A$2:$G$415,7,0),"")</f>
        <v>0</v>
      </c>
      <c r="X652" s="900">
        <f t="shared" si="134"/>
        <v>0</v>
      </c>
      <c r="Y652" s="925"/>
      <c r="Z652" s="928" t="s">
        <v>55</v>
      </c>
      <c r="AA652" s="928" t="s">
        <v>141</v>
      </c>
      <c r="AB652" s="904" t="s">
        <v>332</v>
      </c>
      <c r="AC652" s="928" t="s">
        <v>66</v>
      </c>
      <c r="AD652" s="928"/>
      <c r="AE652" s="928"/>
      <c r="AF652" s="926"/>
      <c r="AG652" s="906" t="str">
        <f>IF(AE652&lt;&gt;0,VLOOKUP(AE652,ODDS!$A$2:$C$13,3,0),"")</f>
        <v/>
      </c>
      <c r="AH652" s="906" t="str">
        <f t="shared" ref="AH652:AH721" si="145">IF(AE652&lt;&gt;0,ROUND(AF652*AG652,-2)," ")</f>
        <v xml:space="preserve"> </v>
      </c>
      <c r="AI652" s="907" t="str">
        <f t="shared" si="141"/>
        <v xml:space="preserve"> </v>
      </c>
      <c r="AJ652" s="929" t="s">
        <v>333</v>
      </c>
      <c r="AK652" s="894" t="s">
        <v>2450</v>
      </c>
    </row>
    <row r="653" spans="1:39" s="376" customFormat="1" ht="135" outlineLevel="2" x14ac:dyDescent="0.3">
      <c r="A653" s="447">
        <f t="shared" si="143"/>
        <v>55</v>
      </c>
      <c r="B653" s="893"/>
      <c r="C653" s="972"/>
      <c r="D653" s="923"/>
      <c r="E653" s="923"/>
      <c r="F653" s="896"/>
      <c r="G653" s="894"/>
      <c r="H653" s="924"/>
      <c r="I653" s="882"/>
      <c r="J653" s="925"/>
      <c r="K653" s="899" t="str">
        <f>IF(G653&lt;&gt;0,VLOOKUP(G653,'gia dat'!$A$1:$F$144,5,0)," ")</f>
        <v xml:space="preserve"> </v>
      </c>
      <c r="L653" s="899" t="str">
        <f>IF(G653&lt;&gt;0,VLOOKUP(G653,'gia dat'!$A$1:$F$144,6,0)," ")</f>
        <v xml:space="preserve"> </v>
      </c>
      <c r="M653" s="900" t="str">
        <f t="shared" si="137"/>
        <v xml:space="preserve"> </v>
      </c>
      <c r="N653" s="900" t="str">
        <f t="shared" si="138"/>
        <v xml:space="preserve"> </v>
      </c>
      <c r="O653" s="973"/>
      <c r="P653" s="999"/>
      <c r="Q653" s="900" t="str">
        <f>IF(O653&lt;&gt;0,VLOOKUP(O653,'Cây trong'!$A$2:$C$246,3,0)," ")</f>
        <v xml:space="preserve"> </v>
      </c>
      <c r="R653" s="900" t="str">
        <f t="shared" si="144"/>
        <v xml:space="preserve"> </v>
      </c>
      <c r="S653" s="902" t="s">
        <v>2152</v>
      </c>
      <c r="T653" s="925" t="s">
        <v>53</v>
      </c>
      <c r="U653" s="927">
        <v>3.64</v>
      </c>
      <c r="V653" s="925"/>
      <c r="W653" s="900">
        <f>IF(S653&lt;&gt;0,VLOOKUP(S653,VKT!$A$2:$G$415,7,0),"")</f>
        <v>296377</v>
      </c>
      <c r="X653" s="900">
        <f t="shared" si="134"/>
        <v>1079000</v>
      </c>
      <c r="Y653" s="925"/>
      <c r="Z653" s="928"/>
      <c r="AA653" s="928"/>
      <c r="AB653" s="904"/>
      <c r="AC653" s="928"/>
      <c r="AD653" s="928"/>
      <c r="AE653" s="928"/>
      <c r="AF653" s="926"/>
      <c r="AG653" s="906" t="str">
        <f>IF(AE653&lt;&gt;0,VLOOKUP(AE653,ODDS!$A$2:$C$13,3,0),"")</f>
        <v/>
      </c>
      <c r="AH653" s="906" t="str">
        <f t="shared" si="145"/>
        <v xml:space="preserve"> </v>
      </c>
      <c r="AI653" s="907" t="str">
        <f t="shared" si="141"/>
        <v xml:space="preserve"> </v>
      </c>
      <c r="AJ653" s="894" t="s">
        <v>1738</v>
      </c>
      <c r="AK653" s="894" t="s">
        <v>2800</v>
      </c>
    </row>
    <row r="654" spans="1:39" s="376" customFormat="1" ht="67.5" outlineLevel="2" x14ac:dyDescent="0.3">
      <c r="A654" s="447">
        <f t="shared" si="143"/>
        <v>55</v>
      </c>
      <c r="B654" s="893"/>
      <c r="C654" s="972"/>
      <c r="D654" s="923"/>
      <c r="E654" s="923"/>
      <c r="F654" s="896"/>
      <c r="G654" s="894"/>
      <c r="H654" s="924"/>
      <c r="I654" s="882"/>
      <c r="J654" s="925"/>
      <c r="K654" s="899" t="str">
        <f>IF(G654&lt;&gt;0,VLOOKUP(G654,'gia dat'!$A$1:$F$144,5,0)," ")</f>
        <v xml:space="preserve"> </v>
      </c>
      <c r="L654" s="899" t="str">
        <f>IF(G654&lt;&gt;0,VLOOKUP(G654,'gia dat'!$A$1:$F$144,6,0)," ")</f>
        <v xml:space="preserve"> </v>
      </c>
      <c r="M654" s="900" t="str">
        <f t="shared" si="137"/>
        <v xml:space="preserve"> </v>
      </c>
      <c r="N654" s="900" t="str">
        <f t="shared" si="138"/>
        <v xml:space="preserve"> </v>
      </c>
      <c r="O654" s="973"/>
      <c r="P654" s="999"/>
      <c r="Q654" s="900" t="str">
        <f>IF(O654&lt;&gt;0,VLOOKUP(O654,'Cây trong'!$A$2:$C$246,3,0)," ")</f>
        <v xml:space="preserve"> </v>
      </c>
      <c r="R654" s="900" t="str">
        <f t="shared" si="144"/>
        <v xml:space="preserve"> </v>
      </c>
      <c r="S654" s="1000" t="s">
        <v>1820</v>
      </c>
      <c r="T654" s="1001" t="s">
        <v>53</v>
      </c>
      <c r="U654" s="1002">
        <v>0.5</v>
      </c>
      <c r="V654" s="925">
        <v>14.4</v>
      </c>
      <c r="W654" s="900">
        <f>IF(S654&lt;&gt;0,VLOOKUP(S654,VKT!$A$2:$G$415,7,0),"")</f>
        <v>5307665</v>
      </c>
      <c r="X654" s="900">
        <f t="shared" si="134"/>
        <v>2654000</v>
      </c>
      <c r="Y654" s="1003" t="s">
        <v>63</v>
      </c>
      <c r="Z654" s="1004" t="s">
        <v>55</v>
      </c>
      <c r="AA654" s="1004" t="s">
        <v>56</v>
      </c>
      <c r="AB654" s="1004" t="s">
        <v>57</v>
      </c>
      <c r="AC654" s="1004" t="s">
        <v>63</v>
      </c>
      <c r="AD654" s="1004" t="s">
        <v>430</v>
      </c>
      <c r="AE654" s="928"/>
      <c r="AF654" s="926"/>
      <c r="AG654" s="906" t="str">
        <f>IF(AE654&lt;&gt;0,VLOOKUP(AE654,ODDS!$A$2:$C$13,3,0),"")</f>
        <v/>
      </c>
      <c r="AH654" s="906" t="str">
        <f t="shared" si="145"/>
        <v xml:space="preserve"> </v>
      </c>
      <c r="AI654" s="907" t="str">
        <f t="shared" si="141"/>
        <v xml:space="preserve"> </v>
      </c>
      <c r="AJ654" s="894" t="s">
        <v>2410</v>
      </c>
      <c r="AK654" s="894"/>
    </row>
    <row r="655" spans="1:39" s="376" customFormat="1" ht="67.5" outlineLevel="2" x14ac:dyDescent="0.3">
      <c r="A655" s="447">
        <f t="shared" si="143"/>
        <v>55</v>
      </c>
      <c r="B655" s="893"/>
      <c r="C655" s="972"/>
      <c r="D655" s="923"/>
      <c r="E655" s="923"/>
      <c r="F655" s="896"/>
      <c r="G655" s="894"/>
      <c r="H655" s="924"/>
      <c r="I655" s="882"/>
      <c r="J655" s="925"/>
      <c r="K655" s="899" t="str">
        <f>IF(G655&lt;&gt;0,VLOOKUP(G655,'gia dat'!$A$1:$F$144,5,0)," ")</f>
        <v xml:space="preserve"> </v>
      </c>
      <c r="L655" s="899" t="str">
        <f>IF(G655&lt;&gt;0,VLOOKUP(G655,'gia dat'!$A$1:$F$144,6,0)," ")</f>
        <v xml:space="preserve"> </v>
      </c>
      <c r="M655" s="900" t="str">
        <f t="shared" si="137"/>
        <v xml:space="preserve"> </v>
      </c>
      <c r="N655" s="900" t="str">
        <f t="shared" si="138"/>
        <v xml:space="preserve"> </v>
      </c>
      <c r="O655" s="973"/>
      <c r="P655" s="999"/>
      <c r="Q655" s="900" t="str">
        <f>IF(O655&lt;&gt;0,VLOOKUP(O655,'Cây trong'!$A$2:$C$246,3,0)," ")</f>
        <v xml:space="preserve"> </v>
      </c>
      <c r="R655" s="900" t="str">
        <f t="shared" si="144"/>
        <v xml:space="preserve"> </v>
      </c>
      <c r="S655" s="1005" t="s">
        <v>1820</v>
      </c>
      <c r="T655" s="1003" t="s">
        <v>53</v>
      </c>
      <c r="U655" s="1002">
        <v>0.2</v>
      </c>
      <c r="V655" s="925">
        <v>14.7</v>
      </c>
      <c r="W655" s="900">
        <f>IF(S655&lt;&gt;0,VLOOKUP(S655,VKT!$A$2:$G$415,7,0),"")</f>
        <v>5307665</v>
      </c>
      <c r="X655" s="900">
        <f t="shared" si="134"/>
        <v>1062000</v>
      </c>
      <c r="Y655" s="1003" t="s">
        <v>63</v>
      </c>
      <c r="Z655" s="1004" t="s">
        <v>55</v>
      </c>
      <c r="AA655" s="1004" t="s">
        <v>56</v>
      </c>
      <c r="AB655" s="1004" t="s">
        <v>57</v>
      </c>
      <c r="AC655" s="1004" t="s">
        <v>63</v>
      </c>
      <c r="AD655" s="1004" t="s">
        <v>430</v>
      </c>
      <c r="AE655" s="928"/>
      <c r="AF655" s="926"/>
      <c r="AG655" s="906" t="str">
        <f>IF(AE655&lt;&gt;0,VLOOKUP(AE655,ODDS!$A$2:$C$13,3,0),"")</f>
        <v/>
      </c>
      <c r="AH655" s="906" t="str">
        <f t="shared" si="145"/>
        <v xml:space="preserve"> </v>
      </c>
      <c r="AI655" s="907" t="str">
        <f t="shared" si="141"/>
        <v xml:space="preserve"> </v>
      </c>
      <c r="AJ655" s="894" t="s">
        <v>2074</v>
      </c>
      <c r="AK655" s="894"/>
    </row>
    <row r="656" spans="1:39" s="376" customFormat="1" ht="22.5" outlineLevel="2" x14ac:dyDescent="0.35">
      <c r="A656" s="447">
        <f t="shared" si="143"/>
        <v>55</v>
      </c>
      <c r="B656" s="893"/>
      <c r="C656" s="972"/>
      <c r="D656" s="923"/>
      <c r="E656" s="923"/>
      <c r="F656" s="896"/>
      <c r="G656" s="894"/>
      <c r="H656" s="924"/>
      <c r="I656" s="882"/>
      <c r="J656" s="925"/>
      <c r="K656" s="899" t="str">
        <f>IF(G656&lt;&gt;0,VLOOKUP(G656,'gia dat'!$A$1:$F$144,5,0)," ")</f>
        <v xml:space="preserve"> </v>
      </c>
      <c r="L656" s="899" t="str">
        <f>IF(G656&lt;&gt;0,VLOOKUP(G656,'gia dat'!$A$1:$F$144,6,0)," ")</f>
        <v xml:space="preserve"> </v>
      </c>
      <c r="M656" s="900" t="str">
        <f t="shared" si="137"/>
        <v xml:space="preserve"> </v>
      </c>
      <c r="N656" s="900" t="str">
        <f t="shared" si="138"/>
        <v xml:space="preserve"> </v>
      </c>
      <c r="O656" s="973"/>
      <c r="P656" s="999"/>
      <c r="Q656" s="900" t="str">
        <f>IF(O656&lt;&gt;0,VLOOKUP(O656,'Cây trong'!$A$2:$C$246,3,0)," ")</f>
        <v xml:space="preserve"> </v>
      </c>
      <c r="R656" s="900" t="str">
        <f t="shared" si="144"/>
        <v xml:space="preserve"> </v>
      </c>
      <c r="S656" s="929"/>
      <c r="T656" s="929"/>
      <c r="U656" s="952"/>
      <c r="V656" s="925"/>
      <c r="W656" s="900" t="str">
        <f>IF(S656&lt;&gt;0,VLOOKUP(S656,VKT!$A$2:$G$415,7,0),"")</f>
        <v/>
      </c>
      <c r="X656" s="900" t="str">
        <f t="shared" si="134"/>
        <v xml:space="preserve"> </v>
      </c>
      <c r="Y656" s="925"/>
      <c r="Z656" s="928"/>
      <c r="AA656" s="928"/>
      <c r="AB656" s="904"/>
      <c r="AC656" s="928"/>
      <c r="AD656" s="928"/>
      <c r="AE656" s="928"/>
      <c r="AF656" s="926"/>
      <c r="AG656" s="906" t="str">
        <f>IF(AE656&lt;&gt;0,VLOOKUP(AE656,ODDS!$A$2:$C$13,3,0),"")</f>
        <v/>
      </c>
      <c r="AH656" s="906" t="str">
        <f t="shared" si="145"/>
        <v xml:space="preserve"> </v>
      </c>
      <c r="AI656" s="907" t="str">
        <f t="shared" si="141"/>
        <v xml:space="preserve"> </v>
      </c>
      <c r="AJ656" s="911"/>
      <c r="AK656" s="894"/>
    </row>
    <row r="657" spans="1:39" s="376" customFormat="1" ht="22.5" outlineLevel="2" x14ac:dyDescent="0.3">
      <c r="A657" s="447">
        <f t="shared" si="143"/>
        <v>55</v>
      </c>
      <c r="B657" s="893"/>
      <c r="C657" s="910"/>
      <c r="D657" s="923"/>
      <c r="E657" s="923"/>
      <c r="F657" s="896"/>
      <c r="G657" s="894"/>
      <c r="H657" s="924"/>
      <c r="I657" s="882"/>
      <c r="J657" s="925"/>
      <c r="K657" s="899" t="str">
        <f>IF(G657&lt;&gt;0,VLOOKUP(G657,'gia dat'!$A$1:$F$144,5,0)," ")</f>
        <v xml:space="preserve"> </v>
      </c>
      <c r="L657" s="899" t="str">
        <f>IF(G657&lt;&gt;0,VLOOKUP(G657,'gia dat'!$A$1:$F$144,6,0)," ")</f>
        <v xml:space="preserve"> </v>
      </c>
      <c r="M657" s="900" t="str">
        <f t="shared" si="137"/>
        <v xml:space="preserve"> </v>
      </c>
      <c r="N657" s="900" t="str">
        <f t="shared" si="138"/>
        <v xml:space="preserve"> </v>
      </c>
      <c r="O657" s="894"/>
      <c r="P657" s="926"/>
      <c r="Q657" s="900" t="str">
        <f>IF(O657&lt;&gt;0,VLOOKUP(O657,'Cây trong'!$A$2:$C$246,3,0)," ")</f>
        <v xml:space="preserve"> </v>
      </c>
      <c r="R657" s="900" t="str">
        <f t="shared" si="144"/>
        <v xml:space="preserve"> </v>
      </c>
      <c r="S657" s="929"/>
      <c r="T657" s="929"/>
      <c r="U657" s="952"/>
      <c r="V657" s="925"/>
      <c r="W657" s="900" t="str">
        <f>IF(S657&lt;&gt;0,VLOOKUP(S657,VKT!$A$2:$G$415,7,0),"")</f>
        <v/>
      </c>
      <c r="X657" s="900" t="str">
        <f t="shared" si="134"/>
        <v xml:space="preserve"> </v>
      </c>
      <c r="Y657" s="925"/>
      <c r="Z657" s="928"/>
      <c r="AA657" s="928"/>
      <c r="AB657" s="904"/>
      <c r="AC657" s="928"/>
      <c r="AD657" s="928"/>
      <c r="AE657" s="928"/>
      <c r="AF657" s="926"/>
      <c r="AG657" s="906" t="str">
        <f>IF(AE657&lt;&gt;0,VLOOKUP(AE657,ODDS!$A$2:$C$13,3,0),"")</f>
        <v/>
      </c>
      <c r="AH657" s="906" t="str">
        <f t="shared" si="145"/>
        <v xml:space="preserve"> </v>
      </c>
      <c r="AI657" s="907" t="str">
        <f t="shared" si="141"/>
        <v xml:space="preserve"> </v>
      </c>
      <c r="AJ657" s="929"/>
      <c r="AK657" s="929"/>
    </row>
    <row r="658" spans="1:39" s="376" customFormat="1" ht="22.5" outlineLevel="2" x14ac:dyDescent="0.3">
      <c r="A658" s="447">
        <f t="shared" si="143"/>
        <v>55</v>
      </c>
      <c r="B658" s="893"/>
      <c r="C658" s="972"/>
      <c r="D658" s="923"/>
      <c r="E658" s="923"/>
      <c r="F658" s="950"/>
      <c r="G658" s="894"/>
      <c r="H658" s="940"/>
      <c r="I658" s="882"/>
      <c r="J658" s="929"/>
      <c r="K658" s="899" t="str">
        <f>IF(G658&lt;&gt;0,VLOOKUP(G658,'gia dat'!$A$1:$F$144,5,0)," ")</f>
        <v xml:space="preserve"> </v>
      </c>
      <c r="L658" s="899" t="str">
        <f>IF(G658&lt;&gt;0,VLOOKUP(G658,'gia dat'!$A$1:$F$144,6,0)," ")</f>
        <v xml:space="preserve"> </v>
      </c>
      <c r="M658" s="900" t="str">
        <f t="shared" si="137"/>
        <v xml:space="preserve"> </v>
      </c>
      <c r="N658" s="900" t="str">
        <f t="shared" si="138"/>
        <v xml:space="preserve"> </v>
      </c>
      <c r="O658" s="929"/>
      <c r="P658" s="951"/>
      <c r="Q658" s="900" t="str">
        <f>IF(O658&lt;&gt;0,VLOOKUP(O658,'Cây trong'!$A$2:$C$246,3,0)," ")</f>
        <v xml:space="preserve"> </v>
      </c>
      <c r="R658" s="900" t="str">
        <f t="shared" si="144"/>
        <v xml:space="preserve"> </v>
      </c>
      <c r="S658" s="929"/>
      <c r="T658" s="929"/>
      <c r="U658" s="952"/>
      <c r="V658" s="925"/>
      <c r="W658" s="900" t="str">
        <f>IF(S658&lt;&gt;0,VLOOKUP(S658,VKT!$A$2:$G$415,7,0),"")</f>
        <v/>
      </c>
      <c r="X658" s="900" t="str">
        <f t="shared" si="134"/>
        <v xml:space="preserve"> </v>
      </c>
      <c r="Y658" s="925"/>
      <c r="Z658" s="925"/>
      <c r="AA658" s="925"/>
      <c r="AB658" s="898"/>
      <c r="AC658" s="925"/>
      <c r="AD658" s="925"/>
      <c r="AE658" s="925"/>
      <c r="AF658" s="964"/>
      <c r="AG658" s="906" t="str">
        <f>IF(AE658&lt;&gt;0,VLOOKUP(AE658,ODDS!$A$2:$C$13,3,0),"")</f>
        <v/>
      </c>
      <c r="AH658" s="906" t="str">
        <f t="shared" si="145"/>
        <v xml:space="preserve"> </v>
      </c>
      <c r="AI658" s="907" t="str">
        <f t="shared" si="141"/>
        <v xml:space="preserve"> </v>
      </c>
      <c r="AJ658" s="929"/>
      <c r="AK658" s="929"/>
    </row>
    <row r="659" spans="1:39" s="376" customFormat="1" ht="22.5" outlineLevel="2" x14ac:dyDescent="0.3">
      <c r="A659" s="447">
        <f t="shared" si="143"/>
        <v>55</v>
      </c>
      <c r="B659" s="893"/>
      <c r="C659" s="972"/>
      <c r="D659" s="923"/>
      <c r="E659" s="923"/>
      <c r="F659" s="896"/>
      <c r="G659" s="894"/>
      <c r="H659" s="924"/>
      <c r="I659" s="882"/>
      <c r="J659" s="925"/>
      <c r="K659" s="899" t="str">
        <f>IF(G659&lt;&gt;0,VLOOKUP(G659,'gia dat'!$A$1:$F$144,5,0)," ")</f>
        <v xml:space="preserve"> </v>
      </c>
      <c r="L659" s="899" t="str">
        <f>IF(G659&lt;&gt;0,VLOOKUP(G659,'gia dat'!$A$1:$F$144,6,0)," ")</f>
        <v xml:space="preserve"> </v>
      </c>
      <c r="M659" s="900" t="str">
        <f t="shared" si="137"/>
        <v xml:space="preserve"> </v>
      </c>
      <c r="N659" s="900" t="str">
        <f t="shared" si="138"/>
        <v xml:space="preserve"> </v>
      </c>
      <c r="O659" s="894"/>
      <c r="P659" s="926"/>
      <c r="Q659" s="900" t="str">
        <f>IF(O659&lt;&gt;0,VLOOKUP(O659,'Cây trong'!$A$2:$C$246,3,0)," ")</f>
        <v xml:space="preserve"> </v>
      </c>
      <c r="R659" s="900" t="str">
        <f t="shared" si="144"/>
        <v xml:space="preserve"> </v>
      </c>
      <c r="S659" s="902"/>
      <c r="T659" s="925"/>
      <c r="U659" s="927"/>
      <c r="V659" s="925"/>
      <c r="W659" s="900" t="str">
        <f>IF(S659&lt;&gt;0,VLOOKUP(S659,VKT!$A$2:$G$415,7,0),"")</f>
        <v/>
      </c>
      <c r="X659" s="900" t="str">
        <f t="shared" si="134"/>
        <v xml:space="preserve"> </v>
      </c>
      <c r="Y659" s="925"/>
      <c r="Z659" s="928"/>
      <c r="AA659" s="928"/>
      <c r="AB659" s="904"/>
      <c r="AC659" s="928"/>
      <c r="AD659" s="928"/>
      <c r="AE659" s="928"/>
      <c r="AF659" s="926"/>
      <c r="AG659" s="906" t="str">
        <f>IF(AE659&lt;&gt;0,VLOOKUP(AE659,ODDS!$A$2:$C$13,3,0),"")</f>
        <v/>
      </c>
      <c r="AH659" s="906" t="str">
        <f t="shared" si="145"/>
        <v xml:space="preserve"> </v>
      </c>
      <c r="AI659" s="907" t="str">
        <f t="shared" si="141"/>
        <v xml:space="preserve"> </v>
      </c>
      <c r="AJ659" s="894"/>
      <c r="AK659" s="894"/>
    </row>
    <row r="660" spans="1:39" s="376" customFormat="1" ht="22.5" outlineLevel="2" x14ac:dyDescent="0.3">
      <c r="A660" s="447">
        <f t="shared" si="143"/>
        <v>55</v>
      </c>
      <c r="B660" s="893"/>
      <c r="C660" s="971"/>
      <c r="D660" s="923"/>
      <c r="E660" s="923"/>
      <c r="F660" s="896"/>
      <c r="G660" s="894"/>
      <c r="H660" s="924"/>
      <c r="I660" s="882"/>
      <c r="J660" s="925"/>
      <c r="K660" s="899" t="str">
        <f>IF(G660&lt;&gt;0,VLOOKUP(G660,'gia dat'!$A$1:$F$144,5,0)," ")</f>
        <v xml:space="preserve"> </v>
      </c>
      <c r="L660" s="899" t="str">
        <f>IF(G660&lt;&gt;0,VLOOKUP(G660,'gia dat'!$A$1:$F$144,6,0)," ")</f>
        <v xml:space="preserve"> </v>
      </c>
      <c r="M660" s="900" t="str">
        <f t="shared" si="137"/>
        <v xml:space="preserve"> </v>
      </c>
      <c r="N660" s="900" t="str">
        <f t="shared" si="138"/>
        <v xml:space="preserve"> </v>
      </c>
      <c r="O660" s="894"/>
      <c r="P660" s="926"/>
      <c r="Q660" s="900" t="str">
        <f>IF(O660&lt;&gt;0,VLOOKUP(O660,'Cây trong'!$A$2:$C$246,3,0)," ")</f>
        <v xml:space="preserve"> </v>
      </c>
      <c r="R660" s="900" t="str">
        <f t="shared" si="144"/>
        <v xml:space="preserve"> </v>
      </c>
      <c r="S660" s="973"/>
      <c r="T660" s="974"/>
      <c r="U660" s="927"/>
      <c r="V660" s="925"/>
      <c r="W660" s="900" t="str">
        <f>IF(S660&lt;&gt;0,VLOOKUP(S660,VKT!$A$2:$G$415,7,0),"")</f>
        <v/>
      </c>
      <c r="X660" s="900" t="str">
        <f t="shared" si="134"/>
        <v xml:space="preserve"> </v>
      </c>
      <c r="Y660" s="925"/>
      <c r="Z660" s="928"/>
      <c r="AA660" s="928"/>
      <c r="AB660" s="904"/>
      <c r="AC660" s="928"/>
      <c r="AD660" s="928"/>
      <c r="AE660" s="928"/>
      <c r="AF660" s="926"/>
      <c r="AG660" s="906" t="str">
        <f>IF(AE660&lt;&gt;0,VLOOKUP(AE660,ODDS!$A$2:$C$13,3,0),"")</f>
        <v/>
      </c>
      <c r="AH660" s="906" t="str">
        <f t="shared" si="145"/>
        <v xml:space="preserve"> </v>
      </c>
      <c r="AI660" s="907" t="str">
        <f t="shared" si="141"/>
        <v xml:space="preserve"> </v>
      </c>
      <c r="AJ660" s="894"/>
      <c r="AK660" s="894"/>
    </row>
    <row r="661" spans="1:39" s="376" customFormat="1" ht="43.5" outlineLevel="1" x14ac:dyDescent="0.25">
      <c r="A661" s="467" t="s">
        <v>2654</v>
      </c>
      <c r="B661" s="912">
        <v>56</v>
      </c>
      <c r="C661" s="971" t="s">
        <v>223</v>
      </c>
      <c r="D661" s="931"/>
      <c r="E661" s="931"/>
      <c r="F661" s="913"/>
      <c r="G661" s="910"/>
      <c r="H661" s="953">
        <f>SUBTOTAL(9,H662:H669)</f>
        <v>53.5</v>
      </c>
      <c r="I661" s="915">
        <f>SUBTOTAL(9,I662:I667)</f>
        <v>37.299999999999997</v>
      </c>
      <c r="J661" s="933"/>
      <c r="K661" s="917"/>
      <c r="L661" s="917"/>
      <c r="M661" s="907">
        <f>SUBTOTAL(9,M662:M669)</f>
        <v>29660000</v>
      </c>
      <c r="N661" s="907">
        <f>SUBTOTAL(9,N662:N669)</f>
        <v>62037000</v>
      </c>
      <c r="O661" s="1006"/>
      <c r="P661" s="935">
        <f>SUBTOTAL(9,P662:P669)</f>
        <v>0</v>
      </c>
      <c r="Q661" s="907"/>
      <c r="R661" s="907">
        <f>SUBTOTAL(9,R662:R669)</f>
        <v>0</v>
      </c>
      <c r="S661" s="1006"/>
      <c r="T661" s="1007"/>
      <c r="U661" s="936">
        <f>SUBTOTAL(9,U662:U669)</f>
        <v>71.53</v>
      </c>
      <c r="V661" s="933"/>
      <c r="W661" s="907"/>
      <c r="X661" s="907">
        <f>SUBTOTAL(9,X662:X669)</f>
        <v>38450000</v>
      </c>
      <c r="Y661" s="925"/>
      <c r="Z661" s="928"/>
      <c r="AA661" s="928"/>
      <c r="AB661" s="904"/>
      <c r="AC661" s="928"/>
      <c r="AD661" s="928"/>
      <c r="AE661" s="937"/>
      <c r="AF661" s="935">
        <f>SUBTOTAL(9,AF662:AF669)</f>
        <v>0</v>
      </c>
      <c r="AG661" s="921"/>
      <c r="AH661" s="921">
        <f>SUBTOTAL(9,AH662:AH669)</f>
        <v>0</v>
      </c>
      <c r="AI661" s="907">
        <f t="shared" si="141"/>
        <v>130147000</v>
      </c>
      <c r="AJ661" s="910"/>
      <c r="AK661" s="914"/>
    </row>
    <row r="662" spans="1:39" s="376" customFormat="1" ht="135" outlineLevel="2" x14ac:dyDescent="0.3">
      <c r="A662" s="447">
        <f>IF(B661&lt;&gt;0,B661,A660)</f>
        <v>56</v>
      </c>
      <c r="B662" s="893"/>
      <c r="C662" s="972" t="s">
        <v>224</v>
      </c>
      <c r="D662" s="923">
        <v>8</v>
      </c>
      <c r="E662" s="923">
        <v>86</v>
      </c>
      <c r="F662" s="896">
        <v>37</v>
      </c>
      <c r="G662" s="894" t="s">
        <v>2469</v>
      </c>
      <c r="H662" s="924">
        <f>53.5-H663</f>
        <v>37.299999999999997</v>
      </c>
      <c r="I662" s="882">
        <f t="shared" ref="I662:I663" si="146">IF(N662&gt;0,H662,"")</f>
        <v>37.299999999999997</v>
      </c>
      <c r="J662" s="925"/>
      <c r="K662" s="899">
        <f>IF(G662&lt;&gt;0,VLOOKUP(G662,'gia dat'!$A$1:$F$144,5,0)," ")</f>
        <v>554400</v>
      </c>
      <c r="L662" s="899">
        <f>IF(G662&lt;&gt;0,VLOOKUP(G662,'gia dat'!$A$1:$F$144,6,0)," ")</f>
        <v>1663200</v>
      </c>
      <c r="M662" s="900">
        <f t="shared" si="137"/>
        <v>20679000</v>
      </c>
      <c r="N662" s="900">
        <f t="shared" si="138"/>
        <v>62037000</v>
      </c>
      <c r="O662" s="973"/>
      <c r="P662" s="926"/>
      <c r="Q662" s="900" t="str">
        <f>IF(O662&lt;&gt;0,VLOOKUP(O662,'Cây trong'!$A$2:$C$246,3,0)," ")</f>
        <v xml:space="preserve"> </v>
      </c>
      <c r="R662" s="900" t="str">
        <f t="shared" si="144"/>
        <v xml:space="preserve"> </v>
      </c>
      <c r="S662" s="973" t="s">
        <v>2289</v>
      </c>
      <c r="T662" s="974" t="s">
        <v>53</v>
      </c>
      <c r="U662" s="927">
        <v>16.170000000000002</v>
      </c>
      <c r="V662" s="925"/>
      <c r="W662" s="900">
        <f>IF(S662&lt;&gt;0,VLOOKUP(S662,VKT!$A$2:$G$415,7,0),"")</f>
        <v>684506</v>
      </c>
      <c r="X662" s="900">
        <f t="shared" si="134"/>
        <v>11068000</v>
      </c>
      <c r="Y662" s="925"/>
      <c r="Z662" s="928" t="s">
        <v>55</v>
      </c>
      <c r="AA662" s="928" t="s">
        <v>141</v>
      </c>
      <c r="AB662" s="904"/>
      <c r="AC662" s="928" t="s">
        <v>66</v>
      </c>
      <c r="AD662" s="928"/>
      <c r="AE662" s="928"/>
      <c r="AF662" s="926"/>
      <c r="AG662" s="906" t="str">
        <f>IF(AE662&lt;&gt;0,VLOOKUP(AE662,ODDS!$A$2:$C$13,3,0),"")</f>
        <v/>
      </c>
      <c r="AH662" s="906"/>
      <c r="AI662" s="907" t="str">
        <f t="shared" si="141"/>
        <v xml:space="preserve"> </v>
      </c>
      <c r="AJ662" s="894" t="s">
        <v>690</v>
      </c>
      <c r="AK662" s="922" t="s">
        <v>2771</v>
      </c>
    </row>
    <row r="663" spans="1:39" s="376" customFormat="1" ht="90" outlineLevel="2" x14ac:dyDescent="0.3">
      <c r="A663" s="447">
        <f t="shared" ref="A663:A669" si="147">IF(B662&lt;&gt;0,B662,A662)</f>
        <v>56</v>
      </c>
      <c r="B663" s="893"/>
      <c r="C663" s="971" t="s">
        <v>225</v>
      </c>
      <c r="D663" s="923"/>
      <c r="E663" s="923">
        <v>86</v>
      </c>
      <c r="F663" s="896">
        <v>37</v>
      </c>
      <c r="G663" s="894" t="s">
        <v>2471</v>
      </c>
      <c r="H663" s="924">
        <v>16.2</v>
      </c>
      <c r="I663" s="882" t="str">
        <f t="shared" si="146"/>
        <v/>
      </c>
      <c r="J663" s="925"/>
      <c r="K663" s="899">
        <f>IF(G663&lt;&gt;0,VLOOKUP(G663,'gia dat'!$A$1:$F$144,5,0)," ")</f>
        <v>554400</v>
      </c>
      <c r="L663" s="899">
        <f>IF(G663&lt;&gt;0,VLOOKUP(G663,'gia dat'!$A$1:$F$144,6,0)," ")</f>
        <v>0</v>
      </c>
      <c r="M663" s="900">
        <f t="shared" si="137"/>
        <v>8981000</v>
      </c>
      <c r="N663" s="900">
        <f t="shared" si="138"/>
        <v>0</v>
      </c>
      <c r="O663" s="894"/>
      <c r="P663" s="926"/>
      <c r="Q663" s="900" t="str">
        <f>IF(O663&lt;&gt;0,VLOOKUP(O663,'Cây trong'!$A$2:$C$246,3,0)," ")</f>
        <v xml:space="preserve"> </v>
      </c>
      <c r="R663" s="900" t="str">
        <f t="shared" si="144"/>
        <v xml:space="preserve"> </v>
      </c>
      <c r="S663" s="902" t="s">
        <v>2333</v>
      </c>
      <c r="T663" s="925" t="s">
        <v>53</v>
      </c>
      <c r="U663" s="927">
        <v>24.64</v>
      </c>
      <c r="V663" s="925"/>
      <c r="W663" s="900">
        <f>IF(S663&lt;&gt;0,VLOOKUP(S663,VKT!$A$2:$G$415,7,0),"")</f>
        <v>211811</v>
      </c>
      <c r="X663" s="900">
        <f t="shared" si="134"/>
        <v>5219000</v>
      </c>
      <c r="Y663" s="925"/>
      <c r="Z663" s="928"/>
      <c r="AA663" s="928"/>
      <c r="AB663" s="904"/>
      <c r="AC663" s="928"/>
      <c r="AD663" s="928"/>
      <c r="AE663" s="928"/>
      <c r="AF663" s="926"/>
      <c r="AG663" s="906" t="str">
        <f>IF(AE663&lt;&gt;0,VLOOKUP(AE663,ODDS!$A$2:$C$13,3,0),"")</f>
        <v/>
      </c>
      <c r="AH663" s="906" t="str">
        <f t="shared" si="145"/>
        <v xml:space="preserve"> </v>
      </c>
      <c r="AI663" s="907" t="str">
        <f t="shared" si="141"/>
        <v xml:space="preserve"> </v>
      </c>
      <c r="AJ663" s="894" t="s">
        <v>540</v>
      </c>
      <c r="AK663" s="894" t="s">
        <v>2448</v>
      </c>
    </row>
    <row r="664" spans="1:39" s="376" customFormat="1" ht="135" outlineLevel="2" x14ac:dyDescent="0.3">
      <c r="A664" s="447">
        <f t="shared" si="147"/>
        <v>56</v>
      </c>
      <c r="B664" s="893"/>
      <c r="C664" s="894" t="s">
        <v>226</v>
      </c>
      <c r="D664" s="923"/>
      <c r="E664" s="923"/>
      <c r="F664" s="896"/>
      <c r="G664" s="894"/>
      <c r="H664" s="924"/>
      <c r="I664" s="882"/>
      <c r="J664" s="925"/>
      <c r="K664" s="899" t="str">
        <f>IF(G664&lt;&gt;0,VLOOKUP(G664,'gia dat'!$A$1:$F$144,5,0)," ")</f>
        <v xml:space="preserve"> </v>
      </c>
      <c r="L664" s="899" t="str">
        <f>IF(G664&lt;&gt;0,VLOOKUP(G664,'gia dat'!$A$1:$F$144,6,0)," ")</f>
        <v xml:space="preserve"> </v>
      </c>
      <c r="M664" s="900" t="str">
        <f t="shared" si="137"/>
        <v xml:space="preserve"> </v>
      </c>
      <c r="N664" s="900" t="str">
        <f t="shared" si="138"/>
        <v xml:space="preserve"> </v>
      </c>
      <c r="O664" s="894"/>
      <c r="P664" s="926"/>
      <c r="Q664" s="900" t="str">
        <f>IF(O664&lt;&gt;0,VLOOKUP(O664,'Cây trong'!$A$2:$C$246,3,0)," ")</f>
        <v xml:space="preserve"> </v>
      </c>
      <c r="R664" s="900" t="str">
        <f t="shared" si="144"/>
        <v xml:space="preserve"> </v>
      </c>
      <c r="S664" s="902" t="s">
        <v>2334</v>
      </c>
      <c r="T664" s="925" t="s">
        <v>53</v>
      </c>
      <c r="U664" s="927">
        <v>16.940000000000001</v>
      </c>
      <c r="V664" s="925"/>
      <c r="W664" s="900">
        <f>IF(S664&lt;&gt;0,VLOOKUP(S664,VKT!$A$2:$G$415,7,0),"")</f>
        <v>949258</v>
      </c>
      <c r="X664" s="900">
        <f t="shared" si="134"/>
        <v>16080000</v>
      </c>
      <c r="Y664" s="925"/>
      <c r="Z664" s="928"/>
      <c r="AA664" s="928"/>
      <c r="AB664" s="904"/>
      <c r="AC664" s="928"/>
      <c r="AD664" s="928"/>
      <c r="AE664" s="928"/>
      <c r="AF664" s="926"/>
      <c r="AG664" s="906" t="str">
        <f>IF(AE664&lt;&gt;0,VLOOKUP(AE664,ODDS!$A$2:$C$13,3,0),"")</f>
        <v/>
      </c>
      <c r="AH664" s="906" t="str">
        <f t="shared" si="145"/>
        <v xml:space="preserve"> </v>
      </c>
      <c r="AI664" s="907" t="str">
        <f t="shared" si="141"/>
        <v xml:space="preserve"> </v>
      </c>
      <c r="AJ664" s="943" t="s">
        <v>111</v>
      </c>
      <c r="AK664" s="894" t="s">
        <v>2450</v>
      </c>
    </row>
    <row r="665" spans="1:39" s="376" customFormat="1" ht="112.5" outlineLevel="2" x14ac:dyDescent="0.3">
      <c r="A665" s="447">
        <f t="shared" si="147"/>
        <v>56</v>
      </c>
      <c r="B665" s="893"/>
      <c r="C665" s="972" t="s">
        <v>691</v>
      </c>
      <c r="D665" s="923"/>
      <c r="E665" s="923"/>
      <c r="F665" s="896"/>
      <c r="G665" s="894"/>
      <c r="H665" s="924"/>
      <c r="I665" s="882"/>
      <c r="J665" s="925"/>
      <c r="K665" s="899" t="str">
        <f>IF(G665&lt;&gt;0,VLOOKUP(G665,'gia dat'!$A$1:$F$144,5,0)," ")</f>
        <v xml:space="preserve"> </v>
      </c>
      <c r="L665" s="899" t="str">
        <f>IF(G665&lt;&gt;0,VLOOKUP(G665,'gia dat'!$A$1:$F$144,6,0)," ")</f>
        <v xml:space="preserve"> </v>
      </c>
      <c r="M665" s="900" t="str">
        <f t="shared" si="137"/>
        <v xml:space="preserve"> </v>
      </c>
      <c r="N665" s="900" t="str">
        <f t="shared" si="138"/>
        <v xml:space="preserve"> </v>
      </c>
      <c r="O665" s="894"/>
      <c r="P665" s="926"/>
      <c r="Q665" s="900" t="str">
        <f>IF(O665&lt;&gt;0,VLOOKUP(O665,'Cây trong'!$A$2:$C$246,3,0)," ")</f>
        <v xml:space="preserve"> </v>
      </c>
      <c r="R665" s="900" t="str">
        <f t="shared" si="144"/>
        <v xml:space="preserve"> </v>
      </c>
      <c r="S665" s="902" t="s">
        <v>2335</v>
      </c>
      <c r="T665" s="925" t="s">
        <v>53</v>
      </c>
      <c r="U665" s="927">
        <v>13.78</v>
      </c>
      <c r="V665" s="925"/>
      <c r="W665" s="900">
        <f>IF(S665&lt;&gt;0,VLOOKUP(S665,VKT!$A$2:$G$415,7,0),"")</f>
        <v>441467</v>
      </c>
      <c r="X665" s="900">
        <f t="shared" si="134"/>
        <v>6083000</v>
      </c>
      <c r="Y665" s="925"/>
      <c r="Z665" s="928"/>
      <c r="AA665" s="928"/>
      <c r="AB665" s="904"/>
      <c r="AC665" s="928"/>
      <c r="AD665" s="928"/>
      <c r="AE665" s="928"/>
      <c r="AF665" s="926"/>
      <c r="AG665" s="906" t="str">
        <f>IF(AE665&lt;&gt;0,VLOOKUP(AE665,ODDS!$A$2:$C$13,3,0),"")</f>
        <v/>
      </c>
      <c r="AH665" s="906" t="str">
        <f t="shared" si="145"/>
        <v xml:space="preserve"> </v>
      </c>
      <c r="AI665" s="907" t="str">
        <f t="shared" si="141"/>
        <v xml:space="preserve"> </v>
      </c>
      <c r="AJ665" s="894" t="s">
        <v>2074</v>
      </c>
      <c r="AK665" s="894" t="s">
        <v>2800</v>
      </c>
    </row>
    <row r="666" spans="1:39" s="376" customFormat="1" ht="22.5" outlineLevel="2" x14ac:dyDescent="0.35">
      <c r="A666" s="447">
        <f t="shared" si="147"/>
        <v>56</v>
      </c>
      <c r="B666" s="893"/>
      <c r="C666" s="972"/>
      <c r="D666" s="923"/>
      <c r="E666" s="923"/>
      <c r="F666" s="950"/>
      <c r="G666" s="894"/>
      <c r="H666" s="940"/>
      <c r="I666" s="882"/>
      <c r="J666" s="929"/>
      <c r="K666" s="899" t="str">
        <f>IF(G666&lt;&gt;0,VLOOKUP(G666,'gia dat'!$A$1:$F$144,5,0)," ")</f>
        <v xml:space="preserve"> </v>
      </c>
      <c r="L666" s="899" t="str">
        <f>IF(G666&lt;&gt;0,VLOOKUP(G666,'gia dat'!$A$1:$F$144,6,0)," ")</f>
        <v xml:space="preserve"> </v>
      </c>
      <c r="M666" s="900" t="str">
        <f t="shared" si="137"/>
        <v xml:space="preserve"> </v>
      </c>
      <c r="N666" s="900" t="str">
        <f t="shared" si="138"/>
        <v xml:space="preserve"> </v>
      </c>
      <c r="O666" s="929"/>
      <c r="P666" s="951"/>
      <c r="Q666" s="900" t="str">
        <f>IF(O666&lt;&gt;0,VLOOKUP(O666,'Cây trong'!$A$2:$C$246,3,0)," ")</f>
        <v xml:space="preserve"> </v>
      </c>
      <c r="R666" s="900" t="str">
        <f t="shared" si="144"/>
        <v xml:space="preserve"> </v>
      </c>
      <c r="S666" s="929"/>
      <c r="T666" s="929"/>
      <c r="U666" s="952"/>
      <c r="V666" s="925"/>
      <c r="W666" s="900" t="str">
        <f>IF(S666&lt;&gt;0,VLOOKUP(S666,VKT!$A$2:$G$415,7,0),"")</f>
        <v/>
      </c>
      <c r="X666" s="900" t="str">
        <f t="shared" si="134"/>
        <v xml:space="preserve"> </v>
      </c>
      <c r="Y666" s="925"/>
      <c r="Z666" s="925"/>
      <c r="AA666" s="925"/>
      <c r="AB666" s="898"/>
      <c r="AC666" s="925"/>
      <c r="AD666" s="925"/>
      <c r="AE666" s="925"/>
      <c r="AF666" s="964"/>
      <c r="AG666" s="906" t="str">
        <f>IF(AE666&lt;&gt;0,VLOOKUP(AE666,ODDS!$A$2:$C$13,3,0),"")</f>
        <v/>
      </c>
      <c r="AH666" s="906" t="str">
        <f t="shared" si="145"/>
        <v xml:space="preserve"> </v>
      </c>
      <c r="AI666" s="907" t="str">
        <f t="shared" si="141"/>
        <v xml:space="preserve"> </v>
      </c>
      <c r="AJ666" s="911"/>
      <c r="AK666" s="929"/>
    </row>
    <row r="667" spans="1:39" s="376" customFormat="1" ht="22.5" outlineLevel="2" x14ac:dyDescent="0.35">
      <c r="A667" s="447">
        <f t="shared" si="147"/>
        <v>56</v>
      </c>
      <c r="B667" s="893"/>
      <c r="C667" s="972"/>
      <c r="D667" s="923"/>
      <c r="E667" s="923"/>
      <c r="F667" s="950"/>
      <c r="G667" s="894"/>
      <c r="H667" s="940"/>
      <c r="I667" s="882"/>
      <c r="J667" s="929"/>
      <c r="K667" s="899" t="str">
        <f>IF(G667&lt;&gt;0,VLOOKUP(G667,'gia dat'!$A$1:$F$144,5,0)," ")</f>
        <v xml:space="preserve"> </v>
      </c>
      <c r="L667" s="899" t="str">
        <f>IF(G667&lt;&gt;0,VLOOKUP(G667,'gia dat'!$A$1:$F$144,6,0)," ")</f>
        <v xml:space="preserve"> </v>
      </c>
      <c r="M667" s="900" t="str">
        <f t="shared" si="137"/>
        <v xml:space="preserve"> </v>
      </c>
      <c r="N667" s="900" t="str">
        <f t="shared" si="138"/>
        <v xml:space="preserve"> </v>
      </c>
      <c r="O667" s="929"/>
      <c r="P667" s="951"/>
      <c r="Q667" s="900" t="str">
        <f>IF(O667&lt;&gt;0,VLOOKUP(O667,'Cây trong'!$A$2:$C$246,3,0)," ")</f>
        <v xml:space="preserve"> </v>
      </c>
      <c r="R667" s="900" t="str">
        <f t="shared" si="144"/>
        <v xml:space="preserve"> </v>
      </c>
      <c r="S667" s="929"/>
      <c r="T667" s="929"/>
      <c r="U667" s="952"/>
      <c r="V667" s="925"/>
      <c r="W667" s="900" t="str">
        <f>IF(S667&lt;&gt;0,VLOOKUP(S667,VKT!$A$2:$G$415,7,0),"")</f>
        <v/>
      </c>
      <c r="X667" s="900" t="str">
        <f t="shared" si="134"/>
        <v xml:space="preserve"> </v>
      </c>
      <c r="Y667" s="925"/>
      <c r="Z667" s="925"/>
      <c r="AA667" s="925"/>
      <c r="AB667" s="898"/>
      <c r="AC667" s="925"/>
      <c r="AD667" s="925"/>
      <c r="AE667" s="925"/>
      <c r="AF667" s="964"/>
      <c r="AG667" s="906" t="str">
        <f>IF(AE667&lt;&gt;0,VLOOKUP(AE667,ODDS!$A$2:$C$13,3,0),"")</f>
        <v/>
      </c>
      <c r="AH667" s="906" t="str">
        <f t="shared" si="145"/>
        <v xml:space="preserve"> </v>
      </c>
      <c r="AI667" s="907" t="str">
        <f t="shared" si="141"/>
        <v xml:space="preserve"> </v>
      </c>
      <c r="AJ667" s="911"/>
      <c r="AK667" s="929"/>
      <c r="AM667" s="377" t="s">
        <v>2151</v>
      </c>
    </row>
    <row r="668" spans="1:39" s="376" customFormat="1" ht="22.5" outlineLevel="2" x14ac:dyDescent="0.3">
      <c r="A668" s="447">
        <f t="shared" si="147"/>
        <v>56</v>
      </c>
      <c r="B668" s="893"/>
      <c r="C668" s="910"/>
      <c r="D668" s="923"/>
      <c r="E668" s="923"/>
      <c r="F668" s="896"/>
      <c r="G668" s="894"/>
      <c r="H668" s="924"/>
      <c r="I668" s="882"/>
      <c r="J668" s="925"/>
      <c r="K668" s="899" t="str">
        <f>IF(G668&lt;&gt;0,VLOOKUP(G668,'gia dat'!$A$1:$F$144,5,0)," ")</f>
        <v xml:space="preserve"> </v>
      </c>
      <c r="L668" s="899" t="str">
        <f>IF(G668&lt;&gt;0,VLOOKUP(G668,'gia dat'!$A$1:$F$144,6,0)," ")</f>
        <v xml:space="preserve"> </v>
      </c>
      <c r="M668" s="900" t="str">
        <f t="shared" si="137"/>
        <v xml:space="preserve"> </v>
      </c>
      <c r="N668" s="900" t="str">
        <f t="shared" si="138"/>
        <v xml:space="preserve"> </v>
      </c>
      <c r="O668" s="894"/>
      <c r="P668" s="926"/>
      <c r="Q668" s="900" t="str">
        <f>IF(O668&lt;&gt;0,VLOOKUP(O668,'Cây trong'!$A$2:$C$246,3,0)," ")</f>
        <v xml:space="preserve"> </v>
      </c>
      <c r="R668" s="900" t="str">
        <f t="shared" si="144"/>
        <v xml:space="preserve"> </v>
      </c>
      <c r="S668" s="902"/>
      <c r="T668" s="925"/>
      <c r="U668" s="927"/>
      <c r="V668" s="925"/>
      <c r="W668" s="900" t="str">
        <f>IF(S668&lt;&gt;0,VLOOKUP(S668,VKT!$A$2:$G$415,7,0),"")</f>
        <v/>
      </c>
      <c r="X668" s="900" t="str">
        <f t="shared" si="134"/>
        <v xml:space="preserve"> </v>
      </c>
      <c r="Y668" s="925"/>
      <c r="Z668" s="928"/>
      <c r="AA668" s="928"/>
      <c r="AB668" s="904"/>
      <c r="AC668" s="928"/>
      <c r="AD668" s="928"/>
      <c r="AE668" s="928"/>
      <c r="AF668" s="926"/>
      <c r="AG668" s="906" t="str">
        <f>IF(AE668&lt;&gt;0,VLOOKUP(AE668,ODDS!$A$2:$C$13,3,0),"")</f>
        <v/>
      </c>
      <c r="AH668" s="906" t="str">
        <f t="shared" si="145"/>
        <v xml:space="preserve"> </v>
      </c>
      <c r="AI668" s="907" t="str">
        <f t="shared" si="141"/>
        <v xml:space="preserve"> </v>
      </c>
      <c r="AJ668" s="929"/>
      <c r="AK668" s="929"/>
    </row>
    <row r="669" spans="1:39" s="376" customFormat="1" ht="22.5" outlineLevel="2" x14ac:dyDescent="0.3">
      <c r="A669" s="447">
        <f t="shared" si="147"/>
        <v>56</v>
      </c>
      <c r="B669" s="893"/>
      <c r="C669" s="971"/>
      <c r="D669" s="923"/>
      <c r="E669" s="923"/>
      <c r="F669" s="896"/>
      <c r="G669" s="894"/>
      <c r="H669" s="924"/>
      <c r="I669" s="882"/>
      <c r="J669" s="925"/>
      <c r="K669" s="899" t="str">
        <f>IF(G669&lt;&gt;0,VLOOKUP(G669,'gia dat'!$A$1:$F$144,5,0)," ")</f>
        <v xml:space="preserve"> </v>
      </c>
      <c r="L669" s="899" t="str">
        <f>IF(G669&lt;&gt;0,VLOOKUP(G669,'gia dat'!$A$1:$F$144,6,0)," ")</f>
        <v xml:space="preserve"> </v>
      </c>
      <c r="M669" s="900" t="str">
        <f t="shared" si="137"/>
        <v xml:space="preserve"> </v>
      </c>
      <c r="N669" s="900" t="str">
        <f t="shared" si="138"/>
        <v xml:space="preserve"> </v>
      </c>
      <c r="O669" s="894"/>
      <c r="P669" s="926"/>
      <c r="Q669" s="900" t="str">
        <f>IF(O669&lt;&gt;0,VLOOKUP(O669,'Cây trong'!$A$2:$C$246,3,0)," ")</f>
        <v xml:space="preserve"> </v>
      </c>
      <c r="R669" s="900" t="str">
        <f t="shared" si="144"/>
        <v xml:space="preserve"> </v>
      </c>
      <c r="S669" s="902"/>
      <c r="T669" s="925"/>
      <c r="U669" s="927"/>
      <c r="V669" s="925"/>
      <c r="W669" s="900" t="str">
        <f>IF(S669&lt;&gt;0,VLOOKUP(S669,VKT!$A$2:$G$415,7,0),"")</f>
        <v/>
      </c>
      <c r="X669" s="900" t="str">
        <f t="shared" si="134"/>
        <v xml:space="preserve"> </v>
      </c>
      <c r="Y669" s="925"/>
      <c r="Z669" s="928"/>
      <c r="AA669" s="928"/>
      <c r="AB669" s="904"/>
      <c r="AC669" s="928"/>
      <c r="AD669" s="928"/>
      <c r="AE669" s="928"/>
      <c r="AF669" s="926"/>
      <c r="AG669" s="906" t="str">
        <f>IF(AE669&lt;&gt;0,VLOOKUP(AE669,ODDS!$A$2:$C$13,3,0),"")</f>
        <v/>
      </c>
      <c r="AH669" s="906" t="str">
        <f t="shared" si="145"/>
        <v xml:space="preserve"> </v>
      </c>
      <c r="AI669" s="907" t="str">
        <f t="shared" si="141"/>
        <v xml:space="preserve"> </v>
      </c>
      <c r="AJ669" s="929"/>
      <c r="AK669" s="929"/>
    </row>
    <row r="670" spans="1:39" s="376" customFormat="1" ht="43.5" outlineLevel="1" x14ac:dyDescent="0.25">
      <c r="A670" s="467" t="s">
        <v>2653</v>
      </c>
      <c r="B670" s="912">
        <v>57</v>
      </c>
      <c r="C670" s="971" t="s">
        <v>41</v>
      </c>
      <c r="D670" s="931"/>
      <c r="E670" s="913"/>
      <c r="F670" s="931"/>
      <c r="G670" s="910"/>
      <c r="H670" s="953">
        <f>SUBTOTAL(9,H671:H679)</f>
        <v>45.8</v>
      </c>
      <c r="I670" s="915">
        <f>SUBTOTAL(9,I671:I676)</f>
        <v>20.8</v>
      </c>
      <c r="J670" s="933"/>
      <c r="K670" s="917"/>
      <c r="L670" s="917"/>
      <c r="M670" s="907">
        <f>SUBTOTAL(9,M671:M679)</f>
        <v>155592000</v>
      </c>
      <c r="N670" s="907">
        <f>SUBTOTAL(9,N671:N679)</f>
        <v>34595000</v>
      </c>
      <c r="O670" s="1006"/>
      <c r="P670" s="1008">
        <f>SUBTOTAL(9,P671:P679)</f>
        <v>0</v>
      </c>
      <c r="Q670" s="907"/>
      <c r="R670" s="907">
        <f>SUBTOTAL(9,R671:R679)</f>
        <v>0</v>
      </c>
      <c r="S670" s="918"/>
      <c r="T670" s="933"/>
      <c r="U670" s="936">
        <f>SUBTOTAL(9,U671:U679)</f>
        <v>94.21</v>
      </c>
      <c r="V670" s="933"/>
      <c r="W670" s="907"/>
      <c r="X670" s="907">
        <f>SUBTOTAL(9,X671:X679)</f>
        <v>92392000</v>
      </c>
      <c r="Y670" s="925"/>
      <c r="Z670" s="928"/>
      <c r="AA670" s="928"/>
      <c r="AB670" s="904"/>
      <c r="AC670" s="928"/>
      <c r="AD670" s="928"/>
      <c r="AE670" s="937"/>
      <c r="AF670" s="935">
        <f>SUBTOTAL(9,AF671:AF679)</f>
        <v>0</v>
      </c>
      <c r="AG670" s="921"/>
      <c r="AH670" s="921">
        <f>SUBTOTAL(9,AH671:AH679)</f>
        <v>0</v>
      </c>
      <c r="AI670" s="907">
        <f t="shared" si="141"/>
        <v>282579000</v>
      </c>
      <c r="AJ670" s="910"/>
      <c r="AK670" s="914"/>
    </row>
    <row r="671" spans="1:39" s="376" customFormat="1" ht="135" outlineLevel="2" x14ac:dyDescent="0.3">
      <c r="A671" s="447">
        <f>IF(B670&lt;&gt;0,B670,A669)</f>
        <v>57</v>
      </c>
      <c r="B671" s="893"/>
      <c r="C671" s="972" t="s">
        <v>227</v>
      </c>
      <c r="D671" s="923">
        <v>6</v>
      </c>
      <c r="E671" s="896">
        <v>86</v>
      </c>
      <c r="F671" s="923">
        <v>227</v>
      </c>
      <c r="G671" s="894" t="s">
        <v>2037</v>
      </c>
      <c r="H671" s="924">
        <v>25</v>
      </c>
      <c r="I671" s="882" t="str">
        <f t="shared" ref="I671:I672" si="148">IF(N671&gt;0,H671,"")</f>
        <v/>
      </c>
      <c r="J671" s="925"/>
      <c r="K671" s="899">
        <f>IF(G671&lt;&gt;0,VLOOKUP(G671,'gia dat'!$A$1:$F$144,5,0)," ")</f>
        <v>5762400</v>
      </c>
      <c r="L671" s="899">
        <f>IF(G671&lt;&gt;0,VLOOKUP(G671,'gia dat'!$A$1:$F$144,6,0)," ")</f>
        <v>0</v>
      </c>
      <c r="M671" s="900">
        <f t="shared" si="137"/>
        <v>144060000</v>
      </c>
      <c r="N671" s="900">
        <f t="shared" si="138"/>
        <v>0</v>
      </c>
      <c r="O671" s="973"/>
      <c r="P671" s="999"/>
      <c r="Q671" s="900" t="str">
        <f>IF(O671&lt;&gt;0,VLOOKUP(O671,'Cây trong'!$A$2:$C$246,3,0)," ")</f>
        <v xml:space="preserve"> </v>
      </c>
      <c r="R671" s="900" t="str">
        <f t="shared" si="144"/>
        <v xml:space="preserve"> </v>
      </c>
      <c r="S671" s="902" t="s">
        <v>1885</v>
      </c>
      <c r="T671" s="925" t="s">
        <v>53</v>
      </c>
      <c r="U671" s="927">
        <f>15.75</f>
        <v>15.75</v>
      </c>
      <c r="V671" s="925"/>
      <c r="W671" s="900">
        <f>IF(S671&lt;&gt;0,VLOOKUP(S671,VKT!$A$2:$G$415,7,0),"")</f>
        <v>3460013</v>
      </c>
      <c r="X671" s="900">
        <f t="shared" si="134"/>
        <v>54495000</v>
      </c>
      <c r="Y671" s="925" t="s">
        <v>63</v>
      </c>
      <c r="Z671" s="928" t="s">
        <v>55</v>
      </c>
      <c r="AA671" s="928" t="s">
        <v>141</v>
      </c>
      <c r="AB671" s="904" t="s">
        <v>57</v>
      </c>
      <c r="AC671" s="928" t="s">
        <v>54</v>
      </c>
      <c r="AD671" s="928"/>
      <c r="AE671" s="928"/>
      <c r="AF671" s="926"/>
      <c r="AG671" s="906" t="str">
        <f>IF(AE671&lt;&gt;0,VLOOKUP(AE671,ODDS!$A$2:$C$13,3,0),"")</f>
        <v/>
      </c>
      <c r="AH671" s="906"/>
      <c r="AI671" s="907" t="str">
        <f t="shared" si="141"/>
        <v xml:space="preserve"> </v>
      </c>
      <c r="AJ671" s="894" t="s">
        <v>228</v>
      </c>
      <c r="AK671" s="922" t="s">
        <v>2771</v>
      </c>
    </row>
    <row r="672" spans="1:39" s="376" customFormat="1" ht="112.5" outlineLevel="2" x14ac:dyDescent="0.3">
      <c r="A672" s="447">
        <f t="shared" ref="A672:A679" si="149">IF(B671&lt;&gt;0,B671,A671)</f>
        <v>57</v>
      </c>
      <c r="B672" s="893"/>
      <c r="C672" s="972" t="s">
        <v>692</v>
      </c>
      <c r="D672" s="923"/>
      <c r="E672" s="896">
        <v>86</v>
      </c>
      <c r="F672" s="923">
        <v>227</v>
      </c>
      <c r="G672" s="894" t="s">
        <v>2469</v>
      </c>
      <c r="H672" s="924">
        <v>20.8</v>
      </c>
      <c r="I672" s="882">
        <f t="shared" si="148"/>
        <v>20.8</v>
      </c>
      <c r="J672" s="925"/>
      <c r="K672" s="899">
        <f>IF(G672&lt;&gt;0,VLOOKUP(G672,'gia dat'!$A$1:$F$144,5,0)," ")</f>
        <v>554400</v>
      </c>
      <c r="L672" s="899">
        <f>IF(G672&lt;&gt;0,VLOOKUP(G672,'gia dat'!$A$1:$F$144,6,0)," ")</f>
        <v>1663200</v>
      </c>
      <c r="M672" s="900">
        <f t="shared" si="137"/>
        <v>11532000</v>
      </c>
      <c r="N672" s="900">
        <f t="shared" si="138"/>
        <v>34595000</v>
      </c>
      <c r="O672" s="973"/>
      <c r="P672" s="999"/>
      <c r="Q672" s="900" t="str">
        <f>IF(O672&lt;&gt;0,VLOOKUP(O672,'Cây trong'!$A$2:$C$246,3,0)," ")</f>
        <v xml:space="preserve"> </v>
      </c>
      <c r="R672" s="900" t="str">
        <f t="shared" si="144"/>
        <v xml:space="preserve"> </v>
      </c>
      <c r="S672" s="902" t="s">
        <v>1846</v>
      </c>
      <c r="T672" s="925" t="s">
        <v>53</v>
      </c>
      <c r="U672" s="927">
        <f>15.3-U677</f>
        <v>7.5900000000000007</v>
      </c>
      <c r="V672" s="925"/>
      <c r="W672" s="900">
        <f>IF(S672&lt;&gt;0,VLOOKUP(S672,VKT!$A$2:$G$415,7,0),"")</f>
        <v>238288</v>
      </c>
      <c r="X672" s="900">
        <f t="shared" si="134"/>
        <v>1809000</v>
      </c>
      <c r="Y672" s="925"/>
      <c r="Z672" s="928"/>
      <c r="AA672" s="928"/>
      <c r="AB672" s="904"/>
      <c r="AC672" s="928"/>
      <c r="AD672" s="928"/>
      <c r="AE672" s="928"/>
      <c r="AF672" s="926"/>
      <c r="AG672" s="906" t="str">
        <f>IF(AE672&lt;&gt;0,VLOOKUP(AE672,ODDS!$A$2:$C$13,3,0),"")</f>
        <v/>
      </c>
      <c r="AH672" s="906" t="str">
        <f t="shared" si="145"/>
        <v xml:space="preserve"> </v>
      </c>
      <c r="AI672" s="907" t="str">
        <f t="shared" si="141"/>
        <v xml:space="preserve"> </v>
      </c>
      <c r="AJ672" s="894" t="s">
        <v>543</v>
      </c>
      <c r="AK672" s="894" t="s">
        <v>2448</v>
      </c>
    </row>
    <row r="673" spans="1:39" s="376" customFormat="1" ht="112.5" outlineLevel="2" x14ac:dyDescent="0.3">
      <c r="A673" s="447">
        <f t="shared" si="149"/>
        <v>57</v>
      </c>
      <c r="B673" s="893"/>
      <c r="C673" s="894" t="s">
        <v>314</v>
      </c>
      <c r="D673" s="923"/>
      <c r="E673" s="923"/>
      <c r="F673" s="896"/>
      <c r="G673" s="894"/>
      <c r="H673" s="924"/>
      <c r="I673" s="882"/>
      <c r="J673" s="925"/>
      <c r="K673" s="899" t="str">
        <f>IF(G673&lt;&gt;0,VLOOKUP(G673,'gia dat'!$A$1:$F$144,5,0)," ")</f>
        <v xml:space="preserve"> </v>
      </c>
      <c r="L673" s="899" t="str">
        <f>IF(G673&lt;&gt;0,VLOOKUP(G673,'gia dat'!$A$1:$F$144,6,0)," ")</f>
        <v xml:space="preserve"> </v>
      </c>
      <c r="M673" s="900" t="str">
        <f t="shared" si="137"/>
        <v xml:space="preserve"> </v>
      </c>
      <c r="N673" s="900" t="str">
        <f t="shared" si="138"/>
        <v xml:space="preserve"> </v>
      </c>
      <c r="O673" s="973"/>
      <c r="P673" s="999"/>
      <c r="Q673" s="900" t="str">
        <f>IF(O673&lt;&gt;0,VLOOKUP(O673,'Cây trong'!$A$2:$C$246,3,0)," ")</f>
        <v xml:space="preserve"> </v>
      </c>
      <c r="R673" s="900" t="str">
        <f t="shared" si="144"/>
        <v xml:space="preserve"> </v>
      </c>
      <c r="S673" s="902" t="s">
        <v>1768</v>
      </c>
      <c r="T673" s="925" t="s">
        <v>53</v>
      </c>
      <c r="U673" s="927">
        <v>11.5</v>
      </c>
      <c r="V673" s="925"/>
      <c r="W673" s="900">
        <f>IF(S673&lt;&gt;0,VLOOKUP(S673,VKT!$A$2:$G$415,7,0),"")</f>
        <v>238288</v>
      </c>
      <c r="X673" s="900">
        <f t="shared" si="134"/>
        <v>2740000</v>
      </c>
      <c r="Y673" s="925"/>
      <c r="Z673" s="928"/>
      <c r="AA673" s="928"/>
      <c r="AB673" s="904"/>
      <c r="AC673" s="928"/>
      <c r="AD673" s="928"/>
      <c r="AE673" s="928"/>
      <c r="AF673" s="926"/>
      <c r="AG673" s="906" t="str">
        <f>IF(AE673&lt;&gt;0,VLOOKUP(AE673,ODDS!$A$2:$C$13,3,0),"")</f>
        <v/>
      </c>
      <c r="AH673" s="906" t="str">
        <f t="shared" si="145"/>
        <v xml:space="preserve"> </v>
      </c>
      <c r="AI673" s="907" t="str">
        <f t="shared" si="141"/>
        <v xml:space="preserve"> </v>
      </c>
      <c r="AJ673" s="929" t="s">
        <v>335</v>
      </c>
      <c r="AK673" s="894" t="s">
        <v>2450</v>
      </c>
    </row>
    <row r="674" spans="1:39" s="376" customFormat="1" ht="112.5" outlineLevel="2" x14ac:dyDescent="0.3">
      <c r="A674" s="447">
        <f t="shared" si="149"/>
        <v>57</v>
      </c>
      <c r="B674" s="893"/>
      <c r="C674" s="894"/>
      <c r="D674" s="923"/>
      <c r="E674" s="923"/>
      <c r="F674" s="896"/>
      <c r="G674" s="894"/>
      <c r="H674" s="924"/>
      <c r="I674" s="882"/>
      <c r="J674" s="925"/>
      <c r="K674" s="899" t="str">
        <f>IF(G674&lt;&gt;0,VLOOKUP(G674,'gia dat'!$A$1:$F$144,5,0)," ")</f>
        <v xml:space="preserve"> </v>
      </c>
      <c r="L674" s="899" t="str">
        <f>IF(G674&lt;&gt;0,VLOOKUP(G674,'gia dat'!$A$1:$F$144,6,0)," ")</f>
        <v xml:space="preserve"> </v>
      </c>
      <c r="M674" s="900" t="str">
        <f t="shared" si="137"/>
        <v xml:space="preserve"> </v>
      </c>
      <c r="N674" s="900" t="str">
        <f t="shared" si="138"/>
        <v xml:space="preserve"> </v>
      </c>
      <c r="O674" s="973"/>
      <c r="P674" s="999"/>
      <c r="Q674" s="900" t="str">
        <f>IF(O674&lt;&gt;0,VLOOKUP(O674,'Cây trong'!$A$2:$C$246,3,0)," ")</f>
        <v xml:space="preserve"> </v>
      </c>
      <c r="R674" s="900" t="str">
        <f t="shared" si="144"/>
        <v xml:space="preserve"> </v>
      </c>
      <c r="S674" s="902" t="s">
        <v>1767</v>
      </c>
      <c r="T674" s="925" t="s">
        <v>53</v>
      </c>
      <c r="U674" s="927">
        <v>8.5500000000000007</v>
      </c>
      <c r="V674" s="925"/>
      <c r="W674" s="900">
        <f>IF(S674&lt;&gt;0,VLOOKUP(S674,VKT!$A$2:$G$415,7,0),"")</f>
        <v>0</v>
      </c>
      <c r="X674" s="900">
        <f t="shared" si="134"/>
        <v>0</v>
      </c>
      <c r="Y674" s="925"/>
      <c r="Z674" s="928"/>
      <c r="AA674" s="928"/>
      <c r="AB674" s="904"/>
      <c r="AC674" s="928"/>
      <c r="AD674" s="928"/>
      <c r="AE674" s="928"/>
      <c r="AF674" s="926"/>
      <c r="AG674" s="906" t="str">
        <f>IF(AE674&lt;&gt;0,VLOOKUP(AE674,ODDS!$A$2:$C$13,3,0),"")</f>
        <v/>
      </c>
      <c r="AH674" s="906" t="str">
        <f t="shared" si="145"/>
        <v xml:space="preserve"> </v>
      </c>
      <c r="AI674" s="907" t="str">
        <f t="shared" si="141"/>
        <v xml:space="preserve"> </v>
      </c>
      <c r="AJ674" s="894" t="s">
        <v>2074</v>
      </c>
      <c r="AK674" s="894" t="s">
        <v>2800</v>
      </c>
    </row>
    <row r="675" spans="1:39" s="376" customFormat="1" ht="112.5" outlineLevel="2" x14ac:dyDescent="0.35">
      <c r="A675" s="447">
        <f t="shared" si="149"/>
        <v>57</v>
      </c>
      <c r="B675" s="893"/>
      <c r="C675" s="973"/>
      <c r="D675" s="923"/>
      <c r="E675" s="923"/>
      <c r="F675" s="950"/>
      <c r="G675" s="894"/>
      <c r="H675" s="940"/>
      <c r="I675" s="882"/>
      <c r="J675" s="929"/>
      <c r="K675" s="899" t="str">
        <f>IF(G675&lt;&gt;0,VLOOKUP(G675,'gia dat'!$A$1:$F$144,5,0)," ")</f>
        <v xml:space="preserve"> </v>
      </c>
      <c r="L675" s="899" t="str">
        <f>IF(G675&lt;&gt;0,VLOOKUP(G675,'gia dat'!$A$1:$F$144,6,0)," ")</f>
        <v xml:space="preserve"> </v>
      </c>
      <c r="M675" s="900" t="str">
        <f t="shared" si="137"/>
        <v xml:space="preserve"> </v>
      </c>
      <c r="N675" s="900" t="str">
        <f t="shared" si="138"/>
        <v xml:space="preserve"> </v>
      </c>
      <c r="O675" s="929"/>
      <c r="P675" s="951"/>
      <c r="Q675" s="900" t="str">
        <f>IF(O675&lt;&gt;0,VLOOKUP(O675,'Cây trong'!$A$2:$C$246,3,0)," ")</f>
        <v xml:space="preserve"> </v>
      </c>
      <c r="R675" s="900" t="str">
        <f t="shared" si="144"/>
        <v xml:space="preserve"> </v>
      </c>
      <c r="S675" s="894" t="s">
        <v>2336</v>
      </c>
      <c r="T675" s="925" t="s">
        <v>53</v>
      </c>
      <c r="U675" s="927">
        <v>17.68</v>
      </c>
      <c r="V675" s="925"/>
      <c r="W675" s="900">
        <f>IF(S675&lt;&gt;0,VLOOKUP(S675,VKT!$A$2:$G$415,7,0),"")</f>
        <v>1067915</v>
      </c>
      <c r="X675" s="900">
        <f t="shared" si="134"/>
        <v>18881000</v>
      </c>
      <c r="Y675" s="925"/>
      <c r="Z675" s="925"/>
      <c r="AA675" s="925"/>
      <c r="AB675" s="898"/>
      <c r="AC675" s="925"/>
      <c r="AD675" s="925"/>
      <c r="AE675" s="925"/>
      <c r="AF675" s="964"/>
      <c r="AG675" s="906" t="str">
        <f>IF(AE675&lt;&gt;0,VLOOKUP(AE675,ODDS!$A$2:$C$13,3,0),"")</f>
        <v/>
      </c>
      <c r="AH675" s="906" t="str">
        <f t="shared" si="145"/>
        <v xml:space="preserve"> </v>
      </c>
      <c r="AI675" s="907" t="str">
        <f t="shared" si="141"/>
        <v xml:space="preserve"> </v>
      </c>
      <c r="AJ675" s="911"/>
      <c r="AK675" s="929"/>
    </row>
    <row r="676" spans="1:39" s="376" customFormat="1" ht="90" outlineLevel="2" x14ac:dyDescent="0.3">
      <c r="A676" s="447">
        <f t="shared" si="149"/>
        <v>57</v>
      </c>
      <c r="B676" s="893"/>
      <c r="C676" s="973"/>
      <c r="D676" s="923"/>
      <c r="E676" s="923"/>
      <c r="F676" s="896"/>
      <c r="G676" s="894"/>
      <c r="H676" s="924"/>
      <c r="I676" s="882"/>
      <c r="J676" s="925"/>
      <c r="K676" s="899" t="str">
        <f>IF(G676&lt;&gt;0,VLOOKUP(G676,'gia dat'!$A$1:$F$144,5,0)," ")</f>
        <v xml:space="preserve"> </v>
      </c>
      <c r="L676" s="899" t="str">
        <f>IF(G676&lt;&gt;0,VLOOKUP(G676,'gia dat'!$A$1:$F$144,6,0)," ")</f>
        <v xml:space="preserve"> </v>
      </c>
      <c r="M676" s="900" t="str">
        <f t="shared" si="137"/>
        <v xml:space="preserve"> </v>
      </c>
      <c r="N676" s="900" t="str">
        <f t="shared" si="138"/>
        <v xml:space="preserve"> </v>
      </c>
      <c r="O676" s="973"/>
      <c r="P676" s="999"/>
      <c r="Q676" s="900" t="str">
        <f>IF(O676&lt;&gt;0,VLOOKUP(O676,'Cây trong'!$A$2:$C$246,3,0)," ")</f>
        <v xml:space="preserve"> </v>
      </c>
      <c r="R676" s="900" t="str">
        <f t="shared" si="144"/>
        <v xml:space="preserve"> </v>
      </c>
      <c r="S676" s="902" t="s">
        <v>2337</v>
      </c>
      <c r="T676" s="925" t="s">
        <v>53</v>
      </c>
      <c r="U676" s="927">
        <v>25.43</v>
      </c>
      <c r="V676" s="925"/>
      <c r="W676" s="900">
        <f>IF(S676&lt;&gt;0,VLOOKUP(S676,VKT!$A$2:$G$415,7,0),"")</f>
        <v>496651</v>
      </c>
      <c r="X676" s="900">
        <f t="shared" si="134"/>
        <v>12630000</v>
      </c>
      <c r="Y676" s="925"/>
      <c r="Z676" s="928"/>
      <c r="AA676" s="928"/>
      <c r="AB676" s="904"/>
      <c r="AC676" s="928"/>
      <c r="AD676" s="928"/>
      <c r="AE676" s="928"/>
      <c r="AF676" s="926"/>
      <c r="AG676" s="906" t="str">
        <f>IF(AE676&lt;&gt;0,VLOOKUP(AE676,ODDS!$A$2:$C$13,3,0),"")</f>
        <v/>
      </c>
      <c r="AH676" s="906" t="str">
        <f t="shared" si="145"/>
        <v xml:space="preserve"> </v>
      </c>
      <c r="AI676" s="907" t="str">
        <f t="shared" si="141"/>
        <v xml:space="preserve"> </v>
      </c>
      <c r="AJ676" s="894"/>
      <c r="AK676" s="894"/>
    </row>
    <row r="677" spans="1:39" s="376" customFormat="1" ht="67.5" outlineLevel="2" x14ac:dyDescent="0.3">
      <c r="A677" s="447">
        <f t="shared" si="149"/>
        <v>57</v>
      </c>
      <c r="B677" s="893"/>
      <c r="C677" s="973"/>
      <c r="D677" s="923"/>
      <c r="E677" s="923"/>
      <c r="F677" s="896"/>
      <c r="G677" s="894"/>
      <c r="H677" s="924"/>
      <c r="I677" s="882"/>
      <c r="J677" s="925"/>
      <c r="K677" s="899" t="str">
        <f>IF(G677&lt;&gt;0,VLOOKUP(G677,'gia dat'!$A$1:$F$144,5,0)," ")</f>
        <v xml:space="preserve"> </v>
      </c>
      <c r="L677" s="899" t="str">
        <f>IF(G677&lt;&gt;0,VLOOKUP(G677,'gia dat'!$A$1:$F$144,6,0)," ")</f>
        <v xml:space="preserve"> </v>
      </c>
      <c r="M677" s="900" t="str">
        <f t="shared" si="137"/>
        <v xml:space="preserve"> </v>
      </c>
      <c r="N677" s="900" t="str">
        <f t="shared" si="138"/>
        <v xml:space="preserve"> </v>
      </c>
      <c r="O677" s="973"/>
      <c r="P677" s="999"/>
      <c r="Q677" s="900" t="str">
        <f>IF(O677&lt;&gt;0,VLOOKUP(O677,'Cây trong'!$A$2:$C$246,3,0)," ")</f>
        <v xml:space="preserve"> </v>
      </c>
      <c r="R677" s="900" t="str">
        <f t="shared" si="144"/>
        <v xml:space="preserve"> </v>
      </c>
      <c r="S677" s="902" t="s">
        <v>1768</v>
      </c>
      <c r="T677" s="925" t="s">
        <v>53</v>
      </c>
      <c r="U677" s="927">
        <v>7.71</v>
      </c>
      <c r="V677" s="925"/>
      <c r="W677" s="900">
        <f>IF(S677&lt;&gt;0,VLOOKUP(S677,VKT!$A$2:$G$415,7,0),"")</f>
        <v>238288</v>
      </c>
      <c r="X677" s="900">
        <f t="shared" si="134"/>
        <v>1837000</v>
      </c>
      <c r="Y677" s="925"/>
      <c r="Z677" s="928"/>
      <c r="AA677" s="928"/>
      <c r="AB677" s="904"/>
      <c r="AC677" s="928"/>
      <c r="AD677" s="928"/>
      <c r="AE677" s="928"/>
      <c r="AF677" s="926"/>
      <c r="AG677" s="906" t="str">
        <f>IF(AE677&lt;&gt;0,VLOOKUP(AE677,ODDS!$A$2:$C$13,3,0),"")</f>
        <v/>
      </c>
      <c r="AH677" s="906" t="str">
        <f t="shared" si="145"/>
        <v xml:space="preserve"> </v>
      </c>
      <c r="AI677" s="907" t="str">
        <f t="shared" si="141"/>
        <v xml:space="preserve"> </v>
      </c>
      <c r="AJ677" s="894"/>
      <c r="AK677" s="894"/>
    </row>
    <row r="678" spans="1:39" s="376" customFormat="1" ht="22.5" outlineLevel="2" x14ac:dyDescent="0.3">
      <c r="A678" s="447">
        <f t="shared" si="149"/>
        <v>57</v>
      </c>
      <c r="B678" s="893"/>
      <c r="C678" s="894"/>
      <c r="D678" s="923"/>
      <c r="E678" s="923"/>
      <c r="F678" s="896"/>
      <c r="G678" s="894"/>
      <c r="H678" s="924"/>
      <c r="I678" s="882"/>
      <c r="J678" s="925"/>
      <c r="K678" s="899" t="str">
        <f>IF(G678&lt;&gt;0,VLOOKUP(G678,'gia dat'!$A$1:$F$144,5,0)," ")</f>
        <v xml:space="preserve"> </v>
      </c>
      <c r="L678" s="899" t="str">
        <f>IF(G678&lt;&gt;0,VLOOKUP(G678,'gia dat'!$A$1:$F$144,6,0)," ")</f>
        <v xml:space="preserve"> </v>
      </c>
      <c r="M678" s="900" t="str">
        <f t="shared" si="137"/>
        <v xml:space="preserve"> </v>
      </c>
      <c r="N678" s="900" t="str">
        <f t="shared" si="138"/>
        <v xml:space="preserve"> </v>
      </c>
      <c r="O678" s="973"/>
      <c r="P678" s="999"/>
      <c r="Q678" s="900" t="str">
        <f>IF(O678&lt;&gt;0,VLOOKUP(O678,'Cây trong'!$A$2:$C$246,3,0)," ")</f>
        <v xml:space="preserve"> </v>
      </c>
      <c r="R678" s="900" t="str">
        <f t="shared" si="144"/>
        <v xml:space="preserve"> </v>
      </c>
      <c r="S678" s="902"/>
      <c r="T678" s="925"/>
      <c r="U678" s="927"/>
      <c r="V678" s="925"/>
      <c r="W678" s="900" t="str">
        <f>IF(S678&lt;&gt;0,VLOOKUP(S678,VKT!$A$2:$G$415,7,0),"")</f>
        <v/>
      </c>
      <c r="X678" s="900" t="str">
        <f t="shared" si="134"/>
        <v xml:space="preserve"> </v>
      </c>
      <c r="Y678" s="925"/>
      <c r="Z678" s="928"/>
      <c r="AA678" s="928"/>
      <c r="AB678" s="904"/>
      <c r="AC678" s="928"/>
      <c r="AD678" s="928"/>
      <c r="AE678" s="928"/>
      <c r="AF678" s="926"/>
      <c r="AG678" s="906" t="str">
        <f>IF(AE678&lt;&gt;0,VLOOKUP(AE678,ODDS!$A$2:$C$13,3,0),"")</f>
        <v/>
      </c>
      <c r="AH678" s="906" t="str">
        <f t="shared" si="145"/>
        <v xml:space="preserve"> </v>
      </c>
      <c r="AI678" s="907" t="str">
        <f t="shared" si="141"/>
        <v xml:space="preserve"> </v>
      </c>
      <c r="AJ678" s="894"/>
      <c r="AK678" s="894"/>
    </row>
    <row r="679" spans="1:39" s="376" customFormat="1" ht="22.5" outlineLevel="2" x14ac:dyDescent="0.3">
      <c r="A679" s="447">
        <f t="shared" si="149"/>
        <v>57</v>
      </c>
      <c r="B679" s="893"/>
      <c r="C679" s="971"/>
      <c r="D679" s="923"/>
      <c r="E679" s="923"/>
      <c r="F679" s="896"/>
      <c r="G679" s="894"/>
      <c r="H679" s="924"/>
      <c r="I679" s="882"/>
      <c r="J679" s="925"/>
      <c r="K679" s="899" t="str">
        <f>IF(G679&lt;&gt;0,VLOOKUP(G679,'gia dat'!$A$1:$F$144,5,0)," ")</f>
        <v xml:space="preserve"> </v>
      </c>
      <c r="L679" s="899" t="str">
        <f>IF(G679&lt;&gt;0,VLOOKUP(G679,'gia dat'!$A$1:$F$144,6,0)," ")</f>
        <v xml:space="preserve"> </v>
      </c>
      <c r="M679" s="900" t="str">
        <f t="shared" si="137"/>
        <v xml:space="preserve"> </v>
      </c>
      <c r="N679" s="900" t="str">
        <f t="shared" si="138"/>
        <v xml:space="preserve"> </v>
      </c>
      <c r="O679" s="973"/>
      <c r="P679" s="999"/>
      <c r="Q679" s="900" t="str">
        <f>IF(O679&lt;&gt;0,VLOOKUP(O679,'Cây trong'!$A$2:$C$246,3,0)," ")</f>
        <v xml:space="preserve"> </v>
      </c>
      <c r="R679" s="900" t="str">
        <f t="shared" si="144"/>
        <v xml:space="preserve"> </v>
      </c>
      <c r="S679" s="902"/>
      <c r="T679" s="925"/>
      <c r="U679" s="927"/>
      <c r="V679" s="925"/>
      <c r="W679" s="900" t="str">
        <f>IF(S679&lt;&gt;0,VLOOKUP(S679,VKT!$A$2:$G$415,7,0),"")</f>
        <v/>
      </c>
      <c r="X679" s="900" t="str">
        <f t="shared" si="134"/>
        <v xml:space="preserve"> </v>
      </c>
      <c r="Y679" s="925"/>
      <c r="Z679" s="928"/>
      <c r="AA679" s="928"/>
      <c r="AB679" s="904"/>
      <c r="AC679" s="928"/>
      <c r="AD679" s="928"/>
      <c r="AE679" s="928"/>
      <c r="AF679" s="926"/>
      <c r="AG679" s="906" t="str">
        <f>IF(AE679&lt;&gt;0,VLOOKUP(AE679,ODDS!$A$2:$C$13,3,0),"")</f>
        <v/>
      </c>
      <c r="AH679" s="906" t="str">
        <f t="shared" si="145"/>
        <v xml:space="preserve"> </v>
      </c>
      <c r="AI679" s="907" t="str">
        <f t="shared" si="141"/>
        <v xml:space="preserve"> </v>
      </c>
      <c r="AJ679" s="929"/>
      <c r="AK679" s="929"/>
    </row>
    <row r="680" spans="1:39" s="376" customFormat="1" ht="43.5" outlineLevel="1" x14ac:dyDescent="0.25">
      <c r="A680" s="467" t="s">
        <v>2652</v>
      </c>
      <c r="B680" s="912">
        <v>58</v>
      </c>
      <c r="C680" s="971" t="s">
        <v>287</v>
      </c>
      <c r="D680" s="931"/>
      <c r="E680" s="931"/>
      <c r="F680" s="913"/>
      <c r="G680" s="910"/>
      <c r="H680" s="953">
        <f>SUBTOTAL(9,H681:H687)</f>
        <v>64.3</v>
      </c>
      <c r="I680" s="915">
        <f>SUBTOTAL(9,I681:I686)</f>
        <v>0</v>
      </c>
      <c r="J680" s="933"/>
      <c r="K680" s="917"/>
      <c r="L680" s="917"/>
      <c r="M680" s="907">
        <f>SUBTOTAL(9,M681:M687)</f>
        <v>29938000</v>
      </c>
      <c r="N680" s="907">
        <f>SUBTOTAL(9,N681:N687)</f>
        <v>0</v>
      </c>
      <c r="O680" s="1006"/>
      <c r="P680" s="1009">
        <f>SUBTOTAL(9,P681:P687)</f>
        <v>0</v>
      </c>
      <c r="Q680" s="907"/>
      <c r="R680" s="907">
        <f>SUBTOTAL(9,R681:R687)</f>
        <v>0</v>
      </c>
      <c r="S680" s="1006"/>
      <c r="T680" s="1007"/>
      <c r="U680" s="936">
        <f>SUBTOTAL(9,U681:U687)</f>
        <v>87.92</v>
      </c>
      <c r="V680" s="933"/>
      <c r="W680" s="907"/>
      <c r="X680" s="907">
        <f>SUBTOTAL(9,X681:X687)</f>
        <v>40431000</v>
      </c>
      <c r="Y680" s="925"/>
      <c r="Z680" s="928"/>
      <c r="AA680" s="928"/>
      <c r="AB680" s="904"/>
      <c r="AC680" s="928"/>
      <c r="AD680" s="928"/>
      <c r="AE680" s="937"/>
      <c r="AF680" s="935">
        <f>SUBTOTAL(9,AF681:AF687)</f>
        <v>0</v>
      </c>
      <c r="AG680" s="921"/>
      <c r="AH680" s="921">
        <f>SUBTOTAL(9,AH681:AH687)</f>
        <v>0</v>
      </c>
      <c r="AI680" s="907">
        <f t="shared" si="141"/>
        <v>70369000</v>
      </c>
      <c r="AJ680" s="910"/>
      <c r="AK680" s="914"/>
    </row>
    <row r="681" spans="1:39" s="376" customFormat="1" ht="135" outlineLevel="2" x14ac:dyDescent="0.3">
      <c r="A681" s="447">
        <f>IF(B680&lt;&gt;0,B680,A679)</f>
        <v>58</v>
      </c>
      <c r="B681" s="893"/>
      <c r="C681" s="972" t="s">
        <v>288</v>
      </c>
      <c r="D681" s="923">
        <v>4</v>
      </c>
      <c r="E681" s="923">
        <v>86</v>
      </c>
      <c r="F681" s="896">
        <v>133</v>
      </c>
      <c r="G681" s="894" t="s">
        <v>2476</v>
      </c>
      <c r="H681" s="924">
        <f>64.3-H682</f>
        <v>64.3</v>
      </c>
      <c r="I681" s="882" t="str">
        <f t="shared" ref="I681" si="150">IF(N681&gt;0,H681,"")</f>
        <v/>
      </c>
      <c r="J681" s="925"/>
      <c r="K681" s="899">
        <f>IF(G681&lt;&gt;0,VLOOKUP(G681,'gia dat'!$A$1:$F$144,5,0)," ")</f>
        <v>465600</v>
      </c>
      <c r="L681" s="899">
        <f>IF(G681&lt;&gt;0,VLOOKUP(G681,'gia dat'!$A$1:$F$144,6,0)," ")</f>
        <v>0</v>
      </c>
      <c r="M681" s="900">
        <f t="shared" si="137"/>
        <v>29938000</v>
      </c>
      <c r="N681" s="900">
        <f t="shared" si="138"/>
        <v>0</v>
      </c>
      <c r="O681" s="973"/>
      <c r="P681" s="1010"/>
      <c r="Q681" s="900" t="str">
        <f>IF(O681&lt;&gt;0,VLOOKUP(O681,'Cây trong'!$A$2:$C$246,3,0)," ")</f>
        <v xml:space="preserve"> </v>
      </c>
      <c r="R681" s="900" t="str">
        <f t="shared" si="144"/>
        <v xml:space="preserve"> </v>
      </c>
      <c r="S681" s="973" t="s">
        <v>1839</v>
      </c>
      <c r="T681" s="974" t="s">
        <v>53</v>
      </c>
      <c r="U681" s="927">
        <v>39.299999999999997</v>
      </c>
      <c r="V681" s="925"/>
      <c r="W681" s="900">
        <f>IF(S681&lt;&gt;0,VLOOKUP(S681,VKT!$A$2:$G$415,7,0),"")</f>
        <v>244604</v>
      </c>
      <c r="X681" s="900">
        <f t="shared" si="134"/>
        <v>9613000</v>
      </c>
      <c r="Y681" s="925"/>
      <c r="Z681" s="928"/>
      <c r="AA681" s="928"/>
      <c r="AB681" s="904"/>
      <c r="AC681" s="928"/>
      <c r="AD681" s="928"/>
      <c r="AE681" s="928"/>
      <c r="AF681" s="926"/>
      <c r="AG681" s="906" t="str">
        <f>IF(AE681&lt;&gt;0,VLOOKUP(AE681,ODDS!$A$2:$C$13,3,0),"")</f>
        <v/>
      </c>
      <c r="AH681" s="906"/>
      <c r="AI681" s="907" t="str">
        <f t="shared" si="141"/>
        <v xml:space="preserve"> </v>
      </c>
      <c r="AJ681" s="894" t="s">
        <v>289</v>
      </c>
      <c r="AK681" s="922" t="s">
        <v>2771</v>
      </c>
    </row>
    <row r="682" spans="1:39" s="376" customFormat="1" ht="112.5" outlineLevel="2" x14ac:dyDescent="0.3">
      <c r="A682" s="447">
        <f t="shared" ref="A682:A687" si="151">IF(B681&lt;&gt;0,B681,A681)</f>
        <v>58</v>
      </c>
      <c r="B682" s="893"/>
      <c r="C682" s="972" t="s">
        <v>693</v>
      </c>
      <c r="D682" s="923"/>
      <c r="E682" s="923"/>
      <c r="F682" s="896"/>
      <c r="G682" s="894"/>
      <c r="H682" s="924"/>
      <c r="I682" s="882"/>
      <c r="J682" s="925"/>
      <c r="K682" s="899" t="str">
        <f>IF(G682&lt;&gt;0,VLOOKUP(G682,'gia dat'!$A$1:$F$144,5,0)," ")</f>
        <v xml:space="preserve"> </v>
      </c>
      <c r="L682" s="899" t="str">
        <f>IF(G682&lt;&gt;0,VLOOKUP(G682,'gia dat'!$A$1:$F$144,6,0)," ")</f>
        <v xml:space="preserve"> </v>
      </c>
      <c r="M682" s="900" t="str">
        <f t="shared" si="137"/>
        <v xml:space="preserve"> </v>
      </c>
      <c r="N682" s="900" t="str">
        <f t="shared" si="138"/>
        <v xml:space="preserve"> </v>
      </c>
      <c r="O682" s="973"/>
      <c r="P682" s="999"/>
      <c r="Q682" s="900" t="str">
        <f>IF(O682&lt;&gt;0,VLOOKUP(O682,'Cây trong'!$A$2:$C$246,3,0)," ")</f>
        <v xml:space="preserve"> </v>
      </c>
      <c r="R682" s="900" t="str">
        <f t="shared" si="144"/>
        <v xml:space="preserve"> </v>
      </c>
      <c r="S682" s="973" t="s">
        <v>1749</v>
      </c>
      <c r="T682" s="974" t="s">
        <v>53</v>
      </c>
      <c r="U682" s="927">
        <v>14.5</v>
      </c>
      <c r="V682" s="925"/>
      <c r="W682" s="900">
        <f>IF(S682&lt;&gt;0,VLOOKUP(S682,VKT!$A$2:$G$415,7,0),"")</f>
        <v>211811</v>
      </c>
      <c r="X682" s="900">
        <f t="shared" si="134"/>
        <v>3071000</v>
      </c>
      <c r="Y682" s="925"/>
      <c r="Z682" s="928"/>
      <c r="AA682" s="928"/>
      <c r="AB682" s="904"/>
      <c r="AC682" s="928"/>
      <c r="AD682" s="928"/>
      <c r="AE682" s="928"/>
      <c r="AF682" s="926"/>
      <c r="AG682" s="906" t="str">
        <f>IF(AE682&lt;&gt;0,VLOOKUP(AE682,ODDS!$A$2:$C$13,3,0),"")</f>
        <v/>
      </c>
      <c r="AH682" s="906" t="str">
        <f t="shared" si="145"/>
        <v xml:space="preserve"> </v>
      </c>
      <c r="AI682" s="907" t="str">
        <f t="shared" si="141"/>
        <v xml:space="preserve"> </v>
      </c>
      <c r="AJ682" s="894" t="s">
        <v>548</v>
      </c>
      <c r="AK682" s="894" t="s">
        <v>2450</v>
      </c>
    </row>
    <row r="683" spans="1:39" s="376" customFormat="1" ht="112.5" outlineLevel="2" x14ac:dyDescent="0.3">
      <c r="A683" s="447">
        <f t="shared" si="151"/>
        <v>58</v>
      </c>
      <c r="B683" s="893"/>
      <c r="C683" s="894" t="s">
        <v>299</v>
      </c>
      <c r="D683" s="923"/>
      <c r="E683" s="923"/>
      <c r="F683" s="896"/>
      <c r="G683" s="894"/>
      <c r="H683" s="924"/>
      <c r="I683" s="882"/>
      <c r="J683" s="925"/>
      <c r="K683" s="899" t="str">
        <f>IF(G683&lt;&gt;0,VLOOKUP(G683,'gia dat'!$A$1:$F$144,5,0)," ")</f>
        <v xml:space="preserve"> </v>
      </c>
      <c r="L683" s="899" t="str">
        <f>IF(G683&lt;&gt;0,VLOOKUP(G683,'gia dat'!$A$1:$F$144,6,0)," ")</f>
        <v xml:space="preserve"> </v>
      </c>
      <c r="M683" s="900" t="str">
        <f t="shared" si="137"/>
        <v xml:space="preserve"> </v>
      </c>
      <c r="N683" s="900" t="str">
        <f t="shared" si="138"/>
        <v xml:space="preserve"> </v>
      </c>
      <c r="O683" s="973"/>
      <c r="P683" s="999"/>
      <c r="Q683" s="900" t="str">
        <f>IF(O683&lt;&gt;0,VLOOKUP(O683,'Cây trong'!$A$2:$C$246,3,0)," ")</f>
        <v xml:space="preserve"> </v>
      </c>
      <c r="R683" s="900" t="str">
        <f t="shared" si="144"/>
        <v xml:space="preserve"> </v>
      </c>
      <c r="S683" s="973" t="s">
        <v>2154</v>
      </c>
      <c r="T683" s="974" t="s">
        <v>53</v>
      </c>
      <c r="U683" s="927">
        <v>19</v>
      </c>
      <c r="V683" s="925"/>
      <c r="W683" s="900">
        <f>IF(S683&lt;&gt;0,VLOOKUP(S683,VKT!$A$2:$G$415,7,0),"")</f>
        <v>949258</v>
      </c>
      <c r="X683" s="900">
        <f t="shared" si="134"/>
        <v>18036000</v>
      </c>
      <c r="Y683" s="925"/>
      <c r="Z683" s="928"/>
      <c r="AA683" s="928"/>
      <c r="AB683" s="904"/>
      <c r="AC683" s="928"/>
      <c r="AD683" s="928"/>
      <c r="AE683" s="928"/>
      <c r="AF683" s="926"/>
      <c r="AG683" s="906" t="str">
        <f>IF(AE683&lt;&gt;0,VLOOKUP(AE683,ODDS!$A$2:$C$13,3,0),"")</f>
        <v/>
      </c>
      <c r="AH683" s="906" t="str">
        <f t="shared" si="145"/>
        <v xml:space="preserve"> </v>
      </c>
      <c r="AI683" s="907" t="str">
        <f t="shared" si="141"/>
        <v xml:space="preserve"> </v>
      </c>
      <c r="AJ683" s="894" t="s">
        <v>2208</v>
      </c>
      <c r="AK683" s="894" t="s">
        <v>2800</v>
      </c>
    </row>
    <row r="684" spans="1:39" s="376" customFormat="1" ht="67.5" outlineLevel="2" x14ac:dyDescent="0.35">
      <c r="A684" s="447">
        <f t="shared" si="151"/>
        <v>58</v>
      </c>
      <c r="B684" s="893"/>
      <c r="C684" s="894"/>
      <c r="D684" s="923"/>
      <c r="E684" s="923"/>
      <c r="F684" s="896"/>
      <c r="G684" s="894"/>
      <c r="H684" s="924"/>
      <c r="I684" s="882"/>
      <c r="J684" s="925"/>
      <c r="K684" s="899" t="str">
        <f>IF(G684&lt;&gt;0,VLOOKUP(G684,'gia dat'!$A$1:$F$144,5,0)," ")</f>
        <v xml:space="preserve"> </v>
      </c>
      <c r="L684" s="899" t="str">
        <f>IF(G684&lt;&gt;0,VLOOKUP(G684,'gia dat'!$A$1:$F$144,6,0)," ")</f>
        <v xml:space="preserve"> </v>
      </c>
      <c r="M684" s="900" t="str">
        <f t="shared" si="137"/>
        <v xml:space="preserve"> </v>
      </c>
      <c r="N684" s="900" t="str">
        <f t="shared" si="138"/>
        <v xml:space="preserve"> </v>
      </c>
      <c r="O684" s="973"/>
      <c r="P684" s="999"/>
      <c r="Q684" s="900" t="str">
        <f>IF(O684&lt;&gt;0,VLOOKUP(O684,'Cây trong'!$A$2:$C$246,3,0)," ")</f>
        <v xml:space="preserve"> </v>
      </c>
      <c r="R684" s="900" t="str">
        <f t="shared" si="144"/>
        <v xml:space="preserve"> </v>
      </c>
      <c r="S684" s="973" t="s">
        <v>2155</v>
      </c>
      <c r="T684" s="974" t="s">
        <v>53</v>
      </c>
      <c r="U684" s="927">
        <v>15.12</v>
      </c>
      <c r="V684" s="925"/>
      <c r="W684" s="900">
        <f>IF(S684&lt;&gt;0,VLOOKUP(S684,VKT!$A$2:$G$415,7,0),"")</f>
        <v>642264</v>
      </c>
      <c r="X684" s="900">
        <f t="shared" si="134"/>
        <v>9711000</v>
      </c>
      <c r="Y684" s="925"/>
      <c r="Z684" s="928"/>
      <c r="AA684" s="928"/>
      <c r="AB684" s="904"/>
      <c r="AC684" s="928"/>
      <c r="AD684" s="928"/>
      <c r="AE684" s="928"/>
      <c r="AF684" s="926"/>
      <c r="AG684" s="906" t="str">
        <f>IF(AE684&lt;&gt;0,VLOOKUP(AE684,ODDS!$A$2:$C$13,3,0),"")</f>
        <v/>
      </c>
      <c r="AH684" s="906" t="str">
        <f t="shared" si="145"/>
        <v xml:space="preserve"> </v>
      </c>
      <c r="AI684" s="907" t="str">
        <f t="shared" si="141"/>
        <v xml:space="preserve"> </v>
      </c>
      <c r="AJ684" s="911"/>
      <c r="AK684" s="929"/>
      <c r="AM684" s="378" t="s">
        <v>2153</v>
      </c>
    </row>
    <row r="685" spans="1:39" s="376" customFormat="1" ht="22.5" outlineLevel="2" x14ac:dyDescent="0.35">
      <c r="A685" s="447">
        <f t="shared" si="151"/>
        <v>58</v>
      </c>
      <c r="B685" s="893"/>
      <c r="C685" s="894"/>
      <c r="D685" s="923"/>
      <c r="E685" s="923"/>
      <c r="F685" s="950"/>
      <c r="G685" s="894"/>
      <c r="H685" s="940"/>
      <c r="I685" s="882"/>
      <c r="J685" s="929"/>
      <c r="K685" s="899" t="str">
        <f>IF(G685&lt;&gt;0,VLOOKUP(G685,'gia dat'!$A$1:$F$144,5,0)," ")</f>
        <v xml:space="preserve"> </v>
      </c>
      <c r="L685" s="899" t="str">
        <f>IF(G685&lt;&gt;0,VLOOKUP(G685,'gia dat'!$A$1:$F$144,6,0)," ")</f>
        <v xml:space="preserve"> </v>
      </c>
      <c r="M685" s="900" t="str">
        <f t="shared" si="137"/>
        <v xml:space="preserve"> </v>
      </c>
      <c r="N685" s="900" t="str">
        <f t="shared" si="138"/>
        <v xml:space="preserve"> </v>
      </c>
      <c r="O685" s="929"/>
      <c r="P685" s="951"/>
      <c r="Q685" s="900" t="str">
        <f>IF(O685&lt;&gt;0,VLOOKUP(O685,'Cây trong'!$A$2:$C$246,3,0)," ")</f>
        <v xml:space="preserve"> </v>
      </c>
      <c r="R685" s="900" t="str">
        <f t="shared" si="144"/>
        <v xml:space="preserve"> </v>
      </c>
      <c r="S685" s="929"/>
      <c r="T685" s="929"/>
      <c r="U685" s="952"/>
      <c r="V685" s="925"/>
      <c r="W685" s="900" t="str">
        <f>IF(S685&lt;&gt;0,VLOOKUP(S685,VKT!$A$2:$G$415,7,0),"")</f>
        <v/>
      </c>
      <c r="X685" s="900" t="str">
        <f t="shared" si="134"/>
        <v xml:space="preserve"> </v>
      </c>
      <c r="Y685" s="925"/>
      <c r="Z685" s="925"/>
      <c r="AA685" s="925"/>
      <c r="AB685" s="898"/>
      <c r="AC685" s="925"/>
      <c r="AD685" s="925"/>
      <c r="AE685" s="925"/>
      <c r="AF685" s="964"/>
      <c r="AG685" s="906" t="str">
        <f>IF(AE685&lt;&gt;0,VLOOKUP(AE685,ODDS!$A$2:$C$13,3,0),"")</f>
        <v/>
      </c>
      <c r="AH685" s="906" t="str">
        <f t="shared" si="145"/>
        <v xml:space="preserve"> </v>
      </c>
      <c r="AI685" s="907" t="str">
        <f t="shared" si="141"/>
        <v xml:space="preserve"> </v>
      </c>
      <c r="AJ685" s="911"/>
      <c r="AK685" s="929"/>
    </row>
    <row r="686" spans="1:39" s="376" customFormat="1" ht="22.5" outlineLevel="2" x14ac:dyDescent="0.3">
      <c r="A686" s="447">
        <f t="shared" si="151"/>
        <v>58</v>
      </c>
      <c r="B686" s="893"/>
      <c r="C686" s="910"/>
      <c r="D686" s="923"/>
      <c r="E686" s="923"/>
      <c r="F686" s="896"/>
      <c r="G686" s="894"/>
      <c r="H686" s="924"/>
      <c r="I686" s="882"/>
      <c r="J686" s="925"/>
      <c r="K686" s="899" t="str">
        <f>IF(G686&lt;&gt;0,VLOOKUP(G686,'gia dat'!$A$1:$F$144,5,0)," ")</f>
        <v xml:space="preserve"> </v>
      </c>
      <c r="L686" s="899" t="str">
        <f>IF(G686&lt;&gt;0,VLOOKUP(G686,'gia dat'!$A$1:$F$144,6,0)," ")</f>
        <v xml:space="preserve"> </v>
      </c>
      <c r="M686" s="900" t="str">
        <f t="shared" si="137"/>
        <v xml:space="preserve"> </v>
      </c>
      <c r="N686" s="900" t="str">
        <f t="shared" si="138"/>
        <v xml:space="preserve"> </v>
      </c>
      <c r="O686" s="973"/>
      <c r="P686" s="999"/>
      <c r="Q686" s="900" t="str">
        <f>IF(O686&lt;&gt;0,VLOOKUP(O686,'Cây trong'!$A$2:$C$246,3,0)," ")</f>
        <v xml:space="preserve"> </v>
      </c>
      <c r="R686" s="900" t="str">
        <f t="shared" si="144"/>
        <v xml:space="preserve"> </v>
      </c>
      <c r="S686" s="973"/>
      <c r="T686" s="974"/>
      <c r="U686" s="927"/>
      <c r="V686" s="925"/>
      <c r="W686" s="900" t="str">
        <f>IF(S686&lt;&gt;0,VLOOKUP(S686,VKT!$A$2:$G$415,7,0),"")</f>
        <v/>
      </c>
      <c r="X686" s="900" t="str">
        <f t="shared" si="134"/>
        <v xml:space="preserve"> </v>
      </c>
      <c r="Y686" s="925"/>
      <c r="Z686" s="928"/>
      <c r="AA686" s="928"/>
      <c r="AB686" s="904"/>
      <c r="AC686" s="928"/>
      <c r="AD686" s="928"/>
      <c r="AE686" s="928"/>
      <c r="AF686" s="926"/>
      <c r="AG686" s="906" t="str">
        <f>IF(AE686&lt;&gt;0,VLOOKUP(AE686,ODDS!$A$2:$C$13,3,0),"")</f>
        <v/>
      </c>
      <c r="AH686" s="906" t="str">
        <f t="shared" si="145"/>
        <v xml:space="preserve"> </v>
      </c>
      <c r="AI686" s="907" t="str">
        <f t="shared" si="141"/>
        <v xml:space="preserve"> </v>
      </c>
      <c r="AJ686" s="929"/>
      <c r="AK686" s="929"/>
    </row>
    <row r="687" spans="1:39" s="376" customFormat="1" ht="22.5" outlineLevel="2" x14ac:dyDescent="0.3">
      <c r="A687" s="447">
        <f t="shared" si="151"/>
        <v>58</v>
      </c>
      <c r="B687" s="893"/>
      <c r="C687" s="910"/>
      <c r="D687" s="923"/>
      <c r="E687" s="923"/>
      <c r="F687" s="896"/>
      <c r="G687" s="894"/>
      <c r="H687" s="924"/>
      <c r="I687" s="882"/>
      <c r="J687" s="925"/>
      <c r="K687" s="899" t="str">
        <f>IF(G687&lt;&gt;0,VLOOKUP(G687,'gia dat'!$A$1:$F$144,5,0)," ")</f>
        <v xml:space="preserve"> </v>
      </c>
      <c r="L687" s="899" t="str">
        <f>IF(G687&lt;&gt;0,VLOOKUP(G687,'gia dat'!$A$1:$F$144,6,0)," ")</f>
        <v xml:space="preserve"> </v>
      </c>
      <c r="M687" s="900" t="str">
        <f t="shared" si="137"/>
        <v xml:space="preserve"> </v>
      </c>
      <c r="N687" s="900" t="str">
        <f t="shared" si="138"/>
        <v xml:space="preserve"> </v>
      </c>
      <c r="O687" s="973"/>
      <c r="P687" s="999"/>
      <c r="Q687" s="900" t="str">
        <f>IF(O687&lt;&gt;0,VLOOKUP(O687,'Cây trong'!$A$2:$C$246,3,0)," ")</f>
        <v xml:space="preserve"> </v>
      </c>
      <c r="R687" s="900" t="str">
        <f t="shared" si="144"/>
        <v xml:space="preserve"> </v>
      </c>
      <c r="S687" s="973"/>
      <c r="T687" s="974"/>
      <c r="U687" s="927"/>
      <c r="V687" s="925"/>
      <c r="W687" s="900" t="str">
        <f>IF(S687&lt;&gt;0,VLOOKUP(S687,VKT!$A$2:$G$415,7,0),"")</f>
        <v/>
      </c>
      <c r="X687" s="900" t="str">
        <f t="shared" si="134"/>
        <v xml:space="preserve"> </v>
      </c>
      <c r="Y687" s="925"/>
      <c r="Z687" s="928"/>
      <c r="AA687" s="928"/>
      <c r="AB687" s="904"/>
      <c r="AC687" s="928"/>
      <c r="AD687" s="928"/>
      <c r="AE687" s="928"/>
      <c r="AF687" s="926"/>
      <c r="AG687" s="906" t="str">
        <f>IF(AE687&lt;&gt;0,VLOOKUP(AE687,ODDS!$A$2:$C$13,3,0),"")</f>
        <v/>
      </c>
      <c r="AH687" s="906" t="str">
        <f t="shared" si="145"/>
        <v xml:space="preserve"> </v>
      </c>
      <c r="AI687" s="907" t="str">
        <f t="shared" si="141"/>
        <v xml:space="preserve"> </v>
      </c>
      <c r="AJ687" s="929"/>
      <c r="AK687" s="929"/>
    </row>
    <row r="688" spans="1:39" s="376" customFormat="1" ht="43.5" outlineLevel="1" x14ac:dyDescent="0.25">
      <c r="A688" s="467" t="s">
        <v>2651</v>
      </c>
      <c r="B688" s="912">
        <v>59</v>
      </c>
      <c r="C688" s="910" t="s">
        <v>290</v>
      </c>
      <c r="D688" s="931"/>
      <c r="E688" s="931"/>
      <c r="F688" s="913"/>
      <c r="G688" s="910"/>
      <c r="H688" s="953">
        <f>SUBTOTAL(9,H689:H695)</f>
        <v>31.6</v>
      </c>
      <c r="I688" s="915">
        <f>SUBTOTAL(9,I689:I694)</f>
        <v>0</v>
      </c>
      <c r="J688" s="933"/>
      <c r="K688" s="917"/>
      <c r="L688" s="917"/>
      <c r="M688" s="907">
        <f>SUBTOTAL(9,M689:M695)</f>
        <v>14713000</v>
      </c>
      <c r="N688" s="907">
        <f>SUBTOTAL(9,N689:N695)</f>
        <v>0</v>
      </c>
      <c r="O688" s="1006"/>
      <c r="P688" s="1008">
        <f>SUBTOTAL(9,P689:P695)</f>
        <v>0</v>
      </c>
      <c r="Q688" s="907"/>
      <c r="R688" s="907">
        <f>SUBTOTAL(9,R689:R695)</f>
        <v>0</v>
      </c>
      <c r="S688" s="1006"/>
      <c r="T688" s="1007"/>
      <c r="U688" s="936">
        <f>SUBTOTAL(9,U689:U695)</f>
        <v>0</v>
      </c>
      <c r="V688" s="933"/>
      <c r="W688" s="907"/>
      <c r="X688" s="907">
        <f>SUBTOTAL(9,X689:X695)</f>
        <v>0</v>
      </c>
      <c r="Y688" s="925"/>
      <c r="Z688" s="928"/>
      <c r="AA688" s="928"/>
      <c r="AB688" s="904"/>
      <c r="AC688" s="928"/>
      <c r="AD688" s="928"/>
      <c r="AE688" s="937"/>
      <c r="AF688" s="935">
        <f>SUBTOTAL(9,AF689:AF695)</f>
        <v>0</v>
      </c>
      <c r="AG688" s="921"/>
      <c r="AH688" s="921">
        <f>SUBTOTAL(9,AH689:AH695)</f>
        <v>0</v>
      </c>
      <c r="AI688" s="907">
        <f t="shared" si="141"/>
        <v>14713000</v>
      </c>
      <c r="AJ688" s="910"/>
      <c r="AK688" s="914"/>
    </row>
    <row r="689" spans="1:37" s="376" customFormat="1" ht="135" outlineLevel="2" x14ac:dyDescent="0.3">
      <c r="A689" s="447">
        <f>IF(B688&lt;&gt;0,B688,A687)</f>
        <v>59</v>
      </c>
      <c r="B689" s="893"/>
      <c r="C689" s="894" t="s">
        <v>291</v>
      </c>
      <c r="D689" s="923">
        <v>4</v>
      </c>
      <c r="E689" s="923">
        <v>86</v>
      </c>
      <c r="F689" s="896">
        <v>132</v>
      </c>
      <c r="G689" s="894" t="s">
        <v>2476</v>
      </c>
      <c r="H689" s="924">
        <f>25.6-H691</f>
        <v>25.6</v>
      </c>
      <c r="I689" s="882" t="str">
        <f t="shared" ref="I689:I690" si="152">IF(N689&gt;0,H689,"")</f>
        <v/>
      </c>
      <c r="J689" s="925"/>
      <c r="K689" s="899">
        <f>IF(G689&lt;&gt;0,VLOOKUP(G689,'gia dat'!$A$1:$F$144,5,0)," ")</f>
        <v>465600</v>
      </c>
      <c r="L689" s="899">
        <f>IF(G689&lt;&gt;0,VLOOKUP(G689,'gia dat'!$A$1:$F$144,6,0)," ")</f>
        <v>0</v>
      </c>
      <c r="M689" s="900">
        <f t="shared" si="137"/>
        <v>11919000</v>
      </c>
      <c r="N689" s="900">
        <f t="shared" si="138"/>
        <v>0</v>
      </c>
      <c r="O689" s="973"/>
      <c r="P689" s="999"/>
      <c r="Q689" s="900" t="str">
        <f>IF(O689&lt;&gt;0,VLOOKUP(O689,'Cây trong'!$A$2:$C$246,3,0)," ")</f>
        <v xml:space="preserve"> </v>
      </c>
      <c r="R689" s="900" t="str">
        <f t="shared" si="144"/>
        <v xml:space="preserve"> </v>
      </c>
      <c r="S689" s="973"/>
      <c r="T689" s="974"/>
      <c r="U689" s="927"/>
      <c r="V689" s="925"/>
      <c r="W689" s="900" t="str">
        <f>IF(S689&lt;&gt;0,VLOOKUP(S689,VKT!$A$2:$G$415,7,0),"")</f>
        <v/>
      </c>
      <c r="X689" s="900" t="str">
        <f t="shared" si="134"/>
        <v xml:space="preserve"> </v>
      </c>
      <c r="Y689" s="925"/>
      <c r="Z689" s="928"/>
      <c r="AA689" s="928"/>
      <c r="AB689" s="904"/>
      <c r="AC689" s="928"/>
      <c r="AD689" s="928"/>
      <c r="AE689" s="928"/>
      <c r="AF689" s="926"/>
      <c r="AG689" s="906" t="str">
        <f>IF(AE689&lt;&gt;0,VLOOKUP(AE689,ODDS!$A$2:$C$13,3,0),"")</f>
        <v/>
      </c>
      <c r="AH689" s="906"/>
      <c r="AI689" s="907" t="str">
        <f t="shared" si="141"/>
        <v xml:space="preserve"> </v>
      </c>
      <c r="AJ689" s="894" t="s">
        <v>1704</v>
      </c>
      <c r="AK689" s="922" t="s">
        <v>2771</v>
      </c>
    </row>
    <row r="690" spans="1:37" s="376" customFormat="1" ht="112.5" outlineLevel="2" x14ac:dyDescent="0.3">
      <c r="A690" s="447">
        <f t="shared" ref="A690:A695" si="153">IF(B689&lt;&gt;0,B689,A689)</f>
        <v>59</v>
      </c>
      <c r="B690" s="893"/>
      <c r="C690" s="894" t="s">
        <v>694</v>
      </c>
      <c r="D690" s="923"/>
      <c r="E690" s="923"/>
      <c r="F690" s="896"/>
      <c r="G690" s="894" t="s">
        <v>2477</v>
      </c>
      <c r="H690" s="924">
        <v>6</v>
      </c>
      <c r="I690" s="882" t="str">
        <f t="shared" si="152"/>
        <v/>
      </c>
      <c r="J690" s="925"/>
      <c r="K690" s="899">
        <f>IF(G690&lt;&gt;0,VLOOKUP(G690,'gia dat'!$A$1:$F$144,5,0)," ")</f>
        <v>465600</v>
      </c>
      <c r="L690" s="899">
        <f>IF(G690&lt;&gt;0,VLOOKUP(G690,'gia dat'!$A$1:$F$144,6,0)," ")</f>
        <v>0</v>
      </c>
      <c r="M690" s="900">
        <f t="shared" si="137"/>
        <v>2794000</v>
      </c>
      <c r="N690" s="900">
        <f t="shared" si="138"/>
        <v>0</v>
      </c>
      <c r="O690" s="973"/>
      <c r="P690" s="999"/>
      <c r="Q690" s="900" t="str">
        <f>IF(O690&lt;&gt;0,VLOOKUP(O690,'Cây trong'!$A$2:$C$246,3,0)," ")</f>
        <v xml:space="preserve"> </v>
      </c>
      <c r="R690" s="900" t="str">
        <f t="shared" si="144"/>
        <v xml:space="preserve"> </v>
      </c>
      <c r="S690" s="973"/>
      <c r="T690" s="974"/>
      <c r="U690" s="927"/>
      <c r="V690" s="925"/>
      <c r="W690" s="900" t="str">
        <f>IF(S690&lt;&gt;0,VLOOKUP(S690,VKT!$A$2:$G$415,7,0),"")</f>
        <v/>
      </c>
      <c r="X690" s="900" t="str">
        <f t="shared" si="134"/>
        <v xml:space="preserve"> </v>
      </c>
      <c r="Y690" s="925"/>
      <c r="Z690" s="928"/>
      <c r="AA690" s="928"/>
      <c r="AB690" s="904"/>
      <c r="AC690" s="928"/>
      <c r="AD690" s="928"/>
      <c r="AE690" s="928"/>
      <c r="AF690" s="926"/>
      <c r="AG690" s="906" t="str">
        <f>IF(AE690&lt;&gt;0,VLOOKUP(AE690,ODDS!$A$2:$C$13,3,0),"")</f>
        <v/>
      </c>
      <c r="AH690" s="906" t="str">
        <f t="shared" si="145"/>
        <v xml:space="preserve"> </v>
      </c>
      <c r="AI690" s="907" t="str">
        <f t="shared" si="141"/>
        <v xml:space="preserve"> </v>
      </c>
      <c r="AJ690" s="894" t="s">
        <v>553</v>
      </c>
      <c r="AK690" s="894"/>
    </row>
    <row r="691" spans="1:37" s="376" customFormat="1" ht="135" outlineLevel="2" x14ac:dyDescent="0.3">
      <c r="A691" s="447">
        <f t="shared" si="153"/>
        <v>59</v>
      </c>
      <c r="B691" s="893"/>
      <c r="C691" s="894" t="s">
        <v>315</v>
      </c>
      <c r="D691" s="923"/>
      <c r="E691" s="923"/>
      <c r="F691" s="896"/>
      <c r="G691" s="894"/>
      <c r="H691" s="924"/>
      <c r="I691" s="882"/>
      <c r="J691" s="925"/>
      <c r="K691" s="899" t="str">
        <f>IF(G691&lt;&gt;0,VLOOKUP(G691,'gia dat'!$A$1:$F$144,5,0)," ")</f>
        <v xml:space="preserve"> </v>
      </c>
      <c r="L691" s="899" t="str">
        <f>IF(G691&lt;&gt;0,VLOOKUP(G691,'gia dat'!$A$1:$F$144,6,0)," ")</f>
        <v xml:space="preserve"> </v>
      </c>
      <c r="M691" s="900" t="str">
        <f t="shared" si="137"/>
        <v xml:space="preserve"> </v>
      </c>
      <c r="N691" s="900" t="str">
        <f t="shared" si="138"/>
        <v xml:space="preserve"> </v>
      </c>
      <c r="O691" s="973"/>
      <c r="P691" s="999"/>
      <c r="Q691" s="900" t="str">
        <f>IF(O691&lt;&gt;0,VLOOKUP(O691,'Cây trong'!$A$2:$C$246,3,0)," ")</f>
        <v xml:space="preserve"> </v>
      </c>
      <c r="R691" s="900" t="str">
        <f t="shared" si="144"/>
        <v xml:space="preserve"> </v>
      </c>
      <c r="S691" s="973"/>
      <c r="T691" s="974"/>
      <c r="U691" s="927"/>
      <c r="V691" s="925"/>
      <c r="W691" s="900" t="str">
        <f>IF(S691&lt;&gt;0,VLOOKUP(S691,VKT!$A$2:$G$415,7,0),"")</f>
        <v/>
      </c>
      <c r="X691" s="900" t="str">
        <f t="shared" si="134"/>
        <v xml:space="preserve"> </v>
      </c>
      <c r="Y691" s="925"/>
      <c r="Z691" s="928"/>
      <c r="AA691" s="928"/>
      <c r="AB691" s="904"/>
      <c r="AC691" s="928"/>
      <c r="AD691" s="928"/>
      <c r="AE691" s="928"/>
      <c r="AF691" s="926"/>
      <c r="AG691" s="906" t="str">
        <f>IF(AE691&lt;&gt;0,VLOOKUP(AE691,ODDS!$A$2:$C$13,3,0),"")</f>
        <v/>
      </c>
      <c r="AH691" s="906" t="str">
        <f t="shared" si="145"/>
        <v xml:space="preserve"> </v>
      </c>
      <c r="AI691" s="907" t="str">
        <f t="shared" si="141"/>
        <v xml:space="preserve"> </v>
      </c>
      <c r="AJ691" s="894" t="s">
        <v>1705</v>
      </c>
      <c r="AK691" s="929"/>
    </row>
    <row r="692" spans="1:37" s="376" customFormat="1" ht="112.5" outlineLevel="2" x14ac:dyDescent="0.3">
      <c r="A692" s="447">
        <f t="shared" si="153"/>
        <v>59</v>
      </c>
      <c r="B692" s="893"/>
      <c r="C692" s="894"/>
      <c r="D692" s="923"/>
      <c r="E692" s="923"/>
      <c r="F692" s="950"/>
      <c r="G692" s="894"/>
      <c r="H692" s="940"/>
      <c r="I692" s="882"/>
      <c r="J692" s="929"/>
      <c r="K692" s="899" t="str">
        <f>IF(G692&lt;&gt;0,VLOOKUP(G692,'gia dat'!$A$1:$F$144,5,0)," ")</f>
        <v xml:space="preserve"> </v>
      </c>
      <c r="L692" s="899" t="str">
        <f>IF(G692&lt;&gt;0,VLOOKUP(G692,'gia dat'!$A$1:$F$144,6,0)," ")</f>
        <v xml:space="preserve"> </v>
      </c>
      <c r="M692" s="900" t="str">
        <f t="shared" si="137"/>
        <v xml:space="preserve"> </v>
      </c>
      <c r="N692" s="900" t="str">
        <f t="shared" si="138"/>
        <v xml:space="preserve"> </v>
      </c>
      <c r="O692" s="929"/>
      <c r="P692" s="951"/>
      <c r="Q692" s="900" t="str">
        <f>IF(O692&lt;&gt;0,VLOOKUP(O692,'Cây trong'!$A$2:$C$246,3,0)," ")</f>
        <v xml:space="preserve"> </v>
      </c>
      <c r="R692" s="900" t="str">
        <f t="shared" si="144"/>
        <v xml:space="preserve"> </v>
      </c>
      <c r="S692" s="929"/>
      <c r="T692" s="929"/>
      <c r="U692" s="952"/>
      <c r="V692" s="925"/>
      <c r="W692" s="900" t="str">
        <f>IF(S692&lt;&gt;0,VLOOKUP(S692,VKT!$A$2:$G$415,7,0),"")</f>
        <v/>
      </c>
      <c r="X692" s="900" t="str">
        <f t="shared" si="134"/>
        <v xml:space="preserve"> </v>
      </c>
      <c r="Y692" s="925"/>
      <c r="Z692" s="925"/>
      <c r="AA692" s="925"/>
      <c r="AB692" s="898"/>
      <c r="AC692" s="925"/>
      <c r="AD692" s="925"/>
      <c r="AE692" s="925"/>
      <c r="AF692" s="964"/>
      <c r="AG692" s="906" t="str">
        <f>IF(AE692&lt;&gt;0,VLOOKUP(AE692,ODDS!$A$2:$C$13,3,0),"")</f>
        <v/>
      </c>
      <c r="AH692" s="906" t="str">
        <f t="shared" si="145"/>
        <v xml:space="preserve"> </v>
      </c>
      <c r="AI692" s="907" t="str">
        <f t="shared" si="141"/>
        <v xml:space="preserve"> </v>
      </c>
      <c r="AJ692" s="894" t="s">
        <v>2209</v>
      </c>
      <c r="AK692" s="894"/>
    </row>
    <row r="693" spans="1:37" s="376" customFormat="1" ht="22.5" outlineLevel="2" x14ac:dyDescent="0.35">
      <c r="A693" s="447">
        <f t="shared" si="153"/>
        <v>59</v>
      </c>
      <c r="B693" s="893"/>
      <c r="C693" s="894"/>
      <c r="D693" s="923"/>
      <c r="E693" s="923"/>
      <c r="F693" s="896"/>
      <c r="G693" s="894"/>
      <c r="H693" s="924"/>
      <c r="I693" s="882"/>
      <c r="J693" s="925"/>
      <c r="K693" s="899" t="str">
        <f>IF(G693&lt;&gt;0,VLOOKUP(G693,'gia dat'!$A$1:$F$144,5,0)," ")</f>
        <v xml:space="preserve"> </v>
      </c>
      <c r="L693" s="899" t="str">
        <f>IF(G693&lt;&gt;0,VLOOKUP(G693,'gia dat'!$A$1:$F$144,6,0)," ")</f>
        <v xml:space="preserve"> </v>
      </c>
      <c r="M693" s="900" t="str">
        <f t="shared" si="137"/>
        <v xml:space="preserve"> </v>
      </c>
      <c r="N693" s="900" t="str">
        <f t="shared" si="138"/>
        <v xml:space="preserve"> </v>
      </c>
      <c r="O693" s="973"/>
      <c r="P693" s="999"/>
      <c r="Q693" s="900" t="str">
        <f>IF(O693&lt;&gt;0,VLOOKUP(O693,'Cây trong'!$A$2:$C$246,3,0)," ")</f>
        <v xml:space="preserve"> </v>
      </c>
      <c r="R693" s="900" t="str">
        <f t="shared" si="144"/>
        <v xml:space="preserve"> </v>
      </c>
      <c r="S693" s="973"/>
      <c r="T693" s="974"/>
      <c r="U693" s="927"/>
      <c r="V693" s="925"/>
      <c r="W693" s="900" t="str">
        <f>IF(S693&lt;&gt;0,VLOOKUP(S693,VKT!$A$2:$G$415,7,0),"")</f>
        <v/>
      </c>
      <c r="X693" s="900" t="str">
        <f t="shared" si="134"/>
        <v xml:space="preserve"> </v>
      </c>
      <c r="Y693" s="925"/>
      <c r="Z693" s="928"/>
      <c r="AA693" s="928"/>
      <c r="AB693" s="904"/>
      <c r="AC693" s="928"/>
      <c r="AD693" s="928"/>
      <c r="AE693" s="928"/>
      <c r="AF693" s="926"/>
      <c r="AG693" s="906" t="str">
        <f>IF(AE693&lt;&gt;0,VLOOKUP(AE693,ODDS!$A$2:$C$13,3,0),"")</f>
        <v/>
      </c>
      <c r="AH693" s="906" t="str">
        <f t="shared" si="145"/>
        <v xml:space="preserve"> </v>
      </c>
      <c r="AI693" s="907" t="str">
        <f t="shared" si="141"/>
        <v xml:space="preserve"> </v>
      </c>
      <c r="AJ693" s="911"/>
      <c r="AK693" s="929"/>
    </row>
    <row r="694" spans="1:37" s="376" customFormat="1" ht="22.5" outlineLevel="2" x14ac:dyDescent="0.3">
      <c r="A694" s="447">
        <f t="shared" si="153"/>
        <v>59</v>
      </c>
      <c r="B694" s="893"/>
      <c r="C694" s="894"/>
      <c r="D694" s="923"/>
      <c r="E694" s="923"/>
      <c r="F694" s="896"/>
      <c r="G694" s="894"/>
      <c r="H694" s="924"/>
      <c r="I694" s="882"/>
      <c r="J694" s="925"/>
      <c r="K694" s="899" t="str">
        <f>IF(G694&lt;&gt;0,VLOOKUP(G694,'gia dat'!$A$1:$F$144,5,0)," ")</f>
        <v xml:space="preserve"> </v>
      </c>
      <c r="L694" s="899" t="str">
        <f>IF(G694&lt;&gt;0,VLOOKUP(G694,'gia dat'!$A$1:$F$144,6,0)," ")</f>
        <v xml:space="preserve"> </v>
      </c>
      <c r="M694" s="900" t="str">
        <f t="shared" si="137"/>
        <v xml:space="preserve"> </v>
      </c>
      <c r="N694" s="900" t="str">
        <f t="shared" si="138"/>
        <v xml:space="preserve"> </v>
      </c>
      <c r="O694" s="973"/>
      <c r="P694" s="999"/>
      <c r="Q694" s="900" t="str">
        <f>IF(O694&lt;&gt;0,VLOOKUP(O694,'Cây trong'!$A$2:$C$246,3,0)," ")</f>
        <v xml:space="preserve"> </v>
      </c>
      <c r="R694" s="900" t="str">
        <f t="shared" si="144"/>
        <v xml:space="preserve"> </v>
      </c>
      <c r="S694" s="975"/>
      <c r="T694" s="974"/>
      <c r="U694" s="927"/>
      <c r="V694" s="925"/>
      <c r="W694" s="900" t="str">
        <f>IF(S694&lt;&gt;0,VLOOKUP(S694,VKT!$A$2:$G$415,7,0),"")</f>
        <v/>
      </c>
      <c r="X694" s="900" t="str">
        <f t="shared" si="134"/>
        <v xml:space="preserve"> </v>
      </c>
      <c r="Y694" s="925"/>
      <c r="Z694" s="928"/>
      <c r="AA694" s="928"/>
      <c r="AB694" s="904"/>
      <c r="AC694" s="928"/>
      <c r="AD694" s="928"/>
      <c r="AE694" s="928"/>
      <c r="AF694" s="926"/>
      <c r="AG694" s="906" t="str">
        <f>IF(AE694&lt;&gt;0,VLOOKUP(AE694,ODDS!$A$2:$C$13,3,0),"")</f>
        <v/>
      </c>
      <c r="AH694" s="906" t="str">
        <f t="shared" si="145"/>
        <v xml:space="preserve"> </v>
      </c>
      <c r="AI694" s="907" t="str">
        <f t="shared" si="141"/>
        <v xml:space="preserve"> </v>
      </c>
      <c r="AJ694" s="929"/>
      <c r="AK694" s="929"/>
    </row>
    <row r="695" spans="1:37" s="376" customFormat="1" ht="22.5" outlineLevel="2" x14ac:dyDescent="0.3">
      <c r="A695" s="447">
        <f t="shared" si="153"/>
        <v>59</v>
      </c>
      <c r="B695" s="893"/>
      <c r="C695" s="910"/>
      <c r="D695" s="923"/>
      <c r="E695" s="923"/>
      <c r="F695" s="896"/>
      <c r="G695" s="894"/>
      <c r="H695" s="924"/>
      <c r="I695" s="882"/>
      <c r="J695" s="925"/>
      <c r="K695" s="899" t="str">
        <f>IF(G695&lt;&gt;0,VLOOKUP(G695,'gia dat'!$A$1:$F$144,5,0)," ")</f>
        <v xml:space="preserve"> </v>
      </c>
      <c r="L695" s="899" t="str">
        <f>IF(G695&lt;&gt;0,VLOOKUP(G695,'gia dat'!$A$1:$F$144,6,0)," ")</f>
        <v xml:space="preserve"> </v>
      </c>
      <c r="M695" s="900" t="str">
        <f t="shared" si="137"/>
        <v xml:space="preserve"> </v>
      </c>
      <c r="N695" s="900" t="str">
        <f t="shared" si="138"/>
        <v xml:space="preserve"> </v>
      </c>
      <c r="O695" s="973"/>
      <c r="P695" s="999"/>
      <c r="Q695" s="900" t="str">
        <f>IF(O695&lt;&gt;0,VLOOKUP(O695,'Cây trong'!$A$2:$C$246,3,0)," ")</f>
        <v xml:space="preserve"> </v>
      </c>
      <c r="R695" s="900" t="str">
        <f t="shared" si="144"/>
        <v xml:space="preserve"> </v>
      </c>
      <c r="S695" s="973"/>
      <c r="T695" s="974"/>
      <c r="U695" s="927"/>
      <c r="V695" s="925"/>
      <c r="W695" s="900" t="str">
        <f>IF(S695&lt;&gt;0,VLOOKUP(S695,VKT!$A$2:$G$415,7,0),"")</f>
        <v/>
      </c>
      <c r="X695" s="900" t="str">
        <f t="shared" si="134"/>
        <v xml:space="preserve"> </v>
      </c>
      <c r="Y695" s="925"/>
      <c r="Z695" s="928"/>
      <c r="AA695" s="928"/>
      <c r="AB695" s="904"/>
      <c r="AC695" s="928"/>
      <c r="AD695" s="928"/>
      <c r="AE695" s="928"/>
      <c r="AF695" s="926"/>
      <c r="AG695" s="906" t="str">
        <f>IF(AE695&lt;&gt;0,VLOOKUP(AE695,ODDS!$A$2:$C$13,3,0),"")</f>
        <v/>
      </c>
      <c r="AH695" s="906" t="str">
        <f t="shared" si="145"/>
        <v xml:space="preserve"> </v>
      </c>
      <c r="AI695" s="907" t="str">
        <f t="shared" si="141"/>
        <v xml:space="preserve"> </v>
      </c>
      <c r="AJ695" s="929"/>
      <c r="AK695" s="929"/>
    </row>
    <row r="696" spans="1:37" s="376" customFormat="1" ht="43.5" outlineLevel="1" x14ac:dyDescent="0.25">
      <c r="A696" s="467" t="s">
        <v>2650</v>
      </c>
      <c r="B696" s="912">
        <v>60</v>
      </c>
      <c r="C696" s="910" t="s">
        <v>290</v>
      </c>
      <c r="D696" s="931"/>
      <c r="E696" s="931"/>
      <c r="F696" s="913"/>
      <c r="G696" s="910"/>
      <c r="H696" s="953">
        <f>SUBTOTAL(9,H697:H703)</f>
        <v>31.3</v>
      </c>
      <c r="I696" s="915">
        <f>SUBTOTAL(9,I697:I702)</f>
        <v>0</v>
      </c>
      <c r="J696" s="933"/>
      <c r="K696" s="917"/>
      <c r="L696" s="917"/>
      <c r="M696" s="907">
        <f>SUBTOTAL(9,M697:M703)</f>
        <v>14574000</v>
      </c>
      <c r="N696" s="907">
        <f>SUBTOTAL(9,N697:N703)</f>
        <v>0</v>
      </c>
      <c r="O696" s="1006"/>
      <c r="P696" s="1008">
        <f>SUBTOTAL(9,P697:P703)</f>
        <v>5</v>
      </c>
      <c r="Q696" s="907"/>
      <c r="R696" s="907">
        <f>SUBTOTAL(9,R697:R703)</f>
        <v>125000</v>
      </c>
      <c r="S696" s="1011"/>
      <c r="T696" s="1007"/>
      <c r="U696" s="936">
        <f>SUBTOTAL(9,U697:U703)</f>
        <v>0</v>
      </c>
      <c r="V696" s="933"/>
      <c r="W696" s="907"/>
      <c r="X696" s="907">
        <f>SUBTOTAL(9,X697:X703)</f>
        <v>0</v>
      </c>
      <c r="Y696" s="925"/>
      <c r="Z696" s="928"/>
      <c r="AA696" s="928"/>
      <c r="AB696" s="904"/>
      <c r="AC696" s="928"/>
      <c r="AD696" s="928"/>
      <c r="AE696" s="937"/>
      <c r="AF696" s="935">
        <f>SUBTOTAL(9,AF697:AF703)</f>
        <v>0</v>
      </c>
      <c r="AG696" s="921"/>
      <c r="AH696" s="921">
        <f>SUBTOTAL(9,AH697:AH703)</f>
        <v>0</v>
      </c>
      <c r="AI696" s="907">
        <f t="shared" si="141"/>
        <v>14699000</v>
      </c>
      <c r="AJ696" s="910"/>
      <c r="AK696" s="914"/>
    </row>
    <row r="697" spans="1:37" s="376" customFormat="1" ht="135" outlineLevel="2" x14ac:dyDescent="0.3">
      <c r="A697" s="447">
        <f>IF(B696&lt;&gt;0,B696,A695)</f>
        <v>60</v>
      </c>
      <c r="B697" s="893"/>
      <c r="C697" s="894" t="s">
        <v>291</v>
      </c>
      <c r="D697" s="923"/>
      <c r="E697" s="923">
        <v>86</v>
      </c>
      <c r="F697" s="896">
        <v>131</v>
      </c>
      <c r="G697" s="894" t="s">
        <v>2476</v>
      </c>
      <c r="H697" s="924">
        <f>30.1-H699</f>
        <v>30.1</v>
      </c>
      <c r="I697" s="882" t="str">
        <f t="shared" ref="I697:I698" si="154">IF(N697&gt;0,H697,"")</f>
        <v/>
      </c>
      <c r="J697" s="925"/>
      <c r="K697" s="899">
        <f>IF(G697&lt;&gt;0,VLOOKUP(G697,'gia dat'!$A$1:$F$144,5,0)," ")</f>
        <v>465600</v>
      </c>
      <c r="L697" s="899">
        <f>IF(G697&lt;&gt;0,VLOOKUP(G697,'gia dat'!$A$1:$F$144,6,0)," ")</f>
        <v>0</v>
      </c>
      <c r="M697" s="900">
        <f t="shared" si="137"/>
        <v>14015000</v>
      </c>
      <c r="N697" s="900">
        <f t="shared" si="138"/>
        <v>0</v>
      </c>
      <c r="O697" s="973" t="s">
        <v>462</v>
      </c>
      <c r="P697" s="999">
        <v>5</v>
      </c>
      <c r="Q697" s="900">
        <f>IF(O697&lt;&gt;0,VLOOKUP(O697,'Cây trong'!$A$2:$C$246,3,0)," ")</f>
        <v>25000</v>
      </c>
      <c r="R697" s="900">
        <f t="shared" si="144"/>
        <v>125000</v>
      </c>
      <c r="S697" s="975"/>
      <c r="T697" s="974"/>
      <c r="U697" s="927"/>
      <c r="V697" s="925"/>
      <c r="W697" s="900" t="str">
        <f>IF(S697&lt;&gt;0,VLOOKUP(S697,VKT!$A$2:$G$415,7,0),"")</f>
        <v/>
      </c>
      <c r="X697" s="900" t="str">
        <f t="shared" si="134"/>
        <v xml:space="preserve"> </v>
      </c>
      <c r="Y697" s="925"/>
      <c r="Z697" s="928"/>
      <c r="AA697" s="928"/>
      <c r="AB697" s="904"/>
      <c r="AC697" s="928"/>
      <c r="AD697" s="928"/>
      <c r="AE697" s="928"/>
      <c r="AF697" s="926"/>
      <c r="AG697" s="906" t="str">
        <f>IF(AE697&lt;&gt;0,VLOOKUP(AE697,ODDS!$A$2:$C$13,3,0),"")</f>
        <v/>
      </c>
      <c r="AH697" s="906" t="str">
        <f t="shared" si="145"/>
        <v xml:space="preserve"> </v>
      </c>
      <c r="AI697" s="907" t="str">
        <f t="shared" si="141"/>
        <v xml:space="preserve"> </v>
      </c>
      <c r="AJ697" s="894" t="s">
        <v>1706</v>
      </c>
      <c r="AK697" s="922" t="s">
        <v>2771</v>
      </c>
    </row>
    <row r="698" spans="1:37" s="376" customFormat="1" ht="112.5" outlineLevel="2" x14ac:dyDescent="0.3">
      <c r="A698" s="447">
        <f t="shared" ref="A698:A703" si="155">IF(B697&lt;&gt;0,B697,A697)</f>
        <v>60</v>
      </c>
      <c r="B698" s="893"/>
      <c r="C698" s="894" t="s">
        <v>694</v>
      </c>
      <c r="D698" s="923"/>
      <c r="E698" s="923">
        <v>86</v>
      </c>
      <c r="F698" s="896">
        <v>131</v>
      </c>
      <c r="G698" s="894" t="s">
        <v>2478</v>
      </c>
      <c r="H698" s="924">
        <v>1.2</v>
      </c>
      <c r="I698" s="882" t="str">
        <f t="shared" si="154"/>
        <v/>
      </c>
      <c r="J698" s="925"/>
      <c r="K698" s="899">
        <f>IF(G698&lt;&gt;0,VLOOKUP(G698,'gia dat'!$A$1:$F$144,5,0)," ")</f>
        <v>465600</v>
      </c>
      <c r="L698" s="899">
        <f>IF(G698&lt;&gt;0,VLOOKUP(G698,'gia dat'!$A$1:$F$144,6,0)," ")</f>
        <v>0</v>
      </c>
      <c r="M698" s="900">
        <f t="shared" si="137"/>
        <v>559000</v>
      </c>
      <c r="N698" s="900">
        <f t="shared" si="138"/>
        <v>0</v>
      </c>
      <c r="O698" s="973"/>
      <c r="P698" s="999"/>
      <c r="Q698" s="900" t="str">
        <f>IF(O698&lt;&gt;0,VLOOKUP(O698,'Cây trong'!$A$2:$C$246,3,0)," ")</f>
        <v xml:space="preserve"> </v>
      </c>
      <c r="R698" s="900" t="str">
        <f t="shared" si="144"/>
        <v xml:space="preserve"> </v>
      </c>
      <c r="S698" s="973"/>
      <c r="T698" s="974"/>
      <c r="U698" s="927"/>
      <c r="V698" s="925"/>
      <c r="W698" s="900" t="str">
        <f>IF(S698&lt;&gt;0,VLOOKUP(S698,VKT!$A$2:$G$415,7,0),"")</f>
        <v/>
      </c>
      <c r="X698" s="900" t="str">
        <f t="shared" ref="X698:X765" si="156">IF(S698&lt;&gt;0,ROUND(U698*W698,-3)," ")</f>
        <v xml:space="preserve"> </v>
      </c>
      <c r="Y698" s="925"/>
      <c r="Z698" s="928"/>
      <c r="AA698" s="928"/>
      <c r="AB698" s="904"/>
      <c r="AC698" s="928"/>
      <c r="AD698" s="928"/>
      <c r="AE698" s="928"/>
      <c r="AF698" s="926"/>
      <c r="AG698" s="906" t="str">
        <f>IF(AE698&lt;&gt;0,VLOOKUP(AE698,ODDS!$A$2:$C$13,3,0),"")</f>
        <v/>
      </c>
      <c r="AH698" s="906" t="str">
        <f t="shared" si="145"/>
        <v xml:space="preserve"> </v>
      </c>
      <c r="AI698" s="907" t="str">
        <f t="shared" si="141"/>
        <v xml:space="preserve"> </v>
      </c>
      <c r="AJ698" s="894" t="s">
        <v>555</v>
      </c>
      <c r="AK698" s="894" t="s">
        <v>2449</v>
      </c>
    </row>
    <row r="699" spans="1:37" s="376" customFormat="1" ht="45" outlineLevel="2" x14ac:dyDescent="0.3">
      <c r="A699" s="447">
        <f t="shared" si="155"/>
        <v>60</v>
      </c>
      <c r="B699" s="893"/>
      <c r="C699" s="894" t="s">
        <v>315</v>
      </c>
      <c r="D699" s="923"/>
      <c r="E699" s="923"/>
      <c r="F699" s="896"/>
      <c r="G699" s="894"/>
      <c r="H699" s="924"/>
      <c r="I699" s="882"/>
      <c r="J699" s="925"/>
      <c r="K699" s="899" t="str">
        <f>IF(G699&lt;&gt;0,VLOOKUP(G699,'gia dat'!$A$1:$F$144,5,0)," ")</f>
        <v xml:space="preserve"> </v>
      </c>
      <c r="L699" s="899" t="str">
        <f>IF(G699&lt;&gt;0,VLOOKUP(G699,'gia dat'!$A$1:$F$144,6,0)," ")</f>
        <v xml:space="preserve"> </v>
      </c>
      <c r="M699" s="900" t="str">
        <f t="shared" si="137"/>
        <v xml:space="preserve"> </v>
      </c>
      <c r="N699" s="900" t="str">
        <f t="shared" si="138"/>
        <v xml:space="preserve"> </v>
      </c>
      <c r="O699" s="973"/>
      <c r="P699" s="999"/>
      <c r="Q699" s="900" t="str">
        <f>IF(O699&lt;&gt;0,VLOOKUP(O699,'Cây trong'!$A$2:$C$246,3,0)," ")</f>
        <v xml:space="preserve"> </v>
      </c>
      <c r="R699" s="900" t="str">
        <f t="shared" si="144"/>
        <v xml:space="preserve"> </v>
      </c>
      <c r="S699" s="973"/>
      <c r="T699" s="974"/>
      <c r="U699" s="927"/>
      <c r="V699" s="925"/>
      <c r="W699" s="900" t="str">
        <f>IF(S699&lt;&gt;0,VLOOKUP(S699,VKT!$A$2:$G$415,7,0),"")</f>
        <v/>
      </c>
      <c r="X699" s="900" t="str">
        <f t="shared" si="156"/>
        <v xml:space="preserve"> </v>
      </c>
      <c r="Y699" s="925"/>
      <c r="Z699" s="928"/>
      <c r="AA699" s="928"/>
      <c r="AB699" s="904"/>
      <c r="AC699" s="928"/>
      <c r="AD699" s="928"/>
      <c r="AE699" s="928"/>
      <c r="AF699" s="926"/>
      <c r="AG699" s="906" t="str">
        <f>IF(AE699&lt;&gt;0,VLOOKUP(AE699,ODDS!$A$2:$C$13,3,0),"")</f>
        <v/>
      </c>
      <c r="AH699" s="906" t="str">
        <f t="shared" si="145"/>
        <v xml:space="preserve"> </v>
      </c>
      <c r="AI699" s="907" t="str">
        <f t="shared" si="141"/>
        <v xml:space="preserve"> </v>
      </c>
      <c r="AJ699" s="894" t="s">
        <v>556</v>
      </c>
      <c r="AK699" s="894"/>
    </row>
    <row r="700" spans="1:37" s="376" customFormat="1" ht="45" outlineLevel="2" x14ac:dyDescent="0.3">
      <c r="A700" s="447">
        <f t="shared" si="155"/>
        <v>60</v>
      </c>
      <c r="B700" s="893"/>
      <c r="C700" s="894"/>
      <c r="D700" s="923"/>
      <c r="E700" s="923"/>
      <c r="F700" s="896"/>
      <c r="G700" s="894"/>
      <c r="H700" s="924"/>
      <c r="I700" s="882"/>
      <c r="J700" s="925"/>
      <c r="K700" s="899" t="str">
        <f>IF(G700&lt;&gt;0,VLOOKUP(G700,'gia dat'!$A$1:$F$144,5,0)," ")</f>
        <v xml:space="preserve"> </v>
      </c>
      <c r="L700" s="899" t="str">
        <f>IF(G700&lt;&gt;0,VLOOKUP(G700,'gia dat'!$A$1:$F$144,6,0)," ")</f>
        <v xml:space="preserve"> </v>
      </c>
      <c r="M700" s="900" t="str">
        <f t="shared" si="137"/>
        <v xml:space="preserve"> </v>
      </c>
      <c r="N700" s="900" t="str">
        <f t="shared" si="138"/>
        <v xml:space="preserve"> </v>
      </c>
      <c r="O700" s="973"/>
      <c r="P700" s="999"/>
      <c r="Q700" s="900" t="str">
        <f>IF(O700&lt;&gt;0,VLOOKUP(O700,'Cây trong'!$A$2:$C$246,3,0)," ")</f>
        <v xml:space="preserve"> </v>
      </c>
      <c r="R700" s="900" t="str">
        <f t="shared" si="144"/>
        <v xml:space="preserve"> </v>
      </c>
      <c r="S700" s="973"/>
      <c r="T700" s="974"/>
      <c r="U700" s="927"/>
      <c r="V700" s="925"/>
      <c r="W700" s="900" t="str">
        <f>IF(S700&lt;&gt;0,VLOOKUP(S700,VKT!$A$2:$G$415,7,0),"")</f>
        <v/>
      </c>
      <c r="X700" s="900" t="str">
        <f t="shared" si="156"/>
        <v xml:space="preserve"> </v>
      </c>
      <c r="Y700" s="925"/>
      <c r="Z700" s="928"/>
      <c r="AA700" s="928"/>
      <c r="AB700" s="904"/>
      <c r="AC700" s="928"/>
      <c r="AD700" s="928"/>
      <c r="AE700" s="928"/>
      <c r="AF700" s="926"/>
      <c r="AG700" s="906" t="str">
        <f>IF(AE700&lt;&gt;0,VLOOKUP(AE700,ODDS!$A$2:$C$13,3,0),"")</f>
        <v/>
      </c>
      <c r="AH700" s="906" t="str">
        <f t="shared" si="145"/>
        <v xml:space="preserve"> </v>
      </c>
      <c r="AI700" s="907" t="str">
        <f t="shared" si="141"/>
        <v xml:space="preserve"> </v>
      </c>
      <c r="AJ700" s="894" t="s">
        <v>1681</v>
      </c>
      <c r="AK700" s="894"/>
    </row>
    <row r="701" spans="1:37" s="376" customFormat="1" ht="112.5" outlineLevel="2" x14ac:dyDescent="0.3">
      <c r="A701" s="447">
        <f t="shared" si="155"/>
        <v>60</v>
      </c>
      <c r="B701" s="893"/>
      <c r="C701" s="894"/>
      <c r="D701" s="923"/>
      <c r="E701" s="923"/>
      <c r="F701" s="950"/>
      <c r="G701" s="894"/>
      <c r="H701" s="940"/>
      <c r="I701" s="882"/>
      <c r="J701" s="929"/>
      <c r="K701" s="899" t="str">
        <f>IF(G701&lt;&gt;0,VLOOKUP(G701,'gia dat'!$A$1:$F$144,5,0)," ")</f>
        <v xml:space="preserve"> </v>
      </c>
      <c r="L701" s="899" t="str">
        <f>IF(G701&lt;&gt;0,VLOOKUP(G701,'gia dat'!$A$1:$F$144,6,0)," ")</f>
        <v xml:space="preserve"> </v>
      </c>
      <c r="M701" s="900" t="str">
        <f t="shared" si="137"/>
        <v xml:space="preserve"> </v>
      </c>
      <c r="N701" s="900" t="str">
        <f t="shared" si="138"/>
        <v xml:space="preserve"> </v>
      </c>
      <c r="O701" s="929"/>
      <c r="P701" s="951"/>
      <c r="Q701" s="900" t="str">
        <f>IF(O701&lt;&gt;0,VLOOKUP(O701,'Cây trong'!$A$2:$C$246,3,0)," ")</f>
        <v xml:space="preserve"> </v>
      </c>
      <c r="R701" s="900" t="str">
        <f t="shared" si="144"/>
        <v xml:space="preserve"> </v>
      </c>
      <c r="S701" s="929"/>
      <c r="T701" s="929"/>
      <c r="U701" s="952"/>
      <c r="V701" s="925"/>
      <c r="W701" s="900" t="str">
        <f>IF(S701&lt;&gt;0,VLOOKUP(S701,VKT!$A$2:$G$415,7,0),"")</f>
        <v/>
      </c>
      <c r="X701" s="900" t="str">
        <f t="shared" si="156"/>
        <v xml:space="preserve"> </v>
      </c>
      <c r="Y701" s="925"/>
      <c r="Z701" s="925"/>
      <c r="AA701" s="925"/>
      <c r="AB701" s="898"/>
      <c r="AC701" s="925"/>
      <c r="AD701" s="925"/>
      <c r="AE701" s="925"/>
      <c r="AF701" s="964"/>
      <c r="AG701" s="906" t="str">
        <f>IF(AE701&lt;&gt;0,VLOOKUP(AE701,ODDS!$A$2:$C$13,3,0),"")</f>
        <v/>
      </c>
      <c r="AH701" s="906" t="str">
        <f t="shared" si="145"/>
        <v xml:space="preserve"> </v>
      </c>
      <c r="AI701" s="907" t="str">
        <f t="shared" si="141"/>
        <v xml:space="preserve"> </v>
      </c>
      <c r="AJ701" s="894" t="s">
        <v>2209</v>
      </c>
      <c r="AK701" s="929"/>
    </row>
    <row r="702" spans="1:37" s="376" customFormat="1" ht="22.5" outlineLevel="2" x14ac:dyDescent="0.3">
      <c r="A702" s="447">
        <f t="shared" si="155"/>
        <v>60</v>
      </c>
      <c r="B702" s="893"/>
      <c r="C702" s="894"/>
      <c r="D702" s="923"/>
      <c r="E702" s="923"/>
      <c r="F702" s="950"/>
      <c r="G702" s="894"/>
      <c r="H702" s="940"/>
      <c r="I702" s="882"/>
      <c r="J702" s="929"/>
      <c r="K702" s="899" t="str">
        <f>IF(G702&lt;&gt;0,VLOOKUP(G702,'gia dat'!$A$1:$F$144,5,0)," ")</f>
        <v xml:space="preserve"> </v>
      </c>
      <c r="L702" s="899" t="str">
        <f>IF(G702&lt;&gt;0,VLOOKUP(G702,'gia dat'!$A$1:$F$144,6,0)," ")</f>
        <v xml:space="preserve"> </v>
      </c>
      <c r="M702" s="900" t="str">
        <f t="shared" si="137"/>
        <v xml:space="preserve"> </v>
      </c>
      <c r="N702" s="900" t="str">
        <f t="shared" si="138"/>
        <v xml:space="preserve"> </v>
      </c>
      <c r="O702" s="929"/>
      <c r="P702" s="951"/>
      <c r="Q702" s="900" t="str">
        <f>IF(O702&lt;&gt;0,VLOOKUP(O702,'Cây trong'!$A$2:$C$246,3,0)," ")</f>
        <v xml:space="preserve"> </v>
      </c>
      <c r="R702" s="900" t="str">
        <f t="shared" si="144"/>
        <v xml:space="preserve"> </v>
      </c>
      <c r="S702" s="929"/>
      <c r="T702" s="929"/>
      <c r="U702" s="952"/>
      <c r="V702" s="925"/>
      <c r="W702" s="900" t="str">
        <f>IF(S702&lt;&gt;0,VLOOKUP(S702,VKT!$A$2:$G$415,7,0),"")</f>
        <v/>
      </c>
      <c r="X702" s="900" t="str">
        <f t="shared" si="156"/>
        <v xml:space="preserve"> </v>
      </c>
      <c r="Y702" s="925"/>
      <c r="Z702" s="925"/>
      <c r="AA702" s="925"/>
      <c r="AB702" s="898"/>
      <c r="AC702" s="925"/>
      <c r="AD702" s="925"/>
      <c r="AE702" s="925"/>
      <c r="AF702" s="964"/>
      <c r="AG702" s="906" t="str">
        <f>IF(AE702&lt;&gt;0,VLOOKUP(AE702,ODDS!$A$2:$C$13,3,0),"")</f>
        <v/>
      </c>
      <c r="AH702" s="906" t="str">
        <f t="shared" si="145"/>
        <v xml:space="preserve"> </v>
      </c>
      <c r="AI702" s="907" t="str">
        <f t="shared" si="141"/>
        <v xml:space="preserve"> </v>
      </c>
      <c r="AJ702" s="929"/>
      <c r="AK702" s="929"/>
    </row>
    <row r="703" spans="1:37" s="376" customFormat="1" ht="22.5" outlineLevel="2" x14ac:dyDescent="0.3">
      <c r="A703" s="447">
        <f t="shared" si="155"/>
        <v>60</v>
      </c>
      <c r="B703" s="893"/>
      <c r="C703" s="978"/>
      <c r="D703" s="923"/>
      <c r="E703" s="923"/>
      <c r="F703" s="896"/>
      <c r="G703" s="894"/>
      <c r="H703" s="924"/>
      <c r="I703" s="882"/>
      <c r="J703" s="925"/>
      <c r="K703" s="899" t="str">
        <f>IF(G703&lt;&gt;0,VLOOKUP(G703,'gia dat'!$A$1:$F$144,5,0)," ")</f>
        <v xml:space="preserve"> </v>
      </c>
      <c r="L703" s="899" t="str">
        <f>IF(G703&lt;&gt;0,VLOOKUP(G703,'gia dat'!$A$1:$F$144,6,0)," ")</f>
        <v xml:space="preserve"> </v>
      </c>
      <c r="M703" s="900" t="str">
        <f t="shared" si="137"/>
        <v xml:space="preserve"> </v>
      </c>
      <c r="N703" s="900" t="str">
        <f t="shared" si="138"/>
        <v xml:space="preserve"> </v>
      </c>
      <c r="O703" s="973"/>
      <c r="P703" s="999"/>
      <c r="Q703" s="900" t="str">
        <f>IF(O703&lt;&gt;0,VLOOKUP(O703,'Cây trong'!$A$2:$C$246,3,0)," ")</f>
        <v xml:space="preserve"> </v>
      </c>
      <c r="R703" s="900" t="str">
        <f t="shared" si="144"/>
        <v xml:space="preserve"> </v>
      </c>
      <c r="S703" s="975"/>
      <c r="T703" s="974"/>
      <c r="U703" s="927"/>
      <c r="V703" s="925"/>
      <c r="W703" s="900" t="str">
        <f>IF(S703&lt;&gt;0,VLOOKUP(S703,VKT!$A$2:$G$415,7,0),"")</f>
        <v/>
      </c>
      <c r="X703" s="900" t="str">
        <f t="shared" si="156"/>
        <v xml:space="preserve"> </v>
      </c>
      <c r="Y703" s="925"/>
      <c r="Z703" s="928"/>
      <c r="AA703" s="928"/>
      <c r="AB703" s="904"/>
      <c r="AC703" s="928"/>
      <c r="AD703" s="928"/>
      <c r="AE703" s="928"/>
      <c r="AF703" s="926"/>
      <c r="AG703" s="906" t="str">
        <f>IF(AE703&lt;&gt;0,VLOOKUP(AE703,ODDS!$A$2:$C$13,3,0),"")</f>
        <v/>
      </c>
      <c r="AH703" s="906" t="str">
        <f t="shared" si="145"/>
        <v xml:space="preserve"> </v>
      </c>
      <c r="AI703" s="907" t="str">
        <f t="shared" si="141"/>
        <v xml:space="preserve"> </v>
      </c>
      <c r="AJ703" s="929"/>
      <c r="AK703" s="929"/>
    </row>
    <row r="704" spans="1:37" s="376" customFormat="1" ht="22.5" outlineLevel="1" x14ac:dyDescent="0.25">
      <c r="A704" s="467" t="s">
        <v>2649</v>
      </c>
      <c r="B704" s="912">
        <v>61</v>
      </c>
      <c r="C704" s="978" t="s">
        <v>229</v>
      </c>
      <c r="D704" s="931"/>
      <c r="E704" s="931"/>
      <c r="F704" s="913"/>
      <c r="G704" s="910"/>
      <c r="H704" s="932">
        <f>SUBTOTAL(9,H705:H740)</f>
        <v>403.29999999999995</v>
      </c>
      <c r="I704" s="915">
        <f>SUBTOTAL(9,I705:I710)</f>
        <v>0</v>
      </c>
      <c r="J704" s="933"/>
      <c r="K704" s="917"/>
      <c r="L704" s="917"/>
      <c r="M704" s="907">
        <f>SUBTOTAL(9,M705:M740)</f>
        <v>320462000</v>
      </c>
      <c r="N704" s="907">
        <f>SUBTOTAL(9,N705:N740)</f>
        <v>0</v>
      </c>
      <c r="O704" s="910"/>
      <c r="P704" s="935">
        <f>SUBTOTAL(9,P705:P740)</f>
        <v>18</v>
      </c>
      <c r="Q704" s="907"/>
      <c r="R704" s="907">
        <f>SUBTOTAL(9,R705:R740)</f>
        <v>3521000</v>
      </c>
      <c r="S704" s="918"/>
      <c r="T704" s="933"/>
      <c r="U704" s="936">
        <f>SUBTOTAL(9,U705:U740)</f>
        <v>721.99000000000012</v>
      </c>
      <c r="V704" s="933"/>
      <c r="W704" s="907"/>
      <c r="X704" s="907">
        <f>SUBTOTAL(9,X705:X740)</f>
        <v>0</v>
      </c>
      <c r="Y704" s="925"/>
      <c r="Z704" s="928"/>
      <c r="AA704" s="928"/>
      <c r="AB704" s="904"/>
      <c r="AC704" s="928"/>
      <c r="AD704" s="928"/>
      <c r="AE704" s="938"/>
      <c r="AF704" s="935">
        <f>SUBTOTAL(9,AF705:AF740)</f>
        <v>1</v>
      </c>
      <c r="AG704" s="921"/>
      <c r="AH704" s="921">
        <f>SUBTOTAL(9,AH705:AH740)</f>
        <v>0</v>
      </c>
      <c r="AI704" s="907">
        <f t="shared" si="141"/>
        <v>323983000</v>
      </c>
      <c r="AJ704" s="910"/>
      <c r="AK704" s="914"/>
    </row>
    <row r="705" spans="1:37" s="376" customFormat="1" ht="135" outlineLevel="2" x14ac:dyDescent="0.3">
      <c r="A705" s="447">
        <f>IF(B704&lt;&gt;0,B704,A703)</f>
        <v>61</v>
      </c>
      <c r="B705" s="893"/>
      <c r="C705" s="983" t="s">
        <v>230</v>
      </c>
      <c r="D705" s="923">
        <v>5</v>
      </c>
      <c r="E705" s="923">
        <v>85</v>
      </c>
      <c r="F705" s="896" t="s">
        <v>231</v>
      </c>
      <c r="G705" s="894" t="s">
        <v>2030</v>
      </c>
      <c r="H705" s="940">
        <v>1.9</v>
      </c>
      <c r="I705" s="882" t="str">
        <f t="shared" ref="I705:I709" si="157">IF(N705&gt;0,H705,"")</f>
        <v/>
      </c>
      <c r="J705" s="925"/>
      <c r="K705" s="899">
        <f>IF(G705&lt;&gt;0,VLOOKUP(G705,'gia dat'!$A$1:$F$144,5,0)," ")</f>
        <v>16800000</v>
      </c>
      <c r="L705" s="899">
        <f>IF(G705&lt;&gt;0,VLOOKUP(G705,'gia dat'!$A$1:$F$144,6,0)," ")</f>
        <v>0</v>
      </c>
      <c r="M705" s="900">
        <f t="shared" si="137"/>
        <v>31920000</v>
      </c>
      <c r="N705" s="900">
        <f t="shared" si="138"/>
        <v>0</v>
      </c>
      <c r="O705" s="894" t="s">
        <v>351</v>
      </c>
      <c r="P705" s="926">
        <v>1</v>
      </c>
      <c r="Q705" s="900">
        <f>IF(O705&lt;&gt;0,VLOOKUP(O705,'Cây trong'!$A$2:$C$246,3,0)," ")</f>
        <v>600000</v>
      </c>
      <c r="R705" s="900">
        <f>IF(O705&lt;&gt;0,ROUND(P705*Q705,-2)," ")</f>
        <v>600000</v>
      </c>
      <c r="S705" s="902" t="s">
        <v>2338</v>
      </c>
      <c r="T705" s="925" t="s">
        <v>53</v>
      </c>
      <c r="U705" s="927">
        <v>108.7</v>
      </c>
      <c r="V705" s="925">
        <v>285</v>
      </c>
      <c r="W705" s="900"/>
      <c r="X705" s="900">
        <f t="shared" si="156"/>
        <v>0</v>
      </c>
      <c r="Y705" s="925"/>
      <c r="Z705" s="928"/>
      <c r="AA705" s="928"/>
      <c r="AB705" s="904"/>
      <c r="AC705" s="928"/>
      <c r="AD705" s="928"/>
      <c r="AE705" s="905" t="s">
        <v>811</v>
      </c>
      <c r="AF705" s="926">
        <v>1</v>
      </c>
      <c r="AG705" s="906">
        <f>IF(AE705&lt;&gt;0,VLOOKUP(AE705,ODDS!$A$2:$C$13,3,0),"")</f>
        <v>0</v>
      </c>
      <c r="AH705" s="906">
        <f t="shared" si="145"/>
        <v>0</v>
      </c>
      <c r="AI705" s="907" t="str">
        <f t="shared" si="141"/>
        <v xml:space="preserve"> </v>
      </c>
      <c r="AJ705" s="894" t="s">
        <v>695</v>
      </c>
      <c r="AK705" s="922" t="s">
        <v>2771</v>
      </c>
    </row>
    <row r="706" spans="1:37" s="382" customFormat="1" ht="112.5" outlineLevel="2" x14ac:dyDescent="0.3">
      <c r="A706" s="447">
        <f t="shared" ref="A706:A740" si="158">IF(B705&lt;&gt;0,B705,A705)</f>
        <v>61</v>
      </c>
      <c r="B706" s="893"/>
      <c r="C706" s="910" t="s">
        <v>232</v>
      </c>
      <c r="D706" s="923"/>
      <c r="E706" s="923">
        <v>85</v>
      </c>
      <c r="F706" s="896" t="s">
        <v>231</v>
      </c>
      <c r="G706" s="894" t="s">
        <v>2032</v>
      </c>
      <c r="H706" s="924">
        <f>10.9-H705</f>
        <v>9</v>
      </c>
      <c r="I706" s="882" t="str">
        <f t="shared" si="157"/>
        <v/>
      </c>
      <c r="J706" s="925"/>
      <c r="K706" s="899">
        <f>IF(G706&lt;&gt;0,VLOOKUP(G706,'gia dat'!$A$1:$F$144,5,0)," ")</f>
        <v>11760000</v>
      </c>
      <c r="L706" s="899">
        <f>IF(G706&lt;&gt;0,VLOOKUP(G706,'gia dat'!$A$1:$F$144,6,0)," ")</f>
        <v>0</v>
      </c>
      <c r="M706" s="900">
        <f t="shared" si="137"/>
        <v>105840000</v>
      </c>
      <c r="N706" s="900">
        <f t="shared" si="138"/>
        <v>0</v>
      </c>
      <c r="O706" s="894" t="s">
        <v>752</v>
      </c>
      <c r="P706" s="926">
        <v>1</v>
      </c>
      <c r="Q706" s="900">
        <f>IF(O706&lt;&gt;0,VLOOKUP(O706,'Cây trong'!$A$2:$C$246,3,0)," ")</f>
        <v>600000</v>
      </c>
      <c r="R706" s="900">
        <f t="shared" si="144"/>
        <v>600000</v>
      </c>
      <c r="S706" s="902" t="s">
        <v>2289</v>
      </c>
      <c r="T706" s="925" t="s">
        <v>53</v>
      </c>
      <c r="U706" s="927">
        <v>21.28</v>
      </c>
      <c r="V706" s="925">
        <v>24.64</v>
      </c>
      <c r="W706" s="900"/>
      <c r="X706" s="900">
        <f t="shared" si="156"/>
        <v>0</v>
      </c>
      <c r="Y706" s="925"/>
      <c r="Z706" s="928" t="s">
        <v>55</v>
      </c>
      <c r="AA706" s="928" t="s">
        <v>141</v>
      </c>
      <c r="AB706" s="904"/>
      <c r="AC706" s="928" t="s">
        <v>66</v>
      </c>
      <c r="AD706" s="928"/>
      <c r="AE706" s="928"/>
      <c r="AF706" s="926"/>
      <c r="AG706" s="906" t="str">
        <f>IF(AE706&lt;&gt;0,VLOOKUP(AE706,ODDS!$A$2:$C$13,3,0),"")</f>
        <v/>
      </c>
      <c r="AH706" s="906"/>
      <c r="AI706" s="907" t="str">
        <f t="shared" si="141"/>
        <v xml:space="preserve"> </v>
      </c>
      <c r="AJ706" s="894" t="s">
        <v>557</v>
      </c>
      <c r="AK706" s="894" t="s">
        <v>2450</v>
      </c>
    </row>
    <row r="707" spans="1:37" s="376" customFormat="1" ht="157.5" outlineLevel="2" x14ac:dyDescent="0.3">
      <c r="A707" s="447">
        <f t="shared" si="158"/>
        <v>61</v>
      </c>
      <c r="B707" s="893"/>
      <c r="C707" s="983" t="s">
        <v>233</v>
      </c>
      <c r="D707" s="923"/>
      <c r="E707" s="923">
        <v>85</v>
      </c>
      <c r="F707" s="896" t="s">
        <v>231</v>
      </c>
      <c r="G707" s="894" t="s">
        <v>2210</v>
      </c>
      <c r="H707" s="924">
        <v>304.3</v>
      </c>
      <c r="I707" s="882" t="str">
        <f t="shared" si="157"/>
        <v/>
      </c>
      <c r="J707" s="925"/>
      <c r="K707" s="899">
        <f>IF(G707&lt;&gt;0,VLOOKUP(G707,'gia dat'!$A$1:$F$144,5,0)," ")</f>
        <v>465600</v>
      </c>
      <c r="L707" s="899">
        <f>IF(G707&lt;&gt;0,VLOOKUP(G707,'gia dat'!$A$1:$F$144,6,0)," ")</f>
        <v>0</v>
      </c>
      <c r="M707" s="900">
        <f t="shared" si="137"/>
        <v>141682000</v>
      </c>
      <c r="N707" s="900">
        <f t="shared" si="138"/>
        <v>0</v>
      </c>
      <c r="O707" s="894" t="s">
        <v>753</v>
      </c>
      <c r="P707" s="926">
        <v>1</v>
      </c>
      <c r="Q707" s="900">
        <f>IF(O707&lt;&gt;0,VLOOKUP(O707,'Cây trong'!$A$2:$C$246,3,0)," ")</f>
        <v>165000</v>
      </c>
      <c r="R707" s="900">
        <f t="shared" si="144"/>
        <v>165000</v>
      </c>
      <c r="S707" s="902" t="s">
        <v>1884</v>
      </c>
      <c r="T707" s="925" t="s">
        <v>53</v>
      </c>
      <c r="U707" s="927">
        <v>10.199999999999999</v>
      </c>
      <c r="V707" s="925">
        <v>217.69</v>
      </c>
      <c r="W707" s="900"/>
      <c r="X707" s="900">
        <f t="shared" si="156"/>
        <v>0</v>
      </c>
      <c r="Y707" s="925"/>
      <c r="Z707" s="928" t="s">
        <v>55</v>
      </c>
      <c r="AA707" s="928" t="s">
        <v>56</v>
      </c>
      <c r="AB707" s="904" t="s">
        <v>186</v>
      </c>
      <c r="AC707" s="928" t="s">
        <v>66</v>
      </c>
      <c r="AD707" s="928"/>
      <c r="AE707" s="928"/>
      <c r="AF707" s="926"/>
      <c r="AG707" s="906" t="str">
        <f>IF(AE707&lt;&gt;0,VLOOKUP(AE707,ODDS!$A$2:$C$13,3,0),"")</f>
        <v/>
      </c>
      <c r="AH707" s="906" t="str">
        <f t="shared" si="145"/>
        <v xml:space="preserve"> </v>
      </c>
      <c r="AI707" s="907" t="str">
        <f t="shared" si="141"/>
        <v xml:space="preserve"> </v>
      </c>
      <c r="AJ707" s="929" t="s">
        <v>169</v>
      </c>
      <c r="AK707" s="894" t="s">
        <v>2449</v>
      </c>
    </row>
    <row r="708" spans="1:37" s="376" customFormat="1" ht="180" outlineLevel="2" x14ac:dyDescent="0.3">
      <c r="A708" s="447">
        <f t="shared" si="158"/>
        <v>61</v>
      </c>
      <c r="B708" s="893"/>
      <c r="C708" s="983" t="s">
        <v>696</v>
      </c>
      <c r="D708" s="923"/>
      <c r="E708" s="923"/>
      <c r="F708" s="896"/>
      <c r="G708" s="894" t="s">
        <v>2211</v>
      </c>
      <c r="H708" s="924">
        <v>74.2</v>
      </c>
      <c r="I708" s="882" t="str">
        <f t="shared" si="157"/>
        <v/>
      </c>
      <c r="J708" s="925"/>
      <c r="K708" s="899">
        <f>IF(G708&lt;&gt;0,VLOOKUP(G708,'gia dat'!$A$1:$F$144,5,0)," ")</f>
        <v>465600</v>
      </c>
      <c r="L708" s="899">
        <f>IF(G708&lt;&gt;0,VLOOKUP(G708,'gia dat'!$A$1:$F$144,6,0)," ")</f>
        <v>0</v>
      </c>
      <c r="M708" s="900">
        <f t="shared" si="137"/>
        <v>34548000</v>
      </c>
      <c r="N708" s="900">
        <f t="shared" si="138"/>
        <v>0</v>
      </c>
      <c r="O708" s="981" t="s">
        <v>746</v>
      </c>
      <c r="P708" s="926">
        <v>14</v>
      </c>
      <c r="Q708" s="900">
        <f>IF(O708&lt;&gt;0,VLOOKUP(O708,'Cây trong'!$A$2:$C$246,3,0)," ")</f>
        <v>32000</v>
      </c>
      <c r="R708" s="900">
        <f t="shared" si="144"/>
        <v>448000</v>
      </c>
      <c r="S708" s="981" t="s">
        <v>1839</v>
      </c>
      <c r="T708" s="984" t="s">
        <v>53</v>
      </c>
      <c r="U708" s="927">
        <v>10.199999999999999</v>
      </c>
      <c r="V708" s="925">
        <v>217.69</v>
      </c>
      <c r="W708" s="900"/>
      <c r="X708" s="900">
        <f t="shared" si="156"/>
        <v>0</v>
      </c>
      <c r="Y708" s="925"/>
      <c r="Z708" s="928"/>
      <c r="AA708" s="928"/>
      <c r="AB708" s="904"/>
      <c r="AC708" s="928"/>
      <c r="AD708" s="928"/>
      <c r="AE708" s="928"/>
      <c r="AF708" s="926"/>
      <c r="AG708" s="906" t="str">
        <f>IF(AE708&lt;&gt;0,VLOOKUP(AE708,ODDS!$A$2:$C$13,3,0),"")</f>
        <v/>
      </c>
      <c r="AH708" s="906" t="str">
        <f t="shared" si="145"/>
        <v xml:space="preserve"> </v>
      </c>
      <c r="AI708" s="907" t="str">
        <f t="shared" si="141"/>
        <v xml:space="preserve"> </v>
      </c>
      <c r="AJ708" s="929" t="s">
        <v>1723</v>
      </c>
      <c r="AK708" s="894" t="s">
        <v>2800</v>
      </c>
    </row>
    <row r="709" spans="1:37" s="376" customFormat="1" ht="180" outlineLevel="2" x14ac:dyDescent="0.3">
      <c r="A709" s="447">
        <f t="shared" si="158"/>
        <v>61</v>
      </c>
      <c r="B709" s="893"/>
      <c r="C709" s="972"/>
      <c r="D709" s="923"/>
      <c r="E709" s="923"/>
      <c r="F709" s="896"/>
      <c r="G709" s="894" t="s">
        <v>2212</v>
      </c>
      <c r="H709" s="924">
        <v>13.9</v>
      </c>
      <c r="I709" s="882" t="str">
        <f t="shared" si="157"/>
        <v/>
      </c>
      <c r="J709" s="925"/>
      <c r="K709" s="899">
        <f>IF(G709&lt;&gt;0,VLOOKUP(G709,'gia dat'!$A$1:$F$144,5,0)," ")</f>
        <v>465600</v>
      </c>
      <c r="L709" s="899">
        <f>IF(G709&lt;&gt;0,VLOOKUP(G709,'gia dat'!$A$1:$F$144,6,0)," ")</f>
        <v>0</v>
      </c>
      <c r="M709" s="900">
        <f t="shared" si="137"/>
        <v>6472000</v>
      </c>
      <c r="N709" s="900">
        <f t="shared" si="138"/>
        <v>0</v>
      </c>
      <c r="O709" s="894" t="s">
        <v>61</v>
      </c>
      <c r="P709" s="926">
        <v>1</v>
      </c>
      <c r="Q709" s="900">
        <f>IF(O709&lt;&gt;0,VLOOKUP(O709,'Cây trong'!$A$2:$C$246,3,0)," ")</f>
        <v>1708000</v>
      </c>
      <c r="R709" s="900">
        <f t="shared" si="144"/>
        <v>1708000</v>
      </c>
      <c r="S709" s="902" t="s">
        <v>1838</v>
      </c>
      <c r="T709" s="925" t="s">
        <v>53</v>
      </c>
      <c r="U709" s="927">
        <v>13.8</v>
      </c>
      <c r="V709" s="925"/>
      <c r="W709" s="900"/>
      <c r="X709" s="900">
        <f t="shared" si="156"/>
        <v>0</v>
      </c>
      <c r="Y709" s="925" t="s">
        <v>63</v>
      </c>
      <c r="Z709" s="928" t="s">
        <v>55</v>
      </c>
      <c r="AA709" s="928" t="s">
        <v>56</v>
      </c>
      <c r="AB709" s="904" t="s">
        <v>57</v>
      </c>
      <c r="AC709" s="928" t="s">
        <v>54</v>
      </c>
      <c r="AD709" s="928"/>
      <c r="AE709" s="928"/>
      <c r="AF709" s="926"/>
      <c r="AG709" s="906" t="str">
        <f>IF(AE709&lt;&gt;0,VLOOKUP(AE709,ODDS!$A$2:$C$13,3,0),"")</f>
        <v/>
      </c>
      <c r="AH709" s="906" t="str">
        <f t="shared" si="145"/>
        <v xml:space="preserve"> </v>
      </c>
      <c r="AI709" s="907" t="str">
        <f t="shared" si="141"/>
        <v xml:space="preserve"> </v>
      </c>
      <c r="AJ709" s="943" t="s">
        <v>111</v>
      </c>
      <c r="AK709" s="943"/>
    </row>
    <row r="710" spans="1:37" s="376" customFormat="1" ht="65.25" outlineLevel="2" x14ac:dyDescent="0.3">
      <c r="A710" s="447">
        <f t="shared" si="158"/>
        <v>61</v>
      </c>
      <c r="B710" s="893"/>
      <c r="C710" s="972"/>
      <c r="D710" s="923"/>
      <c r="E710" s="923"/>
      <c r="F710" s="896"/>
      <c r="G710" s="894"/>
      <c r="H710" s="924"/>
      <c r="I710" s="882"/>
      <c r="J710" s="925"/>
      <c r="K710" s="899" t="str">
        <f>IF(G710&lt;&gt;0,VLOOKUP(G710,'gia dat'!$A$1:$F$144,5,0)," ")</f>
        <v xml:space="preserve"> </v>
      </c>
      <c r="L710" s="899" t="str">
        <f>IF(G710&lt;&gt;0,VLOOKUP(G710,'gia dat'!$A$1:$F$144,6,0)," ")</f>
        <v xml:space="preserve"> </v>
      </c>
      <c r="M710" s="900" t="str">
        <f t="shared" ref="M710:M777" si="159">IF(H710&lt;&gt;0,ROUND(H710*K710,-3)," ")</f>
        <v xml:space="preserve"> </v>
      </c>
      <c r="N710" s="900" t="str">
        <f t="shared" ref="N710:N777" si="160">IF(H710&lt;&gt;0,ROUND(H710*L710,-3)," ")</f>
        <v xml:space="preserve"> </v>
      </c>
      <c r="O710" s="929"/>
      <c r="P710" s="951"/>
      <c r="Q710" s="900" t="str">
        <f>IF(O710&lt;&gt;0,VLOOKUP(O710,'Cây trong'!$A$2:$C$246,3,0)," ")</f>
        <v xml:space="preserve"> </v>
      </c>
      <c r="R710" s="900" t="str">
        <f t="shared" si="144"/>
        <v xml:space="preserve"> </v>
      </c>
      <c r="S710" s="902" t="s">
        <v>1838</v>
      </c>
      <c r="T710" s="925" t="s">
        <v>53</v>
      </c>
      <c r="U710" s="927">
        <v>11.46</v>
      </c>
      <c r="V710" s="925"/>
      <c r="W710" s="900"/>
      <c r="X710" s="900">
        <f t="shared" si="156"/>
        <v>0</v>
      </c>
      <c r="Y710" s="925" t="s">
        <v>63</v>
      </c>
      <c r="Z710" s="928" t="s">
        <v>55</v>
      </c>
      <c r="AA710" s="928" t="s">
        <v>56</v>
      </c>
      <c r="AB710" s="904" t="s">
        <v>57</v>
      </c>
      <c r="AC710" s="928" t="s">
        <v>54</v>
      </c>
      <c r="AD710" s="928"/>
      <c r="AE710" s="928"/>
      <c r="AF710" s="926"/>
      <c r="AG710" s="906" t="str">
        <f>IF(AE710&lt;&gt;0,VLOOKUP(AE710,ODDS!$A$2:$C$13,3,0),"")</f>
        <v/>
      </c>
      <c r="AH710" s="906" t="str">
        <f t="shared" si="145"/>
        <v xml:space="preserve"> </v>
      </c>
      <c r="AI710" s="907" t="str">
        <f t="shared" si="141"/>
        <v xml:space="preserve"> </v>
      </c>
      <c r="AJ710" s="910" t="s">
        <v>559</v>
      </c>
      <c r="AK710" s="910"/>
    </row>
    <row r="711" spans="1:37" s="376" customFormat="1" ht="135" outlineLevel="2" x14ac:dyDescent="0.3">
      <c r="A711" s="447">
        <f t="shared" si="158"/>
        <v>61</v>
      </c>
      <c r="B711" s="893"/>
      <c r="C711" s="894"/>
      <c r="D711" s="923"/>
      <c r="E711" s="923"/>
      <c r="F711" s="896"/>
      <c r="G711" s="894"/>
      <c r="H711" s="924"/>
      <c r="I711" s="882"/>
      <c r="J711" s="925"/>
      <c r="K711" s="899" t="str">
        <f>IF(G711&lt;&gt;0,VLOOKUP(G711,'gia dat'!$A$1:$F$144,5,0)," ")</f>
        <v xml:space="preserve"> </v>
      </c>
      <c r="L711" s="899" t="str">
        <f>IF(G711&lt;&gt;0,VLOOKUP(G711,'gia dat'!$A$1:$F$144,6,0)," ")</f>
        <v xml:space="preserve"> </v>
      </c>
      <c r="M711" s="900" t="str">
        <f t="shared" si="159"/>
        <v xml:space="preserve"> </v>
      </c>
      <c r="N711" s="900" t="str">
        <f t="shared" si="160"/>
        <v xml:space="preserve"> </v>
      </c>
      <c r="O711" s="894"/>
      <c r="P711" s="926"/>
      <c r="Q711" s="900" t="str">
        <f>IF(O711&lt;&gt;0,VLOOKUP(O711,'Cây trong'!$A$2:$C$246,3,0)," ")</f>
        <v xml:space="preserve"> </v>
      </c>
      <c r="R711" s="900" t="str">
        <f t="shared" si="144"/>
        <v xml:space="preserve"> </v>
      </c>
      <c r="S711" s="902" t="s">
        <v>2339</v>
      </c>
      <c r="T711" s="925" t="s">
        <v>53</v>
      </c>
      <c r="U711" s="927">
        <v>2.34</v>
      </c>
      <c r="V711" s="925"/>
      <c r="W711" s="900"/>
      <c r="X711" s="900">
        <f t="shared" si="156"/>
        <v>0</v>
      </c>
      <c r="Y711" s="925"/>
      <c r="Z711" s="928"/>
      <c r="AA711" s="928" t="s">
        <v>56</v>
      </c>
      <c r="AB711" s="904" t="s">
        <v>57</v>
      </c>
      <c r="AC711" s="928" t="s">
        <v>54</v>
      </c>
      <c r="AD711" s="928"/>
      <c r="AE711" s="928"/>
      <c r="AF711" s="926"/>
      <c r="AG711" s="906" t="str">
        <f>IF(AE711&lt;&gt;0,VLOOKUP(AE711,ODDS!$A$2:$C$13,3,0),"")</f>
        <v/>
      </c>
      <c r="AH711" s="906" t="str">
        <f t="shared" si="145"/>
        <v xml:space="preserve"> </v>
      </c>
      <c r="AI711" s="907" t="str">
        <f t="shared" si="141"/>
        <v xml:space="preserve"> </v>
      </c>
      <c r="AJ711" s="894" t="s">
        <v>2043</v>
      </c>
      <c r="AK711" s="894"/>
    </row>
    <row r="712" spans="1:37" s="376" customFormat="1" ht="135" outlineLevel="2" x14ac:dyDescent="0.3">
      <c r="A712" s="447">
        <f t="shared" si="158"/>
        <v>61</v>
      </c>
      <c r="B712" s="893"/>
      <c r="C712" s="971"/>
      <c r="D712" s="923"/>
      <c r="E712" s="923"/>
      <c r="F712" s="896"/>
      <c r="G712" s="894"/>
      <c r="H712" s="924"/>
      <c r="I712" s="882"/>
      <c r="J712" s="925"/>
      <c r="K712" s="899" t="str">
        <f>IF(G712&lt;&gt;0,VLOOKUP(G712,'gia dat'!$A$1:$F$144,5,0)," ")</f>
        <v xml:space="preserve"> </v>
      </c>
      <c r="L712" s="899" t="str">
        <f>IF(G712&lt;&gt;0,VLOOKUP(G712,'gia dat'!$A$1:$F$144,6,0)," ")</f>
        <v xml:space="preserve"> </v>
      </c>
      <c r="M712" s="900" t="str">
        <f t="shared" si="159"/>
        <v xml:space="preserve"> </v>
      </c>
      <c r="N712" s="900" t="str">
        <f t="shared" si="160"/>
        <v xml:space="preserve"> </v>
      </c>
      <c r="O712" s="894"/>
      <c r="P712" s="926"/>
      <c r="Q712" s="900" t="str">
        <f>IF(O712&lt;&gt;0,VLOOKUP(O712,'Cây trong'!$A$2:$C$246,3,0)," ")</f>
        <v xml:space="preserve"> </v>
      </c>
      <c r="R712" s="900" t="str">
        <f t="shared" si="144"/>
        <v xml:space="preserve"> </v>
      </c>
      <c r="S712" s="902" t="s">
        <v>1838</v>
      </c>
      <c r="T712" s="925" t="s">
        <v>53</v>
      </c>
      <c r="U712" s="927">
        <v>11.46</v>
      </c>
      <c r="V712" s="925"/>
      <c r="W712" s="900"/>
      <c r="X712" s="900">
        <f t="shared" si="156"/>
        <v>0</v>
      </c>
      <c r="Y712" s="925" t="s">
        <v>63</v>
      </c>
      <c r="Z712" s="928" t="s">
        <v>55</v>
      </c>
      <c r="AA712" s="928" t="s">
        <v>56</v>
      </c>
      <c r="AB712" s="904" t="s">
        <v>57</v>
      </c>
      <c r="AC712" s="928" t="s">
        <v>54</v>
      </c>
      <c r="AD712" s="928"/>
      <c r="AE712" s="928"/>
      <c r="AF712" s="926"/>
      <c r="AG712" s="906" t="str">
        <f>IF(AE712&lt;&gt;0,VLOOKUP(AE712,ODDS!$A$2:$C$13,3,0),"")</f>
        <v/>
      </c>
      <c r="AH712" s="906" t="str">
        <f t="shared" si="145"/>
        <v xml:space="preserve"> </v>
      </c>
      <c r="AI712" s="907" t="str">
        <f t="shared" si="141"/>
        <v xml:space="preserve"> </v>
      </c>
      <c r="AJ712" s="894" t="s">
        <v>2044</v>
      </c>
      <c r="AK712" s="929"/>
    </row>
    <row r="713" spans="1:37" s="376" customFormat="1" ht="112.5" outlineLevel="2" x14ac:dyDescent="0.3">
      <c r="A713" s="447">
        <f t="shared" si="158"/>
        <v>61</v>
      </c>
      <c r="B713" s="893"/>
      <c r="C713" s="972"/>
      <c r="D713" s="923"/>
      <c r="E713" s="923"/>
      <c r="F713" s="896"/>
      <c r="G713" s="894"/>
      <c r="H713" s="924"/>
      <c r="I713" s="882"/>
      <c r="J713" s="925"/>
      <c r="K713" s="899" t="str">
        <f>IF(G713&lt;&gt;0,VLOOKUP(G713,'gia dat'!$A$1:$F$144,5,0)," ")</f>
        <v xml:space="preserve"> </v>
      </c>
      <c r="L713" s="899" t="str">
        <f>IF(G713&lt;&gt;0,VLOOKUP(G713,'gia dat'!$A$1:$F$144,6,0)," ")</f>
        <v xml:space="preserve"> </v>
      </c>
      <c r="M713" s="900" t="str">
        <f t="shared" si="159"/>
        <v xml:space="preserve"> </v>
      </c>
      <c r="N713" s="900" t="str">
        <f t="shared" si="160"/>
        <v xml:space="preserve"> </v>
      </c>
      <c r="O713" s="973"/>
      <c r="P713" s="999"/>
      <c r="Q713" s="900" t="str">
        <f>IF(O713&lt;&gt;0,VLOOKUP(O713,'Cây trong'!$A$2:$C$246,3,0)," ")</f>
        <v xml:space="preserve"> </v>
      </c>
      <c r="R713" s="900" t="str">
        <f t="shared" si="144"/>
        <v xml:space="preserve"> </v>
      </c>
      <c r="S713" s="973" t="s">
        <v>2339</v>
      </c>
      <c r="T713" s="974" t="s">
        <v>53</v>
      </c>
      <c r="U713" s="927">
        <v>2.34</v>
      </c>
      <c r="V713" s="925"/>
      <c r="W713" s="900"/>
      <c r="X713" s="900">
        <f t="shared" si="156"/>
        <v>0</v>
      </c>
      <c r="Y713" s="925"/>
      <c r="Z713" s="928"/>
      <c r="AA713" s="928" t="s">
        <v>56</v>
      </c>
      <c r="AB713" s="904" t="s">
        <v>57</v>
      </c>
      <c r="AC713" s="928" t="s">
        <v>54</v>
      </c>
      <c r="AD713" s="928"/>
      <c r="AE713" s="928"/>
      <c r="AF713" s="926"/>
      <c r="AG713" s="906" t="str">
        <f>IF(AE713&lt;&gt;0,VLOOKUP(AE713,ODDS!$A$2:$C$13,3,0),"")</f>
        <v/>
      </c>
      <c r="AH713" s="906" t="str">
        <f t="shared" si="145"/>
        <v xml:space="preserve"> </v>
      </c>
      <c r="AI713" s="907" t="str">
        <f t="shared" ref="AI713:AI776" si="161">IF(B713&lt;&gt;0,M713+N713+R713+X713+AH713," ")</f>
        <v xml:space="preserve"> </v>
      </c>
      <c r="AJ713" s="894"/>
      <c r="AK713" s="929"/>
    </row>
    <row r="714" spans="1:37" s="376" customFormat="1" ht="45" outlineLevel="2" x14ac:dyDescent="0.3">
      <c r="A714" s="447">
        <f t="shared" si="158"/>
        <v>61</v>
      </c>
      <c r="B714" s="893"/>
      <c r="C714" s="972"/>
      <c r="D714" s="923"/>
      <c r="E714" s="923"/>
      <c r="F714" s="896"/>
      <c r="G714" s="894"/>
      <c r="H714" s="924"/>
      <c r="I714" s="882"/>
      <c r="J714" s="925"/>
      <c r="K714" s="899" t="str">
        <f>IF(G714&lt;&gt;0,VLOOKUP(G714,'gia dat'!$A$1:$F$144,5,0)," ")</f>
        <v xml:space="preserve"> </v>
      </c>
      <c r="L714" s="899" t="str">
        <f>IF(G714&lt;&gt;0,VLOOKUP(G714,'gia dat'!$A$1:$F$144,6,0)," ")</f>
        <v xml:space="preserve"> </v>
      </c>
      <c r="M714" s="900" t="str">
        <f t="shared" si="159"/>
        <v xml:space="preserve"> </v>
      </c>
      <c r="N714" s="900" t="str">
        <f t="shared" si="160"/>
        <v xml:space="preserve"> </v>
      </c>
      <c r="O714" s="894"/>
      <c r="P714" s="926"/>
      <c r="Q714" s="900" t="str">
        <f>IF(O714&lt;&gt;0,VLOOKUP(O714,'Cây trong'!$A$2:$C$246,3,0)," ")</f>
        <v xml:space="preserve"> </v>
      </c>
      <c r="R714" s="900" t="str">
        <f t="shared" si="144"/>
        <v xml:space="preserve"> </v>
      </c>
      <c r="S714" s="902" t="s">
        <v>1838</v>
      </c>
      <c r="T714" s="925" t="s">
        <v>53</v>
      </c>
      <c r="U714" s="927">
        <v>13.8</v>
      </c>
      <c r="V714" s="925"/>
      <c r="W714" s="900"/>
      <c r="X714" s="900">
        <f t="shared" si="156"/>
        <v>0</v>
      </c>
      <c r="Y714" s="925" t="s">
        <v>63</v>
      </c>
      <c r="Z714" s="928" t="s">
        <v>55</v>
      </c>
      <c r="AA714" s="928" t="s">
        <v>56</v>
      </c>
      <c r="AB714" s="904" t="s">
        <v>360</v>
      </c>
      <c r="AC714" s="928" t="s">
        <v>54</v>
      </c>
      <c r="AD714" s="928"/>
      <c r="AE714" s="928"/>
      <c r="AF714" s="926"/>
      <c r="AG714" s="906" t="str">
        <f>IF(AE714&lt;&gt;0,VLOOKUP(AE714,ODDS!$A$2:$C$13,3,0),"")</f>
        <v/>
      </c>
      <c r="AH714" s="906" t="str">
        <f t="shared" si="145"/>
        <v xml:space="preserve"> </v>
      </c>
      <c r="AI714" s="907" t="str">
        <f t="shared" si="161"/>
        <v xml:space="preserve"> </v>
      </c>
      <c r="AJ714" s="929"/>
      <c r="AK714" s="929"/>
    </row>
    <row r="715" spans="1:37" s="376" customFormat="1" ht="112.5" outlineLevel="2" x14ac:dyDescent="0.3">
      <c r="A715" s="447">
        <f t="shared" si="158"/>
        <v>61</v>
      </c>
      <c r="B715" s="893"/>
      <c r="C715" s="894"/>
      <c r="D715" s="923"/>
      <c r="E715" s="923"/>
      <c r="F715" s="896"/>
      <c r="G715" s="894"/>
      <c r="H715" s="924"/>
      <c r="I715" s="882"/>
      <c r="J715" s="925"/>
      <c r="K715" s="899" t="str">
        <f>IF(G715&lt;&gt;0,VLOOKUP(G715,'gia dat'!$A$1:$F$144,5,0)," ")</f>
        <v xml:space="preserve"> </v>
      </c>
      <c r="L715" s="899" t="str">
        <f>IF(G715&lt;&gt;0,VLOOKUP(G715,'gia dat'!$A$1:$F$144,6,0)," ")</f>
        <v xml:space="preserve"> </v>
      </c>
      <c r="M715" s="900" t="str">
        <f t="shared" si="159"/>
        <v xml:space="preserve"> </v>
      </c>
      <c r="N715" s="900" t="str">
        <f t="shared" si="160"/>
        <v xml:space="preserve"> </v>
      </c>
      <c r="O715" s="894"/>
      <c r="P715" s="926"/>
      <c r="Q715" s="900" t="str">
        <f>IF(O715&lt;&gt;0,VLOOKUP(O715,'Cây trong'!$A$2:$C$246,3,0)," ")</f>
        <v xml:space="preserve"> </v>
      </c>
      <c r="R715" s="900" t="str">
        <f t="shared" si="144"/>
        <v xml:space="preserve"> </v>
      </c>
      <c r="S715" s="902" t="s">
        <v>2340</v>
      </c>
      <c r="T715" s="925" t="s">
        <v>53</v>
      </c>
      <c r="U715" s="927">
        <v>4.8099999999999996</v>
      </c>
      <c r="V715" s="925"/>
      <c r="W715" s="900"/>
      <c r="X715" s="900">
        <f t="shared" si="156"/>
        <v>0</v>
      </c>
      <c r="Y715" s="925"/>
      <c r="Z715" s="928"/>
      <c r="AA715" s="928" t="s">
        <v>56</v>
      </c>
      <c r="AB715" s="904" t="s">
        <v>57</v>
      </c>
      <c r="AC715" s="928" t="s">
        <v>54</v>
      </c>
      <c r="AD715" s="928"/>
      <c r="AE715" s="928"/>
      <c r="AF715" s="926"/>
      <c r="AG715" s="906" t="str">
        <f>IF(AE715&lt;&gt;0,VLOOKUP(AE715,ODDS!$A$2:$C$13,3,0),"")</f>
        <v/>
      </c>
      <c r="AH715" s="906" t="str">
        <f t="shared" si="145"/>
        <v xml:space="preserve"> </v>
      </c>
      <c r="AI715" s="907" t="str">
        <f t="shared" si="161"/>
        <v xml:space="preserve"> </v>
      </c>
      <c r="AJ715" s="929"/>
      <c r="AK715" s="929"/>
    </row>
    <row r="716" spans="1:37" s="376" customFormat="1" ht="90" outlineLevel="2" x14ac:dyDescent="0.3">
      <c r="A716" s="447">
        <f t="shared" si="158"/>
        <v>61</v>
      </c>
      <c r="B716" s="893"/>
      <c r="C716" s="971"/>
      <c r="D716" s="923"/>
      <c r="E716" s="923"/>
      <c r="F716" s="896"/>
      <c r="G716" s="894"/>
      <c r="H716" s="924"/>
      <c r="I716" s="882"/>
      <c r="J716" s="925"/>
      <c r="K716" s="899" t="str">
        <f>IF(G716&lt;&gt;0,VLOOKUP(G716,'gia dat'!$A$1:$F$144,5,0)," ")</f>
        <v xml:space="preserve"> </v>
      </c>
      <c r="L716" s="899" t="str">
        <f>IF(G716&lt;&gt;0,VLOOKUP(G716,'gia dat'!$A$1:$F$144,6,0)," ")</f>
        <v xml:space="preserve"> </v>
      </c>
      <c r="M716" s="900" t="str">
        <f t="shared" si="159"/>
        <v xml:space="preserve"> </v>
      </c>
      <c r="N716" s="900" t="str">
        <f t="shared" si="160"/>
        <v xml:space="preserve"> </v>
      </c>
      <c r="O716" s="894"/>
      <c r="P716" s="926"/>
      <c r="Q716" s="900" t="str">
        <f>IF(O716&lt;&gt;0,VLOOKUP(O716,'Cây trong'!$A$2:$C$246,3,0)," ")</f>
        <v xml:space="preserve"> </v>
      </c>
      <c r="R716" s="900" t="str">
        <f t="shared" si="144"/>
        <v xml:space="preserve"> </v>
      </c>
      <c r="S716" s="902" t="s">
        <v>2341</v>
      </c>
      <c r="T716" s="925" t="s">
        <v>53</v>
      </c>
      <c r="U716" s="927">
        <v>68.2</v>
      </c>
      <c r="V716" s="925">
        <v>189.2</v>
      </c>
      <c r="W716" s="900"/>
      <c r="X716" s="900">
        <f t="shared" si="156"/>
        <v>0</v>
      </c>
      <c r="Y716" s="925" t="s">
        <v>63</v>
      </c>
      <c r="Z716" s="928" t="s">
        <v>55</v>
      </c>
      <c r="AA716" s="928" t="s">
        <v>56</v>
      </c>
      <c r="AB716" s="904" t="s">
        <v>57</v>
      </c>
      <c r="AC716" s="928" t="s">
        <v>66</v>
      </c>
      <c r="AD716" s="904" t="s">
        <v>430</v>
      </c>
      <c r="AE716" s="904"/>
      <c r="AF716" s="899"/>
      <c r="AG716" s="906" t="str">
        <f>IF(AE716&lt;&gt;0,VLOOKUP(AE716,ODDS!$A$2:$C$13,3,0),"")</f>
        <v/>
      </c>
      <c r="AH716" s="906" t="str">
        <f t="shared" si="145"/>
        <v xml:space="preserve"> </v>
      </c>
      <c r="AI716" s="907" t="str">
        <f t="shared" si="161"/>
        <v xml:space="preserve"> </v>
      </c>
      <c r="AJ716" s="929"/>
      <c r="AK716" s="929"/>
    </row>
    <row r="717" spans="1:37" s="376" customFormat="1" ht="90" outlineLevel="2" x14ac:dyDescent="0.3">
      <c r="A717" s="447">
        <f t="shared" si="158"/>
        <v>61</v>
      </c>
      <c r="B717" s="893"/>
      <c r="C717" s="972"/>
      <c r="D717" s="923"/>
      <c r="E717" s="923"/>
      <c r="F717" s="896"/>
      <c r="G717" s="894"/>
      <c r="H717" s="924"/>
      <c r="I717" s="882"/>
      <c r="J717" s="925"/>
      <c r="K717" s="899" t="str">
        <f>IF(G717&lt;&gt;0,VLOOKUP(G717,'gia dat'!$A$1:$F$144,5,0)," ")</f>
        <v xml:space="preserve"> </v>
      </c>
      <c r="L717" s="899" t="str">
        <f>IF(G717&lt;&gt;0,VLOOKUP(G717,'gia dat'!$A$1:$F$144,6,0)," ")</f>
        <v xml:space="preserve"> </v>
      </c>
      <c r="M717" s="900" t="str">
        <f t="shared" si="159"/>
        <v xml:space="preserve"> </v>
      </c>
      <c r="N717" s="900" t="str">
        <f t="shared" si="160"/>
        <v xml:space="preserve"> </v>
      </c>
      <c r="O717" s="973"/>
      <c r="P717" s="999"/>
      <c r="Q717" s="900" t="str">
        <f>IF(O717&lt;&gt;0,VLOOKUP(O717,'Cây trong'!$A$2:$C$246,3,0)," ")</f>
        <v xml:space="preserve"> </v>
      </c>
      <c r="R717" s="900" t="str">
        <f t="shared" si="144"/>
        <v xml:space="preserve"> </v>
      </c>
      <c r="S717" s="973" t="s">
        <v>2342</v>
      </c>
      <c r="T717" s="974" t="s">
        <v>53</v>
      </c>
      <c r="U717" s="927"/>
      <c r="V717" s="925">
        <v>163.68</v>
      </c>
      <c r="W717" s="900"/>
      <c r="X717" s="900">
        <f t="shared" si="156"/>
        <v>0</v>
      </c>
      <c r="Y717" s="925" t="s">
        <v>63</v>
      </c>
      <c r="Z717" s="928" t="s">
        <v>55</v>
      </c>
      <c r="AA717" s="928" t="s">
        <v>141</v>
      </c>
      <c r="AB717" s="904" t="s">
        <v>57</v>
      </c>
      <c r="AC717" s="928" t="s">
        <v>54</v>
      </c>
      <c r="AD717" s="928"/>
      <c r="AE717" s="928"/>
      <c r="AF717" s="926"/>
      <c r="AG717" s="906" t="str">
        <f>IF(AE717&lt;&gt;0,VLOOKUP(AE717,ODDS!$A$2:$C$13,3,0),"")</f>
        <v/>
      </c>
      <c r="AH717" s="906" t="str">
        <f t="shared" si="145"/>
        <v xml:space="preserve"> </v>
      </c>
      <c r="AI717" s="907" t="str">
        <f t="shared" si="161"/>
        <v xml:space="preserve"> </v>
      </c>
      <c r="AJ717" s="929"/>
      <c r="AK717" s="929"/>
    </row>
    <row r="718" spans="1:37" s="376" customFormat="1" ht="112.5" outlineLevel="2" x14ac:dyDescent="0.3">
      <c r="A718" s="447">
        <f t="shared" si="158"/>
        <v>61</v>
      </c>
      <c r="B718" s="893"/>
      <c r="C718" s="971"/>
      <c r="D718" s="923"/>
      <c r="E718" s="923"/>
      <c r="F718" s="896"/>
      <c r="G718" s="894"/>
      <c r="H718" s="924"/>
      <c r="I718" s="882"/>
      <c r="J718" s="925"/>
      <c r="K718" s="899" t="str">
        <f>IF(G718&lt;&gt;0,VLOOKUP(G718,'gia dat'!$A$1:$F$144,5,0)," ")</f>
        <v xml:space="preserve"> </v>
      </c>
      <c r="L718" s="899" t="str">
        <f>IF(G718&lt;&gt;0,VLOOKUP(G718,'gia dat'!$A$1:$F$144,6,0)," ")</f>
        <v xml:space="preserve"> </v>
      </c>
      <c r="M718" s="900" t="str">
        <f t="shared" si="159"/>
        <v xml:space="preserve"> </v>
      </c>
      <c r="N718" s="900" t="str">
        <f t="shared" si="160"/>
        <v xml:space="preserve"> </v>
      </c>
      <c r="O718" s="973"/>
      <c r="P718" s="999"/>
      <c r="Q718" s="900" t="str">
        <f>IF(O718&lt;&gt;0,VLOOKUP(O718,'Cây trong'!$A$2:$C$246,3,0)," ")</f>
        <v xml:space="preserve"> </v>
      </c>
      <c r="R718" s="900" t="str">
        <f t="shared" si="144"/>
        <v xml:space="preserve"> </v>
      </c>
      <c r="S718" s="973" t="s">
        <v>2343</v>
      </c>
      <c r="T718" s="974" t="s">
        <v>53</v>
      </c>
      <c r="U718" s="927">
        <v>7.03</v>
      </c>
      <c r="V718" s="925"/>
      <c r="W718" s="900"/>
      <c r="X718" s="900">
        <f t="shared" si="156"/>
        <v>0</v>
      </c>
      <c r="Y718" s="925"/>
      <c r="Z718" s="928"/>
      <c r="AA718" s="928" t="s">
        <v>56</v>
      </c>
      <c r="AB718" s="904" t="s">
        <v>57</v>
      </c>
      <c r="AC718" s="928" t="s">
        <v>54</v>
      </c>
      <c r="AD718" s="928"/>
      <c r="AE718" s="928"/>
      <c r="AF718" s="926"/>
      <c r="AG718" s="906" t="str">
        <f>IF(AE718&lt;&gt;0,VLOOKUP(AE718,ODDS!$A$2:$C$13,3,0),"")</f>
        <v/>
      </c>
      <c r="AH718" s="906" t="str">
        <f t="shared" si="145"/>
        <v xml:space="preserve"> </v>
      </c>
      <c r="AI718" s="907" t="str">
        <f t="shared" si="161"/>
        <v xml:space="preserve"> </v>
      </c>
      <c r="AJ718" s="929"/>
      <c r="AK718" s="929"/>
    </row>
    <row r="719" spans="1:37" s="376" customFormat="1" ht="45" outlineLevel="2" x14ac:dyDescent="0.3">
      <c r="A719" s="447">
        <f t="shared" si="158"/>
        <v>61</v>
      </c>
      <c r="B719" s="893"/>
      <c r="C719" s="971"/>
      <c r="D719" s="923"/>
      <c r="E719" s="923"/>
      <c r="F719" s="896"/>
      <c r="G719" s="894"/>
      <c r="H719" s="924"/>
      <c r="I719" s="882"/>
      <c r="J719" s="925"/>
      <c r="K719" s="899" t="str">
        <f>IF(G719&lt;&gt;0,VLOOKUP(G719,'gia dat'!$A$1:$F$144,5,0)," ")</f>
        <v xml:space="preserve"> </v>
      </c>
      <c r="L719" s="899" t="str">
        <f>IF(G719&lt;&gt;0,VLOOKUP(G719,'gia dat'!$A$1:$F$144,6,0)," ")</f>
        <v xml:space="preserve"> </v>
      </c>
      <c r="M719" s="900" t="str">
        <f t="shared" si="159"/>
        <v xml:space="preserve"> </v>
      </c>
      <c r="N719" s="900" t="str">
        <f t="shared" si="160"/>
        <v xml:space="preserve"> </v>
      </c>
      <c r="O719" s="894"/>
      <c r="P719" s="926"/>
      <c r="Q719" s="900" t="str">
        <f>IF(O719&lt;&gt;0,VLOOKUP(O719,'Cây trong'!$A$2:$C$246,3,0)," ")</f>
        <v xml:space="preserve"> </v>
      </c>
      <c r="R719" s="900" t="str">
        <f t="shared" si="144"/>
        <v xml:space="preserve"> </v>
      </c>
      <c r="S719" s="922" t="s">
        <v>1748</v>
      </c>
      <c r="T719" s="925" t="s">
        <v>53</v>
      </c>
      <c r="U719" s="927">
        <v>72.239999999999995</v>
      </c>
      <c r="V719" s="925"/>
      <c r="W719" s="900"/>
      <c r="X719" s="900">
        <f t="shared" si="156"/>
        <v>0</v>
      </c>
      <c r="Y719" s="925"/>
      <c r="Z719" s="928"/>
      <c r="AA719" s="928"/>
      <c r="AB719" s="904"/>
      <c r="AC719" s="928"/>
      <c r="AD719" s="928"/>
      <c r="AE719" s="928"/>
      <c r="AF719" s="926"/>
      <c r="AG719" s="906" t="str">
        <f>IF(AE719&lt;&gt;0,VLOOKUP(AE719,ODDS!$A$2:$C$13,3,0),"")</f>
        <v/>
      </c>
      <c r="AH719" s="906" t="str">
        <f t="shared" si="145"/>
        <v xml:space="preserve"> </v>
      </c>
      <c r="AI719" s="907" t="str">
        <f t="shared" si="161"/>
        <v xml:space="preserve"> </v>
      </c>
      <c r="AJ719" s="929"/>
      <c r="AK719" s="929"/>
    </row>
    <row r="720" spans="1:37" s="376" customFormat="1" ht="45" outlineLevel="2" x14ac:dyDescent="0.3">
      <c r="A720" s="447">
        <f t="shared" si="158"/>
        <v>61</v>
      </c>
      <c r="B720" s="893"/>
      <c r="C720" s="972"/>
      <c r="D720" s="923"/>
      <c r="E720" s="923"/>
      <c r="F720" s="896"/>
      <c r="G720" s="894"/>
      <c r="H720" s="924"/>
      <c r="I720" s="882"/>
      <c r="J720" s="925"/>
      <c r="K720" s="899" t="str">
        <f>IF(G720&lt;&gt;0,VLOOKUP(G720,'gia dat'!$A$1:$F$144,5,0)," ")</f>
        <v xml:space="preserve"> </v>
      </c>
      <c r="L720" s="899" t="str">
        <f>IF(G720&lt;&gt;0,VLOOKUP(G720,'gia dat'!$A$1:$F$144,6,0)," ")</f>
        <v xml:space="preserve"> </v>
      </c>
      <c r="M720" s="900" t="str">
        <f t="shared" si="159"/>
        <v xml:space="preserve"> </v>
      </c>
      <c r="N720" s="900" t="str">
        <f t="shared" si="160"/>
        <v xml:space="preserve"> </v>
      </c>
      <c r="O720" s="894"/>
      <c r="P720" s="926"/>
      <c r="Q720" s="900" t="str">
        <f>IF(O720&lt;&gt;0,VLOOKUP(O720,'Cây trong'!$A$2:$C$246,3,0)," ")</f>
        <v xml:space="preserve"> </v>
      </c>
      <c r="R720" s="900" t="str">
        <f t="shared" si="144"/>
        <v xml:space="preserve"> </v>
      </c>
      <c r="S720" s="922" t="s">
        <v>1748</v>
      </c>
      <c r="T720" s="925" t="s">
        <v>53</v>
      </c>
      <c r="U720" s="927">
        <v>11.5</v>
      </c>
      <c r="V720" s="925"/>
      <c r="W720" s="900"/>
      <c r="X720" s="900">
        <f t="shared" si="156"/>
        <v>0</v>
      </c>
      <c r="Y720" s="925"/>
      <c r="Z720" s="928"/>
      <c r="AA720" s="928"/>
      <c r="AB720" s="904"/>
      <c r="AC720" s="928"/>
      <c r="AD720" s="928"/>
      <c r="AE720" s="928"/>
      <c r="AF720" s="926"/>
      <c r="AG720" s="906" t="str">
        <f>IF(AE720&lt;&gt;0,VLOOKUP(AE720,ODDS!$A$2:$C$13,3,0),"")</f>
        <v/>
      </c>
      <c r="AH720" s="906" t="str">
        <f t="shared" si="145"/>
        <v xml:space="preserve"> </v>
      </c>
      <c r="AI720" s="907" t="str">
        <f t="shared" si="161"/>
        <v xml:space="preserve"> </v>
      </c>
      <c r="AJ720" s="894"/>
      <c r="AK720" s="894"/>
    </row>
    <row r="721" spans="1:37" s="376" customFormat="1" ht="67.5" outlineLevel="2" x14ac:dyDescent="0.3">
      <c r="A721" s="447">
        <f t="shared" si="158"/>
        <v>61</v>
      </c>
      <c r="B721" s="893"/>
      <c r="C721" s="894"/>
      <c r="D721" s="923"/>
      <c r="E721" s="923"/>
      <c r="F721" s="896"/>
      <c r="G721" s="894"/>
      <c r="H721" s="924"/>
      <c r="I721" s="882"/>
      <c r="J721" s="925"/>
      <c r="K721" s="899" t="str">
        <f>IF(G721&lt;&gt;0,VLOOKUP(G721,'gia dat'!$A$1:$F$144,5,0)," ")</f>
        <v xml:space="preserve"> </v>
      </c>
      <c r="L721" s="899" t="str">
        <f>IF(G721&lt;&gt;0,VLOOKUP(G721,'gia dat'!$A$1:$F$144,6,0)," ")</f>
        <v xml:space="preserve"> </v>
      </c>
      <c r="M721" s="900" t="str">
        <f t="shared" si="159"/>
        <v xml:space="preserve"> </v>
      </c>
      <c r="N721" s="900" t="str">
        <f t="shared" si="160"/>
        <v xml:space="preserve"> </v>
      </c>
      <c r="O721" s="894"/>
      <c r="P721" s="926"/>
      <c r="Q721" s="900" t="str">
        <f>IF(O721&lt;&gt;0,VLOOKUP(O721,'Cây trong'!$A$2:$C$246,3,0)," ")</f>
        <v xml:space="preserve"> </v>
      </c>
      <c r="R721" s="900" t="str">
        <f t="shared" si="144"/>
        <v xml:space="preserve"> </v>
      </c>
      <c r="S721" s="902" t="s">
        <v>2344</v>
      </c>
      <c r="T721" s="925" t="s">
        <v>53</v>
      </c>
      <c r="U721" s="927">
        <v>72.239999999999995</v>
      </c>
      <c r="V721" s="925"/>
      <c r="W721" s="900"/>
      <c r="X721" s="900">
        <f t="shared" si="156"/>
        <v>0</v>
      </c>
      <c r="Y721" s="925"/>
      <c r="Z721" s="928"/>
      <c r="AA721" s="928"/>
      <c r="AB721" s="904"/>
      <c r="AC721" s="928"/>
      <c r="AD721" s="928"/>
      <c r="AE721" s="928"/>
      <c r="AF721" s="926"/>
      <c r="AG721" s="906" t="str">
        <f>IF(AE721&lt;&gt;0,VLOOKUP(AE721,ODDS!$A$2:$C$13,3,0),"")</f>
        <v/>
      </c>
      <c r="AH721" s="906" t="str">
        <f t="shared" si="145"/>
        <v xml:space="preserve"> </v>
      </c>
      <c r="AI721" s="907" t="str">
        <f t="shared" si="161"/>
        <v xml:space="preserve"> </v>
      </c>
      <c r="AJ721" s="894"/>
      <c r="AK721" s="894"/>
    </row>
    <row r="722" spans="1:37" s="376" customFormat="1" ht="67.5" outlineLevel="2" x14ac:dyDescent="0.3">
      <c r="A722" s="447">
        <f t="shared" si="158"/>
        <v>61</v>
      </c>
      <c r="B722" s="893"/>
      <c r="C722" s="971"/>
      <c r="D722" s="923"/>
      <c r="E722" s="923"/>
      <c r="F722" s="896"/>
      <c r="G722" s="894"/>
      <c r="H722" s="924"/>
      <c r="I722" s="882"/>
      <c r="J722" s="925"/>
      <c r="K722" s="899" t="str">
        <f>IF(G722&lt;&gt;0,VLOOKUP(G722,'gia dat'!$A$1:$F$144,5,0)," ")</f>
        <v xml:space="preserve"> </v>
      </c>
      <c r="L722" s="899" t="str">
        <f>IF(G722&lt;&gt;0,VLOOKUP(G722,'gia dat'!$A$1:$F$144,6,0)," ")</f>
        <v xml:space="preserve"> </v>
      </c>
      <c r="M722" s="900" t="str">
        <f t="shared" si="159"/>
        <v xml:space="preserve"> </v>
      </c>
      <c r="N722" s="900" t="str">
        <f t="shared" si="160"/>
        <v xml:space="preserve"> </v>
      </c>
      <c r="O722" s="894"/>
      <c r="P722" s="926"/>
      <c r="Q722" s="900" t="str">
        <f>IF(O722&lt;&gt;0,VLOOKUP(O722,'Cây trong'!$A$2:$C$246,3,0)," ")</f>
        <v xml:space="preserve"> </v>
      </c>
      <c r="R722" s="900" t="str">
        <f t="shared" ref="R722:R790" si="162">IF(O722&lt;&gt;0,ROUND(P722*Q722,-2)," ")</f>
        <v xml:space="preserve"> </v>
      </c>
      <c r="S722" s="902" t="s">
        <v>1749</v>
      </c>
      <c r="T722" s="925" t="s">
        <v>53</v>
      </c>
      <c r="U722" s="927">
        <v>11.5</v>
      </c>
      <c r="V722" s="925"/>
      <c r="W722" s="900"/>
      <c r="X722" s="900">
        <f t="shared" si="156"/>
        <v>0</v>
      </c>
      <c r="Y722" s="925"/>
      <c r="Z722" s="928"/>
      <c r="AA722" s="928"/>
      <c r="AB722" s="904"/>
      <c r="AC722" s="928"/>
      <c r="AD722" s="928"/>
      <c r="AE722" s="928"/>
      <c r="AF722" s="926"/>
      <c r="AG722" s="906" t="str">
        <f>IF(AE722&lt;&gt;0,VLOOKUP(AE722,ODDS!$A$2:$C$13,3,0),"")</f>
        <v/>
      </c>
      <c r="AH722" s="906" t="str">
        <f t="shared" ref="AH722:AH790" si="163">IF(AE722&lt;&gt;0,ROUND(AF722*AG722,-2)," ")</f>
        <v xml:space="preserve"> </v>
      </c>
      <c r="AI722" s="907" t="str">
        <f t="shared" si="161"/>
        <v xml:space="preserve"> </v>
      </c>
      <c r="AJ722" s="929"/>
      <c r="AK722" s="929"/>
    </row>
    <row r="723" spans="1:37" s="376" customFormat="1" ht="67.5" outlineLevel="2" x14ac:dyDescent="0.3">
      <c r="A723" s="447">
        <f t="shared" si="158"/>
        <v>61</v>
      </c>
      <c r="B723" s="893"/>
      <c r="C723" s="972"/>
      <c r="D723" s="923"/>
      <c r="E723" s="923"/>
      <c r="F723" s="896"/>
      <c r="G723" s="894"/>
      <c r="H723" s="924"/>
      <c r="I723" s="882"/>
      <c r="J723" s="925"/>
      <c r="K723" s="899" t="str">
        <f>IF(G723&lt;&gt;0,VLOOKUP(G723,'gia dat'!$A$1:$F$144,5,0)," ")</f>
        <v xml:space="preserve"> </v>
      </c>
      <c r="L723" s="899" t="str">
        <f>IF(G723&lt;&gt;0,VLOOKUP(G723,'gia dat'!$A$1:$F$144,6,0)," ")</f>
        <v xml:space="preserve"> </v>
      </c>
      <c r="M723" s="900" t="str">
        <f t="shared" si="159"/>
        <v xml:space="preserve"> </v>
      </c>
      <c r="N723" s="900" t="str">
        <f t="shared" si="160"/>
        <v xml:space="preserve"> </v>
      </c>
      <c r="O723" s="894"/>
      <c r="P723" s="926"/>
      <c r="Q723" s="900" t="str">
        <f>IF(O723&lt;&gt;0,VLOOKUP(O723,'Cây trong'!$A$2:$C$246,3,0)," ")</f>
        <v xml:space="preserve"> </v>
      </c>
      <c r="R723" s="900" t="str">
        <f t="shared" si="162"/>
        <v xml:space="preserve"> </v>
      </c>
      <c r="S723" s="973" t="s">
        <v>2344</v>
      </c>
      <c r="T723" s="974" t="s">
        <v>53</v>
      </c>
      <c r="U723" s="927"/>
      <c r="V723" s="925">
        <v>1.9</v>
      </c>
      <c r="W723" s="900"/>
      <c r="X723" s="900">
        <f t="shared" si="156"/>
        <v>0</v>
      </c>
      <c r="Y723" s="925"/>
      <c r="Z723" s="928"/>
      <c r="AA723" s="928"/>
      <c r="AB723" s="904"/>
      <c r="AC723" s="928"/>
      <c r="AD723" s="928"/>
      <c r="AE723" s="928"/>
      <c r="AF723" s="926"/>
      <c r="AG723" s="906" t="str">
        <f>IF(AE723&lt;&gt;0,VLOOKUP(AE723,ODDS!$A$2:$C$13,3,0),"")</f>
        <v/>
      </c>
      <c r="AH723" s="906" t="str">
        <f t="shared" si="163"/>
        <v xml:space="preserve"> </v>
      </c>
      <c r="AI723" s="907" t="str">
        <f t="shared" si="161"/>
        <v xml:space="preserve"> </v>
      </c>
      <c r="AJ723" s="929"/>
      <c r="AK723" s="929"/>
    </row>
    <row r="724" spans="1:37" s="376" customFormat="1" ht="45" outlineLevel="2" x14ac:dyDescent="0.3">
      <c r="A724" s="447">
        <f t="shared" si="158"/>
        <v>61</v>
      </c>
      <c r="B724" s="893"/>
      <c r="C724" s="972"/>
      <c r="D724" s="923"/>
      <c r="E724" s="923"/>
      <c r="F724" s="896"/>
      <c r="G724" s="894"/>
      <c r="H724" s="924"/>
      <c r="I724" s="882"/>
      <c r="J724" s="925"/>
      <c r="K724" s="899" t="str">
        <f>IF(G724&lt;&gt;0,VLOOKUP(G724,'gia dat'!$A$1:$F$144,5,0)," ")</f>
        <v xml:space="preserve"> </v>
      </c>
      <c r="L724" s="899" t="str">
        <f>IF(G724&lt;&gt;0,VLOOKUP(G724,'gia dat'!$A$1:$F$144,6,0)," ")</f>
        <v xml:space="preserve"> </v>
      </c>
      <c r="M724" s="900" t="str">
        <f t="shared" si="159"/>
        <v xml:space="preserve"> </v>
      </c>
      <c r="N724" s="900" t="str">
        <f t="shared" si="160"/>
        <v xml:space="preserve"> </v>
      </c>
      <c r="O724" s="894"/>
      <c r="P724" s="926"/>
      <c r="Q724" s="900" t="str">
        <f>IF(O724&lt;&gt;0,VLOOKUP(O724,'Cây trong'!$A$2:$C$246,3,0)," ")</f>
        <v xml:space="preserve"> </v>
      </c>
      <c r="R724" s="900" t="str">
        <f t="shared" si="162"/>
        <v xml:space="preserve"> </v>
      </c>
      <c r="S724" s="922" t="s">
        <v>1748</v>
      </c>
      <c r="T724" s="925" t="s">
        <v>53</v>
      </c>
      <c r="U724" s="927">
        <v>19.399999999999999</v>
      </c>
      <c r="V724" s="925"/>
      <c r="W724" s="900"/>
      <c r="X724" s="900">
        <f t="shared" si="156"/>
        <v>0</v>
      </c>
      <c r="Y724" s="925"/>
      <c r="Z724" s="928"/>
      <c r="AA724" s="928"/>
      <c r="AB724" s="904"/>
      <c r="AC724" s="928"/>
      <c r="AD724" s="928"/>
      <c r="AE724" s="928"/>
      <c r="AF724" s="926"/>
      <c r="AG724" s="906" t="str">
        <f>IF(AE724&lt;&gt;0,VLOOKUP(AE724,ODDS!$A$2:$C$13,3,0),"")</f>
        <v/>
      </c>
      <c r="AH724" s="906" t="str">
        <f t="shared" si="163"/>
        <v xml:space="preserve"> </v>
      </c>
      <c r="AI724" s="907" t="str">
        <f t="shared" si="161"/>
        <v xml:space="preserve"> </v>
      </c>
      <c r="AJ724" s="929"/>
      <c r="AK724" s="929"/>
    </row>
    <row r="725" spans="1:37" s="376" customFormat="1" ht="45" outlineLevel="2" x14ac:dyDescent="0.3">
      <c r="A725" s="447">
        <f t="shared" si="158"/>
        <v>61</v>
      </c>
      <c r="B725" s="893"/>
      <c r="C725" s="894"/>
      <c r="D725" s="923"/>
      <c r="E725" s="923"/>
      <c r="F725" s="896"/>
      <c r="G725" s="894"/>
      <c r="H725" s="924"/>
      <c r="I725" s="882"/>
      <c r="J725" s="925"/>
      <c r="K725" s="899" t="str">
        <f>IF(G725&lt;&gt;0,VLOOKUP(G725,'gia dat'!$A$1:$F$144,5,0)," ")</f>
        <v xml:space="preserve"> </v>
      </c>
      <c r="L725" s="899" t="str">
        <f>IF(G725&lt;&gt;0,VLOOKUP(G725,'gia dat'!$A$1:$F$144,6,0)," ")</f>
        <v xml:space="preserve"> </v>
      </c>
      <c r="M725" s="900" t="str">
        <f t="shared" si="159"/>
        <v xml:space="preserve"> </v>
      </c>
      <c r="N725" s="900" t="str">
        <f t="shared" si="160"/>
        <v xml:space="preserve"> </v>
      </c>
      <c r="O725" s="894"/>
      <c r="P725" s="926"/>
      <c r="Q725" s="900" t="str">
        <f>IF(O725&lt;&gt;0,VLOOKUP(O725,'Cây trong'!$A$2:$C$246,3,0)," ")</f>
        <v xml:space="preserve"> </v>
      </c>
      <c r="R725" s="900" t="str">
        <f t="shared" si="162"/>
        <v xml:space="preserve"> </v>
      </c>
      <c r="S725" s="902" t="s">
        <v>2291</v>
      </c>
      <c r="T725" s="925" t="s">
        <v>78</v>
      </c>
      <c r="U725" s="927">
        <v>0.23</v>
      </c>
      <c r="V725" s="925"/>
      <c r="W725" s="900"/>
      <c r="X725" s="900">
        <f t="shared" si="156"/>
        <v>0</v>
      </c>
      <c r="Y725" s="925"/>
      <c r="Z725" s="928"/>
      <c r="AA725" s="928"/>
      <c r="AB725" s="904"/>
      <c r="AC725" s="928"/>
      <c r="AD725" s="928"/>
      <c r="AE725" s="928"/>
      <c r="AF725" s="926"/>
      <c r="AG725" s="906" t="str">
        <f>IF(AE725&lt;&gt;0,VLOOKUP(AE725,ODDS!$A$2:$C$13,3,0),"")</f>
        <v/>
      </c>
      <c r="AH725" s="906" t="str">
        <f t="shared" si="163"/>
        <v xml:space="preserve"> </v>
      </c>
      <c r="AI725" s="907" t="str">
        <f t="shared" si="161"/>
        <v xml:space="preserve"> </v>
      </c>
      <c r="AJ725" s="929"/>
      <c r="AK725" s="929"/>
    </row>
    <row r="726" spans="1:37" s="376" customFormat="1" ht="67.5" outlineLevel="2" x14ac:dyDescent="0.3">
      <c r="A726" s="447">
        <f t="shared" si="158"/>
        <v>61</v>
      </c>
      <c r="B726" s="893"/>
      <c r="C726" s="971"/>
      <c r="D726" s="923"/>
      <c r="E726" s="923"/>
      <c r="F726" s="896"/>
      <c r="G726" s="894"/>
      <c r="H726" s="924"/>
      <c r="I726" s="882"/>
      <c r="J726" s="925"/>
      <c r="K726" s="899" t="str">
        <f>IF(G726&lt;&gt;0,VLOOKUP(G726,'gia dat'!$A$1:$F$144,5,0)," ")</f>
        <v xml:space="preserve"> </v>
      </c>
      <c r="L726" s="899" t="str">
        <f>IF(G726&lt;&gt;0,VLOOKUP(G726,'gia dat'!$A$1:$F$144,6,0)," ")</f>
        <v xml:space="preserve"> </v>
      </c>
      <c r="M726" s="900" t="str">
        <f t="shared" si="159"/>
        <v xml:space="preserve"> </v>
      </c>
      <c r="N726" s="900" t="str">
        <f t="shared" si="160"/>
        <v xml:space="preserve"> </v>
      </c>
      <c r="O726" s="894"/>
      <c r="P726" s="926"/>
      <c r="Q726" s="900" t="str">
        <f>IF(O726&lt;&gt;0,VLOOKUP(O726,'Cây trong'!$A$2:$C$246,3,0)," ")</f>
        <v xml:space="preserve"> </v>
      </c>
      <c r="R726" s="900" t="str">
        <f t="shared" si="162"/>
        <v xml:space="preserve"> </v>
      </c>
      <c r="S726" s="902" t="s">
        <v>2318</v>
      </c>
      <c r="T726" s="925" t="s">
        <v>53</v>
      </c>
      <c r="U726" s="927">
        <v>2.88</v>
      </c>
      <c r="V726" s="925"/>
      <c r="W726" s="900"/>
      <c r="X726" s="900">
        <f t="shared" si="156"/>
        <v>0</v>
      </c>
      <c r="Y726" s="925"/>
      <c r="Z726" s="928"/>
      <c r="AA726" s="928"/>
      <c r="AB726" s="904"/>
      <c r="AC726" s="928"/>
      <c r="AD726" s="928"/>
      <c r="AE726" s="928"/>
      <c r="AF726" s="926"/>
      <c r="AG726" s="906" t="str">
        <f>IF(AE726&lt;&gt;0,VLOOKUP(AE726,ODDS!$A$2:$C$13,3,0),"")</f>
        <v/>
      </c>
      <c r="AH726" s="906" t="str">
        <f t="shared" si="163"/>
        <v xml:space="preserve"> </v>
      </c>
      <c r="AI726" s="907" t="str">
        <f t="shared" si="161"/>
        <v xml:space="preserve"> </v>
      </c>
      <c r="AJ726" s="929"/>
      <c r="AK726" s="929"/>
    </row>
    <row r="727" spans="1:37" s="376" customFormat="1" ht="67.5" outlineLevel="2" x14ac:dyDescent="0.3">
      <c r="A727" s="447">
        <f t="shared" si="158"/>
        <v>61</v>
      </c>
      <c r="B727" s="893"/>
      <c r="C727" s="972"/>
      <c r="D727" s="923"/>
      <c r="E727" s="923"/>
      <c r="F727" s="896"/>
      <c r="G727" s="894"/>
      <c r="H727" s="924"/>
      <c r="I727" s="882"/>
      <c r="J727" s="925"/>
      <c r="K727" s="899" t="str">
        <f>IF(G727&lt;&gt;0,VLOOKUP(G727,'gia dat'!$A$1:$F$144,5,0)," ")</f>
        <v xml:space="preserve"> </v>
      </c>
      <c r="L727" s="899" t="str">
        <f>IF(G727&lt;&gt;0,VLOOKUP(G727,'gia dat'!$A$1:$F$144,6,0)," ")</f>
        <v xml:space="preserve"> </v>
      </c>
      <c r="M727" s="900" t="str">
        <f t="shared" si="159"/>
        <v xml:space="preserve"> </v>
      </c>
      <c r="N727" s="900" t="str">
        <f t="shared" si="160"/>
        <v xml:space="preserve"> </v>
      </c>
      <c r="O727" s="973"/>
      <c r="P727" s="999"/>
      <c r="Q727" s="900" t="str">
        <f>IF(O727&lt;&gt;0,VLOOKUP(O727,'Cây trong'!$A$2:$C$246,3,0)," ")</f>
        <v xml:space="preserve"> </v>
      </c>
      <c r="R727" s="900" t="str">
        <f t="shared" si="162"/>
        <v xml:space="preserve"> </v>
      </c>
      <c r="S727" s="973" t="s">
        <v>2296</v>
      </c>
      <c r="T727" s="974" t="s">
        <v>53</v>
      </c>
      <c r="U727" s="927">
        <v>1.28</v>
      </c>
      <c r="V727" s="925"/>
      <c r="W727" s="900"/>
      <c r="X727" s="900">
        <f t="shared" si="156"/>
        <v>0</v>
      </c>
      <c r="Y727" s="925"/>
      <c r="Z727" s="928"/>
      <c r="AA727" s="928"/>
      <c r="AB727" s="904"/>
      <c r="AC727" s="928"/>
      <c r="AD727" s="928"/>
      <c r="AE727" s="928"/>
      <c r="AF727" s="926"/>
      <c r="AG727" s="906" t="str">
        <f>IF(AE727&lt;&gt;0,VLOOKUP(AE727,ODDS!$A$2:$C$13,3,0),"")</f>
        <v/>
      </c>
      <c r="AH727" s="906" t="str">
        <f t="shared" si="163"/>
        <v xml:space="preserve"> </v>
      </c>
      <c r="AI727" s="907" t="str">
        <f t="shared" si="161"/>
        <v xml:space="preserve"> </v>
      </c>
      <c r="AJ727" s="929"/>
      <c r="AK727" s="929"/>
    </row>
    <row r="728" spans="1:37" s="376" customFormat="1" ht="135" outlineLevel="2" x14ac:dyDescent="0.3">
      <c r="A728" s="447">
        <f t="shared" si="158"/>
        <v>61</v>
      </c>
      <c r="B728" s="893"/>
      <c r="C728" s="972"/>
      <c r="D728" s="923"/>
      <c r="E728" s="923"/>
      <c r="F728" s="896"/>
      <c r="G728" s="894"/>
      <c r="H728" s="924"/>
      <c r="I728" s="882"/>
      <c r="J728" s="925"/>
      <c r="K728" s="899" t="str">
        <f>IF(G728&lt;&gt;0,VLOOKUP(G728,'gia dat'!$A$1:$F$144,5,0)," ")</f>
        <v xml:space="preserve"> </v>
      </c>
      <c r="L728" s="899" t="str">
        <f>IF(G728&lt;&gt;0,VLOOKUP(G728,'gia dat'!$A$1:$F$144,6,0)," ")</f>
        <v xml:space="preserve"> </v>
      </c>
      <c r="M728" s="900" t="str">
        <f t="shared" si="159"/>
        <v xml:space="preserve"> </v>
      </c>
      <c r="N728" s="900" t="str">
        <f t="shared" si="160"/>
        <v xml:space="preserve"> </v>
      </c>
      <c r="O728" s="894"/>
      <c r="P728" s="926"/>
      <c r="Q728" s="900" t="str">
        <f>IF(O728&lt;&gt;0,VLOOKUP(O728,'Cây trong'!$A$2:$C$246,3,0)," ")</f>
        <v xml:space="preserve"> </v>
      </c>
      <c r="R728" s="900" t="str">
        <f t="shared" si="162"/>
        <v xml:space="preserve"> </v>
      </c>
      <c r="S728" s="902" t="s">
        <v>2302</v>
      </c>
      <c r="T728" s="925" t="s">
        <v>53</v>
      </c>
      <c r="U728" s="952">
        <v>19.04</v>
      </c>
      <c r="V728" s="925">
        <v>48.16</v>
      </c>
      <c r="W728" s="900"/>
      <c r="X728" s="900">
        <f t="shared" si="156"/>
        <v>0</v>
      </c>
      <c r="Y728" s="925"/>
      <c r="Z728" s="928"/>
      <c r="AA728" s="928"/>
      <c r="AB728" s="904"/>
      <c r="AC728" s="928"/>
      <c r="AD728" s="928"/>
      <c r="AE728" s="928"/>
      <c r="AF728" s="926"/>
      <c r="AG728" s="906" t="str">
        <f>IF(AE728&lt;&gt;0,VLOOKUP(AE728,ODDS!$A$2:$C$13,3,0),"")</f>
        <v/>
      </c>
      <c r="AH728" s="906" t="str">
        <f t="shared" si="163"/>
        <v xml:space="preserve"> </v>
      </c>
      <c r="AI728" s="907" t="str">
        <f t="shared" si="161"/>
        <v xml:space="preserve"> </v>
      </c>
      <c r="AJ728" s="929"/>
      <c r="AK728" s="929"/>
    </row>
    <row r="729" spans="1:37" s="376" customFormat="1" ht="90" outlineLevel="2" x14ac:dyDescent="0.3">
      <c r="A729" s="447">
        <f t="shared" si="158"/>
        <v>61</v>
      </c>
      <c r="B729" s="893"/>
      <c r="C729" s="894"/>
      <c r="D729" s="923"/>
      <c r="E729" s="923"/>
      <c r="F729" s="896"/>
      <c r="G729" s="894"/>
      <c r="H729" s="924"/>
      <c r="I729" s="882"/>
      <c r="J729" s="925"/>
      <c r="K729" s="899" t="str">
        <f>IF(G729&lt;&gt;0,VLOOKUP(G729,'gia dat'!$A$1:$F$144,5,0)," ")</f>
        <v xml:space="preserve"> </v>
      </c>
      <c r="L729" s="899" t="str">
        <f>IF(G729&lt;&gt;0,VLOOKUP(G729,'gia dat'!$A$1:$F$144,6,0)," ")</f>
        <v xml:space="preserve"> </v>
      </c>
      <c r="M729" s="900" t="str">
        <f t="shared" si="159"/>
        <v xml:space="preserve"> </v>
      </c>
      <c r="N729" s="900" t="str">
        <f t="shared" si="160"/>
        <v xml:space="preserve"> </v>
      </c>
      <c r="O729" s="894"/>
      <c r="P729" s="926"/>
      <c r="Q729" s="900" t="str">
        <f>IF(O729&lt;&gt;0,VLOOKUP(O729,'Cây trong'!$A$2:$C$246,3,0)," ")</f>
        <v xml:space="preserve"> </v>
      </c>
      <c r="R729" s="900" t="str">
        <f t="shared" si="162"/>
        <v xml:space="preserve"> </v>
      </c>
      <c r="S729" s="902" t="s">
        <v>1901</v>
      </c>
      <c r="T729" s="925" t="s">
        <v>53</v>
      </c>
      <c r="U729" s="927">
        <v>105.3</v>
      </c>
      <c r="V729" s="925"/>
      <c r="W729" s="900"/>
      <c r="X729" s="900">
        <f t="shared" si="156"/>
        <v>0</v>
      </c>
      <c r="Y729" s="925"/>
      <c r="Z729" s="928"/>
      <c r="AA729" s="928"/>
      <c r="AB729" s="904"/>
      <c r="AC729" s="928"/>
      <c r="AD729" s="928"/>
      <c r="AE729" s="928"/>
      <c r="AF729" s="926"/>
      <c r="AG729" s="906" t="str">
        <f>IF(AE729&lt;&gt;0,VLOOKUP(AE729,ODDS!$A$2:$C$13,3,0),"")</f>
        <v/>
      </c>
      <c r="AH729" s="906" t="str">
        <f t="shared" si="163"/>
        <v xml:space="preserve"> </v>
      </c>
      <c r="AI729" s="907" t="str">
        <f t="shared" si="161"/>
        <v xml:space="preserve"> </v>
      </c>
      <c r="AJ729" s="929"/>
      <c r="AK729" s="929"/>
    </row>
    <row r="730" spans="1:37" s="376" customFormat="1" ht="90" outlineLevel="2" x14ac:dyDescent="0.3">
      <c r="A730" s="447">
        <f t="shared" si="158"/>
        <v>61</v>
      </c>
      <c r="B730" s="893"/>
      <c r="C730" s="971"/>
      <c r="D730" s="923"/>
      <c r="E730" s="923"/>
      <c r="F730" s="896"/>
      <c r="G730" s="894"/>
      <c r="H730" s="924"/>
      <c r="I730" s="882"/>
      <c r="J730" s="925"/>
      <c r="K730" s="899" t="str">
        <f>IF(G730&lt;&gt;0,VLOOKUP(G730,'gia dat'!$A$1:$F$144,5,0)," ")</f>
        <v xml:space="preserve"> </v>
      </c>
      <c r="L730" s="899" t="str">
        <f>IF(G730&lt;&gt;0,VLOOKUP(G730,'gia dat'!$A$1:$F$144,6,0)," ")</f>
        <v xml:space="preserve"> </v>
      </c>
      <c r="M730" s="900" t="str">
        <f t="shared" si="159"/>
        <v xml:space="preserve"> </v>
      </c>
      <c r="N730" s="900" t="str">
        <f t="shared" si="160"/>
        <v xml:space="preserve"> </v>
      </c>
      <c r="O730" s="894"/>
      <c r="P730" s="926"/>
      <c r="Q730" s="900" t="str">
        <f>IF(O730&lt;&gt;0,VLOOKUP(O730,'Cây trong'!$A$2:$C$246,3,0)," ")</f>
        <v xml:space="preserve"> </v>
      </c>
      <c r="R730" s="900" t="str">
        <f t="shared" si="162"/>
        <v xml:space="preserve"> </v>
      </c>
      <c r="S730" s="902" t="s">
        <v>2345</v>
      </c>
      <c r="T730" s="925" t="s">
        <v>53</v>
      </c>
      <c r="U730" s="927">
        <v>2.64</v>
      </c>
      <c r="V730" s="925"/>
      <c r="W730" s="900"/>
      <c r="X730" s="900">
        <f t="shared" si="156"/>
        <v>0</v>
      </c>
      <c r="Y730" s="925"/>
      <c r="Z730" s="928"/>
      <c r="AA730" s="928"/>
      <c r="AB730" s="904"/>
      <c r="AC730" s="928"/>
      <c r="AD730" s="928"/>
      <c r="AE730" s="928"/>
      <c r="AF730" s="926"/>
      <c r="AG730" s="906" t="str">
        <f>IF(AE730&lt;&gt;0,VLOOKUP(AE730,ODDS!$A$2:$C$13,3,0),"")</f>
        <v/>
      </c>
      <c r="AH730" s="906" t="str">
        <f t="shared" si="163"/>
        <v xml:space="preserve"> </v>
      </c>
      <c r="AI730" s="907" t="str">
        <f t="shared" si="161"/>
        <v xml:space="preserve"> </v>
      </c>
      <c r="AJ730" s="929"/>
      <c r="AK730" s="929"/>
    </row>
    <row r="731" spans="1:37" s="376" customFormat="1" ht="22.5" outlineLevel="2" x14ac:dyDescent="0.3">
      <c r="A731" s="447">
        <f t="shared" si="158"/>
        <v>61</v>
      </c>
      <c r="B731" s="893"/>
      <c r="C731" s="972"/>
      <c r="D731" s="923"/>
      <c r="E731" s="923"/>
      <c r="F731" s="896"/>
      <c r="G731" s="894"/>
      <c r="H731" s="924"/>
      <c r="I731" s="882"/>
      <c r="J731" s="925"/>
      <c r="K731" s="899" t="str">
        <f>IF(G731&lt;&gt;0,VLOOKUP(G731,'gia dat'!$A$1:$F$144,5,0)," ")</f>
        <v xml:space="preserve"> </v>
      </c>
      <c r="L731" s="899" t="str">
        <f>IF(G731&lt;&gt;0,VLOOKUP(G731,'gia dat'!$A$1:$F$144,6,0)," ")</f>
        <v xml:space="preserve"> </v>
      </c>
      <c r="M731" s="900" t="str">
        <f t="shared" si="159"/>
        <v xml:space="preserve"> </v>
      </c>
      <c r="N731" s="900" t="str">
        <f t="shared" si="160"/>
        <v xml:space="preserve"> </v>
      </c>
      <c r="O731" s="894"/>
      <c r="P731" s="926"/>
      <c r="Q731" s="900" t="str">
        <f>IF(O731&lt;&gt;0,VLOOKUP(O731,'Cây trong'!$A$2:$C$246,3,0)," ")</f>
        <v xml:space="preserve"> </v>
      </c>
      <c r="R731" s="900" t="str">
        <f t="shared" si="162"/>
        <v xml:space="preserve"> </v>
      </c>
      <c r="S731" s="975" t="s">
        <v>1839</v>
      </c>
      <c r="T731" s="974" t="s">
        <v>53</v>
      </c>
      <c r="U731" s="927">
        <v>5.88</v>
      </c>
      <c r="V731" s="925">
        <v>13.44</v>
      </c>
      <c r="W731" s="900"/>
      <c r="X731" s="900">
        <f t="shared" si="156"/>
        <v>0</v>
      </c>
      <c r="Y731" s="925"/>
      <c r="Z731" s="928"/>
      <c r="AA731" s="928"/>
      <c r="AB731" s="904"/>
      <c r="AC731" s="928"/>
      <c r="AD731" s="928"/>
      <c r="AE731" s="928"/>
      <c r="AF731" s="926"/>
      <c r="AG731" s="906" t="str">
        <f>IF(AE731&lt;&gt;0,VLOOKUP(AE731,ODDS!$A$2:$C$13,3,0),"")</f>
        <v/>
      </c>
      <c r="AH731" s="906" t="str">
        <f t="shared" si="163"/>
        <v xml:space="preserve"> </v>
      </c>
      <c r="AI731" s="907" t="str">
        <f t="shared" si="161"/>
        <v xml:space="preserve"> </v>
      </c>
      <c r="AJ731" s="929"/>
      <c r="AK731" s="929"/>
    </row>
    <row r="732" spans="1:37" s="376" customFormat="1" ht="90" outlineLevel="2" x14ac:dyDescent="0.3">
      <c r="A732" s="447">
        <f t="shared" si="158"/>
        <v>61</v>
      </c>
      <c r="B732" s="893"/>
      <c r="C732" s="972"/>
      <c r="D732" s="923"/>
      <c r="E732" s="923"/>
      <c r="F732" s="896"/>
      <c r="G732" s="894"/>
      <c r="H732" s="924"/>
      <c r="I732" s="882"/>
      <c r="J732" s="925"/>
      <c r="K732" s="899" t="str">
        <f>IF(G732&lt;&gt;0,VLOOKUP(G732,'gia dat'!$A$1:$F$144,5,0)," ")</f>
        <v xml:space="preserve"> </v>
      </c>
      <c r="L732" s="899" t="str">
        <f>IF(G732&lt;&gt;0,VLOOKUP(G732,'gia dat'!$A$1:$F$144,6,0)," ")</f>
        <v xml:space="preserve"> </v>
      </c>
      <c r="M732" s="900" t="str">
        <f t="shared" si="159"/>
        <v xml:space="preserve"> </v>
      </c>
      <c r="N732" s="900" t="str">
        <f t="shared" si="160"/>
        <v xml:space="preserve"> </v>
      </c>
      <c r="O732" s="894"/>
      <c r="P732" s="926"/>
      <c r="Q732" s="900" t="str">
        <f>IF(O732&lt;&gt;0,VLOOKUP(O732,'Cây trong'!$A$2:$C$246,3,0)," ")</f>
        <v xml:space="preserve"> </v>
      </c>
      <c r="R732" s="900" t="str">
        <f t="shared" si="162"/>
        <v xml:space="preserve"> </v>
      </c>
      <c r="S732" s="902" t="s">
        <v>2346</v>
      </c>
      <c r="T732" s="925" t="s">
        <v>53</v>
      </c>
      <c r="U732" s="927">
        <v>33.840000000000003</v>
      </c>
      <c r="V732" s="925">
        <v>65.52</v>
      </c>
      <c r="W732" s="900"/>
      <c r="X732" s="900">
        <f t="shared" si="156"/>
        <v>0</v>
      </c>
      <c r="Y732" s="925"/>
      <c r="Z732" s="928"/>
      <c r="AA732" s="928"/>
      <c r="AB732" s="904"/>
      <c r="AC732" s="928"/>
      <c r="AD732" s="928"/>
      <c r="AE732" s="928"/>
      <c r="AF732" s="926"/>
      <c r="AG732" s="906" t="str">
        <f>IF(AE732&lt;&gt;0,VLOOKUP(AE732,ODDS!$A$2:$C$13,3,0),"")</f>
        <v/>
      </c>
      <c r="AH732" s="906" t="str">
        <f t="shared" si="163"/>
        <v xml:space="preserve"> </v>
      </c>
      <c r="AI732" s="907" t="str">
        <f t="shared" si="161"/>
        <v xml:space="preserve"> </v>
      </c>
      <c r="AJ732" s="929"/>
      <c r="AK732" s="929"/>
    </row>
    <row r="733" spans="1:37" s="376" customFormat="1" ht="45" outlineLevel="2" x14ac:dyDescent="0.3">
      <c r="A733" s="447">
        <f t="shared" si="158"/>
        <v>61</v>
      </c>
      <c r="B733" s="893"/>
      <c r="C733" s="894"/>
      <c r="D733" s="923"/>
      <c r="E733" s="923"/>
      <c r="F733" s="896"/>
      <c r="G733" s="894"/>
      <c r="H733" s="924"/>
      <c r="I733" s="882"/>
      <c r="J733" s="925"/>
      <c r="K733" s="899" t="str">
        <f>IF(G733&lt;&gt;0,VLOOKUP(G733,'gia dat'!$A$1:$F$144,5,0)," ")</f>
        <v xml:space="preserve"> </v>
      </c>
      <c r="L733" s="899" t="str">
        <f>IF(G733&lt;&gt;0,VLOOKUP(G733,'gia dat'!$A$1:$F$144,6,0)," ")</f>
        <v xml:space="preserve"> </v>
      </c>
      <c r="M733" s="900" t="str">
        <f t="shared" si="159"/>
        <v xml:space="preserve"> </v>
      </c>
      <c r="N733" s="900" t="str">
        <f t="shared" si="160"/>
        <v xml:space="preserve"> </v>
      </c>
      <c r="O733" s="894"/>
      <c r="P733" s="926"/>
      <c r="Q733" s="900" t="str">
        <f>IF(O733&lt;&gt;0,VLOOKUP(O733,'Cây trong'!$A$2:$C$246,3,0)," ")</f>
        <v xml:space="preserve"> </v>
      </c>
      <c r="R733" s="900" t="str">
        <f t="shared" si="162"/>
        <v xml:space="preserve"> </v>
      </c>
      <c r="S733" s="902" t="s">
        <v>2347</v>
      </c>
      <c r="T733" s="925" t="s">
        <v>53</v>
      </c>
      <c r="U733" s="903"/>
      <c r="V733" s="976" t="s">
        <v>364</v>
      </c>
      <c r="W733" s="900"/>
      <c r="X733" s="900">
        <f t="shared" si="156"/>
        <v>0</v>
      </c>
      <c r="Y733" s="925"/>
      <c r="Z733" s="928"/>
      <c r="AA733" s="928"/>
      <c r="AB733" s="904"/>
      <c r="AC733" s="928"/>
      <c r="AD733" s="928"/>
      <c r="AE733" s="928"/>
      <c r="AF733" s="926"/>
      <c r="AG733" s="906" t="str">
        <f>IF(AE733&lt;&gt;0,VLOOKUP(AE733,ODDS!$A$2:$C$13,3,0),"")</f>
        <v/>
      </c>
      <c r="AH733" s="906" t="str">
        <f t="shared" si="163"/>
        <v xml:space="preserve"> </v>
      </c>
      <c r="AI733" s="907" t="str">
        <f t="shared" si="161"/>
        <v xml:space="preserve"> </v>
      </c>
      <c r="AJ733" s="929"/>
      <c r="AK733" s="929"/>
    </row>
    <row r="734" spans="1:37" s="376" customFormat="1" ht="45" outlineLevel="2" x14ac:dyDescent="0.35">
      <c r="A734" s="447">
        <f t="shared" si="158"/>
        <v>61</v>
      </c>
      <c r="B734" s="893"/>
      <c r="C734" s="971"/>
      <c r="D734" s="923"/>
      <c r="E734" s="923"/>
      <c r="F734" s="896"/>
      <c r="G734" s="894"/>
      <c r="H734" s="924"/>
      <c r="I734" s="882"/>
      <c r="J734" s="925"/>
      <c r="K734" s="899" t="str">
        <f>IF(G734&lt;&gt;0,VLOOKUP(G734,'gia dat'!$A$1:$F$144,5,0)," ")</f>
        <v xml:space="preserve"> </v>
      </c>
      <c r="L734" s="899" t="str">
        <f>IF(G734&lt;&gt;0,VLOOKUP(G734,'gia dat'!$A$1:$F$144,6,0)," ")</f>
        <v xml:space="preserve"> </v>
      </c>
      <c r="M734" s="900" t="str">
        <f t="shared" si="159"/>
        <v xml:space="preserve"> </v>
      </c>
      <c r="N734" s="900" t="str">
        <f t="shared" si="160"/>
        <v xml:space="preserve"> </v>
      </c>
      <c r="O734" s="894"/>
      <c r="P734" s="926"/>
      <c r="Q734" s="900" t="str">
        <f>IF(O734&lt;&gt;0,VLOOKUP(O734,'Cây trong'!$A$2:$C$246,3,0)," ")</f>
        <v xml:space="preserve"> </v>
      </c>
      <c r="R734" s="900" t="str">
        <f t="shared" si="162"/>
        <v xml:space="preserve"> </v>
      </c>
      <c r="S734" s="902" t="s">
        <v>2347</v>
      </c>
      <c r="T734" s="925" t="s">
        <v>53</v>
      </c>
      <c r="U734" s="903"/>
      <c r="V734" s="1012" t="s">
        <v>365</v>
      </c>
      <c r="W734" s="900"/>
      <c r="X734" s="900">
        <f t="shared" si="156"/>
        <v>0</v>
      </c>
      <c r="Y734" s="925"/>
      <c r="Z734" s="928"/>
      <c r="AA734" s="928"/>
      <c r="AB734" s="904"/>
      <c r="AC734" s="928"/>
      <c r="AD734" s="928"/>
      <c r="AE734" s="928"/>
      <c r="AF734" s="926"/>
      <c r="AG734" s="906" t="str">
        <f>IF(AE734&lt;&gt;0,VLOOKUP(AE734,ODDS!$A$2:$C$13,3,0),"")</f>
        <v/>
      </c>
      <c r="AH734" s="906" t="str">
        <f t="shared" si="163"/>
        <v xml:space="preserve"> </v>
      </c>
      <c r="AI734" s="907" t="str">
        <f t="shared" si="161"/>
        <v xml:space="preserve"> </v>
      </c>
      <c r="AJ734" s="929"/>
      <c r="AK734" s="929"/>
    </row>
    <row r="735" spans="1:37" s="376" customFormat="1" ht="45" outlineLevel="2" x14ac:dyDescent="0.3">
      <c r="A735" s="447">
        <f t="shared" si="158"/>
        <v>61</v>
      </c>
      <c r="B735" s="893"/>
      <c r="C735" s="972"/>
      <c r="D735" s="923"/>
      <c r="E735" s="923"/>
      <c r="F735" s="896"/>
      <c r="G735" s="894"/>
      <c r="H735" s="924"/>
      <c r="I735" s="882"/>
      <c r="J735" s="925"/>
      <c r="K735" s="899" t="str">
        <f>IF(G735&lt;&gt;0,VLOOKUP(G735,'gia dat'!$A$1:$F$144,5,0)," ")</f>
        <v xml:space="preserve"> </v>
      </c>
      <c r="L735" s="899" t="str">
        <f>IF(G735&lt;&gt;0,VLOOKUP(G735,'gia dat'!$A$1:$F$144,6,0)," ")</f>
        <v xml:space="preserve"> </v>
      </c>
      <c r="M735" s="900" t="str">
        <f t="shared" si="159"/>
        <v xml:space="preserve"> </v>
      </c>
      <c r="N735" s="900" t="str">
        <f t="shared" si="160"/>
        <v xml:space="preserve"> </v>
      </c>
      <c r="O735" s="973"/>
      <c r="P735" s="999"/>
      <c r="Q735" s="900" t="str">
        <f>IF(O735&lt;&gt;0,VLOOKUP(O735,'Cây trong'!$A$2:$C$246,3,0)," ")</f>
        <v xml:space="preserve"> </v>
      </c>
      <c r="R735" s="900" t="str">
        <f t="shared" si="162"/>
        <v xml:space="preserve"> </v>
      </c>
      <c r="S735" s="973" t="s">
        <v>1839</v>
      </c>
      <c r="T735" s="1013" t="s">
        <v>53</v>
      </c>
      <c r="U735" s="927">
        <v>10.199999999999999</v>
      </c>
      <c r="V735" s="925">
        <v>217.69</v>
      </c>
      <c r="W735" s="900"/>
      <c r="X735" s="900">
        <f t="shared" si="156"/>
        <v>0</v>
      </c>
      <c r="Y735" s="925"/>
      <c r="Z735" s="928"/>
      <c r="AA735" s="928"/>
      <c r="AB735" s="904"/>
      <c r="AC735" s="928"/>
      <c r="AD735" s="928"/>
      <c r="AE735" s="928"/>
      <c r="AF735" s="926"/>
      <c r="AG735" s="906" t="str">
        <f>IF(AE735&lt;&gt;0,VLOOKUP(AE735,ODDS!$A$2:$C$13,3,0),"")</f>
        <v/>
      </c>
      <c r="AH735" s="906" t="str">
        <f t="shared" si="163"/>
        <v xml:space="preserve"> </v>
      </c>
      <c r="AI735" s="907" t="str">
        <f t="shared" si="161"/>
        <v xml:space="preserve"> </v>
      </c>
      <c r="AJ735" s="929"/>
      <c r="AK735" s="929"/>
    </row>
    <row r="736" spans="1:37" s="376" customFormat="1" ht="22.5" outlineLevel="2" x14ac:dyDescent="0.3">
      <c r="A736" s="447">
        <f t="shared" si="158"/>
        <v>61</v>
      </c>
      <c r="B736" s="893"/>
      <c r="C736" s="972"/>
      <c r="D736" s="923"/>
      <c r="E736" s="923"/>
      <c r="F736" s="896"/>
      <c r="G736" s="894"/>
      <c r="H736" s="924"/>
      <c r="I736" s="882"/>
      <c r="J736" s="925"/>
      <c r="K736" s="899" t="str">
        <f>IF(G736&lt;&gt;0,VLOOKUP(G736,'gia dat'!$A$1:$F$144,5,0)," ")</f>
        <v xml:space="preserve"> </v>
      </c>
      <c r="L736" s="899" t="str">
        <f>IF(G736&lt;&gt;0,VLOOKUP(G736,'gia dat'!$A$1:$F$144,6,0)," ")</f>
        <v xml:space="preserve"> </v>
      </c>
      <c r="M736" s="900" t="str">
        <f t="shared" si="159"/>
        <v xml:space="preserve"> </v>
      </c>
      <c r="N736" s="900" t="str">
        <f t="shared" si="160"/>
        <v xml:space="preserve"> </v>
      </c>
      <c r="O736" s="973"/>
      <c r="P736" s="999"/>
      <c r="Q736" s="900" t="str">
        <f>IF(O736&lt;&gt;0,VLOOKUP(O736,'Cây trong'!$A$2:$C$246,3,0)," ")</f>
        <v xml:space="preserve"> </v>
      </c>
      <c r="R736" s="900" t="str">
        <f t="shared" si="162"/>
        <v xml:space="preserve"> </v>
      </c>
      <c r="S736" s="975" t="s">
        <v>1757</v>
      </c>
      <c r="T736" s="974" t="s">
        <v>53</v>
      </c>
      <c r="U736" s="927">
        <v>68.2</v>
      </c>
      <c r="V736" s="925">
        <v>189.2</v>
      </c>
      <c r="W736" s="900"/>
      <c r="X736" s="900">
        <f t="shared" si="156"/>
        <v>0</v>
      </c>
      <c r="Y736" s="925"/>
      <c r="Z736" s="928"/>
      <c r="AA736" s="928"/>
      <c r="AB736" s="904"/>
      <c r="AC736" s="928"/>
      <c r="AD736" s="928"/>
      <c r="AE736" s="928"/>
      <c r="AF736" s="926"/>
      <c r="AG736" s="906" t="str">
        <f>IF(AE736&lt;&gt;0,VLOOKUP(AE736,ODDS!$A$2:$C$13,3,0),"")</f>
        <v/>
      </c>
      <c r="AH736" s="906" t="str">
        <f t="shared" si="163"/>
        <v xml:space="preserve"> </v>
      </c>
      <c r="AI736" s="907" t="str">
        <f t="shared" si="161"/>
        <v xml:space="preserve"> </v>
      </c>
      <c r="AJ736" s="929"/>
      <c r="AK736" s="929"/>
    </row>
    <row r="737" spans="1:37" s="376" customFormat="1" ht="22.5" outlineLevel="2" x14ac:dyDescent="0.3">
      <c r="A737" s="447">
        <f t="shared" si="158"/>
        <v>61</v>
      </c>
      <c r="B737" s="893"/>
      <c r="C737" s="894"/>
      <c r="D737" s="923"/>
      <c r="E737" s="923"/>
      <c r="F737" s="950"/>
      <c r="G737" s="894"/>
      <c r="H737" s="940"/>
      <c r="I737" s="882"/>
      <c r="J737" s="929"/>
      <c r="K737" s="899" t="str">
        <f>IF(G737&lt;&gt;0,VLOOKUP(G737,'gia dat'!$A$1:$F$144,5,0)," ")</f>
        <v xml:space="preserve"> </v>
      </c>
      <c r="L737" s="899" t="str">
        <f>IF(G737&lt;&gt;0,VLOOKUP(G737,'gia dat'!$A$1:$F$144,6,0)," ")</f>
        <v xml:space="preserve"> </v>
      </c>
      <c r="M737" s="900" t="str">
        <f t="shared" si="159"/>
        <v xml:space="preserve"> </v>
      </c>
      <c r="N737" s="900" t="str">
        <f t="shared" si="160"/>
        <v xml:space="preserve"> </v>
      </c>
      <c r="O737" s="929"/>
      <c r="P737" s="951"/>
      <c r="Q737" s="900" t="str">
        <f>IF(O737&lt;&gt;0,VLOOKUP(O737,'Cây trong'!$A$2:$C$246,3,0)," ")</f>
        <v xml:space="preserve"> </v>
      </c>
      <c r="R737" s="900" t="str">
        <f t="shared" si="162"/>
        <v xml:space="preserve"> </v>
      </c>
      <c r="S737" s="929"/>
      <c r="T737" s="929"/>
      <c r="U737" s="952"/>
      <c r="V737" s="925"/>
      <c r="W737" s="900" t="str">
        <f>IF(S737&lt;&gt;0,VLOOKUP(S737,VKT!$A$2:$G$415,7,0),"")</f>
        <v/>
      </c>
      <c r="X737" s="900" t="str">
        <f t="shared" si="156"/>
        <v xml:space="preserve"> </v>
      </c>
      <c r="Y737" s="925"/>
      <c r="Z737" s="925"/>
      <c r="AA737" s="925"/>
      <c r="AB737" s="898"/>
      <c r="AC737" s="925"/>
      <c r="AD737" s="925"/>
      <c r="AE737" s="925"/>
      <c r="AF737" s="964"/>
      <c r="AG737" s="906" t="str">
        <f>IF(AE737&lt;&gt;0,VLOOKUP(AE737,ODDS!$A$2:$C$13,3,0),"")</f>
        <v/>
      </c>
      <c r="AH737" s="906" t="str">
        <f t="shared" si="163"/>
        <v xml:space="preserve"> </v>
      </c>
      <c r="AI737" s="907" t="str">
        <f t="shared" si="161"/>
        <v xml:space="preserve"> </v>
      </c>
      <c r="AJ737" s="929"/>
      <c r="AK737" s="929"/>
    </row>
    <row r="738" spans="1:37" s="376" customFormat="1" ht="22.5" outlineLevel="2" x14ac:dyDescent="0.3">
      <c r="A738" s="447">
        <f t="shared" si="158"/>
        <v>61</v>
      </c>
      <c r="B738" s="893"/>
      <c r="C738" s="971"/>
      <c r="D738" s="923"/>
      <c r="E738" s="923"/>
      <c r="F738" s="896"/>
      <c r="G738" s="894"/>
      <c r="H738" s="924"/>
      <c r="I738" s="882"/>
      <c r="J738" s="925"/>
      <c r="K738" s="899" t="str">
        <f>IF(G738&lt;&gt;0,VLOOKUP(G738,'gia dat'!$A$1:$F$144,5,0)," ")</f>
        <v xml:space="preserve"> </v>
      </c>
      <c r="L738" s="899" t="str">
        <f>IF(G738&lt;&gt;0,VLOOKUP(G738,'gia dat'!$A$1:$F$144,6,0)," ")</f>
        <v xml:space="preserve"> </v>
      </c>
      <c r="M738" s="900" t="str">
        <f t="shared" si="159"/>
        <v xml:space="preserve"> </v>
      </c>
      <c r="N738" s="900" t="str">
        <f t="shared" si="160"/>
        <v xml:space="preserve"> </v>
      </c>
      <c r="O738" s="894"/>
      <c r="P738" s="926"/>
      <c r="Q738" s="900" t="str">
        <f>IF(O738&lt;&gt;0,VLOOKUP(O738,'Cây trong'!$A$2:$C$246,3,0)," ")</f>
        <v xml:space="preserve"> </v>
      </c>
      <c r="R738" s="900" t="str">
        <f t="shared" si="162"/>
        <v xml:space="preserve"> </v>
      </c>
      <c r="S738" s="902"/>
      <c r="T738" s="925"/>
      <c r="U738" s="927"/>
      <c r="V738" s="925"/>
      <c r="W738" s="900" t="str">
        <f>IF(S738&lt;&gt;0,VLOOKUP(S738,VKT!$A$2:$G$415,7,0),"")</f>
        <v/>
      </c>
      <c r="X738" s="900" t="str">
        <f t="shared" si="156"/>
        <v xml:space="preserve"> </v>
      </c>
      <c r="Y738" s="925"/>
      <c r="Z738" s="928"/>
      <c r="AA738" s="928"/>
      <c r="AB738" s="904"/>
      <c r="AC738" s="928"/>
      <c r="AD738" s="928"/>
      <c r="AE738" s="928"/>
      <c r="AF738" s="926"/>
      <c r="AG738" s="906" t="str">
        <f>IF(AE738&lt;&gt;0,VLOOKUP(AE738,ODDS!$A$2:$C$13,3,0),"")</f>
        <v/>
      </c>
      <c r="AH738" s="906" t="str">
        <f t="shared" si="163"/>
        <v xml:space="preserve"> </v>
      </c>
      <c r="AI738" s="907" t="str">
        <f t="shared" si="161"/>
        <v xml:space="preserve"> </v>
      </c>
      <c r="AJ738" s="929"/>
      <c r="AK738" s="929"/>
    </row>
    <row r="739" spans="1:37" s="376" customFormat="1" ht="22.5" outlineLevel="2" x14ac:dyDescent="0.3">
      <c r="A739" s="447">
        <f t="shared" si="158"/>
        <v>61</v>
      </c>
      <c r="B739" s="893"/>
      <c r="C739" s="972"/>
      <c r="D739" s="923"/>
      <c r="E739" s="923"/>
      <c r="F739" s="896"/>
      <c r="G739" s="894"/>
      <c r="H739" s="924"/>
      <c r="I739" s="882"/>
      <c r="J739" s="925"/>
      <c r="K739" s="899" t="str">
        <f>IF(G739&lt;&gt;0,VLOOKUP(G739,'gia dat'!$A$1:$F$144,5,0)," ")</f>
        <v xml:space="preserve"> </v>
      </c>
      <c r="L739" s="899" t="str">
        <f>IF(G739&lt;&gt;0,VLOOKUP(G739,'gia dat'!$A$1:$F$144,6,0)," ")</f>
        <v xml:space="preserve"> </v>
      </c>
      <c r="M739" s="900" t="str">
        <f t="shared" si="159"/>
        <v xml:space="preserve"> </v>
      </c>
      <c r="N739" s="900" t="str">
        <f t="shared" si="160"/>
        <v xml:space="preserve"> </v>
      </c>
      <c r="O739" s="894"/>
      <c r="P739" s="926"/>
      <c r="Q739" s="900" t="str">
        <f>IF(O739&lt;&gt;0,VLOOKUP(O739,'Cây trong'!$A$2:$C$246,3,0)," ")</f>
        <v xml:space="preserve"> </v>
      </c>
      <c r="R739" s="900" t="str">
        <f t="shared" si="162"/>
        <v xml:space="preserve"> </v>
      </c>
      <c r="S739" s="902"/>
      <c r="T739" s="925"/>
      <c r="U739" s="927"/>
      <c r="V739" s="925"/>
      <c r="W739" s="900" t="str">
        <f>IF(S739&lt;&gt;0,VLOOKUP(S739,VKT!$A$2:$G$415,7,0),"")</f>
        <v/>
      </c>
      <c r="X739" s="900" t="str">
        <f t="shared" si="156"/>
        <v xml:space="preserve"> </v>
      </c>
      <c r="Y739" s="925"/>
      <c r="Z739" s="928"/>
      <c r="AA739" s="928"/>
      <c r="AB739" s="904"/>
      <c r="AC739" s="928"/>
      <c r="AD739" s="928"/>
      <c r="AE739" s="928"/>
      <c r="AF739" s="926"/>
      <c r="AG739" s="906" t="str">
        <f>IF(AE739&lt;&gt;0,VLOOKUP(AE739,ODDS!$A$2:$C$13,3,0),"")</f>
        <v/>
      </c>
      <c r="AH739" s="906" t="str">
        <f t="shared" si="163"/>
        <v xml:space="preserve"> </v>
      </c>
      <c r="AI739" s="907" t="str">
        <f t="shared" si="161"/>
        <v xml:space="preserve"> </v>
      </c>
      <c r="AJ739" s="929"/>
      <c r="AK739" s="929"/>
    </row>
    <row r="740" spans="1:37" s="376" customFormat="1" ht="22.5" outlineLevel="2" x14ac:dyDescent="0.3">
      <c r="A740" s="447">
        <f t="shared" si="158"/>
        <v>61</v>
      </c>
      <c r="B740" s="893"/>
      <c r="C740" s="971"/>
      <c r="D740" s="923"/>
      <c r="E740" s="923"/>
      <c r="F740" s="896"/>
      <c r="G740" s="894"/>
      <c r="H740" s="924"/>
      <c r="I740" s="882"/>
      <c r="J740" s="925"/>
      <c r="K740" s="899" t="str">
        <f>IF(G740&lt;&gt;0,VLOOKUP(G740,'gia dat'!$A$1:$F$144,5,0)," ")</f>
        <v xml:space="preserve"> </v>
      </c>
      <c r="L740" s="899" t="str">
        <f>IF(G740&lt;&gt;0,VLOOKUP(G740,'gia dat'!$A$1:$F$144,6,0)," ")</f>
        <v xml:space="preserve"> </v>
      </c>
      <c r="M740" s="900" t="str">
        <f t="shared" si="159"/>
        <v xml:space="preserve"> </v>
      </c>
      <c r="N740" s="900" t="str">
        <f t="shared" si="160"/>
        <v xml:space="preserve"> </v>
      </c>
      <c r="O740" s="973"/>
      <c r="P740" s="999"/>
      <c r="Q740" s="900" t="str">
        <f>IF(O740&lt;&gt;0,VLOOKUP(O740,'Cây trong'!$A$2:$C$246,3,0)," ")</f>
        <v xml:space="preserve"> </v>
      </c>
      <c r="R740" s="900" t="str">
        <f t="shared" si="162"/>
        <v xml:space="preserve"> </v>
      </c>
      <c r="S740" s="975"/>
      <c r="T740" s="974"/>
      <c r="U740" s="927"/>
      <c r="V740" s="925"/>
      <c r="W740" s="900" t="str">
        <f>IF(S740&lt;&gt;0,VLOOKUP(S740,VKT!$A$2:$G$415,7,0),"")</f>
        <v/>
      </c>
      <c r="X740" s="900" t="str">
        <f t="shared" si="156"/>
        <v xml:space="preserve"> </v>
      </c>
      <c r="Y740" s="925"/>
      <c r="Z740" s="928"/>
      <c r="AA740" s="928"/>
      <c r="AB740" s="904"/>
      <c r="AC740" s="928"/>
      <c r="AD740" s="928"/>
      <c r="AE740" s="928"/>
      <c r="AF740" s="926"/>
      <c r="AG740" s="906" t="str">
        <f>IF(AE740&lt;&gt;0,VLOOKUP(AE740,ODDS!$A$2:$C$13,3,0),"")</f>
        <v/>
      </c>
      <c r="AH740" s="906" t="str">
        <f t="shared" si="163"/>
        <v xml:space="preserve"> </v>
      </c>
      <c r="AI740" s="907" t="str">
        <f t="shared" si="161"/>
        <v xml:space="preserve"> </v>
      </c>
      <c r="AJ740" s="929"/>
      <c r="AK740" s="929"/>
    </row>
    <row r="741" spans="1:37" s="376" customFormat="1" ht="43.5" outlineLevel="1" x14ac:dyDescent="0.25">
      <c r="A741" s="467" t="s">
        <v>2648</v>
      </c>
      <c r="B741" s="912">
        <v>62</v>
      </c>
      <c r="C741" s="971" t="s">
        <v>561</v>
      </c>
      <c r="D741" s="931"/>
      <c r="E741" s="931"/>
      <c r="F741" s="913"/>
      <c r="G741" s="910"/>
      <c r="H741" s="953">
        <f>SUBTOTAL(9,H742:H750)</f>
        <v>1183.2</v>
      </c>
      <c r="I741" s="915">
        <f>SUBTOTAL(9,I742:I747)</f>
        <v>1183.2</v>
      </c>
      <c r="J741" s="933"/>
      <c r="K741" s="917"/>
      <c r="L741" s="917"/>
      <c r="M741" s="907">
        <f>SUBTOTAL(9,M742:M750)</f>
        <v>550898000</v>
      </c>
      <c r="N741" s="907">
        <f>SUBTOTAL(9,N742:N750)</f>
        <v>1652694000</v>
      </c>
      <c r="O741" s="910"/>
      <c r="P741" s="935">
        <f>SUBTOTAL(9,P742:P750)</f>
        <v>0</v>
      </c>
      <c r="Q741" s="907"/>
      <c r="R741" s="907">
        <f>SUBTOTAL(9,R742:R750)</f>
        <v>0</v>
      </c>
      <c r="S741" s="918"/>
      <c r="T741" s="933"/>
      <c r="U741" s="936">
        <f>SUBTOTAL(9,U742:U750)</f>
        <v>0</v>
      </c>
      <c r="V741" s="933"/>
      <c r="W741" s="907"/>
      <c r="X741" s="907">
        <f>SUBTOTAL(9,X742:X750)</f>
        <v>0</v>
      </c>
      <c r="Y741" s="925"/>
      <c r="Z741" s="928"/>
      <c r="AA741" s="928"/>
      <c r="AB741" s="904"/>
      <c r="AC741" s="928"/>
      <c r="AD741" s="928"/>
      <c r="AE741" s="969"/>
      <c r="AF741" s="935">
        <f>SUBTOTAL(9,AF742:AF750)</f>
        <v>0</v>
      </c>
      <c r="AG741" s="921"/>
      <c r="AH741" s="921">
        <f>SUBTOTAL(9,AH742:AH750)</f>
        <v>0</v>
      </c>
      <c r="AI741" s="907">
        <f t="shared" si="161"/>
        <v>2203592000</v>
      </c>
      <c r="AJ741" s="910"/>
      <c r="AK741" s="914"/>
    </row>
    <row r="742" spans="1:37" s="376" customFormat="1" ht="135" outlineLevel="2" x14ac:dyDescent="0.3">
      <c r="A742" s="447">
        <f>IF(B741&lt;&gt;0,B741,A740)</f>
        <v>62</v>
      </c>
      <c r="B742" s="893"/>
      <c r="C742" s="894" t="s">
        <v>234</v>
      </c>
      <c r="D742" s="923">
        <v>1</v>
      </c>
      <c r="E742" s="923">
        <v>86</v>
      </c>
      <c r="F742" s="896">
        <v>708</v>
      </c>
      <c r="G742" s="894" t="s">
        <v>2864</v>
      </c>
      <c r="H742" s="924">
        <v>1088.2</v>
      </c>
      <c r="I742" s="882">
        <f t="shared" ref="I742:I744" si="164">IF(N742&gt;0,H742,"")</f>
        <v>1088.2</v>
      </c>
      <c r="J742" s="925"/>
      <c r="K742" s="899">
        <f>IF(G742&lt;&gt;0,VLOOKUP(G742,'gia dat'!$A$1:$F$144,5,0)," ")</f>
        <v>465600</v>
      </c>
      <c r="L742" s="899">
        <f>IF(G742&lt;&gt;0,VLOOKUP(G742,'gia dat'!$A$1:$F$144,6,0)," ")</f>
        <v>1396800</v>
      </c>
      <c r="M742" s="900">
        <f t="shared" si="159"/>
        <v>506666000</v>
      </c>
      <c r="N742" s="900">
        <f t="shared" si="160"/>
        <v>1519998000</v>
      </c>
      <c r="O742" s="894"/>
      <c r="P742" s="926"/>
      <c r="Q742" s="900" t="str">
        <f>IF(O742&lt;&gt;0,VLOOKUP(O742,'Cây trong'!$A$2:$C$246,3,0)," ")</f>
        <v xml:space="preserve"> </v>
      </c>
      <c r="R742" s="900" t="str">
        <f t="shared" si="162"/>
        <v xml:space="preserve"> </v>
      </c>
      <c r="S742" s="902"/>
      <c r="T742" s="925"/>
      <c r="U742" s="927"/>
      <c r="V742" s="925"/>
      <c r="W742" s="900" t="str">
        <f>IF(S742&lt;&gt;0,VLOOKUP(S742,VKT!$A$2:$G$415,7,0),"")</f>
        <v/>
      </c>
      <c r="X742" s="900" t="str">
        <f t="shared" si="156"/>
        <v xml:space="preserve"> </v>
      </c>
      <c r="Y742" s="925"/>
      <c r="Z742" s="928"/>
      <c r="AA742" s="928"/>
      <c r="AB742" s="904"/>
      <c r="AC742" s="928"/>
      <c r="AD742" s="928"/>
      <c r="AE742" s="941"/>
      <c r="AF742" s="926"/>
      <c r="AG742" s="906" t="str">
        <f>IF(AE742&lt;&gt;0,VLOOKUP(AE742,ODDS!$A$2:$C$13,3,0),"")</f>
        <v/>
      </c>
      <c r="AH742" s="906"/>
      <c r="AI742" s="907" t="str">
        <f t="shared" si="161"/>
        <v xml:space="preserve"> </v>
      </c>
      <c r="AJ742" s="894" t="s">
        <v>1707</v>
      </c>
      <c r="AK742" s="922" t="s">
        <v>2771</v>
      </c>
    </row>
    <row r="743" spans="1:37" s="376" customFormat="1" ht="135" outlineLevel="2" x14ac:dyDescent="0.3">
      <c r="A743" s="447">
        <f t="shared" ref="A743:A750" si="165">IF(B742&lt;&gt;0,B742,A742)</f>
        <v>62</v>
      </c>
      <c r="B743" s="893"/>
      <c r="C743" s="972" t="s">
        <v>697</v>
      </c>
      <c r="D743" s="923"/>
      <c r="E743" s="923"/>
      <c r="F743" s="896"/>
      <c r="G743" s="894" t="s">
        <v>2878</v>
      </c>
      <c r="H743" s="924">
        <v>87.2</v>
      </c>
      <c r="I743" s="882">
        <f t="shared" si="164"/>
        <v>87.2</v>
      </c>
      <c r="J743" s="925"/>
      <c r="K743" s="899">
        <f>IF(G743&lt;&gt;0,VLOOKUP(G743,'gia dat'!$A$1:$F$144,5,0)," ")</f>
        <v>465600</v>
      </c>
      <c r="L743" s="899">
        <f>IF(G743&lt;&gt;0,VLOOKUP(G743,'gia dat'!$A$1:$F$144,6,0)," ")</f>
        <v>1396800</v>
      </c>
      <c r="M743" s="900">
        <f t="shared" si="159"/>
        <v>40600000</v>
      </c>
      <c r="N743" s="900">
        <f t="shared" si="160"/>
        <v>121801000</v>
      </c>
      <c r="O743" s="894"/>
      <c r="P743" s="926"/>
      <c r="Q743" s="900" t="str">
        <f>IF(O743&lt;&gt;0,VLOOKUP(O743,'Cây trong'!$A$2:$C$246,3,0)," ")</f>
        <v xml:space="preserve"> </v>
      </c>
      <c r="R743" s="900" t="str">
        <f t="shared" si="162"/>
        <v xml:space="preserve"> </v>
      </c>
      <c r="S743" s="902"/>
      <c r="T743" s="925"/>
      <c r="U743" s="927"/>
      <c r="V743" s="925"/>
      <c r="W743" s="900" t="str">
        <f>IF(S743&lt;&gt;0,VLOOKUP(S743,VKT!$A$2:$G$415,7,0),"")</f>
        <v/>
      </c>
      <c r="X743" s="900" t="str">
        <f t="shared" si="156"/>
        <v xml:space="preserve"> </v>
      </c>
      <c r="Y743" s="925"/>
      <c r="Z743" s="928"/>
      <c r="AA743" s="928"/>
      <c r="AB743" s="904"/>
      <c r="AC743" s="928"/>
      <c r="AD743" s="928"/>
      <c r="AE743" s="928"/>
      <c r="AF743" s="926"/>
      <c r="AG743" s="906" t="str">
        <f>IF(AE743&lt;&gt;0,VLOOKUP(AE743,ODDS!$A$2:$C$13,3,0),"")</f>
        <v/>
      </c>
      <c r="AH743" s="906" t="str">
        <f t="shared" si="163"/>
        <v xml:space="preserve"> </v>
      </c>
      <c r="AI743" s="907" t="str">
        <f t="shared" si="161"/>
        <v xml:space="preserve"> </v>
      </c>
      <c r="AJ743" s="894" t="s">
        <v>563</v>
      </c>
      <c r="AK743" s="894" t="s">
        <v>2448</v>
      </c>
    </row>
    <row r="744" spans="1:37" s="376" customFormat="1" ht="135" outlineLevel="2" x14ac:dyDescent="0.3">
      <c r="A744" s="447">
        <f t="shared" si="165"/>
        <v>62</v>
      </c>
      <c r="B744" s="893"/>
      <c r="C744" s="972"/>
      <c r="D744" s="923"/>
      <c r="E744" s="923"/>
      <c r="F744" s="896"/>
      <c r="G744" s="894" t="s">
        <v>2879</v>
      </c>
      <c r="H744" s="924">
        <v>7.8</v>
      </c>
      <c r="I744" s="882">
        <f t="shared" si="164"/>
        <v>7.8</v>
      </c>
      <c r="J744" s="925"/>
      <c r="K744" s="899">
        <f>IF(G744&lt;&gt;0,VLOOKUP(G744,'gia dat'!$A$1:$F$144,5,0)," ")</f>
        <v>465600</v>
      </c>
      <c r="L744" s="899">
        <f>IF(G744&lt;&gt;0,VLOOKUP(G744,'gia dat'!$A$1:$F$144,6,0)," ")</f>
        <v>1396800</v>
      </c>
      <c r="M744" s="900">
        <f t="shared" si="159"/>
        <v>3632000</v>
      </c>
      <c r="N744" s="900">
        <f t="shared" si="160"/>
        <v>10895000</v>
      </c>
      <c r="O744" s="973"/>
      <c r="P744" s="926"/>
      <c r="Q744" s="900" t="str">
        <f>IF(O744&lt;&gt;0,VLOOKUP(O744,'Cây trong'!$A$2:$C$246,3,0)," ")</f>
        <v xml:space="preserve"> </v>
      </c>
      <c r="R744" s="900" t="str">
        <f t="shared" si="162"/>
        <v xml:space="preserve"> </v>
      </c>
      <c r="S744" s="973"/>
      <c r="T744" s="974"/>
      <c r="U744" s="927"/>
      <c r="V744" s="925"/>
      <c r="W744" s="900" t="str">
        <f>IF(S744&lt;&gt;0,VLOOKUP(S744,VKT!$A$2:$G$415,7,0),"")</f>
        <v/>
      </c>
      <c r="X744" s="900" t="str">
        <f t="shared" si="156"/>
        <v xml:space="preserve"> </v>
      </c>
      <c r="Y744" s="925"/>
      <c r="Z744" s="928"/>
      <c r="AA744" s="928"/>
      <c r="AB744" s="904"/>
      <c r="AC744" s="928"/>
      <c r="AD744" s="928"/>
      <c r="AE744" s="928"/>
      <c r="AF744" s="926"/>
      <c r="AG744" s="906" t="str">
        <f>IF(AE744&lt;&gt;0,VLOOKUP(AE744,ODDS!$A$2:$C$13,3,0),"")</f>
        <v/>
      </c>
      <c r="AH744" s="906" t="str">
        <f t="shared" si="163"/>
        <v xml:space="preserve"> </v>
      </c>
      <c r="AI744" s="907" t="str">
        <f t="shared" si="161"/>
        <v xml:space="preserve"> </v>
      </c>
      <c r="AJ744" s="910" t="s">
        <v>292</v>
      </c>
      <c r="AK744" s="929"/>
    </row>
    <row r="745" spans="1:37" s="376" customFormat="1" ht="135" outlineLevel="2" x14ac:dyDescent="0.3">
      <c r="A745" s="447">
        <f t="shared" si="165"/>
        <v>62</v>
      </c>
      <c r="B745" s="893"/>
      <c r="C745" s="972"/>
      <c r="D745" s="923"/>
      <c r="E745" s="923"/>
      <c r="F745" s="896"/>
      <c r="G745" s="894"/>
      <c r="H745" s="924"/>
      <c r="I745" s="882"/>
      <c r="J745" s="925"/>
      <c r="K745" s="899" t="str">
        <f>IF(G745&lt;&gt;0,VLOOKUP(G745,'gia dat'!$A$1:$F$144,5,0)," ")</f>
        <v xml:space="preserve"> </v>
      </c>
      <c r="L745" s="899" t="str">
        <f>IF(G745&lt;&gt;0,VLOOKUP(G745,'gia dat'!$A$1:$F$144,6,0)," ")</f>
        <v xml:space="preserve"> </v>
      </c>
      <c r="M745" s="900" t="str">
        <f t="shared" si="159"/>
        <v xml:space="preserve"> </v>
      </c>
      <c r="N745" s="900" t="str">
        <f t="shared" si="160"/>
        <v xml:space="preserve"> </v>
      </c>
      <c r="O745" s="973"/>
      <c r="P745" s="999"/>
      <c r="Q745" s="900" t="str">
        <f>IF(O745&lt;&gt;0,VLOOKUP(O745,'Cây trong'!$A$2:$C$246,3,0)," ")</f>
        <v xml:space="preserve"> </v>
      </c>
      <c r="R745" s="900" t="str">
        <f t="shared" si="162"/>
        <v xml:space="preserve"> </v>
      </c>
      <c r="S745" s="973"/>
      <c r="T745" s="975"/>
      <c r="U745" s="927"/>
      <c r="V745" s="925"/>
      <c r="W745" s="900" t="str">
        <f>IF(S745&lt;&gt;0,VLOOKUP(S745,VKT!$A$2:$G$415,7,0),"")</f>
        <v/>
      </c>
      <c r="X745" s="900" t="str">
        <f t="shared" si="156"/>
        <v xml:space="preserve"> </v>
      </c>
      <c r="Y745" s="925"/>
      <c r="Z745" s="928"/>
      <c r="AA745" s="928"/>
      <c r="AB745" s="904"/>
      <c r="AC745" s="928"/>
      <c r="AD745" s="928"/>
      <c r="AE745" s="928"/>
      <c r="AF745" s="926"/>
      <c r="AG745" s="906" t="str">
        <f>IF(AE745&lt;&gt;0,VLOOKUP(AE745,ODDS!$A$2:$C$13,3,0),"")</f>
        <v/>
      </c>
      <c r="AH745" s="906" t="str">
        <f t="shared" si="163"/>
        <v xml:space="preserve"> </v>
      </c>
      <c r="AI745" s="907" t="str">
        <f t="shared" si="161"/>
        <v xml:space="preserve"> </v>
      </c>
      <c r="AJ745" s="894" t="s">
        <v>1708</v>
      </c>
      <c r="AK745" s="910"/>
    </row>
    <row r="746" spans="1:37" s="376" customFormat="1" ht="135" outlineLevel="2" x14ac:dyDescent="0.3">
      <c r="A746" s="447">
        <f t="shared" si="165"/>
        <v>62</v>
      </c>
      <c r="B746" s="893"/>
      <c r="C746" s="894"/>
      <c r="D746" s="923"/>
      <c r="E746" s="923"/>
      <c r="F746" s="950"/>
      <c r="G746" s="894"/>
      <c r="H746" s="940"/>
      <c r="I746" s="882"/>
      <c r="J746" s="929"/>
      <c r="K746" s="899" t="str">
        <f>IF(G746&lt;&gt;0,VLOOKUP(G746,'gia dat'!$A$1:$F$144,5,0)," ")</f>
        <v xml:space="preserve"> </v>
      </c>
      <c r="L746" s="899" t="str">
        <f>IF(G746&lt;&gt;0,VLOOKUP(G746,'gia dat'!$A$1:$F$144,6,0)," ")</f>
        <v xml:space="preserve"> </v>
      </c>
      <c r="M746" s="900" t="str">
        <f t="shared" si="159"/>
        <v xml:space="preserve"> </v>
      </c>
      <c r="N746" s="900" t="str">
        <f t="shared" si="160"/>
        <v xml:space="preserve"> </v>
      </c>
      <c r="O746" s="929"/>
      <c r="P746" s="951"/>
      <c r="Q746" s="900" t="str">
        <f>IF(O746&lt;&gt;0,VLOOKUP(O746,'Cây trong'!$A$2:$C$246,3,0)," ")</f>
        <v xml:space="preserve"> </v>
      </c>
      <c r="R746" s="900" t="str">
        <f t="shared" si="162"/>
        <v xml:space="preserve"> </v>
      </c>
      <c r="S746" s="929"/>
      <c r="T746" s="929"/>
      <c r="U746" s="952"/>
      <c r="V746" s="925"/>
      <c r="W746" s="900" t="str">
        <f>IF(S746&lt;&gt;0,VLOOKUP(S746,VKT!$A$2:$G$415,7,0),"")</f>
        <v/>
      </c>
      <c r="X746" s="900" t="str">
        <f t="shared" si="156"/>
        <v xml:space="preserve"> </v>
      </c>
      <c r="Y746" s="925"/>
      <c r="Z746" s="925"/>
      <c r="AA746" s="925"/>
      <c r="AB746" s="898"/>
      <c r="AC746" s="925"/>
      <c r="AD746" s="925"/>
      <c r="AE746" s="925"/>
      <c r="AF746" s="964"/>
      <c r="AG746" s="906" t="str">
        <f>IF(AE746&lt;&gt;0,VLOOKUP(AE746,ODDS!$A$2:$C$13,3,0),"")</f>
        <v/>
      </c>
      <c r="AH746" s="906" t="str">
        <f t="shared" si="163"/>
        <v xml:space="preserve"> </v>
      </c>
      <c r="AI746" s="907" t="str">
        <f t="shared" si="161"/>
        <v xml:space="preserve"> </v>
      </c>
      <c r="AJ746" s="894" t="s">
        <v>2045</v>
      </c>
      <c r="AK746" s="894"/>
    </row>
    <row r="747" spans="1:37" s="376" customFormat="1" ht="67.5" outlineLevel="2" x14ac:dyDescent="0.3">
      <c r="A747" s="447">
        <f t="shared" si="165"/>
        <v>62</v>
      </c>
      <c r="B747" s="893"/>
      <c r="C747" s="894"/>
      <c r="D747" s="923"/>
      <c r="E747" s="923"/>
      <c r="F747" s="896"/>
      <c r="G747" s="894"/>
      <c r="H747" s="924"/>
      <c r="I747" s="882"/>
      <c r="J747" s="925"/>
      <c r="K747" s="899" t="str">
        <f>IF(G747&lt;&gt;0,VLOOKUP(G747,'gia dat'!$A$1:$F$144,5,0)," ")</f>
        <v xml:space="preserve"> </v>
      </c>
      <c r="L747" s="899" t="str">
        <f>IF(G747&lt;&gt;0,VLOOKUP(G747,'gia dat'!$A$1:$F$144,6,0)," ")</f>
        <v xml:space="preserve"> </v>
      </c>
      <c r="M747" s="900" t="str">
        <f t="shared" si="159"/>
        <v xml:space="preserve"> </v>
      </c>
      <c r="N747" s="900" t="str">
        <f t="shared" si="160"/>
        <v xml:space="preserve"> </v>
      </c>
      <c r="O747" s="973"/>
      <c r="P747" s="999"/>
      <c r="Q747" s="900" t="str">
        <f>IF(O747&lt;&gt;0,VLOOKUP(O747,'Cây trong'!$A$2:$C$246,3,0)," ")</f>
        <v xml:space="preserve"> </v>
      </c>
      <c r="R747" s="900" t="str">
        <f t="shared" si="162"/>
        <v xml:space="preserve"> </v>
      </c>
      <c r="S747" s="975"/>
      <c r="T747" s="975"/>
      <c r="U747" s="927"/>
      <c r="V747" s="925"/>
      <c r="W747" s="900" t="str">
        <f>IF(S747&lt;&gt;0,VLOOKUP(S747,VKT!$A$2:$G$415,7,0),"")</f>
        <v/>
      </c>
      <c r="X747" s="900" t="str">
        <f t="shared" si="156"/>
        <v xml:space="preserve"> </v>
      </c>
      <c r="Y747" s="925"/>
      <c r="Z747" s="928"/>
      <c r="AA747" s="928"/>
      <c r="AB747" s="904"/>
      <c r="AC747" s="928"/>
      <c r="AD747" s="928"/>
      <c r="AE747" s="928"/>
      <c r="AF747" s="926"/>
      <c r="AG747" s="906" t="str">
        <f>IF(AE747&lt;&gt;0,VLOOKUP(AE747,ODDS!$A$2:$C$13,3,0),"")</f>
        <v/>
      </c>
      <c r="AH747" s="906" t="str">
        <f t="shared" si="163"/>
        <v xml:space="preserve"> </v>
      </c>
      <c r="AI747" s="907" t="str">
        <f t="shared" si="161"/>
        <v xml:space="preserve"> </v>
      </c>
      <c r="AJ747" s="894" t="s">
        <v>2074</v>
      </c>
      <c r="AK747" s="894"/>
    </row>
    <row r="748" spans="1:37" s="376" customFormat="1" ht="22.5" outlineLevel="2" x14ac:dyDescent="0.35">
      <c r="A748" s="447">
        <f t="shared" si="165"/>
        <v>62</v>
      </c>
      <c r="B748" s="893"/>
      <c r="C748" s="894"/>
      <c r="D748" s="923"/>
      <c r="E748" s="923"/>
      <c r="F748" s="896"/>
      <c r="G748" s="894"/>
      <c r="H748" s="924"/>
      <c r="I748" s="882"/>
      <c r="J748" s="925"/>
      <c r="K748" s="899" t="str">
        <f>IF(G748&lt;&gt;0,VLOOKUP(G748,'gia dat'!$A$1:$F$144,5,0)," ")</f>
        <v xml:space="preserve"> </v>
      </c>
      <c r="L748" s="899" t="str">
        <f>IF(G748&lt;&gt;0,VLOOKUP(G748,'gia dat'!$A$1:$F$144,6,0)," ")</f>
        <v xml:space="preserve"> </v>
      </c>
      <c r="M748" s="900" t="str">
        <f t="shared" si="159"/>
        <v xml:space="preserve"> </v>
      </c>
      <c r="N748" s="900" t="str">
        <f t="shared" si="160"/>
        <v xml:space="preserve"> </v>
      </c>
      <c r="O748" s="973"/>
      <c r="P748" s="999"/>
      <c r="Q748" s="900" t="str">
        <f>IF(O748&lt;&gt;0,VLOOKUP(O748,'Cây trong'!$A$2:$C$246,3,0)," ")</f>
        <v xml:space="preserve"> </v>
      </c>
      <c r="R748" s="900" t="str">
        <f t="shared" si="162"/>
        <v xml:space="preserve"> </v>
      </c>
      <c r="S748" s="975"/>
      <c r="T748" s="975"/>
      <c r="U748" s="927"/>
      <c r="V748" s="925"/>
      <c r="W748" s="900" t="str">
        <f>IF(S748&lt;&gt;0,VLOOKUP(S748,VKT!$A$2:$G$415,7,0),"")</f>
        <v/>
      </c>
      <c r="X748" s="900" t="str">
        <f t="shared" si="156"/>
        <v xml:space="preserve"> </v>
      </c>
      <c r="Y748" s="925"/>
      <c r="Z748" s="928"/>
      <c r="AA748" s="928"/>
      <c r="AB748" s="904"/>
      <c r="AC748" s="928"/>
      <c r="AD748" s="928"/>
      <c r="AE748" s="928"/>
      <c r="AF748" s="926"/>
      <c r="AG748" s="906" t="str">
        <f>IF(AE748&lt;&gt;0,VLOOKUP(AE748,ODDS!$A$2:$C$13,3,0),"")</f>
        <v/>
      </c>
      <c r="AH748" s="906" t="str">
        <f t="shared" si="163"/>
        <v xml:space="preserve"> </v>
      </c>
      <c r="AI748" s="907" t="str">
        <f t="shared" si="161"/>
        <v xml:space="preserve"> </v>
      </c>
      <c r="AJ748" s="911"/>
      <c r="AK748" s="894"/>
    </row>
    <row r="749" spans="1:37" s="376" customFormat="1" ht="22.5" outlineLevel="2" x14ac:dyDescent="0.3">
      <c r="A749" s="447">
        <f t="shared" si="165"/>
        <v>62</v>
      </c>
      <c r="B749" s="893"/>
      <c r="C749" s="894"/>
      <c r="D749" s="923"/>
      <c r="E749" s="923"/>
      <c r="F749" s="896"/>
      <c r="G749" s="894"/>
      <c r="H749" s="924"/>
      <c r="I749" s="882"/>
      <c r="J749" s="925"/>
      <c r="K749" s="899" t="str">
        <f>IF(G749&lt;&gt;0,VLOOKUP(G749,'gia dat'!$A$1:$F$144,5,0)," ")</f>
        <v xml:space="preserve"> </v>
      </c>
      <c r="L749" s="899" t="str">
        <f>IF(G749&lt;&gt;0,VLOOKUP(G749,'gia dat'!$A$1:$F$144,6,0)," ")</f>
        <v xml:space="preserve"> </v>
      </c>
      <c r="M749" s="900" t="str">
        <f t="shared" si="159"/>
        <v xml:space="preserve"> </v>
      </c>
      <c r="N749" s="900" t="str">
        <f t="shared" si="160"/>
        <v xml:space="preserve"> </v>
      </c>
      <c r="O749" s="973"/>
      <c r="P749" s="999"/>
      <c r="Q749" s="900" t="str">
        <f>IF(O749&lt;&gt;0,VLOOKUP(O749,'Cây trong'!$A$2:$C$246,3,0)," ")</f>
        <v xml:space="preserve"> </v>
      </c>
      <c r="R749" s="900" t="str">
        <f t="shared" si="162"/>
        <v xml:space="preserve"> </v>
      </c>
      <c r="S749" s="975"/>
      <c r="T749" s="975"/>
      <c r="U749" s="927"/>
      <c r="V749" s="925"/>
      <c r="W749" s="900" t="str">
        <f>IF(S749&lt;&gt;0,VLOOKUP(S749,VKT!$A$2:$G$415,7,0),"")</f>
        <v/>
      </c>
      <c r="X749" s="900" t="str">
        <f t="shared" si="156"/>
        <v xml:space="preserve"> </v>
      </c>
      <c r="Y749" s="925"/>
      <c r="Z749" s="928"/>
      <c r="AA749" s="928"/>
      <c r="AB749" s="904"/>
      <c r="AC749" s="928"/>
      <c r="AD749" s="928"/>
      <c r="AE749" s="928"/>
      <c r="AF749" s="926"/>
      <c r="AG749" s="906" t="str">
        <f>IF(AE749&lt;&gt;0,VLOOKUP(AE749,ODDS!$A$2:$C$13,3,0),"")</f>
        <v/>
      </c>
      <c r="AH749" s="906" t="str">
        <f t="shared" si="163"/>
        <v xml:space="preserve"> </v>
      </c>
      <c r="AI749" s="907" t="str">
        <f t="shared" si="161"/>
        <v xml:space="preserve"> </v>
      </c>
      <c r="AJ749" s="929"/>
      <c r="AK749" s="929"/>
    </row>
    <row r="750" spans="1:37" s="376" customFormat="1" ht="22.5" outlineLevel="2" x14ac:dyDescent="0.3">
      <c r="A750" s="447">
        <f t="shared" si="165"/>
        <v>62</v>
      </c>
      <c r="B750" s="893"/>
      <c r="C750" s="910"/>
      <c r="D750" s="923"/>
      <c r="E750" s="923"/>
      <c r="F750" s="896"/>
      <c r="G750" s="894"/>
      <c r="H750" s="924"/>
      <c r="I750" s="882"/>
      <c r="J750" s="925"/>
      <c r="K750" s="899" t="str">
        <f>IF(G750&lt;&gt;0,VLOOKUP(G750,'gia dat'!$A$1:$F$144,5,0)," ")</f>
        <v xml:space="preserve"> </v>
      </c>
      <c r="L750" s="899" t="str">
        <f>IF(G750&lt;&gt;0,VLOOKUP(G750,'gia dat'!$A$1:$F$144,6,0)," ")</f>
        <v xml:space="preserve"> </v>
      </c>
      <c r="M750" s="900" t="str">
        <f t="shared" si="159"/>
        <v xml:space="preserve"> </v>
      </c>
      <c r="N750" s="900" t="str">
        <f t="shared" si="160"/>
        <v xml:space="preserve"> </v>
      </c>
      <c r="O750" s="973"/>
      <c r="P750" s="999"/>
      <c r="Q750" s="900" t="str">
        <f>IF(O750&lt;&gt;0,VLOOKUP(O750,'Cây trong'!$A$2:$C$246,3,0)," ")</f>
        <v xml:space="preserve"> </v>
      </c>
      <c r="R750" s="900" t="str">
        <f t="shared" si="162"/>
        <v xml:space="preserve"> </v>
      </c>
      <c r="S750" s="975"/>
      <c r="T750" s="974"/>
      <c r="U750" s="927"/>
      <c r="V750" s="925"/>
      <c r="W750" s="900" t="str">
        <f>IF(S750&lt;&gt;0,VLOOKUP(S750,VKT!$A$2:$G$415,7,0),"")</f>
        <v/>
      </c>
      <c r="X750" s="900" t="str">
        <f t="shared" si="156"/>
        <v xml:space="preserve"> </v>
      </c>
      <c r="Y750" s="925"/>
      <c r="Z750" s="928"/>
      <c r="AA750" s="928"/>
      <c r="AB750" s="904"/>
      <c r="AC750" s="928"/>
      <c r="AD750" s="928"/>
      <c r="AE750" s="928"/>
      <c r="AF750" s="926"/>
      <c r="AG750" s="906" t="str">
        <f>IF(AE750&lt;&gt;0,VLOOKUP(AE750,ODDS!$A$2:$C$13,3,0),"")</f>
        <v/>
      </c>
      <c r="AH750" s="906" t="str">
        <f t="shared" si="163"/>
        <v xml:space="preserve"> </v>
      </c>
      <c r="AI750" s="907" t="str">
        <f t="shared" si="161"/>
        <v xml:space="preserve"> </v>
      </c>
      <c r="AJ750" s="929"/>
      <c r="AK750" s="929"/>
    </row>
    <row r="751" spans="1:37" s="376" customFormat="1" ht="22.5" outlineLevel="1" x14ac:dyDescent="0.25">
      <c r="A751" s="467" t="s">
        <v>2647</v>
      </c>
      <c r="B751" s="912">
        <v>63</v>
      </c>
      <c r="C751" s="910" t="s">
        <v>42</v>
      </c>
      <c r="D751" s="931"/>
      <c r="E751" s="931"/>
      <c r="F751" s="913"/>
      <c r="G751" s="910"/>
      <c r="H751" s="953">
        <f>SUBTOTAL(9,H752:H759)</f>
        <v>1100.2</v>
      </c>
      <c r="I751" s="915">
        <f>SUBTOTAL(9,I752:I757)</f>
        <v>1100.2</v>
      </c>
      <c r="J751" s="933"/>
      <c r="K751" s="917"/>
      <c r="L751" s="917"/>
      <c r="M751" s="907">
        <f>SUBTOTAL(9,M752:M759)</f>
        <v>512253000</v>
      </c>
      <c r="N751" s="907">
        <f>SUBTOTAL(9,N752:N759)</f>
        <v>1536759000</v>
      </c>
      <c r="O751" s="910"/>
      <c r="P751" s="935">
        <f>SUBTOTAL(9,P752:P759)</f>
        <v>0</v>
      </c>
      <c r="Q751" s="907"/>
      <c r="R751" s="907">
        <f>SUBTOTAL(9,R752:R759)</f>
        <v>0</v>
      </c>
      <c r="S751" s="918"/>
      <c r="T751" s="933"/>
      <c r="U751" s="936">
        <f>SUBTOTAL(9,U752:U759)</f>
        <v>0</v>
      </c>
      <c r="V751" s="933"/>
      <c r="W751" s="907"/>
      <c r="X751" s="907">
        <f>SUBTOTAL(9,X752:X759)</f>
        <v>0</v>
      </c>
      <c r="Y751" s="925"/>
      <c r="Z751" s="928"/>
      <c r="AA751" s="928"/>
      <c r="AB751" s="904"/>
      <c r="AC751" s="928"/>
      <c r="AD751" s="928"/>
      <c r="AE751" s="937"/>
      <c r="AF751" s="935">
        <f>SUBTOTAL(9,AF752:AF759)</f>
        <v>0</v>
      </c>
      <c r="AG751" s="921"/>
      <c r="AH751" s="921">
        <f>SUBTOTAL(9,AH752:AH759)</f>
        <v>0</v>
      </c>
      <c r="AI751" s="907">
        <f t="shared" si="161"/>
        <v>2049012000</v>
      </c>
      <c r="AJ751" s="910"/>
      <c r="AK751" s="914"/>
    </row>
    <row r="752" spans="1:37" s="376" customFormat="1" ht="135" outlineLevel="2" x14ac:dyDescent="0.3">
      <c r="A752" s="447">
        <f>IF(B751&lt;&gt;0,B751,A750)</f>
        <v>63</v>
      </c>
      <c r="B752" s="893"/>
      <c r="C752" s="972" t="s">
        <v>235</v>
      </c>
      <c r="D752" s="923">
        <v>6</v>
      </c>
      <c r="E752" s="923">
        <v>86</v>
      </c>
      <c r="F752" s="896">
        <v>709</v>
      </c>
      <c r="G752" s="894" t="s">
        <v>2863</v>
      </c>
      <c r="H752" s="924">
        <v>1092.8</v>
      </c>
      <c r="I752" s="882">
        <f t="shared" ref="I752:I753" si="166">IF(N752&gt;0,H752,"")</f>
        <v>1092.8</v>
      </c>
      <c r="J752" s="925"/>
      <c r="K752" s="899">
        <f>IF(G752&lt;&gt;0,VLOOKUP(G752,'gia dat'!$A$1:$F$144,5,0)," ")</f>
        <v>465600</v>
      </c>
      <c r="L752" s="899">
        <f>IF(G752&lt;&gt;0,VLOOKUP(G752,'gia dat'!$A$1:$F$144,6,0)," ")</f>
        <v>1396800</v>
      </c>
      <c r="M752" s="900">
        <f t="shared" si="159"/>
        <v>508808000</v>
      </c>
      <c r="N752" s="900">
        <f t="shared" si="160"/>
        <v>1526423000</v>
      </c>
      <c r="O752" s="894"/>
      <c r="P752" s="926"/>
      <c r="Q752" s="900" t="str">
        <f>IF(O752&lt;&gt;0,VLOOKUP(O752,'Cây trong'!$A$2:$C$246,3,0)," ")</f>
        <v xml:space="preserve"> </v>
      </c>
      <c r="R752" s="900" t="str">
        <f t="shared" si="162"/>
        <v xml:space="preserve"> </v>
      </c>
      <c r="S752" s="902"/>
      <c r="T752" s="925"/>
      <c r="U752" s="927"/>
      <c r="V752" s="925"/>
      <c r="W752" s="900" t="str">
        <f>IF(S752&lt;&gt;0,VLOOKUP(S752,VKT!$A$2:$G$415,7,0),"")</f>
        <v/>
      </c>
      <c r="X752" s="900" t="str">
        <f t="shared" si="156"/>
        <v xml:space="preserve"> </v>
      </c>
      <c r="Y752" s="925"/>
      <c r="Z752" s="928"/>
      <c r="AA752" s="928"/>
      <c r="AB752" s="904"/>
      <c r="AC752" s="928"/>
      <c r="AD752" s="928"/>
      <c r="AE752" s="928"/>
      <c r="AF752" s="926"/>
      <c r="AG752" s="906" t="str">
        <f>IF(AE752&lt;&gt;0,VLOOKUP(AE752,ODDS!$A$2:$C$13,3,0),"")</f>
        <v/>
      </c>
      <c r="AH752" s="906"/>
      <c r="AI752" s="907" t="str">
        <f t="shared" si="161"/>
        <v xml:space="preserve"> </v>
      </c>
      <c r="AJ752" s="894" t="s">
        <v>1710</v>
      </c>
      <c r="AK752" s="922" t="s">
        <v>2771</v>
      </c>
    </row>
    <row r="753" spans="1:37" s="376" customFormat="1" ht="135" outlineLevel="2" x14ac:dyDescent="0.3">
      <c r="A753" s="447">
        <f t="shared" ref="A753:A759" si="167">IF(B752&lt;&gt;0,B752,A752)</f>
        <v>63</v>
      </c>
      <c r="B753" s="893"/>
      <c r="C753" s="972" t="s">
        <v>697</v>
      </c>
      <c r="D753" s="923"/>
      <c r="E753" s="923"/>
      <c r="F753" s="896"/>
      <c r="G753" s="894" t="s">
        <v>2879</v>
      </c>
      <c r="H753" s="924">
        <v>7.4</v>
      </c>
      <c r="I753" s="882">
        <f t="shared" si="166"/>
        <v>7.4</v>
      </c>
      <c r="J753" s="925"/>
      <c r="K753" s="899">
        <f>IF(G753&lt;&gt;0,VLOOKUP(G753,'gia dat'!$A$1:$F$144,5,0)," ")</f>
        <v>465600</v>
      </c>
      <c r="L753" s="899">
        <f>IF(G753&lt;&gt;0,VLOOKUP(G753,'gia dat'!$A$1:$F$144,6,0)," ")</f>
        <v>1396800</v>
      </c>
      <c r="M753" s="900">
        <f t="shared" si="159"/>
        <v>3445000</v>
      </c>
      <c r="N753" s="900">
        <f t="shared" si="160"/>
        <v>10336000</v>
      </c>
      <c r="O753" s="894"/>
      <c r="P753" s="926"/>
      <c r="Q753" s="900" t="str">
        <f>IF(O753&lt;&gt;0,VLOOKUP(O753,'Cây trong'!$A$2:$C$246,3,0)," ")</f>
        <v xml:space="preserve"> </v>
      </c>
      <c r="R753" s="900" t="str">
        <f t="shared" si="162"/>
        <v xml:space="preserve"> </v>
      </c>
      <c r="S753" s="973"/>
      <c r="T753" s="974"/>
      <c r="U753" s="927"/>
      <c r="V753" s="925"/>
      <c r="W753" s="900" t="str">
        <f>IF(S753&lt;&gt;0,VLOOKUP(S753,VKT!$A$2:$G$415,7,0),"")</f>
        <v/>
      </c>
      <c r="X753" s="900" t="str">
        <f t="shared" si="156"/>
        <v xml:space="preserve"> </v>
      </c>
      <c r="Y753" s="925"/>
      <c r="Z753" s="928"/>
      <c r="AA753" s="928"/>
      <c r="AB753" s="904"/>
      <c r="AC753" s="928"/>
      <c r="AD753" s="928"/>
      <c r="AE753" s="928"/>
      <c r="AF753" s="926"/>
      <c r="AG753" s="906" t="str">
        <f>IF(AE753&lt;&gt;0,VLOOKUP(AE753,ODDS!$A$2:$C$13,3,0),"")</f>
        <v/>
      </c>
      <c r="AH753" s="906" t="str">
        <f t="shared" si="163"/>
        <v xml:space="preserve"> </v>
      </c>
      <c r="AI753" s="907" t="str">
        <f t="shared" si="161"/>
        <v xml:space="preserve"> </v>
      </c>
      <c r="AJ753" s="894" t="s">
        <v>566</v>
      </c>
      <c r="AK753" s="894" t="s">
        <v>2448</v>
      </c>
    </row>
    <row r="754" spans="1:37" s="376" customFormat="1" ht="135" outlineLevel="2" x14ac:dyDescent="0.3">
      <c r="A754" s="447">
        <f t="shared" si="167"/>
        <v>63</v>
      </c>
      <c r="B754" s="893"/>
      <c r="C754" s="972"/>
      <c r="D754" s="923"/>
      <c r="E754" s="923"/>
      <c r="F754" s="896"/>
      <c r="G754" s="894"/>
      <c r="H754" s="924"/>
      <c r="I754" s="882"/>
      <c r="J754" s="925"/>
      <c r="K754" s="899" t="str">
        <f>IF(G754&lt;&gt;0,VLOOKUP(G754,'gia dat'!$A$1:$F$144,5,0)," ")</f>
        <v xml:space="preserve"> </v>
      </c>
      <c r="L754" s="899" t="str">
        <f>IF(G754&lt;&gt;0,VLOOKUP(G754,'gia dat'!$A$1:$F$144,6,0)," ")</f>
        <v xml:space="preserve"> </v>
      </c>
      <c r="M754" s="900" t="str">
        <f t="shared" si="159"/>
        <v xml:space="preserve"> </v>
      </c>
      <c r="N754" s="900" t="str">
        <f t="shared" si="160"/>
        <v xml:space="preserve"> </v>
      </c>
      <c r="O754" s="894"/>
      <c r="P754" s="926"/>
      <c r="Q754" s="900" t="str">
        <f>IF(O754&lt;&gt;0,VLOOKUP(O754,'Cây trong'!$A$2:$C$246,3,0)," ")</f>
        <v xml:space="preserve"> </v>
      </c>
      <c r="R754" s="900" t="str">
        <f t="shared" si="162"/>
        <v xml:space="preserve"> </v>
      </c>
      <c r="S754" s="902"/>
      <c r="T754" s="925"/>
      <c r="U754" s="927"/>
      <c r="V754" s="925"/>
      <c r="W754" s="900" t="str">
        <f>IF(S754&lt;&gt;0,VLOOKUP(S754,VKT!$A$2:$G$415,7,0),"")</f>
        <v/>
      </c>
      <c r="X754" s="900" t="str">
        <f t="shared" si="156"/>
        <v xml:space="preserve"> </v>
      </c>
      <c r="Y754" s="925"/>
      <c r="Z754" s="928"/>
      <c r="AA754" s="928"/>
      <c r="AB754" s="904"/>
      <c r="AC754" s="928"/>
      <c r="AD754" s="928"/>
      <c r="AE754" s="928"/>
      <c r="AF754" s="926"/>
      <c r="AG754" s="906" t="str">
        <f>IF(AE754&lt;&gt;0,VLOOKUP(AE754,ODDS!$A$2:$C$13,3,0),"")</f>
        <v/>
      </c>
      <c r="AH754" s="906" t="str">
        <f t="shared" si="163"/>
        <v xml:space="preserve"> </v>
      </c>
      <c r="AI754" s="907" t="str">
        <f t="shared" si="161"/>
        <v xml:space="preserve"> </v>
      </c>
      <c r="AJ754" s="894" t="s">
        <v>2046</v>
      </c>
      <c r="AK754" s="929"/>
    </row>
    <row r="755" spans="1:37" s="376" customFormat="1" ht="43.5" outlineLevel="2" x14ac:dyDescent="0.3">
      <c r="A755" s="447">
        <f t="shared" si="167"/>
        <v>63</v>
      </c>
      <c r="B755" s="893"/>
      <c r="C755" s="894"/>
      <c r="D755" s="923"/>
      <c r="E755" s="923"/>
      <c r="F755" s="950"/>
      <c r="G755" s="894"/>
      <c r="H755" s="940"/>
      <c r="I755" s="882"/>
      <c r="J755" s="929"/>
      <c r="K755" s="899" t="str">
        <f>IF(G755&lt;&gt;0,VLOOKUP(G755,'gia dat'!$A$1:$F$144,5,0)," ")</f>
        <v xml:space="preserve"> </v>
      </c>
      <c r="L755" s="899" t="str">
        <f>IF(G755&lt;&gt;0,VLOOKUP(G755,'gia dat'!$A$1:$F$144,6,0)," ")</f>
        <v xml:space="preserve"> </v>
      </c>
      <c r="M755" s="900" t="str">
        <f t="shared" si="159"/>
        <v xml:space="preserve"> </v>
      </c>
      <c r="N755" s="900" t="str">
        <f t="shared" si="160"/>
        <v xml:space="preserve"> </v>
      </c>
      <c r="O755" s="929"/>
      <c r="P755" s="951"/>
      <c r="Q755" s="900" t="str">
        <f>IF(O755&lt;&gt;0,VLOOKUP(O755,'Cây trong'!$A$2:$C$246,3,0)," ")</f>
        <v xml:space="preserve"> </v>
      </c>
      <c r="R755" s="900" t="str">
        <f t="shared" si="162"/>
        <v xml:space="preserve"> </v>
      </c>
      <c r="S755" s="929"/>
      <c r="T755" s="929"/>
      <c r="U755" s="952"/>
      <c r="V755" s="925"/>
      <c r="W755" s="900" t="str">
        <f>IF(S755&lt;&gt;0,VLOOKUP(S755,VKT!$A$2:$G$415,7,0),"")</f>
        <v/>
      </c>
      <c r="X755" s="900" t="str">
        <f t="shared" si="156"/>
        <v xml:space="preserve"> </v>
      </c>
      <c r="Y755" s="925"/>
      <c r="Z755" s="925"/>
      <c r="AA755" s="925"/>
      <c r="AB755" s="898"/>
      <c r="AC755" s="925"/>
      <c r="AD755" s="925"/>
      <c r="AE755" s="925"/>
      <c r="AF755" s="964"/>
      <c r="AG755" s="906" t="str">
        <f>IF(AE755&lt;&gt;0,VLOOKUP(AE755,ODDS!$A$2:$C$13,3,0),"")</f>
        <v/>
      </c>
      <c r="AH755" s="906" t="str">
        <f t="shared" si="163"/>
        <v xml:space="preserve"> </v>
      </c>
      <c r="AI755" s="907" t="str">
        <f t="shared" si="161"/>
        <v xml:space="preserve"> </v>
      </c>
      <c r="AJ755" s="910" t="s">
        <v>2070</v>
      </c>
      <c r="AK755" s="894"/>
    </row>
    <row r="756" spans="1:37" s="376" customFormat="1" ht="67.5" outlineLevel="2" x14ac:dyDescent="0.3">
      <c r="A756" s="447">
        <f t="shared" si="167"/>
        <v>63</v>
      </c>
      <c r="B756" s="893"/>
      <c r="C756" s="972"/>
      <c r="D756" s="923"/>
      <c r="E756" s="923"/>
      <c r="F756" s="896"/>
      <c r="G756" s="894"/>
      <c r="H756" s="924"/>
      <c r="I756" s="882"/>
      <c r="J756" s="925"/>
      <c r="K756" s="899" t="str">
        <f>IF(G756&lt;&gt;0,VLOOKUP(G756,'gia dat'!$A$1:$F$144,5,0)," ")</f>
        <v xml:space="preserve"> </v>
      </c>
      <c r="L756" s="899" t="str">
        <f>IF(G756&lt;&gt;0,VLOOKUP(G756,'gia dat'!$A$1:$F$144,6,0)," ")</f>
        <v xml:space="preserve"> </v>
      </c>
      <c r="M756" s="900" t="str">
        <f t="shared" si="159"/>
        <v xml:space="preserve"> </v>
      </c>
      <c r="N756" s="900" t="str">
        <f t="shared" si="160"/>
        <v xml:space="preserve"> </v>
      </c>
      <c r="O756" s="894"/>
      <c r="P756" s="926"/>
      <c r="Q756" s="900" t="str">
        <f>IF(O756&lt;&gt;0,VLOOKUP(O756,'Cây trong'!$A$2:$C$246,3,0)," ")</f>
        <v xml:space="preserve"> </v>
      </c>
      <c r="R756" s="900" t="str">
        <f t="shared" si="162"/>
        <v xml:space="preserve"> </v>
      </c>
      <c r="S756" s="902"/>
      <c r="T756" s="925"/>
      <c r="U756" s="927"/>
      <c r="V756" s="925"/>
      <c r="W756" s="900" t="str">
        <f>IF(S756&lt;&gt;0,VLOOKUP(S756,VKT!$A$2:$G$415,7,0),"")</f>
        <v/>
      </c>
      <c r="X756" s="900" t="str">
        <f t="shared" si="156"/>
        <v xml:space="preserve"> </v>
      </c>
      <c r="Y756" s="925"/>
      <c r="Z756" s="928"/>
      <c r="AA756" s="928"/>
      <c r="AB756" s="904"/>
      <c r="AC756" s="928"/>
      <c r="AD756" s="928"/>
      <c r="AE756" s="928"/>
      <c r="AF756" s="926"/>
      <c r="AG756" s="906" t="str">
        <f>IF(AE756&lt;&gt;0,VLOOKUP(AE756,ODDS!$A$2:$C$13,3,0),"")</f>
        <v/>
      </c>
      <c r="AH756" s="906" t="str">
        <f t="shared" si="163"/>
        <v xml:space="preserve"> </v>
      </c>
      <c r="AI756" s="907" t="str">
        <f t="shared" si="161"/>
        <v xml:space="preserve"> </v>
      </c>
      <c r="AJ756" s="894" t="s">
        <v>2074</v>
      </c>
      <c r="AK756" s="894"/>
    </row>
    <row r="757" spans="1:37" s="376" customFormat="1" ht="22.5" outlineLevel="2" x14ac:dyDescent="0.35">
      <c r="A757" s="447">
        <f t="shared" si="167"/>
        <v>63</v>
      </c>
      <c r="B757" s="893"/>
      <c r="C757" s="972"/>
      <c r="D757" s="923"/>
      <c r="E757" s="923"/>
      <c r="F757" s="896"/>
      <c r="G757" s="894"/>
      <c r="H757" s="924"/>
      <c r="I757" s="882"/>
      <c r="J757" s="925"/>
      <c r="K757" s="899" t="str">
        <f>IF(G757&lt;&gt;0,VLOOKUP(G757,'gia dat'!$A$1:$F$144,5,0)," ")</f>
        <v xml:space="preserve"> </v>
      </c>
      <c r="L757" s="899" t="str">
        <f>IF(G757&lt;&gt;0,VLOOKUP(G757,'gia dat'!$A$1:$F$144,6,0)," ")</f>
        <v xml:space="preserve"> </v>
      </c>
      <c r="M757" s="900" t="str">
        <f t="shared" si="159"/>
        <v xml:space="preserve"> </v>
      </c>
      <c r="N757" s="900" t="str">
        <f t="shared" si="160"/>
        <v xml:space="preserve"> </v>
      </c>
      <c r="O757" s="894"/>
      <c r="P757" s="926"/>
      <c r="Q757" s="900" t="str">
        <f>IF(O757&lt;&gt;0,VLOOKUP(O757,'Cây trong'!$A$2:$C$246,3,0)," ")</f>
        <v xml:space="preserve"> </v>
      </c>
      <c r="R757" s="900" t="str">
        <f t="shared" si="162"/>
        <v xml:space="preserve"> </v>
      </c>
      <c r="S757" s="902"/>
      <c r="T757" s="925"/>
      <c r="U757" s="927"/>
      <c r="V757" s="925"/>
      <c r="W757" s="900" t="str">
        <f>IF(S757&lt;&gt;0,VLOOKUP(S757,VKT!$A$2:$G$415,7,0),"")</f>
        <v/>
      </c>
      <c r="X757" s="900" t="str">
        <f t="shared" si="156"/>
        <v xml:space="preserve"> </v>
      </c>
      <c r="Y757" s="925"/>
      <c r="Z757" s="928"/>
      <c r="AA757" s="928"/>
      <c r="AB757" s="904"/>
      <c r="AC757" s="928"/>
      <c r="AD757" s="928"/>
      <c r="AE757" s="928"/>
      <c r="AF757" s="926"/>
      <c r="AG757" s="906" t="str">
        <f>IF(AE757&lt;&gt;0,VLOOKUP(AE757,ODDS!$A$2:$C$13,3,0),"")</f>
        <v/>
      </c>
      <c r="AH757" s="906" t="str">
        <f t="shared" si="163"/>
        <v xml:space="preserve"> </v>
      </c>
      <c r="AI757" s="907" t="str">
        <f t="shared" si="161"/>
        <v xml:space="preserve"> </v>
      </c>
      <c r="AJ757" s="1014"/>
      <c r="AK757" s="894"/>
    </row>
    <row r="758" spans="1:37" s="376" customFormat="1" ht="22.5" outlineLevel="2" x14ac:dyDescent="0.3">
      <c r="A758" s="447">
        <f t="shared" si="167"/>
        <v>63</v>
      </c>
      <c r="B758" s="893"/>
      <c r="C758" s="972"/>
      <c r="D758" s="923"/>
      <c r="E758" s="923"/>
      <c r="F758" s="896"/>
      <c r="G758" s="894"/>
      <c r="H758" s="924"/>
      <c r="I758" s="882"/>
      <c r="J758" s="925"/>
      <c r="K758" s="899" t="str">
        <f>IF(G758&lt;&gt;0,VLOOKUP(G758,'gia dat'!$A$1:$F$144,5,0)," ")</f>
        <v xml:space="preserve"> </v>
      </c>
      <c r="L758" s="899" t="str">
        <f>IF(G758&lt;&gt;0,VLOOKUP(G758,'gia dat'!$A$1:$F$144,6,0)," ")</f>
        <v xml:space="preserve"> </v>
      </c>
      <c r="M758" s="900" t="str">
        <f t="shared" si="159"/>
        <v xml:space="preserve"> </v>
      </c>
      <c r="N758" s="900" t="str">
        <f t="shared" si="160"/>
        <v xml:space="preserve"> </v>
      </c>
      <c r="O758" s="894"/>
      <c r="P758" s="926"/>
      <c r="Q758" s="900" t="str">
        <f>IF(O758&lt;&gt;0,VLOOKUP(O758,'Cây trong'!$A$2:$C$246,3,0)," ")</f>
        <v xml:space="preserve"> </v>
      </c>
      <c r="R758" s="900" t="str">
        <f t="shared" si="162"/>
        <v xml:space="preserve"> </v>
      </c>
      <c r="S758" s="975"/>
      <c r="T758" s="974"/>
      <c r="U758" s="927"/>
      <c r="V758" s="925"/>
      <c r="W758" s="900" t="str">
        <f>IF(S758&lt;&gt;0,VLOOKUP(S758,VKT!$A$2:$G$415,7,0),"")</f>
        <v/>
      </c>
      <c r="X758" s="900" t="str">
        <f t="shared" si="156"/>
        <v xml:space="preserve"> </v>
      </c>
      <c r="Y758" s="925"/>
      <c r="Z758" s="928"/>
      <c r="AA758" s="928"/>
      <c r="AB758" s="904"/>
      <c r="AC758" s="928"/>
      <c r="AD758" s="928"/>
      <c r="AE758" s="928"/>
      <c r="AF758" s="926"/>
      <c r="AG758" s="906" t="str">
        <f>IF(AE758&lt;&gt;0,VLOOKUP(AE758,ODDS!$A$2:$C$13,3,0),"")</f>
        <v/>
      </c>
      <c r="AH758" s="906" t="str">
        <f t="shared" si="163"/>
        <v xml:space="preserve"> </v>
      </c>
      <c r="AI758" s="907" t="str">
        <f t="shared" si="161"/>
        <v xml:space="preserve"> </v>
      </c>
      <c r="AJ758" s="929"/>
      <c r="AK758" s="929"/>
    </row>
    <row r="759" spans="1:37" s="376" customFormat="1" ht="22.5" outlineLevel="2" x14ac:dyDescent="0.3">
      <c r="A759" s="447">
        <f t="shared" si="167"/>
        <v>63</v>
      </c>
      <c r="B759" s="893"/>
      <c r="C759" s="971"/>
      <c r="D759" s="923"/>
      <c r="E759" s="923"/>
      <c r="F759" s="896"/>
      <c r="G759" s="894"/>
      <c r="H759" s="924"/>
      <c r="I759" s="882"/>
      <c r="J759" s="925"/>
      <c r="K759" s="899" t="str">
        <f>IF(G759&lt;&gt;0,VLOOKUP(G759,'gia dat'!$A$1:$F$144,5,0)," ")</f>
        <v xml:space="preserve"> </v>
      </c>
      <c r="L759" s="899" t="str">
        <f>IF(G759&lt;&gt;0,VLOOKUP(G759,'gia dat'!$A$1:$F$144,6,0)," ")</f>
        <v xml:space="preserve"> </v>
      </c>
      <c r="M759" s="900" t="str">
        <f t="shared" si="159"/>
        <v xml:space="preserve"> </v>
      </c>
      <c r="N759" s="900" t="str">
        <f t="shared" si="160"/>
        <v xml:space="preserve"> </v>
      </c>
      <c r="O759" s="894"/>
      <c r="P759" s="926"/>
      <c r="Q759" s="900" t="str">
        <f>IF(O759&lt;&gt;0,VLOOKUP(O759,'Cây trong'!$A$2:$C$246,3,0)," ")</f>
        <v xml:space="preserve"> </v>
      </c>
      <c r="R759" s="900" t="str">
        <f t="shared" si="162"/>
        <v xml:space="preserve"> </v>
      </c>
      <c r="S759" s="973"/>
      <c r="T759" s="974"/>
      <c r="U759" s="927"/>
      <c r="V759" s="925"/>
      <c r="W759" s="900" t="str">
        <f>IF(S759&lt;&gt;0,VLOOKUP(S759,VKT!$A$2:$G$415,7,0),"")</f>
        <v/>
      </c>
      <c r="X759" s="900" t="str">
        <f t="shared" si="156"/>
        <v xml:space="preserve"> </v>
      </c>
      <c r="Y759" s="925"/>
      <c r="Z759" s="928"/>
      <c r="AA759" s="928"/>
      <c r="AB759" s="904"/>
      <c r="AC759" s="928"/>
      <c r="AD759" s="928"/>
      <c r="AE759" s="928"/>
      <c r="AF759" s="926"/>
      <c r="AG759" s="906" t="str">
        <f>IF(AE759&lt;&gt;0,VLOOKUP(AE759,ODDS!$A$2:$C$13,3,0),"")</f>
        <v/>
      </c>
      <c r="AH759" s="906" t="str">
        <f t="shared" si="163"/>
        <v xml:space="preserve"> </v>
      </c>
      <c r="AI759" s="907" t="str">
        <f t="shared" si="161"/>
        <v xml:space="preserve"> </v>
      </c>
      <c r="AJ759" s="929"/>
      <c r="AK759" s="929"/>
    </row>
    <row r="760" spans="1:37" s="376" customFormat="1" ht="43.5" outlineLevel="1" x14ac:dyDescent="0.25">
      <c r="A760" s="467" t="s">
        <v>2646</v>
      </c>
      <c r="B760" s="912">
        <v>64</v>
      </c>
      <c r="C760" s="971" t="s">
        <v>43</v>
      </c>
      <c r="D760" s="931"/>
      <c r="E760" s="931"/>
      <c r="F760" s="913"/>
      <c r="G760" s="910"/>
      <c r="H760" s="953">
        <f>SUBTOTAL(9,H761:H766)</f>
        <v>2031</v>
      </c>
      <c r="I760" s="915">
        <f>SUBTOTAL(9,I761:I766)</f>
        <v>2031</v>
      </c>
      <c r="J760" s="933"/>
      <c r="K760" s="917"/>
      <c r="L760" s="917"/>
      <c r="M760" s="907">
        <f>SUBTOTAL(9,M761:M766)</f>
        <v>945634000</v>
      </c>
      <c r="N760" s="907">
        <f>SUBTOTAL(9,N761:N766)</f>
        <v>2836901000</v>
      </c>
      <c r="O760" s="910"/>
      <c r="P760" s="935">
        <f>SUBTOTAL(9,P761:P766)</f>
        <v>0</v>
      </c>
      <c r="Q760" s="907"/>
      <c r="R760" s="907">
        <f>SUBTOTAL(9,R761:R766)</f>
        <v>0</v>
      </c>
      <c r="S760" s="918"/>
      <c r="T760" s="933"/>
      <c r="U760" s="936">
        <f>SUBTOTAL(9,U761:U766)</f>
        <v>0</v>
      </c>
      <c r="V760" s="933"/>
      <c r="W760" s="907"/>
      <c r="X760" s="907">
        <f>SUBTOTAL(9,X761:X766)</f>
        <v>0</v>
      </c>
      <c r="Y760" s="925"/>
      <c r="Z760" s="928"/>
      <c r="AA760" s="928"/>
      <c r="AB760" s="904"/>
      <c r="AC760" s="928"/>
      <c r="AD760" s="928"/>
      <c r="AE760" s="937"/>
      <c r="AF760" s="935">
        <f>SUBTOTAL(9,AF761:AF766)</f>
        <v>0</v>
      </c>
      <c r="AG760" s="921"/>
      <c r="AH760" s="921">
        <f>SUBTOTAL(9,AH761:AH766)</f>
        <v>0</v>
      </c>
      <c r="AI760" s="907">
        <f t="shared" si="161"/>
        <v>3782535000</v>
      </c>
      <c r="AJ760" s="910"/>
      <c r="AK760" s="914"/>
    </row>
    <row r="761" spans="1:37" s="376" customFormat="1" ht="135" outlineLevel="2" x14ac:dyDescent="0.3">
      <c r="A761" s="447">
        <f>IF(B760&lt;&gt;0,B760,A759)</f>
        <v>64</v>
      </c>
      <c r="B761" s="893"/>
      <c r="C761" s="972" t="s">
        <v>236</v>
      </c>
      <c r="D761" s="923">
        <v>3</v>
      </c>
      <c r="E761" s="923">
        <v>86</v>
      </c>
      <c r="F761" s="896">
        <v>710</v>
      </c>
      <c r="G761" s="894" t="s">
        <v>2863</v>
      </c>
      <c r="H761" s="924">
        <v>2017.1</v>
      </c>
      <c r="I761" s="882">
        <f t="shared" ref="I761:I762" si="168">IF(N761&gt;0,H761,"")</f>
        <v>2017.1</v>
      </c>
      <c r="J761" s="925"/>
      <c r="K761" s="899">
        <f>IF(G761&lt;&gt;0,VLOOKUP(G761,'gia dat'!$A$1:$F$144,5,0)," ")</f>
        <v>465600</v>
      </c>
      <c r="L761" s="899">
        <f>IF(G761&lt;&gt;0,VLOOKUP(G761,'gia dat'!$A$1:$F$144,6,0)," ")</f>
        <v>1396800</v>
      </c>
      <c r="M761" s="900">
        <f t="shared" si="159"/>
        <v>939162000</v>
      </c>
      <c r="N761" s="900">
        <f t="shared" si="160"/>
        <v>2817485000</v>
      </c>
      <c r="O761" s="894"/>
      <c r="P761" s="926"/>
      <c r="Q761" s="900" t="str">
        <f>IF(O761&lt;&gt;0,VLOOKUP(O761,'Cây trong'!$A$2:$C$246,3,0)," ")</f>
        <v xml:space="preserve"> </v>
      </c>
      <c r="R761" s="900" t="str">
        <f t="shared" si="162"/>
        <v xml:space="preserve"> </v>
      </c>
      <c r="S761" s="902"/>
      <c r="T761" s="925"/>
      <c r="U761" s="927"/>
      <c r="V761" s="925"/>
      <c r="W761" s="900" t="str">
        <f>IF(S761&lt;&gt;0,VLOOKUP(S761,VKT!$A$2:$G$415,7,0),"")</f>
        <v/>
      </c>
      <c r="X761" s="900" t="str">
        <f t="shared" si="156"/>
        <v xml:space="preserve"> </v>
      </c>
      <c r="Y761" s="925"/>
      <c r="Z761" s="928"/>
      <c r="AA761" s="928"/>
      <c r="AB761" s="904"/>
      <c r="AC761" s="928"/>
      <c r="AD761" s="928"/>
      <c r="AE761" s="928"/>
      <c r="AF761" s="926"/>
      <c r="AG761" s="906" t="str">
        <f>IF(AE761&lt;&gt;0,VLOOKUP(AE761,ODDS!$A$2:$C$13,3,0),"")</f>
        <v/>
      </c>
      <c r="AH761" s="906"/>
      <c r="AI761" s="907" t="str">
        <f t="shared" si="161"/>
        <v xml:space="preserve"> </v>
      </c>
      <c r="AJ761" s="894" t="s">
        <v>1712</v>
      </c>
      <c r="AK761" s="922" t="s">
        <v>2771</v>
      </c>
    </row>
    <row r="762" spans="1:37" s="376" customFormat="1" ht="135" outlineLevel="2" x14ac:dyDescent="0.3">
      <c r="A762" s="447">
        <f>IF(B761&lt;&gt;0,B761,A761)</f>
        <v>64</v>
      </c>
      <c r="B762" s="893"/>
      <c r="C762" s="894" t="s">
        <v>698</v>
      </c>
      <c r="D762" s="923"/>
      <c r="E762" s="923"/>
      <c r="F762" s="896"/>
      <c r="G762" s="894" t="s">
        <v>2879</v>
      </c>
      <c r="H762" s="924">
        <v>13.9</v>
      </c>
      <c r="I762" s="882">
        <f t="shared" si="168"/>
        <v>13.9</v>
      </c>
      <c r="J762" s="925"/>
      <c r="K762" s="899">
        <f>IF(G762&lt;&gt;0,VLOOKUP(G762,'gia dat'!$A$1:$F$144,5,0)," ")</f>
        <v>465600</v>
      </c>
      <c r="L762" s="899">
        <f>IF(G762&lt;&gt;0,VLOOKUP(G762,'gia dat'!$A$1:$F$144,6,0)," ")</f>
        <v>1396800</v>
      </c>
      <c r="M762" s="900">
        <f t="shared" si="159"/>
        <v>6472000</v>
      </c>
      <c r="N762" s="900">
        <f t="shared" si="160"/>
        <v>19416000</v>
      </c>
      <c r="O762" s="894"/>
      <c r="P762" s="926"/>
      <c r="Q762" s="900" t="str">
        <f>IF(O762&lt;&gt;0,VLOOKUP(O762,'Cây trong'!$A$2:$C$246,3,0)," ")</f>
        <v xml:space="preserve"> </v>
      </c>
      <c r="R762" s="900" t="str">
        <f t="shared" si="162"/>
        <v xml:space="preserve"> </v>
      </c>
      <c r="S762" s="902"/>
      <c r="T762" s="925"/>
      <c r="U762" s="927"/>
      <c r="V762" s="925"/>
      <c r="W762" s="900" t="str">
        <f>IF(S762&lt;&gt;0,VLOOKUP(S762,VKT!$A$2:$G$415,7,0),"")</f>
        <v/>
      </c>
      <c r="X762" s="900" t="str">
        <f t="shared" si="156"/>
        <v xml:space="preserve"> </v>
      </c>
      <c r="Y762" s="925"/>
      <c r="Z762" s="928"/>
      <c r="AA762" s="928"/>
      <c r="AB762" s="904"/>
      <c r="AC762" s="928"/>
      <c r="AD762" s="928"/>
      <c r="AE762" s="928"/>
      <c r="AF762" s="926"/>
      <c r="AG762" s="906" t="str">
        <f>IF(AE762&lt;&gt;0,VLOOKUP(AE762,ODDS!$A$2:$C$13,3,0),"")</f>
        <v/>
      </c>
      <c r="AH762" s="906" t="str">
        <f t="shared" si="163"/>
        <v xml:space="preserve"> </v>
      </c>
      <c r="AI762" s="907" t="str">
        <f t="shared" si="161"/>
        <v xml:space="preserve"> </v>
      </c>
      <c r="AJ762" s="894" t="s">
        <v>568</v>
      </c>
      <c r="AK762" s="894" t="s">
        <v>2448</v>
      </c>
    </row>
    <row r="763" spans="1:37" s="376" customFormat="1" ht="135" outlineLevel="2" x14ac:dyDescent="0.3">
      <c r="A763" s="447">
        <f>IF(B762&lt;&gt;0,B762,A762)</f>
        <v>64</v>
      </c>
      <c r="B763" s="893"/>
      <c r="C763" s="971"/>
      <c r="D763" s="923"/>
      <c r="E763" s="923"/>
      <c r="F763" s="896"/>
      <c r="G763" s="894"/>
      <c r="H763" s="924"/>
      <c r="I763" s="882"/>
      <c r="J763" s="925"/>
      <c r="K763" s="899" t="str">
        <f>IF(G763&lt;&gt;0,VLOOKUP(G763,'gia dat'!$A$1:$F$144,5,0)," ")</f>
        <v xml:space="preserve"> </v>
      </c>
      <c r="L763" s="899" t="str">
        <f>IF(G763&lt;&gt;0,VLOOKUP(G763,'gia dat'!$A$1:$F$144,6,0)," ")</f>
        <v xml:space="preserve"> </v>
      </c>
      <c r="M763" s="900" t="str">
        <f t="shared" si="159"/>
        <v xml:space="preserve"> </v>
      </c>
      <c r="N763" s="900" t="str">
        <f t="shared" si="160"/>
        <v xml:space="preserve"> </v>
      </c>
      <c r="O763" s="894"/>
      <c r="P763" s="926"/>
      <c r="Q763" s="900" t="str">
        <f>IF(O763&lt;&gt;0,VLOOKUP(O763,'Cây trong'!$A$2:$C$246,3,0)," ")</f>
        <v xml:space="preserve"> </v>
      </c>
      <c r="R763" s="900" t="str">
        <f t="shared" si="162"/>
        <v xml:space="preserve"> </v>
      </c>
      <c r="S763" s="902"/>
      <c r="T763" s="925"/>
      <c r="U763" s="927"/>
      <c r="V763" s="925"/>
      <c r="W763" s="900" t="str">
        <f>IF(S763&lt;&gt;0,VLOOKUP(S763,VKT!$A$2:$G$415,7,0),"")</f>
        <v/>
      </c>
      <c r="X763" s="900" t="str">
        <f t="shared" si="156"/>
        <v xml:space="preserve"> </v>
      </c>
      <c r="Y763" s="925"/>
      <c r="Z763" s="928"/>
      <c r="AA763" s="928"/>
      <c r="AB763" s="904"/>
      <c r="AC763" s="928"/>
      <c r="AD763" s="928"/>
      <c r="AE763" s="928"/>
      <c r="AF763" s="926"/>
      <c r="AG763" s="906" t="str">
        <f>IF(AE763&lt;&gt;0,VLOOKUP(AE763,ODDS!$A$2:$C$13,3,0),"")</f>
        <v/>
      </c>
      <c r="AH763" s="906" t="str">
        <f t="shared" si="163"/>
        <v xml:space="preserve"> </v>
      </c>
      <c r="AI763" s="907" t="str">
        <f t="shared" si="161"/>
        <v xml:space="preserve"> </v>
      </c>
      <c r="AJ763" s="894" t="s">
        <v>2047</v>
      </c>
      <c r="AK763" s="929"/>
    </row>
    <row r="764" spans="1:37" s="376" customFormat="1" ht="67.5" outlineLevel="2" x14ac:dyDescent="0.3">
      <c r="A764" s="447">
        <f>IF(B763&lt;&gt;0,B763,A763)</f>
        <v>64</v>
      </c>
      <c r="B764" s="893"/>
      <c r="C764" s="894"/>
      <c r="D764" s="923"/>
      <c r="E764" s="923"/>
      <c r="F764" s="950"/>
      <c r="G764" s="894"/>
      <c r="H764" s="940"/>
      <c r="I764" s="882"/>
      <c r="J764" s="929"/>
      <c r="K764" s="899" t="str">
        <f>IF(G764&lt;&gt;0,VLOOKUP(G764,'gia dat'!$A$1:$F$144,5,0)," ")</f>
        <v xml:space="preserve"> </v>
      </c>
      <c r="L764" s="899" t="str">
        <f>IF(G764&lt;&gt;0,VLOOKUP(G764,'gia dat'!$A$1:$F$144,6,0)," ")</f>
        <v xml:space="preserve"> </v>
      </c>
      <c r="M764" s="900" t="str">
        <f t="shared" si="159"/>
        <v xml:space="preserve"> </v>
      </c>
      <c r="N764" s="900" t="str">
        <f t="shared" si="160"/>
        <v xml:space="preserve"> </v>
      </c>
      <c r="O764" s="929"/>
      <c r="P764" s="951"/>
      <c r="Q764" s="900" t="str">
        <f>IF(O764&lt;&gt;0,VLOOKUP(O764,'Cây trong'!$A$2:$C$246,3,0)," ")</f>
        <v xml:space="preserve"> </v>
      </c>
      <c r="R764" s="900" t="str">
        <f t="shared" si="162"/>
        <v xml:space="preserve"> </v>
      </c>
      <c r="S764" s="929"/>
      <c r="T764" s="929"/>
      <c r="U764" s="952"/>
      <c r="V764" s="925"/>
      <c r="W764" s="900" t="str">
        <f>IF(S764&lt;&gt;0,VLOOKUP(S764,VKT!$A$2:$G$415,7,0),"")</f>
        <v/>
      </c>
      <c r="X764" s="900" t="str">
        <f t="shared" si="156"/>
        <v xml:space="preserve"> </v>
      </c>
      <c r="Y764" s="925"/>
      <c r="Z764" s="925"/>
      <c r="AA764" s="925"/>
      <c r="AB764" s="898"/>
      <c r="AC764" s="925"/>
      <c r="AD764" s="925"/>
      <c r="AE764" s="925"/>
      <c r="AF764" s="964"/>
      <c r="AG764" s="906" t="str">
        <f>IF(AE764&lt;&gt;0,VLOOKUP(AE764,ODDS!$A$2:$C$13,3,0),"")</f>
        <v/>
      </c>
      <c r="AH764" s="906" t="str">
        <f t="shared" si="163"/>
        <v xml:space="preserve"> </v>
      </c>
      <c r="AI764" s="907" t="str">
        <f t="shared" si="161"/>
        <v xml:space="preserve"> </v>
      </c>
      <c r="AJ764" s="894" t="s">
        <v>2074</v>
      </c>
      <c r="AK764" s="894"/>
    </row>
    <row r="765" spans="1:37" s="376" customFormat="1" ht="22.5" outlineLevel="2" x14ac:dyDescent="0.35">
      <c r="A765" s="447">
        <f>IF(B764&lt;&gt;0,B764,A764)</f>
        <v>64</v>
      </c>
      <c r="B765" s="893"/>
      <c r="C765" s="894"/>
      <c r="D765" s="923"/>
      <c r="E765" s="923"/>
      <c r="F765" s="896"/>
      <c r="G765" s="894"/>
      <c r="H765" s="924"/>
      <c r="I765" s="882"/>
      <c r="J765" s="925"/>
      <c r="K765" s="899" t="str">
        <f>IF(G765&lt;&gt;0,VLOOKUP(G765,'gia dat'!$A$1:$F$144,5,0)," ")</f>
        <v xml:space="preserve"> </v>
      </c>
      <c r="L765" s="899" t="str">
        <f>IF(G765&lt;&gt;0,VLOOKUP(G765,'gia dat'!$A$1:$F$144,6,0)," ")</f>
        <v xml:space="preserve"> </v>
      </c>
      <c r="M765" s="900" t="str">
        <f t="shared" si="159"/>
        <v xml:space="preserve"> </v>
      </c>
      <c r="N765" s="900" t="str">
        <f t="shared" si="160"/>
        <v xml:space="preserve"> </v>
      </c>
      <c r="O765" s="973"/>
      <c r="P765" s="999"/>
      <c r="Q765" s="900" t="str">
        <f>IF(O765&lt;&gt;0,VLOOKUP(O765,'Cây trong'!$A$2:$C$246,3,0)," ")</f>
        <v xml:space="preserve"> </v>
      </c>
      <c r="R765" s="900" t="str">
        <f t="shared" si="162"/>
        <v xml:space="preserve"> </v>
      </c>
      <c r="S765" s="973"/>
      <c r="T765" s="974"/>
      <c r="U765" s="927"/>
      <c r="V765" s="925"/>
      <c r="W765" s="900" t="str">
        <f>IF(S765&lt;&gt;0,VLOOKUP(S765,VKT!$A$2:$G$415,7,0),"")</f>
        <v/>
      </c>
      <c r="X765" s="900" t="str">
        <f t="shared" si="156"/>
        <v xml:space="preserve"> </v>
      </c>
      <c r="Y765" s="925"/>
      <c r="Z765" s="928"/>
      <c r="AA765" s="928"/>
      <c r="AB765" s="904"/>
      <c r="AC765" s="928"/>
      <c r="AD765" s="928"/>
      <c r="AE765" s="928"/>
      <c r="AF765" s="926"/>
      <c r="AG765" s="906" t="str">
        <f>IF(AE765&lt;&gt;0,VLOOKUP(AE765,ODDS!$A$2:$C$13,3,0),"")</f>
        <v/>
      </c>
      <c r="AH765" s="906" t="str">
        <f t="shared" si="163"/>
        <v xml:space="preserve"> </v>
      </c>
      <c r="AI765" s="907" t="str">
        <f t="shared" si="161"/>
        <v xml:space="preserve"> </v>
      </c>
      <c r="AJ765" s="911"/>
      <c r="AK765" s="929"/>
    </row>
    <row r="766" spans="1:37" s="376" customFormat="1" ht="22.5" outlineLevel="2" x14ac:dyDescent="0.3">
      <c r="A766" s="447">
        <f>IF(B765&lt;&gt;0,B765,A765)</f>
        <v>64</v>
      </c>
      <c r="B766" s="893"/>
      <c r="C766" s="910"/>
      <c r="D766" s="923"/>
      <c r="E766" s="923"/>
      <c r="F766" s="896"/>
      <c r="G766" s="894"/>
      <c r="H766" s="924"/>
      <c r="I766" s="882"/>
      <c r="J766" s="925"/>
      <c r="K766" s="899" t="str">
        <f>IF(G766&lt;&gt;0,VLOOKUP(G766,'gia dat'!$A$1:$F$144,5,0)," ")</f>
        <v xml:space="preserve"> </v>
      </c>
      <c r="L766" s="899" t="str">
        <f>IF(G766&lt;&gt;0,VLOOKUP(G766,'gia dat'!$A$1:$F$144,6,0)," ")</f>
        <v xml:space="preserve"> </v>
      </c>
      <c r="M766" s="900" t="str">
        <f t="shared" si="159"/>
        <v xml:space="preserve"> </v>
      </c>
      <c r="N766" s="900" t="str">
        <f t="shared" si="160"/>
        <v xml:space="preserve"> </v>
      </c>
      <c r="O766" s="973"/>
      <c r="P766" s="999"/>
      <c r="Q766" s="900" t="str">
        <f>IF(O766&lt;&gt;0,VLOOKUP(O766,'Cây trong'!$A$2:$C$246,3,0)," ")</f>
        <v xml:space="preserve"> </v>
      </c>
      <c r="R766" s="900" t="str">
        <f t="shared" si="162"/>
        <v xml:space="preserve"> </v>
      </c>
      <c r="S766" s="973"/>
      <c r="T766" s="974"/>
      <c r="U766" s="927"/>
      <c r="V766" s="925"/>
      <c r="W766" s="900" t="str">
        <f>IF(S766&lt;&gt;0,VLOOKUP(S766,VKT!$A$2:$G$415,7,0),"")</f>
        <v/>
      </c>
      <c r="X766" s="900" t="str">
        <f t="shared" ref="X766:X833" si="169">IF(S766&lt;&gt;0,ROUND(U766*W766,-3)," ")</f>
        <v xml:space="preserve"> </v>
      </c>
      <c r="Y766" s="925"/>
      <c r="Z766" s="928"/>
      <c r="AA766" s="928"/>
      <c r="AB766" s="904"/>
      <c r="AC766" s="928"/>
      <c r="AD766" s="928"/>
      <c r="AE766" s="928"/>
      <c r="AF766" s="926"/>
      <c r="AG766" s="906" t="str">
        <f>IF(AE766&lt;&gt;0,VLOOKUP(AE766,ODDS!$A$2:$C$13,3,0),"")</f>
        <v/>
      </c>
      <c r="AH766" s="906" t="str">
        <f t="shared" si="163"/>
        <v xml:space="preserve"> </v>
      </c>
      <c r="AI766" s="907" t="str">
        <f t="shared" si="161"/>
        <v xml:space="preserve"> </v>
      </c>
      <c r="AJ766" s="929"/>
      <c r="AK766" s="929"/>
    </row>
    <row r="767" spans="1:37" s="376" customFormat="1" ht="43.5" outlineLevel="1" x14ac:dyDescent="0.25">
      <c r="A767" s="467" t="s">
        <v>2645</v>
      </c>
      <c r="B767" s="912">
        <v>65</v>
      </c>
      <c r="C767" s="910" t="s">
        <v>237</v>
      </c>
      <c r="D767" s="931"/>
      <c r="E767" s="931"/>
      <c r="F767" s="913"/>
      <c r="G767" s="910"/>
      <c r="H767" s="953">
        <f>SUBTOTAL(9,H768:H786)</f>
        <v>4189.7999999999993</v>
      </c>
      <c r="I767" s="915">
        <f>SUBTOTAL(9,I768:I773)</f>
        <v>2050.8000000000002</v>
      </c>
      <c r="J767" s="933"/>
      <c r="K767" s="917"/>
      <c r="L767" s="917"/>
      <c r="M767" s="907">
        <f>SUBTOTAL(9,M768:M786)</f>
        <v>2089760000</v>
      </c>
      <c r="N767" s="907">
        <f>SUBTOTAL(9,N768:N786)</f>
        <v>2864557000</v>
      </c>
      <c r="O767" s="1006"/>
      <c r="P767" s="935">
        <f>SUBTOTAL(9,P768:P786)</f>
        <v>912</v>
      </c>
      <c r="Q767" s="907"/>
      <c r="R767" s="907">
        <f>SUBTOTAL(9,R768:R786)</f>
        <v>266125000</v>
      </c>
      <c r="S767" s="1006"/>
      <c r="T767" s="1015"/>
      <c r="U767" s="936">
        <f>SUBTOTAL(9,U768:U786)</f>
        <v>580.53</v>
      </c>
      <c r="V767" s="1015"/>
      <c r="W767" s="907"/>
      <c r="X767" s="907">
        <f>SUBTOTAL(9,X768:X786)</f>
        <v>452703000</v>
      </c>
      <c r="Y767" s="925"/>
      <c r="Z767" s="928"/>
      <c r="AA767" s="928"/>
      <c r="AB767" s="904"/>
      <c r="AC767" s="928"/>
      <c r="AD767" s="904"/>
      <c r="AE767" s="938"/>
      <c r="AF767" s="917">
        <f>SUBTOTAL(9,AF768:AF786)</f>
        <v>0</v>
      </c>
      <c r="AG767" s="921"/>
      <c r="AH767" s="921">
        <f>SUBTOTAL(9,AH768:AH786)</f>
        <v>0</v>
      </c>
      <c r="AI767" s="907">
        <f t="shared" si="161"/>
        <v>5673145000</v>
      </c>
      <c r="AJ767" s="910"/>
      <c r="AK767" s="914"/>
    </row>
    <row r="768" spans="1:37" s="376" customFormat="1" ht="135" outlineLevel="2" x14ac:dyDescent="0.3">
      <c r="A768" s="447">
        <f>IF(B767&lt;&gt;0,B767,A766)</f>
        <v>65</v>
      </c>
      <c r="B768" s="893"/>
      <c r="C768" s="894" t="s">
        <v>238</v>
      </c>
      <c r="D768" s="923">
        <v>3</v>
      </c>
      <c r="E768" s="923">
        <v>86</v>
      </c>
      <c r="F768" s="896">
        <v>43</v>
      </c>
      <c r="G768" s="894" t="s">
        <v>2479</v>
      </c>
      <c r="H768" s="924">
        <f>2593.9-H773</f>
        <v>543.09999999999991</v>
      </c>
      <c r="I768" s="882" t="str">
        <f t="shared" ref="I768:I773" si="170">IF(N768&gt;0,H768,"")</f>
        <v/>
      </c>
      <c r="J768" s="925"/>
      <c r="K768" s="899">
        <f>IF(G768&lt;&gt;0,VLOOKUP(G768,'gia dat'!$A$1:$F$144,5,0)," ")</f>
        <v>465600</v>
      </c>
      <c r="L768" s="899">
        <f>IF(G768&lt;&gt;0,VLOOKUP(G768,'gia dat'!$A$1:$F$144,6,0)," ")</f>
        <v>0</v>
      </c>
      <c r="M768" s="900">
        <f t="shared" si="159"/>
        <v>252867000</v>
      </c>
      <c r="N768" s="900">
        <f t="shared" si="160"/>
        <v>0</v>
      </c>
      <c r="O768" s="973" t="s">
        <v>61</v>
      </c>
      <c r="P768" s="926">
        <v>31</v>
      </c>
      <c r="Q768" s="900">
        <f>IF(O768&lt;&gt;0,VLOOKUP(O768,'Cây trong'!$A$2:$C$246,3,0)," ")</f>
        <v>1708000</v>
      </c>
      <c r="R768" s="900">
        <f t="shared" si="162"/>
        <v>52948000</v>
      </c>
      <c r="S768" s="973" t="s">
        <v>1763</v>
      </c>
      <c r="T768" s="1013" t="s">
        <v>53</v>
      </c>
      <c r="U768" s="927">
        <v>23.92</v>
      </c>
      <c r="V768" s="1013"/>
      <c r="W768" s="900">
        <f>IF(S768&lt;&gt;0,VLOOKUP(S768,VKT!$A$2:$G$415,7,0),"")</f>
        <v>3550600</v>
      </c>
      <c r="X768" s="900">
        <f t="shared" si="169"/>
        <v>84930000</v>
      </c>
      <c r="Y768" s="925" t="s">
        <v>54</v>
      </c>
      <c r="Z768" s="928" t="s">
        <v>55</v>
      </c>
      <c r="AA768" s="928" t="s">
        <v>56</v>
      </c>
      <c r="AB768" s="904" t="s">
        <v>57</v>
      </c>
      <c r="AC768" s="928" t="s">
        <v>54</v>
      </c>
      <c r="AD768" s="904" t="s">
        <v>430</v>
      </c>
      <c r="AE768" s="905"/>
      <c r="AF768" s="899"/>
      <c r="AG768" s="906" t="str">
        <f>IF(AE768&lt;&gt;0,VLOOKUP(AE768,ODDS!$A$2:$C$13,3,0),"")</f>
        <v/>
      </c>
      <c r="AH768" s="906"/>
      <c r="AI768" s="907" t="str">
        <f t="shared" si="161"/>
        <v xml:space="preserve"> </v>
      </c>
      <c r="AJ768" s="894" t="s">
        <v>573</v>
      </c>
      <c r="AK768" s="922" t="s">
        <v>2771</v>
      </c>
    </row>
    <row r="769" spans="1:37" s="376" customFormat="1" ht="90" outlineLevel="2" x14ac:dyDescent="0.3">
      <c r="A769" s="447">
        <f t="shared" ref="A769:A786" si="171">IF(B768&lt;&gt;0,B768,A768)</f>
        <v>65</v>
      </c>
      <c r="B769" s="893"/>
      <c r="C769" s="910" t="s">
        <v>239</v>
      </c>
      <c r="D769" s="923"/>
      <c r="E769" s="923">
        <v>86</v>
      </c>
      <c r="F769" s="896">
        <v>64</v>
      </c>
      <c r="G769" s="894" t="s">
        <v>2480</v>
      </c>
      <c r="H769" s="924">
        <f>1459.8</f>
        <v>1459.8</v>
      </c>
      <c r="I769" s="882" t="str">
        <f t="shared" si="170"/>
        <v/>
      </c>
      <c r="J769" s="925"/>
      <c r="K769" s="899">
        <f>IF(G769&lt;&gt;0,VLOOKUP(G769,'gia dat'!$A$1:$F$144,5,0)," ")</f>
        <v>554400</v>
      </c>
      <c r="L769" s="899">
        <f>IF(G769&lt;&gt;0,VLOOKUP(G769,'gia dat'!$A$1:$F$144,6,0)," ")</f>
        <v>0</v>
      </c>
      <c r="M769" s="900">
        <f t="shared" si="159"/>
        <v>809313000</v>
      </c>
      <c r="N769" s="900">
        <f t="shared" si="160"/>
        <v>0</v>
      </c>
      <c r="O769" s="973" t="s">
        <v>64</v>
      </c>
      <c r="P769" s="926">
        <v>9</v>
      </c>
      <c r="Q769" s="900">
        <f>IF(O769&lt;&gt;0,VLOOKUP(O769,'Cây trong'!$A$2:$C$246,3,0)," ")</f>
        <v>1122000</v>
      </c>
      <c r="R769" s="900">
        <f t="shared" si="162"/>
        <v>10098000</v>
      </c>
      <c r="S769" s="973" t="s">
        <v>1763</v>
      </c>
      <c r="T769" s="1013" t="s">
        <v>53</v>
      </c>
      <c r="U769" s="927">
        <v>23.92</v>
      </c>
      <c r="V769" s="1013"/>
      <c r="W769" s="900">
        <f>IF(S769&lt;&gt;0,VLOOKUP(S769,VKT!$A$2:$G$415,7,0),"")</f>
        <v>3550600</v>
      </c>
      <c r="X769" s="900">
        <f t="shared" si="169"/>
        <v>84930000</v>
      </c>
      <c r="Y769" s="925" t="s">
        <v>54</v>
      </c>
      <c r="Z769" s="928" t="s">
        <v>55</v>
      </c>
      <c r="AA769" s="928" t="s">
        <v>56</v>
      </c>
      <c r="AB769" s="904" t="s">
        <v>57</v>
      </c>
      <c r="AC769" s="928" t="s">
        <v>54</v>
      </c>
      <c r="AD769" s="904" t="s">
        <v>430</v>
      </c>
      <c r="AE769" s="904"/>
      <c r="AF769" s="899"/>
      <c r="AG769" s="906" t="str">
        <f>IF(AE769&lt;&gt;0,VLOOKUP(AE769,ODDS!$A$2:$C$13,3,0),"")</f>
        <v/>
      </c>
      <c r="AH769" s="906" t="str">
        <f t="shared" si="163"/>
        <v xml:space="preserve"> </v>
      </c>
      <c r="AI769" s="907" t="str">
        <f t="shared" si="161"/>
        <v xml:space="preserve"> </v>
      </c>
      <c r="AJ769" s="894" t="s">
        <v>575</v>
      </c>
      <c r="AK769" s="894" t="s">
        <v>2448</v>
      </c>
    </row>
    <row r="770" spans="1:37" s="376" customFormat="1" ht="112.5" outlineLevel="2" x14ac:dyDescent="0.3">
      <c r="A770" s="447">
        <f t="shared" si="171"/>
        <v>65</v>
      </c>
      <c r="B770" s="893"/>
      <c r="C770" s="894" t="s">
        <v>240</v>
      </c>
      <c r="D770" s="923"/>
      <c r="E770" s="923"/>
      <c r="F770" s="896"/>
      <c r="G770" s="894" t="s">
        <v>2481</v>
      </c>
      <c r="H770" s="924">
        <v>20.5</v>
      </c>
      <c r="I770" s="882" t="str">
        <f t="shared" si="170"/>
        <v/>
      </c>
      <c r="J770" s="925"/>
      <c r="K770" s="899">
        <f>IF(G770&lt;&gt;0,VLOOKUP(G770,'gia dat'!$A$1:$F$144,5,0)," ")</f>
        <v>540540</v>
      </c>
      <c r="L770" s="899">
        <f>IF(G770&lt;&gt;0,VLOOKUP(G770,'gia dat'!$A$1:$F$144,6,0)," ")</f>
        <v>0</v>
      </c>
      <c r="M770" s="900">
        <f t="shared" si="159"/>
        <v>11081000</v>
      </c>
      <c r="N770" s="900">
        <f t="shared" si="160"/>
        <v>0</v>
      </c>
      <c r="O770" s="973" t="s">
        <v>67</v>
      </c>
      <c r="P770" s="926">
        <v>11</v>
      </c>
      <c r="Q770" s="900">
        <f>IF(O770&lt;&gt;0,VLOOKUP(O770,'Cây trong'!$A$2:$C$246,3,0)," ")</f>
        <v>494000</v>
      </c>
      <c r="R770" s="900">
        <f t="shared" si="162"/>
        <v>5434000</v>
      </c>
      <c r="S770" s="973" t="s">
        <v>1864</v>
      </c>
      <c r="T770" s="1013" t="s">
        <v>53</v>
      </c>
      <c r="U770" s="927">
        <v>2.6</v>
      </c>
      <c r="V770" s="1013"/>
      <c r="W770" s="900">
        <f>IF(S770&lt;&gt;0,VLOOKUP(S770,VKT!$A$2:$G$415,7,0),"")</f>
        <v>9028527</v>
      </c>
      <c r="X770" s="900">
        <f t="shared" si="169"/>
        <v>23474000</v>
      </c>
      <c r="Y770" s="925"/>
      <c r="Z770" s="928"/>
      <c r="AA770" s="928" t="s">
        <v>56</v>
      </c>
      <c r="AB770" s="904" t="s">
        <v>57</v>
      </c>
      <c r="AC770" s="928" t="s">
        <v>54</v>
      </c>
      <c r="AD770" s="928"/>
      <c r="AE770" s="928"/>
      <c r="AF770" s="926"/>
      <c r="AG770" s="906" t="str">
        <f>IF(AE770&lt;&gt;0,VLOOKUP(AE770,ODDS!$A$2:$C$13,3,0),"")</f>
        <v/>
      </c>
      <c r="AH770" s="906" t="str">
        <f t="shared" si="163"/>
        <v xml:space="preserve"> </v>
      </c>
      <c r="AI770" s="907" t="str">
        <f t="shared" si="161"/>
        <v xml:space="preserve"> </v>
      </c>
      <c r="AJ770" s="894" t="s">
        <v>577</v>
      </c>
      <c r="AK770" s="894" t="s">
        <v>2450</v>
      </c>
    </row>
    <row r="771" spans="1:37" s="376" customFormat="1" ht="112.5" outlineLevel="2" x14ac:dyDescent="0.3">
      <c r="A771" s="447">
        <f t="shared" si="171"/>
        <v>65</v>
      </c>
      <c r="B771" s="893"/>
      <c r="C771" s="963" t="s">
        <v>700</v>
      </c>
      <c r="D771" s="923"/>
      <c r="E771" s="923"/>
      <c r="F771" s="896"/>
      <c r="G771" s="894" t="s">
        <v>2482</v>
      </c>
      <c r="H771" s="924">
        <v>27.5</v>
      </c>
      <c r="I771" s="882" t="str">
        <f t="shared" si="170"/>
        <v/>
      </c>
      <c r="J771" s="925"/>
      <c r="K771" s="899">
        <f>IF(G771&lt;&gt;0,VLOOKUP(G771,'gia dat'!$A$1:$F$144,5,0)," ")</f>
        <v>465600</v>
      </c>
      <c r="L771" s="899">
        <f>IF(G771&lt;&gt;0,VLOOKUP(G771,'gia dat'!$A$1:$F$144,6,0)," ")</f>
        <v>0</v>
      </c>
      <c r="M771" s="900">
        <f t="shared" si="159"/>
        <v>12804000</v>
      </c>
      <c r="N771" s="900">
        <f t="shared" si="160"/>
        <v>0</v>
      </c>
      <c r="O771" s="973" t="s">
        <v>72</v>
      </c>
      <c r="P771" s="926">
        <v>243</v>
      </c>
      <c r="Q771" s="900">
        <f>IF(O771&lt;&gt;0,VLOOKUP(O771,'Cây trong'!$A$2:$C$246,3,0)," ")</f>
        <v>132000</v>
      </c>
      <c r="R771" s="900">
        <f t="shared" si="162"/>
        <v>32076000</v>
      </c>
      <c r="S771" s="973" t="s">
        <v>1864</v>
      </c>
      <c r="T771" s="1013" t="s">
        <v>53</v>
      </c>
      <c r="U771" s="927">
        <v>2.6</v>
      </c>
      <c r="V771" s="1013"/>
      <c r="W771" s="900">
        <f>IF(S771&lt;&gt;0,VLOOKUP(S771,VKT!$A$2:$G$415,7,0),"")</f>
        <v>9028527</v>
      </c>
      <c r="X771" s="900">
        <f t="shared" si="169"/>
        <v>23474000</v>
      </c>
      <c r="Y771" s="925"/>
      <c r="Z771" s="928"/>
      <c r="AA771" s="928" t="s">
        <v>56</v>
      </c>
      <c r="AB771" s="904" t="s">
        <v>57</v>
      </c>
      <c r="AC771" s="928" t="s">
        <v>139</v>
      </c>
      <c r="AD771" s="928"/>
      <c r="AE771" s="928"/>
      <c r="AF771" s="926"/>
      <c r="AG771" s="906" t="str">
        <f>IF(AE771&lt;&gt;0,VLOOKUP(AE771,ODDS!$A$2:$C$13,3,0),"")</f>
        <v/>
      </c>
      <c r="AH771" s="906" t="str">
        <f t="shared" si="163"/>
        <v xml:space="preserve"> </v>
      </c>
      <c r="AI771" s="907" t="str">
        <f t="shared" si="161"/>
        <v xml:space="preserve"> </v>
      </c>
      <c r="AJ771" s="943" t="s">
        <v>111</v>
      </c>
      <c r="AK771" s="894" t="s">
        <v>2449</v>
      </c>
    </row>
    <row r="772" spans="1:37" s="376" customFormat="1" ht="112.5" outlineLevel="2" x14ac:dyDescent="0.3">
      <c r="A772" s="447">
        <f t="shared" si="171"/>
        <v>65</v>
      </c>
      <c r="B772" s="893"/>
      <c r="C772" s="894"/>
      <c r="D772" s="923"/>
      <c r="E772" s="923"/>
      <c r="F772" s="896"/>
      <c r="G772" s="894" t="s">
        <v>2483</v>
      </c>
      <c r="H772" s="924">
        <v>88.1</v>
      </c>
      <c r="I772" s="882" t="str">
        <f t="shared" si="170"/>
        <v/>
      </c>
      <c r="J772" s="925"/>
      <c r="K772" s="899">
        <f>IF(G772&lt;&gt;0,VLOOKUP(G772,'gia dat'!$A$1:$F$144,5,0)," ")</f>
        <v>554400</v>
      </c>
      <c r="L772" s="899">
        <f>IF(G772&lt;&gt;0,VLOOKUP(G772,'gia dat'!$A$1:$F$144,6,0)," ")</f>
        <v>0</v>
      </c>
      <c r="M772" s="900">
        <f t="shared" si="159"/>
        <v>48843000</v>
      </c>
      <c r="N772" s="900">
        <f t="shared" si="160"/>
        <v>0</v>
      </c>
      <c r="O772" s="973" t="s">
        <v>73</v>
      </c>
      <c r="P772" s="926">
        <v>312</v>
      </c>
      <c r="Q772" s="900">
        <f>IF(O772&lt;&gt;0,VLOOKUP(O772,'Cây trong'!$A$2:$C$246,3,0)," ")</f>
        <v>76000</v>
      </c>
      <c r="R772" s="900">
        <f t="shared" si="162"/>
        <v>23712000</v>
      </c>
      <c r="S772" s="973" t="s">
        <v>1844</v>
      </c>
      <c r="T772" s="1013" t="s">
        <v>53</v>
      </c>
      <c r="U772" s="927">
        <v>21.42</v>
      </c>
      <c r="V772" s="1013"/>
      <c r="W772" s="900">
        <f>IF(S772&lt;&gt;0,VLOOKUP(S772,VKT!$A$2:$G$415,7,0),"")</f>
        <v>770070</v>
      </c>
      <c r="X772" s="900">
        <f t="shared" si="169"/>
        <v>16495000</v>
      </c>
      <c r="Y772" s="925"/>
      <c r="Z772" s="928" t="s">
        <v>55</v>
      </c>
      <c r="AA772" s="928" t="s">
        <v>141</v>
      </c>
      <c r="AB772" s="904"/>
      <c r="AC772" s="928" t="s">
        <v>66</v>
      </c>
      <c r="AD772" s="928"/>
      <c r="AE772" s="928"/>
      <c r="AF772" s="926"/>
      <c r="AG772" s="906" t="str">
        <f>IF(AE772&lt;&gt;0,VLOOKUP(AE772,ODDS!$A$2:$C$13,3,0),"")</f>
        <v/>
      </c>
      <c r="AH772" s="906" t="str">
        <f t="shared" si="163"/>
        <v xml:space="preserve"> </v>
      </c>
      <c r="AI772" s="907" t="str">
        <f t="shared" si="161"/>
        <v xml:space="preserve"> </v>
      </c>
      <c r="AJ772" s="894" t="s">
        <v>580</v>
      </c>
      <c r="AK772" s="894" t="s">
        <v>2800</v>
      </c>
    </row>
    <row r="773" spans="1:37" s="376" customFormat="1" ht="135" outlineLevel="2" x14ac:dyDescent="0.3">
      <c r="A773" s="447">
        <f t="shared" si="171"/>
        <v>65</v>
      </c>
      <c r="B773" s="893"/>
      <c r="C773" s="894"/>
      <c r="D773" s="923"/>
      <c r="E773" s="923"/>
      <c r="F773" s="896"/>
      <c r="G773" s="894" t="s">
        <v>2484</v>
      </c>
      <c r="H773" s="924">
        <v>2050.8000000000002</v>
      </c>
      <c r="I773" s="882">
        <f t="shared" si="170"/>
        <v>2050.8000000000002</v>
      </c>
      <c r="J773" s="925"/>
      <c r="K773" s="899">
        <f>IF(G773&lt;&gt;0,VLOOKUP(G773,'gia dat'!$A$1:$F$144,5,0)," ")</f>
        <v>465600</v>
      </c>
      <c r="L773" s="899">
        <f>IF(G773&lt;&gt;0,VLOOKUP(G773,'gia dat'!$A$1:$F$144,6,0)," ")</f>
        <v>1396800</v>
      </c>
      <c r="M773" s="900">
        <f t="shared" si="159"/>
        <v>954852000</v>
      </c>
      <c r="N773" s="900">
        <f t="shared" si="160"/>
        <v>2864557000</v>
      </c>
      <c r="O773" s="973" t="s">
        <v>75</v>
      </c>
      <c r="P773" s="926">
        <v>198</v>
      </c>
      <c r="Q773" s="900">
        <f>IF(O773&lt;&gt;0,VLOOKUP(O773,'Cây trong'!$A$2:$C$246,3,0)," ")</f>
        <v>34000</v>
      </c>
      <c r="R773" s="900">
        <f t="shared" si="162"/>
        <v>6732000</v>
      </c>
      <c r="S773" s="922" t="s">
        <v>1767</v>
      </c>
      <c r="T773" s="1013" t="s">
        <v>53</v>
      </c>
      <c r="U773" s="927">
        <v>15.3</v>
      </c>
      <c r="V773" s="1013"/>
      <c r="W773" s="900">
        <f>IF(S773&lt;&gt;0,VLOOKUP(S773,VKT!$A$2:$G$415,7,0),"")</f>
        <v>0</v>
      </c>
      <c r="X773" s="900">
        <f t="shared" si="169"/>
        <v>0</v>
      </c>
      <c r="Y773" s="925"/>
      <c r="Z773" s="928"/>
      <c r="AA773" s="928"/>
      <c r="AB773" s="904"/>
      <c r="AC773" s="928"/>
      <c r="AD773" s="928"/>
      <c r="AE773" s="928"/>
      <c r="AF773" s="926"/>
      <c r="AG773" s="906" t="str">
        <f>IF(AE773&lt;&gt;0,VLOOKUP(AE773,ODDS!$A$2:$C$13,3,0),"")</f>
        <v/>
      </c>
      <c r="AH773" s="906" t="str">
        <f t="shared" si="163"/>
        <v xml:space="preserve"> </v>
      </c>
      <c r="AI773" s="907" t="str">
        <f t="shared" si="161"/>
        <v xml:space="preserve"> </v>
      </c>
      <c r="AJ773" s="894" t="s">
        <v>2048</v>
      </c>
      <c r="AK773" s="894"/>
    </row>
    <row r="774" spans="1:37" s="376" customFormat="1" ht="90" outlineLevel="2" x14ac:dyDescent="0.3">
      <c r="A774" s="447">
        <f t="shared" si="171"/>
        <v>65</v>
      </c>
      <c r="B774" s="893"/>
      <c r="C774" s="894"/>
      <c r="D774" s="923"/>
      <c r="E774" s="923"/>
      <c r="F774" s="896"/>
      <c r="G774" s="894"/>
      <c r="H774" s="924"/>
      <c r="I774" s="882"/>
      <c r="J774" s="925"/>
      <c r="K774" s="899" t="str">
        <f>IF(G774&lt;&gt;0,VLOOKUP(G774,'gia dat'!$A$1:$F$144,5,0)," ")</f>
        <v xml:space="preserve"> </v>
      </c>
      <c r="L774" s="899" t="str">
        <f>IF(G774&lt;&gt;0,VLOOKUP(G774,'gia dat'!$A$1:$F$144,6,0)," ")</f>
        <v xml:space="preserve"> </v>
      </c>
      <c r="M774" s="900" t="str">
        <f t="shared" si="159"/>
        <v xml:space="preserve"> </v>
      </c>
      <c r="N774" s="900" t="str">
        <f t="shared" si="160"/>
        <v xml:space="preserve"> </v>
      </c>
      <c r="O774" s="894" t="s">
        <v>183</v>
      </c>
      <c r="P774" s="926">
        <v>8</v>
      </c>
      <c r="Q774" s="900">
        <f>IF(O774&lt;&gt;0,VLOOKUP(O774,'Cây trong'!$A$2:$C$246,3,0)," ")</f>
        <v>2236000</v>
      </c>
      <c r="R774" s="900">
        <f t="shared" si="162"/>
        <v>17888000</v>
      </c>
      <c r="S774" s="902" t="s">
        <v>1768</v>
      </c>
      <c r="T774" s="1013" t="s">
        <v>53</v>
      </c>
      <c r="U774" s="927">
        <v>15.3</v>
      </c>
      <c r="V774" s="925"/>
      <c r="W774" s="900">
        <f>IF(S774&lt;&gt;0,VLOOKUP(S774,VKT!$A$2:$G$415,7,0),"")</f>
        <v>238288</v>
      </c>
      <c r="X774" s="900">
        <f t="shared" si="169"/>
        <v>3646000</v>
      </c>
      <c r="Y774" s="925"/>
      <c r="Z774" s="928"/>
      <c r="AA774" s="928"/>
      <c r="AB774" s="904"/>
      <c r="AC774" s="928"/>
      <c r="AD774" s="928"/>
      <c r="AE774" s="928"/>
      <c r="AF774" s="926"/>
      <c r="AG774" s="906" t="str">
        <f>IF(AE774&lt;&gt;0,VLOOKUP(AE774,ODDS!$A$2:$C$13,3,0),"")</f>
        <v/>
      </c>
      <c r="AH774" s="906" t="str">
        <f t="shared" si="163"/>
        <v xml:space="preserve"> </v>
      </c>
      <c r="AI774" s="907" t="str">
        <f t="shared" si="161"/>
        <v xml:space="preserve"> </v>
      </c>
      <c r="AJ774" s="894" t="s">
        <v>2213</v>
      </c>
      <c r="AK774" s="894"/>
    </row>
    <row r="775" spans="1:37" s="376" customFormat="1" ht="45" outlineLevel="2" x14ac:dyDescent="0.35">
      <c r="A775" s="447">
        <f t="shared" si="171"/>
        <v>65</v>
      </c>
      <c r="B775" s="893"/>
      <c r="C775" s="971"/>
      <c r="D775" s="923"/>
      <c r="E775" s="923"/>
      <c r="F775" s="896"/>
      <c r="G775" s="894"/>
      <c r="H775" s="924"/>
      <c r="I775" s="882"/>
      <c r="J775" s="925"/>
      <c r="K775" s="899" t="str">
        <f>IF(G775&lt;&gt;0,VLOOKUP(G775,'gia dat'!$A$1:$F$144,5,0)," ")</f>
        <v xml:space="preserve"> </v>
      </c>
      <c r="L775" s="899" t="str">
        <f>IF(G775&lt;&gt;0,VLOOKUP(G775,'gia dat'!$A$1:$F$144,6,0)," ")</f>
        <v xml:space="preserve"> </v>
      </c>
      <c r="M775" s="900" t="str">
        <f t="shared" si="159"/>
        <v xml:space="preserve"> </v>
      </c>
      <c r="N775" s="900" t="str">
        <f t="shared" si="160"/>
        <v xml:space="preserve"> </v>
      </c>
      <c r="O775" s="894" t="s">
        <v>70</v>
      </c>
      <c r="P775" s="926">
        <v>20</v>
      </c>
      <c r="Q775" s="900">
        <f>IF(O775&lt;&gt;0,VLOOKUP(O775,'Cây trong'!$A$2:$C$246,3,0)," ")</f>
        <v>1632000</v>
      </c>
      <c r="R775" s="900">
        <f t="shared" si="162"/>
        <v>32640000</v>
      </c>
      <c r="S775" s="922" t="s">
        <v>1844</v>
      </c>
      <c r="T775" s="1013" t="s">
        <v>53</v>
      </c>
      <c r="U775" s="927">
        <v>7.28</v>
      </c>
      <c r="V775" s="925"/>
      <c r="W775" s="900">
        <f>IF(S775&lt;&gt;0,VLOOKUP(S775,VKT!$A$2:$G$415,7,0),"")</f>
        <v>770070</v>
      </c>
      <c r="X775" s="900">
        <f t="shared" si="169"/>
        <v>5606000</v>
      </c>
      <c r="Y775" s="925"/>
      <c r="Z775" s="928"/>
      <c r="AA775" s="928"/>
      <c r="AB775" s="904"/>
      <c r="AC775" s="928"/>
      <c r="AD775" s="928"/>
      <c r="AE775" s="928"/>
      <c r="AF775" s="926"/>
      <c r="AG775" s="906" t="str">
        <f>IF(AE775&lt;&gt;0,VLOOKUP(AE775,ODDS!$A$2:$C$13,3,0),"")</f>
        <v/>
      </c>
      <c r="AH775" s="906" t="str">
        <f t="shared" si="163"/>
        <v xml:space="preserve"> </v>
      </c>
      <c r="AI775" s="907" t="str">
        <f t="shared" si="161"/>
        <v xml:space="preserve"> </v>
      </c>
      <c r="AJ775" s="911"/>
      <c r="AK775" s="929"/>
    </row>
    <row r="776" spans="1:37" s="376" customFormat="1" ht="67.5" outlineLevel="2" x14ac:dyDescent="0.3">
      <c r="A776" s="447">
        <f t="shared" si="171"/>
        <v>65</v>
      </c>
      <c r="B776" s="893"/>
      <c r="C776" s="972"/>
      <c r="D776" s="923"/>
      <c r="E776" s="923"/>
      <c r="F776" s="896"/>
      <c r="G776" s="894"/>
      <c r="H776" s="924"/>
      <c r="I776" s="882"/>
      <c r="J776" s="925"/>
      <c r="K776" s="899" t="str">
        <f>IF(G776&lt;&gt;0,VLOOKUP(G776,'gia dat'!$A$1:$F$144,5,0)," ")</f>
        <v xml:space="preserve"> </v>
      </c>
      <c r="L776" s="899" t="str">
        <f>IF(G776&lt;&gt;0,VLOOKUP(G776,'gia dat'!$A$1:$F$144,6,0)," ")</f>
        <v xml:space="preserve"> </v>
      </c>
      <c r="M776" s="900" t="str">
        <f t="shared" si="159"/>
        <v xml:space="preserve"> </v>
      </c>
      <c r="N776" s="900" t="str">
        <f t="shared" si="160"/>
        <v xml:space="preserve"> </v>
      </c>
      <c r="O776" s="894" t="s">
        <v>133</v>
      </c>
      <c r="P776" s="926">
        <v>5</v>
      </c>
      <c r="Q776" s="900">
        <f>IF(O776&lt;&gt;0,VLOOKUP(O776,'Cây trong'!$A$2:$C$246,3,0)," ")</f>
        <v>758000</v>
      </c>
      <c r="R776" s="900">
        <f t="shared" si="162"/>
        <v>3790000</v>
      </c>
      <c r="S776" s="902" t="s">
        <v>1768</v>
      </c>
      <c r="T776" s="1013" t="s">
        <v>53</v>
      </c>
      <c r="U776" s="927">
        <v>17.5</v>
      </c>
      <c r="V776" s="925"/>
      <c r="W776" s="900">
        <f>IF(S776&lt;&gt;0,VLOOKUP(S776,VKT!$A$2:$G$415,7,0),"")</f>
        <v>238288</v>
      </c>
      <c r="X776" s="900">
        <f t="shared" si="169"/>
        <v>4170000</v>
      </c>
      <c r="Y776" s="974"/>
      <c r="Z776" s="1013"/>
      <c r="AA776" s="987"/>
      <c r="AB776" s="904"/>
      <c r="AC776" s="928"/>
      <c r="AD776" s="928"/>
      <c r="AE776" s="928"/>
      <c r="AF776" s="926"/>
      <c r="AG776" s="906" t="str">
        <f>IF(AE776&lt;&gt;0,VLOOKUP(AE776,ODDS!$A$2:$C$13,3,0),"")</f>
        <v/>
      </c>
      <c r="AH776" s="906" t="str">
        <f t="shared" si="163"/>
        <v xml:space="preserve"> </v>
      </c>
      <c r="AI776" s="907" t="str">
        <f t="shared" si="161"/>
        <v xml:space="preserve"> </v>
      </c>
      <c r="AJ776" s="929"/>
      <c r="AK776" s="929"/>
    </row>
    <row r="777" spans="1:37" s="376" customFormat="1" ht="90" outlineLevel="2" x14ac:dyDescent="0.3">
      <c r="A777" s="447">
        <f t="shared" si="171"/>
        <v>65</v>
      </c>
      <c r="B777" s="893"/>
      <c r="C777" s="972"/>
      <c r="D777" s="923"/>
      <c r="E777" s="923"/>
      <c r="F777" s="896"/>
      <c r="G777" s="894"/>
      <c r="H777" s="924"/>
      <c r="I777" s="882"/>
      <c r="J777" s="925"/>
      <c r="K777" s="899" t="str">
        <f>IF(G777&lt;&gt;0,VLOOKUP(G777,'gia dat'!$A$1:$F$144,5,0)," ")</f>
        <v xml:space="preserve"> </v>
      </c>
      <c r="L777" s="899" t="str">
        <f>IF(G777&lt;&gt;0,VLOOKUP(G777,'gia dat'!$A$1:$F$144,6,0)," ")</f>
        <v xml:space="preserve"> </v>
      </c>
      <c r="M777" s="900" t="str">
        <f t="shared" si="159"/>
        <v xml:space="preserve"> </v>
      </c>
      <c r="N777" s="900" t="str">
        <f t="shared" si="160"/>
        <v xml:space="preserve"> </v>
      </c>
      <c r="O777" s="894" t="s">
        <v>145</v>
      </c>
      <c r="P777" s="926">
        <v>5</v>
      </c>
      <c r="Q777" s="900">
        <f>IF(O777&lt;&gt;0,VLOOKUP(O777,'Cây trong'!$A$2:$C$246,3,0)," ")</f>
        <v>4240000</v>
      </c>
      <c r="R777" s="900">
        <f t="shared" si="162"/>
        <v>21200000</v>
      </c>
      <c r="S777" s="902" t="s">
        <v>1865</v>
      </c>
      <c r="T777" s="1013" t="s">
        <v>53</v>
      </c>
      <c r="U777" s="927">
        <v>371.04</v>
      </c>
      <c r="V777" s="925"/>
      <c r="W777" s="900">
        <f>IF(S777&lt;&gt;0,VLOOKUP(S777,VKT!$A$2:$G$415,7,0),"")</f>
        <v>496651</v>
      </c>
      <c r="X777" s="900">
        <f t="shared" si="169"/>
        <v>184277000</v>
      </c>
      <c r="Y777" s="898"/>
      <c r="Z777" s="1013"/>
      <c r="AA777" s="949"/>
      <c r="AB777" s="904"/>
      <c r="AC777" s="928"/>
      <c r="AD777" s="928"/>
      <c r="AE777" s="928"/>
      <c r="AF777" s="926"/>
      <c r="AG777" s="906" t="str">
        <f>IF(AE777&lt;&gt;0,VLOOKUP(AE777,ODDS!$A$2:$C$13,3,0),"")</f>
        <v/>
      </c>
      <c r="AH777" s="906" t="str">
        <f t="shared" si="163"/>
        <v xml:space="preserve"> </v>
      </c>
      <c r="AI777" s="907" t="str">
        <f t="shared" ref="AI777:AI840" si="172">IF(B777&lt;&gt;0,M777+N777+R777+X777+AH777," ")</f>
        <v xml:space="preserve"> </v>
      </c>
      <c r="AJ777" s="929"/>
      <c r="AK777" s="929"/>
    </row>
    <row r="778" spans="1:37" s="376" customFormat="1" ht="67.5" outlineLevel="2" x14ac:dyDescent="0.3">
      <c r="A778" s="447">
        <f t="shared" si="171"/>
        <v>65</v>
      </c>
      <c r="B778" s="893"/>
      <c r="C778" s="894"/>
      <c r="D778" s="923"/>
      <c r="E778" s="923"/>
      <c r="F778" s="896"/>
      <c r="G778" s="894"/>
      <c r="H778" s="924"/>
      <c r="I778" s="882"/>
      <c r="J778" s="925"/>
      <c r="K778" s="899" t="str">
        <f>IF(G778&lt;&gt;0,VLOOKUP(G778,'gia dat'!$A$1:$F$144,5,0)," ")</f>
        <v xml:space="preserve"> </v>
      </c>
      <c r="L778" s="899" t="str">
        <f>IF(G778&lt;&gt;0,VLOOKUP(G778,'gia dat'!$A$1:$F$144,6,0)," ")</f>
        <v xml:space="preserve"> </v>
      </c>
      <c r="M778" s="900" t="str">
        <f t="shared" ref="M778:M845" si="173">IF(H778&lt;&gt;0,ROUND(H778*K778,-3)," ")</f>
        <v xml:space="preserve"> </v>
      </c>
      <c r="N778" s="900" t="str">
        <f t="shared" ref="N778:N845" si="174">IF(H778&lt;&gt;0,ROUND(H778*L778,-3)," ")</f>
        <v xml:space="preserve"> </v>
      </c>
      <c r="O778" s="894" t="s">
        <v>77</v>
      </c>
      <c r="P778" s="926">
        <v>15</v>
      </c>
      <c r="Q778" s="900">
        <f>IF(O778&lt;&gt;0,VLOOKUP(O778,'Cây trong'!$A$2:$C$246,3,0)," ")</f>
        <v>3064000</v>
      </c>
      <c r="R778" s="900">
        <f t="shared" si="162"/>
        <v>45960000</v>
      </c>
      <c r="S778" s="902" t="s">
        <v>1866</v>
      </c>
      <c r="T778" s="1013" t="s">
        <v>53</v>
      </c>
      <c r="U778" s="927">
        <v>17.64</v>
      </c>
      <c r="V778" s="925"/>
      <c r="W778" s="900">
        <f>IF(S778&lt;&gt;0,VLOOKUP(S778,VKT!$A$2:$G$415,7,0),"")</f>
        <v>0</v>
      </c>
      <c r="X778" s="900">
        <f t="shared" si="169"/>
        <v>0</v>
      </c>
      <c r="Y778" s="898"/>
      <c r="Z778" s="1013"/>
      <c r="AA778" s="949"/>
      <c r="AB778" s="904"/>
      <c r="AC778" s="928"/>
      <c r="AD778" s="928"/>
      <c r="AE778" s="928"/>
      <c r="AF778" s="926"/>
      <c r="AG778" s="906" t="str">
        <f>IF(AE778&lt;&gt;0,VLOOKUP(AE778,ODDS!$A$2:$C$13,3,0),"")</f>
        <v/>
      </c>
      <c r="AH778" s="906" t="str">
        <f t="shared" si="163"/>
        <v xml:space="preserve"> </v>
      </c>
      <c r="AI778" s="907" t="str">
        <f t="shared" si="172"/>
        <v xml:space="preserve"> </v>
      </c>
      <c r="AJ778" s="929"/>
      <c r="AK778" s="929"/>
    </row>
    <row r="779" spans="1:37" s="376" customFormat="1" ht="45" outlineLevel="2" x14ac:dyDescent="0.3">
      <c r="A779" s="447">
        <f t="shared" si="171"/>
        <v>65</v>
      </c>
      <c r="B779" s="893"/>
      <c r="C779" s="894"/>
      <c r="D779" s="923"/>
      <c r="E779" s="923"/>
      <c r="F779" s="896"/>
      <c r="G779" s="894"/>
      <c r="H779" s="924"/>
      <c r="I779" s="882"/>
      <c r="J779" s="925"/>
      <c r="K779" s="899" t="str">
        <f>IF(G779&lt;&gt;0,VLOOKUP(G779,'gia dat'!$A$1:$F$144,5,0)," ")</f>
        <v xml:space="preserve"> </v>
      </c>
      <c r="L779" s="899" t="str">
        <f>IF(G779&lt;&gt;0,VLOOKUP(G779,'gia dat'!$A$1:$F$144,6,0)," ")</f>
        <v xml:space="preserve"> </v>
      </c>
      <c r="M779" s="900" t="str">
        <f t="shared" si="173"/>
        <v xml:space="preserve"> </v>
      </c>
      <c r="N779" s="900" t="str">
        <f t="shared" si="174"/>
        <v xml:space="preserve"> </v>
      </c>
      <c r="O779" s="894" t="s">
        <v>79</v>
      </c>
      <c r="P779" s="926">
        <v>13</v>
      </c>
      <c r="Q779" s="900">
        <f>IF(O779&lt;&gt;0,VLOOKUP(O779,'Cây trong'!$A$2:$C$246,3,0)," ")</f>
        <v>1035000</v>
      </c>
      <c r="R779" s="900">
        <f t="shared" si="162"/>
        <v>13455000</v>
      </c>
      <c r="S779" s="922" t="s">
        <v>1844</v>
      </c>
      <c r="T779" s="1013" t="s">
        <v>53</v>
      </c>
      <c r="U779" s="927">
        <v>6.4</v>
      </c>
      <c r="V779" s="925"/>
      <c r="W779" s="900">
        <f>IF(S779&lt;&gt;0,VLOOKUP(S779,VKT!$A$2:$G$415,7,0),"")</f>
        <v>770070</v>
      </c>
      <c r="X779" s="900">
        <f t="shared" si="169"/>
        <v>4928000</v>
      </c>
      <c r="Y779" s="898"/>
      <c r="Z779" s="1013"/>
      <c r="AA779" s="949"/>
      <c r="AB779" s="904"/>
      <c r="AC779" s="928"/>
      <c r="AD779" s="928"/>
      <c r="AE779" s="928"/>
      <c r="AF779" s="926"/>
      <c r="AG779" s="906" t="str">
        <f>IF(AE779&lt;&gt;0,VLOOKUP(AE779,ODDS!$A$2:$C$13,3,0),"")</f>
        <v/>
      </c>
      <c r="AH779" s="906" t="str">
        <f t="shared" si="163"/>
        <v xml:space="preserve"> </v>
      </c>
      <c r="AI779" s="907" t="str">
        <f t="shared" si="172"/>
        <v xml:space="preserve"> </v>
      </c>
      <c r="AJ779" s="929"/>
      <c r="AK779" s="929"/>
    </row>
    <row r="780" spans="1:37" s="376" customFormat="1" ht="90" outlineLevel="2" x14ac:dyDescent="0.3">
      <c r="A780" s="447">
        <f t="shared" si="171"/>
        <v>65</v>
      </c>
      <c r="B780" s="893"/>
      <c r="C780" s="894"/>
      <c r="D780" s="923"/>
      <c r="E780" s="923"/>
      <c r="F780" s="896"/>
      <c r="G780" s="894"/>
      <c r="H780" s="924"/>
      <c r="I780" s="882"/>
      <c r="J780" s="925"/>
      <c r="K780" s="899" t="str">
        <f>IF(G780&lt;&gt;0,VLOOKUP(G780,'gia dat'!$A$1:$F$144,5,0)," ")</f>
        <v xml:space="preserve"> </v>
      </c>
      <c r="L780" s="899" t="str">
        <f>IF(G780&lt;&gt;0,VLOOKUP(G780,'gia dat'!$A$1:$F$144,6,0)," ")</f>
        <v xml:space="preserve"> </v>
      </c>
      <c r="M780" s="900" t="str">
        <f t="shared" si="173"/>
        <v xml:space="preserve"> </v>
      </c>
      <c r="N780" s="900" t="str">
        <f t="shared" si="174"/>
        <v xml:space="preserve"> </v>
      </c>
      <c r="O780" s="894" t="s">
        <v>410</v>
      </c>
      <c r="P780" s="926">
        <v>3</v>
      </c>
      <c r="Q780" s="900">
        <f>IF(O780&lt;&gt;0,VLOOKUP(O780,'Cây trong'!$A$2:$C$246,3,0)," ")</f>
        <v>0</v>
      </c>
      <c r="R780" s="900">
        <f t="shared" si="162"/>
        <v>0</v>
      </c>
      <c r="S780" s="902" t="s">
        <v>1867</v>
      </c>
      <c r="T780" s="1013" t="s">
        <v>53</v>
      </c>
      <c r="U780" s="927">
        <v>7.77</v>
      </c>
      <c r="V780" s="925"/>
      <c r="W780" s="900">
        <f>IF(S780&lt;&gt;0,VLOOKUP(S780,VKT!$A$2:$G$415,7,0),"")</f>
        <v>1067915</v>
      </c>
      <c r="X780" s="900">
        <f t="shared" si="169"/>
        <v>8298000</v>
      </c>
      <c r="Y780" s="898"/>
      <c r="Z780" s="1013"/>
      <c r="AA780" s="949"/>
      <c r="AB780" s="904"/>
      <c r="AC780" s="928"/>
      <c r="AD780" s="928"/>
      <c r="AE780" s="928"/>
      <c r="AF780" s="926"/>
      <c r="AG780" s="906" t="str">
        <f>IF(AE780&lt;&gt;0,VLOOKUP(AE780,ODDS!$A$2:$C$13,3,0),"")</f>
        <v/>
      </c>
      <c r="AH780" s="906" t="str">
        <f t="shared" si="163"/>
        <v xml:space="preserve"> </v>
      </c>
      <c r="AI780" s="907" t="str">
        <f t="shared" si="172"/>
        <v xml:space="preserve"> </v>
      </c>
      <c r="AJ780" s="929"/>
      <c r="AK780" s="929"/>
    </row>
    <row r="781" spans="1:37" s="376" customFormat="1" ht="22.5" outlineLevel="2" x14ac:dyDescent="0.3">
      <c r="A781" s="447">
        <f t="shared" si="171"/>
        <v>65</v>
      </c>
      <c r="B781" s="893"/>
      <c r="C781" s="894"/>
      <c r="D781" s="923"/>
      <c r="E781" s="923"/>
      <c r="F781" s="896"/>
      <c r="G781" s="894"/>
      <c r="H781" s="924"/>
      <c r="I781" s="882"/>
      <c r="J781" s="925"/>
      <c r="K781" s="899" t="str">
        <f>IF(G781&lt;&gt;0,VLOOKUP(G781,'gia dat'!$A$1:$F$144,5,0)," ")</f>
        <v xml:space="preserve"> </v>
      </c>
      <c r="L781" s="899" t="str">
        <f>IF(G781&lt;&gt;0,VLOOKUP(G781,'gia dat'!$A$1:$F$144,6,0)," ")</f>
        <v xml:space="preserve"> </v>
      </c>
      <c r="M781" s="900" t="str">
        <f t="shared" si="173"/>
        <v xml:space="preserve"> </v>
      </c>
      <c r="N781" s="900" t="str">
        <f t="shared" si="174"/>
        <v xml:space="preserve"> </v>
      </c>
      <c r="O781" s="894" t="s">
        <v>754</v>
      </c>
      <c r="P781" s="926">
        <v>2</v>
      </c>
      <c r="Q781" s="900">
        <f>IF(O781&lt;&gt;0,VLOOKUP(O781,'Cây trong'!$A$2:$C$246,3,0)," ")</f>
        <v>0</v>
      </c>
      <c r="R781" s="900">
        <f t="shared" si="162"/>
        <v>0</v>
      </c>
      <c r="S781" s="1016" t="s">
        <v>1776</v>
      </c>
      <c r="T781" s="1013" t="s">
        <v>53</v>
      </c>
      <c r="U781" s="927">
        <v>47.84</v>
      </c>
      <c r="V781" s="925"/>
      <c r="W781" s="900">
        <f>IF(S781&lt;&gt;0,VLOOKUP(S781,VKT!$A$2:$G$415,7,0),"")</f>
        <v>177161</v>
      </c>
      <c r="X781" s="900">
        <f t="shared" si="169"/>
        <v>8475000</v>
      </c>
      <c r="Y781" s="898"/>
      <c r="Z781" s="1013"/>
      <c r="AA781" s="949"/>
      <c r="AB781" s="904"/>
      <c r="AC781" s="928"/>
      <c r="AD781" s="928"/>
      <c r="AE781" s="928"/>
      <c r="AF781" s="926"/>
      <c r="AG781" s="906" t="str">
        <f>IF(AE781&lt;&gt;0,VLOOKUP(AE781,ODDS!$A$2:$C$13,3,0),"")</f>
        <v/>
      </c>
      <c r="AH781" s="906" t="str">
        <f t="shared" si="163"/>
        <v xml:space="preserve"> </v>
      </c>
      <c r="AI781" s="907" t="str">
        <f t="shared" si="172"/>
        <v xml:space="preserve"> </v>
      </c>
      <c r="AJ781" s="929"/>
      <c r="AK781" s="929"/>
    </row>
    <row r="782" spans="1:37" s="376" customFormat="1" ht="22.5" outlineLevel="2" x14ac:dyDescent="0.3">
      <c r="A782" s="447">
        <f t="shared" si="171"/>
        <v>65</v>
      </c>
      <c r="B782" s="893"/>
      <c r="C782" s="894"/>
      <c r="D782" s="923"/>
      <c r="E782" s="923"/>
      <c r="F782" s="896"/>
      <c r="G782" s="894"/>
      <c r="H782" s="924"/>
      <c r="I782" s="882"/>
      <c r="J782" s="925"/>
      <c r="K782" s="899" t="str">
        <f>IF(G782&lt;&gt;0,VLOOKUP(G782,'gia dat'!$A$1:$F$144,5,0)," ")</f>
        <v xml:space="preserve"> </v>
      </c>
      <c r="L782" s="899" t="str">
        <f>IF(G782&lt;&gt;0,VLOOKUP(G782,'gia dat'!$A$1:$F$144,6,0)," ")</f>
        <v xml:space="preserve"> </v>
      </c>
      <c r="M782" s="900" t="str">
        <f t="shared" si="173"/>
        <v xml:space="preserve"> </v>
      </c>
      <c r="N782" s="900" t="str">
        <f t="shared" si="174"/>
        <v xml:space="preserve"> </v>
      </c>
      <c r="O782" s="894" t="s">
        <v>750</v>
      </c>
      <c r="P782" s="926">
        <v>5</v>
      </c>
      <c r="Q782" s="900">
        <f>IF(O782&lt;&gt;0,VLOOKUP(O782,'Cây trong'!$A$2:$C$246,3,0)," ")</f>
        <v>0</v>
      </c>
      <c r="R782" s="900">
        <f t="shared" si="162"/>
        <v>0</v>
      </c>
      <c r="S782" s="1016"/>
      <c r="T782" s="1013"/>
      <c r="U782" s="927"/>
      <c r="V782" s="925"/>
      <c r="W782" s="900" t="str">
        <f>IF(S782&lt;&gt;0,VLOOKUP(S782,VKT!$A$2:$G$415,7,0),"")</f>
        <v/>
      </c>
      <c r="X782" s="900" t="str">
        <f t="shared" si="169"/>
        <v xml:space="preserve"> </v>
      </c>
      <c r="Y782" s="925"/>
      <c r="Z782" s="928"/>
      <c r="AA782" s="928"/>
      <c r="AB782" s="904"/>
      <c r="AC782" s="928"/>
      <c r="AD782" s="928"/>
      <c r="AE782" s="928"/>
      <c r="AF782" s="926"/>
      <c r="AG782" s="906" t="str">
        <f>IF(AE782&lt;&gt;0,VLOOKUP(AE782,ODDS!$A$2:$C$13,3,0),"")</f>
        <v/>
      </c>
      <c r="AH782" s="906" t="str">
        <f t="shared" si="163"/>
        <v xml:space="preserve"> </v>
      </c>
      <c r="AI782" s="907" t="str">
        <f t="shared" si="172"/>
        <v xml:space="preserve"> </v>
      </c>
      <c r="AJ782" s="929"/>
      <c r="AK782" s="929"/>
    </row>
    <row r="783" spans="1:37" s="376" customFormat="1" ht="45" outlineLevel="2" x14ac:dyDescent="0.3">
      <c r="A783" s="447">
        <f t="shared" si="171"/>
        <v>65</v>
      </c>
      <c r="B783" s="893"/>
      <c r="C783" s="910"/>
      <c r="D783" s="923"/>
      <c r="E783" s="923"/>
      <c r="F783" s="896"/>
      <c r="G783" s="894"/>
      <c r="H783" s="924"/>
      <c r="I783" s="882"/>
      <c r="J783" s="925"/>
      <c r="K783" s="899" t="str">
        <f>IF(G783&lt;&gt;0,VLOOKUP(G783,'gia dat'!$A$1:$F$144,5,0)," ")</f>
        <v xml:space="preserve"> </v>
      </c>
      <c r="L783" s="899" t="str">
        <f>IF(G783&lt;&gt;0,VLOOKUP(G783,'gia dat'!$A$1:$F$144,6,0)," ")</f>
        <v xml:space="preserve"> </v>
      </c>
      <c r="M783" s="900" t="str">
        <f t="shared" si="173"/>
        <v xml:space="preserve"> </v>
      </c>
      <c r="N783" s="900" t="str">
        <f t="shared" si="174"/>
        <v xml:space="preserve"> </v>
      </c>
      <c r="O783" s="894" t="s">
        <v>242</v>
      </c>
      <c r="P783" s="926">
        <v>32</v>
      </c>
      <c r="Q783" s="900">
        <f>IF(O783&lt;&gt;0,VLOOKUP(O783,'Cây trong'!$A$2:$C$246,3,0)," ")</f>
        <v>6000</v>
      </c>
      <c r="R783" s="900">
        <f t="shared" si="162"/>
        <v>192000</v>
      </c>
      <c r="S783" s="902"/>
      <c r="T783" s="925"/>
      <c r="U783" s="927"/>
      <c r="V783" s="925"/>
      <c r="W783" s="900" t="str">
        <f>IF(S783&lt;&gt;0,VLOOKUP(S783,VKT!$A$2:$G$415,7,0),"")</f>
        <v/>
      </c>
      <c r="X783" s="900" t="str">
        <f t="shared" si="169"/>
        <v xml:space="preserve"> </v>
      </c>
      <c r="Y783" s="925"/>
      <c r="Z783" s="928"/>
      <c r="AA783" s="928"/>
      <c r="AB783" s="904"/>
      <c r="AC783" s="928"/>
      <c r="AD783" s="928"/>
      <c r="AE783" s="928"/>
      <c r="AF783" s="926"/>
      <c r="AG783" s="906" t="str">
        <f>IF(AE783&lt;&gt;0,VLOOKUP(AE783,ODDS!$A$2:$C$13,3,0),"")</f>
        <v/>
      </c>
      <c r="AH783" s="906" t="str">
        <f t="shared" si="163"/>
        <v xml:space="preserve"> </v>
      </c>
      <c r="AI783" s="907" t="str">
        <f t="shared" si="172"/>
        <v xml:space="preserve"> </v>
      </c>
      <c r="AJ783" s="929"/>
      <c r="AK783" s="929"/>
    </row>
    <row r="784" spans="1:37" s="376" customFormat="1" ht="22.5" outlineLevel="2" x14ac:dyDescent="0.3">
      <c r="A784" s="447">
        <f t="shared" si="171"/>
        <v>65</v>
      </c>
      <c r="B784" s="893"/>
      <c r="C784" s="972"/>
      <c r="D784" s="923"/>
      <c r="E784" s="923"/>
      <c r="F784" s="950"/>
      <c r="G784" s="894"/>
      <c r="H784" s="940"/>
      <c r="I784" s="882"/>
      <c r="J784" s="929"/>
      <c r="K784" s="899" t="str">
        <f>IF(G784&lt;&gt;0,VLOOKUP(G784,'gia dat'!$A$1:$F$144,5,0)," ")</f>
        <v xml:space="preserve"> </v>
      </c>
      <c r="L784" s="899" t="str">
        <f>IF(G784&lt;&gt;0,VLOOKUP(G784,'gia dat'!$A$1:$F$144,6,0)," ")</f>
        <v xml:space="preserve"> </v>
      </c>
      <c r="M784" s="900" t="str">
        <f t="shared" si="173"/>
        <v xml:space="preserve"> </v>
      </c>
      <c r="N784" s="900" t="str">
        <f t="shared" si="174"/>
        <v xml:space="preserve"> </v>
      </c>
      <c r="O784" s="929"/>
      <c r="P784" s="951"/>
      <c r="Q784" s="900" t="str">
        <f>IF(O784&lt;&gt;0,VLOOKUP(O784,'Cây trong'!$A$2:$C$246,3,0)," ")</f>
        <v xml:space="preserve"> </v>
      </c>
      <c r="R784" s="900" t="str">
        <f t="shared" si="162"/>
        <v xml:space="preserve"> </v>
      </c>
      <c r="S784" s="929"/>
      <c r="T784" s="929"/>
      <c r="U784" s="952"/>
      <c r="V784" s="925"/>
      <c r="W784" s="900" t="str">
        <f>IF(S784&lt;&gt;0,VLOOKUP(S784,VKT!$A$2:$G$415,7,0),"")</f>
        <v/>
      </c>
      <c r="X784" s="900" t="str">
        <f t="shared" si="169"/>
        <v xml:space="preserve"> </v>
      </c>
      <c r="Y784" s="925"/>
      <c r="Z784" s="925"/>
      <c r="AA784" s="925"/>
      <c r="AB784" s="898"/>
      <c r="AC784" s="925"/>
      <c r="AD784" s="925"/>
      <c r="AE784" s="925"/>
      <c r="AF784" s="964"/>
      <c r="AG784" s="906" t="str">
        <f>IF(AE784&lt;&gt;0,VLOOKUP(AE784,ODDS!$A$2:$C$13,3,0),"")</f>
        <v/>
      </c>
      <c r="AH784" s="906" t="str">
        <f t="shared" si="163"/>
        <v xml:space="preserve"> </v>
      </c>
      <c r="AI784" s="907" t="str">
        <f t="shared" si="172"/>
        <v xml:space="preserve"> </v>
      </c>
      <c r="AJ784" s="929"/>
      <c r="AK784" s="929"/>
    </row>
    <row r="785" spans="1:37" s="376" customFormat="1" ht="22.5" outlineLevel="2" x14ac:dyDescent="0.3">
      <c r="A785" s="447">
        <f t="shared" si="171"/>
        <v>65</v>
      </c>
      <c r="B785" s="893"/>
      <c r="C785" s="971"/>
      <c r="D785" s="923"/>
      <c r="E785" s="923"/>
      <c r="F785" s="896"/>
      <c r="G785" s="894"/>
      <c r="H785" s="924"/>
      <c r="I785" s="882"/>
      <c r="J785" s="925"/>
      <c r="K785" s="899" t="str">
        <f>IF(G785&lt;&gt;0,VLOOKUP(G785,'gia dat'!$A$1:$F$144,5,0)," ")</f>
        <v xml:space="preserve"> </v>
      </c>
      <c r="L785" s="899" t="str">
        <f>IF(G785&lt;&gt;0,VLOOKUP(G785,'gia dat'!$A$1:$F$144,6,0)," ")</f>
        <v xml:space="preserve"> </v>
      </c>
      <c r="M785" s="900" t="str">
        <f t="shared" si="173"/>
        <v xml:space="preserve"> </v>
      </c>
      <c r="N785" s="900" t="str">
        <f t="shared" si="174"/>
        <v xml:space="preserve"> </v>
      </c>
      <c r="O785" s="894"/>
      <c r="P785" s="926"/>
      <c r="Q785" s="900" t="str">
        <f>IF(O785&lt;&gt;0,VLOOKUP(O785,'Cây trong'!$A$2:$C$246,3,0)," ")</f>
        <v xml:space="preserve"> </v>
      </c>
      <c r="R785" s="900" t="str">
        <f t="shared" si="162"/>
        <v xml:space="preserve"> </v>
      </c>
      <c r="S785" s="902"/>
      <c r="T785" s="925"/>
      <c r="U785" s="927"/>
      <c r="V785" s="925"/>
      <c r="W785" s="900" t="str">
        <f>IF(S785&lt;&gt;0,VLOOKUP(S785,VKT!$A$2:$G$415,7,0),"")</f>
        <v/>
      </c>
      <c r="X785" s="900" t="str">
        <f t="shared" si="169"/>
        <v xml:space="preserve"> </v>
      </c>
      <c r="Y785" s="925"/>
      <c r="Z785" s="928"/>
      <c r="AA785" s="928"/>
      <c r="AB785" s="904"/>
      <c r="AC785" s="928"/>
      <c r="AD785" s="928"/>
      <c r="AE785" s="928"/>
      <c r="AF785" s="926"/>
      <c r="AG785" s="906" t="str">
        <f>IF(AE785&lt;&gt;0,VLOOKUP(AE785,ODDS!$A$2:$C$13,3,0),"")</f>
        <v/>
      </c>
      <c r="AH785" s="906" t="str">
        <f t="shared" si="163"/>
        <v xml:space="preserve"> </v>
      </c>
      <c r="AI785" s="907" t="str">
        <f t="shared" si="172"/>
        <v xml:space="preserve"> </v>
      </c>
      <c r="AJ785" s="929"/>
      <c r="AK785" s="929"/>
    </row>
    <row r="786" spans="1:37" s="376" customFormat="1" ht="22.5" outlineLevel="2" x14ac:dyDescent="0.3">
      <c r="A786" s="447">
        <f t="shared" si="171"/>
        <v>65</v>
      </c>
      <c r="B786" s="893"/>
      <c r="C786" s="971"/>
      <c r="D786" s="923"/>
      <c r="E786" s="923"/>
      <c r="F786" s="896"/>
      <c r="G786" s="894"/>
      <c r="H786" s="924"/>
      <c r="I786" s="882"/>
      <c r="J786" s="925"/>
      <c r="K786" s="899" t="str">
        <f>IF(G786&lt;&gt;0,VLOOKUP(G786,'gia dat'!$A$1:$F$144,5,0)," ")</f>
        <v xml:space="preserve"> </v>
      </c>
      <c r="L786" s="899" t="str">
        <f>IF(G786&lt;&gt;0,VLOOKUP(G786,'gia dat'!$A$1:$F$144,6,0)," ")</f>
        <v xml:space="preserve"> </v>
      </c>
      <c r="M786" s="900" t="str">
        <f t="shared" si="173"/>
        <v xml:space="preserve"> </v>
      </c>
      <c r="N786" s="900" t="str">
        <f t="shared" si="174"/>
        <v xml:space="preserve"> </v>
      </c>
      <c r="O786" s="894"/>
      <c r="P786" s="926"/>
      <c r="Q786" s="900" t="str">
        <f>IF(O786&lt;&gt;0,VLOOKUP(O786,'Cây trong'!$A$2:$C$246,3,0)," ")</f>
        <v xml:space="preserve"> </v>
      </c>
      <c r="R786" s="900" t="str">
        <f t="shared" si="162"/>
        <v xml:space="preserve"> </v>
      </c>
      <c r="S786" s="902"/>
      <c r="T786" s="925"/>
      <c r="U786" s="927"/>
      <c r="V786" s="925"/>
      <c r="W786" s="900" t="str">
        <f>IF(S786&lt;&gt;0,VLOOKUP(S786,VKT!$A$2:$G$415,7,0),"")</f>
        <v/>
      </c>
      <c r="X786" s="900" t="str">
        <f t="shared" si="169"/>
        <v xml:space="preserve"> </v>
      </c>
      <c r="Y786" s="925"/>
      <c r="Z786" s="928"/>
      <c r="AA786" s="928"/>
      <c r="AB786" s="904"/>
      <c r="AC786" s="928"/>
      <c r="AD786" s="928"/>
      <c r="AE786" s="928"/>
      <c r="AF786" s="926"/>
      <c r="AG786" s="906" t="str">
        <f>IF(AE786&lt;&gt;0,VLOOKUP(AE786,ODDS!$A$2:$C$13,3,0),"")</f>
        <v/>
      </c>
      <c r="AH786" s="906" t="str">
        <f t="shared" si="163"/>
        <v xml:space="preserve"> </v>
      </c>
      <c r="AI786" s="907" t="str">
        <f t="shared" si="172"/>
        <v xml:space="preserve"> </v>
      </c>
      <c r="AJ786" s="929"/>
      <c r="AK786" s="929"/>
    </row>
    <row r="787" spans="1:37" s="376" customFormat="1" ht="65.25" outlineLevel="1" x14ac:dyDescent="0.25">
      <c r="A787" s="467" t="s">
        <v>2644</v>
      </c>
      <c r="B787" s="912">
        <v>66</v>
      </c>
      <c r="C787" s="971" t="s">
        <v>243</v>
      </c>
      <c r="D787" s="931"/>
      <c r="E787" s="931"/>
      <c r="F787" s="913"/>
      <c r="G787" s="910"/>
      <c r="H787" s="953">
        <f>SUBTOTAL(9,H788:H793)</f>
        <v>21.4</v>
      </c>
      <c r="I787" s="915">
        <f>SUBTOTAL(9,I788:I793)</f>
        <v>0</v>
      </c>
      <c r="J787" s="933"/>
      <c r="K787" s="917"/>
      <c r="L787" s="917"/>
      <c r="M787" s="907">
        <f>SUBTOTAL(9,M788:M793)</f>
        <v>0</v>
      </c>
      <c r="N787" s="907">
        <f>SUBTOTAL(9,N788:N793)</f>
        <v>0</v>
      </c>
      <c r="O787" s="910"/>
      <c r="P787" s="935">
        <f>SUBTOTAL(9,P788:P793)</f>
        <v>0</v>
      </c>
      <c r="Q787" s="907"/>
      <c r="R787" s="907">
        <f>SUBTOTAL(9,R788:R793)</f>
        <v>0</v>
      </c>
      <c r="S787" s="918"/>
      <c r="T787" s="933"/>
      <c r="U787" s="936">
        <f>SUBTOTAL(9,U788:U793)</f>
        <v>106.72</v>
      </c>
      <c r="V787" s="933"/>
      <c r="W787" s="907"/>
      <c r="X787" s="907">
        <f>SUBTOTAL(9,X788:X793)</f>
        <v>77361000</v>
      </c>
      <c r="Y787" s="925"/>
      <c r="Z787" s="928"/>
      <c r="AA787" s="928"/>
      <c r="AB787" s="904"/>
      <c r="AC787" s="928"/>
      <c r="AD787" s="928"/>
      <c r="AE787" s="937"/>
      <c r="AF787" s="935">
        <f>SUBTOTAL(9,AF788:AF793)</f>
        <v>0</v>
      </c>
      <c r="AG787" s="921"/>
      <c r="AH787" s="921">
        <f>SUBTOTAL(9,AH788:AH793)</f>
        <v>0</v>
      </c>
      <c r="AI787" s="907">
        <f t="shared" si="172"/>
        <v>77361000</v>
      </c>
      <c r="AJ787" s="943"/>
      <c r="AK787" s="943"/>
    </row>
    <row r="788" spans="1:37" s="376" customFormat="1" ht="112.5" outlineLevel="2" x14ac:dyDescent="0.3">
      <c r="A788" s="447">
        <f>IF(B787&lt;&gt;0,B787,A786)</f>
        <v>66</v>
      </c>
      <c r="B788" s="893"/>
      <c r="C788" s="972" t="s">
        <v>584</v>
      </c>
      <c r="D788" s="923"/>
      <c r="E788" s="923"/>
      <c r="F788" s="896"/>
      <c r="G788" s="894" t="s">
        <v>2144</v>
      </c>
      <c r="H788" s="924">
        <v>21.4</v>
      </c>
      <c r="I788" s="882" t="str">
        <f t="shared" ref="I788" si="175">IF(N788&gt;0,H788,"")</f>
        <v/>
      </c>
      <c r="J788" s="925"/>
      <c r="K788" s="899">
        <f>IF(G788&lt;&gt;0,VLOOKUP(G788,'gia dat'!$A$1:$F$144,5,0)," ")</f>
        <v>0</v>
      </c>
      <c r="L788" s="899">
        <f>IF(G788&lt;&gt;0,VLOOKUP(G788,'gia dat'!$A$1:$F$144,6,0)," ")</f>
        <v>0</v>
      </c>
      <c r="M788" s="900">
        <f t="shared" si="173"/>
        <v>0</v>
      </c>
      <c r="N788" s="900">
        <f t="shared" si="174"/>
        <v>0</v>
      </c>
      <c r="O788" s="894"/>
      <c r="P788" s="926"/>
      <c r="Q788" s="900" t="str">
        <f>IF(O788&lt;&gt;0,VLOOKUP(O788,'Cây trong'!$A$2:$C$246,3,0)," ")</f>
        <v xml:space="preserve"> </v>
      </c>
      <c r="R788" s="900" t="str">
        <f t="shared" si="162"/>
        <v xml:space="preserve"> </v>
      </c>
      <c r="S788" s="902" t="s">
        <v>583</v>
      </c>
      <c r="T788" s="925" t="s">
        <v>53</v>
      </c>
      <c r="U788" s="927">
        <v>87.42</v>
      </c>
      <c r="V788" s="925"/>
      <c r="W788" s="900">
        <f>IF(S788&lt;&gt;0,VLOOKUP(S788,VKT!$A$2:$G$415,7,0),"")</f>
        <v>802830</v>
      </c>
      <c r="X788" s="900">
        <f t="shared" si="169"/>
        <v>70183000</v>
      </c>
      <c r="Y788" s="925"/>
      <c r="Z788" s="928"/>
      <c r="AA788" s="928"/>
      <c r="AB788" s="904"/>
      <c r="AC788" s="928"/>
      <c r="AD788" s="928"/>
      <c r="AE788" s="928"/>
      <c r="AF788" s="926"/>
      <c r="AG788" s="906" t="str">
        <f>IF(AE788&lt;&gt;0,VLOOKUP(AE788,ODDS!$A$2:$C$13,3,0),"")</f>
        <v/>
      </c>
      <c r="AH788" s="906" t="str">
        <f t="shared" si="163"/>
        <v xml:space="preserve"> </v>
      </c>
      <c r="AI788" s="907" t="str">
        <f t="shared" si="172"/>
        <v xml:space="preserve"> </v>
      </c>
      <c r="AJ788" s="929"/>
      <c r="AK788" s="929"/>
    </row>
    <row r="789" spans="1:37" s="376" customFormat="1" ht="45" outlineLevel="2" x14ac:dyDescent="0.3">
      <c r="A789" s="447">
        <f>IF(B788&lt;&gt;0,B788,A788)</f>
        <v>66</v>
      </c>
      <c r="B789" s="893"/>
      <c r="C789" s="972"/>
      <c r="D789" s="923"/>
      <c r="E789" s="923"/>
      <c r="F789" s="896"/>
      <c r="G789" s="894"/>
      <c r="H789" s="924"/>
      <c r="I789" s="882"/>
      <c r="J789" s="925"/>
      <c r="K789" s="899" t="str">
        <f>IF(G789&lt;&gt;0,VLOOKUP(G789,'gia dat'!$A$1:$F$144,5,0)," ")</f>
        <v xml:space="preserve"> </v>
      </c>
      <c r="L789" s="899" t="str">
        <f>IF(G789&lt;&gt;0,VLOOKUP(G789,'gia dat'!$A$1:$F$144,6,0)," ")</f>
        <v xml:space="preserve"> </v>
      </c>
      <c r="M789" s="900" t="str">
        <f t="shared" si="173"/>
        <v xml:space="preserve"> </v>
      </c>
      <c r="N789" s="900" t="str">
        <f t="shared" si="174"/>
        <v xml:space="preserve"> </v>
      </c>
      <c r="O789" s="894"/>
      <c r="P789" s="926"/>
      <c r="Q789" s="900" t="str">
        <f>IF(O789&lt;&gt;0,VLOOKUP(O789,'Cây trong'!$A$2:$C$246,3,0)," ")</f>
        <v xml:space="preserve"> </v>
      </c>
      <c r="R789" s="900" t="str">
        <f t="shared" si="162"/>
        <v xml:space="preserve"> </v>
      </c>
      <c r="S789" s="902" t="s">
        <v>374</v>
      </c>
      <c r="T789" s="925" t="s">
        <v>53</v>
      </c>
      <c r="U789" s="927">
        <v>19.3</v>
      </c>
      <c r="V789" s="925"/>
      <c r="W789" s="900">
        <f>IF(S789&lt;&gt;0,VLOOKUP(S789,VKT!$A$2:$G$415,7,0),"")</f>
        <v>371943</v>
      </c>
      <c r="X789" s="900">
        <f t="shared" si="169"/>
        <v>7178000</v>
      </c>
      <c r="Y789" s="925"/>
      <c r="Z789" s="928"/>
      <c r="AA789" s="928"/>
      <c r="AB789" s="904"/>
      <c r="AC789" s="928"/>
      <c r="AD789" s="928"/>
      <c r="AE789" s="928"/>
      <c r="AF789" s="926"/>
      <c r="AG789" s="906" t="str">
        <f>IF(AE789&lt;&gt;0,VLOOKUP(AE789,ODDS!$A$2:$C$13,3,0),"")</f>
        <v/>
      </c>
      <c r="AH789" s="906" t="str">
        <f t="shared" si="163"/>
        <v xml:space="preserve"> </v>
      </c>
      <c r="AI789" s="907" t="str">
        <f t="shared" si="172"/>
        <v xml:space="preserve"> </v>
      </c>
      <c r="AJ789" s="929"/>
      <c r="AK789" s="929"/>
    </row>
    <row r="790" spans="1:37" s="376" customFormat="1" ht="22.5" outlineLevel="2" x14ac:dyDescent="0.3">
      <c r="A790" s="447">
        <f>IF(B789&lt;&gt;0,B789,A789)</f>
        <v>66</v>
      </c>
      <c r="B790" s="893"/>
      <c r="C790" s="972"/>
      <c r="D790" s="923"/>
      <c r="E790" s="923"/>
      <c r="F790" s="896"/>
      <c r="G790" s="894"/>
      <c r="H790" s="924"/>
      <c r="I790" s="882"/>
      <c r="J790" s="925"/>
      <c r="K790" s="899" t="str">
        <f>IF(G790&lt;&gt;0,VLOOKUP(G790,'gia dat'!$A$1:$F$144,5,0)," ")</f>
        <v xml:space="preserve"> </v>
      </c>
      <c r="L790" s="899" t="str">
        <f>IF(G790&lt;&gt;0,VLOOKUP(G790,'gia dat'!$A$1:$F$144,6,0)," ")</f>
        <v xml:space="preserve"> </v>
      </c>
      <c r="M790" s="900" t="str">
        <f t="shared" si="173"/>
        <v xml:space="preserve"> </v>
      </c>
      <c r="N790" s="900" t="str">
        <f t="shared" si="174"/>
        <v xml:space="preserve"> </v>
      </c>
      <c r="O790" s="894"/>
      <c r="P790" s="926"/>
      <c r="Q790" s="900" t="str">
        <f>IF(O790&lt;&gt;0,VLOOKUP(O790,'Cây trong'!$A$2:$C$246,3,0)," ")</f>
        <v xml:space="preserve"> </v>
      </c>
      <c r="R790" s="900" t="str">
        <f t="shared" si="162"/>
        <v xml:space="preserve"> </v>
      </c>
      <c r="S790" s="929"/>
      <c r="T790" s="929"/>
      <c r="U790" s="952"/>
      <c r="V790" s="925"/>
      <c r="W790" s="900" t="str">
        <f>IF(S790&lt;&gt;0,VLOOKUP(S790,VKT!$A$2:$G$415,7,0),"")</f>
        <v/>
      </c>
      <c r="X790" s="900" t="str">
        <f t="shared" si="169"/>
        <v xml:space="preserve"> </v>
      </c>
      <c r="Y790" s="925"/>
      <c r="Z790" s="928"/>
      <c r="AA790" s="928"/>
      <c r="AB790" s="904"/>
      <c r="AC790" s="928"/>
      <c r="AD790" s="928"/>
      <c r="AE790" s="928"/>
      <c r="AF790" s="926"/>
      <c r="AG790" s="906" t="str">
        <f>IF(AE790&lt;&gt;0,VLOOKUP(AE790,ODDS!$A$2:$C$13,3,0),"")</f>
        <v/>
      </c>
      <c r="AH790" s="906" t="str">
        <f t="shared" si="163"/>
        <v xml:space="preserve"> </v>
      </c>
      <c r="AI790" s="907" t="str">
        <f t="shared" si="172"/>
        <v xml:space="preserve"> </v>
      </c>
      <c r="AJ790" s="929"/>
      <c r="AK790" s="929"/>
    </row>
    <row r="791" spans="1:37" s="376" customFormat="1" ht="22.5" outlineLevel="2" x14ac:dyDescent="0.3">
      <c r="A791" s="447">
        <f>IF(B790&lt;&gt;0,B790,A790)</f>
        <v>66</v>
      </c>
      <c r="B791" s="893"/>
      <c r="C791" s="972"/>
      <c r="D791" s="923"/>
      <c r="E791" s="923"/>
      <c r="F791" s="896"/>
      <c r="G791" s="894"/>
      <c r="H791" s="924"/>
      <c r="I791" s="882"/>
      <c r="J791" s="925"/>
      <c r="K791" s="899" t="str">
        <f>IF(G791&lt;&gt;0,VLOOKUP(G791,'gia dat'!$A$1:$F$144,5,0)," ")</f>
        <v xml:space="preserve"> </v>
      </c>
      <c r="L791" s="899" t="str">
        <f>IF(G791&lt;&gt;0,VLOOKUP(G791,'gia dat'!$A$1:$F$144,6,0)," ")</f>
        <v xml:space="preserve"> </v>
      </c>
      <c r="M791" s="900" t="str">
        <f t="shared" si="173"/>
        <v xml:space="preserve"> </v>
      </c>
      <c r="N791" s="900" t="str">
        <f t="shared" si="174"/>
        <v xml:space="preserve"> </v>
      </c>
      <c r="O791" s="973"/>
      <c r="P791" s="999"/>
      <c r="Q791" s="900" t="str">
        <f>IF(O791&lt;&gt;0,VLOOKUP(O791,'Cây trong'!$A$2:$C$246,3,0)," ")</f>
        <v xml:space="preserve"> </v>
      </c>
      <c r="R791" s="900" t="str">
        <f t="shared" ref="R791:R858" si="176">IF(O791&lt;&gt;0,ROUND(P791*Q791,-2)," ")</f>
        <v xml:space="preserve"> </v>
      </c>
      <c r="S791" s="973"/>
      <c r="T791" s="974"/>
      <c r="U791" s="927"/>
      <c r="V791" s="1013"/>
      <c r="W791" s="900" t="str">
        <f>IF(S791&lt;&gt;0,VLOOKUP(S791,VKT!$A$2:$G$415,7,0),"")</f>
        <v/>
      </c>
      <c r="X791" s="900" t="str">
        <f t="shared" si="169"/>
        <v xml:space="preserve"> </v>
      </c>
      <c r="Y791" s="925"/>
      <c r="Z791" s="928"/>
      <c r="AA791" s="928"/>
      <c r="AB791" s="904"/>
      <c r="AC791" s="928"/>
      <c r="AD791" s="928"/>
      <c r="AE791" s="928"/>
      <c r="AF791" s="926"/>
      <c r="AG791" s="906" t="str">
        <f>IF(AE791&lt;&gt;0,VLOOKUP(AE791,ODDS!$A$2:$C$13,3,0),"")</f>
        <v/>
      </c>
      <c r="AH791" s="906" t="str">
        <f t="shared" ref="AH791:AH858" si="177">IF(AE791&lt;&gt;0,ROUND(AF791*AG791,-2)," ")</f>
        <v xml:space="preserve"> </v>
      </c>
      <c r="AI791" s="907" t="str">
        <f t="shared" si="172"/>
        <v xml:space="preserve"> </v>
      </c>
      <c r="AJ791" s="929"/>
      <c r="AK791" s="929"/>
    </row>
    <row r="792" spans="1:37" s="376" customFormat="1" ht="22.5" outlineLevel="2" x14ac:dyDescent="0.3">
      <c r="A792" s="447">
        <f>IF(B791&lt;&gt;0,B791,A791)</f>
        <v>66</v>
      </c>
      <c r="B792" s="893"/>
      <c r="C792" s="894"/>
      <c r="D792" s="923"/>
      <c r="E792" s="923"/>
      <c r="F792" s="896"/>
      <c r="G792" s="894"/>
      <c r="H792" s="924"/>
      <c r="I792" s="882"/>
      <c r="J792" s="925"/>
      <c r="K792" s="899" t="str">
        <f>IF(G792&lt;&gt;0,VLOOKUP(G792,'gia dat'!$A$1:$F$144,5,0)," ")</f>
        <v xml:space="preserve"> </v>
      </c>
      <c r="L792" s="899" t="str">
        <f>IF(G792&lt;&gt;0,VLOOKUP(G792,'gia dat'!$A$1:$F$144,6,0)," ")</f>
        <v xml:space="preserve"> </v>
      </c>
      <c r="M792" s="900" t="str">
        <f t="shared" si="173"/>
        <v xml:space="preserve"> </v>
      </c>
      <c r="N792" s="900" t="str">
        <f t="shared" si="174"/>
        <v xml:space="preserve"> </v>
      </c>
      <c r="O792" s="973"/>
      <c r="P792" s="999"/>
      <c r="Q792" s="900" t="str">
        <f>IF(O792&lt;&gt;0,VLOOKUP(O792,'Cây trong'!$A$2:$C$246,3,0)," ")</f>
        <v xml:space="preserve"> </v>
      </c>
      <c r="R792" s="900" t="str">
        <f t="shared" si="176"/>
        <v xml:space="preserve"> </v>
      </c>
      <c r="S792" s="973"/>
      <c r="T792" s="974"/>
      <c r="U792" s="927"/>
      <c r="V792" s="1013"/>
      <c r="W792" s="900" t="str">
        <f>IF(S792&lt;&gt;0,VLOOKUP(S792,VKT!$A$2:$G$415,7,0),"")</f>
        <v/>
      </c>
      <c r="X792" s="900" t="str">
        <f t="shared" si="169"/>
        <v xml:space="preserve"> </v>
      </c>
      <c r="Y792" s="925"/>
      <c r="Z792" s="928"/>
      <c r="AA792" s="928"/>
      <c r="AB792" s="904"/>
      <c r="AC792" s="928"/>
      <c r="AD792" s="928"/>
      <c r="AE792" s="928"/>
      <c r="AF792" s="926"/>
      <c r="AG792" s="906" t="str">
        <f>IF(AE792&lt;&gt;0,VLOOKUP(AE792,ODDS!$A$2:$C$13,3,0),"")</f>
        <v/>
      </c>
      <c r="AH792" s="906" t="str">
        <f t="shared" si="177"/>
        <v xml:space="preserve"> </v>
      </c>
      <c r="AI792" s="907" t="str">
        <f t="shared" si="172"/>
        <v xml:space="preserve"> </v>
      </c>
      <c r="AJ792" s="929"/>
      <c r="AK792" s="929"/>
    </row>
    <row r="793" spans="1:37" s="376" customFormat="1" ht="22.5" outlineLevel="2" x14ac:dyDescent="0.3">
      <c r="A793" s="447">
        <f>IF(B792&lt;&gt;0,B792,A792)</f>
        <v>66</v>
      </c>
      <c r="B793" s="893"/>
      <c r="C793" s="971"/>
      <c r="D793" s="923"/>
      <c r="E793" s="923"/>
      <c r="F793" s="896"/>
      <c r="G793" s="894"/>
      <c r="H793" s="924"/>
      <c r="I793" s="882"/>
      <c r="J793" s="925"/>
      <c r="K793" s="899" t="str">
        <f>IF(G793&lt;&gt;0,VLOOKUP(G793,'gia dat'!$A$1:$F$144,5,0)," ")</f>
        <v xml:space="preserve"> </v>
      </c>
      <c r="L793" s="899" t="str">
        <f>IF(G793&lt;&gt;0,VLOOKUP(G793,'gia dat'!$A$1:$F$144,6,0)," ")</f>
        <v xml:space="preserve"> </v>
      </c>
      <c r="M793" s="900" t="str">
        <f t="shared" si="173"/>
        <v xml:space="preserve"> </v>
      </c>
      <c r="N793" s="900" t="str">
        <f t="shared" si="174"/>
        <v xml:space="preserve"> </v>
      </c>
      <c r="O793" s="973"/>
      <c r="P793" s="999"/>
      <c r="Q793" s="900" t="str">
        <f>IF(O793&lt;&gt;0,VLOOKUP(O793,'Cây trong'!$A$2:$C$246,3,0)," ")</f>
        <v xml:space="preserve"> </v>
      </c>
      <c r="R793" s="900" t="str">
        <f t="shared" si="176"/>
        <v xml:space="preserve"> </v>
      </c>
      <c r="S793" s="973"/>
      <c r="T793" s="974"/>
      <c r="U793" s="927"/>
      <c r="V793" s="1013"/>
      <c r="W793" s="900" t="str">
        <f>IF(S793&lt;&gt;0,VLOOKUP(S793,VKT!$A$2:$G$415,7,0),"")</f>
        <v/>
      </c>
      <c r="X793" s="900" t="str">
        <f t="shared" si="169"/>
        <v xml:space="preserve"> </v>
      </c>
      <c r="Y793" s="925"/>
      <c r="Z793" s="928"/>
      <c r="AA793" s="928"/>
      <c r="AB793" s="904"/>
      <c r="AC793" s="928"/>
      <c r="AD793" s="928"/>
      <c r="AE793" s="928"/>
      <c r="AF793" s="926"/>
      <c r="AG793" s="906" t="str">
        <f>IF(AE793&lt;&gt;0,VLOOKUP(AE793,ODDS!$A$2:$C$13,3,0),"")</f>
        <v/>
      </c>
      <c r="AH793" s="906" t="str">
        <f t="shared" si="177"/>
        <v xml:space="preserve"> </v>
      </c>
      <c r="AI793" s="907" t="str">
        <f t="shared" si="172"/>
        <v xml:space="preserve"> </v>
      </c>
      <c r="AJ793" s="929"/>
      <c r="AK793" s="929"/>
    </row>
    <row r="794" spans="1:37" s="376" customFormat="1" ht="43.5" outlineLevel="1" x14ac:dyDescent="0.25">
      <c r="A794" s="467" t="s">
        <v>2643</v>
      </c>
      <c r="B794" s="912">
        <v>67</v>
      </c>
      <c r="C794" s="971" t="s">
        <v>44</v>
      </c>
      <c r="D794" s="931"/>
      <c r="E794" s="931"/>
      <c r="F794" s="913"/>
      <c r="G794" s="910"/>
      <c r="H794" s="953">
        <f>SUBTOTAL(9,H795:H812)</f>
        <v>144.1</v>
      </c>
      <c r="I794" s="915">
        <f>SUBTOTAL(9,I795:I800)</f>
        <v>0</v>
      </c>
      <c r="J794" s="933"/>
      <c r="K794" s="917"/>
      <c r="L794" s="917"/>
      <c r="M794" s="907">
        <f>SUBTOTAL(9,M795:M812)</f>
        <v>79888000</v>
      </c>
      <c r="N794" s="907">
        <f>SUBTOTAL(9,N795:N812)</f>
        <v>0</v>
      </c>
      <c r="O794" s="910"/>
      <c r="P794" s="935">
        <f>SUBTOTAL(9,P795:P812)</f>
        <v>104</v>
      </c>
      <c r="Q794" s="907"/>
      <c r="R794" s="907">
        <f>SUBTOTAL(9,R795:R812)</f>
        <v>8032000</v>
      </c>
      <c r="S794" s="918"/>
      <c r="T794" s="933"/>
      <c r="U794" s="936">
        <f>SUBTOTAL(9,U795:U812)</f>
        <v>188.91</v>
      </c>
      <c r="V794" s="933"/>
      <c r="W794" s="907"/>
      <c r="X794" s="907">
        <f>SUBTOTAL(9,X795:X812)</f>
        <v>456056000</v>
      </c>
      <c r="Y794" s="925"/>
      <c r="Z794" s="928"/>
      <c r="AA794" s="928"/>
      <c r="AB794" s="904"/>
      <c r="AC794" s="928"/>
      <c r="AD794" s="904"/>
      <c r="AE794" s="938"/>
      <c r="AF794" s="917">
        <f>SUBTOTAL(9,AF795:AF812)</f>
        <v>1</v>
      </c>
      <c r="AG794" s="921"/>
      <c r="AH794" s="921">
        <f>SUBTOTAL(9,AH795:AH812)</f>
        <v>17000000</v>
      </c>
      <c r="AI794" s="907">
        <f t="shared" si="172"/>
        <v>560976000</v>
      </c>
      <c r="AJ794" s="910"/>
      <c r="AK794" s="914"/>
    </row>
    <row r="795" spans="1:37" s="376" customFormat="1" ht="135" outlineLevel="2" x14ac:dyDescent="0.3">
      <c r="A795" s="447">
        <f>IF(B794&lt;&gt;0,B794,A793)</f>
        <v>67</v>
      </c>
      <c r="B795" s="893"/>
      <c r="C795" s="894" t="s">
        <v>244</v>
      </c>
      <c r="D795" s="923">
        <v>2</v>
      </c>
      <c r="E795" s="923">
        <v>86</v>
      </c>
      <c r="F795" s="896">
        <v>387</v>
      </c>
      <c r="G795" s="894" t="s">
        <v>2483</v>
      </c>
      <c r="H795" s="924">
        <v>103.4</v>
      </c>
      <c r="I795" s="882" t="str">
        <f t="shared" ref="I795:I798" si="178">IF(N795&gt;0,H795,"")</f>
        <v/>
      </c>
      <c r="J795" s="925"/>
      <c r="K795" s="899">
        <f>IF(G795&lt;&gt;0,VLOOKUP(G795,'gia dat'!$A$1:$F$144,5,0)," ")</f>
        <v>554400</v>
      </c>
      <c r="L795" s="899">
        <f>IF(G795&lt;&gt;0,VLOOKUP(G795,'gia dat'!$A$1:$F$144,6,0)," ")</f>
        <v>0</v>
      </c>
      <c r="M795" s="900">
        <f t="shared" si="173"/>
        <v>57325000</v>
      </c>
      <c r="N795" s="900">
        <f t="shared" si="174"/>
        <v>0</v>
      </c>
      <c r="O795" s="894" t="s">
        <v>72</v>
      </c>
      <c r="P795" s="926">
        <v>22</v>
      </c>
      <c r="Q795" s="900">
        <f>IF(O795&lt;&gt;0,VLOOKUP(O795,'Cây trong'!$A$2:$C$246,3,0)," ")</f>
        <v>132000</v>
      </c>
      <c r="R795" s="900">
        <f t="shared" si="176"/>
        <v>2904000</v>
      </c>
      <c r="S795" s="902" t="s">
        <v>1820</v>
      </c>
      <c r="T795" s="925" t="s">
        <v>53</v>
      </c>
      <c r="U795" s="927">
        <v>60</v>
      </c>
      <c r="V795" s="925"/>
      <c r="W795" s="900">
        <f>IF(S795&lt;&gt;0,VLOOKUP(S795,VKT!$A$2:$G$415,7,0),"")</f>
        <v>5307665</v>
      </c>
      <c r="X795" s="900">
        <f t="shared" si="169"/>
        <v>318460000</v>
      </c>
      <c r="Y795" s="925" t="s">
        <v>63</v>
      </c>
      <c r="Z795" s="928" t="s">
        <v>55</v>
      </c>
      <c r="AA795" s="928" t="s">
        <v>56</v>
      </c>
      <c r="AB795" s="904" t="s">
        <v>57</v>
      </c>
      <c r="AC795" s="928" t="s">
        <v>63</v>
      </c>
      <c r="AD795" s="904" t="s">
        <v>430</v>
      </c>
      <c r="AE795" s="905"/>
      <c r="AF795" s="899"/>
      <c r="AG795" s="906"/>
      <c r="AH795" s="906"/>
      <c r="AI795" s="907" t="str">
        <f t="shared" si="172"/>
        <v xml:space="preserve"> </v>
      </c>
      <c r="AJ795" s="894" t="s">
        <v>1714</v>
      </c>
      <c r="AK795" s="922" t="s">
        <v>2771</v>
      </c>
    </row>
    <row r="796" spans="1:37" s="376" customFormat="1" ht="135" outlineLevel="2" x14ac:dyDescent="0.3">
      <c r="A796" s="447">
        <f t="shared" ref="A796:A812" si="179">IF(B795&lt;&gt;0,B795,A795)</f>
        <v>67</v>
      </c>
      <c r="B796" s="893"/>
      <c r="C796" s="972" t="s">
        <v>701</v>
      </c>
      <c r="D796" s="923"/>
      <c r="E796" s="923"/>
      <c r="F796" s="896"/>
      <c r="G796" s="894" t="s">
        <v>2788</v>
      </c>
      <c r="H796" s="924">
        <v>0.5</v>
      </c>
      <c r="I796" s="882" t="str">
        <f t="shared" si="178"/>
        <v/>
      </c>
      <c r="J796" s="925"/>
      <c r="K796" s="899">
        <f>IF(G796&lt;&gt;0,VLOOKUP(G796,'gia dat'!$A$1:$F$144,5,0)," ")</f>
        <v>554400</v>
      </c>
      <c r="L796" s="899">
        <f>IF(G796&lt;&gt;0,VLOOKUP(G796,'gia dat'!$A$1:$F$144,6,0)," ")</f>
        <v>0</v>
      </c>
      <c r="M796" s="900">
        <f t="shared" si="173"/>
        <v>277000</v>
      </c>
      <c r="N796" s="900">
        <f t="shared" si="174"/>
        <v>0</v>
      </c>
      <c r="O796" s="894" t="s">
        <v>73</v>
      </c>
      <c r="P796" s="926">
        <v>19</v>
      </c>
      <c r="Q796" s="900">
        <f>IF(O796&lt;&gt;0,VLOOKUP(O796,'Cây trong'!$A$2:$C$246,3,0)," ")</f>
        <v>76000</v>
      </c>
      <c r="R796" s="900">
        <f t="shared" si="176"/>
        <v>1444000</v>
      </c>
      <c r="S796" s="902" t="s">
        <v>1868</v>
      </c>
      <c r="T796" s="925" t="s">
        <v>53</v>
      </c>
      <c r="U796" s="927">
        <v>4.68</v>
      </c>
      <c r="V796" s="925"/>
      <c r="W796" s="900">
        <f>IF(S796&lt;&gt;0,VLOOKUP(S796,VKT!$A$2:$G$415,7,0),"")</f>
        <v>4631321</v>
      </c>
      <c r="X796" s="900">
        <f t="shared" si="169"/>
        <v>21675000</v>
      </c>
      <c r="Y796" s="925" t="s">
        <v>63</v>
      </c>
      <c r="Z796" s="928" t="s">
        <v>63</v>
      </c>
      <c r="AA796" s="928" t="s">
        <v>56</v>
      </c>
      <c r="AB796" s="904"/>
      <c r="AC796" s="928" t="s">
        <v>63</v>
      </c>
      <c r="AD796" s="904"/>
      <c r="AE796" s="905" t="s">
        <v>2791</v>
      </c>
      <c r="AF796" s="926">
        <v>1</v>
      </c>
      <c r="AG796" s="906">
        <f>IF(AE796&lt;&gt;0,VLOOKUP(AE796,ODDS!$A$2:$C$13,3,0),"")</f>
        <v>17000000</v>
      </c>
      <c r="AH796" s="906">
        <f t="shared" si="177"/>
        <v>17000000</v>
      </c>
      <c r="AI796" s="907" t="str">
        <f t="shared" si="172"/>
        <v xml:space="preserve"> </v>
      </c>
      <c r="AJ796" s="894" t="s">
        <v>586</v>
      </c>
      <c r="AK796" s="894" t="s">
        <v>2448</v>
      </c>
    </row>
    <row r="797" spans="1:37" s="376" customFormat="1" ht="112.5" outlineLevel="2" x14ac:dyDescent="0.3">
      <c r="A797" s="447">
        <f t="shared" si="179"/>
        <v>67</v>
      </c>
      <c r="B797" s="893"/>
      <c r="C797" s="972" t="s">
        <v>245</v>
      </c>
      <c r="D797" s="923"/>
      <c r="E797" s="923"/>
      <c r="F797" s="896"/>
      <c r="G797" s="894" t="s">
        <v>2485</v>
      </c>
      <c r="H797" s="924">
        <v>7.6</v>
      </c>
      <c r="I797" s="882" t="str">
        <f t="shared" si="178"/>
        <v/>
      </c>
      <c r="J797" s="925"/>
      <c r="K797" s="899">
        <f>IF(G797&lt;&gt;0,VLOOKUP(G797,'gia dat'!$A$1:$F$144,5,0)," ")</f>
        <v>554400</v>
      </c>
      <c r="L797" s="899">
        <f>IF(G797&lt;&gt;0,VLOOKUP(G797,'gia dat'!$A$1:$F$144,6,0)," ")</f>
        <v>0</v>
      </c>
      <c r="M797" s="900">
        <f t="shared" si="173"/>
        <v>4213000</v>
      </c>
      <c r="N797" s="900">
        <f t="shared" si="174"/>
        <v>0</v>
      </c>
      <c r="O797" s="894" t="s">
        <v>75</v>
      </c>
      <c r="P797" s="926">
        <v>33</v>
      </c>
      <c r="Q797" s="900">
        <f>IF(O797&lt;&gt;0,VLOOKUP(O797,'Cây trong'!$A$2:$C$246,3,0)," ")</f>
        <v>34000</v>
      </c>
      <c r="R797" s="900">
        <f t="shared" si="176"/>
        <v>1122000</v>
      </c>
      <c r="S797" s="975" t="s">
        <v>1844</v>
      </c>
      <c r="T797" s="925" t="s">
        <v>53</v>
      </c>
      <c r="U797" s="927">
        <v>30</v>
      </c>
      <c r="V797" s="925"/>
      <c r="W797" s="900">
        <f>IF(S797&lt;&gt;0,VLOOKUP(S797,VKT!$A$2:$G$415,7,0),"")</f>
        <v>770070</v>
      </c>
      <c r="X797" s="900">
        <f t="shared" si="169"/>
        <v>23102000</v>
      </c>
      <c r="Y797" s="925"/>
      <c r="Z797" s="928" t="s">
        <v>55</v>
      </c>
      <c r="AA797" s="928" t="s">
        <v>56</v>
      </c>
      <c r="AB797" s="904"/>
      <c r="AC797" s="928" t="s">
        <v>66</v>
      </c>
      <c r="AD797" s="904" t="s">
        <v>246</v>
      </c>
      <c r="AE797" s="941"/>
      <c r="AF797" s="926"/>
      <c r="AG797" s="906" t="str">
        <f>IF(AE797&lt;&gt;0,VLOOKUP(AE797,ODDS!$A$2:$C$13,3,0),"")</f>
        <v/>
      </c>
      <c r="AH797" s="906" t="str">
        <f t="shared" si="177"/>
        <v xml:space="preserve"> </v>
      </c>
      <c r="AI797" s="907" t="str">
        <f t="shared" si="172"/>
        <v xml:space="preserve"> </v>
      </c>
      <c r="AJ797" s="929" t="s">
        <v>247</v>
      </c>
      <c r="AK797" s="894" t="s">
        <v>2450</v>
      </c>
    </row>
    <row r="798" spans="1:37" s="376" customFormat="1" ht="135" outlineLevel="2" x14ac:dyDescent="0.3">
      <c r="A798" s="447">
        <f t="shared" si="179"/>
        <v>67</v>
      </c>
      <c r="B798" s="893"/>
      <c r="C798" s="972"/>
      <c r="D798" s="923"/>
      <c r="E798" s="923"/>
      <c r="F798" s="896"/>
      <c r="G798" s="894" t="s">
        <v>2486</v>
      </c>
      <c r="H798" s="924">
        <f>32.6-H799</f>
        <v>32.6</v>
      </c>
      <c r="I798" s="882" t="str">
        <f t="shared" si="178"/>
        <v/>
      </c>
      <c r="J798" s="925"/>
      <c r="K798" s="899">
        <f>IF(G798&lt;&gt;0,VLOOKUP(G798,'gia dat'!$A$1:$F$144,5,0)," ")</f>
        <v>554400</v>
      </c>
      <c r="L798" s="899">
        <f>IF(G798&lt;&gt;0,VLOOKUP(G798,'gia dat'!$A$1:$F$144,6,0)," ")</f>
        <v>0</v>
      </c>
      <c r="M798" s="900">
        <f t="shared" si="173"/>
        <v>18073000</v>
      </c>
      <c r="N798" s="900">
        <f t="shared" si="174"/>
        <v>0</v>
      </c>
      <c r="O798" s="894" t="s">
        <v>745</v>
      </c>
      <c r="P798" s="926">
        <v>1</v>
      </c>
      <c r="Q798" s="900">
        <f>IF(O798&lt;&gt;0,VLOOKUP(O798,'Cây trong'!$A$2:$C$246,3,0)," ")</f>
        <v>72000</v>
      </c>
      <c r="R798" s="900">
        <f t="shared" si="176"/>
        <v>72000</v>
      </c>
      <c r="S798" s="973" t="s">
        <v>1869</v>
      </c>
      <c r="T798" s="925" t="s">
        <v>53</v>
      </c>
      <c r="U798" s="927">
        <v>3.2</v>
      </c>
      <c r="V798" s="925"/>
      <c r="W798" s="900">
        <f>IF(S798&lt;&gt;0,VLOOKUP(S798,VKT!$A$2:$G$415,7,0),"")</f>
        <v>9347414</v>
      </c>
      <c r="X798" s="900">
        <f t="shared" si="169"/>
        <v>29912000</v>
      </c>
      <c r="Y798" s="925"/>
      <c r="Z798" s="928"/>
      <c r="AA798" s="928" t="s">
        <v>56</v>
      </c>
      <c r="AB798" s="904" t="s">
        <v>57</v>
      </c>
      <c r="AC798" s="928" t="s">
        <v>63</v>
      </c>
      <c r="AD798" s="928"/>
      <c r="AE798" s="928"/>
      <c r="AF798" s="926"/>
      <c r="AG798" s="906" t="str">
        <f>IF(AE798&lt;&gt;0,VLOOKUP(AE798,ODDS!$A$2:$C$13,3,0),"")</f>
        <v/>
      </c>
      <c r="AH798" s="906" t="str">
        <f t="shared" si="177"/>
        <v xml:space="preserve"> </v>
      </c>
      <c r="AI798" s="907" t="str">
        <f t="shared" si="172"/>
        <v xml:space="preserve"> </v>
      </c>
      <c r="AJ798" s="894" t="s">
        <v>2214</v>
      </c>
      <c r="AK798" s="894" t="s">
        <v>2449</v>
      </c>
    </row>
    <row r="799" spans="1:37" s="376" customFormat="1" ht="135" outlineLevel="2" x14ac:dyDescent="0.3">
      <c r="A799" s="447">
        <f t="shared" si="179"/>
        <v>67</v>
      </c>
      <c r="B799" s="893"/>
      <c r="C799" s="894"/>
      <c r="D799" s="923"/>
      <c r="E799" s="923"/>
      <c r="F799" s="896"/>
      <c r="G799" s="894"/>
      <c r="H799" s="924"/>
      <c r="I799" s="882"/>
      <c r="J799" s="925"/>
      <c r="K799" s="899" t="str">
        <f>IF(G799&lt;&gt;0,VLOOKUP(G799,'gia dat'!$A$1:$F$144,5,0)," ")</f>
        <v xml:space="preserve"> </v>
      </c>
      <c r="L799" s="899" t="str">
        <f>IF(G799&lt;&gt;0,VLOOKUP(G799,'gia dat'!$A$1:$F$144,6,0)," ")</f>
        <v xml:space="preserve"> </v>
      </c>
      <c r="M799" s="900" t="str">
        <f t="shared" si="173"/>
        <v xml:space="preserve"> </v>
      </c>
      <c r="N799" s="900" t="str">
        <f t="shared" si="174"/>
        <v xml:space="preserve"> </v>
      </c>
      <c r="O799" s="894" t="s">
        <v>154</v>
      </c>
      <c r="P799" s="926">
        <v>1</v>
      </c>
      <c r="Q799" s="900">
        <f>IF(O799&lt;&gt;0,VLOOKUP(O799,'Cây trong'!$A$2:$C$246,3,0)," ")</f>
        <v>248000</v>
      </c>
      <c r="R799" s="900">
        <f t="shared" si="176"/>
        <v>248000</v>
      </c>
      <c r="S799" s="902" t="s">
        <v>1870</v>
      </c>
      <c r="T799" s="925" t="s">
        <v>53</v>
      </c>
      <c r="U799" s="927">
        <v>11.6</v>
      </c>
      <c r="V799" s="925"/>
      <c r="W799" s="900">
        <f>IF(S799&lt;&gt;0,VLOOKUP(S799,VKT!$A$2:$G$415,7,0),"")</f>
        <v>1067915</v>
      </c>
      <c r="X799" s="900">
        <f t="shared" si="169"/>
        <v>12388000</v>
      </c>
      <c r="Y799" s="925"/>
      <c r="Z799" s="928"/>
      <c r="AA799" s="928"/>
      <c r="AB799" s="904"/>
      <c r="AC799" s="928"/>
      <c r="AD799" s="928"/>
      <c r="AE799" s="928"/>
      <c r="AF799" s="926"/>
      <c r="AG799" s="906" t="str">
        <f>IF(AE799&lt;&gt;0,VLOOKUP(AE799,ODDS!$A$2:$C$13,3,0),"")</f>
        <v/>
      </c>
      <c r="AH799" s="906" t="str">
        <f t="shared" si="177"/>
        <v xml:space="preserve"> </v>
      </c>
      <c r="AI799" s="907" t="str">
        <f t="shared" si="172"/>
        <v xml:space="preserve"> </v>
      </c>
      <c r="AJ799" s="894" t="s">
        <v>1715</v>
      </c>
      <c r="AK799" s="894" t="s">
        <v>2451</v>
      </c>
    </row>
    <row r="800" spans="1:37" s="376" customFormat="1" ht="135" outlineLevel="2" x14ac:dyDescent="0.3">
      <c r="A800" s="447">
        <f t="shared" si="179"/>
        <v>67</v>
      </c>
      <c r="B800" s="893"/>
      <c r="C800" s="971"/>
      <c r="D800" s="923"/>
      <c r="E800" s="923"/>
      <c r="F800" s="896"/>
      <c r="G800" s="894"/>
      <c r="H800" s="924"/>
      <c r="I800" s="882"/>
      <c r="J800" s="925"/>
      <c r="K800" s="899" t="str">
        <f>IF(G800&lt;&gt;0,VLOOKUP(G800,'gia dat'!$A$1:$F$144,5,0)," ")</f>
        <v xml:space="preserve"> </v>
      </c>
      <c r="L800" s="899" t="str">
        <f>IF(G800&lt;&gt;0,VLOOKUP(G800,'gia dat'!$A$1:$F$144,6,0)," ")</f>
        <v xml:space="preserve"> </v>
      </c>
      <c r="M800" s="900" t="str">
        <f t="shared" si="173"/>
        <v xml:space="preserve"> </v>
      </c>
      <c r="N800" s="900" t="str">
        <f t="shared" si="174"/>
        <v xml:space="preserve"> </v>
      </c>
      <c r="O800" s="894" t="s">
        <v>149</v>
      </c>
      <c r="P800" s="926">
        <v>1</v>
      </c>
      <c r="Q800" s="900">
        <f>IF(O800&lt;&gt;0,VLOOKUP(O800,'Cây trong'!$A$2:$C$246,3,0)," ")</f>
        <v>146000</v>
      </c>
      <c r="R800" s="900">
        <f t="shared" si="176"/>
        <v>146000</v>
      </c>
      <c r="S800" s="902" t="s">
        <v>1871</v>
      </c>
      <c r="T800" s="925" t="s">
        <v>53</v>
      </c>
      <c r="U800" s="927">
        <v>33.799999999999997</v>
      </c>
      <c r="V800" s="925"/>
      <c r="W800" s="900">
        <f>IF(S800&lt;&gt;0,VLOOKUP(S800,VKT!$A$2:$G$415,7,0),"")</f>
        <v>703764</v>
      </c>
      <c r="X800" s="900">
        <f t="shared" si="169"/>
        <v>23787000</v>
      </c>
      <c r="Y800" s="925"/>
      <c r="Z800" s="928"/>
      <c r="AA800" s="928"/>
      <c r="AB800" s="904"/>
      <c r="AC800" s="928"/>
      <c r="AD800" s="928"/>
      <c r="AE800" s="928"/>
      <c r="AF800" s="926"/>
      <c r="AG800" s="906" t="str">
        <f>IF(AE800&lt;&gt;0,VLOOKUP(AE800,ODDS!$A$2:$C$13,3,0),"")</f>
        <v/>
      </c>
      <c r="AH800" s="906" t="str">
        <f t="shared" si="177"/>
        <v xml:space="preserve"> </v>
      </c>
      <c r="AI800" s="907" t="str">
        <f t="shared" si="172"/>
        <v xml:space="preserve"> </v>
      </c>
      <c r="AJ800" s="894" t="s">
        <v>2215</v>
      </c>
      <c r="AK800" s="894" t="s">
        <v>2800</v>
      </c>
    </row>
    <row r="801" spans="1:37" s="376" customFormat="1" ht="45" outlineLevel="2" x14ac:dyDescent="0.3">
      <c r="A801" s="447">
        <f t="shared" si="179"/>
        <v>67</v>
      </c>
      <c r="B801" s="893"/>
      <c r="C801" s="972"/>
      <c r="D801" s="923"/>
      <c r="E801" s="923"/>
      <c r="F801" s="896"/>
      <c r="G801" s="894"/>
      <c r="H801" s="924"/>
      <c r="I801" s="882"/>
      <c r="J801" s="925"/>
      <c r="K801" s="899" t="str">
        <f>IF(G801&lt;&gt;0,VLOOKUP(G801,'gia dat'!$A$1:$F$144,5,0)," ")</f>
        <v xml:space="preserve"> </v>
      </c>
      <c r="L801" s="899" t="str">
        <f>IF(G801&lt;&gt;0,VLOOKUP(G801,'gia dat'!$A$1:$F$144,6,0)," ")</f>
        <v xml:space="preserve"> </v>
      </c>
      <c r="M801" s="900" t="str">
        <f t="shared" si="173"/>
        <v xml:space="preserve"> </v>
      </c>
      <c r="N801" s="900" t="str">
        <f t="shared" si="174"/>
        <v xml:space="preserve"> </v>
      </c>
      <c r="O801" s="894" t="s">
        <v>76</v>
      </c>
      <c r="P801" s="926">
        <v>6</v>
      </c>
      <c r="Q801" s="900">
        <f>IF(O801&lt;&gt;0,VLOOKUP(O801,'Cây trong'!$A$2:$C$246,3,0)," ")</f>
        <v>45000</v>
      </c>
      <c r="R801" s="900">
        <f t="shared" si="176"/>
        <v>270000</v>
      </c>
      <c r="S801" s="973" t="s">
        <v>1872</v>
      </c>
      <c r="T801" s="925" t="s">
        <v>78</v>
      </c>
      <c r="U801" s="927">
        <v>0.1</v>
      </c>
      <c r="V801" s="925"/>
      <c r="W801" s="900">
        <f>IF(S801&lt;&gt;0,VLOOKUP(S801,VKT!$A$2:$G$415,7,0),"")</f>
        <v>0</v>
      </c>
      <c r="X801" s="900">
        <f t="shared" si="169"/>
        <v>0</v>
      </c>
      <c r="Y801" s="925"/>
      <c r="Z801" s="928"/>
      <c r="AA801" s="928"/>
      <c r="AB801" s="904"/>
      <c r="AC801" s="928"/>
      <c r="AD801" s="928"/>
      <c r="AE801" s="928"/>
      <c r="AF801" s="926"/>
      <c r="AG801" s="906" t="str">
        <f>IF(AE801&lt;&gt;0,VLOOKUP(AE801,ODDS!$A$2:$C$13,3,0),"")</f>
        <v/>
      </c>
      <c r="AH801" s="906" t="str">
        <f t="shared" si="177"/>
        <v xml:space="preserve"> </v>
      </c>
      <c r="AI801" s="907" t="str">
        <f t="shared" si="172"/>
        <v xml:space="preserve"> </v>
      </c>
      <c r="AJ801" s="929"/>
      <c r="AK801" s="929"/>
    </row>
    <row r="802" spans="1:37" s="376" customFormat="1" ht="67.5" outlineLevel="2" x14ac:dyDescent="0.3">
      <c r="A802" s="447">
        <f t="shared" si="179"/>
        <v>67</v>
      </c>
      <c r="B802" s="893"/>
      <c r="C802" s="972"/>
      <c r="D802" s="923"/>
      <c r="E802" s="923"/>
      <c r="F802" s="896"/>
      <c r="G802" s="894"/>
      <c r="H802" s="924"/>
      <c r="I802" s="882"/>
      <c r="J802" s="925"/>
      <c r="K802" s="899" t="str">
        <f>IF(G802&lt;&gt;0,VLOOKUP(G802,'gia dat'!$A$1:$F$144,5,0)," ")</f>
        <v xml:space="preserve"> </v>
      </c>
      <c r="L802" s="899" t="str">
        <f>IF(G802&lt;&gt;0,VLOOKUP(G802,'gia dat'!$A$1:$F$144,6,0)," ")</f>
        <v xml:space="preserve"> </v>
      </c>
      <c r="M802" s="900" t="str">
        <f t="shared" si="173"/>
        <v xml:space="preserve"> </v>
      </c>
      <c r="N802" s="900" t="str">
        <f t="shared" si="174"/>
        <v xml:space="preserve"> </v>
      </c>
      <c r="O802" s="973" t="s">
        <v>248</v>
      </c>
      <c r="P802" s="926">
        <v>4</v>
      </c>
      <c r="Q802" s="900">
        <f>IF(O802&lt;&gt;0,VLOOKUP(O802,'Cây trong'!$A$2:$C$246,3,0)," ")</f>
        <v>12000</v>
      </c>
      <c r="R802" s="900">
        <f t="shared" si="176"/>
        <v>48000</v>
      </c>
      <c r="S802" s="973" t="s">
        <v>1771</v>
      </c>
      <c r="T802" s="925" t="s">
        <v>53</v>
      </c>
      <c r="U802" s="927">
        <v>1.44</v>
      </c>
      <c r="V802" s="925"/>
      <c r="W802" s="900">
        <f>IF(S802&lt;&gt;0,VLOOKUP(S802,VKT!$A$2:$G$415,7,0),"")</f>
        <v>348773</v>
      </c>
      <c r="X802" s="900">
        <f t="shared" si="169"/>
        <v>502000</v>
      </c>
      <c r="Y802" s="925"/>
      <c r="Z802" s="928"/>
      <c r="AA802" s="928"/>
      <c r="AB802" s="904"/>
      <c r="AC802" s="928"/>
      <c r="AD802" s="928"/>
      <c r="AE802" s="928"/>
      <c r="AF802" s="926"/>
      <c r="AG802" s="906" t="str">
        <f>IF(AE802&lt;&gt;0,VLOOKUP(AE802,ODDS!$A$2:$C$13,3,0),"")</f>
        <v/>
      </c>
      <c r="AH802" s="906" t="str">
        <f t="shared" si="177"/>
        <v xml:space="preserve"> </v>
      </c>
      <c r="AI802" s="907" t="str">
        <f t="shared" si="172"/>
        <v xml:space="preserve"> </v>
      </c>
      <c r="AJ802" s="929"/>
      <c r="AK802" s="929"/>
    </row>
    <row r="803" spans="1:37" s="376" customFormat="1" ht="90" outlineLevel="2" x14ac:dyDescent="0.3">
      <c r="A803" s="447">
        <f t="shared" si="179"/>
        <v>67</v>
      </c>
      <c r="B803" s="893"/>
      <c r="C803" s="894"/>
      <c r="D803" s="923"/>
      <c r="E803" s="923"/>
      <c r="F803" s="896"/>
      <c r="G803" s="894"/>
      <c r="H803" s="924"/>
      <c r="I803" s="882"/>
      <c r="J803" s="925"/>
      <c r="K803" s="899" t="str">
        <f>IF(G803&lt;&gt;0,VLOOKUP(G803,'gia dat'!$A$1:$F$144,5,0)," ")</f>
        <v xml:space="preserve"> </v>
      </c>
      <c r="L803" s="899" t="str">
        <f>IF(G803&lt;&gt;0,VLOOKUP(G803,'gia dat'!$A$1:$F$144,6,0)," ")</f>
        <v xml:space="preserve"> </v>
      </c>
      <c r="M803" s="900" t="str">
        <f t="shared" si="173"/>
        <v xml:space="preserve"> </v>
      </c>
      <c r="N803" s="900" t="str">
        <f t="shared" si="174"/>
        <v xml:space="preserve"> </v>
      </c>
      <c r="O803" s="973" t="s">
        <v>755</v>
      </c>
      <c r="P803" s="926">
        <v>3</v>
      </c>
      <c r="Q803" s="900">
        <f>IF(O803&lt;&gt;0,VLOOKUP(O803,'Cây trong'!$A$2:$C$246,3,0)," ")</f>
        <v>10000</v>
      </c>
      <c r="R803" s="900">
        <f t="shared" si="176"/>
        <v>30000</v>
      </c>
      <c r="S803" s="973" t="s">
        <v>1873</v>
      </c>
      <c r="T803" s="925" t="s">
        <v>53</v>
      </c>
      <c r="U803" s="927">
        <v>5.6</v>
      </c>
      <c r="V803" s="925"/>
      <c r="W803" s="900">
        <f>IF(S803&lt;&gt;0,VLOOKUP(S803,VKT!$A$2:$G$415,7,0),"")</f>
        <v>773302</v>
      </c>
      <c r="X803" s="900">
        <f t="shared" si="169"/>
        <v>4330000</v>
      </c>
      <c r="Y803" s="925"/>
      <c r="Z803" s="928"/>
      <c r="AA803" s="928"/>
      <c r="AB803" s="904"/>
      <c r="AC803" s="928"/>
      <c r="AD803" s="928"/>
      <c r="AE803" s="928"/>
      <c r="AF803" s="926"/>
      <c r="AG803" s="906" t="str">
        <f>IF(AE803&lt;&gt;0,VLOOKUP(AE803,ODDS!$A$2:$C$13,3,0),"")</f>
        <v/>
      </c>
      <c r="AH803" s="906" t="str">
        <f t="shared" si="177"/>
        <v xml:space="preserve"> </v>
      </c>
      <c r="AI803" s="907" t="str">
        <f t="shared" si="172"/>
        <v xml:space="preserve"> </v>
      </c>
      <c r="AJ803" s="929"/>
      <c r="AK803" s="929"/>
    </row>
    <row r="804" spans="1:37" s="376" customFormat="1" ht="45" outlineLevel="2" x14ac:dyDescent="0.3">
      <c r="A804" s="447">
        <f t="shared" si="179"/>
        <v>67</v>
      </c>
      <c r="B804" s="893"/>
      <c r="C804" s="894"/>
      <c r="D804" s="923"/>
      <c r="E804" s="923"/>
      <c r="F804" s="896"/>
      <c r="G804" s="894"/>
      <c r="H804" s="924"/>
      <c r="I804" s="882"/>
      <c r="J804" s="925"/>
      <c r="K804" s="899" t="str">
        <f>IF(G804&lt;&gt;0,VLOOKUP(G804,'gia dat'!$A$1:$F$144,5,0)," ")</f>
        <v xml:space="preserve"> </v>
      </c>
      <c r="L804" s="899" t="str">
        <f>IF(G804&lt;&gt;0,VLOOKUP(G804,'gia dat'!$A$1:$F$144,6,0)," ")</f>
        <v xml:space="preserve"> </v>
      </c>
      <c r="M804" s="900" t="str">
        <f t="shared" si="173"/>
        <v xml:space="preserve"> </v>
      </c>
      <c r="N804" s="900" t="str">
        <f t="shared" si="174"/>
        <v xml:space="preserve"> </v>
      </c>
      <c r="O804" s="894" t="s">
        <v>756</v>
      </c>
      <c r="P804" s="926">
        <v>3</v>
      </c>
      <c r="Q804" s="900">
        <f>IF(O804&lt;&gt;0,VLOOKUP(O804,'Cây trong'!$A$2:$C$246,3,0)," ")</f>
        <v>150000</v>
      </c>
      <c r="R804" s="900">
        <f t="shared" si="176"/>
        <v>450000</v>
      </c>
      <c r="S804" s="902" t="s">
        <v>1799</v>
      </c>
      <c r="T804" s="925" t="s">
        <v>53</v>
      </c>
      <c r="U804" s="927">
        <v>24.9</v>
      </c>
      <c r="V804" s="925"/>
      <c r="W804" s="900">
        <f>IF(S804&lt;&gt;0,VLOOKUP(S804,VKT!$A$2:$G$415,7,0),"")</f>
        <v>275180</v>
      </c>
      <c r="X804" s="900">
        <f t="shared" si="169"/>
        <v>6852000</v>
      </c>
      <c r="Y804" s="925"/>
      <c r="Z804" s="928"/>
      <c r="AA804" s="928"/>
      <c r="AB804" s="904"/>
      <c r="AC804" s="928"/>
      <c r="AD804" s="928"/>
      <c r="AE804" s="928"/>
      <c r="AF804" s="926"/>
      <c r="AG804" s="906" t="str">
        <f>IF(AE804&lt;&gt;0,VLOOKUP(AE804,ODDS!$A$2:$C$13,3,0),"")</f>
        <v/>
      </c>
      <c r="AH804" s="906" t="str">
        <f t="shared" si="177"/>
        <v xml:space="preserve"> </v>
      </c>
      <c r="AI804" s="907" t="str">
        <f t="shared" si="172"/>
        <v xml:space="preserve"> </v>
      </c>
      <c r="AJ804" s="929"/>
      <c r="AK804" s="929"/>
    </row>
    <row r="805" spans="1:37" s="376" customFormat="1" ht="45" outlineLevel="2" x14ac:dyDescent="0.3">
      <c r="A805" s="447">
        <f t="shared" si="179"/>
        <v>67</v>
      </c>
      <c r="B805" s="893"/>
      <c r="C805" s="894"/>
      <c r="D805" s="923"/>
      <c r="E805" s="923"/>
      <c r="F805" s="896"/>
      <c r="G805" s="894"/>
      <c r="H805" s="924"/>
      <c r="I805" s="882"/>
      <c r="J805" s="925"/>
      <c r="K805" s="899" t="str">
        <f>IF(G805&lt;&gt;0,VLOOKUP(G805,'gia dat'!$A$1:$F$144,5,0)," ")</f>
        <v xml:space="preserve"> </v>
      </c>
      <c r="L805" s="899" t="str">
        <f>IF(G805&lt;&gt;0,VLOOKUP(G805,'gia dat'!$A$1:$F$144,6,0)," ")</f>
        <v xml:space="preserve"> </v>
      </c>
      <c r="M805" s="900" t="str">
        <f t="shared" si="173"/>
        <v xml:space="preserve"> </v>
      </c>
      <c r="N805" s="900" t="str">
        <f t="shared" si="174"/>
        <v xml:space="preserve"> </v>
      </c>
      <c r="O805" s="894" t="s">
        <v>405</v>
      </c>
      <c r="P805" s="926">
        <v>7</v>
      </c>
      <c r="Q805" s="900">
        <f>IF(O805&lt;&gt;0,VLOOKUP(O805,'Cây trong'!$A$2:$C$246,3,0)," ")</f>
        <v>72000</v>
      </c>
      <c r="R805" s="900">
        <f t="shared" si="176"/>
        <v>504000</v>
      </c>
      <c r="S805" s="975" t="s">
        <v>1863</v>
      </c>
      <c r="T805" s="974" t="s">
        <v>53</v>
      </c>
      <c r="U805" s="927">
        <v>13.59</v>
      </c>
      <c r="V805" s="925"/>
      <c r="W805" s="900">
        <f>IF(S805&lt;&gt;0,VLOOKUP(S805,VKT!$A$2:$G$415,7,0),"")</f>
        <v>1107311</v>
      </c>
      <c r="X805" s="900">
        <f t="shared" si="169"/>
        <v>15048000</v>
      </c>
      <c r="Y805" s="925"/>
      <c r="Z805" s="928"/>
      <c r="AA805" s="928"/>
      <c r="AB805" s="904"/>
      <c r="AC805" s="928"/>
      <c r="AD805" s="928"/>
      <c r="AE805" s="928"/>
      <c r="AF805" s="926"/>
      <c r="AG805" s="906" t="str">
        <f>IF(AE805&lt;&gt;0,VLOOKUP(AE805,ODDS!$A$2:$C$13,3,0),"")</f>
        <v/>
      </c>
      <c r="AH805" s="906" t="str">
        <f t="shared" si="177"/>
        <v xml:space="preserve"> </v>
      </c>
      <c r="AI805" s="907" t="str">
        <f t="shared" si="172"/>
        <v xml:space="preserve"> </v>
      </c>
      <c r="AJ805" s="929"/>
      <c r="AK805" s="929"/>
    </row>
    <row r="806" spans="1:37" s="376" customFormat="1" ht="22.5" outlineLevel="2" x14ac:dyDescent="0.3">
      <c r="A806" s="447">
        <f t="shared" si="179"/>
        <v>67</v>
      </c>
      <c r="B806" s="893"/>
      <c r="C806" s="971"/>
      <c r="D806" s="923"/>
      <c r="E806" s="923"/>
      <c r="F806" s="896"/>
      <c r="G806" s="894"/>
      <c r="H806" s="924"/>
      <c r="I806" s="882"/>
      <c r="J806" s="925"/>
      <c r="K806" s="899" t="str">
        <f>IF(G806&lt;&gt;0,VLOOKUP(G806,'gia dat'!$A$1:$F$144,5,0)," ")</f>
        <v xml:space="preserve"> </v>
      </c>
      <c r="L806" s="899" t="str">
        <f>IF(G806&lt;&gt;0,VLOOKUP(G806,'gia dat'!$A$1:$F$144,6,0)," ")</f>
        <v xml:space="preserve"> </v>
      </c>
      <c r="M806" s="900" t="str">
        <f t="shared" si="173"/>
        <v xml:space="preserve"> </v>
      </c>
      <c r="N806" s="900" t="str">
        <f t="shared" si="174"/>
        <v xml:space="preserve"> </v>
      </c>
      <c r="O806" s="894" t="s">
        <v>133</v>
      </c>
      <c r="P806" s="926">
        <v>1</v>
      </c>
      <c r="Q806" s="900">
        <f>IF(O806&lt;&gt;0,VLOOKUP(O806,'Cây trong'!$A$2:$C$246,3,0)," ")</f>
        <v>758000</v>
      </c>
      <c r="R806" s="900">
        <f t="shared" si="176"/>
        <v>758000</v>
      </c>
      <c r="S806" s="902"/>
      <c r="T806" s="925"/>
      <c r="U806" s="927"/>
      <c r="V806" s="925"/>
      <c r="W806" s="900" t="str">
        <f>IF(S806&lt;&gt;0,VLOOKUP(S806,VKT!$A$2:$G$415,7,0),"")</f>
        <v/>
      </c>
      <c r="X806" s="900" t="str">
        <f t="shared" si="169"/>
        <v xml:space="preserve"> </v>
      </c>
      <c r="Y806" s="925"/>
      <c r="Z806" s="928"/>
      <c r="AA806" s="928"/>
      <c r="AB806" s="904"/>
      <c r="AC806" s="928"/>
      <c r="AD806" s="928"/>
      <c r="AE806" s="928"/>
      <c r="AF806" s="926"/>
      <c r="AG806" s="906" t="str">
        <f>IF(AE806&lt;&gt;0,VLOOKUP(AE806,ODDS!$A$2:$C$13,3,0),"")</f>
        <v/>
      </c>
      <c r="AH806" s="906" t="str">
        <f t="shared" si="177"/>
        <v xml:space="preserve"> </v>
      </c>
      <c r="AI806" s="907" t="str">
        <f t="shared" si="172"/>
        <v xml:space="preserve"> </v>
      </c>
      <c r="AJ806" s="929"/>
      <c r="AK806" s="929"/>
    </row>
    <row r="807" spans="1:37" s="376" customFormat="1" ht="90" outlineLevel="2" x14ac:dyDescent="0.3">
      <c r="A807" s="447">
        <f t="shared" si="179"/>
        <v>67</v>
      </c>
      <c r="B807" s="893"/>
      <c r="C807" s="894"/>
      <c r="D807" s="923"/>
      <c r="E807" s="923"/>
      <c r="F807" s="896"/>
      <c r="G807" s="894"/>
      <c r="H807" s="924"/>
      <c r="I807" s="882"/>
      <c r="J807" s="925"/>
      <c r="K807" s="899" t="str">
        <f>IF(G807&lt;&gt;0,VLOOKUP(G807,'gia dat'!$A$1:$F$144,5,0)," ")</f>
        <v xml:space="preserve"> </v>
      </c>
      <c r="L807" s="899" t="str">
        <f>IF(G807&lt;&gt;0,VLOOKUP(G807,'gia dat'!$A$1:$F$144,6,0)," ")</f>
        <v xml:space="preserve"> </v>
      </c>
      <c r="M807" s="900" t="str">
        <f t="shared" si="173"/>
        <v xml:space="preserve"> </v>
      </c>
      <c r="N807" s="900" t="str">
        <f t="shared" si="174"/>
        <v xml:space="preserve"> </v>
      </c>
      <c r="O807" s="894" t="s">
        <v>429</v>
      </c>
      <c r="P807" s="926">
        <v>3</v>
      </c>
      <c r="Q807" s="900">
        <f>IF(O807&lt;&gt;0,VLOOKUP(O807,'Cây trong'!$A$2:$C$246,3,0)," ")</f>
        <v>12000</v>
      </c>
      <c r="R807" s="900">
        <f t="shared" si="176"/>
        <v>36000</v>
      </c>
      <c r="S807" s="975"/>
      <c r="T807" s="974"/>
      <c r="U807" s="927"/>
      <c r="V807" s="925"/>
      <c r="W807" s="900" t="str">
        <f>IF(S807&lt;&gt;0,VLOOKUP(S807,VKT!$A$2:$G$415,7,0),"")</f>
        <v/>
      </c>
      <c r="X807" s="900" t="str">
        <f t="shared" si="169"/>
        <v xml:space="preserve"> </v>
      </c>
      <c r="Y807" s="925"/>
      <c r="Z807" s="928"/>
      <c r="AA807" s="928"/>
      <c r="AB807" s="904"/>
      <c r="AC807" s="928"/>
      <c r="AD807" s="928"/>
      <c r="AE807" s="928"/>
      <c r="AF807" s="926"/>
      <c r="AG807" s="906" t="str">
        <f>IF(AE807&lt;&gt;0,VLOOKUP(AE807,ODDS!$A$2:$C$13,3,0),"")</f>
        <v/>
      </c>
      <c r="AH807" s="906" t="str">
        <f t="shared" si="177"/>
        <v xml:space="preserve"> </v>
      </c>
      <c r="AI807" s="907" t="str">
        <f t="shared" si="172"/>
        <v xml:space="preserve"> </v>
      </c>
      <c r="AJ807" s="929"/>
      <c r="AK807" s="929"/>
    </row>
    <row r="808" spans="1:37" s="376" customFormat="1" ht="22.5" outlineLevel="2" x14ac:dyDescent="0.3">
      <c r="A808" s="447">
        <f t="shared" si="179"/>
        <v>67</v>
      </c>
      <c r="B808" s="893"/>
      <c r="C808" s="894"/>
      <c r="D808" s="923"/>
      <c r="E808" s="923"/>
      <c r="F808" s="896"/>
      <c r="G808" s="894"/>
      <c r="H808" s="924"/>
      <c r="I808" s="882"/>
      <c r="J808" s="925"/>
      <c r="K808" s="899" t="str">
        <f>IF(G808&lt;&gt;0,VLOOKUP(G808,'gia dat'!$A$1:$F$144,5,0)," ")</f>
        <v xml:space="preserve"> </v>
      </c>
      <c r="L808" s="899" t="str">
        <f>IF(G808&lt;&gt;0,VLOOKUP(G808,'gia dat'!$A$1:$F$144,6,0)," ")</f>
        <v xml:space="preserve"> </v>
      </c>
      <c r="M808" s="900" t="str">
        <f t="shared" si="173"/>
        <v xml:space="preserve"> </v>
      </c>
      <c r="N808" s="900" t="str">
        <f t="shared" si="174"/>
        <v xml:space="preserve"> </v>
      </c>
      <c r="O808" s="929"/>
      <c r="P808" s="951"/>
      <c r="Q808" s="900" t="str">
        <f>IF(O808&lt;&gt;0,VLOOKUP(O808,'Cây trong'!$A$2:$C$246,3,0)," ")</f>
        <v xml:space="preserve"> </v>
      </c>
      <c r="R808" s="900" t="str">
        <f t="shared" si="176"/>
        <v xml:space="preserve"> </v>
      </c>
      <c r="S808" s="975"/>
      <c r="T808" s="974"/>
      <c r="U808" s="927"/>
      <c r="V808" s="925"/>
      <c r="W808" s="900" t="str">
        <f>IF(S808&lt;&gt;0,VLOOKUP(S808,VKT!$A$2:$G$415,7,0),"")</f>
        <v/>
      </c>
      <c r="X808" s="900" t="str">
        <f t="shared" si="169"/>
        <v xml:space="preserve"> </v>
      </c>
      <c r="Y808" s="925"/>
      <c r="Z808" s="928"/>
      <c r="AA808" s="928"/>
      <c r="AB808" s="904"/>
      <c r="AC808" s="928"/>
      <c r="AD808" s="928"/>
      <c r="AE808" s="928"/>
      <c r="AF808" s="926"/>
      <c r="AG808" s="906" t="str">
        <f>IF(AE808&lt;&gt;0,VLOOKUP(AE808,ODDS!$A$2:$C$13,3,0),"")</f>
        <v/>
      </c>
      <c r="AH808" s="906" t="str">
        <f t="shared" si="177"/>
        <v xml:space="preserve"> </v>
      </c>
      <c r="AI808" s="907" t="str">
        <f t="shared" si="172"/>
        <v xml:space="preserve"> </v>
      </c>
      <c r="AJ808" s="929"/>
      <c r="AK808" s="929"/>
    </row>
    <row r="809" spans="1:37" s="376" customFormat="1" ht="22.5" outlineLevel="2" x14ac:dyDescent="0.3">
      <c r="A809" s="447">
        <f t="shared" si="179"/>
        <v>67</v>
      </c>
      <c r="B809" s="893"/>
      <c r="C809" s="971"/>
      <c r="D809" s="923"/>
      <c r="E809" s="923"/>
      <c r="F809" s="950"/>
      <c r="G809" s="894"/>
      <c r="H809" s="940"/>
      <c r="I809" s="882"/>
      <c r="J809" s="929"/>
      <c r="K809" s="899" t="str">
        <f>IF(G809&lt;&gt;0,VLOOKUP(G809,'gia dat'!$A$1:$F$144,5,0)," ")</f>
        <v xml:space="preserve"> </v>
      </c>
      <c r="L809" s="899" t="str">
        <f>IF(G809&lt;&gt;0,VLOOKUP(G809,'gia dat'!$A$1:$F$144,6,0)," ")</f>
        <v xml:space="preserve"> </v>
      </c>
      <c r="M809" s="900" t="str">
        <f t="shared" si="173"/>
        <v xml:space="preserve"> </v>
      </c>
      <c r="N809" s="900" t="str">
        <f t="shared" si="174"/>
        <v xml:space="preserve"> </v>
      </c>
      <c r="O809" s="929"/>
      <c r="P809" s="951"/>
      <c r="Q809" s="900" t="str">
        <f>IF(O809&lt;&gt;0,VLOOKUP(O809,'Cây trong'!$A$2:$C$246,3,0)," ")</f>
        <v xml:space="preserve"> </v>
      </c>
      <c r="R809" s="900" t="str">
        <f t="shared" si="176"/>
        <v xml:space="preserve"> </v>
      </c>
      <c r="S809" s="929"/>
      <c r="T809" s="929"/>
      <c r="U809" s="952"/>
      <c r="V809" s="925"/>
      <c r="W809" s="900" t="str">
        <f>IF(S809&lt;&gt;0,VLOOKUP(S809,VKT!$A$2:$G$415,7,0),"")</f>
        <v/>
      </c>
      <c r="X809" s="900" t="str">
        <f t="shared" si="169"/>
        <v xml:space="preserve"> </v>
      </c>
      <c r="Y809" s="925"/>
      <c r="Z809" s="925"/>
      <c r="AA809" s="925"/>
      <c r="AB809" s="898"/>
      <c r="AC809" s="925"/>
      <c r="AD809" s="925"/>
      <c r="AE809" s="925"/>
      <c r="AF809" s="964"/>
      <c r="AG809" s="906" t="str">
        <f>IF(AE809&lt;&gt;0,VLOOKUP(AE809,ODDS!$A$2:$C$13,3,0),"")</f>
        <v/>
      </c>
      <c r="AH809" s="906" t="str">
        <f t="shared" si="177"/>
        <v xml:space="preserve"> </v>
      </c>
      <c r="AI809" s="907" t="str">
        <f t="shared" si="172"/>
        <v xml:space="preserve"> </v>
      </c>
      <c r="AJ809" s="929"/>
      <c r="AK809" s="929"/>
    </row>
    <row r="810" spans="1:37" s="376" customFormat="1" ht="22.5" outlineLevel="2" x14ac:dyDescent="0.3">
      <c r="A810" s="447">
        <f t="shared" si="179"/>
        <v>67</v>
      </c>
      <c r="B810" s="893"/>
      <c r="C810" s="972"/>
      <c r="D810" s="923"/>
      <c r="E810" s="923"/>
      <c r="F810" s="896"/>
      <c r="G810" s="894"/>
      <c r="H810" s="924"/>
      <c r="I810" s="882"/>
      <c r="J810" s="925"/>
      <c r="K810" s="899" t="str">
        <f>IF(G810&lt;&gt;0,VLOOKUP(G810,'gia dat'!$A$1:$F$144,5,0)," ")</f>
        <v xml:space="preserve"> </v>
      </c>
      <c r="L810" s="899" t="str">
        <f>IF(G810&lt;&gt;0,VLOOKUP(G810,'gia dat'!$A$1:$F$144,6,0)," ")</f>
        <v xml:space="preserve"> </v>
      </c>
      <c r="M810" s="900" t="str">
        <f t="shared" si="173"/>
        <v xml:space="preserve"> </v>
      </c>
      <c r="N810" s="900" t="str">
        <f t="shared" si="174"/>
        <v xml:space="preserve"> </v>
      </c>
      <c r="O810" s="894"/>
      <c r="P810" s="926"/>
      <c r="Q810" s="900" t="str">
        <f>IF(O810&lt;&gt;0,VLOOKUP(O810,'Cây trong'!$A$2:$C$246,3,0)," ")</f>
        <v xml:space="preserve"> </v>
      </c>
      <c r="R810" s="900" t="str">
        <f t="shared" si="176"/>
        <v xml:space="preserve"> </v>
      </c>
      <c r="S810" s="902"/>
      <c r="T810" s="925"/>
      <c r="U810" s="927"/>
      <c r="V810" s="925"/>
      <c r="W810" s="900" t="str">
        <f>IF(S810&lt;&gt;0,VLOOKUP(S810,VKT!$A$2:$G$415,7,0),"")</f>
        <v/>
      </c>
      <c r="X810" s="900" t="str">
        <f t="shared" si="169"/>
        <v xml:space="preserve"> </v>
      </c>
      <c r="Y810" s="925"/>
      <c r="Z810" s="928"/>
      <c r="AA810" s="928"/>
      <c r="AB810" s="904"/>
      <c r="AC810" s="928"/>
      <c r="AD810" s="928"/>
      <c r="AE810" s="928"/>
      <c r="AF810" s="926"/>
      <c r="AG810" s="906" t="str">
        <f>IF(AE810&lt;&gt;0,VLOOKUP(AE810,ODDS!$A$2:$C$13,3,0),"")</f>
        <v/>
      </c>
      <c r="AH810" s="906" t="str">
        <f t="shared" si="177"/>
        <v xml:space="preserve"> </v>
      </c>
      <c r="AI810" s="907" t="str">
        <f t="shared" si="172"/>
        <v xml:space="preserve"> </v>
      </c>
      <c r="AJ810" s="929"/>
      <c r="AK810" s="929"/>
    </row>
    <row r="811" spans="1:37" s="376" customFormat="1" ht="22.5" outlineLevel="2" x14ac:dyDescent="0.3">
      <c r="A811" s="447">
        <f t="shared" si="179"/>
        <v>67</v>
      </c>
      <c r="B811" s="893"/>
      <c r="C811" s="972"/>
      <c r="D811" s="923"/>
      <c r="E811" s="923"/>
      <c r="F811" s="896"/>
      <c r="G811" s="894"/>
      <c r="H811" s="924"/>
      <c r="I811" s="882"/>
      <c r="J811" s="925"/>
      <c r="K811" s="899" t="str">
        <f>IF(G811&lt;&gt;0,VLOOKUP(G811,'gia dat'!$A$1:$F$144,5,0)," ")</f>
        <v xml:space="preserve"> </v>
      </c>
      <c r="L811" s="899" t="str">
        <f>IF(G811&lt;&gt;0,VLOOKUP(G811,'gia dat'!$A$1:$F$144,6,0)," ")</f>
        <v xml:space="preserve"> </v>
      </c>
      <c r="M811" s="900" t="str">
        <f t="shared" si="173"/>
        <v xml:space="preserve"> </v>
      </c>
      <c r="N811" s="900" t="str">
        <f t="shared" si="174"/>
        <v xml:space="preserve"> </v>
      </c>
      <c r="O811" s="973"/>
      <c r="P811" s="999"/>
      <c r="Q811" s="900" t="str">
        <f>IF(O811&lt;&gt;0,VLOOKUP(O811,'Cây trong'!$A$2:$C$246,3,0)," ")</f>
        <v xml:space="preserve"> </v>
      </c>
      <c r="R811" s="900" t="str">
        <f t="shared" si="176"/>
        <v xml:space="preserve"> </v>
      </c>
      <c r="S811" s="973"/>
      <c r="T811" s="975"/>
      <c r="U811" s="927"/>
      <c r="V811" s="1013"/>
      <c r="W811" s="900" t="str">
        <f>IF(S811&lt;&gt;0,VLOOKUP(S811,VKT!$A$2:$G$415,7,0),"")</f>
        <v/>
      </c>
      <c r="X811" s="900" t="str">
        <f t="shared" si="169"/>
        <v xml:space="preserve"> </v>
      </c>
      <c r="Y811" s="925"/>
      <c r="Z811" s="928"/>
      <c r="AA811" s="928"/>
      <c r="AB811" s="904"/>
      <c r="AC811" s="928"/>
      <c r="AD811" s="928"/>
      <c r="AE811" s="928"/>
      <c r="AF811" s="926"/>
      <c r="AG811" s="906" t="str">
        <f>IF(AE811&lt;&gt;0,VLOOKUP(AE811,ODDS!$A$2:$C$13,3,0),"")</f>
        <v/>
      </c>
      <c r="AH811" s="906" t="str">
        <f t="shared" si="177"/>
        <v xml:space="preserve"> </v>
      </c>
      <c r="AI811" s="907" t="str">
        <f t="shared" si="172"/>
        <v xml:space="preserve"> </v>
      </c>
      <c r="AJ811" s="929"/>
      <c r="AK811" s="929"/>
    </row>
    <row r="812" spans="1:37" s="376" customFormat="1" ht="22.5" outlineLevel="2" x14ac:dyDescent="0.3">
      <c r="A812" s="447">
        <f t="shared" si="179"/>
        <v>67</v>
      </c>
      <c r="B812" s="893"/>
      <c r="C812" s="971"/>
      <c r="D812" s="923"/>
      <c r="E812" s="923"/>
      <c r="F812" s="896"/>
      <c r="G812" s="894"/>
      <c r="H812" s="924"/>
      <c r="I812" s="882"/>
      <c r="J812" s="925"/>
      <c r="K812" s="899" t="str">
        <f>IF(G812&lt;&gt;0,VLOOKUP(G812,'gia dat'!$A$1:$F$144,5,0)," ")</f>
        <v xml:space="preserve"> </v>
      </c>
      <c r="L812" s="899" t="str">
        <f>IF(G812&lt;&gt;0,VLOOKUP(G812,'gia dat'!$A$1:$F$144,6,0)," ")</f>
        <v xml:space="preserve"> </v>
      </c>
      <c r="M812" s="900" t="str">
        <f t="shared" si="173"/>
        <v xml:space="preserve"> </v>
      </c>
      <c r="N812" s="900" t="str">
        <f t="shared" si="174"/>
        <v xml:space="preserve"> </v>
      </c>
      <c r="O812" s="973"/>
      <c r="P812" s="999"/>
      <c r="Q812" s="900" t="str">
        <f>IF(O812&lt;&gt;0,VLOOKUP(O812,'Cây trong'!$A$2:$C$246,3,0)," ")</f>
        <v xml:space="preserve"> </v>
      </c>
      <c r="R812" s="900" t="str">
        <f t="shared" si="176"/>
        <v xml:space="preserve"> </v>
      </c>
      <c r="S812" s="973"/>
      <c r="T812" s="975"/>
      <c r="U812" s="927"/>
      <c r="V812" s="1013"/>
      <c r="W812" s="900" t="str">
        <f>IF(S812&lt;&gt;0,VLOOKUP(S812,VKT!$A$2:$G$415,7,0),"")</f>
        <v/>
      </c>
      <c r="X812" s="900" t="str">
        <f t="shared" si="169"/>
        <v xml:space="preserve"> </v>
      </c>
      <c r="Y812" s="925"/>
      <c r="Z812" s="928"/>
      <c r="AA812" s="928"/>
      <c r="AB812" s="904"/>
      <c r="AC812" s="928"/>
      <c r="AD812" s="928"/>
      <c r="AE812" s="928"/>
      <c r="AF812" s="926"/>
      <c r="AG812" s="906" t="str">
        <f>IF(AE812&lt;&gt;0,VLOOKUP(AE812,ODDS!$A$2:$C$13,3,0),"")</f>
        <v/>
      </c>
      <c r="AH812" s="906" t="str">
        <f t="shared" si="177"/>
        <v xml:space="preserve"> </v>
      </c>
      <c r="AI812" s="907" t="str">
        <f t="shared" si="172"/>
        <v xml:space="preserve"> </v>
      </c>
      <c r="AJ812" s="929"/>
      <c r="AK812" s="929"/>
    </row>
    <row r="813" spans="1:37" s="376" customFormat="1" ht="22.5" outlineLevel="1" x14ac:dyDescent="0.25">
      <c r="A813" s="467" t="s">
        <v>2642</v>
      </c>
      <c r="B813" s="912">
        <v>68</v>
      </c>
      <c r="C813" s="971" t="s">
        <v>45</v>
      </c>
      <c r="D813" s="931"/>
      <c r="E813" s="931"/>
      <c r="F813" s="913"/>
      <c r="G813" s="910"/>
      <c r="H813" s="953">
        <f>SUBTOTAL(9,H814:H835)</f>
        <v>21.3</v>
      </c>
      <c r="I813" s="915">
        <f>SUBTOTAL(9,I814:I819)</f>
        <v>0</v>
      </c>
      <c r="J813" s="933"/>
      <c r="K813" s="917"/>
      <c r="L813" s="917"/>
      <c r="M813" s="907">
        <f>SUBTOTAL(9,M814:M835)</f>
        <v>11809000</v>
      </c>
      <c r="N813" s="907">
        <f>SUBTOTAL(9,N814:N835)</f>
        <v>0</v>
      </c>
      <c r="O813" s="910"/>
      <c r="P813" s="935">
        <f>SUBTOTAL(9,P814:P835)</f>
        <v>0</v>
      </c>
      <c r="Q813" s="907"/>
      <c r="R813" s="907">
        <f>SUBTOTAL(9,R814:R835)</f>
        <v>0</v>
      </c>
      <c r="S813" s="1006"/>
      <c r="T813" s="1007"/>
      <c r="U813" s="936">
        <f>SUBTOTAL(9,U814:U835)</f>
        <v>64.27000000000001</v>
      </c>
      <c r="V813" s="1015"/>
      <c r="W813" s="907"/>
      <c r="X813" s="907">
        <f>SUBTOTAL(9,X814:X835)</f>
        <v>141726000</v>
      </c>
      <c r="Y813" s="925"/>
      <c r="Z813" s="928"/>
      <c r="AA813" s="928"/>
      <c r="AB813" s="904"/>
      <c r="AC813" s="928"/>
      <c r="AD813" s="904"/>
      <c r="AE813" s="920"/>
      <c r="AF813" s="917">
        <f>SUBTOTAL(9,AF814:AF835)</f>
        <v>0</v>
      </c>
      <c r="AG813" s="921"/>
      <c r="AH813" s="921">
        <f>SUBTOTAL(9,AH814:AH835)</f>
        <v>0</v>
      </c>
      <c r="AI813" s="907">
        <f t="shared" si="172"/>
        <v>153535000</v>
      </c>
      <c r="AJ813" s="910"/>
      <c r="AK813" s="914"/>
    </row>
    <row r="814" spans="1:37" s="376" customFormat="1" ht="135" outlineLevel="2" x14ac:dyDescent="0.3">
      <c r="A814" s="447">
        <f>IF(B813&lt;&gt;0,B813,A812)</f>
        <v>68</v>
      </c>
      <c r="B814" s="893"/>
      <c r="C814" s="972" t="s">
        <v>249</v>
      </c>
      <c r="D814" s="923">
        <v>4</v>
      </c>
      <c r="E814" s="923">
        <v>86</v>
      </c>
      <c r="F814" s="896">
        <v>388</v>
      </c>
      <c r="G814" s="894" t="s">
        <v>2483</v>
      </c>
      <c r="H814" s="924">
        <f>21.3</f>
        <v>21.3</v>
      </c>
      <c r="I814" s="882" t="str">
        <f t="shared" ref="I814" si="180">IF(N814&gt;0,H814,"")</f>
        <v/>
      </c>
      <c r="J814" s="925"/>
      <c r="K814" s="899">
        <f>IF(G814&lt;&gt;0,VLOOKUP(G814,'gia dat'!$A$1:$F$144,5,0)," ")</f>
        <v>554400</v>
      </c>
      <c r="L814" s="899">
        <f>IF(G814&lt;&gt;0,VLOOKUP(G814,'gia dat'!$A$1:$F$144,6,0)," ")</f>
        <v>0</v>
      </c>
      <c r="M814" s="900">
        <f t="shared" si="173"/>
        <v>11809000</v>
      </c>
      <c r="N814" s="900">
        <f t="shared" si="174"/>
        <v>0</v>
      </c>
      <c r="O814" s="894"/>
      <c r="P814" s="926"/>
      <c r="Q814" s="900" t="str">
        <f>IF(O814&lt;&gt;0,VLOOKUP(O814,'Cây trong'!$A$2:$C$246,3,0)," ")</f>
        <v xml:space="preserve"> </v>
      </c>
      <c r="R814" s="900" t="str">
        <f t="shared" si="176"/>
        <v xml:space="preserve"> </v>
      </c>
      <c r="S814" s="973" t="s">
        <v>1820</v>
      </c>
      <c r="T814" s="974" t="s">
        <v>53</v>
      </c>
      <c r="U814" s="927">
        <v>15.2</v>
      </c>
      <c r="V814" s="1013">
        <v>35.5</v>
      </c>
      <c r="W814" s="900">
        <f>IF(S814&lt;&gt;0,VLOOKUP(S814,VKT!$A$2:$G$415,7,0),"")</f>
        <v>5307665</v>
      </c>
      <c r="X814" s="900">
        <f t="shared" si="169"/>
        <v>80677000</v>
      </c>
      <c r="Y814" s="925" t="s">
        <v>63</v>
      </c>
      <c r="Z814" s="928" t="s">
        <v>55</v>
      </c>
      <c r="AA814" s="928" t="s">
        <v>56</v>
      </c>
      <c r="AB814" s="904" t="s">
        <v>57</v>
      </c>
      <c r="AC814" s="928" t="s">
        <v>63</v>
      </c>
      <c r="AD814" s="904" t="s">
        <v>430</v>
      </c>
      <c r="AE814" s="904"/>
      <c r="AF814" s="899"/>
      <c r="AG814" s="906" t="str">
        <f>IF(AE814&lt;&gt;0,VLOOKUP(AE814,ODDS!$A$2:$C$13,3,0),"")</f>
        <v/>
      </c>
      <c r="AH814" s="906"/>
      <c r="AI814" s="907" t="str">
        <f t="shared" si="172"/>
        <v xml:space="preserve"> </v>
      </c>
      <c r="AJ814" s="894" t="s">
        <v>1716</v>
      </c>
      <c r="AK814" s="922" t="s">
        <v>2771</v>
      </c>
    </row>
    <row r="815" spans="1:37" s="376" customFormat="1" ht="112.5" outlineLevel="2" x14ac:dyDescent="0.3">
      <c r="A815" s="447">
        <f t="shared" ref="A815:A835" si="181">IF(B814&lt;&gt;0,B814,A814)</f>
        <v>68</v>
      </c>
      <c r="B815" s="893"/>
      <c r="C815" s="972" t="s">
        <v>702</v>
      </c>
      <c r="D815" s="923"/>
      <c r="E815" s="923"/>
      <c r="F815" s="896"/>
      <c r="G815" s="894"/>
      <c r="H815" s="924"/>
      <c r="I815" s="882"/>
      <c r="J815" s="925"/>
      <c r="K815" s="899" t="str">
        <f>IF(G815&lt;&gt;0,VLOOKUP(G815,'gia dat'!$A$1:$F$144,5,0)," ")</f>
        <v xml:space="preserve"> </v>
      </c>
      <c r="L815" s="899" t="str">
        <f>IF(G815&lt;&gt;0,VLOOKUP(G815,'gia dat'!$A$1:$F$144,6,0)," ")</f>
        <v xml:space="preserve"> </v>
      </c>
      <c r="M815" s="900" t="str">
        <f t="shared" si="173"/>
        <v xml:space="preserve"> </v>
      </c>
      <c r="N815" s="900" t="str">
        <f t="shared" si="174"/>
        <v xml:space="preserve"> </v>
      </c>
      <c r="O815" s="894"/>
      <c r="P815" s="926"/>
      <c r="Q815" s="900" t="str">
        <f>IF(O815&lt;&gt;0,VLOOKUP(O815,'Cây trong'!$A$2:$C$246,3,0)," ")</f>
        <v xml:space="preserve"> </v>
      </c>
      <c r="R815" s="900" t="str">
        <f t="shared" si="176"/>
        <v xml:space="preserve"> </v>
      </c>
      <c r="S815" s="973" t="s">
        <v>1844</v>
      </c>
      <c r="T815" s="974" t="s">
        <v>53</v>
      </c>
      <c r="U815" s="927"/>
      <c r="V815" s="1017">
        <v>16.5</v>
      </c>
      <c r="W815" s="900">
        <f>IF(S815&lt;&gt;0,VLOOKUP(S815,VKT!$A$2:$G$415,7,0),"")</f>
        <v>770070</v>
      </c>
      <c r="X815" s="900">
        <f t="shared" si="169"/>
        <v>0</v>
      </c>
      <c r="Y815" s="925"/>
      <c r="Z815" s="928" t="s">
        <v>55</v>
      </c>
      <c r="AA815" s="928" t="s">
        <v>141</v>
      </c>
      <c r="AB815" s="904"/>
      <c r="AC815" s="928" t="s">
        <v>66</v>
      </c>
      <c r="AD815" s="928"/>
      <c r="AE815" s="928"/>
      <c r="AF815" s="926"/>
      <c r="AG815" s="906" t="str">
        <f>IF(AE815&lt;&gt;0,VLOOKUP(AE815,ODDS!$A$2:$C$13,3,0),"")</f>
        <v/>
      </c>
      <c r="AH815" s="906" t="str">
        <f t="shared" si="177"/>
        <v xml:space="preserve"> </v>
      </c>
      <c r="AI815" s="907" t="str">
        <f t="shared" si="172"/>
        <v xml:space="preserve"> </v>
      </c>
      <c r="AJ815" s="894" t="s">
        <v>587</v>
      </c>
      <c r="AK815" s="894" t="s">
        <v>2450</v>
      </c>
    </row>
    <row r="816" spans="1:37" s="376" customFormat="1" ht="112.5" outlineLevel="2" x14ac:dyDescent="0.3">
      <c r="A816" s="447">
        <f t="shared" si="181"/>
        <v>68</v>
      </c>
      <c r="B816" s="893"/>
      <c r="C816" s="894" t="s">
        <v>316</v>
      </c>
      <c r="D816" s="923"/>
      <c r="E816" s="923"/>
      <c r="F816" s="896"/>
      <c r="G816" s="894"/>
      <c r="H816" s="924"/>
      <c r="I816" s="882"/>
      <c r="J816" s="925"/>
      <c r="K816" s="899" t="str">
        <f>IF(G816&lt;&gt;0,VLOOKUP(G816,'gia dat'!$A$1:$F$144,5,0)," ")</f>
        <v xml:space="preserve"> </v>
      </c>
      <c r="L816" s="899" t="str">
        <f>IF(G816&lt;&gt;0,VLOOKUP(G816,'gia dat'!$A$1:$F$144,6,0)," ")</f>
        <v xml:space="preserve"> </v>
      </c>
      <c r="M816" s="900" t="str">
        <f t="shared" si="173"/>
        <v xml:space="preserve"> </v>
      </c>
      <c r="N816" s="900" t="str">
        <f t="shared" si="174"/>
        <v xml:space="preserve"> </v>
      </c>
      <c r="O816" s="894"/>
      <c r="P816" s="926"/>
      <c r="Q816" s="900" t="str">
        <f>IF(O816&lt;&gt;0,VLOOKUP(O816,'Cây trong'!$A$2:$C$246,3,0)," ")</f>
        <v xml:space="preserve"> </v>
      </c>
      <c r="R816" s="900" t="str">
        <f t="shared" si="176"/>
        <v xml:space="preserve"> </v>
      </c>
      <c r="S816" s="973" t="s">
        <v>1844</v>
      </c>
      <c r="T816" s="974" t="s">
        <v>53</v>
      </c>
      <c r="U816" s="927"/>
      <c r="V816" s="1017">
        <v>7.8</v>
      </c>
      <c r="W816" s="900">
        <f>IF(S816&lt;&gt;0,VLOOKUP(S816,VKT!$A$2:$G$415,7,0),"")</f>
        <v>770070</v>
      </c>
      <c r="X816" s="900">
        <f t="shared" si="169"/>
        <v>0</v>
      </c>
      <c r="Y816" s="925"/>
      <c r="Z816" s="928" t="s">
        <v>55</v>
      </c>
      <c r="AA816" s="928" t="s">
        <v>141</v>
      </c>
      <c r="AB816" s="904"/>
      <c r="AC816" s="928" t="s">
        <v>66</v>
      </c>
      <c r="AD816" s="928"/>
      <c r="AE816" s="928"/>
      <c r="AF816" s="926"/>
      <c r="AG816" s="906" t="str">
        <f>IF(AE816&lt;&gt;0,VLOOKUP(AE816,ODDS!$A$2:$C$13,3,0),"")</f>
        <v/>
      </c>
      <c r="AH816" s="906" t="str">
        <f t="shared" si="177"/>
        <v xml:space="preserve"> </v>
      </c>
      <c r="AI816" s="907" t="str">
        <f t="shared" si="172"/>
        <v xml:space="preserve"> </v>
      </c>
      <c r="AJ816" s="929" t="s">
        <v>250</v>
      </c>
      <c r="AK816" s="894" t="s">
        <v>2800</v>
      </c>
    </row>
    <row r="817" spans="1:37" s="376" customFormat="1" ht="90" outlineLevel="2" x14ac:dyDescent="0.3">
      <c r="A817" s="447">
        <f t="shared" si="181"/>
        <v>68</v>
      </c>
      <c r="B817" s="893"/>
      <c r="C817" s="894"/>
      <c r="D817" s="923"/>
      <c r="E817" s="923"/>
      <c r="F817" s="896"/>
      <c r="G817" s="894"/>
      <c r="H817" s="924"/>
      <c r="I817" s="882"/>
      <c r="J817" s="925"/>
      <c r="K817" s="899" t="str">
        <f>IF(G817&lt;&gt;0,VLOOKUP(G817,'gia dat'!$A$1:$F$144,5,0)," ")</f>
        <v xml:space="preserve"> </v>
      </c>
      <c r="L817" s="899" t="str">
        <f>IF(G817&lt;&gt;0,VLOOKUP(G817,'gia dat'!$A$1:$F$144,6,0)," ")</f>
        <v xml:space="preserve"> </v>
      </c>
      <c r="M817" s="900" t="str">
        <f t="shared" si="173"/>
        <v xml:space="preserve"> </v>
      </c>
      <c r="N817" s="900" t="str">
        <f t="shared" si="174"/>
        <v xml:space="preserve"> </v>
      </c>
      <c r="O817" s="894"/>
      <c r="P817" s="926"/>
      <c r="Q817" s="900" t="str">
        <f>IF(O817&lt;&gt;0,VLOOKUP(O817,'Cây trong'!$A$2:$C$246,3,0)," ")</f>
        <v xml:space="preserve"> </v>
      </c>
      <c r="R817" s="900" t="str">
        <f t="shared" si="176"/>
        <v xml:space="preserve"> </v>
      </c>
      <c r="S817" s="973" t="s">
        <v>1874</v>
      </c>
      <c r="T817" s="974" t="s">
        <v>53</v>
      </c>
      <c r="U817" s="927">
        <v>3.6</v>
      </c>
      <c r="V817" s="1013"/>
      <c r="W817" s="900">
        <f>IF(S817&lt;&gt;0,VLOOKUP(S817,VKT!$A$2:$G$415,7,0),"")</f>
        <v>9347414</v>
      </c>
      <c r="X817" s="900">
        <f t="shared" si="169"/>
        <v>33651000</v>
      </c>
      <c r="Y817" s="925"/>
      <c r="Z817" s="928" t="s">
        <v>63</v>
      </c>
      <c r="AA817" s="928" t="s">
        <v>56</v>
      </c>
      <c r="AB817" s="904" t="s">
        <v>57</v>
      </c>
      <c r="AC817" s="928" t="s">
        <v>63</v>
      </c>
      <c r="AD817" s="928"/>
      <c r="AE817" s="928"/>
      <c r="AF817" s="926"/>
      <c r="AG817" s="906" t="str">
        <f>IF(AE817&lt;&gt;0,VLOOKUP(AE817,ODDS!$A$2:$C$13,3,0),"")</f>
        <v/>
      </c>
      <c r="AH817" s="906" t="str">
        <f t="shared" si="177"/>
        <v xml:space="preserve"> </v>
      </c>
      <c r="AI817" s="907" t="str">
        <f t="shared" si="172"/>
        <v xml:space="preserve"> </v>
      </c>
      <c r="AJ817" s="929"/>
      <c r="AK817" s="894"/>
    </row>
    <row r="818" spans="1:37" s="376" customFormat="1" ht="45" outlineLevel="2" x14ac:dyDescent="0.3">
      <c r="A818" s="447">
        <f t="shared" si="181"/>
        <v>68</v>
      </c>
      <c r="B818" s="893"/>
      <c r="C818" s="894"/>
      <c r="D818" s="923"/>
      <c r="E818" s="923"/>
      <c r="F818" s="896"/>
      <c r="G818" s="894"/>
      <c r="H818" s="924"/>
      <c r="I818" s="882"/>
      <c r="J818" s="925"/>
      <c r="K818" s="899" t="str">
        <f>IF(G818&lt;&gt;0,VLOOKUP(G818,'gia dat'!$A$1:$F$144,5,0)," ")</f>
        <v xml:space="preserve"> </v>
      </c>
      <c r="L818" s="899" t="str">
        <f>IF(G818&lt;&gt;0,VLOOKUP(G818,'gia dat'!$A$1:$F$144,6,0)," ")</f>
        <v xml:space="preserve"> </v>
      </c>
      <c r="M818" s="900" t="str">
        <f t="shared" si="173"/>
        <v xml:space="preserve"> </v>
      </c>
      <c r="N818" s="900" t="str">
        <f t="shared" si="174"/>
        <v xml:space="preserve"> </v>
      </c>
      <c r="O818" s="894"/>
      <c r="P818" s="926"/>
      <c r="Q818" s="900" t="str">
        <f>IF(O818&lt;&gt;0,VLOOKUP(O818,'Cây trong'!$A$2:$C$246,3,0)," ")</f>
        <v xml:space="preserve"> </v>
      </c>
      <c r="R818" s="900" t="str">
        <f t="shared" si="176"/>
        <v xml:space="preserve"> </v>
      </c>
      <c r="S818" s="902" t="s">
        <v>1767</v>
      </c>
      <c r="T818" s="974" t="s">
        <v>53</v>
      </c>
      <c r="U818" s="927">
        <v>2.16</v>
      </c>
      <c r="V818" s="1013"/>
      <c r="W818" s="900">
        <f>IF(S818&lt;&gt;0,VLOOKUP(S818,VKT!$A$2:$G$415,7,0),"")</f>
        <v>0</v>
      </c>
      <c r="X818" s="900">
        <f t="shared" si="169"/>
        <v>0</v>
      </c>
      <c r="Y818" s="925"/>
      <c r="Z818" s="928"/>
      <c r="AA818" s="928"/>
      <c r="AB818" s="904"/>
      <c r="AC818" s="928"/>
      <c r="AD818" s="928"/>
      <c r="AE818" s="928"/>
      <c r="AF818" s="926"/>
      <c r="AG818" s="906" t="str">
        <f>IF(AE818&lt;&gt;0,VLOOKUP(AE818,ODDS!$A$2:$C$13,3,0),"")</f>
        <v/>
      </c>
      <c r="AH818" s="906" t="str">
        <f t="shared" si="177"/>
        <v xml:space="preserve"> </v>
      </c>
      <c r="AI818" s="907" t="str">
        <f t="shared" si="172"/>
        <v xml:space="preserve"> </v>
      </c>
      <c r="AJ818" s="929"/>
      <c r="AK818" s="929"/>
    </row>
    <row r="819" spans="1:37" s="376" customFormat="1" ht="67.5" outlineLevel="2" x14ac:dyDescent="0.3">
      <c r="A819" s="447">
        <f t="shared" si="181"/>
        <v>68</v>
      </c>
      <c r="B819" s="893"/>
      <c r="C819" s="894"/>
      <c r="D819" s="923"/>
      <c r="E819" s="923"/>
      <c r="F819" s="896"/>
      <c r="G819" s="894"/>
      <c r="H819" s="924"/>
      <c r="I819" s="882"/>
      <c r="J819" s="925"/>
      <c r="K819" s="899" t="str">
        <f>IF(G819&lt;&gt;0,VLOOKUP(G819,'gia dat'!$A$1:$F$144,5,0)," ")</f>
        <v xml:space="preserve"> </v>
      </c>
      <c r="L819" s="899" t="str">
        <f>IF(G819&lt;&gt;0,VLOOKUP(G819,'gia dat'!$A$1:$F$144,6,0)," ")</f>
        <v xml:space="preserve"> </v>
      </c>
      <c r="M819" s="900" t="str">
        <f t="shared" si="173"/>
        <v xml:space="preserve"> </v>
      </c>
      <c r="N819" s="900" t="str">
        <f t="shared" si="174"/>
        <v xml:space="preserve"> </v>
      </c>
      <c r="O819" s="894"/>
      <c r="P819" s="926"/>
      <c r="Q819" s="900" t="str">
        <f>IF(O819&lt;&gt;0,VLOOKUP(O819,'Cây trong'!$A$2:$C$246,3,0)," ")</f>
        <v xml:space="preserve"> </v>
      </c>
      <c r="R819" s="900" t="str">
        <f t="shared" si="176"/>
        <v xml:space="preserve"> </v>
      </c>
      <c r="S819" s="973" t="s">
        <v>1875</v>
      </c>
      <c r="T819" s="974" t="s">
        <v>53</v>
      </c>
      <c r="U819" s="927">
        <v>4.96</v>
      </c>
      <c r="V819" s="925"/>
      <c r="W819" s="900">
        <f>IF(S819&lt;&gt;0,VLOOKUP(S819,VKT!$A$2:$G$415,7,0),"")</f>
        <v>496651</v>
      </c>
      <c r="X819" s="900">
        <f t="shared" si="169"/>
        <v>2463000</v>
      </c>
      <c r="Y819" s="925"/>
      <c r="Z819" s="928"/>
      <c r="AA819" s="928"/>
      <c r="AB819" s="904"/>
      <c r="AC819" s="928"/>
      <c r="AD819" s="928"/>
      <c r="AE819" s="928"/>
      <c r="AF819" s="926"/>
      <c r="AG819" s="906" t="str">
        <f>IF(AE819&lt;&gt;0,VLOOKUP(AE819,ODDS!$A$2:$C$13,3,0),"")</f>
        <v/>
      </c>
      <c r="AH819" s="906" t="str">
        <f t="shared" si="177"/>
        <v xml:space="preserve"> </v>
      </c>
      <c r="AI819" s="907" t="str">
        <f t="shared" si="172"/>
        <v xml:space="preserve"> </v>
      </c>
      <c r="AJ819" s="929"/>
      <c r="AK819" s="929"/>
    </row>
    <row r="820" spans="1:37" s="376" customFormat="1" ht="67.5" outlineLevel="2" x14ac:dyDescent="0.3">
      <c r="A820" s="447">
        <f t="shared" si="181"/>
        <v>68</v>
      </c>
      <c r="B820" s="893"/>
      <c r="C820" s="971"/>
      <c r="D820" s="923"/>
      <c r="E820" s="923"/>
      <c r="F820" s="896"/>
      <c r="G820" s="894"/>
      <c r="H820" s="924"/>
      <c r="I820" s="882"/>
      <c r="J820" s="925"/>
      <c r="K820" s="899" t="str">
        <f>IF(G820&lt;&gt;0,VLOOKUP(G820,'gia dat'!$A$1:$F$144,5,0)," ")</f>
        <v xml:space="preserve"> </v>
      </c>
      <c r="L820" s="899" t="str">
        <f>IF(G820&lt;&gt;0,VLOOKUP(G820,'gia dat'!$A$1:$F$144,6,0)," ")</f>
        <v xml:space="preserve"> </v>
      </c>
      <c r="M820" s="900" t="str">
        <f t="shared" si="173"/>
        <v xml:space="preserve"> </v>
      </c>
      <c r="N820" s="900" t="str">
        <f t="shared" si="174"/>
        <v xml:space="preserve"> </v>
      </c>
      <c r="O820" s="894"/>
      <c r="P820" s="926"/>
      <c r="Q820" s="900" t="str">
        <f>IF(O820&lt;&gt;0,VLOOKUP(O820,'Cây trong'!$A$2:$C$246,3,0)," ")</f>
        <v xml:space="preserve"> </v>
      </c>
      <c r="R820" s="900" t="str">
        <f t="shared" si="176"/>
        <v xml:space="preserve"> </v>
      </c>
      <c r="S820" s="973" t="s">
        <v>1876</v>
      </c>
      <c r="T820" s="974" t="s">
        <v>53</v>
      </c>
      <c r="U820" s="927">
        <v>15.9</v>
      </c>
      <c r="V820" s="925"/>
      <c r="W820" s="900">
        <f>IF(S820&lt;&gt;0,VLOOKUP(S820,VKT!$A$2:$G$415,7,0),"")</f>
        <v>0</v>
      </c>
      <c r="X820" s="900">
        <f t="shared" si="169"/>
        <v>0</v>
      </c>
      <c r="Y820" s="925"/>
      <c r="Z820" s="928"/>
      <c r="AA820" s="928"/>
      <c r="AB820" s="904"/>
      <c r="AC820" s="928"/>
      <c r="AD820" s="928"/>
      <c r="AE820" s="928"/>
      <c r="AF820" s="926"/>
      <c r="AG820" s="906" t="str">
        <f>IF(AE820&lt;&gt;0,VLOOKUP(AE820,ODDS!$A$2:$C$13,3,0),"")</f>
        <v/>
      </c>
      <c r="AH820" s="906" t="str">
        <f t="shared" si="177"/>
        <v xml:space="preserve"> </v>
      </c>
      <c r="AI820" s="907" t="str">
        <f t="shared" si="172"/>
        <v xml:space="preserve"> </v>
      </c>
      <c r="AJ820" s="929"/>
      <c r="AK820" s="929"/>
    </row>
    <row r="821" spans="1:37" s="376" customFormat="1" ht="67.5" outlineLevel="2" x14ac:dyDescent="0.3">
      <c r="A821" s="447">
        <f t="shared" si="181"/>
        <v>68</v>
      </c>
      <c r="B821" s="893"/>
      <c r="C821" s="972"/>
      <c r="D821" s="923"/>
      <c r="E821" s="923"/>
      <c r="F821" s="896"/>
      <c r="G821" s="894"/>
      <c r="H821" s="924"/>
      <c r="I821" s="882"/>
      <c r="J821" s="925"/>
      <c r="K821" s="899" t="str">
        <f>IF(G821&lt;&gt;0,VLOOKUP(G821,'gia dat'!$A$1:$F$144,5,0)," ")</f>
        <v xml:space="preserve"> </v>
      </c>
      <c r="L821" s="899" t="str">
        <f>IF(G821&lt;&gt;0,VLOOKUP(G821,'gia dat'!$A$1:$F$144,6,0)," ")</f>
        <v xml:space="preserve"> </v>
      </c>
      <c r="M821" s="900" t="str">
        <f t="shared" si="173"/>
        <v xml:space="preserve"> </v>
      </c>
      <c r="N821" s="900" t="str">
        <f t="shared" si="174"/>
        <v xml:space="preserve"> </v>
      </c>
      <c r="O821" s="973"/>
      <c r="P821" s="926"/>
      <c r="Q821" s="900" t="str">
        <f>IF(O821&lt;&gt;0,VLOOKUP(O821,'Cây trong'!$A$2:$C$246,3,0)," ")</f>
        <v xml:space="preserve"> </v>
      </c>
      <c r="R821" s="900" t="str">
        <f t="shared" si="176"/>
        <v xml:space="preserve"> </v>
      </c>
      <c r="S821" s="973" t="s">
        <v>1877</v>
      </c>
      <c r="T821" s="974" t="s">
        <v>78</v>
      </c>
      <c r="U821" s="927">
        <v>1.27</v>
      </c>
      <c r="V821" s="1013"/>
      <c r="W821" s="900">
        <f>IF(S821&lt;&gt;0,VLOOKUP(S821,VKT!$A$2:$G$415,7,0),"")</f>
        <v>0</v>
      </c>
      <c r="X821" s="900">
        <f t="shared" si="169"/>
        <v>0</v>
      </c>
      <c r="Y821" s="925"/>
      <c r="Z821" s="928"/>
      <c r="AA821" s="928"/>
      <c r="AB821" s="904"/>
      <c r="AC821" s="928"/>
      <c r="AD821" s="928"/>
      <c r="AE821" s="928"/>
      <c r="AF821" s="926"/>
      <c r="AG821" s="906" t="str">
        <f>IF(AE821&lt;&gt;0,VLOOKUP(AE821,ODDS!$A$2:$C$13,3,0),"")</f>
        <v/>
      </c>
      <c r="AH821" s="906" t="str">
        <f t="shared" si="177"/>
        <v xml:space="preserve"> </v>
      </c>
      <c r="AI821" s="907" t="str">
        <f t="shared" si="172"/>
        <v xml:space="preserve"> </v>
      </c>
      <c r="AJ821" s="929"/>
      <c r="AK821" s="929"/>
    </row>
    <row r="822" spans="1:37" s="376" customFormat="1" ht="90" outlineLevel="2" x14ac:dyDescent="0.3">
      <c r="A822" s="447">
        <f t="shared" si="181"/>
        <v>68</v>
      </c>
      <c r="B822" s="893"/>
      <c r="C822" s="972"/>
      <c r="D822" s="923"/>
      <c r="E822" s="923"/>
      <c r="F822" s="896"/>
      <c r="G822" s="894"/>
      <c r="H822" s="924"/>
      <c r="I822" s="882"/>
      <c r="J822" s="925"/>
      <c r="K822" s="899" t="str">
        <f>IF(G822&lt;&gt;0,VLOOKUP(G822,'gia dat'!$A$1:$F$144,5,0)," ")</f>
        <v xml:space="preserve"> </v>
      </c>
      <c r="L822" s="899" t="str">
        <f>IF(G822&lt;&gt;0,VLOOKUP(G822,'gia dat'!$A$1:$F$144,6,0)," ")</f>
        <v xml:space="preserve"> </v>
      </c>
      <c r="M822" s="900" t="str">
        <f t="shared" si="173"/>
        <v xml:space="preserve"> </v>
      </c>
      <c r="N822" s="900" t="str">
        <f t="shared" si="174"/>
        <v xml:space="preserve"> </v>
      </c>
      <c r="O822" s="973"/>
      <c r="P822" s="926"/>
      <c r="Q822" s="900" t="str">
        <f>IF(O822&lt;&gt;0,VLOOKUP(O822,'Cây trong'!$A$2:$C$246,3,0)," ")</f>
        <v xml:space="preserve"> </v>
      </c>
      <c r="R822" s="900" t="str">
        <f t="shared" si="176"/>
        <v xml:space="preserve"> </v>
      </c>
      <c r="S822" s="973" t="s">
        <v>1878</v>
      </c>
      <c r="T822" s="974" t="s">
        <v>78</v>
      </c>
      <c r="U822" s="927">
        <v>3.38</v>
      </c>
      <c r="V822" s="1013"/>
      <c r="W822" s="900">
        <f>IF(S822&lt;&gt;0,VLOOKUP(S822,VKT!$A$2:$G$415,7,0),"")</f>
        <v>3878211</v>
      </c>
      <c r="X822" s="900">
        <f t="shared" si="169"/>
        <v>13108000</v>
      </c>
      <c r="Y822" s="925"/>
      <c r="Z822" s="928"/>
      <c r="AA822" s="928"/>
      <c r="AB822" s="904"/>
      <c r="AC822" s="928"/>
      <c r="AD822" s="928"/>
      <c r="AE822" s="928"/>
      <c r="AF822" s="926"/>
      <c r="AG822" s="906" t="str">
        <f>IF(AE822&lt;&gt;0,VLOOKUP(AE822,ODDS!$A$2:$C$13,3,0),"")</f>
        <v/>
      </c>
      <c r="AH822" s="906" t="str">
        <f t="shared" si="177"/>
        <v xml:space="preserve"> </v>
      </c>
      <c r="AI822" s="907" t="str">
        <f t="shared" si="172"/>
        <v xml:space="preserve"> </v>
      </c>
      <c r="AJ822" s="929"/>
      <c r="AK822" s="929"/>
    </row>
    <row r="823" spans="1:37" s="376" customFormat="1" ht="90" outlineLevel="2" x14ac:dyDescent="0.3">
      <c r="A823" s="447">
        <f t="shared" si="181"/>
        <v>68</v>
      </c>
      <c r="B823" s="893"/>
      <c r="C823" s="894"/>
      <c r="D823" s="923"/>
      <c r="E823" s="923"/>
      <c r="F823" s="896"/>
      <c r="G823" s="894"/>
      <c r="H823" s="924"/>
      <c r="I823" s="882"/>
      <c r="J823" s="925"/>
      <c r="K823" s="899" t="str">
        <f>IF(G823&lt;&gt;0,VLOOKUP(G823,'gia dat'!$A$1:$F$144,5,0)," ")</f>
        <v xml:space="preserve"> </v>
      </c>
      <c r="L823" s="899" t="str">
        <f>IF(G823&lt;&gt;0,VLOOKUP(G823,'gia dat'!$A$1:$F$144,6,0)," ")</f>
        <v xml:space="preserve"> </v>
      </c>
      <c r="M823" s="900" t="str">
        <f t="shared" si="173"/>
        <v xml:space="preserve"> </v>
      </c>
      <c r="N823" s="900" t="str">
        <f t="shared" si="174"/>
        <v xml:space="preserve"> </v>
      </c>
      <c r="O823" s="973"/>
      <c r="P823" s="926"/>
      <c r="Q823" s="900" t="str">
        <f>IF(O823&lt;&gt;0,VLOOKUP(O823,'Cây trong'!$A$2:$C$246,3,0)," ")</f>
        <v xml:space="preserve"> </v>
      </c>
      <c r="R823" s="900" t="str">
        <f t="shared" si="176"/>
        <v xml:space="preserve"> </v>
      </c>
      <c r="S823" s="902" t="s">
        <v>1879</v>
      </c>
      <c r="T823" s="974" t="s">
        <v>53</v>
      </c>
      <c r="U823" s="927">
        <v>10.75</v>
      </c>
      <c r="V823" s="1013"/>
      <c r="W823" s="900">
        <f>IF(S823&lt;&gt;0,VLOOKUP(S823,VKT!$A$2:$G$415,7,0),"")</f>
        <v>703764</v>
      </c>
      <c r="X823" s="900">
        <f t="shared" si="169"/>
        <v>7565000</v>
      </c>
      <c r="Y823" s="925"/>
      <c r="Z823" s="928"/>
      <c r="AA823" s="928"/>
      <c r="AB823" s="904"/>
      <c r="AC823" s="928"/>
      <c r="AD823" s="928"/>
      <c r="AE823" s="928"/>
      <c r="AF823" s="926"/>
      <c r="AG823" s="906" t="str">
        <f>IF(AE823&lt;&gt;0,VLOOKUP(AE823,ODDS!$A$2:$C$13,3,0),"")</f>
        <v/>
      </c>
      <c r="AH823" s="906" t="str">
        <f t="shared" si="177"/>
        <v xml:space="preserve"> </v>
      </c>
      <c r="AI823" s="907" t="str">
        <f t="shared" si="172"/>
        <v xml:space="preserve"> </v>
      </c>
      <c r="AJ823" s="929"/>
      <c r="AK823" s="929"/>
    </row>
    <row r="824" spans="1:37" s="376" customFormat="1" ht="45" outlineLevel="2" x14ac:dyDescent="0.3">
      <c r="A824" s="447">
        <f t="shared" si="181"/>
        <v>68</v>
      </c>
      <c r="B824" s="893"/>
      <c r="C824" s="894"/>
      <c r="D824" s="923"/>
      <c r="E824" s="923"/>
      <c r="F824" s="896"/>
      <c r="G824" s="894"/>
      <c r="H824" s="924"/>
      <c r="I824" s="882"/>
      <c r="J824" s="925"/>
      <c r="K824" s="899" t="str">
        <f>IF(G824&lt;&gt;0,VLOOKUP(G824,'gia dat'!$A$1:$F$144,5,0)," ")</f>
        <v xml:space="preserve"> </v>
      </c>
      <c r="L824" s="899" t="str">
        <f>IF(G824&lt;&gt;0,VLOOKUP(G824,'gia dat'!$A$1:$F$144,6,0)," ")</f>
        <v xml:space="preserve"> </v>
      </c>
      <c r="M824" s="900" t="str">
        <f t="shared" si="173"/>
        <v xml:space="preserve"> </v>
      </c>
      <c r="N824" s="900" t="str">
        <f t="shared" si="174"/>
        <v xml:space="preserve"> </v>
      </c>
      <c r="O824" s="973"/>
      <c r="P824" s="926"/>
      <c r="Q824" s="900" t="str">
        <f>IF(O824&lt;&gt;0,VLOOKUP(O824,'Cây trong'!$A$2:$C$246,3,0)," ")</f>
        <v xml:space="preserve"> </v>
      </c>
      <c r="R824" s="900" t="str">
        <f t="shared" si="176"/>
        <v xml:space="preserve"> </v>
      </c>
      <c r="S824" s="902" t="s">
        <v>1799</v>
      </c>
      <c r="T824" s="974" t="s">
        <v>53</v>
      </c>
      <c r="U824" s="927">
        <v>2.72</v>
      </c>
      <c r="V824" s="1013"/>
      <c r="W824" s="900">
        <f>IF(S824&lt;&gt;0,VLOOKUP(S824,VKT!$A$2:$G$415,7,0),"")</f>
        <v>275180</v>
      </c>
      <c r="X824" s="900">
        <f t="shared" si="169"/>
        <v>748000</v>
      </c>
      <c r="Y824" s="925"/>
      <c r="Z824" s="928"/>
      <c r="AA824" s="928"/>
      <c r="AB824" s="904"/>
      <c r="AC824" s="928"/>
      <c r="AD824" s="928"/>
      <c r="AE824" s="928"/>
      <c r="AF824" s="926"/>
      <c r="AG824" s="906" t="str">
        <f>IF(AE824&lt;&gt;0,VLOOKUP(AE824,ODDS!$A$2:$C$13,3,0),"")</f>
        <v/>
      </c>
      <c r="AH824" s="906" t="str">
        <f t="shared" si="177"/>
        <v xml:space="preserve"> </v>
      </c>
      <c r="AI824" s="907" t="str">
        <f t="shared" si="172"/>
        <v xml:space="preserve"> </v>
      </c>
      <c r="AJ824" s="929"/>
      <c r="AK824" s="929"/>
    </row>
    <row r="825" spans="1:37" s="376" customFormat="1" ht="45" outlineLevel="2" x14ac:dyDescent="0.3">
      <c r="A825" s="447">
        <f t="shared" si="181"/>
        <v>68</v>
      </c>
      <c r="B825" s="893"/>
      <c r="C825" s="894"/>
      <c r="D825" s="923"/>
      <c r="E825" s="923"/>
      <c r="F825" s="896"/>
      <c r="G825" s="894"/>
      <c r="H825" s="924"/>
      <c r="I825" s="882"/>
      <c r="J825" s="925"/>
      <c r="K825" s="899" t="str">
        <f>IF(G825&lt;&gt;0,VLOOKUP(G825,'gia dat'!$A$1:$F$144,5,0)," ")</f>
        <v xml:space="preserve"> </v>
      </c>
      <c r="L825" s="899" t="str">
        <f>IF(G825&lt;&gt;0,VLOOKUP(G825,'gia dat'!$A$1:$F$144,6,0)," ")</f>
        <v xml:space="preserve"> </v>
      </c>
      <c r="M825" s="900" t="str">
        <f t="shared" si="173"/>
        <v xml:space="preserve"> </v>
      </c>
      <c r="N825" s="900" t="str">
        <f t="shared" si="174"/>
        <v xml:space="preserve"> </v>
      </c>
      <c r="O825" s="894"/>
      <c r="P825" s="926"/>
      <c r="Q825" s="900" t="str">
        <f>IF(O825&lt;&gt;0,VLOOKUP(O825,'Cây trong'!$A$2:$C$246,3,0)," ")</f>
        <v xml:space="preserve"> </v>
      </c>
      <c r="R825" s="900" t="str">
        <f t="shared" si="176"/>
        <v xml:space="preserve"> </v>
      </c>
      <c r="S825" s="902" t="s">
        <v>1880</v>
      </c>
      <c r="T825" s="974" t="s">
        <v>78</v>
      </c>
      <c r="U825" s="927">
        <v>7.0000000000000007E-2</v>
      </c>
      <c r="V825" s="925"/>
      <c r="W825" s="900">
        <f>IF(S825&lt;&gt;0,VLOOKUP(S825,VKT!$A$2:$G$415,7,0),"")</f>
        <v>0</v>
      </c>
      <c r="X825" s="900">
        <f t="shared" si="169"/>
        <v>0</v>
      </c>
      <c r="Y825" s="925"/>
      <c r="Z825" s="928"/>
      <c r="AA825" s="928"/>
      <c r="AB825" s="904"/>
      <c r="AC825" s="928"/>
      <c r="AD825" s="928"/>
      <c r="AE825" s="928"/>
      <c r="AF825" s="926"/>
      <c r="AG825" s="906" t="str">
        <f>IF(AE825&lt;&gt;0,VLOOKUP(AE825,ODDS!$A$2:$C$13,3,0),"")</f>
        <v/>
      </c>
      <c r="AH825" s="906" t="str">
        <f t="shared" si="177"/>
        <v xml:space="preserve"> </v>
      </c>
      <c r="AI825" s="907" t="str">
        <f t="shared" si="172"/>
        <v xml:space="preserve"> </v>
      </c>
      <c r="AJ825" s="929"/>
      <c r="AK825" s="929"/>
    </row>
    <row r="826" spans="1:37" s="376" customFormat="1" ht="67.5" outlineLevel="2" x14ac:dyDescent="0.3">
      <c r="A826" s="447">
        <f t="shared" si="181"/>
        <v>68</v>
      </c>
      <c r="B826" s="893"/>
      <c r="C826" s="971"/>
      <c r="D826" s="923"/>
      <c r="E826" s="923"/>
      <c r="F826" s="896"/>
      <c r="G826" s="894"/>
      <c r="H826" s="924"/>
      <c r="I826" s="882"/>
      <c r="J826" s="925"/>
      <c r="K826" s="899" t="str">
        <f>IF(G826&lt;&gt;0,VLOOKUP(G826,'gia dat'!$A$1:$F$144,5,0)," ")</f>
        <v xml:space="preserve"> </v>
      </c>
      <c r="L826" s="899" t="str">
        <f>IF(G826&lt;&gt;0,VLOOKUP(G826,'gia dat'!$A$1:$F$144,6,0)," ")</f>
        <v xml:space="preserve"> </v>
      </c>
      <c r="M826" s="900" t="str">
        <f t="shared" si="173"/>
        <v xml:space="preserve"> </v>
      </c>
      <c r="N826" s="900" t="str">
        <f t="shared" si="174"/>
        <v xml:space="preserve"> </v>
      </c>
      <c r="O826" s="894"/>
      <c r="P826" s="926"/>
      <c r="Q826" s="900" t="str">
        <f>IF(O826&lt;&gt;0,VLOOKUP(O826,'Cây trong'!$A$2:$C$246,3,0)," ")</f>
        <v xml:space="preserve"> </v>
      </c>
      <c r="R826" s="900" t="str">
        <f t="shared" si="176"/>
        <v xml:space="preserve"> </v>
      </c>
      <c r="S826" s="902" t="s">
        <v>1847</v>
      </c>
      <c r="T826" s="974" t="s">
        <v>53</v>
      </c>
      <c r="U826" s="927">
        <v>1.38</v>
      </c>
      <c r="V826" s="925"/>
      <c r="W826" s="900">
        <f>IF(S826&lt;&gt;0,VLOOKUP(S826,VKT!$A$2:$G$415,7,0),"")</f>
        <v>1854271</v>
      </c>
      <c r="X826" s="900">
        <f t="shared" si="169"/>
        <v>2559000</v>
      </c>
      <c r="Y826" s="925"/>
      <c r="Z826" s="928"/>
      <c r="AA826" s="928"/>
      <c r="AB826" s="904"/>
      <c r="AC826" s="928"/>
      <c r="AD826" s="928"/>
      <c r="AE826" s="928"/>
      <c r="AF826" s="926"/>
      <c r="AG826" s="906" t="str">
        <f>IF(AE826&lt;&gt;0,VLOOKUP(AE826,ODDS!$A$2:$C$13,3,0),"")</f>
        <v/>
      </c>
      <c r="AH826" s="906" t="str">
        <f t="shared" si="177"/>
        <v xml:space="preserve"> </v>
      </c>
      <c r="AI826" s="907" t="str">
        <f t="shared" si="172"/>
        <v xml:space="preserve"> </v>
      </c>
      <c r="AJ826" s="929"/>
      <c r="AK826" s="929"/>
    </row>
    <row r="827" spans="1:37" s="376" customFormat="1" ht="45" outlineLevel="2" x14ac:dyDescent="0.3">
      <c r="A827" s="447">
        <f t="shared" si="181"/>
        <v>68</v>
      </c>
      <c r="B827" s="893"/>
      <c r="C827" s="972"/>
      <c r="D827" s="923"/>
      <c r="E827" s="923"/>
      <c r="F827" s="896"/>
      <c r="G827" s="894"/>
      <c r="H827" s="924"/>
      <c r="I827" s="882"/>
      <c r="J827" s="925"/>
      <c r="K827" s="899" t="str">
        <f>IF(G827&lt;&gt;0,VLOOKUP(G827,'gia dat'!$A$1:$F$144,5,0)," ")</f>
        <v xml:space="preserve"> </v>
      </c>
      <c r="L827" s="899" t="str">
        <f>IF(G827&lt;&gt;0,VLOOKUP(G827,'gia dat'!$A$1:$F$144,6,0)," ")</f>
        <v xml:space="preserve"> </v>
      </c>
      <c r="M827" s="900" t="str">
        <f t="shared" si="173"/>
        <v xml:space="preserve"> </v>
      </c>
      <c r="N827" s="900" t="str">
        <f t="shared" si="174"/>
        <v xml:space="preserve"> </v>
      </c>
      <c r="O827" s="894"/>
      <c r="P827" s="926"/>
      <c r="Q827" s="900" t="str">
        <f>IF(O827&lt;&gt;0,VLOOKUP(O827,'Cây trong'!$A$2:$C$246,3,0)," ")</f>
        <v xml:space="preserve"> </v>
      </c>
      <c r="R827" s="900" t="str">
        <f t="shared" si="176"/>
        <v xml:space="preserve"> </v>
      </c>
      <c r="S827" s="902" t="s">
        <v>1881</v>
      </c>
      <c r="T827" s="974" t="s">
        <v>53</v>
      </c>
      <c r="U827" s="927">
        <v>2.04</v>
      </c>
      <c r="V827" s="925"/>
      <c r="W827" s="900">
        <f>IF(S827&lt;&gt;0,VLOOKUP(S827,VKT!$A$2:$G$415,7,0),"")</f>
        <v>286855</v>
      </c>
      <c r="X827" s="900">
        <f t="shared" si="169"/>
        <v>585000</v>
      </c>
      <c r="Y827" s="925"/>
      <c r="Z827" s="928"/>
      <c r="AA827" s="928"/>
      <c r="AB827" s="904"/>
      <c r="AC827" s="928"/>
      <c r="AD827" s="928"/>
      <c r="AE827" s="928"/>
      <c r="AF827" s="926"/>
      <c r="AG827" s="906" t="str">
        <f>IF(AE827&lt;&gt;0,VLOOKUP(AE827,ODDS!$A$2:$C$13,3,0),"")</f>
        <v/>
      </c>
      <c r="AH827" s="906" t="str">
        <f t="shared" si="177"/>
        <v xml:space="preserve"> </v>
      </c>
      <c r="AI827" s="907" t="str">
        <f t="shared" si="172"/>
        <v xml:space="preserve"> </v>
      </c>
      <c r="AJ827" s="929"/>
      <c r="AK827" s="929"/>
    </row>
    <row r="828" spans="1:37" s="376" customFormat="1" ht="67.5" outlineLevel="2" x14ac:dyDescent="0.3">
      <c r="A828" s="447">
        <f t="shared" si="181"/>
        <v>68</v>
      </c>
      <c r="B828" s="893"/>
      <c r="C828" s="971"/>
      <c r="D828" s="923"/>
      <c r="E828" s="923"/>
      <c r="F828" s="896"/>
      <c r="G828" s="894"/>
      <c r="H828" s="924"/>
      <c r="I828" s="882"/>
      <c r="J828" s="925"/>
      <c r="K828" s="899" t="str">
        <f>IF(G828&lt;&gt;0,VLOOKUP(G828,'gia dat'!$A$1:$F$144,5,0)," ")</f>
        <v xml:space="preserve"> </v>
      </c>
      <c r="L828" s="899" t="str">
        <f>IF(G828&lt;&gt;0,VLOOKUP(G828,'gia dat'!$A$1:$F$144,6,0)," ")</f>
        <v xml:space="preserve"> </v>
      </c>
      <c r="M828" s="900" t="str">
        <f t="shared" si="173"/>
        <v xml:space="preserve"> </v>
      </c>
      <c r="N828" s="900" t="str">
        <f t="shared" si="174"/>
        <v xml:space="preserve"> </v>
      </c>
      <c r="O828" s="894"/>
      <c r="P828" s="926"/>
      <c r="Q828" s="900" t="str">
        <f>IF(O828&lt;&gt;0,VLOOKUP(O828,'Cây trong'!$A$2:$C$246,3,0)," ")</f>
        <v xml:space="preserve"> </v>
      </c>
      <c r="R828" s="900" t="str">
        <f t="shared" si="176"/>
        <v xml:space="preserve"> </v>
      </c>
      <c r="S828" s="902" t="s">
        <v>1882</v>
      </c>
      <c r="T828" s="974" t="s">
        <v>53</v>
      </c>
      <c r="U828" s="927">
        <v>0.42</v>
      </c>
      <c r="V828" s="925"/>
      <c r="W828" s="900">
        <f>IF(S828&lt;&gt;0,VLOOKUP(S828,VKT!$A$2:$G$415,7,0),"")</f>
        <v>348773</v>
      </c>
      <c r="X828" s="900">
        <f t="shared" si="169"/>
        <v>146000</v>
      </c>
      <c r="Y828" s="925"/>
      <c r="Z828" s="928"/>
      <c r="AA828" s="928"/>
      <c r="AB828" s="904"/>
      <c r="AC828" s="928"/>
      <c r="AD828" s="928"/>
      <c r="AE828" s="928"/>
      <c r="AF828" s="926"/>
      <c r="AG828" s="906" t="str">
        <f>IF(AE828&lt;&gt;0,VLOOKUP(AE828,ODDS!$A$2:$C$13,3,0),"")</f>
        <v/>
      </c>
      <c r="AH828" s="906" t="str">
        <f t="shared" si="177"/>
        <v xml:space="preserve"> </v>
      </c>
      <c r="AI828" s="907" t="str">
        <f t="shared" si="172"/>
        <v xml:space="preserve"> </v>
      </c>
      <c r="AJ828" s="929"/>
      <c r="AK828" s="929"/>
    </row>
    <row r="829" spans="1:37" s="376" customFormat="1" ht="67.5" outlineLevel="2" x14ac:dyDescent="0.3">
      <c r="A829" s="447">
        <f t="shared" si="181"/>
        <v>68</v>
      </c>
      <c r="B829" s="893"/>
      <c r="C829" s="894"/>
      <c r="D829" s="923"/>
      <c r="E829" s="923"/>
      <c r="F829" s="896"/>
      <c r="G829" s="894"/>
      <c r="H829" s="924"/>
      <c r="I829" s="882"/>
      <c r="J829" s="925"/>
      <c r="K829" s="899" t="str">
        <f>IF(G829&lt;&gt;0,VLOOKUP(G829,'gia dat'!$A$1:$F$144,5,0)," ")</f>
        <v xml:space="preserve"> </v>
      </c>
      <c r="L829" s="899" t="str">
        <f>IF(G829&lt;&gt;0,VLOOKUP(G829,'gia dat'!$A$1:$F$144,6,0)," ")</f>
        <v xml:space="preserve"> </v>
      </c>
      <c r="M829" s="900" t="str">
        <f t="shared" si="173"/>
        <v xml:space="preserve"> </v>
      </c>
      <c r="N829" s="900" t="str">
        <f t="shared" si="174"/>
        <v xml:space="preserve"> </v>
      </c>
      <c r="O829" s="894"/>
      <c r="P829" s="926"/>
      <c r="Q829" s="900" t="str">
        <f>IF(O829&lt;&gt;0,VLOOKUP(O829,'Cây trong'!$A$2:$C$246,3,0)," ")</f>
        <v xml:space="preserve"> </v>
      </c>
      <c r="R829" s="900" t="str">
        <f t="shared" si="176"/>
        <v xml:space="preserve"> </v>
      </c>
      <c r="S829" s="902" t="s">
        <v>1883</v>
      </c>
      <c r="T829" s="974" t="s">
        <v>53</v>
      </c>
      <c r="U829" s="927">
        <v>0.42</v>
      </c>
      <c r="V829" s="925"/>
      <c r="W829" s="900">
        <f>IF(S829&lt;&gt;0,VLOOKUP(S829,VKT!$A$2:$G$415,7,0),"")</f>
        <v>532230</v>
      </c>
      <c r="X829" s="900">
        <f t="shared" si="169"/>
        <v>224000</v>
      </c>
      <c r="Y829" s="925"/>
      <c r="Z829" s="928"/>
      <c r="AA829" s="928"/>
      <c r="AB829" s="904"/>
      <c r="AC829" s="928"/>
      <c r="AD829" s="928"/>
      <c r="AE829" s="928"/>
      <c r="AF829" s="926"/>
      <c r="AG829" s="906" t="str">
        <f>IF(AE829&lt;&gt;0,VLOOKUP(AE829,ODDS!$A$2:$C$13,3,0),"")</f>
        <v/>
      </c>
      <c r="AH829" s="906" t="str">
        <f t="shared" si="177"/>
        <v xml:space="preserve"> </v>
      </c>
      <c r="AI829" s="907" t="str">
        <f t="shared" si="172"/>
        <v xml:space="preserve"> </v>
      </c>
      <c r="AJ829" s="929"/>
      <c r="AK829" s="929"/>
    </row>
    <row r="830" spans="1:37" s="376" customFormat="1" ht="22.5" outlineLevel="2" x14ac:dyDescent="0.3">
      <c r="A830" s="447">
        <f t="shared" si="181"/>
        <v>68</v>
      </c>
      <c r="B830" s="893"/>
      <c r="C830" s="894"/>
      <c r="D830" s="923"/>
      <c r="E830" s="923"/>
      <c r="F830" s="896"/>
      <c r="G830" s="894"/>
      <c r="H830" s="924"/>
      <c r="I830" s="882"/>
      <c r="J830" s="925"/>
      <c r="K830" s="899" t="str">
        <f>IF(G830&lt;&gt;0,VLOOKUP(G830,'gia dat'!$A$1:$F$144,5,0)," ")</f>
        <v xml:space="preserve"> </v>
      </c>
      <c r="L830" s="899" t="str">
        <f>IF(G830&lt;&gt;0,VLOOKUP(G830,'gia dat'!$A$1:$F$144,6,0)," ")</f>
        <v xml:space="preserve"> </v>
      </c>
      <c r="M830" s="900" t="str">
        <f t="shared" si="173"/>
        <v xml:space="preserve"> </v>
      </c>
      <c r="N830" s="900" t="str">
        <f t="shared" si="174"/>
        <v xml:space="preserve"> </v>
      </c>
      <c r="O830" s="894"/>
      <c r="P830" s="926"/>
      <c r="Q830" s="900" t="str">
        <f>IF(O830&lt;&gt;0,VLOOKUP(O830,'Cây trong'!$A$2:$C$246,3,0)," ")</f>
        <v xml:space="preserve"> </v>
      </c>
      <c r="R830" s="900" t="str">
        <f t="shared" si="176"/>
        <v xml:space="preserve"> </v>
      </c>
      <c r="S830" s="929"/>
      <c r="T830" s="929"/>
      <c r="U830" s="952"/>
      <c r="V830" s="925"/>
      <c r="W830" s="900" t="str">
        <f>IF(S830&lt;&gt;0,VLOOKUP(S830,VKT!$A$2:$G$415,7,0),"")</f>
        <v/>
      </c>
      <c r="X830" s="900" t="str">
        <f t="shared" si="169"/>
        <v xml:space="preserve"> </v>
      </c>
      <c r="Y830" s="925"/>
      <c r="Z830" s="928"/>
      <c r="AA830" s="928"/>
      <c r="AB830" s="904"/>
      <c r="AC830" s="928"/>
      <c r="AD830" s="928"/>
      <c r="AE830" s="928"/>
      <c r="AF830" s="926"/>
      <c r="AG830" s="906" t="str">
        <f>IF(AE830&lt;&gt;0,VLOOKUP(AE830,ODDS!$A$2:$C$13,3,0),"")</f>
        <v/>
      </c>
      <c r="AH830" s="906" t="str">
        <f t="shared" si="177"/>
        <v xml:space="preserve"> </v>
      </c>
      <c r="AI830" s="907" t="str">
        <f t="shared" si="172"/>
        <v xml:space="preserve"> </v>
      </c>
      <c r="AJ830" s="929"/>
      <c r="AK830" s="929"/>
    </row>
    <row r="831" spans="1:37" s="376" customFormat="1" ht="22.5" outlineLevel="2" x14ac:dyDescent="0.3">
      <c r="A831" s="447">
        <f t="shared" si="181"/>
        <v>68</v>
      </c>
      <c r="B831" s="893"/>
      <c r="C831" s="971"/>
      <c r="D831" s="923"/>
      <c r="E831" s="923"/>
      <c r="F831" s="896"/>
      <c r="G831" s="894"/>
      <c r="H831" s="924"/>
      <c r="I831" s="882"/>
      <c r="J831" s="925"/>
      <c r="K831" s="899" t="str">
        <f>IF(G831&lt;&gt;0,VLOOKUP(G831,'gia dat'!$A$1:$F$144,5,0)," ")</f>
        <v xml:space="preserve"> </v>
      </c>
      <c r="L831" s="899" t="str">
        <f>IF(G831&lt;&gt;0,VLOOKUP(G831,'gia dat'!$A$1:$F$144,6,0)," ")</f>
        <v xml:space="preserve"> </v>
      </c>
      <c r="M831" s="900" t="str">
        <f t="shared" si="173"/>
        <v xml:space="preserve"> </v>
      </c>
      <c r="N831" s="900" t="str">
        <f t="shared" si="174"/>
        <v xml:space="preserve"> </v>
      </c>
      <c r="O831" s="894"/>
      <c r="P831" s="926"/>
      <c r="Q831" s="900" t="str">
        <f>IF(O831&lt;&gt;0,VLOOKUP(O831,'Cây trong'!$A$2:$C$246,3,0)," ")</f>
        <v xml:space="preserve"> </v>
      </c>
      <c r="R831" s="900" t="str">
        <f t="shared" si="176"/>
        <v xml:space="preserve"> </v>
      </c>
      <c r="S831" s="929"/>
      <c r="T831" s="929"/>
      <c r="U831" s="952"/>
      <c r="V831" s="925"/>
      <c r="W831" s="900" t="str">
        <f>IF(S831&lt;&gt;0,VLOOKUP(S831,VKT!$A$2:$G$415,7,0),"")</f>
        <v/>
      </c>
      <c r="X831" s="900" t="str">
        <f t="shared" si="169"/>
        <v xml:space="preserve"> </v>
      </c>
      <c r="Y831" s="925"/>
      <c r="Z831" s="928"/>
      <c r="AA831" s="928"/>
      <c r="AB831" s="904"/>
      <c r="AC831" s="928"/>
      <c r="AD831" s="928"/>
      <c r="AE831" s="928"/>
      <c r="AF831" s="926"/>
      <c r="AG831" s="906" t="str">
        <f>IF(AE831&lt;&gt;0,VLOOKUP(AE831,ODDS!$A$2:$C$13,3,0),"")</f>
        <v/>
      </c>
      <c r="AH831" s="906" t="str">
        <f t="shared" si="177"/>
        <v xml:space="preserve"> </v>
      </c>
      <c r="AI831" s="907" t="str">
        <f t="shared" si="172"/>
        <v xml:space="preserve"> </v>
      </c>
      <c r="AJ831" s="929"/>
      <c r="AK831" s="929"/>
    </row>
    <row r="832" spans="1:37" s="376" customFormat="1" ht="22.5" outlineLevel="2" x14ac:dyDescent="0.3">
      <c r="A832" s="447">
        <f t="shared" si="181"/>
        <v>68</v>
      </c>
      <c r="B832" s="893"/>
      <c r="C832" s="972"/>
      <c r="D832" s="923"/>
      <c r="E832" s="923"/>
      <c r="F832" s="950"/>
      <c r="G832" s="894"/>
      <c r="H832" s="940"/>
      <c r="I832" s="882"/>
      <c r="J832" s="929"/>
      <c r="K832" s="899" t="str">
        <f>IF(G832&lt;&gt;0,VLOOKUP(G832,'gia dat'!$A$1:$F$144,5,0)," ")</f>
        <v xml:space="preserve"> </v>
      </c>
      <c r="L832" s="899" t="str">
        <f>IF(G832&lt;&gt;0,VLOOKUP(G832,'gia dat'!$A$1:$F$144,6,0)," ")</f>
        <v xml:space="preserve"> </v>
      </c>
      <c r="M832" s="900" t="str">
        <f t="shared" si="173"/>
        <v xml:space="preserve"> </v>
      </c>
      <c r="N832" s="900" t="str">
        <f t="shared" si="174"/>
        <v xml:space="preserve"> </v>
      </c>
      <c r="O832" s="929"/>
      <c r="P832" s="951"/>
      <c r="Q832" s="900" t="str">
        <f>IF(O832&lt;&gt;0,VLOOKUP(O832,'Cây trong'!$A$2:$C$246,3,0)," ")</f>
        <v xml:space="preserve"> </v>
      </c>
      <c r="R832" s="900" t="str">
        <f t="shared" si="176"/>
        <v xml:space="preserve"> </v>
      </c>
      <c r="S832" s="929"/>
      <c r="T832" s="929"/>
      <c r="U832" s="952"/>
      <c r="V832" s="925"/>
      <c r="W832" s="900" t="str">
        <f>IF(S832&lt;&gt;0,VLOOKUP(S832,VKT!$A$2:$G$415,7,0),"")</f>
        <v/>
      </c>
      <c r="X832" s="900" t="str">
        <f t="shared" si="169"/>
        <v xml:space="preserve"> </v>
      </c>
      <c r="Y832" s="925"/>
      <c r="Z832" s="925"/>
      <c r="AA832" s="925"/>
      <c r="AB832" s="898"/>
      <c r="AC832" s="925"/>
      <c r="AD832" s="925"/>
      <c r="AE832" s="925"/>
      <c r="AF832" s="964"/>
      <c r="AG832" s="906" t="str">
        <f>IF(AE832&lt;&gt;0,VLOOKUP(AE832,ODDS!$A$2:$C$13,3,0),"")</f>
        <v/>
      </c>
      <c r="AH832" s="906" t="str">
        <f t="shared" si="177"/>
        <v xml:space="preserve"> </v>
      </c>
      <c r="AI832" s="907" t="str">
        <f t="shared" si="172"/>
        <v xml:space="preserve"> </v>
      </c>
      <c r="AJ832" s="929"/>
      <c r="AK832" s="929"/>
    </row>
    <row r="833" spans="1:37" s="376" customFormat="1" ht="22.5" outlineLevel="2" x14ac:dyDescent="0.3">
      <c r="A833" s="447">
        <f t="shared" si="181"/>
        <v>68</v>
      </c>
      <c r="B833" s="893"/>
      <c r="C833" s="972"/>
      <c r="D833" s="923"/>
      <c r="E833" s="923"/>
      <c r="F833" s="896"/>
      <c r="G833" s="894"/>
      <c r="H833" s="924"/>
      <c r="I833" s="882"/>
      <c r="J833" s="925"/>
      <c r="K833" s="899" t="str">
        <f>IF(G833&lt;&gt;0,VLOOKUP(G833,'gia dat'!$A$1:$F$144,5,0)," ")</f>
        <v xml:space="preserve"> </v>
      </c>
      <c r="L833" s="899" t="str">
        <f>IF(G833&lt;&gt;0,VLOOKUP(G833,'gia dat'!$A$1:$F$144,6,0)," ")</f>
        <v xml:space="preserve"> </v>
      </c>
      <c r="M833" s="900" t="str">
        <f t="shared" si="173"/>
        <v xml:space="preserve"> </v>
      </c>
      <c r="N833" s="900" t="str">
        <f t="shared" si="174"/>
        <v xml:space="preserve"> </v>
      </c>
      <c r="O833" s="894"/>
      <c r="P833" s="926"/>
      <c r="Q833" s="900" t="str">
        <f>IF(O833&lt;&gt;0,VLOOKUP(O833,'Cây trong'!$A$2:$C$246,3,0)," ")</f>
        <v xml:space="preserve"> </v>
      </c>
      <c r="R833" s="900" t="str">
        <f t="shared" si="176"/>
        <v xml:space="preserve"> </v>
      </c>
      <c r="S833" s="973"/>
      <c r="T833" s="974"/>
      <c r="U833" s="927"/>
      <c r="V833" s="925"/>
      <c r="W833" s="900" t="str">
        <f>IF(S833&lt;&gt;0,VLOOKUP(S833,VKT!$A$2:$G$415,7,0),"")</f>
        <v/>
      </c>
      <c r="X833" s="900" t="str">
        <f t="shared" si="169"/>
        <v xml:space="preserve"> </v>
      </c>
      <c r="Y833" s="925"/>
      <c r="Z833" s="928"/>
      <c r="AA833" s="928"/>
      <c r="AB833" s="904"/>
      <c r="AC833" s="928"/>
      <c r="AD833" s="928"/>
      <c r="AE833" s="928"/>
      <c r="AF833" s="926"/>
      <c r="AG833" s="906" t="str">
        <f>IF(AE833&lt;&gt;0,VLOOKUP(AE833,ODDS!$A$2:$C$13,3,0),"")</f>
        <v/>
      </c>
      <c r="AH833" s="906" t="str">
        <f t="shared" si="177"/>
        <v xml:space="preserve"> </v>
      </c>
      <c r="AI833" s="907" t="str">
        <f t="shared" si="172"/>
        <v xml:space="preserve"> </v>
      </c>
      <c r="AJ833" s="929"/>
      <c r="AK833" s="929"/>
    </row>
    <row r="834" spans="1:37" s="376" customFormat="1" ht="22.5" outlineLevel="2" x14ac:dyDescent="0.3">
      <c r="A834" s="447">
        <f t="shared" si="181"/>
        <v>68</v>
      </c>
      <c r="B834" s="893"/>
      <c r="C834" s="894"/>
      <c r="D834" s="923"/>
      <c r="E834" s="923"/>
      <c r="F834" s="896"/>
      <c r="G834" s="894"/>
      <c r="H834" s="924"/>
      <c r="I834" s="882"/>
      <c r="J834" s="925"/>
      <c r="K834" s="899" t="str">
        <f>IF(G834&lt;&gt;0,VLOOKUP(G834,'gia dat'!$A$1:$F$144,5,0)," ")</f>
        <v xml:space="preserve"> </v>
      </c>
      <c r="L834" s="899" t="str">
        <f>IF(G834&lt;&gt;0,VLOOKUP(G834,'gia dat'!$A$1:$F$144,6,0)," ")</f>
        <v xml:space="preserve"> </v>
      </c>
      <c r="M834" s="900" t="str">
        <f t="shared" si="173"/>
        <v xml:space="preserve"> </v>
      </c>
      <c r="N834" s="900" t="str">
        <f t="shared" si="174"/>
        <v xml:space="preserve"> </v>
      </c>
      <c r="O834" s="894"/>
      <c r="P834" s="926"/>
      <c r="Q834" s="900" t="str">
        <f>IF(O834&lt;&gt;0,VLOOKUP(O834,'Cây trong'!$A$2:$C$246,3,0)," ")</f>
        <v xml:space="preserve"> </v>
      </c>
      <c r="R834" s="900" t="str">
        <f t="shared" si="176"/>
        <v xml:space="preserve"> </v>
      </c>
      <c r="S834" s="902"/>
      <c r="T834" s="925"/>
      <c r="U834" s="927"/>
      <c r="V834" s="925"/>
      <c r="W834" s="900" t="str">
        <f>IF(S834&lt;&gt;0,VLOOKUP(S834,VKT!$A$2:$G$415,7,0),"")</f>
        <v/>
      </c>
      <c r="X834" s="900" t="str">
        <f t="shared" ref="X834:X901" si="182">IF(S834&lt;&gt;0,ROUND(U834*W834,-3)," ")</f>
        <v xml:space="preserve"> </v>
      </c>
      <c r="Y834" s="925"/>
      <c r="Z834" s="928"/>
      <c r="AA834" s="928"/>
      <c r="AB834" s="904"/>
      <c r="AC834" s="928"/>
      <c r="AD834" s="928"/>
      <c r="AE834" s="928"/>
      <c r="AF834" s="926"/>
      <c r="AG834" s="906" t="str">
        <f>IF(AE834&lt;&gt;0,VLOOKUP(AE834,ODDS!$A$2:$C$13,3,0),"")</f>
        <v/>
      </c>
      <c r="AH834" s="906" t="str">
        <f t="shared" si="177"/>
        <v xml:space="preserve"> </v>
      </c>
      <c r="AI834" s="907" t="str">
        <f t="shared" si="172"/>
        <v xml:space="preserve"> </v>
      </c>
      <c r="AJ834" s="929"/>
      <c r="AK834" s="929"/>
    </row>
    <row r="835" spans="1:37" s="376" customFormat="1" ht="22.5" outlineLevel="2" x14ac:dyDescent="0.3">
      <c r="A835" s="447">
        <f t="shared" si="181"/>
        <v>68</v>
      </c>
      <c r="B835" s="893"/>
      <c r="C835" s="971"/>
      <c r="D835" s="923"/>
      <c r="E835" s="923"/>
      <c r="F835" s="896"/>
      <c r="G835" s="894"/>
      <c r="H835" s="924"/>
      <c r="I835" s="882"/>
      <c r="J835" s="925"/>
      <c r="K835" s="899" t="str">
        <f>IF(G835&lt;&gt;0,VLOOKUP(G835,'gia dat'!$A$1:$F$144,5,0)," ")</f>
        <v xml:space="preserve"> </v>
      </c>
      <c r="L835" s="899" t="str">
        <f>IF(G835&lt;&gt;0,VLOOKUP(G835,'gia dat'!$A$1:$F$144,6,0)," ")</f>
        <v xml:space="preserve"> </v>
      </c>
      <c r="M835" s="900" t="str">
        <f t="shared" si="173"/>
        <v xml:space="preserve"> </v>
      </c>
      <c r="N835" s="900" t="str">
        <f t="shared" si="174"/>
        <v xml:space="preserve"> </v>
      </c>
      <c r="O835" s="894"/>
      <c r="P835" s="926"/>
      <c r="Q835" s="900" t="str">
        <f>IF(O835&lt;&gt;0,VLOOKUP(O835,'Cây trong'!$A$2:$C$246,3,0)," ")</f>
        <v xml:space="preserve"> </v>
      </c>
      <c r="R835" s="900" t="str">
        <f t="shared" si="176"/>
        <v xml:space="preserve"> </v>
      </c>
      <c r="S835" s="902"/>
      <c r="T835" s="925"/>
      <c r="U835" s="927"/>
      <c r="V835" s="925"/>
      <c r="W835" s="900" t="str">
        <f>IF(S835&lt;&gt;0,VLOOKUP(S835,VKT!$A$2:$G$415,7,0),"")</f>
        <v/>
      </c>
      <c r="X835" s="900" t="str">
        <f t="shared" si="182"/>
        <v xml:space="preserve"> </v>
      </c>
      <c r="Y835" s="925"/>
      <c r="Z835" s="928"/>
      <c r="AA835" s="928"/>
      <c r="AB835" s="904"/>
      <c r="AC835" s="928"/>
      <c r="AD835" s="928"/>
      <c r="AE835" s="928"/>
      <c r="AF835" s="926"/>
      <c r="AG835" s="906" t="str">
        <f>IF(AE835&lt;&gt;0,VLOOKUP(AE835,ODDS!$A$2:$C$13,3,0),"")</f>
        <v/>
      </c>
      <c r="AH835" s="906" t="str">
        <f t="shared" si="177"/>
        <v xml:space="preserve"> </v>
      </c>
      <c r="AI835" s="907" t="str">
        <f t="shared" si="172"/>
        <v xml:space="preserve"> </v>
      </c>
      <c r="AJ835" s="929"/>
      <c r="AK835" s="929"/>
    </row>
    <row r="836" spans="1:37" s="376" customFormat="1" ht="43.5" outlineLevel="1" x14ac:dyDescent="0.25">
      <c r="A836" s="467" t="s">
        <v>2641</v>
      </c>
      <c r="B836" s="912">
        <v>69</v>
      </c>
      <c r="C836" s="971" t="s">
        <v>251</v>
      </c>
      <c r="D836" s="931"/>
      <c r="E836" s="931"/>
      <c r="F836" s="913"/>
      <c r="G836" s="910"/>
      <c r="H836" s="953">
        <f>SUBTOTAL(9,H837:H851)</f>
        <v>51.599999999999994</v>
      </c>
      <c r="I836" s="915">
        <f>SUBTOTAL(9,I837:I842)</f>
        <v>22.4</v>
      </c>
      <c r="J836" s="933"/>
      <c r="K836" s="917"/>
      <c r="L836" s="917"/>
      <c r="M836" s="907">
        <f>SUBTOTAL(9,M837:M851)</f>
        <v>28608000</v>
      </c>
      <c r="N836" s="907">
        <f>SUBTOTAL(9,N837:N851)</f>
        <v>37256000</v>
      </c>
      <c r="O836" s="910"/>
      <c r="P836" s="935">
        <f>SUBTOTAL(9,P837:P851)</f>
        <v>22</v>
      </c>
      <c r="Q836" s="907"/>
      <c r="R836" s="907">
        <f>SUBTOTAL(9,R837:R851)</f>
        <v>8810000</v>
      </c>
      <c r="S836" s="1011"/>
      <c r="T836" s="1007"/>
      <c r="U836" s="936">
        <f>SUBTOTAL(9,U837:U851)</f>
        <v>0</v>
      </c>
      <c r="V836" s="933"/>
      <c r="W836" s="907"/>
      <c r="X836" s="907">
        <f>SUBTOTAL(9,X837:X851)</f>
        <v>0</v>
      </c>
      <c r="Y836" s="925"/>
      <c r="Z836" s="928"/>
      <c r="AA836" s="928"/>
      <c r="AB836" s="904"/>
      <c r="AC836" s="928"/>
      <c r="AD836" s="928"/>
      <c r="AE836" s="969"/>
      <c r="AF836" s="935">
        <f>SUBTOTAL(9,AF837:AF851)</f>
        <v>0</v>
      </c>
      <c r="AG836" s="921"/>
      <c r="AH836" s="921">
        <f>SUBTOTAL(9,AH837:AH851)</f>
        <v>0</v>
      </c>
      <c r="AI836" s="907">
        <f t="shared" si="172"/>
        <v>74674000</v>
      </c>
      <c r="AJ836" s="910"/>
      <c r="AK836" s="914"/>
    </row>
    <row r="837" spans="1:37" s="376" customFormat="1" ht="157.5" outlineLevel="2" x14ac:dyDescent="0.3">
      <c r="A837" s="447">
        <f>IF(B836&lt;&gt;0,B836,A835)</f>
        <v>69</v>
      </c>
      <c r="B837" s="893"/>
      <c r="C837" s="972" t="s">
        <v>252</v>
      </c>
      <c r="D837" s="923">
        <v>3</v>
      </c>
      <c r="E837" s="923">
        <v>86</v>
      </c>
      <c r="F837" s="896">
        <v>87</v>
      </c>
      <c r="G837" s="894" t="s">
        <v>2059</v>
      </c>
      <c r="H837" s="924">
        <f>39.8-H840</f>
        <v>17.399999999999999</v>
      </c>
      <c r="I837" s="882" t="str">
        <f t="shared" ref="I837:I840" si="183">IF(N837&gt;0,H837,"")</f>
        <v/>
      </c>
      <c r="J837" s="925"/>
      <c r="K837" s="899">
        <f>IF(G837&lt;&gt;0,VLOOKUP(G837,'gia dat'!$A$1:$F$144,5,0)," ")</f>
        <v>554400</v>
      </c>
      <c r="L837" s="899">
        <f>IF(G837&lt;&gt;0,VLOOKUP(G837,'gia dat'!$A$1:$F$144,6,0)," ")</f>
        <v>0</v>
      </c>
      <c r="M837" s="900">
        <f t="shared" si="173"/>
        <v>9647000</v>
      </c>
      <c r="N837" s="900">
        <f t="shared" si="174"/>
        <v>0</v>
      </c>
      <c r="O837" s="894" t="s">
        <v>72</v>
      </c>
      <c r="P837" s="926">
        <v>1</v>
      </c>
      <c r="Q837" s="900">
        <f>IF(O837&lt;&gt;0,VLOOKUP(O837,'Cây trong'!$A$2:$C$246,3,0)," ")</f>
        <v>132000</v>
      </c>
      <c r="R837" s="900">
        <f t="shared" si="176"/>
        <v>132000</v>
      </c>
      <c r="S837" s="975"/>
      <c r="T837" s="974"/>
      <c r="U837" s="927"/>
      <c r="V837" s="925"/>
      <c r="W837" s="900" t="str">
        <f>IF(S837&lt;&gt;0,VLOOKUP(S837,VKT!$A$2:$G$415,7,0),"")</f>
        <v/>
      </c>
      <c r="X837" s="900" t="str">
        <f t="shared" si="182"/>
        <v xml:space="preserve"> </v>
      </c>
      <c r="Y837" s="925"/>
      <c r="Z837" s="928"/>
      <c r="AA837" s="928"/>
      <c r="AB837" s="904"/>
      <c r="AC837" s="928"/>
      <c r="AD837" s="928"/>
      <c r="AE837" s="941"/>
      <c r="AF837" s="926"/>
      <c r="AG837" s="906" t="str">
        <f>IF(AE837&lt;&gt;0,VLOOKUP(AE837,ODDS!$A$2:$C$13,3,0),"")</f>
        <v/>
      </c>
      <c r="AH837" s="906"/>
      <c r="AI837" s="907" t="str">
        <f t="shared" si="172"/>
        <v xml:space="preserve"> </v>
      </c>
      <c r="AJ837" s="894" t="s">
        <v>253</v>
      </c>
      <c r="AK837" s="922" t="s">
        <v>2771</v>
      </c>
    </row>
    <row r="838" spans="1:37" s="376" customFormat="1" ht="157.5" outlineLevel="2" x14ac:dyDescent="0.3">
      <c r="A838" s="447">
        <f t="shared" ref="A838:A851" si="184">IF(B837&lt;&gt;0,B837,A837)</f>
        <v>69</v>
      </c>
      <c r="B838" s="893"/>
      <c r="C838" s="972" t="s">
        <v>589</v>
      </c>
      <c r="D838" s="923"/>
      <c r="E838" s="923"/>
      <c r="F838" s="896"/>
      <c r="G838" s="894" t="s">
        <v>2060</v>
      </c>
      <c r="H838" s="924">
        <v>5</v>
      </c>
      <c r="I838" s="882" t="str">
        <f t="shared" si="183"/>
        <v/>
      </c>
      <c r="J838" s="925"/>
      <c r="K838" s="899">
        <f>IF(G838&lt;&gt;0,VLOOKUP(G838,'gia dat'!$A$1:$F$144,5,0)," ")</f>
        <v>554400</v>
      </c>
      <c r="L838" s="899">
        <f>IF(G838&lt;&gt;0,VLOOKUP(G838,'gia dat'!$A$1:$F$144,6,0)," ")</f>
        <v>0</v>
      </c>
      <c r="M838" s="900">
        <f t="shared" si="173"/>
        <v>2772000</v>
      </c>
      <c r="N838" s="900">
        <f t="shared" si="174"/>
        <v>0</v>
      </c>
      <c r="O838" s="894" t="s">
        <v>73</v>
      </c>
      <c r="P838" s="926">
        <v>3</v>
      </c>
      <c r="Q838" s="900">
        <f>IF(O838&lt;&gt;0,VLOOKUP(O838,'Cây trong'!$A$2:$C$246,3,0)," ")</f>
        <v>76000</v>
      </c>
      <c r="R838" s="900">
        <f t="shared" si="176"/>
        <v>228000</v>
      </c>
      <c r="S838" s="902"/>
      <c r="T838" s="925"/>
      <c r="U838" s="927"/>
      <c r="V838" s="925"/>
      <c r="W838" s="900" t="str">
        <f>IF(S838&lt;&gt;0,VLOOKUP(S838,VKT!$A$2:$G$415,7,0),"")</f>
        <v/>
      </c>
      <c r="X838" s="900" t="str">
        <f t="shared" si="182"/>
        <v xml:space="preserve"> </v>
      </c>
      <c r="Y838" s="925"/>
      <c r="Z838" s="928"/>
      <c r="AA838" s="928"/>
      <c r="AB838" s="904"/>
      <c r="AC838" s="928"/>
      <c r="AD838" s="928"/>
      <c r="AE838" s="928"/>
      <c r="AF838" s="926"/>
      <c r="AG838" s="906" t="str">
        <f>IF(AE838&lt;&gt;0,VLOOKUP(AE838,ODDS!$A$2:$C$13,3,0),"")</f>
        <v/>
      </c>
      <c r="AH838" s="906" t="str">
        <f t="shared" si="177"/>
        <v xml:space="preserve"> </v>
      </c>
      <c r="AI838" s="907" t="str">
        <f t="shared" si="172"/>
        <v xml:space="preserve"> </v>
      </c>
      <c r="AJ838" s="894" t="s">
        <v>588</v>
      </c>
      <c r="AK838" s="894" t="s">
        <v>2448</v>
      </c>
    </row>
    <row r="839" spans="1:37" s="376" customFormat="1" ht="180" outlineLevel="2" x14ac:dyDescent="0.3">
      <c r="A839" s="447">
        <f t="shared" si="184"/>
        <v>69</v>
      </c>
      <c r="B839" s="893"/>
      <c r="C839" s="910" t="s">
        <v>254</v>
      </c>
      <c r="D839" s="923"/>
      <c r="E839" s="923"/>
      <c r="F839" s="896"/>
      <c r="G839" s="894" t="s">
        <v>2064</v>
      </c>
      <c r="H839" s="924">
        <v>6.8</v>
      </c>
      <c r="I839" s="882" t="str">
        <f t="shared" si="183"/>
        <v/>
      </c>
      <c r="J839" s="925"/>
      <c r="K839" s="899">
        <f>IF(G839&lt;&gt;0,VLOOKUP(G839,'gia dat'!$A$1:$F$144,5,0)," ")</f>
        <v>554400</v>
      </c>
      <c r="L839" s="899">
        <f>IF(G839&lt;&gt;0,VLOOKUP(G839,'gia dat'!$A$1:$F$144,6,0)," ")</f>
        <v>0</v>
      </c>
      <c r="M839" s="900">
        <f t="shared" si="173"/>
        <v>3770000</v>
      </c>
      <c r="N839" s="900">
        <f t="shared" si="174"/>
        <v>0</v>
      </c>
      <c r="O839" s="894" t="s">
        <v>75</v>
      </c>
      <c r="P839" s="926">
        <v>4</v>
      </c>
      <c r="Q839" s="900">
        <f>IF(O839&lt;&gt;0,VLOOKUP(O839,'Cây trong'!$A$2:$C$246,3,0)," ")</f>
        <v>34000</v>
      </c>
      <c r="R839" s="900">
        <f t="shared" si="176"/>
        <v>136000</v>
      </c>
      <c r="S839" s="902"/>
      <c r="T839" s="925"/>
      <c r="U839" s="927"/>
      <c r="V839" s="925"/>
      <c r="W839" s="900" t="str">
        <f>IF(S839&lt;&gt;0,VLOOKUP(S839,VKT!$A$2:$G$415,7,0),"")</f>
        <v/>
      </c>
      <c r="X839" s="900" t="str">
        <f t="shared" si="182"/>
        <v xml:space="preserve"> </v>
      </c>
      <c r="Y839" s="925"/>
      <c r="Z839" s="928"/>
      <c r="AA839" s="928"/>
      <c r="AB839" s="904"/>
      <c r="AC839" s="928"/>
      <c r="AD839" s="928"/>
      <c r="AE839" s="928"/>
      <c r="AF839" s="926"/>
      <c r="AG839" s="906" t="str">
        <f>IF(AE839&lt;&gt;0,VLOOKUP(AE839,ODDS!$A$2:$C$13,3,0),"")</f>
        <v/>
      </c>
      <c r="AH839" s="906" t="str">
        <f t="shared" si="177"/>
        <v xml:space="preserve"> </v>
      </c>
      <c r="AI839" s="907" t="str">
        <f t="shared" si="172"/>
        <v xml:space="preserve"> </v>
      </c>
      <c r="AJ839" s="943" t="s">
        <v>111</v>
      </c>
      <c r="AK839" s="894" t="s">
        <v>2449</v>
      </c>
    </row>
    <row r="840" spans="1:37" s="376" customFormat="1" ht="157.5" outlineLevel="2" x14ac:dyDescent="0.3">
      <c r="A840" s="447">
        <f t="shared" si="184"/>
        <v>69</v>
      </c>
      <c r="B840" s="893"/>
      <c r="C840" s="972" t="s">
        <v>255</v>
      </c>
      <c r="D840" s="923"/>
      <c r="E840" s="923"/>
      <c r="F840" s="896"/>
      <c r="G840" s="894" t="s">
        <v>2217</v>
      </c>
      <c r="H840" s="924">
        <v>22.4</v>
      </c>
      <c r="I840" s="882">
        <f t="shared" si="183"/>
        <v>22.4</v>
      </c>
      <c r="J840" s="925"/>
      <c r="K840" s="899">
        <f>IF(G840&lt;&gt;0,VLOOKUP(G840,'gia dat'!$A$1:$F$144,5,0)," ")</f>
        <v>554400</v>
      </c>
      <c r="L840" s="899">
        <f>IF(G840&lt;&gt;0,VLOOKUP(G840,'gia dat'!$A$1:$F$144,6,0)," ")</f>
        <v>1663200</v>
      </c>
      <c r="M840" s="900">
        <f t="shared" si="173"/>
        <v>12419000</v>
      </c>
      <c r="N840" s="900">
        <f t="shared" si="174"/>
        <v>37256000</v>
      </c>
      <c r="O840" s="894" t="s">
        <v>2101</v>
      </c>
      <c r="P840" s="926">
        <v>1</v>
      </c>
      <c r="Q840" s="900">
        <f>IF(O840&lt;&gt;0,VLOOKUP(O840,'Cây trong'!$A$2:$C$246,3,0)," ")</f>
        <v>308000</v>
      </c>
      <c r="R840" s="900">
        <f t="shared" si="176"/>
        <v>308000</v>
      </c>
      <c r="S840" s="902"/>
      <c r="T840" s="925"/>
      <c r="U840" s="927"/>
      <c r="V840" s="925"/>
      <c r="W840" s="900" t="str">
        <f>IF(S840&lt;&gt;0,VLOOKUP(S840,VKT!$A$2:$G$415,7,0),"")</f>
        <v/>
      </c>
      <c r="X840" s="900" t="str">
        <f t="shared" si="182"/>
        <v xml:space="preserve"> </v>
      </c>
      <c r="Y840" s="925"/>
      <c r="Z840" s="928"/>
      <c r="AA840" s="928"/>
      <c r="AB840" s="904"/>
      <c r="AC840" s="928"/>
      <c r="AD840" s="928"/>
      <c r="AE840" s="928"/>
      <c r="AF840" s="926"/>
      <c r="AG840" s="906" t="str">
        <f>IF(AE840&lt;&gt;0,VLOOKUP(AE840,ODDS!$A$2:$C$13,3,0),"")</f>
        <v/>
      </c>
      <c r="AH840" s="906" t="str">
        <f t="shared" si="177"/>
        <v xml:space="preserve"> </v>
      </c>
      <c r="AI840" s="907" t="str">
        <f t="shared" si="172"/>
        <v xml:space="preserve"> </v>
      </c>
      <c r="AJ840" s="894" t="s">
        <v>591</v>
      </c>
      <c r="AK840" s="929"/>
    </row>
    <row r="841" spans="1:37" s="376" customFormat="1" ht="112.5" outlineLevel="2" x14ac:dyDescent="0.3">
      <c r="A841" s="447">
        <f t="shared" si="184"/>
        <v>69</v>
      </c>
      <c r="B841" s="893"/>
      <c r="C841" s="972" t="s">
        <v>703</v>
      </c>
      <c r="D841" s="923"/>
      <c r="E841" s="923"/>
      <c r="F841" s="896"/>
      <c r="G841" s="894"/>
      <c r="H841" s="924"/>
      <c r="I841" s="882"/>
      <c r="J841" s="925"/>
      <c r="K841" s="899" t="str">
        <f>IF(G841&lt;&gt;0,VLOOKUP(G841,'gia dat'!$A$1:$F$144,5,0)," ")</f>
        <v xml:space="preserve"> </v>
      </c>
      <c r="L841" s="899" t="str">
        <f>IF(G841&lt;&gt;0,VLOOKUP(G841,'gia dat'!$A$1:$F$144,6,0)," ")</f>
        <v xml:space="preserve"> </v>
      </c>
      <c r="M841" s="900" t="str">
        <f t="shared" si="173"/>
        <v xml:space="preserve"> </v>
      </c>
      <c r="N841" s="900" t="str">
        <f t="shared" si="174"/>
        <v xml:space="preserve"> </v>
      </c>
      <c r="O841" s="894" t="s">
        <v>257</v>
      </c>
      <c r="P841" s="926">
        <v>2</v>
      </c>
      <c r="Q841" s="900">
        <f>IF(O841&lt;&gt;0,VLOOKUP(O841,'Cây trong'!$A$2:$C$246,3,0)," ")</f>
        <v>2870000</v>
      </c>
      <c r="R841" s="900">
        <f t="shared" si="176"/>
        <v>5740000</v>
      </c>
      <c r="S841" s="975"/>
      <c r="T841" s="974"/>
      <c r="U841" s="927"/>
      <c r="V841" s="925"/>
      <c r="W841" s="900" t="str">
        <f>IF(S841&lt;&gt;0,VLOOKUP(S841,VKT!$A$2:$G$415,7,0),"")</f>
        <v/>
      </c>
      <c r="X841" s="900" t="str">
        <f t="shared" si="182"/>
        <v xml:space="preserve"> </v>
      </c>
      <c r="Y841" s="925"/>
      <c r="Z841" s="928"/>
      <c r="AA841" s="928"/>
      <c r="AB841" s="904"/>
      <c r="AC841" s="928"/>
      <c r="AD841" s="928"/>
      <c r="AE841" s="928"/>
      <c r="AF841" s="926"/>
      <c r="AG841" s="906" t="str">
        <f>IF(AE841&lt;&gt;0,VLOOKUP(AE841,ODDS!$A$2:$C$13,3,0),"")</f>
        <v/>
      </c>
      <c r="AH841" s="906" t="str">
        <f t="shared" si="177"/>
        <v xml:space="preserve"> </v>
      </c>
      <c r="AI841" s="907" t="str">
        <f t="shared" ref="AI841:AI904" si="185">IF(B841&lt;&gt;0,M841+N841+R841+X841+AH841," ")</f>
        <v xml:space="preserve"> </v>
      </c>
      <c r="AJ841" s="894" t="s">
        <v>2216</v>
      </c>
      <c r="AK841" s="894"/>
    </row>
    <row r="842" spans="1:37" s="376" customFormat="1" ht="22.5" outlineLevel="2" x14ac:dyDescent="0.35">
      <c r="A842" s="447">
        <f t="shared" si="184"/>
        <v>69</v>
      </c>
      <c r="B842" s="893"/>
      <c r="C842" s="972"/>
      <c r="D842" s="923"/>
      <c r="E842" s="923"/>
      <c r="F842" s="896"/>
      <c r="G842" s="894"/>
      <c r="H842" s="924"/>
      <c r="I842" s="882"/>
      <c r="J842" s="925"/>
      <c r="K842" s="899" t="str">
        <f>IF(G842&lt;&gt;0,VLOOKUP(G842,'gia dat'!$A$1:$F$144,5,0)," ")</f>
        <v xml:space="preserve"> </v>
      </c>
      <c r="L842" s="899" t="str">
        <f>IF(G842&lt;&gt;0,VLOOKUP(G842,'gia dat'!$A$1:$F$144,6,0)," ")</f>
        <v xml:space="preserve"> </v>
      </c>
      <c r="M842" s="900" t="str">
        <f t="shared" si="173"/>
        <v xml:space="preserve"> </v>
      </c>
      <c r="N842" s="900" t="str">
        <f t="shared" si="174"/>
        <v xml:space="preserve"> </v>
      </c>
      <c r="O842" s="894" t="s">
        <v>258</v>
      </c>
      <c r="P842" s="926">
        <v>1</v>
      </c>
      <c r="Q842" s="900">
        <f>IF(O842&lt;&gt;0,VLOOKUP(O842,'Cây trong'!$A$2:$C$246,3,0)," ")</f>
        <v>1630000</v>
      </c>
      <c r="R842" s="900">
        <f t="shared" si="176"/>
        <v>1630000</v>
      </c>
      <c r="S842" s="902"/>
      <c r="T842" s="925"/>
      <c r="U842" s="927"/>
      <c r="V842" s="925"/>
      <c r="W842" s="900" t="str">
        <f>IF(S842&lt;&gt;0,VLOOKUP(S842,VKT!$A$2:$G$415,7,0),"")</f>
        <v/>
      </c>
      <c r="X842" s="900" t="str">
        <f t="shared" si="182"/>
        <v xml:space="preserve"> </v>
      </c>
      <c r="Y842" s="925"/>
      <c r="Z842" s="928"/>
      <c r="AA842" s="928"/>
      <c r="AB842" s="904"/>
      <c r="AC842" s="928"/>
      <c r="AD842" s="928"/>
      <c r="AE842" s="928"/>
      <c r="AF842" s="926"/>
      <c r="AG842" s="906" t="str">
        <f>IF(AE842&lt;&gt;0,VLOOKUP(AE842,ODDS!$A$2:$C$13,3,0),"")</f>
        <v/>
      </c>
      <c r="AH842" s="906" t="str">
        <f t="shared" si="177"/>
        <v xml:space="preserve"> </v>
      </c>
      <c r="AI842" s="907" t="str">
        <f t="shared" si="185"/>
        <v xml:space="preserve"> </v>
      </c>
      <c r="AJ842" s="911"/>
      <c r="AK842" s="929"/>
    </row>
    <row r="843" spans="1:37" s="376" customFormat="1" ht="45" outlineLevel="2" x14ac:dyDescent="0.3">
      <c r="A843" s="447">
        <f t="shared" si="184"/>
        <v>69</v>
      </c>
      <c r="B843" s="893"/>
      <c r="C843" s="894"/>
      <c r="D843" s="923"/>
      <c r="E843" s="923"/>
      <c r="F843" s="896"/>
      <c r="G843" s="894"/>
      <c r="H843" s="924"/>
      <c r="I843" s="882"/>
      <c r="J843" s="925"/>
      <c r="K843" s="899" t="str">
        <f>IF(G843&lt;&gt;0,VLOOKUP(G843,'gia dat'!$A$1:$F$144,5,0)," ")</f>
        <v xml:space="preserve"> </v>
      </c>
      <c r="L843" s="899" t="str">
        <f>IF(G843&lt;&gt;0,VLOOKUP(G843,'gia dat'!$A$1:$F$144,6,0)," ")</f>
        <v xml:space="preserve"> </v>
      </c>
      <c r="M843" s="900" t="str">
        <f t="shared" si="173"/>
        <v xml:space="preserve"> </v>
      </c>
      <c r="N843" s="900" t="str">
        <f t="shared" si="174"/>
        <v xml:space="preserve"> </v>
      </c>
      <c r="O843" s="894" t="s">
        <v>757</v>
      </c>
      <c r="P843" s="926">
        <v>1</v>
      </c>
      <c r="Q843" s="900">
        <f>IF(O843&lt;&gt;0,VLOOKUP(O843,'Cây trong'!$A$2:$C$246,3,0)," ")</f>
        <v>360000</v>
      </c>
      <c r="R843" s="900">
        <f t="shared" si="176"/>
        <v>360000</v>
      </c>
      <c r="S843" s="902"/>
      <c r="T843" s="925"/>
      <c r="U843" s="927"/>
      <c r="V843" s="925"/>
      <c r="W843" s="900" t="str">
        <f>IF(S843&lt;&gt;0,VLOOKUP(S843,VKT!$A$2:$G$415,7,0),"")</f>
        <v/>
      </c>
      <c r="X843" s="900" t="str">
        <f t="shared" si="182"/>
        <v xml:space="preserve"> </v>
      </c>
      <c r="Y843" s="925"/>
      <c r="Z843" s="928"/>
      <c r="AA843" s="928"/>
      <c r="AB843" s="904"/>
      <c r="AC843" s="928"/>
      <c r="AD843" s="928"/>
      <c r="AE843" s="928"/>
      <c r="AF843" s="926"/>
      <c r="AG843" s="906" t="str">
        <f>IF(AE843&lt;&gt;0,VLOOKUP(AE843,ODDS!$A$2:$C$13,3,0),"")</f>
        <v/>
      </c>
      <c r="AH843" s="906" t="str">
        <f t="shared" si="177"/>
        <v xml:space="preserve"> </v>
      </c>
      <c r="AI843" s="907" t="str">
        <f t="shared" si="185"/>
        <v xml:space="preserve"> </v>
      </c>
      <c r="AJ843" s="929"/>
      <c r="AK843" s="929"/>
    </row>
    <row r="844" spans="1:37" s="376" customFormat="1" ht="45" outlineLevel="2" x14ac:dyDescent="0.3">
      <c r="A844" s="447">
        <f t="shared" si="184"/>
        <v>69</v>
      </c>
      <c r="B844" s="893"/>
      <c r="C844" s="971"/>
      <c r="D844" s="923"/>
      <c r="E844" s="923"/>
      <c r="F844" s="896"/>
      <c r="G844" s="894"/>
      <c r="H844" s="924"/>
      <c r="I844" s="882"/>
      <c r="J844" s="925"/>
      <c r="K844" s="899" t="str">
        <f>IF(G844&lt;&gt;0,VLOOKUP(G844,'gia dat'!$A$1:$F$144,5,0)," ")</f>
        <v xml:space="preserve"> </v>
      </c>
      <c r="L844" s="899" t="str">
        <f>IF(G844&lt;&gt;0,VLOOKUP(G844,'gia dat'!$A$1:$F$144,6,0)," ")</f>
        <v xml:space="preserve"> </v>
      </c>
      <c r="M844" s="900" t="str">
        <f t="shared" si="173"/>
        <v xml:space="preserve"> </v>
      </c>
      <c r="N844" s="900" t="str">
        <f t="shared" si="174"/>
        <v xml:space="preserve"> </v>
      </c>
      <c r="O844" s="894" t="s">
        <v>758</v>
      </c>
      <c r="P844" s="926">
        <v>1</v>
      </c>
      <c r="Q844" s="900">
        <f>IF(O844&lt;&gt;0,VLOOKUP(O844,'Cây trong'!$A$2:$C$246,3,0)," ")</f>
        <v>60000</v>
      </c>
      <c r="R844" s="900">
        <f t="shared" si="176"/>
        <v>60000</v>
      </c>
      <c r="S844" s="902"/>
      <c r="T844" s="925"/>
      <c r="U844" s="927"/>
      <c r="V844" s="925"/>
      <c r="W844" s="900" t="str">
        <f>IF(S844&lt;&gt;0,VLOOKUP(S844,VKT!$A$2:$G$415,7,0),"")</f>
        <v/>
      </c>
      <c r="X844" s="900" t="str">
        <f t="shared" si="182"/>
        <v xml:space="preserve"> </v>
      </c>
      <c r="Y844" s="925"/>
      <c r="Z844" s="928"/>
      <c r="AA844" s="928"/>
      <c r="AB844" s="904"/>
      <c r="AC844" s="928"/>
      <c r="AD844" s="928"/>
      <c r="AE844" s="928"/>
      <c r="AF844" s="926"/>
      <c r="AG844" s="906" t="str">
        <f>IF(AE844&lt;&gt;0,VLOOKUP(AE844,ODDS!$A$2:$C$13,3,0),"")</f>
        <v/>
      </c>
      <c r="AH844" s="906" t="str">
        <f t="shared" si="177"/>
        <v xml:space="preserve"> </v>
      </c>
      <c r="AI844" s="907" t="str">
        <f t="shared" si="185"/>
        <v xml:space="preserve"> </v>
      </c>
      <c r="AJ844" s="929"/>
      <c r="AK844" s="929"/>
    </row>
    <row r="845" spans="1:37" s="376" customFormat="1" ht="90" outlineLevel="2" x14ac:dyDescent="0.3">
      <c r="A845" s="447">
        <f t="shared" si="184"/>
        <v>69</v>
      </c>
      <c r="B845" s="893"/>
      <c r="C845" s="972"/>
      <c r="D845" s="923"/>
      <c r="E845" s="923"/>
      <c r="F845" s="896"/>
      <c r="G845" s="894"/>
      <c r="H845" s="924"/>
      <c r="I845" s="882"/>
      <c r="J845" s="925"/>
      <c r="K845" s="899" t="str">
        <f>IF(G845&lt;&gt;0,VLOOKUP(G845,'gia dat'!$A$1:$F$144,5,0)," ")</f>
        <v xml:space="preserve"> </v>
      </c>
      <c r="L845" s="899" t="str">
        <f>IF(G845&lt;&gt;0,VLOOKUP(G845,'gia dat'!$A$1:$F$144,6,0)," ")</f>
        <v xml:space="preserve"> </v>
      </c>
      <c r="M845" s="900" t="str">
        <f t="shared" si="173"/>
        <v xml:space="preserve"> </v>
      </c>
      <c r="N845" s="900" t="str">
        <f t="shared" si="174"/>
        <v xml:space="preserve"> </v>
      </c>
      <c r="O845" s="894" t="s">
        <v>429</v>
      </c>
      <c r="P845" s="926">
        <v>6</v>
      </c>
      <c r="Q845" s="900">
        <f>IF(O845&lt;&gt;0,VLOOKUP(O845,'Cây trong'!$A$2:$C$246,3,0)," ")</f>
        <v>12000</v>
      </c>
      <c r="R845" s="900">
        <f t="shared" si="176"/>
        <v>72000</v>
      </c>
      <c r="S845" s="975"/>
      <c r="T845" s="974"/>
      <c r="U845" s="927"/>
      <c r="V845" s="925"/>
      <c r="W845" s="900" t="str">
        <f>IF(S845&lt;&gt;0,VLOOKUP(S845,VKT!$A$2:$G$415,7,0),"")</f>
        <v/>
      </c>
      <c r="X845" s="900" t="str">
        <f t="shared" si="182"/>
        <v xml:space="preserve"> </v>
      </c>
      <c r="Y845" s="925"/>
      <c r="Z845" s="928"/>
      <c r="AA845" s="928"/>
      <c r="AB845" s="904"/>
      <c r="AC845" s="928"/>
      <c r="AD845" s="928"/>
      <c r="AE845" s="928"/>
      <c r="AF845" s="926"/>
      <c r="AG845" s="906" t="str">
        <f>IF(AE845&lt;&gt;0,VLOOKUP(AE845,ODDS!$A$2:$C$13,3,0),"")</f>
        <v/>
      </c>
      <c r="AH845" s="906" t="str">
        <f t="shared" si="177"/>
        <v xml:space="preserve"> </v>
      </c>
      <c r="AI845" s="907" t="str">
        <f t="shared" si="185"/>
        <v xml:space="preserve"> </v>
      </c>
      <c r="AJ845" s="929"/>
      <c r="AK845" s="929"/>
    </row>
    <row r="846" spans="1:37" s="376" customFormat="1" ht="67.5" outlineLevel="2" x14ac:dyDescent="0.3">
      <c r="A846" s="447">
        <f t="shared" si="184"/>
        <v>69</v>
      </c>
      <c r="B846" s="893"/>
      <c r="C846" s="972"/>
      <c r="D846" s="923"/>
      <c r="E846" s="923"/>
      <c r="F846" s="896"/>
      <c r="G846" s="894"/>
      <c r="H846" s="924"/>
      <c r="I846" s="882"/>
      <c r="J846" s="925"/>
      <c r="K846" s="899" t="str">
        <f>IF(G846&lt;&gt;0,VLOOKUP(G846,'gia dat'!$A$1:$F$144,5,0)," ")</f>
        <v xml:space="preserve"> </v>
      </c>
      <c r="L846" s="899" t="str">
        <f>IF(G846&lt;&gt;0,VLOOKUP(G846,'gia dat'!$A$1:$F$144,6,0)," ")</f>
        <v xml:space="preserve"> </v>
      </c>
      <c r="M846" s="900" t="str">
        <f t="shared" ref="M846:M912" si="186">IF(H846&lt;&gt;0,ROUND(H846*K846,-3)," ")</f>
        <v xml:space="preserve"> </v>
      </c>
      <c r="N846" s="900" t="str">
        <f t="shared" ref="N846:N912" si="187">IF(H846&lt;&gt;0,ROUND(H846*L846,-3)," ")</f>
        <v xml:space="preserve"> </v>
      </c>
      <c r="O846" s="894" t="s">
        <v>759</v>
      </c>
      <c r="P846" s="926">
        <v>2</v>
      </c>
      <c r="Q846" s="900">
        <f>IF(O846&lt;&gt;0,VLOOKUP(O846,'Cây trong'!$A$2:$C$246,3,0)," ")</f>
        <v>72000</v>
      </c>
      <c r="R846" s="900">
        <f t="shared" si="176"/>
        <v>144000</v>
      </c>
      <c r="S846" s="902"/>
      <c r="T846" s="925"/>
      <c r="U846" s="927"/>
      <c r="V846" s="925"/>
      <c r="W846" s="900" t="str">
        <f>IF(S846&lt;&gt;0,VLOOKUP(S846,VKT!$A$2:$G$415,7,0),"")</f>
        <v/>
      </c>
      <c r="X846" s="900" t="str">
        <f t="shared" si="182"/>
        <v xml:space="preserve"> </v>
      </c>
      <c r="Y846" s="925"/>
      <c r="Z846" s="928"/>
      <c r="AA846" s="928"/>
      <c r="AB846" s="904"/>
      <c r="AC846" s="928"/>
      <c r="AD846" s="928"/>
      <c r="AE846" s="928"/>
      <c r="AF846" s="926"/>
      <c r="AG846" s="906" t="str">
        <f>IF(AE846&lt;&gt;0,VLOOKUP(AE846,ODDS!$A$2:$C$13,3,0),"")</f>
        <v/>
      </c>
      <c r="AH846" s="906" t="str">
        <f t="shared" si="177"/>
        <v xml:space="preserve"> </v>
      </c>
      <c r="AI846" s="907" t="str">
        <f t="shared" si="185"/>
        <v xml:space="preserve"> </v>
      </c>
      <c r="AJ846" s="929"/>
      <c r="AK846" s="929"/>
    </row>
    <row r="847" spans="1:37" s="376" customFormat="1" ht="22.5" outlineLevel="2" x14ac:dyDescent="0.3">
      <c r="A847" s="447">
        <f t="shared" si="184"/>
        <v>69</v>
      </c>
      <c r="B847" s="893"/>
      <c r="C847" s="983"/>
      <c r="D847" s="923"/>
      <c r="E847" s="923"/>
      <c r="F847" s="950"/>
      <c r="G847" s="894"/>
      <c r="H847" s="940"/>
      <c r="I847" s="882"/>
      <c r="J847" s="929"/>
      <c r="K847" s="899" t="str">
        <f>IF(G847&lt;&gt;0,VLOOKUP(G847,'gia dat'!$A$1:$F$144,5,0)," ")</f>
        <v xml:space="preserve"> </v>
      </c>
      <c r="L847" s="899" t="str">
        <f>IF(G847&lt;&gt;0,VLOOKUP(G847,'gia dat'!$A$1:$F$144,6,0)," ")</f>
        <v xml:space="preserve"> </v>
      </c>
      <c r="M847" s="900" t="str">
        <f t="shared" si="186"/>
        <v xml:space="preserve"> </v>
      </c>
      <c r="N847" s="900" t="str">
        <f t="shared" si="187"/>
        <v xml:space="preserve"> </v>
      </c>
      <c r="O847" s="929"/>
      <c r="P847" s="951"/>
      <c r="Q847" s="900" t="str">
        <f>IF(O847&lt;&gt;0,VLOOKUP(O847,'Cây trong'!$A$2:$C$246,3,0)," ")</f>
        <v xml:space="preserve"> </v>
      </c>
      <c r="R847" s="900" t="str">
        <f t="shared" si="176"/>
        <v xml:space="preserve"> </v>
      </c>
      <c r="S847" s="929"/>
      <c r="T847" s="929"/>
      <c r="U847" s="952"/>
      <c r="V847" s="925"/>
      <c r="W847" s="900" t="str">
        <f>IF(S847&lt;&gt;0,VLOOKUP(S847,VKT!$A$2:$G$415,7,0),"")</f>
        <v/>
      </c>
      <c r="X847" s="900" t="str">
        <f t="shared" si="182"/>
        <v xml:space="preserve"> </v>
      </c>
      <c r="Y847" s="925"/>
      <c r="Z847" s="925"/>
      <c r="AA847" s="925"/>
      <c r="AB847" s="898"/>
      <c r="AC847" s="925"/>
      <c r="AD847" s="925"/>
      <c r="AE847" s="925"/>
      <c r="AF847" s="964"/>
      <c r="AG847" s="906" t="str">
        <f>IF(AE847&lt;&gt;0,VLOOKUP(AE847,ODDS!$A$2:$C$13,3,0),"")</f>
        <v/>
      </c>
      <c r="AH847" s="906" t="str">
        <f t="shared" si="177"/>
        <v xml:space="preserve"> </v>
      </c>
      <c r="AI847" s="907" t="str">
        <f t="shared" si="185"/>
        <v xml:space="preserve"> </v>
      </c>
      <c r="AJ847" s="929"/>
      <c r="AK847" s="929"/>
    </row>
    <row r="848" spans="1:37" s="376" customFormat="1" ht="22.5" outlineLevel="2" x14ac:dyDescent="0.3">
      <c r="A848" s="447">
        <f t="shared" si="184"/>
        <v>69</v>
      </c>
      <c r="B848" s="893"/>
      <c r="C848" s="894"/>
      <c r="D848" s="923"/>
      <c r="E848" s="923"/>
      <c r="F848" s="896"/>
      <c r="G848" s="894"/>
      <c r="H848" s="924"/>
      <c r="I848" s="882"/>
      <c r="J848" s="925"/>
      <c r="K848" s="899" t="str">
        <f>IF(G848&lt;&gt;0,VLOOKUP(G848,'gia dat'!$A$1:$F$144,5,0)," ")</f>
        <v xml:space="preserve"> </v>
      </c>
      <c r="L848" s="899" t="str">
        <f>IF(G848&lt;&gt;0,VLOOKUP(G848,'gia dat'!$A$1:$F$144,6,0)," ")</f>
        <v xml:space="preserve"> </v>
      </c>
      <c r="M848" s="900" t="str">
        <f t="shared" si="186"/>
        <v xml:space="preserve"> </v>
      </c>
      <c r="N848" s="900" t="str">
        <f t="shared" si="187"/>
        <v xml:space="preserve"> </v>
      </c>
      <c r="O848" s="981"/>
      <c r="P848" s="993"/>
      <c r="Q848" s="900" t="str">
        <f>IF(O848&lt;&gt;0,VLOOKUP(O848,'Cây trong'!$A$2:$C$246,3,0)," ")</f>
        <v xml:space="preserve"> </v>
      </c>
      <c r="R848" s="900" t="str">
        <f t="shared" si="176"/>
        <v xml:space="preserve"> </v>
      </c>
      <c r="S848" s="981"/>
      <c r="T848" s="982"/>
      <c r="U848" s="927"/>
      <c r="V848" s="925"/>
      <c r="W848" s="900" t="str">
        <f>IF(S848&lt;&gt;0,VLOOKUP(S848,VKT!$A$2:$G$415,7,0),"")</f>
        <v/>
      </c>
      <c r="X848" s="900" t="str">
        <f t="shared" si="182"/>
        <v xml:space="preserve"> </v>
      </c>
      <c r="Y848" s="925"/>
      <c r="Z848" s="928"/>
      <c r="AA848" s="928"/>
      <c r="AB848" s="904"/>
      <c r="AC848" s="928"/>
      <c r="AD848" s="928"/>
      <c r="AE848" s="928"/>
      <c r="AF848" s="926"/>
      <c r="AG848" s="906" t="str">
        <f>IF(AE848&lt;&gt;0,VLOOKUP(AE848,ODDS!$A$2:$C$13,3,0),"")</f>
        <v/>
      </c>
      <c r="AH848" s="906" t="str">
        <f t="shared" si="177"/>
        <v xml:space="preserve"> </v>
      </c>
      <c r="AI848" s="907" t="str">
        <f t="shared" si="185"/>
        <v xml:space="preserve"> </v>
      </c>
      <c r="AJ848" s="929"/>
      <c r="AK848" s="929"/>
    </row>
    <row r="849" spans="1:39" s="376" customFormat="1" ht="22.5" outlineLevel="2" x14ac:dyDescent="0.3">
      <c r="A849" s="447">
        <f t="shared" si="184"/>
        <v>69</v>
      </c>
      <c r="B849" s="893"/>
      <c r="C849" s="910"/>
      <c r="D849" s="923"/>
      <c r="E849" s="923"/>
      <c r="F849" s="896"/>
      <c r="G849" s="894"/>
      <c r="H849" s="924"/>
      <c r="I849" s="882"/>
      <c r="J849" s="925"/>
      <c r="K849" s="899" t="str">
        <f>IF(G849&lt;&gt;0,VLOOKUP(G849,'gia dat'!$A$1:$F$144,5,0)," ")</f>
        <v xml:space="preserve"> </v>
      </c>
      <c r="L849" s="899" t="str">
        <f>IF(G849&lt;&gt;0,VLOOKUP(G849,'gia dat'!$A$1:$F$144,6,0)," ")</f>
        <v xml:space="preserve"> </v>
      </c>
      <c r="M849" s="900" t="str">
        <f t="shared" si="186"/>
        <v xml:space="preserve"> </v>
      </c>
      <c r="N849" s="900" t="str">
        <f t="shared" si="187"/>
        <v xml:space="preserve"> </v>
      </c>
      <c r="O849" s="981"/>
      <c r="P849" s="993"/>
      <c r="Q849" s="900" t="str">
        <f>IF(O849&lt;&gt;0,VLOOKUP(O849,'Cây trong'!$A$2:$C$246,3,0)," ")</f>
        <v xml:space="preserve"> </v>
      </c>
      <c r="R849" s="900" t="str">
        <f t="shared" si="176"/>
        <v xml:space="preserve"> </v>
      </c>
      <c r="S849" s="981"/>
      <c r="T849" s="982"/>
      <c r="U849" s="927"/>
      <c r="V849" s="925"/>
      <c r="W849" s="900" t="str">
        <f>IF(S849&lt;&gt;0,VLOOKUP(S849,VKT!$A$2:$G$415,7,0),"")</f>
        <v/>
      </c>
      <c r="X849" s="900" t="str">
        <f t="shared" si="182"/>
        <v xml:space="preserve"> </v>
      </c>
      <c r="Y849" s="925"/>
      <c r="Z849" s="928"/>
      <c r="AA849" s="928"/>
      <c r="AB849" s="904"/>
      <c r="AC849" s="928"/>
      <c r="AD849" s="928"/>
      <c r="AE849" s="928"/>
      <c r="AF849" s="926"/>
      <c r="AG849" s="906" t="str">
        <f>IF(AE849&lt;&gt;0,VLOOKUP(AE849,ODDS!$A$2:$C$13,3,0),"")</f>
        <v/>
      </c>
      <c r="AH849" s="906" t="str">
        <f t="shared" si="177"/>
        <v xml:space="preserve"> </v>
      </c>
      <c r="AI849" s="907" t="str">
        <f t="shared" si="185"/>
        <v xml:space="preserve"> </v>
      </c>
      <c r="AJ849" s="929"/>
      <c r="AK849" s="929"/>
    </row>
    <row r="850" spans="1:39" s="376" customFormat="1" ht="22.5" outlineLevel="2" x14ac:dyDescent="0.3">
      <c r="A850" s="447">
        <f t="shared" si="184"/>
        <v>69</v>
      </c>
      <c r="B850" s="893"/>
      <c r="C850" s="894"/>
      <c r="D850" s="923"/>
      <c r="E850" s="923"/>
      <c r="F850" s="896"/>
      <c r="G850" s="894"/>
      <c r="H850" s="924"/>
      <c r="I850" s="882"/>
      <c r="J850" s="925"/>
      <c r="K850" s="899" t="str">
        <f>IF(G850&lt;&gt;0,VLOOKUP(G850,'gia dat'!$A$1:$F$144,5,0)," ")</f>
        <v xml:space="preserve"> </v>
      </c>
      <c r="L850" s="899" t="str">
        <f>IF(G850&lt;&gt;0,VLOOKUP(G850,'gia dat'!$A$1:$F$144,6,0)," ")</f>
        <v xml:space="preserve"> </v>
      </c>
      <c r="M850" s="900" t="str">
        <f t="shared" si="186"/>
        <v xml:space="preserve"> </v>
      </c>
      <c r="N850" s="900" t="str">
        <f t="shared" si="187"/>
        <v xml:space="preserve"> </v>
      </c>
      <c r="O850" s="981"/>
      <c r="P850" s="993"/>
      <c r="Q850" s="900" t="str">
        <f>IF(O850&lt;&gt;0,VLOOKUP(O850,'Cây trong'!$A$2:$C$246,3,0)," ")</f>
        <v xml:space="preserve"> </v>
      </c>
      <c r="R850" s="900" t="str">
        <f t="shared" si="176"/>
        <v xml:space="preserve"> </v>
      </c>
      <c r="S850" s="981"/>
      <c r="T850" s="982"/>
      <c r="U850" s="927"/>
      <c r="V850" s="925"/>
      <c r="W850" s="900" t="str">
        <f>IF(S850&lt;&gt;0,VLOOKUP(S850,VKT!$A$2:$G$415,7,0),"")</f>
        <v/>
      </c>
      <c r="X850" s="900" t="str">
        <f t="shared" si="182"/>
        <v xml:space="preserve"> </v>
      </c>
      <c r="Y850" s="925"/>
      <c r="Z850" s="928"/>
      <c r="AA850" s="928"/>
      <c r="AB850" s="904"/>
      <c r="AC850" s="928"/>
      <c r="AD850" s="928"/>
      <c r="AE850" s="928"/>
      <c r="AF850" s="926"/>
      <c r="AG850" s="906" t="str">
        <f>IF(AE850&lt;&gt;0,VLOOKUP(AE850,ODDS!$A$2:$C$13,3,0),"")</f>
        <v/>
      </c>
      <c r="AH850" s="906" t="str">
        <f t="shared" si="177"/>
        <v xml:space="preserve"> </v>
      </c>
      <c r="AI850" s="907" t="str">
        <f t="shared" si="185"/>
        <v xml:space="preserve"> </v>
      </c>
      <c r="AJ850" s="929"/>
      <c r="AK850" s="929"/>
    </row>
    <row r="851" spans="1:39" s="376" customFormat="1" ht="22.5" outlineLevel="2" x14ac:dyDescent="0.3">
      <c r="A851" s="447">
        <f t="shared" si="184"/>
        <v>69</v>
      </c>
      <c r="B851" s="893"/>
      <c r="C851" s="971"/>
      <c r="D851" s="923"/>
      <c r="E851" s="923"/>
      <c r="F851" s="896"/>
      <c r="G851" s="894"/>
      <c r="H851" s="924"/>
      <c r="I851" s="882"/>
      <c r="J851" s="925"/>
      <c r="K851" s="899" t="str">
        <f>IF(G851&lt;&gt;0,VLOOKUP(G851,'gia dat'!$A$1:$F$144,5,0)," ")</f>
        <v xml:space="preserve"> </v>
      </c>
      <c r="L851" s="899" t="str">
        <f>IF(G851&lt;&gt;0,VLOOKUP(G851,'gia dat'!$A$1:$F$144,6,0)," ")</f>
        <v xml:space="preserve"> </v>
      </c>
      <c r="M851" s="900" t="str">
        <f t="shared" si="186"/>
        <v xml:space="preserve"> </v>
      </c>
      <c r="N851" s="900" t="str">
        <f t="shared" si="187"/>
        <v xml:space="preserve"> </v>
      </c>
      <c r="O851" s="981"/>
      <c r="P851" s="993"/>
      <c r="Q851" s="900" t="str">
        <f>IF(O851&lt;&gt;0,VLOOKUP(O851,'Cây trong'!$A$2:$C$246,3,0)," ")</f>
        <v xml:space="preserve"> </v>
      </c>
      <c r="R851" s="900" t="str">
        <f t="shared" si="176"/>
        <v xml:space="preserve"> </v>
      </c>
      <c r="S851" s="981"/>
      <c r="T851" s="982"/>
      <c r="U851" s="927"/>
      <c r="V851" s="925"/>
      <c r="W851" s="900" t="str">
        <f>IF(S851&lt;&gt;0,VLOOKUP(S851,VKT!$A$2:$G$415,7,0),"")</f>
        <v/>
      </c>
      <c r="X851" s="900" t="str">
        <f t="shared" si="182"/>
        <v xml:space="preserve"> </v>
      </c>
      <c r="Y851" s="925"/>
      <c r="Z851" s="928"/>
      <c r="AA851" s="928"/>
      <c r="AB851" s="904"/>
      <c r="AC851" s="928"/>
      <c r="AD851" s="928"/>
      <c r="AE851" s="928"/>
      <c r="AF851" s="926"/>
      <c r="AG851" s="906" t="str">
        <f>IF(AE851&lt;&gt;0,VLOOKUP(AE851,ODDS!$A$2:$C$13,3,0),"")</f>
        <v/>
      </c>
      <c r="AH851" s="906" t="str">
        <f t="shared" si="177"/>
        <v xml:space="preserve"> </v>
      </c>
      <c r="AI851" s="907" t="str">
        <f t="shared" si="185"/>
        <v xml:space="preserve"> </v>
      </c>
      <c r="AJ851" s="894"/>
      <c r="AK851" s="894"/>
    </row>
    <row r="852" spans="1:39" s="376" customFormat="1" ht="43.5" outlineLevel="1" x14ac:dyDescent="0.25">
      <c r="A852" s="467" t="s">
        <v>2640</v>
      </c>
      <c r="B852" s="912">
        <v>70</v>
      </c>
      <c r="C852" s="971" t="s">
        <v>259</v>
      </c>
      <c r="D852" s="931"/>
      <c r="E852" s="931"/>
      <c r="F852" s="913"/>
      <c r="G852" s="910"/>
      <c r="H852" s="953">
        <f>SUBTOTAL(9,H853:H859)</f>
        <v>0</v>
      </c>
      <c r="I852" s="915">
        <f>SUBTOTAL(9,I853:I858)</f>
        <v>0</v>
      </c>
      <c r="J852" s="933"/>
      <c r="K852" s="917"/>
      <c r="L852" s="917"/>
      <c r="M852" s="907">
        <f>SUBTOTAL(9,M853:M859)</f>
        <v>0</v>
      </c>
      <c r="N852" s="907">
        <f>SUBTOTAL(9,N853:N859)</f>
        <v>0</v>
      </c>
      <c r="O852" s="910"/>
      <c r="P852" s="935">
        <f>SUBTOTAL(9,P853:P859)</f>
        <v>0</v>
      </c>
      <c r="Q852" s="907"/>
      <c r="R852" s="907">
        <f>SUBTOTAL(9,R853:R859)</f>
        <v>0</v>
      </c>
      <c r="S852" s="918"/>
      <c r="T852" s="933"/>
      <c r="U852" s="936">
        <f>SUBTOTAL(9,U853:U859)</f>
        <v>12.8</v>
      </c>
      <c r="V852" s="933"/>
      <c r="W852" s="907"/>
      <c r="X852" s="907">
        <f>SUBTOTAL(9,X853:X859)</f>
        <v>6693000</v>
      </c>
      <c r="Y852" s="925"/>
      <c r="Z852" s="928"/>
      <c r="AA852" s="928"/>
      <c r="AB852" s="904"/>
      <c r="AC852" s="928"/>
      <c r="AD852" s="928"/>
      <c r="AE852" s="937"/>
      <c r="AF852" s="935">
        <f>SUBTOTAL(9,AF853:AF859)</f>
        <v>0</v>
      </c>
      <c r="AG852" s="921"/>
      <c r="AH852" s="921">
        <f>SUBTOTAL(9,AH853:AH859)</f>
        <v>0</v>
      </c>
      <c r="AI852" s="907">
        <f t="shared" si="185"/>
        <v>6693000</v>
      </c>
      <c r="AJ852" s="910"/>
      <c r="AK852" s="910"/>
      <c r="AM852" s="473"/>
    </row>
    <row r="853" spans="1:39" s="376" customFormat="1" ht="112.5" outlineLevel="2" x14ac:dyDescent="0.3">
      <c r="A853" s="447">
        <f>IF(B852&lt;&gt;0,B852,A851)</f>
        <v>70</v>
      </c>
      <c r="B853" s="893"/>
      <c r="C853" s="894" t="s">
        <v>260</v>
      </c>
      <c r="D853" s="923"/>
      <c r="E853" s="923"/>
      <c r="F853" s="896"/>
      <c r="G853" s="894"/>
      <c r="H853" s="924"/>
      <c r="I853" s="882"/>
      <c r="J853" s="925"/>
      <c r="K853" s="899" t="str">
        <f>IF(G853&lt;&gt;0,VLOOKUP(G853,'gia dat'!$A$1:$F$144,5,0)," ")</f>
        <v xml:space="preserve"> </v>
      </c>
      <c r="L853" s="899" t="str">
        <f>IF(G853&lt;&gt;0,VLOOKUP(G853,'gia dat'!$A$1:$F$144,6,0)," ")</f>
        <v xml:space="preserve"> </v>
      </c>
      <c r="M853" s="900" t="str">
        <f t="shared" si="186"/>
        <v xml:space="preserve"> </v>
      </c>
      <c r="N853" s="900" t="str">
        <f t="shared" si="187"/>
        <v xml:space="preserve"> </v>
      </c>
      <c r="O853" s="894"/>
      <c r="P853" s="926"/>
      <c r="Q853" s="900" t="str">
        <f>IF(O853&lt;&gt;0,VLOOKUP(O853,'Cây trong'!$A$2:$C$246,3,0)," ")</f>
        <v xml:space="preserve"> </v>
      </c>
      <c r="R853" s="900" t="str">
        <f t="shared" si="176"/>
        <v xml:space="preserve"> </v>
      </c>
      <c r="S853" s="902" t="s">
        <v>1884</v>
      </c>
      <c r="T853" s="925" t="s">
        <v>53</v>
      </c>
      <c r="U853" s="927">
        <v>6.8</v>
      </c>
      <c r="V853" s="925">
        <v>40.200000000000003</v>
      </c>
      <c r="W853" s="900">
        <f>IF(S853&lt;&gt;0,VLOOKUP(S853,VKT!$A$2:$G$415,7,0),"")</f>
        <v>984277</v>
      </c>
      <c r="X853" s="900">
        <f t="shared" si="182"/>
        <v>6693000</v>
      </c>
      <c r="Y853" s="925"/>
      <c r="Z853" s="928" t="s">
        <v>55</v>
      </c>
      <c r="AA853" s="928" t="s">
        <v>87</v>
      </c>
      <c r="AB853" s="904" t="s">
        <v>55</v>
      </c>
      <c r="AC853" s="928" t="s">
        <v>66</v>
      </c>
      <c r="AD853" s="928"/>
      <c r="AE853" s="928"/>
      <c r="AF853" s="926"/>
      <c r="AG853" s="906" t="str">
        <f>IF(AE853&lt;&gt;0,VLOOKUP(AE853,ODDS!$A$2:$C$13,3,0),"")</f>
        <v/>
      </c>
      <c r="AH853" s="906" t="str">
        <f t="shared" si="177"/>
        <v xml:space="preserve"> </v>
      </c>
      <c r="AI853" s="907" t="str">
        <f t="shared" si="185"/>
        <v xml:space="preserve"> </v>
      </c>
      <c r="AJ853" s="894" t="s">
        <v>261</v>
      </c>
      <c r="AK853" s="894" t="s">
        <v>2450</v>
      </c>
      <c r="AM853" s="378" t="s">
        <v>592</v>
      </c>
    </row>
    <row r="854" spans="1:39" s="376" customFormat="1" ht="112.5" outlineLevel="2" x14ac:dyDescent="0.35">
      <c r="A854" s="447">
        <f t="shared" ref="A854:A859" si="188">IF(B853&lt;&gt;0,B853,A853)</f>
        <v>70</v>
      </c>
      <c r="B854" s="893"/>
      <c r="C854" s="972" t="s">
        <v>704</v>
      </c>
      <c r="D854" s="923"/>
      <c r="E854" s="923"/>
      <c r="F854" s="896"/>
      <c r="G854" s="894"/>
      <c r="H854" s="924"/>
      <c r="I854" s="882"/>
      <c r="J854" s="925"/>
      <c r="K854" s="899" t="str">
        <f>IF(G854&lt;&gt;0,VLOOKUP(G854,'gia dat'!$A$1:$F$144,5,0)," ")</f>
        <v xml:space="preserve"> </v>
      </c>
      <c r="L854" s="899" t="str">
        <f>IF(G854&lt;&gt;0,VLOOKUP(G854,'gia dat'!$A$1:$F$144,6,0)," ")</f>
        <v xml:space="preserve"> </v>
      </c>
      <c r="M854" s="900" t="str">
        <f t="shared" si="186"/>
        <v xml:space="preserve"> </v>
      </c>
      <c r="N854" s="900" t="str">
        <f t="shared" si="187"/>
        <v xml:space="preserve"> </v>
      </c>
      <c r="O854" s="894"/>
      <c r="P854" s="926"/>
      <c r="Q854" s="900" t="str">
        <f>IF(O854&lt;&gt;0,VLOOKUP(O854,'Cây trong'!$A$2:$C$246,3,0)," ")</f>
        <v xml:space="preserve"> </v>
      </c>
      <c r="R854" s="900" t="str">
        <f t="shared" si="176"/>
        <v xml:space="preserve"> </v>
      </c>
      <c r="S854" s="922" t="s">
        <v>1748</v>
      </c>
      <c r="T854" s="925" t="s">
        <v>53</v>
      </c>
      <c r="U854" s="927">
        <v>6</v>
      </c>
      <c r="V854" s="925"/>
      <c r="W854" s="900">
        <f>IF(S854&lt;&gt;0,VLOOKUP(S854,VKT!$A$2:$G$415,7,0),"")</f>
        <v>0</v>
      </c>
      <c r="X854" s="900">
        <f t="shared" si="182"/>
        <v>0</v>
      </c>
      <c r="Y854" s="925"/>
      <c r="Z854" s="928"/>
      <c r="AA854" s="928"/>
      <c r="AB854" s="904"/>
      <c r="AC854" s="928"/>
      <c r="AD854" s="928"/>
      <c r="AE854" s="928"/>
      <c r="AF854" s="926"/>
      <c r="AG854" s="906" t="str">
        <f>IF(AE854&lt;&gt;0,VLOOKUP(AE854,ODDS!$A$2:$C$13,3,0),"")</f>
        <v/>
      </c>
      <c r="AH854" s="906" t="str">
        <f t="shared" si="177"/>
        <v xml:space="preserve"> </v>
      </c>
      <c r="AI854" s="907" t="str">
        <f t="shared" si="185"/>
        <v xml:space="preserve"> </v>
      </c>
      <c r="AJ854" s="911"/>
      <c r="AK854" s="894" t="s">
        <v>2800</v>
      </c>
    </row>
    <row r="855" spans="1:39" s="376" customFormat="1" ht="45" outlineLevel="2" x14ac:dyDescent="0.3">
      <c r="A855" s="447">
        <f t="shared" si="188"/>
        <v>70</v>
      </c>
      <c r="B855" s="893"/>
      <c r="C855" s="894" t="s">
        <v>337</v>
      </c>
      <c r="D855" s="923"/>
      <c r="E855" s="923"/>
      <c r="F855" s="896"/>
      <c r="G855" s="894"/>
      <c r="H855" s="924"/>
      <c r="I855" s="882"/>
      <c r="J855" s="925"/>
      <c r="K855" s="899" t="str">
        <f>IF(G855&lt;&gt;0,VLOOKUP(G855,'gia dat'!$A$1:$F$144,5,0)," ")</f>
        <v xml:space="preserve"> </v>
      </c>
      <c r="L855" s="899" t="str">
        <f>IF(G855&lt;&gt;0,VLOOKUP(G855,'gia dat'!$A$1:$F$144,6,0)," ")</f>
        <v xml:space="preserve"> </v>
      </c>
      <c r="M855" s="900" t="str">
        <f t="shared" si="186"/>
        <v xml:space="preserve"> </v>
      </c>
      <c r="N855" s="900" t="str">
        <f t="shared" si="187"/>
        <v xml:space="preserve"> </v>
      </c>
      <c r="O855" s="894"/>
      <c r="P855" s="926"/>
      <c r="Q855" s="900" t="str">
        <f>IF(O855&lt;&gt;0,VLOOKUP(O855,'Cây trong'!$A$2:$C$246,3,0)," ")</f>
        <v xml:space="preserve"> </v>
      </c>
      <c r="R855" s="900" t="str">
        <f t="shared" si="176"/>
        <v xml:space="preserve"> </v>
      </c>
      <c r="S855" s="929"/>
      <c r="T855" s="929"/>
      <c r="U855" s="952"/>
      <c r="V855" s="925"/>
      <c r="W855" s="900" t="str">
        <f>IF(S855&lt;&gt;0,VLOOKUP(S855,VKT!$A$2:$G$415,7,0),"")</f>
        <v/>
      </c>
      <c r="X855" s="900" t="str">
        <f t="shared" si="182"/>
        <v xml:space="preserve"> </v>
      </c>
      <c r="Y855" s="925"/>
      <c r="Z855" s="925"/>
      <c r="AA855" s="925"/>
      <c r="AB855" s="898"/>
      <c r="AC855" s="925"/>
      <c r="AD855" s="925"/>
      <c r="AE855" s="925"/>
      <c r="AF855" s="964"/>
      <c r="AG855" s="906" t="str">
        <f>IF(AE855&lt;&gt;0,VLOOKUP(AE855,ODDS!$A$2:$C$13,3,0),"")</f>
        <v/>
      </c>
      <c r="AH855" s="906" t="str">
        <f t="shared" si="177"/>
        <v xml:space="preserve"> </v>
      </c>
      <c r="AI855" s="907" t="str">
        <f t="shared" si="185"/>
        <v xml:space="preserve"> </v>
      </c>
      <c r="AJ855" s="929"/>
      <c r="AK855" s="929"/>
    </row>
    <row r="856" spans="1:39" s="376" customFormat="1" ht="22.5" outlineLevel="2" x14ac:dyDescent="0.3">
      <c r="A856" s="447">
        <f t="shared" si="188"/>
        <v>70</v>
      </c>
      <c r="B856" s="893"/>
      <c r="C856" s="894"/>
      <c r="D856" s="923"/>
      <c r="E856" s="923"/>
      <c r="F856" s="896"/>
      <c r="G856" s="894"/>
      <c r="H856" s="924"/>
      <c r="I856" s="882"/>
      <c r="J856" s="925"/>
      <c r="K856" s="899" t="str">
        <f>IF(G856&lt;&gt;0,VLOOKUP(G856,'gia dat'!$A$1:$F$144,5,0)," ")</f>
        <v xml:space="preserve"> </v>
      </c>
      <c r="L856" s="899" t="str">
        <f>IF(G856&lt;&gt;0,VLOOKUP(G856,'gia dat'!$A$1:$F$144,6,0)," ")</f>
        <v xml:space="preserve"> </v>
      </c>
      <c r="M856" s="900" t="str">
        <f t="shared" si="186"/>
        <v xml:space="preserve"> </v>
      </c>
      <c r="N856" s="900" t="str">
        <f t="shared" si="187"/>
        <v xml:space="preserve"> </v>
      </c>
      <c r="O856" s="894"/>
      <c r="P856" s="926"/>
      <c r="Q856" s="900" t="str">
        <f>IF(O856&lt;&gt;0,VLOOKUP(O856,'Cây trong'!$A$2:$C$246,3,0)," ")</f>
        <v xml:space="preserve"> </v>
      </c>
      <c r="R856" s="900" t="str">
        <f t="shared" si="176"/>
        <v xml:space="preserve"> </v>
      </c>
      <c r="S856" s="902"/>
      <c r="T856" s="925"/>
      <c r="U856" s="927"/>
      <c r="V856" s="925"/>
      <c r="W856" s="900" t="str">
        <f>IF(S856&lt;&gt;0,VLOOKUP(S856,VKT!$A$2:$G$415,7,0),"")</f>
        <v/>
      </c>
      <c r="X856" s="900" t="str">
        <f t="shared" si="182"/>
        <v xml:space="preserve"> </v>
      </c>
      <c r="Y856" s="925"/>
      <c r="Z856" s="928"/>
      <c r="AA856" s="928"/>
      <c r="AB856" s="904"/>
      <c r="AC856" s="928"/>
      <c r="AD856" s="928"/>
      <c r="AE856" s="928"/>
      <c r="AF856" s="926"/>
      <c r="AG856" s="906" t="str">
        <f>IF(AE856&lt;&gt;0,VLOOKUP(AE856,ODDS!$A$2:$C$13,3,0),"")</f>
        <v/>
      </c>
      <c r="AH856" s="906" t="str">
        <f t="shared" si="177"/>
        <v xml:space="preserve"> </v>
      </c>
      <c r="AI856" s="907" t="str">
        <f t="shared" si="185"/>
        <v xml:space="preserve"> </v>
      </c>
      <c r="AJ856" s="929"/>
      <c r="AK856" s="929"/>
    </row>
    <row r="857" spans="1:39" s="376" customFormat="1" ht="22.5" outlineLevel="2" x14ac:dyDescent="0.3">
      <c r="A857" s="447">
        <f t="shared" si="188"/>
        <v>70</v>
      </c>
      <c r="B857" s="893"/>
      <c r="C857" s="983"/>
      <c r="D857" s="923"/>
      <c r="E857" s="923"/>
      <c r="F857" s="896"/>
      <c r="G857" s="894"/>
      <c r="H857" s="924"/>
      <c r="I857" s="882"/>
      <c r="J857" s="925"/>
      <c r="K857" s="899" t="str">
        <f>IF(G857&lt;&gt;0,VLOOKUP(G857,'gia dat'!$A$1:$F$144,5,0)," ")</f>
        <v xml:space="preserve"> </v>
      </c>
      <c r="L857" s="899" t="str">
        <f>IF(G857&lt;&gt;0,VLOOKUP(G857,'gia dat'!$A$1:$F$144,6,0)," ")</f>
        <v xml:space="preserve"> </v>
      </c>
      <c r="M857" s="900" t="str">
        <f t="shared" si="186"/>
        <v xml:space="preserve"> </v>
      </c>
      <c r="N857" s="900" t="str">
        <f t="shared" si="187"/>
        <v xml:space="preserve"> </v>
      </c>
      <c r="O857" s="894"/>
      <c r="P857" s="926"/>
      <c r="Q857" s="900" t="str">
        <f>IF(O857&lt;&gt;0,VLOOKUP(O857,'Cây trong'!$A$2:$C$246,3,0)," ")</f>
        <v xml:space="preserve"> </v>
      </c>
      <c r="R857" s="900" t="str">
        <f t="shared" si="176"/>
        <v xml:space="preserve"> </v>
      </c>
      <c r="S857" s="902"/>
      <c r="T857" s="925"/>
      <c r="U857" s="927"/>
      <c r="V857" s="925"/>
      <c r="W857" s="900" t="str">
        <f>IF(S857&lt;&gt;0,VLOOKUP(S857,VKT!$A$2:$G$415,7,0),"")</f>
        <v/>
      </c>
      <c r="X857" s="900" t="str">
        <f t="shared" si="182"/>
        <v xml:space="preserve"> </v>
      </c>
      <c r="Y857" s="925"/>
      <c r="Z857" s="928"/>
      <c r="AA857" s="928"/>
      <c r="AB857" s="904"/>
      <c r="AC857" s="928"/>
      <c r="AD857" s="928"/>
      <c r="AE857" s="928"/>
      <c r="AF857" s="926"/>
      <c r="AG857" s="906" t="str">
        <f>IF(AE857&lt;&gt;0,VLOOKUP(AE857,ODDS!$A$2:$C$13,3,0),"")</f>
        <v/>
      </c>
      <c r="AH857" s="906" t="str">
        <f t="shared" si="177"/>
        <v xml:space="preserve"> </v>
      </c>
      <c r="AI857" s="907" t="str">
        <f t="shared" si="185"/>
        <v xml:space="preserve"> </v>
      </c>
      <c r="AJ857" s="894"/>
      <c r="AK857" s="894"/>
    </row>
    <row r="858" spans="1:39" s="376" customFormat="1" ht="22.5" outlineLevel="2" x14ac:dyDescent="0.3">
      <c r="A858" s="447">
        <f t="shared" si="188"/>
        <v>70</v>
      </c>
      <c r="B858" s="893"/>
      <c r="C858" s="983"/>
      <c r="D858" s="923"/>
      <c r="E858" s="923"/>
      <c r="F858" s="896"/>
      <c r="G858" s="894"/>
      <c r="H858" s="924"/>
      <c r="I858" s="882"/>
      <c r="J858" s="925"/>
      <c r="K858" s="899" t="str">
        <f>IF(G858&lt;&gt;0,VLOOKUP(G858,'gia dat'!$A$1:$F$144,5,0)," ")</f>
        <v xml:space="preserve"> </v>
      </c>
      <c r="L858" s="899" t="str">
        <f>IF(G858&lt;&gt;0,VLOOKUP(G858,'gia dat'!$A$1:$F$144,6,0)," ")</f>
        <v xml:space="preserve"> </v>
      </c>
      <c r="M858" s="900" t="str">
        <f t="shared" si="186"/>
        <v xml:space="preserve"> </v>
      </c>
      <c r="N858" s="900" t="str">
        <f t="shared" si="187"/>
        <v xml:space="preserve"> </v>
      </c>
      <c r="O858" s="894"/>
      <c r="P858" s="926"/>
      <c r="Q858" s="900" t="str">
        <f>IF(O858&lt;&gt;0,VLOOKUP(O858,'Cây trong'!$A$2:$C$246,3,0)," ")</f>
        <v xml:space="preserve"> </v>
      </c>
      <c r="R858" s="900" t="str">
        <f t="shared" si="176"/>
        <v xml:space="preserve"> </v>
      </c>
      <c r="S858" s="981"/>
      <c r="T858" s="997"/>
      <c r="U858" s="927"/>
      <c r="V858" s="925"/>
      <c r="W858" s="900" t="str">
        <f>IF(S858&lt;&gt;0,VLOOKUP(S858,VKT!$A$2:$G$415,7,0),"")</f>
        <v/>
      </c>
      <c r="X858" s="900" t="str">
        <f t="shared" si="182"/>
        <v xml:space="preserve"> </v>
      </c>
      <c r="Y858" s="925"/>
      <c r="Z858" s="928"/>
      <c r="AA858" s="928"/>
      <c r="AB858" s="904"/>
      <c r="AC858" s="928"/>
      <c r="AD858" s="928"/>
      <c r="AE858" s="928"/>
      <c r="AF858" s="926"/>
      <c r="AG858" s="906" t="str">
        <f>IF(AE858&lt;&gt;0,VLOOKUP(AE858,ODDS!$A$2:$C$13,3,0),"")</f>
        <v/>
      </c>
      <c r="AH858" s="906" t="str">
        <f t="shared" si="177"/>
        <v xml:space="preserve"> </v>
      </c>
      <c r="AI858" s="907" t="str">
        <f t="shared" si="185"/>
        <v xml:space="preserve"> </v>
      </c>
      <c r="AJ858" s="894"/>
      <c r="AK858" s="894"/>
    </row>
    <row r="859" spans="1:39" s="376" customFormat="1" ht="22.5" outlineLevel="2" x14ac:dyDescent="0.3">
      <c r="A859" s="447">
        <f t="shared" si="188"/>
        <v>70</v>
      </c>
      <c r="B859" s="893"/>
      <c r="C859" s="910"/>
      <c r="D859" s="923"/>
      <c r="E859" s="923"/>
      <c r="F859" s="896"/>
      <c r="G859" s="894"/>
      <c r="H859" s="924"/>
      <c r="I859" s="882"/>
      <c r="J859" s="925"/>
      <c r="K859" s="899" t="str">
        <f>IF(G859&lt;&gt;0,VLOOKUP(G859,'gia dat'!$A$1:$F$144,5,0)," ")</f>
        <v xml:space="preserve"> </v>
      </c>
      <c r="L859" s="899" t="str">
        <f>IF(G859&lt;&gt;0,VLOOKUP(G859,'gia dat'!$A$1:$F$144,6,0)," ")</f>
        <v xml:space="preserve"> </v>
      </c>
      <c r="M859" s="900" t="str">
        <f t="shared" si="186"/>
        <v xml:space="preserve"> </v>
      </c>
      <c r="N859" s="900" t="str">
        <f t="shared" si="187"/>
        <v xml:space="preserve"> </v>
      </c>
      <c r="O859" s="894"/>
      <c r="P859" s="926"/>
      <c r="Q859" s="900" t="str">
        <f>IF(O859&lt;&gt;0,VLOOKUP(O859,'Cây trong'!$A$2:$C$246,3,0)," ")</f>
        <v xml:space="preserve"> </v>
      </c>
      <c r="R859" s="900" t="str">
        <f t="shared" ref="R859:R924" si="189">IF(O859&lt;&gt;0,ROUND(P859*Q859,-2)," ")</f>
        <v xml:space="preserve"> </v>
      </c>
      <c r="S859" s="902"/>
      <c r="T859" s="925"/>
      <c r="U859" s="927"/>
      <c r="V859" s="925"/>
      <c r="W859" s="900" t="str">
        <f>IF(S859&lt;&gt;0,VLOOKUP(S859,VKT!$A$2:$G$415,7,0),"")</f>
        <v/>
      </c>
      <c r="X859" s="900" t="str">
        <f t="shared" si="182"/>
        <v xml:space="preserve"> </v>
      </c>
      <c r="Y859" s="925"/>
      <c r="Z859" s="928"/>
      <c r="AA859" s="928"/>
      <c r="AB859" s="904"/>
      <c r="AC859" s="928"/>
      <c r="AD859" s="928"/>
      <c r="AE859" s="928"/>
      <c r="AF859" s="926"/>
      <c r="AG859" s="906" t="str">
        <f>IF(AE859&lt;&gt;0,VLOOKUP(AE859,ODDS!$A$2:$C$13,3,0),"")</f>
        <v/>
      </c>
      <c r="AH859" s="906" t="str">
        <f t="shared" ref="AH859:AH924" si="190">IF(AE859&lt;&gt;0,ROUND(AF859*AG859,-2)," ")</f>
        <v xml:space="preserve"> </v>
      </c>
      <c r="AI859" s="907" t="str">
        <f t="shared" si="185"/>
        <v xml:space="preserve"> </v>
      </c>
      <c r="AJ859" s="929"/>
      <c r="AK859" s="929"/>
    </row>
    <row r="860" spans="1:39" s="376" customFormat="1" ht="65.25" outlineLevel="1" x14ac:dyDescent="0.25">
      <c r="A860" s="467" t="s">
        <v>2639</v>
      </c>
      <c r="B860" s="912">
        <v>71</v>
      </c>
      <c r="C860" s="910" t="s">
        <v>594</v>
      </c>
      <c r="D860" s="931"/>
      <c r="E860" s="931"/>
      <c r="F860" s="913"/>
      <c r="G860" s="910"/>
      <c r="H860" s="953">
        <f>SUBTOTAL(9,H861:H869)</f>
        <v>6.4</v>
      </c>
      <c r="I860" s="915">
        <f>SUBTOTAL(9,I861:I866)</f>
        <v>0</v>
      </c>
      <c r="J860" s="933"/>
      <c r="K860" s="917"/>
      <c r="L860" s="917"/>
      <c r="M860" s="907">
        <f>SUBTOTAL(9,M861:M869)</f>
        <v>0</v>
      </c>
      <c r="N860" s="907">
        <f>SUBTOTAL(9,N861:N869)</f>
        <v>0</v>
      </c>
      <c r="O860" s="910"/>
      <c r="P860" s="935">
        <f>SUBTOTAL(9,P861:P869)</f>
        <v>0</v>
      </c>
      <c r="Q860" s="907"/>
      <c r="R860" s="907">
        <f>SUBTOTAL(9,R861:R869)</f>
        <v>0</v>
      </c>
      <c r="S860" s="918"/>
      <c r="T860" s="933"/>
      <c r="U860" s="936">
        <f>SUBTOTAL(9,U861:U869)</f>
        <v>60.769999999999996</v>
      </c>
      <c r="V860" s="933"/>
      <c r="W860" s="907"/>
      <c r="X860" s="907">
        <f>SUBTOTAL(9,X861:X869)</f>
        <v>63739000</v>
      </c>
      <c r="Y860" s="925"/>
      <c r="Z860" s="928"/>
      <c r="AA860" s="928"/>
      <c r="AB860" s="904"/>
      <c r="AC860" s="928"/>
      <c r="AD860" s="928"/>
      <c r="AE860" s="937"/>
      <c r="AF860" s="935">
        <f>SUBTOTAL(9,AF861:AF869)</f>
        <v>0</v>
      </c>
      <c r="AG860" s="921"/>
      <c r="AH860" s="921">
        <f>SUBTOTAL(9,AH861:AH869)</f>
        <v>0</v>
      </c>
      <c r="AI860" s="907">
        <f t="shared" si="185"/>
        <v>63739000</v>
      </c>
      <c r="AJ860" s="943"/>
      <c r="AK860" s="943"/>
    </row>
    <row r="861" spans="1:39" s="376" customFormat="1" ht="112.5" outlineLevel="2" x14ac:dyDescent="0.3">
      <c r="A861" s="447">
        <f>IF(B860&lt;&gt;0,B860,A859)</f>
        <v>71</v>
      </c>
      <c r="B861" s="893"/>
      <c r="C861" s="963" t="s">
        <v>589</v>
      </c>
      <c r="D861" s="923"/>
      <c r="E861" s="923"/>
      <c r="F861" s="896"/>
      <c r="G861" s="894" t="s">
        <v>2145</v>
      </c>
      <c r="H861" s="924">
        <v>6.4</v>
      </c>
      <c r="I861" s="882" t="str">
        <f t="shared" ref="I861" si="191">IF(N861&gt;0,H861,"")</f>
        <v/>
      </c>
      <c r="J861" s="925"/>
      <c r="K861" s="899">
        <f>IF(G861&lt;&gt;0,VLOOKUP(G861,'gia dat'!$A$1:$F$144,5,0)," ")</f>
        <v>0</v>
      </c>
      <c r="L861" s="899">
        <f>IF(G861&lt;&gt;0,VLOOKUP(G861,'gia dat'!$A$1:$F$144,6,0)," ")</f>
        <v>0</v>
      </c>
      <c r="M861" s="900">
        <f t="shared" si="186"/>
        <v>0</v>
      </c>
      <c r="N861" s="900">
        <f t="shared" si="187"/>
        <v>0</v>
      </c>
      <c r="O861" s="894"/>
      <c r="P861" s="926"/>
      <c r="Q861" s="900" t="str">
        <f>IF(O861&lt;&gt;0,VLOOKUP(O861,'Cây trong'!$A$2:$C$246,3,0)," ")</f>
        <v xml:space="preserve"> </v>
      </c>
      <c r="R861" s="900" t="str">
        <f t="shared" si="189"/>
        <v xml:space="preserve"> </v>
      </c>
      <c r="S861" s="902" t="s">
        <v>386</v>
      </c>
      <c r="T861" s="925" t="s">
        <v>53</v>
      </c>
      <c r="U861" s="927">
        <v>7.65</v>
      </c>
      <c r="V861" s="925"/>
      <c r="W861" s="900">
        <f>IF(S861&lt;&gt;0,VLOOKUP(S861,VKT!$A$2:$G$415,7,0),"")</f>
        <v>551834</v>
      </c>
      <c r="X861" s="900">
        <f t="shared" si="182"/>
        <v>4222000</v>
      </c>
      <c r="Y861" s="925"/>
      <c r="Z861" s="928"/>
      <c r="AA861" s="928"/>
      <c r="AB861" s="904"/>
      <c r="AC861" s="928"/>
      <c r="AD861" s="928"/>
      <c r="AE861" s="928"/>
      <c r="AF861" s="926"/>
      <c r="AG861" s="906" t="str">
        <f>IF(AE861&lt;&gt;0,VLOOKUP(AE861,ODDS!$A$2:$C$13,3,0),"")</f>
        <v/>
      </c>
      <c r="AH861" s="906" t="str">
        <f t="shared" si="190"/>
        <v xml:space="preserve"> </v>
      </c>
      <c r="AI861" s="907" t="str">
        <f t="shared" si="185"/>
        <v xml:space="preserve"> </v>
      </c>
      <c r="AJ861" s="929"/>
      <c r="AK861" s="929"/>
    </row>
    <row r="862" spans="1:39" s="376" customFormat="1" ht="90" outlineLevel="2" x14ac:dyDescent="0.3">
      <c r="A862" s="447">
        <f t="shared" ref="A862:A869" si="192">IF(B861&lt;&gt;0,B861,A861)</f>
        <v>71</v>
      </c>
      <c r="B862" s="893"/>
      <c r="C862" s="963"/>
      <c r="D862" s="923"/>
      <c r="E862" s="923"/>
      <c r="F862" s="896"/>
      <c r="G862" s="894"/>
      <c r="H862" s="924"/>
      <c r="I862" s="882"/>
      <c r="J862" s="925"/>
      <c r="K862" s="899" t="str">
        <f>IF(G862&lt;&gt;0,VLOOKUP(G862,'gia dat'!$A$1:$F$144,5,0)," ")</f>
        <v xml:space="preserve"> </v>
      </c>
      <c r="L862" s="899" t="str">
        <f>IF(G862&lt;&gt;0,VLOOKUP(G862,'gia dat'!$A$1:$F$144,6,0)," ")</f>
        <v xml:space="preserve"> </v>
      </c>
      <c r="M862" s="900" t="str">
        <f t="shared" si="186"/>
        <v xml:space="preserve"> </v>
      </c>
      <c r="N862" s="900" t="str">
        <f t="shared" si="187"/>
        <v xml:space="preserve"> </v>
      </c>
      <c r="O862" s="894"/>
      <c r="P862" s="926"/>
      <c r="Q862" s="900" t="str">
        <f>IF(O862&lt;&gt;0,VLOOKUP(O862,'Cây trong'!$A$2:$C$246,3,0)," ")</f>
        <v xml:space="preserve"> </v>
      </c>
      <c r="R862" s="900" t="str">
        <f t="shared" si="189"/>
        <v xml:space="preserve"> </v>
      </c>
      <c r="S862" s="902" t="s">
        <v>478</v>
      </c>
      <c r="T862" s="925" t="s">
        <v>53</v>
      </c>
      <c r="U862" s="927">
        <v>33.32</v>
      </c>
      <c r="V862" s="925"/>
      <c r="W862" s="900">
        <f>IF(S862&lt;&gt;0,VLOOKUP(S862,VKT!$A$2:$G$415,7,0),"")</f>
        <v>1240031</v>
      </c>
      <c r="X862" s="900">
        <f t="shared" si="182"/>
        <v>41318000</v>
      </c>
      <c r="Y862" s="925"/>
      <c r="Z862" s="928"/>
      <c r="AA862" s="928"/>
      <c r="AB862" s="904"/>
      <c r="AC862" s="928"/>
      <c r="AD862" s="928"/>
      <c r="AE862" s="928"/>
      <c r="AF862" s="926"/>
      <c r="AG862" s="906" t="str">
        <f>IF(AE862&lt;&gt;0,VLOOKUP(AE862,ODDS!$A$2:$C$13,3,0),"")</f>
        <v/>
      </c>
      <c r="AH862" s="906" t="str">
        <f t="shared" si="190"/>
        <v xml:space="preserve"> </v>
      </c>
      <c r="AI862" s="907" t="str">
        <f t="shared" si="185"/>
        <v xml:space="preserve"> </v>
      </c>
      <c r="AJ862" s="929"/>
      <c r="AK862" s="929"/>
    </row>
    <row r="863" spans="1:39" s="376" customFormat="1" ht="45" outlineLevel="2" x14ac:dyDescent="0.3">
      <c r="A863" s="447">
        <f t="shared" si="192"/>
        <v>71</v>
      </c>
      <c r="B863" s="893"/>
      <c r="C863" s="910"/>
      <c r="D863" s="923"/>
      <c r="E863" s="923"/>
      <c r="F863" s="896"/>
      <c r="G863" s="894"/>
      <c r="H863" s="924"/>
      <c r="I863" s="882"/>
      <c r="J863" s="925"/>
      <c r="K863" s="899" t="str">
        <f>IF(G863&lt;&gt;0,VLOOKUP(G863,'gia dat'!$A$1:$F$144,5,0)," ")</f>
        <v xml:space="preserve"> </v>
      </c>
      <c r="L863" s="899" t="str">
        <f>IF(G863&lt;&gt;0,VLOOKUP(G863,'gia dat'!$A$1:$F$144,6,0)," ")</f>
        <v xml:space="preserve"> </v>
      </c>
      <c r="M863" s="900" t="str">
        <f t="shared" si="186"/>
        <v xml:space="preserve"> </v>
      </c>
      <c r="N863" s="900" t="str">
        <f t="shared" si="187"/>
        <v xml:space="preserve"> </v>
      </c>
      <c r="O863" s="894"/>
      <c r="P863" s="926"/>
      <c r="Q863" s="900" t="str">
        <f>IF(O863&lt;&gt;0,VLOOKUP(O863,'Cây trong'!$A$2:$C$246,3,0)," ")</f>
        <v xml:space="preserve"> </v>
      </c>
      <c r="R863" s="900" t="str">
        <f t="shared" si="189"/>
        <v xml:space="preserve"> </v>
      </c>
      <c r="S863" s="902" t="s">
        <v>374</v>
      </c>
      <c r="T863" s="925" t="s">
        <v>53</v>
      </c>
      <c r="U863" s="927">
        <v>6.5</v>
      </c>
      <c r="V863" s="925"/>
      <c r="W863" s="900">
        <f>IF(S863&lt;&gt;0,VLOOKUP(S863,VKT!$A$2:$G$415,7,0),"")</f>
        <v>371943</v>
      </c>
      <c r="X863" s="900">
        <f t="shared" si="182"/>
        <v>2418000</v>
      </c>
      <c r="Y863" s="925"/>
      <c r="Z863" s="928"/>
      <c r="AA863" s="928"/>
      <c r="AB863" s="904"/>
      <c r="AC863" s="928"/>
      <c r="AD863" s="928"/>
      <c r="AE863" s="928"/>
      <c r="AF863" s="926"/>
      <c r="AG863" s="906" t="str">
        <f>IF(AE863&lt;&gt;0,VLOOKUP(AE863,ODDS!$A$2:$C$13,3,0),"")</f>
        <v/>
      </c>
      <c r="AH863" s="906" t="str">
        <f t="shared" si="190"/>
        <v xml:space="preserve"> </v>
      </c>
      <c r="AI863" s="907" t="str">
        <f t="shared" si="185"/>
        <v xml:space="preserve"> </v>
      </c>
      <c r="AJ863" s="929"/>
      <c r="AK863" s="929"/>
    </row>
    <row r="864" spans="1:39" s="376" customFormat="1" ht="90" outlineLevel="2" x14ac:dyDescent="0.3">
      <c r="A864" s="447">
        <f t="shared" si="192"/>
        <v>71</v>
      </c>
      <c r="B864" s="893"/>
      <c r="C864" s="910"/>
      <c r="D864" s="923"/>
      <c r="E864" s="923"/>
      <c r="F864" s="896"/>
      <c r="G864" s="894"/>
      <c r="H864" s="924"/>
      <c r="I864" s="882"/>
      <c r="J864" s="925"/>
      <c r="K864" s="899" t="str">
        <f>IF(G864&lt;&gt;0,VLOOKUP(G864,'gia dat'!$A$1:$F$144,5,0)," ")</f>
        <v xml:space="preserve"> </v>
      </c>
      <c r="L864" s="899" t="str">
        <f>IF(G864&lt;&gt;0,VLOOKUP(G864,'gia dat'!$A$1:$F$144,6,0)," ")</f>
        <v xml:space="preserve"> </v>
      </c>
      <c r="M864" s="900" t="str">
        <f t="shared" si="186"/>
        <v xml:space="preserve"> </v>
      </c>
      <c r="N864" s="900" t="str">
        <f t="shared" si="187"/>
        <v xml:space="preserve"> </v>
      </c>
      <c r="O864" s="894"/>
      <c r="P864" s="926"/>
      <c r="Q864" s="900" t="str">
        <f>IF(O864&lt;&gt;0,VLOOKUP(O864,'Cây trong'!$A$2:$C$246,3,0)," ")</f>
        <v xml:space="preserve"> </v>
      </c>
      <c r="R864" s="900" t="str">
        <f t="shared" si="189"/>
        <v xml:space="preserve"> </v>
      </c>
      <c r="S864" s="902" t="s">
        <v>596</v>
      </c>
      <c r="T864" s="925" t="s">
        <v>53</v>
      </c>
      <c r="U864" s="927">
        <v>13.3</v>
      </c>
      <c r="V864" s="925"/>
      <c r="W864" s="900">
        <f>IF(S864&lt;&gt;0,VLOOKUP(S864,VKT!$A$2:$G$415,7,0),"")</f>
        <v>1186572</v>
      </c>
      <c r="X864" s="900">
        <f t="shared" si="182"/>
        <v>15781000</v>
      </c>
      <c r="Y864" s="925"/>
      <c r="Z864" s="928"/>
      <c r="AA864" s="928"/>
      <c r="AB864" s="904"/>
      <c r="AC864" s="928"/>
      <c r="AD864" s="928"/>
      <c r="AE864" s="928"/>
      <c r="AF864" s="926"/>
      <c r="AG864" s="906" t="str">
        <f>IF(AE864&lt;&gt;0,VLOOKUP(AE864,ODDS!$A$2:$C$13,3,0),"")</f>
        <v/>
      </c>
      <c r="AH864" s="906" t="str">
        <f t="shared" si="190"/>
        <v xml:space="preserve"> </v>
      </c>
      <c r="AI864" s="907" t="str">
        <f t="shared" si="185"/>
        <v xml:space="preserve"> </v>
      </c>
      <c r="AJ864" s="929"/>
      <c r="AK864" s="929"/>
    </row>
    <row r="865" spans="1:37" s="376" customFormat="1" ht="22.5" outlineLevel="2" x14ac:dyDescent="0.3">
      <c r="A865" s="447">
        <f t="shared" si="192"/>
        <v>71</v>
      </c>
      <c r="B865" s="893"/>
      <c r="C865" s="910"/>
      <c r="D865" s="923"/>
      <c r="E865" s="923"/>
      <c r="F865" s="896"/>
      <c r="G865" s="894"/>
      <c r="H865" s="924"/>
      <c r="I865" s="882"/>
      <c r="J865" s="925"/>
      <c r="K865" s="899" t="str">
        <f>IF(G865&lt;&gt;0,VLOOKUP(G865,'gia dat'!$A$1:$F$144,5,0)," ")</f>
        <v xml:space="preserve"> </v>
      </c>
      <c r="L865" s="899" t="str">
        <f>IF(G865&lt;&gt;0,VLOOKUP(G865,'gia dat'!$A$1:$F$144,6,0)," ")</f>
        <v xml:space="preserve"> </v>
      </c>
      <c r="M865" s="900" t="str">
        <f t="shared" si="186"/>
        <v xml:space="preserve"> </v>
      </c>
      <c r="N865" s="900" t="str">
        <f t="shared" si="187"/>
        <v xml:space="preserve"> </v>
      </c>
      <c r="O865" s="894"/>
      <c r="P865" s="926"/>
      <c r="Q865" s="900" t="str">
        <f>IF(O865&lt;&gt;0,VLOOKUP(O865,'Cây trong'!$A$2:$C$246,3,0)," ")</f>
        <v xml:space="preserve"> </v>
      </c>
      <c r="R865" s="900" t="str">
        <f t="shared" si="189"/>
        <v xml:space="preserve"> </v>
      </c>
      <c r="S865" s="929"/>
      <c r="T865" s="929"/>
      <c r="U865" s="952"/>
      <c r="V865" s="925"/>
      <c r="W865" s="900" t="str">
        <f>IF(S865&lt;&gt;0,VLOOKUP(S865,VKT!$A$2:$G$415,7,0),"")</f>
        <v/>
      </c>
      <c r="X865" s="900" t="str">
        <f t="shared" si="182"/>
        <v xml:space="preserve"> </v>
      </c>
      <c r="Y865" s="925"/>
      <c r="Z865" s="928"/>
      <c r="AA865" s="928"/>
      <c r="AB865" s="904"/>
      <c r="AC865" s="928"/>
      <c r="AD865" s="928"/>
      <c r="AE865" s="928"/>
      <c r="AF865" s="926"/>
      <c r="AG865" s="906" t="str">
        <f>IF(AE865&lt;&gt;0,VLOOKUP(AE865,ODDS!$A$2:$C$13,3,0),"")</f>
        <v/>
      </c>
      <c r="AH865" s="906" t="str">
        <f t="shared" si="190"/>
        <v xml:space="preserve"> </v>
      </c>
      <c r="AI865" s="907" t="str">
        <f t="shared" si="185"/>
        <v xml:space="preserve"> </v>
      </c>
      <c r="AJ865" s="929"/>
      <c r="AK865" s="929"/>
    </row>
    <row r="866" spans="1:37" s="376" customFormat="1" ht="22.5" outlineLevel="2" x14ac:dyDescent="0.3">
      <c r="A866" s="447">
        <f t="shared" si="192"/>
        <v>71</v>
      </c>
      <c r="B866" s="893"/>
      <c r="C866" s="978"/>
      <c r="D866" s="923"/>
      <c r="E866" s="923"/>
      <c r="F866" s="896"/>
      <c r="G866" s="894"/>
      <c r="H866" s="924"/>
      <c r="I866" s="882"/>
      <c r="J866" s="925"/>
      <c r="K866" s="899" t="str">
        <f>IF(G866&lt;&gt;0,VLOOKUP(G866,'gia dat'!$A$1:$F$144,5,0)," ")</f>
        <v xml:space="preserve"> </v>
      </c>
      <c r="L866" s="899" t="str">
        <f>IF(G866&lt;&gt;0,VLOOKUP(G866,'gia dat'!$A$1:$F$144,6,0)," ")</f>
        <v xml:space="preserve"> </v>
      </c>
      <c r="M866" s="900" t="str">
        <f t="shared" si="186"/>
        <v xml:space="preserve"> </v>
      </c>
      <c r="N866" s="900" t="str">
        <f t="shared" si="187"/>
        <v xml:space="preserve"> </v>
      </c>
      <c r="O866" s="894"/>
      <c r="P866" s="926"/>
      <c r="Q866" s="900" t="str">
        <f>IF(O866&lt;&gt;0,VLOOKUP(O866,'Cây trong'!$A$2:$C$246,3,0)," ")</f>
        <v xml:space="preserve"> </v>
      </c>
      <c r="R866" s="900" t="str">
        <f t="shared" si="189"/>
        <v xml:space="preserve"> </v>
      </c>
      <c r="S866" s="902"/>
      <c r="T866" s="925"/>
      <c r="U866" s="927"/>
      <c r="V866" s="925"/>
      <c r="W866" s="900" t="str">
        <f>IF(S866&lt;&gt;0,VLOOKUP(S866,VKT!$A$2:$G$415,7,0),"")</f>
        <v/>
      </c>
      <c r="X866" s="900" t="str">
        <f t="shared" si="182"/>
        <v xml:space="preserve"> </v>
      </c>
      <c r="Y866" s="925"/>
      <c r="Z866" s="928"/>
      <c r="AA866" s="928"/>
      <c r="AB866" s="904"/>
      <c r="AC866" s="928"/>
      <c r="AD866" s="928"/>
      <c r="AE866" s="928"/>
      <c r="AF866" s="926"/>
      <c r="AG866" s="906" t="str">
        <f>IF(AE866&lt;&gt;0,VLOOKUP(AE866,ODDS!$A$2:$C$13,3,0),"")</f>
        <v/>
      </c>
      <c r="AH866" s="906" t="str">
        <f t="shared" si="190"/>
        <v xml:space="preserve"> </v>
      </c>
      <c r="AI866" s="907" t="str">
        <f t="shared" si="185"/>
        <v xml:space="preserve"> </v>
      </c>
      <c r="AJ866" s="929"/>
      <c r="AK866" s="929"/>
    </row>
    <row r="867" spans="1:37" s="376" customFormat="1" ht="22.5" outlineLevel="2" x14ac:dyDescent="0.3">
      <c r="A867" s="447">
        <f t="shared" si="192"/>
        <v>71</v>
      </c>
      <c r="B867" s="893"/>
      <c r="C867" s="910"/>
      <c r="D867" s="923"/>
      <c r="E867" s="923"/>
      <c r="F867" s="896"/>
      <c r="G867" s="894"/>
      <c r="H867" s="924"/>
      <c r="I867" s="882"/>
      <c r="J867" s="925"/>
      <c r="K867" s="899" t="str">
        <f>IF(G867&lt;&gt;0,VLOOKUP(G867,'gia dat'!$A$1:$F$144,5,0)," ")</f>
        <v xml:space="preserve"> </v>
      </c>
      <c r="L867" s="899" t="str">
        <f>IF(G867&lt;&gt;0,VLOOKUP(G867,'gia dat'!$A$1:$F$144,6,0)," ")</f>
        <v xml:space="preserve"> </v>
      </c>
      <c r="M867" s="900" t="str">
        <f t="shared" si="186"/>
        <v xml:space="preserve"> </v>
      </c>
      <c r="N867" s="900" t="str">
        <f t="shared" si="187"/>
        <v xml:space="preserve"> </v>
      </c>
      <c r="O867" s="894"/>
      <c r="P867" s="926"/>
      <c r="Q867" s="900" t="str">
        <f>IF(O867&lt;&gt;0,VLOOKUP(O867,'Cây trong'!$A$2:$C$246,3,0)," ")</f>
        <v xml:space="preserve"> </v>
      </c>
      <c r="R867" s="900" t="str">
        <f t="shared" si="189"/>
        <v xml:space="preserve"> </v>
      </c>
      <c r="S867" s="902"/>
      <c r="T867" s="925"/>
      <c r="U867" s="927"/>
      <c r="V867" s="925"/>
      <c r="W867" s="900" t="str">
        <f>IF(S867&lt;&gt;0,VLOOKUP(S867,VKT!$A$2:$G$415,7,0),"")</f>
        <v/>
      </c>
      <c r="X867" s="900" t="str">
        <f t="shared" si="182"/>
        <v xml:space="preserve"> </v>
      </c>
      <c r="Y867" s="925"/>
      <c r="Z867" s="928"/>
      <c r="AA867" s="928"/>
      <c r="AB867" s="904"/>
      <c r="AC867" s="928"/>
      <c r="AD867" s="928"/>
      <c r="AE867" s="928"/>
      <c r="AF867" s="926"/>
      <c r="AG867" s="906" t="str">
        <f>IF(AE867&lt;&gt;0,VLOOKUP(AE867,ODDS!$A$2:$C$13,3,0),"")</f>
        <v/>
      </c>
      <c r="AH867" s="906" t="str">
        <f t="shared" si="190"/>
        <v xml:space="preserve"> </v>
      </c>
      <c r="AI867" s="907" t="str">
        <f t="shared" si="185"/>
        <v xml:space="preserve"> </v>
      </c>
      <c r="AJ867" s="929"/>
      <c r="AK867" s="929"/>
    </row>
    <row r="868" spans="1:37" s="376" customFormat="1" ht="22.5" outlineLevel="2" x14ac:dyDescent="0.3">
      <c r="A868" s="447">
        <f t="shared" si="192"/>
        <v>71</v>
      </c>
      <c r="B868" s="893"/>
      <c r="C868" s="894"/>
      <c r="D868" s="923"/>
      <c r="E868" s="923"/>
      <c r="F868" s="896"/>
      <c r="G868" s="894"/>
      <c r="H868" s="924"/>
      <c r="I868" s="882"/>
      <c r="J868" s="952"/>
      <c r="K868" s="899" t="str">
        <f>IF(G868&lt;&gt;0,VLOOKUP(G868,'gia dat'!$A$1:$F$144,5,0)," ")</f>
        <v xml:space="preserve"> </v>
      </c>
      <c r="L868" s="899" t="str">
        <f>IF(G868&lt;&gt;0,VLOOKUP(G868,'gia dat'!$A$1:$F$144,6,0)," ")</f>
        <v xml:space="preserve"> </v>
      </c>
      <c r="M868" s="900" t="str">
        <f t="shared" si="186"/>
        <v xml:space="preserve"> </v>
      </c>
      <c r="N868" s="900" t="str">
        <f t="shared" si="187"/>
        <v xml:space="preserve"> </v>
      </c>
      <c r="O868" s="1018"/>
      <c r="P868" s="926"/>
      <c r="Q868" s="900" t="str">
        <f>IF(O868&lt;&gt;0,VLOOKUP(O868,'Cây trong'!$A$2:$C$246,3,0)," ")</f>
        <v xml:space="preserve"> </v>
      </c>
      <c r="R868" s="900" t="str">
        <f t="shared" si="189"/>
        <v xml:space="preserve"> </v>
      </c>
      <c r="S868" s="981"/>
      <c r="T868" s="997"/>
      <c r="U868" s="927"/>
      <c r="V868" s="925"/>
      <c r="W868" s="900" t="str">
        <f>IF(S868&lt;&gt;0,VLOOKUP(S868,VKT!$A$2:$G$415,7,0),"")</f>
        <v/>
      </c>
      <c r="X868" s="900" t="str">
        <f t="shared" si="182"/>
        <v xml:space="preserve"> </v>
      </c>
      <c r="Y868" s="925"/>
      <c r="Z868" s="928"/>
      <c r="AA868" s="928"/>
      <c r="AB868" s="904"/>
      <c r="AC868" s="928"/>
      <c r="AD868" s="928"/>
      <c r="AE868" s="928"/>
      <c r="AF868" s="926"/>
      <c r="AG868" s="906" t="str">
        <f>IF(AE868&lt;&gt;0,VLOOKUP(AE868,ODDS!$A$2:$C$13,3,0),"")</f>
        <v/>
      </c>
      <c r="AH868" s="906" t="str">
        <f t="shared" si="190"/>
        <v xml:space="preserve"> </v>
      </c>
      <c r="AI868" s="907" t="str">
        <f t="shared" si="185"/>
        <v xml:space="preserve"> </v>
      </c>
      <c r="AJ868" s="929"/>
      <c r="AK868" s="929"/>
    </row>
    <row r="869" spans="1:37" s="376" customFormat="1" ht="22.5" outlineLevel="2" x14ac:dyDescent="0.3">
      <c r="A869" s="447">
        <f t="shared" si="192"/>
        <v>71</v>
      </c>
      <c r="B869" s="893"/>
      <c r="C869" s="910"/>
      <c r="D869" s="923"/>
      <c r="E869" s="923"/>
      <c r="F869" s="896"/>
      <c r="G869" s="894"/>
      <c r="H869" s="924"/>
      <c r="I869" s="882"/>
      <c r="J869" s="925"/>
      <c r="K869" s="899" t="str">
        <f>IF(G869&lt;&gt;0,VLOOKUP(G869,'gia dat'!$A$1:$F$144,5,0)," ")</f>
        <v xml:space="preserve"> </v>
      </c>
      <c r="L869" s="899" t="str">
        <f>IF(G869&lt;&gt;0,VLOOKUP(G869,'gia dat'!$A$1:$F$144,6,0)," ")</f>
        <v xml:space="preserve"> </v>
      </c>
      <c r="M869" s="900" t="str">
        <f t="shared" si="186"/>
        <v xml:space="preserve"> </v>
      </c>
      <c r="N869" s="900" t="str">
        <f t="shared" si="187"/>
        <v xml:space="preserve"> </v>
      </c>
      <c r="O869" s="894"/>
      <c r="P869" s="926"/>
      <c r="Q869" s="900" t="str">
        <f>IF(O869&lt;&gt;0,VLOOKUP(O869,'Cây trong'!$A$2:$C$246,3,0)," ")</f>
        <v xml:space="preserve"> </v>
      </c>
      <c r="R869" s="900" t="str">
        <f t="shared" si="189"/>
        <v xml:space="preserve"> </v>
      </c>
      <c r="S869" s="902"/>
      <c r="T869" s="925"/>
      <c r="U869" s="927"/>
      <c r="V869" s="925"/>
      <c r="W869" s="900" t="str">
        <f>IF(S869&lt;&gt;0,VLOOKUP(S869,VKT!$A$2:$G$415,7,0),"")</f>
        <v/>
      </c>
      <c r="X869" s="900" t="str">
        <f t="shared" si="182"/>
        <v xml:space="preserve"> </v>
      </c>
      <c r="Y869" s="925"/>
      <c r="Z869" s="928"/>
      <c r="AA869" s="928"/>
      <c r="AB869" s="904"/>
      <c r="AC869" s="928"/>
      <c r="AD869" s="928"/>
      <c r="AE869" s="928"/>
      <c r="AF869" s="926"/>
      <c r="AG869" s="906" t="str">
        <f>IF(AE869&lt;&gt;0,VLOOKUP(AE869,ODDS!$A$2:$C$13,3,0),"")</f>
        <v/>
      </c>
      <c r="AH869" s="906" t="str">
        <f t="shared" si="190"/>
        <v xml:space="preserve"> </v>
      </c>
      <c r="AI869" s="907" t="str">
        <f t="shared" si="185"/>
        <v xml:space="preserve"> </v>
      </c>
      <c r="AJ869" s="894"/>
      <c r="AK869" s="894"/>
    </row>
    <row r="870" spans="1:37" s="376" customFormat="1" ht="22.5" outlineLevel="1" x14ac:dyDescent="0.25">
      <c r="A870" s="467" t="s">
        <v>2638</v>
      </c>
      <c r="B870" s="912">
        <v>72</v>
      </c>
      <c r="C870" s="910" t="s">
        <v>46</v>
      </c>
      <c r="D870" s="931"/>
      <c r="E870" s="931"/>
      <c r="F870" s="913"/>
      <c r="G870" s="910"/>
      <c r="H870" s="953">
        <f>SUBTOTAL(9,H871:H937)</f>
        <v>2192.1999999999998</v>
      </c>
      <c r="I870" s="915">
        <f>SUBTOTAL(9,I871:I876)</f>
        <v>1825.4999999999998</v>
      </c>
      <c r="J870" s="933"/>
      <c r="K870" s="917"/>
      <c r="L870" s="917"/>
      <c r="M870" s="907">
        <f>SUBTOTAL(9,M871:M937)</f>
        <v>1215355000</v>
      </c>
      <c r="N870" s="907">
        <f>SUBTOTAL(9,N871:N937)</f>
        <v>3036172000</v>
      </c>
      <c r="O870" s="1006"/>
      <c r="P870" s="935">
        <f>SUBTOTAL(9,P871:P937)</f>
        <v>1332.3</v>
      </c>
      <c r="Q870" s="907"/>
      <c r="R870" s="907">
        <f>SUBTOTAL(9,R871:R937)</f>
        <v>145375900</v>
      </c>
      <c r="S870" s="1006"/>
      <c r="T870" s="1007"/>
      <c r="U870" s="936">
        <f>SUBTOTAL(9,U871:U937)</f>
        <v>948.52</v>
      </c>
      <c r="V870" s="1015"/>
      <c r="W870" s="907"/>
      <c r="X870" s="907">
        <f>SUBTOTAL(9,X871:X937)</f>
        <v>745686000</v>
      </c>
      <c r="Y870" s="925"/>
      <c r="Z870" s="928"/>
      <c r="AA870" s="928"/>
      <c r="AB870" s="904"/>
      <c r="AC870" s="928"/>
      <c r="AD870" s="904"/>
      <c r="AE870" s="938"/>
      <c r="AF870" s="917">
        <f>SUBTOTAL(9,AF871:AF937)</f>
        <v>1</v>
      </c>
      <c r="AG870" s="921"/>
      <c r="AH870" s="921">
        <f>SUBTOTAL(9,AH871:AH937)</f>
        <v>17000000</v>
      </c>
      <c r="AI870" s="907">
        <f t="shared" si="185"/>
        <v>5159588900</v>
      </c>
      <c r="AJ870" s="910"/>
      <c r="AK870" s="914"/>
    </row>
    <row r="871" spans="1:37" s="376" customFormat="1" ht="135" outlineLevel="2" x14ac:dyDescent="0.3">
      <c r="A871" s="447">
        <f>IF(B870&lt;&gt;0,B870,A869)</f>
        <v>72</v>
      </c>
      <c r="B871" s="893"/>
      <c r="C871" s="894" t="s">
        <v>262</v>
      </c>
      <c r="D871" s="923">
        <v>2</v>
      </c>
      <c r="E871" s="923">
        <v>86</v>
      </c>
      <c r="F871" s="896" t="s">
        <v>263</v>
      </c>
      <c r="G871" s="894" t="s">
        <v>2487</v>
      </c>
      <c r="H871" s="924">
        <f>2192.2-H872</f>
        <v>1825.4999999999998</v>
      </c>
      <c r="I871" s="882">
        <f t="shared" ref="I871:I872" si="193">IF(N871&gt;0,H871,"")</f>
        <v>1825.4999999999998</v>
      </c>
      <c r="J871" s="925"/>
      <c r="K871" s="899">
        <f>IF(G871&lt;&gt;0,VLOOKUP(G871,'gia dat'!$A$1:$F$144,5,0)," ")</f>
        <v>554400</v>
      </c>
      <c r="L871" s="899">
        <f>IF(G871&lt;&gt;0,VLOOKUP(G871,'gia dat'!$A$1:$F$144,6,0)," ")</f>
        <v>1663200</v>
      </c>
      <c r="M871" s="900">
        <f t="shared" si="186"/>
        <v>1012057000</v>
      </c>
      <c r="N871" s="900">
        <f t="shared" si="187"/>
        <v>3036172000</v>
      </c>
      <c r="O871" s="973" t="s">
        <v>760</v>
      </c>
      <c r="P871" s="926">
        <v>1</v>
      </c>
      <c r="Q871" s="900">
        <f>IF(O871&lt;&gt;0,VLOOKUP(O871,'Cây trong'!$A$2:$C$246,3,0)," ")</f>
        <v>70000</v>
      </c>
      <c r="R871" s="900">
        <f t="shared" si="189"/>
        <v>70000</v>
      </c>
      <c r="S871" s="973" t="s">
        <v>1763</v>
      </c>
      <c r="T871" s="974" t="s">
        <v>53</v>
      </c>
      <c r="U871" s="927">
        <v>34.92</v>
      </c>
      <c r="V871" s="1013"/>
      <c r="W871" s="900">
        <f>IF(S871&lt;&gt;0,VLOOKUP(S871,VKT!$A$2:$G$415,7,0),"")</f>
        <v>3550600</v>
      </c>
      <c r="X871" s="900">
        <f t="shared" si="182"/>
        <v>123987000</v>
      </c>
      <c r="Y871" s="925" t="s">
        <v>63</v>
      </c>
      <c r="Z871" s="928" t="s">
        <v>55</v>
      </c>
      <c r="AA871" s="928" t="s">
        <v>56</v>
      </c>
      <c r="AB871" s="904" t="s">
        <v>57</v>
      </c>
      <c r="AC871" s="928" t="s">
        <v>63</v>
      </c>
      <c r="AD871" s="904" t="s">
        <v>430</v>
      </c>
      <c r="AE871" s="905"/>
      <c r="AF871" s="899"/>
      <c r="AG871" s="906"/>
      <c r="AH871" s="906"/>
      <c r="AI871" s="907" t="str">
        <f t="shared" si="185"/>
        <v xml:space="preserve"> </v>
      </c>
      <c r="AJ871" s="894" t="s">
        <v>705</v>
      </c>
      <c r="AK871" s="922" t="s">
        <v>2771</v>
      </c>
    </row>
    <row r="872" spans="1:37" s="376" customFormat="1" ht="112.5" outlineLevel="2" x14ac:dyDescent="0.3">
      <c r="A872" s="447">
        <f t="shared" ref="A872:A903" si="194">IF(B871&lt;&gt;0,B871,A871)</f>
        <v>72</v>
      </c>
      <c r="B872" s="893"/>
      <c r="C872" s="963" t="s">
        <v>706</v>
      </c>
      <c r="D872" s="923"/>
      <c r="E872" s="923"/>
      <c r="F872" s="896"/>
      <c r="G872" s="894" t="s">
        <v>2483</v>
      </c>
      <c r="H872" s="924">
        <v>366.7</v>
      </c>
      <c r="I872" s="882" t="str">
        <f t="shared" si="193"/>
        <v/>
      </c>
      <c r="J872" s="925"/>
      <c r="K872" s="899">
        <f>IF(G872&lt;&gt;0,VLOOKUP(G872,'gia dat'!$A$1:$F$144,5,0)," ")</f>
        <v>554400</v>
      </c>
      <c r="L872" s="899">
        <f>IF(G872&lt;&gt;0,VLOOKUP(G872,'gia dat'!$A$1:$F$144,6,0)," ")</f>
        <v>0</v>
      </c>
      <c r="M872" s="900">
        <f t="shared" si="186"/>
        <v>203298000</v>
      </c>
      <c r="N872" s="900">
        <f t="shared" si="187"/>
        <v>0</v>
      </c>
      <c r="O872" s="973" t="s">
        <v>761</v>
      </c>
      <c r="P872" s="926">
        <v>1</v>
      </c>
      <c r="Q872" s="900">
        <f>IF(O872&lt;&gt;0,VLOOKUP(O872,'Cây trong'!$A$2:$C$246,3,0)," ")</f>
        <v>390000</v>
      </c>
      <c r="R872" s="900">
        <f t="shared" si="189"/>
        <v>390000</v>
      </c>
      <c r="S872" s="973" t="s">
        <v>1763</v>
      </c>
      <c r="T872" s="974" t="s">
        <v>53</v>
      </c>
      <c r="U872" s="927">
        <v>11.04</v>
      </c>
      <c r="V872" s="1013"/>
      <c r="W872" s="900">
        <f>IF(S872&lt;&gt;0,VLOOKUP(S872,VKT!$A$2:$G$415,7,0),"")</f>
        <v>3550600</v>
      </c>
      <c r="X872" s="900">
        <f t="shared" si="182"/>
        <v>39199000</v>
      </c>
      <c r="Y872" s="925" t="s">
        <v>54</v>
      </c>
      <c r="Z872" s="928" t="s">
        <v>55</v>
      </c>
      <c r="AA872" s="928" t="s">
        <v>56</v>
      </c>
      <c r="AB872" s="904" t="s">
        <v>57</v>
      </c>
      <c r="AC872" s="928" t="s">
        <v>139</v>
      </c>
      <c r="AD872" s="928"/>
      <c r="AE872" s="905" t="s">
        <v>2791</v>
      </c>
      <c r="AF872" s="926">
        <v>1</v>
      </c>
      <c r="AG872" s="906">
        <f>IF(AE872&lt;&gt;0,VLOOKUP(AE872,ODDS!$A$2:$C$13,3,0),"")</f>
        <v>17000000</v>
      </c>
      <c r="AH872" s="906">
        <f t="shared" si="190"/>
        <v>17000000</v>
      </c>
      <c r="AI872" s="907" t="str">
        <f t="shared" si="185"/>
        <v xml:space="preserve"> </v>
      </c>
      <c r="AJ872" s="894" t="s">
        <v>597</v>
      </c>
      <c r="AK872" s="894" t="s">
        <v>2448</v>
      </c>
    </row>
    <row r="873" spans="1:37" s="376" customFormat="1" ht="112.5" outlineLevel="2" x14ac:dyDescent="0.3">
      <c r="A873" s="447">
        <f t="shared" si="194"/>
        <v>72</v>
      </c>
      <c r="B873" s="893"/>
      <c r="C873" s="963"/>
      <c r="D873" s="923"/>
      <c r="E873" s="923"/>
      <c r="F873" s="896"/>
      <c r="G873" s="894"/>
      <c r="H873" s="924"/>
      <c r="I873" s="882"/>
      <c r="J873" s="925"/>
      <c r="K873" s="899" t="str">
        <f>IF(G873&lt;&gt;0,VLOOKUP(G873,'gia dat'!$A$1:$F$144,5,0)," ")</f>
        <v xml:space="preserve"> </v>
      </c>
      <c r="L873" s="899" t="str">
        <f>IF(G873&lt;&gt;0,VLOOKUP(G873,'gia dat'!$A$1:$F$144,6,0)," ")</f>
        <v xml:space="preserve"> </v>
      </c>
      <c r="M873" s="900" t="str">
        <f t="shared" si="186"/>
        <v xml:space="preserve"> </v>
      </c>
      <c r="N873" s="900" t="str">
        <f t="shared" si="187"/>
        <v xml:space="preserve"> </v>
      </c>
      <c r="O873" s="973" t="s">
        <v>762</v>
      </c>
      <c r="P873" s="926">
        <v>1</v>
      </c>
      <c r="Q873" s="900">
        <f>IF(O873&lt;&gt;0,VLOOKUP(O873,'Cây trong'!$A$2:$C$246,3,0)," ")</f>
        <v>150000</v>
      </c>
      <c r="R873" s="900">
        <f t="shared" si="189"/>
        <v>150000</v>
      </c>
      <c r="S873" s="973" t="s">
        <v>1885</v>
      </c>
      <c r="T873" s="974" t="s">
        <v>53</v>
      </c>
      <c r="U873" s="927">
        <v>9.6</v>
      </c>
      <c r="V873" s="1013"/>
      <c r="W873" s="900">
        <f>IF(S873&lt;&gt;0,VLOOKUP(S873,VKT!$A$2:$G$415,7,0),"")</f>
        <v>3460013</v>
      </c>
      <c r="X873" s="900">
        <f t="shared" si="182"/>
        <v>33216000</v>
      </c>
      <c r="Y873" s="925" t="s">
        <v>54</v>
      </c>
      <c r="Z873" s="928" t="s">
        <v>55</v>
      </c>
      <c r="AA873" s="928" t="s">
        <v>141</v>
      </c>
      <c r="AB873" s="904" t="s">
        <v>57</v>
      </c>
      <c r="AC873" s="928" t="s">
        <v>139</v>
      </c>
      <c r="AD873" s="928"/>
      <c r="AE873" s="941"/>
      <c r="AF873" s="926"/>
      <c r="AG873" s="906" t="str">
        <f>IF(AE873&lt;&gt;0,VLOOKUP(AE873,ODDS!$A$2:$C$13,3,0),"")</f>
        <v/>
      </c>
      <c r="AH873" s="906" t="str">
        <f t="shared" si="190"/>
        <v xml:space="preserve"> </v>
      </c>
      <c r="AI873" s="907" t="str">
        <f t="shared" si="185"/>
        <v xml:space="preserve"> </v>
      </c>
      <c r="AJ873" s="929" t="s">
        <v>264</v>
      </c>
      <c r="AK873" s="894" t="s">
        <v>2450</v>
      </c>
    </row>
    <row r="874" spans="1:37" s="376" customFormat="1" ht="112.5" outlineLevel="2" x14ac:dyDescent="0.3">
      <c r="A874" s="447">
        <f t="shared" si="194"/>
        <v>72</v>
      </c>
      <c r="B874" s="893"/>
      <c r="C874" s="894"/>
      <c r="D874" s="923"/>
      <c r="E874" s="923"/>
      <c r="F874" s="896"/>
      <c r="G874" s="894"/>
      <c r="H874" s="924"/>
      <c r="I874" s="882"/>
      <c r="J874" s="925"/>
      <c r="K874" s="899" t="str">
        <f>IF(G874&lt;&gt;0,VLOOKUP(G874,'gia dat'!$A$1:$F$144,5,0)," ")</f>
        <v xml:space="preserve"> </v>
      </c>
      <c r="L874" s="899" t="str">
        <f>IF(G874&lt;&gt;0,VLOOKUP(G874,'gia dat'!$A$1:$F$144,6,0)," ")</f>
        <v xml:space="preserve"> </v>
      </c>
      <c r="M874" s="900" t="str">
        <f t="shared" si="186"/>
        <v xml:space="preserve"> </v>
      </c>
      <c r="N874" s="900" t="str">
        <f t="shared" si="187"/>
        <v xml:space="preserve"> </v>
      </c>
      <c r="O874" s="973" t="s">
        <v>763</v>
      </c>
      <c r="P874" s="926">
        <v>1</v>
      </c>
      <c r="Q874" s="900">
        <f>IF(O874&lt;&gt;0,VLOOKUP(O874,'Cây trong'!$A$2:$C$246,3,0)," ")</f>
        <v>150000</v>
      </c>
      <c r="R874" s="900">
        <f t="shared" si="189"/>
        <v>150000</v>
      </c>
      <c r="S874" s="973" t="s">
        <v>1886</v>
      </c>
      <c r="T874" s="974" t="s">
        <v>53</v>
      </c>
      <c r="U874" s="927">
        <v>2.99</v>
      </c>
      <c r="V874" s="1013"/>
      <c r="W874" s="900">
        <f>IF(S874&lt;&gt;0,VLOOKUP(S874,VKT!$A$2:$G$415,7,0),"")</f>
        <v>9347414</v>
      </c>
      <c r="X874" s="900">
        <f t="shared" si="182"/>
        <v>27949000</v>
      </c>
      <c r="Y874" s="925"/>
      <c r="Z874" s="928"/>
      <c r="AA874" s="928" t="s">
        <v>56</v>
      </c>
      <c r="AB874" s="904" t="s">
        <v>57</v>
      </c>
      <c r="AC874" s="928" t="s">
        <v>139</v>
      </c>
      <c r="AD874" s="928"/>
      <c r="AE874" s="928"/>
      <c r="AF874" s="926"/>
      <c r="AG874" s="906" t="str">
        <f>IF(AE874&lt;&gt;0,VLOOKUP(AE874,ODDS!$A$2:$C$13,3,0),"")</f>
        <v/>
      </c>
      <c r="AH874" s="906" t="str">
        <f t="shared" si="190"/>
        <v xml:space="preserve"> </v>
      </c>
      <c r="AI874" s="907" t="str">
        <f t="shared" si="185"/>
        <v xml:space="preserve"> </v>
      </c>
      <c r="AJ874" s="894" t="s">
        <v>2074</v>
      </c>
      <c r="AK874" s="894" t="s">
        <v>2449</v>
      </c>
    </row>
    <row r="875" spans="1:37" s="376" customFormat="1" ht="112.5" outlineLevel="2" x14ac:dyDescent="0.35">
      <c r="A875" s="447">
        <f t="shared" si="194"/>
        <v>72</v>
      </c>
      <c r="B875" s="893"/>
      <c r="C875" s="894"/>
      <c r="D875" s="923"/>
      <c r="E875" s="923"/>
      <c r="F875" s="896"/>
      <c r="G875" s="894"/>
      <c r="H875" s="924"/>
      <c r="I875" s="882"/>
      <c r="J875" s="925"/>
      <c r="K875" s="899" t="str">
        <f>IF(G875&lt;&gt;0,VLOOKUP(G875,'gia dat'!$A$1:$F$144,5,0)," ")</f>
        <v xml:space="preserve"> </v>
      </c>
      <c r="L875" s="899" t="str">
        <f>IF(G875&lt;&gt;0,VLOOKUP(G875,'gia dat'!$A$1:$F$144,6,0)," ")</f>
        <v xml:space="preserve"> </v>
      </c>
      <c r="M875" s="900" t="str">
        <f t="shared" si="186"/>
        <v xml:space="preserve"> </v>
      </c>
      <c r="N875" s="900" t="str">
        <f t="shared" si="187"/>
        <v xml:space="preserve"> </v>
      </c>
      <c r="O875" s="973" t="s">
        <v>409</v>
      </c>
      <c r="P875" s="926">
        <v>6</v>
      </c>
      <c r="Q875" s="900">
        <f>IF(O875&lt;&gt;0,VLOOKUP(O875,'Cây trong'!$A$2:$C$246,3,0)," ")</f>
        <v>72000</v>
      </c>
      <c r="R875" s="900">
        <f t="shared" si="189"/>
        <v>432000</v>
      </c>
      <c r="S875" s="973" t="s">
        <v>1887</v>
      </c>
      <c r="T875" s="974" t="s">
        <v>53</v>
      </c>
      <c r="U875" s="927">
        <v>1.69</v>
      </c>
      <c r="V875" s="1013"/>
      <c r="W875" s="900">
        <f>IF(S875&lt;&gt;0,VLOOKUP(S875,VKT!$A$2:$G$415,7,0),"")</f>
        <v>9028527</v>
      </c>
      <c r="X875" s="900">
        <f t="shared" si="182"/>
        <v>15258000</v>
      </c>
      <c r="Y875" s="925"/>
      <c r="Z875" s="928"/>
      <c r="AA875" s="928" t="s">
        <v>56</v>
      </c>
      <c r="AB875" s="904" t="s">
        <v>57</v>
      </c>
      <c r="AC875" s="928" t="s">
        <v>139</v>
      </c>
      <c r="AD875" s="928"/>
      <c r="AE875" s="928"/>
      <c r="AF875" s="926"/>
      <c r="AG875" s="906" t="str">
        <f>IF(AE875&lt;&gt;0,VLOOKUP(AE875,ODDS!$A$2:$C$13,3,0),"")</f>
        <v/>
      </c>
      <c r="AH875" s="906" t="str">
        <f t="shared" si="190"/>
        <v xml:space="preserve"> </v>
      </c>
      <c r="AI875" s="907" t="str">
        <f t="shared" si="185"/>
        <v xml:space="preserve"> </v>
      </c>
      <c r="AJ875" s="911"/>
      <c r="AK875" s="894" t="s">
        <v>2451</v>
      </c>
    </row>
    <row r="876" spans="1:37" s="376" customFormat="1" ht="112.5" outlineLevel="2" x14ac:dyDescent="0.3">
      <c r="A876" s="447">
        <f t="shared" si="194"/>
        <v>72</v>
      </c>
      <c r="B876" s="893"/>
      <c r="C876" s="894"/>
      <c r="D876" s="923"/>
      <c r="E876" s="923"/>
      <c r="F876" s="896"/>
      <c r="G876" s="894"/>
      <c r="H876" s="924"/>
      <c r="I876" s="882"/>
      <c r="J876" s="925"/>
      <c r="K876" s="899" t="str">
        <f>IF(G876&lt;&gt;0,VLOOKUP(G876,'gia dat'!$A$1:$F$144,5,0)," ")</f>
        <v xml:space="preserve"> </v>
      </c>
      <c r="L876" s="899" t="str">
        <f>IF(G876&lt;&gt;0,VLOOKUP(G876,'gia dat'!$A$1:$F$144,6,0)," ")</f>
        <v xml:space="preserve"> </v>
      </c>
      <c r="M876" s="900" t="str">
        <f t="shared" si="186"/>
        <v xml:space="preserve"> </v>
      </c>
      <c r="N876" s="900" t="str">
        <f t="shared" si="187"/>
        <v xml:space="preserve"> </v>
      </c>
      <c r="O876" s="973" t="s">
        <v>764</v>
      </c>
      <c r="P876" s="926">
        <v>2</v>
      </c>
      <c r="Q876" s="900">
        <f>IF(O876&lt;&gt;0,VLOOKUP(O876,'Cây trong'!$A$2:$C$246,3,0)," ")</f>
        <v>150000</v>
      </c>
      <c r="R876" s="900">
        <f t="shared" si="189"/>
        <v>300000</v>
      </c>
      <c r="S876" s="973" t="s">
        <v>1844</v>
      </c>
      <c r="T876" s="974" t="s">
        <v>53</v>
      </c>
      <c r="U876" s="927">
        <v>30</v>
      </c>
      <c r="V876" s="1013"/>
      <c r="W876" s="900">
        <f>IF(S876&lt;&gt;0,VLOOKUP(S876,VKT!$A$2:$G$415,7,0),"")</f>
        <v>770070</v>
      </c>
      <c r="X876" s="900">
        <f t="shared" si="182"/>
        <v>23102000</v>
      </c>
      <c r="Y876" s="925"/>
      <c r="Z876" s="928" t="s">
        <v>55</v>
      </c>
      <c r="AA876" s="928" t="s">
        <v>56</v>
      </c>
      <c r="AB876" s="904"/>
      <c r="AC876" s="928" t="s">
        <v>66</v>
      </c>
      <c r="AD876" s="928"/>
      <c r="AE876" s="928"/>
      <c r="AF876" s="926"/>
      <c r="AG876" s="906" t="str">
        <f>IF(AE876&lt;&gt;0,VLOOKUP(AE876,ODDS!$A$2:$C$13,3,0),"")</f>
        <v/>
      </c>
      <c r="AH876" s="906" t="str">
        <f t="shared" si="190"/>
        <v xml:space="preserve"> </v>
      </c>
      <c r="AI876" s="907" t="str">
        <f t="shared" si="185"/>
        <v xml:space="preserve"> </v>
      </c>
      <c r="AJ876" s="929"/>
      <c r="AK876" s="894" t="s">
        <v>2800</v>
      </c>
    </row>
    <row r="877" spans="1:37" s="376" customFormat="1" ht="45" outlineLevel="2" x14ac:dyDescent="0.3">
      <c r="A877" s="447">
        <f t="shared" si="194"/>
        <v>72</v>
      </c>
      <c r="B877" s="893"/>
      <c r="C877" s="894"/>
      <c r="D877" s="923"/>
      <c r="E877" s="923"/>
      <c r="F877" s="896"/>
      <c r="G877" s="894"/>
      <c r="H877" s="924"/>
      <c r="I877" s="882"/>
      <c r="J877" s="925"/>
      <c r="K877" s="899" t="str">
        <f>IF(G877&lt;&gt;0,VLOOKUP(G877,'gia dat'!$A$1:$F$144,5,0)," ")</f>
        <v xml:space="preserve"> </v>
      </c>
      <c r="L877" s="899" t="str">
        <f>IF(G877&lt;&gt;0,VLOOKUP(G877,'gia dat'!$A$1:$F$144,6,0)," ")</f>
        <v xml:space="preserve"> </v>
      </c>
      <c r="M877" s="900" t="str">
        <f t="shared" si="186"/>
        <v xml:space="preserve"> </v>
      </c>
      <c r="N877" s="900" t="str">
        <f t="shared" si="187"/>
        <v xml:space="preserve"> </v>
      </c>
      <c r="O877" s="973" t="s">
        <v>765</v>
      </c>
      <c r="P877" s="926">
        <v>3</v>
      </c>
      <c r="Q877" s="900">
        <f>IF(O877&lt;&gt;0,VLOOKUP(O877,'Cây trong'!$A$2:$C$246,3,0)," ")</f>
        <v>72000</v>
      </c>
      <c r="R877" s="900">
        <f t="shared" si="189"/>
        <v>216000</v>
      </c>
      <c r="S877" s="973" t="s">
        <v>1888</v>
      </c>
      <c r="T877" s="974" t="s">
        <v>53</v>
      </c>
      <c r="U877" s="927">
        <v>3.96</v>
      </c>
      <c r="V877" s="1013"/>
      <c r="W877" s="900">
        <f>IF(S877&lt;&gt;0,VLOOKUP(S877,VKT!$A$2:$G$415,7,0),"")</f>
        <v>1574011</v>
      </c>
      <c r="X877" s="900">
        <f t="shared" si="182"/>
        <v>6233000</v>
      </c>
      <c r="Y877" s="925"/>
      <c r="Z877" s="928" t="s">
        <v>55</v>
      </c>
      <c r="AA877" s="928" t="s">
        <v>141</v>
      </c>
      <c r="AB877" s="904" t="s">
        <v>266</v>
      </c>
      <c r="AC877" s="928" t="s">
        <v>267</v>
      </c>
      <c r="AD877" s="928"/>
      <c r="AE877" s="928"/>
      <c r="AF877" s="926"/>
      <c r="AG877" s="906" t="str">
        <f>IF(AE877&lt;&gt;0,VLOOKUP(AE877,ODDS!$A$2:$C$13,3,0),"")</f>
        <v/>
      </c>
      <c r="AH877" s="906" t="str">
        <f t="shared" si="190"/>
        <v xml:space="preserve"> </v>
      </c>
      <c r="AI877" s="907" t="str">
        <f t="shared" si="185"/>
        <v xml:space="preserve"> </v>
      </c>
      <c r="AJ877" s="929"/>
      <c r="AK877" s="929"/>
    </row>
    <row r="878" spans="1:37" s="376" customFormat="1" ht="45" outlineLevel="2" x14ac:dyDescent="0.3">
      <c r="A878" s="447">
        <f t="shared" si="194"/>
        <v>72</v>
      </c>
      <c r="B878" s="893"/>
      <c r="C878" s="894"/>
      <c r="D878" s="923"/>
      <c r="E878" s="923"/>
      <c r="F878" s="896"/>
      <c r="G878" s="894"/>
      <c r="H878" s="924"/>
      <c r="I878" s="882"/>
      <c r="J878" s="925"/>
      <c r="K878" s="899" t="str">
        <f>IF(G878&lt;&gt;0,VLOOKUP(G878,'gia dat'!$A$1:$F$144,5,0)," ")</f>
        <v xml:space="preserve"> </v>
      </c>
      <c r="L878" s="899" t="str">
        <f>IF(G878&lt;&gt;0,VLOOKUP(G878,'gia dat'!$A$1:$F$144,6,0)," ")</f>
        <v xml:space="preserve"> </v>
      </c>
      <c r="M878" s="900" t="str">
        <f t="shared" si="186"/>
        <v xml:space="preserve"> </v>
      </c>
      <c r="N878" s="900" t="str">
        <f t="shared" si="187"/>
        <v xml:space="preserve"> </v>
      </c>
      <c r="O878" s="894" t="s">
        <v>766</v>
      </c>
      <c r="P878" s="926">
        <v>1</v>
      </c>
      <c r="Q878" s="900">
        <f>IF(O878&lt;&gt;0,VLOOKUP(O878,'Cây trong'!$A$2:$C$246,3,0)," ")</f>
        <v>150000</v>
      </c>
      <c r="R878" s="900">
        <f t="shared" si="189"/>
        <v>150000</v>
      </c>
      <c r="S878" s="973" t="s">
        <v>1844</v>
      </c>
      <c r="T878" s="974" t="s">
        <v>53</v>
      </c>
      <c r="U878" s="927">
        <v>32.4</v>
      </c>
      <c r="V878" s="1013"/>
      <c r="W878" s="900">
        <f>IF(S878&lt;&gt;0,VLOOKUP(S878,VKT!$A$2:$G$415,7,0),"")</f>
        <v>770070</v>
      </c>
      <c r="X878" s="900">
        <f t="shared" si="182"/>
        <v>24950000</v>
      </c>
      <c r="Y878" s="925"/>
      <c r="Z878" s="928" t="s">
        <v>55</v>
      </c>
      <c r="AA878" s="928" t="s">
        <v>56</v>
      </c>
      <c r="AB878" s="904"/>
      <c r="AC878" s="928" t="s">
        <v>267</v>
      </c>
      <c r="AD878" s="928"/>
      <c r="AE878" s="928"/>
      <c r="AF878" s="926"/>
      <c r="AG878" s="906" t="str">
        <f>IF(AE878&lt;&gt;0,VLOOKUP(AE878,ODDS!$A$2:$C$13,3,0),"")</f>
        <v/>
      </c>
      <c r="AH878" s="906" t="str">
        <f t="shared" si="190"/>
        <v xml:space="preserve"> </v>
      </c>
      <c r="AI878" s="907" t="str">
        <f t="shared" si="185"/>
        <v xml:space="preserve"> </v>
      </c>
      <c r="AJ878" s="929"/>
      <c r="AK878" s="929"/>
    </row>
    <row r="879" spans="1:37" s="376" customFormat="1" ht="45" outlineLevel="2" x14ac:dyDescent="0.3">
      <c r="A879" s="447">
        <f t="shared" si="194"/>
        <v>72</v>
      </c>
      <c r="B879" s="893"/>
      <c r="C879" s="894"/>
      <c r="D879" s="923"/>
      <c r="E879" s="923"/>
      <c r="F879" s="896"/>
      <c r="G879" s="894"/>
      <c r="H879" s="924"/>
      <c r="I879" s="882"/>
      <c r="J879" s="925"/>
      <c r="K879" s="899" t="str">
        <f>IF(G879&lt;&gt;0,VLOOKUP(G879,'gia dat'!$A$1:$F$144,5,0)," ")</f>
        <v xml:space="preserve"> </v>
      </c>
      <c r="L879" s="899" t="str">
        <f>IF(G879&lt;&gt;0,VLOOKUP(G879,'gia dat'!$A$1:$F$144,6,0)," ")</f>
        <v xml:space="preserve"> </v>
      </c>
      <c r="M879" s="900" t="str">
        <f t="shared" si="186"/>
        <v xml:space="preserve"> </v>
      </c>
      <c r="N879" s="900" t="str">
        <f t="shared" si="187"/>
        <v xml:space="preserve"> </v>
      </c>
      <c r="O879" s="894" t="s">
        <v>767</v>
      </c>
      <c r="P879" s="926">
        <v>78</v>
      </c>
      <c r="Q879" s="900">
        <f>IF(O879&lt;&gt;0,VLOOKUP(O879,'Cây trong'!$A$2:$C$246,3,0)," ")</f>
        <v>72000</v>
      </c>
      <c r="R879" s="900">
        <f t="shared" si="189"/>
        <v>5616000</v>
      </c>
      <c r="S879" s="973" t="s">
        <v>1840</v>
      </c>
      <c r="T879" s="974" t="s">
        <v>53</v>
      </c>
      <c r="U879" s="927">
        <v>74.2</v>
      </c>
      <c r="V879" s="1013"/>
      <c r="W879" s="900">
        <f>IF(S879&lt;&gt;0,VLOOKUP(S879,VKT!$A$2:$G$415,7,0),"")</f>
        <v>1676884</v>
      </c>
      <c r="X879" s="900">
        <f t="shared" si="182"/>
        <v>124425000</v>
      </c>
      <c r="Y879" s="925"/>
      <c r="Z879" s="928" t="s">
        <v>55</v>
      </c>
      <c r="AA879" s="928" t="s">
        <v>56</v>
      </c>
      <c r="AB879" s="904" t="s">
        <v>57</v>
      </c>
      <c r="AC879" s="928" t="s">
        <v>267</v>
      </c>
      <c r="AD879" s="928"/>
      <c r="AE879" s="928"/>
      <c r="AF879" s="926"/>
      <c r="AG879" s="906" t="str">
        <f>IF(AE879&lt;&gt;0,VLOOKUP(AE879,ODDS!$A$2:$C$13,3,0),"")</f>
        <v/>
      </c>
      <c r="AH879" s="906" t="str">
        <f t="shared" si="190"/>
        <v xml:space="preserve"> </v>
      </c>
      <c r="AI879" s="907" t="str">
        <f t="shared" si="185"/>
        <v xml:space="preserve"> </v>
      </c>
      <c r="AJ879" s="929"/>
      <c r="AK879" s="929"/>
    </row>
    <row r="880" spans="1:37" s="376" customFormat="1" ht="45" outlineLevel="2" x14ac:dyDescent="0.3">
      <c r="A880" s="447">
        <f t="shared" si="194"/>
        <v>72</v>
      </c>
      <c r="B880" s="893"/>
      <c r="C880" s="894"/>
      <c r="D880" s="923"/>
      <c r="E880" s="923"/>
      <c r="F880" s="896"/>
      <c r="G880" s="894"/>
      <c r="H880" s="924"/>
      <c r="I880" s="882"/>
      <c r="J880" s="925"/>
      <c r="K880" s="899" t="str">
        <f>IF(G880&lt;&gt;0,VLOOKUP(G880,'gia dat'!$A$1:$F$144,5,0)," ")</f>
        <v xml:space="preserve"> </v>
      </c>
      <c r="L880" s="899" t="str">
        <f>IF(G880&lt;&gt;0,VLOOKUP(G880,'gia dat'!$A$1:$F$144,6,0)," ")</f>
        <v xml:space="preserve"> </v>
      </c>
      <c r="M880" s="900" t="str">
        <f t="shared" si="186"/>
        <v xml:space="preserve"> </v>
      </c>
      <c r="N880" s="900" t="str">
        <f t="shared" si="187"/>
        <v xml:space="preserve"> </v>
      </c>
      <c r="O880" s="973" t="s">
        <v>768</v>
      </c>
      <c r="P880" s="926">
        <v>1</v>
      </c>
      <c r="Q880" s="900">
        <f>IF(O880&lt;&gt;0,VLOOKUP(O880,'Cây trong'!$A$2:$C$246,3,0)," ")</f>
        <v>150000</v>
      </c>
      <c r="R880" s="900">
        <f t="shared" si="189"/>
        <v>150000</v>
      </c>
      <c r="S880" s="902" t="s">
        <v>1844</v>
      </c>
      <c r="T880" s="974" t="s">
        <v>53</v>
      </c>
      <c r="U880" s="927">
        <v>74.400000000000006</v>
      </c>
      <c r="V880" s="925"/>
      <c r="W880" s="900">
        <f>IF(S880&lt;&gt;0,VLOOKUP(S880,VKT!$A$2:$G$415,7,0),"")</f>
        <v>770070</v>
      </c>
      <c r="X880" s="900">
        <f t="shared" si="182"/>
        <v>57293000</v>
      </c>
      <c r="Y880" s="925"/>
      <c r="Z880" s="928" t="s">
        <v>55</v>
      </c>
      <c r="AA880" s="928" t="s">
        <v>141</v>
      </c>
      <c r="AB880" s="904"/>
      <c r="AC880" s="928" t="s">
        <v>267</v>
      </c>
      <c r="AD880" s="928"/>
      <c r="AE880" s="928"/>
      <c r="AF880" s="926"/>
      <c r="AG880" s="906" t="str">
        <f>IF(AE880&lt;&gt;0,VLOOKUP(AE880,ODDS!$A$2:$C$13,3,0),"")</f>
        <v/>
      </c>
      <c r="AH880" s="906" t="str">
        <f t="shared" si="190"/>
        <v xml:space="preserve"> </v>
      </c>
      <c r="AI880" s="907" t="str">
        <f t="shared" si="185"/>
        <v xml:space="preserve"> </v>
      </c>
      <c r="AJ880" s="929"/>
      <c r="AK880" s="929"/>
    </row>
    <row r="881" spans="1:37" s="376" customFormat="1" ht="67.5" outlineLevel="2" x14ac:dyDescent="0.3">
      <c r="A881" s="447">
        <f t="shared" si="194"/>
        <v>72</v>
      </c>
      <c r="B881" s="893"/>
      <c r="C881" s="971"/>
      <c r="D881" s="923"/>
      <c r="E881" s="923"/>
      <c r="F881" s="896"/>
      <c r="G881" s="894"/>
      <c r="H881" s="924"/>
      <c r="I881" s="882"/>
      <c r="J881" s="925"/>
      <c r="K881" s="899" t="str">
        <f>IF(G881&lt;&gt;0,VLOOKUP(G881,'gia dat'!$A$1:$F$144,5,0)," ")</f>
        <v xml:space="preserve"> </v>
      </c>
      <c r="L881" s="899" t="str">
        <f>IF(G881&lt;&gt;0,VLOOKUP(G881,'gia dat'!$A$1:$F$144,6,0)," ")</f>
        <v xml:space="preserve"> </v>
      </c>
      <c r="M881" s="900" t="str">
        <f t="shared" si="186"/>
        <v xml:space="preserve"> </v>
      </c>
      <c r="N881" s="900" t="str">
        <f t="shared" si="187"/>
        <v xml:space="preserve"> </v>
      </c>
      <c r="O881" s="973" t="s">
        <v>769</v>
      </c>
      <c r="P881" s="926">
        <v>3</v>
      </c>
      <c r="Q881" s="900">
        <f>IF(O881&lt;&gt;0,VLOOKUP(O881,'Cây trong'!$A$2:$C$246,3,0)," ")</f>
        <v>120000</v>
      </c>
      <c r="R881" s="900">
        <f t="shared" si="189"/>
        <v>360000</v>
      </c>
      <c r="S881" s="902" t="s">
        <v>1889</v>
      </c>
      <c r="T881" s="974" t="s">
        <v>53</v>
      </c>
      <c r="U881" s="927">
        <v>8.26</v>
      </c>
      <c r="V881" s="925"/>
      <c r="W881" s="900">
        <f>IF(S881&lt;&gt;0,VLOOKUP(S881,VKT!$A$2:$G$415,7,0),"")</f>
        <v>2354806</v>
      </c>
      <c r="X881" s="900">
        <f t="shared" si="182"/>
        <v>19451000</v>
      </c>
      <c r="Y881" s="925"/>
      <c r="Z881" s="928" t="s">
        <v>55</v>
      </c>
      <c r="AA881" s="928" t="s">
        <v>141</v>
      </c>
      <c r="AB881" s="904" t="s">
        <v>57</v>
      </c>
      <c r="AC881" s="928" t="s">
        <v>139</v>
      </c>
      <c r="AD881" s="928"/>
      <c r="AE881" s="928"/>
      <c r="AF881" s="926"/>
      <c r="AG881" s="906" t="str">
        <f>IF(AE881&lt;&gt;0,VLOOKUP(AE881,ODDS!$A$2:$C$13,3,0),"")</f>
        <v/>
      </c>
      <c r="AH881" s="906" t="str">
        <f t="shared" si="190"/>
        <v xml:space="preserve"> </v>
      </c>
      <c r="AI881" s="907" t="str">
        <f t="shared" si="185"/>
        <v xml:space="preserve"> </v>
      </c>
      <c r="AJ881" s="929"/>
      <c r="AK881" s="929"/>
    </row>
    <row r="882" spans="1:37" s="376" customFormat="1" ht="67.5" outlineLevel="2" x14ac:dyDescent="0.3">
      <c r="A882" s="447">
        <f t="shared" si="194"/>
        <v>72</v>
      </c>
      <c r="B882" s="893"/>
      <c r="C882" s="972"/>
      <c r="D882" s="923"/>
      <c r="E882" s="923"/>
      <c r="F882" s="896"/>
      <c r="G882" s="894"/>
      <c r="H882" s="924"/>
      <c r="I882" s="882"/>
      <c r="J882" s="925"/>
      <c r="K882" s="899" t="str">
        <f>IF(G882&lt;&gt;0,VLOOKUP(G882,'gia dat'!$A$1:$F$144,5,0)," ")</f>
        <v xml:space="preserve"> </v>
      </c>
      <c r="L882" s="899" t="str">
        <f>IF(G882&lt;&gt;0,VLOOKUP(G882,'gia dat'!$A$1:$F$144,6,0)," ")</f>
        <v xml:space="preserve"> </v>
      </c>
      <c r="M882" s="900" t="str">
        <f t="shared" si="186"/>
        <v xml:space="preserve"> </v>
      </c>
      <c r="N882" s="900" t="str">
        <f t="shared" si="187"/>
        <v xml:space="preserve"> </v>
      </c>
      <c r="O882" s="973" t="s">
        <v>770</v>
      </c>
      <c r="P882" s="926">
        <v>2</v>
      </c>
      <c r="Q882" s="900">
        <f>IF(O882&lt;&gt;0,VLOOKUP(O882,'Cây trong'!$A$2:$C$246,3,0)," ")</f>
        <v>60000</v>
      </c>
      <c r="R882" s="900">
        <f t="shared" si="189"/>
        <v>120000</v>
      </c>
      <c r="S882" s="973" t="s">
        <v>1890</v>
      </c>
      <c r="T882" s="974" t="s">
        <v>53</v>
      </c>
      <c r="U882" s="927">
        <v>28</v>
      </c>
      <c r="V882" s="1013"/>
      <c r="W882" s="900">
        <f>IF(S882&lt;&gt;0,VLOOKUP(S882,VKT!$A$2:$G$415,7,0),"")</f>
        <v>1574011</v>
      </c>
      <c r="X882" s="900">
        <f t="shared" si="182"/>
        <v>44072000</v>
      </c>
      <c r="Y882" s="925"/>
      <c r="Z882" s="928" t="s">
        <v>55</v>
      </c>
      <c r="AA882" s="928" t="s">
        <v>141</v>
      </c>
      <c r="AB882" s="904" t="s">
        <v>266</v>
      </c>
      <c r="AC882" s="928" t="s">
        <v>267</v>
      </c>
      <c r="AD882" s="928"/>
      <c r="AE882" s="928"/>
      <c r="AF882" s="926"/>
      <c r="AG882" s="906" t="str">
        <f>IF(AE882&lt;&gt;0,VLOOKUP(AE882,ODDS!$A$2:$C$13,3,0),"")</f>
        <v/>
      </c>
      <c r="AH882" s="906" t="str">
        <f t="shared" si="190"/>
        <v xml:space="preserve"> </v>
      </c>
      <c r="AI882" s="907" t="str">
        <f t="shared" si="185"/>
        <v xml:space="preserve"> </v>
      </c>
      <c r="AJ882" s="929"/>
      <c r="AK882" s="929"/>
    </row>
    <row r="883" spans="1:37" s="376" customFormat="1" ht="67.5" outlineLevel="2" x14ac:dyDescent="0.3">
      <c r="A883" s="447">
        <f t="shared" si="194"/>
        <v>72</v>
      </c>
      <c r="B883" s="893"/>
      <c r="C883" s="972"/>
      <c r="D883" s="923"/>
      <c r="E883" s="923"/>
      <c r="F883" s="896"/>
      <c r="G883" s="894"/>
      <c r="H883" s="924"/>
      <c r="I883" s="882"/>
      <c r="J883" s="925"/>
      <c r="K883" s="899" t="str">
        <f>IF(G883&lt;&gt;0,VLOOKUP(G883,'gia dat'!$A$1:$F$144,5,0)," ")</f>
        <v xml:space="preserve"> </v>
      </c>
      <c r="L883" s="899" t="str">
        <f>IF(G883&lt;&gt;0,VLOOKUP(G883,'gia dat'!$A$1:$F$144,6,0)," ")</f>
        <v xml:space="preserve"> </v>
      </c>
      <c r="M883" s="900" t="str">
        <f t="shared" si="186"/>
        <v xml:space="preserve"> </v>
      </c>
      <c r="N883" s="900" t="str">
        <f t="shared" si="187"/>
        <v xml:space="preserve"> </v>
      </c>
      <c r="O883" s="973" t="s">
        <v>756</v>
      </c>
      <c r="P883" s="926">
        <v>3</v>
      </c>
      <c r="Q883" s="900">
        <f>IF(O883&lt;&gt;0,VLOOKUP(O883,'Cây trong'!$A$2:$C$246,3,0)," ")</f>
        <v>150000</v>
      </c>
      <c r="R883" s="900">
        <f t="shared" si="189"/>
        <v>450000</v>
      </c>
      <c r="S883" s="973" t="s">
        <v>1889</v>
      </c>
      <c r="T883" s="974" t="s">
        <v>53</v>
      </c>
      <c r="U883" s="927">
        <v>2.86</v>
      </c>
      <c r="V883" s="1013"/>
      <c r="W883" s="900">
        <f>IF(S883&lt;&gt;0,VLOOKUP(S883,VKT!$A$2:$G$415,7,0),"")</f>
        <v>2354806</v>
      </c>
      <c r="X883" s="900">
        <f t="shared" si="182"/>
        <v>6735000</v>
      </c>
      <c r="Y883" s="925"/>
      <c r="Z883" s="928" t="s">
        <v>268</v>
      </c>
      <c r="AA883" s="928" t="s">
        <v>141</v>
      </c>
      <c r="AB883" s="904" t="s">
        <v>269</v>
      </c>
      <c r="AC883" s="928" t="s">
        <v>139</v>
      </c>
      <c r="AD883" s="928"/>
      <c r="AE883" s="928"/>
      <c r="AF883" s="926"/>
      <c r="AG883" s="906" t="str">
        <f>IF(AE883&lt;&gt;0,VLOOKUP(AE883,ODDS!$A$2:$C$13,3,0),"")</f>
        <v/>
      </c>
      <c r="AH883" s="906" t="str">
        <f t="shared" si="190"/>
        <v xml:space="preserve"> </v>
      </c>
      <c r="AI883" s="907" t="str">
        <f t="shared" si="185"/>
        <v xml:space="preserve"> </v>
      </c>
      <c r="AJ883" s="929"/>
      <c r="AK883" s="929"/>
    </row>
    <row r="884" spans="1:37" s="376" customFormat="1" ht="45" outlineLevel="2" x14ac:dyDescent="0.3">
      <c r="A884" s="447">
        <f t="shared" si="194"/>
        <v>72</v>
      </c>
      <c r="B884" s="893"/>
      <c r="C884" s="894"/>
      <c r="D884" s="923"/>
      <c r="E884" s="923"/>
      <c r="F884" s="896"/>
      <c r="G884" s="894"/>
      <c r="H884" s="924"/>
      <c r="I884" s="882"/>
      <c r="J884" s="925"/>
      <c r="K884" s="899" t="str">
        <f>IF(G884&lt;&gt;0,VLOOKUP(G884,'gia dat'!$A$1:$F$144,5,0)," ")</f>
        <v xml:space="preserve"> </v>
      </c>
      <c r="L884" s="899" t="str">
        <f>IF(G884&lt;&gt;0,VLOOKUP(G884,'gia dat'!$A$1:$F$144,6,0)," ")</f>
        <v xml:space="preserve"> </v>
      </c>
      <c r="M884" s="900" t="str">
        <f t="shared" si="186"/>
        <v xml:space="preserve"> </v>
      </c>
      <c r="N884" s="900" t="str">
        <f t="shared" si="187"/>
        <v xml:space="preserve"> </v>
      </c>
      <c r="O884" s="973" t="s">
        <v>405</v>
      </c>
      <c r="P884" s="926">
        <v>10</v>
      </c>
      <c r="Q884" s="900">
        <f>IF(O884&lt;&gt;0,VLOOKUP(O884,'Cây trong'!$A$2:$C$246,3,0)," ")</f>
        <v>72000</v>
      </c>
      <c r="R884" s="900">
        <f t="shared" si="189"/>
        <v>720000</v>
      </c>
      <c r="S884" s="973" t="s">
        <v>1844</v>
      </c>
      <c r="T884" s="1013" t="s">
        <v>53</v>
      </c>
      <c r="U884" s="927">
        <v>26.01</v>
      </c>
      <c r="V884" s="1013"/>
      <c r="W884" s="900">
        <f>IF(S884&lt;&gt;0,VLOOKUP(S884,VKT!$A$2:$G$415,7,0),"")</f>
        <v>770070</v>
      </c>
      <c r="X884" s="900">
        <f t="shared" si="182"/>
        <v>20030000</v>
      </c>
      <c r="Y884" s="925"/>
      <c r="Z884" s="928" t="s">
        <v>55</v>
      </c>
      <c r="AA884" s="928" t="s">
        <v>270</v>
      </c>
      <c r="AB884" s="904"/>
      <c r="AC884" s="928" t="s">
        <v>66</v>
      </c>
      <c r="AD884" s="928"/>
      <c r="AE884" s="928"/>
      <c r="AF884" s="926"/>
      <c r="AG884" s="906" t="str">
        <f>IF(AE884&lt;&gt;0,VLOOKUP(AE884,ODDS!$A$2:$C$13,3,0),"")</f>
        <v/>
      </c>
      <c r="AH884" s="906" t="str">
        <f t="shared" si="190"/>
        <v xml:space="preserve"> </v>
      </c>
      <c r="AI884" s="907" t="str">
        <f t="shared" si="185"/>
        <v xml:space="preserve"> </v>
      </c>
      <c r="AJ884" s="929"/>
      <c r="AK884" s="929"/>
    </row>
    <row r="885" spans="1:37" s="376" customFormat="1" ht="112.5" outlineLevel="2" x14ac:dyDescent="0.3">
      <c r="A885" s="447">
        <f t="shared" si="194"/>
        <v>72</v>
      </c>
      <c r="B885" s="893"/>
      <c r="C885" s="894"/>
      <c r="D885" s="923"/>
      <c r="E885" s="923"/>
      <c r="F885" s="896"/>
      <c r="G885" s="894"/>
      <c r="H885" s="924"/>
      <c r="I885" s="882"/>
      <c r="J885" s="925"/>
      <c r="K885" s="899" t="str">
        <f>IF(G885&lt;&gt;0,VLOOKUP(G885,'gia dat'!$A$1:$F$144,5,0)," ")</f>
        <v xml:space="preserve"> </v>
      </c>
      <c r="L885" s="899" t="str">
        <f>IF(G885&lt;&gt;0,VLOOKUP(G885,'gia dat'!$A$1:$F$144,6,0)," ")</f>
        <v xml:space="preserve"> </v>
      </c>
      <c r="M885" s="900" t="str">
        <f t="shared" si="186"/>
        <v xml:space="preserve"> </v>
      </c>
      <c r="N885" s="900" t="str">
        <f t="shared" si="187"/>
        <v xml:space="preserve"> </v>
      </c>
      <c r="O885" s="973" t="s">
        <v>771</v>
      </c>
      <c r="P885" s="926">
        <v>1</v>
      </c>
      <c r="Q885" s="900">
        <f>IF(O885&lt;&gt;0,VLOOKUP(O885,'Cây trong'!$A$2:$C$246,3,0)," ")</f>
        <v>150000</v>
      </c>
      <c r="R885" s="900">
        <f t="shared" si="189"/>
        <v>150000</v>
      </c>
      <c r="S885" s="973" t="s">
        <v>1891</v>
      </c>
      <c r="T885" s="1013" t="s">
        <v>53</v>
      </c>
      <c r="U885" s="927">
        <v>13.8</v>
      </c>
      <c r="V885" s="1013"/>
      <c r="W885" s="900">
        <f>IF(S885&lt;&gt;0,VLOOKUP(S885,VKT!$A$2:$G$415,7,0),"")</f>
        <v>805811</v>
      </c>
      <c r="X885" s="900">
        <f t="shared" si="182"/>
        <v>11120000</v>
      </c>
      <c r="Y885" s="925"/>
      <c r="Z885" s="928"/>
      <c r="AA885" s="928"/>
      <c r="AB885" s="904"/>
      <c r="AC885" s="928"/>
      <c r="AD885" s="928"/>
      <c r="AE885" s="928"/>
      <c r="AF885" s="926"/>
      <c r="AG885" s="906" t="str">
        <f>IF(AE885&lt;&gt;0,VLOOKUP(AE885,ODDS!$A$2:$C$13,3,0),"")</f>
        <v/>
      </c>
      <c r="AH885" s="906" t="str">
        <f t="shared" si="190"/>
        <v xml:space="preserve"> </v>
      </c>
      <c r="AI885" s="907" t="str">
        <f t="shared" si="185"/>
        <v xml:space="preserve"> </v>
      </c>
      <c r="AJ885" s="929"/>
      <c r="AK885" s="929"/>
    </row>
    <row r="886" spans="1:37" s="376" customFormat="1" ht="90" outlineLevel="2" x14ac:dyDescent="0.3">
      <c r="A886" s="447">
        <f t="shared" si="194"/>
        <v>72</v>
      </c>
      <c r="B886" s="893"/>
      <c r="C886" s="894"/>
      <c r="D886" s="923"/>
      <c r="E886" s="923"/>
      <c r="F886" s="896"/>
      <c r="G886" s="894"/>
      <c r="H886" s="924"/>
      <c r="I886" s="882"/>
      <c r="J886" s="925"/>
      <c r="K886" s="899" t="str">
        <f>IF(G886&lt;&gt;0,VLOOKUP(G886,'gia dat'!$A$1:$F$144,5,0)," ")</f>
        <v xml:space="preserve"> </v>
      </c>
      <c r="L886" s="899" t="str">
        <f>IF(G886&lt;&gt;0,VLOOKUP(G886,'gia dat'!$A$1:$F$144,6,0)," ")</f>
        <v xml:space="preserve"> </v>
      </c>
      <c r="M886" s="900" t="str">
        <f t="shared" si="186"/>
        <v xml:space="preserve"> </v>
      </c>
      <c r="N886" s="900" t="str">
        <f t="shared" si="187"/>
        <v xml:space="preserve"> </v>
      </c>
      <c r="O886" s="973" t="s">
        <v>772</v>
      </c>
      <c r="P886" s="926">
        <v>3</v>
      </c>
      <c r="Q886" s="900">
        <f>IF(O886&lt;&gt;0,VLOOKUP(O886,'Cây trong'!$A$2:$C$246,3,0)," ")</f>
        <v>72000</v>
      </c>
      <c r="R886" s="900">
        <f t="shared" si="189"/>
        <v>216000</v>
      </c>
      <c r="S886" s="973" t="s">
        <v>1862</v>
      </c>
      <c r="T886" s="1013" t="s">
        <v>53</v>
      </c>
      <c r="U886" s="927">
        <v>38.42</v>
      </c>
      <c r="V886" s="1013"/>
      <c r="W886" s="900">
        <f>IF(S886&lt;&gt;0,VLOOKUP(S886,VKT!$A$2:$G$415,7,0),"")</f>
        <v>496651</v>
      </c>
      <c r="X886" s="900">
        <f t="shared" si="182"/>
        <v>19081000</v>
      </c>
      <c r="Y886" s="925"/>
      <c r="Z886" s="928"/>
      <c r="AA886" s="928"/>
      <c r="AB886" s="904"/>
      <c r="AC886" s="928"/>
      <c r="AD886" s="928"/>
      <c r="AE886" s="928"/>
      <c r="AF886" s="926"/>
      <c r="AG886" s="906" t="str">
        <f>IF(AE886&lt;&gt;0,VLOOKUP(AE886,ODDS!$A$2:$C$13,3,0),"")</f>
        <v/>
      </c>
      <c r="AH886" s="906" t="str">
        <f t="shared" si="190"/>
        <v xml:space="preserve"> </v>
      </c>
      <c r="AI886" s="907" t="str">
        <f t="shared" si="185"/>
        <v xml:space="preserve"> </v>
      </c>
      <c r="AJ886" s="929"/>
      <c r="AK886" s="929"/>
    </row>
    <row r="887" spans="1:37" s="376" customFormat="1" ht="90" outlineLevel="2" x14ac:dyDescent="0.3">
      <c r="A887" s="447">
        <f t="shared" si="194"/>
        <v>72</v>
      </c>
      <c r="B887" s="893"/>
      <c r="C887" s="894"/>
      <c r="D887" s="923"/>
      <c r="E887" s="923"/>
      <c r="F887" s="896"/>
      <c r="G887" s="894"/>
      <c r="H887" s="924"/>
      <c r="I887" s="882"/>
      <c r="J887" s="925"/>
      <c r="K887" s="899" t="str">
        <f>IF(G887&lt;&gt;0,VLOOKUP(G887,'gia dat'!$A$1:$F$144,5,0)," ")</f>
        <v xml:space="preserve"> </v>
      </c>
      <c r="L887" s="899" t="str">
        <f>IF(G887&lt;&gt;0,VLOOKUP(G887,'gia dat'!$A$1:$F$144,6,0)," ")</f>
        <v xml:space="preserve"> </v>
      </c>
      <c r="M887" s="900" t="str">
        <f t="shared" si="186"/>
        <v xml:space="preserve"> </v>
      </c>
      <c r="N887" s="900" t="str">
        <f t="shared" si="187"/>
        <v xml:space="preserve"> </v>
      </c>
      <c r="O887" s="973" t="s">
        <v>774</v>
      </c>
      <c r="P887" s="926">
        <v>2</v>
      </c>
      <c r="Q887" s="900">
        <f>IF(O887&lt;&gt;0,VLOOKUP(O887,'Cây trong'!$A$2:$C$246,3,0)," ")</f>
        <v>150000</v>
      </c>
      <c r="R887" s="900">
        <f t="shared" si="189"/>
        <v>300000</v>
      </c>
      <c r="S887" s="973" t="s">
        <v>1892</v>
      </c>
      <c r="T887" s="1013" t="s">
        <v>53</v>
      </c>
      <c r="U887" s="927">
        <v>47.26</v>
      </c>
      <c r="V887" s="1013"/>
      <c r="W887" s="900">
        <f>IF(S887&lt;&gt;0,VLOOKUP(S887,VKT!$A$2:$G$415,7,0),"")</f>
        <v>890132</v>
      </c>
      <c r="X887" s="900">
        <f t="shared" si="182"/>
        <v>42068000</v>
      </c>
      <c r="Y887" s="925"/>
      <c r="Z887" s="928"/>
      <c r="AA887" s="928"/>
      <c r="AB887" s="904"/>
      <c r="AC887" s="928"/>
      <c r="AD887" s="928"/>
      <c r="AE887" s="928"/>
      <c r="AF887" s="926"/>
      <c r="AG887" s="906" t="str">
        <f>IF(AE887&lt;&gt;0,VLOOKUP(AE887,ODDS!$A$2:$C$13,3,0),"")</f>
        <v/>
      </c>
      <c r="AH887" s="906" t="str">
        <f t="shared" si="190"/>
        <v xml:space="preserve"> </v>
      </c>
      <c r="AI887" s="907" t="str">
        <f t="shared" si="185"/>
        <v xml:space="preserve"> </v>
      </c>
      <c r="AJ887" s="929"/>
      <c r="AK887" s="929"/>
    </row>
    <row r="888" spans="1:37" s="376" customFormat="1" ht="45" outlineLevel="2" x14ac:dyDescent="0.3">
      <c r="A888" s="447">
        <f t="shared" si="194"/>
        <v>72</v>
      </c>
      <c r="B888" s="893"/>
      <c r="C888" s="894"/>
      <c r="D888" s="923"/>
      <c r="E888" s="923"/>
      <c r="F888" s="896"/>
      <c r="G888" s="894"/>
      <c r="H888" s="924"/>
      <c r="I888" s="882"/>
      <c r="J888" s="925"/>
      <c r="K888" s="899" t="str">
        <f>IF(G888&lt;&gt;0,VLOOKUP(G888,'gia dat'!$A$1:$F$144,5,0)," ")</f>
        <v xml:space="preserve"> </v>
      </c>
      <c r="L888" s="899" t="str">
        <f>IF(G888&lt;&gt;0,VLOOKUP(G888,'gia dat'!$A$1:$F$144,6,0)," ")</f>
        <v xml:space="preserve"> </v>
      </c>
      <c r="M888" s="900" t="str">
        <f t="shared" si="186"/>
        <v xml:space="preserve"> </v>
      </c>
      <c r="N888" s="900" t="str">
        <f t="shared" si="187"/>
        <v xml:space="preserve"> </v>
      </c>
      <c r="O888" s="973" t="s">
        <v>773</v>
      </c>
      <c r="P888" s="926">
        <v>9</v>
      </c>
      <c r="Q888" s="900">
        <f>IF(O888&lt;&gt;0,VLOOKUP(O888,'Cây trong'!$A$2:$C$246,3,0)," ")</f>
        <v>72000</v>
      </c>
      <c r="R888" s="900">
        <f t="shared" si="189"/>
        <v>648000</v>
      </c>
      <c r="S888" s="973" t="s">
        <v>1893</v>
      </c>
      <c r="T888" s="1013" t="s">
        <v>53</v>
      </c>
      <c r="U888" s="927">
        <v>237.93</v>
      </c>
      <c r="V888" s="1013"/>
      <c r="W888" s="900">
        <f>IF(S888&lt;&gt;0,VLOOKUP(S888,VKT!$A$2:$G$415,7,0),"")</f>
        <v>121350</v>
      </c>
      <c r="X888" s="900">
        <f t="shared" si="182"/>
        <v>28873000</v>
      </c>
      <c r="Y888" s="925"/>
      <c r="Z888" s="928"/>
      <c r="AA888" s="928"/>
      <c r="AB888" s="904"/>
      <c r="AC888" s="928"/>
      <c r="AD888" s="928"/>
      <c r="AE888" s="928"/>
      <c r="AF888" s="926"/>
      <c r="AG888" s="906" t="str">
        <f>IF(AE888&lt;&gt;0,VLOOKUP(AE888,ODDS!$A$2:$C$13,3,0),"")</f>
        <v/>
      </c>
      <c r="AH888" s="906" t="str">
        <f t="shared" si="190"/>
        <v xml:space="preserve"> </v>
      </c>
      <c r="AI888" s="907" t="str">
        <f t="shared" si="185"/>
        <v xml:space="preserve"> </v>
      </c>
      <c r="AJ888" s="929"/>
      <c r="AK888" s="929"/>
    </row>
    <row r="889" spans="1:37" s="376" customFormat="1" ht="45" outlineLevel="2" x14ac:dyDescent="0.3">
      <c r="A889" s="447">
        <f t="shared" si="194"/>
        <v>72</v>
      </c>
      <c r="B889" s="893"/>
      <c r="C889" s="894"/>
      <c r="D889" s="923"/>
      <c r="E889" s="923"/>
      <c r="F889" s="896"/>
      <c r="G889" s="894"/>
      <c r="H889" s="924"/>
      <c r="I889" s="882"/>
      <c r="J889" s="925"/>
      <c r="K889" s="899" t="str">
        <f>IF(G889&lt;&gt;0,VLOOKUP(G889,'gia dat'!$A$1:$F$144,5,0)," ")</f>
        <v xml:space="preserve"> </v>
      </c>
      <c r="L889" s="899" t="str">
        <f>IF(G889&lt;&gt;0,VLOOKUP(G889,'gia dat'!$A$1:$F$144,6,0)," ")</f>
        <v xml:space="preserve"> </v>
      </c>
      <c r="M889" s="900" t="str">
        <f t="shared" si="186"/>
        <v xml:space="preserve"> </v>
      </c>
      <c r="N889" s="900" t="str">
        <f t="shared" si="187"/>
        <v xml:space="preserve"> </v>
      </c>
      <c r="O889" s="973" t="s">
        <v>183</v>
      </c>
      <c r="P889" s="926">
        <v>2</v>
      </c>
      <c r="Q889" s="900">
        <f>IF(O889&lt;&gt;0,VLOOKUP(O889,'Cây trong'!$A$2:$C$246,3,0)," ")</f>
        <v>2236000</v>
      </c>
      <c r="R889" s="900">
        <f t="shared" si="189"/>
        <v>4472000</v>
      </c>
      <c r="S889" s="973" t="s">
        <v>1880</v>
      </c>
      <c r="T889" s="1013" t="s">
        <v>78</v>
      </c>
      <c r="U889" s="927">
        <v>0.12</v>
      </c>
      <c r="V889" s="1013"/>
      <c r="W889" s="900">
        <f>IF(S889&lt;&gt;0,VLOOKUP(S889,VKT!$A$2:$G$415,7,0),"")</f>
        <v>0</v>
      </c>
      <c r="X889" s="900">
        <f t="shared" si="182"/>
        <v>0</v>
      </c>
      <c r="Y889" s="925"/>
      <c r="Z889" s="928"/>
      <c r="AA889" s="928"/>
      <c r="AB889" s="904"/>
      <c r="AC889" s="928"/>
      <c r="AD889" s="928"/>
      <c r="AE889" s="928"/>
      <c r="AF889" s="926"/>
      <c r="AG889" s="906" t="str">
        <f>IF(AE889&lt;&gt;0,VLOOKUP(AE889,ODDS!$A$2:$C$13,3,0),"")</f>
        <v/>
      </c>
      <c r="AH889" s="906" t="str">
        <f t="shared" si="190"/>
        <v xml:space="preserve"> </v>
      </c>
      <c r="AI889" s="907" t="str">
        <f t="shared" si="185"/>
        <v xml:space="preserve"> </v>
      </c>
      <c r="AJ889" s="929"/>
      <c r="AK889" s="929"/>
    </row>
    <row r="890" spans="1:37" s="376" customFormat="1" ht="45" outlineLevel="2" x14ac:dyDescent="0.3">
      <c r="A890" s="447">
        <f t="shared" si="194"/>
        <v>72</v>
      </c>
      <c r="B890" s="893"/>
      <c r="C890" s="894"/>
      <c r="D890" s="923"/>
      <c r="E890" s="923"/>
      <c r="F890" s="896"/>
      <c r="G890" s="894"/>
      <c r="H890" s="924"/>
      <c r="I890" s="882"/>
      <c r="J890" s="925"/>
      <c r="K890" s="899" t="str">
        <f>IF(G890&lt;&gt;0,VLOOKUP(G890,'gia dat'!$A$1:$F$144,5,0)," ")</f>
        <v xml:space="preserve"> </v>
      </c>
      <c r="L890" s="899" t="str">
        <f>IF(G890&lt;&gt;0,VLOOKUP(G890,'gia dat'!$A$1:$F$144,6,0)," ")</f>
        <v xml:space="preserve"> </v>
      </c>
      <c r="M890" s="900" t="str">
        <f t="shared" si="186"/>
        <v xml:space="preserve"> </v>
      </c>
      <c r="N890" s="900" t="str">
        <f t="shared" si="187"/>
        <v xml:space="preserve"> </v>
      </c>
      <c r="O890" s="973" t="s">
        <v>70</v>
      </c>
      <c r="P890" s="926">
        <v>3</v>
      </c>
      <c r="Q890" s="900">
        <f>IF(O890&lt;&gt;0,VLOOKUP(O890,'Cây trong'!$A$2:$C$246,3,0)," ")</f>
        <v>1632000</v>
      </c>
      <c r="R890" s="900">
        <f t="shared" si="189"/>
        <v>4896000</v>
      </c>
      <c r="S890" s="922" t="s">
        <v>1767</v>
      </c>
      <c r="T890" s="1013" t="s">
        <v>53</v>
      </c>
      <c r="U890" s="927">
        <v>20.11</v>
      </c>
      <c r="V890" s="1013"/>
      <c r="W890" s="900">
        <f>IF(S890&lt;&gt;0,VLOOKUP(S890,VKT!$A$2:$G$415,7,0),"")</f>
        <v>0</v>
      </c>
      <c r="X890" s="900">
        <f t="shared" si="182"/>
        <v>0</v>
      </c>
      <c r="Y890" s="925"/>
      <c r="Z890" s="928"/>
      <c r="AA890" s="928"/>
      <c r="AB890" s="904"/>
      <c r="AC890" s="928"/>
      <c r="AD890" s="928"/>
      <c r="AE890" s="928"/>
      <c r="AF890" s="926"/>
      <c r="AG890" s="906" t="str">
        <f>IF(AE890&lt;&gt;0,VLOOKUP(AE890,ODDS!$A$2:$C$13,3,0),"")</f>
        <v/>
      </c>
      <c r="AH890" s="906" t="str">
        <f t="shared" si="190"/>
        <v xml:space="preserve"> </v>
      </c>
      <c r="AI890" s="907" t="str">
        <f t="shared" si="185"/>
        <v xml:space="preserve"> </v>
      </c>
      <c r="AJ890" s="929"/>
      <c r="AK890" s="929"/>
    </row>
    <row r="891" spans="1:37" s="376" customFormat="1" ht="67.5" outlineLevel="2" x14ac:dyDescent="0.3">
      <c r="A891" s="447">
        <f t="shared" si="194"/>
        <v>72</v>
      </c>
      <c r="B891" s="893"/>
      <c r="C891" s="894"/>
      <c r="D891" s="923"/>
      <c r="E891" s="923"/>
      <c r="F891" s="896"/>
      <c r="G891" s="894"/>
      <c r="H891" s="924"/>
      <c r="I891" s="882"/>
      <c r="J891" s="925"/>
      <c r="K891" s="899" t="str">
        <f>IF(G891&lt;&gt;0,VLOOKUP(G891,'gia dat'!$A$1:$F$144,5,0)," ")</f>
        <v xml:space="preserve"> </v>
      </c>
      <c r="L891" s="899" t="str">
        <f>IF(G891&lt;&gt;0,VLOOKUP(G891,'gia dat'!$A$1:$F$144,6,0)," ")</f>
        <v xml:space="preserve"> </v>
      </c>
      <c r="M891" s="900" t="str">
        <f t="shared" si="186"/>
        <v xml:space="preserve"> </v>
      </c>
      <c r="N891" s="900" t="str">
        <f t="shared" si="187"/>
        <v xml:space="preserve"> </v>
      </c>
      <c r="O891" s="973" t="s">
        <v>145</v>
      </c>
      <c r="P891" s="926">
        <v>2</v>
      </c>
      <c r="Q891" s="900">
        <f>IF(O891&lt;&gt;0,VLOOKUP(O891,'Cây trong'!$A$2:$C$246,3,0)," ")</f>
        <v>4240000</v>
      </c>
      <c r="R891" s="900">
        <f t="shared" si="189"/>
        <v>8480000</v>
      </c>
      <c r="S891" s="973" t="s">
        <v>1771</v>
      </c>
      <c r="T891" s="1013" t="s">
        <v>53</v>
      </c>
      <c r="U891" s="927">
        <v>0.4</v>
      </c>
      <c r="V891" s="1013"/>
      <c r="W891" s="900">
        <f>IF(S891&lt;&gt;0,VLOOKUP(S891,VKT!$A$2:$G$415,7,0),"")</f>
        <v>348773</v>
      </c>
      <c r="X891" s="900">
        <f t="shared" si="182"/>
        <v>140000</v>
      </c>
      <c r="Y891" s="925"/>
      <c r="Z891" s="928"/>
      <c r="AA891" s="928"/>
      <c r="AB891" s="904"/>
      <c r="AC891" s="928"/>
      <c r="AD891" s="928"/>
      <c r="AE891" s="928"/>
      <c r="AF891" s="926"/>
      <c r="AG891" s="906" t="str">
        <f>IF(AE891&lt;&gt;0,VLOOKUP(AE891,ODDS!$A$2:$C$13,3,0),"")</f>
        <v/>
      </c>
      <c r="AH891" s="906" t="str">
        <f t="shared" si="190"/>
        <v xml:space="preserve"> </v>
      </c>
      <c r="AI891" s="907" t="str">
        <f t="shared" si="185"/>
        <v xml:space="preserve"> </v>
      </c>
      <c r="AJ891" s="929"/>
      <c r="AK891" s="929"/>
    </row>
    <row r="892" spans="1:37" s="376" customFormat="1" ht="67.5" outlineLevel="2" x14ac:dyDescent="0.3">
      <c r="A892" s="447">
        <f t="shared" si="194"/>
        <v>72</v>
      </c>
      <c r="B892" s="893"/>
      <c r="C892" s="894"/>
      <c r="D892" s="923"/>
      <c r="E892" s="923"/>
      <c r="F892" s="896"/>
      <c r="G892" s="894"/>
      <c r="H892" s="924"/>
      <c r="I892" s="882"/>
      <c r="J892" s="925"/>
      <c r="K892" s="899" t="str">
        <f>IF(G892&lt;&gt;0,VLOOKUP(G892,'gia dat'!$A$1:$F$144,5,0)," ")</f>
        <v xml:space="preserve"> </v>
      </c>
      <c r="L892" s="899" t="str">
        <f>IF(G892&lt;&gt;0,VLOOKUP(G892,'gia dat'!$A$1:$F$144,6,0)," ")</f>
        <v xml:space="preserve"> </v>
      </c>
      <c r="M892" s="900" t="str">
        <f t="shared" si="186"/>
        <v xml:space="preserve"> </v>
      </c>
      <c r="N892" s="900" t="str">
        <f t="shared" si="187"/>
        <v xml:space="preserve"> </v>
      </c>
      <c r="O892" s="973" t="s">
        <v>77</v>
      </c>
      <c r="P892" s="926">
        <v>4</v>
      </c>
      <c r="Q892" s="900">
        <f>IF(O892&lt;&gt;0,VLOOKUP(O892,'Cây trong'!$A$2:$C$246,3,0)," ")</f>
        <v>3064000</v>
      </c>
      <c r="R892" s="900">
        <f t="shared" si="189"/>
        <v>12256000</v>
      </c>
      <c r="S892" s="973" t="s">
        <v>1774</v>
      </c>
      <c r="T892" s="1013" t="s">
        <v>53</v>
      </c>
      <c r="U892" s="927">
        <v>3</v>
      </c>
      <c r="V892" s="1013"/>
      <c r="W892" s="900">
        <f>IF(S892&lt;&gt;0,VLOOKUP(S892,VKT!$A$2:$G$415,7,0),"")</f>
        <v>286855</v>
      </c>
      <c r="X892" s="900">
        <f t="shared" si="182"/>
        <v>861000</v>
      </c>
      <c r="Y892" s="925"/>
      <c r="Z892" s="928"/>
      <c r="AA892" s="928"/>
      <c r="AB892" s="904"/>
      <c r="AC892" s="928"/>
      <c r="AD892" s="928"/>
      <c r="AE892" s="928"/>
      <c r="AF892" s="926"/>
      <c r="AG892" s="906" t="str">
        <f>IF(AE892&lt;&gt;0,VLOOKUP(AE892,ODDS!$A$2:$C$13,3,0),"")</f>
        <v/>
      </c>
      <c r="AH892" s="906" t="str">
        <f t="shared" si="190"/>
        <v xml:space="preserve"> </v>
      </c>
      <c r="AI892" s="907" t="str">
        <f t="shared" si="185"/>
        <v xml:space="preserve"> </v>
      </c>
      <c r="AJ892" s="929"/>
      <c r="AK892" s="929"/>
    </row>
    <row r="893" spans="1:37" s="376" customFormat="1" ht="67.5" outlineLevel="2" x14ac:dyDescent="0.3">
      <c r="A893" s="447">
        <f t="shared" si="194"/>
        <v>72</v>
      </c>
      <c r="B893" s="893"/>
      <c r="C893" s="894"/>
      <c r="D893" s="923"/>
      <c r="E893" s="923"/>
      <c r="F893" s="896"/>
      <c r="G893" s="894"/>
      <c r="H893" s="924"/>
      <c r="I893" s="882"/>
      <c r="J893" s="925"/>
      <c r="K893" s="899" t="str">
        <f>IF(G893&lt;&gt;0,VLOOKUP(G893,'gia dat'!$A$1:$F$144,5,0)," ")</f>
        <v xml:space="preserve"> </v>
      </c>
      <c r="L893" s="899" t="str">
        <f>IF(G893&lt;&gt;0,VLOOKUP(G893,'gia dat'!$A$1:$F$144,6,0)," ")</f>
        <v xml:space="preserve"> </v>
      </c>
      <c r="M893" s="900" t="str">
        <f t="shared" si="186"/>
        <v xml:space="preserve"> </v>
      </c>
      <c r="N893" s="900" t="str">
        <f t="shared" si="187"/>
        <v xml:space="preserve"> </v>
      </c>
      <c r="O893" s="973" t="s">
        <v>775</v>
      </c>
      <c r="P893" s="926">
        <v>1</v>
      </c>
      <c r="Q893" s="900">
        <f>IF(O893&lt;&gt;0,VLOOKUP(O893,'Cây trong'!$A$2:$C$246,3,0)," ")</f>
        <v>360000</v>
      </c>
      <c r="R893" s="900">
        <f t="shared" si="189"/>
        <v>360000</v>
      </c>
      <c r="S893" s="973" t="s">
        <v>1768</v>
      </c>
      <c r="T893" s="1013" t="s">
        <v>53</v>
      </c>
      <c r="U893" s="927">
        <v>14.04</v>
      </c>
      <c r="V893" s="1013"/>
      <c r="W893" s="900">
        <f>IF(S893&lt;&gt;0,VLOOKUP(S893,VKT!$A$2:$G$415,7,0),"")</f>
        <v>238288</v>
      </c>
      <c r="X893" s="900">
        <f t="shared" si="182"/>
        <v>3346000</v>
      </c>
      <c r="Y893" s="925"/>
      <c r="Z893" s="928"/>
      <c r="AA893" s="928"/>
      <c r="AB893" s="904"/>
      <c r="AC893" s="928"/>
      <c r="AD893" s="928"/>
      <c r="AE893" s="928"/>
      <c r="AF893" s="926"/>
      <c r="AG893" s="906" t="str">
        <f>IF(AE893&lt;&gt;0,VLOOKUP(AE893,ODDS!$A$2:$C$13,3,0),"")</f>
        <v/>
      </c>
      <c r="AH893" s="906" t="str">
        <f t="shared" si="190"/>
        <v xml:space="preserve"> </v>
      </c>
      <c r="AI893" s="907" t="str">
        <f t="shared" si="185"/>
        <v xml:space="preserve"> </v>
      </c>
      <c r="AJ893" s="929"/>
      <c r="AK893" s="929"/>
    </row>
    <row r="894" spans="1:37" s="376" customFormat="1" ht="67.5" outlineLevel="2" x14ac:dyDescent="0.3">
      <c r="A894" s="447">
        <f t="shared" si="194"/>
        <v>72</v>
      </c>
      <c r="B894" s="893"/>
      <c r="C894" s="894"/>
      <c r="D894" s="923"/>
      <c r="E894" s="923"/>
      <c r="F894" s="896"/>
      <c r="G894" s="894"/>
      <c r="H894" s="924"/>
      <c r="I894" s="882"/>
      <c r="J894" s="925"/>
      <c r="K894" s="899" t="str">
        <f>IF(G894&lt;&gt;0,VLOOKUP(G894,'gia dat'!$A$1:$F$144,5,0)," ")</f>
        <v xml:space="preserve"> </v>
      </c>
      <c r="L894" s="899" t="str">
        <f>IF(G894&lt;&gt;0,VLOOKUP(G894,'gia dat'!$A$1:$F$144,6,0)," ")</f>
        <v xml:space="preserve"> </v>
      </c>
      <c r="M894" s="900" t="str">
        <f t="shared" si="186"/>
        <v xml:space="preserve"> </v>
      </c>
      <c r="N894" s="900" t="str">
        <f t="shared" si="187"/>
        <v xml:space="preserve"> </v>
      </c>
      <c r="O894" s="973" t="s">
        <v>271</v>
      </c>
      <c r="P894" s="926">
        <v>1</v>
      </c>
      <c r="Q894" s="900">
        <f>IF(O894&lt;&gt;0,VLOOKUP(O894,'Cây trong'!$A$2:$C$246,3,0)," ")</f>
        <v>667000</v>
      </c>
      <c r="R894" s="900">
        <f t="shared" si="189"/>
        <v>667000</v>
      </c>
      <c r="S894" s="973" t="s">
        <v>1894</v>
      </c>
      <c r="T894" s="1013" t="s">
        <v>53</v>
      </c>
      <c r="U894" s="927">
        <v>16.14</v>
      </c>
      <c r="V894" s="1013"/>
      <c r="W894" s="900">
        <f>IF(S894&lt;&gt;0,VLOOKUP(S894,VKT!$A$2:$G$415,7,0),"")</f>
        <v>348773</v>
      </c>
      <c r="X894" s="900">
        <f t="shared" si="182"/>
        <v>5629000</v>
      </c>
      <c r="Y894" s="925"/>
      <c r="Z894" s="928"/>
      <c r="AA894" s="928"/>
      <c r="AB894" s="904"/>
      <c r="AC894" s="928"/>
      <c r="AD894" s="928"/>
      <c r="AE894" s="928"/>
      <c r="AF894" s="926"/>
      <c r="AG894" s="906" t="str">
        <f>IF(AE894&lt;&gt;0,VLOOKUP(AE894,ODDS!$A$2:$C$13,3,0),"")</f>
        <v/>
      </c>
      <c r="AH894" s="906" t="str">
        <f t="shared" si="190"/>
        <v xml:space="preserve"> </v>
      </c>
      <c r="AI894" s="907" t="str">
        <f t="shared" si="185"/>
        <v xml:space="preserve"> </v>
      </c>
      <c r="AJ894" s="929"/>
      <c r="AK894" s="929"/>
    </row>
    <row r="895" spans="1:37" s="376" customFormat="1" ht="67.5" outlineLevel="2" x14ac:dyDescent="0.3">
      <c r="A895" s="447">
        <f t="shared" si="194"/>
        <v>72</v>
      </c>
      <c r="B895" s="893"/>
      <c r="C895" s="894"/>
      <c r="D895" s="923"/>
      <c r="E895" s="923"/>
      <c r="F895" s="896"/>
      <c r="G895" s="894"/>
      <c r="H895" s="924"/>
      <c r="I895" s="882"/>
      <c r="J895" s="925"/>
      <c r="K895" s="899" t="str">
        <f>IF(G895&lt;&gt;0,VLOOKUP(G895,'gia dat'!$A$1:$F$144,5,0)," ")</f>
        <v xml:space="preserve"> </v>
      </c>
      <c r="L895" s="899" t="str">
        <f>IF(G895&lt;&gt;0,VLOOKUP(G895,'gia dat'!$A$1:$F$144,6,0)," ")</f>
        <v xml:space="preserve"> </v>
      </c>
      <c r="M895" s="900" t="str">
        <f t="shared" si="186"/>
        <v xml:space="preserve"> </v>
      </c>
      <c r="N895" s="900" t="str">
        <f t="shared" si="187"/>
        <v xml:space="preserve"> </v>
      </c>
      <c r="O895" s="973" t="s">
        <v>135</v>
      </c>
      <c r="P895" s="926">
        <v>1</v>
      </c>
      <c r="Q895" s="900">
        <f>IF(O895&lt;&gt;0,VLOOKUP(O895,'Cây trong'!$A$2:$C$246,3,0)," ")</f>
        <v>228000</v>
      </c>
      <c r="R895" s="900">
        <f t="shared" si="189"/>
        <v>228000</v>
      </c>
      <c r="S895" s="973" t="s">
        <v>1895</v>
      </c>
      <c r="T895" s="1013" t="s">
        <v>53</v>
      </c>
      <c r="U895" s="927">
        <v>16.059999999999999</v>
      </c>
      <c r="V895" s="1013"/>
      <c r="W895" s="900">
        <f>IF(S895&lt;&gt;0,VLOOKUP(S895,VKT!$A$2:$G$415,7,0),"")</f>
        <v>496651</v>
      </c>
      <c r="X895" s="900">
        <f t="shared" si="182"/>
        <v>7976000</v>
      </c>
      <c r="Y895" s="925"/>
      <c r="Z895" s="928"/>
      <c r="AA895" s="928"/>
      <c r="AB895" s="904"/>
      <c r="AC895" s="928"/>
      <c r="AD895" s="928"/>
      <c r="AE895" s="928"/>
      <c r="AF895" s="926"/>
      <c r="AG895" s="906" t="str">
        <f>IF(AE895&lt;&gt;0,VLOOKUP(AE895,ODDS!$A$2:$C$13,3,0),"")</f>
        <v/>
      </c>
      <c r="AH895" s="906" t="str">
        <f t="shared" si="190"/>
        <v xml:space="preserve"> </v>
      </c>
      <c r="AI895" s="907" t="str">
        <f t="shared" si="185"/>
        <v xml:space="preserve"> </v>
      </c>
      <c r="AJ895" s="929"/>
      <c r="AK895" s="929"/>
    </row>
    <row r="896" spans="1:37" s="376" customFormat="1" ht="90" outlineLevel="2" x14ac:dyDescent="0.3">
      <c r="A896" s="447">
        <f t="shared" si="194"/>
        <v>72</v>
      </c>
      <c r="B896" s="893"/>
      <c r="C896" s="894"/>
      <c r="D896" s="923"/>
      <c r="E896" s="923"/>
      <c r="F896" s="896"/>
      <c r="G896" s="894"/>
      <c r="H896" s="924"/>
      <c r="I896" s="882"/>
      <c r="J896" s="925"/>
      <c r="K896" s="899" t="str">
        <f>IF(G896&lt;&gt;0,VLOOKUP(G896,'gia dat'!$A$1:$F$144,5,0)," ")</f>
        <v xml:space="preserve"> </v>
      </c>
      <c r="L896" s="899" t="str">
        <f>IF(G896&lt;&gt;0,VLOOKUP(G896,'gia dat'!$A$1:$F$144,6,0)," ")</f>
        <v xml:space="preserve"> </v>
      </c>
      <c r="M896" s="900" t="str">
        <f t="shared" si="186"/>
        <v xml:space="preserve"> </v>
      </c>
      <c r="N896" s="900" t="str">
        <f t="shared" si="187"/>
        <v xml:space="preserve"> </v>
      </c>
      <c r="O896" s="973" t="s">
        <v>272</v>
      </c>
      <c r="P896" s="926">
        <v>13.5</v>
      </c>
      <c r="Q896" s="900">
        <f>IF(O896&lt;&gt;0,VLOOKUP(O896,'Cây trong'!$A$2:$C$246,3,0)," ")</f>
        <v>5000</v>
      </c>
      <c r="R896" s="900">
        <f t="shared" si="189"/>
        <v>67500</v>
      </c>
      <c r="S896" s="973" t="s">
        <v>1896</v>
      </c>
      <c r="T896" s="1013" t="s">
        <v>53</v>
      </c>
      <c r="U896" s="927">
        <v>9.4499999999999993</v>
      </c>
      <c r="V896" s="1013"/>
      <c r="W896" s="900">
        <f>IF(S896&lt;&gt;0,VLOOKUP(S896,VKT!$A$2:$G$415,7,0),"")</f>
        <v>496651</v>
      </c>
      <c r="X896" s="900">
        <f t="shared" si="182"/>
        <v>4693000</v>
      </c>
      <c r="Y896" s="925"/>
      <c r="Z896" s="928"/>
      <c r="AA896" s="928"/>
      <c r="AB896" s="904"/>
      <c r="AC896" s="928"/>
      <c r="AD896" s="928"/>
      <c r="AE896" s="928"/>
      <c r="AF896" s="926"/>
      <c r="AG896" s="906" t="str">
        <f>IF(AE896&lt;&gt;0,VLOOKUP(AE896,ODDS!$A$2:$C$13,3,0),"")</f>
        <v/>
      </c>
      <c r="AH896" s="906" t="str">
        <f t="shared" si="190"/>
        <v xml:space="preserve"> </v>
      </c>
      <c r="AI896" s="907" t="str">
        <f t="shared" si="185"/>
        <v xml:space="preserve"> </v>
      </c>
      <c r="AJ896" s="929"/>
      <c r="AK896" s="929"/>
    </row>
    <row r="897" spans="1:37" s="376" customFormat="1" ht="67.5" outlineLevel="2" x14ac:dyDescent="0.3">
      <c r="A897" s="447">
        <f t="shared" si="194"/>
        <v>72</v>
      </c>
      <c r="B897" s="893"/>
      <c r="C897" s="894"/>
      <c r="D897" s="923"/>
      <c r="E897" s="923"/>
      <c r="F897" s="896"/>
      <c r="G897" s="894"/>
      <c r="H897" s="924"/>
      <c r="I897" s="882"/>
      <c r="J897" s="925"/>
      <c r="K897" s="899" t="str">
        <f>IF(G897&lt;&gt;0,VLOOKUP(G897,'gia dat'!$A$1:$F$144,5,0)," ")</f>
        <v xml:space="preserve"> </v>
      </c>
      <c r="L897" s="899" t="str">
        <f>IF(G897&lt;&gt;0,VLOOKUP(G897,'gia dat'!$A$1:$F$144,6,0)," ")</f>
        <v xml:space="preserve"> </v>
      </c>
      <c r="M897" s="900" t="str">
        <f t="shared" si="186"/>
        <v xml:space="preserve"> </v>
      </c>
      <c r="N897" s="900" t="str">
        <f t="shared" si="187"/>
        <v xml:space="preserve"> </v>
      </c>
      <c r="O897" s="973" t="s">
        <v>733</v>
      </c>
      <c r="P897" s="926">
        <v>6</v>
      </c>
      <c r="Q897" s="900">
        <f>IF(O897&lt;&gt;0,VLOOKUP(O897,'Cây trong'!$A$2:$C$246,3,0)," ")</f>
        <v>150000</v>
      </c>
      <c r="R897" s="900">
        <f t="shared" si="189"/>
        <v>900000</v>
      </c>
      <c r="S897" s="973" t="s">
        <v>1880</v>
      </c>
      <c r="T897" s="1013" t="s">
        <v>78</v>
      </c>
      <c r="U897" s="927">
        <v>1.44</v>
      </c>
      <c r="V897" s="1013"/>
      <c r="W897" s="900">
        <f>IF(S897&lt;&gt;0,VLOOKUP(S897,VKT!$A$2:$G$415,7,0),"")</f>
        <v>0</v>
      </c>
      <c r="X897" s="900">
        <f t="shared" si="182"/>
        <v>0</v>
      </c>
      <c r="Y897" s="925"/>
      <c r="Z897" s="928"/>
      <c r="AA897" s="928"/>
      <c r="AB897" s="904"/>
      <c r="AC897" s="928"/>
      <c r="AD897" s="928"/>
      <c r="AE897" s="928"/>
      <c r="AF897" s="926"/>
      <c r="AG897" s="906" t="str">
        <f>IF(AE897&lt;&gt;0,VLOOKUP(AE897,ODDS!$A$2:$C$13,3,0),"")</f>
        <v/>
      </c>
      <c r="AH897" s="906" t="str">
        <f t="shared" si="190"/>
        <v xml:space="preserve"> </v>
      </c>
      <c r="AI897" s="907" t="str">
        <f t="shared" si="185"/>
        <v xml:space="preserve"> </v>
      </c>
      <c r="AJ897" s="929"/>
      <c r="AK897" s="929"/>
    </row>
    <row r="898" spans="1:37" s="376" customFormat="1" ht="112.5" outlineLevel="2" x14ac:dyDescent="0.3">
      <c r="A898" s="447">
        <f t="shared" si="194"/>
        <v>72</v>
      </c>
      <c r="B898" s="893"/>
      <c r="C898" s="894"/>
      <c r="D898" s="923"/>
      <c r="E898" s="923"/>
      <c r="F898" s="896"/>
      <c r="G898" s="894"/>
      <c r="H898" s="924"/>
      <c r="I898" s="882"/>
      <c r="J898" s="925"/>
      <c r="K898" s="899" t="str">
        <f>IF(G898&lt;&gt;0,VLOOKUP(G898,'gia dat'!$A$1:$F$144,5,0)," ")</f>
        <v xml:space="preserve"> </v>
      </c>
      <c r="L898" s="899" t="str">
        <f>IF(G898&lt;&gt;0,VLOOKUP(G898,'gia dat'!$A$1:$F$144,6,0)," ")</f>
        <v xml:space="preserve"> </v>
      </c>
      <c r="M898" s="900" t="str">
        <f t="shared" si="186"/>
        <v xml:space="preserve"> </v>
      </c>
      <c r="N898" s="900" t="str">
        <f t="shared" si="187"/>
        <v xml:space="preserve"> </v>
      </c>
      <c r="O898" s="973" t="s">
        <v>273</v>
      </c>
      <c r="P898" s="926">
        <v>5.8</v>
      </c>
      <c r="Q898" s="900">
        <f>IF(O898&lt;&gt;0,VLOOKUP(O898,'Cây trong'!$A$2:$C$246,3,0)," ")</f>
        <v>3000</v>
      </c>
      <c r="R898" s="900">
        <f t="shared" si="189"/>
        <v>17400</v>
      </c>
      <c r="S898" s="973" t="s">
        <v>1768</v>
      </c>
      <c r="T898" s="1013" t="s">
        <v>53</v>
      </c>
      <c r="U898" s="927">
        <v>58.78</v>
      </c>
      <c r="V898" s="1013"/>
      <c r="W898" s="900">
        <f>IF(S898&lt;&gt;0,VLOOKUP(S898,VKT!$A$2:$G$415,7,0),"")</f>
        <v>238288</v>
      </c>
      <c r="X898" s="900">
        <f t="shared" si="182"/>
        <v>14007000</v>
      </c>
      <c r="Y898" s="925"/>
      <c r="Z898" s="928"/>
      <c r="AA898" s="928"/>
      <c r="AB898" s="904"/>
      <c r="AC898" s="928"/>
      <c r="AD898" s="928"/>
      <c r="AE898" s="928"/>
      <c r="AF898" s="926"/>
      <c r="AG898" s="906" t="str">
        <f>IF(AE898&lt;&gt;0,VLOOKUP(AE898,ODDS!$A$2:$C$13,3,0),"")</f>
        <v/>
      </c>
      <c r="AH898" s="906" t="str">
        <f t="shared" si="190"/>
        <v xml:space="preserve"> </v>
      </c>
      <c r="AI898" s="907" t="str">
        <f t="shared" si="185"/>
        <v xml:space="preserve"> </v>
      </c>
      <c r="AJ898" s="929"/>
      <c r="AK898" s="929"/>
    </row>
    <row r="899" spans="1:37" s="376" customFormat="1" ht="45" outlineLevel="2" x14ac:dyDescent="0.3">
      <c r="A899" s="447">
        <f t="shared" si="194"/>
        <v>72</v>
      </c>
      <c r="B899" s="893"/>
      <c r="C899" s="894"/>
      <c r="D899" s="923"/>
      <c r="E899" s="923"/>
      <c r="F899" s="896"/>
      <c r="G899" s="894"/>
      <c r="H899" s="924"/>
      <c r="I899" s="882"/>
      <c r="J899" s="925"/>
      <c r="K899" s="899" t="str">
        <f>IF(G899&lt;&gt;0,VLOOKUP(G899,'gia dat'!$A$1:$F$144,5,0)," ")</f>
        <v xml:space="preserve"> </v>
      </c>
      <c r="L899" s="899" t="str">
        <f>IF(G899&lt;&gt;0,VLOOKUP(G899,'gia dat'!$A$1:$F$144,6,0)," ")</f>
        <v xml:space="preserve"> </v>
      </c>
      <c r="M899" s="900" t="str">
        <f t="shared" si="186"/>
        <v xml:space="preserve"> </v>
      </c>
      <c r="N899" s="900" t="str">
        <f t="shared" si="187"/>
        <v xml:space="preserve"> </v>
      </c>
      <c r="O899" s="973" t="s">
        <v>274</v>
      </c>
      <c r="P899" s="926">
        <v>2</v>
      </c>
      <c r="Q899" s="900">
        <f>IF(O899&lt;&gt;0,VLOOKUP(O899,'Cây trong'!$A$2:$C$246,3,0)," ")</f>
        <v>517000</v>
      </c>
      <c r="R899" s="900">
        <f t="shared" si="189"/>
        <v>1034000</v>
      </c>
      <c r="S899" s="922" t="s">
        <v>1844</v>
      </c>
      <c r="T899" s="1013" t="s">
        <v>53</v>
      </c>
      <c r="U899" s="927">
        <v>26.32</v>
      </c>
      <c r="V899" s="1013"/>
      <c r="W899" s="900">
        <f>IF(S899&lt;&gt;0,VLOOKUP(S899,VKT!$A$2:$G$415,7,0),"")</f>
        <v>770070</v>
      </c>
      <c r="X899" s="900">
        <f t="shared" si="182"/>
        <v>20268000</v>
      </c>
      <c r="Y899" s="925"/>
      <c r="Z899" s="928"/>
      <c r="AA899" s="928"/>
      <c r="AB899" s="904"/>
      <c r="AC899" s="928"/>
      <c r="AD899" s="928"/>
      <c r="AE899" s="928"/>
      <c r="AF899" s="926"/>
      <c r="AG899" s="906" t="str">
        <f>IF(AE899&lt;&gt;0,VLOOKUP(AE899,ODDS!$A$2:$C$13,3,0),"")</f>
        <v/>
      </c>
      <c r="AH899" s="906" t="str">
        <f t="shared" si="190"/>
        <v xml:space="preserve"> </v>
      </c>
      <c r="AI899" s="907" t="str">
        <f t="shared" si="185"/>
        <v xml:space="preserve"> </v>
      </c>
      <c r="AJ899" s="929"/>
      <c r="AK899" s="929"/>
    </row>
    <row r="900" spans="1:37" s="376" customFormat="1" ht="45" outlineLevel="2" x14ac:dyDescent="0.3">
      <c r="A900" s="447">
        <f t="shared" si="194"/>
        <v>72</v>
      </c>
      <c r="B900" s="893"/>
      <c r="C900" s="894"/>
      <c r="D900" s="923"/>
      <c r="E900" s="923"/>
      <c r="F900" s="896"/>
      <c r="G900" s="894"/>
      <c r="H900" s="924"/>
      <c r="I900" s="882"/>
      <c r="J900" s="925"/>
      <c r="K900" s="899" t="str">
        <f>IF(G900&lt;&gt;0,VLOOKUP(G900,'gia dat'!$A$1:$F$144,5,0)," ")</f>
        <v xml:space="preserve"> </v>
      </c>
      <c r="L900" s="899" t="str">
        <f>IF(G900&lt;&gt;0,VLOOKUP(G900,'gia dat'!$A$1:$F$144,6,0)," ")</f>
        <v xml:space="preserve"> </v>
      </c>
      <c r="M900" s="900" t="str">
        <f t="shared" si="186"/>
        <v xml:space="preserve"> </v>
      </c>
      <c r="N900" s="900" t="str">
        <f t="shared" si="187"/>
        <v xml:space="preserve"> </v>
      </c>
      <c r="O900" s="973" t="s">
        <v>154</v>
      </c>
      <c r="P900" s="926">
        <v>1</v>
      </c>
      <c r="Q900" s="900">
        <f>IF(O900&lt;&gt;0,VLOOKUP(O900,'Cây trong'!$A$2:$C$246,3,0)," ")</f>
        <v>248000</v>
      </c>
      <c r="R900" s="900">
        <f t="shared" si="189"/>
        <v>248000</v>
      </c>
      <c r="S900" s="973" t="s">
        <v>1893</v>
      </c>
      <c r="T900" s="1013" t="s">
        <v>53</v>
      </c>
      <c r="U900" s="927">
        <v>37.520000000000003</v>
      </c>
      <c r="V900" s="1013"/>
      <c r="W900" s="900">
        <f>IF(S900&lt;&gt;0,VLOOKUP(S900,VKT!$A$2:$G$415,7,0),"")</f>
        <v>121350</v>
      </c>
      <c r="X900" s="900">
        <f t="shared" si="182"/>
        <v>4553000</v>
      </c>
      <c r="Y900" s="925"/>
      <c r="Z900" s="928"/>
      <c r="AA900" s="928"/>
      <c r="AB900" s="904"/>
      <c r="AC900" s="928"/>
      <c r="AD900" s="928"/>
      <c r="AE900" s="928"/>
      <c r="AF900" s="926"/>
      <c r="AG900" s="906" t="str">
        <f>IF(AE900&lt;&gt;0,VLOOKUP(AE900,ODDS!$A$2:$C$13,3,0),"")</f>
        <v/>
      </c>
      <c r="AH900" s="906" t="str">
        <f t="shared" si="190"/>
        <v xml:space="preserve"> </v>
      </c>
      <c r="AI900" s="907" t="str">
        <f t="shared" si="185"/>
        <v xml:space="preserve"> </v>
      </c>
      <c r="AJ900" s="929"/>
      <c r="AK900" s="929"/>
    </row>
    <row r="901" spans="1:37" s="376" customFormat="1" ht="45" outlineLevel="2" x14ac:dyDescent="0.3">
      <c r="A901" s="447">
        <f t="shared" si="194"/>
        <v>72</v>
      </c>
      <c r="B901" s="893"/>
      <c r="C901" s="894"/>
      <c r="D901" s="923"/>
      <c r="E901" s="923"/>
      <c r="F901" s="896"/>
      <c r="G901" s="894"/>
      <c r="H901" s="924"/>
      <c r="I901" s="882"/>
      <c r="J901" s="925"/>
      <c r="K901" s="899" t="str">
        <f>IF(G901&lt;&gt;0,VLOOKUP(G901,'gia dat'!$A$1:$F$144,5,0)," ")</f>
        <v xml:space="preserve"> </v>
      </c>
      <c r="L901" s="899" t="str">
        <f>IF(G901&lt;&gt;0,VLOOKUP(G901,'gia dat'!$A$1:$F$144,6,0)," ")</f>
        <v xml:space="preserve"> </v>
      </c>
      <c r="M901" s="900" t="str">
        <f t="shared" si="186"/>
        <v xml:space="preserve"> </v>
      </c>
      <c r="N901" s="900" t="str">
        <f t="shared" si="187"/>
        <v xml:space="preserve"> </v>
      </c>
      <c r="O901" s="973" t="s">
        <v>76</v>
      </c>
      <c r="P901" s="926">
        <v>3</v>
      </c>
      <c r="Q901" s="900">
        <f>IF(O901&lt;&gt;0,VLOOKUP(O901,'Cây trong'!$A$2:$C$246,3,0)," ")</f>
        <v>45000</v>
      </c>
      <c r="R901" s="900">
        <f t="shared" si="189"/>
        <v>135000</v>
      </c>
      <c r="S901" s="973" t="s">
        <v>1799</v>
      </c>
      <c r="T901" s="1013" t="s">
        <v>53</v>
      </c>
      <c r="U901" s="927">
        <v>30</v>
      </c>
      <c r="V901" s="1013"/>
      <c r="W901" s="900">
        <f>IF(S901&lt;&gt;0,VLOOKUP(S901,VKT!$A$2:$G$415,7,0),"")</f>
        <v>275180</v>
      </c>
      <c r="X901" s="900">
        <f t="shared" si="182"/>
        <v>8255000</v>
      </c>
      <c r="Y901" s="925"/>
      <c r="Z901" s="928"/>
      <c r="AA901" s="928"/>
      <c r="AB901" s="904"/>
      <c r="AC901" s="928"/>
      <c r="AD901" s="928"/>
      <c r="AE901" s="928"/>
      <c r="AF901" s="926"/>
      <c r="AG901" s="906" t="str">
        <f>IF(AE901&lt;&gt;0,VLOOKUP(AE901,ODDS!$A$2:$C$13,3,0),"")</f>
        <v/>
      </c>
      <c r="AH901" s="906" t="str">
        <f t="shared" si="190"/>
        <v xml:space="preserve"> </v>
      </c>
      <c r="AI901" s="907" t="str">
        <f t="shared" si="185"/>
        <v xml:space="preserve"> </v>
      </c>
      <c r="AJ901" s="929"/>
      <c r="AK901" s="929"/>
    </row>
    <row r="902" spans="1:37" s="376" customFormat="1" ht="45" outlineLevel="2" x14ac:dyDescent="0.3">
      <c r="A902" s="447">
        <f t="shared" si="194"/>
        <v>72</v>
      </c>
      <c r="B902" s="893"/>
      <c r="C902" s="894"/>
      <c r="D902" s="923"/>
      <c r="E902" s="923"/>
      <c r="F902" s="896"/>
      <c r="G902" s="894"/>
      <c r="H902" s="924"/>
      <c r="I902" s="882"/>
      <c r="J902" s="925"/>
      <c r="K902" s="899" t="str">
        <f>IF(G902&lt;&gt;0,VLOOKUP(G902,'gia dat'!$A$1:$F$144,5,0)," ")</f>
        <v xml:space="preserve"> </v>
      </c>
      <c r="L902" s="899" t="str">
        <f>IF(G902&lt;&gt;0,VLOOKUP(G902,'gia dat'!$A$1:$F$144,6,0)," ")</f>
        <v xml:space="preserve"> </v>
      </c>
      <c r="M902" s="900" t="str">
        <f t="shared" si="186"/>
        <v xml:space="preserve"> </v>
      </c>
      <c r="N902" s="900" t="str">
        <f t="shared" si="187"/>
        <v xml:space="preserve"> </v>
      </c>
      <c r="O902" s="973" t="s">
        <v>776</v>
      </c>
      <c r="P902" s="926">
        <v>1</v>
      </c>
      <c r="Q902" s="900">
        <f>IF(O902&lt;&gt;0,VLOOKUP(O902,'Cây trong'!$A$2:$C$246,3,0)," ")</f>
        <v>600000</v>
      </c>
      <c r="R902" s="900">
        <f t="shared" si="189"/>
        <v>600000</v>
      </c>
      <c r="S902" s="973" t="s">
        <v>1799</v>
      </c>
      <c r="T902" s="1013" t="s">
        <v>53</v>
      </c>
      <c r="U902" s="927">
        <v>32.4</v>
      </c>
      <c r="V902" s="1013"/>
      <c r="W902" s="900">
        <f>IF(S902&lt;&gt;0,VLOOKUP(S902,VKT!$A$2:$G$415,7,0),"")</f>
        <v>275180</v>
      </c>
      <c r="X902" s="900">
        <f t="shared" ref="X902:X970" si="195">IF(S902&lt;&gt;0,ROUND(U902*W902,-3)," ")</f>
        <v>8916000</v>
      </c>
      <c r="Y902" s="925"/>
      <c r="Z902" s="928"/>
      <c r="AA902" s="928"/>
      <c r="AB902" s="904"/>
      <c r="AC902" s="928"/>
      <c r="AD902" s="928"/>
      <c r="AE902" s="928"/>
      <c r="AF902" s="926"/>
      <c r="AG902" s="906" t="str">
        <f>IF(AE902&lt;&gt;0,VLOOKUP(AE902,ODDS!$A$2:$C$13,3,0),"")</f>
        <v/>
      </c>
      <c r="AH902" s="906" t="str">
        <f t="shared" si="190"/>
        <v xml:space="preserve"> </v>
      </c>
      <c r="AI902" s="907" t="str">
        <f t="shared" si="185"/>
        <v xml:space="preserve"> </v>
      </c>
      <c r="AJ902" s="929"/>
      <c r="AK902" s="929"/>
    </row>
    <row r="903" spans="1:37" s="376" customFormat="1" ht="45" outlineLevel="2" x14ac:dyDescent="0.3">
      <c r="A903" s="447">
        <f t="shared" si="194"/>
        <v>72</v>
      </c>
      <c r="B903" s="893"/>
      <c r="C903" s="894"/>
      <c r="D903" s="923"/>
      <c r="E903" s="923"/>
      <c r="F903" s="896"/>
      <c r="G903" s="894"/>
      <c r="H903" s="924"/>
      <c r="I903" s="882"/>
      <c r="J903" s="925"/>
      <c r="K903" s="899" t="str">
        <f>IF(G903&lt;&gt;0,VLOOKUP(G903,'gia dat'!$A$1:$F$144,5,0)," ")</f>
        <v xml:space="preserve"> </v>
      </c>
      <c r="L903" s="899" t="str">
        <f>IF(G903&lt;&gt;0,VLOOKUP(G903,'gia dat'!$A$1:$F$144,6,0)," ")</f>
        <v xml:space="preserve"> </v>
      </c>
      <c r="M903" s="900" t="str">
        <f t="shared" si="186"/>
        <v xml:space="preserve"> </v>
      </c>
      <c r="N903" s="900" t="str">
        <f t="shared" si="187"/>
        <v xml:space="preserve"> </v>
      </c>
      <c r="O903" s="973" t="s">
        <v>275</v>
      </c>
      <c r="P903" s="926">
        <v>3</v>
      </c>
      <c r="Q903" s="900">
        <f>IF(O903&lt;&gt;0,VLOOKUP(O903,'Cây trong'!$A$2:$C$246,3,0)," ")</f>
        <v>360000</v>
      </c>
      <c r="R903" s="900">
        <f t="shared" si="189"/>
        <v>1080000</v>
      </c>
      <c r="S903" s="973" t="s">
        <v>1897</v>
      </c>
      <c r="T903" s="975" t="s">
        <v>53</v>
      </c>
      <c r="U903" s="927">
        <v>5</v>
      </c>
      <c r="V903" s="1013"/>
      <c r="W903" s="900">
        <f>IF(S903&lt;&gt;0,VLOOKUP(S903,VKT!$A$2:$G$415,7,0),"")</f>
        <v>0</v>
      </c>
      <c r="X903" s="900">
        <f t="shared" si="195"/>
        <v>0</v>
      </c>
      <c r="Y903" s="925"/>
      <c r="Z903" s="928"/>
      <c r="AA903" s="928"/>
      <c r="AB903" s="904"/>
      <c r="AC903" s="928"/>
      <c r="AD903" s="928"/>
      <c r="AE903" s="928"/>
      <c r="AF903" s="926"/>
      <c r="AG903" s="906" t="str">
        <f>IF(AE903&lt;&gt;0,VLOOKUP(AE903,ODDS!$A$2:$C$13,3,0),"")</f>
        <v/>
      </c>
      <c r="AH903" s="906" t="str">
        <f t="shared" si="190"/>
        <v xml:space="preserve"> </v>
      </c>
      <c r="AI903" s="907" t="str">
        <f t="shared" si="185"/>
        <v xml:space="preserve"> </v>
      </c>
      <c r="AJ903" s="929"/>
      <c r="AK903" s="929"/>
    </row>
    <row r="904" spans="1:37" s="376" customFormat="1" ht="45" outlineLevel="2" x14ac:dyDescent="0.3">
      <c r="A904" s="447">
        <f t="shared" ref="A904:A937" si="196">IF(B903&lt;&gt;0,B903,A903)</f>
        <v>72</v>
      </c>
      <c r="B904" s="893"/>
      <c r="C904" s="894"/>
      <c r="D904" s="923"/>
      <c r="E904" s="923"/>
      <c r="F904" s="896"/>
      <c r="G904" s="894"/>
      <c r="H904" s="924"/>
      <c r="I904" s="882"/>
      <c r="J904" s="925"/>
      <c r="K904" s="899" t="str">
        <f>IF(G904&lt;&gt;0,VLOOKUP(G904,'gia dat'!$A$1:$F$144,5,0)," ")</f>
        <v xml:space="preserve"> </v>
      </c>
      <c r="L904" s="899" t="str">
        <f>IF(G904&lt;&gt;0,VLOOKUP(G904,'gia dat'!$A$1:$F$144,6,0)," ")</f>
        <v xml:space="preserve"> </v>
      </c>
      <c r="M904" s="900" t="str">
        <f t="shared" si="186"/>
        <v xml:space="preserve"> </v>
      </c>
      <c r="N904" s="900" t="str">
        <f t="shared" si="187"/>
        <v xml:space="preserve"> </v>
      </c>
      <c r="O904" s="973" t="s">
        <v>276</v>
      </c>
      <c r="P904" s="926">
        <v>1</v>
      </c>
      <c r="Q904" s="900">
        <f>IF(O904&lt;&gt;0,VLOOKUP(O904,'Cây trong'!$A$2:$C$246,3,0)," ")</f>
        <v>228000</v>
      </c>
      <c r="R904" s="900">
        <f t="shared" si="189"/>
        <v>228000</v>
      </c>
      <c r="S904" s="973"/>
      <c r="T904" s="975"/>
      <c r="U904" s="927"/>
      <c r="V904" s="1013"/>
      <c r="W904" s="900" t="str">
        <f>IF(S904&lt;&gt;0,VLOOKUP(S904,VKT!$A$2:$G$415,7,0),"")</f>
        <v/>
      </c>
      <c r="X904" s="900" t="str">
        <f t="shared" si="195"/>
        <v xml:space="preserve"> </v>
      </c>
      <c r="Y904" s="925"/>
      <c r="Z904" s="928"/>
      <c r="AA904" s="928"/>
      <c r="AB904" s="904"/>
      <c r="AC904" s="928"/>
      <c r="AD904" s="928"/>
      <c r="AE904" s="928"/>
      <c r="AF904" s="926"/>
      <c r="AG904" s="906" t="str">
        <f>IF(AE904&lt;&gt;0,VLOOKUP(AE904,ODDS!$A$2:$C$13,3,0),"")</f>
        <v/>
      </c>
      <c r="AH904" s="906" t="str">
        <f t="shared" si="190"/>
        <v xml:space="preserve"> </v>
      </c>
      <c r="AI904" s="907" t="str">
        <f t="shared" si="185"/>
        <v xml:space="preserve"> </v>
      </c>
      <c r="AJ904" s="929"/>
      <c r="AK904" s="929"/>
    </row>
    <row r="905" spans="1:37" s="376" customFormat="1" ht="22.5" outlineLevel="2" x14ac:dyDescent="0.3">
      <c r="A905" s="447">
        <f t="shared" si="196"/>
        <v>72</v>
      </c>
      <c r="B905" s="893"/>
      <c r="C905" s="894"/>
      <c r="D905" s="923"/>
      <c r="E905" s="923"/>
      <c r="F905" s="896"/>
      <c r="G905" s="894"/>
      <c r="H905" s="924"/>
      <c r="I905" s="882"/>
      <c r="J905" s="925"/>
      <c r="K905" s="899" t="str">
        <f>IF(G905&lt;&gt;0,VLOOKUP(G905,'gia dat'!$A$1:$F$144,5,0)," ")</f>
        <v xml:space="preserve"> </v>
      </c>
      <c r="L905" s="899" t="str">
        <f>IF(G905&lt;&gt;0,VLOOKUP(G905,'gia dat'!$A$1:$F$144,6,0)," ")</f>
        <v xml:space="preserve"> </v>
      </c>
      <c r="M905" s="900" t="str">
        <f t="shared" si="186"/>
        <v xml:space="preserve"> </v>
      </c>
      <c r="N905" s="900" t="str">
        <f t="shared" si="187"/>
        <v xml:space="preserve"> </v>
      </c>
      <c r="O905" s="973" t="s">
        <v>728</v>
      </c>
      <c r="P905" s="926">
        <v>1</v>
      </c>
      <c r="Q905" s="900">
        <f>IF(O905&lt;&gt;0,VLOOKUP(O905,'Cây trong'!$A$2:$C$246,3,0)," ")</f>
        <v>60000</v>
      </c>
      <c r="R905" s="900">
        <f t="shared" si="189"/>
        <v>60000</v>
      </c>
      <c r="S905" s="973"/>
      <c r="T905" s="975"/>
      <c r="U905" s="927"/>
      <c r="V905" s="1013"/>
      <c r="W905" s="900" t="str">
        <f>IF(S905&lt;&gt;0,VLOOKUP(S905,VKT!$A$2:$G$415,7,0),"")</f>
        <v/>
      </c>
      <c r="X905" s="900" t="str">
        <f t="shared" si="195"/>
        <v xml:space="preserve"> </v>
      </c>
      <c r="Y905" s="925"/>
      <c r="Z905" s="928"/>
      <c r="AA905" s="928"/>
      <c r="AB905" s="904"/>
      <c r="AC905" s="928"/>
      <c r="AD905" s="928"/>
      <c r="AE905" s="928"/>
      <c r="AF905" s="926"/>
      <c r="AG905" s="906" t="str">
        <f>IF(AE905&lt;&gt;0,VLOOKUP(AE905,ODDS!$A$2:$C$13,3,0),"")</f>
        <v/>
      </c>
      <c r="AH905" s="906" t="str">
        <f t="shared" si="190"/>
        <v xml:space="preserve"> </v>
      </c>
      <c r="AI905" s="907" t="str">
        <f t="shared" ref="AI905:AI968" si="197">IF(B905&lt;&gt;0,M905+N905+R905+X905+AH905," ")</f>
        <v xml:space="preserve"> </v>
      </c>
      <c r="AJ905" s="929"/>
      <c r="AK905" s="929"/>
    </row>
    <row r="906" spans="1:37" s="376" customFormat="1" ht="22.5" outlineLevel="2" x14ac:dyDescent="0.3">
      <c r="A906" s="447">
        <f t="shared" si="196"/>
        <v>72</v>
      </c>
      <c r="B906" s="893"/>
      <c r="C906" s="894"/>
      <c r="D906" s="923"/>
      <c r="E906" s="923"/>
      <c r="F906" s="896"/>
      <c r="G906" s="894"/>
      <c r="H906" s="924"/>
      <c r="I906" s="882"/>
      <c r="J906" s="925"/>
      <c r="K906" s="899" t="str">
        <f>IF(G906&lt;&gt;0,VLOOKUP(G906,'gia dat'!$A$1:$F$144,5,0)," ")</f>
        <v xml:space="preserve"> </v>
      </c>
      <c r="L906" s="899" t="str">
        <f>IF(G906&lt;&gt;0,VLOOKUP(G906,'gia dat'!$A$1:$F$144,6,0)," ")</f>
        <v xml:space="preserve"> </v>
      </c>
      <c r="M906" s="900" t="str">
        <f t="shared" si="186"/>
        <v xml:space="preserve"> </v>
      </c>
      <c r="N906" s="900" t="str">
        <f t="shared" si="187"/>
        <v xml:space="preserve"> </v>
      </c>
      <c r="O906" s="973" t="s">
        <v>736</v>
      </c>
      <c r="P906" s="926">
        <v>8</v>
      </c>
      <c r="Q906" s="900">
        <f>IF(O906&lt;&gt;0,VLOOKUP(O906,'Cây trong'!$A$2:$C$246,3,0)," ")</f>
        <v>32000</v>
      </c>
      <c r="R906" s="900">
        <f t="shared" si="189"/>
        <v>256000</v>
      </c>
      <c r="S906" s="973"/>
      <c r="T906" s="975"/>
      <c r="U906" s="927"/>
      <c r="V906" s="1013"/>
      <c r="W906" s="900" t="str">
        <f>IF(S906&lt;&gt;0,VLOOKUP(S906,VKT!$A$2:$G$415,7,0),"")</f>
        <v/>
      </c>
      <c r="X906" s="900" t="str">
        <f t="shared" si="195"/>
        <v xml:space="preserve"> </v>
      </c>
      <c r="Y906" s="925"/>
      <c r="Z906" s="928"/>
      <c r="AA906" s="928"/>
      <c r="AB906" s="904"/>
      <c r="AC906" s="928"/>
      <c r="AD906" s="928"/>
      <c r="AE906" s="928"/>
      <c r="AF906" s="926"/>
      <c r="AG906" s="906" t="str">
        <f>IF(AE906&lt;&gt;0,VLOOKUP(AE906,ODDS!$A$2:$C$13,3,0),"")</f>
        <v/>
      </c>
      <c r="AH906" s="906" t="str">
        <f t="shared" si="190"/>
        <v xml:space="preserve"> </v>
      </c>
      <c r="AI906" s="907" t="str">
        <f t="shared" si="197"/>
        <v xml:space="preserve"> </v>
      </c>
      <c r="AJ906" s="929"/>
      <c r="AK906" s="929"/>
    </row>
    <row r="907" spans="1:37" s="376" customFormat="1" ht="22.5" outlineLevel="2" x14ac:dyDescent="0.3">
      <c r="A907" s="447">
        <f t="shared" si="196"/>
        <v>72</v>
      </c>
      <c r="B907" s="893"/>
      <c r="C907" s="894"/>
      <c r="D907" s="923"/>
      <c r="E907" s="923"/>
      <c r="F907" s="896"/>
      <c r="G907" s="894"/>
      <c r="H907" s="924"/>
      <c r="I907" s="882"/>
      <c r="J907" s="925"/>
      <c r="K907" s="899" t="str">
        <f>IF(G907&lt;&gt;0,VLOOKUP(G907,'gia dat'!$A$1:$F$144,5,0)," ")</f>
        <v xml:space="preserve"> </v>
      </c>
      <c r="L907" s="899" t="str">
        <f>IF(G907&lt;&gt;0,VLOOKUP(G907,'gia dat'!$A$1:$F$144,6,0)," ")</f>
        <v xml:space="preserve"> </v>
      </c>
      <c r="M907" s="900" t="str">
        <f t="shared" si="186"/>
        <v xml:space="preserve"> </v>
      </c>
      <c r="N907" s="900" t="str">
        <f t="shared" si="187"/>
        <v xml:space="preserve"> </v>
      </c>
      <c r="O907" s="973" t="s">
        <v>777</v>
      </c>
      <c r="P907" s="926">
        <v>1</v>
      </c>
      <c r="Q907" s="900">
        <f>IF(O907&lt;&gt;0,VLOOKUP(O907,'Cây trong'!$A$2:$C$246,3,0)," ")</f>
        <v>32000</v>
      </c>
      <c r="R907" s="900">
        <f t="shared" si="189"/>
        <v>32000</v>
      </c>
      <c r="S907" s="973"/>
      <c r="T907" s="975"/>
      <c r="U907" s="927"/>
      <c r="V907" s="1013"/>
      <c r="W907" s="900" t="str">
        <f>IF(S907&lt;&gt;0,VLOOKUP(S907,VKT!$A$2:$G$415,7,0),"")</f>
        <v/>
      </c>
      <c r="X907" s="900" t="str">
        <f t="shared" si="195"/>
        <v xml:space="preserve"> </v>
      </c>
      <c r="Y907" s="925"/>
      <c r="Z907" s="928"/>
      <c r="AA907" s="928"/>
      <c r="AB907" s="904"/>
      <c r="AC907" s="928"/>
      <c r="AD907" s="928"/>
      <c r="AE907" s="928"/>
      <c r="AF907" s="926"/>
      <c r="AG907" s="906" t="str">
        <f>IF(AE907&lt;&gt;0,VLOOKUP(AE907,ODDS!$A$2:$C$13,3,0),"")</f>
        <v/>
      </c>
      <c r="AH907" s="906" t="str">
        <f t="shared" si="190"/>
        <v xml:space="preserve"> </v>
      </c>
      <c r="AI907" s="907" t="str">
        <f t="shared" si="197"/>
        <v xml:space="preserve"> </v>
      </c>
      <c r="AJ907" s="929"/>
      <c r="AK907" s="929"/>
    </row>
    <row r="908" spans="1:37" s="376" customFormat="1" ht="22.5" outlineLevel="2" x14ac:dyDescent="0.3">
      <c r="A908" s="447">
        <f t="shared" si="196"/>
        <v>72</v>
      </c>
      <c r="B908" s="893"/>
      <c r="C908" s="894"/>
      <c r="D908" s="923"/>
      <c r="E908" s="923"/>
      <c r="F908" s="896"/>
      <c r="G908" s="894"/>
      <c r="H908" s="924"/>
      <c r="I908" s="882"/>
      <c r="J908" s="925"/>
      <c r="K908" s="899" t="str">
        <f>IF(G908&lt;&gt;0,VLOOKUP(G908,'gia dat'!$A$1:$F$144,5,0)," ")</f>
        <v xml:space="preserve"> </v>
      </c>
      <c r="L908" s="899" t="str">
        <f>IF(G908&lt;&gt;0,VLOOKUP(G908,'gia dat'!$A$1:$F$144,6,0)," ")</f>
        <v xml:space="preserve"> </v>
      </c>
      <c r="M908" s="900" t="str">
        <f t="shared" si="186"/>
        <v xml:space="preserve"> </v>
      </c>
      <c r="N908" s="900" t="str">
        <f t="shared" si="187"/>
        <v xml:space="preserve"> </v>
      </c>
      <c r="O908" s="973" t="s">
        <v>352</v>
      </c>
      <c r="P908" s="926">
        <v>1</v>
      </c>
      <c r="Q908" s="900">
        <f>IF(O908&lt;&gt;0,VLOOKUP(O908,'Cây trong'!$A$2:$C$246,3,0)," ")</f>
        <v>60000</v>
      </c>
      <c r="R908" s="900">
        <f t="shared" si="189"/>
        <v>60000</v>
      </c>
      <c r="S908" s="973"/>
      <c r="T908" s="975"/>
      <c r="U908" s="927"/>
      <c r="V908" s="1013"/>
      <c r="W908" s="900" t="str">
        <f>IF(S908&lt;&gt;0,VLOOKUP(S908,VKT!$A$2:$G$415,7,0),"")</f>
        <v/>
      </c>
      <c r="X908" s="900" t="str">
        <f t="shared" si="195"/>
        <v xml:space="preserve"> </v>
      </c>
      <c r="Y908" s="925"/>
      <c r="Z908" s="928"/>
      <c r="AA908" s="928"/>
      <c r="AB908" s="904"/>
      <c r="AC908" s="928"/>
      <c r="AD908" s="928"/>
      <c r="AE908" s="928"/>
      <c r="AF908" s="926"/>
      <c r="AG908" s="906" t="str">
        <f>IF(AE908&lt;&gt;0,VLOOKUP(AE908,ODDS!$A$2:$C$13,3,0),"")</f>
        <v/>
      </c>
      <c r="AH908" s="906" t="str">
        <f t="shared" si="190"/>
        <v xml:space="preserve"> </v>
      </c>
      <c r="AI908" s="907" t="str">
        <f t="shared" si="197"/>
        <v xml:space="preserve"> </v>
      </c>
      <c r="AJ908" s="929"/>
      <c r="AK908" s="929"/>
    </row>
    <row r="909" spans="1:37" s="376" customFormat="1" ht="22.5" outlineLevel="2" x14ac:dyDescent="0.3">
      <c r="A909" s="447">
        <f t="shared" si="196"/>
        <v>72</v>
      </c>
      <c r="B909" s="893"/>
      <c r="C909" s="894"/>
      <c r="D909" s="923"/>
      <c r="E909" s="923"/>
      <c r="F909" s="896"/>
      <c r="G909" s="894"/>
      <c r="H909" s="924"/>
      <c r="I909" s="882"/>
      <c r="J909" s="925"/>
      <c r="K909" s="899" t="str">
        <f>IF(G909&lt;&gt;0,VLOOKUP(G909,'gia dat'!$A$1:$F$144,5,0)," ")</f>
        <v xml:space="preserve"> </v>
      </c>
      <c r="L909" s="899" t="str">
        <f>IF(G909&lt;&gt;0,VLOOKUP(G909,'gia dat'!$A$1:$F$144,6,0)," ")</f>
        <v xml:space="preserve"> </v>
      </c>
      <c r="M909" s="900" t="str">
        <f t="shared" si="186"/>
        <v xml:space="preserve"> </v>
      </c>
      <c r="N909" s="900" t="str">
        <f t="shared" si="187"/>
        <v xml:space="preserve"> </v>
      </c>
      <c r="O909" s="973" t="s">
        <v>89</v>
      </c>
      <c r="P909" s="926">
        <v>2</v>
      </c>
      <c r="Q909" s="900">
        <f>IF(O909&lt;&gt;0,VLOOKUP(O909,'Cây trong'!$A$2:$C$246,3,0)," ")</f>
        <v>283000</v>
      </c>
      <c r="R909" s="900">
        <f t="shared" si="189"/>
        <v>566000</v>
      </c>
      <c r="S909" s="973"/>
      <c r="T909" s="975"/>
      <c r="U909" s="927"/>
      <c r="V909" s="1013"/>
      <c r="W909" s="900" t="str">
        <f>IF(S909&lt;&gt;0,VLOOKUP(S909,VKT!$A$2:$G$415,7,0),"")</f>
        <v/>
      </c>
      <c r="X909" s="900" t="str">
        <f t="shared" si="195"/>
        <v xml:space="preserve"> </v>
      </c>
      <c r="Y909" s="925"/>
      <c r="Z909" s="928"/>
      <c r="AA909" s="928"/>
      <c r="AB909" s="904"/>
      <c r="AC909" s="928"/>
      <c r="AD909" s="928"/>
      <c r="AE909" s="928"/>
      <c r="AF909" s="926"/>
      <c r="AG909" s="906" t="str">
        <f>IF(AE909&lt;&gt;0,VLOOKUP(AE909,ODDS!$A$2:$C$13,3,0),"")</f>
        <v/>
      </c>
      <c r="AH909" s="906" t="str">
        <f t="shared" si="190"/>
        <v xml:space="preserve"> </v>
      </c>
      <c r="AI909" s="907" t="str">
        <f t="shared" si="197"/>
        <v xml:space="preserve"> </v>
      </c>
      <c r="AJ909" s="929"/>
      <c r="AK909" s="929"/>
    </row>
    <row r="910" spans="1:37" s="376" customFormat="1" ht="45" outlineLevel="2" x14ac:dyDescent="0.3">
      <c r="A910" s="447">
        <f t="shared" si="196"/>
        <v>72</v>
      </c>
      <c r="B910" s="893"/>
      <c r="C910" s="894"/>
      <c r="D910" s="923"/>
      <c r="E910" s="923"/>
      <c r="F910" s="896"/>
      <c r="G910" s="894"/>
      <c r="H910" s="924"/>
      <c r="I910" s="882"/>
      <c r="J910" s="925"/>
      <c r="K910" s="899" t="str">
        <f>IF(G910&lt;&gt;0,VLOOKUP(G910,'gia dat'!$A$1:$F$144,5,0)," ")</f>
        <v xml:space="preserve"> </v>
      </c>
      <c r="L910" s="899" t="str">
        <f>IF(G910&lt;&gt;0,VLOOKUP(G910,'gia dat'!$A$1:$F$144,6,0)," ")</f>
        <v xml:space="preserve"> </v>
      </c>
      <c r="M910" s="900" t="str">
        <f t="shared" si="186"/>
        <v xml:space="preserve"> </v>
      </c>
      <c r="N910" s="900" t="str">
        <f t="shared" si="187"/>
        <v xml:space="preserve"> </v>
      </c>
      <c r="O910" s="973" t="s">
        <v>732</v>
      </c>
      <c r="P910" s="926">
        <v>2</v>
      </c>
      <c r="Q910" s="900">
        <f>IF(O910&lt;&gt;0,VLOOKUP(O910,'Cây trong'!$A$2:$C$246,3,0)," ")</f>
        <v>72000</v>
      </c>
      <c r="R910" s="900">
        <f t="shared" si="189"/>
        <v>144000</v>
      </c>
      <c r="S910" s="973"/>
      <c r="T910" s="975"/>
      <c r="U910" s="927"/>
      <c r="V910" s="1013"/>
      <c r="W910" s="900" t="str">
        <f>IF(S910&lt;&gt;0,VLOOKUP(S910,VKT!$A$2:$G$415,7,0),"")</f>
        <v/>
      </c>
      <c r="X910" s="900" t="str">
        <f t="shared" si="195"/>
        <v xml:space="preserve"> </v>
      </c>
      <c r="Y910" s="925"/>
      <c r="Z910" s="928"/>
      <c r="AA910" s="928"/>
      <c r="AB910" s="904"/>
      <c r="AC910" s="928"/>
      <c r="AD910" s="928"/>
      <c r="AE910" s="928"/>
      <c r="AF910" s="926"/>
      <c r="AG910" s="906" t="str">
        <f>IF(AE910&lt;&gt;0,VLOOKUP(AE910,ODDS!$A$2:$C$13,3,0),"")</f>
        <v/>
      </c>
      <c r="AH910" s="906" t="str">
        <f t="shared" si="190"/>
        <v xml:space="preserve"> </v>
      </c>
      <c r="AI910" s="907" t="str">
        <f t="shared" si="197"/>
        <v xml:space="preserve"> </v>
      </c>
      <c r="AJ910" s="929"/>
      <c r="AK910" s="929"/>
    </row>
    <row r="911" spans="1:37" s="376" customFormat="1" ht="22.5" outlineLevel="2" x14ac:dyDescent="0.3">
      <c r="A911" s="447">
        <f t="shared" si="196"/>
        <v>72</v>
      </c>
      <c r="B911" s="893"/>
      <c r="C911" s="894"/>
      <c r="D911" s="923"/>
      <c r="E911" s="923"/>
      <c r="F911" s="896"/>
      <c r="G911" s="894"/>
      <c r="H911" s="924"/>
      <c r="I911" s="882"/>
      <c r="J911" s="925"/>
      <c r="K911" s="899" t="str">
        <f>IF(G911&lt;&gt;0,VLOOKUP(G911,'gia dat'!$A$1:$F$144,5,0)," ")</f>
        <v xml:space="preserve"> </v>
      </c>
      <c r="L911" s="899" t="str">
        <f>IF(G911&lt;&gt;0,VLOOKUP(G911,'gia dat'!$A$1:$F$144,6,0)," ")</f>
        <v xml:space="preserve"> </v>
      </c>
      <c r="M911" s="900" t="str">
        <f t="shared" si="186"/>
        <v xml:space="preserve"> </v>
      </c>
      <c r="N911" s="900" t="str">
        <f t="shared" si="187"/>
        <v xml:space="preserve"> </v>
      </c>
      <c r="O911" s="973" t="s">
        <v>61</v>
      </c>
      <c r="P911" s="926">
        <v>9</v>
      </c>
      <c r="Q911" s="900">
        <f>IF(O911&lt;&gt;0,VLOOKUP(O911,'Cây trong'!$A$2:$C$246,3,0)," ")</f>
        <v>1708000</v>
      </c>
      <c r="R911" s="900">
        <f t="shared" si="189"/>
        <v>15372000</v>
      </c>
      <c r="S911" s="973"/>
      <c r="T911" s="975"/>
      <c r="U911" s="927"/>
      <c r="V911" s="1013"/>
      <c r="W911" s="900" t="str">
        <f>IF(S911&lt;&gt;0,VLOOKUP(S911,VKT!$A$2:$G$415,7,0),"")</f>
        <v/>
      </c>
      <c r="X911" s="900" t="str">
        <f t="shared" si="195"/>
        <v xml:space="preserve"> </v>
      </c>
      <c r="Y911" s="925"/>
      <c r="Z911" s="928"/>
      <c r="AA911" s="928"/>
      <c r="AB911" s="904"/>
      <c r="AC911" s="928"/>
      <c r="AD911" s="928"/>
      <c r="AE911" s="928"/>
      <c r="AF911" s="926"/>
      <c r="AG911" s="906" t="str">
        <f>IF(AE911&lt;&gt;0,VLOOKUP(AE911,ODDS!$A$2:$C$13,3,0),"")</f>
        <v/>
      </c>
      <c r="AH911" s="906" t="str">
        <f t="shared" si="190"/>
        <v xml:space="preserve"> </v>
      </c>
      <c r="AI911" s="907" t="str">
        <f t="shared" si="197"/>
        <v xml:space="preserve"> </v>
      </c>
      <c r="AJ911" s="929"/>
      <c r="AK911" s="929"/>
    </row>
    <row r="912" spans="1:37" s="376" customFormat="1" ht="22.5" outlineLevel="2" x14ac:dyDescent="0.3">
      <c r="A912" s="447">
        <f t="shared" si="196"/>
        <v>72</v>
      </c>
      <c r="B912" s="893"/>
      <c r="C912" s="894"/>
      <c r="D912" s="923"/>
      <c r="E912" s="923"/>
      <c r="F912" s="896"/>
      <c r="G912" s="894"/>
      <c r="H912" s="924"/>
      <c r="I912" s="882"/>
      <c r="J912" s="925"/>
      <c r="K912" s="899" t="str">
        <f>IF(G912&lt;&gt;0,VLOOKUP(G912,'gia dat'!$A$1:$F$144,5,0)," ")</f>
        <v xml:space="preserve"> </v>
      </c>
      <c r="L912" s="899" t="str">
        <f>IF(G912&lt;&gt;0,VLOOKUP(G912,'gia dat'!$A$1:$F$144,6,0)," ")</f>
        <v xml:space="preserve"> </v>
      </c>
      <c r="M912" s="900" t="str">
        <f t="shared" si="186"/>
        <v xml:space="preserve"> </v>
      </c>
      <c r="N912" s="900" t="str">
        <f t="shared" si="187"/>
        <v xml:space="preserve"> </v>
      </c>
      <c r="O912" s="973" t="s">
        <v>64</v>
      </c>
      <c r="P912" s="926">
        <v>11</v>
      </c>
      <c r="Q912" s="900">
        <f>IF(O912&lt;&gt;0,VLOOKUP(O912,'Cây trong'!$A$2:$C$246,3,0)," ")</f>
        <v>1122000</v>
      </c>
      <c r="R912" s="900">
        <f t="shared" si="189"/>
        <v>12342000</v>
      </c>
      <c r="S912" s="973"/>
      <c r="T912" s="975"/>
      <c r="U912" s="927"/>
      <c r="V912" s="1013"/>
      <c r="W912" s="900" t="str">
        <f>IF(S912&lt;&gt;0,VLOOKUP(S912,VKT!$A$2:$G$415,7,0),"")</f>
        <v/>
      </c>
      <c r="X912" s="900" t="str">
        <f t="shared" si="195"/>
        <v xml:space="preserve"> </v>
      </c>
      <c r="Y912" s="925"/>
      <c r="Z912" s="928"/>
      <c r="AA912" s="928"/>
      <c r="AB912" s="904"/>
      <c r="AC912" s="928"/>
      <c r="AD912" s="928"/>
      <c r="AE912" s="928"/>
      <c r="AF912" s="926"/>
      <c r="AG912" s="906" t="str">
        <f>IF(AE912&lt;&gt;0,VLOOKUP(AE912,ODDS!$A$2:$C$13,3,0),"")</f>
        <v/>
      </c>
      <c r="AH912" s="906" t="str">
        <f t="shared" si="190"/>
        <v xml:space="preserve"> </v>
      </c>
      <c r="AI912" s="907" t="str">
        <f t="shared" si="197"/>
        <v xml:space="preserve"> </v>
      </c>
      <c r="AJ912" s="929"/>
      <c r="AK912" s="929"/>
    </row>
    <row r="913" spans="1:37" s="376" customFormat="1" ht="22.5" outlineLevel="2" x14ac:dyDescent="0.3">
      <c r="A913" s="447">
        <f t="shared" si="196"/>
        <v>72</v>
      </c>
      <c r="B913" s="893"/>
      <c r="C913" s="894"/>
      <c r="D913" s="923"/>
      <c r="E913" s="923"/>
      <c r="F913" s="896"/>
      <c r="G913" s="894"/>
      <c r="H913" s="924"/>
      <c r="I913" s="882"/>
      <c r="J913" s="925"/>
      <c r="K913" s="899" t="str">
        <f>IF(G913&lt;&gt;0,VLOOKUP(G913,'gia dat'!$A$1:$F$144,5,0)," ")</f>
        <v xml:space="preserve"> </v>
      </c>
      <c r="L913" s="899" t="str">
        <f>IF(G913&lt;&gt;0,VLOOKUP(G913,'gia dat'!$A$1:$F$144,6,0)," ")</f>
        <v xml:space="preserve"> </v>
      </c>
      <c r="M913" s="900" t="str">
        <f t="shared" ref="M913:M982" si="198">IF(H913&lt;&gt;0,ROUND(H913*K913,-3)," ")</f>
        <v xml:space="preserve"> </v>
      </c>
      <c r="N913" s="900" t="str">
        <f t="shared" ref="N913:N982" si="199">IF(H913&lt;&gt;0,ROUND(H913*L913,-3)," ")</f>
        <v xml:space="preserve"> </v>
      </c>
      <c r="O913" s="973" t="s">
        <v>67</v>
      </c>
      <c r="P913" s="926">
        <v>38</v>
      </c>
      <c r="Q913" s="900">
        <f>IF(O913&lt;&gt;0,VLOOKUP(O913,'Cây trong'!$A$2:$C$246,3,0)," ")</f>
        <v>494000</v>
      </c>
      <c r="R913" s="900">
        <f t="shared" si="189"/>
        <v>18772000</v>
      </c>
      <c r="S913" s="973"/>
      <c r="T913" s="975"/>
      <c r="U913" s="927"/>
      <c r="V913" s="1013"/>
      <c r="W913" s="900" t="str">
        <f>IF(S913&lt;&gt;0,VLOOKUP(S913,VKT!$A$2:$G$415,7,0),"")</f>
        <v/>
      </c>
      <c r="X913" s="900" t="str">
        <f t="shared" si="195"/>
        <v xml:space="preserve"> </v>
      </c>
      <c r="Y913" s="925"/>
      <c r="Z913" s="928"/>
      <c r="AA913" s="928"/>
      <c r="AB913" s="904"/>
      <c r="AC913" s="928"/>
      <c r="AD913" s="928"/>
      <c r="AE913" s="928"/>
      <c r="AF913" s="926"/>
      <c r="AG913" s="906" t="str">
        <f>IF(AE913&lt;&gt;0,VLOOKUP(AE913,ODDS!$A$2:$C$13,3,0),"")</f>
        <v/>
      </c>
      <c r="AH913" s="906" t="str">
        <f t="shared" si="190"/>
        <v xml:space="preserve"> </v>
      </c>
      <c r="AI913" s="907" t="str">
        <f t="shared" si="197"/>
        <v xml:space="preserve"> </v>
      </c>
      <c r="AJ913" s="929"/>
      <c r="AK913" s="929"/>
    </row>
    <row r="914" spans="1:37" s="376" customFormat="1" ht="22.5" outlineLevel="2" x14ac:dyDescent="0.3">
      <c r="A914" s="447">
        <f t="shared" si="196"/>
        <v>72</v>
      </c>
      <c r="B914" s="893"/>
      <c r="C914" s="894"/>
      <c r="D914" s="923"/>
      <c r="E914" s="923"/>
      <c r="F914" s="896"/>
      <c r="G914" s="894"/>
      <c r="H914" s="924"/>
      <c r="I914" s="882"/>
      <c r="J914" s="925"/>
      <c r="K914" s="899" t="str">
        <f>IF(G914&lt;&gt;0,VLOOKUP(G914,'gia dat'!$A$1:$F$144,5,0)," ")</f>
        <v xml:space="preserve"> </v>
      </c>
      <c r="L914" s="899" t="str">
        <f>IF(G914&lt;&gt;0,VLOOKUP(G914,'gia dat'!$A$1:$F$144,6,0)," ")</f>
        <v xml:space="preserve"> </v>
      </c>
      <c r="M914" s="900" t="str">
        <f t="shared" si="198"/>
        <v xml:space="preserve"> </v>
      </c>
      <c r="N914" s="900" t="str">
        <f t="shared" si="199"/>
        <v xml:space="preserve"> </v>
      </c>
      <c r="O914" s="973" t="s">
        <v>69</v>
      </c>
      <c r="P914" s="926">
        <v>11</v>
      </c>
      <c r="Q914" s="900">
        <f>IF(O914&lt;&gt;0,VLOOKUP(O914,'Cây trong'!$A$2:$C$246,3,0)," ")</f>
        <v>211000</v>
      </c>
      <c r="R914" s="900">
        <f t="shared" si="189"/>
        <v>2321000</v>
      </c>
      <c r="S914" s="973"/>
      <c r="T914" s="975"/>
      <c r="U914" s="927"/>
      <c r="V914" s="1013"/>
      <c r="W914" s="900" t="str">
        <f>IF(S914&lt;&gt;0,VLOOKUP(S914,VKT!$A$2:$G$415,7,0),"")</f>
        <v/>
      </c>
      <c r="X914" s="900" t="str">
        <f t="shared" si="195"/>
        <v xml:space="preserve"> </v>
      </c>
      <c r="Y914" s="925"/>
      <c r="Z914" s="928"/>
      <c r="AA914" s="928"/>
      <c r="AB914" s="904"/>
      <c r="AC914" s="928"/>
      <c r="AD914" s="928"/>
      <c r="AE914" s="928"/>
      <c r="AF914" s="926"/>
      <c r="AG914" s="906" t="str">
        <f>IF(AE914&lt;&gt;0,VLOOKUP(AE914,ODDS!$A$2:$C$13,3,0),"")</f>
        <v/>
      </c>
      <c r="AH914" s="906" t="str">
        <f t="shared" si="190"/>
        <v xml:space="preserve"> </v>
      </c>
      <c r="AI914" s="907" t="str">
        <f t="shared" si="197"/>
        <v xml:space="preserve"> </v>
      </c>
      <c r="AJ914" s="929"/>
      <c r="AK914" s="929"/>
    </row>
    <row r="915" spans="1:37" s="376" customFormat="1" ht="22.5" outlineLevel="2" x14ac:dyDescent="0.3">
      <c r="A915" s="447">
        <f t="shared" si="196"/>
        <v>72</v>
      </c>
      <c r="B915" s="893"/>
      <c r="C915" s="894"/>
      <c r="D915" s="923"/>
      <c r="E915" s="923"/>
      <c r="F915" s="896"/>
      <c r="G915" s="894"/>
      <c r="H915" s="924"/>
      <c r="I915" s="882"/>
      <c r="J915" s="925"/>
      <c r="K915" s="899" t="str">
        <f>IF(G915&lt;&gt;0,VLOOKUP(G915,'gia dat'!$A$1:$F$144,5,0)," ")</f>
        <v xml:space="preserve"> </v>
      </c>
      <c r="L915" s="899" t="str">
        <f>IF(G915&lt;&gt;0,VLOOKUP(G915,'gia dat'!$A$1:$F$144,6,0)," ")</f>
        <v xml:space="preserve"> </v>
      </c>
      <c r="M915" s="900" t="str">
        <f t="shared" si="198"/>
        <v xml:space="preserve"> </v>
      </c>
      <c r="N915" s="900" t="str">
        <f t="shared" si="199"/>
        <v xml:space="preserve"> </v>
      </c>
      <c r="O915" s="973" t="s">
        <v>72</v>
      </c>
      <c r="P915" s="926">
        <v>36</v>
      </c>
      <c r="Q915" s="900">
        <f>IF(O915&lt;&gt;0,VLOOKUP(O915,'Cây trong'!$A$2:$C$246,3,0)," ")</f>
        <v>132000</v>
      </c>
      <c r="R915" s="900">
        <f t="shared" si="189"/>
        <v>4752000</v>
      </c>
      <c r="S915" s="973"/>
      <c r="T915" s="975"/>
      <c r="U915" s="927"/>
      <c r="V915" s="1013"/>
      <c r="W915" s="900" t="str">
        <f>IF(S915&lt;&gt;0,VLOOKUP(S915,VKT!$A$2:$G$415,7,0),"")</f>
        <v/>
      </c>
      <c r="X915" s="900" t="str">
        <f t="shared" si="195"/>
        <v xml:space="preserve"> </v>
      </c>
      <c r="Y915" s="925"/>
      <c r="Z915" s="928"/>
      <c r="AA915" s="928"/>
      <c r="AB915" s="904"/>
      <c r="AC915" s="928"/>
      <c r="AD915" s="928"/>
      <c r="AE915" s="928"/>
      <c r="AF915" s="926"/>
      <c r="AG915" s="906" t="str">
        <f>IF(AE915&lt;&gt;0,VLOOKUP(AE915,ODDS!$A$2:$C$13,3,0),"")</f>
        <v/>
      </c>
      <c r="AH915" s="906" t="str">
        <f t="shared" si="190"/>
        <v xml:space="preserve"> </v>
      </c>
      <c r="AI915" s="907" t="str">
        <f t="shared" si="197"/>
        <v xml:space="preserve"> </v>
      </c>
      <c r="AJ915" s="929"/>
      <c r="AK915" s="929"/>
    </row>
    <row r="916" spans="1:37" s="376" customFormat="1" ht="22.5" outlineLevel="2" x14ac:dyDescent="0.3">
      <c r="A916" s="447">
        <f t="shared" si="196"/>
        <v>72</v>
      </c>
      <c r="B916" s="893"/>
      <c r="C916" s="894"/>
      <c r="D916" s="923"/>
      <c r="E916" s="923"/>
      <c r="F916" s="896"/>
      <c r="G916" s="894"/>
      <c r="H916" s="924"/>
      <c r="I916" s="882"/>
      <c r="J916" s="925"/>
      <c r="K916" s="899" t="str">
        <f>IF(G916&lt;&gt;0,VLOOKUP(G916,'gia dat'!$A$1:$F$144,5,0)," ")</f>
        <v xml:space="preserve"> </v>
      </c>
      <c r="L916" s="899" t="str">
        <f>IF(G916&lt;&gt;0,VLOOKUP(G916,'gia dat'!$A$1:$F$144,6,0)," ")</f>
        <v xml:space="preserve"> </v>
      </c>
      <c r="M916" s="900" t="str">
        <f t="shared" si="198"/>
        <v xml:space="preserve"> </v>
      </c>
      <c r="N916" s="900" t="str">
        <f t="shared" si="199"/>
        <v xml:space="preserve"> </v>
      </c>
      <c r="O916" s="973" t="s">
        <v>73</v>
      </c>
      <c r="P916" s="926">
        <v>39</v>
      </c>
      <c r="Q916" s="900">
        <f>IF(O916&lt;&gt;0,VLOOKUP(O916,'Cây trong'!$A$2:$C$246,3,0)," ")</f>
        <v>76000</v>
      </c>
      <c r="R916" s="900">
        <f t="shared" si="189"/>
        <v>2964000</v>
      </c>
      <c r="S916" s="973"/>
      <c r="T916" s="975"/>
      <c r="U916" s="927"/>
      <c r="V916" s="1013"/>
      <c r="W916" s="900" t="str">
        <f>IF(S916&lt;&gt;0,VLOOKUP(S916,VKT!$A$2:$G$415,7,0),"")</f>
        <v/>
      </c>
      <c r="X916" s="900" t="str">
        <f t="shared" si="195"/>
        <v xml:space="preserve"> </v>
      </c>
      <c r="Y916" s="925"/>
      <c r="Z916" s="928"/>
      <c r="AA916" s="928"/>
      <c r="AB916" s="904"/>
      <c r="AC916" s="928"/>
      <c r="AD916" s="928"/>
      <c r="AE916" s="928"/>
      <c r="AF916" s="926"/>
      <c r="AG916" s="906" t="str">
        <f>IF(AE916&lt;&gt;0,VLOOKUP(AE916,ODDS!$A$2:$C$13,3,0),"")</f>
        <v/>
      </c>
      <c r="AH916" s="906" t="str">
        <f t="shared" si="190"/>
        <v xml:space="preserve"> </v>
      </c>
      <c r="AI916" s="907" t="str">
        <f t="shared" si="197"/>
        <v xml:space="preserve"> </v>
      </c>
      <c r="AJ916" s="929"/>
      <c r="AK916" s="929"/>
    </row>
    <row r="917" spans="1:37" s="376" customFormat="1" ht="22.5" outlineLevel="2" x14ac:dyDescent="0.3">
      <c r="A917" s="447">
        <f t="shared" si="196"/>
        <v>72</v>
      </c>
      <c r="B917" s="893"/>
      <c r="C917" s="894"/>
      <c r="D917" s="923"/>
      <c r="E917" s="923"/>
      <c r="F917" s="896"/>
      <c r="G917" s="894"/>
      <c r="H917" s="924"/>
      <c r="I917" s="882"/>
      <c r="J917" s="925"/>
      <c r="K917" s="899" t="str">
        <f>IF(G917&lt;&gt;0,VLOOKUP(G917,'gia dat'!$A$1:$F$144,5,0)," ")</f>
        <v xml:space="preserve"> </v>
      </c>
      <c r="L917" s="899" t="str">
        <f>IF(G917&lt;&gt;0,VLOOKUP(G917,'gia dat'!$A$1:$F$144,6,0)," ")</f>
        <v xml:space="preserve"> </v>
      </c>
      <c r="M917" s="900" t="str">
        <f t="shared" si="198"/>
        <v xml:space="preserve"> </v>
      </c>
      <c r="N917" s="900" t="str">
        <f t="shared" si="199"/>
        <v xml:space="preserve"> </v>
      </c>
      <c r="O917" s="973" t="s">
        <v>75</v>
      </c>
      <c r="P917" s="926">
        <v>52</v>
      </c>
      <c r="Q917" s="900">
        <f>IF(O917&lt;&gt;0,VLOOKUP(O917,'Cây trong'!$A$2:$C$246,3,0)," ")</f>
        <v>34000</v>
      </c>
      <c r="R917" s="900">
        <f t="shared" si="189"/>
        <v>1768000</v>
      </c>
      <c r="S917" s="973"/>
      <c r="T917" s="975"/>
      <c r="U917" s="927"/>
      <c r="V917" s="1013"/>
      <c r="W917" s="900" t="str">
        <f>IF(S917&lt;&gt;0,VLOOKUP(S917,VKT!$A$2:$G$415,7,0),"")</f>
        <v/>
      </c>
      <c r="X917" s="900" t="str">
        <f t="shared" si="195"/>
        <v xml:space="preserve"> </v>
      </c>
      <c r="Y917" s="925"/>
      <c r="Z917" s="928"/>
      <c r="AA917" s="928"/>
      <c r="AB917" s="904"/>
      <c r="AC917" s="928"/>
      <c r="AD917" s="928"/>
      <c r="AE917" s="928"/>
      <c r="AF917" s="926"/>
      <c r="AG917" s="906" t="str">
        <f>IF(AE917&lt;&gt;0,VLOOKUP(AE917,ODDS!$A$2:$C$13,3,0),"")</f>
        <v/>
      </c>
      <c r="AH917" s="906" t="str">
        <f t="shared" si="190"/>
        <v xml:space="preserve"> </v>
      </c>
      <c r="AI917" s="907" t="str">
        <f t="shared" si="197"/>
        <v xml:space="preserve"> </v>
      </c>
      <c r="AJ917" s="929"/>
      <c r="AK917" s="929"/>
    </row>
    <row r="918" spans="1:37" s="376" customFormat="1" ht="45" outlineLevel="2" x14ac:dyDescent="0.3">
      <c r="A918" s="447">
        <f t="shared" si="196"/>
        <v>72</v>
      </c>
      <c r="B918" s="893"/>
      <c r="C918" s="894"/>
      <c r="D918" s="923"/>
      <c r="E918" s="923"/>
      <c r="F918" s="896"/>
      <c r="G918" s="894"/>
      <c r="H918" s="924"/>
      <c r="I918" s="882"/>
      <c r="J918" s="925"/>
      <c r="K918" s="899" t="str">
        <f>IF(G918&lt;&gt;0,VLOOKUP(G918,'gia dat'!$A$1:$F$144,5,0)," ")</f>
        <v xml:space="preserve"> </v>
      </c>
      <c r="L918" s="899" t="str">
        <f>IF(G918&lt;&gt;0,VLOOKUP(G918,'gia dat'!$A$1:$F$144,6,0)," ")</f>
        <v xml:space="preserve"> </v>
      </c>
      <c r="M918" s="900" t="str">
        <f t="shared" si="198"/>
        <v xml:space="preserve"> </v>
      </c>
      <c r="N918" s="900" t="str">
        <f t="shared" si="199"/>
        <v xml:space="preserve"> </v>
      </c>
      <c r="O918" s="973" t="s">
        <v>242</v>
      </c>
      <c r="P918" s="926">
        <v>3</v>
      </c>
      <c r="Q918" s="900">
        <f>IF(O918&lt;&gt;0,VLOOKUP(O918,'Cây trong'!$A$2:$C$246,3,0)," ")</f>
        <v>6000</v>
      </c>
      <c r="R918" s="900">
        <f t="shared" si="189"/>
        <v>18000</v>
      </c>
      <c r="S918" s="973"/>
      <c r="T918" s="975"/>
      <c r="U918" s="927"/>
      <c r="V918" s="1013"/>
      <c r="W918" s="900" t="str">
        <f>IF(S918&lt;&gt;0,VLOOKUP(S918,VKT!$A$2:$G$415,7,0),"")</f>
        <v/>
      </c>
      <c r="X918" s="900" t="str">
        <f t="shared" si="195"/>
        <v xml:space="preserve"> </v>
      </c>
      <c r="Y918" s="925"/>
      <c r="Z918" s="928"/>
      <c r="AA918" s="928"/>
      <c r="AB918" s="904"/>
      <c r="AC918" s="928"/>
      <c r="AD918" s="928"/>
      <c r="AE918" s="928"/>
      <c r="AF918" s="926"/>
      <c r="AG918" s="906" t="str">
        <f>IF(AE918&lt;&gt;0,VLOOKUP(AE918,ODDS!$A$2:$C$13,3,0),"")</f>
        <v/>
      </c>
      <c r="AH918" s="906" t="str">
        <f t="shared" si="190"/>
        <v xml:space="preserve"> </v>
      </c>
      <c r="AI918" s="907" t="str">
        <f t="shared" si="197"/>
        <v xml:space="preserve"> </v>
      </c>
      <c r="AJ918" s="929"/>
      <c r="AK918" s="929"/>
    </row>
    <row r="919" spans="1:37" s="376" customFormat="1" ht="22.5" outlineLevel="2" x14ac:dyDescent="0.3">
      <c r="A919" s="447">
        <f t="shared" si="196"/>
        <v>72</v>
      </c>
      <c r="B919" s="893"/>
      <c r="C919" s="894"/>
      <c r="D919" s="923"/>
      <c r="E919" s="923"/>
      <c r="F919" s="896"/>
      <c r="G919" s="894"/>
      <c r="H919" s="924"/>
      <c r="I919" s="882"/>
      <c r="J919" s="925"/>
      <c r="K919" s="899" t="str">
        <f>IF(G919&lt;&gt;0,VLOOKUP(G919,'gia dat'!$A$1:$F$144,5,0)," ")</f>
        <v xml:space="preserve"> </v>
      </c>
      <c r="L919" s="899" t="str">
        <f>IF(G919&lt;&gt;0,VLOOKUP(G919,'gia dat'!$A$1:$F$144,6,0)," ")</f>
        <v xml:space="preserve"> </v>
      </c>
      <c r="M919" s="900" t="str">
        <f t="shared" si="198"/>
        <v xml:space="preserve"> </v>
      </c>
      <c r="N919" s="900" t="str">
        <f t="shared" si="199"/>
        <v xml:space="preserve"> </v>
      </c>
      <c r="O919" s="973" t="s">
        <v>750</v>
      </c>
      <c r="P919" s="926">
        <v>2</v>
      </c>
      <c r="Q919" s="900">
        <f>IF(O919&lt;&gt;0,VLOOKUP(O919,'Cây trong'!$A$2:$C$246,3,0)," ")</f>
        <v>0</v>
      </c>
      <c r="R919" s="900">
        <f t="shared" si="189"/>
        <v>0</v>
      </c>
      <c r="S919" s="973"/>
      <c r="T919" s="975"/>
      <c r="U919" s="927"/>
      <c r="V919" s="1013"/>
      <c r="W919" s="900" t="str">
        <f>IF(S919&lt;&gt;0,VLOOKUP(S919,VKT!$A$2:$G$415,7,0),"")</f>
        <v/>
      </c>
      <c r="X919" s="900" t="str">
        <f t="shared" si="195"/>
        <v xml:space="preserve"> </v>
      </c>
      <c r="Y919" s="925"/>
      <c r="Z919" s="928"/>
      <c r="AA919" s="928"/>
      <c r="AB919" s="904"/>
      <c r="AC919" s="928"/>
      <c r="AD919" s="928"/>
      <c r="AE919" s="928"/>
      <c r="AF919" s="926"/>
      <c r="AG919" s="906" t="str">
        <f>IF(AE919&lt;&gt;0,VLOOKUP(AE919,ODDS!$A$2:$C$13,3,0),"")</f>
        <v/>
      </c>
      <c r="AH919" s="906" t="str">
        <f t="shared" si="190"/>
        <v xml:space="preserve"> </v>
      </c>
      <c r="AI919" s="907" t="str">
        <f t="shared" si="197"/>
        <v xml:space="preserve"> </v>
      </c>
      <c r="AJ919" s="929"/>
      <c r="AK919" s="929"/>
    </row>
    <row r="920" spans="1:37" s="376" customFormat="1" ht="45" outlineLevel="2" x14ac:dyDescent="0.3">
      <c r="A920" s="447">
        <f t="shared" si="196"/>
        <v>72</v>
      </c>
      <c r="B920" s="893"/>
      <c r="C920" s="894"/>
      <c r="D920" s="923"/>
      <c r="E920" s="923"/>
      <c r="F920" s="896"/>
      <c r="G920" s="894"/>
      <c r="H920" s="924"/>
      <c r="I920" s="882"/>
      <c r="J920" s="925"/>
      <c r="K920" s="899" t="str">
        <f>IF(G920&lt;&gt;0,VLOOKUP(G920,'gia dat'!$A$1:$F$144,5,0)," ")</f>
        <v xml:space="preserve"> </v>
      </c>
      <c r="L920" s="899" t="str">
        <f>IF(G920&lt;&gt;0,VLOOKUP(G920,'gia dat'!$A$1:$F$144,6,0)," ")</f>
        <v xml:space="preserve"> </v>
      </c>
      <c r="M920" s="900" t="str">
        <f t="shared" si="198"/>
        <v xml:space="preserve"> </v>
      </c>
      <c r="N920" s="900" t="str">
        <f t="shared" si="199"/>
        <v xml:space="preserve"> </v>
      </c>
      <c r="O920" s="973" t="s">
        <v>778</v>
      </c>
      <c r="P920" s="926">
        <v>4</v>
      </c>
      <c r="Q920" s="900">
        <f>IF(O920&lt;&gt;0,VLOOKUP(O920,'Cây trong'!$A$2:$C$246,3,0)," ")</f>
        <v>150000</v>
      </c>
      <c r="R920" s="900">
        <f t="shared" si="189"/>
        <v>600000</v>
      </c>
      <c r="S920" s="973"/>
      <c r="T920" s="975"/>
      <c r="U920" s="927"/>
      <c r="V920" s="1013"/>
      <c r="W920" s="900" t="str">
        <f>IF(S920&lt;&gt;0,VLOOKUP(S920,VKT!$A$2:$G$415,7,0),"")</f>
        <v/>
      </c>
      <c r="X920" s="900" t="str">
        <f t="shared" si="195"/>
        <v xml:space="preserve"> </v>
      </c>
      <c r="Y920" s="925"/>
      <c r="Z920" s="928"/>
      <c r="AA920" s="928"/>
      <c r="AB920" s="904"/>
      <c r="AC920" s="928"/>
      <c r="AD920" s="928"/>
      <c r="AE920" s="928"/>
      <c r="AF920" s="926"/>
      <c r="AG920" s="906" t="str">
        <f>IF(AE920&lt;&gt;0,VLOOKUP(AE920,ODDS!$A$2:$C$13,3,0),"")</f>
        <v/>
      </c>
      <c r="AH920" s="906" t="str">
        <f t="shared" si="190"/>
        <v xml:space="preserve"> </v>
      </c>
      <c r="AI920" s="907" t="str">
        <f t="shared" si="197"/>
        <v xml:space="preserve"> </v>
      </c>
      <c r="AJ920" s="929"/>
      <c r="AK920" s="929"/>
    </row>
    <row r="921" spans="1:37" s="376" customFormat="1" ht="45" outlineLevel="2" x14ac:dyDescent="0.3">
      <c r="A921" s="447">
        <f t="shared" si="196"/>
        <v>72</v>
      </c>
      <c r="B921" s="893"/>
      <c r="C921" s="894"/>
      <c r="D921" s="923"/>
      <c r="E921" s="923"/>
      <c r="F921" s="896"/>
      <c r="G921" s="894"/>
      <c r="H921" s="924"/>
      <c r="I921" s="882"/>
      <c r="J921" s="925"/>
      <c r="K921" s="899" t="str">
        <f>IF(G921&lt;&gt;0,VLOOKUP(G921,'gia dat'!$A$1:$F$144,5,0)," ")</f>
        <v xml:space="preserve"> </v>
      </c>
      <c r="L921" s="899" t="str">
        <f>IF(G921&lt;&gt;0,VLOOKUP(G921,'gia dat'!$A$1:$F$144,6,0)," ")</f>
        <v xml:space="preserve"> </v>
      </c>
      <c r="M921" s="900" t="str">
        <f t="shared" si="198"/>
        <v xml:space="preserve"> </v>
      </c>
      <c r="N921" s="900" t="str">
        <f t="shared" si="199"/>
        <v xml:space="preserve"> </v>
      </c>
      <c r="O921" s="973" t="s">
        <v>779</v>
      </c>
      <c r="P921" s="926">
        <v>3</v>
      </c>
      <c r="Q921" s="900">
        <f>IF(O921&lt;&gt;0,VLOOKUP(O921,'Cây trong'!$A$2:$C$246,3,0)," ")</f>
        <v>72000</v>
      </c>
      <c r="R921" s="900">
        <f t="shared" si="189"/>
        <v>216000</v>
      </c>
      <c r="S921" s="973"/>
      <c r="T921" s="975"/>
      <c r="U921" s="927"/>
      <c r="V921" s="1013"/>
      <c r="W921" s="900" t="str">
        <f>IF(S921&lt;&gt;0,VLOOKUP(S921,VKT!$A$2:$G$415,7,0),"")</f>
        <v/>
      </c>
      <c r="X921" s="900" t="str">
        <f t="shared" si="195"/>
        <v xml:space="preserve"> </v>
      </c>
      <c r="Y921" s="925"/>
      <c r="Z921" s="928"/>
      <c r="AA921" s="928"/>
      <c r="AB921" s="904"/>
      <c r="AC921" s="928"/>
      <c r="AD921" s="928"/>
      <c r="AE921" s="928"/>
      <c r="AF921" s="926"/>
      <c r="AG921" s="906" t="str">
        <f>IF(AE921&lt;&gt;0,VLOOKUP(AE921,ODDS!$A$2:$C$13,3,0),"")</f>
        <v/>
      </c>
      <c r="AH921" s="906" t="str">
        <f t="shared" si="190"/>
        <v xml:space="preserve"> </v>
      </c>
      <c r="AI921" s="907" t="str">
        <f t="shared" si="197"/>
        <v xml:space="preserve"> </v>
      </c>
      <c r="AJ921" s="929"/>
      <c r="AK921" s="929"/>
    </row>
    <row r="922" spans="1:37" s="376" customFormat="1" ht="45" outlineLevel="2" x14ac:dyDescent="0.3">
      <c r="A922" s="447">
        <f t="shared" si="196"/>
        <v>72</v>
      </c>
      <c r="B922" s="893"/>
      <c r="C922" s="894"/>
      <c r="D922" s="923"/>
      <c r="E922" s="923"/>
      <c r="F922" s="896"/>
      <c r="G922" s="894"/>
      <c r="H922" s="924"/>
      <c r="I922" s="882"/>
      <c r="J922" s="925"/>
      <c r="K922" s="899" t="str">
        <f>IF(G922&lt;&gt;0,VLOOKUP(G922,'gia dat'!$A$1:$F$144,5,0)," ")</f>
        <v xml:space="preserve"> </v>
      </c>
      <c r="L922" s="899" t="str">
        <f>IF(G922&lt;&gt;0,VLOOKUP(G922,'gia dat'!$A$1:$F$144,6,0)," ")</f>
        <v xml:space="preserve"> </v>
      </c>
      <c r="M922" s="900" t="str">
        <f t="shared" si="198"/>
        <v xml:space="preserve"> </v>
      </c>
      <c r="N922" s="900" t="str">
        <f t="shared" si="199"/>
        <v xml:space="preserve"> </v>
      </c>
      <c r="O922" s="973" t="s">
        <v>2103</v>
      </c>
      <c r="P922" s="926">
        <v>11</v>
      </c>
      <c r="Q922" s="900">
        <f>IF(O922&lt;&gt;0,VLOOKUP(O922,'Cây trong'!$A$2:$C$246,3,0)," ")</f>
        <v>32000</v>
      </c>
      <c r="R922" s="900">
        <f t="shared" si="189"/>
        <v>352000</v>
      </c>
      <c r="S922" s="973"/>
      <c r="T922" s="975"/>
      <c r="U922" s="927"/>
      <c r="V922" s="1013"/>
      <c r="W922" s="900" t="str">
        <f>IF(S922&lt;&gt;0,VLOOKUP(S922,VKT!$A$2:$G$415,7,0),"")</f>
        <v/>
      </c>
      <c r="X922" s="900" t="str">
        <f t="shared" si="195"/>
        <v xml:space="preserve"> </v>
      </c>
      <c r="Y922" s="925"/>
      <c r="Z922" s="928"/>
      <c r="AA922" s="928"/>
      <c r="AB922" s="904"/>
      <c r="AC922" s="928"/>
      <c r="AD922" s="928"/>
      <c r="AE922" s="928"/>
      <c r="AF922" s="926"/>
      <c r="AG922" s="906" t="str">
        <f>IF(AE922&lt;&gt;0,VLOOKUP(AE922,ODDS!$A$2:$C$13,3,0),"")</f>
        <v/>
      </c>
      <c r="AH922" s="906" t="str">
        <f t="shared" si="190"/>
        <v xml:space="preserve"> </v>
      </c>
      <c r="AI922" s="907" t="str">
        <f t="shared" si="197"/>
        <v xml:space="preserve"> </v>
      </c>
      <c r="AJ922" s="929"/>
      <c r="AK922" s="929"/>
    </row>
    <row r="923" spans="1:37" s="376" customFormat="1" ht="22.5" outlineLevel="2" x14ac:dyDescent="0.3">
      <c r="A923" s="447">
        <f t="shared" si="196"/>
        <v>72</v>
      </c>
      <c r="B923" s="893"/>
      <c r="C923" s="894"/>
      <c r="D923" s="923"/>
      <c r="E923" s="923"/>
      <c r="F923" s="896"/>
      <c r="G923" s="894"/>
      <c r="H923" s="924"/>
      <c r="I923" s="882"/>
      <c r="J923" s="925"/>
      <c r="K923" s="899" t="str">
        <f>IF(G923&lt;&gt;0,VLOOKUP(G923,'gia dat'!$A$1:$F$144,5,0)," ")</f>
        <v xml:space="preserve"> </v>
      </c>
      <c r="L923" s="899" t="str">
        <f>IF(G923&lt;&gt;0,VLOOKUP(G923,'gia dat'!$A$1:$F$144,6,0)," ")</f>
        <v xml:space="preserve"> </v>
      </c>
      <c r="M923" s="900" t="str">
        <f t="shared" si="198"/>
        <v xml:space="preserve"> </v>
      </c>
      <c r="N923" s="900" t="str">
        <f t="shared" si="199"/>
        <v xml:space="preserve"> </v>
      </c>
      <c r="O923" s="973" t="s">
        <v>781</v>
      </c>
      <c r="P923" s="926">
        <v>1</v>
      </c>
      <c r="Q923" s="900">
        <f>IF(O923&lt;&gt;0,VLOOKUP(O923,'Cây trong'!$A$2:$C$246,3,0)," ")</f>
        <v>120000</v>
      </c>
      <c r="R923" s="900">
        <f t="shared" si="189"/>
        <v>120000</v>
      </c>
      <c r="S923" s="973"/>
      <c r="T923" s="975"/>
      <c r="U923" s="927"/>
      <c r="V923" s="1013"/>
      <c r="W923" s="900" t="str">
        <f>IF(S923&lt;&gt;0,VLOOKUP(S923,VKT!$A$2:$G$415,7,0),"")</f>
        <v/>
      </c>
      <c r="X923" s="900" t="str">
        <f t="shared" si="195"/>
        <v xml:space="preserve"> </v>
      </c>
      <c r="Y923" s="925"/>
      <c r="Z923" s="928"/>
      <c r="AA923" s="928"/>
      <c r="AB923" s="904"/>
      <c r="AC923" s="928"/>
      <c r="AD923" s="928"/>
      <c r="AE923" s="928"/>
      <c r="AF923" s="926"/>
      <c r="AG923" s="906" t="str">
        <f>IF(AE923&lt;&gt;0,VLOOKUP(AE923,ODDS!$A$2:$C$13,3,0),"")</f>
        <v/>
      </c>
      <c r="AH923" s="906" t="str">
        <f t="shared" si="190"/>
        <v xml:space="preserve"> </v>
      </c>
      <c r="AI923" s="907" t="str">
        <f t="shared" si="197"/>
        <v xml:space="preserve"> </v>
      </c>
      <c r="AJ923" s="929"/>
      <c r="AK923" s="929"/>
    </row>
    <row r="924" spans="1:37" s="376" customFormat="1" ht="22.5" outlineLevel="2" x14ac:dyDescent="0.3">
      <c r="A924" s="447">
        <f t="shared" si="196"/>
        <v>72</v>
      </c>
      <c r="B924" s="893"/>
      <c r="C924" s="894"/>
      <c r="D924" s="923"/>
      <c r="E924" s="923"/>
      <c r="F924" s="896"/>
      <c r="G924" s="894"/>
      <c r="H924" s="924"/>
      <c r="I924" s="882"/>
      <c r="J924" s="925"/>
      <c r="K924" s="899" t="str">
        <f>IF(G924&lt;&gt;0,VLOOKUP(G924,'gia dat'!$A$1:$F$144,5,0)," ")</f>
        <v xml:space="preserve"> </v>
      </c>
      <c r="L924" s="899" t="str">
        <f>IF(G924&lt;&gt;0,VLOOKUP(G924,'gia dat'!$A$1:$F$144,6,0)," ")</f>
        <v xml:space="preserve"> </v>
      </c>
      <c r="M924" s="900" t="str">
        <f t="shared" si="198"/>
        <v xml:space="preserve"> </v>
      </c>
      <c r="N924" s="900" t="str">
        <f t="shared" si="199"/>
        <v xml:space="preserve"> </v>
      </c>
      <c r="O924" s="973" t="s">
        <v>782</v>
      </c>
      <c r="P924" s="926">
        <v>20</v>
      </c>
      <c r="Q924" s="900">
        <f>IF(O924&lt;&gt;0,VLOOKUP(O924,'Cây trong'!$A$2:$C$246,3,0)," ")</f>
        <v>60000</v>
      </c>
      <c r="R924" s="900">
        <f t="shared" si="189"/>
        <v>1200000</v>
      </c>
      <c r="S924" s="973"/>
      <c r="T924" s="975"/>
      <c r="U924" s="927"/>
      <c r="V924" s="1013"/>
      <c r="W924" s="900" t="str">
        <f>IF(S924&lt;&gt;0,VLOOKUP(S924,VKT!$A$2:$G$415,7,0),"")</f>
        <v/>
      </c>
      <c r="X924" s="900" t="str">
        <f t="shared" si="195"/>
        <v xml:space="preserve"> </v>
      </c>
      <c r="Y924" s="925"/>
      <c r="Z924" s="928"/>
      <c r="AA924" s="928"/>
      <c r="AB924" s="904"/>
      <c r="AC924" s="928"/>
      <c r="AD924" s="928"/>
      <c r="AE924" s="928"/>
      <c r="AF924" s="926"/>
      <c r="AG924" s="906" t="str">
        <f>IF(AE924&lt;&gt;0,VLOOKUP(AE924,ODDS!$A$2:$C$13,3,0),"")</f>
        <v/>
      </c>
      <c r="AH924" s="906" t="str">
        <f t="shared" si="190"/>
        <v xml:space="preserve"> </v>
      </c>
      <c r="AI924" s="907" t="str">
        <f t="shared" si="197"/>
        <v xml:space="preserve"> </v>
      </c>
      <c r="AJ924" s="929"/>
      <c r="AK924" s="929"/>
    </row>
    <row r="925" spans="1:37" s="376" customFormat="1" ht="22.5" outlineLevel="2" x14ac:dyDescent="0.3">
      <c r="A925" s="447">
        <f t="shared" si="196"/>
        <v>72</v>
      </c>
      <c r="B925" s="893"/>
      <c r="C925" s="894"/>
      <c r="D925" s="923"/>
      <c r="E925" s="923"/>
      <c r="F925" s="896"/>
      <c r="G925" s="894"/>
      <c r="H925" s="924"/>
      <c r="I925" s="882"/>
      <c r="J925" s="925"/>
      <c r="K925" s="899" t="str">
        <f>IF(G925&lt;&gt;0,VLOOKUP(G925,'gia dat'!$A$1:$F$144,5,0)," ")</f>
        <v xml:space="preserve"> </v>
      </c>
      <c r="L925" s="899" t="str">
        <f>IF(G925&lt;&gt;0,VLOOKUP(G925,'gia dat'!$A$1:$F$144,6,0)," ")</f>
        <v xml:space="preserve"> </v>
      </c>
      <c r="M925" s="900" t="str">
        <f t="shared" si="198"/>
        <v xml:space="preserve"> </v>
      </c>
      <c r="N925" s="900" t="str">
        <f t="shared" si="199"/>
        <v xml:space="preserve"> </v>
      </c>
      <c r="O925" s="973" t="s">
        <v>277</v>
      </c>
      <c r="P925" s="926">
        <v>2</v>
      </c>
      <c r="Q925" s="900">
        <f>IF(O925&lt;&gt;0,VLOOKUP(O925,'Cây trong'!$A$2:$C$246,3,0)," ")</f>
        <v>807000</v>
      </c>
      <c r="R925" s="900">
        <f t="shared" ref="R925:R994" si="200">IF(O925&lt;&gt;0,ROUND(P925*Q925,-2)," ")</f>
        <v>1614000</v>
      </c>
      <c r="S925" s="973"/>
      <c r="T925" s="975"/>
      <c r="U925" s="927"/>
      <c r="V925" s="1013"/>
      <c r="W925" s="900" t="str">
        <f>IF(S925&lt;&gt;0,VLOOKUP(S925,VKT!$A$2:$G$415,7,0),"")</f>
        <v/>
      </c>
      <c r="X925" s="900" t="str">
        <f t="shared" si="195"/>
        <v xml:space="preserve"> </v>
      </c>
      <c r="Y925" s="925"/>
      <c r="Z925" s="928"/>
      <c r="AA925" s="928"/>
      <c r="AB925" s="904"/>
      <c r="AC925" s="928"/>
      <c r="AD925" s="928"/>
      <c r="AE925" s="928"/>
      <c r="AF925" s="926"/>
      <c r="AG925" s="906" t="str">
        <f>IF(AE925&lt;&gt;0,VLOOKUP(AE925,ODDS!$A$2:$C$13,3,0),"")</f>
        <v/>
      </c>
      <c r="AH925" s="906" t="str">
        <f t="shared" ref="AH925:AH994" si="201">IF(AE925&lt;&gt;0,ROUND(AF925*AG925,-2)," ")</f>
        <v xml:space="preserve"> </v>
      </c>
      <c r="AI925" s="907" t="str">
        <f t="shared" si="197"/>
        <v xml:space="preserve"> </v>
      </c>
      <c r="AJ925" s="929"/>
      <c r="AK925" s="929"/>
    </row>
    <row r="926" spans="1:37" s="376" customFormat="1" ht="22.5" outlineLevel="2" x14ac:dyDescent="0.3">
      <c r="A926" s="447">
        <f t="shared" si="196"/>
        <v>72</v>
      </c>
      <c r="B926" s="893"/>
      <c r="C926" s="894"/>
      <c r="D926" s="923"/>
      <c r="E926" s="923"/>
      <c r="F926" s="896"/>
      <c r="G926" s="894"/>
      <c r="H926" s="924"/>
      <c r="I926" s="882"/>
      <c r="J926" s="925"/>
      <c r="K926" s="899" t="str">
        <f>IF(G926&lt;&gt;0,VLOOKUP(G926,'gia dat'!$A$1:$F$144,5,0)," ")</f>
        <v xml:space="preserve"> </v>
      </c>
      <c r="L926" s="899" t="str">
        <f>IF(G926&lt;&gt;0,VLOOKUP(G926,'gia dat'!$A$1:$F$144,6,0)," ")</f>
        <v xml:space="preserve"> </v>
      </c>
      <c r="M926" s="900" t="str">
        <f t="shared" si="198"/>
        <v xml:space="preserve"> </v>
      </c>
      <c r="N926" s="900" t="str">
        <f t="shared" si="199"/>
        <v xml:space="preserve"> </v>
      </c>
      <c r="O926" s="973" t="s">
        <v>738</v>
      </c>
      <c r="P926" s="926">
        <v>3</v>
      </c>
      <c r="Q926" s="900">
        <f>IF(O926&lt;&gt;0,VLOOKUP(O926,'Cây trong'!$A$2:$C$246,3,0)," ")</f>
        <v>0</v>
      </c>
      <c r="R926" s="900">
        <f t="shared" si="200"/>
        <v>0</v>
      </c>
      <c r="S926" s="973"/>
      <c r="T926" s="975"/>
      <c r="U926" s="927"/>
      <c r="V926" s="1013"/>
      <c r="W926" s="900" t="str">
        <f>IF(S926&lt;&gt;0,VLOOKUP(S926,VKT!$A$2:$G$415,7,0),"")</f>
        <v/>
      </c>
      <c r="X926" s="900" t="str">
        <f t="shared" si="195"/>
        <v xml:space="preserve"> </v>
      </c>
      <c r="Y926" s="925"/>
      <c r="Z926" s="928"/>
      <c r="AA926" s="928"/>
      <c r="AB926" s="904"/>
      <c r="AC926" s="928"/>
      <c r="AD926" s="928"/>
      <c r="AE926" s="928"/>
      <c r="AF926" s="926"/>
      <c r="AG926" s="906" t="str">
        <f>IF(AE926&lt;&gt;0,VLOOKUP(AE926,ODDS!$A$2:$C$13,3,0),"")</f>
        <v/>
      </c>
      <c r="AH926" s="906" t="str">
        <f t="shared" si="201"/>
        <v xml:space="preserve"> </v>
      </c>
      <c r="AI926" s="907" t="str">
        <f t="shared" si="197"/>
        <v xml:space="preserve"> </v>
      </c>
      <c r="AJ926" s="929"/>
      <c r="AK926" s="929"/>
    </row>
    <row r="927" spans="1:37" s="376" customFormat="1" ht="22.5" outlineLevel="2" x14ac:dyDescent="0.3">
      <c r="A927" s="447">
        <f t="shared" si="196"/>
        <v>72</v>
      </c>
      <c r="B927" s="893"/>
      <c r="C927" s="894"/>
      <c r="D927" s="923"/>
      <c r="E927" s="923"/>
      <c r="F927" s="896"/>
      <c r="G927" s="894"/>
      <c r="H927" s="924"/>
      <c r="I927" s="882"/>
      <c r="J927" s="925"/>
      <c r="K927" s="899" t="str">
        <f>IF(G927&lt;&gt;0,VLOOKUP(G927,'gia dat'!$A$1:$F$144,5,0)," ")</f>
        <v xml:space="preserve"> </v>
      </c>
      <c r="L927" s="899" t="str">
        <f>IF(G927&lt;&gt;0,VLOOKUP(G927,'gia dat'!$A$1:$F$144,6,0)," ")</f>
        <v xml:space="preserve"> </v>
      </c>
      <c r="M927" s="900" t="str">
        <f t="shared" si="198"/>
        <v xml:space="preserve"> </v>
      </c>
      <c r="N927" s="900" t="str">
        <f t="shared" si="199"/>
        <v xml:space="preserve"> </v>
      </c>
      <c r="O927" s="973" t="s">
        <v>783</v>
      </c>
      <c r="P927" s="926">
        <v>1</v>
      </c>
      <c r="Q927" s="900">
        <f>IF(O927&lt;&gt;0,VLOOKUP(O927,'Cây trong'!$A$2:$C$246,3,0)," ")</f>
        <v>60000</v>
      </c>
      <c r="R927" s="900">
        <f t="shared" si="200"/>
        <v>60000</v>
      </c>
      <c r="S927" s="973"/>
      <c r="T927" s="975"/>
      <c r="U927" s="927"/>
      <c r="V927" s="1013"/>
      <c r="W927" s="900" t="str">
        <f>IF(S927&lt;&gt;0,VLOOKUP(S927,VKT!$A$2:$G$415,7,0),"")</f>
        <v/>
      </c>
      <c r="X927" s="900" t="str">
        <f t="shared" si="195"/>
        <v xml:space="preserve"> </v>
      </c>
      <c r="Y927" s="925"/>
      <c r="Z927" s="928"/>
      <c r="AA927" s="928"/>
      <c r="AB927" s="904"/>
      <c r="AC927" s="928"/>
      <c r="AD927" s="928"/>
      <c r="AE927" s="928"/>
      <c r="AF927" s="926"/>
      <c r="AG927" s="906" t="str">
        <f>IF(AE927&lt;&gt;0,VLOOKUP(AE927,ODDS!$A$2:$C$13,3,0),"")</f>
        <v/>
      </c>
      <c r="AH927" s="906" t="str">
        <f t="shared" si="201"/>
        <v xml:space="preserve"> </v>
      </c>
      <c r="AI927" s="907" t="str">
        <f t="shared" si="197"/>
        <v xml:space="preserve"> </v>
      </c>
      <c r="AJ927" s="929"/>
      <c r="AK927" s="929"/>
    </row>
    <row r="928" spans="1:37" s="376" customFormat="1" ht="22.5" outlineLevel="2" x14ac:dyDescent="0.3">
      <c r="A928" s="447">
        <f t="shared" si="196"/>
        <v>72</v>
      </c>
      <c r="B928" s="893"/>
      <c r="C928" s="894"/>
      <c r="D928" s="923"/>
      <c r="E928" s="923"/>
      <c r="F928" s="896"/>
      <c r="G928" s="894"/>
      <c r="H928" s="924"/>
      <c r="I928" s="882"/>
      <c r="J928" s="925"/>
      <c r="K928" s="899" t="str">
        <f>IF(G928&lt;&gt;0,VLOOKUP(G928,'gia dat'!$A$1:$F$144,5,0)," ")</f>
        <v xml:space="preserve"> </v>
      </c>
      <c r="L928" s="899" t="str">
        <f>IF(G928&lt;&gt;0,VLOOKUP(G928,'gia dat'!$A$1:$F$144,6,0)," ")</f>
        <v xml:space="preserve"> </v>
      </c>
      <c r="M928" s="900" t="str">
        <f t="shared" si="198"/>
        <v xml:space="preserve"> </v>
      </c>
      <c r="N928" s="900" t="str">
        <f t="shared" si="199"/>
        <v xml:space="preserve"> </v>
      </c>
      <c r="O928" s="973" t="s">
        <v>168</v>
      </c>
      <c r="P928" s="926">
        <v>5</v>
      </c>
      <c r="Q928" s="900">
        <f>IF(O928&lt;&gt;0,VLOOKUP(O928,'Cây trong'!$A$2:$C$246,3,0)," ")</f>
        <v>580000</v>
      </c>
      <c r="R928" s="900">
        <f t="shared" si="200"/>
        <v>2900000</v>
      </c>
      <c r="S928" s="973"/>
      <c r="T928" s="975"/>
      <c r="U928" s="927"/>
      <c r="V928" s="1013"/>
      <c r="W928" s="900" t="str">
        <f>IF(S928&lt;&gt;0,VLOOKUP(S928,VKT!$A$2:$G$415,7,0),"")</f>
        <v/>
      </c>
      <c r="X928" s="900" t="str">
        <f t="shared" si="195"/>
        <v xml:space="preserve"> </v>
      </c>
      <c r="Y928" s="925"/>
      <c r="Z928" s="928"/>
      <c r="AA928" s="928"/>
      <c r="AB928" s="904"/>
      <c r="AC928" s="928"/>
      <c r="AD928" s="928"/>
      <c r="AE928" s="928"/>
      <c r="AF928" s="926"/>
      <c r="AG928" s="906" t="str">
        <f>IF(AE928&lt;&gt;0,VLOOKUP(AE928,ODDS!$A$2:$C$13,3,0),"")</f>
        <v/>
      </c>
      <c r="AH928" s="906" t="str">
        <f t="shared" si="201"/>
        <v xml:space="preserve"> </v>
      </c>
      <c r="AI928" s="907" t="str">
        <f t="shared" si="197"/>
        <v xml:space="preserve"> </v>
      </c>
      <c r="AJ928" s="929"/>
      <c r="AK928" s="929"/>
    </row>
    <row r="929" spans="1:37" s="376" customFormat="1" ht="45" outlineLevel="2" x14ac:dyDescent="0.3">
      <c r="A929" s="447">
        <f t="shared" si="196"/>
        <v>72</v>
      </c>
      <c r="B929" s="893"/>
      <c r="C929" s="894"/>
      <c r="D929" s="923"/>
      <c r="E929" s="923"/>
      <c r="F929" s="896"/>
      <c r="G929" s="894"/>
      <c r="H929" s="924"/>
      <c r="I929" s="882"/>
      <c r="J929" s="925"/>
      <c r="K929" s="899" t="str">
        <f>IF(G929&lt;&gt;0,VLOOKUP(G929,'gia dat'!$A$1:$F$144,5,0)," ")</f>
        <v xml:space="preserve"> </v>
      </c>
      <c r="L929" s="899" t="str">
        <f>IF(G929&lt;&gt;0,VLOOKUP(G929,'gia dat'!$A$1:$F$144,6,0)," ")</f>
        <v xml:space="preserve"> </v>
      </c>
      <c r="M929" s="900" t="str">
        <f t="shared" si="198"/>
        <v xml:space="preserve"> </v>
      </c>
      <c r="N929" s="900" t="str">
        <f t="shared" si="199"/>
        <v xml:space="preserve"> </v>
      </c>
      <c r="O929" s="973" t="s">
        <v>278</v>
      </c>
      <c r="P929" s="926">
        <v>1</v>
      </c>
      <c r="Q929" s="900">
        <f>IF(O929&lt;&gt;0,VLOOKUP(O929,'Cây trong'!$A$2:$C$246,3,0)," ")</f>
        <v>554000</v>
      </c>
      <c r="R929" s="900">
        <f t="shared" si="200"/>
        <v>554000</v>
      </c>
      <c r="S929" s="973"/>
      <c r="T929" s="975"/>
      <c r="U929" s="927"/>
      <c r="V929" s="1013"/>
      <c r="W929" s="900" t="str">
        <f>IF(S929&lt;&gt;0,VLOOKUP(S929,VKT!$A$2:$G$415,7,0),"")</f>
        <v/>
      </c>
      <c r="X929" s="900" t="str">
        <f t="shared" si="195"/>
        <v xml:space="preserve"> </v>
      </c>
      <c r="Y929" s="925"/>
      <c r="Z929" s="928"/>
      <c r="AA929" s="928"/>
      <c r="AB929" s="904"/>
      <c r="AC929" s="928"/>
      <c r="AD929" s="928"/>
      <c r="AE929" s="928"/>
      <c r="AF929" s="926"/>
      <c r="AG929" s="906" t="str">
        <f>IF(AE929&lt;&gt;0,VLOOKUP(AE929,ODDS!$A$2:$C$13,3,0),"")</f>
        <v/>
      </c>
      <c r="AH929" s="906" t="str">
        <f t="shared" si="201"/>
        <v xml:space="preserve"> </v>
      </c>
      <c r="AI929" s="907" t="str">
        <f t="shared" si="197"/>
        <v xml:space="preserve"> </v>
      </c>
      <c r="AJ929" s="929"/>
      <c r="AK929" s="929"/>
    </row>
    <row r="930" spans="1:37" s="376" customFormat="1" ht="22.5" outlineLevel="2" x14ac:dyDescent="0.3">
      <c r="A930" s="447">
        <f t="shared" si="196"/>
        <v>72</v>
      </c>
      <c r="B930" s="893"/>
      <c r="C930" s="894"/>
      <c r="D930" s="923"/>
      <c r="E930" s="923"/>
      <c r="F930" s="896"/>
      <c r="G930" s="894"/>
      <c r="H930" s="924"/>
      <c r="I930" s="882"/>
      <c r="J930" s="925"/>
      <c r="K930" s="899" t="str">
        <f>IF(G930&lt;&gt;0,VLOOKUP(G930,'gia dat'!$A$1:$F$144,5,0)," ")</f>
        <v xml:space="preserve"> </v>
      </c>
      <c r="L930" s="899" t="str">
        <f>IF(G930&lt;&gt;0,VLOOKUP(G930,'gia dat'!$A$1:$F$144,6,0)," ")</f>
        <v xml:space="preserve"> </v>
      </c>
      <c r="M930" s="900" t="str">
        <f t="shared" si="198"/>
        <v xml:space="preserve"> </v>
      </c>
      <c r="N930" s="900" t="str">
        <f t="shared" si="199"/>
        <v xml:space="preserve"> </v>
      </c>
      <c r="O930" s="973" t="s">
        <v>726</v>
      </c>
      <c r="P930" s="926">
        <v>1</v>
      </c>
      <c r="Q930" s="900">
        <f>IF(O930&lt;&gt;0,VLOOKUP(O930,'Cây trong'!$A$2:$C$246,3,0)," ")</f>
        <v>60000</v>
      </c>
      <c r="R930" s="900">
        <f t="shared" si="200"/>
        <v>60000</v>
      </c>
      <c r="S930" s="973"/>
      <c r="T930" s="975"/>
      <c r="U930" s="927"/>
      <c r="V930" s="1013"/>
      <c r="W930" s="900" t="str">
        <f>IF(S930&lt;&gt;0,VLOOKUP(S930,VKT!$A$2:$G$415,7,0),"")</f>
        <v/>
      </c>
      <c r="X930" s="900" t="str">
        <f t="shared" si="195"/>
        <v xml:space="preserve"> </v>
      </c>
      <c r="Y930" s="925"/>
      <c r="Z930" s="928"/>
      <c r="AA930" s="928"/>
      <c r="AB930" s="904"/>
      <c r="AC930" s="928"/>
      <c r="AD930" s="928"/>
      <c r="AE930" s="928"/>
      <c r="AF930" s="926"/>
      <c r="AG930" s="906" t="str">
        <f>IF(AE930&lt;&gt;0,VLOOKUP(AE930,ODDS!$A$2:$C$13,3,0),"")</f>
        <v/>
      </c>
      <c r="AH930" s="906" t="str">
        <f t="shared" si="201"/>
        <v xml:space="preserve"> </v>
      </c>
      <c r="AI930" s="907" t="str">
        <f t="shared" si="197"/>
        <v xml:space="preserve"> </v>
      </c>
      <c r="AJ930" s="929"/>
      <c r="AK930" s="929"/>
    </row>
    <row r="931" spans="1:37" s="376" customFormat="1" ht="90" outlineLevel="2" x14ac:dyDescent="0.3">
      <c r="A931" s="447">
        <f t="shared" si="196"/>
        <v>72</v>
      </c>
      <c r="B931" s="893"/>
      <c r="C931" s="894"/>
      <c r="D931" s="923"/>
      <c r="E931" s="923"/>
      <c r="F931" s="896"/>
      <c r="G931" s="894"/>
      <c r="H931" s="924"/>
      <c r="I931" s="882"/>
      <c r="J931" s="925"/>
      <c r="K931" s="899" t="str">
        <f>IF(G931&lt;&gt;0,VLOOKUP(G931,'gia dat'!$A$1:$F$144,5,0)," ")</f>
        <v xml:space="preserve"> </v>
      </c>
      <c r="L931" s="899" t="str">
        <f>IF(G931&lt;&gt;0,VLOOKUP(G931,'gia dat'!$A$1:$F$144,6,0)," ")</f>
        <v xml:space="preserve"> </v>
      </c>
      <c r="M931" s="900" t="str">
        <f t="shared" si="198"/>
        <v xml:space="preserve"> </v>
      </c>
      <c r="N931" s="900" t="str">
        <f t="shared" si="199"/>
        <v xml:space="preserve"> </v>
      </c>
      <c r="O931" s="973" t="s">
        <v>788</v>
      </c>
      <c r="P931" s="926">
        <v>172</v>
      </c>
      <c r="Q931" s="900">
        <f>IF(O931&lt;&gt;0,VLOOKUP(O931,'Cây trong'!$A$2:$C$246,3,0)," ")</f>
        <v>120000</v>
      </c>
      <c r="R931" s="900">
        <f t="shared" si="200"/>
        <v>20640000</v>
      </c>
      <c r="S931" s="973"/>
      <c r="T931" s="975"/>
      <c r="U931" s="927"/>
      <c r="V931" s="1013"/>
      <c r="W931" s="900" t="str">
        <f>IF(S931&lt;&gt;0,VLOOKUP(S931,VKT!$A$2:$G$415,7,0),"")</f>
        <v/>
      </c>
      <c r="X931" s="900" t="str">
        <f t="shared" si="195"/>
        <v xml:space="preserve"> </v>
      </c>
      <c r="Y931" s="925"/>
      <c r="Z931" s="928"/>
      <c r="AA931" s="928"/>
      <c r="AB931" s="904"/>
      <c r="AC931" s="928"/>
      <c r="AD931" s="928"/>
      <c r="AE931" s="928"/>
      <c r="AF931" s="926"/>
      <c r="AG931" s="906" t="str">
        <f>IF(AE931&lt;&gt;0,VLOOKUP(AE931,ODDS!$A$2:$C$13,3,0),"")</f>
        <v/>
      </c>
      <c r="AH931" s="906" t="str">
        <f t="shared" si="201"/>
        <v xml:space="preserve"> </v>
      </c>
      <c r="AI931" s="907" t="str">
        <f t="shared" si="197"/>
        <v xml:space="preserve"> </v>
      </c>
      <c r="AJ931" s="929"/>
      <c r="AK931" s="929"/>
    </row>
    <row r="932" spans="1:37" s="376" customFormat="1" ht="90" outlineLevel="2" x14ac:dyDescent="0.3">
      <c r="A932" s="447">
        <f t="shared" si="196"/>
        <v>72</v>
      </c>
      <c r="B932" s="893"/>
      <c r="C932" s="894"/>
      <c r="D932" s="923"/>
      <c r="E932" s="923"/>
      <c r="F932" s="896"/>
      <c r="G932" s="894"/>
      <c r="H932" s="924"/>
      <c r="I932" s="882"/>
      <c r="J932" s="925"/>
      <c r="K932" s="899" t="str">
        <f>IF(G932&lt;&gt;0,VLOOKUP(G932,'gia dat'!$A$1:$F$144,5,0)," ")</f>
        <v xml:space="preserve"> </v>
      </c>
      <c r="L932" s="899" t="str">
        <f>IF(G932&lt;&gt;0,VLOOKUP(G932,'gia dat'!$A$1:$F$144,6,0)," ")</f>
        <v xml:space="preserve"> </v>
      </c>
      <c r="M932" s="900" t="str">
        <f t="shared" si="198"/>
        <v xml:space="preserve"> </v>
      </c>
      <c r="N932" s="900" t="str">
        <f t="shared" si="199"/>
        <v xml:space="preserve"> </v>
      </c>
      <c r="O932" s="973" t="s">
        <v>789</v>
      </c>
      <c r="P932" s="926">
        <v>39</v>
      </c>
      <c r="Q932" s="900">
        <f>IF(O932&lt;&gt;0,VLOOKUP(O932,'Cây trong'!$A$2:$C$246,3,0)," ")</f>
        <v>84000</v>
      </c>
      <c r="R932" s="900">
        <f t="shared" si="200"/>
        <v>3276000</v>
      </c>
      <c r="S932" s="973"/>
      <c r="T932" s="975"/>
      <c r="U932" s="927"/>
      <c r="V932" s="1013"/>
      <c r="W932" s="900" t="str">
        <f>IF(S932&lt;&gt;0,VLOOKUP(S932,VKT!$A$2:$G$415,7,0),"")</f>
        <v/>
      </c>
      <c r="X932" s="900" t="str">
        <f t="shared" si="195"/>
        <v xml:space="preserve"> </v>
      </c>
      <c r="Y932" s="925"/>
      <c r="Z932" s="928"/>
      <c r="AA932" s="928"/>
      <c r="AB932" s="904"/>
      <c r="AC932" s="928"/>
      <c r="AD932" s="928"/>
      <c r="AE932" s="928"/>
      <c r="AF932" s="926"/>
      <c r="AG932" s="906" t="str">
        <f>IF(AE932&lt;&gt;0,VLOOKUP(AE932,ODDS!$A$2:$C$13,3,0),"")</f>
        <v/>
      </c>
      <c r="AH932" s="906" t="str">
        <f t="shared" si="201"/>
        <v xml:space="preserve"> </v>
      </c>
      <c r="AI932" s="907" t="str">
        <f t="shared" si="197"/>
        <v xml:space="preserve"> </v>
      </c>
      <c r="AJ932" s="929"/>
      <c r="AK932" s="929"/>
    </row>
    <row r="933" spans="1:37" s="376" customFormat="1" ht="67.5" outlineLevel="2" x14ac:dyDescent="0.3">
      <c r="A933" s="447">
        <f t="shared" si="196"/>
        <v>72</v>
      </c>
      <c r="B933" s="893"/>
      <c r="C933" s="894"/>
      <c r="D933" s="923"/>
      <c r="E933" s="923"/>
      <c r="F933" s="896"/>
      <c r="G933" s="894"/>
      <c r="H933" s="924"/>
      <c r="I933" s="882"/>
      <c r="J933" s="925"/>
      <c r="K933" s="899" t="str">
        <f>IF(G933&lt;&gt;0,VLOOKUP(G933,'gia dat'!$A$1:$F$144,5,0)," ")</f>
        <v xml:space="preserve"> </v>
      </c>
      <c r="L933" s="899" t="str">
        <f>IF(G933&lt;&gt;0,VLOOKUP(G933,'gia dat'!$A$1:$F$144,6,0)," ")</f>
        <v xml:space="preserve"> </v>
      </c>
      <c r="M933" s="900" t="str">
        <f t="shared" si="198"/>
        <v xml:space="preserve"> </v>
      </c>
      <c r="N933" s="900" t="str">
        <f t="shared" si="199"/>
        <v xml:space="preserve"> </v>
      </c>
      <c r="O933" s="973" t="s">
        <v>347</v>
      </c>
      <c r="P933" s="926">
        <v>675</v>
      </c>
      <c r="Q933" s="900">
        <f>IF(O933&lt;&gt;0,VLOOKUP(O933,'Cây trong'!$A$2:$C$246,3,0)," ")</f>
        <v>12000</v>
      </c>
      <c r="R933" s="900">
        <f>IF(O933&lt;&gt;0,ROUND(P933*Q933,-2)," ")</f>
        <v>8100000</v>
      </c>
      <c r="S933" s="973"/>
      <c r="T933" s="975"/>
      <c r="U933" s="927"/>
      <c r="V933" s="1013"/>
      <c r="W933" s="900" t="str">
        <f>IF(S933&lt;&gt;0,VLOOKUP(S933,VKT!$A$2:$G$415,7,0),"")</f>
        <v/>
      </c>
      <c r="X933" s="900" t="str">
        <f t="shared" si="195"/>
        <v xml:space="preserve"> </v>
      </c>
      <c r="Y933" s="925"/>
      <c r="Z933" s="928"/>
      <c r="AA933" s="928"/>
      <c r="AB933" s="904"/>
      <c r="AC933" s="928"/>
      <c r="AD933" s="928"/>
      <c r="AE933" s="928"/>
      <c r="AF933" s="926"/>
      <c r="AG933" s="906" t="str">
        <f>IF(AE933&lt;&gt;0,VLOOKUP(AE933,ODDS!$A$2:$C$13,3,0),"")</f>
        <v/>
      </c>
      <c r="AH933" s="906" t="str">
        <f t="shared" si="201"/>
        <v xml:space="preserve"> </v>
      </c>
      <c r="AI933" s="907" t="str">
        <f t="shared" si="197"/>
        <v xml:space="preserve"> </v>
      </c>
      <c r="AJ933" s="929"/>
      <c r="AK933" s="929"/>
    </row>
    <row r="934" spans="1:37" s="376" customFormat="1" ht="22.5" outlineLevel="2" x14ac:dyDescent="0.3">
      <c r="A934" s="447">
        <f t="shared" si="196"/>
        <v>72</v>
      </c>
      <c r="B934" s="893"/>
      <c r="C934" s="894"/>
      <c r="D934" s="923"/>
      <c r="E934" s="923"/>
      <c r="F934" s="896"/>
      <c r="G934" s="894"/>
      <c r="H934" s="924"/>
      <c r="I934" s="882"/>
      <c r="J934" s="925"/>
      <c r="K934" s="899" t="str">
        <f>IF(G934&lt;&gt;0,VLOOKUP(G934,'gia dat'!$A$1:$F$144,5,0)," ")</f>
        <v xml:space="preserve"> </v>
      </c>
      <c r="L934" s="899" t="str">
        <f>IF(G934&lt;&gt;0,VLOOKUP(G934,'gia dat'!$A$1:$F$144,6,0)," ")</f>
        <v xml:space="preserve"> </v>
      </c>
      <c r="M934" s="900" t="str">
        <f t="shared" si="198"/>
        <v xml:space="preserve"> </v>
      </c>
      <c r="N934" s="900" t="str">
        <f t="shared" si="199"/>
        <v xml:space="preserve"> </v>
      </c>
      <c r="O934" s="929"/>
      <c r="P934" s="951"/>
      <c r="Q934" s="900" t="str">
        <f>IF(O934&lt;&gt;0,VLOOKUP(O934,'Cây trong'!$A$2:$C$246,3,0)," ")</f>
        <v xml:space="preserve"> </v>
      </c>
      <c r="R934" s="900" t="str">
        <f t="shared" si="200"/>
        <v xml:space="preserve"> </v>
      </c>
      <c r="S934" s="973"/>
      <c r="T934" s="975"/>
      <c r="U934" s="927"/>
      <c r="V934" s="1013"/>
      <c r="W934" s="900" t="str">
        <f>IF(S934&lt;&gt;0,VLOOKUP(S934,VKT!$A$2:$G$415,7,0),"")</f>
        <v/>
      </c>
      <c r="X934" s="900" t="str">
        <f t="shared" si="195"/>
        <v xml:space="preserve"> </v>
      </c>
      <c r="Y934" s="925"/>
      <c r="Z934" s="928"/>
      <c r="AA934" s="928"/>
      <c r="AB934" s="904"/>
      <c r="AC934" s="928"/>
      <c r="AD934" s="928"/>
      <c r="AE934" s="928"/>
      <c r="AF934" s="926"/>
      <c r="AG934" s="906" t="str">
        <f>IF(AE934&lt;&gt;0,VLOOKUP(AE934,ODDS!$A$2:$C$13,3,0),"")</f>
        <v/>
      </c>
      <c r="AH934" s="906" t="str">
        <f t="shared" si="201"/>
        <v xml:space="preserve"> </v>
      </c>
      <c r="AI934" s="907" t="str">
        <f t="shared" si="197"/>
        <v xml:space="preserve"> </v>
      </c>
      <c r="AJ934" s="929"/>
      <c r="AK934" s="929"/>
    </row>
    <row r="935" spans="1:37" s="376" customFormat="1" ht="22.5" outlineLevel="2" x14ac:dyDescent="0.3">
      <c r="A935" s="447">
        <f t="shared" si="196"/>
        <v>72</v>
      </c>
      <c r="B935" s="893"/>
      <c r="C935" s="894"/>
      <c r="D935" s="923"/>
      <c r="E935" s="923"/>
      <c r="F935" s="896"/>
      <c r="G935" s="894"/>
      <c r="H935" s="924"/>
      <c r="I935" s="882"/>
      <c r="J935" s="925"/>
      <c r="K935" s="899" t="str">
        <f>IF(G935&lt;&gt;0,VLOOKUP(G935,'gia dat'!$A$1:$F$144,5,0)," ")</f>
        <v xml:space="preserve"> </v>
      </c>
      <c r="L935" s="899" t="str">
        <f>IF(G935&lt;&gt;0,VLOOKUP(G935,'gia dat'!$A$1:$F$144,6,0)," ")</f>
        <v xml:space="preserve"> </v>
      </c>
      <c r="M935" s="900" t="str">
        <f t="shared" si="198"/>
        <v xml:space="preserve"> </v>
      </c>
      <c r="N935" s="900" t="str">
        <f t="shared" si="199"/>
        <v xml:space="preserve"> </v>
      </c>
      <c r="O935" s="929"/>
      <c r="P935" s="951"/>
      <c r="Q935" s="900" t="str">
        <f>IF(O935&lt;&gt;0,VLOOKUP(O935,'Cây trong'!$A$2:$C$246,3,0)," ")</f>
        <v xml:space="preserve"> </v>
      </c>
      <c r="R935" s="900" t="str">
        <f t="shared" si="200"/>
        <v xml:space="preserve"> </v>
      </c>
      <c r="S935" s="973"/>
      <c r="T935" s="975"/>
      <c r="U935" s="927"/>
      <c r="V935" s="1013"/>
      <c r="W935" s="900" t="str">
        <f>IF(S935&lt;&gt;0,VLOOKUP(S935,VKT!$A$2:$G$415,7,0),"")</f>
        <v/>
      </c>
      <c r="X935" s="900" t="str">
        <f t="shared" si="195"/>
        <v xml:space="preserve"> </v>
      </c>
      <c r="Y935" s="925"/>
      <c r="Z935" s="928"/>
      <c r="AA935" s="928"/>
      <c r="AB935" s="904"/>
      <c r="AC935" s="928"/>
      <c r="AD935" s="928"/>
      <c r="AE935" s="928"/>
      <c r="AF935" s="926"/>
      <c r="AG935" s="906" t="str">
        <f>IF(AE935&lt;&gt;0,VLOOKUP(AE935,ODDS!$A$2:$C$13,3,0),"")</f>
        <v/>
      </c>
      <c r="AH935" s="906" t="str">
        <f t="shared" si="201"/>
        <v xml:space="preserve"> </v>
      </c>
      <c r="AI935" s="907" t="str">
        <f t="shared" si="197"/>
        <v xml:space="preserve"> </v>
      </c>
      <c r="AJ935" s="929"/>
      <c r="AK935" s="929"/>
    </row>
    <row r="936" spans="1:37" s="376" customFormat="1" ht="22.5" outlineLevel="2" x14ac:dyDescent="0.3">
      <c r="A936" s="447">
        <f t="shared" si="196"/>
        <v>72</v>
      </c>
      <c r="B936" s="893"/>
      <c r="C936" s="894"/>
      <c r="D936" s="923"/>
      <c r="E936" s="923"/>
      <c r="F936" s="950"/>
      <c r="G936" s="894"/>
      <c r="H936" s="940"/>
      <c r="I936" s="882"/>
      <c r="J936" s="929"/>
      <c r="K936" s="899" t="str">
        <f>IF(G936&lt;&gt;0,VLOOKUP(G936,'gia dat'!$A$1:$F$144,5,0)," ")</f>
        <v xml:space="preserve"> </v>
      </c>
      <c r="L936" s="899" t="str">
        <f>IF(G936&lt;&gt;0,VLOOKUP(G936,'gia dat'!$A$1:$F$144,6,0)," ")</f>
        <v xml:space="preserve"> </v>
      </c>
      <c r="M936" s="900" t="str">
        <f t="shared" si="198"/>
        <v xml:space="preserve"> </v>
      </c>
      <c r="N936" s="900" t="str">
        <f t="shared" si="199"/>
        <v xml:space="preserve"> </v>
      </c>
      <c r="O936" s="929"/>
      <c r="P936" s="951"/>
      <c r="Q936" s="900" t="str">
        <f>IF(O936&lt;&gt;0,VLOOKUP(O936,'Cây trong'!$A$2:$C$246,3,0)," ")</f>
        <v xml:space="preserve"> </v>
      </c>
      <c r="R936" s="900" t="str">
        <f t="shared" si="200"/>
        <v xml:space="preserve"> </v>
      </c>
      <c r="S936" s="929"/>
      <c r="T936" s="929"/>
      <c r="U936" s="952"/>
      <c r="V936" s="925"/>
      <c r="W936" s="900" t="str">
        <f>IF(S936&lt;&gt;0,VLOOKUP(S936,VKT!$A$2:$G$415,7,0),"")</f>
        <v/>
      </c>
      <c r="X936" s="900" t="str">
        <f t="shared" si="195"/>
        <v xml:space="preserve"> </v>
      </c>
      <c r="Y936" s="925"/>
      <c r="Z936" s="925"/>
      <c r="AA936" s="925"/>
      <c r="AB936" s="898"/>
      <c r="AC936" s="925"/>
      <c r="AD936" s="925"/>
      <c r="AE936" s="925"/>
      <c r="AF936" s="964"/>
      <c r="AG936" s="906" t="str">
        <f>IF(AE936&lt;&gt;0,VLOOKUP(AE936,ODDS!$A$2:$C$13,3,0),"")</f>
        <v/>
      </c>
      <c r="AH936" s="906" t="str">
        <f t="shared" si="201"/>
        <v xml:space="preserve"> </v>
      </c>
      <c r="AI936" s="907" t="str">
        <f t="shared" si="197"/>
        <v xml:space="preserve"> </v>
      </c>
      <c r="AJ936" s="929"/>
      <c r="AK936" s="929"/>
    </row>
    <row r="937" spans="1:37" s="376" customFormat="1" ht="22.5" outlineLevel="2" x14ac:dyDescent="0.3">
      <c r="A937" s="447">
        <f t="shared" si="196"/>
        <v>72</v>
      </c>
      <c r="B937" s="893"/>
      <c r="C937" s="910"/>
      <c r="D937" s="923"/>
      <c r="E937" s="923"/>
      <c r="F937" s="896"/>
      <c r="G937" s="894"/>
      <c r="H937" s="924"/>
      <c r="I937" s="882"/>
      <c r="J937" s="925"/>
      <c r="K937" s="899" t="str">
        <f>IF(G937&lt;&gt;0,VLOOKUP(G937,'gia dat'!$A$1:$F$144,5,0)," ")</f>
        <v xml:space="preserve"> </v>
      </c>
      <c r="L937" s="899" t="str">
        <f>IF(G937&lt;&gt;0,VLOOKUP(G937,'gia dat'!$A$1:$F$144,6,0)," ")</f>
        <v xml:space="preserve"> </v>
      </c>
      <c r="M937" s="900" t="str">
        <f t="shared" si="198"/>
        <v xml:space="preserve"> </v>
      </c>
      <c r="N937" s="900" t="str">
        <f t="shared" si="199"/>
        <v xml:space="preserve"> </v>
      </c>
      <c r="O937" s="973"/>
      <c r="P937" s="926"/>
      <c r="Q937" s="900" t="str">
        <f>IF(O937&lt;&gt;0,VLOOKUP(O937,'Cây trong'!$A$2:$C$246,3,0)," ")</f>
        <v xml:space="preserve"> </v>
      </c>
      <c r="R937" s="900" t="str">
        <f t="shared" si="200"/>
        <v xml:space="preserve"> </v>
      </c>
      <c r="S937" s="973"/>
      <c r="T937" s="975"/>
      <c r="U937" s="927"/>
      <c r="V937" s="1013"/>
      <c r="W937" s="900" t="str">
        <f>IF(S937&lt;&gt;0,VLOOKUP(S937,VKT!$A$2:$G$415,7,0),"")</f>
        <v/>
      </c>
      <c r="X937" s="900" t="str">
        <f t="shared" si="195"/>
        <v xml:space="preserve"> </v>
      </c>
      <c r="Y937" s="925"/>
      <c r="Z937" s="928"/>
      <c r="AA937" s="928"/>
      <c r="AB937" s="904"/>
      <c r="AC937" s="928"/>
      <c r="AD937" s="928"/>
      <c r="AE937" s="928"/>
      <c r="AF937" s="926"/>
      <c r="AG937" s="906" t="str">
        <f>IF(AE937&lt;&gt;0,VLOOKUP(AE937,ODDS!$A$2:$C$13,3,0),"")</f>
        <v/>
      </c>
      <c r="AH937" s="906" t="str">
        <f t="shared" si="201"/>
        <v xml:space="preserve"> </v>
      </c>
      <c r="AI937" s="907" t="str">
        <f t="shared" si="197"/>
        <v xml:space="preserve"> </v>
      </c>
      <c r="AJ937" s="929"/>
      <c r="AK937" s="929"/>
    </row>
    <row r="938" spans="1:37" s="376" customFormat="1" ht="43.5" outlineLevel="1" x14ac:dyDescent="0.25">
      <c r="A938" s="467" t="s">
        <v>2637</v>
      </c>
      <c r="B938" s="912">
        <v>73</v>
      </c>
      <c r="C938" s="910" t="s">
        <v>47</v>
      </c>
      <c r="D938" s="931"/>
      <c r="E938" s="931"/>
      <c r="F938" s="913"/>
      <c r="G938" s="910"/>
      <c r="H938" s="953">
        <f>SUBTOTAL(9,H939:H944)</f>
        <v>652.6</v>
      </c>
      <c r="I938" s="915">
        <f>SUBTOTAL(9,I939:I944)</f>
        <v>0</v>
      </c>
      <c r="J938" s="933"/>
      <c r="K938" s="917"/>
      <c r="L938" s="917"/>
      <c r="M938" s="907">
        <f>SUBTOTAL(9,M939:M944)</f>
        <v>361801000</v>
      </c>
      <c r="N938" s="907">
        <f>SUBTOTAL(9,N939:N944)</f>
        <v>0</v>
      </c>
      <c r="O938" s="1006"/>
      <c r="P938" s="935">
        <f>SUBTOTAL(9,P939:P944)</f>
        <v>0</v>
      </c>
      <c r="Q938" s="907"/>
      <c r="R938" s="907">
        <f>SUBTOTAL(9,R939:R944)</f>
        <v>0</v>
      </c>
      <c r="S938" s="1006"/>
      <c r="T938" s="1011"/>
      <c r="U938" s="936">
        <f>SUBTOTAL(9,U939:U944)</f>
        <v>0</v>
      </c>
      <c r="V938" s="1015"/>
      <c r="W938" s="907"/>
      <c r="X938" s="907">
        <f>SUBTOTAL(9,X939:X944)</f>
        <v>0</v>
      </c>
      <c r="Y938" s="925"/>
      <c r="Z938" s="928"/>
      <c r="AA938" s="928"/>
      <c r="AB938" s="904"/>
      <c r="AC938" s="928"/>
      <c r="AD938" s="928"/>
      <c r="AE938" s="937"/>
      <c r="AF938" s="935">
        <f>SUBTOTAL(9,AF939:AF944)</f>
        <v>0</v>
      </c>
      <c r="AG938" s="921"/>
      <c r="AH938" s="921">
        <f>SUBTOTAL(9,AH939:AH944)</f>
        <v>0</v>
      </c>
      <c r="AI938" s="907">
        <f t="shared" si="197"/>
        <v>361801000</v>
      </c>
      <c r="AJ938" s="910"/>
      <c r="AK938" s="914"/>
    </row>
    <row r="939" spans="1:37" s="376" customFormat="1" ht="135" outlineLevel="2" x14ac:dyDescent="0.3">
      <c r="A939" s="447">
        <f>IF(B938&lt;&gt;0,B938,A937)</f>
        <v>73</v>
      </c>
      <c r="B939" s="893"/>
      <c r="C939" s="894" t="s">
        <v>279</v>
      </c>
      <c r="D939" s="923">
        <v>2</v>
      </c>
      <c r="E939" s="923">
        <v>86</v>
      </c>
      <c r="F939" s="896">
        <v>346</v>
      </c>
      <c r="G939" s="894" t="s">
        <v>2884</v>
      </c>
      <c r="H939" s="924">
        <v>652.6</v>
      </c>
      <c r="I939" s="882" t="str">
        <f t="shared" ref="I939" si="202">IF(N939&gt;0,H939,"")</f>
        <v/>
      </c>
      <c r="J939" s="925"/>
      <c r="K939" s="899">
        <f>IF(G939&lt;&gt;0,VLOOKUP(G939,'gia dat'!$A$1:$F$144,5,0)," ")</f>
        <v>554400</v>
      </c>
      <c r="L939" s="899">
        <f>IF(G939&lt;&gt;0,VLOOKUP(G939,'gia dat'!$A$1:$F$144,6,0)," ")</f>
        <v>0</v>
      </c>
      <c r="M939" s="900">
        <f t="shared" si="198"/>
        <v>361801000</v>
      </c>
      <c r="N939" s="900">
        <f t="shared" si="199"/>
        <v>0</v>
      </c>
      <c r="O939" s="973"/>
      <c r="P939" s="926"/>
      <c r="Q939" s="900" t="str">
        <f>IF(O939&lt;&gt;0,VLOOKUP(O939,'Cây trong'!$A$2:$C$246,3,0)," ")</f>
        <v xml:space="preserve"> </v>
      </c>
      <c r="R939" s="900" t="str">
        <f t="shared" si="200"/>
        <v xml:space="preserve"> </v>
      </c>
      <c r="S939" s="973"/>
      <c r="T939" s="975"/>
      <c r="U939" s="927"/>
      <c r="V939" s="1013"/>
      <c r="W939" s="900" t="str">
        <f>IF(S939&lt;&gt;0,VLOOKUP(S939,VKT!$A$2:$G$415,7,0),"")</f>
        <v/>
      </c>
      <c r="X939" s="900" t="str">
        <f t="shared" si="195"/>
        <v xml:space="preserve"> </v>
      </c>
      <c r="Y939" s="925"/>
      <c r="Z939" s="928"/>
      <c r="AA939" s="928"/>
      <c r="AB939" s="904"/>
      <c r="AC939" s="928"/>
      <c r="AD939" s="928"/>
      <c r="AE939" s="928"/>
      <c r="AF939" s="926"/>
      <c r="AG939" s="906" t="str">
        <f>IF(AE939&lt;&gt;0,VLOOKUP(AE939,ODDS!$A$2:$C$13,3,0),"")</f>
        <v/>
      </c>
      <c r="AH939" s="906"/>
      <c r="AI939" s="907" t="str">
        <f t="shared" si="197"/>
        <v xml:space="preserve"> </v>
      </c>
      <c r="AJ939" s="894" t="s">
        <v>598</v>
      </c>
      <c r="AK939" s="922" t="s">
        <v>2771</v>
      </c>
    </row>
    <row r="940" spans="1:37" s="376" customFormat="1" ht="67.5" outlineLevel="2" x14ac:dyDescent="0.3">
      <c r="A940" s="447">
        <f>IF(B939&lt;&gt;0,B939,A939)</f>
        <v>73</v>
      </c>
      <c r="B940" s="893"/>
      <c r="C940" s="963" t="s">
        <v>707</v>
      </c>
      <c r="D940" s="923"/>
      <c r="E940" s="923"/>
      <c r="F940" s="896"/>
      <c r="G940" s="894"/>
      <c r="H940" s="924"/>
      <c r="I940" s="882"/>
      <c r="J940" s="925"/>
      <c r="K940" s="899" t="str">
        <f>IF(G940&lt;&gt;0,VLOOKUP(G940,'gia dat'!$A$1:$F$144,5,0)," ")</f>
        <v xml:space="preserve"> </v>
      </c>
      <c r="L940" s="899" t="str">
        <f>IF(G940&lt;&gt;0,VLOOKUP(G940,'gia dat'!$A$1:$F$144,6,0)," ")</f>
        <v xml:space="preserve"> </v>
      </c>
      <c r="M940" s="900" t="str">
        <f t="shared" si="198"/>
        <v xml:space="preserve"> </v>
      </c>
      <c r="N940" s="900" t="str">
        <f t="shared" si="199"/>
        <v xml:space="preserve"> </v>
      </c>
      <c r="O940" s="981"/>
      <c r="P940" s="993"/>
      <c r="Q940" s="900" t="str">
        <f>IF(O940&lt;&gt;0,VLOOKUP(O940,'Cây trong'!$A$2:$C$246,3,0)," ")</f>
        <v xml:space="preserve"> </v>
      </c>
      <c r="R940" s="900" t="str">
        <f t="shared" si="200"/>
        <v xml:space="preserve"> </v>
      </c>
      <c r="S940" s="981"/>
      <c r="T940" s="982"/>
      <c r="U940" s="927"/>
      <c r="V940" s="984"/>
      <c r="W940" s="900" t="str">
        <f>IF(S940&lt;&gt;0,VLOOKUP(S940,VKT!$A$2:$G$415,7,0),"")</f>
        <v/>
      </c>
      <c r="X940" s="900" t="str">
        <f t="shared" si="195"/>
        <v xml:space="preserve"> </v>
      </c>
      <c r="Y940" s="925"/>
      <c r="Z940" s="928"/>
      <c r="AA940" s="928"/>
      <c r="AB940" s="904"/>
      <c r="AC940" s="928"/>
      <c r="AD940" s="928"/>
      <c r="AE940" s="928"/>
      <c r="AF940" s="926"/>
      <c r="AG940" s="906" t="str">
        <f>IF(AE940&lt;&gt;0,VLOOKUP(AE940,ODDS!$A$2:$C$13,3,0),"")</f>
        <v/>
      </c>
      <c r="AH940" s="906" t="str">
        <f t="shared" si="201"/>
        <v xml:space="preserve"> </v>
      </c>
      <c r="AI940" s="907" t="str">
        <f t="shared" si="197"/>
        <v xml:space="preserve"> </v>
      </c>
      <c r="AJ940" s="894" t="s">
        <v>599</v>
      </c>
      <c r="AK940" s="894"/>
    </row>
    <row r="941" spans="1:37" s="376" customFormat="1" ht="45" outlineLevel="2" x14ac:dyDescent="0.3">
      <c r="A941" s="447">
        <f>IF(B940&lt;&gt;0,B940,A940)</f>
        <v>73</v>
      </c>
      <c r="B941" s="893"/>
      <c r="C941" s="983" t="s">
        <v>317</v>
      </c>
      <c r="D941" s="923"/>
      <c r="E941" s="923"/>
      <c r="F941" s="896"/>
      <c r="G941" s="894"/>
      <c r="H941" s="924"/>
      <c r="I941" s="882"/>
      <c r="J941" s="925"/>
      <c r="K941" s="899" t="str">
        <f>IF(G941&lt;&gt;0,VLOOKUP(G941,'gia dat'!$A$1:$F$144,5,0)," ")</f>
        <v xml:space="preserve"> </v>
      </c>
      <c r="L941" s="899" t="str">
        <f>IF(G941&lt;&gt;0,VLOOKUP(G941,'gia dat'!$A$1:$F$144,6,0)," ")</f>
        <v xml:space="preserve"> </v>
      </c>
      <c r="M941" s="900" t="str">
        <f t="shared" si="198"/>
        <v xml:space="preserve"> </v>
      </c>
      <c r="N941" s="900" t="str">
        <f t="shared" si="199"/>
        <v xml:space="preserve"> </v>
      </c>
      <c r="O941" s="981"/>
      <c r="P941" s="993"/>
      <c r="Q941" s="900" t="str">
        <f>IF(O941&lt;&gt;0,VLOOKUP(O941,'Cây trong'!$A$2:$C$246,3,0)," ")</f>
        <v xml:space="preserve"> </v>
      </c>
      <c r="R941" s="900" t="str">
        <f t="shared" si="200"/>
        <v xml:space="preserve"> </v>
      </c>
      <c r="S941" s="981"/>
      <c r="T941" s="982"/>
      <c r="U941" s="927"/>
      <c r="V941" s="984"/>
      <c r="W941" s="900" t="str">
        <f>IF(S941&lt;&gt;0,VLOOKUP(S941,VKT!$A$2:$G$415,7,0),"")</f>
        <v/>
      </c>
      <c r="X941" s="900" t="str">
        <f t="shared" si="195"/>
        <v xml:space="preserve"> </v>
      </c>
      <c r="Y941" s="925"/>
      <c r="Z941" s="928"/>
      <c r="AA941" s="928"/>
      <c r="AB941" s="904"/>
      <c r="AC941" s="928"/>
      <c r="AD941" s="928"/>
      <c r="AE941" s="928"/>
      <c r="AF941" s="926"/>
      <c r="AG941" s="906" t="str">
        <f>IF(AE941&lt;&gt;0,VLOOKUP(AE941,ODDS!$A$2:$C$13,3,0),"")</f>
        <v/>
      </c>
      <c r="AH941" s="906" t="str">
        <f t="shared" si="201"/>
        <v xml:space="preserve"> </v>
      </c>
      <c r="AI941" s="907" t="str">
        <f t="shared" si="197"/>
        <v xml:space="preserve"> </v>
      </c>
      <c r="AJ941" s="910"/>
      <c r="AK941" s="929"/>
    </row>
    <row r="942" spans="1:37" s="376" customFormat="1" ht="22.5" outlineLevel="2" x14ac:dyDescent="0.3">
      <c r="A942" s="447">
        <f>IF(B941&lt;&gt;0,B941,A941)</f>
        <v>73</v>
      </c>
      <c r="B942" s="893"/>
      <c r="C942" s="983"/>
      <c r="D942" s="923"/>
      <c r="E942" s="923"/>
      <c r="F942" s="950"/>
      <c r="G942" s="894"/>
      <c r="H942" s="940"/>
      <c r="I942" s="882"/>
      <c r="J942" s="929"/>
      <c r="K942" s="899" t="str">
        <f>IF(G942&lt;&gt;0,VLOOKUP(G942,'gia dat'!$A$1:$F$144,5,0)," ")</f>
        <v xml:space="preserve"> </v>
      </c>
      <c r="L942" s="899" t="str">
        <f>IF(G942&lt;&gt;0,VLOOKUP(G942,'gia dat'!$A$1:$F$144,6,0)," ")</f>
        <v xml:space="preserve"> </v>
      </c>
      <c r="M942" s="900" t="str">
        <f t="shared" si="198"/>
        <v xml:space="preserve"> </v>
      </c>
      <c r="N942" s="900" t="str">
        <f t="shared" si="199"/>
        <v xml:space="preserve"> </v>
      </c>
      <c r="O942" s="929"/>
      <c r="P942" s="951"/>
      <c r="Q942" s="900" t="str">
        <f>IF(O942&lt;&gt;0,VLOOKUP(O942,'Cây trong'!$A$2:$C$246,3,0)," ")</f>
        <v xml:space="preserve"> </v>
      </c>
      <c r="R942" s="900" t="str">
        <f t="shared" si="200"/>
        <v xml:space="preserve"> </v>
      </c>
      <c r="S942" s="929"/>
      <c r="T942" s="929"/>
      <c r="U942" s="952"/>
      <c r="V942" s="925"/>
      <c r="W942" s="900" t="str">
        <f>IF(S942&lt;&gt;0,VLOOKUP(S942,VKT!$A$2:$G$415,7,0),"")</f>
        <v/>
      </c>
      <c r="X942" s="900" t="str">
        <f t="shared" si="195"/>
        <v xml:space="preserve"> </v>
      </c>
      <c r="Y942" s="925"/>
      <c r="Z942" s="925"/>
      <c r="AA942" s="925"/>
      <c r="AB942" s="898"/>
      <c r="AC942" s="925"/>
      <c r="AD942" s="925"/>
      <c r="AE942" s="925"/>
      <c r="AF942" s="964"/>
      <c r="AG942" s="906" t="str">
        <f>IF(AE942&lt;&gt;0,VLOOKUP(AE942,ODDS!$A$2:$C$13,3,0),"")</f>
        <v/>
      </c>
      <c r="AH942" s="906" t="str">
        <f t="shared" si="201"/>
        <v xml:space="preserve"> </v>
      </c>
      <c r="AI942" s="907" t="str">
        <f t="shared" si="197"/>
        <v xml:space="preserve"> </v>
      </c>
      <c r="AJ942" s="894"/>
      <c r="AK942" s="894"/>
    </row>
    <row r="943" spans="1:37" s="376" customFormat="1" ht="22.5" outlineLevel="2" x14ac:dyDescent="0.3">
      <c r="A943" s="447">
        <f>IF(B942&lt;&gt;0,B942,A942)</f>
        <v>73</v>
      </c>
      <c r="B943" s="893"/>
      <c r="C943" s="894"/>
      <c r="D943" s="923"/>
      <c r="E943" s="923"/>
      <c r="F943" s="950"/>
      <c r="G943" s="894"/>
      <c r="H943" s="940"/>
      <c r="I943" s="882"/>
      <c r="J943" s="929"/>
      <c r="K943" s="899" t="str">
        <f>IF(G943&lt;&gt;0,VLOOKUP(G943,'gia dat'!$A$1:$F$144,5,0)," ")</f>
        <v xml:space="preserve"> </v>
      </c>
      <c r="L943" s="899" t="str">
        <f>IF(G943&lt;&gt;0,VLOOKUP(G943,'gia dat'!$A$1:$F$144,6,0)," ")</f>
        <v xml:space="preserve"> </v>
      </c>
      <c r="M943" s="900" t="str">
        <f t="shared" si="198"/>
        <v xml:space="preserve"> </v>
      </c>
      <c r="N943" s="900" t="str">
        <f t="shared" si="199"/>
        <v xml:space="preserve"> </v>
      </c>
      <c r="O943" s="929"/>
      <c r="P943" s="951"/>
      <c r="Q943" s="900" t="str">
        <f>IF(O943&lt;&gt;0,VLOOKUP(O943,'Cây trong'!$A$2:$C$246,3,0)," ")</f>
        <v xml:space="preserve"> </v>
      </c>
      <c r="R943" s="900" t="str">
        <f t="shared" si="200"/>
        <v xml:space="preserve"> </v>
      </c>
      <c r="S943" s="929"/>
      <c r="T943" s="929"/>
      <c r="U943" s="952"/>
      <c r="V943" s="925"/>
      <c r="W943" s="900" t="str">
        <f>IF(S943&lt;&gt;0,VLOOKUP(S943,VKT!$A$2:$G$415,7,0),"")</f>
        <v/>
      </c>
      <c r="X943" s="900" t="str">
        <f t="shared" si="195"/>
        <v xml:space="preserve"> </v>
      </c>
      <c r="Y943" s="925"/>
      <c r="Z943" s="925"/>
      <c r="AA943" s="925"/>
      <c r="AB943" s="898"/>
      <c r="AC943" s="925"/>
      <c r="AD943" s="925"/>
      <c r="AE943" s="925"/>
      <c r="AF943" s="964"/>
      <c r="AG943" s="906" t="str">
        <f>IF(AE943&lt;&gt;0,VLOOKUP(AE943,ODDS!$A$2:$C$13,3,0),"")</f>
        <v/>
      </c>
      <c r="AH943" s="906" t="str">
        <f t="shared" si="201"/>
        <v xml:space="preserve"> </v>
      </c>
      <c r="AI943" s="907" t="str">
        <f t="shared" si="197"/>
        <v xml:space="preserve"> </v>
      </c>
      <c r="AJ943" s="894"/>
      <c r="AK943" s="894"/>
    </row>
    <row r="944" spans="1:37" s="376" customFormat="1" ht="22.5" outlineLevel="2" x14ac:dyDescent="0.3">
      <c r="A944" s="447">
        <f>IF(B943&lt;&gt;0,B943,A943)</f>
        <v>73</v>
      </c>
      <c r="B944" s="893"/>
      <c r="C944" s="910"/>
      <c r="D944" s="923"/>
      <c r="E944" s="923"/>
      <c r="F944" s="896"/>
      <c r="G944" s="894"/>
      <c r="H944" s="924"/>
      <c r="I944" s="882"/>
      <c r="J944" s="925"/>
      <c r="K944" s="899" t="str">
        <f>IF(G944&lt;&gt;0,VLOOKUP(G944,'gia dat'!$A$1:$F$144,5,0)," ")</f>
        <v xml:space="preserve"> </v>
      </c>
      <c r="L944" s="899" t="str">
        <f>IF(G944&lt;&gt;0,VLOOKUP(G944,'gia dat'!$A$1:$F$144,6,0)," ")</f>
        <v xml:space="preserve"> </v>
      </c>
      <c r="M944" s="900" t="str">
        <f t="shared" si="198"/>
        <v xml:space="preserve"> </v>
      </c>
      <c r="N944" s="900" t="str">
        <f t="shared" si="199"/>
        <v xml:space="preserve"> </v>
      </c>
      <c r="O944" s="981"/>
      <c r="P944" s="993"/>
      <c r="Q944" s="900" t="str">
        <f>IF(O944&lt;&gt;0,VLOOKUP(O944,'Cây trong'!$A$2:$C$246,3,0)," ")</f>
        <v xml:space="preserve"> </v>
      </c>
      <c r="R944" s="900" t="str">
        <f t="shared" si="200"/>
        <v xml:space="preserve"> </v>
      </c>
      <c r="S944" s="981"/>
      <c r="T944" s="982"/>
      <c r="U944" s="927"/>
      <c r="V944" s="984"/>
      <c r="W944" s="900" t="str">
        <f>IF(S944&lt;&gt;0,VLOOKUP(S944,VKT!$A$2:$G$415,7,0),"")</f>
        <v/>
      </c>
      <c r="X944" s="900" t="str">
        <f t="shared" si="195"/>
        <v xml:space="preserve"> </v>
      </c>
      <c r="Y944" s="925"/>
      <c r="Z944" s="928"/>
      <c r="AA944" s="928"/>
      <c r="AB944" s="904"/>
      <c r="AC944" s="928"/>
      <c r="AD944" s="928"/>
      <c r="AE944" s="928"/>
      <c r="AF944" s="926"/>
      <c r="AG944" s="906" t="str">
        <f>IF(AE944&lt;&gt;0,VLOOKUP(AE944,ODDS!$A$2:$C$13,3,0),"")</f>
        <v/>
      </c>
      <c r="AH944" s="906" t="str">
        <f t="shared" si="201"/>
        <v xml:space="preserve"> </v>
      </c>
      <c r="AI944" s="907" t="str">
        <f t="shared" si="197"/>
        <v xml:space="preserve"> </v>
      </c>
      <c r="AJ944" s="929"/>
      <c r="AK944" s="929"/>
    </row>
    <row r="945" spans="1:37" s="376" customFormat="1" ht="43.5" outlineLevel="1" x14ac:dyDescent="0.25">
      <c r="A945" s="467" t="s">
        <v>2636</v>
      </c>
      <c r="B945" s="912">
        <v>74</v>
      </c>
      <c r="C945" s="910" t="s">
        <v>47</v>
      </c>
      <c r="D945" s="931"/>
      <c r="E945" s="931"/>
      <c r="F945" s="913"/>
      <c r="G945" s="910"/>
      <c r="H945" s="953">
        <f>SUBTOTAL(9,H946:H952)</f>
        <v>673.3</v>
      </c>
      <c r="I945" s="915">
        <f>SUBTOTAL(9,I946:I951)</f>
        <v>0</v>
      </c>
      <c r="J945" s="933"/>
      <c r="K945" s="917"/>
      <c r="L945" s="917"/>
      <c r="M945" s="907">
        <f>SUBTOTAL(9,M946:M952)</f>
        <v>373278000</v>
      </c>
      <c r="N945" s="907">
        <f>SUBTOTAL(9,N946:N952)</f>
        <v>0</v>
      </c>
      <c r="O945" s="910"/>
      <c r="P945" s="935">
        <f>SUBTOTAL(9,P946:P952)</f>
        <v>0</v>
      </c>
      <c r="Q945" s="907"/>
      <c r="R945" s="907">
        <f>SUBTOTAL(9,R946:R952)</f>
        <v>0</v>
      </c>
      <c r="S945" s="918"/>
      <c r="T945" s="933"/>
      <c r="U945" s="936">
        <f>SUBTOTAL(9,U946:U952)</f>
        <v>0</v>
      </c>
      <c r="V945" s="933"/>
      <c r="W945" s="907"/>
      <c r="X945" s="907">
        <f>SUBTOTAL(9,X946:X952)</f>
        <v>0</v>
      </c>
      <c r="Y945" s="925"/>
      <c r="Z945" s="928"/>
      <c r="AA945" s="928"/>
      <c r="AB945" s="904"/>
      <c r="AC945" s="928"/>
      <c r="AD945" s="928"/>
      <c r="AE945" s="937"/>
      <c r="AF945" s="935">
        <f>SUBTOTAL(9,AF946:AF952)</f>
        <v>0</v>
      </c>
      <c r="AG945" s="921"/>
      <c r="AH945" s="921">
        <f>SUBTOTAL(9,AH946:AH952)</f>
        <v>0</v>
      </c>
      <c r="AI945" s="907">
        <f t="shared" si="197"/>
        <v>373278000</v>
      </c>
      <c r="AJ945" s="910"/>
      <c r="AK945" s="914"/>
    </row>
    <row r="946" spans="1:37" s="376" customFormat="1" ht="135" outlineLevel="2" x14ac:dyDescent="0.3">
      <c r="A946" s="447">
        <f>IF(B945&lt;&gt;0,B945,A944)</f>
        <v>74</v>
      </c>
      <c r="B946" s="893"/>
      <c r="C946" s="894" t="s">
        <v>279</v>
      </c>
      <c r="D946" s="923"/>
      <c r="E946" s="923">
        <v>86</v>
      </c>
      <c r="F946" s="896">
        <v>344</v>
      </c>
      <c r="G946" s="894" t="s">
        <v>2884</v>
      </c>
      <c r="H946" s="924">
        <v>673.3</v>
      </c>
      <c r="I946" s="882" t="str">
        <f t="shared" ref="I946" si="203">IF(N946&gt;0,H946,"")</f>
        <v/>
      </c>
      <c r="J946" s="925"/>
      <c r="K946" s="899">
        <f>IF(G946&lt;&gt;0,VLOOKUP(G946,'gia dat'!$A$1:$F$144,5,0)," ")</f>
        <v>554400</v>
      </c>
      <c r="L946" s="899">
        <f>IF(G946&lt;&gt;0,VLOOKUP(G946,'gia dat'!$A$1:$F$144,6,0)," ")</f>
        <v>0</v>
      </c>
      <c r="M946" s="900">
        <f t="shared" si="198"/>
        <v>373278000</v>
      </c>
      <c r="N946" s="900">
        <f t="shared" si="199"/>
        <v>0</v>
      </c>
      <c r="O946" s="894"/>
      <c r="P946" s="926"/>
      <c r="Q946" s="900" t="str">
        <f>IF(O946&lt;&gt;0,VLOOKUP(O946,'Cây trong'!$A$2:$C$246,3,0)," ")</f>
        <v xml:space="preserve"> </v>
      </c>
      <c r="R946" s="900" t="str">
        <f t="shared" si="200"/>
        <v xml:space="preserve"> </v>
      </c>
      <c r="S946" s="902"/>
      <c r="T946" s="925"/>
      <c r="U946" s="927"/>
      <c r="V946" s="925"/>
      <c r="W946" s="900" t="str">
        <f>IF(S946&lt;&gt;0,VLOOKUP(S946,VKT!$A$2:$G$415,7,0),"")</f>
        <v/>
      </c>
      <c r="X946" s="900" t="str">
        <f t="shared" si="195"/>
        <v xml:space="preserve"> </v>
      </c>
      <c r="Y946" s="925"/>
      <c r="Z946" s="928"/>
      <c r="AA946" s="928"/>
      <c r="AB946" s="904"/>
      <c r="AC946" s="928"/>
      <c r="AD946" s="928"/>
      <c r="AE946" s="928"/>
      <c r="AF946" s="926"/>
      <c r="AG946" s="906" t="str">
        <f>IF(AE946&lt;&gt;0,VLOOKUP(AE946,ODDS!$A$2:$C$13,3,0),"")</f>
        <v/>
      </c>
      <c r="AH946" s="906" t="str">
        <f t="shared" si="201"/>
        <v xml:space="preserve"> </v>
      </c>
      <c r="AI946" s="907" t="str">
        <f t="shared" si="197"/>
        <v xml:space="preserve"> </v>
      </c>
      <c r="AJ946" s="894" t="s">
        <v>708</v>
      </c>
      <c r="AK946" s="922" t="s">
        <v>2771</v>
      </c>
    </row>
    <row r="947" spans="1:37" s="376" customFormat="1" ht="67.5" outlineLevel="2" x14ac:dyDescent="0.3">
      <c r="A947" s="447">
        <f t="shared" ref="A947:A952" si="204">IF(B946&lt;&gt;0,B946,A946)</f>
        <v>74</v>
      </c>
      <c r="B947" s="893"/>
      <c r="C947" s="963" t="s">
        <v>707</v>
      </c>
      <c r="D947" s="923"/>
      <c r="E947" s="923"/>
      <c r="F947" s="896"/>
      <c r="G947" s="894"/>
      <c r="H947" s="924"/>
      <c r="I947" s="882"/>
      <c r="J947" s="925"/>
      <c r="K947" s="899" t="str">
        <f>IF(G947&lt;&gt;0,VLOOKUP(G947,'gia dat'!$A$1:$F$144,5,0)," ")</f>
        <v xml:space="preserve"> </v>
      </c>
      <c r="L947" s="899" t="str">
        <f>IF(G947&lt;&gt;0,VLOOKUP(G947,'gia dat'!$A$1:$F$144,6,0)," ")</f>
        <v xml:space="preserve"> </v>
      </c>
      <c r="M947" s="900" t="str">
        <f t="shared" si="198"/>
        <v xml:space="preserve"> </v>
      </c>
      <c r="N947" s="900" t="str">
        <f t="shared" si="199"/>
        <v xml:space="preserve"> </v>
      </c>
      <c r="O947" s="981"/>
      <c r="P947" s="926"/>
      <c r="Q947" s="900" t="str">
        <f>IF(O947&lt;&gt;0,VLOOKUP(O947,'Cây trong'!$A$2:$C$246,3,0)," ")</f>
        <v xml:space="preserve"> </v>
      </c>
      <c r="R947" s="900" t="str">
        <f t="shared" si="200"/>
        <v xml:space="preserve"> </v>
      </c>
      <c r="S947" s="981"/>
      <c r="T947" s="997"/>
      <c r="U947" s="927"/>
      <c r="V947" s="925"/>
      <c r="W947" s="900" t="str">
        <f>IF(S947&lt;&gt;0,VLOOKUP(S947,VKT!$A$2:$G$415,7,0),"")</f>
        <v/>
      </c>
      <c r="X947" s="900" t="str">
        <f t="shared" si="195"/>
        <v xml:space="preserve"> </v>
      </c>
      <c r="Y947" s="925"/>
      <c r="Z947" s="928"/>
      <c r="AA947" s="928"/>
      <c r="AB947" s="904"/>
      <c r="AC947" s="928"/>
      <c r="AD947" s="928"/>
      <c r="AE947" s="928"/>
      <c r="AF947" s="926"/>
      <c r="AG947" s="906" t="str">
        <f>IF(AE947&lt;&gt;0,VLOOKUP(AE947,ODDS!$A$2:$C$13,3,0),"")</f>
        <v/>
      </c>
      <c r="AH947" s="906" t="str">
        <f t="shared" si="201"/>
        <v xml:space="preserve"> </v>
      </c>
      <c r="AI947" s="907" t="str">
        <f t="shared" si="197"/>
        <v xml:space="preserve"> </v>
      </c>
      <c r="AJ947" s="894" t="s">
        <v>601</v>
      </c>
      <c r="AK947" s="894"/>
    </row>
    <row r="948" spans="1:37" s="376" customFormat="1" ht="45" outlineLevel="2" x14ac:dyDescent="0.3">
      <c r="A948" s="447">
        <f t="shared" si="204"/>
        <v>74</v>
      </c>
      <c r="B948" s="893"/>
      <c r="C948" s="983" t="s">
        <v>317</v>
      </c>
      <c r="D948" s="923"/>
      <c r="E948" s="923"/>
      <c r="F948" s="896"/>
      <c r="G948" s="894"/>
      <c r="H948" s="924"/>
      <c r="I948" s="882"/>
      <c r="J948" s="925"/>
      <c r="K948" s="899" t="str">
        <f>IF(G948&lt;&gt;0,VLOOKUP(G948,'gia dat'!$A$1:$F$144,5,0)," ")</f>
        <v xml:space="preserve"> </v>
      </c>
      <c r="L948" s="899" t="str">
        <f>IF(G948&lt;&gt;0,VLOOKUP(G948,'gia dat'!$A$1:$F$144,6,0)," ")</f>
        <v xml:space="preserve"> </v>
      </c>
      <c r="M948" s="900" t="str">
        <f t="shared" si="198"/>
        <v xml:space="preserve"> </v>
      </c>
      <c r="N948" s="900" t="str">
        <f t="shared" si="199"/>
        <v xml:space="preserve"> </v>
      </c>
      <c r="O948" s="981"/>
      <c r="P948" s="926"/>
      <c r="Q948" s="900" t="str">
        <f>IF(O948&lt;&gt;0,VLOOKUP(O948,'Cây trong'!$A$2:$C$246,3,0)," ")</f>
        <v xml:space="preserve"> </v>
      </c>
      <c r="R948" s="900" t="str">
        <f t="shared" si="200"/>
        <v xml:space="preserve"> </v>
      </c>
      <c r="S948" s="981"/>
      <c r="T948" s="982"/>
      <c r="U948" s="927"/>
      <c r="V948" s="925"/>
      <c r="W948" s="900" t="str">
        <f>IF(S948&lt;&gt;0,VLOOKUP(S948,VKT!$A$2:$G$415,7,0),"")</f>
        <v/>
      </c>
      <c r="X948" s="900" t="str">
        <f t="shared" si="195"/>
        <v xml:space="preserve"> </v>
      </c>
      <c r="Y948" s="925"/>
      <c r="Z948" s="928"/>
      <c r="AA948" s="928"/>
      <c r="AB948" s="904"/>
      <c r="AC948" s="928"/>
      <c r="AD948" s="928"/>
      <c r="AE948" s="928"/>
      <c r="AF948" s="926"/>
      <c r="AG948" s="906" t="str">
        <f>IF(AE948&lt;&gt;0,VLOOKUP(AE948,ODDS!$A$2:$C$13,3,0),"")</f>
        <v/>
      </c>
      <c r="AH948" s="906" t="str">
        <f t="shared" si="201"/>
        <v xml:space="preserve"> </v>
      </c>
      <c r="AI948" s="907" t="str">
        <f t="shared" si="197"/>
        <v xml:space="preserve"> </v>
      </c>
      <c r="AJ948" s="894" t="s">
        <v>2139</v>
      </c>
      <c r="AK948" s="894"/>
    </row>
    <row r="949" spans="1:37" s="376" customFormat="1" ht="22.5" outlineLevel="2" x14ac:dyDescent="0.35">
      <c r="A949" s="447">
        <f t="shared" si="204"/>
        <v>74</v>
      </c>
      <c r="B949" s="893"/>
      <c r="C949" s="983"/>
      <c r="D949" s="923"/>
      <c r="E949" s="923"/>
      <c r="F949" s="950"/>
      <c r="G949" s="894"/>
      <c r="H949" s="940"/>
      <c r="I949" s="882"/>
      <c r="J949" s="929"/>
      <c r="K949" s="899" t="str">
        <f>IF(G949&lt;&gt;0,VLOOKUP(G949,'gia dat'!$A$1:$F$144,5,0)," ")</f>
        <v xml:space="preserve"> </v>
      </c>
      <c r="L949" s="899" t="str">
        <f>IF(G949&lt;&gt;0,VLOOKUP(G949,'gia dat'!$A$1:$F$144,6,0)," ")</f>
        <v xml:space="preserve"> </v>
      </c>
      <c r="M949" s="900" t="str">
        <f t="shared" si="198"/>
        <v xml:space="preserve"> </v>
      </c>
      <c r="N949" s="900" t="str">
        <f t="shared" si="199"/>
        <v xml:space="preserve"> </v>
      </c>
      <c r="O949" s="929"/>
      <c r="P949" s="951"/>
      <c r="Q949" s="900" t="str">
        <f>IF(O949&lt;&gt;0,VLOOKUP(O949,'Cây trong'!$A$2:$C$246,3,0)," ")</f>
        <v xml:space="preserve"> </v>
      </c>
      <c r="R949" s="900" t="str">
        <f t="shared" si="200"/>
        <v xml:space="preserve"> </v>
      </c>
      <c r="S949" s="929"/>
      <c r="T949" s="929"/>
      <c r="U949" s="952"/>
      <c r="V949" s="925"/>
      <c r="W949" s="900" t="str">
        <f>IF(S949&lt;&gt;0,VLOOKUP(S949,VKT!$A$2:$G$415,7,0),"")</f>
        <v/>
      </c>
      <c r="X949" s="900" t="str">
        <f t="shared" si="195"/>
        <v xml:space="preserve"> </v>
      </c>
      <c r="Y949" s="925"/>
      <c r="Z949" s="925"/>
      <c r="AA949" s="925"/>
      <c r="AB949" s="898"/>
      <c r="AC949" s="925"/>
      <c r="AD949" s="925"/>
      <c r="AE949" s="925"/>
      <c r="AF949" s="964"/>
      <c r="AG949" s="906" t="str">
        <f>IF(AE949&lt;&gt;0,VLOOKUP(AE949,ODDS!$A$2:$C$13,3,0),"")</f>
        <v/>
      </c>
      <c r="AH949" s="906" t="str">
        <f t="shared" si="201"/>
        <v xml:space="preserve"> </v>
      </c>
      <c r="AI949" s="907" t="str">
        <f t="shared" si="197"/>
        <v xml:space="preserve"> </v>
      </c>
      <c r="AJ949" s="911"/>
      <c r="AK949" s="894"/>
    </row>
    <row r="950" spans="1:37" s="376" customFormat="1" ht="22.5" outlineLevel="2" x14ac:dyDescent="0.3">
      <c r="A950" s="447">
        <f t="shared" si="204"/>
        <v>74</v>
      </c>
      <c r="B950" s="893"/>
      <c r="C950" s="983"/>
      <c r="D950" s="923"/>
      <c r="E950" s="923"/>
      <c r="F950" s="950"/>
      <c r="G950" s="894"/>
      <c r="H950" s="940"/>
      <c r="I950" s="882"/>
      <c r="J950" s="929"/>
      <c r="K950" s="899" t="str">
        <f>IF(G950&lt;&gt;0,VLOOKUP(G950,'gia dat'!$A$1:$F$144,5,0)," ")</f>
        <v xml:space="preserve"> </v>
      </c>
      <c r="L950" s="899" t="str">
        <f>IF(G950&lt;&gt;0,VLOOKUP(G950,'gia dat'!$A$1:$F$144,6,0)," ")</f>
        <v xml:space="preserve"> </v>
      </c>
      <c r="M950" s="900" t="str">
        <f t="shared" si="198"/>
        <v xml:space="preserve"> </v>
      </c>
      <c r="N950" s="900" t="str">
        <f t="shared" si="199"/>
        <v xml:space="preserve"> </v>
      </c>
      <c r="O950" s="929"/>
      <c r="P950" s="951"/>
      <c r="Q950" s="900" t="str">
        <f>IF(O950&lt;&gt;0,VLOOKUP(O950,'Cây trong'!$A$2:$C$246,3,0)," ")</f>
        <v xml:space="preserve"> </v>
      </c>
      <c r="R950" s="900" t="str">
        <f t="shared" si="200"/>
        <v xml:space="preserve"> </v>
      </c>
      <c r="S950" s="929"/>
      <c r="T950" s="929"/>
      <c r="U950" s="952"/>
      <c r="V950" s="925"/>
      <c r="W950" s="900" t="str">
        <f>IF(S950&lt;&gt;0,VLOOKUP(S950,VKT!$A$2:$G$415,7,0),"")</f>
        <v/>
      </c>
      <c r="X950" s="900" t="str">
        <f t="shared" si="195"/>
        <v xml:space="preserve"> </v>
      </c>
      <c r="Y950" s="925"/>
      <c r="Z950" s="925"/>
      <c r="AA950" s="925"/>
      <c r="AB950" s="898"/>
      <c r="AC950" s="925"/>
      <c r="AD950" s="925"/>
      <c r="AE950" s="925"/>
      <c r="AF950" s="964"/>
      <c r="AG950" s="906" t="str">
        <f>IF(AE950&lt;&gt;0,VLOOKUP(AE950,ODDS!$A$2:$C$13,3,0),"")</f>
        <v/>
      </c>
      <c r="AH950" s="906" t="str">
        <f t="shared" si="201"/>
        <v xml:space="preserve"> </v>
      </c>
      <c r="AI950" s="907" t="str">
        <f t="shared" si="197"/>
        <v xml:space="preserve"> </v>
      </c>
      <c r="AJ950" s="894"/>
      <c r="AK950" s="894"/>
    </row>
    <row r="951" spans="1:37" s="376" customFormat="1" ht="22.5" outlineLevel="2" x14ac:dyDescent="0.3">
      <c r="A951" s="447">
        <f t="shared" si="204"/>
        <v>74</v>
      </c>
      <c r="B951" s="893"/>
      <c r="C951" s="894"/>
      <c r="D951" s="923"/>
      <c r="E951" s="923"/>
      <c r="F951" s="950"/>
      <c r="G951" s="894"/>
      <c r="H951" s="940"/>
      <c r="I951" s="882"/>
      <c r="J951" s="929"/>
      <c r="K951" s="899" t="str">
        <f>IF(G951&lt;&gt;0,VLOOKUP(G951,'gia dat'!$A$1:$F$144,5,0)," ")</f>
        <v xml:space="preserve"> </v>
      </c>
      <c r="L951" s="899" t="str">
        <f>IF(G951&lt;&gt;0,VLOOKUP(G951,'gia dat'!$A$1:$F$144,6,0)," ")</f>
        <v xml:space="preserve"> </v>
      </c>
      <c r="M951" s="900" t="str">
        <f t="shared" si="198"/>
        <v xml:space="preserve"> </v>
      </c>
      <c r="N951" s="900" t="str">
        <f t="shared" si="199"/>
        <v xml:space="preserve"> </v>
      </c>
      <c r="O951" s="929"/>
      <c r="P951" s="951"/>
      <c r="Q951" s="900" t="str">
        <f>IF(O951&lt;&gt;0,VLOOKUP(O951,'Cây trong'!$A$2:$C$246,3,0)," ")</f>
        <v xml:space="preserve"> </v>
      </c>
      <c r="R951" s="900" t="str">
        <f t="shared" si="200"/>
        <v xml:space="preserve"> </v>
      </c>
      <c r="S951" s="929"/>
      <c r="T951" s="929"/>
      <c r="U951" s="952"/>
      <c r="V951" s="925"/>
      <c r="W951" s="900" t="str">
        <f>IF(S951&lt;&gt;0,VLOOKUP(S951,VKT!$A$2:$G$415,7,0),"")</f>
        <v/>
      </c>
      <c r="X951" s="900" t="str">
        <f t="shared" si="195"/>
        <v xml:space="preserve"> </v>
      </c>
      <c r="Y951" s="925"/>
      <c r="Z951" s="925"/>
      <c r="AA951" s="925"/>
      <c r="AB951" s="898"/>
      <c r="AC951" s="925"/>
      <c r="AD951" s="925"/>
      <c r="AE951" s="925"/>
      <c r="AF951" s="964"/>
      <c r="AG951" s="906" t="str">
        <f>IF(AE951&lt;&gt;0,VLOOKUP(AE951,ODDS!$A$2:$C$13,3,0),"")</f>
        <v/>
      </c>
      <c r="AH951" s="906" t="str">
        <f t="shared" si="201"/>
        <v xml:space="preserve"> </v>
      </c>
      <c r="AI951" s="907" t="str">
        <f t="shared" si="197"/>
        <v xml:space="preserve"> </v>
      </c>
      <c r="AJ951" s="894"/>
      <c r="AK951" s="894"/>
    </row>
    <row r="952" spans="1:37" s="376" customFormat="1" ht="22.5" outlineLevel="2" x14ac:dyDescent="0.3">
      <c r="A952" s="447">
        <f t="shared" si="204"/>
        <v>74</v>
      </c>
      <c r="B952" s="893"/>
      <c r="C952" s="910"/>
      <c r="D952" s="923"/>
      <c r="E952" s="923"/>
      <c r="F952" s="896"/>
      <c r="G952" s="894"/>
      <c r="H952" s="924"/>
      <c r="I952" s="882"/>
      <c r="J952" s="925"/>
      <c r="K952" s="899" t="str">
        <f>IF(G952&lt;&gt;0,VLOOKUP(G952,'gia dat'!$A$1:$F$144,5,0)," ")</f>
        <v xml:space="preserve"> </v>
      </c>
      <c r="L952" s="899" t="str">
        <f>IF(G952&lt;&gt;0,VLOOKUP(G952,'gia dat'!$A$1:$F$144,6,0)," ")</f>
        <v xml:space="preserve"> </v>
      </c>
      <c r="M952" s="900" t="str">
        <f t="shared" si="198"/>
        <v xml:space="preserve"> </v>
      </c>
      <c r="N952" s="900" t="str">
        <f t="shared" si="199"/>
        <v xml:space="preserve"> </v>
      </c>
      <c r="O952" s="981"/>
      <c r="P952" s="926"/>
      <c r="Q952" s="900" t="str">
        <f>IF(O952&lt;&gt;0,VLOOKUP(O952,'Cây trong'!$A$2:$C$246,3,0)," ")</f>
        <v xml:space="preserve"> </v>
      </c>
      <c r="R952" s="900" t="str">
        <f t="shared" si="200"/>
        <v xml:space="preserve"> </v>
      </c>
      <c r="S952" s="981"/>
      <c r="T952" s="982"/>
      <c r="U952" s="927"/>
      <c r="V952" s="925"/>
      <c r="W952" s="900" t="str">
        <f>IF(S952&lt;&gt;0,VLOOKUP(S952,VKT!$A$2:$G$415,7,0),"")</f>
        <v/>
      </c>
      <c r="X952" s="900" t="str">
        <f t="shared" si="195"/>
        <v xml:space="preserve"> </v>
      </c>
      <c r="Y952" s="925"/>
      <c r="Z952" s="928"/>
      <c r="AA952" s="928"/>
      <c r="AB952" s="904"/>
      <c r="AC952" s="928"/>
      <c r="AD952" s="928"/>
      <c r="AE952" s="928"/>
      <c r="AF952" s="926"/>
      <c r="AG952" s="906" t="str">
        <f>IF(AE952&lt;&gt;0,VLOOKUP(AE952,ODDS!$A$2:$C$13,3,0),"")</f>
        <v/>
      </c>
      <c r="AH952" s="906" t="str">
        <f t="shared" si="201"/>
        <v xml:space="preserve"> </v>
      </c>
      <c r="AI952" s="907" t="str">
        <f t="shared" si="197"/>
        <v xml:space="preserve"> </v>
      </c>
      <c r="AJ952" s="929"/>
      <c r="AK952" s="929"/>
    </row>
    <row r="953" spans="1:37" s="376" customFormat="1" ht="43.5" outlineLevel="1" x14ac:dyDescent="0.25">
      <c r="A953" s="467" t="s">
        <v>2635</v>
      </c>
      <c r="B953" s="912">
        <v>75</v>
      </c>
      <c r="C953" s="910" t="s">
        <v>47</v>
      </c>
      <c r="D953" s="931"/>
      <c r="E953" s="931"/>
      <c r="F953" s="913"/>
      <c r="G953" s="910"/>
      <c r="H953" s="953">
        <f>SUBTOTAL(9,H954:H960)</f>
        <v>660.9</v>
      </c>
      <c r="I953" s="915">
        <f>SUBTOTAL(9,I954:I959)</f>
        <v>0</v>
      </c>
      <c r="J953" s="933"/>
      <c r="K953" s="917"/>
      <c r="L953" s="917"/>
      <c r="M953" s="907">
        <f>SUBTOTAL(9,M954:M960)</f>
        <v>366403000</v>
      </c>
      <c r="N953" s="907">
        <f>SUBTOTAL(9,N954:N960)</f>
        <v>0</v>
      </c>
      <c r="O953" s="979"/>
      <c r="P953" s="935">
        <f>SUBTOTAL(9,P954:P960)</f>
        <v>0</v>
      </c>
      <c r="Q953" s="907"/>
      <c r="R953" s="907">
        <f>SUBTOTAL(9,R954:R960)</f>
        <v>0</v>
      </c>
      <c r="S953" s="979"/>
      <c r="T953" s="980"/>
      <c r="U953" s="936">
        <f>SUBTOTAL(9,U954:U960)</f>
        <v>0</v>
      </c>
      <c r="V953" s="933"/>
      <c r="W953" s="907"/>
      <c r="X953" s="907">
        <f>SUBTOTAL(9,X954:X960)</f>
        <v>0</v>
      </c>
      <c r="Y953" s="925"/>
      <c r="Z953" s="928"/>
      <c r="AA953" s="928"/>
      <c r="AB953" s="904"/>
      <c r="AC953" s="928"/>
      <c r="AD953" s="928"/>
      <c r="AE953" s="937"/>
      <c r="AF953" s="935">
        <f>SUBTOTAL(9,AF954:AF960)</f>
        <v>0</v>
      </c>
      <c r="AG953" s="921"/>
      <c r="AH953" s="921">
        <f>SUBTOTAL(9,AH954:AH960)</f>
        <v>0</v>
      </c>
      <c r="AI953" s="907">
        <f t="shared" si="197"/>
        <v>366403000</v>
      </c>
      <c r="AJ953" s="910"/>
      <c r="AK953" s="914"/>
    </row>
    <row r="954" spans="1:37" s="376" customFormat="1" ht="135" outlineLevel="2" x14ac:dyDescent="0.3">
      <c r="A954" s="447">
        <f>IF(B953&lt;&gt;0,B953,A952)</f>
        <v>75</v>
      </c>
      <c r="B954" s="893"/>
      <c r="C954" s="894" t="s">
        <v>279</v>
      </c>
      <c r="D954" s="923"/>
      <c r="E954" s="923">
        <v>86</v>
      </c>
      <c r="F954" s="896">
        <v>343</v>
      </c>
      <c r="G954" s="894" t="s">
        <v>2884</v>
      </c>
      <c r="H954" s="924">
        <v>660.9</v>
      </c>
      <c r="I954" s="882" t="str">
        <f t="shared" ref="I954" si="205">IF(N954&gt;0,H954,"")</f>
        <v/>
      </c>
      <c r="J954" s="925"/>
      <c r="K954" s="899">
        <f>IF(G954&lt;&gt;0,VLOOKUP(G954,'gia dat'!$A$1:$F$144,5,0)," ")</f>
        <v>554400</v>
      </c>
      <c r="L954" s="899">
        <f>IF(G954&lt;&gt;0,VLOOKUP(G954,'gia dat'!$A$1:$F$144,6,0)," ")</f>
        <v>0</v>
      </c>
      <c r="M954" s="900">
        <f t="shared" si="198"/>
        <v>366403000</v>
      </c>
      <c r="N954" s="900">
        <f t="shared" si="199"/>
        <v>0</v>
      </c>
      <c r="O954" s="981"/>
      <c r="P954" s="926"/>
      <c r="Q954" s="900" t="str">
        <f>IF(O954&lt;&gt;0,VLOOKUP(O954,'Cây trong'!$A$2:$C$246,3,0)," ")</f>
        <v xml:space="preserve"> </v>
      </c>
      <c r="R954" s="900" t="str">
        <f t="shared" si="200"/>
        <v xml:space="preserve"> </v>
      </c>
      <c r="S954" s="981"/>
      <c r="T954" s="982"/>
      <c r="U954" s="927"/>
      <c r="V954" s="925"/>
      <c r="W954" s="900" t="str">
        <f>IF(S954&lt;&gt;0,VLOOKUP(S954,VKT!$A$2:$G$415,7,0),"")</f>
        <v/>
      </c>
      <c r="X954" s="900" t="str">
        <f t="shared" si="195"/>
        <v xml:space="preserve"> </v>
      </c>
      <c r="Y954" s="925"/>
      <c r="Z954" s="928"/>
      <c r="AA954" s="928"/>
      <c r="AB954" s="904"/>
      <c r="AC954" s="928"/>
      <c r="AD954" s="928"/>
      <c r="AE954" s="928"/>
      <c r="AF954" s="926"/>
      <c r="AG954" s="906" t="str">
        <f>IF(AE954&lt;&gt;0,VLOOKUP(AE954,ODDS!$A$2:$C$13,3,0),"")</f>
        <v/>
      </c>
      <c r="AH954" s="906" t="str">
        <f t="shared" si="201"/>
        <v xml:space="preserve"> </v>
      </c>
      <c r="AI954" s="907" t="str">
        <f t="shared" si="197"/>
        <v xml:space="preserve"> </v>
      </c>
      <c r="AJ954" s="894" t="s">
        <v>709</v>
      </c>
      <c r="AK954" s="922" t="s">
        <v>2771</v>
      </c>
    </row>
    <row r="955" spans="1:37" s="376" customFormat="1" ht="67.5" outlineLevel="2" x14ac:dyDescent="0.3">
      <c r="A955" s="447">
        <f t="shared" ref="A955:A960" si="206">IF(B954&lt;&gt;0,B954,A954)</f>
        <v>75</v>
      </c>
      <c r="B955" s="893"/>
      <c r="C955" s="963" t="s">
        <v>707</v>
      </c>
      <c r="D955" s="923"/>
      <c r="E955" s="923"/>
      <c r="F955" s="896"/>
      <c r="G955" s="894"/>
      <c r="H955" s="924"/>
      <c r="I955" s="882"/>
      <c r="J955" s="925"/>
      <c r="K955" s="899" t="str">
        <f>IF(G955&lt;&gt;0,VLOOKUP(G955,'gia dat'!$A$1:$F$144,5,0)," ")</f>
        <v xml:space="preserve"> </v>
      </c>
      <c r="L955" s="899" t="str">
        <f>IF(G955&lt;&gt;0,VLOOKUP(G955,'gia dat'!$A$1:$F$144,6,0)," ")</f>
        <v xml:space="preserve"> </v>
      </c>
      <c r="M955" s="900" t="str">
        <f t="shared" si="198"/>
        <v xml:space="preserve"> </v>
      </c>
      <c r="N955" s="900" t="str">
        <f t="shared" si="199"/>
        <v xml:space="preserve"> </v>
      </c>
      <c r="O955" s="981"/>
      <c r="P955" s="926"/>
      <c r="Q955" s="900" t="str">
        <f>IF(O955&lt;&gt;0,VLOOKUP(O955,'Cây trong'!$A$2:$C$246,3,0)," ")</f>
        <v xml:space="preserve"> </v>
      </c>
      <c r="R955" s="900" t="str">
        <f t="shared" si="200"/>
        <v xml:space="preserve"> </v>
      </c>
      <c r="S955" s="981"/>
      <c r="T955" s="982"/>
      <c r="U955" s="927"/>
      <c r="V955" s="925"/>
      <c r="W955" s="900" t="str">
        <f>IF(S955&lt;&gt;0,VLOOKUP(S955,VKT!$A$2:$G$415,7,0),"")</f>
        <v/>
      </c>
      <c r="X955" s="900" t="str">
        <f t="shared" si="195"/>
        <v xml:space="preserve"> </v>
      </c>
      <c r="Y955" s="925"/>
      <c r="Z955" s="928"/>
      <c r="AA955" s="928"/>
      <c r="AB955" s="904"/>
      <c r="AC955" s="928"/>
      <c r="AD955" s="928"/>
      <c r="AE955" s="928"/>
      <c r="AF955" s="926"/>
      <c r="AG955" s="906" t="str">
        <f>IF(AE955&lt;&gt;0,VLOOKUP(AE955,ODDS!$A$2:$C$13,3,0),"")</f>
        <v/>
      </c>
      <c r="AH955" s="906" t="str">
        <f t="shared" si="201"/>
        <v xml:space="preserve"> </v>
      </c>
      <c r="AI955" s="907" t="str">
        <f t="shared" si="197"/>
        <v xml:space="preserve"> </v>
      </c>
      <c r="AJ955" s="894" t="s">
        <v>603</v>
      </c>
      <c r="AK955" s="894"/>
    </row>
    <row r="956" spans="1:37" s="376" customFormat="1" ht="45" outlineLevel="2" x14ac:dyDescent="0.3">
      <c r="A956" s="447">
        <f t="shared" si="206"/>
        <v>75</v>
      </c>
      <c r="B956" s="893"/>
      <c r="C956" s="983" t="s">
        <v>317</v>
      </c>
      <c r="D956" s="923"/>
      <c r="E956" s="923"/>
      <c r="F956" s="896"/>
      <c r="G956" s="894"/>
      <c r="H956" s="924"/>
      <c r="I956" s="882"/>
      <c r="J956" s="925"/>
      <c r="K956" s="899" t="str">
        <f>IF(G956&lt;&gt;0,VLOOKUP(G956,'gia dat'!$A$1:$F$144,5,0)," ")</f>
        <v xml:space="preserve"> </v>
      </c>
      <c r="L956" s="899" t="str">
        <f>IF(G956&lt;&gt;0,VLOOKUP(G956,'gia dat'!$A$1:$F$144,6,0)," ")</f>
        <v xml:space="preserve"> </v>
      </c>
      <c r="M956" s="900" t="str">
        <f t="shared" si="198"/>
        <v xml:space="preserve"> </v>
      </c>
      <c r="N956" s="900" t="str">
        <f t="shared" si="199"/>
        <v xml:space="preserve"> </v>
      </c>
      <c r="O956" s="981"/>
      <c r="P956" s="926"/>
      <c r="Q956" s="900" t="str">
        <f>IF(O956&lt;&gt;0,VLOOKUP(O956,'Cây trong'!$A$2:$C$246,3,0)," ")</f>
        <v xml:space="preserve"> </v>
      </c>
      <c r="R956" s="900" t="str">
        <f t="shared" si="200"/>
        <v xml:space="preserve"> </v>
      </c>
      <c r="S956" s="981"/>
      <c r="T956" s="982"/>
      <c r="U956" s="927"/>
      <c r="V956" s="925"/>
      <c r="W956" s="900" t="str">
        <f>IF(S956&lt;&gt;0,VLOOKUP(S956,VKT!$A$2:$G$415,7,0),"")</f>
        <v/>
      </c>
      <c r="X956" s="900" t="str">
        <f t="shared" si="195"/>
        <v xml:space="preserve"> </v>
      </c>
      <c r="Y956" s="925"/>
      <c r="Z956" s="928"/>
      <c r="AA956" s="928"/>
      <c r="AB956" s="904"/>
      <c r="AC956" s="928"/>
      <c r="AD956" s="928"/>
      <c r="AE956" s="928"/>
      <c r="AF956" s="926"/>
      <c r="AG956" s="906" t="str">
        <f>IF(AE956&lt;&gt;0,VLOOKUP(AE956,ODDS!$A$2:$C$13,3,0),"")</f>
        <v/>
      </c>
      <c r="AH956" s="906" t="str">
        <f t="shared" si="201"/>
        <v xml:space="preserve"> </v>
      </c>
      <c r="AI956" s="907" t="str">
        <f t="shared" si="197"/>
        <v xml:space="preserve"> </v>
      </c>
      <c r="AJ956" s="894" t="s">
        <v>2139</v>
      </c>
      <c r="AK956" s="894"/>
    </row>
    <row r="957" spans="1:37" s="376" customFormat="1" ht="22.5" outlineLevel="2" x14ac:dyDescent="0.35">
      <c r="A957" s="447">
        <f t="shared" si="206"/>
        <v>75</v>
      </c>
      <c r="B957" s="893"/>
      <c r="C957" s="983"/>
      <c r="D957" s="923"/>
      <c r="E957" s="923"/>
      <c r="F957" s="950"/>
      <c r="G957" s="894"/>
      <c r="H957" s="940"/>
      <c r="I957" s="882"/>
      <c r="J957" s="929"/>
      <c r="K957" s="899" t="str">
        <f>IF(G957&lt;&gt;0,VLOOKUP(G957,'gia dat'!$A$1:$F$144,5,0)," ")</f>
        <v xml:space="preserve"> </v>
      </c>
      <c r="L957" s="899" t="str">
        <f>IF(G957&lt;&gt;0,VLOOKUP(G957,'gia dat'!$A$1:$F$144,6,0)," ")</f>
        <v xml:space="preserve"> </v>
      </c>
      <c r="M957" s="900" t="str">
        <f t="shared" si="198"/>
        <v xml:space="preserve"> </v>
      </c>
      <c r="N957" s="900" t="str">
        <f t="shared" si="199"/>
        <v xml:space="preserve"> </v>
      </c>
      <c r="O957" s="929"/>
      <c r="P957" s="951"/>
      <c r="Q957" s="900" t="str">
        <f>IF(O957&lt;&gt;0,VLOOKUP(O957,'Cây trong'!$A$2:$C$246,3,0)," ")</f>
        <v xml:space="preserve"> </v>
      </c>
      <c r="R957" s="900" t="str">
        <f t="shared" si="200"/>
        <v xml:space="preserve"> </v>
      </c>
      <c r="S957" s="929"/>
      <c r="T957" s="929"/>
      <c r="U957" s="952"/>
      <c r="V957" s="925"/>
      <c r="W957" s="900" t="str">
        <f>IF(S957&lt;&gt;0,VLOOKUP(S957,VKT!$A$2:$G$415,7,0),"")</f>
        <v/>
      </c>
      <c r="X957" s="900" t="str">
        <f t="shared" si="195"/>
        <v xml:space="preserve"> </v>
      </c>
      <c r="Y957" s="925"/>
      <c r="Z957" s="925"/>
      <c r="AA957" s="925"/>
      <c r="AB957" s="898"/>
      <c r="AC957" s="925"/>
      <c r="AD957" s="925"/>
      <c r="AE957" s="925"/>
      <c r="AF957" s="964"/>
      <c r="AG957" s="906" t="str">
        <f>IF(AE957&lt;&gt;0,VLOOKUP(AE957,ODDS!$A$2:$C$13,3,0),"")</f>
        <v/>
      </c>
      <c r="AH957" s="906" t="str">
        <f t="shared" si="201"/>
        <v xml:space="preserve"> </v>
      </c>
      <c r="AI957" s="907" t="str">
        <f t="shared" si="197"/>
        <v xml:space="preserve"> </v>
      </c>
      <c r="AJ957" s="911"/>
      <c r="AK957" s="894"/>
    </row>
    <row r="958" spans="1:37" s="376" customFormat="1" ht="22.5" outlineLevel="2" x14ac:dyDescent="0.3">
      <c r="A958" s="447">
        <f t="shared" si="206"/>
        <v>75</v>
      </c>
      <c r="B958" s="893"/>
      <c r="C958" s="983"/>
      <c r="D958" s="923"/>
      <c r="E958" s="923"/>
      <c r="F958" s="950"/>
      <c r="G958" s="894"/>
      <c r="H958" s="940"/>
      <c r="I958" s="882"/>
      <c r="J958" s="929"/>
      <c r="K958" s="899" t="str">
        <f>IF(G958&lt;&gt;0,VLOOKUP(G958,'gia dat'!$A$1:$F$144,5,0)," ")</f>
        <v xml:space="preserve"> </v>
      </c>
      <c r="L958" s="899" t="str">
        <f>IF(G958&lt;&gt;0,VLOOKUP(G958,'gia dat'!$A$1:$F$144,6,0)," ")</f>
        <v xml:space="preserve"> </v>
      </c>
      <c r="M958" s="900" t="str">
        <f t="shared" si="198"/>
        <v xml:space="preserve"> </v>
      </c>
      <c r="N958" s="900" t="str">
        <f t="shared" si="199"/>
        <v xml:space="preserve"> </v>
      </c>
      <c r="O958" s="929"/>
      <c r="P958" s="951"/>
      <c r="Q958" s="900" t="str">
        <f>IF(O958&lt;&gt;0,VLOOKUP(O958,'Cây trong'!$A$2:$C$246,3,0)," ")</f>
        <v xml:space="preserve"> </v>
      </c>
      <c r="R958" s="900" t="str">
        <f t="shared" si="200"/>
        <v xml:space="preserve"> </v>
      </c>
      <c r="S958" s="929"/>
      <c r="T958" s="929"/>
      <c r="U958" s="952"/>
      <c r="V958" s="925"/>
      <c r="W958" s="900" t="str">
        <f>IF(S958&lt;&gt;0,VLOOKUP(S958,VKT!$A$2:$G$415,7,0),"")</f>
        <v/>
      </c>
      <c r="X958" s="900" t="str">
        <f t="shared" si="195"/>
        <v xml:space="preserve"> </v>
      </c>
      <c r="Y958" s="925"/>
      <c r="Z958" s="925"/>
      <c r="AA958" s="925"/>
      <c r="AB958" s="898"/>
      <c r="AC958" s="925"/>
      <c r="AD958" s="925"/>
      <c r="AE958" s="925"/>
      <c r="AF958" s="964"/>
      <c r="AG958" s="906" t="str">
        <f>IF(AE958&lt;&gt;0,VLOOKUP(AE958,ODDS!$A$2:$C$13,3,0),"")</f>
        <v/>
      </c>
      <c r="AH958" s="906" t="str">
        <f t="shared" si="201"/>
        <v xml:space="preserve"> </v>
      </c>
      <c r="AI958" s="907" t="str">
        <f t="shared" si="197"/>
        <v xml:space="preserve"> </v>
      </c>
      <c r="AJ958" s="894"/>
      <c r="AK958" s="894"/>
    </row>
    <row r="959" spans="1:37" s="376" customFormat="1" ht="22.5" outlineLevel="2" x14ac:dyDescent="0.3">
      <c r="A959" s="447">
        <f t="shared" si="206"/>
        <v>75</v>
      </c>
      <c r="B959" s="893"/>
      <c r="C959" s="894"/>
      <c r="D959" s="923"/>
      <c r="E959" s="923"/>
      <c r="F959" s="950"/>
      <c r="G959" s="894"/>
      <c r="H959" s="940"/>
      <c r="I959" s="882"/>
      <c r="J959" s="929"/>
      <c r="K959" s="899" t="str">
        <f>IF(G959&lt;&gt;0,VLOOKUP(G959,'gia dat'!$A$1:$F$144,5,0)," ")</f>
        <v xml:space="preserve"> </v>
      </c>
      <c r="L959" s="899" t="str">
        <f>IF(G959&lt;&gt;0,VLOOKUP(G959,'gia dat'!$A$1:$F$144,6,0)," ")</f>
        <v xml:space="preserve"> </v>
      </c>
      <c r="M959" s="900" t="str">
        <f t="shared" si="198"/>
        <v xml:space="preserve"> </v>
      </c>
      <c r="N959" s="900" t="str">
        <f t="shared" si="199"/>
        <v xml:space="preserve"> </v>
      </c>
      <c r="O959" s="929"/>
      <c r="P959" s="951"/>
      <c r="Q959" s="900" t="str">
        <f>IF(O959&lt;&gt;0,VLOOKUP(O959,'Cây trong'!$A$2:$C$246,3,0)," ")</f>
        <v xml:space="preserve"> </v>
      </c>
      <c r="R959" s="900" t="str">
        <f t="shared" si="200"/>
        <v xml:space="preserve"> </v>
      </c>
      <c r="S959" s="929"/>
      <c r="T959" s="929"/>
      <c r="U959" s="952"/>
      <c r="V959" s="925"/>
      <c r="W959" s="900" t="str">
        <f>IF(S959&lt;&gt;0,VLOOKUP(S959,VKT!$A$2:$G$415,7,0),"")</f>
        <v/>
      </c>
      <c r="X959" s="900" t="str">
        <f t="shared" si="195"/>
        <v xml:space="preserve"> </v>
      </c>
      <c r="Y959" s="925"/>
      <c r="Z959" s="925"/>
      <c r="AA959" s="925"/>
      <c r="AB959" s="898"/>
      <c r="AC959" s="925"/>
      <c r="AD959" s="925"/>
      <c r="AE959" s="925"/>
      <c r="AF959" s="964"/>
      <c r="AG959" s="906" t="str">
        <f>IF(AE959&lt;&gt;0,VLOOKUP(AE959,ODDS!$A$2:$C$13,3,0),"")</f>
        <v/>
      </c>
      <c r="AH959" s="906" t="str">
        <f t="shared" si="201"/>
        <v xml:space="preserve"> </v>
      </c>
      <c r="AI959" s="907" t="str">
        <f t="shared" si="197"/>
        <v xml:space="preserve"> </v>
      </c>
      <c r="AJ959" s="894"/>
      <c r="AK959" s="894"/>
    </row>
    <row r="960" spans="1:37" s="376" customFormat="1" ht="22.5" outlineLevel="2" x14ac:dyDescent="0.3">
      <c r="A960" s="447">
        <f t="shared" si="206"/>
        <v>75</v>
      </c>
      <c r="B960" s="893"/>
      <c r="C960" s="910"/>
      <c r="D960" s="923"/>
      <c r="E960" s="923"/>
      <c r="F960" s="896"/>
      <c r="G960" s="894"/>
      <c r="H960" s="924"/>
      <c r="I960" s="882"/>
      <c r="J960" s="925"/>
      <c r="K960" s="899" t="str">
        <f>IF(G960&lt;&gt;0,VLOOKUP(G960,'gia dat'!$A$1:$F$144,5,0)," ")</f>
        <v xml:space="preserve"> </v>
      </c>
      <c r="L960" s="899" t="str">
        <f>IF(G960&lt;&gt;0,VLOOKUP(G960,'gia dat'!$A$1:$F$144,6,0)," ")</f>
        <v xml:space="preserve"> </v>
      </c>
      <c r="M960" s="900" t="str">
        <f t="shared" si="198"/>
        <v xml:space="preserve"> </v>
      </c>
      <c r="N960" s="900" t="str">
        <f t="shared" si="199"/>
        <v xml:space="preserve"> </v>
      </c>
      <c r="O960" s="981"/>
      <c r="P960" s="926"/>
      <c r="Q960" s="900" t="str">
        <f>IF(O960&lt;&gt;0,VLOOKUP(O960,'Cây trong'!$A$2:$C$246,3,0)," ")</f>
        <v xml:space="preserve"> </v>
      </c>
      <c r="R960" s="900" t="str">
        <f t="shared" si="200"/>
        <v xml:space="preserve"> </v>
      </c>
      <c r="S960" s="981"/>
      <c r="T960" s="982"/>
      <c r="U960" s="927"/>
      <c r="V960" s="925"/>
      <c r="W960" s="900" t="str">
        <f>IF(S960&lt;&gt;0,VLOOKUP(S960,VKT!$A$2:$G$415,7,0),"")</f>
        <v/>
      </c>
      <c r="X960" s="900" t="str">
        <f t="shared" si="195"/>
        <v xml:space="preserve"> </v>
      </c>
      <c r="Y960" s="925"/>
      <c r="Z960" s="928"/>
      <c r="AA960" s="928"/>
      <c r="AB960" s="904"/>
      <c r="AC960" s="928"/>
      <c r="AD960" s="928"/>
      <c r="AE960" s="928"/>
      <c r="AF960" s="926"/>
      <c r="AG960" s="906" t="str">
        <f>IF(AE960&lt;&gt;0,VLOOKUP(AE960,ODDS!$A$2:$C$13,3,0),"")</f>
        <v/>
      </c>
      <c r="AH960" s="906" t="str">
        <f t="shared" si="201"/>
        <v xml:space="preserve"> </v>
      </c>
      <c r="AI960" s="907" t="str">
        <f t="shared" si="197"/>
        <v xml:space="preserve"> </v>
      </c>
      <c r="AJ960" s="929"/>
      <c r="AK960" s="929"/>
    </row>
    <row r="961" spans="1:37" s="376" customFormat="1" ht="43.5" outlineLevel="1" x14ac:dyDescent="0.25">
      <c r="A961" s="467" t="s">
        <v>2634</v>
      </c>
      <c r="B961" s="912">
        <v>76</v>
      </c>
      <c r="C961" s="910" t="s">
        <v>47</v>
      </c>
      <c r="D961" s="931"/>
      <c r="E961" s="931"/>
      <c r="F961" s="913"/>
      <c r="G961" s="910"/>
      <c r="H961" s="953">
        <f>SUBTOTAL(9,H962:H968)</f>
        <v>398.3</v>
      </c>
      <c r="I961" s="915">
        <f>SUBTOTAL(9,I962:I967)</f>
        <v>0</v>
      </c>
      <c r="J961" s="933"/>
      <c r="K961" s="917"/>
      <c r="L961" s="917"/>
      <c r="M961" s="907">
        <f>SUBTOTAL(9,M962:M968)</f>
        <v>220818000</v>
      </c>
      <c r="N961" s="907">
        <f>SUBTOTAL(9,N962:N968)</f>
        <v>0</v>
      </c>
      <c r="O961" s="910"/>
      <c r="P961" s="935">
        <f>SUBTOTAL(9,P962:P968)</f>
        <v>0</v>
      </c>
      <c r="Q961" s="907"/>
      <c r="R961" s="907">
        <f>SUBTOTAL(9,R962:R968)</f>
        <v>0</v>
      </c>
      <c r="S961" s="918"/>
      <c r="T961" s="933"/>
      <c r="U961" s="936">
        <f>SUBTOTAL(9,U962:U968)</f>
        <v>0</v>
      </c>
      <c r="V961" s="933"/>
      <c r="W961" s="907"/>
      <c r="X961" s="907">
        <f>SUBTOTAL(9,X962:X968)</f>
        <v>0</v>
      </c>
      <c r="Y961" s="925"/>
      <c r="Z961" s="928"/>
      <c r="AA961" s="928"/>
      <c r="AB961" s="904"/>
      <c r="AC961" s="928"/>
      <c r="AD961" s="928"/>
      <c r="AE961" s="937"/>
      <c r="AF961" s="935">
        <f>SUBTOTAL(9,AF962:AF968)</f>
        <v>0</v>
      </c>
      <c r="AG961" s="921"/>
      <c r="AH961" s="921">
        <f>SUBTOTAL(9,AH962:AH968)</f>
        <v>0</v>
      </c>
      <c r="AI961" s="907">
        <f t="shared" si="197"/>
        <v>220818000</v>
      </c>
      <c r="AJ961" s="910"/>
      <c r="AK961" s="914"/>
    </row>
    <row r="962" spans="1:37" s="376" customFormat="1" ht="135" outlineLevel="2" x14ac:dyDescent="0.3">
      <c r="A962" s="447">
        <f>IF(B961&lt;&gt;0,B961,A960)</f>
        <v>76</v>
      </c>
      <c r="B962" s="893"/>
      <c r="C962" s="894" t="s">
        <v>279</v>
      </c>
      <c r="D962" s="923"/>
      <c r="E962" s="923">
        <v>86</v>
      </c>
      <c r="F962" s="896">
        <v>347</v>
      </c>
      <c r="G962" s="894" t="s">
        <v>2884</v>
      </c>
      <c r="H962" s="924">
        <v>398.3</v>
      </c>
      <c r="I962" s="882" t="str">
        <f t="shared" ref="I962" si="207">IF(N962&gt;0,H962,"")</f>
        <v/>
      </c>
      <c r="J962" s="925"/>
      <c r="K962" s="899">
        <f>IF(G962&lt;&gt;0,VLOOKUP(G962,'gia dat'!$A$1:$F$144,5,0)," ")</f>
        <v>554400</v>
      </c>
      <c r="L962" s="899">
        <f>IF(G962&lt;&gt;0,VLOOKUP(G962,'gia dat'!$A$1:$F$144,6,0)," ")</f>
        <v>0</v>
      </c>
      <c r="M962" s="900">
        <f t="shared" si="198"/>
        <v>220818000</v>
      </c>
      <c r="N962" s="900">
        <f t="shared" si="199"/>
        <v>0</v>
      </c>
      <c r="O962" s="894"/>
      <c r="P962" s="926"/>
      <c r="Q962" s="900" t="str">
        <f>IF(O962&lt;&gt;0,VLOOKUP(O962,'Cây trong'!$A$2:$C$246,3,0)," ")</f>
        <v xml:space="preserve"> </v>
      </c>
      <c r="R962" s="900" t="str">
        <f t="shared" si="200"/>
        <v xml:space="preserve"> </v>
      </c>
      <c r="S962" s="902"/>
      <c r="T962" s="925"/>
      <c r="U962" s="927"/>
      <c r="V962" s="925"/>
      <c r="W962" s="900" t="str">
        <f>IF(S962&lt;&gt;0,VLOOKUP(S962,VKT!$A$2:$G$415,7,0),"")</f>
        <v/>
      </c>
      <c r="X962" s="900" t="str">
        <f t="shared" si="195"/>
        <v xml:space="preserve"> </v>
      </c>
      <c r="Y962" s="925"/>
      <c r="Z962" s="928"/>
      <c r="AA962" s="928"/>
      <c r="AB962" s="904"/>
      <c r="AC962" s="928"/>
      <c r="AD962" s="928"/>
      <c r="AE962" s="928"/>
      <c r="AF962" s="926"/>
      <c r="AG962" s="906" t="str">
        <f>IF(AE962&lt;&gt;0,VLOOKUP(AE962,ODDS!$A$2:$C$13,3,0),"")</f>
        <v/>
      </c>
      <c r="AH962" s="906" t="str">
        <f t="shared" si="201"/>
        <v xml:space="preserve"> </v>
      </c>
      <c r="AI962" s="907" t="str">
        <f t="shared" si="197"/>
        <v xml:space="preserve"> </v>
      </c>
      <c r="AJ962" s="894" t="s">
        <v>710</v>
      </c>
      <c r="AK962" s="922" t="s">
        <v>2771</v>
      </c>
    </row>
    <row r="963" spans="1:37" s="376" customFormat="1" ht="67.5" outlineLevel="2" x14ac:dyDescent="0.3">
      <c r="A963" s="447">
        <f t="shared" ref="A963:A968" si="208">IF(B962&lt;&gt;0,B962,A962)</f>
        <v>76</v>
      </c>
      <c r="B963" s="893"/>
      <c r="C963" s="963" t="s">
        <v>707</v>
      </c>
      <c r="D963" s="923"/>
      <c r="E963" s="923"/>
      <c r="F963" s="896"/>
      <c r="G963" s="894"/>
      <c r="H963" s="924"/>
      <c r="I963" s="882"/>
      <c r="J963" s="925"/>
      <c r="K963" s="899" t="str">
        <f>IF(G963&lt;&gt;0,VLOOKUP(G963,'gia dat'!$A$1:$F$144,5,0)," ")</f>
        <v xml:space="preserve"> </v>
      </c>
      <c r="L963" s="899" t="str">
        <f>IF(G963&lt;&gt;0,VLOOKUP(G963,'gia dat'!$A$1:$F$144,6,0)," ")</f>
        <v xml:space="preserve"> </v>
      </c>
      <c r="M963" s="900" t="str">
        <f t="shared" si="198"/>
        <v xml:space="preserve"> </v>
      </c>
      <c r="N963" s="900" t="str">
        <f t="shared" si="199"/>
        <v xml:space="preserve"> </v>
      </c>
      <c r="O963" s="894"/>
      <c r="P963" s="926"/>
      <c r="Q963" s="900" t="str">
        <f>IF(O963&lt;&gt;0,VLOOKUP(O963,'Cây trong'!$A$2:$C$246,3,0)," ")</f>
        <v xml:space="preserve"> </v>
      </c>
      <c r="R963" s="900" t="str">
        <f t="shared" si="200"/>
        <v xml:space="preserve"> </v>
      </c>
      <c r="S963" s="981"/>
      <c r="T963" s="997"/>
      <c r="U963" s="927"/>
      <c r="V963" s="925"/>
      <c r="W963" s="900" t="str">
        <f>IF(S963&lt;&gt;0,VLOOKUP(S963,VKT!$A$2:$G$415,7,0),"")</f>
        <v/>
      </c>
      <c r="X963" s="900" t="str">
        <f t="shared" si="195"/>
        <v xml:space="preserve"> </v>
      </c>
      <c r="Y963" s="925"/>
      <c r="Z963" s="928"/>
      <c r="AA963" s="928"/>
      <c r="AB963" s="904"/>
      <c r="AC963" s="928"/>
      <c r="AD963" s="928"/>
      <c r="AE963" s="928"/>
      <c r="AF963" s="926"/>
      <c r="AG963" s="906" t="str">
        <f>IF(AE963&lt;&gt;0,VLOOKUP(AE963,ODDS!$A$2:$C$13,3,0),"")</f>
        <v/>
      </c>
      <c r="AH963" s="906" t="str">
        <f t="shared" si="201"/>
        <v xml:space="preserve"> </v>
      </c>
      <c r="AI963" s="907" t="str">
        <f t="shared" si="197"/>
        <v xml:space="preserve"> </v>
      </c>
      <c r="AJ963" s="894" t="s">
        <v>605</v>
      </c>
      <c r="AK963" s="894"/>
    </row>
    <row r="964" spans="1:37" s="376" customFormat="1" ht="45" outlineLevel="2" x14ac:dyDescent="0.3">
      <c r="A964" s="447">
        <f t="shared" si="208"/>
        <v>76</v>
      </c>
      <c r="B964" s="893"/>
      <c r="C964" s="983" t="s">
        <v>317</v>
      </c>
      <c r="D964" s="923"/>
      <c r="E964" s="923"/>
      <c r="F964" s="896"/>
      <c r="G964" s="894"/>
      <c r="H964" s="924"/>
      <c r="I964" s="882"/>
      <c r="J964" s="925"/>
      <c r="K964" s="899" t="str">
        <f>IF(G964&lt;&gt;0,VLOOKUP(G964,'gia dat'!$A$1:$F$144,5,0)," ")</f>
        <v xml:space="preserve"> </v>
      </c>
      <c r="L964" s="899" t="str">
        <f>IF(G964&lt;&gt;0,VLOOKUP(G964,'gia dat'!$A$1:$F$144,6,0)," ")</f>
        <v xml:space="preserve"> </v>
      </c>
      <c r="M964" s="900" t="str">
        <f t="shared" si="198"/>
        <v xml:space="preserve"> </v>
      </c>
      <c r="N964" s="900" t="str">
        <f t="shared" si="199"/>
        <v xml:space="preserve"> </v>
      </c>
      <c r="O964" s="894"/>
      <c r="P964" s="926"/>
      <c r="Q964" s="900" t="str">
        <f>IF(O964&lt;&gt;0,VLOOKUP(O964,'Cây trong'!$A$2:$C$246,3,0)," ")</f>
        <v xml:space="preserve"> </v>
      </c>
      <c r="R964" s="900" t="str">
        <f t="shared" si="200"/>
        <v xml:space="preserve"> </v>
      </c>
      <c r="S964" s="902"/>
      <c r="T964" s="925"/>
      <c r="U964" s="927"/>
      <c r="V964" s="925"/>
      <c r="W964" s="900" t="str">
        <f>IF(S964&lt;&gt;0,VLOOKUP(S964,VKT!$A$2:$G$415,7,0),"")</f>
        <v/>
      </c>
      <c r="X964" s="900" t="str">
        <f t="shared" si="195"/>
        <v xml:space="preserve"> </v>
      </c>
      <c r="Y964" s="925"/>
      <c r="Z964" s="928"/>
      <c r="AA964" s="928"/>
      <c r="AB964" s="904"/>
      <c r="AC964" s="928"/>
      <c r="AD964" s="928"/>
      <c r="AE964" s="928"/>
      <c r="AF964" s="926"/>
      <c r="AG964" s="906" t="str">
        <f>IF(AE964&lt;&gt;0,VLOOKUP(AE964,ODDS!$A$2:$C$13,3,0),"")</f>
        <v/>
      </c>
      <c r="AH964" s="906" t="str">
        <f t="shared" si="201"/>
        <v xml:space="preserve"> </v>
      </c>
      <c r="AI964" s="907" t="str">
        <f t="shared" si="197"/>
        <v xml:space="preserve"> </v>
      </c>
      <c r="AJ964" s="894" t="s">
        <v>2139</v>
      </c>
      <c r="AK964" s="894"/>
    </row>
    <row r="965" spans="1:37" s="376" customFormat="1" ht="22.5" outlineLevel="2" x14ac:dyDescent="0.35">
      <c r="A965" s="447">
        <f t="shared" si="208"/>
        <v>76</v>
      </c>
      <c r="B965" s="893"/>
      <c r="C965" s="983"/>
      <c r="D965" s="923"/>
      <c r="E965" s="923"/>
      <c r="F965" s="950"/>
      <c r="G965" s="894"/>
      <c r="H965" s="940"/>
      <c r="I965" s="882"/>
      <c r="J965" s="929"/>
      <c r="K965" s="899" t="str">
        <f>IF(G965&lt;&gt;0,VLOOKUP(G965,'gia dat'!$A$1:$F$144,5,0)," ")</f>
        <v xml:space="preserve"> </v>
      </c>
      <c r="L965" s="899" t="str">
        <f>IF(G965&lt;&gt;0,VLOOKUP(G965,'gia dat'!$A$1:$F$144,6,0)," ")</f>
        <v xml:space="preserve"> </v>
      </c>
      <c r="M965" s="900" t="str">
        <f t="shared" si="198"/>
        <v xml:space="preserve"> </v>
      </c>
      <c r="N965" s="900" t="str">
        <f t="shared" si="199"/>
        <v xml:space="preserve"> </v>
      </c>
      <c r="O965" s="929"/>
      <c r="P965" s="951"/>
      <c r="Q965" s="900" t="str">
        <f>IF(O965&lt;&gt;0,VLOOKUP(O965,'Cây trong'!$A$2:$C$246,3,0)," ")</f>
        <v xml:space="preserve"> </v>
      </c>
      <c r="R965" s="900" t="str">
        <f t="shared" si="200"/>
        <v xml:space="preserve"> </v>
      </c>
      <c r="S965" s="929"/>
      <c r="T965" s="929"/>
      <c r="U965" s="952"/>
      <c r="V965" s="925"/>
      <c r="W965" s="900" t="str">
        <f>IF(S965&lt;&gt;0,VLOOKUP(S965,VKT!$A$2:$G$415,7,0),"")</f>
        <v/>
      </c>
      <c r="X965" s="900" t="str">
        <f t="shared" si="195"/>
        <v xml:space="preserve"> </v>
      </c>
      <c r="Y965" s="925"/>
      <c r="Z965" s="925"/>
      <c r="AA965" s="925"/>
      <c r="AB965" s="898"/>
      <c r="AC965" s="925"/>
      <c r="AD965" s="925"/>
      <c r="AE965" s="925"/>
      <c r="AF965" s="964"/>
      <c r="AG965" s="906" t="str">
        <f>IF(AE965&lt;&gt;0,VLOOKUP(AE965,ODDS!$A$2:$C$13,3,0),"")</f>
        <v/>
      </c>
      <c r="AH965" s="906" t="str">
        <f t="shared" si="201"/>
        <v xml:space="preserve"> </v>
      </c>
      <c r="AI965" s="907" t="str">
        <f t="shared" si="197"/>
        <v xml:space="preserve"> </v>
      </c>
      <c r="AJ965" s="911"/>
      <c r="AK965" s="894"/>
    </row>
    <row r="966" spans="1:37" s="376" customFormat="1" ht="22.5" outlineLevel="2" x14ac:dyDescent="0.3">
      <c r="A966" s="447">
        <f t="shared" si="208"/>
        <v>76</v>
      </c>
      <c r="B966" s="893"/>
      <c r="C966" s="894"/>
      <c r="D966" s="923"/>
      <c r="E966" s="923"/>
      <c r="F966" s="950"/>
      <c r="G966" s="894"/>
      <c r="H966" s="940"/>
      <c r="I966" s="882"/>
      <c r="J966" s="929"/>
      <c r="K966" s="899" t="str">
        <f>IF(G966&lt;&gt;0,VLOOKUP(G966,'gia dat'!$A$1:$F$144,5,0)," ")</f>
        <v xml:space="preserve"> </v>
      </c>
      <c r="L966" s="899" t="str">
        <f>IF(G966&lt;&gt;0,VLOOKUP(G966,'gia dat'!$A$1:$F$144,6,0)," ")</f>
        <v xml:space="preserve"> </v>
      </c>
      <c r="M966" s="900" t="str">
        <f t="shared" si="198"/>
        <v xml:space="preserve"> </v>
      </c>
      <c r="N966" s="900" t="str">
        <f t="shared" si="199"/>
        <v xml:space="preserve"> </v>
      </c>
      <c r="O966" s="929"/>
      <c r="P966" s="951"/>
      <c r="Q966" s="900" t="str">
        <f>IF(O966&lt;&gt;0,VLOOKUP(O966,'Cây trong'!$A$2:$C$246,3,0)," ")</f>
        <v xml:space="preserve"> </v>
      </c>
      <c r="R966" s="900" t="str">
        <f t="shared" si="200"/>
        <v xml:space="preserve"> </v>
      </c>
      <c r="S966" s="929"/>
      <c r="T966" s="929"/>
      <c r="U966" s="952"/>
      <c r="V966" s="925"/>
      <c r="W966" s="900" t="str">
        <f>IF(S966&lt;&gt;0,VLOOKUP(S966,VKT!$A$2:$G$415,7,0),"")</f>
        <v/>
      </c>
      <c r="X966" s="900" t="str">
        <f t="shared" si="195"/>
        <v xml:space="preserve"> </v>
      </c>
      <c r="Y966" s="925"/>
      <c r="Z966" s="925"/>
      <c r="AA966" s="925"/>
      <c r="AB966" s="898"/>
      <c r="AC966" s="925"/>
      <c r="AD966" s="925"/>
      <c r="AE966" s="925"/>
      <c r="AF966" s="964"/>
      <c r="AG966" s="906" t="str">
        <f>IF(AE966&lt;&gt;0,VLOOKUP(AE966,ODDS!$A$2:$C$13,3,0),"")</f>
        <v/>
      </c>
      <c r="AH966" s="906" t="str">
        <f t="shared" si="201"/>
        <v xml:space="preserve"> </v>
      </c>
      <c r="AI966" s="907" t="str">
        <f t="shared" si="197"/>
        <v xml:space="preserve"> </v>
      </c>
      <c r="AJ966" s="894"/>
      <c r="AK966" s="894"/>
    </row>
    <row r="967" spans="1:37" s="376" customFormat="1" ht="22.5" outlineLevel="2" x14ac:dyDescent="0.3">
      <c r="A967" s="447">
        <f t="shared" si="208"/>
        <v>76</v>
      </c>
      <c r="B967" s="893"/>
      <c r="C967" s="978"/>
      <c r="D967" s="923"/>
      <c r="E967" s="923"/>
      <c r="F967" s="896"/>
      <c r="G967" s="894"/>
      <c r="H967" s="924"/>
      <c r="I967" s="882"/>
      <c r="J967" s="925"/>
      <c r="K967" s="899" t="str">
        <f>IF(G967&lt;&gt;0,VLOOKUP(G967,'gia dat'!$A$1:$F$144,5,0)," ")</f>
        <v xml:space="preserve"> </v>
      </c>
      <c r="L967" s="899" t="str">
        <f>IF(G967&lt;&gt;0,VLOOKUP(G967,'gia dat'!$A$1:$F$144,6,0)," ")</f>
        <v xml:space="preserve"> </v>
      </c>
      <c r="M967" s="900" t="str">
        <f t="shared" si="198"/>
        <v xml:space="preserve"> </v>
      </c>
      <c r="N967" s="900" t="str">
        <f t="shared" si="199"/>
        <v xml:space="preserve"> </v>
      </c>
      <c r="O967" s="894"/>
      <c r="P967" s="926"/>
      <c r="Q967" s="900" t="str">
        <f>IF(O967&lt;&gt;0,VLOOKUP(O967,'Cây trong'!$A$2:$C$246,3,0)," ")</f>
        <v xml:space="preserve"> </v>
      </c>
      <c r="R967" s="900" t="str">
        <f t="shared" si="200"/>
        <v xml:space="preserve"> </v>
      </c>
      <c r="S967" s="902"/>
      <c r="T967" s="925"/>
      <c r="U967" s="927"/>
      <c r="V967" s="925"/>
      <c r="W967" s="900" t="str">
        <f>IF(S967&lt;&gt;0,VLOOKUP(S967,VKT!$A$2:$G$415,7,0),"")</f>
        <v/>
      </c>
      <c r="X967" s="900" t="str">
        <f t="shared" si="195"/>
        <v xml:space="preserve"> </v>
      </c>
      <c r="Y967" s="925"/>
      <c r="Z967" s="928"/>
      <c r="AA967" s="928"/>
      <c r="AB967" s="904"/>
      <c r="AC967" s="928"/>
      <c r="AD967" s="928"/>
      <c r="AE967" s="928"/>
      <c r="AF967" s="926"/>
      <c r="AG967" s="906" t="str">
        <f>IF(AE967&lt;&gt;0,VLOOKUP(AE967,ODDS!$A$2:$C$13,3,0),"")</f>
        <v/>
      </c>
      <c r="AH967" s="906" t="str">
        <f t="shared" si="201"/>
        <v xml:space="preserve"> </v>
      </c>
      <c r="AI967" s="907" t="str">
        <f t="shared" si="197"/>
        <v xml:space="preserve"> </v>
      </c>
      <c r="AJ967" s="929"/>
      <c r="AK967" s="929"/>
    </row>
    <row r="968" spans="1:37" s="376" customFormat="1" ht="22.5" outlineLevel="2" x14ac:dyDescent="0.3">
      <c r="A968" s="447">
        <f t="shared" si="208"/>
        <v>76</v>
      </c>
      <c r="B968" s="893"/>
      <c r="C968" s="910"/>
      <c r="D968" s="923"/>
      <c r="E968" s="923"/>
      <c r="F968" s="896"/>
      <c r="G968" s="894"/>
      <c r="H968" s="924"/>
      <c r="I968" s="882"/>
      <c r="J968" s="925"/>
      <c r="K968" s="899" t="str">
        <f>IF(G968&lt;&gt;0,VLOOKUP(G968,'gia dat'!$A$1:$F$144,5,0)," ")</f>
        <v xml:space="preserve"> </v>
      </c>
      <c r="L968" s="899" t="str">
        <f>IF(G968&lt;&gt;0,VLOOKUP(G968,'gia dat'!$A$1:$F$144,6,0)," ")</f>
        <v xml:space="preserve"> </v>
      </c>
      <c r="M968" s="900" t="str">
        <f t="shared" si="198"/>
        <v xml:space="preserve"> </v>
      </c>
      <c r="N968" s="900" t="str">
        <f t="shared" si="199"/>
        <v xml:space="preserve"> </v>
      </c>
      <c r="O968" s="894"/>
      <c r="P968" s="926"/>
      <c r="Q968" s="900" t="str">
        <f>IF(O968&lt;&gt;0,VLOOKUP(O968,'Cây trong'!$A$2:$C$246,3,0)," ")</f>
        <v xml:space="preserve"> </v>
      </c>
      <c r="R968" s="900" t="str">
        <f t="shared" si="200"/>
        <v xml:space="preserve"> </v>
      </c>
      <c r="S968" s="902"/>
      <c r="T968" s="925"/>
      <c r="U968" s="927"/>
      <c r="V968" s="925"/>
      <c r="W968" s="900" t="str">
        <f>IF(S968&lt;&gt;0,VLOOKUP(S968,VKT!$A$2:$G$415,7,0),"")</f>
        <v/>
      </c>
      <c r="X968" s="900" t="str">
        <f t="shared" si="195"/>
        <v xml:space="preserve"> </v>
      </c>
      <c r="Y968" s="925"/>
      <c r="Z968" s="928"/>
      <c r="AA968" s="928"/>
      <c r="AB968" s="904"/>
      <c r="AC968" s="928"/>
      <c r="AD968" s="928"/>
      <c r="AE968" s="928"/>
      <c r="AF968" s="926"/>
      <c r="AG968" s="906" t="str">
        <f>IF(AE968&lt;&gt;0,VLOOKUP(AE968,ODDS!$A$2:$C$13,3,0),"")</f>
        <v/>
      </c>
      <c r="AH968" s="906" t="str">
        <f t="shared" si="201"/>
        <v xml:space="preserve"> </v>
      </c>
      <c r="AI968" s="907" t="str">
        <f t="shared" si="197"/>
        <v xml:space="preserve"> </v>
      </c>
      <c r="AJ968" s="929"/>
      <c r="AK968" s="929"/>
    </row>
    <row r="969" spans="1:37" s="376" customFormat="1" ht="43.5" outlineLevel="1" x14ac:dyDescent="0.25">
      <c r="A969" s="467" t="s">
        <v>2633</v>
      </c>
      <c r="B969" s="912">
        <v>77</v>
      </c>
      <c r="C969" s="910" t="s">
        <v>47</v>
      </c>
      <c r="D969" s="931"/>
      <c r="E969" s="931"/>
      <c r="F969" s="913"/>
      <c r="G969" s="910"/>
      <c r="H969" s="953">
        <f>SUBTOTAL(9,H970:H976)</f>
        <v>266.60000000000002</v>
      </c>
      <c r="I969" s="915">
        <f>SUBTOTAL(9,I970:I975)</f>
        <v>0</v>
      </c>
      <c r="J969" s="933"/>
      <c r="K969" s="917"/>
      <c r="L969" s="917"/>
      <c r="M969" s="907">
        <f>SUBTOTAL(9,M970:M976)</f>
        <v>147803000</v>
      </c>
      <c r="N969" s="907">
        <f>SUBTOTAL(9,N970:N976)</f>
        <v>0</v>
      </c>
      <c r="O969" s="910"/>
      <c r="P969" s="935">
        <f>SUBTOTAL(9,P970:P976)</f>
        <v>0</v>
      </c>
      <c r="Q969" s="907"/>
      <c r="R969" s="907">
        <f>SUBTOTAL(9,R970:R976)</f>
        <v>0</v>
      </c>
      <c r="S969" s="918"/>
      <c r="T969" s="933"/>
      <c r="U969" s="936">
        <f>SUBTOTAL(9,U970:U976)</f>
        <v>0</v>
      </c>
      <c r="V969" s="933"/>
      <c r="W969" s="907"/>
      <c r="X969" s="907">
        <f>SUBTOTAL(9,X970:X976)</f>
        <v>0</v>
      </c>
      <c r="Y969" s="925"/>
      <c r="Z969" s="928"/>
      <c r="AA969" s="928"/>
      <c r="AB969" s="904"/>
      <c r="AC969" s="928"/>
      <c r="AD969" s="928"/>
      <c r="AE969" s="937"/>
      <c r="AF969" s="935">
        <f>SUBTOTAL(9,AF970:AF976)</f>
        <v>0</v>
      </c>
      <c r="AG969" s="921"/>
      <c r="AH969" s="921">
        <f>SUBTOTAL(9,AH970:AH976)</f>
        <v>0</v>
      </c>
      <c r="AI969" s="907">
        <f t="shared" ref="AI969:AI1032" si="209">IF(B969&lt;&gt;0,M969+N969+R969+X969+AH969," ")</f>
        <v>147803000</v>
      </c>
      <c r="AJ969" s="910"/>
      <c r="AK969" s="914"/>
    </row>
    <row r="970" spans="1:37" s="376" customFormat="1" ht="135" outlineLevel="2" x14ac:dyDescent="0.3">
      <c r="A970" s="447">
        <f>IF(B969&lt;&gt;0,B969,A968)</f>
        <v>77</v>
      </c>
      <c r="B970" s="893"/>
      <c r="C970" s="894" t="s">
        <v>279</v>
      </c>
      <c r="D970" s="923"/>
      <c r="E970" s="923">
        <v>86</v>
      </c>
      <c r="F970" s="896">
        <v>401</v>
      </c>
      <c r="G970" s="894" t="s">
        <v>2884</v>
      </c>
      <c r="H970" s="924">
        <f>266.6</f>
        <v>266.60000000000002</v>
      </c>
      <c r="I970" s="882" t="str">
        <f t="shared" ref="I970" si="210">IF(N970&gt;0,H970,"")</f>
        <v/>
      </c>
      <c r="J970" s="925"/>
      <c r="K970" s="899">
        <f>IF(G970&lt;&gt;0,VLOOKUP(G970,'gia dat'!$A$1:$F$144,5,0)," ")</f>
        <v>554400</v>
      </c>
      <c r="L970" s="899">
        <f>IF(G970&lt;&gt;0,VLOOKUP(G970,'gia dat'!$A$1:$F$144,6,0)," ")</f>
        <v>0</v>
      </c>
      <c r="M970" s="900">
        <f t="shared" si="198"/>
        <v>147803000</v>
      </c>
      <c r="N970" s="900">
        <f t="shared" si="199"/>
        <v>0</v>
      </c>
      <c r="O970" s="894"/>
      <c r="P970" s="926"/>
      <c r="Q970" s="900" t="str">
        <f>IF(O970&lt;&gt;0,VLOOKUP(O970,'Cây trong'!$A$2:$C$246,3,0)," ")</f>
        <v xml:space="preserve"> </v>
      </c>
      <c r="R970" s="900" t="str">
        <f t="shared" si="200"/>
        <v xml:space="preserve"> </v>
      </c>
      <c r="S970" s="902"/>
      <c r="T970" s="925"/>
      <c r="U970" s="927"/>
      <c r="V970" s="925"/>
      <c r="W970" s="900" t="str">
        <f>IF(S970&lt;&gt;0,VLOOKUP(S970,VKT!$A$2:$G$415,7,0),"")</f>
        <v/>
      </c>
      <c r="X970" s="900" t="str">
        <f t="shared" si="195"/>
        <v xml:space="preserve"> </v>
      </c>
      <c r="Y970" s="925"/>
      <c r="Z970" s="928"/>
      <c r="AA970" s="928"/>
      <c r="AB970" s="904"/>
      <c r="AC970" s="928"/>
      <c r="AD970" s="928"/>
      <c r="AE970" s="928"/>
      <c r="AF970" s="926"/>
      <c r="AG970" s="906" t="str">
        <f>IF(AE970&lt;&gt;0,VLOOKUP(AE970,ODDS!$A$2:$C$13,3,0),"")</f>
        <v/>
      </c>
      <c r="AH970" s="906" t="str">
        <f t="shared" si="201"/>
        <v xml:space="preserve"> </v>
      </c>
      <c r="AI970" s="907" t="str">
        <f t="shared" si="209"/>
        <v xml:space="preserve"> </v>
      </c>
      <c r="AJ970" s="894" t="s">
        <v>1717</v>
      </c>
      <c r="AK970" s="922" t="s">
        <v>2771</v>
      </c>
    </row>
    <row r="971" spans="1:37" s="376" customFormat="1" ht="67.5" outlineLevel="2" x14ac:dyDescent="0.35">
      <c r="A971" s="447">
        <f t="shared" ref="A971:A976" si="211">IF(B970&lt;&gt;0,B970,A970)</f>
        <v>77</v>
      </c>
      <c r="B971" s="893"/>
      <c r="C971" s="963" t="s">
        <v>707</v>
      </c>
      <c r="D971" s="923"/>
      <c r="E971" s="923"/>
      <c r="F971" s="896"/>
      <c r="G971" s="911"/>
      <c r="H971" s="897"/>
      <c r="I971" s="882"/>
      <c r="J971" s="925"/>
      <c r="K971" s="899" t="str">
        <f>IF(G971&lt;&gt;0,VLOOKUP(G971,'gia dat'!$A$1:$F$144,5,0)," ")</f>
        <v xml:space="preserve"> </v>
      </c>
      <c r="L971" s="899" t="str">
        <f>IF(G971&lt;&gt;0,VLOOKUP(G971,'gia dat'!$A$1:$F$144,6,0)," ")</f>
        <v xml:space="preserve"> </v>
      </c>
      <c r="M971" s="900" t="str">
        <f t="shared" si="198"/>
        <v xml:space="preserve"> </v>
      </c>
      <c r="N971" s="900" t="str">
        <f t="shared" si="199"/>
        <v xml:space="preserve"> </v>
      </c>
      <c r="O971" s="894"/>
      <c r="P971" s="926"/>
      <c r="Q971" s="900" t="str">
        <f>IF(O971&lt;&gt;0,VLOOKUP(O971,'Cây trong'!$A$2:$C$246,3,0)," ")</f>
        <v xml:space="preserve"> </v>
      </c>
      <c r="R971" s="900" t="str">
        <f t="shared" si="200"/>
        <v xml:space="preserve"> </v>
      </c>
      <c r="S971" s="902"/>
      <c r="T971" s="925"/>
      <c r="U971" s="927"/>
      <c r="V971" s="925"/>
      <c r="W971" s="900" t="str">
        <f>IF(S971&lt;&gt;0,VLOOKUP(S971,VKT!$A$2:$G$415,7,0),"")</f>
        <v/>
      </c>
      <c r="X971" s="900" t="str">
        <f t="shared" ref="X971:X1037" si="212">IF(S971&lt;&gt;0,ROUND(U971*W971,-3)," ")</f>
        <v xml:space="preserve"> </v>
      </c>
      <c r="Y971" s="925"/>
      <c r="Z971" s="928"/>
      <c r="AA971" s="928"/>
      <c r="AB971" s="904"/>
      <c r="AC971" s="928"/>
      <c r="AD971" s="928"/>
      <c r="AE971" s="928"/>
      <c r="AF971" s="926"/>
      <c r="AG971" s="906" t="str">
        <f>IF(AE971&lt;&gt;0,VLOOKUP(AE971,ODDS!$A$2:$C$13,3,0),"")</f>
        <v/>
      </c>
      <c r="AH971" s="906" t="str">
        <f t="shared" si="201"/>
        <v xml:space="preserve"> </v>
      </c>
      <c r="AI971" s="907" t="str">
        <f t="shared" si="209"/>
        <v xml:space="preserve"> </v>
      </c>
      <c r="AJ971" s="894" t="s">
        <v>607</v>
      </c>
      <c r="AK971" s="894"/>
    </row>
    <row r="972" spans="1:37" s="376" customFormat="1" ht="45" outlineLevel="2" x14ac:dyDescent="0.3">
      <c r="A972" s="447">
        <f t="shared" si="211"/>
        <v>77</v>
      </c>
      <c r="B972" s="893"/>
      <c r="C972" s="983" t="s">
        <v>317</v>
      </c>
      <c r="D972" s="923"/>
      <c r="E972" s="923"/>
      <c r="F972" s="896"/>
      <c r="G972" s="894"/>
      <c r="H972" s="940"/>
      <c r="I972" s="882"/>
      <c r="J972" s="925"/>
      <c r="K972" s="899" t="str">
        <f>IF(G972&lt;&gt;0,VLOOKUP(G972,'gia dat'!$A$1:$F$144,5,0)," ")</f>
        <v xml:space="preserve"> </v>
      </c>
      <c r="L972" s="899" t="str">
        <f>IF(G972&lt;&gt;0,VLOOKUP(G972,'gia dat'!$A$1:$F$144,6,0)," ")</f>
        <v xml:space="preserve"> </v>
      </c>
      <c r="M972" s="900" t="str">
        <f t="shared" si="198"/>
        <v xml:space="preserve"> </v>
      </c>
      <c r="N972" s="900" t="str">
        <f t="shared" si="199"/>
        <v xml:space="preserve"> </v>
      </c>
      <c r="O972" s="894"/>
      <c r="P972" s="926"/>
      <c r="Q972" s="900" t="str">
        <f>IF(O972&lt;&gt;0,VLOOKUP(O972,'Cây trong'!$A$2:$C$246,3,0)," ")</f>
        <v xml:space="preserve"> </v>
      </c>
      <c r="R972" s="900" t="str">
        <f t="shared" si="200"/>
        <v xml:space="preserve"> </v>
      </c>
      <c r="S972" s="902"/>
      <c r="T972" s="925"/>
      <c r="U972" s="927"/>
      <c r="V972" s="925"/>
      <c r="W972" s="900" t="str">
        <f>IF(S972&lt;&gt;0,VLOOKUP(S972,VKT!$A$2:$G$415,7,0),"")</f>
        <v/>
      </c>
      <c r="X972" s="900" t="str">
        <f t="shared" si="212"/>
        <v xml:space="preserve"> </v>
      </c>
      <c r="Y972" s="925"/>
      <c r="Z972" s="928"/>
      <c r="AA972" s="928"/>
      <c r="AB972" s="904"/>
      <c r="AC972" s="928"/>
      <c r="AD972" s="928"/>
      <c r="AE972" s="928"/>
      <c r="AF972" s="926"/>
      <c r="AG972" s="906" t="str">
        <f>IF(AE972&lt;&gt;0,VLOOKUP(AE972,ODDS!$A$2:$C$13,3,0),"")</f>
        <v/>
      </c>
      <c r="AH972" s="906" t="str">
        <f t="shared" si="201"/>
        <v xml:space="preserve"> </v>
      </c>
      <c r="AI972" s="907" t="str">
        <f t="shared" si="209"/>
        <v xml:space="preserve"> </v>
      </c>
      <c r="AJ972" s="894" t="s">
        <v>2139</v>
      </c>
      <c r="AK972" s="894"/>
    </row>
    <row r="973" spans="1:37" s="376" customFormat="1" ht="22.5" outlineLevel="2" x14ac:dyDescent="0.35">
      <c r="A973" s="447">
        <f t="shared" si="211"/>
        <v>77</v>
      </c>
      <c r="B973" s="893"/>
      <c r="C973" s="983"/>
      <c r="D973" s="923"/>
      <c r="E973" s="923"/>
      <c r="F973" s="950"/>
      <c r="G973" s="894"/>
      <c r="H973" s="940"/>
      <c r="I973" s="882"/>
      <c r="J973" s="929"/>
      <c r="K973" s="899" t="str">
        <f>IF(G973&lt;&gt;0,VLOOKUP(G973,'gia dat'!$A$1:$F$144,5,0)," ")</f>
        <v xml:space="preserve"> </v>
      </c>
      <c r="L973" s="899" t="str">
        <f>IF(G973&lt;&gt;0,VLOOKUP(G973,'gia dat'!$A$1:$F$144,6,0)," ")</f>
        <v xml:space="preserve"> </v>
      </c>
      <c r="M973" s="900" t="str">
        <f t="shared" si="198"/>
        <v xml:space="preserve"> </v>
      </c>
      <c r="N973" s="900" t="str">
        <f t="shared" si="199"/>
        <v xml:space="preserve"> </v>
      </c>
      <c r="O973" s="929"/>
      <c r="P973" s="951"/>
      <c r="Q973" s="900" t="str">
        <f>IF(O973&lt;&gt;0,VLOOKUP(O973,'Cây trong'!$A$2:$C$246,3,0)," ")</f>
        <v xml:space="preserve"> </v>
      </c>
      <c r="R973" s="900" t="str">
        <f t="shared" si="200"/>
        <v xml:space="preserve"> </v>
      </c>
      <c r="S973" s="929"/>
      <c r="T973" s="929"/>
      <c r="U973" s="952"/>
      <c r="V973" s="925"/>
      <c r="W973" s="900" t="str">
        <f>IF(S973&lt;&gt;0,VLOOKUP(S973,VKT!$A$2:$G$415,7,0),"")</f>
        <v/>
      </c>
      <c r="X973" s="900" t="str">
        <f t="shared" si="212"/>
        <v xml:space="preserve"> </v>
      </c>
      <c r="Y973" s="925"/>
      <c r="Z973" s="925"/>
      <c r="AA973" s="925"/>
      <c r="AB973" s="898"/>
      <c r="AC973" s="925"/>
      <c r="AD973" s="925"/>
      <c r="AE973" s="925"/>
      <c r="AF973" s="964"/>
      <c r="AG973" s="906" t="str">
        <f>IF(AE973&lt;&gt;0,VLOOKUP(AE973,ODDS!$A$2:$C$13,3,0),"")</f>
        <v/>
      </c>
      <c r="AH973" s="906" t="str">
        <f t="shared" si="201"/>
        <v xml:space="preserve"> </v>
      </c>
      <c r="AI973" s="907" t="str">
        <f t="shared" si="209"/>
        <v xml:space="preserve"> </v>
      </c>
      <c r="AJ973" s="911"/>
      <c r="AK973" s="894"/>
    </row>
    <row r="974" spans="1:37" s="376" customFormat="1" ht="22.5" outlineLevel="2" x14ac:dyDescent="0.3">
      <c r="A974" s="447">
        <f t="shared" si="211"/>
        <v>77</v>
      </c>
      <c r="B974" s="893"/>
      <c r="C974" s="983"/>
      <c r="D974" s="923"/>
      <c r="E974" s="923"/>
      <c r="F974" s="950"/>
      <c r="G974" s="894"/>
      <c r="H974" s="940"/>
      <c r="I974" s="882"/>
      <c r="J974" s="929"/>
      <c r="K974" s="899" t="str">
        <f>IF(G974&lt;&gt;0,VLOOKUP(G974,'gia dat'!$A$1:$F$144,5,0)," ")</f>
        <v xml:space="preserve"> </v>
      </c>
      <c r="L974" s="899" t="str">
        <f>IF(G974&lt;&gt;0,VLOOKUP(G974,'gia dat'!$A$1:$F$144,6,0)," ")</f>
        <v xml:space="preserve"> </v>
      </c>
      <c r="M974" s="900" t="str">
        <f t="shared" si="198"/>
        <v xml:space="preserve"> </v>
      </c>
      <c r="N974" s="900" t="str">
        <f t="shared" si="199"/>
        <v xml:space="preserve"> </v>
      </c>
      <c r="O974" s="929"/>
      <c r="P974" s="951"/>
      <c r="Q974" s="900" t="str">
        <f>IF(O974&lt;&gt;0,VLOOKUP(O974,'Cây trong'!$A$2:$C$246,3,0)," ")</f>
        <v xml:space="preserve"> </v>
      </c>
      <c r="R974" s="900" t="str">
        <f t="shared" si="200"/>
        <v xml:space="preserve"> </v>
      </c>
      <c r="S974" s="929"/>
      <c r="T974" s="929"/>
      <c r="U974" s="952"/>
      <c r="V974" s="925"/>
      <c r="W974" s="900" t="str">
        <f>IF(S974&lt;&gt;0,VLOOKUP(S974,VKT!$A$2:$G$415,7,0),"")</f>
        <v/>
      </c>
      <c r="X974" s="900" t="str">
        <f t="shared" si="212"/>
        <v xml:space="preserve"> </v>
      </c>
      <c r="Y974" s="925"/>
      <c r="Z974" s="925"/>
      <c r="AA974" s="925"/>
      <c r="AB974" s="898"/>
      <c r="AC974" s="925"/>
      <c r="AD974" s="925"/>
      <c r="AE974" s="925"/>
      <c r="AF974" s="964"/>
      <c r="AG974" s="906" t="str">
        <f>IF(AE974&lt;&gt;0,VLOOKUP(AE974,ODDS!$A$2:$C$13,3,0),"")</f>
        <v/>
      </c>
      <c r="AH974" s="906" t="str">
        <f t="shared" si="201"/>
        <v xml:space="preserve"> </v>
      </c>
      <c r="AI974" s="907" t="str">
        <f t="shared" si="209"/>
        <v xml:space="preserve"> </v>
      </c>
      <c r="AJ974" s="894"/>
      <c r="AK974" s="894"/>
    </row>
    <row r="975" spans="1:37" s="376" customFormat="1" ht="22.5" outlineLevel="2" x14ac:dyDescent="0.3">
      <c r="A975" s="447">
        <f t="shared" si="211"/>
        <v>77</v>
      </c>
      <c r="B975" s="893"/>
      <c r="C975" s="983"/>
      <c r="D975" s="923"/>
      <c r="E975" s="923"/>
      <c r="F975" s="896"/>
      <c r="G975" s="894"/>
      <c r="H975" s="924"/>
      <c r="I975" s="882"/>
      <c r="J975" s="925"/>
      <c r="K975" s="899" t="str">
        <f>IF(G975&lt;&gt;0,VLOOKUP(G975,'gia dat'!$A$1:$F$144,5,0)," ")</f>
        <v xml:space="preserve"> </v>
      </c>
      <c r="L975" s="899" t="str">
        <f>IF(G975&lt;&gt;0,VLOOKUP(G975,'gia dat'!$A$1:$F$144,6,0)," ")</f>
        <v xml:space="preserve"> </v>
      </c>
      <c r="M975" s="900" t="str">
        <f t="shared" si="198"/>
        <v xml:space="preserve"> </v>
      </c>
      <c r="N975" s="900" t="str">
        <f t="shared" si="199"/>
        <v xml:space="preserve"> </v>
      </c>
      <c r="O975" s="894"/>
      <c r="P975" s="926"/>
      <c r="Q975" s="900" t="str">
        <f>IF(O975&lt;&gt;0,VLOOKUP(O975,'Cây trong'!$A$2:$C$246,3,0)," ")</f>
        <v xml:space="preserve"> </v>
      </c>
      <c r="R975" s="900" t="str">
        <f t="shared" si="200"/>
        <v xml:space="preserve"> </v>
      </c>
      <c r="S975" s="981"/>
      <c r="T975" s="997"/>
      <c r="U975" s="927"/>
      <c r="V975" s="925"/>
      <c r="W975" s="900" t="str">
        <f>IF(S975&lt;&gt;0,VLOOKUP(S975,VKT!$A$2:$G$415,7,0),"")</f>
        <v/>
      </c>
      <c r="X975" s="900" t="str">
        <f t="shared" si="212"/>
        <v xml:space="preserve"> </v>
      </c>
      <c r="Y975" s="925"/>
      <c r="Z975" s="928"/>
      <c r="AA975" s="928"/>
      <c r="AB975" s="904"/>
      <c r="AC975" s="928"/>
      <c r="AD975" s="928"/>
      <c r="AE975" s="928"/>
      <c r="AF975" s="926"/>
      <c r="AG975" s="906" t="str">
        <f>IF(AE975&lt;&gt;0,VLOOKUP(AE975,ODDS!$A$2:$C$13,3,0),"")</f>
        <v/>
      </c>
      <c r="AH975" s="906" t="str">
        <f t="shared" si="201"/>
        <v xml:space="preserve"> </v>
      </c>
      <c r="AI975" s="907" t="str">
        <f t="shared" si="209"/>
        <v xml:space="preserve"> </v>
      </c>
      <c r="AJ975" s="929"/>
      <c r="AK975" s="929"/>
    </row>
    <row r="976" spans="1:37" s="376" customFormat="1" ht="22.5" outlineLevel="2" x14ac:dyDescent="0.3">
      <c r="A976" s="447">
        <f t="shared" si="211"/>
        <v>77</v>
      </c>
      <c r="B976" s="893"/>
      <c r="C976" s="910"/>
      <c r="D976" s="923"/>
      <c r="E976" s="923"/>
      <c r="F976" s="896"/>
      <c r="G976" s="894"/>
      <c r="H976" s="924"/>
      <c r="I976" s="882"/>
      <c r="J976" s="925"/>
      <c r="K976" s="899" t="str">
        <f>IF(G976&lt;&gt;0,VLOOKUP(G976,'gia dat'!$A$1:$F$144,5,0)," ")</f>
        <v xml:space="preserve"> </v>
      </c>
      <c r="L976" s="899" t="str">
        <f>IF(G976&lt;&gt;0,VLOOKUP(G976,'gia dat'!$A$1:$F$144,6,0)," ")</f>
        <v xml:space="preserve"> </v>
      </c>
      <c r="M976" s="900" t="str">
        <f t="shared" si="198"/>
        <v xml:space="preserve"> </v>
      </c>
      <c r="N976" s="900" t="str">
        <f t="shared" si="199"/>
        <v xml:space="preserve"> </v>
      </c>
      <c r="O976" s="894"/>
      <c r="P976" s="926"/>
      <c r="Q976" s="900" t="str">
        <f>IF(O976&lt;&gt;0,VLOOKUP(O976,'Cây trong'!$A$2:$C$246,3,0)," ")</f>
        <v xml:space="preserve"> </v>
      </c>
      <c r="R976" s="900" t="str">
        <f t="shared" si="200"/>
        <v xml:space="preserve"> </v>
      </c>
      <c r="S976" s="902"/>
      <c r="T976" s="925"/>
      <c r="U976" s="927"/>
      <c r="V976" s="925"/>
      <c r="W976" s="900" t="str">
        <f>IF(S976&lt;&gt;0,VLOOKUP(S976,VKT!$A$2:$G$415,7,0),"")</f>
        <v/>
      </c>
      <c r="X976" s="900" t="str">
        <f t="shared" si="212"/>
        <v xml:space="preserve"> </v>
      </c>
      <c r="Y976" s="925"/>
      <c r="Z976" s="928"/>
      <c r="AA976" s="928"/>
      <c r="AB976" s="904"/>
      <c r="AC976" s="928"/>
      <c r="AD976" s="928"/>
      <c r="AE976" s="928"/>
      <c r="AF976" s="926"/>
      <c r="AG976" s="906" t="str">
        <f>IF(AE976&lt;&gt;0,VLOOKUP(AE976,ODDS!$A$2:$C$13,3,0),"")</f>
        <v/>
      </c>
      <c r="AH976" s="906" t="str">
        <f t="shared" si="201"/>
        <v xml:space="preserve"> </v>
      </c>
      <c r="AI976" s="907" t="str">
        <f t="shared" si="209"/>
        <v xml:space="preserve"> </v>
      </c>
      <c r="AJ976" s="929"/>
      <c r="AK976" s="929"/>
    </row>
    <row r="977" spans="1:37" s="376" customFormat="1" ht="43.5" outlineLevel="1" x14ac:dyDescent="0.25">
      <c r="A977" s="467" t="s">
        <v>2632</v>
      </c>
      <c r="B977" s="912">
        <v>78</v>
      </c>
      <c r="C977" s="910" t="s">
        <v>47</v>
      </c>
      <c r="D977" s="931"/>
      <c r="E977" s="931"/>
      <c r="F977" s="913"/>
      <c r="G977" s="910"/>
      <c r="H977" s="953">
        <f>SUBTOTAL(9,H978:H1008)</f>
        <v>552</v>
      </c>
      <c r="I977" s="915">
        <f>SUBTOTAL(9,I978:I983)</f>
        <v>0</v>
      </c>
      <c r="J977" s="933"/>
      <c r="K977" s="917"/>
      <c r="L977" s="917"/>
      <c r="M977" s="907">
        <f>SUBTOTAL(9,M978:M1008)</f>
        <v>306029000</v>
      </c>
      <c r="N977" s="907">
        <f>SUBTOTAL(9,N978:N1008)</f>
        <v>0</v>
      </c>
      <c r="O977" s="910"/>
      <c r="P977" s="935">
        <f>SUBTOTAL(9,P978:P1008)</f>
        <v>830.2</v>
      </c>
      <c r="Q977" s="907"/>
      <c r="R977" s="907">
        <f>SUBTOTAL(9,R978:R1008)</f>
        <v>63680600</v>
      </c>
      <c r="S977" s="914"/>
      <c r="T977" s="933"/>
      <c r="U977" s="936">
        <f>SUBTOTAL(9,U978:U1008)</f>
        <v>89.97</v>
      </c>
      <c r="V977" s="933"/>
      <c r="W977" s="907"/>
      <c r="X977" s="907">
        <f>SUBTOTAL(9,X978:X1008)</f>
        <v>40454000</v>
      </c>
      <c r="Y977" s="925"/>
      <c r="Z977" s="928"/>
      <c r="AA977" s="928"/>
      <c r="AB977" s="904"/>
      <c r="AC977" s="928"/>
      <c r="AD977" s="928"/>
      <c r="AE977" s="937"/>
      <c r="AF977" s="935">
        <f>SUBTOTAL(9,AF978:AF1008)</f>
        <v>0</v>
      </c>
      <c r="AG977" s="921"/>
      <c r="AH977" s="921">
        <f>SUBTOTAL(9,AH978:AH1008)</f>
        <v>0</v>
      </c>
      <c r="AI977" s="907">
        <f t="shared" si="209"/>
        <v>410163600</v>
      </c>
      <c r="AJ977" s="910"/>
      <c r="AK977" s="914"/>
    </row>
    <row r="978" spans="1:37" s="376" customFormat="1" ht="135" outlineLevel="2" x14ac:dyDescent="0.3">
      <c r="A978" s="447">
        <f>IF(B977&lt;&gt;0,B977,A976)</f>
        <v>78</v>
      </c>
      <c r="B978" s="893"/>
      <c r="C978" s="894" t="s">
        <v>279</v>
      </c>
      <c r="D978" s="923"/>
      <c r="E978" s="923">
        <v>86</v>
      </c>
      <c r="F978" s="896">
        <v>137</v>
      </c>
      <c r="G978" s="894" t="s">
        <v>2884</v>
      </c>
      <c r="H978" s="924">
        <f>552-H979</f>
        <v>516.4</v>
      </c>
      <c r="I978" s="882" t="str">
        <f t="shared" ref="I978:I979" si="213">IF(N978&gt;0,H978,"")</f>
        <v/>
      </c>
      <c r="J978" s="925"/>
      <c r="K978" s="899">
        <f>IF(G978&lt;&gt;0,VLOOKUP(G978,'gia dat'!$A$1:$F$144,5,0)," ")</f>
        <v>554400</v>
      </c>
      <c r="L978" s="899">
        <f>IF(G978&lt;&gt;0,VLOOKUP(G978,'gia dat'!$A$1:$F$144,6,0)," ")</f>
        <v>0</v>
      </c>
      <c r="M978" s="900">
        <f t="shared" si="198"/>
        <v>286292000</v>
      </c>
      <c r="N978" s="900">
        <f t="shared" si="199"/>
        <v>0</v>
      </c>
      <c r="O978" s="894" t="s">
        <v>347</v>
      </c>
      <c r="P978" s="926">
        <v>529.20000000000005</v>
      </c>
      <c r="Q978" s="900">
        <f>IF(O978&lt;&gt;0,VLOOKUP(O978,'Cây trong'!$A$2:$C$246,3,0)," ")</f>
        <v>12000</v>
      </c>
      <c r="R978" s="900">
        <f>IF(O978&lt;&gt;0,ROUND(P978*Q978,-2)," ")</f>
        <v>6350400</v>
      </c>
      <c r="S978" s="922" t="s">
        <v>1767</v>
      </c>
      <c r="T978" s="925" t="s">
        <v>53</v>
      </c>
      <c r="U978" s="927">
        <v>8.8000000000000007</v>
      </c>
      <c r="V978" s="925"/>
      <c r="W978" s="900">
        <f>IF(S978&lt;&gt;0,VLOOKUP(S978,VKT!$A$2:$G$415,7,0),"")</f>
        <v>0</v>
      </c>
      <c r="X978" s="900">
        <f t="shared" si="212"/>
        <v>0</v>
      </c>
      <c r="Y978" s="925"/>
      <c r="Z978" s="928"/>
      <c r="AA978" s="928"/>
      <c r="AB978" s="904"/>
      <c r="AC978" s="928"/>
      <c r="AD978" s="928"/>
      <c r="AE978" s="928"/>
      <c r="AF978" s="926"/>
      <c r="AG978" s="906" t="str">
        <f>IF(AE978&lt;&gt;0,VLOOKUP(AE978,ODDS!$A$2:$C$13,3,0),"")</f>
        <v/>
      </c>
      <c r="AH978" s="906" t="str">
        <f t="shared" si="201"/>
        <v xml:space="preserve"> </v>
      </c>
      <c r="AI978" s="907" t="str">
        <f t="shared" si="209"/>
        <v xml:space="preserve"> </v>
      </c>
      <c r="AJ978" s="894" t="s">
        <v>711</v>
      </c>
      <c r="AK978" s="922" t="s">
        <v>2771</v>
      </c>
    </row>
    <row r="979" spans="1:37" s="376" customFormat="1" ht="112.5" outlineLevel="2" x14ac:dyDescent="0.3">
      <c r="A979" s="447">
        <f t="shared" ref="A979:A1008" si="214">IF(B978&lt;&gt;0,B978,A978)</f>
        <v>78</v>
      </c>
      <c r="B979" s="893"/>
      <c r="C979" s="963" t="s">
        <v>707</v>
      </c>
      <c r="D979" s="923"/>
      <c r="E979" s="923"/>
      <c r="F979" s="896"/>
      <c r="G979" s="894" t="s">
        <v>2887</v>
      </c>
      <c r="H979" s="924">
        <v>35.6</v>
      </c>
      <c r="I979" s="882" t="str">
        <f t="shared" si="213"/>
        <v/>
      </c>
      <c r="J979" s="925"/>
      <c r="K979" s="899">
        <f>IF(G979&lt;&gt;0,VLOOKUP(G979,'gia dat'!$A$1:$F$144,5,0)," ")</f>
        <v>554400</v>
      </c>
      <c r="L979" s="899">
        <f>IF(G979&lt;&gt;0,VLOOKUP(G979,'gia dat'!$A$1:$F$144,6,0)," ")</f>
        <v>0</v>
      </c>
      <c r="M979" s="900">
        <f t="shared" si="198"/>
        <v>19737000</v>
      </c>
      <c r="N979" s="900">
        <f t="shared" si="199"/>
        <v>0</v>
      </c>
      <c r="O979" s="894" t="s">
        <v>64</v>
      </c>
      <c r="P979" s="926">
        <v>19</v>
      </c>
      <c r="Q979" s="900">
        <f>IF(O979&lt;&gt;0,VLOOKUP(O979,'Cây trong'!$A$2:$C$246,3,0)," ")</f>
        <v>1122000</v>
      </c>
      <c r="R979" s="900">
        <f t="shared" si="200"/>
        <v>21318000</v>
      </c>
      <c r="S979" s="981" t="s">
        <v>1863</v>
      </c>
      <c r="T979" s="984" t="s">
        <v>53</v>
      </c>
      <c r="U979" s="927">
        <v>21.12</v>
      </c>
      <c r="V979" s="925"/>
      <c r="W979" s="900">
        <f>IF(S979&lt;&gt;0,VLOOKUP(S979,VKT!$A$2:$G$415,7,0),"")</f>
        <v>1107311</v>
      </c>
      <c r="X979" s="900">
        <f t="shared" si="212"/>
        <v>23386000</v>
      </c>
      <c r="Y979" s="925"/>
      <c r="Z979" s="928" t="s">
        <v>55</v>
      </c>
      <c r="AA979" s="928" t="s">
        <v>87</v>
      </c>
      <c r="AB979" s="904" t="s">
        <v>171</v>
      </c>
      <c r="AC979" s="928" t="s">
        <v>88</v>
      </c>
      <c r="AD979" s="928"/>
      <c r="AE979" s="928"/>
      <c r="AF979" s="926"/>
      <c r="AG979" s="906" t="str">
        <f>IF(AE979&lt;&gt;0,VLOOKUP(AE979,ODDS!$A$2:$C$13,3,0),"")</f>
        <v/>
      </c>
      <c r="AH979" s="906" t="str">
        <f t="shared" si="201"/>
        <v xml:space="preserve"> </v>
      </c>
      <c r="AI979" s="907" t="str">
        <f t="shared" si="209"/>
        <v xml:space="preserve"> </v>
      </c>
      <c r="AJ979" s="894" t="s">
        <v>608</v>
      </c>
      <c r="AK979" s="894" t="s">
        <v>2450</v>
      </c>
    </row>
    <row r="980" spans="1:37" s="376" customFormat="1" ht="112.5" outlineLevel="2" x14ac:dyDescent="0.3">
      <c r="A980" s="447">
        <f t="shared" si="214"/>
        <v>78</v>
      </c>
      <c r="B980" s="893"/>
      <c r="C980" s="983" t="s">
        <v>317</v>
      </c>
      <c r="D980" s="923"/>
      <c r="E980" s="923"/>
      <c r="F980" s="896"/>
      <c r="G980" s="894"/>
      <c r="H980" s="924"/>
      <c r="I980" s="882"/>
      <c r="J980" s="925"/>
      <c r="K980" s="899" t="str">
        <f>IF(G980&lt;&gt;0,VLOOKUP(G980,'gia dat'!$A$1:$F$144,5,0)," ")</f>
        <v xml:space="preserve"> </v>
      </c>
      <c r="L980" s="899" t="str">
        <f>IF(G980&lt;&gt;0,VLOOKUP(G980,'gia dat'!$A$1:$F$144,6,0)," ")</f>
        <v xml:space="preserve"> </v>
      </c>
      <c r="M980" s="900" t="str">
        <f t="shared" si="198"/>
        <v xml:space="preserve"> </v>
      </c>
      <c r="N980" s="900" t="str">
        <f t="shared" si="199"/>
        <v xml:space="preserve"> </v>
      </c>
      <c r="O980" s="894" t="s">
        <v>67</v>
      </c>
      <c r="P980" s="926">
        <v>10</v>
      </c>
      <c r="Q980" s="900">
        <f>IF(O980&lt;&gt;0,VLOOKUP(O980,'Cây trong'!$A$2:$C$246,3,0)," ")</f>
        <v>494000</v>
      </c>
      <c r="R980" s="900">
        <f t="shared" si="200"/>
        <v>4940000</v>
      </c>
      <c r="S980" s="902" t="s">
        <v>1898</v>
      </c>
      <c r="T980" s="925" t="s">
        <v>53</v>
      </c>
      <c r="U980" s="927">
        <v>14.52</v>
      </c>
      <c r="V980" s="925"/>
      <c r="W980" s="900">
        <f>IF(S980&lt;&gt;0,VLOOKUP(S980,VKT!$A$2:$G$415,7,0),"")</f>
        <v>1175490</v>
      </c>
      <c r="X980" s="900">
        <f t="shared" si="212"/>
        <v>17068000</v>
      </c>
      <c r="Y980" s="925"/>
      <c r="Z980" s="928" t="s">
        <v>55</v>
      </c>
      <c r="AA980" s="928" t="s">
        <v>87</v>
      </c>
      <c r="AB980" s="904" t="s">
        <v>171</v>
      </c>
      <c r="AC980" s="928" t="s">
        <v>88</v>
      </c>
      <c r="AD980" s="928"/>
      <c r="AE980" s="928"/>
      <c r="AF980" s="926"/>
      <c r="AG980" s="906" t="str">
        <f>IF(AE980&lt;&gt;0,VLOOKUP(AE980,ODDS!$A$2:$C$13,3,0),"")</f>
        <v/>
      </c>
      <c r="AH980" s="906" t="str">
        <f t="shared" si="201"/>
        <v xml:space="preserve"> </v>
      </c>
      <c r="AI980" s="907" t="str">
        <f t="shared" si="209"/>
        <v xml:space="preserve"> </v>
      </c>
      <c r="AJ980" s="929" t="s">
        <v>609</v>
      </c>
      <c r="AK980" s="894" t="s">
        <v>2449</v>
      </c>
    </row>
    <row r="981" spans="1:37" s="376" customFormat="1" ht="112.5" outlineLevel="2" x14ac:dyDescent="0.3">
      <c r="A981" s="447">
        <f t="shared" si="214"/>
        <v>78</v>
      </c>
      <c r="B981" s="893"/>
      <c r="C981" s="983"/>
      <c r="D981" s="923"/>
      <c r="E981" s="923"/>
      <c r="F981" s="896"/>
      <c r="G981" s="894"/>
      <c r="H981" s="924"/>
      <c r="I981" s="882"/>
      <c r="J981" s="925"/>
      <c r="K981" s="899" t="str">
        <f>IF(G981&lt;&gt;0,VLOOKUP(G981,'gia dat'!$A$1:$F$144,5,0)," ")</f>
        <v xml:space="preserve"> </v>
      </c>
      <c r="L981" s="899" t="str">
        <f>IF(G981&lt;&gt;0,VLOOKUP(G981,'gia dat'!$A$1:$F$144,6,0)," ")</f>
        <v xml:space="preserve"> </v>
      </c>
      <c r="M981" s="900" t="str">
        <f t="shared" si="198"/>
        <v xml:space="preserve"> </v>
      </c>
      <c r="N981" s="900" t="str">
        <f t="shared" si="199"/>
        <v xml:space="preserve"> </v>
      </c>
      <c r="O981" s="894" t="s">
        <v>145</v>
      </c>
      <c r="P981" s="926">
        <v>1</v>
      </c>
      <c r="Q981" s="900">
        <f>IF(O981&lt;&gt;0,VLOOKUP(O981,'Cây trong'!$A$2:$C$246,3,0)," ")</f>
        <v>4240000</v>
      </c>
      <c r="R981" s="900">
        <f t="shared" si="200"/>
        <v>4240000</v>
      </c>
      <c r="S981" s="902" t="s">
        <v>1767</v>
      </c>
      <c r="T981" s="925" t="s">
        <v>53</v>
      </c>
      <c r="U981" s="927">
        <v>4.4000000000000004</v>
      </c>
      <c r="V981" s="925"/>
      <c r="W981" s="900">
        <f>IF(S981&lt;&gt;0,VLOOKUP(S981,VKT!$A$2:$G$415,7,0),"")</f>
        <v>0</v>
      </c>
      <c r="X981" s="900">
        <f t="shared" si="212"/>
        <v>0</v>
      </c>
      <c r="Y981" s="925"/>
      <c r="Z981" s="928"/>
      <c r="AA981" s="928"/>
      <c r="AB981" s="904"/>
      <c r="AC981" s="928"/>
      <c r="AD981" s="928"/>
      <c r="AE981" s="928"/>
      <c r="AF981" s="926"/>
      <c r="AG981" s="906" t="str">
        <f>IF(AE981&lt;&gt;0,VLOOKUP(AE981,ODDS!$A$2:$C$13,3,0),"")</f>
        <v/>
      </c>
      <c r="AH981" s="906" t="str">
        <f t="shared" si="201"/>
        <v xml:space="preserve"> </v>
      </c>
      <c r="AI981" s="907" t="str">
        <f t="shared" si="209"/>
        <v xml:space="preserve"> </v>
      </c>
      <c r="AJ981" s="894"/>
      <c r="AK981" s="894" t="s">
        <v>2800</v>
      </c>
    </row>
    <row r="982" spans="1:37" s="376" customFormat="1" ht="45" outlineLevel="2" x14ac:dyDescent="0.35">
      <c r="A982" s="447">
        <f t="shared" si="214"/>
        <v>78</v>
      </c>
      <c r="B982" s="893"/>
      <c r="C982" s="983"/>
      <c r="D982" s="923"/>
      <c r="E982" s="923"/>
      <c r="F982" s="896"/>
      <c r="G982" s="894"/>
      <c r="H982" s="924"/>
      <c r="I982" s="882"/>
      <c r="J982" s="925"/>
      <c r="K982" s="899" t="str">
        <f>IF(G982&lt;&gt;0,VLOOKUP(G982,'gia dat'!$A$1:$F$144,5,0)," ")</f>
        <v xml:space="preserve"> </v>
      </c>
      <c r="L982" s="899" t="str">
        <f>IF(G982&lt;&gt;0,VLOOKUP(G982,'gia dat'!$A$1:$F$144,6,0)," ")</f>
        <v xml:space="preserve"> </v>
      </c>
      <c r="M982" s="900" t="str">
        <f t="shared" si="198"/>
        <v xml:space="preserve"> </v>
      </c>
      <c r="N982" s="900" t="str">
        <f t="shared" si="199"/>
        <v xml:space="preserve"> </v>
      </c>
      <c r="O982" s="894" t="s">
        <v>725</v>
      </c>
      <c r="P982" s="926">
        <v>38</v>
      </c>
      <c r="Q982" s="900">
        <f>IF(O982&lt;&gt;0,VLOOKUP(O982,'Cây trong'!$A$2:$C$246,3,0)," ")</f>
        <v>360000</v>
      </c>
      <c r="R982" s="900">
        <f t="shared" si="200"/>
        <v>13680000</v>
      </c>
      <c r="S982" s="902" t="s">
        <v>1899</v>
      </c>
      <c r="T982" s="925" t="s">
        <v>53</v>
      </c>
      <c r="U982" s="927">
        <v>4.75</v>
      </c>
      <c r="V982" s="925"/>
      <c r="W982" s="900">
        <f>IF(S982&lt;&gt;0,VLOOKUP(S982,VKT!$A$2:$G$415,7,0),"")</f>
        <v>0</v>
      </c>
      <c r="X982" s="900">
        <f t="shared" si="212"/>
        <v>0</v>
      </c>
      <c r="Y982" s="925"/>
      <c r="Z982" s="928" t="s">
        <v>55</v>
      </c>
      <c r="AA982" s="928" t="s">
        <v>87</v>
      </c>
      <c r="AB982" s="904" t="s">
        <v>357</v>
      </c>
      <c r="AC982" s="928" t="s">
        <v>88</v>
      </c>
      <c r="AD982" s="928"/>
      <c r="AE982" s="928"/>
      <c r="AF982" s="926"/>
      <c r="AG982" s="906" t="str">
        <f>IF(AE982&lt;&gt;0,VLOOKUP(AE982,ODDS!$A$2:$C$13,3,0),"")</f>
        <v/>
      </c>
      <c r="AH982" s="906" t="str">
        <f t="shared" si="201"/>
        <v xml:space="preserve"> </v>
      </c>
      <c r="AI982" s="907" t="str">
        <f t="shared" si="209"/>
        <v xml:space="preserve"> </v>
      </c>
      <c r="AJ982" s="911"/>
      <c r="AK982" s="894"/>
    </row>
    <row r="983" spans="1:37" s="376" customFormat="1" ht="45" outlineLevel="2" x14ac:dyDescent="0.3">
      <c r="A983" s="447">
        <f t="shared" si="214"/>
        <v>78</v>
      </c>
      <c r="B983" s="893"/>
      <c r="C983" s="983"/>
      <c r="D983" s="923"/>
      <c r="E983" s="923"/>
      <c r="F983" s="896"/>
      <c r="G983" s="894"/>
      <c r="H983" s="924"/>
      <c r="I983" s="882"/>
      <c r="J983" s="925"/>
      <c r="K983" s="899" t="str">
        <f>IF(G983&lt;&gt;0,VLOOKUP(G983,'gia dat'!$A$1:$F$144,5,0)," ")</f>
        <v xml:space="preserve"> </v>
      </c>
      <c r="L983" s="899" t="str">
        <f>IF(G983&lt;&gt;0,VLOOKUP(G983,'gia dat'!$A$1:$F$144,6,0)," ")</f>
        <v xml:space="preserve"> </v>
      </c>
      <c r="M983" s="900" t="str">
        <f t="shared" ref="M983:M1049" si="215">IF(H983&lt;&gt;0,ROUND(H983*K983,-3)," ")</f>
        <v xml:space="preserve"> </v>
      </c>
      <c r="N983" s="900" t="str">
        <f t="shared" ref="N983:N1049" si="216">IF(H983&lt;&gt;0,ROUND(H983*L983,-3)," ")</f>
        <v xml:space="preserve"> </v>
      </c>
      <c r="O983" s="894" t="s">
        <v>744</v>
      </c>
      <c r="P983" s="926">
        <v>1</v>
      </c>
      <c r="Q983" s="900">
        <f>IF(O983&lt;&gt;0,VLOOKUP(O983,'Cây trong'!$A$2:$C$246,3,0)," ")</f>
        <v>0</v>
      </c>
      <c r="R983" s="900">
        <f t="shared" si="200"/>
        <v>0</v>
      </c>
      <c r="S983" s="902" t="s">
        <v>1899</v>
      </c>
      <c r="T983" s="925" t="s">
        <v>53</v>
      </c>
      <c r="U983" s="927">
        <v>6.3</v>
      </c>
      <c r="V983" s="925"/>
      <c r="W983" s="900">
        <f>IF(S983&lt;&gt;0,VLOOKUP(S983,VKT!$A$2:$G$415,7,0),"")</f>
        <v>0</v>
      </c>
      <c r="X983" s="900">
        <f t="shared" si="212"/>
        <v>0</v>
      </c>
      <c r="Y983" s="925"/>
      <c r="Z983" s="928" t="s">
        <v>55</v>
      </c>
      <c r="AA983" s="928" t="s">
        <v>87</v>
      </c>
      <c r="AB983" s="904" t="s">
        <v>358</v>
      </c>
      <c r="AC983" s="928" t="s">
        <v>88</v>
      </c>
      <c r="AD983" s="928"/>
      <c r="AE983" s="928"/>
      <c r="AF983" s="926"/>
      <c r="AG983" s="906" t="str">
        <f>IF(AE983&lt;&gt;0,VLOOKUP(AE983,ODDS!$A$2:$C$13,3,0),"")</f>
        <v/>
      </c>
      <c r="AH983" s="906" t="str">
        <f t="shared" si="201"/>
        <v xml:space="preserve"> </v>
      </c>
      <c r="AI983" s="907" t="str">
        <f t="shared" si="209"/>
        <v xml:space="preserve"> </v>
      </c>
      <c r="AJ983" s="929"/>
      <c r="AK983" s="929"/>
    </row>
    <row r="984" spans="1:37" s="376" customFormat="1" ht="45" outlineLevel="2" x14ac:dyDescent="0.3">
      <c r="A984" s="447">
        <f t="shared" si="214"/>
        <v>78</v>
      </c>
      <c r="B984" s="893"/>
      <c r="C984" s="983"/>
      <c r="D984" s="923"/>
      <c r="E984" s="923"/>
      <c r="F984" s="896"/>
      <c r="G984" s="894"/>
      <c r="H984" s="924"/>
      <c r="I984" s="882"/>
      <c r="J984" s="925"/>
      <c r="K984" s="899" t="str">
        <f>IF(G984&lt;&gt;0,VLOOKUP(G984,'gia dat'!$A$1:$F$144,5,0)," ")</f>
        <v xml:space="preserve"> </v>
      </c>
      <c r="L984" s="899" t="str">
        <f>IF(G984&lt;&gt;0,VLOOKUP(G984,'gia dat'!$A$1:$F$144,6,0)," ")</f>
        <v xml:space="preserve"> </v>
      </c>
      <c r="M984" s="900" t="str">
        <f t="shared" si="215"/>
        <v xml:space="preserve"> </v>
      </c>
      <c r="N984" s="900" t="str">
        <f t="shared" si="216"/>
        <v xml:space="preserve"> </v>
      </c>
      <c r="O984" s="894" t="s">
        <v>738</v>
      </c>
      <c r="P984" s="926">
        <v>2</v>
      </c>
      <c r="Q984" s="900">
        <f>IF(O984&lt;&gt;0,VLOOKUP(O984,'Cây trong'!$A$2:$C$246,3,0)," ")</f>
        <v>0</v>
      </c>
      <c r="R984" s="900">
        <f t="shared" si="200"/>
        <v>0</v>
      </c>
      <c r="S984" s="902" t="s">
        <v>1900</v>
      </c>
      <c r="T984" s="925" t="s">
        <v>53</v>
      </c>
      <c r="U984" s="927">
        <v>4.08</v>
      </c>
      <c r="V984" s="925"/>
      <c r="W984" s="900">
        <f>IF(S984&lt;&gt;0,VLOOKUP(S984,VKT!$A$2:$G$415,7,0),"")</f>
        <v>0</v>
      </c>
      <c r="X984" s="900">
        <f t="shared" si="212"/>
        <v>0</v>
      </c>
      <c r="Y984" s="925"/>
      <c r="Z984" s="928"/>
      <c r="AA984" s="928"/>
      <c r="AB984" s="904"/>
      <c r="AC984" s="928"/>
      <c r="AD984" s="928"/>
      <c r="AE984" s="928"/>
      <c r="AF984" s="926"/>
      <c r="AG984" s="906" t="str">
        <f>IF(AE984&lt;&gt;0,VLOOKUP(AE984,ODDS!$A$2:$C$13,3,0),"")</f>
        <v/>
      </c>
      <c r="AH984" s="906" t="str">
        <f t="shared" si="201"/>
        <v xml:space="preserve"> </v>
      </c>
      <c r="AI984" s="907" t="str">
        <f t="shared" si="209"/>
        <v xml:space="preserve"> </v>
      </c>
      <c r="AJ984" s="929"/>
      <c r="AK984" s="929"/>
    </row>
    <row r="985" spans="1:37" s="376" customFormat="1" ht="45" outlineLevel="2" x14ac:dyDescent="0.3">
      <c r="A985" s="447">
        <f t="shared" si="214"/>
        <v>78</v>
      </c>
      <c r="B985" s="893"/>
      <c r="C985" s="983"/>
      <c r="D985" s="923"/>
      <c r="E985" s="923"/>
      <c r="F985" s="896"/>
      <c r="G985" s="894"/>
      <c r="H985" s="924"/>
      <c r="I985" s="882"/>
      <c r="J985" s="925"/>
      <c r="K985" s="899" t="str">
        <f>IF(G985&lt;&gt;0,VLOOKUP(G985,'gia dat'!$A$1:$F$144,5,0)," ")</f>
        <v xml:space="preserve"> </v>
      </c>
      <c r="L985" s="899" t="str">
        <f>IF(G985&lt;&gt;0,VLOOKUP(G985,'gia dat'!$A$1:$F$144,6,0)," ")</f>
        <v xml:space="preserve"> </v>
      </c>
      <c r="M985" s="900" t="str">
        <f t="shared" si="215"/>
        <v xml:space="preserve"> </v>
      </c>
      <c r="N985" s="900" t="str">
        <f t="shared" si="216"/>
        <v xml:space="preserve"> </v>
      </c>
      <c r="O985" s="894" t="s">
        <v>352</v>
      </c>
      <c r="P985" s="926">
        <v>1</v>
      </c>
      <c r="Q985" s="900">
        <f>IF(O985&lt;&gt;0,VLOOKUP(O985,'Cây trong'!$A$2:$C$246,3,0)," ")</f>
        <v>60000</v>
      </c>
      <c r="R985" s="900">
        <f t="shared" si="200"/>
        <v>60000</v>
      </c>
      <c r="S985" s="922" t="s">
        <v>1767</v>
      </c>
      <c r="T985" s="925" t="s">
        <v>53</v>
      </c>
      <c r="U985" s="927">
        <v>17.28</v>
      </c>
      <c r="V985" s="925"/>
      <c r="W985" s="900">
        <f>IF(S985&lt;&gt;0,VLOOKUP(S985,VKT!$A$2:$G$415,7,0),"")</f>
        <v>0</v>
      </c>
      <c r="X985" s="900">
        <f t="shared" si="212"/>
        <v>0</v>
      </c>
      <c r="Y985" s="925"/>
      <c r="Z985" s="928"/>
      <c r="AA985" s="928"/>
      <c r="AB985" s="904"/>
      <c r="AC985" s="928"/>
      <c r="AD985" s="928"/>
      <c r="AE985" s="928"/>
      <c r="AF985" s="926"/>
      <c r="AG985" s="906" t="str">
        <f>IF(AE985&lt;&gt;0,VLOOKUP(AE985,ODDS!$A$2:$C$13,3,0),"")</f>
        <v/>
      </c>
      <c r="AH985" s="906" t="str">
        <f t="shared" si="201"/>
        <v xml:space="preserve"> </v>
      </c>
      <c r="AI985" s="907" t="str">
        <f t="shared" si="209"/>
        <v xml:space="preserve"> </v>
      </c>
      <c r="AJ985" s="929"/>
      <c r="AK985" s="929"/>
    </row>
    <row r="986" spans="1:37" s="376" customFormat="1" ht="45" outlineLevel="2" x14ac:dyDescent="0.3">
      <c r="A986" s="447">
        <f t="shared" si="214"/>
        <v>78</v>
      </c>
      <c r="B986" s="893"/>
      <c r="C986" s="983"/>
      <c r="D986" s="923"/>
      <c r="E986" s="923"/>
      <c r="F986" s="896"/>
      <c r="G986" s="894"/>
      <c r="H986" s="924"/>
      <c r="I986" s="882"/>
      <c r="J986" s="925"/>
      <c r="K986" s="899" t="str">
        <f>IF(G986&lt;&gt;0,VLOOKUP(G986,'gia dat'!$A$1:$F$144,5,0)," ")</f>
        <v xml:space="preserve"> </v>
      </c>
      <c r="L986" s="899" t="str">
        <f>IF(G986&lt;&gt;0,VLOOKUP(G986,'gia dat'!$A$1:$F$144,6,0)," ")</f>
        <v xml:space="preserve"> </v>
      </c>
      <c r="M986" s="900" t="str">
        <f t="shared" si="215"/>
        <v xml:space="preserve"> </v>
      </c>
      <c r="N986" s="900" t="str">
        <f t="shared" si="216"/>
        <v xml:space="preserve"> </v>
      </c>
      <c r="O986" s="894" t="s">
        <v>72</v>
      </c>
      <c r="P986" s="926">
        <v>18</v>
      </c>
      <c r="Q986" s="900">
        <f>IF(O986&lt;&gt;0,VLOOKUP(O986,'Cây trong'!$A$2:$C$246,3,0)," ")</f>
        <v>132000</v>
      </c>
      <c r="R986" s="900">
        <f t="shared" si="200"/>
        <v>2376000</v>
      </c>
      <c r="S986" s="902" t="s">
        <v>1767</v>
      </c>
      <c r="T986" s="925" t="s">
        <v>53</v>
      </c>
      <c r="U986" s="927">
        <v>3.36</v>
      </c>
      <c r="V986" s="925"/>
      <c r="W986" s="900">
        <f>IF(S986&lt;&gt;0,VLOOKUP(S986,VKT!$A$2:$G$415,7,0),"")</f>
        <v>0</v>
      </c>
      <c r="X986" s="900">
        <f t="shared" si="212"/>
        <v>0</v>
      </c>
      <c r="Y986" s="925"/>
      <c r="Z986" s="928"/>
      <c r="AA986" s="928"/>
      <c r="AB986" s="904"/>
      <c r="AC986" s="928"/>
      <c r="AD986" s="928"/>
      <c r="AE986" s="928"/>
      <c r="AF986" s="926"/>
      <c r="AG986" s="906" t="str">
        <f>IF(AE986&lt;&gt;0,VLOOKUP(AE986,ODDS!$A$2:$C$13,3,0),"")</f>
        <v/>
      </c>
      <c r="AH986" s="906" t="str">
        <f t="shared" si="201"/>
        <v xml:space="preserve"> </v>
      </c>
      <c r="AI986" s="907" t="str">
        <f t="shared" si="209"/>
        <v xml:space="preserve"> </v>
      </c>
      <c r="AJ986" s="929"/>
      <c r="AK986" s="929"/>
    </row>
    <row r="987" spans="1:37" s="376" customFormat="1" ht="45" outlineLevel="2" x14ac:dyDescent="0.3">
      <c r="A987" s="447">
        <f t="shared" si="214"/>
        <v>78</v>
      </c>
      <c r="B987" s="893"/>
      <c r="C987" s="983"/>
      <c r="D987" s="923"/>
      <c r="E987" s="923"/>
      <c r="F987" s="896"/>
      <c r="G987" s="894"/>
      <c r="H987" s="924"/>
      <c r="I987" s="882"/>
      <c r="J987" s="925"/>
      <c r="K987" s="899" t="str">
        <f>IF(G987&lt;&gt;0,VLOOKUP(G987,'gia dat'!$A$1:$F$144,5,0)," ")</f>
        <v xml:space="preserve"> </v>
      </c>
      <c r="L987" s="899" t="str">
        <f>IF(G987&lt;&gt;0,VLOOKUP(G987,'gia dat'!$A$1:$F$144,6,0)," ")</f>
        <v xml:space="preserve"> </v>
      </c>
      <c r="M987" s="900" t="str">
        <f t="shared" si="215"/>
        <v xml:space="preserve"> </v>
      </c>
      <c r="N987" s="900" t="str">
        <f t="shared" si="216"/>
        <v xml:space="preserve"> </v>
      </c>
      <c r="O987" s="894" t="s">
        <v>73</v>
      </c>
      <c r="P987" s="926">
        <v>76</v>
      </c>
      <c r="Q987" s="900">
        <f>IF(O987&lt;&gt;0,VLOOKUP(O987,'Cây trong'!$A$2:$C$246,3,0)," ")</f>
        <v>76000</v>
      </c>
      <c r="R987" s="900">
        <f t="shared" si="200"/>
        <v>5776000</v>
      </c>
      <c r="S987" s="902" t="s">
        <v>1818</v>
      </c>
      <c r="T987" s="925" t="s">
        <v>53</v>
      </c>
      <c r="U987" s="927">
        <v>5.36</v>
      </c>
      <c r="V987" s="925"/>
      <c r="W987" s="900">
        <f>IF(S987&lt;&gt;0,VLOOKUP(S987,VKT!$A$2:$G$415,7,0),"")</f>
        <v>0</v>
      </c>
      <c r="X987" s="900">
        <f t="shared" si="212"/>
        <v>0</v>
      </c>
      <c r="Y987" s="925"/>
      <c r="Z987" s="928"/>
      <c r="AA987" s="928"/>
      <c r="AB987" s="904"/>
      <c r="AC987" s="928"/>
      <c r="AD987" s="928"/>
      <c r="AE987" s="928"/>
      <c r="AF987" s="926"/>
      <c r="AG987" s="906" t="str">
        <f>IF(AE987&lt;&gt;0,VLOOKUP(AE987,ODDS!$A$2:$C$13,3,0),"")</f>
        <v/>
      </c>
      <c r="AH987" s="906" t="str">
        <f t="shared" si="201"/>
        <v xml:space="preserve"> </v>
      </c>
      <c r="AI987" s="907" t="str">
        <f t="shared" si="209"/>
        <v xml:space="preserve"> </v>
      </c>
      <c r="AJ987" s="929"/>
      <c r="AK987" s="929"/>
    </row>
    <row r="988" spans="1:37" s="376" customFormat="1" ht="22.5" outlineLevel="2" x14ac:dyDescent="0.3">
      <c r="A988" s="447">
        <f t="shared" si="214"/>
        <v>78</v>
      </c>
      <c r="B988" s="893"/>
      <c r="C988" s="983"/>
      <c r="D988" s="923"/>
      <c r="E988" s="923"/>
      <c r="F988" s="896"/>
      <c r="G988" s="894"/>
      <c r="H988" s="924"/>
      <c r="I988" s="882"/>
      <c r="J988" s="925"/>
      <c r="K988" s="899" t="str">
        <f>IF(G988&lt;&gt;0,VLOOKUP(G988,'gia dat'!$A$1:$F$144,5,0)," ")</f>
        <v xml:space="preserve"> </v>
      </c>
      <c r="L988" s="899" t="str">
        <f>IF(G988&lt;&gt;0,VLOOKUP(G988,'gia dat'!$A$1:$F$144,6,0)," ")</f>
        <v xml:space="preserve"> </v>
      </c>
      <c r="M988" s="900" t="str">
        <f t="shared" si="215"/>
        <v xml:space="preserve"> </v>
      </c>
      <c r="N988" s="900" t="str">
        <f t="shared" si="216"/>
        <v xml:space="preserve"> </v>
      </c>
      <c r="O988" s="894" t="s">
        <v>75</v>
      </c>
      <c r="P988" s="926">
        <v>66</v>
      </c>
      <c r="Q988" s="900">
        <f>IF(O988&lt;&gt;0,VLOOKUP(O988,'Cây trong'!$A$2:$C$246,3,0)," ")</f>
        <v>34000</v>
      </c>
      <c r="R988" s="900">
        <f t="shared" si="200"/>
        <v>2244000</v>
      </c>
      <c r="S988" s="902"/>
      <c r="T988" s="925"/>
      <c r="U988" s="927"/>
      <c r="V988" s="925"/>
      <c r="W988" s="900" t="str">
        <f>IF(S988&lt;&gt;0,VLOOKUP(S988,VKT!$A$2:$G$415,7,0),"")</f>
        <v/>
      </c>
      <c r="X988" s="900" t="str">
        <f t="shared" si="212"/>
        <v xml:space="preserve"> </v>
      </c>
      <c r="Y988" s="925"/>
      <c r="Z988" s="928"/>
      <c r="AA988" s="928"/>
      <c r="AB988" s="904"/>
      <c r="AC988" s="928"/>
      <c r="AD988" s="928"/>
      <c r="AE988" s="928"/>
      <c r="AF988" s="926"/>
      <c r="AG988" s="906" t="str">
        <f>IF(AE988&lt;&gt;0,VLOOKUP(AE988,ODDS!$A$2:$C$13,3,0),"")</f>
        <v/>
      </c>
      <c r="AH988" s="906" t="str">
        <f t="shared" si="201"/>
        <v xml:space="preserve"> </v>
      </c>
      <c r="AI988" s="907" t="str">
        <f t="shared" si="209"/>
        <v xml:space="preserve"> </v>
      </c>
      <c r="AJ988" s="929"/>
      <c r="AK988" s="929"/>
    </row>
    <row r="989" spans="1:37" s="376" customFormat="1" ht="45" outlineLevel="2" x14ac:dyDescent="0.3">
      <c r="A989" s="447">
        <f t="shared" si="214"/>
        <v>78</v>
      </c>
      <c r="B989" s="893"/>
      <c r="C989" s="983"/>
      <c r="D989" s="923"/>
      <c r="E989" s="923"/>
      <c r="F989" s="896"/>
      <c r="G989" s="894"/>
      <c r="H989" s="924"/>
      <c r="I989" s="882"/>
      <c r="J989" s="925"/>
      <c r="K989" s="899" t="str">
        <f>IF(G989&lt;&gt;0,VLOOKUP(G989,'gia dat'!$A$1:$F$144,5,0)," ")</f>
        <v xml:space="preserve"> </v>
      </c>
      <c r="L989" s="899" t="str">
        <f>IF(G989&lt;&gt;0,VLOOKUP(G989,'gia dat'!$A$1:$F$144,6,0)," ")</f>
        <v xml:space="preserve"> </v>
      </c>
      <c r="M989" s="900" t="str">
        <f t="shared" si="215"/>
        <v xml:space="preserve"> </v>
      </c>
      <c r="N989" s="900" t="str">
        <f t="shared" si="216"/>
        <v xml:space="preserve"> </v>
      </c>
      <c r="O989" s="894" t="s">
        <v>784</v>
      </c>
      <c r="P989" s="926">
        <v>23</v>
      </c>
      <c r="Q989" s="900">
        <f>IF(O989&lt;&gt;0,VLOOKUP(O989,'Cây trong'!$A$2:$C$246,3,0)," ")</f>
        <v>8400</v>
      </c>
      <c r="R989" s="900">
        <f t="shared" si="200"/>
        <v>193200</v>
      </c>
      <c r="S989" s="902"/>
      <c r="T989" s="925"/>
      <c r="U989" s="927"/>
      <c r="V989" s="925"/>
      <c r="W989" s="900" t="str">
        <f>IF(S989&lt;&gt;0,VLOOKUP(S989,VKT!$A$2:$G$415,7,0),"")</f>
        <v/>
      </c>
      <c r="X989" s="900" t="str">
        <f t="shared" si="212"/>
        <v xml:space="preserve"> </v>
      </c>
      <c r="Y989" s="925"/>
      <c r="Z989" s="928"/>
      <c r="AA989" s="928"/>
      <c r="AB989" s="904"/>
      <c r="AC989" s="928"/>
      <c r="AD989" s="928"/>
      <c r="AE989" s="928"/>
      <c r="AF989" s="926"/>
      <c r="AG989" s="906" t="str">
        <f>IF(AE989&lt;&gt;0,VLOOKUP(AE989,ODDS!$A$2:$C$13,3,0),"")</f>
        <v/>
      </c>
      <c r="AH989" s="906" t="str">
        <f t="shared" si="201"/>
        <v xml:space="preserve"> </v>
      </c>
      <c r="AI989" s="907" t="str">
        <f t="shared" si="209"/>
        <v xml:space="preserve"> </v>
      </c>
      <c r="AJ989" s="929"/>
      <c r="AK989" s="929"/>
    </row>
    <row r="990" spans="1:37" s="376" customFormat="1" ht="45" outlineLevel="2" x14ac:dyDescent="0.3">
      <c r="A990" s="447">
        <f t="shared" si="214"/>
        <v>78</v>
      </c>
      <c r="B990" s="893"/>
      <c r="C990" s="983"/>
      <c r="D990" s="923"/>
      <c r="E990" s="923"/>
      <c r="F990" s="896"/>
      <c r="G990" s="894"/>
      <c r="H990" s="924"/>
      <c r="I990" s="882"/>
      <c r="J990" s="925"/>
      <c r="K990" s="899" t="str">
        <f>IF(G990&lt;&gt;0,VLOOKUP(G990,'gia dat'!$A$1:$F$144,5,0)," ")</f>
        <v xml:space="preserve"> </v>
      </c>
      <c r="L990" s="899" t="str">
        <f>IF(G990&lt;&gt;0,VLOOKUP(G990,'gia dat'!$A$1:$F$144,6,0)," ")</f>
        <v xml:space="preserve"> </v>
      </c>
      <c r="M990" s="900" t="str">
        <f t="shared" si="215"/>
        <v xml:space="preserve"> </v>
      </c>
      <c r="N990" s="900" t="str">
        <f t="shared" si="216"/>
        <v xml:space="preserve"> </v>
      </c>
      <c r="O990" s="894" t="s">
        <v>785</v>
      </c>
      <c r="P990" s="926">
        <v>5</v>
      </c>
      <c r="Q990" s="900">
        <f>IF(O990&lt;&gt;0,VLOOKUP(O990,'Cây trong'!$A$2:$C$246,3,0)," ")</f>
        <v>6000</v>
      </c>
      <c r="R990" s="900">
        <f t="shared" si="200"/>
        <v>30000</v>
      </c>
      <c r="S990" s="902"/>
      <c r="T990" s="925"/>
      <c r="U990" s="927"/>
      <c r="V990" s="925"/>
      <c r="W990" s="900" t="str">
        <f>IF(S990&lt;&gt;0,VLOOKUP(S990,VKT!$A$2:$G$415,7,0),"")</f>
        <v/>
      </c>
      <c r="X990" s="900" t="str">
        <f t="shared" si="212"/>
        <v xml:space="preserve"> </v>
      </c>
      <c r="Y990" s="925"/>
      <c r="Z990" s="928"/>
      <c r="AA990" s="928"/>
      <c r="AB990" s="904"/>
      <c r="AC990" s="928"/>
      <c r="AD990" s="928"/>
      <c r="AE990" s="928"/>
      <c r="AF990" s="926"/>
      <c r="AG990" s="906" t="str">
        <f>IF(AE990&lt;&gt;0,VLOOKUP(AE990,ODDS!$A$2:$C$13,3,0),"")</f>
        <v/>
      </c>
      <c r="AH990" s="906" t="str">
        <f t="shared" si="201"/>
        <v xml:space="preserve"> </v>
      </c>
      <c r="AI990" s="907" t="str">
        <f t="shared" si="209"/>
        <v xml:space="preserve"> </v>
      </c>
      <c r="AJ990" s="929"/>
      <c r="AK990" s="929"/>
    </row>
    <row r="991" spans="1:37" s="376" customFormat="1" ht="45" outlineLevel="2" x14ac:dyDescent="0.3">
      <c r="A991" s="447">
        <f t="shared" si="214"/>
        <v>78</v>
      </c>
      <c r="B991" s="893"/>
      <c r="C991" s="983"/>
      <c r="D991" s="923"/>
      <c r="E991" s="923"/>
      <c r="F991" s="896"/>
      <c r="G991" s="894"/>
      <c r="H991" s="924"/>
      <c r="I991" s="882"/>
      <c r="J991" s="925"/>
      <c r="K991" s="899" t="str">
        <f>IF(G991&lt;&gt;0,VLOOKUP(G991,'gia dat'!$A$1:$F$144,5,0)," ")</f>
        <v xml:space="preserve"> </v>
      </c>
      <c r="L991" s="899" t="str">
        <f>IF(G991&lt;&gt;0,VLOOKUP(G991,'gia dat'!$A$1:$F$144,6,0)," ")</f>
        <v xml:space="preserve"> </v>
      </c>
      <c r="M991" s="900" t="str">
        <f t="shared" si="215"/>
        <v xml:space="preserve"> </v>
      </c>
      <c r="N991" s="900" t="str">
        <f t="shared" si="216"/>
        <v xml:space="preserve"> </v>
      </c>
      <c r="O991" s="894" t="s">
        <v>248</v>
      </c>
      <c r="P991" s="926">
        <v>5</v>
      </c>
      <c r="Q991" s="900">
        <f>IF(O991&lt;&gt;0,VLOOKUP(O991,'Cây trong'!$A$2:$C$246,3,0)," ")</f>
        <v>12000</v>
      </c>
      <c r="R991" s="900">
        <f t="shared" si="200"/>
        <v>60000</v>
      </c>
      <c r="S991" s="902"/>
      <c r="T991" s="925"/>
      <c r="U991" s="927"/>
      <c r="V991" s="925"/>
      <c r="W991" s="900" t="str">
        <f>IF(S991&lt;&gt;0,VLOOKUP(S991,VKT!$A$2:$G$415,7,0),"")</f>
        <v/>
      </c>
      <c r="X991" s="900" t="str">
        <f t="shared" si="212"/>
        <v xml:space="preserve"> </v>
      </c>
      <c r="Y991" s="925"/>
      <c r="Z991" s="928"/>
      <c r="AA991" s="928"/>
      <c r="AB991" s="904"/>
      <c r="AC991" s="928"/>
      <c r="AD991" s="928"/>
      <c r="AE991" s="928"/>
      <c r="AF991" s="926"/>
      <c r="AG991" s="906" t="str">
        <f>IF(AE991&lt;&gt;0,VLOOKUP(AE991,ODDS!$A$2:$C$13,3,0),"")</f>
        <v/>
      </c>
      <c r="AH991" s="906" t="str">
        <f t="shared" si="201"/>
        <v xml:space="preserve"> </v>
      </c>
      <c r="AI991" s="907" t="str">
        <f t="shared" si="209"/>
        <v xml:space="preserve"> </v>
      </c>
      <c r="AJ991" s="929"/>
      <c r="AK991" s="929"/>
    </row>
    <row r="992" spans="1:37" s="376" customFormat="1" ht="45" outlineLevel="2" x14ac:dyDescent="0.3">
      <c r="A992" s="447">
        <f t="shared" si="214"/>
        <v>78</v>
      </c>
      <c r="B992" s="893"/>
      <c r="C992" s="983"/>
      <c r="D992" s="923"/>
      <c r="E992" s="923"/>
      <c r="F992" s="896"/>
      <c r="G992" s="894"/>
      <c r="H992" s="924"/>
      <c r="I992" s="882"/>
      <c r="J992" s="925"/>
      <c r="K992" s="899" t="str">
        <f>IF(G992&lt;&gt;0,VLOOKUP(G992,'gia dat'!$A$1:$F$144,5,0)," ")</f>
        <v xml:space="preserve"> </v>
      </c>
      <c r="L992" s="899" t="str">
        <f>IF(G992&lt;&gt;0,VLOOKUP(G992,'gia dat'!$A$1:$F$144,6,0)," ")</f>
        <v xml:space="preserve"> </v>
      </c>
      <c r="M992" s="900" t="str">
        <f t="shared" si="215"/>
        <v xml:space="preserve"> </v>
      </c>
      <c r="N992" s="900" t="str">
        <f t="shared" si="216"/>
        <v xml:space="preserve"> </v>
      </c>
      <c r="O992" s="894" t="s">
        <v>354</v>
      </c>
      <c r="P992" s="926">
        <v>15</v>
      </c>
      <c r="Q992" s="900">
        <f>IF(O992&lt;&gt;0,VLOOKUP(O992,'Cây trong'!$A$2:$C$246,3,0)," ")</f>
        <v>12000</v>
      </c>
      <c r="R992" s="900">
        <f t="shared" si="200"/>
        <v>180000</v>
      </c>
      <c r="S992" s="902"/>
      <c r="T992" s="925"/>
      <c r="U992" s="927"/>
      <c r="V992" s="925"/>
      <c r="W992" s="900" t="str">
        <f>IF(S992&lt;&gt;0,VLOOKUP(S992,VKT!$A$2:$G$415,7,0),"")</f>
        <v/>
      </c>
      <c r="X992" s="900" t="str">
        <f t="shared" si="212"/>
        <v xml:space="preserve"> </v>
      </c>
      <c r="Y992" s="925"/>
      <c r="Z992" s="928"/>
      <c r="AA992" s="928"/>
      <c r="AB992" s="904"/>
      <c r="AC992" s="928"/>
      <c r="AD992" s="928"/>
      <c r="AE992" s="928"/>
      <c r="AF992" s="926"/>
      <c r="AG992" s="906" t="str">
        <f>IF(AE992&lt;&gt;0,VLOOKUP(AE992,ODDS!$A$2:$C$13,3,0),"")</f>
        <v/>
      </c>
      <c r="AH992" s="906" t="str">
        <f t="shared" si="201"/>
        <v xml:space="preserve"> </v>
      </c>
      <c r="AI992" s="907" t="str">
        <f t="shared" si="209"/>
        <v xml:space="preserve"> </v>
      </c>
      <c r="AJ992" s="929"/>
      <c r="AK992" s="929"/>
    </row>
    <row r="993" spans="1:37" s="376" customFormat="1" ht="45" outlineLevel="2" x14ac:dyDescent="0.3">
      <c r="A993" s="447">
        <f t="shared" si="214"/>
        <v>78</v>
      </c>
      <c r="B993" s="893"/>
      <c r="C993" s="983"/>
      <c r="D993" s="923"/>
      <c r="E993" s="923"/>
      <c r="F993" s="896"/>
      <c r="G993" s="894"/>
      <c r="H993" s="924"/>
      <c r="I993" s="882"/>
      <c r="J993" s="925"/>
      <c r="K993" s="899" t="str">
        <f>IF(G993&lt;&gt;0,VLOOKUP(G993,'gia dat'!$A$1:$F$144,5,0)," ")</f>
        <v xml:space="preserve"> </v>
      </c>
      <c r="L993" s="899" t="str">
        <f>IF(G993&lt;&gt;0,VLOOKUP(G993,'gia dat'!$A$1:$F$144,6,0)," ")</f>
        <v xml:space="preserve"> </v>
      </c>
      <c r="M993" s="900" t="str">
        <f t="shared" si="215"/>
        <v xml:space="preserve"> </v>
      </c>
      <c r="N993" s="900" t="str">
        <f t="shared" si="216"/>
        <v xml:space="preserve"> </v>
      </c>
      <c r="O993" s="894" t="s">
        <v>786</v>
      </c>
      <c r="P993" s="926">
        <v>1</v>
      </c>
      <c r="Q993" s="900">
        <f>IF(O993&lt;&gt;0,VLOOKUP(O993,'Cây trong'!$A$2:$C$246,3,0)," ")</f>
        <v>0</v>
      </c>
      <c r="R993" s="900">
        <f t="shared" si="200"/>
        <v>0</v>
      </c>
      <c r="S993" s="902"/>
      <c r="T993" s="925"/>
      <c r="U993" s="927"/>
      <c r="V993" s="925"/>
      <c r="W993" s="900" t="str">
        <f>IF(S993&lt;&gt;0,VLOOKUP(S993,VKT!$A$2:$G$415,7,0),"")</f>
        <v/>
      </c>
      <c r="X993" s="900" t="str">
        <f t="shared" si="212"/>
        <v xml:space="preserve"> </v>
      </c>
      <c r="Y993" s="925"/>
      <c r="Z993" s="928"/>
      <c r="AA993" s="928"/>
      <c r="AB993" s="904"/>
      <c r="AC993" s="928"/>
      <c r="AD993" s="928"/>
      <c r="AE993" s="928"/>
      <c r="AF993" s="926"/>
      <c r="AG993" s="906" t="str">
        <f>IF(AE993&lt;&gt;0,VLOOKUP(AE993,ODDS!$A$2:$C$13,3,0),"")</f>
        <v/>
      </c>
      <c r="AH993" s="906" t="str">
        <f t="shared" si="201"/>
        <v xml:space="preserve"> </v>
      </c>
      <c r="AI993" s="907" t="str">
        <f t="shared" si="209"/>
        <v xml:space="preserve"> </v>
      </c>
      <c r="AJ993" s="929"/>
      <c r="AK993" s="929"/>
    </row>
    <row r="994" spans="1:37" s="376" customFormat="1" ht="45" outlineLevel="2" x14ac:dyDescent="0.3">
      <c r="A994" s="447">
        <f t="shared" si="214"/>
        <v>78</v>
      </c>
      <c r="B994" s="893"/>
      <c r="C994" s="983"/>
      <c r="D994" s="923"/>
      <c r="E994" s="923"/>
      <c r="F994" s="896"/>
      <c r="G994" s="894"/>
      <c r="H994" s="924"/>
      <c r="I994" s="882"/>
      <c r="J994" s="925"/>
      <c r="K994" s="899" t="str">
        <f>IF(G994&lt;&gt;0,VLOOKUP(G994,'gia dat'!$A$1:$F$144,5,0)," ")</f>
        <v xml:space="preserve"> </v>
      </c>
      <c r="L994" s="899" t="str">
        <f>IF(G994&lt;&gt;0,VLOOKUP(G994,'gia dat'!$A$1:$F$144,6,0)," ")</f>
        <v xml:space="preserve"> </v>
      </c>
      <c r="M994" s="900" t="str">
        <f t="shared" si="215"/>
        <v xml:space="preserve"> </v>
      </c>
      <c r="N994" s="900" t="str">
        <f t="shared" si="216"/>
        <v xml:space="preserve"> </v>
      </c>
      <c r="O994" s="894" t="s">
        <v>355</v>
      </c>
      <c r="P994" s="926">
        <v>1</v>
      </c>
      <c r="Q994" s="900">
        <f>IF(O994&lt;&gt;0,VLOOKUP(O994,'Cây trong'!$A$2:$C$246,3,0)," ")</f>
        <v>979000</v>
      </c>
      <c r="R994" s="900">
        <f t="shared" si="200"/>
        <v>979000</v>
      </c>
      <c r="S994" s="902"/>
      <c r="T994" s="925"/>
      <c r="U994" s="927"/>
      <c r="V994" s="925"/>
      <c r="W994" s="900" t="str">
        <f>IF(S994&lt;&gt;0,VLOOKUP(S994,VKT!$A$2:$G$415,7,0),"")</f>
        <v/>
      </c>
      <c r="X994" s="900" t="str">
        <f t="shared" si="212"/>
        <v xml:space="preserve"> </v>
      </c>
      <c r="Y994" s="925"/>
      <c r="Z994" s="928"/>
      <c r="AA994" s="928"/>
      <c r="AB994" s="904"/>
      <c r="AC994" s="928"/>
      <c r="AD994" s="928"/>
      <c r="AE994" s="928"/>
      <c r="AF994" s="926"/>
      <c r="AG994" s="906" t="str">
        <f>IF(AE994&lt;&gt;0,VLOOKUP(AE994,ODDS!$A$2:$C$13,3,0),"")</f>
        <v/>
      </c>
      <c r="AH994" s="906" t="str">
        <f t="shared" si="201"/>
        <v xml:space="preserve"> </v>
      </c>
      <c r="AI994" s="907" t="str">
        <f t="shared" si="209"/>
        <v xml:space="preserve"> </v>
      </c>
      <c r="AJ994" s="929"/>
      <c r="AK994" s="929"/>
    </row>
    <row r="995" spans="1:37" s="376" customFormat="1" ht="22.5" outlineLevel="2" x14ac:dyDescent="0.3">
      <c r="A995" s="447">
        <f t="shared" si="214"/>
        <v>78</v>
      </c>
      <c r="B995" s="893"/>
      <c r="C995" s="983"/>
      <c r="D995" s="923"/>
      <c r="E995" s="923"/>
      <c r="F995" s="896"/>
      <c r="G995" s="894"/>
      <c r="H995" s="924"/>
      <c r="I995" s="882"/>
      <c r="J995" s="925"/>
      <c r="K995" s="899" t="str">
        <f>IF(G995&lt;&gt;0,VLOOKUP(G995,'gia dat'!$A$1:$F$144,5,0)," ")</f>
        <v xml:space="preserve"> </v>
      </c>
      <c r="L995" s="899" t="str">
        <f>IF(G995&lt;&gt;0,VLOOKUP(G995,'gia dat'!$A$1:$F$144,6,0)," ")</f>
        <v xml:space="preserve"> </v>
      </c>
      <c r="M995" s="900" t="str">
        <f t="shared" si="215"/>
        <v xml:space="preserve"> </v>
      </c>
      <c r="N995" s="900" t="str">
        <f t="shared" si="216"/>
        <v xml:space="preserve"> </v>
      </c>
      <c r="O995" s="894" t="s">
        <v>154</v>
      </c>
      <c r="P995" s="926">
        <v>2</v>
      </c>
      <c r="Q995" s="900">
        <f>IF(O995&lt;&gt;0,VLOOKUP(O995,'Cây trong'!$A$2:$C$246,3,0)," ")</f>
        <v>248000</v>
      </c>
      <c r="R995" s="900">
        <f t="shared" ref="R995:R1062" si="217">IF(O995&lt;&gt;0,ROUND(P995*Q995,-2)," ")</f>
        <v>496000</v>
      </c>
      <c r="S995" s="902"/>
      <c r="T995" s="925"/>
      <c r="U995" s="927"/>
      <c r="V995" s="925"/>
      <c r="W995" s="900" t="str">
        <f>IF(S995&lt;&gt;0,VLOOKUP(S995,VKT!$A$2:$G$415,7,0),"")</f>
        <v/>
      </c>
      <c r="X995" s="900" t="str">
        <f t="shared" si="212"/>
        <v xml:space="preserve"> </v>
      </c>
      <c r="Y995" s="925"/>
      <c r="Z995" s="928"/>
      <c r="AA995" s="928"/>
      <c r="AB995" s="904"/>
      <c r="AC995" s="928"/>
      <c r="AD995" s="928"/>
      <c r="AE995" s="928"/>
      <c r="AF995" s="926"/>
      <c r="AG995" s="906" t="str">
        <f>IF(AE995&lt;&gt;0,VLOOKUP(AE995,ODDS!$A$2:$C$13,3,0),"")</f>
        <v/>
      </c>
      <c r="AH995" s="906" t="str">
        <f t="shared" ref="AH995:AH1062" si="218">IF(AE995&lt;&gt;0,ROUND(AF995*AG995,-2)," ")</f>
        <v xml:space="preserve"> </v>
      </c>
      <c r="AI995" s="907" t="str">
        <f t="shared" si="209"/>
        <v xml:space="preserve"> </v>
      </c>
      <c r="AJ995" s="929"/>
      <c r="AK995" s="929"/>
    </row>
    <row r="996" spans="1:37" s="376" customFormat="1" ht="22.5" outlineLevel="2" x14ac:dyDescent="0.3">
      <c r="A996" s="447">
        <f t="shared" si="214"/>
        <v>78</v>
      </c>
      <c r="B996" s="893"/>
      <c r="C996" s="983"/>
      <c r="D996" s="923"/>
      <c r="E996" s="923"/>
      <c r="F996" s="896"/>
      <c r="G996" s="894"/>
      <c r="H996" s="924"/>
      <c r="I996" s="882"/>
      <c r="J996" s="925"/>
      <c r="K996" s="899" t="str">
        <f>IF(G996&lt;&gt;0,VLOOKUP(G996,'gia dat'!$A$1:$F$144,5,0)," ")</f>
        <v xml:space="preserve"> </v>
      </c>
      <c r="L996" s="899" t="str">
        <f>IF(G996&lt;&gt;0,VLOOKUP(G996,'gia dat'!$A$1:$F$144,6,0)," ")</f>
        <v xml:space="preserve"> </v>
      </c>
      <c r="M996" s="900" t="str">
        <f t="shared" si="215"/>
        <v xml:space="preserve"> </v>
      </c>
      <c r="N996" s="900" t="str">
        <f t="shared" si="216"/>
        <v xml:space="preserve"> </v>
      </c>
      <c r="O996" s="894" t="s">
        <v>178</v>
      </c>
      <c r="P996" s="926">
        <v>1</v>
      </c>
      <c r="Q996" s="900">
        <f>IF(O996&lt;&gt;0,VLOOKUP(O996,'Cây trong'!$A$2:$C$246,3,0)," ")</f>
        <v>554000</v>
      </c>
      <c r="R996" s="900">
        <f t="shared" si="217"/>
        <v>554000</v>
      </c>
      <c r="S996" s="902"/>
      <c r="T996" s="925"/>
      <c r="U996" s="927"/>
      <c r="V996" s="925"/>
      <c r="W996" s="900" t="str">
        <f>IF(S996&lt;&gt;0,VLOOKUP(S996,VKT!$A$2:$G$415,7,0),"")</f>
        <v/>
      </c>
      <c r="X996" s="900" t="str">
        <f t="shared" si="212"/>
        <v xml:space="preserve"> </v>
      </c>
      <c r="Y996" s="925"/>
      <c r="Z996" s="928"/>
      <c r="AA996" s="928"/>
      <c r="AB996" s="904"/>
      <c r="AC996" s="928"/>
      <c r="AD996" s="928"/>
      <c r="AE996" s="928"/>
      <c r="AF996" s="926"/>
      <c r="AG996" s="906" t="str">
        <f>IF(AE996&lt;&gt;0,VLOOKUP(AE996,ODDS!$A$2:$C$13,3,0),"")</f>
        <v/>
      </c>
      <c r="AH996" s="906" t="str">
        <f t="shared" si="218"/>
        <v xml:space="preserve"> </v>
      </c>
      <c r="AI996" s="907" t="str">
        <f t="shared" si="209"/>
        <v xml:space="preserve"> </v>
      </c>
      <c r="AJ996" s="929"/>
      <c r="AK996" s="929"/>
    </row>
    <row r="997" spans="1:37" s="376" customFormat="1" ht="67.5" outlineLevel="2" x14ac:dyDescent="0.3">
      <c r="A997" s="447">
        <f t="shared" si="214"/>
        <v>78</v>
      </c>
      <c r="B997" s="893"/>
      <c r="C997" s="983"/>
      <c r="D997" s="923"/>
      <c r="E997" s="923"/>
      <c r="F997" s="896"/>
      <c r="G997" s="894"/>
      <c r="H997" s="924"/>
      <c r="I997" s="882"/>
      <c r="J997" s="925"/>
      <c r="K997" s="899" t="str">
        <f>IF(G997&lt;&gt;0,VLOOKUP(G997,'gia dat'!$A$1:$F$144,5,0)," ")</f>
        <v xml:space="preserve"> </v>
      </c>
      <c r="L997" s="899" t="str">
        <f>IF(G997&lt;&gt;0,VLOOKUP(G997,'gia dat'!$A$1:$F$144,6,0)," ")</f>
        <v xml:space="preserve"> </v>
      </c>
      <c r="M997" s="900" t="str">
        <f t="shared" si="215"/>
        <v xml:space="preserve"> </v>
      </c>
      <c r="N997" s="900" t="str">
        <f t="shared" si="216"/>
        <v xml:space="preserve"> </v>
      </c>
      <c r="O997" s="894" t="s">
        <v>406</v>
      </c>
      <c r="P997" s="926">
        <v>1</v>
      </c>
      <c r="Q997" s="900">
        <f>IF(O997&lt;&gt;0,VLOOKUP(O997,'Cây trong'!$A$2:$C$246,3,0)," ")</f>
        <v>180000</v>
      </c>
      <c r="R997" s="900">
        <f t="shared" si="217"/>
        <v>180000</v>
      </c>
      <c r="S997" s="902"/>
      <c r="T997" s="925"/>
      <c r="U997" s="927"/>
      <c r="V997" s="925"/>
      <c r="W997" s="900" t="str">
        <f>IF(S997&lt;&gt;0,VLOOKUP(S997,VKT!$A$2:$G$415,7,0),"")</f>
        <v/>
      </c>
      <c r="X997" s="900" t="str">
        <f t="shared" si="212"/>
        <v xml:space="preserve"> </v>
      </c>
      <c r="Y997" s="925"/>
      <c r="Z997" s="928"/>
      <c r="AA997" s="928"/>
      <c r="AB997" s="904"/>
      <c r="AC997" s="928"/>
      <c r="AD997" s="928"/>
      <c r="AE997" s="928"/>
      <c r="AF997" s="926"/>
      <c r="AG997" s="906" t="str">
        <f>IF(AE997&lt;&gt;0,VLOOKUP(AE997,ODDS!$A$2:$C$13,3,0),"")</f>
        <v/>
      </c>
      <c r="AH997" s="906" t="str">
        <f t="shared" si="218"/>
        <v xml:space="preserve"> </v>
      </c>
      <c r="AI997" s="907" t="str">
        <f t="shared" si="209"/>
        <v xml:space="preserve"> </v>
      </c>
      <c r="AJ997" s="929"/>
      <c r="AK997" s="929"/>
    </row>
    <row r="998" spans="1:37" s="376" customFormat="1" ht="45" outlineLevel="2" x14ac:dyDescent="0.3">
      <c r="A998" s="447">
        <f t="shared" si="214"/>
        <v>78</v>
      </c>
      <c r="B998" s="893"/>
      <c r="C998" s="983"/>
      <c r="D998" s="923"/>
      <c r="E998" s="923"/>
      <c r="F998" s="896"/>
      <c r="G998" s="894"/>
      <c r="H998" s="924"/>
      <c r="I998" s="882"/>
      <c r="J998" s="925"/>
      <c r="K998" s="899" t="str">
        <f>IF(G998&lt;&gt;0,VLOOKUP(G998,'gia dat'!$A$1:$F$144,5,0)," ")</f>
        <v xml:space="preserve"> </v>
      </c>
      <c r="L998" s="899" t="str">
        <f>IF(G998&lt;&gt;0,VLOOKUP(G998,'gia dat'!$A$1:$F$144,6,0)," ")</f>
        <v xml:space="preserve"> </v>
      </c>
      <c r="M998" s="900" t="str">
        <f t="shared" si="215"/>
        <v xml:space="preserve"> </v>
      </c>
      <c r="N998" s="900" t="str">
        <f t="shared" si="216"/>
        <v xml:space="preserve"> </v>
      </c>
      <c r="O998" s="894" t="s">
        <v>787</v>
      </c>
      <c r="P998" s="926">
        <v>12</v>
      </c>
      <c r="Q998" s="900">
        <f>IF(O998&lt;&gt;0,VLOOKUP(O998,'Cây trong'!$A$2:$C$246,3,0)," ")</f>
        <v>0</v>
      </c>
      <c r="R998" s="900">
        <f t="shared" si="217"/>
        <v>0</v>
      </c>
      <c r="S998" s="902"/>
      <c r="T998" s="925"/>
      <c r="U998" s="927"/>
      <c r="V998" s="925"/>
      <c r="W998" s="900" t="str">
        <f>IF(S998&lt;&gt;0,VLOOKUP(S998,VKT!$A$2:$G$415,7,0),"")</f>
        <v/>
      </c>
      <c r="X998" s="900" t="str">
        <f t="shared" si="212"/>
        <v xml:space="preserve"> </v>
      </c>
      <c r="Y998" s="925"/>
      <c r="Z998" s="928"/>
      <c r="AA998" s="928"/>
      <c r="AB998" s="904"/>
      <c r="AC998" s="928"/>
      <c r="AD998" s="928"/>
      <c r="AE998" s="928"/>
      <c r="AF998" s="926"/>
      <c r="AG998" s="906" t="str">
        <f>IF(AE998&lt;&gt;0,VLOOKUP(AE998,ODDS!$A$2:$C$13,3,0),"")</f>
        <v/>
      </c>
      <c r="AH998" s="906" t="str">
        <f t="shared" si="218"/>
        <v xml:space="preserve"> </v>
      </c>
      <c r="AI998" s="907" t="str">
        <f t="shared" si="209"/>
        <v xml:space="preserve"> </v>
      </c>
      <c r="AJ998" s="929"/>
      <c r="AK998" s="929"/>
    </row>
    <row r="999" spans="1:37" s="376" customFormat="1" ht="45" outlineLevel="2" x14ac:dyDescent="0.3">
      <c r="A999" s="447">
        <f t="shared" si="214"/>
        <v>78</v>
      </c>
      <c r="B999" s="893"/>
      <c r="C999" s="983"/>
      <c r="D999" s="923"/>
      <c r="E999" s="923"/>
      <c r="F999" s="896"/>
      <c r="G999" s="894"/>
      <c r="H999" s="924"/>
      <c r="I999" s="882"/>
      <c r="J999" s="925"/>
      <c r="K999" s="899" t="str">
        <f>IF(G999&lt;&gt;0,VLOOKUP(G999,'gia dat'!$A$1:$F$144,5,0)," ")</f>
        <v xml:space="preserve"> </v>
      </c>
      <c r="L999" s="899" t="str">
        <f>IF(G999&lt;&gt;0,VLOOKUP(G999,'gia dat'!$A$1:$F$144,6,0)," ")</f>
        <v xml:space="preserve"> </v>
      </c>
      <c r="M999" s="900" t="str">
        <f t="shared" si="215"/>
        <v xml:space="preserve"> </v>
      </c>
      <c r="N999" s="900" t="str">
        <f t="shared" si="216"/>
        <v xml:space="preserve"> </v>
      </c>
      <c r="O999" s="894" t="s">
        <v>356</v>
      </c>
      <c r="P999" s="926">
        <v>3</v>
      </c>
      <c r="Q999" s="900">
        <f>IF(O999&lt;&gt;0,VLOOKUP(O999,'Cây trong'!$A$2:$C$246,3,0)," ")</f>
        <v>8000</v>
      </c>
      <c r="R999" s="900">
        <f t="shared" si="217"/>
        <v>24000</v>
      </c>
      <c r="S999" s="902"/>
      <c r="T999" s="925"/>
      <c r="U999" s="927"/>
      <c r="V999" s="925"/>
      <c r="W999" s="900" t="str">
        <f>IF(S999&lt;&gt;0,VLOOKUP(S999,VKT!$A$2:$G$415,7,0),"")</f>
        <v/>
      </c>
      <c r="X999" s="900" t="str">
        <f t="shared" si="212"/>
        <v xml:space="preserve"> </v>
      </c>
      <c r="Y999" s="925"/>
      <c r="Z999" s="928"/>
      <c r="AA999" s="928"/>
      <c r="AB999" s="904"/>
      <c r="AC999" s="928"/>
      <c r="AD999" s="928"/>
      <c r="AE999" s="928"/>
      <c r="AF999" s="926"/>
      <c r="AG999" s="906" t="str">
        <f>IF(AE999&lt;&gt;0,VLOOKUP(AE999,ODDS!$A$2:$C$13,3,0),"")</f>
        <v/>
      </c>
      <c r="AH999" s="906" t="str">
        <f t="shared" si="218"/>
        <v xml:space="preserve"> </v>
      </c>
      <c r="AI999" s="907" t="str">
        <f t="shared" si="209"/>
        <v xml:space="preserve"> </v>
      </c>
      <c r="AJ999" s="929"/>
      <c r="AK999" s="929"/>
    </row>
    <row r="1000" spans="1:37" s="376" customFormat="1" ht="22.5" outlineLevel="2" x14ac:dyDescent="0.3">
      <c r="A1000" s="447">
        <f t="shared" si="214"/>
        <v>78</v>
      </c>
      <c r="B1000" s="893"/>
      <c r="C1000" s="983"/>
      <c r="D1000" s="923"/>
      <c r="E1000" s="923"/>
      <c r="F1000" s="896"/>
      <c r="G1000" s="894"/>
      <c r="H1000" s="924"/>
      <c r="I1000" s="882"/>
      <c r="J1000" s="925"/>
      <c r="K1000" s="899" t="str">
        <f>IF(G1000&lt;&gt;0,VLOOKUP(G1000,'gia dat'!$A$1:$F$144,5,0)," ")</f>
        <v xml:space="preserve"> </v>
      </c>
      <c r="L1000" s="899" t="str">
        <f>IF(G1000&lt;&gt;0,VLOOKUP(G1000,'gia dat'!$A$1:$F$144,6,0)," ")</f>
        <v xml:space="preserve"> </v>
      </c>
      <c r="M1000" s="900" t="str">
        <f t="shared" si="215"/>
        <v xml:space="preserve"> </v>
      </c>
      <c r="N1000" s="900" t="str">
        <f t="shared" si="216"/>
        <v xml:space="preserve"> </v>
      </c>
      <c r="O1000" s="929"/>
      <c r="P1000" s="951"/>
      <c r="Q1000" s="900" t="str">
        <f>IF(O1000&lt;&gt;0,VLOOKUP(O1000,'Cây trong'!$A$2:$C$246,3,0)," ")</f>
        <v xml:space="preserve"> </v>
      </c>
      <c r="R1000" s="900" t="str">
        <f t="shared" si="217"/>
        <v xml:space="preserve"> </v>
      </c>
      <c r="S1000" s="902"/>
      <c r="T1000" s="925"/>
      <c r="U1000" s="927"/>
      <c r="V1000" s="925"/>
      <c r="W1000" s="900" t="str">
        <f>IF(S1000&lt;&gt;0,VLOOKUP(S1000,VKT!$A$2:$G$415,7,0),"")</f>
        <v/>
      </c>
      <c r="X1000" s="900" t="str">
        <f t="shared" si="212"/>
        <v xml:space="preserve"> </v>
      </c>
      <c r="Y1000" s="925"/>
      <c r="Z1000" s="928"/>
      <c r="AA1000" s="928"/>
      <c r="AB1000" s="904"/>
      <c r="AC1000" s="928"/>
      <c r="AD1000" s="928"/>
      <c r="AE1000" s="928"/>
      <c r="AF1000" s="926"/>
      <c r="AG1000" s="906" t="str">
        <f>IF(AE1000&lt;&gt;0,VLOOKUP(AE1000,ODDS!$A$2:$C$13,3,0),"")</f>
        <v/>
      </c>
      <c r="AH1000" s="906" t="str">
        <f t="shared" si="218"/>
        <v xml:space="preserve"> </v>
      </c>
      <c r="AI1000" s="907" t="str">
        <f t="shared" si="209"/>
        <v xml:space="preserve"> </v>
      </c>
      <c r="AJ1000" s="929"/>
      <c r="AK1000" s="929"/>
    </row>
    <row r="1001" spans="1:37" s="376" customFormat="1" ht="22.5" outlineLevel="2" x14ac:dyDescent="0.3">
      <c r="A1001" s="447">
        <f t="shared" si="214"/>
        <v>78</v>
      </c>
      <c r="B1001" s="893"/>
      <c r="C1001" s="983"/>
      <c r="D1001" s="923"/>
      <c r="E1001" s="923"/>
      <c r="F1001" s="896"/>
      <c r="G1001" s="894"/>
      <c r="H1001" s="924"/>
      <c r="I1001" s="882"/>
      <c r="J1001" s="925"/>
      <c r="K1001" s="899" t="str">
        <f>IF(G1001&lt;&gt;0,VLOOKUP(G1001,'gia dat'!$A$1:$F$144,5,0)," ")</f>
        <v xml:space="preserve"> </v>
      </c>
      <c r="L1001" s="899" t="str">
        <f>IF(G1001&lt;&gt;0,VLOOKUP(G1001,'gia dat'!$A$1:$F$144,6,0)," ")</f>
        <v xml:space="preserve"> </v>
      </c>
      <c r="M1001" s="900" t="str">
        <f t="shared" si="215"/>
        <v xml:space="preserve"> </v>
      </c>
      <c r="N1001" s="900" t="str">
        <f t="shared" si="216"/>
        <v xml:space="preserve"> </v>
      </c>
      <c r="O1001" s="929"/>
      <c r="P1001" s="951"/>
      <c r="Q1001" s="900" t="str">
        <f>IF(O1001&lt;&gt;0,VLOOKUP(O1001,'Cây trong'!$A$2:$C$246,3,0)," ")</f>
        <v xml:space="preserve"> </v>
      </c>
      <c r="R1001" s="900" t="str">
        <f t="shared" si="217"/>
        <v xml:space="preserve"> </v>
      </c>
      <c r="S1001" s="902"/>
      <c r="T1001" s="925"/>
      <c r="U1001" s="927"/>
      <c r="V1001" s="925"/>
      <c r="W1001" s="900" t="str">
        <f>IF(S1001&lt;&gt;0,VLOOKUP(S1001,VKT!$A$2:$G$415,7,0),"")</f>
        <v/>
      </c>
      <c r="X1001" s="900" t="str">
        <f t="shared" si="212"/>
        <v xml:space="preserve"> </v>
      </c>
      <c r="Y1001" s="925"/>
      <c r="Z1001" s="928"/>
      <c r="AA1001" s="928"/>
      <c r="AB1001" s="904"/>
      <c r="AC1001" s="928"/>
      <c r="AD1001" s="928"/>
      <c r="AE1001" s="928"/>
      <c r="AF1001" s="926"/>
      <c r="AG1001" s="906" t="str">
        <f>IF(AE1001&lt;&gt;0,VLOOKUP(AE1001,ODDS!$A$2:$C$13,3,0),"")</f>
        <v/>
      </c>
      <c r="AH1001" s="906" t="str">
        <f t="shared" si="218"/>
        <v xml:space="preserve"> </v>
      </c>
      <c r="AI1001" s="907" t="str">
        <f t="shared" si="209"/>
        <v xml:space="preserve"> </v>
      </c>
      <c r="AJ1001" s="929"/>
      <c r="AK1001" s="929"/>
    </row>
    <row r="1002" spans="1:37" s="376" customFormat="1" ht="22.5" outlineLevel="2" x14ac:dyDescent="0.3">
      <c r="A1002" s="447">
        <f t="shared" si="214"/>
        <v>78</v>
      </c>
      <c r="B1002" s="893"/>
      <c r="C1002" s="983"/>
      <c r="D1002" s="923"/>
      <c r="E1002" s="923"/>
      <c r="F1002" s="896"/>
      <c r="G1002" s="894"/>
      <c r="H1002" s="924"/>
      <c r="I1002" s="882"/>
      <c r="J1002" s="925"/>
      <c r="K1002" s="899" t="str">
        <f>IF(G1002&lt;&gt;0,VLOOKUP(G1002,'gia dat'!$A$1:$F$144,5,0)," ")</f>
        <v xml:space="preserve"> </v>
      </c>
      <c r="L1002" s="899" t="str">
        <f>IF(G1002&lt;&gt;0,VLOOKUP(G1002,'gia dat'!$A$1:$F$144,6,0)," ")</f>
        <v xml:space="preserve"> </v>
      </c>
      <c r="M1002" s="900" t="str">
        <f t="shared" si="215"/>
        <v xml:space="preserve"> </v>
      </c>
      <c r="N1002" s="900" t="str">
        <f t="shared" si="216"/>
        <v xml:space="preserve"> </v>
      </c>
      <c r="O1002" s="929"/>
      <c r="P1002" s="951"/>
      <c r="Q1002" s="900" t="str">
        <f>IF(O1002&lt;&gt;0,VLOOKUP(O1002,'Cây trong'!$A$2:$C$246,3,0)," ")</f>
        <v xml:space="preserve"> </v>
      </c>
      <c r="R1002" s="900" t="str">
        <f t="shared" si="217"/>
        <v xml:space="preserve"> </v>
      </c>
      <c r="S1002" s="902"/>
      <c r="T1002" s="925"/>
      <c r="U1002" s="927"/>
      <c r="V1002" s="925"/>
      <c r="W1002" s="900" t="str">
        <f>IF(S1002&lt;&gt;0,VLOOKUP(S1002,VKT!$A$2:$G$415,7,0),"")</f>
        <v/>
      </c>
      <c r="X1002" s="900" t="str">
        <f t="shared" si="212"/>
        <v xml:space="preserve"> </v>
      </c>
      <c r="Y1002" s="925"/>
      <c r="Z1002" s="928"/>
      <c r="AA1002" s="928"/>
      <c r="AB1002" s="904"/>
      <c r="AC1002" s="928"/>
      <c r="AD1002" s="928"/>
      <c r="AE1002" s="928"/>
      <c r="AF1002" s="926"/>
      <c r="AG1002" s="906" t="str">
        <f>IF(AE1002&lt;&gt;0,VLOOKUP(AE1002,ODDS!$A$2:$C$13,3,0),"")</f>
        <v/>
      </c>
      <c r="AH1002" s="906" t="str">
        <f t="shared" si="218"/>
        <v xml:space="preserve"> </v>
      </c>
      <c r="AI1002" s="907" t="str">
        <f t="shared" si="209"/>
        <v xml:space="preserve"> </v>
      </c>
      <c r="AJ1002" s="929"/>
      <c r="AK1002" s="929"/>
    </row>
    <row r="1003" spans="1:37" s="376" customFormat="1" ht="22.5" outlineLevel="2" x14ac:dyDescent="0.3">
      <c r="A1003" s="447">
        <f t="shared" si="214"/>
        <v>78</v>
      </c>
      <c r="B1003" s="893"/>
      <c r="C1003" s="983"/>
      <c r="D1003" s="923"/>
      <c r="E1003" s="923"/>
      <c r="F1003" s="896"/>
      <c r="G1003" s="894"/>
      <c r="H1003" s="924"/>
      <c r="I1003" s="882"/>
      <c r="J1003" s="925"/>
      <c r="K1003" s="899" t="str">
        <f>IF(G1003&lt;&gt;0,VLOOKUP(G1003,'gia dat'!$A$1:$F$144,5,0)," ")</f>
        <v xml:space="preserve"> </v>
      </c>
      <c r="L1003" s="899" t="str">
        <f>IF(G1003&lt;&gt;0,VLOOKUP(G1003,'gia dat'!$A$1:$F$144,6,0)," ")</f>
        <v xml:space="preserve"> </v>
      </c>
      <c r="M1003" s="900" t="str">
        <f t="shared" si="215"/>
        <v xml:space="preserve"> </v>
      </c>
      <c r="N1003" s="900" t="str">
        <f t="shared" si="216"/>
        <v xml:space="preserve"> </v>
      </c>
      <c r="O1003" s="929"/>
      <c r="P1003" s="951"/>
      <c r="Q1003" s="900" t="str">
        <f>IF(O1003&lt;&gt;0,VLOOKUP(O1003,'Cây trong'!$A$2:$C$246,3,0)," ")</f>
        <v xml:space="preserve"> </v>
      </c>
      <c r="R1003" s="900" t="str">
        <f t="shared" si="217"/>
        <v xml:space="preserve"> </v>
      </c>
      <c r="S1003" s="902"/>
      <c r="T1003" s="925"/>
      <c r="U1003" s="927"/>
      <c r="V1003" s="925"/>
      <c r="W1003" s="900" t="str">
        <f>IF(S1003&lt;&gt;0,VLOOKUP(S1003,VKT!$A$2:$G$415,7,0),"")</f>
        <v/>
      </c>
      <c r="X1003" s="900" t="str">
        <f t="shared" si="212"/>
        <v xml:space="preserve"> </v>
      </c>
      <c r="Y1003" s="925"/>
      <c r="Z1003" s="928"/>
      <c r="AA1003" s="928"/>
      <c r="AB1003" s="904"/>
      <c r="AC1003" s="928"/>
      <c r="AD1003" s="928"/>
      <c r="AE1003" s="928"/>
      <c r="AF1003" s="926"/>
      <c r="AG1003" s="906" t="str">
        <f>IF(AE1003&lt;&gt;0,VLOOKUP(AE1003,ODDS!$A$2:$C$13,3,0),"")</f>
        <v/>
      </c>
      <c r="AH1003" s="906" t="str">
        <f t="shared" si="218"/>
        <v xml:space="preserve"> </v>
      </c>
      <c r="AI1003" s="907" t="str">
        <f t="shared" si="209"/>
        <v xml:space="preserve"> </v>
      </c>
      <c r="AJ1003" s="929"/>
      <c r="AK1003" s="929"/>
    </row>
    <row r="1004" spans="1:37" s="376" customFormat="1" ht="22.5" outlineLevel="2" x14ac:dyDescent="0.3">
      <c r="A1004" s="447">
        <f t="shared" si="214"/>
        <v>78</v>
      </c>
      <c r="B1004" s="893"/>
      <c r="C1004" s="983"/>
      <c r="D1004" s="923"/>
      <c r="E1004" s="923"/>
      <c r="F1004" s="950"/>
      <c r="G1004" s="894"/>
      <c r="H1004" s="940"/>
      <c r="I1004" s="882"/>
      <c r="J1004" s="929"/>
      <c r="K1004" s="899" t="str">
        <f>IF(G1004&lt;&gt;0,VLOOKUP(G1004,'gia dat'!$A$1:$F$144,5,0)," ")</f>
        <v xml:space="preserve"> </v>
      </c>
      <c r="L1004" s="899" t="str">
        <f>IF(G1004&lt;&gt;0,VLOOKUP(G1004,'gia dat'!$A$1:$F$144,6,0)," ")</f>
        <v xml:space="preserve"> </v>
      </c>
      <c r="M1004" s="900" t="str">
        <f t="shared" si="215"/>
        <v xml:space="preserve"> </v>
      </c>
      <c r="N1004" s="900" t="str">
        <f t="shared" si="216"/>
        <v xml:space="preserve"> </v>
      </c>
      <c r="O1004" s="929"/>
      <c r="P1004" s="951"/>
      <c r="Q1004" s="900" t="str">
        <f>IF(O1004&lt;&gt;0,VLOOKUP(O1004,'Cây trong'!$A$2:$C$246,3,0)," ")</f>
        <v xml:space="preserve"> </v>
      </c>
      <c r="R1004" s="900" t="str">
        <f t="shared" si="217"/>
        <v xml:space="preserve"> </v>
      </c>
      <c r="S1004" s="929"/>
      <c r="T1004" s="929"/>
      <c r="U1004" s="952"/>
      <c r="V1004" s="925"/>
      <c r="W1004" s="900" t="str">
        <f>IF(S1004&lt;&gt;0,VLOOKUP(S1004,VKT!$A$2:$G$415,7,0),"")</f>
        <v/>
      </c>
      <c r="X1004" s="900" t="str">
        <f t="shared" si="212"/>
        <v xml:space="preserve"> </v>
      </c>
      <c r="Y1004" s="925"/>
      <c r="Z1004" s="925"/>
      <c r="AA1004" s="925"/>
      <c r="AB1004" s="898"/>
      <c r="AC1004" s="925"/>
      <c r="AD1004" s="925"/>
      <c r="AE1004" s="925"/>
      <c r="AF1004" s="964"/>
      <c r="AG1004" s="906" t="str">
        <f>IF(AE1004&lt;&gt;0,VLOOKUP(AE1004,ODDS!$A$2:$C$13,3,0),"")</f>
        <v/>
      </c>
      <c r="AH1004" s="906" t="str">
        <f t="shared" si="218"/>
        <v xml:space="preserve"> </v>
      </c>
      <c r="AI1004" s="907" t="str">
        <f t="shared" si="209"/>
        <v xml:space="preserve"> </v>
      </c>
      <c r="AJ1004" s="929"/>
      <c r="AK1004" s="929"/>
    </row>
    <row r="1005" spans="1:37" s="376" customFormat="1" ht="22.5" outlineLevel="2" x14ac:dyDescent="0.3">
      <c r="A1005" s="447">
        <f t="shared" si="214"/>
        <v>78</v>
      </c>
      <c r="B1005" s="893"/>
      <c r="C1005" s="983"/>
      <c r="D1005" s="923"/>
      <c r="E1005" s="923"/>
      <c r="F1005" s="896"/>
      <c r="G1005" s="894"/>
      <c r="H1005" s="924"/>
      <c r="I1005" s="882"/>
      <c r="J1005" s="925"/>
      <c r="K1005" s="899" t="str">
        <f>IF(G1005&lt;&gt;0,VLOOKUP(G1005,'gia dat'!$A$1:$F$144,5,0)," ")</f>
        <v xml:space="preserve"> </v>
      </c>
      <c r="L1005" s="899" t="str">
        <f>IF(G1005&lt;&gt;0,VLOOKUP(G1005,'gia dat'!$A$1:$F$144,6,0)," ")</f>
        <v xml:space="preserve"> </v>
      </c>
      <c r="M1005" s="900" t="str">
        <f t="shared" si="215"/>
        <v xml:space="preserve"> </v>
      </c>
      <c r="N1005" s="900" t="str">
        <f t="shared" si="216"/>
        <v xml:space="preserve"> </v>
      </c>
      <c r="O1005" s="894"/>
      <c r="P1005" s="926"/>
      <c r="Q1005" s="900" t="str">
        <f>IF(O1005&lt;&gt;0,VLOOKUP(O1005,'Cây trong'!$A$2:$C$246,3,0)," ")</f>
        <v xml:space="preserve"> </v>
      </c>
      <c r="R1005" s="900" t="str">
        <f t="shared" si="217"/>
        <v xml:space="preserve"> </v>
      </c>
      <c r="S1005" s="902"/>
      <c r="T1005" s="925"/>
      <c r="U1005" s="927"/>
      <c r="V1005" s="925"/>
      <c r="W1005" s="900" t="str">
        <f>IF(S1005&lt;&gt;0,VLOOKUP(S1005,VKT!$A$2:$G$415,7,0),"")</f>
        <v/>
      </c>
      <c r="X1005" s="900" t="str">
        <f t="shared" si="212"/>
        <v xml:space="preserve"> </v>
      </c>
      <c r="Y1005" s="925"/>
      <c r="Z1005" s="928"/>
      <c r="AA1005" s="928"/>
      <c r="AB1005" s="904"/>
      <c r="AC1005" s="928"/>
      <c r="AD1005" s="928"/>
      <c r="AE1005" s="928"/>
      <c r="AF1005" s="926"/>
      <c r="AG1005" s="906" t="str">
        <f>IF(AE1005&lt;&gt;0,VLOOKUP(AE1005,ODDS!$A$2:$C$13,3,0),"")</f>
        <v/>
      </c>
      <c r="AH1005" s="906" t="str">
        <f t="shared" si="218"/>
        <v xml:space="preserve"> </v>
      </c>
      <c r="AI1005" s="907" t="str">
        <f t="shared" si="209"/>
        <v xml:space="preserve"> </v>
      </c>
      <c r="AJ1005" s="929"/>
      <c r="AK1005" s="929"/>
    </row>
    <row r="1006" spans="1:37" s="376" customFormat="1" ht="22.5" outlineLevel="2" x14ac:dyDescent="0.3">
      <c r="A1006" s="447">
        <f t="shared" si="214"/>
        <v>78</v>
      </c>
      <c r="B1006" s="893"/>
      <c r="C1006" s="983"/>
      <c r="D1006" s="923"/>
      <c r="E1006" s="923"/>
      <c r="F1006" s="896"/>
      <c r="G1006" s="894"/>
      <c r="H1006" s="924"/>
      <c r="I1006" s="882"/>
      <c r="J1006" s="925"/>
      <c r="K1006" s="899" t="str">
        <f>IF(G1006&lt;&gt;0,VLOOKUP(G1006,'gia dat'!$A$1:$F$144,5,0)," ")</f>
        <v xml:space="preserve"> </v>
      </c>
      <c r="L1006" s="899" t="str">
        <f>IF(G1006&lt;&gt;0,VLOOKUP(G1006,'gia dat'!$A$1:$F$144,6,0)," ")</f>
        <v xml:space="preserve"> </v>
      </c>
      <c r="M1006" s="900" t="str">
        <f t="shared" si="215"/>
        <v xml:space="preserve"> </v>
      </c>
      <c r="N1006" s="900" t="str">
        <f t="shared" si="216"/>
        <v xml:space="preserve"> </v>
      </c>
      <c r="O1006" s="894"/>
      <c r="P1006" s="926"/>
      <c r="Q1006" s="900" t="str">
        <f>IF(O1006&lt;&gt;0,VLOOKUP(O1006,'Cây trong'!$A$2:$C$246,3,0)," ")</f>
        <v xml:space="preserve"> </v>
      </c>
      <c r="R1006" s="900" t="str">
        <f t="shared" si="217"/>
        <v xml:space="preserve"> </v>
      </c>
      <c r="S1006" s="902"/>
      <c r="T1006" s="925"/>
      <c r="U1006" s="927"/>
      <c r="V1006" s="925"/>
      <c r="W1006" s="900" t="str">
        <f>IF(S1006&lt;&gt;0,VLOOKUP(S1006,VKT!$A$2:$G$415,7,0),"")</f>
        <v/>
      </c>
      <c r="X1006" s="900" t="str">
        <f t="shared" si="212"/>
        <v xml:space="preserve"> </v>
      </c>
      <c r="Y1006" s="925"/>
      <c r="Z1006" s="928"/>
      <c r="AA1006" s="928"/>
      <c r="AB1006" s="904"/>
      <c r="AC1006" s="928"/>
      <c r="AD1006" s="928"/>
      <c r="AE1006" s="928"/>
      <c r="AF1006" s="926"/>
      <c r="AG1006" s="906" t="str">
        <f>IF(AE1006&lt;&gt;0,VLOOKUP(AE1006,ODDS!$A$2:$C$13,3,0),"")</f>
        <v/>
      </c>
      <c r="AH1006" s="906" t="str">
        <f t="shared" si="218"/>
        <v xml:space="preserve"> </v>
      </c>
      <c r="AI1006" s="907" t="str">
        <f t="shared" si="209"/>
        <v xml:space="preserve"> </v>
      </c>
      <c r="AJ1006" s="929"/>
      <c r="AK1006" s="929"/>
    </row>
    <row r="1007" spans="1:37" s="376" customFormat="1" ht="22.5" outlineLevel="2" x14ac:dyDescent="0.3">
      <c r="A1007" s="447">
        <f t="shared" si="214"/>
        <v>78</v>
      </c>
      <c r="B1007" s="893"/>
      <c r="C1007" s="894"/>
      <c r="D1007" s="923"/>
      <c r="E1007" s="923"/>
      <c r="F1007" s="896"/>
      <c r="G1007" s="894"/>
      <c r="H1007" s="924"/>
      <c r="I1007" s="882"/>
      <c r="J1007" s="925"/>
      <c r="K1007" s="899" t="str">
        <f>IF(G1007&lt;&gt;0,VLOOKUP(G1007,'gia dat'!$A$1:$F$144,5,0)," ")</f>
        <v xml:space="preserve"> </v>
      </c>
      <c r="L1007" s="899" t="str">
        <f>IF(G1007&lt;&gt;0,VLOOKUP(G1007,'gia dat'!$A$1:$F$144,6,0)," ")</f>
        <v xml:space="preserve"> </v>
      </c>
      <c r="M1007" s="900" t="str">
        <f t="shared" si="215"/>
        <v xml:space="preserve"> </v>
      </c>
      <c r="N1007" s="900" t="str">
        <f t="shared" si="216"/>
        <v xml:space="preserve"> </v>
      </c>
      <c r="O1007" s="894"/>
      <c r="P1007" s="926"/>
      <c r="Q1007" s="900" t="str">
        <f>IF(O1007&lt;&gt;0,VLOOKUP(O1007,'Cây trong'!$A$2:$C$246,3,0)," ")</f>
        <v xml:space="preserve"> </v>
      </c>
      <c r="R1007" s="900" t="str">
        <f t="shared" si="217"/>
        <v xml:space="preserve"> </v>
      </c>
      <c r="S1007" s="902"/>
      <c r="T1007" s="925"/>
      <c r="U1007" s="927"/>
      <c r="V1007" s="925"/>
      <c r="W1007" s="900" t="str">
        <f>IF(S1007&lt;&gt;0,VLOOKUP(S1007,VKT!$A$2:$G$415,7,0),"")</f>
        <v/>
      </c>
      <c r="X1007" s="900" t="str">
        <f t="shared" si="212"/>
        <v xml:space="preserve"> </v>
      </c>
      <c r="Y1007" s="925"/>
      <c r="Z1007" s="928"/>
      <c r="AA1007" s="928"/>
      <c r="AB1007" s="904"/>
      <c r="AC1007" s="928"/>
      <c r="AD1007" s="928"/>
      <c r="AE1007" s="928"/>
      <c r="AF1007" s="926"/>
      <c r="AG1007" s="906" t="str">
        <f>IF(AE1007&lt;&gt;0,VLOOKUP(AE1007,ODDS!$A$2:$C$13,3,0),"")</f>
        <v/>
      </c>
      <c r="AH1007" s="906" t="str">
        <f t="shared" si="218"/>
        <v xml:space="preserve"> </v>
      </c>
      <c r="AI1007" s="907" t="str">
        <f t="shared" si="209"/>
        <v xml:space="preserve"> </v>
      </c>
      <c r="AJ1007" s="929"/>
      <c r="AK1007" s="929"/>
    </row>
    <row r="1008" spans="1:37" s="376" customFormat="1" ht="22.5" outlineLevel="2" x14ac:dyDescent="0.3">
      <c r="A1008" s="447">
        <f t="shared" si="214"/>
        <v>78</v>
      </c>
      <c r="B1008" s="893"/>
      <c r="C1008" s="910"/>
      <c r="D1008" s="923"/>
      <c r="E1008" s="923"/>
      <c r="F1008" s="896"/>
      <c r="G1008" s="894"/>
      <c r="H1008" s="924"/>
      <c r="I1008" s="882"/>
      <c r="J1008" s="925"/>
      <c r="K1008" s="899" t="str">
        <f>IF(G1008&lt;&gt;0,VLOOKUP(G1008,'gia dat'!$A$1:$F$144,5,0)," ")</f>
        <v xml:space="preserve"> </v>
      </c>
      <c r="L1008" s="899" t="str">
        <f>IF(G1008&lt;&gt;0,VLOOKUP(G1008,'gia dat'!$A$1:$F$144,6,0)," ")</f>
        <v xml:space="preserve"> </v>
      </c>
      <c r="M1008" s="900" t="str">
        <f t="shared" si="215"/>
        <v xml:space="preserve"> </v>
      </c>
      <c r="N1008" s="900" t="str">
        <f t="shared" si="216"/>
        <v xml:space="preserve"> </v>
      </c>
      <c r="O1008" s="894"/>
      <c r="P1008" s="926"/>
      <c r="Q1008" s="900" t="str">
        <f>IF(O1008&lt;&gt;0,VLOOKUP(O1008,'Cây trong'!$A$2:$C$246,3,0)," ")</f>
        <v xml:space="preserve"> </v>
      </c>
      <c r="R1008" s="900" t="str">
        <f t="shared" si="217"/>
        <v xml:space="preserve"> </v>
      </c>
      <c r="S1008" s="902"/>
      <c r="T1008" s="925"/>
      <c r="U1008" s="927"/>
      <c r="V1008" s="925"/>
      <c r="W1008" s="900" t="str">
        <f>IF(S1008&lt;&gt;0,VLOOKUP(S1008,VKT!$A$2:$G$415,7,0),"")</f>
        <v/>
      </c>
      <c r="X1008" s="900" t="str">
        <f t="shared" si="212"/>
        <v xml:space="preserve"> </v>
      </c>
      <c r="Y1008" s="925"/>
      <c r="Z1008" s="928"/>
      <c r="AA1008" s="928"/>
      <c r="AB1008" s="904"/>
      <c r="AC1008" s="928"/>
      <c r="AD1008" s="928"/>
      <c r="AE1008" s="928"/>
      <c r="AF1008" s="926"/>
      <c r="AG1008" s="906" t="str">
        <f>IF(AE1008&lt;&gt;0,VLOOKUP(AE1008,ODDS!$A$2:$C$13,3,0),"")</f>
        <v/>
      </c>
      <c r="AH1008" s="906" t="str">
        <f t="shared" si="218"/>
        <v xml:space="preserve"> </v>
      </c>
      <c r="AI1008" s="907" t="str">
        <f t="shared" si="209"/>
        <v xml:space="preserve"> </v>
      </c>
      <c r="AJ1008" s="929"/>
      <c r="AK1008" s="929"/>
    </row>
    <row r="1009" spans="1:37" s="376" customFormat="1" ht="43.5" outlineLevel="1" x14ac:dyDescent="0.25">
      <c r="A1009" s="467" t="s">
        <v>2631</v>
      </c>
      <c r="B1009" s="912">
        <v>79</v>
      </c>
      <c r="C1009" s="910" t="s">
        <v>48</v>
      </c>
      <c r="D1009" s="931"/>
      <c r="E1009" s="931"/>
      <c r="F1009" s="913"/>
      <c r="G1009" s="910"/>
      <c r="H1009" s="953">
        <f>SUBTOTAL(9,H1010:H1025)</f>
        <v>1077.0999999999999</v>
      </c>
      <c r="I1009" s="915">
        <f>SUBTOTAL(9,I1010:I1015)</f>
        <v>1050.6999999999998</v>
      </c>
      <c r="J1009" s="933"/>
      <c r="K1009" s="917"/>
      <c r="L1009" s="917"/>
      <c r="M1009" s="907">
        <f>SUBTOTAL(9,M1010:M1025)</f>
        <v>501498000</v>
      </c>
      <c r="N1009" s="907">
        <f>SUBTOTAL(9,N1010:N1025)</f>
        <v>1467618000</v>
      </c>
      <c r="O1009" s="1006"/>
      <c r="P1009" s="935">
        <f>SUBTOTAL(9,P1010:P1025)</f>
        <v>554</v>
      </c>
      <c r="Q1009" s="907"/>
      <c r="R1009" s="907">
        <f>SUBTOTAL(9,R1010:R1025)</f>
        <v>49581000</v>
      </c>
      <c r="S1009" s="918"/>
      <c r="T1009" s="933"/>
      <c r="U1009" s="936">
        <f>SUBTOTAL(9,U1010:U1025)</f>
        <v>83.82</v>
      </c>
      <c r="V1009" s="933"/>
      <c r="W1009" s="907"/>
      <c r="X1009" s="907">
        <f>SUBTOTAL(9,X1010:X1025)</f>
        <v>48155000</v>
      </c>
      <c r="Y1009" s="925"/>
      <c r="Z1009" s="928"/>
      <c r="AA1009" s="928"/>
      <c r="AB1009" s="904"/>
      <c r="AC1009" s="928"/>
      <c r="AD1009" s="928"/>
      <c r="AE1009" s="937"/>
      <c r="AF1009" s="935">
        <f>SUBTOTAL(9,AF1010:AF1025)</f>
        <v>0</v>
      </c>
      <c r="AG1009" s="921"/>
      <c r="AH1009" s="921">
        <f>SUBTOTAL(9,AH1010:AH1025)</f>
        <v>0</v>
      </c>
      <c r="AI1009" s="907">
        <f t="shared" si="209"/>
        <v>2066852000</v>
      </c>
      <c r="AJ1009" s="910"/>
      <c r="AK1009" s="914"/>
    </row>
    <row r="1010" spans="1:37" s="376" customFormat="1" ht="135" outlineLevel="2" x14ac:dyDescent="0.3">
      <c r="A1010" s="447">
        <f>IF(B1009&lt;&gt;0,B1009,A1008)</f>
        <v>79</v>
      </c>
      <c r="B1010" s="893"/>
      <c r="C1010" s="894" t="s">
        <v>280</v>
      </c>
      <c r="D1010" s="923">
        <v>1</v>
      </c>
      <c r="E1010" s="923">
        <v>86</v>
      </c>
      <c r="F1010" s="896">
        <v>62</v>
      </c>
      <c r="G1010" s="894" t="s">
        <v>2435</v>
      </c>
      <c r="H1010" s="924">
        <f>1077.1-H1011</f>
        <v>1050.6999999999998</v>
      </c>
      <c r="I1010" s="882">
        <f t="shared" ref="I1010:I1011" si="219">IF(N1010&gt;0,H1010,"")</f>
        <v>1050.6999999999998</v>
      </c>
      <c r="J1010" s="925"/>
      <c r="K1010" s="899">
        <f>IF(G1010&lt;&gt;0,VLOOKUP(G1010,'gia dat'!$A$1:$F$144,5,0)," ")</f>
        <v>465600</v>
      </c>
      <c r="L1010" s="899">
        <f>IF(G1010&lt;&gt;0,VLOOKUP(G1010,'gia dat'!$A$1:$F$144,6,0)," ")</f>
        <v>1396800</v>
      </c>
      <c r="M1010" s="900">
        <f t="shared" si="215"/>
        <v>489206000</v>
      </c>
      <c r="N1010" s="900">
        <f t="shared" si="216"/>
        <v>1467618000</v>
      </c>
      <c r="O1010" s="973" t="s">
        <v>145</v>
      </c>
      <c r="P1010" s="926">
        <v>2</v>
      </c>
      <c r="Q1010" s="900">
        <f>IF(O1010&lt;&gt;0,VLOOKUP(O1010,'Cây trong'!$A$2:$C$246,3,0)," ")</f>
        <v>4240000</v>
      </c>
      <c r="R1010" s="900">
        <f t="shared" si="217"/>
        <v>8480000</v>
      </c>
      <c r="S1010" s="902" t="s">
        <v>1884</v>
      </c>
      <c r="T1010" s="925" t="s">
        <v>53</v>
      </c>
      <c r="U1010" s="927">
        <v>26.4</v>
      </c>
      <c r="V1010" s="925"/>
      <c r="W1010" s="900">
        <f>IF(S1010&lt;&gt;0,VLOOKUP(S1010,VKT!$A$2:$G$415,7,0),"")</f>
        <v>984277</v>
      </c>
      <c r="X1010" s="900">
        <f t="shared" si="212"/>
        <v>25985000</v>
      </c>
      <c r="Y1010" s="925"/>
      <c r="Z1010" s="928" t="s">
        <v>55</v>
      </c>
      <c r="AA1010" s="928" t="s">
        <v>141</v>
      </c>
      <c r="AB1010" s="904" t="s">
        <v>171</v>
      </c>
      <c r="AC1010" s="928" t="s">
        <v>66</v>
      </c>
      <c r="AD1010" s="928"/>
      <c r="AE1010" s="928"/>
      <c r="AF1010" s="926"/>
      <c r="AG1010" s="906" t="str">
        <f>IF(AE1010&lt;&gt;0,VLOOKUP(AE1010,ODDS!$A$2:$C$13,3,0),"")</f>
        <v/>
      </c>
      <c r="AH1010" s="906" t="str">
        <f t="shared" si="218"/>
        <v xml:space="preserve"> </v>
      </c>
      <c r="AI1010" s="907" t="str">
        <f t="shared" si="209"/>
        <v xml:space="preserve"> </v>
      </c>
      <c r="AJ1010" s="894" t="s">
        <v>712</v>
      </c>
      <c r="AK1010" s="922" t="s">
        <v>2771</v>
      </c>
    </row>
    <row r="1011" spans="1:37" s="376" customFormat="1" ht="112.5" outlineLevel="2" x14ac:dyDescent="0.3">
      <c r="A1011" s="447">
        <f t="shared" ref="A1011:A1025" si="220">IF(B1010&lt;&gt;0,B1010,A1010)</f>
        <v>79</v>
      </c>
      <c r="B1011" s="893"/>
      <c r="C1011" s="973" t="s">
        <v>713</v>
      </c>
      <c r="D1011" s="923"/>
      <c r="E1011" s="923"/>
      <c r="F1011" s="896"/>
      <c r="G1011" s="894" t="s">
        <v>2434</v>
      </c>
      <c r="H1011" s="924">
        <v>26.4</v>
      </c>
      <c r="I1011" s="882" t="str">
        <f t="shared" si="219"/>
        <v/>
      </c>
      <c r="J1011" s="925"/>
      <c r="K1011" s="899">
        <f>IF(G1011&lt;&gt;0,VLOOKUP(G1011,'gia dat'!$A$1:$F$144,5,0)," ")</f>
        <v>465600</v>
      </c>
      <c r="L1011" s="899">
        <f>IF(G1011&lt;&gt;0,VLOOKUP(G1011,'gia dat'!$A$1:$F$144,6,0)," ")</f>
        <v>0</v>
      </c>
      <c r="M1011" s="900">
        <f t="shared" si="215"/>
        <v>12292000</v>
      </c>
      <c r="N1011" s="900">
        <f t="shared" si="216"/>
        <v>0</v>
      </c>
      <c r="O1011" s="973" t="s">
        <v>77</v>
      </c>
      <c r="P1011" s="926">
        <v>2</v>
      </c>
      <c r="Q1011" s="900">
        <f>IF(O1011&lt;&gt;0,VLOOKUP(O1011,'Cây trong'!$A$2:$C$246,3,0)," ")</f>
        <v>3064000</v>
      </c>
      <c r="R1011" s="900">
        <f t="shared" si="217"/>
        <v>6128000</v>
      </c>
      <c r="S1011" s="902" t="s">
        <v>1748</v>
      </c>
      <c r="T1011" s="925" t="s">
        <v>53</v>
      </c>
      <c r="U1011" s="927">
        <v>7.2</v>
      </c>
      <c r="V1011" s="925"/>
      <c r="W1011" s="900">
        <f>IF(S1011&lt;&gt;0,VLOOKUP(S1011,VKT!$A$2:$G$415,7,0),"")</f>
        <v>0</v>
      </c>
      <c r="X1011" s="900">
        <f t="shared" si="212"/>
        <v>0</v>
      </c>
      <c r="Y1011" s="925"/>
      <c r="Z1011" s="928"/>
      <c r="AA1011" s="928"/>
      <c r="AB1011" s="904"/>
      <c r="AC1011" s="928"/>
      <c r="AD1011" s="928"/>
      <c r="AE1011" s="928"/>
      <c r="AF1011" s="926"/>
      <c r="AG1011" s="906" t="str">
        <f>IF(AE1011&lt;&gt;0,VLOOKUP(AE1011,ODDS!$A$2:$C$13,3,0),"")</f>
        <v/>
      </c>
      <c r="AH1011" s="906" t="str">
        <f t="shared" si="218"/>
        <v xml:space="preserve"> </v>
      </c>
      <c r="AI1011" s="907" t="str">
        <f t="shared" si="209"/>
        <v xml:space="preserve"> </v>
      </c>
      <c r="AJ1011" s="894" t="s">
        <v>611</v>
      </c>
      <c r="AK1011" s="894" t="s">
        <v>2448</v>
      </c>
    </row>
    <row r="1012" spans="1:37" s="376" customFormat="1" ht="112.5" outlineLevel="2" x14ac:dyDescent="0.3">
      <c r="A1012" s="447">
        <f t="shared" si="220"/>
        <v>79</v>
      </c>
      <c r="B1012" s="893"/>
      <c r="C1012" s="894"/>
      <c r="D1012" s="923"/>
      <c r="E1012" s="923"/>
      <c r="F1012" s="896"/>
      <c r="G1012" s="894"/>
      <c r="H1012" s="924"/>
      <c r="I1012" s="882"/>
      <c r="J1012" s="925"/>
      <c r="K1012" s="899" t="str">
        <f>IF(G1012&lt;&gt;0,VLOOKUP(G1012,'gia dat'!$A$1:$F$144,5,0)," ")</f>
        <v xml:space="preserve"> </v>
      </c>
      <c r="L1012" s="899" t="str">
        <f>IF(G1012&lt;&gt;0,VLOOKUP(G1012,'gia dat'!$A$1:$F$144,6,0)," ")</f>
        <v xml:space="preserve"> </v>
      </c>
      <c r="M1012" s="900" t="str">
        <f t="shared" si="215"/>
        <v xml:space="preserve"> </v>
      </c>
      <c r="N1012" s="900" t="str">
        <f t="shared" si="216"/>
        <v xml:space="preserve"> </v>
      </c>
      <c r="O1012" s="973" t="s">
        <v>79</v>
      </c>
      <c r="P1012" s="926">
        <v>1</v>
      </c>
      <c r="Q1012" s="900">
        <f>IF(O1012&lt;&gt;0,VLOOKUP(O1012,'Cây trong'!$A$2:$C$246,3,0)," ")</f>
        <v>1035000</v>
      </c>
      <c r="R1012" s="900">
        <f t="shared" si="217"/>
        <v>1035000</v>
      </c>
      <c r="S1012" s="902" t="s">
        <v>1901</v>
      </c>
      <c r="T1012" s="925" t="s">
        <v>53</v>
      </c>
      <c r="U1012" s="927">
        <v>50.22</v>
      </c>
      <c r="V1012" s="925"/>
      <c r="W1012" s="900">
        <f>IF(S1012&lt;&gt;0,VLOOKUP(S1012,VKT!$A$2:$G$415,7,0),"")</f>
        <v>441467</v>
      </c>
      <c r="X1012" s="900">
        <f t="shared" si="212"/>
        <v>22170000</v>
      </c>
      <c r="Y1012" s="925"/>
      <c r="Z1012" s="928"/>
      <c r="AA1012" s="928"/>
      <c r="AB1012" s="904"/>
      <c r="AC1012" s="928"/>
      <c r="AD1012" s="928"/>
      <c r="AE1012" s="928"/>
      <c r="AF1012" s="926"/>
      <c r="AG1012" s="906" t="str">
        <f>IF(AE1012&lt;&gt;0,VLOOKUP(AE1012,ODDS!$A$2:$C$13,3,0),"")</f>
        <v/>
      </c>
      <c r="AH1012" s="906" t="str">
        <f t="shared" si="218"/>
        <v xml:space="preserve"> </v>
      </c>
      <c r="AI1012" s="907" t="str">
        <f t="shared" si="209"/>
        <v xml:space="preserve"> </v>
      </c>
      <c r="AJ1012" s="929" t="s">
        <v>398</v>
      </c>
      <c r="AK1012" s="894" t="s">
        <v>2450</v>
      </c>
    </row>
    <row r="1013" spans="1:37" s="376" customFormat="1" ht="112.5" outlineLevel="2" x14ac:dyDescent="0.3">
      <c r="A1013" s="447">
        <f t="shared" si="220"/>
        <v>79</v>
      </c>
      <c r="B1013" s="893"/>
      <c r="C1013" s="894"/>
      <c r="D1013" s="923"/>
      <c r="E1013" s="947"/>
      <c r="F1013" s="947"/>
      <c r="G1013" s="922"/>
      <c r="H1013" s="924"/>
      <c r="I1013" s="882"/>
      <c r="J1013" s="925"/>
      <c r="K1013" s="899" t="str">
        <f>IF(G1013&lt;&gt;0,VLOOKUP(G1013,'gia dat'!$A$1:$F$144,5,0)," ")</f>
        <v xml:space="preserve"> </v>
      </c>
      <c r="L1013" s="899" t="str">
        <f>IF(G1013&lt;&gt;0,VLOOKUP(G1013,'gia dat'!$A$1:$F$144,6,0)," ")</f>
        <v xml:space="preserve"> </v>
      </c>
      <c r="M1013" s="900" t="str">
        <f t="shared" si="215"/>
        <v xml:space="preserve"> </v>
      </c>
      <c r="N1013" s="900" t="str">
        <f t="shared" si="216"/>
        <v xml:space="preserve"> </v>
      </c>
      <c r="O1013" s="908" t="s">
        <v>67</v>
      </c>
      <c r="P1013" s="1019">
        <v>1</v>
      </c>
      <c r="Q1013" s="900">
        <f>IF(O1013&lt;&gt;0,VLOOKUP(O1013,'Cây trong'!$A$2:$C$246,3,0)," ")</f>
        <v>494000</v>
      </c>
      <c r="R1013" s="900">
        <f t="shared" si="217"/>
        <v>494000</v>
      </c>
      <c r="S1013" s="908"/>
      <c r="T1013" s="944"/>
      <c r="U1013" s="927"/>
      <c r="V1013" s="925"/>
      <c r="W1013" s="900" t="str">
        <f>IF(S1013&lt;&gt;0,VLOOKUP(S1013,VKT!$A$2:$G$415,7,0),"")</f>
        <v/>
      </c>
      <c r="X1013" s="900" t="str">
        <f t="shared" si="212"/>
        <v xml:space="preserve"> </v>
      </c>
      <c r="Y1013" s="925"/>
      <c r="Z1013" s="928"/>
      <c r="AA1013" s="928"/>
      <c r="AB1013" s="904"/>
      <c r="AC1013" s="928"/>
      <c r="AD1013" s="928"/>
      <c r="AE1013" s="928"/>
      <c r="AF1013" s="926"/>
      <c r="AG1013" s="906" t="str">
        <f>IF(AE1013&lt;&gt;0,VLOOKUP(AE1013,ODDS!$A$2:$C$13,3,0),"")</f>
        <v/>
      </c>
      <c r="AH1013" s="906" t="str">
        <f t="shared" si="218"/>
        <v xml:space="preserve"> </v>
      </c>
      <c r="AI1013" s="907" t="str">
        <f t="shared" si="209"/>
        <v xml:space="preserve"> </v>
      </c>
      <c r="AJ1013" s="894" t="s">
        <v>2074</v>
      </c>
      <c r="AK1013" s="894" t="s">
        <v>2449</v>
      </c>
    </row>
    <row r="1014" spans="1:37" s="376" customFormat="1" ht="112.5" outlineLevel="2" x14ac:dyDescent="0.3">
      <c r="A1014" s="447">
        <f t="shared" si="220"/>
        <v>79</v>
      </c>
      <c r="B1014" s="893"/>
      <c r="C1014" s="894"/>
      <c r="D1014" s="923"/>
      <c r="E1014" s="923"/>
      <c r="F1014" s="896"/>
      <c r="G1014" s="894"/>
      <c r="H1014" s="924"/>
      <c r="I1014" s="882"/>
      <c r="J1014" s="925"/>
      <c r="K1014" s="899" t="str">
        <f>IF(G1014&lt;&gt;0,VLOOKUP(G1014,'gia dat'!$A$1:$F$144,5,0)," ")</f>
        <v xml:space="preserve"> </v>
      </c>
      <c r="L1014" s="899" t="str">
        <f>IF(G1014&lt;&gt;0,VLOOKUP(G1014,'gia dat'!$A$1:$F$144,6,0)," ")</f>
        <v xml:space="preserve"> </v>
      </c>
      <c r="M1014" s="900" t="str">
        <f t="shared" si="215"/>
        <v xml:space="preserve"> </v>
      </c>
      <c r="N1014" s="900" t="str">
        <f t="shared" si="216"/>
        <v xml:space="preserve"> </v>
      </c>
      <c r="O1014" s="894" t="s">
        <v>738</v>
      </c>
      <c r="P1014" s="926">
        <v>2</v>
      </c>
      <c r="Q1014" s="900">
        <f>IF(O1014&lt;&gt;0,VLOOKUP(O1014,'Cây trong'!$A$2:$C$246,3,0)," ")</f>
        <v>0</v>
      </c>
      <c r="R1014" s="900">
        <f t="shared" si="217"/>
        <v>0</v>
      </c>
      <c r="S1014" s="902"/>
      <c r="T1014" s="925"/>
      <c r="U1014" s="927"/>
      <c r="V1014" s="925"/>
      <c r="W1014" s="900" t="str">
        <f>IF(S1014&lt;&gt;0,VLOOKUP(S1014,VKT!$A$2:$G$415,7,0),"")</f>
        <v/>
      </c>
      <c r="X1014" s="900" t="str">
        <f t="shared" si="212"/>
        <v xml:space="preserve"> </v>
      </c>
      <c r="Y1014" s="925"/>
      <c r="Z1014" s="928"/>
      <c r="AA1014" s="928"/>
      <c r="AB1014" s="904"/>
      <c r="AC1014" s="928"/>
      <c r="AD1014" s="928"/>
      <c r="AE1014" s="928"/>
      <c r="AF1014" s="926"/>
      <c r="AG1014" s="906" t="str">
        <f>IF(AE1014&lt;&gt;0,VLOOKUP(AE1014,ODDS!$A$2:$C$13,3,0),"")</f>
        <v/>
      </c>
      <c r="AH1014" s="906" t="str">
        <f t="shared" si="218"/>
        <v xml:space="preserve"> </v>
      </c>
      <c r="AI1014" s="907" t="str">
        <f t="shared" si="209"/>
        <v xml:space="preserve"> </v>
      </c>
      <c r="AJ1014" s="894"/>
      <c r="AK1014" s="894" t="s">
        <v>2800</v>
      </c>
    </row>
    <row r="1015" spans="1:37" s="376" customFormat="1" ht="45" outlineLevel="2" x14ac:dyDescent="0.3">
      <c r="A1015" s="447">
        <f t="shared" si="220"/>
        <v>79</v>
      </c>
      <c r="B1015" s="893"/>
      <c r="C1015" s="942"/>
      <c r="D1015" s="923"/>
      <c r="E1015" s="923"/>
      <c r="F1015" s="896"/>
      <c r="G1015" s="894"/>
      <c r="H1015" s="924"/>
      <c r="I1015" s="882"/>
      <c r="J1015" s="925"/>
      <c r="K1015" s="899" t="str">
        <f>IF(G1015&lt;&gt;0,VLOOKUP(G1015,'gia dat'!$A$1:$F$144,5,0)," ")</f>
        <v xml:space="preserve"> </v>
      </c>
      <c r="L1015" s="899" t="str">
        <f>IF(G1015&lt;&gt;0,VLOOKUP(G1015,'gia dat'!$A$1:$F$144,6,0)," ")</f>
        <v xml:space="preserve"> </v>
      </c>
      <c r="M1015" s="900" t="str">
        <f t="shared" si="215"/>
        <v xml:space="preserve"> </v>
      </c>
      <c r="N1015" s="900" t="str">
        <f t="shared" si="216"/>
        <v xml:space="preserve"> </v>
      </c>
      <c r="O1015" s="894" t="s">
        <v>401</v>
      </c>
      <c r="P1015" s="926">
        <v>39</v>
      </c>
      <c r="Q1015" s="900">
        <f>IF(O1015&lt;&gt;0,VLOOKUP(O1015,'Cây trong'!$A$2:$C$246,3,0)," ")</f>
        <v>80000</v>
      </c>
      <c r="R1015" s="900">
        <f t="shared" si="217"/>
        <v>3120000</v>
      </c>
      <c r="S1015" s="902"/>
      <c r="T1015" s="925"/>
      <c r="U1015" s="927"/>
      <c r="V1015" s="925"/>
      <c r="W1015" s="900" t="str">
        <f>IF(S1015&lt;&gt;0,VLOOKUP(S1015,VKT!$A$2:$G$415,7,0),"")</f>
        <v/>
      </c>
      <c r="X1015" s="900" t="str">
        <f t="shared" si="212"/>
        <v xml:space="preserve"> </v>
      </c>
      <c r="Y1015" s="925"/>
      <c r="Z1015" s="928"/>
      <c r="AA1015" s="928"/>
      <c r="AB1015" s="904"/>
      <c r="AC1015" s="928"/>
      <c r="AD1015" s="928"/>
      <c r="AE1015" s="928"/>
      <c r="AF1015" s="926"/>
      <c r="AG1015" s="906" t="str">
        <f>IF(AE1015&lt;&gt;0,VLOOKUP(AE1015,ODDS!$A$2:$C$13,3,0),"")</f>
        <v/>
      </c>
      <c r="AH1015" s="906" t="str">
        <f t="shared" si="218"/>
        <v xml:space="preserve"> </v>
      </c>
      <c r="AI1015" s="907" t="str">
        <f t="shared" si="209"/>
        <v xml:space="preserve"> </v>
      </c>
      <c r="AJ1015" s="929"/>
      <c r="AK1015" s="929"/>
    </row>
    <row r="1016" spans="1:37" s="376" customFormat="1" ht="22.5" outlineLevel="2" x14ac:dyDescent="0.3">
      <c r="A1016" s="447">
        <f t="shared" si="220"/>
        <v>79</v>
      </c>
      <c r="B1016" s="893"/>
      <c r="C1016" s="908"/>
      <c r="D1016" s="923"/>
      <c r="E1016" s="947"/>
      <c r="F1016" s="947"/>
      <c r="G1016" s="922"/>
      <c r="H1016" s="924"/>
      <c r="I1016" s="882"/>
      <c r="J1016" s="925"/>
      <c r="K1016" s="899" t="str">
        <f>IF(G1016&lt;&gt;0,VLOOKUP(G1016,'gia dat'!$A$1:$F$144,5,0)," ")</f>
        <v xml:space="preserve"> </v>
      </c>
      <c r="L1016" s="899" t="str">
        <f>IF(G1016&lt;&gt;0,VLOOKUP(G1016,'gia dat'!$A$1:$F$144,6,0)," ")</f>
        <v xml:space="preserve"> </v>
      </c>
      <c r="M1016" s="900" t="str">
        <f t="shared" si="215"/>
        <v xml:space="preserve"> </v>
      </c>
      <c r="N1016" s="900" t="str">
        <f t="shared" si="216"/>
        <v xml:space="preserve"> </v>
      </c>
      <c r="O1016" s="908" t="s">
        <v>72</v>
      </c>
      <c r="P1016" s="1019">
        <v>19</v>
      </c>
      <c r="Q1016" s="900">
        <f>IF(O1016&lt;&gt;0,VLOOKUP(O1016,'Cây trong'!$A$2:$C$246,3,0)," ")</f>
        <v>132000</v>
      </c>
      <c r="R1016" s="900">
        <f t="shared" si="217"/>
        <v>2508000</v>
      </c>
      <c r="S1016" s="902"/>
      <c r="T1016" s="944"/>
      <c r="U1016" s="927"/>
      <c r="V1016" s="925"/>
      <c r="W1016" s="900" t="str">
        <f>IF(S1016&lt;&gt;0,VLOOKUP(S1016,VKT!$A$2:$G$415,7,0),"")</f>
        <v/>
      </c>
      <c r="X1016" s="900" t="str">
        <f t="shared" si="212"/>
        <v xml:space="preserve"> </v>
      </c>
      <c r="Y1016" s="925"/>
      <c r="Z1016" s="928"/>
      <c r="AA1016" s="928"/>
      <c r="AB1016" s="904"/>
      <c r="AC1016" s="928"/>
      <c r="AD1016" s="928"/>
      <c r="AE1016" s="928"/>
      <c r="AF1016" s="926"/>
      <c r="AG1016" s="906" t="str">
        <f>IF(AE1016&lt;&gt;0,VLOOKUP(AE1016,ODDS!$A$2:$C$13,3,0),"")</f>
        <v/>
      </c>
      <c r="AH1016" s="906" t="str">
        <f t="shared" si="218"/>
        <v xml:space="preserve"> </v>
      </c>
      <c r="AI1016" s="907" t="str">
        <f t="shared" si="209"/>
        <v xml:space="preserve"> </v>
      </c>
      <c r="AJ1016" s="929"/>
      <c r="AK1016" s="929"/>
    </row>
    <row r="1017" spans="1:37" s="376" customFormat="1" ht="22.5" outlineLevel="2" x14ac:dyDescent="0.3">
      <c r="A1017" s="447">
        <f t="shared" si="220"/>
        <v>79</v>
      </c>
      <c r="B1017" s="893"/>
      <c r="C1017" s="908"/>
      <c r="D1017" s="923"/>
      <c r="E1017" s="947"/>
      <c r="F1017" s="947"/>
      <c r="G1017" s="922"/>
      <c r="H1017" s="924"/>
      <c r="I1017" s="882"/>
      <c r="J1017" s="925"/>
      <c r="K1017" s="899" t="str">
        <f>IF(G1017&lt;&gt;0,VLOOKUP(G1017,'gia dat'!$A$1:$F$144,5,0)," ")</f>
        <v xml:space="preserve"> </v>
      </c>
      <c r="L1017" s="899" t="str">
        <f>IF(G1017&lt;&gt;0,VLOOKUP(G1017,'gia dat'!$A$1:$F$144,6,0)," ")</f>
        <v xml:space="preserve"> </v>
      </c>
      <c r="M1017" s="900" t="str">
        <f t="shared" si="215"/>
        <v xml:space="preserve"> </v>
      </c>
      <c r="N1017" s="900" t="str">
        <f t="shared" si="216"/>
        <v xml:space="preserve"> </v>
      </c>
      <c r="O1017" s="908" t="s">
        <v>75</v>
      </c>
      <c r="P1017" s="1019">
        <v>15</v>
      </c>
      <c r="Q1017" s="900">
        <f>IF(O1017&lt;&gt;0,VLOOKUP(O1017,'Cây trong'!$A$2:$C$246,3,0)," ")</f>
        <v>34000</v>
      </c>
      <c r="R1017" s="900">
        <f t="shared" si="217"/>
        <v>510000</v>
      </c>
      <c r="S1017" s="902"/>
      <c r="T1017" s="944"/>
      <c r="U1017" s="927"/>
      <c r="V1017" s="925"/>
      <c r="W1017" s="900" t="str">
        <f>IF(S1017&lt;&gt;0,VLOOKUP(S1017,VKT!$A$2:$G$415,7,0),"")</f>
        <v/>
      </c>
      <c r="X1017" s="900" t="str">
        <f t="shared" si="212"/>
        <v xml:space="preserve"> </v>
      </c>
      <c r="Y1017" s="925"/>
      <c r="Z1017" s="928"/>
      <c r="AA1017" s="928"/>
      <c r="AB1017" s="904"/>
      <c r="AC1017" s="928"/>
      <c r="AD1017" s="928"/>
      <c r="AE1017" s="928"/>
      <c r="AF1017" s="926"/>
      <c r="AG1017" s="906" t="str">
        <f>IF(AE1017&lt;&gt;0,VLOOKUP(AE1017,ODDS!$A$2:$C$13,3,0),"")</f>
        <v/>
      </c>
      <c r="AH1017" s="906" t="str">
        <f t="shared" si="218"/>
        <v xml:space="preserve"> </v>
      </c>
      <c r="AI1017" s="907" t="str">
        <f t="shared" si="209"/>
        <v xml:space="preserve"> </v>
      </c>
      <c r="AJ1017" s="929"/>
      <c r="AK1017" s="929"/>
    </row>
    <row r="1018" spans="1:37" s="376" customFormat="1" ht="45" outlineLevel="2" x14ac:dyDescent="0.3">
      <c r="A1018" s="447">
        <f t="shared" si="220"/>
        <v>79</v>
      </c>
      <c r="B1018" s="893"/>
      <c r="C1018" s="894"/>
      <c r="D1018" s="923"/>
      <c r="E1018" s="947"/>
      <c r="F1018" s="947"/>
      <c r="G1018" s="922"/>
      <c r="H1018" s="924"/>
      <c r="I1018" s="882"/>
      <c r="J1018" s="925"/>
      <c r="K1018" s="899" t="str">
        <f>IF(G1018&lt;&gt;0,VLOOKUP(G1018,'gia dat'!$A$1:$F$144,5,0)," ")</f>
        <v xml:space="preserve"> </v>
      </c>
      <c r="L1018" s="899" t="str">
        <f>IF(G1018&lt;&gt;0,VLOOKUP(G1018,'gia dat'!$A$1:$F$144,6,0)," ")</f>
        <v xml:space="preserve"> </v>
      </c>
      <c r="M1018" s="900" t="str">
        <f t="shared" si="215"/>
        <v xml:space="preserve"> </v>
      </c>
      <c r="N1018" s="900" t="str">
        <f t="shared" si="216"/>
        <v xml:space="preserve"> </v>
      </c>
      <c r="O1018" s="908" t="s">
        <v>187</v>
      </c>
      <c r="P1018" s="1019">
        <v>97</v>
      </c>
      <c r="Q1018" s="900">
        <f>IF(O1018&lt;&gt;0,VLOOKUP(O1018,'Cây trong'!$A$2:$C$246,3,0)," ")</f>
        <v>120000</v>
      </c>
      <c r="R1018" s="900">
        <f t="shared" si="217"/>
        <v>11640000</v>
      </c>
      <c r="S1018" s="902"/>
      <c r="T1018" s="944"/>
      <c r="U1018" s="927"/>
      <c r="V1018" s="925"/>
      <c r="W1018" s="900" t="str">
        <f>IF(S1018&lt;&gt;0,VLOOKUP(S1018,VKT!$A$2:$G$415,7,0),"")</f>
        <v/>
      </c>
      <c r="X1018" s="900" t="str">
        <f t="shared" si="212"/>
        <v xml:space="preserve"> </v>
      </c>
      <c r="Y1018" s="925"/>
      <c r="Z1018" s="928"/>
      <c r="AA1018" s="928"/>
      <c r="AB1018" s="904"/>
      <c r="AC1018" s="928"/>
      <c r="AD1018" s="928"/>
      <c r="AE1018" s="928"/>
      <c r="AF1018" s="926"/>
      <c r="AG1018" s="906" t="str">
        <f>IF(AE1018&lt;&gt;0,VLOOKUP(AE1018,ODDS!$A$2:$C$13,3,0),"")</f>
        <v/>
      </c>
      <c r="AH1018" s="906" t="str">
        <f t="shared" si="218"/>
        <v xml:space="preserve"> </v>
      </c>
      <c r="AI1018" s="907" t="str">
        <f t="shared" si="209"/>
        <v xml:space="preserve"> </v>
      </c>
      <c r="AJ1018" s="929"/>
      <c r="AK1018" s="929"/>
    </row>
    <row r="1019" spans="1:37" s="376" customFormat="1" ht="45" outlineLevel="2" x14ac:dyDescent="0.3">
      <c r="A1019" s="447">
        <f t="shared" si="220"/>
        <v>79</v>
      </c>
      <c r="B1019" s="893"/>
      <c r="C1019" s="894"/>
      <c r="D1019" s="923"/>
      <c r="E1019" s="947"/>
      <c r="F1019" s="947"/>
      <c r="G1019" s="922"/>
      <c r="H1019" s="924"/>
      <c r="I1019" s="882"/>
      <c r="J1019" s="925"/>
      <c r="K1019" s="899" t="str">
        <f>IF(G1019&lt;&gt;0,VLOOKUP(G1019,'gia dat'!$A$1:$F$144,5,0)," ")</f>
        <v xml:space="preserve"> </v>
      </c>
      <c r="L1019" s="899" t="str">
        <f>IF(G1019&lt;&gt;0,VLOOKUP(G1019,'gia dat'!$A$1:$F$144,6,0)," ")</f>
        <v xml:space="preserve"> </v>
      </c>
      <c r="M1019" s="900" t="str">
        <f t="shared" si="215"/>
        <v xml:space="preserve"> </v>
      </c>
      <c r="N1019" s="900" t="str">
        <f t="shared" si="216"/>
        <v xml:space="preserve"> </v>
      </c>
      <c r="O1019" s="908" t="s">
        <v>353</v>
      </c>
      <c r="P1019" s="1019">
        <v>149</v>
      </c>
      <c r="Q1019" s="900">
        <f>IF(O1019&lt;&gt;0,VLOOKUP(O1019,'Cây trong'!$A$2:$C$246,3,0)," ")</f>
        <v>96000</v>
      </c>
      <c r="R1019" s="900">
        <f t="shared" si="217"/>
        <v>14304000</v>
      </c>
      <c r="S1019" s="902"/>
      <c r="T1019" s="944"/>
      <c r="U1019" s="927"/>
      <c r="V1019" s="925"/>
      <c r="W1019" s="900" t="str">
        <f>IF(S1019&lt;&gt;0,VLOOKUP(S1019,VKT!$A$2:$G$415,7,0),"")</f>
        <v/>
      </c>
      <c r="X1019" s="900" t="str">
        <f t="shared" si="212"/>
        <v xml:space="preserve"> </v>
      </c>
      <c r="Y1019" s="925"/>
      <c r="Z1019" s="928"/>
      <c r="AA1019" s="928"/>
      <c r="AB1019" s="904"/>
      <c r="AC1019" s="928"/>
      <c r="AD1019" s="928"/>
      <c r="AE1019" s="928"/>
      <c r="AF1019" s="926"/>
      <c r="AG1019" s="906" t="str">
        <f>IF(AE1019&lt;&gt;0,VLOOKUP(AE1019,ODDS!$A$2:$C$13,3,0),"")</f>
        <v/>
      </c>
      <c r="AH1019" s="906" t="str">
        <f t="shared" si="218"/>
        <v xml:space="preserve"> </v>
      </c>
      <c r="AI1019" s="907" t="str">
        <f t="shared" si="209"/>
        <v xml:space="preserve"> </v>
      </c>
      <c r="AJ1019" s="929"/>
      <c r="AK1019" s="929"/>
    </row>
    <row r="1020" spans="1:37" s="376" customFormat="1" ht="45" outlineLevel="2" x14ac:dyDescent="0.3">
      <c r="A1020" s="447">
        <f t="shared" si="220"/>
        <v>79</v>
      </c>
      <c r="B1020" s="893"/>
      <c r="C1020" s="894"/>
      <c r="D1020" s="923"/>
      <c r="E1020" s="923"/>
      <c r="F1020" s="896"/>
      <c r="G1020" s="894"/>
      <c r="H1020" s="924"/>
      <c r="I1020" s="882"/>
      <c r="J1020" s="925"/>
      <c r="K1020" s="899" t="str">
        <f>IF(G1020&lt;&gt;0,VLOOKUP(G1020,'gia dat'!$A$1:$F$144,5,0)," ")</f>
        <v xml:space="preserve"> </v>
      </c>
      <c r="L1020" s="899" t="str">
        <f>IF(G1020&lt;&gt;0,VLOOKUP(G1020,'gia dat'!$A$1:$F$144,6,0)," ")</f>
        <v xml:space="preserve"> </v>
      </c>
      <c r="M1020" s="900" t="str">
        <f t="shared" si="215"/>
        <v xml:space="preserve"> </v>
      </c>
      <c r="N1020" s="900" t="str">
        <f t="shared" si="216"/>
        <v xml:space="preserve"> </v>
      </c>
      <c r="O1020" s="894" t="s">
        <v>785</v>
      </c>
      <c r="P1020" s="1020">
        <v>227</v>
      </c>
      <c r="Q1020" s="900">
        <f>IF(O1020&lt;&gt;0,VLOOKUP(O1020,'Cây trong'!$A$2:$C$246,3,0)," ")</f>
        <v>6000</v>
      </c>
      <c r="R1020" s="900">
        <f t="shared" si="217"/>
        <v>1362000</v>
      </c>
      <c r="S1020" s="902"/>
      <c r="T1020" s="925"/>
      <c r="U1020" s="927"/>
      <c r="V1020" s="925"/>
      <c r="W1020" s="900" t="str">
        <f>IF(S1020&lt;&gt;0,VLOOKUP(S1020,VKT!$A$2:$G$415,7,0),"")</f>
        <v/>
      </c>
      <c r="X1020" s="900" t="str">
        <f t="shared" si="212"/>
        <v xml:space="preserve"> </v>
      </c>
      <c r="Y1020" s="925"/>
      <c r="Z1020" s="928"/>
      <c r="AA1020" s="928"/>
      <c r="AB1020" s="904"/>
      <c r="AC1020" s="928"/>
      <c r="AD1020" s="928"/>
      <c r="AE1020" s="928"/>
      <c r="AF1020" s="926"/>
      <c r="AG1020" s="906" t="str">
        <f>IF(AE1020&lt;&gt;0,VLOOKUP(AE1020,ODDS!$A$2:$C$13,3,0),"")</f>
        <v/>
      </c>
      <c r="AH1020" s="906" t="str">
        <f t="shared" si="218"/>
        <v xml:space="preserve"> </v>
      </c>
      <c r="AI1020" s="907" t="str">
        <f t="shared" si="209"/>
        <v xml:space="preserve"> </v>
      </c>
      <c r="AJ1020" s="929"/>
      <c r="AK1020" s="929"/>
    </row>
    <row r="1021" spans="1:37" s="376" customFormat="1" ht="22.5" outlineLevel="2" x14ac:dyDescent="0.3">
      <c r="A1021" s="447">
        <f t="shared" si="220"/>
        <v>79</v>
      </c>
      <c r="B1021" s="893"/>
      <c r="C1021" s="942"/>
      <c r="D1021" s="923"/>
      <c r="E1021" s="923"/>
      <c r="F1021" s="950"/>
      <c r="G1021" s="894"/>
      <c r="H1021" s="940"/>
      <c r="I1021" s="882"/>
      <c r="J1021" s="929"/>
      <c r="K1021" s="899" t="str">
        <f>IF(G1021&lt;&gt;0,VLOOKUP(G1021,'gia dat'!$A$1:$F$144,5,0)," ")</f>
        <v xml:space="preserve"> </v>
      </c>
      <c r="L1021" s="899" t="str">
        <f>IF(G1021&lt;&gt;0,VLOOKUP(G1021,'gia dat'!$A$1:$F$144,6,0)," ")</f>
        <v xml:space="preserve"> </v>
      </c>
      <c r="M1021" s="900" t="str">
        <f t="shared" si="215"/>
        <v xml:space="preserve"> </v>
      </c>
      <c r="N1021" s="900" t="str">
        <f t="shared" si="216"/>
        <v xml:space="preserve"> </v>
      </c>
      <c r="O1021" s="929"/>
      <c r="P1021" s="951"/>
      <c r="Q1021" s="900" t="str">
        <f>IF(O1021&lt;&gt;0,VLOOKUP(O1021,'Cây trong'!$A$2:$C$246,3,0)," ")</f>
        <v xml:space="preserve"> </v>
      </c>
      <c r="R1021" s="900" t="str">
        <f t="shared" si="217"/>
        <v xml:space="preserve"> </v>
      </c>
      <c r="S1021" s="929"/>
      <c r="T1021" s="929"/>
      <c r="U1021" s="952"/>
      <c r="V1021" s="925"/>
      <c r="W1021" s="900" t="str">
        <f>IF(S1021&lt;&gt;0,VLOOKUP(S1021,VKT!$A$2:$G$415,7,0),"")</f>
        <v/>
      </c>
      <c r="X1021" s="900" t="str">
        <f t="shared" si="212"/>
        <v xml:space="preserve"> </v>
      </c>
      <c r="Y1021" s="925"/>
      <c r="Z1021" s="925"/>
      <c r="AA1021" s="925"/>
      <c r="AB1021" s="898"/>
      <c r="AC1021" s="925"/>
      <c r="AD1021" s="925"/>
      <c r="AE1021" s="925"/>
      <c r="AF1021" s="964"/>
      <c r="AG1021" s="906" t="str">
        <f>IF(AE1021&lt;&gt;0,VLOOKUP(AE1021,ODDS!$A$2:$C$13,3,0),"")</f>
        <v/>
      </c>
      <c r="AH1021" s="906" t="str">
        <f t="shared" si="218"/>
        <v xml:space="preserve"> </v>
      </c>
      <c r="AI1021" s="907" t="str">
        <f t="shared" si="209"/>
        <v xml:space="preserve"> </v>
      </c>
      <c r="AJ1021" s="929"/>
      <c r="AK1021" s="929"/>
    </row>
    <row r="1022" spans="1:37" s="376" customFormat="1" ht="22.5" outlineLevel="2" x14ac:dyDescent="0.3">
      <c r="A1022" s="447">
        <f t="shared" si="220"/>
        <v>79</v>
      </c>
      <c r="B1022" s="893"/>
      <c r="C1022" s="908"/>
      <c r="D1022" s="923"/>
      <c r="E1022" s="923"/>
      <c r="F1022" s="896"/>
      <c r="G1022" s="894"/>
      <c r="H1022" s="924"/>
      <c r="I1022" s="882"/>
      <c r="J1022" s="925"/>
      <c r="K1022" s="899" t="str">
        <f>IF(G1022&lt;&gt;0,VLOOKUP(G1022,'gia dat'!$A$1:$F$144,5,0)," ")</f>
        <v xml:space="preserve"> </v>
      </c>
      <c r="L1022" s="899" t="str">
        <f>IF(G1022&lt;&gt;0,VLOOKUP(G1022,'gia dat'!$A$1:$F$144,6,0)," ")</f>
        <v xml:space="preserve"> </v>
      </c>
      <c r="M1022" s="900" t="str">
        <f t="shared" si="215"/>
        <v xml:space="preserve"> </v>
      </c>
      <c r="N1022" s="900" t="str">
        <f t="shared" si="216"/>
        <v xml:space="preserve"> </v>
      </c>
      <c r="O1022" s="894"/>
      <c r="P1022" s="926"/>
      <c r="Q1022" s="900" t="str">
        <f>IF(O1022&lt;&gt;0,VLOOKUP(O1022,'Cây trong'!$A$2:$C$246,3,0)," ")</f>
        <v xml:space="preserve"> </v>
      </c>
      <c r="R1022" s="900" t="str">
        <f t="shared" si="217"/>
        <v xml:space="preserve"> </v>
      </c>
      <c r="S1022" s="902"/>
      <c r="T1022" s="925"/>
      <c r="U1022" s="927"/>
      <c r="V1022" s="925"/>
      <c r="W1022" s="900" t="str">
        <f>IF(S1022&lt;&gt;0,VLOOKUP(S1022,VKT!$A$2:$G$415,7,0),"")</f>
        <v/>
      </c>
      <c r="X1022" s="900" t="str">
        <f t="shared" si="212"/>
        <v xml:space="preserve"> </v>
      </c>
      <c r="Y1022" s="925"/>
      <c r="Z1022" s="928"/>
      <c r="AA1022" s="928"/>
      <c r="AB1022" s="904"/>
      <c r="AC1022" s="928"/>
      <c r="AD1022" s="928"/>
      <c r="AE1022" s="928"/>
      <c r="AF1022" s="926"/>
      <c r="AG1022" s="906" t="str">
        <f>IF(AE1022&lt;&gt;0,VLOOKUP(AE1022,ODDS!$A$2:$C$13,3,0),"")</f>
        <v/>
      </c>
      <c r="AH1022" s="906" t="str">
        <f t="shared" si="218"/>
        <v xml:space="preserve"> </v>
      </c>
      <c r="AI1022" s="907" t="str">
        <f t="shared" si="209"/>
        <v xml:space="preserve"> </v>
      </c>
      <c r="AJ1022" s="929"/>
      <c r="AK1022" s="929"/>
    </row>
    <row r="1023" spans="1:37" s="376" customFormat="1" ht="22.5" outlineLevel="2" x14ac:dyDescent="0.3">
      <c r="A1023" s="447">
        <f t="shared" si="220"/>
        <v>79</v>
      </c>
      <c r="B1023" s="893"/>
      <c r="C1023" s="908"/>
      <c r="D1023" s="923"/>
      <c r="E1023" s="947"/>
      <c r="F1023" s="947"/>
      <c r="G1023" s="922"/>
      <c r="H1023" s="924"/>
      <c r="I1023" s="882"/>
      <c r="J1023" s="925"/>
      <c r="K1023" s="899" t="str">
        <f>IF(G1023&lt;&gt;0,VLOOKUP(G1023,'gia dat'!$A$1:$F$144,5,0)," ")</f>
        <v xml:space="preserve"> </v>
      </c>
      <c r="L1023" s="899" t="str">
        <f>IF(G1023&lt;&gt;0,VLOOKUP(G1023,'gia dat'!$A$1:$F$144,6,0)," ")</f>
        <v xml:space="preserve"> </v>
      </c>
      <c r="M1023" s="900" t="str">
        <f t="shared" si="215"/>
        <v xml:space="preserve"> </v>
      </c>
      <c r="N1023" s="900" t="str">
        <f t="shared" si="216"/>
        <v xml:space="preserve"> </v>
      </c>
      <c r="O1023" s="908"/>
      <c r="P1023" s="1021"/>
      <c r="Q1023" s="900" t="str">
        <f>IF(O1023&lt;&gt;0,VLOOKUP(O1023,'Cây trong'!$A$2:$C$246,3,0)," ")</f>
        <v xml:space="preserve"> </v>
      </c>
      <c r="R1023" s="900" t="str">
        <f t="shared" si="217"/>
        <v xml:space="preserve"> </v>
      </c>
      <c r="S1023" s="902"/>
      <c r="T1023" s="944"/>
      <c r="U1023" s="927"/>
      <c r="V1023" s="946"/>
      <c r="W1023" s="900" t="str">
        <f>IF(S1023&lt;&gt;0,VLOOKUP(S1023,VKT!$A$2:$G$415,7,0),"")</f>
        <v/>
      </c>
      <c r="X1023" s="900" t="str">
        <f t="shared" si="212"/>
        <v xml:space="preserve"> </v>
      </c>
      <c r="Y1023" s="925"/>
      <c r="Z1023" s="928"/>
      <c r="AA1023" s="928"/>
      <c r="AB1023" s="904"/>
      <c r="AC1023" s="928"/>
      <c r="AD1023" s="928"/>
      <c r="AE1023" s="928"/>
      <c r="AF1023" s="926"/>
      <c r="AG1023" s="906" t="str">
        <f>IF(AE1023&lt;&gt;0,VLOOKUP(AE1023,ODDS!$A$2:$C$13,3,0),"")</f>
        <v/>
      </c>
      <c r="AH1023" s="906" t="str">
        <f t="shared" si="218"/>
        <v xml:space="preserve"> </v>
      </c>
      <c r="AI1023" s="907" t="str">
        <f t="shared" si="209"/>
        <v xml:space="preserve"> </v>
      </c>
      <c r="AJ1023" s="929"/>
      <c r="AK1023" s="929"/>
    </row>
    <row r="1024" spans="1:37" s="376" customFormat="1" ht="22.5" outlineLevel="2" x14ac:dyDescent="0.3">
      <c r="A1024" s="447">
        <f t="shared" si="220"/>
        <v>79</v>
      </c>
      <c r="B1024" s="893"/>
      <c r="C1024" s="894"/>
      <c r="D1024" s="923"/>
      <c r="E1024" s="947"/>
      <c r="F1024" s="947"/>
      <c r="G1024" s="902"/>
      <c r="H1024" s="924"/>
      <c r="I1024" s="882"/>
      <c r="J1024" s="925"/>
      <c r="K1024" s="899" t="str">
        <f>IF(G1024&lt;&gt;0,VLOOKUP(G1024,'gia dat'!$A$1:$F$144,5,0)," ")</f>
        <v xml:space="preserve"> </v>
      </c>
      <c r="L1024" s="899" t="str">
        <f>IF(G1024&lt;&gt;0,VLOOKUP(G1024,'gia dat'!$A$1:$F$144,6,0)," ")</f>
        <v xml:space="preserve"> </v>
      </c>
      <c r="M1024" s="900" t="str">
        <f t="shared" si="215"/>
        <v xml:space="preserve"> </v>
      </c>
      <c r="N1024" s="900" t="str">
        <f t="shared" si="216"/>
        <v xml:space="preserve"> </v>
      </c>
      <c r="O1024" s="908"/>
      <c r="P1024" s="1021"/>
      <c r="Q1024" s="900" t="str">
        <f>IF(O1024&lt;&gt;0,VLOOKUP(O1024,'Cây trong'!$A$2:$C$246,3,0)," ")</f>
        <v xml:space="preserve"> </v>
      </c>
      <c r="R1024" s="900" t="str">
        <f t="shared" si="217"/>
        <v xml:space="preserve"> </v>
      </c>
      <c r="S1024" s="902"/>
      <c r="T1024" s="944"/>
      <c r="U1024" s="927"/>
      <c r="V1024" s="946"/>
      <c r="W1024" s="900" t="str">
        <f>IF(S1024&lt;&gt;0,VLOOKUP(S1024,VKT!$A$2:$G$415,7,0),"")</f>
        <v/>
      </c>
      <c r="X1024" s="900" t="str">
        <f t="shared" si="212"/>
        <v xml:space="preserve"> </v>
      </c>
      <c r="Y1024" s="925"/>
      <c r="Z1024" s="928"/>
      <c r="AA1024" s="928"/>
      <c r="AB1024" s="904"/>
      <c r="AC1024" s="928"/>
      <c r="AD1024" s="928"/>
      <c r="AE1024" s="928"/>
      <c r="AF1024" s="926"/>
      <c r="AG1024" s="906" t="str">
        <f>IF(AE1024&lt;&gt;0,VLOOKUP(AE1024,ODDS!$A$2:$C$13,3,0),"")</f>
        <v/>
      </c>
      <c r="AH1024" s="906" t="str">
        <f t="shared" si="218"/>
        <v xml:space="preserve"> </v>
      </c>
      <c r="AI1024" s="907" t="str">
        <f t="shared" si="209"/>
        <v xml:space="preserve"> </v>
      </c>
      <c r="AJ1024" s="929"/>
      <c r="AK1024" s="929"/>
    </row>
    <row r="1025" spans="1:37" s="376" customFormat="1" ht="22.5" outlineLevel="2" x14ac:dyDescent="0.3">
      <c r="A1025" s="447">
        <f t="shared" si="220"/>
        <v>79</v>
      </c>
      <c r="B1025" s="893"/>
      <c r="C1025" s="910"/>
      <c r="D1025" s="923"/>
      <c r="E1025" s="947"/>
      <c r="F1025" s="947"/>
      <c r="G1025" s="922"/>
      <c r="H1025" s="924"/>
      <c r="I1025" s="882"/>
      <c r="J1025" s="925"/>
      <c r="K1025" s="899" t="str">
        <f>IF(G1025&lt;&gt;0,VLOOKUP(G1025,'gia dat'!$A$1:$F$144,5,0)," ")</f>
        <v xml:space="preserve"> </v>
      </c>
      <c r="L1025" s="899" t="str">
        <f>IF(G1025&lt;&gt;0,VLOOKUP(G1025,'gia dat'!$A$1:$F$144,6,0)," ")</f>
        <v xml:space="preserve"> </v>
      </c>
      <c r="M1025" s="900" t="str">
        <f t="shared" si="215"/>
        <v xml:space="preserve"> </v>
      </c>
      <c r="N1025" s="900" t="str">
        <f t="shared" si="216"/>
        <v xml:space="preserve"> </v>
      </c>
      <c r="O1025" s="908"/>
      <c r="P1025" s="1021"/>
      <c r="Q1025" s="900" t="str">
        <f>IF(O1025&lt;&gt;0,VLOOKUP(O1025,'Cây trong'!$A$2:$C$246,3,0)," ")</f>
        <v xml:space="preserve"> </v>
      </c>
      <c r="R1025" s="900" t="str">
        <f t="shared" si="217"/>
        <v xml:space="preserve"> </v>
      </c>
      <c r="S1025" s="902"/>
      <c r="T1025" s="944"/>
      <c r="U1025" s="927"/>
      <c r="V1025" s="946"/>
      <c r="W1025" s="900" t="str">
        <f>IF(S1025&lt;&gt;0,VLOOKUP(S1025,VKT!$A$2:$G$415,7,0),"")</f>
        <v/>
      </c>
      <c r="X1025" s="900" t="str">
        <f t="shared" si="212"/>
        <v xml:space="preserve"> </v>
      </c>
      <c r="Y1025" s="925"/>
      <c r="Z1025" s="928"/>
      <c r="AA1025" s="928"/>
      <c r="AB1025" s="904"/>
      <c r="AC1025" s="928"/>
      <c r="AD1025" s="928"/>
      <c r="AE1025" s="928"/>
      <c r="AF1025" s="926"/>
      <c r="AG1025" s="906" t="str">
        <f>IF(AE1025&lt;&gt;0,VLOOKUP(AE1025,ODDS!$A$2:$C$13,3,0),"")</f>
        <v/>
      </c>
      <c r="AH1025" s="906" t="str">
        <f t="shared" si="218"/>
        <v xml:space="preserve"> </v>
      </c>
      <c r="AI1025" s="907" t="str">
        <f t="shared" si="209"/>
        <v xml:space="preserve"> </v>
      </c>
      <c r="AJ1025" s="929"/>
      <c r="AK1025" s="929"/>
    </row>
    <row r="1026" spans="1:37" s="376" customFormat="1" ht="43.5" outlineLevel="1" x14ac:dyDescent="0.25">
      <c r="A1026" s="467" t="s">
        <v>2630</v>
      </c>
      <c r="B1026" s="912">
        <v>80</v>
      </c>
      <c r="C1026" s="910" t="s">
        <v>49</v>
      </c>
      <c r="D1026" s="931"/>
      <c r="E1026" s="931"/>
      <c r="F1026" s="913"/>
      <c r="G1026" s="910"/>
      <c r="H1026" s="953">
        <f>SUBTOTAL(9,H1027:H1040)</f>
        <v>500.7</v>
      </c>
      <c r="I1026" s="915">
        <f>SUBTOTAL(9,I1027:I1032)</f>
        <v>474.3</v>
      </c>
      <c r="J1026" s="933"/>
      <c r="K1026" s="917"/>
      <c r="L1026" s="917"/>
      <c r="M1026" s="907">
        <f>SUBTOTAL(9,M1027:M1040)</f>
        <v>277588000</v>
      </c>
      <c r="N1026" s="907">
        <f>SUBTOTAL(9,N1027:N1040)</f>
        <v>788856000</v>
      </c>
      <c r="O1026" s="910"/>
      <c r="P1026" s="935">
        <f>SUBTOTAL(9,P1027:P1040)</f>
        <v>0</v>
      </c>
      <c r="Q1026" s="907"/>
      <c r="R1026" s="907">
        <f>SUBTOTAL(9,R1027:R1040)</f>
        <v>0</v>
      </c>
      <c r="S1026" s="918"/>
      <c r="T1026" s="933"/>
      <c r="U1026" s="936">
        <f>SUBTOTAL(9,U1027:U1040)</f>
        <v>128.64000000000001</v>
      </c>
      <c r="V1026" s="933"/>
      <c r="W1026" s="907"/>
      <c r="X1026" s="907">
        <f>SUBTOTAL(9,X1027:X1040)</f>
        <v>67942000</v>
      </c>
      <c r="Y1026" s="925"/>
      <c r="Z1026" s="928"/>
      <c r="AA1026" s="928"/>
      <c r="AB1026" s="904"/>
      <c r="AC1026" s="928"/>
      <c r="AD1026" s="928"/>
      <c r="AE1026" s="937"/>
      <c r="AF1026" s="935">
        <f>SUBTOTAL(9,AF1027:AF1040)</f>
        <v>0</v>
      </c>
      <c r="AG1026" s="921"/>
      <c r="AH1026" s="921">
        <f>SUBTOTAL(9,AH1027:AH1040)</f>
        <v>0</v>
      </c>
      <c r="AI1026" s="907">
        <f t="shared" si="209"/>
        <v>1134386000</v>
      </c>
      <c r="AJ1026" s="910"/>
      <c r="AK1026" s="914"/>
    </row>
    <row r="1027" spans="1:37" s="376" customFormat="1" ht="135" outlineLevel="2" x14ac:dyDescent="0.3">
      <c r="A1027" s="447">
        <f>IF(B1026&lt;&gt;0,B1026,A1025)</f>
        <v>80</v>
      </c>
      <c r="B1027" s="893"/>
      <c r="C1027" s="972" t="s">
        <v>281</v>
      </c>
      <c r="D1027" s="923">
        <v>1</v>
      </c>
      <c r="E1027" s="923">
        <v>86</v>
      </c>
      <c r="F1027" s="896">
        <v>633</v>
      </c>
      <c r="G1027" s="894" t="s">
        <v>2886</v>
      </c>
      <c r="H1027" s="924">
        <f>500.7-H1028</f>
        <v>474.3</v>
      </c>
      <c r="I1027" s="882">
        <f t="shared" ref="I1027:I1028" si="221">IF(N1027&gt;0,H1027,"")</f>
        <v>474.3</v>
      </c>
      <c r="J1027" s="925"/>
      <c r="K1027" s="899">
        <f>IF(G1027&lt;&gt;0,VLOOKUP(G1027,'gia dat'!$A$1:$F$144,5,0)," ")</f>
        <v>554400</v>
      </c>
      <c r="L1027" s="899">
        <f>IF(G1027&lt;&gt;0,VLOOKUP(G1027,'gia dat'!$A$1:$F$144,6,0)," ")</f>
        <v>1663200</v>
      </c>
      <c r="M1027" s="900">
        <f t="shared" si="215"/>
        <v>262952000</v>
      </c>
      <c r="N1027" s="900">
        <f t="shared" si="216"/>
        <v>788856000</v>
      </c>
      <c r="O1027" s="894"/>
      <c r="P1027" s="926"/>
      <c r="Q1027" s="900" t="str">
        <f>IF(O1027&lt;&gt;0,VLOOKUP(O1027,'Cây trong'!$A$2:$C$246,3,0)," ")</f>
        <v xml:space="preserve"> </v>
      </c>
      <c r="R1027" s="900" t="str">
        <f t="shared" si="217"/>
        <v xml:space="preserve"> </v>
      </c>
      <c r="S1027" s="902" t="s">
        <v>1884</v>
      </c>
      <c r="T1027" s="925" t="s">
        <v>53</v>
      </c>
      <c r="U1027" s="927">
        <v>26.4</v>
      </c>
      <c r="V1027" s="925"/>
      <c r="W1027" s="900">
        <f>IF(S1027&lt;&gt;0,VLOOKUP(S1027,VKT!$A$2:$G$415,7,0),"")</f>
        <v>984277</v>
      </c>
      <c r="X1027" s="900">
        <f t="shared" si="212"/>
        <v>25985000</v>
      </c>
      <c r="Y1027" s="925"/>
      <c r="Z1027" s="928" t="s">
        <v>55</v>
      </c>
      <c r="AA1027" s="928" t="s">
        <v>141</v>
      </c>
      <c r="AB1027" s="904" t="s">
        <v>171</v>
      </c>
      <c r="AC1027" s="928" t="s">
        <v>66</v>
      </c>
      <c r="AD1027" s="928"/>
      <c r="AE1027" s="928"/>
      <c r="AF1027" s="926"/>
      <c r="AG1027" s="906" t="str">
        <f>IF(AE1027&lt;&gt;0,VLOOKUP(AE1027,ODDS!$A$2:$C$13,3,0),"")</f>
        <v/>
      </c>
      <c r="AH1027" s="906"/>
      <c r="AI1027" s="907" t="str">
        <f t="shared" si="209"/>
        <v xml:space="preserve"> </v>
      </c>
      <c r="AJ1027" s="894" t="s">
        <v>1719</v>
      </c>
      <c r="AK1027" s="922" t="s">
        <v>2771</v>
      </c>
    </row>
    <row r="1028" spans="1:37" s="376" customFormat="1" ht="112.5" outlineLevel="2" x14ac:dyDescent="0.3">
      <c r="A1028" s="447">
        <f t="shared" ref="A1028:A1040" si="222">IF(B1027&lt;&gt;0,B1027,A1027)</f>
        <v>80</v>
      </c>
      <c r="B1028" s="893"/>
      <c r="C1028" s="973" t="s">
        <v>714</v>
      </c>
      <c r="D1028" s="923"/>
      <c r="E1028" s="923"/>
      <c r="F1028" s="896"/>
      <c r="G1028" s="894" t="s">
        <v>2887</v>
      </c>
      <c r="H1028" s="924">
        <v>26.4</v>
      </c>
      <c r="I1028" s="882" t="str">
        <f t="shared" si="221"/>
        <v/>
      </c>
      <c r="J1028" s="925"/>
      <c r="K1028" s="899">
        <f>IF(G1028&lt;&gt;0,VLOOKUP(G1028,'gia dat'!$A$1:$F$144,5,0)," ")</f>
        <v>554400</v>
      </c>
      <c r="L1028" s="899">
        <f>IF(G1028&lt;&gt;0,VLOOKUP(G1028,'gia dat'!$A$1:$F$144,6,0)," ")</f>
        <v>0</v>
      </c>
      <c r="M1028" s="900">
        <f t="shared" si="215"/>
        <v>14636000</v>
      </c>
      <c r="N1028" s="900">
        <f t="shared" si="216"/>
        <v>0</v>
      </c>
      <c r="O1028" s="973"/>
      <c r="P1028" s="926"/>
      <c r="Q1028" s="900" t="str">
        <f>IF(O1028&lt;&gt;0,VLOOKUP(O1028,'Cây trong'!$A$2:$C$246,3,0)," ")</f>
        <v xml:space="preserve"> </v>
      </c>
      <c r="R1028" s="900" t="str">
        <f t="shared" si="217"/>
        <v xml:space="preserve"> </v>
      </c>
      <c r="S1028" s="902" t="s">
        <v>1748</v>
      </c>
      <c r="T1028" s="974" t="s">
        <v>53</v>
      </c>
      <c r="U1028" s="927">
        <v>7.2</v>
      </c>
      <c r="V1028" s="925"/>
      <c r="W1028" s="900">
        <f>IF(S1028&lt;&gt;0,VLOOKUP(S1028,VKT!$A$2:$G$415,7,0),"")</f>
        <v>0</v>
      </c>
      <c r="X1028" s="900">
        <f t="shared" si="212"/>
        <v>0</v>
      </c>
      <c r="Y1028" s="925"/>
      <c r="Z1028" s="928"/>
      <c r="AA1028" s="928"/>
      <c r="AB1028" s="904"/>
      <c r="AC1028" s="928"/>
      <c r="AD1028" s="928"/>
      <c r="AE1028" s="928"/>
      <c r="AF1028" s="926"/>
      <c r="AG1028" s="906" t="str">
        <f>IF(AE1028&lt;&gt;0,VLOOKUP(AE1028,ODDS!$A$2:$C$13,3,0),"")</f>
        <v/>
      </c>
      <c r="AH1028" s="906" t="str">
        <f t="shared" si="218"/>
        <v xml:space="preserve"> </v>
      </c>
      <c r="AI1028" s="907" t="str">
        <f t="shared" si="209"/>
        <v xml:space="preserve"> </v>
      </c>
      <c r="AJ1028" s="894" t="s">
        <v>612</v>
      </c>
      <c r="AK1028" s="894" t="s">
        <v>2448</v>
      </c>
    </row>
    <row r="1029" spans="1:37" s="376" customFormat="1" ht="112.5" outlineLevel="2" x14ac:dyDescent="0.3">
      <c r="A1029" s="447">
        <f t="shared" si="222"/>
        <v>80</v>
      </c>
      <c r="B1029" s="893"/>
      <c r="C1029" s="972"/>
      <c r="D1029" s="923"/>
      <c r="E1029" s="923"/>
      <c r="F1029" s="896"/>
      <c r="G1029" s="894"/>
      <c r="H1029" s="924"/>
      <c r="I1029" s="882"/>
      <c r="J1029" s="925"/>
      <c r="K1029" s="899" t="str">
        <f>IF(G1029&lt;&gt;0,VLOOKUP(G1029,'gia dat'!$A$1:$F$144,5,0)," ")</f>
        <v xml:space="preserve"> </v>
      </c>
      <c r="L1029" s="899" t="str">
        <f>IF(G1029&lt;&gt;0,VLOOKUP(G1029,'gia dat'!$A$1:$F$144,6,0)," ")</f>
        <v xml:space="preserve"> </v>
      </c>
      <c r="M1029" s="900" t="str">
        <f t="shared" si="215"/>
        <v xml:space="preserve"> </v>
      </c>
      <c r="N1029" s="900" t="str">
        <f t="shared" si="216"/>
        <v xml:space="preserve"> </v>
      </c>
      <c r="O1029" s="973"/>
      <c r="P1029" s="926"/>
      <c r="Q1029" s="900" t="str">
        <f>IF(O1029&lt;&gt;0,VLOOKUP(O1029,'Cây trong'!$A$2:$C$246,3,0)," ")</f>
        <v xml:space="preserve"> </v>
      </c>
      <c r="R1029" s="900" t="str">
        <f t="shared" si="217"/>
        <v xml:space="preserve"> </v>
      </c>
      <c r="S1029" s="973" t="s">
        <v>1901</v>
      </c>
      <c r="T1029" s="974" t="s">
        <v>53</v>
      </c>
      <c r="U1029" s="927">
        <v>95.04</v>
      </c>
      <c r="V1029" s="925"/>
      <c r="W1029" s="900">
        <f>IF(S1029&lt;&gt;0,VLOOKUP(S1029,VKT!$A$2:$G$415,7,0),"")</f>
        <v>441467</v>
      </c>
      <c r="X1029" s="900">
        <f t="shared" si="212"/>
        <v>41957000</v>
      </c>
      <c r="Y1029" s="925"/>
      <c r="Z1029" s="928"/>
      <c r="AA1029" s="928"/>
      <c r="AB1029" s="904"/>
      <c r="AC1029" s="928"/>
      <c r="AD1029" s="928"/>
      <c r="AE1029" s="928"/>
      <c r="AF1029" s="926"/>
      <c r="AG1029" s="906" t="str">
        <f>IF(AE1029&lt;&gt;0,VLOOKUP(AE1029,ODDS!$A$2:$C$13,3,0),"")</f>
        <v/>
      </c>
      <c r="AH1029" s="906" t="str">
        <f t="shared" si="218"/>
        <v xml:space="preserve"> </v>
      </c>
      <c r="AI1029" s="907" t="str">
        <f t="shared" si="209"/>
        <v xml:space="preserve"> </v>
      </c>
      <c r="AJ1029" s="929" t="s">
        <v>398</v>
      </c>
      <c r="AK1029" s="894" t="s">
        <v>2450</v>
      </c>
    </row>
    <row r="1030" spans="1:37" s="376" customFormat="1" ht="112.5" outlineLevel="2" x14ac:dyDescent="0.3">
      <c r="A1030" s="447">
        <f t="shared" si="222"/>
        <v>80</v>
      </c>
      <c r="B1030" s="893"/>
      <c r="C1030" s="894"/>
      <c r="D1030" s="923"/>
      <c r="E1030" s="947"/>
      <c r="F1030" s="947"/>
      <c r="G1030" s="922"/>
      <c r="H1030" s="924"/>
      <c r="I1030" s="882"/>
      <c r="J1030" s="943"/>
      <c r="K1030" s="899" t="str">
        <f>IF(G1030&lt;&gt;0,VLOOKUP(G1030,'gia dat'!$A$1:$F$144,5,0)," ")</f>
        <v xml:space="preserve"> </v>
      </c>
      <c r="L1030" s="899" t="str">
        <f>IF(G1030&lt;&gt;0,VLOOKUP(G1030,'gia dat'!$A$1:$F$144,6,0)," ")</f>
        <v xml:space="preserve"> </v>
      </c>
      <c r="M1030" s="900" t="str">
        <f t="shared" si="215"/>
        <v xml:space="preserve"> </v>
      </c>
      <c r="N1030" s="900" t="str">
        <f t="shared" si="216"/>
        <v xml:space="preserve"> </v>
      </c>
      <c r="O1030" s="908"/>
      <c r="P1030" s="1021"/>
      <c r="Q1030" s="900" t="str">
        <f>IF(O1030&lt;&gt;0,VLOOKUP(O1030,'Cây trong'!$A$2:$C$246,3,0)," ")</f>
        <v xml:space="preserve"> </v>
      </c>
      <c r="R1030" s="900" t="str">
        <f t="shared" si="217"/>
        <v xml:space="preserve"> </v>
      </c>
      <c r="S1030" s="902"/>
      <c r="T1030" s="944"/>
      <c r="U1030" s="927"/>
      <c r="V1030" s="946"/>
      <c r="W1030" s="900" t="str">
        <f>IF(S1030&lt;&gt;0,VLOOKUP(S1030,VKT!$A$2:$G$415,7,0),"")</f>
        <v/>
      </c>
      <c r="X1030" s="900" t="str">
        <f t="shared" si="212"/>
        <v xml:space="preserve"> </v>
      </c>
      <c r="Y1030" s="925"/>
      <c r="Z1030" s="928"/>
      <c r="AA1030" s="928"/>
      <c r="AB1030" s="904"/>
      <c r="AC1030" s="928"/>
      <c r="AD1030" s="928"/>
      <c r="AE1030" s="928"/>
      <c r="AF1030" s="926"/>
      <c r="AG1030" s="906" t="str">
        <f>IF(AE1030&lt;&gt;0,VLOOKUP(AE1030,ODDS!$A$2:$C$13,3,0),"")</f>
        <v/>
      </c>
      <c r="AH1030" s="906" t="str">
        <f t="shared" si="218"/>
        <v xml:space="preserve"> </v>
      </c>
      <c r="AI1030" s="907" t="str">
        <f t="shared" si="209"/>
        <v xml:space="preserve"> </v>
      </c>
      <c r="AJ1030" s="894" t="s">
        <v>2074</v>
      </c>
      <c r="AK1030" s="894" t="s">
        <v>2800</v>
      </c>
    </row>
    <row r="1031" spans="1:37" s="376" customFormat="1" ht="22.5" outlineLevel="2" x14ac:dyDescent="0.35">
      <c r="A1031" s="447">
        <f t="shared" si="222"/>
        <v>80</v>
      </c>
      <c r="B1031" s="893"/>
      <c r="C1031" s="894"/>
      <c r="D1031" s="923"/>
      <c r="E1031" s="923"/>
      <c r="F1031" s="950"/>
      <c r="G1031" s="894"/>
      <c r="H1031" s="940"/>
      <c r="I1031" s="882"/>
      <c r="J1031" s="929"/>
      <c r="K1031" s="899" t="str">
        <f>IF(G1031&lt;&gt;0,VLOOKUP(G1031,'gia dat'!$A$1:$F$144,5,0)," ")</f>
        <v xml:space="preserve"> </v>
      </c>
      <c r="L1031" s="899" t="str">
        <f>IF(G1031&lt;&gt;0,VLOOKUP(G1031,'gia dat'!$A$1:$F$144,6,0)," ")</f>
        <v xml:space="preserve"> </v>
      </c>
      <c r="M1031" s="900" t="str">
        <f t="shared" si="215"/>
        <v xml:space="preserve"> </v>
      </c>
      <c r="N1031" s="900" t="str">
        <f t="shared" si="216"/>
        <v xml:space="preserve"> </v>
      </c>
      <c r="O1031" s="929"/>
      <c r="P1031" s="951"/>
      <c r="Q1031" s="900" t="str">
        <f>IF(O1031&lt;&gt;0,VLOOKUP(O1031,'Cây trong'!$A$2:$C$246,3,0)," ")</f>
        <v xml:space="preserve"> </v>
      </c>
      <c r="R1031" s="900" t="str">
        <f t="shared" si="217"/>
        <v xml:space="preserve"> </v>
      </c>
      <c r="S1031" s="929"/>
      <c r="T1031" s="929"/>
      <c r="U1031" s="952"/>
      <c r="V1031" s="925"/>
      <c r="W1031" s="900" t="str">
        <f>IF(S1031&lt;&gt;0,VLOOKUP(S1031,VKT!$A$2:$G$415,7,0),"")</f>
        <v/>
      </c>
      <c r="X1031" s="900" t="str">
        <f t="shared" si="212"/>
        <v xml:space="preserve"> </v>
      </c>
      <c r="Y1031" s="925"/>
      <c r="Z1031" s="925"/>
      <c r="AA1031" s="925"/>
      <c r="AB1031" s="898"/>
      <c r="AC1031" s="925"/>
      <c r="AD1031" s="925"/>
      <c r="AE1031" s="925"/>
      <c r="AF1031" s="964"/>
      <c r="AG1031" s="906" t="str">
        <f>IF(AE1031&lt;&gt;0,VLOOKUP(AE1031,ODDS!$A$2:$C$13,3,0),"")</f>
        <v/>
      </c>
      <c r="AH1031" s="906" t="str">
        <f t="shared" si="218"/>
        <v xml:space="preserve"> </v>
      </c>
      <c r="AI1031" s="907" t="str">
        <f t="shared" si="209"/>
        <v xml:space="preserve"> </v>
      </c>
      <c r="AJ1031" s="911"/>
      <c r="AK1031" s="929"/>
    </row>
    <row r="1032" spans="1:37" s="376" customFormat="1" ht="22.5" outlineLevel="2" x14ac:dyDescent="0.3">
      <c r="A1032" s="447">
        <f t="shared" si="222"/>
        <v>80</v>
      </c>
      <c r="B1032" s="893"/>
      <c r="C1032" s="894"/>
      <c r="D1032" s="923"/>
      <c r="E1032" s="947"/>
      <c r="F1032" s="947"/>
      <c r="G1032" s="922"/>
      <c r="H1032" s="924"/>
      <c r="I1032" s="882"/>
      <c r="J1032" s="943"/>
      <c r="K1032" s="899" t="str">
        <f>IF(G1032&lt;&gt;0,VLOOKUP(G1032,'gia dat'!$A$1:$F$144,5,0)," ")</f>
        <v xml:space="preserve"> </v>
      </c>
      <c r="L1032" s="899" t="str">
        <f>IF(G1032&lt;&gt;0,VLOOKUP(G1032,'gia dat'!$A$1:$F$144,6,0)," ")</f>
        <v xml:space="preserve"> </v>
      </c>
      <c r="M1032" s="900" t="str">
        <f t="shared" si="215"/>
        <v xml:space="preserve"> </v>
      </c>
      <c r="N1032" s="900" t="str">
        <f t="shared" si="216"/>
        <v xml:space="preserve"> </v>
      </c>
      <c r="O1032" s="908"/>
      <c r="P1032" s="1021"/>
      <c r="Q1032" s="900" t="str">
        <f>IF(O1032&lt;&gt;0,VLOOKUP(O1032,'Cây trong'!$A$2:$C$246,3,0)," ")</f>
        <v xml:space="preserve"> </v>
      </c>
      <c r="R1032" s="900" t="str">
        <f t="shared" si="217"/>
        <v xml:space="preserve"> </v>
      </c>
      <c r="S1032" s="902"/>
      <c r="T1032" s="944"/>
      <c r="U1032" s="927"/>
      <c r="V1032" s="946"/>
      <c r="W1032" s="900" t="str">
        <f>IF(S1032&lt;&gt;0,VLOOKUP(S1032,VKT!$A$2:$G$415,7,0),"")</f>
        <v/>
      </c>
      <c r="X1032" s="900" t="str">
        <f t="shared" si="212"/>
        <v xml:space="preserve"> </v>
      </c>
      <c r="Y1032" s="925"/>
      <c r="Z1032" s="928"/>
      <c r="AA1032" s="928"/>
      <c r="AB1032" s="904"/>
      <c r="AC1032" s="928"/>
      <c r="AD1032" s="928"/>
      <c r="AE1032" s="928"/>
      <c r="AF1032" s="926"/>
      <c r="AG1032" s="906" t="str">
        <f>IF(AE1032&lt;&gt;0,VLOOKUP(AE1032,ODDS!$A$2:$C$13,3,0),"")</f>
        <v/>
      </c>
      <c r="AH1032" s="906" t="str">
        <f t="shared" si="218"/>
        <v xml:space="preserve"> </v>
      </c>
      <c r="AI1032" s="907" t="str">
        <f t="shared" si="209"/>
        <v xml:space="preserve"> </v>
      </c>
      <c r="AJ1032" s="929"/>
      <c r="AK1032" s="929"/>
    </row>
    <row r="1033" spans="1:37" s="376" customFormat="1" ht="22.5" outlineLevel="2" x14ac:dyDescent="0.3">
      <c r="A1033" s="447">
        <f t="shared" si="222"/>
        <v>80</v>
      </c>
      <c r="B1033" s="893"/>
      <c r="C1033" s="894"/>
      <c r="D1033" s="923"/>
      <c r="E1033" s="947"/>
      <c r="F1033" s="947"/>
      <c r="G1033" s="922"/>
      <c r="H1033" s="924"/>
      <c r="I1033" s="882"/>
      <c r="J1033" s="943"/>
      <c r="K1033" s="899" t="str">
        <f>IF(G1033&lt;&gt;0,VLOOKUP(G1033,'gia dat'!$A$1:$F$144,5,0)," ")</f>
        <v xml:space="preserve"> </v>
      </c>
      <c r="L1033" s="899" t="str">
        <f>IF(G1033&lt;&gt;0,VLOOKUP(G1033,'gia dat'!$A$1:$F$144,6,0)," ")</f>
        <v xml:space="preserve"> </v>
      </c>
      <c r="M1033" s="900" t="str">
        <f t="shared" si="215"/>
        <v xml:space="preserve"> </v>
      </c>
      <c r="N1033" s="900" t="str">
        <f t="shared" si="216"/>
        <v xml:space="preserve"> </v>
      </c>
      <c r="O1033" s="908"/>
      <c r="P1033" s="1021"/>
      <c r="Q1033" s="900" t="str">
        <f>IF(O1033&lt;&gt;0,VLOOKUP(O1033,'Cây trong'!$A$2:$C$246,3,0)," ")</f>
        <v xml:space="preserve"> </v>
      </c>
      <c r="R1033" s="900" t="str">
        <f t="shared" si="217"/>
        <v xml:space="preserve"> </v>
      </c>
      <c r="S1033" s="902"/>
      <c r="T1033" s="944"/>
      <c r="U1033" s="927"/>
      <c r="V1033" s="946"/>
      <c r="W1033" s="900" t="str">
        <f>IF(S1033&lt;&gt;0,VLOOKUP(S1033,VKT!$A$2:$G$415,7,0),"")</f>
        <v/>
      </c>
      <c r="X1033" s="900" t="str">
        <f t="shared" si="212"/>
        <v xml:space="preserve"> </v>
      </c>
      <c r="Y1033" s="925"/>
      <c r="Z1033" s="928"/>
      <c r="AA1033" s="928"/>
      <c r="AB1033" s="904"/>
      <c r="AC1033" s="928"/>
      <c r="AD1033" s="928"/>
      <c r="AE1033" s="928"/>
      <c r="AF1033" s="926"/>
      <c r="AG1033" s="906" t="str">
        <f>IF(AE1033&lt;&gt;0,VLOOKUP(AE1033,ODDS!$A$2:$C$13,3,0),"")</f>
        <v/>
      </c>
      <c r="AH1033" s="906" t="str">
        <f t="shared" si="218"/>
        <v xml:space="preserve"> </v>
      </c>
      <c r="AI1033" s="907" t="str">
        <f t="shared" ref="AI1033:AI1096" si="223">IF(B1033&lt;&gt;0,M1033+N1033+R1033+X1033+AH1033," ")</f>
        <v xml:space="preserve"> </v>
      </c>
      <c r="AJ1033" s="929"/>
      <c r="AK1033" s="929"/>
    </row>
    <row r="1034" spans="1:37" s="376" customFormat="1" ht="22.5" outlineLevel="2" x14ac:dyDescent="0.3">
      <c r="A1034" s="447">
        <f t="shared" si="222"/>
        <v>80</v>
      </c>
      <c r="B1034" s="893"/>
      <c r="C1034" s="894"/>
      <c r="D1034" s="923"/>
      <c r="E1034" s="947"/>
      <c r="F1034" s="947"/>
      <c r="G1034" s="922"/>
      <c r="H1034" s="924"/>
      <c r="I1034" s="882"/>
      <c r="J1034" s="943"/>
      <c r="K1034" s="899" t="str">
        <f>IF(G1034&lt;&gt;0,VLOOKUP(G1034,'gia dat'!$A$1:$F$144,5,0)," ")</f>
        <v xml:space="preserve"> </v>
      </c>
      <c r="L1034" s="899" t="str">
        <f>IF(G1034&lt;&gt;0,VLOOKUP(G1034,'gia dat'!$A$1:$F$144,6,0)," ")</f>
        <v xml:space="preserve"> </v>
      </c>
      <c r="M1034" s="900" t="str">
        <f t="shared" si="215"/>
        <v xml:space="preserve"> </v>
      </c>
      <c r="N1034" s="900" t="str">
        <f t="shared" si="216"/>
        <v xml:space="preserve"> </v>
      </c>
      <c r="O1034" s="908"/>
      <c r="P1034" s="1021"/>
      <c r="Q1034" s="900" t="str">
        <f>IF(O1034&lt;&gt;0,VLOOKUP(O1034,'Cây trong'!$A$2:$C$246,3,0)," ")</f>
        <v xml:space="preserve"> </v>
      </c>
      <c r="R1034" s="900" t="str">
        <f t="shared" si="217"/>
        <v xml:space="preserve"> </v>
      </c>
      <c r="S1034" s="902"/>
      <c r="T1034" s="944"/>
      <c r="U1034" s="927"/>
      <c r="V1034" s="946"/>
      <c r="W1034" s="900" t="str">
        <f>IF(S1034&lt;&gt;0,VLOOKUP(S1034,VKT!$A$2:$G$415,7,0),"")</f>
        <v/>
      </c>
      <c r="X1034" s="900" t="str">
        <f t="shared" si="212"/>
        <v xml:space="preserve"> </v>
      </c>
      <c r="Y1034" s="925"/>
      <c r="Z1034" s="928"/>
      <c r="AA1034" s="928"/>
      <c r="AB1034" s="904"/>
      <c r="AC1034" s="928"/>
      <c r="AD1034" s="928"/>
      <c r="AE1034" s="928"/>
      <c r="AF1034" s="926"/>
      <c r="AG1034" s="906" t="str">
        <f>IF(AE1034&lt;&gt;0,VLOOKUP(AE1034,ODDS!$A$2:$C$13,3,0),"")</f>
        <v/>
      </c>
      <c r="AH1034" s="906" t="str">
        <f t="shared" si="218"/>
        <v xml:space="preserve"> </v>
      </c>
      <c r="AI1034" s="907" t="str">
        <f t="shared" si="223"/>
        <v xml:space="preserve"> </v>
      </c>
      <c r="AJ1034" s="929"/>
      <c r="AK1034" s="929"/>
    </row>
    <row r="1035" spans="1:37" s="376" customFormat="1" ht="22.5" outlineLevel="2" x14ac:dyDescent="0.3">
      <c r="A1035" s="447">
        <f t="shared" si="222"/>
        <v>80</v>
      </c>
      <c r="B1035" s="893"/>
      <c r="C1035" s="942"/>
      <c r="D1035" s="923"/>
      <c r="E1035" s="923"/>
      <c r="F1035" s="896"/>
      <c r="G1035" s="894"/>
      <c r="H1035" s="924"/>
      <c r="I1035" s="882"/>
      <c r="J1035" s="925"/>
      <c r="K1035" s="899" t="str">
        <f>IF(G1035&lt;&gt;0,VLOOKUP(G1035,'gia dat'!$A$1:$F$144,5,0)," ")</f>
        <v xml:space="preserve"> </v>
      </c>
      <c r="L1035" s="899" t="str">
        <f>IF(G1035&lt;&gt;0,VLOOKUP(G1035,'gia dat'!$A$1:$F$144,6,0)," ")</f>
        <v xml:space="preserve"> </v>
      </c>
      <c r="M1035" s="900" t="str">
        <f t="shared" si="215"/>
        <v xml:space="preserve"> </v>
      </c>
      <c r="N1035" s="900" t="str">
        <f t="shared" si="216"/>
        <v xml:space="preserve"> </v>
      </c>
      <c r="O1035" s="894"/>
      <c r="P1035" s="926"/>
      <c r="Q1035" s="900" t="str">
        <f>IF(O1035&lt;&gt;0,VLOOKUP(O1035,'Cây trong'!$A$2:$C$246,3,0)," ")</f>
        <v xml:space="preserve"> </v>
      </c>
      <c r="R1035" s="900" t="str">
        <f t="shared" si="217"/>
        <v xml:space="preserve"> </v>
      </c>
      <c r="S1035" s="902"/>
      <c r="T1035" s="925"/>
      <c r="U1035" s="927"/>
      <c r="V1035" s="925"/>
      <c r="W1035" s="900" t="str">
        <f>IF(S1035&lt;&gt;0,VLOOKUP(S1035,VKT!$A$2:$G$415,7,0),"")</f>
        <v/>
      </c>
      <c r="X1035" s="900" t="str">
        <f t="shared" si="212"/>
        <v xml:space="preserve"> </v>
      </c>
      <c r="Y1035" s="925"/>
      <c r="Z1035" s="928"/>
      <c r="AA1035" s="928"/>
      <c r="AB1035" s="904"/>
      <c r="AC1035" s="928"/>
      <c r="AD1035" s="928"/>
      <c r="AE1035" s="928"/>
      <c r="AF1035" s="926"/>
      <c r="AG1035" s="906" t="str">
        <f>IF(AE1035&lt;&gt;0,VLOOKUP(AE1035,ODDS!$A$2:$C$13,3,0),"")</f>
        <v/>
      </c>
      <c r="AH1035" s="906" t="str">
        <f t="shared" si="218"/>
        <v xml:space="preserve"> </v>
      </c>
      <c r="AI1035" s="907" t="str">
        <f t="shared" si="223"/>
        <v xml:space="preserve"> </v>
      </c>
      <c r="AJ1035" s="929"/>
      <c r="AK1035" s="929"/>
    </row>
    <row r="1036" spans="1:37" s="376" customFormat="1" ht="22.5" outlineLevel="2" x14ac:dyDescent="0.3">
      <c r="A1036" s="447">
        <f t="shared" si="222"/>
        <v>80</v>
      </c>
      <c r="B1036" s="893"/>
      <c r="C1036" s="908"/>
      <c r="D1036" s="923"/>
      <c r="E1036" s="923"/>
      <c r="F1036" s="896"/>
      <c r="G1036" s="894"/>
      <c r="H1036" s="924"/>
      <c r="I1036" s="882"/>
      <c r="J1036" s="925"/>
      <c r="K1036" s="899" t="str">
        <f>IF(G1036&lt;&gt;0,VLOOKUP(G1036,'gia dat'!$A$1:$F$144,5,0)," ")</f>
        <v xml:space="preserve"> </v>
      </c>
      <c r="L1036" s="899" t="str">
        <f>IF(G1036&lt;&gt;0,VLOOKUP(G1036,'gia dat'!$A$1:$F$144,6,0)," ")</f>
        <v xml:space="preserve"> </v>
      </c>
      <c r="M1036" s="900" t="str">
        <f t="shared" si="215"/>
        <v xml:space="preserve"> </v>
      </c>
      <c r="N1036" s="900" t="str">
        <f t="shared" si="216"/>
        <v xml:space="preserve"> </v>
      </c>
      <c r="O1036" s="894"/>
      <c r="P1036" s="926"/>
      <c r="Q1036" s="900" t="str">
        <f>IF(O1036&lt;&gt;0,VLOOKUP(O1036,'Cây trong'!$A$2:$C$246,3,0)," ")</f>
        <v xml:space="preserve"> </v>
      </c>
      <c r="R1036" s="900" t="str">
        <f t="shared" si="217"/>
        <v xml:space="preserve"> </v>
      </c>
      <c r="S1036" s="902"/>
      <c r="T1036" s="925"/>
      <c r="U1036" s="927"/>
      <c r="V1036" s="925"/>
      <c r="W1036" s="900" t="str">
        <f>IF(S1036&lt;&gt;0,VLOOKUP(S1036,VKT!$A$2:$G$415,7,0),"")</f>
        <v/>
      </c>
      <c r="X1036" s="900" t="str">
        <f t="shared" si="212"/>
        <v xml:space="preserve"> </v>
      </c>
      <c r="Y1036" s="925"/>
      <c r="Z1036" s="928"/>
      <c r="AA1036" s="928"/>
      <c r="AB1036" s="904"/>
      <c r="AC1036" s="928"/>
      <c r="AD1036" s="928"/>
      <c r="AE1036" s="928"/>
      <c r="AF1036" s="926"/>
      <c r="AG1036" s="906" t="str">
        <f>IF(AE1036&lt;&gt;0,VLOOKUP(AE1036,ODDS!$A$2:$C$13,3,0),"")</f>
        <v/>
      </c>
      <c r="AH1036" s="906" t="str">
        <f t="shared" si="218"/>
        <v xml:space="preserve"> </v>
      </c>
      <c r="AI1036" s="907" t="str">
        <f t="shared" si="223"/>
        <v xml:space="preserve"> </v>
      </c>
      <c r="AJ1036" s="929"/>
      <c r="AK1036" s="929"/>
    </row>
    <row r="1037" spans="1:37" s="376" customFormat="1" ht="22.5" outlineLevel="2" x14ac:dyDescent="0.3">
      <c r="A1037" s="447">
        <f t="shared" si="222"/>
        <v>80</v>
      </c>
      <c r="B1037" s="893"/>
      <c r="C1037" s="908"/>
      <c r="D1037" s="923"/>
      <c r="E1037" s="947"/>
      <c r="F1037" s="947"/>
      <c r="G1037" s="922"/>
      <c r="H1037" s="924"/>
      <c r="I1037" s="882"/>
      <c r="J1037" s="943"/>
      <c r="K1037" s="899" t="str">
        <f>IF(G1037&lt;&gt;0,VLOOKUP(G1037,'gia dat'!$A$1:$F$144,5,0)," ")</f>
        <v xml:space="preserve"> </v>
      </c>
      <c r="L1037" s="899" t="str">
        <f>IF(G1037&lt;&gt;0,VLOOKUP(G1037,'gia dat'!$A$1:$F$144,6,0)," ")</f>
        <v xml:space="preserve"> </v>
      </c>
      <c r="M1037" s="900" t="str">
        <f t="shared" si="215"/>
        <v xml:space="preserve"> </v>
      </c>
      <c r="N1037" s="900" t="str">
        <f t="shared" si="216"/>
        <v xml:space="preserve"> </v>
      </c>
      <c r="O1037" s="908"/>
      <c r="P1037" s="1021"/>
      <c r="Q1037" s="900" t="str">
        <f>IF(O1037&lt;&gt;0,VLOOKUP(O1037,'Cây trong'!$A$2:$C$246,3,0)," ")</f>
        <v xml:space="preserve"> </v>
      </c>
      <c r="R1037" s="900" t="str">
        <f t="shared" si="217"/>
        <v xml:space="preserve"> </v>
      </c>
      <c r="S1037" s="902"/>
      <c r="T1037" s="944"/>
      <c r="U1037" s="927"/>
      <c r="V1037" s="925"/>
      <c r="W1037" s="900" t="str">
        <f>IF(S1037&lt;&gt;0,VLOOKUP(S1037,VKT!$A$2:$G$415,7,0),"")</f>
        <v/>
      </c>
      <c r="X1037" s="900" t="str">
        <f t="shared" si="212"/>
        <v xml:space="preserve"> </v>
      </c>
      <c r="Y1037" s="925"/>
      <c r="Z1037" s="928"/>
      <c r="AA1037" s="928"/>
      <c r="AB1037" s="904"/>
      <c r="AC1037" s="928"/>
      <c r="AD1037" s="928"/>
      <c r="AE1037" s="928"/>
      <c r="AF1037" s="926"/>
      <c r="AG1037" s="906" t="str">
        <f>IF(AE1037&lt;&gt;0,VLOOKUP(AE1037,ODDS!$A$2:$C$13,3,0),"")</f>
        <v/>
      </c>
      <c r="AH1037" s="906" t="str">
        <f t="shared" si="218"/>
        <v xml:space="preserve"> </v>
      </c>
      <c r="AI1037" s="907" t="str">
        <f t="shared" si="223"/>
        <v xml:space="preserve"> </v>
      </c>
      <c r="AJ1037" s="929"/>
      <c r="AK1037" s="929"/>
    </row>
    <row r="1038" spans="1:37" s="376" customFormat="1" ht="22.5" outlineLevel="2" x14ac:dyDescent="0.3">
      <c r="A1038" s="447">
        <f t="shared" si="222"/>
        <v>80</v>
      </c>
      <c r="B1038" s="893"/>
      <c r="C1038" s="894"/>
      <c r="D1038" s="923"/>
      <c r="E1038" s="923"/>
      <c r="F1038" s="896"/>
      <c r="G1038" s="922"/>
      <c r="H1038" s="924"/>
      <c r="I1038" s="882"/>
      <c r="J1038" s="943"/>
      <c r="K1038" s="899" t="str">
        <f>IF(G1038&lt;&gt;0,VLOOKUP(G1038,'gia dat'!$A$1:$F$144,5,0)," ")</f>
        <v xml:space="preserve"> </v>
      </c>
      <c r="L1038" s="899" t="str">
        <f>IF(G1038&lt;&gt;0,VLOOKUP(G1038,'gia dat'!$A$1:$F$144,6,0)," ")</f>
        <v xml:space="preserve"> </v>
      </c>
      <c r="M1038" s="900" t="str">
        <f t="shared" si="215"/>
        <v xml:space="preserve"> </v>
      </c>
      <c r="N1038" s="900" t="str">
        <f t="shared" si="216"/>
        <v xml:space="preserve"> </v>
      </c>
      <c r="O1038" s="908"/>
      <c r="P1038" s="1021"/>
      <c r="Q1038" s="900" t="str">
        <f>IF(O1038&lt;&gt;0,VLOOKUP(O1038,'Cây trong'!$A$2:$C$246,3,0)," ")</f>
        <v xml:space="preserve"> </v>
      </c>
      <c r="R1038" s="900" t="str">
        <f t="shared" si="217"/>
        <v xml:space="preserve"> </v>
      </c>
      <c r="S1038" s="902"/>
      <c r="T1038" s="944"/>
      <c r="U1038" s="927"/>
      <c r="V1038" s="925"/>
      <c r="W1038" s="900" t="str">
        <f>IF(S1038&lt;&gt;0,VLOOKUP(S1038,VKT!$A$2:$G$415,7,0),"")</f>
        <v/>
      </c>
      <c r="X1038" s="900" t="str">
        <f t="shared" ref="X1038:X1106" si="224">IF(S1038&lt;&gt;0,ROUND(U1038*W1038,-3)," ")</f>
        <v xml:space="preserve"> </v>
      </c>
      <c r="Y1038" s="925"/>
      <c r="Z1038" s="928"/>
      <c r="AA1038" s="928"/>
      <c r="AB1038" s="904"/>
      <c r="AC1038" s="928"/>
      <c r="AD1038" s="928"/>
      <c r="AE1038" s="928"/>
      <c r="AF1038" s="926"/>
      <c r="AG1038" s="906" t="str">
        <f>IF(AE1038&lt;&gt;0,VLOOKUP(AE1038,ODDS!$A$2:$C$13,3,0),"")</f>
        <v/>
      </c>
      <c r="AH1038" s="906" t="str">
        <f t="shared" si="218"/>
        <v xml:space="preserve"> </v>
      </c>
      <c r="AI1038" s="907" t="str">
        <f t="shared" si="223"/>
        <v xml:space="preserve"> </v>
      </c>
      <c r="AJ1038" s="929"/>
      <c r="AK1038" s="929"/>
    </row>
    <row r="1039" spans="1:37" s="376" customFormat="1" ht="22.5" outlineLevel="2" x14ac:dyDescent="0.3">
      <c r="A1039" s="447">
        <f t="shared" si="222"/>
        <v>80</v>
      </c>
      <c r="B1039" s="893"/>
      <c r="C1039" s="894"/>
      <c r="D1039" s="923"/>
      <c r="E1039" s="923"/>
      <c r="F1039" s="896"/>
      <c r="G1039" s="922"/>
      <c r="H1039" s="924"/>
      <c r="I1039" s="882"/>
      <c r="J1039" s="943"/>
      <c r="K1039" s="899" t="str">
        <f>IF(G1039&lt;&gt;0,VLOOKUP(G1039,'gia dat'!$A$1:$F$144,5,0)," ")</f>
        <v xml:space="preserve"> </v>
      </c>
      <c r="L1039" s="899" t="str">
        <f>IF(G1039&lt;&gt;0,VLOOKUP(G1039,'gia dat'!$A$1:$F$144,6,0)," ")</f>
        <v xml:space="preserve"> </v>
      </c>
      <c r="M1039" s="900" t="str">
        <f t="shared" si="215"/>
        <v xml:space="preserve"> </v>
      </c>
      <c r="N1039" s="900" t="str">
        <f t="shared" si="216"/>
        <v xml:space="preserve"> </v>
      </c>
      <c r="O1039" s="908"/>
      <c r="P1039" s="1021"/>
      <c r="Q1039" s="900" t="str">
        <f>IF(O1039&lt;&gt;0,VLOOKUP(O1039,'Cây trong'!$A$2:$C$246,3,0)," ")</f>
        <v xml:space="preserve"> </v>
      </c>
      <c r="R1039" s="900" t="str">
        <f t="shared" si="217"/>
        <v xml:space="preserve"> </v>
      </c>
      <c r="S1039" s="908"/>
      <c r="T1039" s="944"/>
      <c r="U1039" s="927"/>
      <c r="V1039" s="925"/>
      <c r="W1039" s="900" t="str">
        <f>IF(S1039&lt;&gt;0,VLOOKUP(S1039,VKT!$A$2:$G$415,7,0),"")</f>
        <v/>
      </c>
      <c r="X1039" s="900" t="str">
        <f t="shared" si="224"/>
        <v xml:space="preserve"> </v>
      </c>
      <c r="Y1039" s="944"/>
      <c r="Z1039" s="944"/>
      <c r="AA1039" s="944"/>
      <c r="AB1039" s="944"/>
      <c r="AC1039" s="944"/>
      <c r="AD1039" s="928"/>
      <c r="AE1039" s="928"/>
      <c r="AF1039" s="926"/>
      <c r="AG1039" s="906" t="str">
        <f>IF(AE1039&lt;&gt;0,VLOOKUP(AE1039,ODDS!$A$2:$C$13,3,0),"")</f>
        <v/>
      </c>
      <c r="AH1039" s="906" t="str">
        <f t="shared" si="218"/>
        <v xml:space="preserve"> </v>
      </c>
      <c r="AI1039" s="907" t="str">
        <f t="shared" si="223"/>
        <v xml:space="preserve"> </v>
      </c>
      <c r="AJ1039" s="929"/>
      <c r="AK1039" s="929"/>
    </row>
    <row r="1040" spans="1:37" s="376" customFormat="1" ht="22.5" outlineLevel="2" x14ac:dyDescent="0.3">
      <c r="A1040" s="447">
        <f t="shared" si="222"/>
        <v>80</v>
      </c>
      <c r="B1040" s="893"/>
      <c r="C1040" s="910"/>
      <c r="D1040" s="923"/>
      <c r="E1040" s="923"/>
      <c r="F1040" s="896"/>
      <c r="G1040" s="922"/>
      <c r="H1040" s="924"/>
      <c r="I1040" s="882"/>
      <c r="J1040" s="943"/>
      <c r="K1040" s="899" t="str">
        <f>IF(G1040&lt;&gt;0,VLOOKUP(G1040,'gia dat'!$A$1:$F$144,5,0)," ")</f>
        <v xml:space="preserve"> </v>
      </c>
      <c r="L1040" s="899" t="str">
        <f>IF(G1040&lt;&gt;0,VLOOKUP(G1040,'gia dat'!$A$1:$F$144,6,0)," ")</f>
        <v xml:space="preserve"> </v>
      </c>
      <c r="M1040" s="900" t="str">
        <f t="shared" si="215"/>
        <v xml:space="preserve"> </v>
      </c>
      <c r="N1040" s="900" t="str">
        <f t="shared" si="216"/>
        <v xml:space="preserve"> </v>
      </c>
      <c r="O1040" s="908"/>
      <c r="P1040" s="1021"/>
      <c r="Q1040" s="900" t="str">
        <f>IF(O1040&lt;&gt;0,VLOOKUP(O1040,'Cây trong'!$A$2:$C$246,3,0)," ")</f>
        <v xml:space="preserve"> </v>
      </c>
      <c r="R1040" s="900" t="str">
        <f t="shared" si="217"/>
        <v xml:space="preserve"> </v>
      </c>
      <c r="S1040" s="908"/>
      <c r="T1040" s="944"/>
      <c r="U1040" s="927"/>
      <c r="V1040" s="946"/>
      <c r="W1040" s="900" t="str">
        <f>IF(S1040&lt;&gt;0,VLOOKUP(S1040,VKT!$A$2:$G$415,7,0),"")</f>
        <v/>
      </c>
      <c r="X1040" s="900" t="str">
        <f t="shared" si="224"/>
        <v xml:space="preserve"> </v>
      </c>
      <c r="Y1040" s="944"/>
      <c r="Z1040" s="944"/>
      <c r="AA1040" s="944"/>
      <c r="AB1040" s="944"/>
      <c r="AC1040" s="944"/>
      <c r="AD1040" s="928"/>
      <c r="AE1040" s="928"/>
      <c r="AF1040" s="926"/>
      <c r="AG1040" s="906" t="str">
        <f>IF(AE1040&lt;&gt;0,VLOOKUP(AE1040,ODDS!$A$2:$C$13,3,0),"")</f>
        <v/>
      </c>
      <c r="AH1040" s="906" t="str">
        <f t="shared" si="218"/>
        <v xml:space="preserve"> </v>
      </c>
      <c r="AI1040" s="907" t="str">
        <f t="shared" si="223"/>
        <v xml:space="preserve"> </v>
      </c>
      <c r="AJ1040" s="929"/>
      <c r="AK1040" s="929"/>
    </row>
    <row r="1041" spans="1:39" s="376" customFormat="1" ht="43.5" outlineLevel="1" x14ac:dyDescent="0.25">
      <c r="A1041" s="467" t="s">
        <v>2629</v>
      </c>
      <c r="B1041" s="912">
        <v>81</v>
      </c>
      <c r="C1041" s="910" t="s">
        <v>50</v>
      </c>
      <c r="D1041" s="931"/>
      <c r="E1041" s="931"/>
      <c r="F1041" s="913"/>
      <c r="G1041" s="910"/>
      <c r="H1041" s="953">
        <f>SUBTOTAL(9,H1042:H1057)</f>
        <v>228.8</v>
      </c>
      <c r="I1041" s="915">
        <f>SUBTOTAL(9,I1042:I1047)</f>
        <v>228.8</v>
      </c>
      <c r="J1041" s="933"/>
      <c r="K1041" s="917"/>
      <c r="L1041" s="917"/>
      <c r="M1041" s="907">
        <f>SUBTOTAL(9,M1042:M1057)</f>
        <v>126847000</v>
      </c>
      <c r="N1041" s="907">
        <f>SUBTOTAL(9,N1042:N1057)</f>
        <v>380540000</v>
      </c>
      <c r="O1041" s="1006"/>
      <c r="P1041" s="935">
        <f>SUBTOTAL(9,P1042:P1057)</f>
        <v>964</v>
      </c>
      <c r="Q1041" s="907"/>
      <c r="R1041" s="907">
        <f>SUBTOTAL(9,R1042:R1057)</f>
        <v>53612000</v>
      </c>
      <c r="S1041" s="1006"/>
      <c r="T1041" s="1007"/>
      <c r="U1041" s="936">
        <f>SUBTOTAL(9,U1042:U1057)</f>
        <v>41.1</v>
      </c>
      <c r="V1041" s="933"/>
      <c r="W1041" s="907"/>
      <c r="X1041" s="907">
        <f>SUBTOTAL(9,X1042:X1057)</f>
        <v>12888000</v>
      </c>
      <c r="Y1041" s="925"/>
      <c r="Z1041" s="928"/>
      <c r="AA1041" s="928"/>
      <c r="AB1041" s="904"/>
      <c r="AC1041" s="928"/>
      <c r="AD1041" s="928"/>
      <c r="AE1041" s="937"/>
      <c r="AF1041" s="935">
        <f>SUBTOTAL(9,AF1042:AF1057)</f>
        <v>0</v>
      </c>
      <c r="AG1041" s="921"/>
      <c r="AH1041" s="921">
        <f>SUBTOTAL(9,AH1042:AH1057)</f>
        <v>0</v>
      </c>
      <c r="AI1041" s="907">
        <f t="shared" si="223"/>
        <v>573887000</v>
      </c>
      <c r="AJ1041" s="910"/>
      <c r="AK1041" s="914"/>
      <c r="AM1041" s="473"/>
    </row>
    <row r="1042" spans="1:39" s="376" customFormat="1" ht="135" outlineLevel="2" x14ac:dyDescent="0.3">
      <c r="A1042" s="447">
        <f>IF(B1041&lt;&gt;0,B1041,A1040)</f>
        <v>81</v>
      </c>
      <c r="B1042" s="893"/>
      <c r="C1042" s="894" t="s">
        <v>112</v>
      </c>
      <c r="D1042" s="923"/>
      <c r="E1042" s="923">
        <v>86</v>
      </c>
      <c r="F1042" s="896">
        <v>71</v>
      </c>
      <c r="G1042" s="894" t="s">
        <v>2886</v>
      </c>
      <c r="H1042" s="924">
        <v>224</v>
      </c>
      <c r="I1042" s="882">
        <f t="shared" ref="I1042:I1043" si="225">IF(N1042&gt;0,H1042,"")</f>
        <v>224</v>
      </c>
      <c r="J1042" s="925"/>
      <c r="K1042" s="899">
        <f>IF(G1042&lt;&gt;0,VLOOKUP(G1042,'gia dat'!$A$1:$F$144,5,0)," ")</f>
        <v>554400</v>
      </c>
      <c r="L1042" s="899">
        <f>IF(G1042&lt;&gt;0,VLOOKUP(G1042,'gia dat'!$A$1:$F$144,6,0)," ")</f>
        <v>1663200</v>
      </c>
      <c r="M1042" s="900">
        <f t="shared" si="215"/>
        <v>124186000</v>
      </c>
      <c r="N1042" s="900">
        <f t="shared" si="216"/>
        <v>372557000</v>
      </c>
      <c r="O1042" s="973" t="s">
        <v>187</v>
      </c>
      <c r="P1042" s="926">
        <v>12</v>
      </c>
      <c r="Q1042" s="900">
        <f>IF(O1042&lt;&gt;0,VLOOKUP(O1042,'Cây trong'!$A$2:$C$246,3,0)," ")</f>
        <v>120000</v>
      </c>
      <c r="R1042" s="900">
        <f t="shared" si="217"/>
        <v>1440000</v>
      </c>
      <c r="S1042" s="973" t="s">
        <v>1749</v>
      </c>
      <c r="T1042" s="974" t="s">
        <v>53</v>
      </c>
      <c r="U1042" s="927">
        <v>37.1</v>
      </c>
      <c r="V1042" s="925"/>
      <c r="W1042" s="900">
        <f>IF(S1042&lt;&gt;0,VLOOKUP(S1042,VKT!$A$2:$G$415,7,0),"")</f>
        <v>211811</v>
      </c>
      <c r="X1042" s="900">
        <f t="shared" si="224"/>
        <v>7858000</v>
      </c>
      <c r="Y1042" s="925"/>
      <c r="Z1042" s="928"/>
      <c r="AA1042" s="928"/>
      <c r="AB1042" s="904"/>
      <c r="AC1042" s="928"/>
      <c r="AD1042" s="928"/>
      <c r="AE1042" s="928"/>
      <c r="AF1042" s="926"/>
      <c r="AG1042" s="906" t="str">
        <f>IF(AE1042&lt;&gt;0,VLOOKUP(AE1042,ODDS!$A$2:$C$13,3,0),"")</f>
        <v/>
      </c>
      <c r="AH1042" s="906" t="str">
        <f t="shared" si="218"/>
        <v xml:space="preserve"> </v>
      </c>
      <c r="AI1042" s="907" t="str">
        <f t="shared" si="223"/>
        <v xml:space="preserve"> </v>
      </c>
      <c r="AJ1042" s="894" t="s">
        <v>715</v>
      </c>
      <c r="AK1042" s="922" t="s">
        <v>2771</v>
      </c>
      <c r="AM1042" s="378" t="s">
        <v>2156</v>
      </c>
    </row>
    <row r="1043" spans="1:39" s="376" customFormat="1" ht="135" outlineLevel="2" x14ac:dyDescent="0.3">
      <c r="A1043" s="447">
        <f t="shared" ref="A1043:A1057" si="226">IF(B1042&lt;&gt;0,B1042,A1042)</f>
        <v>81</v>
      </c>
      <c r="B1043" s="893"/>
      <c r="C1043" s="894" t="s">
        <v>642</v>
      </c>
      <c r="D1043" s="923"/>
      <c r="E1043" s="923"/>
      <c r="F1043" s="896"/>
      <c r="G1043" s="894" t="s">
        <v>2881</v>
      </c>
      <c r="H1043" s="924">
        <v>4.8</v>
      </c>
      <c r="I1043" s="882">
        <f t="shared" si="225"/>
        <v>4.8</v>
      </c>
      <c r="J1043" s="925"/>
      <c r="K1043" s="899">
        <f>IF(G1043&lt;&gt;0,VLOOKUP(G1043,'gia dat'!$A$1:$F$144,5,0)," ")</f>
        <v>554400</v>
      </c>
      <c r="L1043" s="899">
        <f>IF(G1043&lt;&gt;0,VLOOKUP(G1043,'gia dat'!$A$1:$F$144,6,0)," ")</f>
        <v>1663200</v>
      </c>
      <c r="M1043" s="900">
        <f t="shared" si="215"/>
        <v>2661000</v>
      </c>
      <c r="N1043" s="900">
        <f t="shared" si="216"/>
        <v>7983000</v>
      </c>
      <c r="O1043" s="973" t="s">
        <v>350</v>
      </c>
      <c r="P1043" s="926">
        <v>115</v>
      </c>
      <c r="Q1043" s="900">
        <f>IF(O1043&lt;&gt;0,VLOOKUP(O1043,'Cây trong'!$A$2:$C$246,3,0)," ")</f>
        <v>72000</v>
      </c>
      <c r="R1043" s="900">
        <f t="shared" si="217"/>
        <v>8280000</v>
      </c>
      <c r="S1043" s="973" t="s">
        <v>2348</v>
      </c>
      <c r="T1043" s="974" t="s">
        <v>101</v>
      </c>
      <c r="U1043" s="927">
        <v>4</v>
      </c>
      <c r="V1043" s="925"/>
      <c r="W1043" s="900">
        <f>IF(S1043&lt;&gt;0,VLOOKUP(S1043,VKT!$A$2:$G$415,7,0),"")</f>
        <v>1257396</v>
      </c>
      <c r="X1043" s="900">
        <f t="shared" si="224"/>
        <v>5030000</v>
      </c>
      <c r="Y1043" s="925"/>
      <c r="Z1043" s="928"/>
      <c r="AA1043" s="928"/>
      <c r="AB1043" s="904"/>
      <c r="AC1043" s="928"/>
      <c r="AD1043" s="928"/>
      <c r="AE1043" s="928"/>
      <c r="AF1043" s="926"/>
      <c r="AG1043" s="906" t="str">
        <f>IF(AE1043&lt;&gt;0,VLOOKUP(AE1043,ODDS!$A$2:$C$13,3,0),"")</f>
        <v/>
      </c>
      <c r="AH1043" s="906" t="str">
        <f t="shared" si="218"/>
        <v xml:space="preserve"> </v>
      </c>
      <c r="AI1043" s="907" t="str">
        <f t="shared" si="223"/>
        <v xml:space="preserve"> </v>
      </c>
      <c r="AJ1043" s="894" t="s">
        <v>614</v>
      </c>
      <c r="AK1043" s="894" t="s">
        <v>2448</v>
      </c>
    </row>
    <row r="1044" spans="1:39" s="376" customFormat="1" ht="135" outlineLevel="2" x14ac:dyDescent="0.3">
      <c r="A1044" s="447">
        <f t="shared" si="226"/>
        <v>81</v>
      </c>
      <c r="B1044" s="893"/>
      <c r="C1044" s="894"/>
      <c r="D1044" s="923"/>
      <c r="E1044" s="923"/>
      <c r="F1044" s="896"/>
      <c r="G1044" s="894"/>
      <c r="H1044" s="924"/>
      <c r="I1044" s="882"/>
      <c r="J1044" s="925"/>
      <c r="K1044" s="899" t="str">
        <f>IF(G1044&lt;&gt;0,VLOOKUP(G1044,'gia dat'!$A$1:$F$144,5,0)," ")</f>
        <v xml:space="preserve"> </v>
      </c>
      <c r="L1044" s="899" t="str">
        <f>IF(G1044&lt;&gt;0,VLOOKUP(G1044,'gia dat'!$A$1:$F$144,6,0)," ")</f>
        <v xml:space="preserve"> </v>
      </c>
      <c r="M1044" s="900" t="str">
        <f t="shared" si="215"/>
        <v xml:space="preserve"> </v>
      </c>
      <c r="N1044" s="900" t="str">
        <f t="shared" si="216"/>
        <v xml:space="preserve"> </v>
      </c>
      <c r="O1044" s="973" t="s">
        <v>785</v>
      </c>
      <c r="P1044" s="926">
        <v>486</v>
      </c>
      <c r="Q1044" s="900">
        <f>IF(O1044&lt;&gt;0,VLOOKUP(O1044,'Cây trong'!$A$2:$C$246,3,0)," ")</f>
        <v>6000</v>
      </c>
      <c r="R1044" s="900">
        <f t="shared" si="217"/>
        <v>2916000</v>
      </c>
      <c r="S1044" s="973"/>
      <c r="T1044" s="974"/>
      <c r="U1044" s="927"/>
      <c r="V1044" s="925"/>
      <c r="W1044" s="900" t="str">
        <f>IF(S1044&lt;&gt;0,VLOOKUP(S1044,VKT!$A$2:$G$415,7,0),"")</f>
        <v/>
      </c>
      <c r="X1044" s="900" t="str">
        <f t="shared" si="224"/>
        <v xml:space="preserve"> </v>
      </c>
      <c r="Y1044" s="925"/>
      <c r="Z1044" s="928"/>
      <c r="AA1044" s="928"/>
      <c r="AB1044" s="904"/>
      <c r="AC1044" s="928"/>
      <c r="AD1044" s="928"/>
      <c r="AE1044" s="928"/>
      <c r="AF1044" s="926"/>
      <c r="AG1044" s="906" t="str">
        <f>IF(AE1044&lt;&gt;0,VLOOKUP(AE1044,ODDS!$A$2:$C$13,3,0),"")</f>
        <v/>
      </c>
      <c r="AH1044" s="906" t="str">
        <f t="shared" si="218"/>
        <v xml:space="preserve"> </v>
      </c>
      <c r="AI1044" s="907" t="str">
        <f t="shared" si="223"/>
        <v xml:space="preserve"> </v>
      </c>
      <c r="AJ1044" s="894" t="s">
        <v>716</v>
      </c>
      <c r="AK1044" s="894" t="s">
        <v>2450</v>
      </c>
    </row>
    <row r="1045" spans="1:39" s="376" customFormat="1" ht="112.5" outlineLevel="2" x14ac:dyDescent="0.3">
      <c r="A1045" s="447">
        <f t="shared" si="226"/>
        <v>81</v>
      </c>
      <c r="B1045" s="893"/>
      <c r="C1045" s="894"/>
      <c r="D1045" s="923"/>
      <c r="E1045" s="923"/>
      <c r="F1045" s="896"/>
      <c r="G1045" s="894"/>
      <c r="H1045" s="924"/>
      <c r="I1045" s="882"/>
      <c r="J1045" s="925"/>
      <c r="K1045" s="899" t="str">
        <f>IF(G1045&lt;&gt;0,VLOOKUP(G1045,'gia dat'!$A$1:$F$144,5,0)," ")</f>
        <v xml:space="preserve"> </v>
      </c>
      <c r="L1045" s="899" t="str">
        <f>IF(G1045&lt;&gt;0,VLOOKUP(G1045,'gia dat'!$A$1:$F$144,6,0)," ")</f>
        <v xml:space="preserve"> </v>
      </c>
      <c r="M1045" s="900" t="str">
        <f t="shared" si="215"/>
        <v xml:space="preserve"> </v>
      </c>
      <c r="N1045" s="900" t="str">
        <f t="shared" si="216"/>
        <v xml:space="preserve"> </v>
      </c>
      <c r="O1045" s="973" t="s">
        <v>401</v>
      </c>
      <c r="P1045" s="926">
        <v>65</v>
      </c>
      <c r="Q1045" s="900">
        <f>IF(O1045&lt;&gt;0,VLOOKUP(O1045,'Cây trong'!$A$2:$C$246,3,0)," ")</f>
        <v>80000</v>
      </c>
      <c r="R1045" s="900">
        <f t="shared" si="217"/>
        <v>5200000</v>
      </c>
      <c r="S1045" s="973"/>
      <c r="T1045" s="974"/>
      <c r="U1045" s="927"/>
      <c r="V1045" s="925"/>
      <c r="W1045" s="900" t="str">
        <f>IF(S1045&lt;&gt;0,VLOOKUP(S1045,VKT!$A$2:$G$415,7,0),"")</f>
        <v/>
      </c>
      <c r="X1045" s="900" t="str">
        <f t="shared" si="224"/>
        <v xml:space="preserve"> </v>
      </c>
      <c r="Y1045" s="925"/>
      <c r="Z1045" s="928"/>
      <c r="AA1045" s="928"/>
      <c r="AB1045" s="904"/>
      <c r="AC1045" s="928"/>
      <c r="AD1045" s="928"/>
      <c r="AE1045" s="928"/>
      <c r="AF1045" s="926"/>
      <c r="AG1045" s="906" t="str">
        <f>IF(AE1045&lt;&gt;0,VLOOKUP(AE1045,ODDS!$A$2:$C$13,3,0),"")</f>
        <v/>
      </c>
      <c r="AH1045" s="906" t="str">
        <f t="shared" si="218"/>
        <v xml:space="preserve"> </v>
      </c>
      <c r="AI1045" s="907" t="str">
        <f t="shared" si="223"/>
        <v xml:space="preserve"> </v>
      </c>
      <c r="AJ1045" s="894" t="s">
        <v>2074</v>
      </c>
      <c r="AK1045" s="894" t="s">
        <v>2449</v>
      </c>
    </row>
    <row r="1046" spans="1:39" s="376" customFormat="1" ht="112.5" outlineLevel="2" x14ac:dyDescent="0.35">
      <c r="A1046" s="447">
        <f t="shared" si="226"/>
        <v>81</v>
      </c>
      <c r="B1046" s="893"/>
      <c r="C1046" s="894"/>
      <c r="D1046" s="923"/>
      <c r="E1046" s="923"/>
      <c r="F1046" s="896"/>
      <c r="G1046" s="894"/>
      <c r="H1046" s="924"/>
      <c r="I1046" s="882"/>
      <c r="J1046" s="925"/>
      <c r="K1046" s="899" t="str">
        <f>IF(G1046&lt;&gt;0,VLOOKUP(G1046,'gia dat'!$A$1:$F$144,5,0)," ")</f>
        <v xml:space="preserve"> </v>
      </c>
      <c r="L1046" s="899" t="str">
        <f>IF(G1046&lt;&gt;0,VLOOKUP(G1046,'gia dat'!$A$1:$F$144,6,0)," ")</f>
        <v xml:space="preserve"> </v>
      </c>
      <c r="M1046" s="900" t="str">
        <f t="shared" si="215"/>
        <v xml:space="preserve"> </v>
      </c>
      <c r="N1046" s="900" t="str">
        <f t="shared" si="216"/>
        <v xml:space="preserve"> </v>
      </c>
      <c r="O1046" s="973" t="s">
        <v>72</v>
      </c>
      <c r="P1046" s="926">
        <v>125</v>
      </c>
      <c r="Q1046" s="900">
        <f>IF(O1046&lt;&gt;0,VLOOKUP(O1046,'Cây trong'!$A$2:$C$246,3,0)," ")</f>
        <v>132000</v>
      </c>
      <c r="R1046" s="900">
        <f t="shared" si="217"/>
        <v>16500000</v>
      </c>
      <c r="S1046" s="973"/>
      <c r="T1046" s="974"/>
      <c r="U1046" s="927"/>
      <c r="V1046" s="925"/>
      <c r="W1046" s="900" t="str">
        <f>IF(S1046&lt;&gt;0,VLOOKUP(S1046,VKT!$A$2:$G$415,7,0),"")</f>
        <v/>
      </c>
      <c r="X1046" s="900" t="str">
        <f t="shared" si="224"/>
        <v xml:space="preserve"> </v>
      </c>
      <c r="Y1046" s="925"/>
      <c r="Z1046" s="928"/>
      <c r="AA1046" s="928"/>
      <c r="AB1046" s="904"/>
      <c r="AC1046" s="928"/>
      <c r="AD1046" s="928"/>
      <c r="AE1046" s="928"/>
      <c r="AF1046" s="926"/>
      <c r="AG1046" s="906" t="str">
        <f>IF(AE1046&lt;&gt;0,VLOOKUP(AE1046,ODDS!$A$2:$C$13,3,0),"")</f>
        <v/>
      </c>
      <c r="AH1046" s="906" t="str">
        <f t="shared" si="218"/>
        <v xml:space="preserve"> </v>
      </c>
      <c r="AI1046" s="907" t="str">
        <f t="shared" si="223"/>
        <v xml:space="preserve"> </v>
      </c>
      <c r="AJ1046" s="911"/>
      <c r="AK1046" s="894" t="s">
        <v>2800</v>
      </c>
    </row>
    <row r="1047" spans="1:39" s="376" customFormat="1" ht="22.5" outlineLevel="2" x14ac:dyDescent="0.35">
      <c r="A1047" s="447">
        <f t="shared" si="226"/>
        <v>81</v>
      </c>
      <c r="B1047" s="893"/>
      <c r="C1047" s="894"/>
      <c r="D1047" s="923"/>
      <c r="E1047" s="923"/>
      <c r="F1047" s="896"/>
      <c r="G1047" s="894"/>
      <c r="H1047" s="924"/>
      <c r="I1047" s="882"/>
      <c r="J1047" s="925"/>
      <c r="K1047" s="899" t="str">
        <f>IF(G1047&lt;&gt;0,VLOOKUP(G1047,'gia dat'!$A$1:$F$144,5,0)," ")</f>
        <v xml:space="preserve"> </v>
      </c>
      <c r="L1047" s="899" t="str">
        <f>IF(G1047&lt;&gt;0,VLOOKUP(G1047,'gia dat'!$A$1:$F$144,6,0)," ")</f>
        <v xml:space="preserve"> </v>
      </c>
      <c r="M1047" s="900" t="str">
        <f t="shared" si="215"/>
        <v xml:space="preserve"> </v>
      </c>
      <c r="N1047" s="900" t="str">
        <f t="shared" si="216"/>
        <v xml:space="preserve"> </v>
      </c>
      <c r="O1047" s="973" t="s">
        <v>73</v>
      </c>
      <c r="P1047" s="926">
        <v>95</v>
      </c>
      <c r="Q1047" s="900">
        <f>IF(O1047&lt;&gt;0,VLOOKUP(O1047,'Cây trong'!$A$2:$C$246,3,0)," ")</f>
        <v>76000</v>
      </c>
      <c r="R1047" s="900">
        <f t="shared" si="217"/>
        <v>7220000</v>
      </c>
      <c r="S1047" s="973"/>
      <c r="T1047" s="974"/>
      <c r="U1047" s="927"/>
      <c r="V1047" s="925"/>
      <c r="W1047" s="900" t="str">
        <f>IF(S1047&lt;&gt;0,VLOOKUP(S1047,VKT!$A$2:$G$415,7,0),"")</f>
        <v/>
      </c>
      <c r="X1047" s="900" t="str">
        <f t="shared" si="224"/>
        <v xml:space="preserve"> </v>
      </c>
      <c r="Y1047" s="925"/>
      <c r="Z1047" s="928"/>
      <c r="AA1047" s="928"/>
      <c r="AB1047" s="904"/>
      <c r="AC1047" s="928"/>
      <c r="AD1047" s="928"/>
      <c r="AE1047" s="928"/>
      <c r="AF1047" s="926"/>
      <c r="AG1047" s="906" t="str">
        <f>IF(AE1047&lt;&gt;0,VLOOKUP(AE1047,ODDS!$A$2:$C$13,3,0),"")</f>
        <v/>
      </c>
      <c r="AH1047" s="906" t="str">
        <f t="shared" si="218"/>
        <v xml:space="preserve"> </v>
      </c>
      <c r="AI1047" s="907" t="str">
        <f t="shared" si="223"/>
        <v xml:space="preserve"> </v>
      </c>
      <c r="AJ1047" s="911"/>
      <c r="AK1047" s="929"/>
    </row>
    <row r="1048" spans="1:39" s="376" customFormat="1" ht="22.5" outlineLevel="2" x14ac:dyDescent="0.3">
      <c r="A1048" s="447">
        <f t="shared" si="226"/>
        <v>81</v>
      </c>
      <c r="B1048" s="893"/>
      <c r="C1048" s="894"/>
      <c r="D1048" s="923"/>
      <c r="E1048" s="923"/>
      <c r="F1048" s="896"/>
      <c r="G1048" s="894"/>
      <c r="H1048" s="924"/>
      <c r="I1048" s="882"/>
      <c r="J1048" s="925"/>
      <c r="K1048" s="899" t="str">
        <f>IF(G1048&lt;&gt;0,VLOOKUP(G1048,'gia dat'!$A$1:$F$144,5,0)," ")</f>
        <v xml:space="preserve"> </v>
      </c>
      <c r="L1048" s="899" t="str">
        <f>IF(G1048&lt;&gt;0,VLOOKUP(G1048,'gia dat'!$A$1:$F$144,6,0)," ")</f>
        <v xml:space="preserve"> </v>
      </c>
      <c r="M1048" s="900" t="str">
        <f t="shared" si="215"/>
        <v xml:space="preserve"> </v>
      </c>
      <c r="N1048" s="900" t="str">
        <f t="shared" si="216"/>
        <v xml:space="preserve"> </v>
      </c>
      <c r="O1048" s="973" t="s">
        <v>75</v>
      </c>
      <c r="P1048" s="926">
        <v>31</v>
      </c>
      <c r="Q1048" s="900">
        <f>IF(O1048&lt;&gt;0,VLOOKUP(O1048,'Cây trong'!$A$2:$C$246,3,0)," ")</f>
        <v>34000</v>
      </c>
      <c r="R1048" s="900">
        <f t="shared" si="217"/>
        <v>1054000</v>
      </c>
      <c r="S1048" s="973"/>
      <c r="T1048" s="974"/>
      <c r="U1048" s="927"/>
      <c r="V1048" s="925"/>
      <c r="W1048" s="900" t="str">
        <f>IF(S1048&lt;&gt;0,VLOOKUP(S1048,VKT!$A$2:$G$415,7,0),"")</f>
        <v/>
      </c>
      <c r="X1048" s="900" t="str">
        <f t="shared" si="224"/>
        <v xml:space="preserve"> </v>
      </c>
      <c r="Y1048" s="925"/>
      <c r="Z1048" s="928"/>
      <c r="AA1048" s="928"/>
      <c r="AB1048" s="904"/>
      <c r="AC1048" s="928"/>
      <c r="AD1048" s="928"/>
      <c r="AE1048" s="928"/>
      <c r="AF1048" s="926"/>
      <c r="AG1048" s="906" t="str">
        <f>IF(AE1048&lt;&gt;0,VLOOKUP(AE1048,ODDS!$A$2:$C$13,3,0),"")</f>
        <v/>
      </c>
      <c r="AH1048" s="906" t="str">
        <f t="shared" si="218"/>
        <v xml:space="preserve"> </v>
      </c>
      <c r="AI1048" s="907" t="str">
        <f t="shared" si="223"/>
        <v xml:space="preserve"> </v>
      </c>
      <c r="AJ1048" s="929"/>
      <c r="AK1048" s="929"/>
    </row>
    <row r="1049" spans="1:39" s="376" customFormat="1" ht="45" outlineLevel="2" x14ac:dyDescent="0.3">
      <c r="A1049" s="447">
        <f t="shared" si="226"/>
        <v>81</v>
      </c>
      <c r="B1049" s="893"/>
      <c r="C1049" s="894"/>
      <c r="D1049" s="923"/>
      <c r="E1049" s="923"/>
      <c r="F1049" s="896"/>
      <c r="G1049" s="894"/>
      <c r="H1049" s="924"/>
      <c r="I1049" s="882"/>
      <c r="J1049" s="925"/>
      <c r="K1049" s="899" t="str">
        <f>IF(G1049&lt;&gt;0,VLOOKUP(G1049,'gia dat'!$A$1:$F$144,5,0)," ")</f>
        <v xml:space="preserve"> </v>
      </c>
      <c r="L1049" s="899" t="str">
        <f>IF(G1049&lt;&gt;0,VLOOKUP(G1049,'gia dat'!$A$1:$F$144,6,0)," ")</f>
        <v xml:space="preserve"> </v>
      </c>
      <c r="M1049" s="900" t="str">
        <f t="shared" si="215"/>
        <v xml:space="preserve"> </v>
      </c>
      <c r="N1049" s="900" t="str">
        <f t="shared" si="216"/>
        <v xml:space="preserve"> </v>
      </c>
      <c r="O1049" s="973" t="s">
        <v>786</v>
      </c>
      <c r="P1049" s="926">
        <v>14</v>
      </c>
      <c r="Q1049" s="900">
        <f>IF(O1049&lt;&gt;0,VLOOKUP(O1049,'Cây trong'!$A$2:$C$246,3,0)," ")</f>
        <v>0</v>
      </c>
      <c r="R1049" s="900">
        <f t="shared" si="217"/>
        <v>0</v>
      </c>
      <c r="S1049" s="973"/>
      <c r="T1049" s="974"/>
      <c r="U1049" s="927"/>
      <c r="V1049" s="925"/>
      <c r="W1049" s="900" t="str">
        <f>IF(S1049&lt;&gt;0,VLOOKUP(S1049,VKT!$A$2:$G$415,7,0),"")</f>
        <v/>
      </c>
      <c r="X1049" s="900" t="str">
        <f t="shared" si="224"/>
        <v xml:space="preserve"> </v>
      </c>
      <c r="Y1049" s="925"/>
      <c r="Z1049" s="928"/>
      <c r="AA1049" s="928"/>
      <c r="AB1049" s="904"/>
      <c r="AC1049" s="928"/>
      <c r="AD1049" s="928"/>
      <c r="AE1049" s="928"/>
      <c r="AF1049" s="926"/>
      <c r="AG1049" s="906" t="str">
        <f>IF(AE1049&lt;&gt;0,VLOOKUP(AE1049,ODDS!$A$2:$C$13,3,0),"")</f>
        <v/>
      </c>
      <c r="AH1049" s="906" t="str">
        <f t="shared" si="218"/>
        <v xml:space="preserve"> </v>
      </c>
      <c r="AI1049" s="907" t="str">
        <f t="shared" si="223"/>
        <v xml:space="preserve"> </v>
      </c>
      <c r="AJ1049" s="929"/>
      <c r="AK1049" s="929"/>
    </row>
    <row r="1050" spans="1:39" s="376" customFormat="1" ht="22.5" outlineLevel="2" x14ac:dyDescent="0.3">
      <c r="A1050" s="447">
        <f t="shared" si="226"/>
        <v>81</v>
      </c>
      <c r="B1050" s="893"/>
      <c r="C1050" s="894"/>
      <c r="D1050" s="923"/>
      <c r="E1050" s="923"/>
      <c r="F1050" s="896"/>
      <c r="G1050" s="894"/>
      <c r="H1050" s="924"/>
      <c r="I1050" s="882"/>
      <c r="J1050" s="925"/>
      <c r="K1050" s="899" t="str">
        <f>IF(G1050&lt;&gt;0,VLOOKUP(G1050,'gia dat'!$A$1:$F$144,5,0)," ")</f>
        <v xml:space="preserve"> </v>
      </c>
      <c r="L1050" s="899" t="str">
        <f>IF(G1050&lt;&gt;0,VLOOKUP(G1050,'gia dat'!$A$1:$F$144,6,0)," ")</f>
        <v xml:space="preserve"> </v>
      </c>
      <c r="M1050" s="900" t="str">
        <f t="shared" ref="M1050:M1118" si="227">IF(H1050&lt;&gt;0,ROUND(H1050*K1050,-3)," ")</f>
        <v xml:space="preserve"> </v>
      </c>
      <c r="N1050" s="900" t="str">
        <f t="shared" ref="N1050:N1118" si="228">IF(H1050&lt;&gt;0,ROUND(H1050*L1050,-3)," ")</f>
        <v xml:space="preserve"> </v>
      </c>
      <c r="O1050" s="973" t="s">
        <v>64</v>
      </c>
      <c r="P1050" s="926">
        <v>2</v>
      </c>
      <c r="Q1050" s="900">
        <f>IF(O1050&lt;&gt;0,VLOOKUP(O1050,'Cây trong'!$A$2:$C$246,3,0)," ")</f>
        <v>1122000</v>
      </c>
      <c r="R1050" s="900">
        <f t="shared" si="217"/>
        <v>2244000</v>
      </c>
      <c r="S1050" s="975"/>
      <c r="T1050" s="974"/>
      <c r="U1050" s="927"/>
      <c r="V1050" s="925"/>
      <c r="W1050" s="900" t="str">
        <f>IF(S1050&lt;&gt;0,VLOOKUP(S1050,VKT!$A$2:$G$415,7,0),"")</f>
        <v/>
      </c>
      <c r="X1050" s="900" t="str">
        <f t="shared" si="224"/>
        <v xml:space="preserve"> </v>
      </c>
      <c r="Y1050" s="925"/>
      <c r="Z1050" s="928"/>
      <c r="AA1050" s="928"/>
      <c r="AB1050" s="904"/>
      <c r="AC1050" s="928"/>
      <c r="AD1050" s="928"/>
      <c r="AE1050" s="928"/>
      <c r="AF1050" s="926"/>
      <c r="AG1050" s="906" t="str">
        <f>IF(AE1050&lt;&gt;0,VLOOKUP(AE1050,ODDS!$A$2:$C$13,3,0),"")</f>
        <v/>
      </c>
      <c r="AH1050" s="906" t="str">
        <f t="shared" si="218"/>
        <v xml:space="preserve"> </v>
      </c>
      <c r="AI1050" s="907" t="str">
        <f t="shared" si="223"/>
        <v xml:space="preserve"> </v>
      </c>
      <c r="AJ1050" s="929"/>
      <c r="AK1050" s="929"/>
    </row>
    <row r="1051" spans="1:39" s="376" customFormat="1" ht="22.5" outlineLevel="2" x14ac:dyDescent="0.3">
      <c r="A1051" s="447">
        <f t="shared" si="226"/>
        <v>81</v>
      </c>
      <c r="B1051" s="893"/>
      <c r="C1051" s="894"/>
      <c r="D1051" s="923"/>
      <c r="E1051" s="923"/>
      <c r="F1051" s="896"/>
      <c r="G1051" s="894"/>
      <c r="H1051" s="924"/>
      <c r="I1051" s="882"/>
      <c r="J1051" s="925"/>
      <c r="K1051" s="899" t="str">
        <f>IF(G1051&lt;&gt;0,VLOOKUP(G1051,'gia dat'!$A$1:$F$144,5,0)," ")</f>
        <v xml:space="preserve"> </v>
      </c>
      <c r="L1051" s="899" t="str">
        <f>IF(G1051&lt;&gt;0,VLOOKUP(G1051,'gia dat'!$A$1:$F$144,6,0)," ")</f>
        <v xml:space="preserve"> </v>
      </c>
      <c r="M1051" s="900" t="str">
        <f t="shared" si="227"/>
        <v xml:space="preserve"> </v>
      </c>
      <c r="N1051" s="900" t="str">
        <f t="shared" si="228"/>
        <v xml:space="preserve"> </v>
      </c>
      <c r="O1051" s="973" t="s">
        <v>67</v>
      </c>
      <c r="P1051" s="926">
        <v>1</v>
      </c>
      <c r="Q1051" s="900">
        <f>IF(O1051&lt;&gt;0,VLOOKUP(O1051,'Cây trong'!$A$2:$C$246,3,0)," ")</f>
        <v>494000</v>
      </c>
      <c r="R1051" s="900">
        <f t="shared" si="217"/>
        <v>494000</v>
      </c>
      <c r="S1051" s="973"/>
      <c r="T1051" s="974"/>
      <c r="U1051" s="927"/>
      <c r="V1051" s="925"/>
      <c r="W1051" s="900" t="str">
        <f>IF(S1051&lt;&gt;0,VLOOKUP(S1051,VKT!$A$2:$G$415,7,0),"")</f>
        <v/>
      </c>
      <c r="X1051" s="900" t="str">
        <f t="shared" si="224"/>
        <v xml:space="preserve"> </v>
      </c>
      <c r="Y1051" s="925"/>
      <c r="Z1051" s="928"/>
      <c r="AA1051" s="928"/>
      <c r="AB1051" s="904"/>
      <c r="AC1051" s="928"/>
      <c r="AD1051" s="928"/>
      <c r="AE1051" s="928"/>
      <c r="AF1051" s="926"/>
      <c r="AG1051" s="906" t="str">
        <f>IF(AE1051&lt;&gt;0,VLOOKUP(AE1051,ODDS!$A$2:$C$13,3,0),"")</f>
        <v/>
      </c>
      <c r="AH1051" s="906" t="str">
        <f t="shared" si="218"/>
        <v xml:space="preserve"> </v>
      </c>
      <c r="AI1051" s="907" t="str">
        <f t="shared" si="223"/>
        <v xml:space="preserve"> </v>
      </c>
      <c r="AJ1051" s="929"/>
      <c r="AK1051" s="929"/>
    </row>
    <row r="1052" spans="1:39" s="376" customFormat="1" ht="22.5" outlineLevel="2" x14ac:dyDescent="0.3">
      <c r="A1052" s="447">
        <f t="shared" si="226"/>
        <v>81</v>
      </c>
      <c r="B1052" s="893"/>
      <c r="C1052" s="894"/>
      <c r="D1052" s="923"/>
      <c r="E1052" s="923"/>
      <c r="F1052" s="896"/>
      <c r="G1052" s="894"/>
      <c r="H1052" s="924"/>
      <c r="I1052" s="882"/>
      <c r="J1052" s="925"/>
      <c r="K1052" s="899" t="str">
        <f>IF(G1052&lt;&gt;0,VLOOKUP(G1052,'gia dat'!$A$1:$F$144,5,0)," ")</f>
        <v xml:space="preserve"> </v>
      </c>
      <c r="L1052" s="899" t="str">
        <f>IF(G1052&lt;&gt;0,VLOOKUP(G1052,'gia dat'!$A$1:$F$144,6,0)," ")</f>
        <v xml:space="preserve"> </v>
      </c>
      <c r="M1052" s="900" t="str">
        <f t="shared" si="227"/>
        <v xml:space="preserve"> </v>
      </c>
      <c r="N1052" s="900" t="str">
        <f t="shared" si="228"/>
        <v xml:space="preserve"> </v>
      </c>
      <c r="O1052" s="973" t="s">
        <v>145</v>
      </c>
      <c r="P1052" s="926">
        <v>1</v>
      </c>
      <c r="Q1052" s="900">
        <f>IF(O1052&lt;&gt;0,VLOOKUP(O1052,'Cây trong'!$A$2:$C$246,3,0)," ")</f>
        <v>4240000</v>
      </c>
      <c r="R1052" s="900">
        <f t="shared" si="217"/>
        <v>4240000</v>
      </c>
      <c r="S1052" s="973"/>
      <c r="T1052" s="974"/>
      <c r="U1052" s="927"/>
      <c r="V1052" s="925"/>
      <c r="W1052" s="900" t="str">
        <f>IF(S1052&lt;&gt;0,VLOOKUP(S1052,VKT!$A$2:$G$415,7,0),"")</f>
        <v/>
      </c>
      <c r="X1052" s="900" t="str">
        <f t="shared" si="224"/>
        <v xml:space="preserve"> </v>
      </c>
      <c r="Y1052" s="925"/>
      <c r="Z1052" s="928"/>
      <c r="AA1052" s="928"/>
      <c r="AB1052" s="904"/>
      <c r="AC1052" s="928"/>
      <c r="AD1052" s="928"/>
      <c r="AE1052" s="928"/>
      <c r="AF1052" s="926"/>
      <c r="AG1052" s="906" t="str">
        <f>IF(AE1052&lt;&gt;0,VLOOKUP(AE1052,ODDS!$A$2:$C$13,3,0),"")</f>
        <v/>
      </c>
      <c r="AH1052" s="906" t="str">
        <f t="shared" si="218"/>
        <v xml:space="preserve"> </v>
      </c>
      <c r="AI1052" s="907" t="str">
        <f t="shared" si="223"/>
        <v xml:space="preserve"> </v>
      </c>
      <c r="AJ1052" s="929"/>
      <c r="AK1052" s="929"/>
    </row>
    <row r="1053" spans="1:39" s="376" customFormat="1" ht="22.5" outlineLevel="2" x14ac:dyDescent="0.3">
      <c r="A1053" s="447">
        <f t="shared" si="226"/>
        <v>81</v>
      </c>
      <c r="B1053" s="893"/>
      <c r="C1053" s="894"/>
      <c r="D1053" s="923"/>
      <c r="E1053" s="923"/>
      <c r="F1053" s="896"/>
      <c r="G1053" s="894"/>
      <c r="H1053" s="924"/>
      <c r="I1053" s="882"/>
      <c r="J1053" s="925"/>
      <c r="K1053" s="899" t="str">
        <f>IF(G1053&lt;&gt;0,VLOOKUP(G1053,'gia dat'!$A$1:$F$144,5,0)," ")</f>
        <v xml:space="preserve"> </v>
      </c>
      <c r="L1053" s="899" t="str">
        <f>IF(G1053&lt;&gt;0,VLOOKUP(G1053,'gia dat'!$A$1:$F$144,6,0)," ")</f>
        <v xml:space="preserve"> </v>
      </c>
      <c r="M1053" s="900" t="str">
        <f t="shared" si="227"/>
        <v xml:space="preserve"> </v>
      </c>
      <c r="N1053" s="900" t="str">
        <f t="shared" si="228"/>
        <v xml:space="preserve"> </v>
      </c>
      <c r="O1053" s="973" t="s">
        <v>77</v>
      </c>
      <c r="P1053" s="926">
        <v>1</v>
      </c>
      <c r="Q1053" s="900">
        <f>IF(O1053&lt;&gt;0,VLOOKUP(O1053,'Cây trong'!$A$2:$C$246,3,0)," ")</f>
        <v>3064000</v>
      </c>
      <c r="R1053" s="900">
        <f t="shared" si="217"/>
        <v>3064000</v>
      </c>
      <c r="S1053" s="973"/>
      <c r="T1053" s="974"/>
      <c r="U1053" s="927"/>
      <c r="V1053" s="925"/>
      <c r="W1053" s="900" t="str">
        <f>IF(S1053&lt;&gt;0,VLOOKUP(S1053,VKT!$A$2:$G$415,7,0),"")</f>
        <v/>
      </c>
      <c r="X1053" s="900" t="str">
        <f t="shared" si="224"/>
        <v xml:space="preserve"> </v>
      </c>
      <c r="Y1053" s="925"/>
      <c r="Z1053" s="928"/>
      <c r="AA1053" s="928"/>
      <c r="AB1053" s="904"/>
      <c r="AC1053" s="928"/>
      <c r="AD1053" s="928"/>
      <c r="AE1053" s="928"/>
      <c r="AF1053" s="926"/>
      <c r="AG1053" s="906" t="str">
        <f>IF(AE1053&lt;&gt;0,VLOOKUP(AE1053,ODDS!$A$2:$C$13,3,0),"")</f>
        <v/>
      </c>
      <c r="AH1053" s="906" t="str">
        <f t="shared" si="218"/>
        <v xml:space="preserve"> </v>
      </c>
      <c r="AI1053" s="907" t="str">
        <f t="shared" si="223"/>
        <v xml:space="preserve"> </v>
      </c>
      <c r="AJ1053" s="929"/>
      <c r="AK1053" s="929"/>
    </row>
    <row r="1054" spans="1:39" s="376" customFormat="1" ht="22.5" outlineLevel="2" x14ac:dyDescent="0.3">
      <c r="A1054" s="447">
        <f t="shared" si="226"/>
        <v>81</v>
      </c>
      <c r="B1054" s="893"/>
      <c r="C1054" s="894"/>
      <c r="D1054" s="923"/>
      <c r="E1054" s="923"/>
      <c r="F1054" s="896"/>
      <c r="G1054" s="894"/>
      <c r="H1054" s="924"/>
      <c r="I1054" s="882"/>
      <c r="J1054" s="925"/>
      <c r="K1054" s="899" t="str">
        <f>IF(G1054&lt;&gt;0,VLOOKUP(G1054,'gia dat'!$A$1:$F$144,5,0)," ")</f>
        <v xml:space="preserve"> </v>
      </c>
      <c r="L1054" s="899" t="str">
        <f>IF(G1054&lt;&gt;0,VLOOKUP(G1054,'gia dat'!$A$1:$F$144,6,0)," ")</f>
        <v xml:space="preserve"> </v>
      </c>
      <c r="M1054" s="900" t="str">
        <f t="shared" si="227"/>
        <v xml:space="preserve"> </v>
      </c>
      <c r="N1054" s="900" t="str">
        <f t="shared" si="228"/>
        <v xml:space="preserve"> </v>
      </c>
      <c r="O1054" s="973" t="s">
        <v>352</v>
      </c>
      <c r="P1054" s="926">
        <v>16</v>
      </c>
      <c r="Q1054" s="900">
        <f>IF(O1054&lt;&gt;0,VLOOKUP(O1054,'Cây trong'!$A$2:$C$246,3,0)," ")</f>
        <v>60000</v>
      </c>
      <c r="R1054" s="900">
        <f t="shared" si="217"/>
        <v>960000</v>
      </c>
      <c r="S1054" s="973"/>
      <c r="T1054" s="974"/>
      <c r="U1054" s="927"/>
      <c r="V1054" s="925"/>
      <c r="W1054" s="900" t="str">
        <f>IF(S1054&lt;&gt;0,VLOOKUP(S1054,VKT!$A$2:$G$415,7,0),"")</f>
        <v/>
      </c>
      <c r="X1054" s="900" t="str">
        <f t="shared" si="224"/>
        <v xml:space="preserve"> </v>
      </c>
      <c r="Y1054" s="925"/>
      <c r="Z1054" s="928"/>
      <c r="AA1054" s="928"/>
      <c r="AB1054" s="904"/>
      <c r="AC1054" s="928"/>
      <c r="AD1054" s="928"/>
      <c r="AE1054" s="928"/>
      <c r="AF1054" s="926"/>
      <c r="AG1054" s="906" t="str">
        <f>IF(AE1054&lt;&gt;0,VLOOKUP(AE1054,ODDS!$A$2:$C$13,3,0),"")</f>
        <v/>
      </c>
      <c r="AH1054" s="906" t="str">
        <f t="shared" si="218"/>
        <v xml:space="preserve"> </v>
      </c>
      <c r="AI1054" s="907" t="str">
        <f t="shared" si="223"/>
        <v xml:space="preserve"> </v>
      </c>
      <c r="AJ1054" s="929"/>
      <c r="AK1054" s="929"/>
    </row>
    <row r="1055" spans="1:39" s="376" customFormat="1" ht="22.5" outlineLevel="2" x14ac:dyDescent="0.3">
      <c r="A1055" s="447">
        <f t="shared" si="226"/>
        <v>81</v>
      </c>
      <c r="B1055" s="893"/>
      <c r="C1055" s="894"/>
      <c r="D1055" s="923"/>
      <c r="E1055" s="923"/>
      <c r="F1055" s="896"/>
      <c r="G1055" s="894"/>
      <c r="H1055" s="924"/>
      <c r="I1055" s="882"/>
      <c r="J1055" s="925"/>
      <c r="K1055" s="899" t="str">
        <f>IF(G1055&lt;&gt;0,VLOOKUP(G1055,'gia dat'!$A$1:$F$144,5,0)," ")</f>
        <v xml:space="preserve"> </v>
      </c>
      <c r="L1055" s="899" t="str">
        <f>IF(G1055&lt;&gt;0,VLOOKUP(G1055,'gia dat'!$A$1:$F$144,6,0)," ")</f>
        <v xml:space="preserve"> </v>
      </c>
      <c r="M1055" s="900" t="str">
        <f t="shared" si="227"/>
        <v xml:space="preserve"> </v>
      </c>
      <c r="N1055" s="900" t="str">
        <f t="shared" si="228"/>
        <v xml:space="preserve"> </v>
      </c>
      <c r="O1055" s="973"/>
      <c r="P1055" s="926"/>
      <c r="Q1055" s="900" t="str">
        <f>IF(O1055&lt;&gt;0,VLOOKUP(O1055,'Cây trong'!$A$2:$C$246,3,0)," ")</f>
        <v xml:space="preserve"> </v>
      </c>
      <c r="R1055" s="900" t="str">
        <f t="shared" si="217"/>
        <v xml:space="preserve"> </v>
      </c>
      <c r="S1055" s="973"/>
      <c r="T1055" s="974"/>
      <c r="U1055" s="927"/>
      <c r="V1055" s="925"/>
      <c r="W1055" s="900" t="str">
        <f>IF(S1055&lt;&gt;0,VLOOKUP(S1055,VKT!$A$2:$G$415,7,0),"")</f>
        <v/>
      </c>
      <c r="X1055" s="900" t="str">
        <f t="shared" si="224"/>
        <v xml:space="preserve"> </v>
      </c>
      <c r="Y1055" s="925"/>
      <c r="Z1055" s="928"/>
      <c r="AA1055" s="928"/>
      <c r="AB1055" s="904"/>
      <c r="AC1055" s="928"/>
      <c r="AD1055" s="928"/>
      <c r="AE1055" s="928"/>
      <c r="AF1055" s="926"/>
      <c r="AG1055" s="906" t="str">
        <f>IF(AE1055&lt;&gt;0,VLOOKUP(AE1055,ODDS!$A$2:$C$13,3,0),"")</f>
        <v/>
      </c>
      <c r="AH1055" s="906" t="str">
        <f t="shared" si="218"/>
        <v xml:space="preserve"> </v>
      </c>
      <c r="AI1055" s="907" t="str">
        <f t="shared" si="223"/>
        <v xml:space="preserve"> </v>
      </c>
      <c r="AJ1055" s="929"/>
      <c r="AK1055" s="929"/>
    </row>
    <row r="1056" spans="1:39" s="376" customFormat="1" ht="22.5" outlineLevel="2" x14ac:dyDescent="0.3">
      <c r="A1056" s="447">
        <f t="shared" si="226"/>
        <v>81</v>
      </c>
      <c r="B1056" s="893"/>
      <c r="C1056" s="894"/>
      <c r="D1056" s="923"/>
      <c r="E1056" s="923"/>
      <c r="F1056" s="950"/>
      <c r="G1056" s="894"/>
      <c r="H1056" s="940"/>
      <c r="I1056" s="882"/>
      <c r="J1056" s="929"/>
      <c r="K1056" s="899" t="str">
        <f>IF(G1056&lt;&gt;0,VLOOKUP(G1056,'gia dat'!$A$1:$F$144,5,0)," ")</f>
        <v xml:space="preserve"> </v>
      </c>
      <c r="L1056" s="899" t="str">
        <f>IF(G1056&lt;&gt;0,VLOOKUP(G1056,'gia dat'!$A$1:$F$144,6,0)," ")</f>
        <v xml:space="preserve"> </v>
      </c>
      <c r="M1056" s="900" t="str">
        <f t="shared" si="227"/>
        <v xml:space="preserve"> </v>
      </c>
      <c r="N1056" s="900" t="str">
        <f t="shared" si="228"/>
        <v xml:space="preserve"> </v>
      </c>
      <c r="O1056" s="929"/>
      <c r="P1056" s="951"/>
      <c r="Q1056" s="900" t="str">
        <f>IF(O1056&lt;&gt;0,VLOOKUP(O1056,'Cây trong'!$A$2:$C$246,3,0)," ")</f>
        <v xml:space="preserve"> </v>
      </c>
      <c r="R1056" s="900" t="str">
        <f t="shared" si="217"/>
        <v xml:space="preserve"> </v>
      </c>
      <c r="S1056" s="929"/>
      <c r="T1056" s="929"/>
      <c r="U1056" s="952"/>
      <c r="V1056" s="925"/>
      <c r="W1056" s="900" t="str">
        <f>IF(S1056&lt;&gt;0,VLOOKUP(S1056,VKT!$A$2:$G$415,7,0),"")</f>
        <v/>
      </c>
      <c r="X1056" s="900" t="str">
        <f t="shared" si="224"/>
        <v xml:space="preserve"> </v>
      </c>
      <c r="Y1056" s="925"/>
      <c r="Z1056" s="925"/>
      <c r="AA1056" s="925"/>
      <c r="AB1056" s="898"/>
      <c r="AC1056" s="925"/>
      <c r="AD1056" s="925"/>
      <c r="AE1056" s="925"/>
      <c r="AF1056" s="964"/>
      <c r="AG1056" s="906" t="str">
        <f>IF(AE1056&lt;&gt;0,VLOOKUP(AE1056,ODDS!$A$2:$C$13,3,0),"")</f>
        <v/>
      </c>
      <c r="AH1056" s="906" t="str">
        <f t="shared" si="218"/>
        <v xml:space="preserve"> </v>
      </c>
      <c r="AI1056" s="907" t="str">
        <f t="shared" si="223"/>
        <v xml:space="preserve"> </v>
      </c>
      <c r="AJ1056" s="929"/>
      <c r="AK1056" s="929"/>
    </row>
    <row r="1057" spans="1:39" s="376" customFormat="1" ht="22.5" outlineLevel="2" x14ac:dyDescent="0.3">
      <c r="A1057" s="447">
        <f t="shared" si="226"/>
        <v>81</v>
      </c>
      <c r="B1057" s="893"/>
      <c r="C1057" s="910"/>
      <c r="D1057" s="923"/>
      <c r="E1057" s="923"/>
      <c r="F1057" s="896"/>
      <c r="G1057" s="894"/>
      <c r="H1057" s="924"/>
      <c r="I1057" s="882"/>
      <c r="J1057" s="925"/>
      <c r="K1057" s="899" t="str">
        <f>IF(G1057&lt;&gt;0,VLOOKUP(G1057,'gia dat'!$A$1:$F$144,5,0)," ")</f>
        <v xml:space="preserve"> </v>
      </c>
      <c r="L1057" s="899" t="str">
        <f>IF(G1057&lt;&gt;0,VLOOKUP(G1057,'gia dat'!$A$1:$F$144,6,0)," ")</f>
        <v xml:space="preserve"> </v>
      </c>
      <c r="M1057" s="900" t="str">
        <f t="shared" si="227"/>
        <v xml:space="preserve"> </v>
      </c>
      <c r="N1057" s="900" t="str">
        <f t="shared" si="228"/>
        <v xml:space="preserve"> </v>
      </c>
      <c r="O1057" s="973"/>
      <c r="P1057" s="926"/>
      <c r="Q1057" s="900" t="str">
        <f>IF(O1057&lt;&gt;0,VLOOKUP(O1057,'Cây trong'!$A$2:$C$246,3,0)," ")</f>
        <v xml:space="preserve"> </v>
      </c>
      <c r="R1057" s="900" t="str">
        <f t="shared" si="217"/>
        <v xml:space="preserve"> </v>
      </c>
      <c r="S1057" s="973"/>
      <c r="T1057" s="974"/>
      <c r="U1057" s="927"/>
      <c r="V1057" s="925"/>
      <c r="W1057" s="900" t="str">
        <f>IF(S1057&lt;&gt;0,VLOOKUP(S1057,VKT!$A$2:$G$415,7,0),"")</f>
        <v/>
      </c>
      <c r="X1057" s="900" t="str">
        <f t="shared" si="224"/>
        <v xml:space="preserve"> </v>
      </c>
      <c r="Y1057" s="925"/>
      <c r="Z1057" s="928"/>
      <c r="AA1057" s="928"/>
      <c r="AB1057" s="904"/>
      <c r="AC1057" s="928"/>
      <c r="AD1057" s="928"/>
      <c r="AE1057" s="928"/>
      <c r="AF1057" s="926"/>
      <c r="AG1057" s="906" t="str">
        <f>IF(AE1057&lt;&gt;0,VLOOKUP(AE1057,ODDS!$A$2:$C$13,3,0),"")</f>
        <v/>
      </c>
      <c r="AH1057" s="906" t="str">
        <f t="shared" si="218"/>
        <v xml:space="preserve"> </v>
      </c>
      <c r="AI1057" s="907" t="str">
        <f t="shared" si="223"/>
        <v xml:space="preserve"> </v>
      </c>
      <c r="AJ1057" s="929"/>
      <c r="AK1057" s="929"/>
    </row>
    <row r="1058" spans="1:39" s="376" customFormat="1" ht="43.5" outlineLevel="1" x14ac:dyDescent="0.25">
      <c r="A1058" s="467" t="s">
        <v>2628</v>
      </c>
      <c r="B1058" s="912">
        <v>82</v>
      </c>
      <c r="C1058" s="910" t="s">
        <v>50</v>
      </c>
      <c r="D1058" s="931"/>
      <c r="E1058" s="931"/>
      <c r="F1058" s="913"/>
      <c r="G1058" s="910"/>
      <c r="H1058" s="953">
        <f>SUBTOTAL(9,H1059:H1067)</f>
        <v>173.8</v>
      </c>
      <c r="I1058" s="915">
        <f>SUBTOTAL(9,I1059:I1064)</f>
        <v>173.8</v>
      </c>
      <c r="J1058" s="933"/>
      <c r="K1058" s="917"/>
      <c r="L1058" s="917"/>
      <c r="M1058" s="907">
        <f>SUBTOTAL(9,M1059:M1067)</f>
        <v>96355000</v>
      </c>
      <c r="N1058" s="907">
        <f>SUBTOTAL(9,N1059:N1067)</f>
        <v>289064000</v>
      </c>
      <c r="O1058" s="1006"/>
      <c r="P1058" s="935">
        <f>SUBTOTAL(9,P1059:P1067)</f>
        <v>0</v>
      </c>
      <c r="Q1058" s="907"/>
      <c r="R1058" s="907">
        <f>SUBTOTAL(9,R1059:R1067)</f>
        <v>0</v>
      </c>
      <c r="S1058" s="1006"/>
      <c r="T1058" s="1007"/>
      <c r="U1058" s="936">
        <f>SUBTOTAL(9,U1059:U1067)</f>
        <v>43.74</v>
      </c>
      <c r="V1058" s="933"/>
      <c r="W1058" s="907"/>
      <c r="X1058" s="907">
        <f>SUBTOTAL(9,X1059:X1067)</f>
        <v>0</v>
      </c>
      <c r="Y1058" s="925"/>
      <c r="Z1058" s="928"/>
      <c r="AA1058" s="928"/>
      <c r="AB1058" s="904"/>
      <c r="AC1058" s="928"/>
      <c r="AD1058" s="928"/>
      <c r="AE1058" s="937"/>
      <c r="AF1058" s="935">
        <f>SUBTOTAL(9,AF1059:AF1067)</f>
        <v>0</v>
      </c>
      <c r="AG1058" s="921"/>
      <c r="AH1058" s="921">
        <f>SUBTOTAL(9,AH1059:AH1067)</f>
        <v>0</v>
      </c>
      <c r="AI1058" s="907">
        <f t="shared" si="223"/>
        <v>385419000</v>
      </c>
      <c r="AJ1058" s="910"/>
      <c r="AK1058" s="914"/>
      <c r="AM1058" s="473"/>
    </row>
    <row r="1059" spans="1:39" s="376" customFormat="1" ht="135" outlineLevel="2" x14ac:dyDescent="0.3">
      <c r="A1059" s="447">
        <f>IF(B1058&lt;&gt;0,B1058,A1057)</f>
        <v>82</v>
      </c>
      <c r="B1059" s="893"/>
      <c r="C1059" s="894" t="s">
        <v>112</v>
      </c>
      <c r="D1059" s="923"/>
      <c r="E1059" s="923">
        <v>86</v>
      </c>
      <c r="F1059" s="896">
        <v>313</v>
      </c>
      <c r="G1059" s="894" t="s">
        <v>2886</v>
      </c>
      <c r="H1059" s="924">
        <v>173.8</v>
      </c>
      <c r="I1059" s="882">
        <f t="shared" ref="I1059" si="229">IF(N1059&gt;0,H1059,"")</f>
        <v>173.8</v>
      </c>
      <c r="J1059" s="925"/>
      <c r="K1059" s="899">
        <f>IF(G1059&lt;&gt;0,VLOOKUP(G1059,'gia dat'!$A$1:$F$144,5,0)," ")</f>
        <v>554400</v>
      </c>
      <c r="L1059" s="899">
        <f>IF(G1059&lt;&gt;0,VLOOKUP(G1059,'gia dat'!$A$1:$F$144,6,0)," ")</f>
        <v>1663200</v>
      </c>
      <c r="M1059" s="900">
        <f t="shared" si="227"/>
        <v>96355000</v>
      </c>
      <c r="N1059" s="900">
        <f t="shared" si="228"/>
        <v>289064000</v>
      </c>
      <c r="O1059" s="973"/>
      <c r="P1059" s="926"/>
      <c r="Q1059" s="900" t="str">
        <f>IF(O1059&lt;&gt;0,VLOOKUP(O1059,'Cây trong'!$A$2:$C$246,3,0)," ")</f>
        <v xml:space="preserve"> </v>
      </c>
      <c r="R1059" s="900" t="str">
        <f t="shared" si="217"/>
        <v xml:space="preserve"> </v>
      </c>
      <c r="S1059" s="973" t="s">
        <v>2349</v>
      </c>
      <c r="T1059" s="974" t="s">
        <v>53</v>
      </c>
      <c r="U1059" s="927">
        <v>43.74</v>
      </c>
      <c r="V1059" s="925"/>
      <c r="W1059" s="900">
        <f>IF(S1059&lt;&gt;0,VLOOKUP(S1059,VKT!$A$2:$G$415,7,0),"")</f>
        <v>0</v>
      </c>
      <c r="X1059" s="900">
        <f t="shared" si="224"/>
        <v>0</v>
      </c>
      <c r="Y1059" s="925"/>
      <c r="Z1059" s="928" t="s">
        <v>55</v>
      </c>
      <c r="AA1059" s="928" t="s">
        <v>141</v>
      </c>
      <c r="AB1059" s="904" t="s">
        <v>171</v>
      </c>
      <c r="AC1059" s="928" t="s">
        <v>88</v>
      </c>
      <c r="AD1059" s="928"/>
      <c r="AE1059" s="928"/>
      <c r="AF1059" s="926"/>
      <c r="AG1059" s="906" t="str">
        <f>IF(AE1059&lt;&gt;0,VLOOKUP(AE1059,ODDS!$A$2:$C$13,3,0),"")</f>
        <v/>
      </c>
      <c r="AH1059" s="906" t="str">
        <f t="shared" si="218"/>
        <v xml:space="preserve"> </v>
      </c>
      <c r="AI1059" s="907" t="str">
        <f t="shared" si="223"/>
        <v xml:space="preserve"> </v>
      </c>
      <c r="AJ1059" s="894" t="s">
        <v>717</v>
      </c>
      <c r="AK1059" s="922" t="s">
        <v>2771</v>
      </c>
      <c r="AM1059" s="378" t="s">
        <v>2156</v>
      </c>
    </row>
    <row r="1060" spans="1:39" s="376" customFormat="1" ht="112.5" outlineLevel="2" x14ac:dyDescent="0.3">
      <c r="A1060" s="447">
        <f t="shared" ref="A1060:A1067" si="230">IF(B1059&lt;&gt;0,B1059,A1059)</f>
        <v>82</v>
      </c>
      <c r="B1060" s="893"/>
      <c r="C1060" s="894" t="s">
        <v>642</v>
      </c>
      <c r="D1060" s="923"/>
      <c r="E1060" s="923"/>
      <c r="F1060" s="896"/>
      <c r="G1060" s="894"/>
      <c r="H1060" s="924"/>
      <c r="I1060" s="882"/>
      <c r="J1060" s="925"/>
      <c r="K1060" s="899" t="str">
        <f>IF(G1060&lt;&gt;0,VLOOKUP(G1060,'gia dat'!$A$1:$F$144,5,0)," ")</f>
        <v xml:space="preserve"> </v>
      </c>
      <c r="L1060" s="899" t="str">
        <f>IF(G1060&lt;&gt;0,VLOOKUP(G1060,'gia dat'!$A$1:$F$144,6,0)," ")</f>
        <v xml:space="preserve"> </v>
      </c>
      <c r="M1060" s="900" t="str">
        <f t="shared" si="227"/>
        <v xml:space="preserve"> </v>
      </c>
      <c r="N1060" s="900" t="str">
        <f t="shared" si="228"/>
        <v xml:space="preserve"> </v>
      </c>
      <c r="O1060" s="973"/>
      <c r="P1060" s="926"/>
      <c r="Q1060" s="900" t="str">
        <f>IF(O1060&lt;&gt;0,VLOOKUP(O1060,'Cây trong'!$A$2:$C$246,3,0)," ")</f>
        <v xml:space="preserve"> </v>
      </c>
      <c r="R1060" s="900" t="str">
        <f t="shared" si="217"/>
        <v xml:space="preserve"> </v>
      </c>
      <c r="S1060" s="973"/>
      <c r="T1060" s="974"/>
      <c r="U1060" s="927"/>
      <c r="V1060" s="925"/>
      <c r="W1060" s="900" t="str">
        <f>IF(S1060&lt;&gt;0,VLOOKUP(S1060,VKT!$A$2:$G$415,7,0),"")</f>
        <v/>
      </c>
      <c r="X1060" s="900" t="str">
        <f t="shared" si="224"/>
        <v xml:space="preserve"> </v>
      </c>
      <c r="Y1060" s="925"/>
      <c r="Z1060" s="928"/>
      <c r="AA1060" s="928"/>
      <c r="AB1060" s="904"/>
      <c r="AC1060" s="928"/>
      <c r="AD1060" s="928"/>
      <c r="AE1060" s="928"/>
      <c r="AF1060" s="926"/>
      <c r="AG1060" s="906" t="str">
        <f>IF(AE1060&lt;&gt;0,VLOOKUP(AE1060,ODDS!$A$2:$C$13,3,0),"")</f>
        <v/>
      </c>
      <c r="AH1060" s="906" t="str">
        <f t="shared" si="218"/>
        <v xml:space="preserve"> </v>
      </c>
      <c r="AI1060" s="907" t="str">
        <f t="shared" si="223"/>
        <v xml:space="preserve"> </v>
      </c>
      <c r="AJ1060" s="894" t="s">
        <v>615</v>
      </c>
      <c r="AK1060" s="894" t="s">
        <v>2448</v>
      </c>
    </row>
    <row r="1061" spans="1:39" s="376" customFormat="1" ht="112.5" outlineLevel="2" x14ac:dyDescent="0.3">
      <c r="A1061" s="447">
        <f t="shared" si="230"/>
        <v>82</v>
      </c>
      <c r="B1061" s="893"/>
      <c r="C1061" s="894"/>
      <c r="D1061" s="923"/>
      <c r="E1061" s="923"/>
      <c r="F1061" s="896"/>
      <c r="G1061" s="894"/>
      <c r="H1061" s="924"/>
      <c r="I1061" s="882"/>
      <c r="J1061" s="925"/>
      <c r="K1061" s="899" t="str">
        <f>IF(G1061&lt;&gt;0,VLOOKUP(G1061,'gia dat'!$A$1:$F$144,5,0)," ")</f>
        <v xml:space="preserve"> </v>
      </c>
      <c r="L1061" s="899" t="str">
        <f>IF(G1061&lt;&gt;0,VLOOKUP(G1061,'gia dat'!$A$1:$F$144,6,0)," ")</f>
        <v xml:space="preserve"> </v>
      </c>
      <c r="M1061" s="900" t="str">
        <f t="shared" si="227"/>
        <v xml:space="preserve"> </v>
      </c>
      <c r="N1061" s="900" t="str">
        <f t="shared" si="228"/>
        <v xml:space="preserve"> </v>
      </c>
      <c r="O1061" s="973"/>
      <c r="P1061" s="926"/>
      <c r="Q1061" s="900" t="str">
        <f>IF(O1061&lt;&gt;0,VLOOKUP(O1061,'Cây trong'!$A$2:$C$246,3,0)," ")</f>
        <v xml:space="preserve"> </v>
      </c>
      <c r="R1061" s="900" t="str">
        <f t="shared" si="217"/>
        <v xml:space="preserve"> </v>
      </c>
      <c r="S1061" s="973"/>
      <c r="T1061" s="974"/>
      <c r="U1061" s="927"/>
      <c r="V1061" s="925"/>
      <c r="W1061" s="900" t="str">
        <f>IF(S1061&lt;&gt;0,VLOOKUP(S1061,VKT!$A$2:$G$415,7,0),"")</f>
        <v/>
      </c>
      <c r="X1061" s="900" t="str">
        <f t="shared" si="224"/>
        <v xml:space="preserve"> </v>
      </c>
      <c r="Y1061" s="925"/>
      <c r="Z1061" s="928"/>
      <c r="AA1061" s="928"/>
      <c r="AB1061" s="904"/>
      <c r="AC1061" s="928"/>
      <c r="AD1061" s="928"/>
      <c r="AE1061" s="928"/>
      <c r="AF1061" s="926"/>
      <c r="AG1061" s="906" t="str">
        <f>IF(AE1061&lt;&gt;0,VLOOKUP(AE1061,ODDS!$A$2:$C$13,3,0),"")</f>
        <v/>
      </c>
      <c r="AH1061" s="906" t="str">
        <f t="shared" si="218"/>
        <v xml:space="preserve"> </v>
      </c>
      <c r="AI1061" s="907" t="str">
        <f t="shared" si="223"/>
        <v xml:space="preserve"> </v>
      </c>
      <c r="AJ1061" s="894" t="s">
        <v>2074</v>
      </c>
      <c r="AK1061" s="894" t="s">
        <v>2450</v>
      </c>
    </row>
    <row r="1062" spans="1:39" s="376" customFormat="1" ht="22.5" outlineLevel="2" x14ac:dyDescent="0.35">
      <c r="A1062" s="447">
        <f t="shared" si="230"/>
        <v>82</v>
      </c>
      <c r="B1062" s="893"/>
      <c r="C1062" s="894"/>
      <c r="D1062" s="923"/>
      <c r="E1062" s="923"/>
      <c r="F1062" s="950"/>
      <c r="G1062" s="894"/>
      <c r="H1062" s="940"/>
      <c r="I1062" s="882"/>
      <c r="J1062" s="929"/>
      <c r="K1062" s="899" t="str">
        <f>IF(G1062&lt;&gt;0,VLOOKUP(G1062,'gia dat'!$A$1:$F$144,5,0)," ")</f>
        <v xml:space="preserve"> </v>
      </c>
      <c r="L1062" s="899" t="str">
        <f>IF(G1062&lt;&gt;0,VLOOKUP(G1062,'gia dat'!$A$1:$F$144,6,0)," ")</f>
        <v xml:space="preserve"> </v>
      </c>
      <c r="M1062" s="900" t="str">
        <f t="shared" si="227"/>
        <v xml:space="preserve"> </v>
      </c>
      <c r="N1062" s="900" t="str">
        <f t="shared" si="228"/>
        <v xml:space="preserve"> </v>
      </c>
      <c r="O1062" s="929"/>
      <c r="P1062" s="951"/>
      <c r="Q1062" s="900" t="str">
        <f>IF(O1062&lt;&gt;0,VLOOKUP(O1062,'Cây trong'!$A$2:$C$246,3,0)," ")</f>
        <v xml:space="preserve"> </v>
      </c>
      <c r="R1062" s="900" t="str">
        <f t="shared" si="217"/>
        <v xml:space="preserve"> </v>
      </c>
      <c r="S1062" s="929"/>
      <c r="T1062" s="929"/>
      <c r="U1062" s="952"/>
      <c r="V1062" s="925"/>
      <c r="W1062" s="900" t="str">
        <f>IF(S1062&lt;&gt;0,VLOOKUP(S1062,VKT!$A$2:$G$415,7,0),"")</f>
        <v/>
      </c>
      <c r="X1062" s="900" t="str">
        <f t="shared" si="224"/>
        <v xml:space="preserve"> </v>
      </c>
      <c r="Y1062" s="925"/>
      <c r="Z1062" s="925"/>
      <c r="AA1062" s="925"/>
      <c r="AB1062" s="898"/>
      <c r="AC1062" s="925"/>
      <c r="AD1062" s="925"/>
      <c r="AE1062" s="925"/>
      <c r="AF1062" s="964"/>
      <c r="AG1062" s="906" t="str">
        <f>IF(AE1062&lt;&gt;0,VLOOKUP(AE1062,ODDS!$A$2:$C$13,3,0),"")</f>
        <v/>
      </c>
      <c r="AH1062" s="906" t="str">
        <f t="shared" si="218"/>
        <v xml:space="preserve"> </v>
      </c>
      <c r="AI1062" s="907" t="str">
        <f t="shared" si="223"/>
        <v xml:space="preserve"> </v>
      </c>
      <c r="AJ1062" s="911"/>
      <c r="AK1062" s="894"/>
    </row>
    <row r="1063" spans="1:39" s="376" customFormat="1" ht="22.5" outlineLevel="2" x14ac:dyDescent="0.35">
      <c r="A1063" s="447">
        <f t="shared" si="230"/>
        <v>82</v>
      </c>
      <c r="B1063" s="893"/>
      <c r="C1063" s="894"/>
      <c r="D1063" s="923"/>
      <c r="E1063" s="923"/>
      <c r="F1063" s="896"/>
      <c r="G1063" s="894"/>
      <c r="H1063" s="924"/>
      <c r="I1063" s="882"/>
      <c r="J1063" s="925"/>
      <c r="K1063" s="899" t="str">
        <f>IF(G1063&lt;&gt;0,VLOOKUP(G1063,'gia dat'!$A$1:$F$144,5,0)," ")</f>
        <v xml:space="preserve"> </v>
      </c>
      <c r="L1063" s="899" t="str">
        <f>IF(G1063&lt;&gt;0,VLOOKUP(G1063,'gia dat'!$A$1:$F$144,6,0)," ")</f>
        <v xml:space="preserve"> </v>
      </c>
      <c r="M1063" s="900" t="str">
        <f t="shared" si="227"/>
        <v xml:space="preserve"> </v>
      </c>
      <c r="N1063" s="900" t="str">
        <f t="shared" si="228"/>
        <v xml:space="preserve"> </v>
      </c>
      <c r="O1063" s="973"/>
      <c r="P1063" s="926"/>
      <c r="Q1063" s="900" t="str">
        <f>IF(O1063&lt;&gt;0,VLOOKUP(O1063,'Cây trong'!$A$2:$C$246,3,0)," ")</f>
        <v xml:space="preserve"> </v>
      </c>
      <c r="R1063" s="900" t="str">
        <f t="shared" ref="R1063:R1130" si="231">IF(O1063&lt;&gt;0,ROUND(P1063*Q1063,-2)," ")</f>
        <v xml:space="preserve"> </v>
      </c>
      <c r="S1063" s="975"/>
      <c r="T1063" s="974"/>
      <c r="U1063" s="927"/>
      <c r="V1063" s="925"/>
      <c r="W1063" s="900" t="str">
        <f>IF(S1063&lt;&gt;0,VLOOKUP(S1063,VKT!$A$2:$G$415,7,0),"")</f>
        <v/>
      </c>
      <c r="X1063" s="900" t="str">
        <f t="shared" si="224"/>
        <v xml:space="preserve"> </v>
      </c>
      <c r="Y1063" s="925"/>
      <c r="Z1063" s="928"/>
      <c r="AA1063" s="928"/>
      <c r="AB1063" s="904"/>
      <c r="AC1063" s="928"/>
      <c r="AD1063" s="928"/>
      <c r="AE1063" s="928"/>
      <c r="AF1063" s="926"/>
      <c r="AG1063" s="906" t="str">
        <f>IF(AE1063&lt;&gt;0,VLOOKUP(AE1063,ODDS!$A$2:$C$13,3,0),"")</f>
        <v/>
      </c>
      <c r="AH1063" s="906" t="str">
        <f t="shared" ref="AH1063:AH1130" si="232">IF(AE1063&lt;&gt;0,ROUND(AF1063*AG1063,-2)," ")</f>
        <v xml:space="preserve"> </v>
      </c>
      <c r="AI1063" s="907" t="str">
        <f t="shared" si="223"/>
        <v xml:space="preserve"> </v>
      </c>
      <c r="AJ1063" s="911"/>
      <c r="AK1063" s="929"/>
    </row>
    <row r="1064" spans="1:39" s="376" customFormat="1" ht="22.5" outlineLevel="2" x14ac:dyDescent="0.3">
      <c r="A1064" s="447">
        <f t="shared" si="230"/>
        <v>82</v>
      </c>
      <c r="B1064" s="893"/>
      <c r="C1064" s="894"/>
      <c r="D1064" s="923"/>
      <c r="E1064" s="923"/>
      <c r="F1064" s="896"/>
      <c r="G1064" s="894"/>
      <c r="H1064" s="924"/>
      <c r="I1064" s="882"/>
      <c r="J1064" s="925"/>
      <c r="K1064" s="899" t="str">
        <f>IF(G1064&lt;&gt;0,VLOOKUP(G1064,'gia dat'!$A$1:$F$144,5,0)," ")</f>
        <v xml:space="preserve"> </v>
      </c>
      <c r="L1064" s="899" t="str">
        <f>IF(G1064&lt;&gt;0,VLOOKUP(G1064,'gia dat'!$A$1:$F$144,6,0)," ")</f>
        <v xml:space="preserve"> </v>
      </c>
      <c r="M1064" s="900" t="str">
        <f t="shared" si="227"/>
        <v xml:space="preserve"> </v>
      </c>
      <c r="N1064" s="900" t="str">
        <f t="shared" si="228"/>
        <v xml:space="preserve"> </v>
      </c>
      <c r="O1064" s="973"/>
      <c r="P1064" s="926"/>
      <c r="Q1064" s="900" t="str">
        <f>IF(O1064&lt;&gt;0,VLOOKUP(O1064,'Cây trong'!$A$2:$C$246,3,0)," ")</f>
        <v xml:space="preserve"> </v>
      </c>
      <c r="R1064" s="900" t="str">
        <f t="shared" si="231"/>
        <v xml:space="preserve"> </v>
      </c>
      <c r="S1064" s="975"/>
      <c r="T1064" s="974"/>
      <c r="U1064" s="927"/>
      <c r="V1064" s="925"/>
      <c r="W1064" s="900" t="str">
        <f>IF(S1064&lt;&gt;0,VLOOKUP(S1064,VKT!$A$2:$G$415,7,0),"")</f>
        <v/>
      </c>
      <c r="X1064" s="900" t="str">
        <f t="shared" si="224"/>
        <v xml:space="preserve"> </v>
      </c>
      <c r="Y1064" s="925"/>
      <c r="Z1064" s="928"/>
      <c r="AA1064" s="928"/>
      <c r="AB1064" s="904"/>
      <c r="AC1064" s="928"/>
      <c r="AD1064" s="928"/>
      <c r="AE1064" s="928"/>
      <c r="AF1064" s="926"/>
      <c r="AG1064" s="906" t="str">
        <f>IF(AE1064&lt;&gt;0,VLOOKUP(AE1064,ODDS!$A$2:$C$13,3,0),"")</f>
        <v/>
      </c>
      <c r="AH1064" s="906" t="str">
        <f t="shared" si="232"/>
        <v xml:space="preserve"> </v>
      </c>
      <c r="AI1064" s="907" t="str">
        <f t="shared" si="223"/>
        <v xml:space="preserve"> </v>
      </c>
      <c r="AJ1064" s="929"/>
      <c r="AK1064" s="929"/>
    </row>
    <row r="1065" spans="1:39" s="376" customFormat="1" ht="22.5" outlineLevel="2" x14ac:dyDescent="0.3">
      <c r="A1065" s="447">
        <f t="shared" si="230"/>
        <v>82</v>
      </c>
      <c r="B1065" s="893"/>
      <c r="C1065" s="894"/>
      <c r="D1065" s="923"/>
      <c r="E1065" s="923"/>
      <c r="F1065" s="896"/>
      <c r="G1065" s="894"/>
      <c r="H1065" s="924"/>
      <c r="I1065" s="882"/>
      <c r="J1065" s="925"/>
      <c r="K1065" s="899" t="str">
        <f>IF(G1065&lt;&gt;0,VLOOKUP(G1065,'gia dat'!$A$1:$F$144,5,0)," ")</f>
        <v xml:space="preserve"> </v>
      </c>
      <c r="L1065" s="899" t="str">
        <f>IF(G1065&lt;&gt;0,VLOOKUP(G1065,'gia dat'!$A$1:$F$144,6,0)," ")</f>
        <v xml:space="preserve"> </v>
      </c>
      <c r="M1065" s="900" t="str">
        <f t="shared" si="227"/>
        <v xml:space="preserve"> </v>
      </c>
      <c r="N1065" s="900" t="str">
        <f t="shared" si="228"/>
        <v xml:space="preserve"> </v>
      </c>
      <c r="O1065" s="973"/>
      <c r="P1065" s="926"/>
      <c r="Q1065" s="900" t="str">
        <f>IF(O1065&lt;&gt;0,VLOOKUP(O1065,'Cây trong'!$A$2:$C$246,3,0)," ")</f>
        <v xml:space="preserve"> </v>
      </c>
      <c r="R1065" s="900" t="str">
        <f t="shared" si="231"/>
        <v xml:space="preserve"> </v>
      </c>
      <c r="S1065" s="975"/>
      <c r="T1065" s="974"/>
      <c r="U1065" s="927"/>
      <c r="V1065" s="925"/>
      <c r="W1065" s="900" t="str">
        <f>IF(S1065&lt;&gt;0,VLOOKUP(S1065,VKT!$A$2:$G$415,7,0),"")</f>
        <v/>
      </c>
      <c r="X1065" s="900" t="str">
        <f t="shared" si="224"/>
        <v xml:space="preserve"> </v>
      </c>
      <c r="Y1065" s="925"/>
      <c r="Z1065" s="928"/>
      <c r="AA1065" s="928"/>
      <c r="AB1065" s="904"/>
      <c r="AC1065" s="928"/>
      <c r="AD1065" s="928"/>
      <c r="AE1065" s="928"/>
      <c r="AF1065" s="926"/>
      <c r="AG1065" s="906" t="str">
        <f>IF(AE1065&lt;&gt;0,VLOOKUP(AE1065,ODDS!$A$2:$C$13,3,0),"")</f>
        <v/>
      </c>
      <c r="AH1065" s="906" t="str">
        <f t="shared" si="232"/>
        <v xml:space="preserve"> </v>
      </c>
      <c r="AI1065" s="907" t="str">
        <f t="shared" si="223"/>
        <v xml:space="preserve"> </v>
      </c>
      <c r="AJ1065" s="929"/>
      <c r="AK1065" s="929"/>
    </row>
    <row r="1066" spans="1:39" s="376" customFormat="1" ht="22.5" outlineLevel="2" x14ac:dyDescent="0.3">
      <c r="A1066" s="447">
        <f t="shared" si="230"/>
        <v>82</v>
      </c>
      <c r="B1066" s="893"/>
      <c r="C1066" s="894"/>
      <c r="D1066" s="923"/>
      <c r="E1066" s="923"/>
      <c r="F1066" s="896"/>
      <c r="G1066" s="894"/>
      <c r="H1066" s="924"/>
      <c r="I1066" s="882"/>
      <c r="J1066" s="925"/>
      <c r="K1066" s="899" t="str">
        <f>IF(G1066&lt;&gt;0,VLOOKUP(G1066,'gia dat'!$A$1:$F$144,5,0)," ")</f>
        <v xml:space="preserve"> </v>
      </c>
      <c r="L1066" s="899" t="str">
        <f>IF(G1066&lt;&gt;0,VLOOKUP(G1066,'gia dat'!$A$1:$F$144,6,0)," ")</f>
        <v xml:space="preserve"> </v>
      </c>
      <c r="M1066" s="900" t="str">
        <f t="shared" si="227"/>
        <v xml:space="preserve"> </v>
      </c>
      <c r="N1066" s="900" t="str">
        <f t="shared" si="228"/>
        <v xml:space="preserve"> </v>
      </c>
      <c r="O1066" s="973"/>
      <c r="P1066" s="926"/>
      <c r="Q1066" s="900" t="str">
        <f>IF(O1066&lt;&gt;0,VLOOKUP(O1066,'Cây trong'!$A$2:$C$246,3,0)," ")</f>
        <v xml:space="preserve"> </v>
      </c>
      <c r="R1066" s="900" t="str">
        <f t="shared" si="231"/>
        <v xml:space="preserve"> </v>
      </c>
      <c r="S1066" s="973"/>
      <c r="T1066" s="974"/>
      <c r="U1066" s="927"/>
      <c r="V1066" s="925"/>
      <c r="W1066" s="900" t="str">
        <f>IF(S1066&lt;&gt;0,VLOOKUP(S1066,VKT!$A$2:$G$415,7,0),"")</f>
        <v/>
      </c>
      <c r="X1066" s="900" t="str">
        <f t="shared" si="224"/>
        <v xml:space="preserve"> </v>
      </c>
      <c r="Y1066" s="925"/>
      <c r="Z1066" s="928"/>
      <c r="AA1066" s="928"/>
      <c r="AB1066" s="904"/>
      <c r="AC1066" s="928"/>
      <c r="AD1066" s="928"/>
      <c r="AE1066" s="928"/>
      <c r="AF1066" s="926"/>
      <c r="AG1066" s="906" t="str">
        <f>IF(AE1066&lt;&gt;0,VLOOKUP(AE1066,ODDS!$A$2:$C$13,3,0),"")</f>
        <v/>
      </c>
      <c r="AH1066" s="906" t="str">
        <f t="shared" si="232"/>
        <v xml:space="preserve"> </v>
      </c>
      <c r="AI1066" s="907" t="str">
        <f t="shared" si="223"/>
        <v xml:space="preserve"> </v>
      </c>
      <c r="AJ1066" s="929"/>
      <c r="AK1066" s="929"/>
    </row>
    <row r="1067" spans="1:39" s="376" customFormat="1" ht="22.5" outlineLevel="2" x14ac:dyDescent="0.3">
      <c r="A1067" s="447">
        <f t="shared" si="230"/>
        <v>82</v>
      </c>
      <c r="B1067" s="893"/>
      <c r="C1067" s="910"/>
      <c r="D1067" s="923"/>
      <c r="E1067" s="923"/>
      <c r="F1067" s="896"/>
      <c r="G1067" s="894"/>
      <c r="H1067" s="924"/>
      <c r="I1067" s="882"/>
      <c r="J1067" s="925"/>
      <c r="K1067" s="899" t="str">
        <f>IF(G1067&lt;&gt;0,VLOOKUP(G1067,'gia dat'!$A$1:$F$144,5,0)," ")</f>
        <v xml:space="preserve"> </v>
      </c>
      <c r="L1067" s="899" t="str">
        <f>IF(G1067&lt;&gt;0,VLOOKUP(G1067,'gia dat'!$A$1:$F$144,6,0)," ")</f>
        <v xml:space="preserve"> </v>
      </c>
      <c r="M1067" s="900" t="str">
        <f t="shared" si="227"/>
        <v xml:space="preserve"> </v>
      </c>
      <c r="N1067" s="900" t="str">
        <f t="shared" si="228"/>
        <v xml:space="preserve"> </v>
      </c>
      <c r="O1067" s="894"/>
      <c r="P1067" s="926"/>
      <c r="Q1067" s="900" t="str">
        <f>IF(O1067&lt;&gt;0,VLOOKUP(O1067,'Cây trong'!$A$2:$C$246,3,0)," ")</f>
        <v xml:space="preserve"> </v>
      </c>
      <c r="R1067" s="900" t="str">
        <f t="shared" si="231"/>
        <v xml:space="preserve"> </v>
      </c>
      <c r="S1067" s="902"/>
      <c r="T1067" s="925"/>
      <c r="U1067" s="927"/>
      <c r="V1067" s="925"/>
      <c r="W1067" s="900" t="str">
        <f>IF(S1067&lt;&gt;0,VLOOKUP(S1067,VKT!$A$2:$G$415,7,0),"")</f>
        <v/>
      </c>
      <c r="X1067" s="900" t="str">
        <f t="shared" si="224"/>
        <v xml:space="preserve"> </v>
      </c>
      <c r="Y1067" s="925"/>
      <c r="Z1067" s="928"/>
      <c r="AA1067" s="928"/>
      <c r="AB1067" s="904"/>
      <c r="AC1067" s="928"/>
      <c r="AD1067" s="928"/>
      <c r="AE1067" s="928"/>
      <c r="AF1067" s="926"/>
      <c r="AG1067" s="906" t="str">
        <f>IF(AE1067&lt;&gt;0,VLOOKUP(AE1067,ODDS!$A$2:$C$13,3,0),"")</f>
        <v/>
      </c>
      <c r="AH1067" s="906" t="str">
        <f t="shared" si="232"/>
        <v xml:space="preserve"> </v>
      </c>
      <c r="AI1067" s="907" t="str">
        <f t="shared" si="223"/>
        <v xml:space="preserve"> </v>
      </c>
      <c r="AJ1067" s="929"/>
      <c r="AK1067" s="929"/>
    </row>
    <row r="1068" spans="1:39" s="376" customFormat="1" ht="43.5" outlineLevel="1" x14ac:dyDescent="0.25">
      <c r="A1068" s="467" t="s">
        <v>2627</v>
      </c>
      <c r="B1068" s="912">
        <v>83</v>
      </c>
      <c r="C1068" s="910" t="s">
        <v>50</v>
      </c>
      <c r="D1068" s="931"/>
      <c r="E1068" s="931"/>
      <c r="F1068" s="913"/>
      <c r="G1068" s="910"/>
      <c r="H1068" s="953">
        <f>SUBTOTAL(9,H1069:H1076)</f>
        <v>52.9</v>
      </c>
      <c r="I1068" s="915">
        <f>SUBTOTAL(9,I1069:I1074)</f>
        <v>52.9</v>
      </c>
      <c r="J1068" s="933"/>
      <c r="K1068" s="917"/>
      <c r="L1068" s="917"/>
      <c r="M1068" s="907">
        <f>SUBTOTAL(9,M1069:M1076)</f>
        <v>29328000</v>
      </c>
      <c r="N1068" s="907">
        <f>SUBTOTAL(9,N1069:N1076)</f>
        <v>87983000</v>
      </c>
      <c r="O1068" s="910"/>
      <c r="P1068" s="935">
        <f>SUBTOTAL(9,P1069:P1076)</f>
        <v>0</v>
      </c>
      <c r="Q1068" s="907"/>
      <c r="R1068" s="907">
        <f>SUBTOTAL(9,R1069:R1076)</f>
        <v>0</v>
      </c>
      <c r="S1068" s="1006"/>
      <c r="T1068" s="1007"/>
      <c r="U1068" s="936">
        <f>SUBTOTAL(9,U1069:U1076)</f>
        <v>0</v>
      </c>
      <c r="V1068" s="933"/>
      <c r="W1068" s="907"/>
      <c r="X1068" s="907">
        <f>SUBTOTAL(9,X1069:X1076)</f>
        <v>0</v>
      </c>
      <c r="Y1068" s="925"/>
      <c r="Z1068" s="928"/>
      <c r="AA1068" s="928"/>
      <c r="AB1068" s="904"/>
      <c r="AC1068" s="928"/>
      <c r="AD1068" s="928"/>
      <c r="AE1068" s="937"/>
      <c r="AF1068" s="935">
        <f>SUBTOTAL(9,AF1069:AF1076)</f>
        <v>0</v>
      </c>
      <c r="AG1068" s="921"/>
      <c r="AH1068" s="921">
        <f>SUBTOTAL(9,AH1069:AH1076)</f>
        <v>0</v>
      </c>
      <c r="AI1068" s="907">
        <f t="shared" si="223"/>
        <v>117311000</v>
      </c>
      <c r="AJ1068" s="910"/>
      <c r="AK1068" s="914"/>
    </row>
    <row r="1069" spans="1:39" s="376" customFormat="1" ht="135" outlineLevel="2" x14ac:dyDescent="0.3">
      <c r="A1069" s="447">
        <f>IF(B1068&lt;&gt;0,B1068,A1067)</f>
        <v>83</v>
      </c>
      <c r="B1069" s="893"/>
      <c r="C1069" s="894" t="s">
        <v>112</v>
      </c>
      <c r="D1069" s="923"/>
      <c r="E1069" s="923">
        <v>86</v>
      </c>
      <c r="F1069" s="896">
        <v>312</v>
      </c>
      <c r="G1069" s="894" t="s">
        <v>2885</v>
      </c>
      <c r="H1069" s="924">
        <v>52.9</v>
      </c>
      <c r="I1069" s="882">
        <f t="shared" ref="I1069" si="233">IF(N1069&gt;0,H1069,"")</f>
        <v>52.9</v>
      </c>
      <c r="J1069" s="925"/>
      <c r="K1069" s="899">
        <f>IF(G1069&lt;&gt;0,VLOOKUP(G1069,'gia dat'!$A$1:$F$144,5,0)," ")</f>
        <v>554400</v>
      </c>
      <c r="L1069" s="899">
        <f>IF(G1069&lt;&gt;0,VLOOKUP(G1069,'gia dat'!$A$1:$F$144,6,0)," ")</f>
        <v>1663200</v>
      </c>
      <c r="M1069" s="900">
        <f t="shared" si="227"/>
        <v>29328000</v>
      </c>
      <c r="N1069" s="900">
        <f t="shared" si="228"/>
        <v>87983000</v>
      </c>
      <c r="O1069" s="894"/>
      <c r="P1069" s="926"/>
      <c r="Q1069" s="900" t="str">
        <f>IF(O1069&lt;&gt;0,VLOOKUP(O1069,'Cây trong'!$A$2:$C$246,3,0)," ")</f>
        <v xml:space="preserve"> </v>
      </c>
      <c r="R1069" s="900" t="str">
        <f t="shared" si="231"/>
        <v xml:space="preserve"> </v>
      </c>
      <c r="S1069" s="973"/>
      <c r="T1069" s="974"/>
      <c r="U1069" s="927"/>
      <c r="V1069" s="925"/>
      <c r="W1069" s="900" t="str">
        <f>IF(S1069&lt;&gt;0,VLOOKUP(S1069,VKT!$A$2:$G$415,7,0),"")</f>
        <v/>
      </c>
      <c r="X1069" s="900" t="str">
        <f t="shared" si="224"/>
        <v xml:space="preserve"> </v>
      </c>
      <c r="Y1069" s="925"/>
      <c r="Z1069" s="928"/>
      <c r="AA1069" s="928"/>
      <c r="AB1069" s="904"/>
      <c r="AC1069" s="928"/>
      <c r="AD1069" s="928"/>
      <c r="AE1069" s="928"/>
      <c r="AF1069" s="926"/>
      <c r="AG1069" s="906" t="str">
        <f>IF(AE1069&lt;&gt;0,VLOOKUP(AE1069,ODDS!$A$2:$C$13,3,0),"")</f>
        <v/>
      </c>
      <c r="AH1069" s="906" t="str">
        <f t="shared" si="232"/>
        <v xml:space="preserve"> </v>
      </c>
      <c r="AI1069" s="907" t="str">
        <f t="shared" si="223"/>
        <v xml:space="preserve"> </v>
      </c>
      <c r="AJ1069" s="894" t="s">
        <v>718</v>
      </c>
      <c r="AK1069" s="922" t="s">
        <v>2771</v>
      </c>
    </row>
    <row r="1070" spans="1:39" s="376" customFormat="1" ht="112.5" outlineLevel="2" x14ac:dyDescent="0.3">
      <c r="A1070" s="447">
        <f t="shared" ref="A1070:A1076" si="234">IF(B1069&lt;&gt;0,B1069,A1069)</f>
        <v>83</v>
      </c>
      <c r="B1070" s="893"/>
      <c r="C1070" s="894" t="s">
        <v>642</v>
      </c>
      <c r="D1070" s="923"/>
      <c r="E1070" s="923"/>
      <c r="F1070" s="896"/>
      <c r="G1070" s="894"/>
      <c r="H1070" s="924"/>
      <c r="I1070" s="882"/>
      <c r="J1070" s="925"/>
      <c r="K1070" s="899" t="str">
        <f>IF(G1070&lt;&gt;0,VLOOKUP(G1070,'gia dat'!$A$1:$F$144,5,0)," ")</f>
        <v xml:space="preserve"> </v>
      </c>
      <c r="L1070" s="899" t="str">
        <f>IF(G1070&lt;&gt;0,VLOOKUP(G1070,'gia dat'!$A$1:$F$144,6,0)," ")</f>
        <v xml:space="preserve"> </v>
      </c>
      <c r="M1070" s="900" t="str">
        <f t="shared" si="227"/>
        <v xml:space="preserve"> </v>
      </c>
      <c r="N1070" s="900" t="str">
        <f t="shared" si="228"/>
        <v xml:space="preserve"> </v>
      </c>
      <c r="O1070" s="894"/>
      <c r="P1070" s="926"/>
      <c r="Q1070" s="900" t="str">
        <f>IF(O1070&lt;&gt;0,VLOOKUP(O1070,'Cây trong'!$A$2:$C$246,3,0)," ")</f>
        <v xml:space="preserve"> </v>
      </c>
      <c r="R1070" s="900" t="str">
        <f t="shared" si="231"/>
        <v xml:space="preserve"> </v>
      </c>
      <c r="S1070" s="902"/>
      <c r="T1070" s="925"/>
      <c r="U1070" s="927"/>
      <c r="V1070" s="925"/>
      <c r="W1070" s="900" t="str">
        <f>IF(S1070&lt;&gt;0,VLOOKUP(S1070,VKT!$A$2:$G$415,7,0),"")</f>
        <v/>
      </c>
      <c r="X1070" s="900" t="str">
        <f t="shared" si="224"/>
        <v xml:space="preserve"> </v>
      </c>
      <c r="Y1070" s="925"/>
      <c r="Z1070" s="928"/>
      <c r="AA1070" s="928"/>
      <c r="AB1070" s="904"/>
      <c r="AC1070" s="928"/>
      <c r="AD1070" s="928"/>
      <c r="AE1070" s="928"/>
      <c r="AF1070" s="926"/>
      <c r="AG1070" s="906" t="str">
        <f>IF(AE1070&lt;&gt;0,VLOOKUP(AE1070,ODDS!$A$2:$C$13,3,0),"")</f>
        <v/>
      </c>
      <c r="AH1070" s="906" t="str">
        <f t="shared" si="232"/>
        <v xml:space="preserve"> </v>
      </c>
      <c r="AI1070" s="907" t="str">
        <f t="shared" si="223"/>
        <v xml:space="preserve"> </v>
      </c>
      <c r="AJ1070" s="894" t="s">
        <v>616</v>
      </c>
      <c r="AK1070" s="894" t="s">
        <v>2448</v>
      </c>
    </row>
    <row r="1071" spans="1:39" s="376" customFormat="1" ht="67.5" outlineLevel="2" x14ac:dyDescent="0.3">
      <c r="A1071" s="447">
        <f t="shared" si="234"/>
        <v>83</v>
      </c>
      <c r="B1071" s="893"/>
      <c r="C1071" s="894"/>
      <c r="D1071" s="923"/>
      <c r="E1071" s="923"/>
      <c r="F1071" s="896"/>
      <c r="G1071" s="894"/>
      <c r="H1071" s="924"/>
      <c r="I1071" s="882"/>
      <c r="J1071" s="925"/>
      <c r="K1071" s="899" t="str">
        <f>IF(G1071&lt;&gt;0,VLOOKUP(G1071,'gia dat'!$A$1:$F$144,5,0)," ")</f>
        <v xml:space="preserve"> </v>
      </c>
      <c r="L1071" s="899" t="str">
        <f>IF(G1071&lt;&gt;0,VLOOKUP(G1071,'gia dat'!$A$1:$F$144,6,0)," ")</f>
        <v xml:space="preserve"> </v>
      </c>
      <c r="M1071" s="900" t="str">
        <f t="shared" si="227"/>
        <v xml:space="preserve"> </v>
      </c>
      <c r="N1071" s="900" t="str">
        <f t="shared" si="228"/>
        <v xml:space="preserve"> </v>
      </c>
      <c r="O1071" s="894"/>
      <c r="P1071" s="926"/>
      <c r="Q1071" s="900" t="str">
        <f>IF(O1071&lt;&gt;0,VLOOKUP(O1071,'Cây trong'!$A$2:$C$246,3,0)," ")</f>
        <v xml:space="preserve"> </v>
      </c>
      <c r="R1071" s="900" t="str">
        <f t="shared" si="231"/>
        <v xml:space="preserve"> </v>
      </c>
      <c r="S1071" s="902"/>
      <c r="T1071" s="925"/>
      <c r="U1071" s="927"/>
      <c r="V1071" s="925"/>
      <c r="W1071" s="900" t="str">
        <f>IF(S1071&lt;&gt;0,VLOOKUP(S1071,VKT!$A$2:$G$415,7,0),"")</f>
        <v/>
      </c>
      <c r="X1071" s="900" t="str">
        <f t="shared" si="224"/>
        <v xml:space="preserve"> </v>
      </c>
      <c r="Y1071" s="925"/>
      <c r="Z1071" s="928"/>
      <c r="AA1071" s="928"/>
      <c r="AB1071" s="904"/>
      <c r="AC1071" s="928"/>
      <c r="AD1071" s="928"/>
      <c r="AE1071" s="928"/>
      <c r="AF1071" s="926"/>
      <c r="AG1071" s="906" t="str">
        <f>IF(AE1071&lt;&gt;0,VLOOKUP(AE1071,ODDS!$A$2:$C$13,3,0),"")</f>
        <v/>
      </c>
      <c r="AH1071" s="906" t="str">
        <f t="shared" si="232"/>
        <v xml:space="preserve"> </v>
      </c>
      <c r="AI1071" s="907" t="str">
        <f t="shared" si="223"/>
        <v xml:space="preserve"> </v>
      </c>
      <c r="AJ1071" s="894" t="s">
        <v>2074</v>
      </c>
      <c r="AK1071" s="929"/>
    </row>
    <row r="1072" spans="1:39" s="376" customFormat="1" ht="22.5" outlineLevel="2" x14ac:dyDescent="0.35">
      <c r="A1072" s="447">
        <f t="shared" si="234"/>
        <v>83</v>
      </c>
      <c r="B1072" s="893"/>
      <c r="C1072" s="894"/>
      <c r="D1072" s="923"/>
      <c r="E1072" s="923"/>
      <c r="F1072" s="896"/>
      <c r="G1072" s="894"/>
      <c r="H1072" s="924"/>
      <c r="I1072" s="882"/>
      <c r="J1072" s="925"/>
      <c r="K1072" s="899" t="str">
        <f>IF(G1072&lt;&gt;0,VLOOKUP(G1072,'gia dat'!$A$1:$F$144,5,0)," ")</f>
        <v xml:space="preserve"> </v>
      </c>
      <c r="L1072" s="899" t="str">
        <f>IF(G1072&lt;&gt;0,VLOOKUP(G1072,'gia dat'!$A$1:$F$144,6,0)," ")</f>
        <v xml:space="preserve"> </v>
      </c>
      <c r="M1072" s="900" t="str">
        <f t="shared" si="227"/>
        <v xml:space="preserve"> </v>
      </c>
      <c r="N1072" s="900" t="str">
        <f t="shared" si="228"/>
        <v xml:space="preserve"> </v>
      </c>
      <c r="O1072" s="894"/>
      <c r="P1072" s="926"/>
      <c r="Q1072" s="900" t="str">
        <f>IF(O1072&lt;&gt;0,VLOOKUP(O1072,'Cây trong'!$A$2:$C$246,3,0)," ")</f>
        <v xml:space="preserve"> </v>
      </c>
      <c r="R1072" s="900" t="str">
        <f t="shared" si="231"/>
        <v xml:space="preserve"> </v>
      </c>
      <c r="S1072" s="902"/>
      <c r="T1072" s="925"/>
      <c r="U1072" s="927"/>
      <c r="V1072" s="925"/>
      <c r="W1072" s="900" t="str">
        <f>IF(S1072&lt;&gt;0,VLOOKUP(S1072,VKT!$A$2:$G$415,7,0),"")</f>
        <v/>
      </c>
      <c r="X1072" s="900" t="str">
        <f t="shared" si="224"/>
        <v xml:space="preserve"> </v>
      </c>
      <c r="Y1072" s="925"/>
      <c r="Z1072" s="928"/>
      <c r="AA1072" s="928"/>
      <c r="AB1072" s="904"/>
      <c r="AC1072" s="928"/>
      <c r="AD1072" s="928"/>
      <c r="AE1072" s="928"/>
      <c r="AF1072" s="926"/>
      <c r="AG1072" s="906" t="str">
        <f>IF(AE1072&lt;&gt;0,VLOOKUP(AE1072,ODDS!$A$2:$C$13,3,0),"")</f>
        <v/>
      </c>
      <c r="AH1072" s="906" t="str">
        <f t="shared" si="232"/>
        <v xml:space="preserve"> </v>
      </c>
      <c r="AI1072" s="907" t="str">
        <f t="shared" si="223"/>
        <v xml:space="preserve"> </v>
      </c>
      <c r="AJ1072" s="911"/>
      <c r="AK1072" s="929"/>
    </row>
    <row r="1073" spans="1:39" s="376" customFormat="1" ht="22.5" outlineLevel="2" x14ac:dyDescent="0.3">
      <c r="A1073" s="447">
        <f t="shared" si="234"/>
        <v>83</v>
      </c>
      <c r="B1073" s="893"/>
      <c r="C1073" s="894"/>
      <c r="D1073" s="923"/>
      <c r="E1073" s="923"/>
      <c r="F1073" s="896"/>
      <c r="G1073" s="894"/>
      <c r="H1073" s="924"/>
      <c r="I1073" s="882"/>
      <c r="J1073" s="925"/>
      <c r="K1073" s="899" t="str">
        <f>IF(G1073&lt;&gt;0,VLOOKUP(G1073,'gia dat'!$A$1:$F$144,5,0)," ")</f>
        <v xml:space="preserve"> </v>
      </c>
      <c r="L1073" s="899" t="str">
        <f>IF(G1073&lt;&gt;0,VLOOKUP(G1073,'gia dat'!$A$1:$F$144,6,0)," ")</f>
        <v xml:space="preserve"> </v>
      </c>
      <c r="M1073" s="900" t="str">
        <f t="shared" si="227"/>
        <v xml:space="preserve"> </v>
      </c>
      <c r="N1073" s="900" t="str">
        <f t="shared" si="228"/>
        <v xml:space="preserve"> </v>
      </c>
      <c r="O1073" s="894"/>
      <c r="P1073" s="926"/>
      <c r="Q1073" s="900" t="str">
        <f>IF(O1073&lt;&gt;0,VLOOKUP(O1073,'Cây trong'!$A$2:$C$246,3,0)," ")</f>
        <v xml:space="preserve"> </v>
      </c>
      <c r="R1073" s="900" t="str">
        <f t="shared" si="231"/>
        <v xml:space="preserve"> </v>
      </c>
      <c r="S1073" s="902"/>
      <c r="T1073" s="925"/>
      <c r="U1073" s="927"/>
      <c r="V1073" s="925"/>
      <c r="W1073" s="900" t="str">
        <f>IF(S1073&lt;&gt;0,VLOOKUP(S1073,VKT!$A$2:$G$415,7,0),"")</f>
        <v/>
      </c>
      <c r="X1073" s="900" t="str">
        <f t="shared" si="224"/>
        <v xml:space="preserve"> </v>
      </c>
      <c r="Y1073" s="925"/>
      <c r="Z1073" s="928"/>
      <c r="AA1073" s="928"/>
      <c r="AB1073" s="904"/>
      <c r="AC1073" s="928"/>
      <c r="AD1073" s="928"/>
      <c r="AE1073" s="928"/>
      <c r="AF1073" s="926"/>
      <c r="AG1073" s="906" t="str">
        <f>IF(AE1073&lt;&gt;0,VLOOKUP(AE1073,ODDS!$A$2:$C$13,3,0),"")</f>
        <v/>
      </c>
      <c r="AH1073" s="906" t="str">
        <f t="shared" si="232"/>
        <v xml:space="preserve"> </v>
      </c>
      <c r="AI1073" s="907" t="str">
        <f t="shared" si="223"/>
        <v xml:space="preserve"> </v>
      </c>
      <c r="AJ1073" s="929"/>
      <c r="AK1073" s="929"/>
    </row>
    <row r="1074" spans="1:39" s="376" customFormat="1" ht="22.5" outlineLevel="2" x14ac:dyDescent="0.3">
      <c r="A1074" s="447">
        <f t="shared" si="234"/>
        <v>83</v>
      </c>
      <c r="B1074" s="893"/>
      <c r="C1074" s="894"/>
      <c r="D1074" s="923"/>
      <c r="E1074" s="923"/>
      <c r="F1074" s="896"/>
      <c r="G1074" s="894"/>
      <c r="H1074" s="924"/>
      <c r="I1074" s="882"/>
      <c r="J1074" s="925"/>
      <c r="K1074" s="899" t="str">
        <f>IF(G1074&lt;&gt;0,VLOOKUP(G1074,'gia dat'!$A$1:$F$144,5,0)," ")</f>
        <v xml:space="preserve"> </v>
      </c>
      <c r="L1074" s="899" t="str">
        <f>IF(G1074&lt;&gt;0,VLOOKUP(G1074,'gia dat'!$A$1:$F$144,6,0)," ")</f>
        <v xml:space="preserve"> </v>
      </c>
      <c r="M1074" s="900" t="str">
        <f t="shared" si="227"/>
        <v xml:space="preserve"> </v>
      </c>
      <c r="N1074" s="900" t="str">
        <f t="shared" si="228"/>
        <v xml:space="preserve"> </v>
      </c>
      <c r="O1074" s="894"/>
      <c r="P1074" s="926"/>
      <c r="Q1074" s="900" t="str">
        <f>IF(O1074&lt;&gt;0,VLOOKUP(O1074,'Cây trong'!$A$2:$C$246,3,0)," ")</f>
        <v xml:space="preserve"> </v>
      </c>
      <c r="R1074" s="900" t="str">
        <f t="shared" si="231"/>
        <v xml:space="preserve"> </v>
      </c>
      <c r="S1074" s="902"/>
      <c r="T1074" s="925"/>
      <c r="U1074" s="927"/>
      <c r="V1074" s="925"/>
      <c r="W1074" s="900" t="str">
        <f>IF(S1074&lt;&gt;0,VLOOKUP(S1074,VKT!$A$2:$G$415,7,0),"")</f>
        <v/>
      </c>
      <c r="X1074" s="900" t="str">
        <f t="shared" si="224"/>
        <v xml:space="preserve"> </v>
      </c>
      <c r="Y1074" s="925"/>
      <c r="Z1074" s="928"/>
      <c r="AA1074" s="928"/>
      <c r="AB1074" s="904"/>
      <c r="AC1074" s="928"/>
      <c r="AD1074" s="928"/>
      <c r="AE1074" s="928"/>
      <c r="AF1074" s="926"/>
      <c r="AG1074" s="906" t="str">
        <f>IF(AE1074&lt;&gt;0,VLOOKUP(AE1074,ODDS!$A$2:$C$13,3,0),"")</f>
        <v/>
      </c>
      <c r="AH1074" s="906" t="str">
        <f t="shared" si="232"/>
        <v xml:space="preserve"> </v>
      </c>
      <c r="AI1074" s="907" t="str">
        <f t="shared" si="223"/>
        <v xml:space="preserve"> </v>
      </c>
      <c r="AJ1074" s="929"/>
      <c r="AK1074" s="929"/>
    </row>
    <row r="1075" spans="1:39" s="376" customFormat="1" ht="22.5" outlineLevel="2" x14ac:dyDescent="0.3">
      <c r="A1075" s="447">
        <f t="shared" si="234"/>
        <v>83</v>
      </c>
      <c r="B1075" s="893"/>
      <c r="C1075" s="972"/>
      <c r="D1075" s="923"/>
      <c r="E1075" s="923"/>
      <c r="F1075" s="896"/>
      <c r="G1075" s="894"/>
      <c r="H1075" s="924"/>
      <c r="I1075" s="882"/>
      <c r="J1075" s="925"/>
      <c r="K1075" s="899" t="str">
        <f>IF(G1075&lt;&gt;0,VLOOKUP(G1075,'gia dat'!$A$1:$F$144,5,0)," ")</f>
        <v xml:space="preserve"> </v>
      </c>
      <c r="L1075" s="899" t="str">
        <f>IF(G1075&lt;&gt;0,VLOOKUP(G1075,'gia dat'!$A$1:$F$144,6,0)," ")</f>
        <v xml:space="preserve"> </v>
      </c>
      <c r="M1075" s="900" t="str">
        <f t="shared" si="227"/>
        <v xml:space="preserve"> </v>
      </c>
      <c r="N1075" s="900" t="str">
        <f t="shared" si="228"/>
        <v xml:space="preserve"> </v>
      </c>
      <c r="O1075" s="894"/>
      <c r="P1075" s="926"/>
      <c r="Q1075" s="900" t="str">
        <f>IF(O1075&lt;&gt;0,VLOOKUP(O1075,'Cây trong'!$A$2:$C$246,3,0)," ")</f>
        <v xml:space="preserve"> </v>
      </c>
      <c r="R1075" s="900" t="str">
        <f t="shared" si="231"/>
        <v xml:space="preserve"> </v>
      </c>
      <c r="S1075" s="902"/>
      <c r="T1075" s="925"/>
      <c r="U1075" s="927"/>
      <c r="V1075" s="925"/>
      <c r="W1075" s="900" t="str">
        <f>IF(S1075&lt;&gt;0,VLOOKUP(S1075,VKT!$A$2:$G$415,7,0),"")</f>
        <v/>
      </c>
      <c r="X1075" s="900" t="str">
        <f t="shared" si="224"/>
        <v xml:space="preserve"> </v>
      </c>
      <c r="Y1075" s="925"/>
      <c r="Z1075" s="928"/>
      <c r="AA1075" s="928"/>
      <c r="AB1075" s="904"/>
      <c r="AC1075" s="928"/>
      <c r="AD1075" s="928"/>
      <c r="AE1075" s="928"/>
      <c r="AF1075" s="926"/>
      <c r="AG1075" s="906" t="str">
        <f>IF(AE1075&lt;&gt;0,VLOOKUP(AE1075,ODDS!$A$2:$C$13,3,0),"")</f>
        <v/>
      </c>
      <c r="AH1075" s="906" t="str">
        <f t="shared" si="232"/>
        <v xml:space="preserve"> </v>
      </c>
      <c r="AI1075" s="907" t="str">
        <f t="shared" si="223"/>
        <v xml:space="preserve"> </v>
      </c>
      <c r="AJ1075" s="929"/>
      <c r="AK1075" s="929"/>
    </row>
    <row r="1076" spans="1:39" s="376" customFormat="1" ht="22.5" outlineLevel="2" x14ac:dyDescent="0.3">
      <c r="A1076" s="447">
        <f t="shared" si="234"/>
        <v>83</v>
      </c>
      <c r="B1076" s="893"/>
      <c r="C1076" s="914"/>
      <c r="D1076" s="923"/>
      <c r="E1076" s="923"/>
      <c r="F1076" s="950"/>
      <c r="G1076" s="894"/>
      <c r="H1076" s="940"/>
      <c r="I1076" s="882"/>
      <c r="J1076" s="929"/>
      <c r="K1076" s="899" t="str">
        <f>IF(G1076&lt;&gt;0,VLOOKUP(G1076,'gia dat'!$A$1:$F$144,5,0)," ")</f>
        <v xml:space="preserve"> </v>
      </c>
      <c r="L1076" s="899" t="str">
        <f>IF(G1076&lt;&gt;0,VLOOKUP(G1076,'gia dat'!$A$1:$F$144,6,0)," ")</f>
        <v xml:space="preserve"> </v>
      </c>
      <c r="M1076" s="900" t="str">
        <f t="shared" si="227"/>
        <v xml:space="preserve"> </v>
      </c>
      <c r="N1076" s="900" t="str">
        <f t="shared" si="228"/>
        <v xml:space="preserve"> </v>
      </c>
      <c r="O1076" s="929"/>
      <c r="P1076" s="951"/>
      <c r="Q1076" s="900" t="str">
        <f>IF(O1076&lt;&gt;0,VLOOKUP(O1076,'Cây trong'!$A$2:$C$246,3,0)," ")</f>
        <v xml:space="preserve"> </v>
      </c>
      <c r="R1076" s="900" t="str">
        <f t="shared" si="231"/>
        <v xml:space="preserve"> </v>
      </c>
      <c r="S1076" s="929"/>
      <c r="T1076" s="929"/>
      <c r="U1076" s="952"/>
      <c r="V1076" s="925"/>
      <c r="W1076" s="900" t="str">
        <f>IF(S1076&lt;&gt;0,VLOOKUP(S1076,VKT!$A$2:$G$415,7,0),"")</f>
        <v/>
      </c>
      <c r="X1076" s="900" t="str">
        <f t="shared" si="224"/>
        <v xml:space="preserve"> </v>
      </c>
      <c r="Y1076" s="898"/>
      <c r="Z1076" s="898"/>
      <c r="AA1076" s="898"/>
      <c r="AB1076" s="898"/>
      <c r="AC1076" s="898"/>
      <c r="AD1076" s="898"/>
      <c r="AE1076" s="898"/>
      <c r="AF1076" s="1022"/>
      <c r="AG1076" s="906" t="str">
        <f>IF(AE1076&lt;&gt;0,VLOOKUP(AE1076,ODDS!$A$2:$C$13,3,0),"")</f>
        <v/>
      </c>
      <c r="AH1076" s="906" t="str">
        <f t="shared" si="232"/>
        <v xml:space="preserve"> </v>
      </c>
      <c r="AI1076" s="907" t="str">
        <f t="shared" si="223"/>
        <v xml:space="preserve"> </v>
      </c>
      <c r="AJ1076" s="929"/>
      <c r="AK1076" s="929"/>
    </row>
    <row r="1077" spans="1:39" s="385" customFormat="1" ht="43.5" outlineLevel="1" x14ac:dyDescent="0.25">
      <c r="A1077" s="467" t="s">
        <v>2626</v>
      </c>
      <c r="B1077" s="912">
        <v>84</v>
      </c>
      <c r="C1077" s="914" t="s">
        <v>790</v>
      </c>
      <c r="D1077" s="1023"/>
      <c r="E1077" s="1023"/>
      <c r="F1077" s="1023"/>
      <c r="G1077" s="914"/>
      <c r="H1077" s="1024">
        <f>SUBTOTAL(9,H1078:H1100)</f>
        <v>303.3</v>
      </c>
      <c r="I1077" s="915">
        <f>SUBTOTAL(9,I1078:I1083)</f>
        <v>0</v>
      </c>
      <c r="J1077" s="1025"/>
      <c r="K1077" s="917"/>
      <c r="L1077" s="917"/>
      <c r="M1077" s="907">
        <f>SUBTOTAL(9,M1078:M1100)</f>
        <v>114284000</v>
      </c>
      <c r="N1077" s="907">
        <f>SUBTOTAL(9,N1078:N1100)</f>
        <v>0</v>
      </c>
      <c r="O1077" s="934"/>
      <c r="P1077" s="968">
        <f>SUBTOTAL(9,P1078:P1100)</f>
        <v>20</v>
      </c>
      <c r="Q1077" s="907"/>
      <c r="R1077" s="907">
        <f>SUBTOTAL(9,R1078:R1100)</f>
        <v>10390000</v>
      </c>
      <c r="S1077" s="914"/>
      <c r="T1077" s="933"/>
      <c r="U1077" s="936">
        <f>SUBTOTAL(9,U1078:U1100)</f>
        <v>664.18</v>
      </c>
      <c r="V1077" s="943"/>
      <c r="W1077" s="907"/>
      <c r="X1077" s="907">
        <f>SUBTOTAL(9,X1078:X1100)</f>
        <v>0</v>
      </c>
      <c r="Y1077" s="1016"/>
      <c r="Z1077" s="1016"/>
      <c r="AA1077" s="1016"/>
      <c r="AB1077" s="1026"/>
      <c r="AC1077" s="1016"/>
      <c r="AD1077" s="1016"/>
      <c r="AE1077" s="1027"/>
      <c r="AF1077" s="935">
        <f>SUBTOTAL(9,AF1078:AF1100)</f>
        <v>0</v>
      </c>
      <c r="AG1077" s="921"/>
      <c r="AH1077" s="921">
        <f>SUBTOTAL(9,AH1078:AH1100)</f>
        <v>0</v>
      </c>
      <c r="AI1077" s="907">
        <f t="shared" si="223"/>
        <v>124674000</v>
      </c>
      <c r="AJ1077" s="910"/>
      <c r="AK1077" s="914"/>
      <c r="AL1077" s="472"/>
    </row>
    <row r="1078" spans="1:39" s="385" customFormat="1" ht="135" outlineLevel="2" x14ac:dyDescent="0.3">
      <c r="A1078" s="447">
        <f>IF(B1077&lt;&gt;0,B1077,A1076)</f>
        <v>84</v>
      </c>
      <c r="B1078" s="893"/>
      <c r="C1078" s="922" t="s">
        <v>796</v>
      </c>
      <c r="D1078" s="1028">
        <v>3</v>
      </c>
      <c r="E1078" s="1028">
        <v>86</v>
      </c>
      <c r="F1078" s="1028">
        <v>203</v>
      </c>
      <c r="G1078" s="922" t="s">
        <v>2427</v>
      </c>
      <c r="H1078" s="1029">
        <v>287</v>
      </c>
      <c r="I1078" s="882" t="str">
        <f t="shared" ref="I1078:I1080" si="235">IF(N1078&gt;0,H1078,"")</f>
        <v/>
      </c>
      <c r="J1078" s="1030"/>
      <c r="K1078" s="899">
        <f>IF(G1078&lt;&gt;0,VLOOKUP(G1078,'gia dat'!$A$1:$F$144,5,0)," ")</f>
        <v>376800</v>
      </c>
      <c r="L1078" s="899">
        <f>IF(G1078&lt;&gt;0,VLOOKUP(G1078,'gia dat'!$A$1:$F$144,6,0)," ")</f>
        <v>0</v>
      </c>
      <c r="M1078" s="900">
        <f t="shared" si="227"/>
        <v>108142000</v>
      </c>
      <c r="N1078" s="900">
        <f t="shared" si="228"/>
        <v>0</v>
      </c>
      <c r="O1078" s="901" t="s">
        <v>792</v>
      </c>
      <c r="P1078" s="965">
        <v>1</v>
      </c>
      <c r="Q1078" s="900">
        <f>IF(O1078&lt;&gt;0,VLOOKUP(O1078,'Cây trong'!$A$2:$C$246,3,0)," ")</f>
        <v>60000</v>
      </c>
      <c r="R1078" s="900">
        <f>IF(O1078&lt;&gt;0,ROUND(P1078*Q1078,-2)," ")</f>
        <v>60000</v>
      </c>
      <c r="S1078" s="922" t="s">
        <v>1748</v>
      </c>
      <c r="T1078" s="925" t="s">
        <v>2911</v>
      </c>
      <c r="U1078" s="927">
        <v>16.25</v>
      </c>
      <c r="V1078" s="929"/>
      <c r="W1078" s="900"/>
      <c r="X1078" s="900">
        <f t="shared" si="224"/>
        <v>0</v>
      </c>
      <c r="Y1078" s="1016"/>
      <c r="Z1078" s="1016"/>
      <c r="AA1078" s="1016"/>
      <c r="AB1078" s="1026"/>
      <c r="AC1078" s="1016"/>
      <c r="AD1078" s="1016"/>
      <c r="AE1078" s="1026"/>
      <c r="AF1078" s="926"/>
      <c r="AG1078" s="906" t="str">
        <f>IF(AE1078&lt;&gt;0,VLOOKUP(AE1078,ODDS!$A$2:$C$13,3,0),"")</f>
        <v/>
      </c>
      <c r="AH1078" s="906"/>
      <c r="AI1078" s="907" t="str">
        <f t="shared" si="223"/>
        <v xml:space="preserve"> </v>
      </c>
      <c r="AJ1078" s="894" t="s">
        <v>794</v>
      </c>
      <c r="AK1078" s="922" t="s">
        <v>2771</v>
      </c>
      <c r="AL1078" s="436" t="s">
        <v>811</v>
      </c>
      <c r="AM1078" s="385" t="s">
        <v>2138</v>
      </c>
    </row>
    <row r="1079" spans="1:39" s="385" customFormat="1" ht="135" outlineLevel="2" x14ac:dyDescent="0.3">
      <c r="A1079" s="447">
        <f t="shared" ref="A1079:A1100" si="236">IF(B1078&lt;&gt;0,B1078,A1078)</f>
        <v>84</v>
      </c>
      <c r="B1079" s="893"/>
      <c r="C1079" s="922" t="s">
        <v>1653</v>
      </c>
      <c r="D1079" s="1028"/>
      <c r="E1079" s="1028">
        <v>86</v>
      </c>
      <c r="F1079" s="1028">
        <v>203</v>
      </c>
      <c r="G1079" s="922" t="s">
        <v>2428</v>
      </c>
      <c r="H1079" s="1029">
        <v>14.200000000000001</v>
      </c>
      <c r="I1079" s="882" t="str">
        <f t="shared" si="235"/>
        <v/>
      </c>
      <c r="J1079" s="1030"/>
      <c r="K1079" s="899">
        <f>IF(G1079&lt;&gt;0,VLOOKUP(G1079,'gia dat'!$A$1:$F$144,5,0)," ")</f>
        <v>376800</v>
      </c>
      <c r="L1079" s="899">
        <f>IF(G1079&lt;&gt;0,VLOOKUP(G1079,'gia dat'!$A$1:$F$144,6,0)," ")</f>
        <v>0</v>
      </c>
      <c r="M1079" s="900">
        <f t="shared" si="227"/>
        <v>5351000</v>
      </c>
      <c r="N1079" s="900">
        <f t="shared" si="228"/>
        <v>0</v>
      </c>
      <c r="O1079" s="922" t="s">
        <v>798</v>
      </c>
      <c r="P1079" s="965">
        <v>1</v>
      </c>
      <c r="Q1079" s="900">
        <f>IF(O1079&lt;&gt;0,VLOOKUP(O1079,'Cây trong'!$A$2:$C$246,3,0)," ")</f>
        <v>32000</v>
      </c>
      <c r="R1079" s="900">
        <f t="shared" si="231"/>
        <v>32000</v>
      </c>
      <c r="S1079" s="902" t="s">
        <v>1749</v>
      </c>
      <c r="T1079" s="925" t="s">
        <v>2911</v>
      </c>
      <c r="U1079" s="927">
        <v>16.25</v>
      </c>
      <c r="V1079" s="929"/>
      <c r="W1079" s="900"/>
      <c r="X1079" s="900">
        <f t="shared" si="224"/>
        <v>0</v>
      </c>
      <c r="Y1079" s="1016"/>
      <c r="Z1079" s="1016"/>
      <c r="AA1079" s="1016"/>
      <c r="AB1079" s="1026"/>
      <c r="AC1079" s="1016"/>
      <c r="AD1079" s="1016"/>
      <c r="AE1079" s="1016"/>
      <c r="AF1079" s="926"/>
      <c r="AG1079" s="906" t="str">
        <f>IF(AE1079&lt;&gt;0,VLOOKUP(AE1079,ODDS!$A$2:$C$13,3,0),"")</f>
        <v/>
      </c>
      <c r="AH1079" s="906" t="str">
        <f t="shared" si="232"/>
        <v xml:space="preserve"> </v>
      </c>
      <c r="AI1079" s="907" t="str">
        <f t="shared" si="223"/>
        <v xml:space="preserve"> </v>
      </c>
      <c r="AJ1079" s="894" t="s">
        <v>2912</v>
      </c>
      <c r="AK1079" s="894" t="s">
        <v>2450</v>
      </c>
    </row>
    <row r="1080" spans="1:39" s="385" customFormat="1" ht="112.5" outlineLevel="2" x14ac:dyDescent="0.3">
      <c r="A1080" s="447">
        <f t="shared" si="236"/>
        <v>84</v>
      </c>
      <c r="B1080" s="893"/>
      <c r="C1080" s="929" t="s">
        <v>807</v>
      </c>
      <c r="D1080" s="1028"/>
      <c r="E1080" s="1028"/>
      <c r="F1080" s="1028"/>
      <c r="G1080" s="922" t="s">
        <v>2429</v>
      </c>
      <c r="H1080" s="1031">
        <v>2.1</v>
      </c>
      <c r="I1080" s="882" t="str">
        <f t="shared" si="235"/>
        <v/>
      </c>
      <c r="J1080" s="1030"/>
      <c r="K1080" s="899">
        <f>IF(G1080&lt;&gt;0,VLOOKUP(G1080,'gia dat'!$A$1:$F$144,5,0)," ")</f>
        <v>376800</v>
      </c>
      <c r="L1080" s="899">
        <f>IF(G1080&lt;&gt;0,VLOOKUP(G1080,'gia dat'!$A$1:$F$144,6,0)," ")</f>
        <v>0</v>
      </c>
      <c r="M1080" s="900">
        <f t="shared" si="227"/>
        <v>791000</v>
      </c>
      <c r="N1080" s="900">
        <f t="shared" si="228"/>
        <v>0</v>
      </c>
      <c r="O1080" s="894" t="s">
        <v>802</v>
      </c>
      <c r="P1080" s="965">
        <v>1</v>
      </c>
      <c r="Q1080" s="900">
        <f>IF(O1080&lt;&gt;0,VLOOKUP(O1080,'Cây trong'!$A$2:$C$246,3,0)," ")</f>
        <v>60000</v>
      </c>
      <c r="R1080" s="900">
        <f t="shared" si="231"/>
        <v>60000</v>
      </c>
      <c r="S1080" s="902" t="s">
        <v>1750</v>
      </c>
      <c r="T1080" s="925" t="s">
        <v>2911</v>
      </c>
      <c r="U1080" s="927">
        <v>42.25</v>
      </c>
      <c r="V1080" s="929"/>
      <c r="W1080" s="900"/>
      <c r="X1080" s="900">
        <f t="shared" si="224"/>
        <v>0</v>
      </c>
      <c r="Y1080" s="1016"/>
      <c r="Z1080" s="1016"/>
      <c r="AA1080" s="1016"/>
      <c r="AB1080" s="1026"/>
      <c r="AC1080" s="1016"/>
      <c r="AD1080" s="1016"/>
      <c r="AE1080" s="1016"/>
      <c r="AF1080" s="926"/>
      <c r="AG1080" s="906" t="str">
        <f>IF(AE1080&lt;&gt;0,VLOOKUP(AE1080,ODDS!$A$2:$C$13,3,0),"")</f>
        <v/>
      </c>
      <c r="AH1080" s="906" t="str">
        <f t="shared" si="232"/>
        <v xml:space="preserve"> </v>
      </c>
      <c r="AI1080" s="907" t="str">
        <f t="shared" si="223"/>
        <v xml:space="preserve"> </v>
      </c>
      <c r="AJ1080" s="929" t="s">
        <v>398</v>
      </c>
      <c r="AK1080" s="894" t="s">
        <v>2449</v>
      </c>
    </row>
    <row r="1081" spans="1:39" s="385" customFormat="1" ht="138" outlineLevel="2" x14ac:dyDescent="0.35">
      <c r="A1081" s="447">
        <f t="shared" si="236"/>
        <v>84</v>
      </c>
      <c r="B1081" s="893"/>
      <c r="C1081" s="894"/>
      <c r="D1081" s="950"/>
      <c r="E1081" s="950"/>
      <c r="F1081" s="1032"/>
      <c r="G1081" s="922"/>
      <c r="H1081" s="1033"/>
      <c r="I1081" s="882"/>
      <c r="J1081" s="929"/>
      <c r="K1081" s="899" t="str">
        <f>IF(G1081&lt;&gt;0,VLOOKUP(G1081,'gia dat'!$A$1:$F$144,5,0)," ")</f>
        <v xml:space="preserve"> </v>
      </c>
      <c r="L1081" s="899" t="str">
        <f>IF(G1081&lt;&gt;0,VLOOKUP(G1081,'gia dat'!$A$1:$F$144,6,0)," ")</f>
        <v xml:space="preserve"> </v>
      </c>
      <c r="M1081" s="900" t="str">
        <f t="shared" si="227"/>
        <v xml:space="preserve"> </v>
      </c>
      <c r="N1081" s="900" t="str">
        <f t="shared" si="228"/>
        <v xml:space="preserve"> </v>
      </c>
      <c r="O1081" s="894" t="s">
        <v>806</v>
      </c>
      <c r="P1081" s="965">
        <v>1</v>
      </c>
      <c r="Q1081" s="900">
        <f>IF(O1081&lt;&gt;0,VLOOKUP(O1081,'Cây trong'!$A$2:$C$246,3,0)," ")</f>
        <v>360000</v>
      </c>
      <c r="R1081" s="900">
        <f t="shared" si="231"/>
        <v>360000</v>
      </c>
      <c r="S1081" s="922" t="s">
        <v>1748</v>
      </c>
      <c r="T1081" s="925" t="s">
        <v>2911</v>
      </c>
      <c r="U1081" s="927">
        <v>8.1999999999999993</v>
      </c>
      <c r="V1081" s="929"/>
      <c r="W1081" s="900"/>
      <c r="X1081" s="900">
        <f t="shared" si="224"/>
        <v>0</v>
      </c>
      <c r="Y1081" s="1016"/>
      <c r="Z1081" s="1016"/>
      <c r="AA1081" s="1016"/>
      <c r="AB1081" s="1026"/>
      <c r="AC1081" s="1016"/>
      <c r="AD1081" s="1016"/>
      <c r="AE1081" s="1016"/>
      <c r="AF1081" s="926"/>
      <c r="AG1081" s="906" t="str">
        <f>IF(AE1081&lt;&gt;0,VLOOKUP(AE1081,ODDS!$A$2:$C$13,3,0),"")</f>
        <v/>
      </c>
      <c r="AH1081" s="906" t="str">
        <f t="shared" si="232"/>
        <v xml:space="preserve"> </v>
      </c>
      <c r="AI1081" s="907" t="str">
        <f t="shared" si="223"/>
        <v xml:space="preserve"> </v>
      </c>
      <c r="AJ1081" s="894" t="s">
        <v>2913</v>
      </c>
      <c r="AK1081" s="902" t="s">
        <v>2800</v>
      </c>
    </row>
    <row r="1082" spans="1:39" s="385" customFormat="1" ht="112.5" outlineLevel="2" x14ac:dyDescent="0.3">
      <c r="A1082" s="447">
        <f t="shared" si="236"/>
        <v>84</v>
      </c>
      <c r="B1082" s="893"/>
      <c r="C1082" s="894"/>
      <c r="D1082" s="950"/>
      <c r="E1082" s="950"/>
      <c r="F1082" s="1032"/>
      <c r="G1082" s="894"/>
      <c r="H1082" s="1034"/>
      <c r="I1082" s="882"/>
      <c r="J1082" s="925"/>
      <c r="K1082" s="899" t="str">
        <f>IF(G1082&lt;&gt;0,VLOOKUP(G1082,'gia dat'!$A$1:$F$144,5,0)," ")</f>
        <v xml:space="preserve"> </v>
      </c>
      <c r="L1082" s="899" t="str">
        <f>IF(G1082&lt;&gt;0,VLOOKUP(G1082,'gia dat'!$A$1:$F$144,6,0)," ")</f>
        <v xml:space="preserve"> </v>
      </c>
      <c r="M1082" s="900" t="str">
        <f t="shared" si="227"/>
        <v xml:space="preserve"> </v>
      </c>
      <c r="N1082" s="900" t="str">
        <f t="shared" si="228"/>
        <v xml:space="preserve"> </v>
      </c>
      <c r="O1082" s="894" t="s">
        <v>757</v>
      </c>
      <c r="P1082" s="965">
        <v>1</v>
      </c>
      <c r="Q1082" s="900">
        <f>IF(O1082&lt;&gt;0,VLOOKUP(O1082,'Cây trong'!$A$2:$C$246,3,0)," ")</f>
        <v>360000</v>
      </c>
      <c r="R1082" s="900">
        <f t="shared" si="231"/>
        <v>360000</v>
      </c>
      <c r="S1082" s="902" t="s">
        <v>1749</v>
      </c>
      <c r="T1082" s="925" t="s">
        <v>2911</v>
      </c>
      <c r="U1082" s="927">
        <v>8.1999999999999993</v>
      </c>
      <c r="V1082" s="929"/>
      <c r="W1082" s="900"/>
      <c r="X1082" s="900">
        <f t="shared" si="224"/>
        <v>0</v>
      </c>
      <c r="Y1082" s="1016"/>
      <c r="Z1082" s="1016"/>
      <c r="AA1082" s="1016"/>
      <c r="AB1082" s="1026"/>
      <c r="AC1082" s="1016"/>
      <c r="AD1082" s="1016"/>
      <c r="AE1082" s="1016"/>
      <c r="AF1082" s="926"/>
      <c r="AG1082" s="906" t="str">
        <f>IF(AE1082&lt;&gt;0,VLOOKUP(AE1082,ODDS!$A$2:$C$13,3,0),"")</f>
        <v/>
      </c>
      <c r="AH1082" s="906" t="str">
        <f t="shared" si="232"/>
        <v xml:space="preserve"> </v>
      </c>
      <c r="AI1082" s="907" t="str">
        <f t="shared" si="223"/>
        <v xml:space="preserve"> </v>
      </c>
      <c r="AJ1082" s="894" t="s">
        <v>2218</v>
      </c>
      <c r="AK1082" s="902"/>
    </row>
    <row r="1083" spans="1:39" s="385" customFormat="1" ht="67.5" outlineLevel="2" x14ac:dyDescent="0.35">
      <c r="A1083" s="447">
        <f t="shared" si="236"/>
        <v>84</v>
      </c>
      <c r="B1083" s="893"/>
      <c r="C1083" s="894"/>
      <c r="D1083" s="1035"/>
      <c r="E1083" s="950"/>
      <c r="F1083" s="1032"/>
      <c r="G1083" s="894"/>
      <c r="H1083" s="1034"/>
      <c r="I1083" s="882"/>
      <c r="J1083" s="1030"/>
      <c r="K1083" s="899" t="str">
        <f>IF(G1083&lt;&gt;0,VLOOKUP(G1083,'gia dat'!$A$1:$F$144,5,0)," ")</f>
        <v xml:space="preserve"> </v>
      </c>
      <c r="L1083" s="899" t="str">
        <f>IF(G1083&lt;&gt;0,VLOOKUP(G1083,'gia dat'!$A$1:$F$144,6,0)," ")</f>
        <v xml:space="preserve"> </v>
      </c>
      <c r="M1083" s="900" t="str">
        <f t="shared" si="227"/>
        <v xml:space="preserve"> </v>
      </c>
      <c r="N1083" s="900" t="str">
        <f t="shared" si="228"/>
        <v xml:space="preserve"> </v>
      </c>
      <c r="O1083" s="894" t="s">
        <v>757</v>
      </c>
      <c r="P1083" s="965">
        <v>2</v>
      </c>
      <c r="Q1083" s="900">
        <f>IF(O1083&lt;&gt;0,VLOOKUP(O1083,'Cây trong'!$A$2:$C$246,3,0)," ")</f>
        <v>360000</v>
      </c>
      <c r="R1083" s="900">
        <f t="shared" si="231"/>
        <v>720000</v>
      </c>
      <c r="S1083" s="902" t="s">
        <v>1750</v>
      </c>
      <c r="T1083" s="925" t="s">
        <v>2911</v>
      </c>
      <c r="U1083" s="927">
        <v>52.89</v>
      </c>
      <c r="V1083" s="929"/>
      <c r="W1083" s="900"/>
      <c r="X1083" s="900">
        <f t="shared" si="224"/>
        <v>0</v>
      </c>
      <c r="Y1083" s="1016"/>
      <c r="Z1083" s="1016"/>
      <c r="AA1083" s="1016"/>
      <c r="AB1083" s="1026"/>
      <c r="AC1083" s="1016"/>
      <c r="AD1083" s="1016"/>
      <c r="AE1083" s="1016"/>
      <c r="AF1083" s="926"/>
      <c r="AG1083" s="906" t="str">
        <f>IF(AE1083&lt;&gt;0,VLOOKUP(AE1083,ODDS!$A$2:$C$13,3,0),"")</f>
        <v/>
      </c>
      <c r="AH1083" s="906" t="str">
        <f t="shared" si="232"/>
        <v xml:space="preserve"> </v>
      </c>
      <c r="AI1083" s="907" t="str">
        <f t="shared" si="223"/>
        <v xml:space="preserve"> </v>
      </c>
      <c r="AJ1083" s="1036"/>
      <c r="AK1083" s="902"/>
    </row>
    <row r="1084" spans="1:39" s="385" customFormat="1" ht="67.5" outlineLevel="2" x14ac:dyDescent="0.35">
      <c r="A1084" s="447">
        <f t="shared" si="236"/>
        <v>84</v>
      </c>
      <c r="B1084" s="893"/>
      <c r="C1084" s="908"/>
      <c r="D1084" s="1035"/>
      <c r="E1084" s="950"/>
      <c r="F1084" s="1032"/>
      <c r="G1084" s="922"/>
      <c r="H1084" s="1034"/>
      <c r="I1084" s="882"/>
      <c r="J1084" s="1030"/>
      <c r="K1084" s="899" t="str">
        <f>IF(G1084&lt;&gt;0,VLOOKUP(G1084,'gia dat'!$A$1:$F$144,5,0)," ")</f>
        <v xml:space="preserve"> </v>
      </c>
      <c r="L1084" s="899" t="str">
        <f>IF(G1084&lt;&gt;0,VLOOKUP(G1084,'gia dat'!$A$1:$F$144,6,0)," ")</f>
        <v xml:space="preserve"> </v>
      </c>
      <c r="M1084" s="900" t="str">
        <f t="shared" si="227"/>
        <v xml:space="preserve"> </v>
      </c>
      <c r="N1084" s="900" t="str">
        <f t="shared" si="228"/>
        <v xml:space="preserve"> </v>
      </c>
      <c r="O1084" s="901" t="s">
        <v>67</v>
      </c>
      <c r="P1084" s="965">
        <v>2</v>
      </c>
      <c r="Q1084" s="900">
        <f>IF(O1084&lt;&gt;0,VLOOKUP(O1084,'Cây trong'!$A$2:$C$246,3,0)," ")</f>
        <v>494000</v>
      </c>
      <c r="R1084" s="900">
        <f t="shared" si="231"/>
        <v>988000</v>
      </c>
      <c r="S1084" s="902" t="s">
        <v>1750</v>
      </c>
      <c r="T1084" s="925" t="s">
        <v>2911</v>
      </c>
      <c r="U1084" s="927">
        <v>91.4</v>
      </c>
      <c r="V1084" s="929"/>
      <c r="W1084" s="900"/>
      <c r="X1084" s="900">
        <f t="shared" si="224"/>
        <v>0</v>
      </c>
      <c r="Y1084" s="1016"/>
      <c r="Z1084" s="1016"/>
      <c r="AA1084" s="1016"/>
      <c r="AB1084" s="1026"/>
      <c r="AC1084" s="1016"/>
      <c r="AD1084" s="1016"/>
      <c r="AE1084" s="1016"/>
      <c r="AF1084" s="926"/>
      <c r="AG1084" s="906" t="str">
        <f>IF(AE1084&lt;&gt;0,VLOOKUP(AE1084,ODDS!$A$2:$C$13,3,0),"")</f>
        <v/>
      </c>
      <c r="AH1084" s="906" t="str">
        <f t="shared" si="232"/>
        <v xml:space="preserve"> </v>
      </c>
      <c r="AI1084" s="907" t="str">
        <f t="shared" si="223"/>
        <v xml:space="preserve"> </v>
      </c>
      <c r="AJ1084" s="1036"/>
      <c r="AK1084" s="929"/>
    </row>
    <row r="1085" spans="1:39" s="385" customFormat="1" ht="67.5" outlineLevel="2" x14ac:dyDescent="0.3">
      <c r="A1085" s="447">
        <f t="shared" si="236"/>
        <v>84</v>
      </c>
      <c r="B1085" s="893"/>
      <c r="C1085" s="894"/>
      <c r="D1085" s="950"/>
      <c r="E1085" s="950"/>
      <c r="F1085" s="1032"/>
      <c r="G1085" s="894"/>
      <c r="H1085" s="1034"/>
      <c r="I1085" s="882"/>
      <c r="J1085" s="1030"/>
      <c r="K1085" s="899" t="str">
        <f>IF(G1085&lt;&gt;0,VLOOKUP(G1085,'gia dat'!$A$1:$F$144,5,0)," ")</f>
        <v xml:space="preserve"> </v>
      </c>
      <c r="L1085" s="899" t="str">
        <f>IF(G1085&lt;&gt;0,VLOOKUP(G1085,'gia dat'!$A$1:$F$144,6,0)," ")</f>
        <v xml:space="preserve"> </v>
      </c>
      <c r="M1085" s="900" t="str">
        <f t="shared" si="227"/>
        <v xml:space="preserve"> </v>
      </c>
      <c r="N1085" s="900" t="str">
        <f t="shared" si="228"/>
        <v xml:space="preserve"> </v>
      </c>
      <c r="O1085" s="894" t="s">
        <v>145</v>
      </c>
      <c r="P1085" s="965">
        <v>1</v>
      </c>
      <c r="Q1085" s="900">
        <f>IF(O1085&lt;&gt;0,VLOOKUP(O1085,'Cây trong'!$A$2:$C$246,3,0)," ")</f>
        <v>4240000</v>
      </c>
      <c r="R1085" s="900">
        <f t="shared" si="231"/>
        <v>4240000</v>
      </c>
      <c r="S1085" s="902" t="s">
        <v>1751</v>
      </c>
      <c r="T1085" s="925" t="s">
        <v>2911</v>
      </c>
      <c r="U1085" s="927">
        <v>9.6</v>
      </c>
      <c r="V1085" s="929"/>
      <c r="W1085" s="900"/>
      <c r="X1085" s="900">
        <f t="shared" si="224"/>
        <v>0</v>
      </c>
      <c r="Y1085" s="1016"/>
      <c r="Z1085" s="1016"/>
      <c r="AA1085" s="1016"/>
      <c r="AB1085" s="1026"/>
      <c r="AC1085" s="1016"/>
      <c r="AD1085" s="1016"/>
      <c r="AE1085" s="1016"/>
      <c r="AF1085" s="926"/>
      <c r="AG1085" s="906" t="str">
        <f>IF(AE1085&lt;&gt;0,VLOOKUP(AE1085,ODDS!$A$2:$C$13,3,0),"")</f>
        <v/>
      </c>
      <c r="AH1085" s="906" t="str">
        <f t="shared" si="232"/>
        <v xml:space="preserve"> </v>
      </c>
      <c r="AI1085" s="907" t="str">
        <f t="shared" si="223"/>
        <v xml:space="preserve"> </v>
      </c>
      <c r="AJ1085" s="922"/>
      <c r="AK1085" s="922"/>
    </row>
    <row r="1086" spans="1:39" s="385" customFormat="1" ht="45" outlineLevel="2" x14ac:dyDescent="0.3">
      <c r="A1086" s="447">
        <f t="shared" si="236"/>
        <v>84</v>
      </c>
      <c r="B1086" s="893"/>
      <c r="C1086" s="894"/>
      <c r="D1086" s="950"/>
      <c r="E1086" s="950"/>
      <c r="F1086" s="1032"/>
      <c r="G1086" s="894"/>
      <c r="H1086" s="1034"/>
      <c r="I1086" s="882"/>
      <c r="J1086" s="1030"/>
      <c r="K1086" s="899" t="str">
        <f>IF(G1086&lt;&gt;0,VLOOKUP(G1086,'gia dat'!$A$1:$F$144,5,0)," ")</f>
        <v xml:space="preserve"> </v>
      </c>
      <c r="L1086" s="899" t="str">
        <f>IF(G1086&lt;&gt;0,VLOOKUP(G1086,'gia dat'!$A$1:$F$144,6,0)," ")</f>
        <v xml:space="preserve"> </v>
      </c>
      <c r="M1086" s="900" t="str">
        <f t="shared" si="227"/>
        <v xml:space="preserve"> </v>
      </c>
      <c r="N1086" s="900" t="str">
        <f t="shared" si="228"/>
        <v xml:space="preserve"> </v>
      </c>
      <c r="O1086" s="894" t="s">
        <v>77</v>
      </c>
      <c r="P1086" s="965">
        <v>1</v>
      </c>
      <c r="Q1086" s="900">
        <f>IF(O1086&lt;&gt;0,VLOOKUP(O1086,'Cây trong'!$A$2:$C$246,3,0)," ")</f>
        <v>3064000</v>
      </c>
      <c r="R1086" s="900">
        <f t="shared" si="231"/>
        <v>3064000</v>
      </c>
      <c r="S1086" s="902" t="s">
        <v>1752</v>
      </c>
      <c r="T1086" s="925" t="s">
        <v>2911</v>
      </c>
      <c r="U1086" s="927">
        <v>117.6</v>
      </c>
      <c r="V1086" s="929"/>
      <c r="W1086" s="900"/>
      <c r="X1086" s="900">
        <f t="shared" si="224"/>
        <v>0</v>
      </c>
      <c r="Y1086" s="1016"/>
      <c r="Z1086" s="1016"/>
      <c r="AA1086" s="1016"/>
      <c r="AB1086" s="1026"/>
      <c r="AC1086" s="1016"/>
      <c r="AD1086" s="1016"/>
      <c r="AE1086" s="1016"/>
      <c r="AF1086" s="926"/>
      <c r="AG1086" s="906" t="str">
        <f>IF(AE1086&lt;&gt;0,VLOOKUP(AE1086,ODDS!$A$2:$C$13,3,0),"")</f>
        <v/>
      </c>
      <c r="AH1086" s="906" t="str">
        <f t="shared" si="232"/>
        <v xml:space="preserve"> </v>
      </c>
      <c r="AI1086" s="907" t="str">
        <f t="shared" si="223"/>
        <v xml:space="preserve"> </v>
      </c>
      <c r="AJ1086" s="929"/>
      <c r="AK1086" s="929"/>
    </row>
    <row r="1087" spans="1:39" s="385" customFormat="1" ht="67.5" outlineLevel="2" x14ac:dyDescent="0.3">
      <c r="A1087" s="447">
        <f t="shared" si="236"/>
        <v>84</v>
      </c>
      <c r="B1087" s="893"/>
      <c r="C1087" s="908"/>
      <c r="D1087" s="950"/>
      <c r="E1087" s="950"/>
      <c r="F1087" s="1032"/>
      <c r="G1087" s="894"/>
      <c r="H1087" s="1034"/>
      <c r="I1087" s="882"/>
      <c r="J1087" s="925"/>
      <c r="K1087" s="899" t="str">
        <f>IF(G1087&lt;&gt;0,VLOOKUP(G1087,'gia dat'!$A$1:$F$144,5,0)," ")</f>
        <v xml:space="preserve"> </v>
      </c>
      <c r="L1087" s="899" t="str">
        <f>IF(G1087&lt;&gt;0,VLOOKUP(G1087,'gia dat'!$A$1:$F$144,6,0)," ")</f>
        <v xml:space="preserve"> </v>
      </c>
      <c r="M1087" s="900" t="str">
        <f t="shared" si="227"/>
        <v xml:space="preserve"> </v>
      </c>
      <c r="N1087" s="900" t="str">
        <f t="shared" si="228"/>
        <v xml:space="preserve"> </v>
      </c>
      <c r="O1087" s="901" t="s">
        <v>148</v>
      </c>
      <c r="P1087" s="965">
        <v>1</v>
      </c>
      <c r="Q1087" s="900">
        <f>IF(O1087&lt;&gt;0,VLOOKUP(O1087,'Cây trong'!$A$2:$C$246,3,0)," ")</f>
        <v>70000</v>
      </c>
      <c r="R1087" s="900">
        <f t="shared" si="231"/>
        <v>70000</v>
      </c>
      <c r="S1087" s="902" t="s">
        <v>1753</v>
      </c>
      <c r="T1087" s="925" t="s">
        <v>2911</v>
      </c>
      <c r="U1087" s="927">
        <v>2.8</v>
      </c>
      <c r="V1087" s="929"/>
      <c r="W1087" s="900"/>
      <c r="X1087" s="900">
        <f t="shared" si="224"/>
        <v>0</v>
      </c>
      <c r="Y1087" s="1016"/>
      <c r="Z1087" s="1016"/>
      <c r="AA1087" s="1016"/>
      <c r="AB1087" s="1026"/>
      <c r="AC1087" s="1016"/>
      <c r="AD1087" s="1016"/>
      <c r="AE1087" s="1016"/>
      <c r="AF1087" s="926"/>
      <c r="AG1087" s="906" t="str">
        <f>IF(AE1087&lt;&gt;0,VLOOKUP(AE1087,ODDS!$A$2:$C$13,3,0),"")</f>
        <v/>
      </c>
      <c r="AH1087" s="906" t="str">
        <f t="shared" si="232"/>
        <v xml:space="preserve"> </v>
      </c>
      <c r="AI1087" s="907" t="str">
        <f t="shared" si="223"/>
        <v xml:space="preserve"> </v>
      </c>
      <c r="AJ1087" s="929"/>
      <c r="AK1087" s="929"/>
    </row>
    <row r="1088" spans="1:39" s="385" customFormat="1" ht="67.5" outlineLevel="2" x14ac:dyDescent="0.3">
      <c r="A1088" s="447">
        <f t="shared" si="236"/>
        <v>84</v>
      </c>
      <c r="B1088" s="893"/>
      <c r="C1088" s="894"/>
      <c r="D1088" s="1035"/>
      <c r="E1088" s="950"/>
      <c r="F1088" s="1032"/>
      <c r="G1088" s="894"/>
      <c r="H1088" s="1034"/>
      <c r="I1088" s="882"/>
      <c r="J1088" s="1030"/>
      <c r="K1088" s="899" t="str">
        <f>IF(G1088&lt;&gt;0,VLOOKUP(G1088,'gia dat'!$A$1:$F$144,5,0)," ")</f>
        <v xml:space="preserve"> </v>
      </c>
      <c r="L1088" s="899" t="str">
        <f>IF(G1088&lt;&gt;0,VLOOKUP(G1088,'gia dat'!$A$1:$F$144,6,0)," ")</f>
        <v xml:space="preserve"> </v>
      </c>
      <c r="M1088" s="900" t="str">
        <f t="shared" si="227"/>
        <v xml:space="preserve"> </v>
      </c>
      <c r="N1088" s="900" t="str">
        <f t="shared" si="228"/>
        <v xml:space="preserve"> </v>
      </c>
      <c r="O1088" s="922" t="s">
        <v>352</v>
      </c>
      <c r="P1088" s="965">
        <v>1</v>
      </c>
      <c r="Q1088" s="900">
        <f>IF(O1088&lt;&gt;0,VLOOKUP(O1088,'Cây trong'!$A$2:$C$246,3,0)," ")</f>
        <v>60000</v>
      </c>
      <c r="R1088" s="900">
        <f t="shared" si="231"/>
        <v>60000</v>
      </c>
      <c r="S1088" s="902" t="s">
        <v>1753</v>
      </c>
      <c r="T1088" s="925" t="s">
        <v>2911</v>
      </c>
      <c r="U1088" s="927">
        <v>4.4800000000000004</v>
      </c>
      <c r="V1088" s="929"/>
      <c r="W1088" s="900"/>
      <c r="X1088" s="900">
        <f t="shared" si="224"/>
        <v>0</v>
      </c>
      <c r="Y1088" s="1016"/>
      <c r="Z1088" s="1016"/>
      <c r="AA1088" s="1016"/>
      <c r="AB1088" s="1026"/>
      <c r="AC1088" s="1016"/>
      <c r="AD1088" s="1016"/>
      <c r="AE1088" s="1016"/>
      <c r="AF1088" s="926"/>
      <c r="AG1088" s="906" t="str">
        <f>IF(AE1088&lt;&gt;0,VLOOKUP(AE1088,ODDS!$A$2:$C$13,3,0),"")</f>
        <v/>
      </c>
      <c r="AH1088" s="906" t="str">
        <f t="shared" si="232"/>
        <v xml:space="preserve"> </v>
      </c>
      <c r="AI1088" s="907" t="str">
        <f t="shared" si="223"/>
        <v xml:space="preserve"> </v>
      </c>
      <c r="AJ1088" s="929"/>
      <c r="AK1088" s="929"/>
    </row>
    <row r="1089" spans="1:37" s="385" customFormat="1" ht="67.5" outlineLevel="2" x14ac:dyDescent="0.3">
      <c r="A1089" s="447">
        <f t="shared" si="236"/>
        <v>84</v>
      </c>
      <c r="B1089" s="893"/>
      <c r="C1089" s="908"/>
      <c r="D1089" s="1035"/>
      <c r="E1089" s="950"/>
      <c r="F1089" s="1032"/>
      <c r="G1089" s="922"/>
      <c r="H1089" s="1034"/>
      <c r="I1089" s="882"/>
      <c r="J1089" s="1030"/>
      <c r="K1089" s="899" t="str">
        <f>IF(G1089&lt;&gt;0,VLOOKUP(G1089,'gia dat'!$A$1:$F$144,5,0)," ")</f>
        <v xml:space="preserve"> </v>
      </c>
      <c r="L1089" s="899" t="str">
        <f>IF(G1089&lt;&gt;0,VLOOKUP(G1089,'gia dat'!$A$1:$F$144,6,0)," ")</f>
        <v xml:space="preserve"> </v>
      </c>
      <c r="M1089" s="900" t="str">
        <f t="shared" si="227"/>
        <v xml:space="preserve"> </v>
      </c>
      <c r="N1089" s="900" t="str">
        <f t="shared" si="228"/>
        <v xml:space="preserve"> </v>
      </c>
      <c r="O1089" s="901" t="s">
        <v>812</v>
      </c>
      <c r="P1089" s="965">
        <v>1</v>
      </c>
      <c r="Q1089" s="900">
        <f>IF(O1089&lt;&gt;0,VLOOKUP(O1089,'Cây trong'!$A$2:$C$246,3,0)," ")</f>
        <v>72000</v>
      </c>
      <c r="R1089" s="900">
        <f t="shared" si="231"/>
        <v>72000</v>
      </c>
      <c r="S1089" s="902" t="s">
        <v>1753</v>
      </c>
      <c r="T1089" s="925" t="s">
        <v>2911</v>
      </c>
      <c r="U1089" s="927">
        <v>5.4</v>
      </c>
      <c r="V1089" s="929"/>
      <c r="W1089" s="900"/>
      <c r="X1089" s="900">
        <f t="shared" si="224"/>
        <v>0</v>
      </c>
      <c r="Y1089" s="1016"/>
      <c r="Z1089" s="1016"/>
      <c r="AA1089" s="1016"/>
      <c r="AB1089" s="1026"/>
      <c r="AC1089" s="1016"/>
      <c r="AD1089" s="1016"/>
      <c r="AE1089" s="1016"/>
      <c r="AF1089" s="926"/>
      <c r="AG1089" s="906" t="str">
        <f>IF(AE1089&lt;&gt;0,VLOOKUP(AE1089,ODDS!$A$2:$C$13,3,0),"")</f>
        <v/>
      </c>
      <c r="AH1089" s="906" t="str">
        <f t="shared" si="232"/>
        <v xml:space="preserve"> </v>
      </c>
      <c r="AI1089" s="907" t="str">
        <f t="shared" si="223"/>
        <v xml:space="preserve"> </v>
      </c>
      <c r="AJ1089" s="922"/>
      <c r="AK1089" s="922"/>
    </row>
    <row r="1090" spans="1:37" s="385" customFormat="1" ht="67.5" outlineLevel="2" x14ac:dyDescent="0.3">
      <c r="A1090" s="447">
        <f t="shared" si="236"/>
        <v>84</v>
      </c>
      <c r="B1090" s="893"/>
      <c r="C1090" s="894"/>
      <c r="D1090" s="950"/>
      <c r="E1090" s="950"/>
      <c r="F1090" s="1032"/>
      <c r="G1090" s="922"/>
      <c r="H1090" s="1034"/>
      <c r="I1090" s="882"/>
      <c r="J1090" s="1030"/>
      <c r="K1090" s="899" t="str">
        <f>IF(G1090&lt;&gt;0,VLOOKUP(G1090,'gia dat'!$A$1:$F$144,5,0)," ")</f>
        <v xml:space="preserve"> </v>
      </c>
      <c r="L1090" s="899" t="str">
        <f>IF(G1090&lt;&gt;0,VLOOKUP(G1090,'gia dat'!$A$1:$F$144,6,0)," ")</f>
        <v xml:space="preserve"> </v>
      </c>
      <c r="M1090" s="900" t="str">
        <f t="shared" si="227"/>
        <v xml:space="preserve"> </v>
      </c>
      <c r="N1090" s="900" t="str">
        <f t="shared" si="228"/>
        <v xml:space="preserve"> </v>
      </c>
      <c r="O1090" s="894" t="s">
        <v>813</v>
      </c>
      <c r="P1090" s="965">
        <v>1</v>
      </c>
      <c r="Q1090" s="900">
        <f>IF(O1090&lt;&gt;0,VLOOKUP(O1090,'Cây trong'!$A$2:$C$246,3,0)," ")</f>
        <v>72000</v>
      </c>
      <c r="R1090" s="900">
        <f t="shared" si="231"/>
        <v>72000</v>
      </c>
      <c r="S1090" s="902" t="s">
        <v>1750</v>
      </c>
      <c r="T1090" s="925" t="s">
        <v>2911</v>
      </c>
      <c r="U1090" s="927">
        <v>26.18</v>
      </c>
      <c r="V1090" s="929"/>
      <c r="W1090" s="900"/>
      <c r="X1090" s="900">
        <f t="shared" si="224"/>
        <v>0</v>
      </c>
      <c r="Y1090" s="1016"/>
      <c r="Z1090" s="1016"/>
      <c r="AA1090" s="1016"/>
      <c r="AB1090" s="1026"/>
      <c r="AC1090" s="1016"/>
      <c r="AD1090" s="1016"/>
      <c r="AE1090" s="1016"/>
      <c r="AF1090" s="926"/>
      <c r="AG1090" s="906" t="str">
        <f>IF(AE1090&lt;&gt;0,VLOOKUP(AE1090,ODDS!$A$2:$C$13,3,0),"")</f>
        <v/>
      </c>
      <c r="AH1090" s="906" t="str">
        <f t="shared" si="232"/>
        <v xml:space="preserve"> </v>
      </c>
      <c r="AI1090" s="907" t="str">
        <f t="shared" si="223"/>
        <v xml:space="preserve"> </v>
      </c>
      <c r="AJ1090" s="929"/>
      <c r="AK1090" s="929"/>
    </row>
    <row r="1091" spans="1:37" s="385" customFormat="1" ht="45" outlineLevel="2" x14ac:dyDescent="0.3">
      <c r="A1091" s="447">
        <f t="shared" si="236"/>
        <v>84</v>
      </c>
      <c r="B1091" s="893"/>
      <c r="C1091" s="894"/>
      <c r="D1091" s="950"/>
      <c r="E1091" s="950"/>
      <c r="F1091" s="1032"/>
      <c r="G1091" s="894"/>
      <c r="H1091" s="1034"/>
      <c r="I1091" s="882"/>
      <c r="J1091" s="925"/>
      <c r="K1091" s="899" t="str">
        <f>IF(G1091&lt;&gt;0,VLOOKUP(G1091,'gia dat'!$A$1:$F$144,5,0)," ")</f>
        <v xml:space="preserve"> </v>
      </c>
      <c r="L1091" s="899" t="str">
        <f>IF(G1091&lt;&gt;0,VLOOKUP(G1091,'gia dat'!$A$1:$F$144,6,0)," ")</f>
        <v xml:space="preserve"> </v>
      </c>
      <c r="M1091" s="900" t="str">
        <f t="shared" si="227"/>
        <v xml:space="preserve"> </v>
      </c>
      <c r="N1091" s="900" t="str">
        <f t="shared" si="228"/>
        <v xml:space="preserve"> </v>
      </c>
      <c r="O1091" s="901" t="s">
        <v>814</v>
      </c>
      <c r="P1091" s="965">
        <v>1</v>
      </c>
      <c r="Q1091" s="900">
        <f>IF(O1091&lt;&gt;0,VLOOKUP(O1091,'Cây trong'!$A$2:$C$246,3,0)," ")</f>
        <v>150000</v>
      </c>
      <c r="R1091" s="900">
        <f t="shared" si="231"/>
        <v>150000</v>
      </c>
      <c r="S1091" s="902" t="s">
        <v>1754</v>
      </c>
      <c r="T1091" s="925" t="s">
        <v>2911</v>
      </c>
      <c r="U1091" s="927">
        <v>16.25</v>
      </c>
      <c r="V1091" s="929"/>
      <c r="W1091" s="900"/>
      <c r="X1091" s="900">
        <f t="shared" si="224"/>
        <v>0</v>
      </c>
      <c r="Y1091" s="1016"/>
      <c r="Z1091" s="1016"/>
      <c r="AA1091" s="1016"/>
      <c r="AB1091" s="1026"/>
      <c r="AC1091" s="1016"/>
      <c r="AD1091" s="1016"/>
      <c r="AE1091" s="1016"/>
      <c r="AF1091" s="926"/>
      <c r="AG1091" s="906" t="str">
        <f>IF(AE1091&lt;&gt;0,VLOOKUP(AE1091,ODDS!$A$2:$C$13,3,0),"")</f>
        <v/>
      </c>
      <c r="AH1091" s="906" t="str">
        <f t="shared" si="232"/>
        <v xml:space="preserve"> </v>
      </c>
      <c r="AI1091" s="907" t="str">
        <f t="shared" si="223"/>
        <v xml:space="preserve"> </v>
      </c>
      <c r="AJ1091" s="929"/>
      <c r="AK1091" s="929"/>
    </row>
    <row r="1092" spans="1:37" s="385" customFormat="1" ht="67.5" outlineLevel="2" x14ac:dyDescent="0.3">
      <c r="A1092" s="447">
        <f t="shared" si="236"/>
        <v>84</v>
      </c>
      <c r="B1092" s="893"/>
      <c r="C1092" s="894"/>
      <c r="D1092" s="950"/>
      <c r="E1092" s="950"/>
      <c r="F1092" s="1032"/>
      <c r="G1092" s="894"/>
      <c r="H1092" s="1034"/>
      <c r="I1092" s="882"/>
      <c r="J1092" s="925"/>
      <c r="K1092" s="899" t="str">
        <f>IF(G1092&lt;&gt;0,VLOOKUP(G1092,'gia dat'!$A$1:$F$144,5,0)," ")</f>
        <v xml:space="preserve"> </v>
      </c>
      <c r="L1092" s="899" t="str">
        <f>IF(G1092&lt;&gt;0,VLOOKUP(G1092,'gia dat'!$A$1:$F$144,6,0)," ")</f>
        <v xml:space="preserve"> </v>
      </c>
      <c r="M1092" s="900" t="str">
        <f t="shared" si="227"/>
        <v xml:space="preserve"> </v>
      </c>
      <c r="N1092" s="900" t="str">
        <f t="shared" si="228"/>
        <v xml:space="preserve"> </v>
      </c>
      <c r="O1092" s="894" t="s">
        <v>815</v>
      </c>
      <c r="P1092" s="965">
        <v>1</v>
      </c>
      <c r="Q1092" s="900">
        <f>IF(O1092&lt;&gt;0,VLOOKUP(O1092,'Cây trong'!$A$2:$C$246,3,0)," ")</f>
        <v>70000</v>
      </c>
      <c r="R1092" s="900">
        <f t="shared" si="231"/>
        <v>70000</v>
      </c>
      <c r="S1092" s="902" t="s">
        <v>1755</v>
      </c>
      <c r="T1092" s="925" t="s">
        <v>2911</v>
      </c>
      <c r="U1092" s="927">
        <v>8.16</v>
      </c>
      <c r="V1092" s="929"/>
      <c r="W1092" s="900"/>
      <c r="X1092" s="900">
        <f t="shared" si="224"/>
        <v>0</v>
      </c>
      <c r="Y1092" s="1016"/>
      <c r="Z1092" s="1016"/>
      <c r="AA1092" s="1016"/>
      <c r="AB1092" s="1026"/>
      <c r="AC1092" s="1016"/>
      <c r="AD1092" s="1016"/>
      <c r="AE1092" s="1016"/>
      <c r="AF1092" s="926"/>
      <c r="AG1092" s="906" t="str">
        <f>IF(AE1092&lt;&gt;0,VLOOKUP(AE1092,ODDS!$A$2:$C$13,3,0),"")</f>
        <v/>
      </c>
      <c r="AH1092" s="906" t="str">
        <f t="shared" si="232"/>
        <v xml:space="preserve"> </v>
      </c>
      <c r="AI1092" s="907" t="str">
        <f t="shared" si="223"/>
        <v xml:space="preserve"> </v>
      </c>
      <c r="AJ1092" s="929"/>
      <c r="AK1092" s="929"/>
    </row>
    <row r="1093" spans="1:37" s="385" customFormat="1" ht="67.5" outlineLevel="2" x14ac:dyDescent="0.3">
      <c r="A1093" s="447">
        <f t="shared" si="236"/>
        <v>84</v>
      </c>
      <c r="B1093" s="893"/>
      <c r="C1093" s="908"/>
      <c r="D1093" s="950"/>
      <c r="E1093" s="950"/>
      <c r="F1093" s="1032"/>
      <c r="G1093" s="894"/>
      <c r="H1093" s="1034"/>
      <c r="I1093" s="882"/>
      <c r="J1093" s="925"/>
      <c r="K1093" s="899" t="str">
        <f>IF(G1093&lt;&gt;0,VLOOKUP(G1093,'gia dat'!$A$1:$F$144,5,0)," ")</f>
        <v xml:space="preserve"> </v>
      </c>
      <c r="L1093" s="899" t="str">
        <f>IF(G1093&lt;&gt;0,VLOOKUP(G1093,'gia dat'!$A$1:$F$144,6,0)," ")</f>
        <v xml:space="preserve"> </v>
      </c>
      <c r="M1093" s="900" t="str">
        <f t="shared" si="227"/>
        <v xml:space="preserve"> </v>
      </c>
      <c r="N1093" s="900" t="str">
        <f t="shared" si="228"/>
        <v xml:space="preserve"> </v>
      </c>
      <c r="O1093" s="894" t="s">
        <v>816</v>
      </c>
      <c r="P1093" s="965">
        <v>1</v>
      </c>
      <c r="Q1093" s="900">
        <f>IF(O1093&lt;&gt;0,VLOOKUP(O1093,'Cây trong'!$A$2:$C$246,3,0)," ")</f>
        <v>0</v>
      </c>
      <c r="R1093" s="900">
        <f t="shared" si="231"/>
        <v>0</v>
      </c>
      <c r="S1093" s="902" t="s">
        <v>1755</v>
      </c>
      <c r="T1093" s="925" t="s">
        <v>2911</v>
      </c>
      <c r="U1093" s="927">
        <v>2.89</v>
      </c>
      <c r="V1093" s="929"/>
      <c r="W1093" s="900"/>
      <c r="X1093" s="900">
        <f t="shared" si="224"/>
        <v>0</v>
      </c>
      <c r="Y1093" s="1016"/>
      <c r="Z1093" s="1016"/>
      <c r="AA1093" s="1016"/>
      <c r="AB1093" s="1026"/>
      <c r="AC1093" s="1016"/>
      <c r="AD1093" s="1016"/>
      <c r="AE1093" s="1016"/>
      <c r="AF1093" s="926"/>
      <c r="AG1093" s="906" t="str">
        <f>IF(AE1093&lt;&gt;0,VLOOKUP(AE1093,ODDS!$A$2:$C$13,3,0),"")</f>
        <v/>
      </c>
      <c r="AH1093" s="906" t="str">
        <f t="shared" si="232"/>
        <v xml:space="preserve"> </v>
      </c>
      <c r="AI1093" s="907" t="str">
        <f t="shared" si="223"/>
        <v xml:space="preserve"> </v>
      </c>
      <c r="AJ1093" s="929"/>
      <c r="AK1093" s="929"/>
    </row>
    <row r="1094" spans="1:37" s="385" customFormat="1" ht="67.5" outlineLevel="2" x14ac:dyDescent="0.3">
      <c r="A1094" s="447">
        <f t="shared" si="236"/>
        <v>84</v>
      </c>
      <c r="B1094" s="893"/>
      <c r="C1094" s="908"/>
      <c r="D1094" s="1035"/>
      <c r="E1094" s="950"/>
      <c r="F1094" s="1032"/>
      <c r="G1094" s="894"/>
      <c r="H1094" s="1034"/>
      <c r="I1094" s="882"/>
      <c r="J1094" s="1030"/>
      <c r="K1094" s="899" t="str">
        <f>IF(G1094&lt;&gt;0,VLOOKUP(G1094,'gia dat'!$A$1:$F$144,5,0)," ")</f>
        <v xml:space="preserve"> </v>
      </c>
      <c r="L1094" s="899" t="str">
        <f>IF(G1094&lt;&gt;0,VLOOKUP(G1094,'gia dat'!$A$1:$F$144,6,0)," ")</f>
        <v xml:space="preserve"> </v>
      </c>
      <c r="M1094" s="900" t="str">
        <f t="shared" si="227"/>
        <v xml:space="preserve"> </v>
      </c>
      <c r="N1094" s="900" t="str">
        <f t="shared" si="228"/>
        <v xml:space="preserve"> </v>
      </c>
      <c r="O1094" s="901" t="s">
        <v>817</v>
      </c>
      <c r="P1094" s="965">
        <v>2</v>
      </c>
      <c r="Q1094" s="900">
        <f>IF(O1094&lt;&gt;0,VLOOKUP(O1094,'Cây trong'!$A$2:$C$246,3,0)," ")</f>
        <v>6000</v>
      </c>
      <c r="R1094" s="900">
        <f t="shared" si="231"/>
        <v>12000</v>
      </c>
      <c r="S1094" s="902" t="s">
        <v>1755</v>
      </c>
      <c r="T1094" s="925" t="s">
        <v>2911</v>
      </c>
      <c r="U1094" s="927">
        <v>1.53</v>
      </c>
      <c r="V1094" s="929"/>
      <c r="W1094" s="900"/>
      <c r="X1094" s="900">
        <f t="shared" si="224"/>
        <v>0</v>
      </c>
      <c r="Y1094" s="1016"/>
      <c r="Z1094" s="1016"/>
      <c r="AA1094" s="1016"/>
      <c r="AB1094" s="1026"/>
      <c r="AC1094" s="1016"/>
      <c r="AD1094" s="1016"/>
      <c r="AE1094" s="1016"/>
      <c r="AF1094" s="926"/>
      <c r="AG1094" s="906" t="str">
        <f>IF(AE1094&lt;&gt;0,VLOOKUP(AE1094,ODDS!$A$2:$C$13,3,0),"")</f>
        <v/>
      </c>
      <c r="AH1094" s="906" t="str">
        <f t="shared" si="232"/>
        <v xml:space="preserve"> </v>
      </c>
      <c r="AI1094" s="907" t="str">
        <f t="shared" si="223"/>
        <v xml:space="preserve"> </v>
      </c>
      <c r="AJ1094" s="929"/>
      <c r="AK1094" s="929"/>
    </row>
    <row r="1095" spans="1:37" s="385" customFormat="1" ht="90" outlineLevel="2" x14ac:dyDescent="0.3">
      <c r="A1095" s="447">
        <f t="shared" si="236"/>
        <v>84</v>
      </c>
      <c r="B1095" s="893"/>
      <c r="C1095" s="908"/>
      <c r="D1095" s="1035"/>
      <c r="E1095" s="950"/>
      <c r="F1095" s="1032"/>
      <c r="G1095" s="894"/>
      <c r="H1095" s="1034"/>
      <c r="I1095" s="882"/>
      <c r="J1095" s="1030"/>
      <c r="K1095" s="899" t="str">
        <f>IF(G1095&lt;&gt;0,VLOOKUP(G1095,'gia dat'!$A$1:$F$144,5,0)," ")</f>
        <v xml:space="preserve"> </v>
      </c>
      <c r="L1095" s="899" t="str">
        <f>IF(G1095&lt;&gt;0,VLOOKUP(G1095,'gia dat'!$A$1:$F$144,6,0)," ")</f>
        <v xml:space="preserve"> </v>
      </c>
      <c r="M1095" s="900" t="str">
        <f t="shared" si="227"/>
        <v xml:space="preserve"> </v>
      </c>
      <c r="N1095" s="900" t="str">
        <f t="shared" si="228"/>
        <v xml:space="preserve"> </v>
      </c>
      <c r="O1095" s="901"/>
      <c r="P1095" s="965"/>
      <c r="Q1095" s="900" t="str">
        <f>IF(O1095&lt;&gt;0,VLOOKUP(O1095,'Cây trong'!$A$2:$C$246,3,0)," ")</f>
        <v xml:space="preserve"> </v>
      </c>
      <c r="R1095" s="900" t="str">
        <f t="shared" si="231"/>
        <v xml:space="preserve"> </v>
      </c>
      <c r="S1095" s="902" t="s">
        <v>1756</v>
      </c>
      <c r="T1095" s="925" t="s">
        <v>2911</v>
      </c>
      <c r="U1095" s="927">
        <v>88.56</v>
      </c>
      <c r="V1095" s="929"/>
      <c r="W1095" s="900"/>
      <c r="X1095" s="900">
        <f t="shared" si="224"/>
        <v>0</v>
      </c>
      <c r="Y1095" s="1016"/>
      <c r="Z1095" s="1016"/>
      <c r="AA1095" s="1016"/>
      <c r="AB1095" s="1026"/>
      <c r="AC1095" s="1016"/>
      <c r="AD1095" s="1016"/>
      <c r="AE1095" s="1016"/>
      <c r="AF1095" s="926"/>
      <c r="AG1095" s="906" t="str">
        <f>IF(AE1095&lt;&gt;0,VLOOKUP(AE1095,ODDS!$A$2:$C$13,3,0),"")</f>
        <v/>
      </c>
      <c r="AH1095" s="906" t="str">
        <f t="shared" si="232"/>
        <v xml:space="preserve"> </v>
      </c>
      <c r="AI1095" s="907" t="str">
        <f t="shared" si="223"/>
        <v xml:space="preserve"> </v>
      </c>
      <c r="AJ1095" s="929"/>
      <c r="AK1095" s="929"/>
    </row>
    <row r="1096" spans="1:37" s="385" customFormat="1" ht="45" outlineLevel="2" x14ac:dyDescent="0.3">
      <c r="A1096" s="447">
        <f t="shared" si="236"/>
        <v>84</v>
      </c>
      <c r="B1096" s="893"/>
      <c r="C1096" s="908"/>
      <c r="D1096" s="1035"/>
      <c r="E1096" s="950"/>
      <c r="F1096" s="1032"/>
      <c r="G1096" s="894"/>
      <c r="H1096" s="1034"/>
      <c r="I1096" s="882"/>
      <c r="J1096" s="1030"/>
      <c r="K1096" s="899" t="str">
        <f>IF(G1096&lt;&gt;0,VLOOKUP(G1096,'gia dat'!$A$1:$F$144,5,0)," ")</f>
        <v xml:space="preserve"> </v>
      </c>
      <c r="L1096" s="899" t="str">
        <f>IF(G1096&lt;&gt;0,VLOOKUP(G1096,'gia dat'!$A$1:$F$144,6,0)," ")</f>
        <v xml:space="preserve"> </v>
      </c>
      <c r="M1096" s="900" t="str">
        <f t="shared" si="227"/>
        <v xml:space="preserve"> </v>
      </c>
      <c r="N1096" s="900" t="str">
        <f t="shared" si="228"/>
        <v xml:space="preserve"> </v>
      </c>
      <c r="O1096" s="901"/>
      <c r="P1096" s="965"/>
      <c r="Q1096" s="900" t="str">
        <f>IF(O1096&lt;&gt;0,VLOOKUP(O1096,'Cây trong'!$A$2:$C$246,3,0)," ")</f>
        <v xml:space="preserve"> </v>
      </c>
      <c r="R1096" s="900" t="str">
        <f t="shared" si="231"/>
        <v xml:space="preserve"> </v>
      </c>
      <c r="S1096" s="922" t="s">
        <v>1757</v>
      </c>
      <c r="T1096" s="925" t="s">
        <v>2911</v>
      </c>
      <c r="U1096" s="927">
        <v>52.89</v>
      </c>
      <c r="V1096" s="929"/>
      <c r="W1096" s="900"/>
      <c r="X1096" s="900">
        <f t="shared" si="224"/>
        <v>0</v>
      </c>
      <c r="Y1096" s="1016"/>
      <c r="Z1096" s="1016"/>
      <c r="AA1096" s="1016"/>
      <c r="AB1096" s="1026"/>
      <c r="AC1096" s="1016"/>
      <c r="AD1096" s="1016"/>
      <c r="AE1096" s="1016"/>
      <c r="AF1096" s="926"/>
      <c r="AG1096" s="906" t="str">
        <f>IF(AE1096&lt;&gt;0,VLOOKUP(AE1096,ODDS!$A$2:$C$13,3,0),"")</f>
        <v/>
      </c>
      <c r="AH1096" s="906" t="str">
        <f t="shared" si="232"/>
        <v xml:space="preserve"> </v>
      </c>
      <c r="AI1096" s="907" t="str">
        <f t="shared" si="223"/>
        <v xml:space="preserve"> </v>
      </c>
      <c r="AJ1096" s="929"/>
      <c r="AK1096" s="929"/>
    </row>
    <row r="1097" spans="1:37" s="385" customFormat="1" ht="45" outlineLevel="2" x14ac:dyDescent="0.3">
      <c r="A1097" s="447">
        <f t="shared" si="236"/>
        <v>84</v>
      </c>
      <c r="B1097" s="893"/>
      <c r="C1097" s="908"/>
      <c r="D1097" s="1035"/>
      <c r="E1097" s="950"/>
      <c r="F1097" s="1032"/>
      <c r="G1097" s="894"/>
      <c r="H1097" s="1034"/>
      <c r="I1097" s="882"/>
      <c r="J1097" s="1030"/>
      <c r="K1097" s="899" t="str">
        <f>IF(G1097&lt;&gt;0,VLOOKUP(G1097,'gia dat'!$A$1:$F$144,5,0)," ")</f>
        <v xml:space="preserve"> </v>
      </c>
      <c r="L1097" s="899" t="str">
        <f>IF(G1097&lt;&gt;0,VLOOKUP(G1097,'gia dat'!$A$1:$F$144,6,0)," ")</f>
        <v xml:space="preserve"> </v>
      </c>
      <c r="M1097" s="900" t="str">
        <f t="shared" si="227"/>
        <v xml:space="preserve"> </v>
      </c>
      <c r="N1097" s="900" t="str">
        <f t="shared" si="228"/>
        <v xml:space="preserve"> </v>
      </c>
      <c r="O1097" s="901"/>
      <c r="P1097" s="965"/>
      <c r="Q1097" s="900" t="str">
        <f>IF(O1097&lt;&gt;0,VLOOKUP(O1097,'Cây trong'!$A$2:$C$246,3,0)," ")</f>
        <v xml:space="preserve"> </v>
      </c>
      <c r="R1097" s="900" t="str">
        <f t="shared" si="231"/>
        <v xml:space="preserve"> </v>
      </c>
      <c r="S1097" s="922" t="s">
        <v>1757</v>
      </c>
      <c r="T1097" s="925" t="s">
        <v>2911</v>
      </c>
      <c r="U1097" s="927">
        <v>91.4</v>
      </c>
      <c r="V1097" s="929"/>
      <c r="W1097" s="900"/>
      <c r="X1097" s="900">
        <f t="shared" si="224"/>
        <v>0</v>
      </c>
      <c r="Y1097" s="1016"/>
      <c r="Z1097" s="1016"/>
      <c r="AA1097" s="1016"/>
      <c r="AB1097" s="1026"/>
      <c r="AC1097" s="1016"/>
      <c r="AD1097" s="1016"/>
      <c r="AE1097" s="1016"/>
      <c r="AF1097" s="926"/>
      <c r="AG1097" s="906" t="str">
        <f>IF(AE1097&lt;&gt;0,VLOOKUP(AE1097,ODDS!$A$2:$C$13,3,0),"")</f>
        <v/>
      </c>
      <c r="AH1097" s="906" t="str">
        <f t="shared" si="232"/>
        <v xml:space="preserve"> </v>
      </c>
      <c r="AI1097" s="907" t="str">
        <f t="shared" ref="AI1097:AI1160" si="237">IF(B1097&lt;&gt;0,M1097+N1097+R1097+X1097+AH1097," ")</f>
        <v xml:space="preserve"> </v>
      </c>
      <c r="AJ1097" s="929"/>
      <c r="AK1097" s="929"/>
    </row>
    <row r="1098" spans="1:37" s="385" customFormat="1" ht="67.5" outlineLevel="2" x14ac:dyDescent="0.3">
      <c r="A1098" s="447">
        <f t="shared" si="236"/>
        <v>84</v>
      </c>
      <c r="B1098" s="893"/>
      <c r="C1098" s="908"/>
      <c r="D1098" s="1035"/>
      <c r="E1098" s="950"/>
      <c r="F1098" s="1032"/>
      <c r="G1098" s="894"/>
      <c r="H1098" s="1034"/>
      <c r="I1098" s="882"/>
      <c r="J1098" s="1030"/>
      <c r="K1098" s="899" t="str">
        <f>IF(G1098&lt;&gt;0,VLOOKUP(G1098,'gia dat'!$A$1:$F$144,5,0)," ")</f>
        <v xml:space="preserve"> </v>
      </c>
      <c r="L1098" s="899" t="str">
        <f>IF(G1098&lt;&gt;0,VLOOKUP(G1098,'gia dat'!$A$1:$F$144,6,0)," ")</f>
        <v xml:space="preserve"> </v>
      </c>
      <c r="M1098" s="900" t="str">
        <f t="shared" si="227"/>
        <v xml:space="preserve"> </v>
      </c>
      <c r="N1098" s="900" t="str">
        <f t="shared" si="228"/>
        <v xml:space="preserve"> </v>
      </c>
      <c r="O1098" s="901"/>
      <c r="P1098" s="965"/>
      <c r="Q1098" s="900" t="str">
        <f>IF(O1098&lt;&gt;0,VLOOKUP(O1098,'Cây trong'!$A$2:$C$246,3,0)," ")</f>
        <v xml:space="preserve"> </v>
      </c>
      <c r="R1098" s="900" t="str">
        <f t="shared" si="231"/>
        <v xml:space="preserve"> </v>
      </c>
      <c r="S1098" s="902" t="s">
        <v>1758</v>
      </c>
      <c r="T1098" s="925" t="s">
        <v>93</v>
      </c>
      <c r="U1098" s="927">
        <v>1</v>
      </c>
      <c r="V1098" s="929"/>
      <c r="W1098" s="900"/>
      <c r="X1098" s="900">
        <f t="shared" si="224"/>
        <v>0</v>
      </c>
      <c r="Y1098" s="1016"/>
      <c r="Z1098" s="1016"/>
      <c r="AA1098" s="1016"/>
      <c r="AB1098" s="1026"/>
      <c r="AC1098" s="1016"/>
      <c r="AD1098" s="1016"/>
      <c r="AE1098" s="1016"/>
      <c r="AF1098" s="926"/>
      <c r="AG1098" s="906" t="str">
        <f>IF(AE1098&lt;&gt;0,VLOOKUP(AE1098,ODDS!$A$2:$C$13,3,0),"")</f>
        <v/>
      </c>
      <c r="AH1098" s="906" t="str">
        <f t="shared" si="232"/>
        <v xml:space="preserve"> </v>
      </c>
      <c r="AI1098" s="907" t="str">
        <f t="shared" si="237"/>
        <v xml:space="preserve"> </v>
      </c>
      <c r="AJ1098" s="929"/>
      <c r="AK1098" s="929"/>
    </row>
    <row r="1099" spans="1:37" s="385" customFormat="1" ht="22.5" outlineLevel="2" x14ac:dyDescent="0.3">
      <c r="A1099" s="447">
        <f t="shared" si="236"/>
        <v>84</v>
      </c>
      <c r="B1099" s="893"/>
      <c r="C1099" s="908"/>
      <c r="D1099" s="1035"/>
      <c r="E1099" s="950"/>
      <c r="F1099" s="1032"/>
      <c r="G1099" s="894"/>
      <c r="H1099" s="1034"/>
      <c r="I1099" s="882"/>
      <c r="J1099" s="1030"/>
      <c r="K1099" s="899" t="str">
        <f>IF(G1099&lt;&gt;0,VLOOKUP(G1099,'gia dat'!$A$1:$F$144,5,0)," ")</f>
        <v xml:space="preserve"> </v>
      </c>
      <c r="L1099" s="899" t="str">
        <f>IF(G1099&lt;&gt;0,VLOOKUP(G1099,'gia dat'!$A$1:$F$144,6,0)," ")</f>
        <v xml:space="preserve"> </v>
      </c>
      <c r="M1099" s="900" t="str">
        <f t="shared" si="227"/>
        <v xml:space="preserve"> </v>
      </c>
      <c r="N1099" s="900" t="str">
        <f t="shared" si="228"/>
        <v xml:space="preserve"> </v>
      </c>
      <c r="O1099" s="901"/>
      <c r="P1099" s="965"/>
      <c r="Q1099" s="900" t="str">
        <f>IF(O1099&lt;&gt;0,VLOOKUP(O1099,'Cây trong'!$A$2:$C$246,3,0)," ")</f>
        <v xml:space="preserve"> </v>
      </c>
      <c r="R1099" s="900" t="str">
        <f t="shared" si="231"/>
        <v xml:space="preserve"> </v>
      </c>
      <c r="S1099" s="902"/>
      <c r="T1099" s="925"/>
      <c r="U1099" s="927"/>
      <c r="V1099" s="929"/>
      <c r="W1099" s="900" t="str">
        <f>IF(S1099&lt;&gt;0,VLOOKUP(S1099,VKT!$A$2:$G$415,7,0),"")</f>
        <v/>
      </c>
      <c r="X1099" s="900" t="str">
        <f t="shared" si="224"/>
        <v xml:space="preserve"> </v>
      </c>
      <c r="Y1099" s="1016"/>
      <c r="Z1099" s="1016"/>
      <c r="AA1099" s="1016"/>
      <c r="AB1099" s="1026"/>
      <c r="AC1099" s="1016"/>
      <c r="AD1099" s="1016"/>
      <c r="AE1099" s="1016"/>
      <c r="AF1099" s="926"/>
      <c r="AG1099" s="906" t="str">
        <f>IF(AE1099&lt;&gt;0,VLOOKUP(AE1099,ODDS!$A$2:$C$13,3,0),"")</f>
        <v/>
      </c>
      <c r="AH1099" s="906" t="str">
        <f t="shared" si="232"/>
        <v xml:space="preserve"> </v>
      </c>
      <c r="AI1099" s="907" t="str">
        <f t="shared" si="237"/>
        <v xml:space="preserve"> </v>
      </c>
      <c r="AJ1099" s="929"/>
      <c r="AK1099" s="929"/>
    </row>
    <row r="1100" spans="1:37" s="385" customFormat="1" ht="22.5" outlineLevel="2" x14ac:dyDescent="0.3">
      <c r="A1100" s="447">
        <f t="shared" si="236"/>
        <v>84</v>
      </c>
      <c r="B1100" s="893"/>
      <c r="C1100" s="942"/>
      <c r="D1100" s="1035"/>
      <c r="E1100" s="950"/>
      <c r="F1100" s="1032"/>
      <c r="G1100" s="894"/>
      <c r="H1100" s="1034"/>
      <c r="I1100" s="882"/>
      <c r="J1100" s="1030"/>
      <c r="K1100" s="899" t="str">
        <f>IF(G1100&lt;&gt;0,VLOOKUP(G1100,'gia dat'!$A$1:$F$144,5,0)," ")</f>
        <v xml:space="preserve"> </v>
      </c>
      <c r="L1100" s="899" t="str">
        <f>IF(G1100&lt;&gt;0,VLOOKUP(G1100,'gia dat'!$A$1:$F$144,6,0)," ")</f>
        <v xml:space="preserve"> </v>
      </c>
      <c r="M1100" s="900" t="str">
        <f t="shared" si="227"/>
        <v xml:space="preserve"> </v>
      </c>
      <c r="N1100" s="900" t="str">
        <f t="shared" si="228"/>
        <v xml:space="preserve"> </v>
      </c>
      <c r="O1100" s="901"/>
      <c r="P1100" s="965"/>
      <c r="Q1100" s="900" t="str">
        <f>IF(O1100&lt;&gt;0,VLOOKUP(O1100,'Cây trong'!$A$2:$C$246,3,0)," ")</f>
        <v xml:space="preserve"> </v>
      </c>
      <c r="R1100" s="900" t="str">
        <f t="shared" si="231"/>
        <v xml:space="preserve"> </v>
      </c>
      <c r="S1100" s="902"/>
      <c r="T1100" s="925"/>
      <c r="U1100" s="927"/>
      <c r="V1100" s="929"/>
      <c r="W1100" s="900" t="str">
        <f>IF(S1100&lt;&gt;0,VLOOKUP(S1100,VKT!$A$2:$G$415,7,0),"")</f>
        <v/>
      </c>
      <c r="X1100" s="900" t="str">
        <f t="shared" si="224"/>
        <v xml:space="preserve"> </v>
      </c>
      <c r="Y1100" s="1016"/>
      <c r="Z1100" s="1016"/>
      <c r="AA1100" s="1016"/>
      <c r="AB1100" s="1026"/>
      <c r="AC1100" s="1016"/>
      <c r="AD1100" s="1016"/>
      <c r="AE1100" s="1016"/>
      <c r="AF1100" s="926"/>
      <c r="AG1100" s="906" t="str">
        <f>IF(AE1100&lt;&gt;0,VLOOKUP(AE1100,ODDS!$A$2:$C$13,3,0),"")</f>
        <v/>
      </c>
      <c r="AH1100" s="906" t="str">
        <f t="shared" si="232"/>
        <v xml:space="preserve"> </v>
      </c>
      <c r="AI1100" s="907" t="str">
        <f t="shared" si="237"/>
        <v xml:space="preserve"> </v>
      </c>
      <c r="AJ1100" s="929"/>
      <c r="AK1100" s="929"/>
    </row>
    <row r="1101" spans="1:37" s="386" customFormat="1" ht="43.5" outlineLevel="1" x14ac:dyDescent="0.25">
      <c r="A1101" s="467" t="s">
        <v>2625</v>
      </c>
      <c r="B1101" s="912">
        <v>85</v>
      </c>
      <c r="C1101" s="942" t="s">
        <v>818</v>
      </c>
      <c r="D1101" s="1037"/>
      <c r="E1101" s="1037"/>
      <c r="F1101" s="1038"/>
      <c r="G1101" s="914"/>
      <c r="H1101" s="1039">
        <f>SUBTOTAL(9,H1102:H1111)</f>
        <v>377.5</v>
      </c>
      <c r="I1101" s="915">
        <f>SUBTOTAL(9,I1102:I1107)</f>
        <v>92.899999999999991</v>
      </c>
      <c r="J1101" s="1025"/>
      <c r="K1101" s="917"/>
      <c r="L1101" s="917"/>
      <c r="M1101" s="907">
        <f>SUBTOTAL(9,M1102:M1111)</f>
        <v>142242000</v>
      </c>
      <c r="N1101" s="907">
        <f>SUBTOTAL(9,N1102:N1111)</f>
        <v>105014000</v>
      </c>
      <c r="O1101" s="910"/>
      <c r="P1101" s="968">
        <f>SUBTOTAL(9,P1102:P1111)</f>
        <v>0</v>
      </c>
      <c r="Q1101" s="907"/>
      <c r="R1101" s="907">
        <f>SUBTOTAL(9,R1102:R1111)</f>
        <v>0</v>
      </c>
      <c r="S1101" s="918"/>
      <c r="T1101" s="933"/>
      <c r="U1101" s="1040">
        <f>SUBTOTAL(9,U1102:U1111)</f>
        <v>334.6</v>
      </c>
      <c r="V1101" s="943"/>
      <c r="W1101" s="907"/>
      <c r="X1101" s="907">
        <f>SUBTOTAL(9,X1102:X1111)</f>
        <v>0</v>
      </c>
      <c r="Y1101" s="1016"/>
      <c r="Z1101" s="1016"/>
      <c r="AA1101" s="1016"/>
      <c r="AB1101" s="1026"/>
      <c r="AC1101" s="1016"/>
      <c r="AD1101" s="1016"/>
      <c r="AE1101" s="985"/>
      <c r="AF1101" s="935">
        <f>SUBTOTAL(9,AF1102:AF1111)</f>
        <v>0</v>
      </c>
      <c r="AG1101" s="921"/>
      <c r="AH1101" s="921">
        <f>SUBTOTAL(9,AH1102:AH1111)</f>
        <v>0</v>
      </c>
      <c r="AI1101" s="907">
        <f t="shared" si="237"/>
        <v>247256000</v>
      </c>
      <c r="AJ1101" s="910"/>
      <c r="AK1101" s="914"/>
    </row>
    <row r="1102" spans="1:37" s="386" customFormat="1" ht="135" outlineLevel="2" x14ac:dyDescent="0.3">
      <c r="A1102" s="447">
        <f>IF(B1101&lt;&gt;0,B1101,A1100)</f>
        <v>85</v>
      </c>
      <c r="B1102" s="893"/>
      <c r="C1102" s="894" t="s">
        <v>821</v>
      </c>
      <c r="D1102" s="950">
        <v>1</v>
      </c>
      <c r="E1102" s="950">
        <v>86</v>
      </c>
      <c r="F1102" s="1032">
        <v>280</v>
      </c>
      <c r="G1102" s="922" t="s">
        <v>2427</v>
      </c>
      <c r="H1102" s="1041">
        <f>377.5-H1103</f>
        <v>284.60000000000002</v>
      </c>
      <c r="I1102" s="882" t="str">
        <f t="shared" ref="I1102:I1103" si="238">IF(N1102&gt;0,H1102,"")</f>
        <v/>
      </c>
      <c r="J1102" s="1030"/>
      <c r="K1102" s="899">
        <f>IF(G1102&lt;&gt;0,VLOOKUP(G1102,'gia dat'!$A$1:$F$144,5,0)," ")</f>
        <v>376800</v>
      </c>
      <c r="L1102" s="899">
        <f>IF(G1102&lt;&gt;0,VLOOKUP(G1102,'gia dat'!$A$1:$F$144,6,0)," ")</f>
        <v>0</v>
      </c>
      <c r="M1102" s="900">
        <f t="shared" si="227"/>
        <v>107237000</v>
      </c>
      <c r="N1102" s="900">
        <f t="shared" si="228"/>
        <v>0</v>
      </c>
      <c r="O1102" s="894"/>
      <c r="P1102" s="965"/>
      <c r="Q1102" s="900" t="str">
        <f>IF(O1102&lt;&gt;0,VLOOKUP(O1102,'Cây trong'!$A$2:$C$246,3,0)," ")</f>
        <v xml:space="preserve"> </v>
      </c>
      <c r="R1102" s="900" t="str">
        <f t="shared" si="231"/>
        <v xml:space="preserve"> </v>
      </c>
      <c r="S1102" s="902" t="s">
        <v>1749</v>
      </c>
      <c r="T1102" s="925" t="s">
        <v>2911</v>
      </c>
      <c r="U1102" s="1042">
        <v>17.100000000000001</v>
      </c>
      <c r="V1102" s="929"/>
      <c r="W1102" s="900"/>
      <c r="X1102" s="900">
        <f t="shared" si="224"/>
        <v>0</v>
      </c>
      <c r="Y1102" s="1016"/>
      <c r="Z1102" s="1016"/>
      <c r="AA1102" s="1016"/>
      <c r="AB1102" s="1026"/>
      <c r="AC1102" s="1016"/>
      <c r="AD1102" s="1016"/>
      <c r="AE1102" s="1016"/>
      <c r="AF1102" s="926"/>
      <c r="AG1102" s="906" t="str">
        <f>IF(AE1102&lt;&gt;0,VLOOKUP(AE1102,ODDS!$A$2:$C$13,3,0),"")</f>
        <v/>
      </c>
      <c r="AH1102" s="906"/>
      <c r="AI1102" s="907" t="str">
        <f t="shared" si="237"/>
        <v xml:space="preserve"> </v>
      </c>
      <c r="AJ1102" s="894" t="s">
        <v>820</v>
      </c>
      <c r="AK1102" s="922" t="s">
        <v>2771</v>
      </c>
    </row>
    <row r="1103" spans="1:37" s="386" customFormat="1" ht="135" outlineLevel="2" x14ac:dyDescent="0.3">
      <c r="A1103" s="447">
        <f t="shared" ref="A1103:A1111" si="239">IF(B1102&lt;&gt;0,B1102,A1102)</f>
        <v>85</v>
      </c>
      <c r="B1103" s="893"/>
      <c r="C1103" s="902" t="s">
        <v>1653</v>
      </c>
      <c r="D1103" s="950"/>
      <c r="E1103" s="950">
        <v>86</v>
      </c>
      <c r="F1103" s="1032">
        <v>280</v>
      </c>
      <c r="G1103" s="922" t="s">
        <v>2430</v>
      </c>
      <c r="H1103" s="1041">
        <f>27.3+65.6</f>
        <v>92.899999999999991</v>
      </c>
      <c r="I1103" s="882">
        <f t="shared" si="238"/>
        <v>92.899999999999991</v>
      </c>
      <c r="J1103" s="1030"/>
      <c r="K1103" s="899">
        <f>IF(G1103&lt;&gt;0,VLOOKUP(G1103,'gia dat'!$A$1:$F$144,5,0)," ")</f>
        <v>376800</v>
      </c>
      <c r="L1103" s="899">
        <f>IF(G1103&lt;&gt;0,VLOOKUP(G1103,'gia dat'!$A$1:$F$144,6,0)," ")</f>
        <v>1130400</v>
      </c>
      <c r="M1103" s="900">
        <f t="shared" si="227"/>
        <v>35005000</v>
      </c>
      <c r="N1103" s="900">
        <f t="shared" si="228"/>
        <v>105014000</v>
      </c>
      <c r="O1103" s="894"/>
      <c r="P1103" s="965"/>
      <c r="Q1103" s="900" t="str">
        <f>IF(O1103&lt;&gt;0,VLOOKUP(O1103,'Cây trong'!$A$2:$C$246,3,0)," ")</f>
        <v xml:space="preserve"> </v>
      </c>
      <c r="R1103" s="900" t="str">
        <f t="shared" si="231"/>
        <v xml:space="preserve"> </v>
      </c>
      <c r="S1103" s="922" t="s">
        <v>1748</v>
      </c>
      <c r="T1103" s="925" t="s">
        <v>2911</v>
      </c>
      <c r="U1103" s="1042">
        <v>11</v>
      </c>
      <c r="V1103" s="929"/>
      <c r="W1103" s="900"/>
      <c r="X1103" s="900">
        <f t="shared" si="224"/>
        <v>0</v>
      </c>
      <c r="Y1103" s="1016"/>
      <c r="Z1103" s="1016"/>
      <c r="AA1103" s="1016"/>
      <c r="AB1103" s="1026"/>
      <c r="AC1103" s="1016"/>
      <c r="AD1103" s="1016"/>
      <c r="AE1103" s="1016"/>
      <c r="AF1103" s="926"/>
      <c r="AG1103" s="906" t="str">
        <f>IF(AE1103&lt;&gt;0,VLOOKUP(AE1103,ODDS!$A$2:$C$13,3,0),"")</f>
        <v/>
      </c>
      <c r="AH1103" s="906" t="str">
        <f t="shared" si="232"/>
        <v xml:space="preserve"> </v>
      </c>
      <c r="AI1103" s="907" t="str">
        <f t="shared" si="237"/>
        <v xml:space="preserve"> </v>
      </c>
      <c r="AJ1103" s="894" t="s">
        <v>2914</v>
      </c>
      <c r="AK1103" s="894" t="s">
        <v>2448</v>
      </c>
    </row>
    <row r="1104" spans="1:37" s="385" customFormat="1" ht="112.5" outlineLevel="2" x14ac:dyDescent="0.3">
      <c r="A1104" s="447">
        <f t="shared" si="239"/>
        <v>85</v>
      </c>
      <c r="B1104" s="893"/>
      <c r="C1104" s="929" t="s">
        <v>824</v>
      </c>
      <c r="D1104" s="950"/>
      <c r="E1104" s="950"/>
      <c r="F1104" s="1032"/>
      <c r="G1104" s="894"/>
      <c r="H1104" s="1041"/>
      <c r="I1104" s="882"/>
      <c r="J1104" s="1030"/>
      <c r="K1104" s="899" t="str">
        <f>IF(G1104&lt;&gt;0,VLOOKUP(G1104,'gia dat'!$A$1:$F$144,5,0)," ")</f>
        <v xml:space="preserve"> </v>
      </c>
      <c r="L1104" s="899" t="str">
        <f>IF(G1104&lt;&gt;0,VLOOKUP(G1104,'gia dat'!$A$1:$F$144,6,0)," ")</f>
        <v xml:space="preserve"> </v>
      </c>
      <c r="M1104" s="900" t="str">
        <f t="shared" si="227"/>
        <v xml:space="preserve"> </v>
      </c>
      <c r="N1104" s="900" t="str">
        <f t="shared" si="228"/>
        <v xml:space="preserve"> </v>
      </c>
      <c r="O1104" s="894"/>
      <c r="P1104" s="965"/>
      <c r="Q1104" s="900" t="str">
        <f>IF(O1104&lt;&gt;0,VLOOKUP(O1104,'Cây trong'!$A$2:$C$246,3,0)," ")</f>
        <v xml:space="preserve"> </v>
      </c>
      <c r="R1104" s="900" t="str">
        <f t="shared" si="231"/>
        <v xml:space="preserve"> </v>
      </c>
      <c r="S1104" s="902" t="s">
        <v>1749</v>
      </c>
      <c r="T1104" s="925" t="s">
        <v>2911</v>
      </c>
      <c r="U1104" s="1042">
        <v>11</v>
      </c>
      <c r="V1104" s="929"/>
      <c r="W1104" s="900"/>
      <c r="X1104" s="900">
        <f t="shared" si="224"/>
        <v>0</v>
      </c>
      <c r="Y1104" s="1016"/>
      <c r="Z1104" s="1016"/>
      <c r="AA1104" s="1016"/>
      <c r="AB1104" s="1026"/>
      <c r="AC1104" s="1016"/>
      <c r="AD1104" s="1016"/>
      <c r="AE1104" s="1016"/>
      <c r="AF1104" s="926"/>
      <c r="AG1104" s="906" t="str">
        <f>IF(AE1104&lt;&gt;0,VLOOKUP(AE1104,ODDS!$A$2:$C$13,3,0),"")</f>
        <v/>
      </c>
      <c r="AH1104" s="906" t="str">
        <f t="shared" si="232"/>
        <v xml:space="preserve"> </v>
      </c>
      <c r="AI1104" s="907" t="str">
        <f t="shared" si="237"/>
        <v xml:space="preserve"> </v>
      </c>
      <c r="AJ1104" s="929" t="s">
        <v>398</v>
      </c>
      <c r="AK1104" s="894" t="s">
        <v>2450</v>
      </c>
    </row>
    <row r="1105" spans="1:38" s="385" customFormat="1" ht="112.5" outlineLevel="2" x14ac:dyDescent="0.3">
      <c r="A1105" s="447">
        <f t="shared" si="239"/>
        <v>85</v>
      </c>
      <c r="B1105" s="893"/>
      <c r="C1105" s="922"/>
      <c r="D1105" s="950"/>
      <c r="E1105" s="950"/>
      <c r="F1105" s="1032"/>
      <c r="G1105" s="894"/>
      <c r="H1105" s="1041"/>
      <c r="I1105" s="882"/>
      <c r="J1105" s="1030"/>
      <c r="K1105" s="899" t="str">
        <f>IF(G1105&lt;&gt;0,VLOOKUP(G1105,'gia dat'!$A$1:$F$144,5,0)," ")</f>
        <v xml:space="preserve"> </v>
      </c>
      <c r="L1105" s="899" t="str">
        <f>IF(G1105&lt;&gt;0,VLOOKUP(G1105,'gia dat'!$A$1:$F$144,6,0)," ")</f>
        <v xml:space="preserve"> </v>
      </c>
      <c r="M1105" s="900" t="str">
        <f t="shared" si="227"/>
        <v xml:space="preserve"> </v>
      </c>
      <c r="N1105" s="900" t="str">
        <f t="shared" si="228"/>
        <v xml:space="preserve"> </v>
      </c>
      <c r="O1105" s="894"/>
      <c r="P1105" s="965"/>
      <c r="Q1105" s="900" t="str">
        <f>IF(O1105&lt;&gt;0,VLOOKUP(O1105,'Cây trong'!$A$2:$C$246,3,0)," ")</f>
        <v xml:space="preserve"> </v>
      </c>
      <c r="R1105" s="900" t="str">
        <f t="shared" si="231"/>
        <v xml:space="preserve"> </v>
      </c>
      <c r="S1105" s="902" t="s">
        <v>1750</v>
      </c>
      <c r="T1105" s="925" t="s">
        <v>2911</v>
      </c>
      <c r="U1105" s="1042">
        <v>61.5</v>
      </c>
      <c r="V1105" s="929"/>
      <c r="W1105" s="900"/>
      <c r="X1105" s="900">
        <f t="shared" si="224"/>
        <v>0</v>
      </c>
      <c r="Y1105" s="1016"/>
      <c r="Z1105" s="1016"/>
      <c r="AA1105" s="1016"/>
      <c r="AB1105" s="1026"/>
      <c r="AC1105" s="1016"/>
      <c r="AD1105" s="1016"/>
      <c r="AE1105" s="1016"/>
      <c r="AF1105" s="926"/>
      <c r="AG1105" s="906" t="str">
        <f>IF(AE1105&lt;&gt;0,VLOOKUP(AE1105,ODDS!$A$2:$C$13,3,0),"")</f>
        <v/>
      </c>
      <c r="AH1105" s="906" t="str">
        <f t="shared" si="232"/>
        <v xml:space="preserve"> </v>
      </c>
      <c r="AI1105" s="907" t="str">
        <f t="shared" si="237"/>
        <v xml:space="preserve"> </v>
      </c>
      <c r="AJ1105" s="894" t="s">
        <v>2074</v>
      </c>
      <c r="AK1105" s="894" t="s">
        <v>2800</v>
      </c>
    </row>
    <row r="1106" spans="1:38" s="385" customFormat="1" ht="67.5" outlineLevel="2" x14ac:dyDescent="0.35">
      <c r="A1106" s="447">
        <f t="shared" si="239"/>
        <v>85</v>
      </c>
      <c r="B1106" s="893"/>
      <c r="C1106" s="922"/>
      <c r="D1106" s="950"/>
      <c r="E1106" s="950"/>
      <c r="F1106" s="1032"/>
      <c r="G1106" s="894"/>
      <c r="H1106" s="1041"/>
      <c r="I1106" s="882"/>
      <c r="J1106" s="1030"/>
      <c r="K1106" s="899" t="str">
        <f>IF(G1106&lt;&gt;0,VLOOKUP(G1106,'gia dat'!$A$1:$F$144,5,0)," ")</f>
        <v xml:space="preserve"> </v>
      </c>
      <c r="L1106" s="899" t="str">
        <f>IF(G1106&lt;&gt;0,VLOOKUP(G1106,'gia dat'!$A$1:$F$144,6,0)," ")</f>
        <v xml:space="preserve"> </v>
      </c>
      <c r="M1106" s="900" t="str">
        <f t="shared" si="227"/>
        <v xml:space="preserve"> </v>
      </c>
      <c r="N1106" s="900" t="str">
        <f t="shared" si="228"/>
        <v xml:space="preserve"> </v>
      </c>
      <c r="O1106" s="894"/>
      <c r="P1106" s="965"/>
      <c r="Q1106" s="900" t="str">
        <f>IF(O1106&lt;&gt;0,VLOOKUP(O1106,'Cây trong'!$A$2:$C$246,3,0)," ")</f>
        <v xml:space="preserve"> </v>
      </c>
      <c r="R1106" s="900" t="str">
        <f t="shared" si="231"/>
        <v xml:space="preserve"> </v>
      </c>
      <c r="S1106" s="902" t="s">
        <v>1750</v>
      </c>
      <c r="T1106" s="925" t="s">
        <v>2911</v>
      </c>
      <c r="U1106" s="1042">
        <v>84.5</v>
      </c>
      <c r="V1106" s="929"/>
      <c r="W1106" s="900"/>
      <c r="X1106" s="900">
        <f t="shared" si="224"/>
        <v>0</v>
      </c>
      <c r="Y1106" s="1016"/>
      <c r="Z1106" s="1016"/>
      <c r="AA1106" s="1016"/>
      <c r="AB1106" s="1026"/>
      <c r="AC1106" s="1016"/>
      <c r="AD1106" s="1016"/>
      <c r="AE1106" s="1016"/>
      <c r="AF1106" s="926"/>
      <c r="AG1106" s="906" t="str">
        <f>IF(AE1106&lt;&gt;0,VLOOKUP(AE1106,ODDS!$A$2:$C$13,3,0),"")</f>
        <v/>
      </c>
      <c r="AH1106" s="906" t="str">
        <f t="shared" si="232"/>
        <v xml:space="preserve"> </v>
      </c>
      <c r="AI1106" s="907" t="str">
        <f t="shared" si="237"/>
        <v xml:space="preserve"> </v>
      </c>
      <c r="AJ1106" s="1036"/>
      <c r="AK1106" s="929"/>
    </row>
    <row r="1107" spans="1:38" s="385" customFormat="1" ht="67.5" outlineLevel="2" x14ac:dyDescent="0.3">
      <c r="A1107" s="447">
        <f t="shared" si="239"/>
        <v>85</v>
      </c>
      <c r="B1107" s="893"/>
      <c r="C1107" s="922"/>
      <c r="D1107" s="950"/>
      <c r="E1107" s="950"/>
      <c r="F1107" s="1032"/>
      <c r="G1107" s="894"/>
      <c r="H1107" s="1041"/>
      <c r="I1107" s="882"/>
      <c r="J1107" s="1030"/>
      <c r="K1107" s="899" t="str">
        <f>IF(G1107&lt;&gt;0,VLOOKUP(G1107,'gia dat'!$A$1:$F$144,5,0)," ")</f>
        <v xml:space="preserve"> </v>
      </c>
      <c r="L1107" s="899" t="str">
        <f>IF(G1107&lt;&gt;0,VLOOKUP(G1107,'gia dat'!$A$1:$F$144,6,0)," ")</f>
        <v xml:space="preserve"> </v>
      </c>
      <c r="M1107" s="900" t="str">
        <f t="shared" si="227"/>
        <v xml:space="preserve"> </v>
      </c>
      <c r="N1107" s="900" t="str">
        <f t="shared" si="228"/>
        <v xml:space="preserve"> </v>
      </c>
      <c r="O1107" s="894"/>
      <c r="P1107" s="965"/>
      <c r="Q1107" s="900" t="str">
        <f>IF(O1107&lt;&gt;0,VLOOKUP(O1107,'Cây trong'!$A$2:$C$246,3,0)," ")</f>
        <v xml:space="preserve"> </v>
      </c>
      <c r="R1107" s="900" t="str">
        <f t="shared" si="231"/>
        <v xml:space="preserve"> </v>
      </c>
      <c r="S1107" s="902" t="s">
        <v>1759</v>
      </c>
      <c r="T1107" s="925" t="s">
        <v>2911</v>
      </c>
      <c r="U1107" s="1042">
        <v>3.5</v>
      </c>
      <c r="V1107" s="929"/>
      <c r="W1107" s="900"/>
      <c r="X1107" s="900">
        <f t="shared" ref="X1107:X1177" si="240">IF(S1107&lt;&gt;0,ROUND(U1107*W1107,-3)," ")</f>
        <v>0</v>
      </c>
      <c r="Y1107" s="1016"/>
      <c r="Z1107" s="1016"/>
      <c r="AA1107" s="1016"/>
      <c r="AB1107" s="1026"/>
      <c r="AC1107" s="1016"/>
      <c r="AD1107" s="1016"/>
      <c r="AE1107" s="1016"/>
      <c r="AF1107" s="926"/>
      <c r="AG1107" s="906" t="str">
        <f>IF(AE1107&lt;&gt;0,VLOOKUP(AE1107,ODDS!$A$2:$C$13,3,0),"")</f>
        <v/>
      </c>
      <c r="AH1107" s="906" t="str">
        <f t="shared" si="232"/>
        <v xml:space="preserve"> </v>
      </c>
      <c r="AI1107" s="907" t="str">
        <f t="shared" si="237"/>
        <v xml:space="preserve"> </v>
      </c>
      <c r="AJ1107" s="929"/>
      <c r="AK1107" s="929"/>
    </row>
    <row r="1108" spans="1:38" s="385" customFormat="1" ht="45" outlineLevel="2" x14ac:dyDescent="0.3">
      <c r="A1108" s="447">
        <f t="shared" si="239"/>
        <v>85</v>
      </c>
      <c r="B1108" s="893"/>
      <c r="C1108" s="922"/>
      <c r="D1108" s="950"/>
      <c r="E1108" s="950"/>
      <c r="F1108" s="1032"/>
      <c r="G1108" s="894"/>
      <c r="H1108" s="1041"/>
      <c r="I1108" s="882"/>
      <c r="J1108" s="1030"/>
      <c r="K1108" s="899" t="str">
        <f>IF(G1108&lt;&gt;0,VLOOKUP(G1108,'gia dat'!$A$1:$F$144,5,0)," ")</f>
        <v xml:space="preserve"> </v>
      </c>
      <c r="L1108" s="899" t="str">
        <f>IF(G1108&lt;&gt;0,VLOOKUP(G1108,'gia dat'!$A$1:$F$144,6,0)," ")</f>
        <v xml:space="preserve"> </v>
      </c>
      <c r="M1108" s="900" t="str">
        <f t="shared" si="227"/>
        <v xml:space="preserve"> </v>
      </c>
      <c r="N1108" s="900" t="str">
        <f t="shared" si="228"/>
        <v xml:space="preserve"> </v>
      </c>
      <c r="O1108" s="894"/>
      <c r="P1108" s="965"/>
      <c r="Q1108" s="900" t="str">
        <f>IF(O1108&lt;&gt;0,VLOOKUP(O1108,'Cây trong'!$A$2:$C$246,3,0)," ")</f>
        <v xml:space="preserve"> </v>
      </c>
      <c r="R1108" s="900" t="str">
        <f t="shared" si="231"/>
        <v xml:space="preserve"> </v>
      </c>
      <c r="S1108" s="922" t="s">
        <v>1757</v>
      </c>
      <c r="T1108" s="925" t="s">
        <v>2911</v>
      </c>
      <c r="U1108" s="1042">
        <v>61.5</v>
      </c>
      <c r="V1108" s="929"/>
      <c r="W1108" s="900"/>
      <c r="X1108" s="900">
        <f t="shared" si="240"/>
        <v>0</v>
      </c>
      <c r="Y1108" s="1016"/>
      <c r="Z1108" s="1016"/>
      <c r="AA1108" s="1016"/>
      <c r="AB1108" s="1026"/>
      <c r="AC1108" s="1016"/>
      <c r="AD1108" s="1016"/>
      <c r="AE1108" s="1016"/>
      <c r="AF1108" s="926"/>
      <c r="AG1108" s="906" t="str">
        <f>IF(AE1108&lt;&gt;0,VLOOKUP(AE1108,ODDS!$A$2:$C$13,3,0),"")</f>
        <v/>
      </c>
      <c r="AH1108" s="906" t="str">
        <f t="shared" si="232"/>
        <v xml:space="preserve"> </v>
      </c>
      <c r="AI1108" s="907" t="str">
        <f t="shared" si="237"/>
        <v xml:space="preserve"> </v>
      </c>
      <c r="AJ1108" s="929"/>
      <c r="AK1108" s="929"/>
    </row>
    <row r="1109" spans="1:38" s="385" customFormat="1" ht="45" outlineLevel="2" x14ac:dyDescent="0.3">
      <c r="A1109" s="447">
        <f t="shared" si="239"/>
        <v>85</v>
      </c>
      <c r="B1109" s="893"/>
      <c r="C1109" s="922"/>
      <c r="D1109" s="950"/>
      <c r="E1109" s="950"/>
      <c r="F1109" s="1032"/>
      <c r="G1109" s="894"/>
      <c r="H1109" s="1041"/>
      <c r="I1109" s="882"/>
      <c r="J1109" s="1030"/>
      <c r="K1109" s="899" t="str">
        <f>IF(G1109&lt;&gt;0,VLOOKUP(G1109,'gia dat'!$A$1:$F$144,5,0)," ")</f>
        <v xml:space="preserve"> </v>
      </c>
      <c r="L1109" s="899" t="str">
        <f>IF(G1109&lt;&gt;0,VLOOKUP(G1109,'gia dat'!$A$1:$F$144,6,0)," ")</f>
        <v xml:space="preserve"> </v>
      </c>
      <c r="M1109" s="900" t="str">
        <f t="shared" si="227"/>
        <v xml:space="preserve"> </v>
      </c>
      <c r="N1109" s="900" t="str">
        <f t="shared" si="228"/>
        <v xml:space="preserve"> </v>
      </c>
      <c r="O1109" s="894"/>
      <c r="P1109" s="965"/>
      <c r="Q1109" s="900" t="str">
        <f>IF(O1109&lt;&gt;0,VLOOKUP(O1109,'Cây trong'!$A$2:$C$246,3,0)," ")</f>
        <v xml:space="preserve"> </v>
      </c>
      <c r="R1109" s="900" t="str">
        <f t="shared" si="231"/>
        <v xml:space="preserve"> </v>
      </c>
      <c r="S1109" s="922" t="s">
        <v>1757</v>
      </c>
      <c r="T1109" s="925" t="s">
        <v>2911</v>
      </c>
      <c r="U1109" s="1042">
        <v>84.5</v>
      </c>
      <c r="V1109" s="929"/>
      <c r="W1109" s="900"/>
      <c r="X1109" s="900">
        <f t="shared" si="240"/>
        <v>0</v>
      </c>
      <c r="Y1109" s="1016"/>
      <c r="Z1109" s="1016"/>
      <c r="AA1109" s="1016"/>
      <c r="AB1109" s="1026"/>
      <c r="AC1109" s="1016"/>
      <c r="AD1109" s="1016"/>
      <c r="AE1109" s="1016"/>
      <c r="AF1109" s="926"/>
      <c r="AG1109" s="906" t="str">
        <f>IF(AE1109&lt;&gt;0,VLOOKUP(AE1109,ODDS!$A$2:$C$13,3,0),"")</f>
        <v/>
      </c>
      <c r="AH1109" s="906" t="str">
        <f t="shared" si="232"/>
        <v xml:space="preserve"> </v>
      </c>
      <c r="AI1109" s="907" t="str">
        <f t="shared" si="237"/>
        <v xml:space="preserve"> </v>
      </c>
      <c r="AJ1109" s="929"/>
      <c r="AK1109" s="929"/>
    </row>
    <row r="1110" spans="1:38" s="385" customFormat="1" ht="22.5" outlineLevel="2" x14ac:dyDescent="0.3">
      <c r="A1110" s="447">
        <f t="shared" si="239"/>
        <v>85</v>
      </c>
      <c r="B1110" s="893"/>
      <c r="C1110" s="894"/>
      <c r="D1110" s="950"/>
      <c r="E1110" s="950"/>
      <c r="F1110" s="1032"/>
      <c r="G1110" s="894"/>
      <c r="H1110" s="1041"/>
      <c r="I1110" s="882"/>
      <c r="J1110" s="1030"/>
      <c r="K1110" s="899" t="str">
        <f>IF(G1110&lt;&gt;0,VLOOKUP(G1110,'gia dat'!$A$1:$F$144,5,0)," ")</f>
        <v xml:space="preserve"> </v>
      </c>
      <c r="L1110" s="899" t="str">
        <f>IF(G1110&lt;&gt;0,VLOOKUP(G1110,'gia dat'!$A$1:$F$144,6,0)," ")</f>
        <v xml:space="preserve"> </v>
      </c>
      <c r="M1110" s="900" t="str">
        <f t="shared" si="227"/>
        <v xml:space="preserve"> </v>
      </c>
      <c r="N1110" s="900" t="str">
        <f t="shared" si="228"/>
        <v xml:space="preserve"> </v>
      </c>
      <c r="O1110" s="894"/>
      <c r="P1110" s="965"/>
      <c r="Q1110" s="900" t="str">
        <f>IF(O1110&lt;&gt;0,VLOOKUP(O1110,'Cây trong'!$A$2:$C$246,3,0)," ")</f>
        <v xml:space="preserve"> </v>
      </c>
      <c r="R1110" s="900" t="str">
        <f t="shared" si="231"/>
        <v xml:space="preserve"> </v>
      </c>
      <c r="S1110" s="902"/>
      <c r="T1110" s="925"/>
      <c r="U1110" s="1042"/>
      <c r="V1110" s="929"/>
      <c r="W1110" s="900" t="str">
        <f>IF(S1110&lt;&gt;0,VLOOKUP(S1110,VKT!$A$2:$G$415,7,0),"")</f>
        <v/>
      </c>
      <c r="X1110" s="900" t="str">
        <f t="shared" si="240"/>
        <v xml:space="preserve"> </v>
      </c>
      <c r="Y1110" s="1016"/>
      <c r="Z1110" s="1016"/>
      <c r="AA1110" s="1016"/>
      <c r="AB1110" s="1026"/>
      <c r="AC1110" s="1016"/>
      <c r="AD1110" s="1016"/>
      <c r="AE1110" s="1016"/>
      <c r="AF1110" s="926"/>
      <c r="AG1110" s="906" t="str">
        <f>IF(AE1110&lt;&gt;0,VLOOKUP(AE1110,ODDS!$A$2:$C$13,3,0),"")</f>
        <v/>
      </c>
      <c r="AH1110" s="906" t="str">
        <f t="shared" si="232"/>
        <v xml:space="preserve"> </v>
      </c>
      <c r="AI1110" s="907" t="str">
        <f t="shared" si="237"/>
        <v xml:space="preserve"> </v>
      </c>
      <c r="AJ1110" s="929"/>
      <c r="AK1110" s="929"/>
    </row>
    <row r="1111" spans="1:38" s="385" customFormat="1" ht="22.5" outlineLevel="2" x14ac:dyDescent="0.3">
      <c r="A1111" s="447">
        <f t="shared" si="239"/>
        <v>85</v>
      </c>
      <c r="B1111" s="893"/>
      <c r="C1111" s="942"/>
      <c r="D1111" s="950"/>
      <c r="E1111" s="950"/>
      <c r="F1111" s="1032"/>
      <c r="G1111" s="894"/>
      <c r="H1111" s="1041"/>
      <c r="I1111" s="882"/>
      <c r="J1111" s="1030"/>
      <c r="K1111" s="899" t="str">
        <f>IF(G1111&lt;&gt;0,VLOOKUP(G1111,'gia dat'!$A$1:$F$144,5,0)," ")</f>
        <v xml:space="preserve"> </v>
      </c>
      <c r="L1111" s="899" t="str">
        <f>IF(G1111&lt;&gt;0,VLOOKUP(G1111,'gia dat'!$A$1:$F$144,6,0)," ")</f>
        <v xml:space="preserve"> </v>
      </c>
      <c r="M1111" s="900" t="str">
        <f t="shared" si="227"/>
        <v xml:space="preserve"> </v>
      </c>
      <c r="N1111" s="900" t="str">
        <f t="shared" si="228"/>
        <v xml:space="preserve"> </v>
      </c>
      <c r="O1111" s="894"/>
      <c r="P1111" s="965"/>
      <c r="Q1111" s="900" t="str">
        <f>IF(O1111&lt;&gt;0,VLOOKUP(O1111,'Cây trong'!$A$2:$C$246,3,0)," ")</f>
        <v xml:space="preserve"> </v>
      </c>
      <c r="R1111" s="900" t="str">
        <f t="shared" si="231"/>
        <v xml:space="preserve"> </v>
      </c>
      <c r="S1111" s="902"/>
      <c r="T1111" s="925"/>
      <c r="U1111" s="1042"/>
      <c r="V1111" s="929"/>
      <c r="W1111" s="900" t="str">
        <f>IF(S1111&lt;&gt;0,VLOOKUP(S1111,VKT!$A$2:$G$415,7,0),"")</f>
        <v/>
      </c>
      <c r="X1111" s="900" t="str">
        <f t="shared" si="240"/>
        <v xml:space="preserve"> </v>
      </c>
      <c r="Y1111" s="1016"/>
      <c r="Z1111" s="1016"/>
      <c r="AA1111" s="1016"/>
      <c r="AB1111" s="1026"/>
      <c r="AC1111" s="1016"/>
      <c r="AD1111" s="1016"/>
      <c r="AE1111" s="1016"/>
      <c r="AF1111" s="926"/>
      <c r="AG1111" s="906" t="str">
        <f>IF(AE1111&lt;&gt;0,VLOOKUP(AE1111,ODDS!$A$2:$C$13,3,0),"")</f>
        <v/>
      </c>
      <c r="AH1111" s="906" t="str">
        <f t="shared" si="232"/>
        <v xml:space="preserve"> </v>
      </c>
      <c r="AI1111" s="907" t="str">
        <f t="shared" si="237"/>
        <v xml:space="preserve"> </v>
      </c>
      <c r="AJ1111" s="929"/>
      <c r="AK1111" s="929"/>
    </row>
    <row r="1112" spans="1:38" s="386" customFormat="1" ht="22.5" outlineLevel="1" x14ac:dyDescent="0.25">
      <c r="A1112" s="467" t="s">
        <v>2624</v>
      </c>
      <c r="B1112" s="912">
        <v>86</v>
      </c>
      <c r="C1112" s="942" t="s">
        <v>825</v>
      </c>
      <c r="D1112" s="1043"/>
      <c r="E1112" s="1037"/>
      <c r="F1112" s="1038"/>
      <c r="G1112" s="914"/>
      <c r="H1112" s="1039">
        <f>SUBTOTAL(9,H1113:H1136)</f>
        <v>1459.6</v>
      </c>
      <c r="I1112" s="915">
        <f>SUBTOTAL(9,I1113:I1118)</f>
        <v>0</v>
      </c>
      <c r="J1112" s="1040"/>
      <c r="K1112" s="917"/>
      <c r="L1112" s="917"/>
      <c r="M1112" s="907">
        <f>SUBTOTAL(9,M1113:M1136)</f>
        <v>679590000</v>
      </c>
      <c r="N1112" s="907">
        <f>SUBTOTAL(9,N1113:N1136)</f>
        <v>0</v>
      </c>
      <c r="O1112" s="914"/>
      <c r="P1112" s="1044">
        <f>SUBTOTAL(9,P1113:P1136)</f>
        <v>163</v>
      </c>
      <c r="Q1112" s="907"/>
      <c r="R1112" s="907">
        <f>SUBTOTAL(9,R1113:R1136)</f>
        <v>13484000</v>
      </c>
      <c r="S1112" s="914"/>
      <c r="T1112" s="933"/>
      <c r="U1112" s="1040">
        <f>SUBTOTAL(9,U1113:U1136)</f>
        <v>130.70000000000002</v>
      </c>
      <c r="V1112" s="1045"/>
      <c r="W1112" s="907"/>
      <c r="X1112" s="907">
        <f>SUBTOTAL(9,X1113:X1136)</f>
        <v>42477000</v>
      </c>
      <c r="Y1112" s="1016"/>
      <c r="Z1112" s="1016"/>
      <c r="AA1112" s="1016"/>
      <c r="AB1112" s="1026"/>
      <c r="AC1112" s="1016"/>
      <c r="AD1112" s="1016"/>
      <c r="AE1112" s="985"/>
      <c r="AF1112" s="935">
        <f>SUBTOTAL(9,AF1113:AF1136)</f>
        <v>0</v>
      </c>
      <c r="AG1112" s="921"/>
      <c r="AH1112" s="921">
        <f>SUBTOTAL(9,AH1113:AH1136)</f>
        <v>0</v>
      </c>
      <c r="AI1112" s="907">
        <f t="shared" si="237"/>
        <v>735551000</v>
      </c>
      <c r="AJ1112" s="910"/>
      <c r="AK1112" s="914"/>
      <c r="AL1112" s="387"/>
    </row>
    <row r="1113" spans="1:38" s="386" customFormat="1" ht="135" outlineLevel="2" x14ac:dyDescent="0.3">
      <c r="A1113" s="447">
        <f>IF(B1112&lt;&gt;0,B1112,A1111)</f>
        <v>86</v>
      </c>
      <c r="B1113" s="893"/>
      <c r="C1113" s="908" t="s">
        <v>829</v>
      </c>
      <c r="D1113" s="1035">
        <v>5</v>
      </c>
      <c r="E1113" s="950">
        <v>86</v>
      </c>
      <c r="F1113" s="1032">
        <v>248</v>
      </c>
      <c r="G1113" s="922" t="s">
        <v>2875</v>
      </c>
      <c r="H1113" s="1041">
        <f>1358.6-H1115</f>
        <v>1358.6</v>
      </c>
      <c r="I1113" s="882" t="str">
        <f t="shared" ref="I1113:I1114" si="241">IF(N1113&gt;0,H1113,"")</f>
        <v/>
      </c>
      <c r="J1113" s="1042"/>
      <c r="K1113" s="899">
        <f>IF(G1113&lt;&gt;0,VLOOKUP(G1113,'gia dat'!$A$1:$F$144,5,0)," ")</f>
        <v>465600</v>
      </c>
      <c r="L1113" s="899">
        <f>IF(G1113&lt;&gt;0,VLOOKUP(G1113,'gia dat'!$A$1:$F$144,6,0)," ")</f>
        <v>0</v>
      </c>
      <c r="M1113" s="900">
        <f t="shared" si="227"/>
        <v>632564000</v>
      </c>
      <c r="N1113" s="900">
        <f t="shared" si="228"/>
        <v>0</v>
      </c>
      <c r="O1113" s="922" t="s">
        <v>827</v>
      </c>
      <c r="P1113" s="1046">
        <v>2</v>
      </c>
      <c r="Q1113" s="900">
        <f>IF(O1113&lt;&gt;0,VLOOKUP(O1113,'Cây trong'!$A$2:$C$246,3,0)," ")</f>
        <v>72000</v>
      </c>
      <c r="R1113" s="900">
        <f t="shared" si="231"/>
        <v>144000</v>
      </c>
      <c r="S1113" s="922" t="s">
        <v>1748</v>
      </c>
      <c r="T1113" s="925" t="s">
        <v>2911</v>
      </c>
      <c r="U1113" s="1042">
        <v>11.25</v>
      </c>
      <c r="V1113" s="1047"/>
      <c r="W1113" s="900">
        <f>IF(S1113&lt;&gt;0,VLOOKUP(S1113,VKT!$A$2:$G$415,7,0),"")</f>
        <v>0</v>
      </c>
      <c r="X1113" s="900">
        <f t="shared" si="240"/>
        <v>0</v>
      </c>
      <c r="Y1113" s="1016"/>
      <c r="Z1113" s="1016"/>
      <c r="AA1113" s="1016"/>
      <c r="AB1113" s="1026"/>
      <c r="AC1113" s="1016"/>
      <c r="AD1113" s="1016"/>
      <c r="AE1113" s="1016"/>
      <c r="AF1113" s="926"/>
      <c r="AG1113" s="906" t="str">
        <f>IF(AE1113&lt;&gt;0,VLOOKUP(AE1113,ODDS!$A$2:$C$13,3,0),"")</f>
        <v/>
      </c>
      <c r="AH1113" s="906"/>
      <c r="AI1113" s="907" t="str">
        <f t="shared" si="237"/>
        <v xml:space="preserve"> </v>
      </c>
      <c r="AJ1113" s="894" t="s">
        <v>828</v>
      </c>
      <c r="AK1113" s="922" t="s">
        <v>2771</v>
      </c>
      <c r="AL1113" s="387"/>
    </row>
    <row r="1114" spans="1:38" s="386" customFormat="1" ht="135" outlineLevel="2" x14ac:dyDescent="0.3">
      <c r="A1114" s="447">
        <f t="shared" ref="A1114:A1136" si="242">IF(B1113&lt;&gt;0,B1113,A1113)</f>
        <v>86</v>
      </c>
      <c r="B1114" s="893"/>
      <c r="C1114" s="922" t="s">
        <v>1654</v>
      </c>
      <c r="D1114" s="1035"/>
      <c r="E1114" s="950">
        <v>86</v>
      </c>
      <c r="F1114" s="1032">
        <v>248</v>
      </c>
      <c r="G1114" s="922" t="s">
        <v>2865</v>
      </c>
      <c r="H1114" s="1041">
        <v>101</v>
      </c>
      <c r="I1114" s="882" t="str">
        <f t="shared" si="241"/>
        <v/>
      </c>
      <c r="J1114" s="1042"/>
      <c r="K1114" s="899">
        <f>IF(G1114&lt;&gt;0,VLOOKUP(G1114,'gia dat'!$A$1:$F$144,5,0)," ")</f>
        <v>465600</v>
      </c>
      <c r="L1114" s="899">
        <f>IF(G1114&lt;&gt;0,VLOOKUP(G1114,'gia dat'!$A$1:$F$144,6,0)," ")</f>
        <v>0</v>
      </c>
      <c r="M1114" s="900">
        <f t="shared" si="227"/>
        <v>47026000</v>
      </c>
      <c r="N1114" s="900">
        <f t="shared" si="228"/>
        <v>0</v>
      </c>
      <c r="O1114" s="922" t="s">
        <v>401</v>
      </c>
      <c r="P1114" s="1046">
        <v>19</v>
      </c>
      <c r="Q1114" s="900">
        <f>IF(O1114&lt;&gt;0,VLOOKUP(O1114,'Cây trong'!$A$2:$C$246,3,0)," ")</f>
        <v>80000</v>
      </c>
      <c r="R1114" s="900">
        <f t="shared" si="231"/>
        <v>1520000</v>
      </c>
      <c r="S1114" s="902" t="s">
        <v>1749</v>
      </c>
      <c r="T1114" s="925" t="s">
        <v>2911</v>
      </c>
      <c r="U1114" s="1042">
        <v>11.25</v>
      </c>
      <c r="V1114" s="996"/>
      <c r="W1114" s="900">
        <f>IF(S1114&lt;&gt;0,VLOOKUP(S1114,VKT!$A$2:$G$415,7,0),"")</f>
        <v>211811</v>
      </c>
      <c r="X1114" s="900">
        <f t="shared" si="240"/>
        <v>2383000</v>
      </c>
      <c r="Y1114" s="1016"/>
      <c r="Z1114" s="1016"/>
      <c r="AA1114" s="1016"/>
      <c r="AB1114" s="1026"/>
      <c r="AC1114" s="1016"/>
      <c r="AD1114" s="1016"/>
      <c r="AE1114" s="1016"/>
      <c r="AF1114" s="926"/>
      <c r="AG1114" s="906" t="str">
        <f>IF(AE1114&lt;&gt;0,VLOOKUP(AE1114,ODDS!$A$2:$C$13,3,0),"")</f>
        <v/>
      </c>
      <c r="AH1114" s="906" t="str">
        <f t="shared" si="232"/>
        <v xml:space="preserve"> </v>
      </c>
      <c r="AI1114" s="907" t="str">
        <f t="shared" si="237"/>
        <v xml:space="preserve"> </v>
      </c>
      <c r="AJ1114" s="894" t="s">
        <v>2915</v>
      </c>
      <c r="AK1114" s="894" t="s">
        <v>2450</v>
      </c>
      <c r="AL1114" s="387"/>
    </row>
    <row r="1115" spans="1:38" s="386" customFormat="1" ht="112.5" outlineLevel="2" x14ac:dyDescent="0.3">
      <c r="A1115" s="447">
        <f t="shared" si="242"/>
        <v>86</v>
      </c>
      <c r="B1115" s="893"/>
      <c r="C1115" s="894"/>
      <c r="D1115" s="950"/>
      <c r="E1115" s="950"/>
      <c r="F1115" s="1032"/>
      <c r="G1115" s="922"/>
      <c r="H1115" s="1041"/>
      <c r="I1115" s="882"/>
      <c r="J1115" s="1042"/>
      <c r="K1115" s="899" t="str">
        <f>IF(G1115&lt;&gt;0,VLOOKUP(G1115,'gia dat'!$A$1:$F$144,5,0)," ")</f>
        <v xml:space="preserve"> </v>
      </c>
      <c r="L1115" s="899" t="str">
        <f>IF(G1115&lt;&gt;0,VLOOKUP(G1115,'gia dat'!$A$1:$F$144,6,0)," ")</f>
        <v xml:space="preserve"> </v>
      </c>
      <c r="M1115" s="900" t="str">
        <f t="shared" si="227"/>
        <v xml:space="preserve"> </v>
      </c>
      <c r="N1115" s="900" t="str">
        <f t="shared" si="228"/>
        <v xml:space="preserve"> </v>
      </c>
      <c r="O1115" s="922" t="s">
        <v>832</v>
      </c>
      <c r="P1115" s="1046">
        <v>2</v>
      </c>
      <c r="Q1115" s="900">
        <f>IF(O1115&lt;&gt;0,VLOOKUP(O1115,'Cây trong'!$A$2:$C$246,3,0)," ")</f>
        <v>60000</v>
      </c>
      <c r="R1115" s="900">
        <f t="shared" si="231"/>
        <v>120000</v>
      </c>
      <c r="S1115" s="902" t="s">
        <v>1750</v>
      </c>
      <c r="T1115" s="925" t="s">
        <v>2911</v>
      </c>
      <c r="U1115" s="1042">
        <v>36</v>
      </c>
      <c r="V1115" s="996"/>
      <c r="W1115" s="900">
        <f>IF(S1115&lt;&gt;0,VLOOKUP(S1115,VKT!$A$2:$G$415,7,0),"")</f>
        <v>984277</v>
      </c>
      <c r="X1115" s="900">
        <f t="shared" si="240"/>
        <v>35434000</v>
      </c>
      <c r="Y1115" s="1016"/>
      <c r="Z1115" s="1016"/>
      <c r="AA1115" s="1016"/>
      <c r="AB1115" s="1026"/>
      <c r="AC1115" s="1016"/>
      <c r="AD1115" s="1016"/>
      <c r="AE1115" s="1016"/>
      <c r="AF1115" s="926"/>
      <c r="AG1115" s="906" t="str">
        <f>IF(AE1115&lt;&gt;0,VLOOKUP(AE1115,ODDS!$A$2:$C$13,3,0),"")</f>
        <v/>
      </c>
      <c r="AH1115" s="906" t="str">
        <f t="shared" si="232"/>
        <v xml:space="preserve"> </v>
      </c>
      <c r="AI1115" s="907" t="str">
        <f t="shared" si="237"/>
        <v xml:space="preserve"> </v>
      </c>
      <c r="AJ1115" s="1048" t="s">
        <v>1760</v>
      </c>
      <c r="AK1115" s="894" t="s">
        <v>2449</v>
      </c>
      <c r="AL1115" s="388"/>
    </row>
    <row r="1116" spans="1:38" s="385" customFormat="1" ht="112.5" outlineLevel="2" x14ac:dyDescent="0.3">
      <c r="A1116" s="447">
        <f t="shared" si="242"/>
        <v>86</v>
      </c>
      <c r="B1116" s="893"/>
      <c r="C1116" s="894"/>
      <c r="D1116" s="950"/>
      <c r="E1116" s="950"/>
      <c r="F1116" s="1032"/>
      <c r="G1116" s="922"/>
      <c r="H1116" s="1041"/>
      <c r="I1116" s="882"/>
      <c r="J1116" s="1042"/>
      <c r="K1116" s="899" t="str">
        <f>IF(G1116&lt;&gt;0,VLOOKUP(G1116,'gia dat'!$A$1:$F$144,5,0)," ")</f>
        <v xml:space="preserve"> </v>
      </c>
      <c r="L1116" s="899" t="str">
        <f>IF(G1116&lt;&gt;0,VLOOKUP(G1116,'gia dat'!$A$1:$F$144,6,0)," ")</f>
        <v xml:space="preserve"> </v>
      </c>
      <c r="M1116" s="900" t="str">
        <f t="shared" si="227"/>
        <v xml:space="preserve"> </v>
      </c>
      <c r="N1116" s="900" t="str">
        <f t="shared" si="228"/>
        <v xml:space="preserve"> </v>
      </c>
      <c r="O1116" s="922" t="s">
        <v>832</v>
      </c>
      <c r="P1116" s="1046">
        <v>2</v>
      </c>
      <c r="Q1116" s="900">
        <f>IF(O1116&lt;&gt;0,VLOOKUP(O1116,'Cây trong'!$A$2:$C$246,3,0)," ")</f>
        <v>60000</v>
      </c>
      <c r="R1116" s="900">
        <f t="shared" si="231"/>
        <v>120000</v>
      </c>
      <c r="S1116" s="922" t="s">
        <v>1748</v>
      </c>
      <c r="T1116" s="925" t="s">
        <v>2911</v>
      </c>
      <c r="U1116" s="1042">
        <v>3.6</v>
      </c>
      <c r="V1116" s="996"/>
      <c r="W1116" s="900">
        <f>IF(S1116&lt;&gt;0,VLOOKUP(S1116,VKT!$A$2:$G$415,7,0),"")</f>
        <v>0</v>
      </c>
      <c r="X1116" s="900">
        <f t="shared" si="240"/>
        <v>0</v>
      </c>
      <c r="Y1116" s="1016"/>
      <c r="Z1116" s="1016"/>
      <c r="AA1116" s="1016"/>
      <c r="AB1116" s="1026"/>
      <c r="AC1116" s="1016"/>
      <c r="AD1116" s="1016"/>
      <c r="AE1116" s="1016"/>
      <c r="AF1116" s="926"/>
      <c r="AG1116" s="906" t="str">
        <f>IF(AE1116&lt;&gt;0,VLOOKUP(AE1116,ODDS!$A$2:$C$13,3,0),"")</f>
        <v/>
      </c>
      <c r="AH1116" s="906" t="str">
        <f t="shared" si="232"/>
        <v xml:space="preserve"> </v>
      </c>
      <c r="AI1116" s="907" t="str">
        <f t="shared" si="237"/>
        <v xml:space="preserve"> </v>
      </c>
      <c r="AJ1116" s="894" t="s">
        <v>2219</v>
      </c>
      <c r="AK1116" s="922" t="s">
        <v>2800</v>
      </c>
      <c r="AL1116" s="389"/>
    </row>
    <row r="1117" spans="1:38" s="385" customFormat="1" ht="45" outlineLevel="2" x14ac:dyDescent="0.35">
      <c r="A1117" s="447">
        <f t="shared" si="242"/>
        <v>86</v>
      </c>
      <c r="B1117" s="893"/>
      <c r="C1117" s="894"/>
      <c r="D1117" s="950"/>
      <c r="E1117" s="950"/>
      <c r="F1117" s="1032"/>
      <c r="G1117" s="894"/>
      <c r="H1117" s="1041"/>
      <c r="I1117" s="882"/>
      <c r="J1117" s="1042"/>
      <c r="K1117" s="899" t="str">
        <f>IF(G1117&lt;&gt;0,VLOOKUP(G1117,'gia dat'!$A$1:$F$144,5,0)," ")</f>
        <v xml:space="preserve"> </v>
      </c>
      <c r="L1117" s="899" t="str">
        <f>IF(G1117&lt;&gt;0,VLOOKUP(G1117,'gia dat'!$A$1:$F$144,6,0)," ")</f>
        <v xml:space="preserve"> </v>
      </c>
      <c r="M1117" s="900" t="str">
        <f t="shared" si="227"/>
        <v xml:space="preserve"> </v>
      </c>
      <c r="N1117" s="900" t="str">
        <f t="shared" si="228"/>
        <v xml:space="preserve"> </v>
      </c>
      <c r="O1117" s="922" t="s">
        <v>798</v>
      </c>
      <c r="P1117" s="1046">
        <v>1</v>
      </c>
      <c r="Q1117" s="900">
        <f>IF(O1117&lt;&gt;0,VLOOKUP(O1117,'Cây trong'!$A$2:$C$246,3,0)," ")</f>
        <v>32000</v>
      </c>
      <c r="R1117" s="900">
        <f t="shared" si="231"/>
        <v>32000</v>
      </c>
      <c r="S1117" s="922" t="s">
        <v>1748</v>
      </c>
      <c r="T1117" s="925" t="s">
        <v>2911</v>
      </c>
      <c r="U1117" s="1042">
        <v>12.16</v>
      </c>
      <c r="V1117" s="996"/>
      <c r="W1117" s="900">
        <f>IF(S1117&lt;&gt;0,VLOOKUP(S1117,VKT!$A$2:$G$415,7,0),"")</f>
        <v>0</v>
      </c>
      <c r="X1117" s="900">
        <f t="shared" si="240"/>
        <v>0</v>
      </c>
      <c r="Y1117" s="1016"/>
      <c r="Z1117" s="1016"/>
      <c r="AA1117" s="1016"/>
      <c r="AB1117" s="1026"/>
      <c r="AC1117" s="1016"/>
      <c r="AD1117" s="1016"/>
      <c r="AE1117" s="1016"/>
      <c r="AF1117" s="926"/>
      <c r="AG1117" s="906" t="str">
        <f>IF(AE1117&lt;&gt;0,VLOOKUP(AE1117,ODDS!$A$2:$C$13,3,0),"")</f>
        <v/>
      </c>
      <c r="AH1117" s="906" t="str">
        <f t="shared" si="232"/>
        <v xml:space="preserve"> </v>
      </c>
      <c r="AI1117" s="907" t="str">
        <f t="shared" si="237"/>
        <v xml:space="preserve"> </v>
      </c>
      <c r="AJ1117" s="1036"/>
      <c r="AK1117" s="902"/>
    </row>
    <row r="1118" spans="1:38" s="385" customFormat="1" ht="67.5" outlineLevel="2" x14ac:dyDescent="0.35">
      <c r="A1118" s="447">
        <f t="shared" si="242"/>
        <v>86</v>
      </c>
      <c r="B1118" s="893"/>
      <c r="C1118" s="894"/>
      <c r="D1118" s="950"/>
      <c r="E1118" s="950"/>
      <c r="F1118" s="1032"/>
      <c r="G1118" s="894"/>
      <c r="H1118" s="1041"/>
      <c r="I1118" s="882"/>
      <c r="J1118" s="1042"/>
      <c r="K1118" s="899" t="str">
        <f>IF(G1118&lt;&gt;0,VLOOKUP(G1118,'gia dat'!$A$1:$F$144,5,0)," ")</f>
        <v xml:space="preserve"> </v>
      </c>
      <c r="L1118" s="899" t="str">
        <f>IF(G1118&lt;&gt;0,VLOOKUP(G1118,'gia dat'!$A$1:$F$144,6,0)," ")</f>
        <v xml:space="preserve"> </v>
      </c>
      <c r="M1118" s="900" t="str">
        <f t="shared" si="227"/>
        <v xml:space="preserve"> </v>
      </c>
      <c r="N1118" s="900" t="str">
        <f t="shared" si="228"/>
        <v xml:space="preserve"> </v>
      </c>
      <c r="O1118" s="922" t="s">
        <v>798</v>
      </c>
      <c r="P1118" s="1046">
        <v>62</v>
      </c>
      <c r="Q1118" s="900">
        <f>IF(O1118&lt;&gt;0,VLOOKUP(O1118,'Cây trong'!$A$2:$C$246,3,0)," ")</f>
        <v>32000</v>
      </c>
      <c r="R1118" s="900">
        <f t="shared" si="231"/>
        <v>1984000</v>
      </c>
      <c r="S1118" s="902" t="s">
        <v>1749</v>
      </c>
      <c r="T1118" s="925" t="s">
        <v>2911</v>
      </c>
      <c r="U1118" s="1042">
        <v>12.16</v>
      </c>
      <c r="V1118" s="996"/>
      <c r="W1118" s="900">
        <f>IF(S1118&lt;&gt;0,VLOOKUP(S1118,VKT!$A$2:$G$415,7,0),"")</f>
        <v>211811</v>
      </c>
      <c r="X1118" s="900">
        <f t="shared" si="240"/>
        <v>2576000</v>
      </c>
      <c r="Y1118" s="1016"/>
      <c r="Z1118" s="1016"/>
      <c r="AA1118" s="1016"/>
      <c r="AB1118" s="1026"/>
      <c r="AC1118" s="1016"/>
      <c r="AD1118" s="1016"/>
      <c r="AE1118" s="1016"/>
      <c r="AF1118" s="926"/>
      <c r="AG1118" s="906" t="str">
        <f>IF(AE1118&lt;&gt;0,VLOOKUP(AE1118,ODDS!$A$2:$C$13,3,0),"")</f>
        <v/>
      </c>
      <c r="AH1118" s="906" t="str">
        <f t="shared" si="232"/>
        <v xml:space="preserve"> </v>
      </c>
      <c r="AI1118" s="907" t="str">
        <f t="shared" si="237"/>
        <v xml:space="preserve"> </v>
      </c>
      <c r="AJ1118" s="1036"/>
      <c r="AK1118" s="929"/>
    </row>
    <row r="1119" spans="1:38" s="385" customFormat="1" ht="45" outlineLevel="2" x14ac:dyDescent="0.3">
      <c r="A1119" s="447">
        <f t="shared" si="242"/>
        <v>86</v>
      </c>
      <c r="B1119" s="893"/>
      <c r="C1119" s="894"/>
      <c r="D1119" s="950"/>
      <c r="E1119" s="950"/>
      <c r="F1119" s="1032"/>
      <c r="G1119" s="894"/>
      <c r="H1119" s="1041"/>
      <c r="I1119" s="882"/>
      <c r="J1119" s="1042"/>
      <c r="K1119" s="899" t="str">
        <f>IF(G1119&lt;&gt;0,VLOOKUP(G1119,'gia dat'!$A$1:$F$144,5,0)," ")</f>
        <v xml:space="preserve"> </v>
      </c>
      <c r="L1119" s="899" t="str">
        <f>IF(G1119&lt;&gt;0,VLOOKUP(G1119,'gia dat'!$A$1:$F$144,6,0)," ")</f>
        <v xml:space="preserve"> </v>
      </c>
      <c r="M1119" s="900" t="str">
        <f t="shared" ref="M1119:M1189" si="243">IF(H1119&lt;&gt;0,ROUND(H1119*K1119,-3)," ")</f>
        <v xml:space="preserve"> </v>
      </c>
      <c r="N1119" s="900" t="str">
        <f t="shared" ref="N1119:N1189" si="244">IF(H1119&lt;&gt;0,ROUND(H1119*L1119,-3)," ")</f>
        <v xml:space="preserve"> </v>
      </c>
      <c r="O1119" s="922" t="s">
        <v>783</v>
      </c>
      <c r="P1119" s="1046">
        <v>1</v>
      </c>
      <c r="Q1119" s="900">
        <f>IF(O1119&lt;&gt;0,VLOOKUP(O1119,'Cây trong'!$A$2:$C$246,3,0)," ")</f>
        <v>60000</v>
      </c>
      <c r="R1119" s="900">
        <f t="shared" si="231"/>
        <v>60000</v>
      </c>
      <c r="S1119" s="922" t="s">
        <v>1748</v>
      </c>
      <c r="T1119" s="925" t="s">
        <v>2911</v>
      </c>
      <c r="U1119" s="1042">
        <v>9.84</v>
      </c>
      <c r="V1119" s="996"/>
      <c r="W1119" s="900">
        <f>IF(S1119&lt;&gt;0,VLOOKUP(S1119,VKT!$A$2:$G$415,7,0),"")</f>
        <v>0</v>
      </c>
      <c r="X1119" s="900">
        <f t="shared" si="240"/>
        <v>0</v>
      </c>
      <c r="Y1119" s="1016"/>
      <c r="Z1119" s="1016"/>
      <c r="AA1119" s="1016"/>
      <c r="AB1119" s="1026"/>
      <c r="AC1119" s="1016"/>
      <c r="AD1119" s="1016"/>
      <c r="AE1119" s="1016"/>
      <c r="AF1119" s="926"/>
      <c r="AG1119" s="906" t="str">
        <f>IF(AE1119&lt;&gt;0,VLOOKUP(AE1119,ODDS!$A$2:$C$13,3,0),"")</f>
        <v/>
      </c>
      <c r="AH1119" s="906" t="str">
        <f t="shared" si="232"/>
        <v xml:space="preserve"> </v>
      </c>
      <c r="AI1119" s="907" t="str">
        <f t="shared" si="237"/>
        <v xml:space="preserve"> </v>
      </c>
      <c r="AJ1119" s="929"/>
      <c r="AK1119" s="929"/>
    </row>
    <row r="1120" spans="1:38" s="385" customFormat="1" ht="90" outlineLevel="2" x14ac:dyDescent="0.3">
      <c r="A1120" s="447">
        <f t="shared" si="242"/>
        <v>86</v>
      </c>
      <c r="B1120" s="893"/>
      <c r="C1120" s="894"/>
      <c r="D1120" s="950"/>
      <c r="E1120" s="950"/>
      <c r="F1120" s="1032"/>
      <c r="G1120" s="894"/>
      <c r="H1120" s="1041"/>
      <c r="I1120" s="882"/>
      <c r="J1120" s="1042"/>
      <c r="K1120" s="899" t="str">
        <f>IF(G1120&lt;&gt;0,VLOOKUP(G1120,'gia dat'!$A$1:$F$144,5,0)," ")</f>
        <v xml:space="preserve"> </v>
      </c>
      <c r="L1120" s="899" t="str">
        <f>IF(G1120&lt;&gt;0,VLOOKUP(G1120,'gia dat'!$A$1:$F$144,6,0)," ")</f>
        <v xml:space="preserve"> </v>
      </c>
      <c r="M1120" s="900" t="str">
        <f t="shared" si="243"/>
        <v xml:space="preserve"> </v>
      </c>
      <c r="N1120" s="900" t="str">
        <f t="shared" si="244"/>
        <v xml:space="preserve"> </v>
      </c>
      <c r="O1120" s="922" t="s">
        <v>834</v>
      </c>
      <c r="P1120" s="1046">
        <v>1</v>
      </c>
      <c r="Q1120" s="900">
        <f>IF(O1120&lt;&gt;0,VLOOKUP(O1120,'Cây trong'!$A$2:$C$246,3,0)," ")</f>
        <v>240000</v>
      </c>
      <c r="R1120" s="900">
        <f t="shared" si="231"/>
        <v>240000</v>
      </c>
      <c r="S1120" s="922" t="s">
        <v>1749</v>
      </c>
      <c r="T1120" s="925" t="s">
        <v>2911</v>
      </c>
      <c r="U1120" s="1042">
        <v>9.84</v>
      </c>
      <c r="V1120" s="996"/>
      <c r="W1120" s="900">
        <f>IF(S1120&lt;&gt;0,VLOOKUP(S1120,VKT!$A$2:$G$415,7,0),"")</f>
        <v>211811</v>
      </c>
      <c r="X1120" s="900">
        <f t="shared" si="240"/>
        <v>2084000</v>
      </c>
      <c r="Y1120" s="1016"/>
      <c r="Z1120" s="1016"/>
      <c r="AA1120" s="1016"/>
      <c r="AB1120" s="1026"/>
      <c r="AC1120" s="1016"/>
      <c r="AD1120" s="1016"/>
      <c r="AE1120" s="1016"/>
      <c r="AF1120" s="926"/>
      <c r="AG1120" s="906" t="str">
        <f>IF(AE1120&lt;&gt;0,VLOOKUP(AE1120,ODDS!$A$2:$C$13,3,0),"")</f>
        <v/>
      </c>
      <c r="AH1120" s="906" t="str">
        <f t="shared" si="232"/>
        <v xml:space="preserve"> </v>
      </c>
      <c r="AI1120" s="907" t="str">
        <f t="shared" si="237"/>
        <v xml:space="preserve"> </v>
      </c>
      <c r="AJ1120" s="929"/>
      <c r="AK1120" s="929"/>
    </row>
    <row r="1121" spans="1:37" s="385" customFormat="1" ht="67.5" outlineLevel="2" x14ac:dyDescent="0.3">
      <c r="A1121" s="447">
        <f t="shared" si="242"/>
        <v>86</v>
      </c>
      <c r="B1121" s="893"/>
      <c r="C1121" s="894"/>
      <c r="D1121" s="950"/>
      <c r="E1121" s="950"/>
      <c r="F1121" s="1032"/>
      <c r="G1121" s="894"/>
      <c r="H1121" s="1041"/>
      <c r="I1121" s="882"/>
      <c r="J1121" s="1042"/>
      <c r="K1121" s="899" t="str">
        <f>IF(G1121&lt;&gt;0,VLOOKUP(G1121,'gia dat'!$A$1:$F$144,5,0)," ")</f>
        <v xml:space="preserve"> </v>
      </c>
      <c r="L1121" s="899" t="str">
        <f>IF(G1121&lt;&gt;0,VLOOKUP(G1121,'gia dat'!$A$1:$F$144,6,0)," ")</f>
        <v xml:space="preserve"> </v>
      </c>
      <c r="M1121" s="900" t="str">
        <f t="shared" si="243"/>
        <v xml:space="preserve"> </v>
      </c>
      <c r="N1121" s="900" t="str">
        <f t="shared" si="244"/>
        <v xml:space="preserve"> </v>
      </c>
      <c r="O1121" s="922" t="s">
        <v>64</v>
      </c>
      <c r="P1121" s="1046">
        <v>4</v>
      </c>
      <c r="Q1121" s="900">
        <f>IF(O1121&lt;&gt;0,VLOOKUP(O1121,'Cây trong'!$A$2:$C$246,3,0)," ")</f>
        <v>1122000</v>
      </c>
      <c r="R1121" s="900">
        <f t="shared" si="231"/>
        <v>4488000</v>
      </c>
      <c r="S1121" s="922" t="s">
        <v>1761</v>
      </c>
      <c r="T1121" s="925" t="s">
        <v>2911</v>
      </c>
      <c r="U1121" s="1042">
        <v>24.6</v>
      </c>
      <c r="V1121" s="996"/>
      <c r="W1121" s="900">
        <f>IF(S1121&lt;&gt;0,VLOOKUP(S1121,VKT!$A$2:$G$415,7,0),"")</f>
        <v>0</v>
      </c>
      <c r="X1121" s="900">
        <f t="shared" si="240"/>
        <v>0</v>
      </c>
      <c r="Y1121" s="1016"/>
      <c r="Z1121" s="1016"/>
      <c r="AA1121" s="1016"/>
      <c r="AB1121" s="1026"/>
      <c r="AC1121" s="1016"/>
      <c r="AD1121" s="1016"/>
      <c r="AE1121" s="1016"/>
      <c r="AF1121" s="926"/>
      <c r="AG1121" s="906" t="str">
        <f>IF(AE1121&lt;&gt;0,VLOOKUP(AE1121,ODDS!$A$2:$C$13,3,0),"")</f>
        <v/>
      </c>
      <c r="AH1121" s="906" t="str">
        <f t="shared" si="232"/>
        <v xml:space="preserve"> </v>
      </c>
      <c r="AI1121" s="907" t="str">
        <f t="shared" si="237"/>
        <v xml:space="preserve"> </v>
      </c>
      <c r="AJ1121" s="929"/>
      <c r="AK1121" s="929"/>
    </row>
    <row r="1122" spans="1:37" s="385" customFormat="1" ht="22.5" outlineLevel="2" x14ac:dyDescent="0.3">
      <c r="A1122" s="447">
        <f t="shared" si="242"/>
        <v>86</v>
      </c>
      <c r="B1122" s="893"/>
      <c r="C1122" s="894"/>
      <c r="D1122" s="950"/>
      <c r="E1122" s="950"/>
      <c r="F1122" s="1032"/>
      <c r="G1122" s="894"/>
      <c r="H1122" s="1041"/>
      <c r="I1122" s="882"/>
      <c r="J1122" s="1042"/>
      <c r="K1122" s="899" t="str">
        <f>IF(G1122&lt;&gt;0,VLOOKUP(G1122,'gia dat'!$A$1:$F$144,5,0)," ")</f>
        <v xml:space="preserve"> </v>
      </c>
      <c r="L1122" s="899" t="str">
        <f>IF(G1122&lt;&gt;0,VLOOKUP(G1122,'gia dat'!$A$1:$F$144,6,0)," ")</f>
        <v xml:space="preserve"> </v>
      </c>
      <c r="M1122" s="900" t="str">
        <f t="shared" si="243"/>
        <v xml:space="preserve"> </v>
      </c>
      <c r="N1122" s="900" t="str">
        <f t="shared" si="244"/>
        <v xml:space="preserve"> </v>
      </c>
      <c r="O1122" s="922" t="s">
        <v>67</v>
      </c>
      <c r="P1122" s="1046">
        <v>4</v>
      </c>
      <c r="Q1122" s="900">
        <f>IF(O1122&lt;&gt;0,VLOOKUP(O1122,'Cây trong'!$A$2:$C$246,3,0)," ")</f>
        <v>494000</v>
      </c>
      <c r="R1122" s="900">
        <f t="shared" si="231"/>
        <v>1976000</v>
      </c>
      <c r="S1122" s="922"/>
      <c r="T1122" s="944"/>
      <c r="U1122" s="1042"/>
      <c r="V1122" s="996"/>
      <c r="W1122" s="900" t="str">
        <f>IF(S1122&lt;&gt;0,VLOOKUP(S1122,VKT!$A$2:$G$415,7,0),"")</f>
        <v/>
      </c>
      <c r="X1122" s="900" t="str">
        <f t="shared" si="240"/>
        <v xml:space="preserve"> </v>
      </c>
      <c r="Y1122" s="1016"/>
      <c r="Z1122" s="1016"/>
      <c r="AA1122" s="1016"/>
      <c r="AB1122" s="1026"/>
      <c r="AC1122" s="1016"/>
      <c r="AD1122" s="1016"/>
      <c r="AE1122" s="1016"/>
      <c r="AF1122" s="926"/>
      <c r="AG1122" s="906" t="str">
        <f>IF(AE1122&lt;&gt;0,VLOOKUP(AE1122,ODDS!$A$2:$C$13,3,0),"")</f>
        <v/>
      </c>
      <c r="AH1122" s="906" t="str">
        <f t="shared" si="232"/>
        <v xml:space="preserve"> </v>
      </c>
      <c r="AI1122" s="907" t="str">
        <f t="shared" si="237"/>
        <v xml:space="preserve"> </v>
      </c>
      <c r="AJ1122" s="929"/>
      <c r="AK1122" s="929"/>
    </row>
    <row r="1123" spans="1:37" s="385" customFormat="1" ht="22.5" outlineLevel="2" x14ac:dyDescent="0.3">
      <c r="A1123" s="447">
        <f t="shared" si="242"/>
        <v>86</v>
      </c>
      <c r="B1123" s="893"/>
      <c r="C1123" s="894"/>
      <c r="D1123" s="950"/>
      <c r="E1123" s="950"/>
      <c r="F1123" s="1032"/>
      <c r="G1123" s="894"/>
      <c r="H1123" s="1041"/>
      <c r="I1123" s="882"/>
      <c r="J1123" s="1042"/>
      <c r="K1123" s="899" t="str">
        <f>IF(G1123&lt;&gt;0,VLOOKUP(G1123,'gia dat'!$A$1:$F$144,5,0)," ")</f>
        <v xml:space="preserve"> </v>
      </c>
      <c r="L1123" s="899" t="str">
        <f>IF(G1123&lt;&gt;0,VLOOKUP(G1123,'gia dat'!$A$1:$F$144,6,0)," ")</f>
        <v xml:space="preserve"> </v>
      </c>
      <c r="M1123" s="900" t="str">
        <f t="shared" si="243"/>
        <v xml:space="preserve"> </v>
      </c>
      <c r="N1123" s="900" t="str">
        <f t="shared" si="244"/>
        <v xml:space="preserve"> </v>
      </c>
      <c r="O1123" s="922" t="s">
        <v>835</v>
      </c>
      <c r="P1123" s="1046">
        <v>3</v>
      </c>
      <c r="Q1123" s="900">
        <f>IF(O1123&lt;&gt;0,VLOOKUP(O1123,'Cây trong'!$A$2:$C$246,3,0)," ")</f>
        <v>60000</v>
      </c>
      <c r="R1123" s="900">
        <f t="shared" si="231"/>
        <v>180000</v>
      </c>
      <c r="S1123" s="922"/>
      <c r="T1123" s="944"/>
      <c r="U1123" s="1042"/>
      <c r="V1123" s="996"/>
      <c r="W1123" s="900" t="str">
        <f>IF(S1123&lt;&gt;0,VLOOKUP(S1123,VKT!$A$2:$G$415,7,0),"")</f>
        <v/>
      </c>
      <c r="X1123" s="900" t="str">
        <f t="shared" si="240"/>
        <v xml:space="preserve"> </v>
      </c>
      <c r="Y1123" s="1016"/>
      <c r="Z1123" s="1016"/>
      <c r="AA1123" s="1016"/>
      <c r="AB1123" s="1026"/>
      <c r="AC1123" s="1016"/>
      <c r="AD1123" s="1016"/>
      <c r="AE1123" s="1016"/>
      <c r="AF1123" s="926"/>
      <c r="AG1123" s="906" t="str">
        <f>IF(AE1123&lt;&gt;0,VLOOKUP(AE1123,ODDS!$A$2:$C$13,3,0),"")</f>
        <v/>
      </c>
      <c r="AH1123" s="906" t="str">
        <f t="shared" si="232"/>
        <v xml:space="preserve"> </v>
      </c>
      <c r="AI1123" s="907" t="str">
        <f t="shared" si="237"/>
        <v xml:space="preserve"> </v>
      </c>
      <c r="AJ1123" s="929"/>
      <c r="AK1123" s="929"/>
    </row>
    <row r="1124" spans="1:37" s="385" customFormat="1" ht="22.5" outlineLevel="2" x14ac:dyDescent="0.3">
      <c r="A1124" s="447">
        <f t="shared" si="242"/>
        <v>86</v>
      </c>
      <c r="B1124" s="893"/>
      <c r="C1124" s="894"/>
      <c r="D1124" s="950"/>
      <c r="E1124" s="950"/>
      <c r="F1124" s="1032"/>
      <c r="G1124" s="894"/>
      <c r="H1124" s="1041"/>
      <c r="I1124" s="882"/>
      <c r="J1124" s="1042"/>
      <c r="K1124" s="899" t="str">
        <f>IF(G1124&lt;&gt;0,VLOOKUP(G1124,'gia dat'!$A$1:$F$144,5,0)," ")</f>
        <v xml:space="preserve"> </v>
      </c>
      <c r="L1124" s="899" t="str">
        <f>IF(G1124&lt;&gt;0,VLOOKUP(G1124,'gia dat'!$A$1:$F$144,6,0)," ")</f>
        <v xml:space="preserve"> </v>
      </c>
      <c r="M1124" s="900" t="str">
        <f t="shared" si="243"/>
        <v xml:space="preserve"> </v>
      </c>
      <c r="N1124" s="900" t="str">
        <f t="shared" si="244"/>
        <v xml:space="preserve"> </v>
      </c>
      <c r="O1124" s="922" t="s">
        <v>777</v>
      </c>
      <c r="P1124" s="1046">
        <v>2</v>
      </c>
      <c r="Q1124" s="900">
        <f>IF(O1124&lt;&gt;0,VLOOKUP(O1124,'Cây trong'!$A$2:$C$246,3,0)," ")</f>
        <v>32000</v>
      </c>
      <c r="R1124" s="900">
        <f t="shared" si="231"/>
        <v>64000</v>
      </c>
      <c r="S1124" s="922"/>
      <c r="T1124" s="944"/>
      <c r="U1124" s="1042"/>
      <c r="V1124" s="996"/>
      <c r="W1124" s="900" t="str">
        <f>IF(S1124&lt;&gt;0,VLOOKUP(S1124,VKT!$A$2:$G$415,7,0),"")</f>
        <v/>
      </c>
      <c r="X1124" s="900" t="str">
        <f t="shared" si="240"/>
        <v xml:space="preserve"> </v>
      </c>
      <c r="Y1124" s="1016"/>
      <c r="Z1124" s="1016"/>
      <c r="AA1124" s="1016"/>
      <c r="AB1124" s="1026"/>
      <c r="AC1124" s="1016"/>
      <c r="AD1124" s="1016"/>
      <c r="AE1124" s="1016"/>
      <c r="AF1124" s="926"/>
      <c r="AG1124" s="906" t="str">
        <f>IF(AE1124&lt;&gt;0,VLOOKUP(AE1124,ODDS!$A$2:$C$13,3,0),"")</f>
        <v/>
      </c>
      <c r="AH1124" s="906" t="str">
        <f t="shared" si="232"/>
        <v xml:space="preserve"> </v>
      </c>
      <c r="AI1124" s="907" t="str">
        <f t="shared" si="237"/>
        <v xml:space="preserve"> </v>
      </c>
      <c r="AJ1124" s="929"/>
      <c r="AK1124" s="929"/>
    </row>
    <row r="1125" spans="1:37" s="385" customFormat="1" ht="22.5" outlineLevel="2" x14ac:dyDescent="0.3">
      <c r="A1125" s="447">
        <f t="shared" si="242"/>
        <v>86</v>
      </c>
      <c r="B1125" s="893"/>
      <c r="C1125" s="908"/>
      <c r="D1125" s="950"/>
      <c r="E1125" s="950"/>
      <c r="F1125" s="1032"/>
      <c r="G1125" s="894"/>
      <c r="H1125" s="1041"/>
      <c r="I1125" s="882"/>
      <c r="J1125" s="1042"/>
      <c r="K1125" s="899" t="str">
        <f>IF(G1125&lt;&gt;0,VLOOKUP(G1125,'gia dat'!$A$1:$F$144,5,0)," ")</f>
        <v xml:space="preserve"> </v>
      </c>
      <c r="L1125" s="899" t="str">
        <f>IF(G1125&lt;&gt;0,VLOOKUP(G1125,'gia dat'!$A$1:$F$144,6,0)," ")</f>
        <v xml:space="preserve"> </v>
      </c>
      <c r="M1125" s="900" t="str">
        <f t="shared" si="243"/>
        <v xml:space="preserve"> </v>
      </c>
      <c r="N1125" s="900" t="str">
        <f t="shared" si="244"/>
        <v xml:space="preserve"> </v>
      </c>
      <c r="O1125" s="922" t="s">
        <v>2122</v>
      </c>
      <c r="P1125" s="1046">
        <v>2</v>
      </c>
      <c r="Q1125" s="900">
        <f>IF(O1125&lt;&gt;0,VLOOKUP(O1125,'Cây trong'!$A$2:$C$246,3,0)," ")</f>
        <v>60000</v>
      </c>
      <c r="R1125" s="900">
        <f t="shared" si="231"/>
        <v>120000</v>
      </c>
      <c r="S1125" s="922"/>
      <c r="T1125" s="944"/>
      <c r="U1125" s="1042"/>
      <c r="V1125" s="996"/>
      <c r="W1125" s="900" t="str">
        <f>IF(S1125&lt;&gt;0,VLOOKUP(S1125,VKT!$A$2:$G$415,7,0),"")</f>
        <v/>
      </c>
      <c r="X1125" s="900" t="str">
        <f t="shared" si="240"/>
        <v xml:space="preserve"> </v>
      </c>
      <c r="Y1125" s="1016"/>
      <c r="Z1125" s="1016"/>
      <c r="AA1125" s="1016"/>
      <c r="AB1125" s="1026"/>
      <c r="AC1125" s="1016"/>
      <c r="AD1125" s="1016"/>
      <c r="AE1125" s="1016"/>
      <c r="AF1125" s="926"/>
      <c r="AG1125" s="906" t="str">
        <f>IF(AE1125&lt;&gt;0,VLOOKUP(AE1125,ODDS!$A$2:$C$13,3,0),"")</f>
        <v/>
      </c>
      <c r="AH1125" s="906" t="str">
        <f t="shared" si="232"/>
        <v xml:space="preserve"> </v>
      </c>
      <c r="AI1125" s="907" t="str">
        <f t="shared" si="237"/>
        <v xml:space="preserve"> </v>
      </c>
      <c r="AJ1125" s="929"/>
      <c r="AK1125" s="929"/>
    </row>
    <row r="1126" spans="1:37" s="385" customFormat="1" ht="22.5" outlineLevel="2" x14ac:dyDescent="0.3">
      <c r="A1126" s="447">
        <f t="shared" si="242"/>
        <v>86</v>
      </c>
      <c r="B1126" s="893"/>
      <c r="C1126" s="908"/>
      <c r="D1126" s="1035"/>
      <c r="E1126" s="950"/>
      <c r="F1126" s="1032"/>
      <c r="G1126" s="894"/>
      <c r="H1126" s="1041"/>
      <c r="I1126" s="882"/>
      <c r="J1126" s="1042"/>
      <c r="K1126" s="899" t="str">
        <f>IF(G1126&lt;&gt;0,VLOOKUP(G1126,'gia dat'!$A$1:$F$144,5,0)," ")</f>
        <v xml:space="preserve"> </v>
      </c>
      <c r="L1126" s="899" t="str">
        <f>IF(G1126&lt;&gt;0,VLOOKUP(G1126,'gia dat'!$A$1:$F$144,6,0)," ")</f>
        <v xml:space="preserve"> </v>
      </c>
      <c r="M1126" s="900" t="str">
        <f t="shared" si="243"/>
        <v xml:space="preserve"> </v>
      </c>
      <c r="N1126" s="900" t="str">
        <f t="shared" si="244"/>
        <v xml:space="preserve"> </v>
      </c>
      <c r="O1126" s="922" t="s">
        <v>76</v>
      </c>
      <c r="P1126" s="1046">
        <v>5</v>
      </c>
      <c r="Q1126" s="900">
        <f>IF(O1126&lt;&gt;0,VLOOKUP(O1126,'Cây trong'!$A$2:$C$246,3,0)," ")</f>
        <v>45000</v>
      </c>
      <c r="R1126" s="900">
        <f t="shared" si="231"/>
        <v>225000</v>
      </c>
      <c r="S1126" s="922"/>
      <c r="T1126" s="944"/>
      <c r="U1126" s="1042"/>
      <c r="V1126" s="996"/>
      <c r="W1126" s="900" t="str">
        <f>IF(S1126&lt;&gt;0,VLOOKUP(S1126,VKT!$A$2:$G$415,7,0),"")</f>
        <v/>
      </c>
      <c r="X1126" s="900" t="str">
        <f t="shared" si="240"/>
        <v xml:space="preserve"> </v>
      </c>
      <c r="Y1126" s="1016"/>
      <c r="Z1126" s="1016"/>
      <c r="AA1126" s="1016"/>
      <c r="AB1126" s="1026"/>
      <c r="AC1126" s="1016"/>
      <c r="AD1126" s="1016"/>
      <c r="AE1126" s="1016"/>
      <c r="AF1126" s="926"/>
      <c r="AG1126" s="906" t="str">
        <f>IF(AE1126&lt;&gt;0,VLOOKUP(AE1126,ODDS!$A$2:$C$13,3,0),"")</f>
        <v/>
      </c>
      <c r="AH1126" s="906" t="str">
        <f t="shared" si="232"/>
        <v xml:space="preserve"> </v>
      </c>
      <c r="AI1126" s="907" t="str">
        <f t="shared" si="237"/>
        <v xml:space="preserve"> </v>
      </c>
      <c r="AJ1126" s="929"/>
      <c r="AK1126" s="929"/>
    </row>
    <row r="1127" spans="1:37" s="385" customFormat="1" ht="22.5" outlineLevel="2" x14ac:dyDescent="0.3">
      <c r="A1127" s="447">
        <f t="shared" si="242"/>
        <v>86</v>
      </c>
      <c r="B1127" s="893"/>
      <c r="C1127" s="908"/>
      <c r="D1127" s="1035"/>
      <c r="E1127" s="950"/>
      <c r="F1127" s="1032"/>
      <c r="G1127" s="894"/>
      <c r="H1127" s="1041"/>
      <c r="I1127" s="882"/>
      <c r="J1127" s="1042"/>
      <c r="K1127" s="899" t="str">
        <f>IF(G1127&lt;&gt;0,VLOOKUP(G1127,'gia dat'!$A$1:$F$144,5,0)," ")</f>
        <v xml:space="preserve"> </v>
      </c>
      <c r="L1127" s="899" t="str">
        <f>IF(G1127&lt;&gt;0,VLOOKUP(G1127,'gia dat'!$A$1:$F$144,6,0)," ")</f>
        <v xml:space="preserve"> </v>
      </c>
      <c r="M1127" s="900" t="str">
        <f t="shared" si="243"/>
        <v xml:space="preserve"> </v>
      </c>
      <c r="N1127" s="900" t="str">
        <f t="shared" si="244"/>
        <v xml:space="preserve"> </v>
      </c>
      <c r="O1127" s="922" t="s">
        <v>73</v>
      </c>
      <c r="P1127" s="1046">
        <v>10</v>
      </c>
      <c r="Q1127" s="900">
        <f>IF(O1127&lt;&gt;0,VLOOKUP(O1127,'Cây trong'!$A$2:$C$246,3,0)," ")</f>
        <v>76000</v>
      </c>
      <c r="R1127" s="900">
        <f t="shared" si="231"/>
        <v>760000</v>
      </c>
      <c r="S1127" s="922"/>
      <c r="T1127" s="944"/>
      <c r="U1127" s="1042"/>
      <c r="V1127" s="996"/>
      <c r="W1127" s="900" t="str">
        <f>IF(S1127&lt;&gt;0,VLOOKUP(S1127,VKT!$A$2:$G$415,7,0),"")</f>
        <v/>
      </c>
      <c r="X1127" s="900" t="str">
        <f t="shared" si="240"/>
        <v xml:space="preserve"> </v>
      </c>
      <c r="Y1127" s="1016"/>
      <c r="Z1127" s="1016"/>
      <c r="AA1127" s="1016"/>
      <c r="AB1127" s="1026"/>
      <c r="AC1127" s="1016"/>
      <c r="AD1127" s="1016"/>
      <c r="AE1127" s="1016"/>
      <c r="AF1127" s="926"/>
      <c r="AG1127" s="906" t="str">
        <f>IF(AE1127&lt;&gt;0,VLOOKUP(AE1127,ODDS!$A$2:$C$13,3,0),"")</f>
        <v/>
      </c>
      <c r="AH1127" s="906" t="str">
        <f t="shared" si="232"/>
        <v xml:space="preserve"> </v>
      </c>
      <c r="AI1127" s="907" t="str">
        <f t="shared" si="237"/>
        <v xml:space="preserve"> </v>
      </c>
      <c r="AJ1127" s="929"/>
      <c r="AK1127" s="929"/>
    </row>
    <row r="1128" spans="1:37" s="385" customFormat="1" ht="22.5" outlineLevel="2" x14ac:dyDescent="0.3">
      <c r="A1128" s="447">
        <f t="shared" si="242"/>
        <v>86</v>
      </c>
      <c r="B1128" s="893"/>
      <c r="C1128" s="908"/>
      <c r="D1128" s="1035"/>
      <c r="E1128" s="947"/>
      <c r="F1128" s="947"/>
      <c r="G1128" s="922"/>
      <c r="H1128" s="1041"/>
      <c r="I1128" s="882"/>
      <c r="J1128" s="1042"/>
      <c r="K1128" s="899" t="str">
        <f>IF(G1128&lt;&gt;0,VLOOKUP(G1128,'gia dat'!$A$1:$F$144,5,0)," ")</f>
        <v xml:space="preserve"> </v>
      </c>
      <c r="L1128" s="899" t="str">
        <f>IF(G1128&lt;&gt;0,VLOOKUP(G1128,'gia dat'!$A$1:$F$144,6,0)," ")</f>
        <v xml:space="preserve"> </v>
      </c>
      <c r="M1128" s="900" t="str">
        <f t="shared" si="243"/>
        <v xml:space="preserve"> </v>
      </c>
      <c r="N1128" s="900" t="str">
        <f t="shared" si="244"/>
        <v xml:space="preserve"> </v>
      </c>
      <c r="O1128" s="922" t="s">
        <v>75</v>
      </c>
      <c r="P1128" s="1046">
        <v>12</v>
      </c>
      <c r="Q1128" s="900">
        <f>IF(O1128&lt;&gt;0,VLOOKUP(O1128,'Cây trong'!$A$2:$C$246,3,0)," ")</f>
        <v>34000</v>
      </c>
      <c r="R1128" s="900">
        <f t="shared" si="231"/>
        <v>408000</v>
      </c>
      <c r="S1128" s="922"/>
      <c r="T1128" s="944"/>
      <c r="U1128" s="1042"/>
      <c r="V1128" s="996"/>
      <c r="W1128" s="900" t="str">
        <f>IF(S1128&lt;&gt;0,VLOOKUP(S1128,VKT!$A$2:$G$415,7,0),"")</f>
        <v/>
      </c>
      <c r="X1128" s="900" t="str">
        <f t="shared" si="240"/>
        <v xml:space="preserve"> </v>
      </c>
      <c r="Y1128" s="1016"/>
      <c r="Z1128" s="1016"/>
      <c r="AA1128" s="1016"/>
      <c r="AB1128" s="1026"/>
      <c r="AC1128" s="1016"/>
      <c r="AD1128" s="1016"/>
      <c r="AE1128" s="1016"/>
      <c r="AF1128" s="926"/>
      <c r="AG1128" s="906" t="str">
        <f>IF(AE1128&lt;&gt;0,VLOOKUP(AE1128,ODDS!$A$2:$C$13,3,0),"")</f>
        <v/>
      </c>
      <c r="AH1128" s="906" t="str">
        <f t="shared" si="232"/>
        <v xml:space="preserve"> </v>
      </c>
      <c r="AI1128" s="907" t="str">
        <f t="shared" si="237"/>
        <v xml:space="preserve"> </v>
      </c>
      <c r="AJ1128" s="929"/>
      <c r="AK1128" s="929"/>
    </row>
    <row r="1129" spans="1:37" s="385" customFormat="1" ht="22.5" outlineLevel="2" x14ac:dyDescent="0.3">
      <c r="A1129" s="447">
        <f t="shared" si="242"/>
        <v>86</v>
      </c>
      <c r="B1129" s="893"/>
      <c r="C1129" s="908"/>
      <c r="D1129" s="1035"/>
      <c r="E1129" s="947"/>
      <c r="F1129" s="947"/>
      <c r="G1129" s="922"/>
      <c r="H1129" s="1041"/>
      <c r="I1129" s="882"/>
      <c r="J1129" s="1042"/>
      <c r="K1129" s="899" t="str">
        <f>IF(G1129&lt;&gt;0,VLOOKUP(G1129,'gia dat'!$A$1:$F$144,5,0)," ")</f>
        <v xml:space="preserve"> </v>
      </c>
      <c r="L1129" s="899" t="str">
        <f>IF(G1129&lt;&gt;0,VLOOKUP(G1129,'gia dat'!$A$1:$F$144,6,0)," ")</f>
        <v xml:space="preserve"> </v>
      </c>
      <c r="M1129" s="900" t="str">
        <f t="shared" si="243"/>
        <v xml:space="preserve"> </v>
      </c>
      <c r="N1129" s="900" t="str">
        <f t="shared" si="244"/>
        <v xml:space="preserve"> </v>
      </c>
      <c r="O1129" s="922" t="s">
        <v>736</v>
      </c>
      <c r="P1129" s="1046">
        <v>2</v>
      </c>
      <c r="Q1129" s="900">
        <f>IF(O1129&lt;&gt;0,VLOOKUP(O1129,'Cây trong'!$A$2:$C$246,3,0)," ")</f>
        <v>32000</v>
      </c>
      <c r="R1129" s="900">
        <f t="shared" si="231"/>
        <v>64000</v>
      </c>
      <c r="S1129" s="922"/>
      <c r="T1129" s="944"/>
      <c r="U1129" s="1042"/>
      <c r="V1129" s="996"/>
      <c r="W1129" s="900" t="str">
        <f>IF(S1129&lt;&gt;0,VLOOKUP(S1129,VKT!$A$2:$G$415,7,0),"")</f>
        <v/>
      </c>
      <c r="X1129" s="900" t="str">
        <f t="shared" si="240"/>
        <v xml:space="preserve"> </v>
      </c>
      <c r="Y1129" s="1016"/>
      <c r="Z1129" s="1016"/>
      <c r="AA1129" s="1016"/>
      <c r="AB1129" s="1026"/>
      <c r="AC1129" s="1016"/>
      <c r="AD1129" s="1016"/>
      <c r="AE1129" s="1016"/>
      <c r="AF1129" s="926"/>
      <c r="AG1129" s="906" t="str">
        <f>IF(AE1129&lt;&gt;0,VLOOKUP(AE1129,ODDS!$A$2:$C$13,3,0),"")</f>
        <v/>
      </c>
      <c r="AH1129" s="906" t="str">
        <f t="shared" si="232"/>
        <v xml:space="preserve"> </v>
      </c>
      <c r="AI1129" s="907" t="str">
        <f t="shared" si="237"/>
        <v xml:space="preserve"> </v>
      </c>
      <c r="AJ1129" s="929"/>
      <c r="AK1129" s="929"/>
    </row>
    <row r="1130" spans="1:37" s="385" customFormat="1" ht="22.5" outlineLevel="2" x14ac:dyDescent="0.3">
      <c r="A1130" s="447">
        <f t="shared" si="242"/>
        <v>86</v>
      </c>
      <c r="B1130" s="893"/>
      <c r="C1130" s="908"/>
      <c r="D1130" s="950"/>
      <c r="E1130" s="950"/>
      <c r="F1130" s="1032"/>
      <c r="G1130" s="894"/>
      <c r="H1130" s="1041"/>
      <c r="I1130" s="882"/>
      <c r="J1130" s="1042"/>
      <c r="K1130" s="899" t="str">
        <f>IF(G1130&lt;&gt;0,VLOOKUP(G1130,'gia dat'!$A$1:$F$144,5,0)," ")</f>
        <v xml:space="preserve"> </v>
      </c>
      <c r="L1130" s="899" t="str">
        <f>IF(G1130&lt;&gt;0,VLOOKUP(G1130,'gia dat'!$A$1:$F$144,6,0)," ")</f>
        <v xml:space="preserve"> </v>
      </c>
      <c r="M1130" s="900" t="str">
        <f t="shared" si="243"/>
        <v xml:space="preserve"> </v>
      </c>
      <c r="N1130" s="900" t="str">
        <f t="shared" si="244"/>
        <v xml:space="preserve"> </v>
      </c>
      <c r="O1130" s="922" t="s">
        <v>736</v>
      </c>
      <c r="P1130" s="1046">
        <v>2</v>
      </c>
      <c r="Q1130" s="900">
        <f>IF(O1130&lt;&gt;0,VLOOKUP(O1130,'Cây trong'!$A$2:$C$246,3,0)," ")</f>
        <v>32000</v>
      </c>
      <c r="R1130" s="900">
        <f t="shared" si="231"/>
        <v>64000</v>
      </c>
      <c r="S1130" s="922"/>
      <c r="T1130" s="944"/>
      <c r="U1130" s="1042"/>
      <c r="V1130" s="996"/>
      <c r="W1130" s="900" t="str">
        <f>IF(S1130&lt;&gt;0,VLOOKUP(S1130,VKT!$A$2:$G$415,7,0),"")</f>
        <v/>
      </c>
      <c r="X1130" s="900" t="str">
        <f t="shared" si="240"/>
        <v xml:space="preserve"> </v>
      </c>
      <c r="Y1130" s="1016"/>
      <c r="Z1130" s="1016"/>
      <c r="AA1130" s="1016"/>
      <c r="AB1130" s="1026"/>
      <c r="AC1130" s="1016"/>
      <c r="AD1130" s="1016"/>
      <c r="AE1130" s="1016"/>
      <c r="AF1130" s="926"/>
      <c r="AG1130" s="906" t="str">
        <f>IF(AE1130&lt;&gt;0,VLOOKUP(AE1130,ODDS!$A$2:$C$13,3,0),"")</f>
        <v/>
      </c>
      <c r="AH1130" s="906" t="str">
        <f t="shared" si="232"/>
        <v xml:space="preserve"> </v>
      </c>
      <c r="AI1130" s="907" t="str">
        <f t="shared" si="237"/>
        <v xml:space="preserve"> </v>
      </c>
      <c r="AJ1130" s="929"/>
      <c r="AK1130" s="929"/>
    </row>
    <row r="1131" spans="1:37" s="385" customFormat="1" ht="45" outlineLevel="2" x14ac:dyDescent="0.3">
      <c r="A1131" s="447">
        <f t="shared" si="242"/>
        <v>86</v>
      </c>
      <c r="B1131" s="893"/>
      <c r="C1131" s="894"/>
      <c r="D1131" s="950"/>
      <c r="E1131" s="950"/>
      <c r="F1131" s="1032"/>
      <c r="G1131" s="894"/>
      <c r="H1131" s="1041"/>
      <c r="I1131" s="882"/>
      <c r="J1131" s="1042"/>
      <c r="K1131" s="899" t="str">
        <f>IF(G1131&lt;&gt;0,VLOOKUP(G1131,'gia dat'!$A$1:$F$144,5,0)," ")</f>
        <v xml:space="preserve"> </v>
      </c>
      <c r="L1131" s="899" t="str">
        <f>IF(G1131&lt;&gt;0,VLOOKUP(G1131,'gia dat'!$A$1:$F$144,6,0)," ")</f>
        <v xml:space="preserve"> </v>
      </c>
      <c r="M1131" s="900" t="str">
        <f t="shared" si="243"/>
        <v xml:space="preserve"> </v>
      </c>
      <c r="N1131" s="900" t="str">
        <f t="shared" si="244"/>
        <v xml:space="preserve"> </v>
      </c>
      <c r="O1131" s="922" t="s">
        <v>405</v>
      </c>
      <c r="P1131" s="1046">
        <v>1</v>
      </c>
      <c r="Q1131" s="900">
        <f>IF(O1131&lt;&gt;0,VLOOKUP(O1131,'Cây trong'!$A$2:$C$246,3,0)," ")</f>
        <v>72000</v>
      </c>
      <c r="R1131" s="900">
        <f t="shared" ref="R1131:R1202" si="245">IF(O1131&lt;&gt;0,ROUND(P1131*Q1131,-2)," ")</f>
        <v>72000</v>
      </c>
      <c r="S1131" s="922"/>
      <c r="T1131" s="944"/>
      <c r="U1131" s="1042"/>
      <c r="V1131" s="996"/>
      <c r="W1131" s="900" t="str">
        <f>IF(S1131&lt;&gt;0,VLOOKUP(S1131,VKT!$A$2:$G$415,7,0),"")</f>
        <v/>
      </c>
      <c r="X1131" s="900" t="str">
        <f t="shared" si="240"/>
        <v xml:space="preserve"> </v>
      </c>
      <c r="Y1131" s="1016"/>
      <c r="Z1131" s="1016"/>
      <c r="AA1131" s="1016"/>
      <c r="AB1131" s="1026"/>
      <c r="AC1131" s="1016"/>
      <c r="AD1131" s="1016"/>
      <c r="AE1131" s="1016"/>
      <c r="AF1131" s="926"/>
      <c r="AG1131" s="906" t="str">
        <f>IF(AE1131&lt;&gt;0,VLOOKUP(AE1131,ODDS!$A$2:$C$13,3,0),"")</f>
        <v/>
      </c>
      <c r="AH1131" s="906" t="str">
        <f t="shared" ref="AH1131:AH1202" si="246">IF(AE1131&lt;&gt;0,ROUND(AF1131*AG1131,-2)," ")</f>
        <v xml:space="preserve"> </v>
      </c>
      <c r="AI1131" s="907" t="str">
        <f t="shared" si="237"/>
        <v xml:space="preserve"> </v>
      </c>
      <c r="AJ1131" s="929"/>
      <c r="AK1131" s="929"/>
    </row>
    <row r="1132" spans="1:37" s="385" customFormat="1" ht="45" outlineLevel="2" x14ac:dyDescent="0.3">
      <c r="A1132" s="447">
        <f t="shared" si="242"/>
        <v>86</v>
      </c>
      <c r="B1132" s="893"/>
      <c r="C1132" s="894"/>
      <c r="D1132" s="950"/>
      <c r="E1132" s="950"/>
      <c r="F1132" s="1032"/>
      <c r="G1132" s="894"/>
      <c r="H1132" s="1041"/>
      <c r="I1132" s="882"/>
      <c r="J1132" s="925"/>
      <c r="K1132" s="899" t="str">
        <f>IF(G1132&lt;&gt;0,VLOOKUP(G1132,'gia dat'!$A$1:$F$144,5,0)," ")</f>
        <v xml:space="preserve"> </v>
      </c>
      <c r="L1132" s="899" t="str">
        <f>IF(G1132&lt;&gt;0,VLOOKUP(G1132,'gia dat'!$A$1:$F$144,6,0)," ")</f>
        <v xml:space="preserve"> </v>
      </c>
      <c r="M1132" s="900" t="str">
        <f t="shared" si="243"/>
        <v xml:space="preserve"> </v>
      </c>
      <c r="N1132" s="900" t="str">
        <f t="shared" si="244"/>
        <v xml:space="preserve"> </v>
      </c>
      <c r="O1132" s="894" t="s">
        <v>837</v>
      </c>
      <c r="P1132" s="1046">
        <v>7</v>
      </c>
      <c r="Q1132" s="900">
        <f>IF(O1132&lt;&gt;0,VLOOKUP(O1132,'Cây trong'!$A$2:$C$246,3,0)," ")</f>
        <v>60000</v>
      </c>
      <c r="R1132" s="900">
        <f t="shared" si="245"/>
        <v>420000</v>
      </c>
      <c r="S1132" s="902"/>
      <c r="T1132" s="925"/>
      <c r="U1132" s="1042"/>
      <c r="V1132" s="929"/>
      <c r="W1132" s="900" t="str">
        <f>IF(S1132&lt;&gt;0,VLOOKUP(S1132,VKT!$A$2:$G$415,7,0),"")</f>
        <v/>
      </c>
      <c r="X1132" s="900" t="str">
        <f t="shared" si="240"/>
        <v xml:space="preserve"> </v>
      </c>
      <c r="Y1132" s="1016"/>
      <c r="Z1132" s="1016"/>
      <c r="AA1132" s="1016"/>
      <c r="AB1132" s="1026"/>
      <c r="AC1132" s="1016"/>
      <c r="AD1132" s="1016"/>
      <c r="AE1132" s="1016"/>
      <c r="AF1132" s="926"/>
      <c r="AG1132" s="906" t="str">
        <f>IF(AE1132&lt;&gt;0,VLOOKUP(AE1132,ODDS!$A$2:$C$13,3,0),"")</f>
        <v/>
      </c>
      <c r="AH1132" s="906" t="str">
        <f t="shared" si="246"/>
        <v xml:space="preserve"> </v>
      </c>
      <c r="AI1132" s="907" t="str">
        <f t="shared" si="237"/>
        <v xml:space="preserve"> </v>
      </c>
      <c r="AJ1132" s="929"/>
      <c r="AK1132" s="929"/>
    </row>
    <row r="1133" spans="1:37" s="385" customFormat="1" ht="70.5" outlineLevel="2" x14ac:dyDescent="0.3">
      <c r="A1133" s="447">
        <f t="shared" si="242"/>
        <v>86</v>
      </c>
      <c r="B1133" s="893"/>
      <c r="C1133" s="894"/>
      <c r="D1133" s="950"/>
      <c r="E1133" s="950"/>
      <c r="F1133" s="1032"/>
      <c r="G1133" s="894"/>
      <c r="H1133" s="1041"/>
      <c r="I1133" s="882"/>
      <c r="J1133" s="925"/>
      <c r="K1133" s="899" t="str">
        <f>IF(G1133&lt;&gt;0,VLOOKUP(G1133,'gia dat'!$A$1:$F$144,5,0)," ")</f>
        <v xml:space="preserve"> </v>
      </c>
      <c r="L1133" s="899" t="str">
        <f>IF(G1133&lt;&gt;0,VLOOKUP(G1133,'gia dat'!$A$1:$F$144,6,0)," ")</f>
        <v xml:space="preserve"> </v>
      </c>
      <c r="M1133" s="900" t="str">
        <f t="shared" si="243"/>
        <v xml:space="preserve"> </v>
      </c>
      <c r="N1133" s="900" t="str">
        <f t="shared" si="244"/>
        <v xml:space="preserve"> </v>
      </c>
      <c r="O1133" s="894" t="s">
        <v>2916</v>
      </c>
      <c r="P1133" s="1046">
        <v>15</v>
      </c>
      <c r="Q1133" s="900">
        <f>IF(O1133&lt;&gt;0,VLOOKUP(O1133,'Cây trong'!$A$2:$C$246,3,0)," ")</f>
        <v>25000</v>
      </c>
      <c r="R1133" s="900">
        <f t="shared" si="245"/>
        <v>375000</v>
      </c>
      <c r="S1133" s="902"/>
      <c r="T1133" s="925"/>
      <c r="U1133" s="1042"/>
      <c r="V1133" s="929"/>
      <c r="W1133" s="900" t="str">
        <f>IF(S1133&lt;&gt;0,VLOOKUP(S1133,VKT!$A$2:$G$415,7,0),"")</f>
        <v/>
      </c>
      <c r="X1133" s="900" t="str">
        <f t="shared" si="240"/>
        <v xml:space="preserve"> </v>
      </c>
      <c r="Y1133" s="1016"/>
      <c r="Z1133" s="1016"/>
      <c r="AA1133" s="1016"/>
      <c r="AB1133" s="1026"/>
      <c r="AC1133" s="1016"/>
      <c r="AD1133" s="1016"/>
      <c r="AE1133" s="1016"/>
      <c r="AF1133" s="926"/>
      <c r="AG1133" s="906" t="str">
        <f>IF(AE1133&lt;&gt;0,VLOOKUP(AE1133,ODDS!$A$2:$C$13,3,0),"")</f>
        <v/>
      </c>
      <c r="AH1133" s="906" t="str">
        <f t="shared" si="246"/>
        <v xml:space="preserve"> </v>
      </c>
      <c r="AI1133" s="907" t="str">
        <f t="shared" si="237"/>
        <v xml:space="preserve"> </v>
      </c>
      <c r="AJ1133" s="929"/>
      <c r="AK1133" s="929"/>
    </row>
    <row r="1134" spans="1:37" s="385" customFormat="1" ht="48" outlineLevel="2" x14ac:dyDescent="0.3">
      <c r="A1134" s="447">
        <f t="shared" si="242"/>
        <v>86</v>
      </c>
      <c r="B1134" s="893"/>
      <c r="C1134" s="894"/>
      <c r="D1134" s="950"/>
      <c r="E1134" s="950"/>
      <c r="F1134" s="1032"/>
      <c r="G1134" s="894"/>
      <c r="H1134" s="1041"/>
      <c r="I1134" s="882"/>
      <c r="J1134" s="925"/>
      <c r="K1134" s="899" t="str">
        <f>IF(G1134&lt;&gt;0,VLOOKUP(G1134,'gia dat'!$A$1:$F$144,5,0)," ")</f>
        <v xml:space="preserve"> </v>
      </c>
      <c r="L1134" s="899" t="str">
        <f>IF(G1134&lt;&gt;0,VLOOKUP(G1134,'gia dat'!$A$1:$F$144,6,0)," ")</f>
        <v xml:space="preserve"> </v>
      </c>
      <c r="M1134" s="900" t="str">
        <f t="shared" si="243"/>
        <v xml:space="preserve"> </v>
      </c>
      <c r="N1134" s="900" t="str">
        <f t="shared" si="244"/>
        <v xml:space="preserve"> </v>
      </c>
      <c r="O1134" s="894" t="s">
        <v>2917</v>
      </c>
      <c r="P1134" s="1046">
        <v>4</v>
      </c>
      <c r="Q1134" s="900">
        <f>IF(O1134&lt;&gt;0,VLOOKUP(O1134,'Cây trong'!$A$2:$C$246,3,0)," ")</f>
        <v>12000</v>
      </c>
      <c r="R1134" s="900">
        <f t="shared" si="245"/>
        <v>48000</v>
      </c>
      <c r="S1134" s="902"/>
      <c r="T1134" s="925"/>
      <c r="U1134" s="1042"/>
      <c r="V1134" s="929"/>
      <c r="W1134" s="900" t="str">
        <f>IF(S1134&lt;&gt;0,VLOOKUP(S1134,VKT!$A$2:$G$415,7,0),"")</f>
        <v/>
      </c>
      <c r="X1134" s="900" t="str">
        <f t="shared" si="240"/>
        <v xml:space="preserve"> </v>
      </c>
      <c r="Y1134" s="1016"/>
      <c r="Z1134" s="1016"/>
      <c r="AA1134" s="1016"/>
      <c r="AB1134" s="1026"/>
      <c r="AC1134" s="1016"/>
      <c r="AD1134" s="1016"/>
      <c r="AE1134" s="1016"/>
      <c r="AF1134" s="926"/>
      <c r="AG1134" s="906" t="str">
        <f>IF(AE1134&lt;&gt;0,VLOOKUP(AE1134,ODDS!$A$2:$C$13,3,0),"")</f>
        <v/>
      </c>
      <c r="AH1134" s="906" t="str">
        <f t="shared" si="246"/>
        <v xml:space="preserve"> </v>
      </c>
      <c r="AI1134" s="907" t="str">
        <f t="shared" si="237"/>
        <v xml:space="preserve"> </v>
      </c>
      <c r="AJ1134" s="929"/>
      <c r="AK1134" s="929"/>
    </row>
    <row r="1135" spans="1:37" s="385" customFormat="1" ht="22.5" outlineLevel="2" x14ac:dyDescent="0.3">
      <c r="A1135" s="447">
        <f t="shared" si="242"/>
        <v>86</v>
      </c>
      <c r="B1135" s="893"/>
      <c r="C1135" s="894"/>
      <c r="D1135" s="950"/>
      <c r="E1135" s="950"/>
      <c r="F1135" s="1032"/>
      <c r="G1135" s="894"/>
      <c r="H1135" s="1041"/>
      <c r="I1135" s="882"/>
      <c r="J1135" s="925"/>
      <c r="K1135" s="899" t="str">
        <f>IF(G1135&lt;&gt;0,VLOOKUP(G1135,'gia dat'!$A$1:$F$144,5,0)," ")</f>
        <v xml:space="preserve"> </v>
      </c>
      <c r="L1135" s="899" t="str">
        <f>IF(G1135&lt;&gt;0,VLOOKUP(G1135,'gia dat'!$A$1:$F$144,6,0)," ")</f>
        <v xml:space="preserve"> </v>
      </c>
      <c r="M1135" s="900" t="str">
        <f t="shared" si="243"/>
        <v xml:space="preserve"> </v>
      </c>
      <c r="N1135" s="900" t="str">
        <f t="shared" si="244"/>
        <v xml:space="preserve"> </v>
      </c>
      <c r="O1135" s="894"/>
      <c r="P1135" s="1046"/>
      <c r="Q1135" s="900" t="str">
        <f>IF(O1135&lt;&gt;0,VLOOKUP(O1135,'Cây trong'!$A$2:$C$246,3,0)," ")</f>
        <v xml:space="preserve"> </v>
      </c>
      <c r="R1135" s="900" t="str">
        <f t="shared" si="245"/>
        <v xml:space="preserve"> </v>
      </c>
      <c r="S1135" s="902"/>
      <c r="T1135" s="925"/>
      <c r="U1135" s="1042"/>
      <c r="V1135" s="929"/>
      <c r="W1135" s="900" t="str">
        <f>IF(S1135&lt;&gt;0,VLOOKUP(S1135,VKT!$A$2:$G$415,7,0),"")</f>
        <v/>
      </c>
      <c r="X1135" s="900" t="str">
        <f t="shared" si="240"/>
        <v xml:space="preserve"> </v>
      </c>
      <c r="Y1135" s="1016"/>
      <c r="Z1135" s="1016"/>
      <c r="AA1135" s="1016"/>
      <c r="AB1135" s="1026"/>
      <c r="AC1135" s="1016"/>
      <c r="AD1135" s="1016"/>
      <c r="AE1135" s="1016"/>
      <c r="AF1135" s="926"/>
      <c r="AG1135" s="906" t="str">
        <f>IF(AE1135&lt;&gt;0,VLOOKUP(AE1135,ODDS!$A$2:$C$13,3,0),"")</f>
        <v/>
      </c>
      <c r="AH1135" s="906" t="str">
        <f t="shared" si="246"/>
        <v xml:space="preserve"> </v>
      </c>
      <c r="AI1135" s="907" t="str">
        <f t="shared" si="237"/>
        <v xml:space="preserve"> </v>
      </c>
      <c r="AJ1135" s="929"/>
      <c r="AK1135" s="929"/>
    </row>
    <row r="1136" spans="1:37" s="385" customFormat="1" ht="22.5" outlineLevel="2" x14ac:dyDescent="0.3">
      <c r="A1136" s="447">
        <f t="shared" si="242"/>
        <v>86</v>
      </c>
      <c r="B1136" s="893"/>
      <c r="C1136" s="910"/>
      <c r="D1136" s="950"/>
      <c r="E1136" s="950"/>
      <c r="F1136" s="1032"/>
      <c r="G1136" s="894"/>
      <c r="H1136" s="1041"/>
      <c r="I1136" s="882"/>
      <c r="J1136" s="925"/>
      <c r="K1136" s="899" t="str">
        <f>IF(G1136&lt;&gt;0,VLOOKUP(G1136,'gia dat'!$A$1:$F$144,5,0)," ")</f>
        <v xml:space="preserve"> </v>
      </c>
      <c r="L1136" s="899" t="str">
        <f>IF(G1136&lt;&gt;0,VLOOKUP(G1136,'gia dat'!$A$1:$F$144,6,0)," ")</f>
        <v xml:space="preserve"> </v>
      </c>
      <c r="M1136" s="900" t="str">
        <f t="shared" si="243"/>
        <v xml:space="preserve"> </v>
      </c>
      <c r="N1136" s="900" t="str">
        <f t="shared" si="244"/>
        <v xml:space="preserve"> </v>
      </c>
      <c r="O1136" s="894"/>
      <c r="P1136" s="1046"/>
      <c r="Q1136" s="900" t="str">
        <f>IF(O1136&lt;&gt;0,VLOOKUP(O1136,'Cây trong'!$A$2:$C$246,3,0)," ")</f>
        <v xml:space="preserve"> </v>
      </c>
      <c r="R1136" s="900" t="str">
        <f t="shared" si="245"/>
        <v xml:space="preserve"> </v>
      </c>
      <c r="S1136" s="902"/>
      <c r="T1136" s="925"/>
      <c r="U1136" s="1042"/>
      <c r="V1136" s="929"/>
      <c r="W1136" s="900" t="str">
        <f>IF(S1136&lt;&gt;0,VLOOKUP(S1136,VKT!$A$2:$G$415,7,0),"")</f>
        <v/>
      </c>
      <c r="X1136" s="900" t="str">
        <f t="shared" si="240"/>
        <v xml:space="preserve"> </v>
      </c>
      <c r="Y1136" s="1016"/>
      <c r="Z1136" s="1016"/>
      <c r="AA1136" s="1016"/>
      <c r="AB1136" s="1026"/>
      <c r="AC1136" s="1016"/>
      <c r="AD1136" s="1016"/>
      <c r="AE1136" s="1016"/>
      <c r="AF1136" s="926"/>
      <c r="AG1136" s="906" t="str">
        <f>IF(AE1136&lt;&gt;0,VLOOKUP(AE1136,ODDS!$A$2:$C$13,3,0),"")</f>
        <v/>
      </c>
      <c r="AH1136" s="906" t="str">
        <f t="shared" si="246"/>
        <v xml:space="preserve"> </v>
      </c>
      <c r="AI1136" s="907" t="str">
        <f t="shared" si="237"/>
        <v xml:space="preserve"> </v>
      </c>
      <c r="AJ1136" s="929"/>
      <c r="AK1136" s="929"/>
    </row>
    <row r="1137" spans="1:37" s="385" customFormat="1" ht="43.5" outlineLevel="1" x14ac:dyDescent="0.25">
      <c r="A1137" s="467" t="s">
        <v>2623</v>
      </c>
      <c r="B1137" s="912">
        <v>87</v>
      </c>
      <c r="C1137" s="910" t="s">
        <v>840</v>
      </c>
      <c r="D1137" s="1037"/>
      <c r="E1137" s="1037"/>
      <c r="F1137" s="1038"/>
      <c r="G1137" s="910"/>
      <c r="H1137" s="1039">
        <f>SUBTOTAL(9,H1138:H1145)</f>
        <v>2046.5</v>
      </c>
      <c r="I1137" s="915">
        <f>SUBTOTAL(9,I1138:I1143)</f>
        <v>2046.5</v>
      </c>
      <c r="J1137" s="933"/>
      <c r="K1137" s="917"/>
      <c r="L1137" s="917"/>
      <c r="M1137" s="907">
        <f>SUBTOTAL(9,M1138:M1145)</f>
        <v>952850000</v>
      </c>
      <c r="N1137" s="907">
        <f>SUBTOTAL(9,N1138:N1145)</f>
        <v>2858551000</v>
      </c>
      <c r="O1137" s="910"/>
      <c r="P1137" s="1044">
        <f>SUBTOTAL(9,P1138:P1145)</f>
        <v>0</v>
      </c>
      <c r="Q1137" s="907"/>
      <c r="R1137" s="907">
        <f>SUBTOTAL(9,R1138:R1145)</f>
        <v>0</v>
      </c>
      <c r="S1137" s="918"/>
      <c r="T1137" s="933"/>
      <c r="U1137" s="1040">
        <f>SUBTOTAL(9,U1138:U1145)</f>
        <v>0</v>
      </c>
      <c r="V1137" s="943"/>
      <c r="W1137" s="907"/>
      <c r="X1137" s="907">
        <f>SUBTOTAL(9,X1138:X1145)</f>
        <v>0</v>
      </c>
      <c r="Y1137" s="1016"/>
      <c r="Z1137" s="1016"/>
      <c r="AA1137" s="1016"/>
      <c r="AB1137" s="1026"/>
      <c r="AC1137" s="1016"/>
      <c r="AD1137" s="1016"/>
      <c r="AE1137" s="985"/>
      <c r="AF1137" s="935">
        <f>SUBTOTAL(9,AF1138:AF1145)</f>
        <v>0</v>
      </c>
      <c r="AG1137" s="921"/>
      <c r="AH1137" s="921">
        <f>SUBTOTAL(9,AH1138:AH1145)</f>
        <v>0</v>
      </c>
      <c r="AI1137" s="907">
        <f t="shared" si="237"/>
        <v>3811401000</v>
      </c>
      <c r="AJ1137" s="910"/>
      <c r="AK1137" s="914"/>
    </row>
    <row r="1138" spans="1:37" s="385" customFormat="1" ht="135" outlineLevel="2" x14ac:dyDescent="0.3">
      <c r="A1138" s="447">
        <f>IF(B1137&lt;&gt;0,B1137,A1136)</f>
        <v>87</v>
      </c>
      <c r="B1138" s="893"/>
      <c r="C1138" s="894" t="s">
        <v>843</v>
      </c>
      <c r="D1138" s="950">
        <v>1</v>
      </c>
      <c r="E1138" s="950">
        <v>86</v>
      </c>
      <c r="F1138" s="1032">
        <v>332</v>
      </c>
      <c r="G1138" s="894" t="s">
        <v>2864</v>
      </c>
      <c r="H1138" s="1041">
        <v>2046.5</v>
      </c>
      <c r="I1138" s="882">
        <f t="shared" ref="I1138" si="247">IF(N1138&gt;0,H1138,"")</f>
        <v>2046.5</v>
      </c>
      <c r="J1138" s="925"/>
      <c r="K1138" s="899">
        <f>IF(G1138&lt;&gt;0,VLOOKUP(G1138,'gia dat'!$A$1:$F$144,5,0)," ")</f>
        <v>465600</v>
      </c>
      <c r="L1138" s="899">
        <f>IF(G1138&lt;&gt;0,VLOOKUP(G1138,'gia dat'!$A$1:$F$144,6,0)," ")</f>
        <v>1396800</v>
      </c>
      <c r="M1138" s="900">
        <f t="shared" si="243"/>
        <v>952850000</v>
      </c>
      <c r="N1138" s="900">
        <f t="shared" si="244"/>
        <v>2858551000</v>
      </c>
      <c r="O1138" s="894"/>
      <c r="P1138" s="1046"/>
      <c r="Q1138" s="900" t="str">
        <f>IF(O1138&lt;&gt;0,VLOOKUP(O1138,'Cây trong'!$A$2:$C$246,3,0)," ")</f>
        <v xml:space="preserve"> </v>
      </c>
      <c r="R1138" s="900" t="str">
        <f t="shared" si="245"/>
        <v xml:space="preserve"> </v>
      </c>
      <c r="S1138" s="902"/>
      <c r="T1138" s="925"/>
      <c r="U1138" s="1042"/>
      <c r="V1138" s="929"/>
      <c r="W1138" s="900" t="str">
        <f>IF(S1138&lt;&gt;0,VLOOKUP(S1138,VKT!$A$2:$G$415,7,0),"")</f>
        <v/>
      </c>
      <c r="X1138" s="900" t="str">
        <f t="shared" si="240"/>
        <v xml:space="preserve"> </v>
      </c>
      <c r="Y1138" s="1016"/>
      <c r="Z1138" s="1016"/>
      <c r="AA1138" s="1016"/>
      <c r="AB1138" s="1026"/>
      <c r="AC1138" s="1016"/>
      <c r="AD1138" s="1016"/>
      <c r="AE1138" s="1016"/>
      <c r="AF1138" s="926"/>
      <c r="AG1138" s="906" t="str">
        <f>IF(AE1138&lt;&gt;0,VLOOKUP(AE1138,ODDS!$A$2:$C$13,3,0),"")</f>
        <v/>
      </c>
      <c r="AH1138" s="906"/>
      <c r="AI1138" s="907" t="str">
        <f t="shared" si="237"/>
        <v xml:space="preserve"> </v>
      </c>
      <c r="AJ1138" s="894" t="s">
        <v>842</v>
      </c>
      <c r="AK1138" s="922" t="s">
        <v>2771</v>
      </c>
    </row>
    <row r="1139" spans="1:37" s="385" customFormat="1" ht="112.5" outlineLevel="2" x14ac:dyDescent="0.3">
      <c r="A1139" s="447">
        <f t="shared" ref="A1139:A1145" si="248">IF(B1138&lt;&gt;0,B1138,A1138)</f>
        <v>87</v>
      </c>
      <c r="B1139" s="893"/>
      <c r="C1139" s="922" t="s">
        <v>846</v>
      </c>
      <c r="D1139" s="950"/>
      <c r="E1139" s="950"/>
      <c r="F1139" s="1032"/>
      <c r="G1139" s="922"/>
      <c r="H1139" s="1041"/>
      <c r="I1139" s="882"/>
      <c r="J1139" s="925"/>
      <c r="K1139" s="899" t="str">
        <f>IF(G1139&lt;&gt;0,VLOOKUP(G1139,'gia dat'!$A$1:$F$144,5,0)," ")</f>
        <v xml:space="preserve"> </v>
      </c>
      <c r="L1139" s="899" t="str">
        <f>IF(G1139&lt;&gt;0,VLOOKUP(G1139,'gia dat'!$A$1:$F$144,6,0)," ")</f>
        <v xml:space="preserve"> </v>
      </c>
      <c r="M1139" s="900" t="str">
        <f t="shared" si="243"/>
        <v xml:space="preserve"> </v>
      </c>
      <c r="N1139" s="900" t="str">
        <f t="shared" si="244"/>
        <v xml:space="preserve"> </v>
      </c>
      <c r="O1139" s="894"/>
      <c r="P1139" s="1046"/>
      <c r="Q1139" s="900" t="str">
        <f>IF(O1139&lt;&gt;0,VLOOKUP(O1139,'Cây trong'!$A$2:$C$246,3,0)," ")</f>
        <v xml:space="preserve"> </v>
      </c>
      <c r="R1139" s="900" t="str">
        <f t="shared" si="245"/>
        <v xml:space="preserve"> </v>
      </c>
      <c r="S1139" s="902"/>
      <c r="T1139" s="925"/>
      <c r="U1139" s="1042"/>
      <c r="V1139" s="929"/>
      <c r="W1139" s="900" t="str">
        <f>IF(S1139&lt;&gt;0,VLOOKUP(S1139,VKT!$A$2:$G$415,7,0),"")</f>
        <v/>
      </c>
      <c r="X1139" s="900" t="str">
        <f t="shared" si="240"/>
        <v xml:space="preserve"> </v>
      </c>
      <c r="Y1139" s="1016"/>
      <c r="Z1139" s="1016"/>
      <c r="AA1139" s="1016"/>
      <c r="AB1139" s="1026"/>
      <c r="AC1139" s="1016"/>
      <c r="AD1139" s="1016"/>
      <c r="AE1139" s="1016"/>
      <c r="AF1139" s="926"/>
      <c r="AG1139" s="906" t="str">
        <f>IF(AE1139&lt;&gt;0,VLOOKUP(AE1139,ODDS!$A$2:$C$13,3,0),"")</f>
        <v/>
      </c>
      <c r="AH1139" s="906" t="str">
        <f t="shared" si="246"/>
        <v xml:space="preserve"> </v>
      </c>
      <c r="AI1139" s="907" t="str">
        <f t="shared" si="237"/>
        <v xml:space="preserve"> </v>
      </c>
      <c r="AJ1139" s="894" t="s">
        <v>2918</v>
      </c>
      <c r="AK1139" s="894" t="s">
        <v>2448</v>
      </c>
    </row>
    <row r="1140" spans="1:37" s="385" customFormat="1" ht="22.5" outlineLevel="2" x14ac:dyDescent="0.3">
      <c r="A1140" s="447">
        <f t="shared" si="248"/>
        <v>87</v>
      </c>
      <c r="B1140" s="893"/>
      <c r="C1140" s="922"/>
      <c r="D1140" s="950"/>
      <c r="E1140" s="950"/>
      <c r="F1140" s="1032"/>
      <c r="G1140" s="894"/>
      <c r="H1140" s="1041"/>
      <c r="I1140" s="882"/>
      <c r="J1140" s="925"/>
      <c r="K1140" s="899" t="str">
        <f>IF(G1140&lt;&gt;0,VLOOKUP(G1140,'gia dat'!$A$1:$F$144,5,0)," ")</f>
        <v xml:space="preserve"> </v>
      </c>
      <c r="L1140" s="899" t="str">
        <f>IF(G1140&lt;&gt;0,VLOOKUP(G1140,'gia dat'!$A$1:$F$144,6,0)," ")</f>
        <v xml:space="preserve"> </v>
      </c>
      <c r="M1140" s="900" t="str">
        <f t="shared" si="243"/>
        <v xml:space="preserve"> </v>
      </c>
      <c r="N1140" s="900" t="str">
        <f t="shared" si="244"/>
        <v xml:space="preserve"> </v>
      </c>
      <c r="O1140" s="894"/>
      <c r="P1140" s="1046"/>
      <c r="Q1140" s="900" t="str">
        <f>IF(O1140&lt;&gt;0,VLOOKUP(O1140,'Cây trong'!$A$2:$C$246,3,0)," ")</f>
        <v xml:space="preserve"> </v>
      </c>
      <c r="R1140" s="900" t="str">
        <f t="shared" si="245"/>
        <v xml:space="preserve"> </v>
      </c>
      <c r="S1140" s="902"/>
      <c r="T1140" s="925"/>
      <c r="U1140" s="1042"/>
      <c r="V1140" s="929"/>
      <c r="W1140" s="900" t="str">
        <f>IF(S1140&lt;&gt;0,VLOOKUP(S1140,VKT!$A$2:$G$415,7,0),"")</f>
        <v/>
      </c>
      <c r="X1140" s="900" t="str">
        <f t="shared" si="240"/>
        <v xml:space="preserve"> </v>
      </c>
      <c r="Y1140" s="1016"/>
      <c r="Z1140" s="1016"/>
      <c r="AA1140" s="1016"/>
      <c r="AB1140" s="1026"/>
      <c r="AC1140" s="1016"/>
      <c r="AD1140" s="1016"/>
      <c r="AE1140" s="1016"/>
      <c r="AF1140" s="926"/>
      <c r="AG1140" s="906" t="str">
        <f>IF(AE1140&lt;&gt;0,VLOOKUP(AE1140,ODDS!$A$2:$C$13,3,0),"")</f>
        <v/>
      </c>
      <c r="AH1140" s="906" t="str">
        <f t="shared" si="246"/>
        <v xml:space="preserve"> </v>
      </c>
      <c r="AI1140" s="907" t="str">
        <f t="shared" si="237"/>
        <v xml:space="preserve"> </v>
      </c>
      <c r="AJ1140" s="929" t="s">
        <v>847</v>
      </c>
      <c r="AK1140" s="902"/>
    </row>
    <row r="1141" spans="1:37" s="385" customFormat="1" ht="67.5" outlineLevel="2" x14ac:dyDescent="0.3">
      <c r="A1141" s="447">
        <f t="shared" si="248"/>
        <v>87</v>
      </c>
      <c r="B1141" s="893"/>
      <c r="C1141" s="894"/>
      <c r="D1141" s="950"/>
      <c r="E1141" s="950"/>
      <c r="F1141" s="1032"/>
      <c r="G1141" s="894"/>
      <c r="H1141" s="1041"/>
      <c r="I1141" s="882"/>
      <c r="J1141" s="925"/>
      <c r="K1141" s="899" t="str">
        <f>IF(G1141&lt;&gt;0,VLOOKUP(G1141,'gia dat'!$A$1:$F$144,5,0)," ")</f>
        <v xml:space="preserve"> </v>
      </c>
      <c r="L1141" s="899" t="str">
        <f>IF(G1141&lt;&gt;0,VLOOKUP(G1141,'gia dat'!$A$1:$F$144,6,0)," ")</f>
        <v xml:space="preserve"> </v>
      </c>
      <c r="M1141" s="900" t="str">
        <f t="shared" si="243"/>
        <v xml:space="preserve"> </v>
      </c>
      <c r="N1141" s="900" t="str">
        <f t="shared" si="244"/>
        <v xml:space="preserve"> </v>
      </c>
      <c r="O1141" s="894"/>
      <c r="P1141" s="1046"/>
      <c r="Q1141" s="900" t="str">
        <f>IF(O1141&lt;&gt;0,VLOOKUP(O1141,'Cây trong'!$A$2:$C$246,3,0)," ")</f>
        <v xml:space="preserve"> </v>
      </c>
      <c r="R1141" s="900" t="str">
        <f t="shared" si="245"/>
        <v xml:space="preserve"> </v>
      </c>
      <c r="S1141" s="902"/>
      <c r="T1141" s="925"/>
      <c r="U1141" s="1042"/>
      <c r="V1141" s="929"/>
      <c r="W1141" s="900" t="str">
        <f>IF(S1141&lt;&gt;0,VLOOKUP(S1141,VKT!$A$2:$G$415,7,0),"")</f>
        <v/>
      </c>
      <c r="X1141" s="900" t="str">
        <f t="shared" si="240"/>
        <v xml:space="preserve"> </v>
      </c>
      <c r="Y1141" s="1016"/>
      <c r="Z1141" s="1016"/>
      <c r="AA1141" s="1016"/>
      <c r="AB1141" s="1026"/>
      <c r="AC1141" s="1016"/>
      <c r="AD1141" s="1016"/>
      <c r="AE1141" s="1016"/>
      <c r="AF1141" s="926"/>
      <c r="AG1141" s="906" t="str">
        <f>IF(AE1141&lt;&gt;0,VLOOKUP(AE1141,ODDS!$A$2:$C$13,3,0),"")</f>
        <v/>
      </c>
      <c r="AH1141" s="906" t="str">
        <f t="shared" si="246"/>
        <v xml:space="preserve"> </v>
      </c>
      <c r="AI1141" s="907" t="str">
        <f t="shared" si="237"/>
        <v xml:space="preserve"> </v>
      </c>
      <c r="AJ1141" s="894" t="s">
        <v>2074</v>
      </c>
      <c r="AK1141" s="929"/>
    </row>
    <row r="1142" spans="1:37" s="385" customFormat="1" ht="22.5" outlineLevel="2" x14ac:dyDescent="0.35">
      <c r="A1142" s="447">
        <f t="shared" si="248"/>
        <v>87</v>
      </c>
      <c r="B1142" s="893"/>
      <c r="C1142" s="894"/>
      <c r="D1142" s="950"/>
      <c r="E1142" s="950"/>
      <c r="F1142" s="1032"/>
      <c r="G1142" s="894"/>
      <c r="H1142" s="1041"/>
      <c r="I1142" s="882"/>
      <c r="J1142" s="925"/>
      <c r="K1142" s="899" t="str">
        <f>IF(G1142&lt;&gt;0,VLOOKUP(G1142,'gia dat'!$A$1:$F$144,5,0)," ")</f>
        <v xml:space="preserve"> </v>
      </c>
      <c r="L1142" s="899" t="str">
        <f>IF(G1142&lt;&gt;0,VLOOKUP(G1142,'gia dat'!$A$1:$F$144,6,0)," ")</f>
        <v xml:space="preserve"> </v>
      </c>
      <c r="M1142" s="900" t="str">
        <f t="shared" si="243"/>
        <v xml:space="preserve"> </v>
      </c>
      <c r="N1142" s="900" t="str">
        <f t="shared" si="244"/>
        <v xml:space="preserve"> </v>
      </c>
      <c r="O1142" s="894"/>
      <c r="P1142" s="1046"/>
      <c r="Q1142" s="900" t="str">
        <f>IF(O1142&lt;&gt;0,VLOOKUP(O1142,'Cây trong'!$A$2:$C$246,3,0)," ")</f>
        <v xml:space="preserve"> </v>
      </c>
      <c r="R1142" s="900" t="str">
        <f t="shared" si="245"/>
        <v xml:space="preserve"> </v>
      </c>
      <c r="S1142" s="902"/>
      <c r="T1142" s="925"/>
      <c r="U1142" s="1042"/>
      <c r="V1142" s="929"/>
      <c r="W1142" s="900" t="str">
        <f>IF(S1142&lt;&gt;0,VLOOKUP(S1142,VKT!$A$2:$G$415,7,0),"")</f>
        <v/>
      </c>
      <c r="X1142" s="900" t="str">
        <f t="shared" si="240"/>
        <v xml:space="preserve"> </v>
      </c>
      <c r="Y1142" s="1016"/>
      <c r="Z1142" s="1016"/>
      <c r="AA1142" s="1016"/>
      <c r="AB1142" s="1026"/>
      <c r="AC1142" s="1016"/>
      <c r="AD1142" s="1016"/>
      <c r="AE1142" s="1016"/>
      <c r="AF1142" s="926"/>
      <c r="AG1142" s="906" t="str">
        <f>IF(AE1142&lt;&gt;0,VLOOKUP(AE1142,ODDS!$A$2:$C$13,3,0),"")</f>
        <v/>
      </c>
      <c r="AH1142" s="906" t="str">
        <f t="shared" si="246"/>
        <v xml:space="preserve"> </v>
      </c>
      <c r="AI1142" s="907" t="str">
        <f t="shared" si="237"/>
        <v xml:space="preserve"> </v>
      </c>
      <c r="AJ1142" s="1036"/>
      <c r="AK1142" s="929"/>
    </row>
    <row r="1143" spans="1:37" s="385" customFormat="1" ht="22.5" outlineLevel="2" x14ac:dyDescent="0.35">
      <c r="A1143" s="447">
        <f t="shared" si="248"/>
        <v>87</v>
      </c>
      <c r="B1143" s="893"/>
      <c r="C1143" s="894"/>
      <c r="D1143" s="950"/>
      <c r="E1143" s="950"/>
      <c r="F1143" s="1032"/>
      <c r="G1143" s="894"/>
      <c r="H1143" s="1041"/>
      <c r="I1143" s="882"/>
      <c r="J1143" s="925"/>
      <c r="K1143" s="899" t="str">
        <f>IF(G1143&lt;&gt;0,VLOOKUP(G1143,'gia dat'!$A$1:$F$144,5,0)," ")</f>
        <v xml:space="preserve"> </v>
      </c>
      <c r="L1143" s="899" t="str">
        <f>IF(G1143&lt;&gt;0,VLOOKUP(G1143,'gia dat'!$A$1:$F$144,6,0)," ")</f>
        <v xml:space="preserve"> </v>
      </c>
      <c r="M1143" s="900" t="str">
        <f t="shared" si="243"/>
        <v xml:space="preserve"> </v>
      </c>
      <c r="N1143" s="900" t="str">
        <f t="shared" si="244"/>
        <v xml:space="preserve"> </v>
      </c>
      <c r="O1143" s="894"/>
      <c r="P1143" s="1046"/>
      <c r="Q1143" s="900" t="str">
        <f>IF(O1143&lt;&gt;0,VLOOKUP(O1143,'Cây trong'!$A$2:$C$246,3,0)," ")</f>
        <v xml:space="preserve"> </v>
      </c>
      <c r="R1143" s="900" t="str">
        <f t="shared" si="245"/>
        <v xml:space="preserve"> </v>
      </c>
      <c r="S1143" s="902"/>
      <c r="T1143" s="925"/>
      <c r="U1143" s="1042"/>
      <c r="V1143" s="929"/>
      <c r="W1143" s="900" t="str">
        <f>IF(S1143&lt;&gt;0,VLOOKUP(S1143,VKT!$A$2:$G$415,7,0),"")</f>
        <v/>
      </c>
      <c r="X1143" s="900" t="str">
        <f t="shared" si="240"/>
        <v xml:space="preserve"> </v>
      </c>
      <c r="Y1143" s="1016"/>
      <c r="Z1143" s="1016"/>
      <c r="AA1143" s="1016"/>
      <c r="AB1143" s="1026"/>
      <c r="AC1143" s="1016"/>
      <c r="AD1143" s="1016"/>
      <c r="AE1143" s="1016"/>
      <c r="AF1143" s="926"/>
      <c r="AG1143" s="906" t="str">
        <f>IF(AE1143&lt;&gt;0,VLOOKUP(AE1143,ODDS!$A$2:$C$13,3,0),"")</f>
        <v/>
      </c>
      <c r="AH1143" s="906" t="str">
        <f t="shared" si="246"/>
        <v xml:space="preserve"> </v>
      </c>
      <c r="AI1143" s="907" t="str">
        <f t="shared" si="237"/>
        <v xml:space="preserve"> </v>
      </c>
      <c r="AJ1143" s="1036"/>
      <c r="AK1143" s="929"/>
    </row>
    <row r="1144" spans="1:37" s="385" customFormat="1" ht="22.5" outlineLevel="2" x14ac:dyDescent="0.35">
      <c r="A1144" s="447">
        <f t="shared" si="248"/>
        <v>87</v>
      </c>
      <c r="B1144" s="893"/>
      <c r="C1144" s="894"/>
      <c r="D1144" s="950"/>
      <c r="E1144" s="950"/>
      <c r="F1144" s="1032"/>
      <c r="G1144" s="894"/>
      <c r="H1144" s="1041"/>
      <c r="I1144" s="882"/>
      <c r="J1144" s="925"/>
      <c r="K1144" s="899" t="str">
        <f>IF(G1144&lt;&gt;0,VLOOKUP(G1144,'gia dat'!$A$1:$F$144,5,0)," ")</f>
        <v xml:space="preserve"> </v>
      </c>
      <c r="L1144" s="899" t="str">
        <f>IF(G1144&lt;&gt;0,VLOOKUP(G1144,'gia dat'!$A$1:$F$144,6,0)," ")</f>
        <v xml:space="preserve"> </v>
      </c>
      <c r="M1144" s="900" t="str">
        <f t="shared" si="243"/>
        <v xml:space="preserve"> </v>
      </c>
      <c r="N1144" s="900" t="str">
        <f t="shared" si="244"/>
        <v xml:space="preserve"> </v>
      </c>
      <c r="O1144" s="894"/>
      <c r="P1144" s="1046"/>
      <c r="Q1144" s="900" t="str">
        <f>IF(O1144&lt;&gt;0,VLOOKUP(O1144,'Cây trong'!$A$2:$C$246,3,0)," ")</f>
        <v xml:space="preserve"> </v>
      </c>
      <c r="R1144" s="900" t="str">
        <f t="shared" si="245"/>
        <v xml:space="preserve"> </v>
      </c>
      <c r="S1144" s="902"/>
      <c r="T1144" s="925"/>
      <c r="U1144" s="1042"/>
      <c r="V1144" s="929"/>
      <c r="W1144" s="900" t="str">
        <f>IF(S1144&lt;&gt;0,VLOOKUP(S1144,VKT!$A$2:$G$415,7,0),"")</f>
        <v/>
      </c>
      <c r="X1144" s="900" t="str">
        <f t="shared" si="240"/>
        <v xml:space="preserve"> </v>
      </c>
      <c r="Y1144" s="1016"/>
      <c r="Z1144" s="1016"/>
      <c r="AA1144" s="1016"/>
      <c r="AB1144" s="1026"/>
      <c r="AC1144" s="1016"/>
      <c r="AD1144" s="1016"/>
      <c r="AE1144" s="1016"/>
      <c r="AF1144" s="926"/>
      <c r="AG1144" s="906" t="str">
        <f>IF(AE1144&lt;&gt;0,VLOOKUP(AE1144,ODDS!$A$2:$C$13,3,0),"")</f>
        <v/>
      </c>
      <c r="AH1144" s="906" t="str">
        <f t="shared" si="246"/>
        <v xml:space="preserve"> </v>
      </c>
      <c r="AI1144" s="907" t="str">
        <f t="shared" si="237"/>
        <v xml:space="preserve"> </v>
      </c>
      <c r="AJ1144" s="1036"/>
      <c r="AK1144" s="929"/>
    </row>
    <row r="1145" spans="1:37" s="385" customFormat="1" ht="22.5" outlineLevel="2" x14ac:dyDescent="0.3">
      <c r="A1145" s="447">
        <f t="shared" si="248"/>
        <v>87</v>
      </c>
      <c r="B1145" s="893"/>
      <c r="C1145" s="910"/>
      <c r="D1145" s="950"/>
      <c r="E1145" s="950"/>
      <c r="F1145" s="1032"/>
      <c r="G1145" s="894"/>
      <c r="H1145" s="1041"/>
      <c r="I1145" s="882"/>
      <c r="J1145" s="925"/>
      <c r="K1145" s="899" t="str">
        <f>IF(G1145&lt;&gt;0,VLOOKUP(G1145,'gia dat'!$A$1:$F$144,5,0)," ")</f>
        <v xml:space="preserve"> </v>
      </c>
      <c r="L1145" s="899" t="str">
        <f>IF(G1145&lt;&gt;0,VLOOKUP(G1145,'gia dat'!$A$1:$F$144,6,0)," ")</f>
        <v xml:space="preserve"> </v>
      </c>
      <c r="M1145" s="900" t="str">
        <f t="shared" si="243"/>
        <v xml:space="preserve"> </v>
      </c>
      <c r="N1145" s="900" t="str">
        <f t="shared" si="244"/>
        <v xml:space="preserve"> </v>
      </c>
      <c r="O1145" s="894"/>
      <c r="P1145" s="1046"/>
      <c r="Q1145" s="900" t="str">
        <f>IF(O1145&lt;&gt;0,VLOOKUP(O1145,'Cây trong'!$A$2:$C$246,3,0)," ")</f>
        <v xml:space="preserve"> </v>
      </c>
      <c r="R1145" s="900" t="str">
        <f t="shared" si="245"/>
        <v xml:space="preserve"> </v>
      </c>
      <c r="S1145" s="902"/>
      <c r="T1145" s="925"/>
      <c r="U1145" s="1042"/>
      <c r="V1145" s="929"/>
      <c r="W1145" s="900" t="str">
        <f>IF(S1145&lt;&gt;0,VLOOKUP(S1145,VKT!$A$2:$G$415,7,0),"")</f>
        <v/>
      </c>
      <c r="X1145" s="900" t="str">
        <f t="shared" si="240"/>
        <v xml:space="preserve"> </v>
      </c>
      <c r="Y1145" s="1016"/>
      <c r="Z1145" s="1016"/>
      <c r="AA1145" s="1016"/>
      <c r="AB1145" s="1026"/>
      <c r="AC1145" s="1016"/>
      <c r="AD1145" s="1016"/>
      <c r="AE1145" s="1016"/>
      <c r="AF1145" s="926"/>
      <c r="AG1145" s="906" t="str">
        <f>IF(AE1145&lt;&gt;0,VLOOKUP(AE1145,ODDS!$A$2:$C$13,3,0),"")</f>
        <v/>
      </c>
      <c r="AH1145" s="906" t="str">
        <f t="shared" si="246"/>
        <v xml:space="preserve"> </v>
      </c>
      <c r="AI1145" s="907" t="str">
        <f t="shared" si="237"/>
        <v xml:space="preserve"> </v>
      </c>
      <c r="AJ1145" s="894"/>
      <c r="AK1145" s="929"/>
    </row>
    <row r="1146" spans="1:37" s="385" customFormat="1" ht="43.5" outlineLevel="1" x14ac:dyDescent="0.25">
      <c r="A1146" s="467" t="s">
        <v>2622</v>
      </c>
      <c r="B1146" s="912">
        <v>88</v>
      </c>
      <c r="C1146" s="910" t="s">
        <v>849</v>
      </c>
      <c r="D1146" s="1037"/>
      <c r="E1146" s="1037"/>
      <c r="F1146" s="1038"/>
      <c r="G1146" s="910"/>
      <c r="H1146" s="1039">
        <f>SUBTOTAL(9,H1147:H1153)</f>
        <v>1919.9</v>
      </c>
      <c r="I1146" s="915">
        <f>SUBTOTAL(9,I1147:I1152)</f>
        <v>0</v>
      </c>
      <c r="J1146" s="933"/>
      <c r="K1146" s="917"/>
      <c r="L1146" s="917"/>
      <c r="M1146" s="907">
        <f>SUBTOTAL(9,M1147:M1153)</f>
        <v>723418000</v>
      </c>
      <c r="N1146" s="907">
        <f>SUBTOTAL(9,N1147:N1153)</f>
        <v>0</v>
      </c>
      <c r="O1146" s="914"/>
      <c r="P1146" s="1044">
        <f>SUBTOTAL(9,P1147:P1153)</f>
        <v>21</v>
      </c>
      <c r="Q1146" s="907"/>
      <c r="R1146" s="907">
        <f>SUBTOTAL(9,R1147:R1153)</f>
        <v>2568000</v>
      </c>
      <c r="S1146" s="918"/>
      <c r="T1146" s="933"/>
      <c r="U1146" s="1040">
        <f>SUBTOTAL(9,U1147:U1153)</f>
        <v>0</v>
      </c>
      <c r="V1146" s="943"/>
      <c r="W1146" s="907"/>
      <c r="X1146" s="907">
        <f>SUBTOTAL(9,X1147:X1153)</f>
        <v>0</v>
      </c>
      <c r="Y1146" s="1016"/>
      <c r="Z1146" s="1016"/>
      <c r="AA1146" s="1016"/>
      <c r="AB1146" s="1026"/>
      <c r="AC1146" s="1016"/>
      <c r="AD1146" s="1016"/>
      <c r="AE1146" s="985"/>
      <c r="AF1146" s="935">
        <f>SUBTOTAL(9,AF1147:AF1153)</f>
        <v>0</v>
      </c>
      <c r="AG1146" s="921"/>
      <c r="AH1146" s="921">
        <f>SUBTOTAL(9,AH1147:AH1153)</f>
        <v>0</v>
      </c>
      <c r="AI1146" s="907">
        <f t="shared" si="237"/>
        <v>725986000</v>
      </c>
      <c r="AJ1146" s="910"/>
      <c r="AK1146" s="914"/>
    </row>
    <row r="1147" spans="1:37" s="385" customFormat="1" ht="135" outlineLevel="2" x14ac:dyDescent="0.3">
      <c r="A1147" s="447">
        <f>IF(B1146&lt;&gt;0,B1146,A1145)</f>
        <v>88</v>
      </c>
      <c r="B1147" s="893"/>
      <c r="C1147" s="894" t="s">
        <v>851</v>
      </c>
      <c r="D1147" s="950">
        <v>6</v>
      </c>
      <c r="E1147" s="950">
        <v>86</v>
      </c>
      <c r="F1147" s="1032">
        <v>32</v>
      </c>
      <c r="G1147" s="894" t="s">
        <v>2432</v>
      </c>
      <c r="H1147" s="1041">
        <f>1919.9-H1148</f>
        <v>1919.9</v>
      </c>
      <c r="I1147" s="882" t="str">
        <f t="shared" ref="I1147" si="249">IF(N1147&gt;0,H1147,"")</f>
        <v/>
      </c>
      <c r="J1147" s="925"/>
      <c r="K1147" s="899">
        <f>IF(G1147&lt;&gt;0,VLOOKUP(G1147,'gia dat'!$A$1:$F$144,5,0)," ")</f>
        <v>376800</v>
      </c>
      <c r="L1147" s="899">
        <f>IF(G1147&lt;&gt;0,VLOOKUP(G1147,'gia dat'!$A$1:$F$144,6,0)," ")</f>
        <v>0</v>
      </c>
      <c r="M1147" s="900">
        <f t="shared" si="243"/>
        <v>723418000</v>
      </c>
      <c r="N1147" s="900">
        <f t="shared" si="244"/>
        <v>0</v>
      </c>
      <c r="O1147" s="922" t="s">
        <v>400</v>
      </c>
      <c r="P1147" s="1046">
        <v>6</v>
      </c>
      <c r="Q1147" s="900">
        <f>IF(O1147&lt;&gt;0,VLOOKUP(O1147,'Cây trong'!$A$2:$C$246,3,0)," ")</f>
        <v>228000</v>
      </c>
      <c r="R1147" s="900">
        <f t="shared" si="245"/>
        <v>1368000</v>
      </c>
      <c r="S1147" s="902"/>
      <c r="T1147" s="925"/>
      <c r="U1147" s="1042"/>
      <c r="V1147" s="929"/>
      <c r="W1147" s="900" t="str">
        <f>IF(S1147&lt;&gt;0,VLOOKUP(S1147,VKT!$A$2:$G$415,7,0),"")</f>
        <v/>
      </c>
      <c r="X1147" s="900" t="str">
        <f t="shared" si="240"/>
        <v xml:space="preserve"> </v>
      </c>
      <c r="Y1147" s="1016"/>
      <c r="Z1147" s="1016"/>
      <c r="AA1147" s="1016"/>
      <c r="AB1147" s="1026"/>
      <c r="AC1147" s="1016"/>
      <c r="AD1147" s="1016"/>
      <c r="AE1147" s="1016"/>
      <c r="AF1147" s="926"/>
      <c r="AG1147" s="906" t="str">
        <f>IF(AE1147&lt;&gt;0,VLOOKUP(AE1147,ODDS!$A$2:$C$13,3,0),"")</f>
        <v/>
      </c>
      <c r="AH1147" s="906"/>
      <c r="AI1147" s="907" t="str">
        <f t="shared" si="237"/>
        <v xml:space="preserve"> </v>
      </c>
      <c r="AJ1147" s="894" t="s">
        <v>850</v>
      </c>
      <c r="AK1147" s="922" t="s">
        <v>2771</v>
      </c>
    </row>
    <row r="1148" spans="1:37" s="385" customFormat="1" ht="135" outlineLevel="2" x14ac:dyDescent="0.3">
      <c r="A1148" s="447">
        <f t="shared" ref="A1148:A1153" si="250">IF(B1147&lt;&gt;0,B1147,A1147)</f>
        <v>88</v>
      </c>
      <c r="B1148" s="893"/>
      <c r="C1148" s="894" t="s">
        <v>1570</v>
      </c>
      <c r="D1148" s="950"/>
      <c r="E1148" s="950"/>
      <c r="F1148" s="1032"/>
      <c r="G1148" s="894"/>
      <c r="H1148" s="1041"/>
      <c r="I1148" s="882"/>
      <c r="J1148" s="925"/>
      <c r="K1148" s="899" t="str">
        <f>IF(G1148&lt;&gt;0,VLOOKUP(G1148,'gia dat'!$A$1:$F$144,5,0)," ")</f>
        <v xml:space="preserve"> </v>
      </c>
      <c r="L1148" s="899" t="str">
        <f>IF(G1148&lt;&gt;0,VLOOKUP(G1148,'gia dat'!$A$1:$F$144,6,0)," ")</f>
        <v xml:space="preserve"> </v>
      </c>
      <c r="M1148" s="900" t="str">
        <f t="shared" si="243"/>
        <v xml:space="preserve"> </v>
      </c>
      <c r="N1148" s="900" t="str">
        <f t="shared" si="244"/>
        <v xml:space="preserve"> </v>
      </c>
      <c r="O1148" s="922" t="s">
        <v>401</v>
      </c>
      <c r="P1148" s="1046">
        <v>10</v>
      </c>
      <c r="Q1148" s="900">
        <f>IF(O1148&lt;&gt;0,VLOOKUP(O1148,'Cây trong'!$A$2:$C$246,3,0)," ")</f>
        <v>80000</v>
      </c>
      <c r="R1148" s="900">
        <f t="shared" si="245"/>
        <v>800000</v>
      </c>
      <c r="S1148" s="902"/>
      <c r="T1148" s="925"/>
      <c r="U1148" s="1042"/>
      <c r="V1148" s="929"/>
      <c r="W1148" s="900" t="str">
        <f>IF(S1148&lt;&gt;0,VLOOKUP(S1148,VKT!$A$2:$G$415,7,0),"")</f>
        <v/>
      </c>
      <c r="X1148" s="900" t="str">
        <f t="shared" si="240"/>
        <v xml:space="preserve"> </v>
      </c>
      <c r="Y1148" s="1016"/>
      <c r="Z1148" s="1016"/>
      <c r="AA1148" s="1016"/>
      <c r="AB1148" s="1026"/>
      <c r="AC1148" s="1016"/>
      <c r="AD1148" s="1016"/>
      <c r="AE1148" s="1016"/>
      <c r="AF1148" s="926"/>
      <c r="AG1148" s="906" t="str">
        <f>IF(AE1148&lt;&gt;0,VLOOKUP(AE1148,ODDS!$A$2:$C$13,3,0),"")</f>
        <v/>
      </c>
      <c r="AH1148" s="906" t="str">
        <f t="shared" si="246"/>
        <v xml:space="preserve"> </v>
      </c>
      <c r="AI1148" s="907" t="str">
        <f t="shared" si="237"/>
        <v xml:space="preserve"> </v>
      </c>
      <c r="AJ1148" s="894" t="s">
        <v>2919</v>
      </c>
      <c r="AK1148" s="894" t="s">
        <v>2449</v>
      </c>
    </row>
    <row r="1149" spans="1:37" s="385" customFormat="1" ht="45" outlineLevel="2" x14ac:dyDescent="0.3">
      <c r="A1149" s="447">
        <f t="shared" si="250"/>
        <v>88</v>
      </c>
      <c r="B1149" s="893"/>
      <c r="C1149" s="922"/>
      <c r="D1149" s="950"/>
      <c r="E1149" s="950"/>
      <c r="F1149" s="1032"/>
      <c r="G1149" s="894"/>
      <c r="H1149" s="1041"/>
      <c r="I1149" s="882"/>
      <c r="J1149" s="925"/>
      <c r="K1149" s="899" t="str">
        <f>IF(G1149&lt;&gt;0,VLOOKUP(G1149,'gia dat'!$A$1:$F$144,5,0)," ")</f>
        <v xml:space="preserve"> </v>
      </c>
      <c r="L1149" s="899" t="str">
        <f>IF(G1149&lt;&gt;0,VLOOKUP(G1149,'gia dat'!$A$1:$F$144,6,0)," ")</f>
        <v xml:space="preserve"> </v>
      </c>
      <c r="M1149" s="900" t="str">
        <f t="shared" si="243"/>
        <v xml:space="preserve"> </v>
      </c>
      <c r="N1149" s="900" t="str">
        <f t="shared" si="244"/>
        <v xml:space="preserve"> </v>
      </c>
      <c r="O1149" s="922" t="s">
        <v>401</v>
      </c>
      <c r="P1149" s="1046">
        <v>5</v>
      </c>
      <c r="Q1149" s="900">
        <f>IF(O1149&lt;&gt;0,VLOOKUP(O1149,'Cây trong'!$A$2:$C$246,3,0)," ")</f>
        <v>80000</v>
      </c>
      <c r="R1149" s="900">
        <f t="shared" si="245"/>
        <v>400000</v>
      </c>
      <c r="S1149" s="902"/>
      <c r="T1149" s="925"/>
      <c r="U1149" s="1042"/>
      <c r="V1149" s="929"/>
      <c r="W1149" s="900" t="str">
        <f>IF(S1149&lt;&gt;0,VLOOKUP(S1149,VKT!$A$2:$G$415,7,0),"")</f>
        <v/>
      </c>
      <c r="X1149" s="900" t="str">
        <f t="shared" si="240"/>
        <v xml:space="preserve"> </v>
      </c>
      <c r="Y1149" s="1016"/>
      <c r="Z1149" s="1016"/>
      <c r="AA1149" s="1016"/>
      <c r="AB1149" s="1026"/>
      <c r="AC1149" s="1016"/>
      <c r="AD1149" s="1016"/>
      <c r="AE1149" s="1016"/>
      <c r="AF1149" s="926"/>
      <c r="AG1149" s="906" t="str">
        <f>IF(AE1149&lt;&gt;0,VLOOKUP(AE1149,ODDS!$A$2:$C$13,3,0),"")</f>
        <v/>
      </c>
      <c r="AH1149" s="906" t="str">
        <f t="shared" si="246"/>
        <v xml:space="preserve"> </v>
      </c>
      <c r="AI1149" s="907" t="str">
        <f t="shared" si="237"/>
        <v xml:space="preserve"> </v>
      </c>
      <c r="AJ1149" s="929" t="s">
        <v>854</v>
      </c>
      <c r="AK1149" s="996"/>
    </row>
    <row r="1150" spans="1:37" s="385" customFormat="1" ht="135" outlineLevel="2" x14ac:dyDescent="0.3">
      <c r="A1150" s="447">
        <f t="shared" si="250"/>
        <v>88</v>
      </c>
      <c r="B1150" s="893"/>
      <c r="C1150" s="922"/>
      <c r="D1150" s="950"/>
      <c r="E1150" s="950"/>
      <c r="F1150" s="1032"/>
      <c r="G1150" s="894"/>
      <c r="H1150" s="1041"/>
      <c r="I1150" s="882"/>
      <c r="J1150" s="925"/>
      <c r="K1150" s="899" t="str">
        <f>IF(G1150&lt;&gt;0,VLOOKUP(G1150,'gia dat'!$A$1:$F$144,5,0)," ")</f>
        <v xml:space="preserve"> </v>
      </c>
      <c r="L1150" s="899" t="str">
        <f>IF(G1150&lt;&gt;0,VLOOKUP(G1150,'gia dat'!$A$1:$F$144,6,0)," ")</f>
        <v xml:space="preserve"> </v>
      </c>
      <c r="M1150" s="900" t="str">
        <f t="shared" si="243"/>
        <v xml:space="preserve"> </v>
      </c>
      <c r="N1150" s="900" t="str">
        <f t="shared" si="244"/>
        <v xml:space="preserve"> </v>
      </c>
      <c r="O1150" s="894"/>
      <c r="P1150" s="1046"/>
      <c r="Q1150" s="900" t="str">
        <f>IF(O1150&lt;&gt;0,VLOOKUP(O1150,'Cây trong'!$A$2:$C$246,3,0)," ")</f>
        <v xml:space="preserve"> </v>
      </c>
      <c r="R1150" s="900" t="str">
        <f t="shared" si="245"/>
        <v xml:space="preserve"> </v>
      </c>
      <c r="S1150" s="902"/>
      <c r="T1150" s="925"/>
      <c r="U1150" s="1042"/>
      <c r="V1150" s="929"/>
      <c r="W1150" s="900" t="str">
        <f>IF(S1150&lt;&gt;0,VLOOKUP(S1150,VKT!$A$2:$G$415,7,0),"")</f>
        <v/>
      </c>
      <c r="X1150" s="900" t="str">
        <f t="shared" si="240"/>
        <v xml:space="preserve"> </v>
      </c>
      <c r="Y1150" s="1016"/>
      <c r="Z1150" s="1016"/>
      <c r="AA1150" s="1016"/>
      <c r="AB1150" s="1026"/>
      <c r="AC1150" s="1016"/>
      <c r="AD1150" s="1016"/>
      <c r="AE1150" s="1016"/>
      <c r="AF1150" s="926"/>
      <c r="AG1150" s="906" t="str">
        <f>IF(AE1150&lt;&gt;0,VLOOKUP(AE1150,ODDS!$A$2:$C$13,3,0),"")</f>
        <v/>
      </c>
      <c r="AH1150" s="906" t="str">
        <f t="shared" si="246"/>
        <v xml:space="preserve"> </v>
      </c>
      <c r="AI1150" s="907" t="str">
        <f t="shared" si="237"/>
        <v xml:space="preserve"> </v>
      </c>
      <c r="AJ1150" s="894" t="s">
        <v>2220</v>
      </c>
      <c r="AK1150" s="902"/>
    </row>
    <row r="1151" spans="1:37" s="385" customFormat="1" ht="22.5" outlineLevel="2" x14ac:dyDescent="0.35">
      <c r="A1151" s="447">
        <f t="shared" si="250"/>
        <v>88</v>
      </c>
      <c r="B1151" s="893"/>
      <c r="C1151" s="922"/>
      <c r="D1151" s="950"/>
      <c r="E1151" s="950"/>
      <c r="F1151" s="1032"/>
      <c r="G1151" s="894"/>
      <c r="H1151" s="1041"/>
      <c r="I1151" s="882"/>
      <c r="J1151" s="925"/>
      <c r="K1151" s="899" t="str">
        <f>IF(G1151&lt;&gt;0,VLOOKUP(G1151,'gia dat'!$A$1:$F$144,5,0)," ")</f>
        <v xml:space="preserve"> </v>
      </c>
      <c r="L1151" s="899" t="str">
        <f>IF(G1151&lt;&gt;0,VLOOKUP(G1151,'gia dat'!$A$1:$F$144,6,0)," ")</f>
        <v xml:space="preserve"> </v>
      </c>
      <c r="M1151" s="900" t="str">
        <f t="shared" si="243"/>
        <v xml:space="preserve"> </v>
      </c>
      <c r="N1151" s="900" t="str">
        <f t="shared" si="244"/>
        <v xml:space="preserve"> </v>
      </c>
      <c r="O1151" s="894"/>
      <c r="P1151" s="1046"/>
      <c r="Q1151" s="900" t="str">
        <f>IF(O1151&lt;&gt;0,VLOOKUP(O1151,'Cây trong'!$A$2:$C$246,3,0)," ")</f>
        <v xml:space="preserve"> </v>
      </c>
      <c r="R1151" s="900" t="str">
        <f t="shared" si="245"/>
        <v xml:space="preserve"> </v>
      </c>
      <c r="S1151" s="902"/>
      <c r="T1151" s="925"/>
      <c r="U1151" s="1042"/>
      <c r="V1151" s="929"/>
      <c r="W1151" s="900" t="str">
        <f>IF(S1151&lt;&gt;0,VLOOKUP(S1151,VKT!$A$2:$G$415,7,0),"")</f>
        <v/>
      </c>
      <c r="X1151" s="900" t="str">
        <f t="shared" si="240"/>
        <v xml:space="preserve"> </v>
      </c>
      <c r="Y1151" s="1016"/>
      <c r="Z1151" s="1016"/>
      <c r="AA1151" s="1016"/>
      <c r="AB1151" s="1026"/>
      <c r="AC1151" s="1016"/>
      <c r="AD1151" s="1016"/>
      <c r="AE1151" s="1016"/>
      <c r="AF1151" s="926"/>
      <c r="AG1151" s="906" t="str">
        <f>IF(AE1151&lt;&gt;0,VLOOKUP(AE1151,ODDS!$A$2:$C$13,3,0),"")</f>
        <v/>
      </c>
      <c r="AH1151" s="906" t="str">
        <f t="shared" si="246"/>
        <v xml:space="preserve"> </v>
      </c>
      <c r="AI1151" s="907" t="str">
        <f t="shared" si="237"/>
        <v xml:space="preserve"> </v>
      </c>
      <c r="AJ1151" s="1036"/>
      <c r="AK1151" s="902"/>
    </row>
    <row r="1152" spans="1:37" s="385" customFormat="1" ht="22.5" outlineLevel="2" x14ac:dyDescent="0.3">
      <c r="A1152" s="447">
        <f t="shared" si="250"/>
        <v>88</v>
      </c>
      <c r="B1152" s="893"/>
      <c r="C1152" s="922"/>
      <c r="D1152" s="950"/>
      <c r="E1152" s="950"/>
      <c r="F1152" s="1032"/>
      <c r="G1152" s="894"/>
      <c r="H1152" s="1041"/>
      <c r="I1152" s="882"/>
      <c r="J1152" s="925"/>
      <c r="K1152" s="899" t="str">
        <f>IF(G1152&lt;&gt;0,VLOOKUP(G1152,'gia dat'!$A$1:$F$144,5,0)," ")</f>
        <v xml:space="preserve"> </v>
      </c>
      <c r="L1152" s="899" t="str">
        <f>IF(G1152&lt;&gt;0,VLOOKUP(G1152,'gia dat'!$A$1:$F$144,6,0)," ")</f>
        <v xml:space="preserve"> </v>
      </c>
      <c r="M1152" s="900" t="str">
        <f t="shared" si="243"/>
        <v xml:space="preserve"> </v>
      </c>
      <c r="N1152" s="900" t="str">
        <f t="shared" si="244"/>
        <v xml:space="preserve"> </v>
      </c>
      <c r="O1152" s="894"/>
      <c r="P1152" s="1046"/>
      <c r="Q1152" s="900" t="str">
        <f>IF(O1152&lt;&gt;0,VLOOKUP(O1152,'Cây trong'!$A$2:$C$246,3,0)," ")</f>
        <v xml:space="preserve"> </v>
      </c>
      <c r="R1152" s="900" t="str">
        <f t="shared" si="245"/>
        <v xml:space="preserve"> </v>
      </c>
      <c r="S1152" s="902"/>
      <c r="T1152" s="925"/>
      <c r="U1152" s="1042"/>
      <c r="V1152" s="929"/>
      <c r="W1152" s="900" t="str">
        <f>IF(S1152&lt;&gt;0,VLOOKUP(S1152,VKT!$A$2:$G$415,7,0),"")</f>
        <v/>
      </c>
      <c r="X1152" s="900" t="str">
        <f t="shared" si="240"/>
        <v xml:space="preserve"> </v>
      </c>
      <c r="Y1152" s="1016"/>
      <c r="Z1152" s="1016"/>
      <c r="AA1152" s="1016"/>
      <c r="AB1152" s="1026"/>
      <c r="AC1152" s="1016"/>
      <c r="AD1152" s="1016"/>
      <c r="AE1152" s="1016"/>
      <c r="AF1152" s="926"/>
      <c r="AG1152" s="906" t="str">
        <f>IF(AE1152&lt;&gt;0,VLOOKUP(AE1152,ODDS!$A$2:$C$13,3,0),"")</f>
        <v/>
      </c>
      <c r="AH1152" s="906" t="str">
        <f t="shared" si="246"/>
        <v xml:space="preserve"> </v>
      </c>
      <c r="AI1152" s="907" t="str">
        <f t="shared" si="237"/>
        <v xml:space="preserve"> </v>
      </c>
      <c r="AJ1152" s="929"/>
      <c r="AK1152" s="902"/>
    </row>
    <row r="1153" spans="1:38" s="385" customFormat="1" ht="22.5" outlineLevel="2" x14ac:dyDescent="0.3">
      <c r="A1153" s="447">
        <f t="shared" si="250"/>
        <v>88</v>
      </c>
      <c r="B1153" s="893"/>
      <c r="C1153" s="910"/>
      <c r="D1153" s="950"/>
      <c r="E1153" s="950"/>
      <c r="F1153" s="1032"/>
      <c r="G1153" s="894"/>
      <c r="H1153" s="1041"/>
      <c r="I1153" s="882"/>
      <c r="J1153" s="925"/>
      <c r="K1153" s="899" t="str">
        <f>IF(G1153&lt;&gt;0,VLOOKUP(G1153,'gia dat'!$A$1:$F$144,5,0)," ")</f>
        <v xml:space="preserve"> </v>
      </c>
      <c r="L1153" s="899" t="str">
        <f>IF(G1153&lt;&gt;0,VLOOKUP(G1153,'gia dat'!$A$1:$F$144,6,0)," ")</f>
        <v xml:space="preserve"> </v>
      </c>
      <c r="M1153" s="900" t="str">
        <f t="shared" si="243"/>
        <v xml:space="preserve"> </v>
      </c>
      <c r="N1153" s="900" t="str">
        <f t="shared" si="244"/>
        <v xml:space="preserve"> </v>
      </c>
      <c r="O1153" s="894"/>
      <c r="P1153" s="1046"/>
      <c r="Q1153" s="900" t="str">
        <f>IF(O1153&lt;&gt;0,VLOOKUP(O1153,'Cây trong'!$A$2:$C$246,3,0)," ")</f>
        <v xml:space="preserve"> </v>
      </c>
      <c r="R1153" s="900" t="str">
        <f t="shared" si="245"/>
        <v xml:space="preserve"> </v>
      </c>
      <c r="S1153" s="902"/>
      <c r="T1153" s="925"/>
      <c r="U1153" s="1042"/>
      <c r="V1153" s="929"/>
      <c r="W1153" s="900" t="str">
        <f>IF(S1153&lt;&gt;0,VLOOKUP(S1153,VKT!$A$2:$G$415,7,0),"")</f>
        <v/>
      </c>
      <c r="X1153" s="900" t="str">
        <f t="shared" si="240"/>
        <v xml:space="preserve"> </v>
      </c>
      <c r="Y1153" s="1016"/>
      <c r="Z1153" s="1016"/>
      <c r="AA1153" s="1016"/>
      <c r="AB1153" s="1026"/>
      <c r="AC1153" s="1016"/>
      <c r="AD1153" s="1016"/>
      <c r="AE1153" s="1016"/>
      <c r="AF1153" s="926"/>
      <c r="AG1153" s="906" t="str">
        <f>IF(AE1153&lt;&gt;0,VLOOKUP(AE1153,ODDS!$A$2:$C$13,3,0),"")</f>
        <v/>
      </c>
      <c r="AH1153" s="906" t="str">
        <f t="shared" si="246"/>
        <v xml:space="preserve"> </v>
      </c>
      <c r="AI1153" s="907" t="str">
        <f t="shared" si="237"/>
        <v xml:space="preserve"> </v>
      </c>
      <c r="AJ1153" s="929"/>
      <c r="AK1153" s="902"/>
    </row>
    <row r="1154" spans="1:38" s="385" customFormat="1" ht="43.5" outlineLevel="1" x14ac:dyDescent="0.25">
      <c r="A1154" s="467" t="s">
        <v>2621</v>
      </c>
      <c r="B1154" s="912">
        <v>89</v>
      </c>
      <c r="C1154" s="910" t="s">
        <v>48</v>
      </c>
      <c r="D1154" s="1037"/>
      <c r="E1154" s="1037"/>
      <c r="F1154" s="1038"/>
      <c r="G1154" s="910"/>
      <c r="H1154" s="1039">
        <f>SUBTOTAL(9,H1155:H1160)</f>
        <v>2234.6999999999998</v>
      </c>
      <c r="I1154" s="915">
        <f>SUBTOTAL(9,I1155:I1160)</f>
        <v>2234.6999999999998</v>
      </c>
      <c r="J1154" s="933"/>
      <c r="K1154" s="917"/>
      <c r="L1154" s="917"/>
      <c r="M1154" s="907">
        <f>SUBTOTAL(9,M1155:M1160)</f>
        <v>1040476000</v>
      </c>
      <c r="N1154" s="907">
        <f>SUBTOTAL(9,N1155:N1160)</f>
        <v>3121429000</v>
      </c>
      <c r="O1154" s="910"/>
      <c r="P1154" s="1044">
        <f>SUBTOTAL(9,P1155:P1160)</f>
        <v>0</v>
      </c>
      <c r="Q1154" s="907"/>
      <c r="R1154" s="907">
        <f>SUBTOTAL(9,R1155:R1160)</f>
        <v>0</v>
      </c>
      <c r="S1154" s="918"/>
      <c r="T1154" s="933"/>
      <c r="U1154" s="1040">
        <f>SUBTOTAL(9,U1155:U1160)</f>
        <v>0</v>
      </c>
      <c r="V1154" s="943"/>
      <c r="W1154" s="907"/>
      <c r="X1154" s="907">
        <f>SUBTOTAL(9,X1155:X1160)</f>
        <v>0</v>
      </c>
      <c r="Y1154" s="1016"/>
      <c r="Z1154" s="1016"/>
      <c r="AA1154" s="1016"/>
      <c r="AB1154" s="1026"/>
      <c r="AC1154" s="1016"/>
      <c r="AD1154" s="1016"/>
      <c r="AE1154" s="985"/>
      <c r="AF1154" s="935">
        <f>SUBTOTAL(9,AF1155:AF1160)</f>
        <v>0</v>
      </c>
      <c r="AG1154" s="921"/>
      <c r="AH1154" s="921">
        <f>SUBTOTAL(9,AH1155:AH1160)</f>
        <v>0</v>
      </c>
      <c r="AI1154" s="907">
        <f t="shared" si="237"/>
        <v>4161905000</v>
      </c>
      <c r="AJ1154" s="910"/>
      <c r="AK1154" s="914"/>
    </row>
    <row r="1155" spans="1:38" s="385" customFormat="1" ht="135" outlineLevel="2" x14ac:dyDescent="0.3">
      <c r="A1155" s="447">
        <f>IF(B1154&lt;&gt;0,B1154,A1153)</f>
        <v>89</v>
      </c>
      <c r="B1155" s="893"/>
      <c r="C1155" s="894" t="s">
        <v>280</v>
      </c>
      <c r="D1155" s="950">
        <v>1</v>
      </c>
      <c r="E1155" s="950">
        <v>86</v>
      </c>
      <c r="F1155" s="1032">
        <v>33</v>
      </c>
      <c r="G1155" s="894" t="s">
        <v>2864</v>
      </c>
      <c r="H1155" s="1041">
        <v>2234.6999999999998</v>
      </c>
      <c r="I1155" s="882">
        <f t="shared" ref="I1155" si="251">IF(N1155&gt;0,H1155,"")</f>
        <v>2234.6999999999998</v>
      </c>
      <c r="J1155" s="925"/>
      <c r="K1155" s="899">
        <f>IF(G1155&lt;&gt;0,VLOOKUP(G1155,'gia dat'!$A$1:$F$144,5,0)," ")</f>
        <v>465600</v>
      </c>
      <c r="L1155" s="899">
        <f>IF(G1155&lt;&gt;0,VLOOKUP(G1155,'gia dat'!$A$1:$F$144,6,0)," ")</f>
        <v>1396800</v>
      </c>
      <c r="M1155" s="900">
        <f t="shared" si="243"/>
        <v>1040476000</v>
      </c>
      <c r="N1155" s="900">
        <f t="shared" si="244"/>
        <v>3121429000</v>
      </c>
      <c r="O1155" s="894"/>
      <c r="P1155" s="1046"/>
      <c r="Q1155" s="900" t="str">
        <f>IF(O1155&lt;&gt;0,VLOOKUP(O1155,'Cây trong'!$A$2:$C$246,3,0)," ")</f>
        <v xml:space="preserve"> </v>
      </c>
      <c r="R1155" s="900" t="str">
        <f t="shared" si="245"/>
        <v xml:space="preserve"> </v>
      </c>
      <c r="S1155" s="902"/>
      <c r="T1155" s="925"/>
      <c r="U1155" s="1042"/>
      <c r="V1155" s="929"/>
      <c r="W1155" s="900" t="str">
        <f>IF(S1155&lt;&gt;0,VLOOKUP(S1155,VKT!$A$2:$G$415,7,0),"")</f>
        <v/>
      </c>
      <c r="X1155" s="900" t="str">
        <f t="shared" si="240"/>
        <v xml:space="preserve"> </v>
      </c>
      <c r="Y1155" s="1016"/>
      <c r="Z1155" s="1016"/>
      <c r="AA1155" s="1016"/>
      <c r="AB1155" s="1026"/>
      <c r="AC1155" s="1016"/>
      <c r="AD1155" s="1016"/>
      <c r="AE1155" s="1016"/>
      <c r="AF1155" s="926"/>
      <c r="AG1155" s="906" t="str">
        <f>IF(AE1155&lt;&gt;0,VLOOKUP(AE1155,ODDS!$A$2:$C$13,3,0),"")</f>
        <v/>
      </c>
      <c r="AH1155" s="906"/>
      <c r="AI1155" s="907" t="str">
        <f t="shared" si="237"/>
        <v xml:space="preserve"> </v>
      </c>
      <c r="AJ1155" s="894" t="s">
        <v>856</v>
      </c>
      <c r="AK1155" s="922" t="s">
        <v>2771</v>
      </c>
      <c r="AL1155" s="385" t="s">
        <v>2221</v>
      </c>
    </row>
    <row r="1156" spans="1:38" s="385" customFormat="1" ht="135" outlineLevel="2" x14ac:dyDescent="0.3">
      <c r="A1156" s="447">
        <f>IF(B1155&lt;&gt;0,B1155,A1155)</f>
        <v>89</v>
      </c>
      <c r="B1156" s="893"/>
      <c r="C1156" s="922" t="s">
        <v>858</v>
      </c>
      <c r="D1156" s="950"/>
      <c r="E1156" s="950"/>
      <c r="F1156" s="1032"/>
      <c r="G1156" s="894"/>
      <c r="H1156" s="1041"/>
      <c r="I1156" s="882"/>
      <c r="J1156" s="925"/>
      <c r="K1156" s="899" t="str">
        <f>IF(G1156&lt;&gt;0,VLOOKUP(G1156,'gia dat'!$A$1:$F$144,5,0)," ")</f>
        <v xml:space="preserve"> </v>
      </c>
      <c r="L1156" s="899" t="str">
        <f>IF(G1156&lt;&gt;0,VLOOKUP(G1156,'gia dat'!$A$1:$F$144,6,0)," ")</f>
        <v xml:space="preserve"> </v>
      </c>
      <c r="M1156" s="900" t="str">
        <f t="shared" si="243"/>
        <v xml:space="preserve"> </v>
      </c>
      <c r="N1156" s="900" t="str">
        <f t="shared" si="244"/>
        <v xml:space="preserve"> </v>
      </c>
      <c r="O1156" s="894"/>
      <c r="P1156" s="1046"/>
      <c r="Q1156" s="900" t="str">
        <f>IF(O1156&lt;&gt;0,VLOOKUP(O1156,'Cây trong'!$A$2:$C$246,3,0)," ")</f>
        <v xml:space="preserve"> </v>
      </c>
      <c r="R1156" s="900" t="str">
        <f t="shared" si="245"/>
        <v xml:space="preserve"> </v>
      </c>
      <c r="S1156" s="902"/>
      <c r="T1156" s="925"/>
      <c r="U1156" s="1042"/>
      <c r="V1156" s="929"/>
      <c r="W1156" s="900" t="str">
        <f>IF(S1156&lt;&gt;0,VLOOKUP(S1156,VKT!$A$2:$G$415,7,0),"")</f>
        <v/>
      </c>
      <c r="X1156" s="900" t="str">
        <f t="shared" si="240"/>
        <v xml:space="preserve"> </v>
      </c>
      <c r="Y1156" s="1016"/>
      <c r="Z1156" s="1016"/>
      <c r="AA1156" s="1016"/>
      <c r="AB1156" s="1026"/>
      <c r="AC1156" s="1016"/>
      <c r="AD1156" s="1016"/>
      <c r="AE1156" s="1016"/>
      <c r="AF1156" s="926"/>
      <c r="AG1156" s="906" t="str">
        <f>IF(AE1156&lt;&gt;0,VLOOKUP(AE1156,ODDS!$A$2:$C$13,3,0),"")</f>
        <v/>
      </c>
      <c r="AH1156" s="906" t="str">
        <f t="shared" si="246"/>
        <v xml:space="preserve"> </v>
      </c>
      <c r="AI1156" s="907" t="str">
        <f t="shared" si="237"/>
        <v xml:space="preserve"> </v>
      </c>
      <c r="AJ1156" s="894" t="s">
        <v>2920</v>
      </c>
      <c r="AK1156" s="894" t="s">
        <v>2448</v>
      </c>
    </row>
    <row r="1157" spans="1:38" s="385" customFormat="1" ht="22.5" outlineLevel="2" x14ac:dyDescent="0.3">
      <c r="A1157" s="447">
        <f>IF(B1156&lt;&gt;0,B1156,A1156)</f>
        <v>89</v>
      </c>
      <c r="B1157" s="893"/>
      <c r="C1157" s="894"/>
      <c r="D1157" s="950"/>
      <c r="E1157" s="950"/>
      <c r="F1157" s="1032"/>
      <c r="G1157" s="894"/>
      <c r="H1157" s="1041"/>
      <c r="I1157" s="882"/>
      <c r="J1157" s="925"/>
      <c r="K1157" s="899" t="str">
        <f>IF(G1157&lt;&gt;0,VLOOKUP(G1157,'gia dat'!$A$1:$F$144,5,0)," ")</f>
        <v xml:space="preserve"> </v>
      </c>
      <c r="L1157" s="899" t="str">
        <f>IF(G1157&lt;&gt;0,VLOOKUP(G1157,'gia dat'!$A$1:$F$144,6,0)," ")</f>
        <v xml:space="preserve"> </v>
      </c>
      <c r="M1157" s="900" t="str">
        <f t="shared" si="243"/>
        <v xml:space="preserve"> </v>
      </c>
      <c r="N1157" s="900" t="str">
        <f t="shared" si="244"/>
        <v xml:space="preserve"> </v>
      </c>
      <c r="O1157" s="894"/>
      <c r="P1157" s="1046"/>
      <c r="Q1157" s="900" t="str">
        <f>IF(O1157&lt;&gt;0,VLOOKUP(O1157,'Cây trong'!$A$2:$C$246,3,0)," ")</f>
        <v xml:space="preserve"> </v>
      </c>
      <c r="R1157" s="900" t="str">
        <f t="shared" si="245"/>
        <v xml:space="preserve"> </v>
      </c>
      <c r="S1157" s="902"/>
      <c r="T1157" s="925"/>
      <c r="U1157" s="1042"/>
      <c r="V1157" s="929"/>
      <c r="W1157" s="900" t="str">
        <f>IF(S1157&lt;&gt;0,VLOOKUP(S1157,VKT!$A$2:$G$415,7,0),"")</f>
        <v/>
      </c>
      <c r="X1157" s="900" t="str">
        <f t="shared" si="240"/>
        <v xml:space="preserve"> </v>
      </c>
      <c r="Y1157" s="1016"/>
      <c r="Z1157" s="1016"/>
      <c r="AA1157" s="1016"/>
      <c r="AB1157" s="1026"/>
      <c r="AC1157" s="1016"/>
      <c r="AD1157" s="1016"/>
      <c r="AE1157" s="1016"/>
      <c r="AF1157" s="926"/>
      <c r="AG1157" s="906" t="str">
        <f>IF(AE1157&lt;&gt;0,VLOOKUP(AE1157,ODDS!$A$2:$C$13,3,0),"")</f>
        <v/>
      </c>
      <c r="AH1157" s="906" t="str">
        <f t="shared" si="246"/>
        <v xml:space="preserve"> </v>
      </c>
      <c r="AI1157" s="907" t="str">
        <f t="shared" si="237"/>
        <v xml:space="preserve"> </v>
      </c>
      <c r="AJ1157" s="929" t="s">
        <v>859</v>
      </c>
      <c r="AK1157" s="902"/>
    </row>
    <row r="1158" spans="1:38" s="385" customFormat="1" ht="67.5" outlineLevel="2" x14ac:dyDescent="0.3">
      <c r="A1158" s="447">
        <f>IF(B1157&lt;&gt;0,B1157,A1157)</f>
        <v>89</v>
      </c>
      <c r="B1158" s="893"/>
      <c r="C1158" s="910"/>
      <c r="D1158" s="950"/>
      <c r="E1158" s="950"/>
      <c r="F1158" s="1032"/>
      <c r="G1158" s="894"/>
      <c r="H1158" s="1041"/>
      <c r="I1158" s="882"/>
      <c r="J1158" s="925"/>
      <c r="K1158" s="899" t="str">
        <f>IF(G1158&lt;&gt;0,VLOOKUP(G1158,'gia dat'!$A$1:$F$144,5,0)," ")</f>
        <v xml:space="preserve"> </v>
      </c>
      <c r="L1158" s="899" t="str">
        <f>IF(G1158&lt;&gt;0,VLOOKUP(G1158,'gia dat'!$A$1:$F$144,6,0)," ")</f>
        <v xml:space="preserve"> </v>
      </c>
      <c r="M1158" s="900" t="str">
        <f t="shared" si="243"/>
        <v xml:space="preserve"> </v>
      </c>
      <c r="N1158" s="900" t="str">
        <f t="shared" si="244"/>
        <v xml:space="preserve"> </v>
      </c>
      <c r="O1158" s="894"/>
      <c r="P1158" s="1046"/>
      <c r="Q1158" s="900" t="str">
        <f>IF(O1158&lt;&gt;0,VLOOKUP(O1158,'Cây trong'!$A$2:$C$246,3,0)," ")</f>
        <v xml:space="preserve"> </v>
      </c>
      <c r="R1158" s="900" t="str">
        <f t="shared" si="245"/>
        <v xml:space="preserve"> </v>
      </c>
      <c r="S1158" s="902"/>
      <c r="T1158" s="925"/>
      <c r="U1158" s="1042"/>
      <c r="V1158" s="929"/>
      <c r="W1158" s="900" t="str">
        <f>IF(S1158&lt;&gt;0,VLOOKUP(S1158,VKT!$A$2:$G$415,7,0),"")</f>
        <v/>
      </c>
      <c r="X1158" s="900" t="str">
        <f t="shared" si="240"/>
        <v xml:space="preserve"> </v>
      </c>
      <c r="Y1158" s="1016"/>
      <c r="Z1158" s="1016"/>
      <c r="AA1158" s="1016"/>
      <c r="AB1158" s="1026"/>
      <c r="AC1158" s="1016"/>
      <c r="AD1158" s="1016"/>
      <c r="AE1158" s="1016"/>
      <c r="AF1158" s="926"/>
      <c r="AG1158" s="906" t="str">
        <f>IF(AE1158&lt;&gt;0,VLOOKUP(AE1158,ODDS!$A$2:$C$13,3,0),"")</f>
        <v/>
      </c>
      <c r="AH1158" s="906" t="str">
        <f t="shared" si="246"/>
        <v xml:space="preserve"> </v>
      </c>
      <c r="AI1158" s="907" t="str">
        <f t="shared" si="237"/>
        <v xml:space="preserve"> </v>
      </c>
      <c r="AJ1158" s="894" t="s">
        <v>2074</v>
      </c>
      <c r="AK1158" s="929"/>
    </row>
    <row r="1159" spans="1:38" s="385" customFormat="1" ht="22.5" outlineLevel="2" x14ac:dyDescent="0.35">
      <c r="A1159" s="447">
        <f>IF(B1158&lt;&gt;0,B1158,A1158)</f>
        <v>89</v>
      </c>
      <c r="B1159" s="893"/>
      <c r="C1159" s="910"/>
      <c r="D1159" s="950"/>
      <c r="E1159" s="950"/>
      <c r="F1159" s="1032"/>
      <c r="G1159" s="894"/>
      <c r="H1159" s="1041"/>
      <c r="I1159" s="882"/>
      <c r="J1159" s="925"/>
      <c r="K1159" s="899" t="str">
        <f>IF(G1159&lt;&gt;0,VLOOKUP(G1159,'gia dat'!$A$1:$F$144,5,0)," ")</f>
        <v xml:space="preserve"> </v>
      </c>
      <c r="L1159" s="899" t="str">
        <f>IF(G1159&lt;&gt;0,VLOOKUP(G1159,'gia dat'!$A$1:$F$144,6,0)," ")</f>
        <v xml:space="preserve"> </v>
      </c>
      <c r="M1159" s="900" t="str">
        <f t="shared" si="243"/>
        <v xml:space="preserve"> </v>
      </c>
      <c r="N1159" s="900" t="str">
        <f t="shared" si="244"/>
        <v xml:space="preserve"> </v>
      </c>
      <c r="O1159" s="894"/>
      <c r="P1159" s="1046"/>
      <c r="Q1159" s="900" t="str">
        <f>IF(O1159&lt;&gt;0,VLOOKUP(O1159,'Cây trong'!$A$2:$C$246,3,0)," ")</f>
        <v xml:space="preserve"> </v>
      </c>
      <c r="R1159" s="900" t="str">
        <f t="shared" si="245"/>
        <v xml:space="preserve"> </v>
      </c>
      <c r="S1159" s="902"/>
      <c r="T1159" s="925"/>
      <c r="U1159" s="1042"/>
      <c r="V1159" s="929"/>
      <c r="W1159" s="900" t="str">
        <f>IF(S1159&lt;&gt;0,VLOOKUP(S1159,VKT!$A$2:$G$415,7,0),"")</f>
        <v/>
      </c>
      <c r="X1159" s="900" t="str">
        <f t="shared" si="240"/>
        <v xml:space="preserve"> </v>
      </c>
      <c r="Y1159" s="1016"/>
      <c r="Z1159" s="1016"/>
      <c r="AA1159" s="1016"/>
      <c r="AB1159" s="1026"/>
      <c r="AC1159" s="1016"/>
      <c r="AD1159" s="1016"/>
      <c r="AE1159" s="1016"/>
      <c r="AF1159" s="926"/>
      <c r="AG1159" s="906" t="str">
        <f>IF(AE1159&lt;&gt;0,VLOOKUP(AE1159,ODDS!$A$2:$C$13,3,0),"")</f>
        <v/>
      </c>
      <c r="AH1159" s="906" t="str">
        <f t="shared" si="246"/>
        <v xml:space="preserve"> </v>
      </c>
      <c r="AI1159" s="907" t="str">
        <f t="shared" si="237"/>
        <v xml:space="preserve"> </v>
      </c>
      <c r="AJ1159" s="1036"/>
      <c r="AK1159" s="929"/>
    </row>
    <row r="1160" spans="1:38" s="385" customFormat="1" ht="22.5" outlineLevel="2" x14ac:dyDescent="0.3">
      <c r="A1160" s="447">
        <f>IF(B1159&lt;&gt;0,B1159,A1159)</f>
        <v>89</v>
      </c>
      <c r="B1160" s="893"/>
      <c r="C1160" s="910"/>
      <c r="D1160" s="950"/>
      <c r="E1160" s="950"/>
      <c r="F1160" s="1032"/>
      <c r="G1160" s="894"/>
      <c r="H1160" s="1041"/>
      <c r="I1160" s="882"/>
      <c r="J1160" s="925"/>
      <c r="K1160" s="899" t="str">
        <f>IF(G1160&lt;&gt;0,VLOOKUP(G1160,'gia dat'!$A$1:$F$144,5,0)," ")</f>
        <v xml:space="preserve"> </v>
      </c>
      <c r="L1160" s="899" t="str">
        <f>IF(G1160&lt;&gt;0,VLOOKUP(G1160,'gia dat'!$A$1:$F$144,6,0)," ")</f>
        <v xml:space="preserve"> </v>
      </c>
      <c r="M1160" s="900" t="str">
        <f t="shared" si="243"/>
        <v xml:space="preserve"> </v>
      </c>
      <c r="N1160" s="900" t="str">
        <f t="shared" si="244"/>
        <v xml:space="preserve"> </v>
      </c>
      <c r="O1160" s="894"/>
      <c r="P1160" s="1046"/>
      <c r="Q1160" s="900" t="str">
        <f>IF(O1160&lt;&gt;0,VLOOKUP(O1160,'Cây trong'!$A$2:$C$246,3,0)," ")</f>
        <v xml:space="preserve"> </v>
      </c>
      <c r="R1160" s="900" t="str">
        <f t="shared" si="245"/>
        <v xml:space="preserve"> </v>
      </c>
      <c r="S1160" s="902"/>
      <c r="T1160" s="925"/>
      <c r="U1160" s="1042"/>
      <c r="V1160" s="929"/>
      <c r="W1160" s="900" t="str">
        <f>IF(S1160&lt;&gt;0,VLOOKUP(S1160,VKT!$A$2:$G$415,7,0),"")</f>
        <v/>
      </c>
      <c r="X1160" s="900" t="str">
        <f t="shared" si="240"/>
        <v xml:space="preserve"> </v>
      </c>
      <c r="Y1160" s="1016"/>
      <c r="Z1160" s="1016"/>
      <c r="AA1160" s="1016"/>
      <c r="AB1160" s="1026"/>
      <c r="AC1160" s="1016"/>
      <c r="AD1160" s="1016"/>
      <c r="AE1160" s="1016"/>
      <c r="AF1160" s="926"/>
      <c r="AG1160" s="906" t="str">
        <f>IF(AE1160&lt;&gt;0,VLOOKUP(AE1160,ODDS!$A$2:$C$13,3,0),"")</f>
        <v/>
      </c>
      <c r="AH1160" s="906" t="str">
        <f t="shared" si="246"/>
        <v xml:space="preserve"> </v>
      </c>
      <c r="AI1160" s="907" t="str">
        <f t="shared" si="237"/>
        <v xml:space="preserve"> </v>
      </c>
      <c r="AJ1160" s="929"/>
      <c r="AK1160" s="929"/>
    </row>
    <row r="1161" spans="1:38" s="385" customFormat="1" ht="43.5" outlineLevel="1" x14ac:dyDescent="0.25">
      <c r="A1161" s="467" t="s">
        <v>2620</v>
      </c>
      <c r="B1161" s="912">
        <v>90</v>
      </c>
      <c r="C1161" s="910" t="s">
        <v>860</v>
      </c>
      <c r="D1161" s="1037"/>
      <c r="E1161" s="1037"/>
      <c r="F1161" s="1038"/>
      <c r="G1161" s="910"/>
      <c r="H1161" s="1039">
        <f>SUBTOTAL(9,H1162:H1167)</f>
        <v>536</v>
      </c>
      <c r="I1161" s="915">
        <f>SUBTOTAL(9,I1162:I1167)</f>
        <v>536</v>
      </c>
      <c r="J1161" s="933"/>
      <c r="K1161" s="917"/>
      <c r="L1161" s="917"/>
      <c r="M1161" s="907">
        <f>SUBTOTAL(9,M1162:M1167)</f>
        <v>297158000</v>
      </c>
      <c r="N1161" s="907">
        <f>SUBTOTAL(9,N1162:N1167)</f>
        <v>891475000</v>
      </c>
      <c r="O1161" s="910"/>
      <c r="P1161" s="1044">
        <f>SUBTOTAL(9,P1162:P1167)</f>
        <v>0</v>
      </c>
      <c r="Q1161" s="907"/>
      <c r="R1161" s="907">
        <f>SUBTOTAL(9,R1162:R1167)</f>
        <v>0</v>
      </c>
      <c r="S1161" s="918"/>
      <c r="T1161" s="933"/>
      <c r="U1161" s="1040">
        <f>SUBTOTAL(9,U1162:U1167)</f>
        <v>0</v>
      </c>
      <c r="V1161" s="943"/>
      <c r="W1161" s="907"/>
      <c r="X1161" s="907">
        <f>SUBTOTAL(9,X1162:X1167)</f>
        <v>0</v>
      </c>
      <c r="Y1161" s="1016"/>
      <c r="Z1161" s="1016"/>
      <c r="AA1161" s="1016"/>
      <c r="AB1161" s="1026"/>
      <c r="AC1161" s="1016"/>
      <c r="AD1161" s="1016"/>
      <c r="AE1161" s="985"/>
      <c r="AF1161" s="935">
        <f>SUBTOTAL(9,AF1162:AF1167)</f>
        <v>0</v>
      </c>
      <c r="AG1161" s="921"/>
      <c r="AH1161" s="921">
        <f>SUBTOTAL(9,AH1162:AH1167)</f>
        <v>0</v>
      </c>
      <c r="AI1161" s="907">
        <f t="shared" ref="AI1161:AI1224" si="252">IF(B1161&lt;&gt;0,M1161+N1161+R1161+X1161+AH1161," ")</f>
        <v>1188633000</v>
      </c>
      <c r="AJ1161" s="910"/>
      <c r="AK1161" s="914"/>
    </row>
    <row r="1162" spans="1:38" s="385" customFormat="1" ht="135" outlineLevel="2" x14ac:dyDescent="0.3">
      <c r="A1162" s="447">
        <f>IF(B1161&lt;&gt;0,B1161,A1160)</f>
        <v>90</v>
      </c>
      <c r="B1162" s="893"/>
      <c r="C1162" s="894" t="s">
        <v>863</v>
      </c>
      <c r="D1162" s="950">
        <v>5</v>
      </c>
      <c r="E1162" s="950">
        <v>86</v>
      </c>
      <c r="F1162" s="1032">
        <v>277</v>
      </c>
      <c r="G1162" s="894" t="s">
        <v>2888</v>
      </c>
      <c r="H1162" s="1041">
        <v>536</v>
      </c>
      <c r="I1162" s="882">
        <f t="shared" ref="I1162" si="253">IF(N1162&gt;0,H1162,"")</f>
        <v>536</v>
      </c>
      <c r="J1162" s="925"/>
      <c r="K1162" s="899">
        <f>IF(G1162&lt;&gt;0,VLOOKUP(G1162,'gia dat'!$A$1:$F$144,5,0)," ")</f>
        <v>554400</v>
      </c>
      <c r="L1162" s="899">
        <f>IF(G1162&lt;&gt;0,VLOOKUP(G1162,'gia dat'!$A$1:$F$144,6,0)," ")</f>
        <v>1663200</v>
      </c>
      <c r="M1162" s="900">
        <f t="shared" si="243"/>
        <v>297158000</v>
      </c>
      <c r="N1162" s="900">
        <f t="shared" si="244"/>
        <v>891475000</v>
      </c>
      <c r="O1162" s="894"/>
      <c r="P1162" s="1046"/>
      <c r="Q1162" s="900" t="str">
        <f>IF(O1162&lt;&gt;0,VLOOKUP(O1162,'Cây trong'!$A$2:$C$246,3,0)," ")</f>
        <v xml:space="preserve"> </v>
      </c>
      <c r="R1162" s="900" t="str">
        <f t="shared" si="245"/>
        <v xml:space="preserve"> </v>
      </c>
      <c r="S1162" s="902"/>
      <c r="T1162" s="925"/>
      <c r="U1162" s="1042"/>
      <c r="V1162" s="929"/>
      <c r="W1162" s="900" t="str">
        <f>IF(S1162&lt;&gt;0,VLOOKUP(S1162,VKT!$A$2:$G$415,7,0),"")</f>
        <v/>
      </c>
      <c r="X1162" s="900" t="str">
        <f t="shared" si="240"/>
        <v xml:space="preserve"> </v>
      </c>
      <c r="Y1162" s="1016"/>
      <c r="Z1162" s="1016"/>
      <c r="AA1162" s="1016"/>
      <c r="AB1162" s="1026"/>
      <c r="AC1162" s="1016"/>
      <c r="AD1162" s="1016"/>
      <c r="AE1162" s="1016"/>
      <c r="AF1162" s="926"/>
      <c r="AG1162" s="906" t="str">
        <f>IF(AE1162&lt;&gt;0,VLOOKUP(AE1162,ODDS!$A$2:$C$13,3,0),"")</f>
        <v/>
      </c>
      <c r="AH1162" s="906"/>
      <c r="AI1162" s="907" t="str">
        <f t="shared" si="252"/>
        <v xml:space="preserve"> </v>
      </c>
      <c r="AJ1162" s="894" t="s">
        <v>862</v>
      </c>
      <c r="AK1162" s="922" t="s">
        <v>2771</v>
      </c>
    </row>
    <row r="1163" spans="1:38" s="385" customFormat="1" ht="112.5" outlineLevel="2" x14ac:dyDescent="0.3">
      <c r="A1163" s="447">
        <f>IF(B1162&lt;&gt;0,B1162,A1162)</f>
        <v>90</v>
      </c>
      <c r="B1163" s="893"/>
      <c r="C1163" s="922" t="s">
        <v>865</v>
      </c>
      <c r="D1163" s="950"/>
      <c r="E1163" s="950"/>
      <c r="F1163" s="1032"/>
      <c r="G1163" s="922"/>
      <c r="H1163" s="1041"/>
      <c r="I1163" s="882"/>
      <c r="J1163" s="925"/>
      <c r="K1163" s="899" t="str">
        <f>IF(G1163&lt;&gt;0,VLOOKUP(G1163,'gia dat'!$A$1:$F$144,5,0)," ")</f>
        <v xml:space="preserve"> </v>
      </c>
      <c r="L1163" s="899" t="str">
        <f>IF(G1163&lt;&gt;0,VLOOKUP(G1163,'gia dat'!$A$1:$F$144,6,0)," ")</f>
        <v xml:space="preserve"> </v>
      </c>
      <c r="M1163" s="900" t="str">
        <f t="shared" si="243"/>
        <v xml:space="preserve"> </v>
      </c>
      <c r="N1163" s="900" t="str">
        <f t="shared" si="244"/>
        <v xml:space="preserve"> </v>
      </c>
      <c r="O1163" s="894"/>
      <c r="P1163" s="1046"/>
      <c r="Q1163" s="900" t="str">
        <f>IF(O1163&lt;&gt;0,VLOOKUP(O1163,'Cây trong'!$A$2:$C$246,3,0)," ")</f>
        <v xml:space="preserve"> </v>
      </c>
      <c r="R1163" s="900" t="str">
        <f t="shared" si="245"/>
        <v xml:space="preserve"> </v>
      </c>
      <c r="S1163" s="902"/>
      <c r="T1163" s="925"/>
      <c r="U1163" s="1042"/>
      <c r="V1163" s="929"/>
      <c r="W1163" s="900" t="str">
        <f>IF(S1163&lt;&gt;0,VLOOKUP(S1163,VKT!$A$2:$G$415,7,0),"")</f>
        <v/>
      </c>
      <c r="X1163" s="900" t="str">
        <f t="shared" si="240"/>
        <v xml:space="preserve"> </v>
      </c>
      <c r="Y1163" s="1016"/>
      <c r="Z1163" s="1016"/>
      <c r="AA1163" s="1016"/>
      <c r="AB1163" s="1026"/>
      <c r="AC1163" s="1016"/>
      <c r="AD1163" s="1016"/>
      <c r="AE1163" s="1016"/>
      <c r="AF1163" s="926"/>
      <c r="AG1163" s="906" t="str">
        <f>IF(AE1163&lt;&gt;0,VLOOKUP(AE1163,ODDS!$A$2:$C$13,3,0),"")</f>
        <v/>
      </c>
      <c r="AH1163" s="906" t="str">
        <f t="shared" si="246"/>
        <v xml:space="preserve"> </v>
      </c>
      <c r="AI1163" s="907" t="str">
        <f t="shared" si="252"/>
        <v xml:space="preserve"> </v>
      </c>
      <c r="AJ1163" s="894" t="s">
        <v>2921</v>
      </c>
      <c r="AK1163" s="894" t="s">
        <v>2448</v>
      </c>
    </row>
    <row r="1164" spans="1:38" s="385" customFormat="1" ht="67.5" outlineLevel="2" x14ac:dyDescent="0.3">
      <c r="A1164" s="447">
        <f>IF(B1163&lt;&gt;0,B1163,A1163)</f>
        <v>90</v>
      </c>
      <c r="B1164" s="893"/>
      <c r="C1164" s="922"/>
      <c r="D1164" s="950"/>
      <c r="E1164" s="950"/>
      <c r="F1164" s="1032"/>
      <c r="G1164" s="894"/>
      <c r="H1164" s="1041"/>
      <c r="I1164" s="882"/>
      <c r="J1164" s="925"/>
      <c r="K1164" s="899" t="str">
        <f>IF(G1164&lt;&gt;0,VLOOKUP(G1164,'gia dat'!$A$1:$F$144,5,0)," ")</f>
        <v xml:space="preserve"> </v>
      </c>
      <c r="L1164" s="899" t="str">
        <f>IF(G1164&lt;&gt;0,VLOOKUP(G1164,'gia dat'!$A$1:$F$144,6,0)," ")</f>
        <v xml:space="preserve"> </v>
      </c>
      <c r="M1164" s="900" t="str">
        <f t="shared" si="243"/>
        <v xml:space="preserve"> </v>
      </c>
      <c r="N1164" s="900" t="str">
        <f t="shared" si="244"/>
        <v xml:space="preserve"> </v>
      </c>
      <c r="O1164" s="894"/>
      <c r="P1164" s="1046"/>
      <c r="Q1164" s="900" t="str">
        <f>IF(O1164&lt;&gt;0,VLOOKUP(O1164,'Cây trong'!$A$2:$C$246,3,0)," ")</f>
        <v xml:space="preserve"> </v>
      </c>
      <c r="R1164" s="900" t="str">
        <f t="shared" si="245"/>
        <v xml:space="preserve"> </v>
      </c>
      <c r="S1164" s="902"/>
      <c r="T1164" s="925"/>
      <c r="U1164" s="1042"/>
      <c r="V1164" s="929"/>
      <c r="W1164" s="900" t="str">
        <f>IF(S1164&lt;&gt;0,VLOOKUP(S1164,VKT!$A$2:$G$415,7,0),"")</f>
        <v/>
      </c>
      <c r="X1164" s="900" t="str">
        <f t="shared" si="240"/>
        <v xml:space="preserve"> </v>
      </c>
      <c r="Y1164" s="1016"/>
      <c r="Z1164" s="1016"/>
      <c r="AA1164" s="1016"/>
      <c r="AB1164" s="1026"/>
      <c r="AC1164" s="1016"/>
      <c r="AD1164" s="1016"/>
      <c r="AE1164" s="1016"/>
      <c r="AF1164" s="926"/>
      <c r="AG1164" s="906" t="str">
        <f>IF(AE1164&lt;&gt;0,VLOOKUP(AE1164,ODDS!$A$2:$C$13,3,0),"")</f>
        <v/>
      </c>
      <c r="AH1164" s="906" t="str">
        <f t="shared" si="246"/>
        <v xml:space="preserve"> </v>
      </c>
      <c r="AI1164" s="907" t="str">
        <f t="shared" si="252"/>
        <v xml:space="preserve"> </v>
      </c>
      <c r="AJ1164" s="894" t="s">
        <v>2074</v>
      </c>
      <c r="AK1164" s="902"/>
    </row>
    <row r="1165" spans="1:38" s="385" customFormat="1" ht="22.5" outlineLevel="2" x14ac:dyDescent="0.35">
      <c r="A1165" s="447">
        <f>IF(B1164&lt;&gt;0,B1164,A1164)</f>
        <v>90</v>
      </c>
      <c r="B1165" s="893"/>
      <c r="C1165" s="922"/>
      <c r="D1165" s="950"/>
      <c r="E1165" s="950"/>
      <c r="F1165" s="1032"/>
      <c r="G1165" s="894"/>
      <c r="H1165" s="1041"/>
      <c r="I1165" s="882"/>
      <c r="J1165" s="925"/>
      <c r="K1165" s="899" t="str">
        <f>IF(G1165&lt;&gt;0,VLOOKUP(G1165,'gia dat'!$A$1:$F$144,5,0)," ")</f>
        <v xml:space="preserve"> </v>
      </c>
      <c r="L1165" s="899" t="str">
        <f>IF(G1165&lt;&gt;0,VLOOKUP(G1165,'gia dat'!$A$1:$F$144,6,0)," ")</f>
        <v xml:space="preserve"> </v>
      </c>
      <c r="M1165" s="900" t="str">
        <f t="shared" si="243"/>
        <v xml:space="preserve"> </v>
      </c>
      <c r="N1165" s="900" t="str">
        <f t="shared" si="244"/>
        <v xml:space="preserve"> </v>
      </c>
      <c r="O1165" s="894"/>
      <c r="P1165" s="1046"/>
      <c r="Q1165" s="900" t="str">
        <f>IF(O1165&lt;&gt;0,VLOOKUP(O1165,'Cây trong'!$A$2:$C$246,3,0)," ")</f>
        <v xml:space="preserve"> </v>
      </c>
      <c r="R1165" s="900" t="str">
        <f t="shared" si="245"/>
        <v xml:space="preserve"> </v>
      </c>
      <c r="S1165" s="902"/>
      <c r="T1165" s="925"/>
      <c r="U1165" s="1042"/>
      <c r="V1165" s="929"/>
      <c r="W1165" s="900" t="str">
        <f>IF(S1165&lt;&gt;0,VLOOKUP(S1165,VKT!$A$2:$G$415,7,0),"")</f>
        <v/>
      </c>
      <c r="X1165" s="900" t="str">
        <f t="shared" si="240"/>
        <v xml:space="preserve"> </v>
      </c>
      <c r="Y1165" s="1016"/>
      <c r="Z1165" s="1016"/>
      <c r="AA1165" s="1016"/>
      <c r="AB1165" s="1026"/>
      <c r="AC1165" s="1016"/>
      <c r="AD1165" s="1016"/>
      <c r="AE1165" s="1016"/>
      <c r="AF1165" s="926"/>
      <c r="AG1165" s="906" t="str">
        <f>IF(AE1165&lt;&gt;0,VLOOKUP(AE1165,ODDS!$A$2:$C$13,3,0),"")</f>
        <v/>
      </c>
      <c r="AH1165" s="906" t="str">
        <f t="shared" si="246"/>
        <v xml:space="preserve"> </v>
      </c>
      <c r="AI1165" s="907" t="str">
        <f t="shared" si="252"/>
        <v xml:space="preserve"> </v>
      </c>
      <c r="AJ1165" s="1036"/>
      <c r="AK1165" s="929"/>
    </row>
    <row r="1166" spans="1:38" s="385" customFormat="1" ht="22.5" outlineLevel="2" x14ac:dyDescent="0.35">
      <c r="A1166" s="447">
        <f>IF(B1165&lt;&gt;0,B1165,A1165)</f>
        <v>90</v>
      </c>
      <c r="B1166" s="893"/>
      <c r="C1166" s="894"/>
      <c r="D1166" s="950"/>
      <c r="E1166" s="950"/>
      <c r="F1166" s="1032"/>
      <c r="G1166" s="894"/>
      <c r="H1166" s="1041"/>
      <c r="I1166" s="882"/>
      <c r="J1166" s="925"/>
      <c r="K1166" s="899" t="str">
        <f>IF(G1166&lt;&gt;0,VLOOKUP(G1166,'gia dat'!$A$1:$F$144,5,0)," ")</f>
        <v xml:space="preserve"> </v>
      </c>
      <c r="L1166" s="899" t="str">
        <f>IF(G1166&lt;&gt;0,VLOOKUP(G1166,'gia dat'!$A$1:$F$144,6,0)," ")</f>
        <v xml:space="preserve"> </v>
      </c>
      <c r="M1166" s="900" t="str">
        <f t="shared" si="243"/>
        <v xml:space="preserve"> </v>
      </c>
      <c r="N1166" s="900" t="str">
        <f t="shared" si="244"/>
        <v xml:space="preserve"> </v>
      </c>
      <c r="O1166" s="894"/>
      <c r="P1166" s="1046"/>
      <c r="Q1166" s="900" t="str">
        <f>IF(O1166&lt;&gt;0,VLOOKUP(O1166,'Cây trong'!$A$2:$C$246,3,0)," ")</f>
        <v xml:space="preserve"> </v>
      </c>
      <c r="R1166" s="900" t="str">
        <f t="shared" si="245"/>
        <v xml:space="preserve"> </v>
      </c>
      <c r="S1166" s="902"/>
      <c r="T1166" s="925"/>
      <c r="U1166" s="1042"/>
      <c r="V1166" s="929"/>
      <c r="W1166" s="900" t="str">
        <f>IF(S1166&lt;&gt;0,VLOOKUP(S1166,VKT!$A$2:$G$415,7,0),"")</f>
        <v/>
      </c>
      <c r="X1166" s="900" t="str">
        <f t="shared" si="240"/>
        <v xml:space="preserve"> </v>
      </c>
      <c r="Y1166" s="1016"/>
      <c r="Z1166" s="1016"/>
      <c r="AA1166" s="1016"/>
      <c r="AB1166" s="1026"/>
      <c r="AC1166" s="1016"/>
      <c r="AD1166" s="1016"/>
      <c r="AE1166" s="1016"/>
      <c r="AF1166" s="926"/>
      <c r="AG1166" s="906" t="str">
        <f>IF(AE1166&lt;&gt;0,VLOOKUP(AE1166,ODDS!$A$2:$C$13,3,0),"")</f>
        <v/>
      </c>
      <c r="AH1166" s="906" t="str">
        <f t="shared" si="246"/>
        <v xml:space="preserve"> </v>
      </c>
      <c r="AI1166" s="907" t="str">
        <f t="shared" si="252"/>
        <v xml:space="preserve"> </v>
      </c>
      <c r="AJ1166" s="1036"/>
      <c r="AK1166" s="929"/>
    </row>
    <row r="1167" spans="1:38" s="385" customFormat="1" ht="22.5" outlineLevel="2" x14ac:dyDescent="0.3">
      <c r="A1167" s="447">
        <f>IF(B1166&lt;&gt;0,B1166,A1166)</f>
        <v>90</v>
      </c>
      <c r="B1167" s="893"/>
      <c r="C1167" s="910"/>
      <c r="D1167" s="950"/>
      <c r="E1167" s="950"/>
      <c r="F1167" s="1032"/>
      <c r="G1167" s="894"/>
      <c r="H1167" s="1041"/>
      <c r="I1167" s="882"/>
      <c r="J1167" s="925"/>
      <c r="K1167" s="899" t="str">
        <f>IF(G1167&lt;&gt;0,VLOOKUP(G1167,'gia dat'!$A$1:$F$144,5,0)," ")</f>
        <v xml:space="preserve"> </v>
      </c>
      <c r="L1167" s="899" t="str">
        <f>IF(G1167&lt;&gt;0,VLOOKUP(G1167,'gia dat'!$A$1:$F$144,6,0)," ")</f>
        <v xml:space="preserve"> </v>
      </c>
      <c r="M1167" s="900" t="str">
        <f t="shared" si="243"/>
        <v xml:space="preserve"> </v>
      </c>
      <c r="N1167" s="900" t="str">
        <f t="shared" si="244"/>
        <v xml:space="preserve"> </v>
      </c>
      <c r="O1167" s="894"/>
      <c r="P1167" s="1046"/>
      <c r="Q1167" s="900" t="str">
        <f>IF(O1167&lt;&gt;0,VLOOKUP(O1167,'Cây trong'!$A$2:$C$246,3,0)," ")</f>
        <v xml:space="preserve"> </v>
      </c>
      <c r="R1167" s="900" t="str">
        <f t="shared" si="245"/>
        <v xml:space="preserve"> </v>
      </c>
      <c r="S1167" s="902"/>
      <c r="T1167" s="925"/>
      <c r="U1167" s="1042"/>
      <c r="V1167" s="929"/>
      <c r="W1167" s="900" t="str">
        <f>IF(S1167&lt;&gt;0,VLOOKUP(S1167,VKT!$A$2:$G$415,7,0),"")</f>
        <v/>
      </c>
      <c r="X1167" s="900" t="str">
        <f t="shared" si="240"/>
        <v xml:space="preserve"> </v>
      </c>
      <c r="Y1167" s="1016"/>
      <c r="Z1167" s="1016"/>
      <c r="AA1167" s="1016"/>
      <c r="AB1167" s="1026"/>
      <c r="AC1167" s="1016"/>
      <c r="AD1167" s="1016"/>
      <c r="AE1167" s="1016"/>
      <c r="AF1167" s="926"/>
      <c r="AG1167" s="906" t="str">
        <f>IF(AE1167&lt;&gt;0,VLOOKUP(AE1167,ODDS!$A$2:$C$13,3,0),"")</f>
        <v/>
      </c>
      <c r="AH1167" s="906" t="str">
        <f t="shared" si="246"/>
        <v xml:space="preserve"> </v>
      </c>
      <c r="AI1167" s="907" t="str">
        <f t="shared" si="252"/>
        <v xml:space="preserve"> </v>
      </c>
      <c r="AJ1167" s="929"/>
      <c r="AK1167" s="929"/>
    </row>
    <row r="1168" spans="1:38" s="385" customFormat="1" ht="43.5" outlineLevel="1" x14ac:dyDescent="0.25">
      <c r="A1168" s="467" t="s">
        <v>2619</v>
      </c>
      <c r="B1168" s="912">
        <v>91</v>
      </c>
      <c r="C1168" s="910" t="s">
        <v>866</v>
      </c>
      <c r="D1168" s="1037"/>
      <c r="E1168" s="1037"/>
      <c r="F1168" s="1038"/>
      <c r="G1168" s="910"/>
      <c r="H1168" s="1039">
        <f>SUBTOTAL(9,H1169:H1175)</f>
        <v>1600</v>
      </c>
      <c r="I1168" s="915">
        <f>SUBTOTAL(9,I1169:I1174)</f>
        <v>0</v>
      </c>
      <c r="J1168" s="933"/>
      <c r="K1168" s="917"/>
      <c r="L1168" s="917"/>
      <c r="M1168" s="907">
        <f>SUBTOTAL(9,M1169:M1175)</f>
        <v>887040000</v>
      </c>
      <c r="N1168" s="907">
        <f>SUBTOTAL(9,N1169:N1175)</f>
        <v>0</v>
      </c>
      <c r="O1168" s="910"/>
      <c r="P1168" s="1044">
        <f>SUBTOTAL(9,P1169:P1175)</f>
        <v>36</v>
      </c>
      <c r="Q1168" s="907"/>
      <c r="R1168" s="907">
        <f>SUBTOTAL(9,R1169:R1175)</f>
        <v>110304000</v>
      </c>
      <c r="S1168" s="918"/>
      <c r="T1168" s="933"/>
      <c r="U1168" s="1040">
        <f>SUBTOTAL(9,U1169:U1175)</f>
        <v>0</v>
      </c>
      <c r="V1168" s="943"/>
      <c r="W1168" s="907"/>
      <c r="X1168" s="907">
        <f>SUBTOTAL(9,X1169:X1175)</f>
        <v>0</v>
      </c>
      <c r="Y1168" s="1016"/>
      <c r="Z1168" s="1016"/>
      <c r="AA1168" s="1016"/>
      <c r="AB1168" s="1026"/>
      <c r="AC1168" s="1016"/>
      <c r="AD1168" s="1016"/>
      <c r="AE1168" s="985"/>
      <c r="AF1168" s="935">
        <f>SUBTOTAL(9,AF1169:AF1175)</f>
        <v>0</v>
      </c>
      <c r="AG1168" s="921"/>
      <c r="AH1168" s="921">
        <f>SUBTOTAL(9,AH1169:AH1175)</f>
        <v>0</v>
      </c>
      <c r="AI1168" s="907">
        <f t="shared" si="252"/>
        <v>997344000</v>
      </c>
      <c r="AJ1168" s="910"/>
      <c r="AK1168" s="914"/>
    </row>
    <row r="1169" spans="1:37" s="385" customFormat="1" ht="135" outlineLevel="2" x14ac:dyDescent="0.3">
      <c r="A1169" s="447">
        <f>IF(B1168&lt;&gt;0,B1168,A1167)</f>
        <v>91</v>
      </c>
      <c r="B1169" s="893"/>
      <c r="C1169" s="894" t="s">
        <v>869</v>
      </c>
      <c r="D1169" s="950">
        <v>5</v>
      </c>
      <c r="E1169" s="950">
        <v>86</v>
      </c>
      <c r="F1169" s="1032">
        <v>44</v>
      </c>
      <c r="G1169" s="894" t="s">
        <v>2884</v>
      </c>
      <c r="H1169" s="1041">
        <v>1600</v>
      </c>
      <c r="I1169" s="882" t="str">
        <f t="shared" ref="I1169" si="254">IF(N1169&gt;0,H1169,"")</f>
        <v/>
      </c>
      <c r="J1169" s="925"/>
      <c r="K1169" s="899">
        <f>IF(G1169&lt;&gt;0,VLOOKUP(G1169,'gia dat'!$A$1:$F$144,5,0)," ")</f>
        <v>554400</v>
      </c>
      <c r="L1169" s="899">
        <f>IF(G1169&lt;&gt;0,VLOOKUP(G1169,'gia dat'!$A$1:$F$144,6,0)," ")</f>
        <v>0</v>
      </c>
      <c r="M1169" s="900">
        <f t="shared" si="243"/>
        <v>887040000</v>
      </c>
      <c r="N1169" s="900">
        <f t="shared" si="244"/>
        <v>0</v>
      </c>
      <c r="O1169" s="894" t="s">
        <v>77</v>
      </c>
      <c r="P1169" s="1046">
        <v>36</v>
      </c>
      <c r="Q1169" s="900">
        <f>IF(O1169&lt;&gt;0,VLOOKUP(O1169,'Cây trong'!$A$2:$C$246,3,0)," ")</f>
        <v>3064000</v>
      </c>
      <c r="R1169" s="900">
        <f t="shared" si="245"/>
        <v>110304000</v>
      </c>
      <c r="S1169" s="902"/>
      <c r="T1169" s="925"/>
      <c r="U1169" s="1042"/>
      <c r="V1169" s="929"/>
      <c r="W1169" s="900" t="str">
        <f>IF(S1169&lt;&gt;0,VLOOKUP(S1169,VKT!$A$2:$G$415,7,0),"")</f>
        <v/>
      </c>
      <c r="X1169" s="900" t="str">
        <f t="shared" si="240"/>
        <v xml:space="preserve"> </v>
      </c>
      <c r="Y1169" s="1016"/>
      <c r="Z1169" s="1016"/>
      <c r="AA1169" s="1016"/>
      <c r="AB1169" s="1026"/>
      <c r="AC1169" s="1016"/>
      <c r="AD1169" s="1016"/>
      <c r="AE1169" s="1016"/>
      <c r="AF1169" s="926"/>
      <c r="AG1169" s="906" t="str">
        <f>IF(AE1169&lt;&gt;0,VLOOKUP(AE1169,ODDS!$A$2:$C$13,3,0),"")</f>
        <v/>
      </c>
      <c r="AH1169" s="906"/>
      <c r="AI1169" s="907" t="str">
        <f t="shared" si="252"/>
        <v xml:space="preserve"> </v>
      </c>
      <c r="AJ1169" s="894" t="s">
        <v>868</v>
      </c>
      <c r="AK1169" s="922" t="s">
        <v>2771</v>
      </c>
    </row>
    <row r="1170" spans="1:37" s="385" customFormat="1" ht="90" outlineLevel="2" x14ac:dyDescent="0.3">
      <c r="A1170" s="447">
        <f t="shared" ref="A1170:A1175" si="255">IF(B1169&lt;&gt;0,B1169,A1169)</f>
        <v>91</v>
      </c>
      <c r="B1170" s="893"/>
      <c r="C1170" s="894" t="s">
        <v>1571</v>
      </c>
      <c r="D1170" s="950"/>
      <c r="E1170" s="950"/>
      <c r="F1170" s="1032"/>
      <c r="G1170" s="922"/>
      <c r="H1170" s="1041"/>
      <c r="I1170" s="882"/>
      <c r="J1170" s="925"/>
      <c r="K1170" s="899" t="str">
        <f>IF(G1170&lt;&gt;0,VLOOKUP(G1170,'gia dat'!$A$1:$F$144,5,0)," ")</f>
        <v xml:space="preserve"> </v>
      </c>
      <c r="L1170" s="899" t="str">
        <f>IF(G1170&lt;&gt;0,VLOOKUP(G1170,'gia dat'!$A$1:$F$144,6,0)," ")</f>
        <v xml:space="preserve"> </v>
      </c>
      <c r="M1170" s="900" t="str">
        <f t="shared" si="243"/>
        <v xml:space="preserve"> </v>
      </c>
      <c r="N1170" s="900" t="str">
        <f t="shared" si="244"/>
        <v xml:space="preserve"> </v>
      </c>
      <c r="O1170" s="894"/>
      <c r="P1170" s="1046"/>
      <c r="Q1170" s="900" t="str">
        <f>IF(O1170&lt;&gt;0,VLOOKUP(O1170,'Cây trong'!$A$2:$C$246,3,0)," ")</f>
        <v xml:space="preserve"> </v>
      </c>
      <c r="R1170" s="900" t="str">
        <f t="shared" si="245"/>
        <v xml:space="preserve"> </v>
      </c>
      <c r="S1170" s="902"/>
      <c r="T1170" s="925"/>
      <c r="U1170" s="1042"/>
      <c r="V1170" s="929"/>
      <c r="W1170" s="900" t="str">
        <f>IF(S1170&lt;&gt;0,VLOOKUP(S1170,VKT!$A$2:$G$415,7,0),"")</f>
        <v/>
      </c>
      <c r="X1170" s="900" t="str">
        <f t="shared" si="240"/>
        <v xml:space="preserve"> </v>
      </c>
      <c r="Y1170" s="1016"/>
      <c r="Z1170" s="1016"/>
      <c r="AA1170" s="1016"/>
      <c r="AB1170" s="1026"/>
      <c r="AC1170" s="1016"/>
      <c r="AD1170" s="1016"/>
      <c r="AE1170" s="1016"/>
      <c r="AF1170" s="926"/>
      <c r="AG1170" s="906" t="str">
        <f>IF(AE1170&lt;&gt;0,VLOOKUP(AE1170,ODDS!$A$2:$C$13,3,0),"")</f>
        <v/>
      </c>
      <c r="AH1170" s="906" t="str">
        <f t="shared" si="246"/>
        <v xml:space="preserve"> </v>
      </c>
      <c r="AI1170" s="907" t="str">
        <f t="shared" si="252"/>
        <v xml:space="preserve"> </v>
      </c>
      <c r="AJ1170" s="894" t="s">
        <v>2922</v>
      </c>
      <c r="AK1170" s="902"/>
    </row>
    <row r="1171" spans="1:37" s="385" customFormat="1" ht="22.5" outlineLevel="2" x14ac:dyDescent="0.3">
      <c r="A1171" s="447">
        <f t="shared" si="255"/>
        <v>91</v>
      </c>
      <c r="B1171" s="893"/>
      <c r="C1171" s="908"/>
      <c r="D1171" s="1035"/>
      <c r="E1171" s="950"/>
      <c r="F1171" s="1032"/>
      <c r="G1171" s="894"/>
      <c r="H1171" s="1041"/>
      <c r="I1171" s="882"/>
      <c r="J1171" s="1042"/>
      <c r="K1171" s="899" t="str">
        <f>IF(G1171&lt;&gt;0,VLOOKUP(G1171,'gia dat'!$A$1:$F$144,5,0)," ")</f>
        <v xml:space="preserve"> </v>
      </c>
      <c r="L1171" s="899" t="str">
        <f>IF(G1171&lt;&gt;0,VLOOKUP(G1171,'gia dat'!$A$1:$F$144,6,0)," ")</f>
        <v xml:space="preserve"> </v>
      </c>
      <c r="M1171" s="900" t="str">
        <f t="shared" si="243"/>
        <v xml:space="preserve"> </v>
      </c>
      <c r="N1171" s="900" t="str">
        <f t="shared" si="244"/>
        <v xml:space="preserve"> </v>
      </c>
      <c r="O1171" s="922"/>
      <c r="P1171" s="1046"/>
      <c r="Q1171" s="900" t="str">
        <f>IF(O1171&lt;&gt;0,VLOOKUP(O1171,'Cây trong'!$A$2:$C$246,3,0)," ")</f>
        <v xml:space="preserve"> </v>
      </c>
      <c r="R1171" s="900" t="str">
        <f t="shared" si="245"/>
        <v xml:space="preserve"> </v>
      </c>
      <c r="S1171" s="922"/>
      <c r="T1171" s="944"/>
      <c r="U1171" s="1042"/>
      <c r="V1171" s="929"/>
      <c r="W1171" s="900" t="str">
        <f>IF(S1171&lt;&gt;0,VLOOKUP(S1171,VKT!$A$2:$G$415,7,0),"")</f>
        <v/>
      </c>
      <c r="X1171" s="900" t="str">
        <f t="shared" si="240"/>
        <v xml:space="preserve"> </v>
      </c>
      <c r="Y1171" s="1016"/>
      <c r="Z1171" s="1016"/>
      <c r="AA1171" s="1016"/>
      <c r="AB1171" s="1026"/>
      <c r="AC1171" s="1016"/>
      <c r="AD1171" s="1016"/>
      <c r="AE1171" s="1016"/>
      <c r="AF1171" s="926"/>
      <c r="AG1171" s="906" t="str">
        <f>IF(AE1171&lt;&gt;0,VLOOKUP(AE1171,ODDS!$A$2:$C$13,3,0),"")</f>
        <v/>
      </c>
      <c r="AH1171" s="906" t="str">
        <f t="shared" si="246"/>
        <v xml:space="preserve"> </v>
      </c>
      <c r="AI1171" s="907" t="str">
        <f t="shared" si="252"/>
        <v xml:space="preserve"> </v>
      </c>
      <c r="AJ1171" s="929" t="s">
        <v>872</v>
      </c>
      <c r="AK1171" s="902"/>
    </row>
    <row r="1172" spans="1:37" s="385" customFormat="1" ht="22.5" outlineLevel="2" x14ac:dyDescent="0.3">
      <c r="A1172" s="447">
        <f t="shared" si="255"/>
        <v>91</v>
      </c>
      <c r="B1172" s="893"/>
      <c r="C1172" s="908"/>
      <c r="D1172" s="1035"/>
      <c r="E1172" s="950"/>
      <c r="F1172" s="1032"/>
      <c r="G1172" s="894"/>
      <c r="H1172" s="1041"/>
      <c r="I1172" s="882"/>
      <c r="J1172" s="1042"/>
      <c r="K1172" s="899" t="str">
        <f>IF(G1172&lt;&gt;0,VLOOKUP(G1172,'gia dat'!$A$1:$F$144,5,0)," ")</f>
        <v xml:space="preserve"> </v>
      </c>
      <c r="L1172" s="899" t="str">
        <f>IF(G1172&lt;&gt;0,VLOOKUP(G1172,'gia dat'!$A$1:$F$144,6,0)," ")</f>
        <v xml:space="preserve"> </v>
      </c>
      <c r="M1172" s="900" t="str">
        <f t="shared" si="243"/>
        <v xml:space="preserve"> </v>
      </c>
      <c r="N1172" s="900" t="str">
        <f t="shared" si="244"/>
        <v xml:space="preserve"> </v>
      </c>
      <c r="O1172" s="922"/>
      <c r="P1172" s="1046"/>
      <c r="Q1172" s="900" t="str">
        <f>IF(O1172&lt;&gt;0,VLOOKUP(O1172,'Cây trong'!$A$2:$C$246,3,0)," ")</f>
        <v xml:space="preserve"> </v>
      </c>
      <c r="R1172" s="900" t="str">
        <f t="shared" si="245"/>
        <v xml:space="preserve"> </v>
      </c>
      <c r="S1172" s="922"/>
      <c r="T1172" s="944"/>
      <c r="U1172" s="1042"/>
      <c r="V1172" s="929"/>
      <c r="W1172" s="900" t="str">
        <f>IF(S1172&lt;&gt;0,VLOOKUP(S1172,VKT!$A$2:$G$415,7,0),"")</f>
        <v/>
      </c>
      <c r="X1172" s="900" t="str">
        <f t="shared" si="240"/>
        <v xml:space="preserve"> </v>
      </c>
      <c r="Y1172" s="1016"/>
      <c r="Z1172" s="1016"/>
      <c r="AA1172" s="1016"/>
      <c r="AB1172" s="1026"/>
      <c r="AC1172" s="1016"/>
      <c r="AD1172" s="1016"/>
      <c r="AE1172" s="1016"/>
      <c r="AF1172" s="926"/>
      <c r="AG1172" s="906" t="str">
        <f>IF(AE1172&lt;&gt;0,VLOOKUP(AE1172,ODDS!$A$2:$C$13,3,0),"")</f>
        <v/>
      </c>
      <c r="AH1172" s="906" t="str">
        <f t="shared" si="246"/>
        <v xml:space="preserve"> </v>
      </c>
      <c r="AI1172" s="907" t="str">
        <f t="shared" si="252"/>
        <v xml:space="preserve"> </v>
      </c>
      <c r="AJ1172" s="929"/>
      <c r="AK1172" s="902"/>
    </row>
    <row r="1173" spans="1:37" s="385" customFormat="1" ht="22.5" outlineLevel="2" x14ac:dyDescent="0.3">
      <c r="A1173" s="447">
        <f t="shared" si="255"/>
        <v>91</v>
      </c>
      <c r="B1173" s="893"/>
      <c r="C1173" s="908"/>
      <c r="D1173" s="1035"/>
      <c r="E1173" s="950"/>
      <c r="F1173" s="1032"/>
      <c r="G1173" s="894"/>
      <c r="H1173" s="1041"/>
      <c r="I1173" s="882"/>
      <c r="J1173" s="1042"/>
      <c r="K1173" s="899" t="str">
        <f>IF(G1173&lt;&gt;0,VLOOKUP(G1173,'gia dat'!$A$1:$F$144,5,0)," ")</f>
        <v xml:space="preserve"> </v>
      </c>
      <c r="L1173" s="899" t="str">
        <f>IF(G1173&lt;&gt;0,VLOOKUP(G1173,'gia dat'!$A$1:$F$144,6,0)," ")</f>
        <v xml:space="preserve"> </v>
      </c>
      <c r="M1173" s="900" t="str">
        <f t="shared" si="243"/>
        <v xml:space="preserve"> </v>
      </c>
      <c r="N1173" s="900" t="str">
        <f t="shared" si="244"/>
        <v xml:space="preserve"> </v>
      </c>
      <c r="O1173" s="922"/>
      <c r="P1173" s="1046"/>
      <c r="Q1173" s="900" t="str">
        <f>IF(O1173&lt;&gt;0,VLOOKUP(O1173,'Cây trong'!$A$2:$C$246,3,0)," ")</f>
        <v xml:space="preserve"> </v>
      </c>
      <c r="R1173" s="900" t="str">
        <f t="shared" si="245"/>
        <v xml:space="preserve"> </v>
      </c>
      <c r="S1173" s="922"/>
      <c r="T1173" s="944"/>
      <c r="U1173" s="1042"/>
      <c r="V1173" s="929"/>
      <c r="W1173" s="900" t="str">
        <f>IF(S1173&lt;&gt;0,VLOOKUP(S1173,VKT!$A$2:$G$415,7,0),"")</f>
        <v/>
      </c>
      <c r="X1173" s="900" t="str">
        <f t="shared" si="240"/>
        <v xml:space="preserve"> </v>
      </c>
      <c r="Y1173" s="1016"/>
      <c r="Z1173" s="1016"/>
      <c r="AA1173" s="1016"/>
      <c r="AB1173" s="1026"/>
      <c r="AC1173" s="1016"/>
      <c r="AD1173" s="1016"/>
      <c r="AE1173" s="1016"/>
      <c r="AF1173" s="926"/>
      <c r="AG1173" s="906" t="str">
        <f>IF(AE1173&lt;&gt;0,VLOOKUP(AE1173,ODDS!$A$2:$C$13,3,0),"")</f>
        <v/>
      </c>
      <c r="AH1173" s="906" t="str">
        <f t="shared" si="246"/>
        <v xml:space="preserve"> </v>
      </c>
      <c r="AI1173" s="907" t="str">
        <f t="shared" si="252"/>
        <v xml:space="preserve"> </v>
      </c>
      <c r="AJ1173" s="922"/>
      <c r="AK1173" s="902"/>
    </row>
    <row r="1174" spans="1:37" s="385" customFormat="1" ht="22.5" outlineLevel="2" x14ac:dyDescent="0.3">
      <c r="A1174" s="447">
        <f t="shared" si="255"/>
        <v>91</v>
      </c>
      <c r="B1174" s="893"/>
      <c r="C1174" s="908"/>
      <c r="D1174" s="1035"/>
      <c r="E1174" s="950"/>
      <c r="F1174" s="1032"/>
      <c r="G1174" s="894"/>
      <c r="H1174" s="1041"/>
      <c r="I1174" s="882"/>
      <c r="J1174" s="1042"/>
      <c r="K1174" s="899" t="str">
        <f>IF(G1174&lt;&gt;0,VLOOKUP(G1174,'gia dat'!$A$1:$F$144,5,0)," ")</f>
        <v xml:space="preserve"> </v>
      </c>
      <c r="L1174" s="899" t="str">
        <f>IF(G1174&lt;&gt;0,VLOOKUP(G1174,'gia dat'!$A$1:$F$144,6,0)," ")</f>
        <v xml:space="preserve"> </v>
      </c>
      <c r="M1174" s="900" t="str">
        <f t="shared" si="243"/>
        <v xml:space="preserve"> </v>
      </c>
      <c r="N1174" s="900" t="str">
        <f t="shared" si="244"/>
        <v xml:space="preserve"> </v>
      </c>
      <c r="O1174" s="922"/>
      <c r="P1174" s="1046"/>
      <c r="Q1174" s="900" t="str">
        <f>IF(O1174&lt;&gt;0,VLOOKUP(O1174,'Cây trong'!$A$2:$C$246,3,0)," ")</f>
        <v xml:space="preserve"> </v>
      </c>
      <c r="R1174" s="900" t="str">
        <f t="shared" si="245"/>
        <v xml:space="preserve"> </v>
      </c>
      <c r="S1174" s="922"/>
      <c r="T1174" s="944"/>
      <c r="U1174" s="1042"/>
      <c r="V1174" s="929"/>
      <c r="W1174" s="900" t="str">
        <f>IF(S1174&lt;&gt;0,VLOOKUP(S1174,VKT!$A$2:$G$415,7,0),"")</f>
        <v/>
      </c>
      <c r="X1174" s="900" t="str">
        <f t="shared" si="240"/>
        <v xml:space="preserve"> </v>
      </c>
      <c r="Y1174" s="1016"/>
      <c r="Z1174" s="1016"/>
      <c r="AA1174" s="1016"/>
      <c r="AB1174" s="1026"/>
      <c r="AC1174" s="1016"/>
      <c r="AD1174" s="1016"/>
      <c r="AE1174" s="1016"/>
      <c r="AF1174" s="926"/>
      <c r="AG1174" s="906" t="str">
        <f>IF(AE1174&lt;&gt;0,VLOOKUP(AE1174,ODDS!$A$2:$C$13,3,0),"")</f>
        <v/>
      </c>
      <c r="AH1174" s="906" t="str">
        <f t="shared" si="246"/>
        <v xml:space="preserve"> </v>
      </c>
      <c r="AI1174" s="907" t="str">
        <f t="shared" si="252"/>
        <v xml:space="preserve"> </v>
      </c>
      <c r="AJ1174" s="929"/>
      <c r="AK1174" s="902"/>
    </row>
    <row r="1175" spans="1:37" s="385" customFormat="1" ht="22.5" outlineLevel="2" x14ac:dyDescent="0.3">
      <c r="A1175" s="447">
        <f t="shared" si="255"/>
        <v>91</v>
      </c>
      <c r="B1175" s="893"/>
      <c r="C1175" s="942"/>
      <c r="D1175" s="1035"/>
      <c r="E1175" s="950"/>
      <c r="F1175" s="947"/>
      <c r="G1175" s="922"/>
      <c r="H1175" s="1041"/>
      <c r="I1175" s="882"/>
      <c r="J1175" s="1042"/>
      <c r="K1175" s="899" t="str">
        <f>IF(G1175&lt;&gt;0,VLOOKUP(G1175,'gia dat'!$A$1:$F$144,5,0)," ")</f>
        <v xml:space="preserve"> </v>
      </c>
      <c r="L1175" s="899" t="str">
        <f>IF(G1175&lt;&gt;0,VLOOKUP(G1175,'gia dat'!$A$1:$F$144,6,0)," ")</f>
        <v xml:space="preserve"> </v>
      </c>
      <c r="M1175" s="900" t="str">
        <f t="shared" si="243"/>
        <v xml:space="preserve"> </v>
      </c>
      <c r="N1175" s="900" t="str">
        <f t="shared" si="244"/>
        <v xml:space="preserve"> </v>
      </c>
      <c r="O1175" s="922"/>
      <c r="P1175" s="1046"/>
      <c r="Q1175" s="900" t="str">
        <f>IF(O1175&lt;&gt;0,VLOOKUP(O1175,'Cây trong'!$A$2:$C$246,3,0)," ")</f>
        <v xml:space="preserve"> </v>
      </c>
      <c r="R1175" s="900" t="str">
        <f t="shared" si="245"/>
        <v xml:space="preserve"> </v>
      </c>
      <c r="S1175" s="922"/>
      <c r="T1175" s="944"/>
      <c r="U1175" s="1042"/>
      <c r="V1175" s="929"/>
      <c r="W1175" s="900" t="str">
        <f>IF(S1175&lt;&gt;0,VLOOKUP(S1175,VKT!$A$2:$G$415,7,0),"")</f>
        <v/>
      </c>
      <c r="X1175" s="900" t="str">
        <f t="shared" si="240"/>
        <v xml:space="preserve"> </v>
      </c>
      <c r="Y1175" s="1016"/>
      <c r="Z1175" s="1016"/>
      <c r="AA1175" s="1016"/>
      <c r="AB1175" s="1026"/>
      <c r="AC1175" s="1016"/>
      <c r="AD1175" s="1016"/>
      <c r="AE1175" s="1016"/>
      <c r="AF1175" s="926"/>
      <c r="AG1175" s="906" t="str">
        <f>IF(AE1175&lt;&gt;0,VLOOKUP(AE1175,ODDS!$A$2:$C$13,3,0),"")</f>
        <v/>
      </c>
      <c r="AH1175" s="906" t="str">
        <f t="shared" si="246"/>
        <v xml:space="preserve"> </v>
      </c>
      <c r="AI1175" s="907" t="str">
        <f t="shared" si="252"/>
        <v xml:space="preserve"> </v>
      </c>
      <c r="AJ1175" s="929"/>
      <c r="AK1175" s="929"/>
    </row>
    <row r="1176" spans="1:37" s="385" customFormat="1" ht="43.5" outlineLevel="1" x14ac:dyDescent="0.25">
      <c r="A1176" s="467" t="s">
        <v>2618</v>
      </c>
      <c r="B1176" s="912">
        <v>92</v>
      </c>
      <c r="C1176" s="942" t="s">
        <v>873</v>
      </c>
      <c r="D1176" s="1037"/>
      <c r="E1176" s="1037"/>
      <c r="F1176" s="1038"/>
      <c r="G1176" s="914"/>
      <c r="H1176" s="1039">
        <f>SUBTOTAL(9,H1177:H1185)</f>
        <v>839.4</v>
      </c>
      <c r="I1176" s="915">
        <f>SUBTOTAL(9,I1177:I1182)</f>
        <v>839.4</v>
      </c>
      <c r="J1176" s="1040"/>
      <c r="K1176" s="917"/>
      <c r="L1176" s="917"/>
      <c r="M1176" s="907">
        <f>SUBTOTAL(9,M1177:M1185)</f>
        <v>390825000</v>
      </c>
      <c r="N1176" s="907">
        <f>SUBTOTAL(9,N1177:N1185)</f>
        <v>1172474000</v>
      </c>
      <c r="O1176" s="914"/>
      <c r="P1176" s="1044">
        <f>SUBTOTAL(9,P1177:P1185)</f>
        <v>0</v>
      </c>
      <c r="Q1176" s="907"/>
      <c r="R1176" s="907">
        <f>SUBTOTAL(9,R1177:R1185)</f>
        <v>0</v>
      </c>
      <c r="S1176" s="914"/>
      <c r="T1176" s="956"/>
      <c r="U1176" s="1040">
        <f>SUBTOTAL(9,U1177:U1185)</f>
        <v>0</v>
      </c>
      <c r="V1176" s="943"/>
      <c r="W1176" s="907"/>
      <c r="X1176" s="907">
        <f>SUBTOTAL(9,X1177:X1185)</f>
        <v>0</v>
      </c>
      <c r="Y1176" s="1016"/>
      <c r="Z1176" s="1016"/>
      <c r="AA1176" s="1016"/>
      <c r="AB1176" s="1026"/>
      <c r="AC1176" s="1016"/>
      <c r="AD1176" s="1016"/>
      <c r="AE1176" s="985"/>
      <c r="AF1176" s="935">
        <f>SUBTOTAL(9,AF1177:AF1185)</f>
        <v>0</v>
      </c>
      <c r="AG1176" s="921"/>
      <c r="AH1176" s="921">
        <f>SUBTOTAL(9,AH1177:AH1185)</f>
        <v>0</v>
      </c>
      <c r="AI1176" s="907">
        <f t="shared" si="252"/>
        <v>1563299000</v>
      </c>
      <c r="AJ1176" s="910"/>
      <c r="AK1176" s="914"/>
    </row>
    <row r="1177" spans="1:37" s="385" customFormat="1" ht="135" outlineLevel="2" x14ac:dyDescent="0.3">
      <c r="A1177" s="447">
        <f>IF(B1176&lt;&gt;0,B1176,A1175)</f>
        <v>92</v>
      </c>
      <c r="B1177" s="893"/>
      <c r="C1177" s="894" t="s">
        <v>876</v>
      </c>
      <c r="D1177" s="950">
        <v>4</v>
      </c>
      <c r="E1177" s="950">
        <v>86</v>
      </c>
      <c r="F1177" s="1032">
        <v>194</v>
      </c>
      <c r="G1177" s="922" t="s">
        <v>2864</v>
      </c>
      <c r="H1177" s="1041">
        <v>839.4</v>
      </c>
      <c r="I1177" s="882">
        <f t="shared" ref="I1177" si="256">IF(N1177&gt;0,H1177,"")</f>
        <v>839.4</v>
      </c>
      <c r="J1177" s="1042"/>
      <c r="K1177" s="899">
        <f>IF(G1177&lt;&gt;0,VLOOKUP(G1177,'gia dat'!$A$1:$F$144,5,0)," ")</f>
        <v>465600</v>
      </c>
      <c r="L1177" s="899">
        <f>IF(G1177&lt;&gt;0,VLOOKUP(G1177,'gia dat'!$A$1:$F$144,6,0)," ")</f>
        <v>1396800</v>
      </c>
      <c r="M1177" s="900">
        <f t="shared" si="243"/>
        <v>390825000</v>
      </c>
      <c r="N1177" s="900">
        <f t="shared" si="244"/>
        <v>1172474000</v>
      </c>
      <c r="O1177" s="922"/>
      <c r="P1177" s="1046"/>
      <c r="Q1177" s="900" t="str">
        <f>IF(O1177&lt;&gt;0,VLOOKUP(O1177,'Cây trong'!$A$2:$C$246,3,0)," ")</f>
        <v xml:space="preserve"> </v>
      </c>
      <c r="R1177" s="900" t="str">
        <f t="shared" si="245"/>
        <v xml:space="preserve"> </v>
      </c>
      <c r="S1177" s="922"/>
      <c r="T1177" s="944"/>
      <c r="U1177" s="1042"/>
      <c r="V1177" s="929"/>
      <c r="W1177" s="900" t="str">
        <f>IF(S1177&lt;&gt;0,VLOOKUP(S1177,VKT!$A$2:$G$415,7,0),"")</f>
        <v/>
      </c>
      <c r="X1177" s="900" t="str">
        <f t="shared" si="240"/>
        <v xml:space="preserve"> </v>
      </c>
      <c r="Y1177" s="1016"/>
      <c r="Z1177" s="1016"/>
      <c r="AA1177" s="1016"/>
      <c r="AB1177" s="1026"/>
      <c r="AC1177" s="1016"/>
      <c r="AD1177" s="1016"/>
      <c r="AE1177" s="1016"/>
      <c r="AF1177" s="926"/>
      <c r="AG1177" s="906" t="str">
        <f>IF(AE1177&lt;&gt;0,VLOOKUP(AE1177,ODDS!$A$2:$C$13,3,0),"")</f>
        <v/>
      </c>
      <c r="AH1177" s="906"/>
      <c r="AI1177" s="907" t="str">
        <f t="shared" si="252"/>
        <v xml:space="preserve"> </v>
      </c>
      <c r="AJ1177" s="894" t="s">
        <v>875</v>
      </c>
      <c r="AK1177" s="922" t="s">
        <v>2771</v>
      </c>
    </row>
    <row r="1178" spans="1:37" s="385" customFormat="1" ht="112.5" outlineLevel="2" x14ac:dyDescent="0.3">
      <c r="A1178" s="447">
        <f t="shared" ref="A1178:A1185" si="257">IF(B1177&lt;&gt;0,B1177,A1177)</f>
        <v>92</v>
      </c>
      <c r="B1178" s="893"/>
      <c r="C1178" s="922" t="s">
        <v>879</v>
      </c>
      <c r="D1178" s="950"/>
      <c r="E1178" s="950"/>
      <c r="F1178" s="1032"/>
      <c r="G1178" s="922"/>
      <c r="H1178" s="1041"/>
      <c r="I1178" s="882"/>
      <c r="J1178" s="1042"/>
      <c r="K1178" s="899" t="str">
        <f>IF(G1178&lt;&gt;0,VLOOKUP(G1178,'gia dat'!$A$1:$F$144,5,0)," ")</f>
        <v xml:space="preserve"> </v>
      </c>
      <c r="L1178" s="899" t="str">
        <f>IF(G1178&lt;&gt;0,VLOOKUP(G1178,'gia dat'!$A$1:$F$144,6,0)," ")</f>
        <v xml:space="preserve"> </v>
      </c>
      <c r="M1178" s="900" t="str">
        <f t="shared" si="243"/>
        <v xml:space="preserve"> </v>
      </c>
      <c r="N1178" s="900" t="str">
        <f t="shared" si="244"/>
        <v xml:space="preserve"> </v>
      </c>
      <c r="O1178" s="922"/>
      <c r="P1178" s="1046"/>
      <c r="Q1178" s="900" t="str">
        <f>IF(O1178&lt;&gt;0,VLOOKUP(O1178,'Cây trong'!$A$2:$C$246,3,0)," ")</f>
        <v xml:space="preserve"> </v>
      </c>
      <c r="R1178" s="900" t="str">
        <f t="shared" si="245"/>
        <v xml:space="preserve"> </v>
      </c>
      <c r="S1178" s="922"/>
      <c r="T1178" s="944"/>
      <c r="U1178" s="1042"/>
      <c r="V1178" s="929"/>
      <c r="W1178" s="900" t="str">
        <f>IF(S1178&lt;&gt;0,VLOOKUP(S1178,VKT!$A$2:$G$415,7,0),"")</f>
        <v/>
      </c>
      <c r="X1178" s="900" t="str">
        <f t="shared" ref="X1178:X1248" si="258">IF(S1178&lt;&gt;0,ROUND(U1178*W1178,-3)," ")</f>
        <v xml:space="preserve"> </v>
      </c>
      <c r="Y1178" s="1016"/>
      <c r="Z1178" s="1016"/>
      <c r="AA1178" s="1016"/>
      <c r="AB1178" s="1026"/>
      <c r="AC1178" s="1016"/>
      <c r="AD1178" s="1016"/>
      <c r="AE1178" s="1016"/>
      <c r="AF1178" s="926"/>
      <c r="AG1178" s="906" t="str">
        <f>IF(AE1178&lt;&gt;0,VLOOKUP(AE1178,ODDS!$A$2:$C$13,3,0),"")</f>
        <v/>
      </c>
      <c r="AH1178" s="906" t="str">
        <f t="shared" si="246"/>
        <v xml:space="preserve"> </v>
      </c>
      <c r="AI1178" s="907" t="str">
        <f t="shared" si="252"/>
        <v xml:space="preserve"> </v>
      </c>
      <c r="AJ1178" s="894" t="s">
        <v>2923</v>
      </c>
      <c r="AK1178" s="902"/>
    </row>
    <row r="1179" spans="1:37" s="385" customFormat="1" ht="22.5" outlineLevel="2" x14ac:dyDescent="0.3">
      <c r="A1179" s="447">
        <f t="shared" si="257"/>
        <v>92</v>
      </c>
      <c r="B1179" s="893"/>
      <c r="C1179" s="922"/>
      <c r="D1179" s="950"/>
      <c r="E1179" s="950"/>
      <c r="F1179" s="1032"/>
      <c r="G1179" s="922"/>
      <c r="H1179" s="1041"/>
      <c r="I1179" s="882"/>
      <c r="J1179" s="1042"/>
      <c r="K1179" s="899" t="str">
        <f>IF(G1179&lt;&gt;0,VLOOKUP(G1179,'gia dat'!$A$1:$F$144,5,0)," ")</f>
        <v xml:space="preserve"> </v>
      </c>
      <c r="L1179" s="899" t="str">
        <f>IF(G1179&lt;&gt;0,VLOOKUP(G1179,'gia dat'!$A$1:$F$144,6,0)," ")</f>
        <v xml:space="preserve"> </v>
      </c>
      <c r="M1179" s="900" t="str">
        <f t="shared" si="243"/>
        <v xml:space="preserve"> </v>
      </c>
      <c r="N1179" s="900" t="str">
        <f t="shared" si="244"/>
        <v xml:space="preserve"> </v>
      </c>
      <c r="O1179" s="922"/>
      <c r="P1179" s="1046"/>
      <c r="Q1179" s="900" t="str">
        <f>IF(O1179&lt;&gt;0,VLOOKUP(O1179,'Cây trong'!$A$2:$C$246,3,0)," ")</f>
        <v xml:space="preserve"> </v>
      </c>
      <c r="R1179" s="900" t="str">
        <f t="shared" si="245"/>
        <v xml:space="preserve"> </v>
      </c>
      <c r="S1179" s="922"/>
      <c r="T1179" s="944"/>
      <c r="U1179" s="1042"/>
      <c r="V1179" s="929"/>
      <c r="W1179" s="900" t="str">
        <f>IF(S1179&lt;&gt;0,VLOOKUP(S1179,VKT!$A$2:$G$415,7,0),"")</f>
        <v/>
      </c>
      <c r="X1179" s="900" t="str">
        <f t="shared" si="258"/>
        <v xml:space="preserve"> </v>
      </c>
      <c r="Y1179" s="1016"/>
      <c r="Z1179" s="1016"/>
      <c r="AA1179" s="1016"/>
      <c r="AB1179" s="1026"/>
      <c r="AC1179" s="1016"/>
      <c r="AD1179" s="1016"/>
      <c r="AE1179" s="1016"/>
      <c r="AF1179" s="926"/>
      <c r="AG1179" s="906" t="str">
        <f>IF(AE1179&lt;&gt;0,VLOOKUP(AE1179,ODDS!$A$2:$C$13,3,0),"")</f>
        <v/>
      </c>
      <c r="AH1179" s="906" t="str">
        <f t="shared" si="246"/>
        <v xml:space="preserve"> </v>
      </c>
      <c r="AI1179" s="907" t="str">
        <f t="shared" si="252"/>
        <v xml:space="preserve"> </v>
      </c>
      <c r="AJ1179" s="929" t="s">
        <v>881</v>
      </c>
      <c r="AK1179" s="902"/>
    </row>
    <row r="1180" spans="1:37" s="385" customFormat="1" ht="67.5" outlineLevel="2" x14ac:dyDescent="0.3">
      <c r="A1180" s="447">
        <f t="shared" si="257"/>
        <v>92</v>
      </c>
      <c r="B1180" s="893"/>
      <c r="C1180" s="894"/>
      <c r="D1180" s="950"/>
      <c r="E1180" s="950"/>
      <c r="F1180" s="1032"/>
      <c r="G1180" s="894"/>
      <c r="H1180" s="1041"/>
      <c r="I1180" s="882"/>
      <c r="J1180" s="1042"/>
      <c r="K1180" s="899" t="str">
        <f>IF(G1180&lt;&gt;0,VLOOKUP(G1180,'gia dat'!$A$1:$F$144,5,0)," ")</f>
        <v xml:space="preserve"> </v>
      </c>
      <c r="L1180" s="899" t="str">
        <f>IF(G1180&lt;&gt;0,VLOOKUP(G1180,'gia dat'!$A$1:$F$144,6,0)," ")</f>
        <v xml:space="preserve"> </v>
      </c>
      <c r="M1180" s="900" t="str">
        <f t="shared" si="243"/>
        <v xml:space="preserve"> </v>
      </c>
      <c r="N1180" s="900" t="str">
        <f t="shared" si="244"/>
        <v xml:space="preserve"> </v>
      </c>
      <c r="O1180" s="922"/>
      <c r="P1180" s="1046"/>
      <c r="Q1180" s="900" t="str">
        <f>IF(O1180&lt;&gt;0,VLOOKUP(O1180,'Cây trong'!$A$2:$C$246,3,0)," ")</f>
        <v xml:space="preserve"> </v>
      </c>
      <c r="R1180" s="900" t="str">
        <f t="shared" si="245"/>
        <v xml:space="preserve"> </v>
      </c>
      <c r="S1180" s="922"/>
      <c r="T1180" s="944"/>
      <c r="U1180" s="1042"/>
      <c r="V1180" s="929"/>
      <c r="W1180" s="900" t="str">
        <f>IF(S1180&lt;&gt;0,VLOOKUP(S1180,VKT!$A$2:$G$415,7,0),"")</f>
        <v/>
      </c>
      <c r="X1180" s="900" t="str">
        <f t="shared" si="258"/>
        <v xml:space="preserve"> </v>
      </c>
      <c r="Y1180" s="1016"/>
      <c r="Z1180" s="1016"/>
      <c r="AA1180" s="1016"/>
      <c r="AB1180" s="1026"/>
      <c r="AC1180" s="1016"/>
      <c r="AD1180" s="1016"/>
      <c r="AE1180" s="1016"/>
      <c r="AF1180" s="926"/>
      <c r="AG1180" s="906" t="str">
        <f>IF(AE1180&lt;&gt;0,VLOOKUP(AE1180,ODDS!$A$2:$C$13,3,0),"")</f>
        <v/>
      </c>
      <c r="AH1180" s="906" t="str">
        <f t="shared" si="246"/>
        <v xml:space="preserve"> </v>
      </c>
      <c r="AI1180" s="907" t="str">
        <f t="shared" si="252"/>
        <v xml:space="preserve"> </v>
      </c>
      <c r="AJ1180" s="894" t="s">
        <v>2074</v>
      </c>
      <c r="AK1180" s="929"/>
    </row>
    <row r="1181" spans="1:37" s="385" customFormat="1" ht="22.5" outlineLevel="2" x14ac:dyDescent="0.35">
      <c r="A1181" s="447">
        <f t="shared" si="257"/>
        <v>92</v>
      </c>
      <c r="B1181" s="893"/>
      <c r="C1181" s="894"/>
      <c r="D1181" s="950"/>
      <c r="E1181" s="950"/>
      <c r="F1181" s="1032"/>
      <c r="G1181" s="894"/>
      <c r="H1181" s="1041"/>
      <c r="I1181" s="882"/>
      <c r="J1181" s="1042"/>
      <c r="K1181" s="899" t="str">
        <f>IF(G1181&lt;&gt;0,VLOOKUP(G1181,'gia dat'!$A$1:$F$144,5,0)," ")</f>
        <v xml:space="preserve"> </v>
      </c>
      <c r="L1181" s="899" t="str">
        <f>IF(G1181&lt;&gt;0,VLOOKUP(G1181,'gia dat'!$A$1:$F$144,6,0)," ")</f>
        <v xml:space="preserve"> </v>
      </c>
      <c r="M1181" s="900" t="str">
        <f t="shared" si="243"/>
        <v xml:space="preserve"> </v>
      </c>
      <c r="N1181" s="900" t="str">
        <f t="shared" si="244"/>
        <v xml:space="preserve"> </v>
      </c>
      <c r="O1181" s="922"/>
      <c r="P1181" s="1046"/>
      <c r="Q1181" s="900" t="str">
        <f>IF(O1181&lt;&gt;0,VLOOKUP(O1181,'Cây trong'!$A$2:$C$246,3,0)," ")</f>
        <v xml:space="preserve"> </v>
      </c>
      <c r="R1181" s="900" t="str">
        <f t="shared" si="245"/>
        <v xml:space="preserve"> </v>
      </c>
      <c r="S1181" s="922"/>
      <c r="T1181" s="944"/>
      <c r="U1181" s="1042"/>
      <c r="V1181" s="929"/>
      <c r="W1181" s="900" t="str">
        <f>IF(S1181&lt;&gt;0,VLOOKUP(S1181,VKT!$A$2:$G$415,7,0),"")</f>
        <v/>
      </c>
      <c r="X1181" s="900" t="str">
        <f t="shared" si="258"/>
        <v xml:space="preserve"> </v>
      </c>
      <c r="Y1181" s="1016"/>
      <c r="Z1181" s="1016"/>
      <c r="AA1181" s="1016"/>
      <c r="AB1181" s="1026"/>
      <c r="AC1181" s="1016"/>
      <c r="AD1181" s="1016"/>
      <c r="AE1181" s="1016"/>
      <c r="AF1181" s="926"/>
      <c r="AG1181" s="906" t="str">
        <f>IF(AE1181&lt;&gt;0,VLOOKUP(AE1181,ODDS!$A$2:$C$13,3,0),"")</f>
        <v/>
      </c>
      <c r="AH1181" s="906" t="str">
        <f t="shared" si="246"/>
        <v xml:space="preserve"> </v>
      </c>
      <c r="AI1181" s="907" t="str">
        <f t="shared" si="252"/>
        <v xml:space="preserve"> </v>
      </c>
      <c r="AJ1181" s="1036"/>
      <c r="AK1181" s="929"/>
    </row>
    <row r="1182" spans="1:37" s="385" customFormat="1" ht="22.5" outlineLevel="2" x14ac:dyDescent="0.3">
      <c r="A1182" s="447">
        <f t="shared" si="257"/>
        <v>92</v>
      </c>
      <c r="B1182" s="893"/>
      <c r="C1182" s="894"/>
      <c r="D1182" s="950"/>
      <c r="E1182" s="950"/>
      <c r="F1182" s="1032"/>
      <c r="G1182" s="894"/>
      <c r="H1182" s="1041"/>
      <c r="I1182" s="882"/>
      <c r="J1182" s="1042"/>
      <c r="K1182" s="899" t="str">
        <f>IF(G1182&lt;&gt;0,VLOOKUP(G1182,'gia dat'!$A$1:$F$144,5,0)," ")</f>
        <v xml:space="preserve"> </v>
      </c>
      <c r="L1182" s="899" t="str">
        <f>IF(G1182&lt;&gt;0,VLOOKUP(G1182,'gia dat'!$A$1:$F$144,6,0)," ")</f>
        <v xml:space="preserve"> </v>
      </c>
      <c r="M1182" s="900" t="str">
        <f t="shared" si="243"/>
        <v xml:space="preserve"> </v>
      </c>
      <c r="N1182" s="900" t="str">
        <f t="shared" si="244"/>
        <v xml:space="preserve"> </v>
      </c>
      <c r="O1182" s="922"/>
      <c r="P1182" s="1046"/>
      <c r="Q1182" s="900" t="str">
        <f>IF(O1182&lt;&gt;0,VLOOKUP(O1182,'Cây trong'!$A$2:$C$246,3,0)," ")</f>
        <v xml:space="preserve"> </v>
      </c>
      <c r="R1182" s="900" t="str">
        <f t="shared" si="245"/>
        <v xml:space="preserve"> </v>
      </c>
      <c r="S1182" s="922"/>
      <c r="T1182" s="944"/>
      <c r="U1182" s="1042"/>
      <c r="V1182" s="929"/>
      <c r="W1182" s="900" t="str">
        <f>IF(S1182&lt;&gt;0,VLOOKUP(S1182,VKT!$A$2:$G$415,7,0),"")</f>
        <v/>
      </c>
      <c r="X1182" s="900" t="str">
        <f t="shared" si="258"/>
        <v xml:space="preserve"> </v>
      </c>
      <c r="Y1182" s="1016"/>
      <c r="Z1182" s="1016"/>
      <c r="AA1182" s="1016"/>
      <c r="AB1182" s="1026"/>
      <c r="AC1182" s="1016"/>
      <c r="AD1182" s="1016"/>
      <c r="AE1182" s="1016"/>
      <c r="AF1182" s="926"/>
      <c r="AG1182" s="906" t="str">
        <f>IF(AE1182&lt;&gt;0,VLOOKUP(AE1182,ODDS!$A$2:$C$13,3,0),"")</f>
        <v/>
      </c>
      <c r="AH1182" s="906" t="str">
        <f t="shared" si="246"/>
        <v xml:space="preserve"> </v>
      </c>
      <c r="AI1182" s="907" t="str">
        <f t="shared" si="252"/>
        <v xml:space="preserve"> </v>
      </c>
      <c r="AJ1182" s="922"/>
      <c r="AK1182" s="929"/>
    </row>
    <row r="1183" spans="1:37" s="385" customFormat="1" ht="22.5" outlineLevel="2" x14ac:dyDescent="0.35">
      <c r="A1183" s="447">
        <f t="shared" si="257"/>
        <v>92</v>
      </c>
      <c r="B1183" s="893"/>
      <c r="C1183" s="894"/>
      <c r="D1183" s="950"/>
      <c r="E1183" s="950"/>
      <c r="F1183" s="1032"/>
      <c r="G1183" s="894"/>
      <c r="H1183" s="1041"/>
      <c r="I1183" s="882"/>
      <c r="J1183" s="1042"/>
      <c r="K1183" s="899" t="str">
        <f>IF(G1183&lt;&gt;0,VLOOKUP(G1183,'gia dat'!$A$1:$F$144,5,0)," ")</f>
        <v xml:space="preserve"> </v>
      </c>
      <c r="L1183" s="899" t="str">
        <f>IF(G1183&lt;&gt;0,VLOOKUP(G1183,'gia dat'!$A$1:$F$144,6,0)," ")</f>
        <v xml:space="preserve"> </v>
      </c>
      <c r="M1183" s="900" t="str">
        <f t="shared" si="243"/>
        <v xml:space="preserve"> </v>
      </c>
      <c r="N1183" s="900" t="str">
        <f t="shared" si="244"/>
        <v xml:space="preserve"> </v>
      </c>
      <c r="O1183" s="922"/>
      <c r="P1183" s="1046"/>
      <c r="Q1183" s="900" t="str">
        <f>IF(O1183&lt;&gt;0,VLOOKUP(O1183,'Cây trong'!$A$2:$C$246,3,0)," ")</f>
        <v xml:space="preserve"> </v>
      </c>
      <c r="R1183" s="900" t="str">
        <f t="shared" si="245"/>
        <v xml:space="preserve"> </v>
      </c>
      <c r="S1183" s="922"/>
      <c r="T1183" s="944"/>
      <c r="U1183" s="1042"/>
      <c r="V1183" s="929"/>
      <c r="W1183" s="900" t="str">
        <f>IF(S1183&lt;&gt;0,VLOOKUP(S1183,VKT!$A$2:$G$415,7,0),"")</f>
        <v/>
      </c>
      <c r="X1183" s="900" t="str">
        <f t="shared" si="258"/>
        <v xml:space="preserve"> </v>
      </c>
      <c r="Y1183" s="1016"/>
      <c r="Z1183" s="1016"/>
      <c r="AA1183" s="1016"/>
      <c r="AB1183" s="1026"/>
      <c r="AC1183" s="1016"/>
      <c r="AD1183" s="1016"/>
      <c r="AE1183" s="1016"/>
      <c r="AF1183" s="926"/>
      <c r="AG1183" s="906" t="str">
        <f>IF(AE1183&lt;&gt;0,VLOOKUP(AE1183,ODDS!$A$2:$C$13,3,0),"")</f>
        <v/>
      </c>
      <c r="AH1183" s="906" t="str">
        <f t="shared" si="246"/>
        <v xml:space="preserve"> </v>
      </c>
      <c r="AI1183" s="907" t="str">
        <f t="shared" si="252"/>
        <v xml:space="preserve"> </v>
      </c>
      <c r="AJ1183" s="1036"/>
      <c r="AK1183" s="929"/>
    </row>
    <row r="1184" spans="1:37" s="385" customFormat="1" ht="22.5" outlineLevel="2" x14ac:dyDescent="0.3">
      <c r="A1184" s="447">
        <f t="shared" si="257"/>
        <v>92</v>
      </c>
      <c r="B1184" s="893"/>
      <c r="C1184" s="894"/>
      <c r="D1184" s="950"/>
      <c r="E1184" s="950"/>
      <c r="F1184" s="1032"/>
      <c r="G1184" s="894"/>
      <c r="H1184" s="1041"/>
      <c r="I1184" s="882"/>
      <c r="J1184" s="1042"/>
      <c r="K1184" s="899" t="str">
        <f>IF(G1184&lt;&gt;0,VLOOKUP(G1184,'gia dat'!$A$1:$F$144,5,0)," ")</f>
        <v xml:space="preserve"> </v>
      </c>
      <c r="L1184" s="899" t="str">
        <f>IF(G1184&lt;&gt;0,VLOOKUP(G1184,'gia dat'!$A$1:$F$144,6,0)," ")</f>
        <v xml:space="preserve"> </v>
      </c>
      <c r="M1184" s="900" t="str">
        <f t="shared" si="243"/>
        <v xml:space="preserve"> </v>
      </c>
      <c r="N1184" s="900" t="str">
        <f t="shared" si="244"/>
        <v xml:space="preserve"> </v>
      </c>
      <c r="O1184" s="922"/>
      <c r="P1184" s="1046"/>
      <c r="Q1184" s="900" t="str">
        <f>IF(O1184&lt;&gt;0,VLOOKUP(O1184,'Cây trong'!$A$2:$C$246,3,0)," ")</f>
        <v xml:space="preserve"> </v>
      </c>
      <c r="R1184" s="900" t="str">
        <f t="shared" si="245"/>
        <v xml:space="preserve"> </v>
      </c>
      <c r="S1184" s="922"/>
      <c r="T1184" s="944"/>
      <c r="U1184" s="1042"/>
      <c r="V1184" s="929"/>
      <c r="W1184" s="900" t="str">
        <f>IF(S1184&lt;&gt;0,VLOOKUP(S1184,VKT!$A$2:$G$415,7,0),"")</f>
        <v/>
      </c>
      <c r="X1184" s="900" t="str">
        <f t="shared" si="258"/>
        <v xml:space="preserve"> </v>
      </c>
      <c r="Y1184" s="1016"/>
      <c r="Z1184" s="1016"/>
      <c r="AA1184" s="1016"/>
      <c r="AB1184" s="1026"/>
      <c r="AC1184" s="1016"/>
      <c r="AD1184" s="1016"/>
      <c r="AE1184" s="1016"/>
      <c r="AF1184" s="926"/>
      <c r="AG1184" s="906" t="str">
        <f>IF(AE1184&lt;&gt;0,VLOOKUP(AE1184,ODDS!$A$2:$C$13,3,0),"")</f>
        <v/>
      </c>
      <c r="AH1184" s="906" t="str">
        <f t="shared" si="246"/>
        <v xml:space="preserve"> </v>
      </c>
      <c r="AI1184" s="907" t="str">
        <f t="shared" si="252"/>
        <v xml:space="preserve"> </v>
      </c>
      <c r="AJ1184" s="894"/>
      <c r="AK1184" s="929"/>
    </row>
    <row r="1185" spans="1:37" s="385" customFormat="1" ht="22.5" outlineLevel="2" x14ac:dyDescent="0.3">
      <c r="A1185" s="447">
        <f t="shared" si="257"/>
        <v>92</v>
      </c>
      <c r="B1185" s="893"/>
      <c r="C1185" s="910"/>
      <c r="D1185" s="950"/>
      <c r="E1185" s="950"/>
      <c r="F1185" s="1032"/>
      <c r="G1185" s="894"/>
      <c r="H1185" s="1041"/>
      <c r="I1185" s="882"/>
      <c r="J1185" s="1042"/>
      <c r="K1185" s="899" t="str">
        <f>IF(G1185&lt;&gt;0,VLOOKUP(G1185,'gia dat'!$A$1:$F$144,5,0)," ")</f>
        <v xml:space="preserve"> </v>
      </c>
      <c r="L1185" s="899" t="str">
        <f>IF(G1185&lt;&gt;0,VLOOKUP(G1185,'gia dat'!$A$1:$F$144,6,0)," ")</f>
        <v xml:space="preserve"> </v>
      </c>
      <c r="M1185" s="900" t="str">
        <f t="shared" si="243"/>
        <v xml:space="preserve"> </v>
      </c>
      <c r="N1185" s="900" t="str">
        <f t="shared" si="244"/>
        <v xml:space="preserve"> </v>
      </c>
      <c r="O1185" s="922"/>
      <c r="P1185" s="1046"/>
      <c r="Q1185" s="900" t="str">
        <f>IF(O1185&lt;&gt;0,VLOOKUP(O1185,'Cây trong'!$A$2:$C$246,3,0)," ")</f>
        <v xml:space="preserve"> </v>
      </c>
      <c r="R1185" s="900" t="str">
        <f t="shared" si="245"/>
        <v xml:space="preserve"> </v>
      </c>
      <c r="S1185" s="922"/>
      <c r="T1185" s="944"/>
      <c r="U1185" s="1042"/>
      <c r="V1185" s="929"/>
      <c r="W1185" s="900" t="str">
        <f>IF(S1185&lt;&gt;0,VLOOKUP(S1185,VKT!$A$2:$G$415,7,0),"")</f>
        <v/>
      </c>
      <c r="X1185" s="900" t="str">
        <f t="shared" si="258"/>
        <v xml:space="preserve"> </v>
      </c>
      <c r="Y1185" s="1016"/>
      <c r="Z1185" s="1016"/>
      <c r="AA1185" s="1016"/>
      <c r="AB1185" s="1026"/>
      <c r="AC1185" s="1016"/>
      <c r="AD1185" s="1016"/>
      <c r="AE1185" s="1016"/>
      <c r="AF1185" s="926"/>
      <c r="AG1185" s="906" t="str">
        <f>IF(AE1185&lt;&gt;0,VLOOKUP(AE1185,ODDS!$A$2:$C$13,3,0),"")</f>
        <v/>
      </c>
      <c r="AH1185" s="906" t="str">
        <f t="shared" si="246"/>
        <v xml:space="preserve"> </v>
      </c>
      <c r="AI1185" s="907" t="str">
        <f t="shared" si="252"/>
        <v xml:space="preserve"> </v>
      </c>
      <c r="AJ1185" s="996"/>
      <c r="AK1185" s="929"/>
    </row>
    <row r="1186" spans="1:37" s="385" customFormat="1" ht="43.5" outlineLevel="1" x14ac:dyDescent="0.25">
      <c r="A1186" s="467" t="s">
        <v>2617</v>
      </c>
      <c r="B1186" s="912">
        <v>93</v>
      </c>
      <c r="C1186" s="910" t="s">
        <v>883</v>
      </c>
      <c r="D1186" s="1037"/>
      <c r="E1186" s="1037"/>
      <c r="F1186" s="1038"/>
      <c r="G1186" s="910"/>
      <c r="H1186" s="1039">
        <f>SUBTOTAL(9,H1187:H1195)</f>
        <v>419.8</v>
      </c>
      <c r="I1186" s="915">
        <f>SUBTOTAL(9,I1187:I1192)</f>
        <v>0</v>
      </c>
      <c r="J1186" s="933"/>
      <c r="K1186" s="917"/>
      <c r="L1186" s="917"/>
      <c r="M1186" s="907">
        <f>SUBTOTAL(9,M1187:M1195)</f>
        <v>195459000</v>
      </c>
      <c r="N1186" s="907">
        <f>SUBTOTAL(9,N1187:N1195)</f>
        <v>0</v>
      </c>
      <c r="O1186" s="910"/>
      <c r="P1186" s="1044">
        <f>SUBTOTAL(9,P1187:P1195)</f>
        <v>0</v>
      </c>
      <c r="Q1186" s="907"/>
      <c r="R1186" s="907">
        <f>SUBTOTAL(9,R1187:R1195)</f>
        <v>0</v>
      </c>
      <c r="S1186" s="918"/>
      <c r="T1186" s="933"/>
      <c r="U1186" s="1040">
        <f>SUBTOTAL(9,U1187:U1195)</f>
        <v>0</v>
      </c>
      <c r="V1186" s="943"/>
      <c r="W1186" s="907"/>
      <c r="X1186" s="907">
        <f>SUBTOTAL(9,X1187:X1195)</f>
        <v>0</v>
      </c>
      <c r="Y1186" s="1016"/>
      <c r="Z1186" s="1016"/>
      <c r="AA1186" s="1016"/>
      <c r="AB1186" s="1026"/>
      <c r="AC1186" s="1016"/>
      <c r="AD1186" s="1016"/>
      <c r="AE1186" s="985"/>
      <c r="AF1186" s="935">
        <f>SUBTOTAL(9,AF1187:AF1195)</f>
        <v>0</v>
      </c>
      <c r="AG1186" s="921"/>
      <c r="AH1186" s="921">
        <f>SUBTOTAL(9,AH1187:AH1195)</f>
        <v>0</v>
      </c>
      <c r="AI1186" s="907">
        <f t="shared" si="252"/>
        <v>195459000</v>
      </c>
      <c r="AJ1186" s="910"/>
      <c r="AK1186" s="914"/>
    </row>
    <row r="1187" spans="1:37" s="385" customFormat="1" ht="135" outlineLevel="2" x14ac:dyDescent="0.3">
      <c r="A1187" s="447">
        <f>IF(B1186&lt;&gt;0,B1186,A1185)</f>
        <v>93</v>
      </c>
      <c r="B1187" s="893"/>
      <c r="C1187" s="908" t="s">
        <v>886</v>
      </c>
      <c r="D1187" s="950">
        <v>4</v>
      </c>
      <c r="E1187" s="950">
        <v>86</v>
      </c>
      <c r="F1187" s="1032">
        <v>195</v>
      </c>
      <c r="G1187" s="894" t="s">
        <v>2862</v>
      </c>
      <c r="H1187" s="1041">
        <v>419.8</v>
      </c>
      <c r="I1187" s="882" t="str">
        <f t="shared" ref="I1187" si="259">IF(N1187&gt;0,H1187,"")</f>
        <v/>
      </c>
      <c r="J1187" s="925"/>
      <c r="K1187" s="899">
        <f>IF(G1187&lt;&gt;0,VLOOKUP(G1187,'gia dat'!$A$1:$F$144,5,0)," ")</f>
        <v>465600</v>
      </c>
      <c r="L1187" s="899">
        <f>IF(G1187&lt;&gt;0,VLOOKUP(G1187,'gia dat'!$A$1:$F$144,6,0)," ")</f>
        <v>0</v>
      </c>
      <c r="M1187" s="900">
        <f t="shared" si="243"/>
        <v>195459000</v>
      </c>
      <c r="N1187" s="900">
        <f t="shared" si="244"/>
        <v>0</v>
      </c>
      <c r="O1187" s="894"/>
      <c r="P1187" s="1046"/>
      <c r="Q1187" s="900" t="str">
        <f>IF(O1187&lt;&gt;0,VLOOKUP(O1187,'Cây trong'!$A$2:$C$246,3,0)," ")</f>
        <v xml:space="preserve"> </v>
      </c>
      <c r="R1187" s="900" t="str">
        <f t="shared" si="245"/>
        <v xml:space="preserve"> </v>
      </c>
      <c r="S1187" s="902"/>
      <c r="T1187" s="925"/>
      <c r="U1187" s="1042"/>
      <c r="V1187" s="929"/>
      <c r="W1187" s="900" t="str">
        <f>IF(S1187&lt;&gt;0,VLOOKUP(S1187,VKT!$A$2:$G$415,7,0),"")</f>
        <v/>
      </c>
      <c r="X1187" s="900" t="str">
        <f t="shared" si="258"/>
        <v xml:space="preserve"> </v>
      </c>
      <c r="Y1187" s="1016"/>
      <c r="Z1187" s="1016"/>
      <c r="AA1187" s="1016"/>
      <c r="AB1187" s="1026"/>
      <c r="AC1187" s="1016"/>
      <c r="AD1187" s="1016"/>
      <c r="AE1187" s="1016"/>
      <c r="AF1187" s="926"/>
      <c r="AG1187" s="906" t="str">
        <f>IF(AE1187&lt;&gt;0,VLOOKUP(AE1187,ODDS!$A$2:$C$13,3,0),"")</f>
        <v/>
      </c>
      <c r="AH1187" s="906"/>
      <c r="AI1187" s="907" t="str">
        <f t="shared" si="252"/>
        <v xml:space="preserve"> </v>
      </c>
      <c r="AJ1187" s="894" t="s">
        <v>885</v>
      </c>
      <c r="AK1187" s="922" t="s">
        <v>2771</v>
      </c>
    </row>
    <row r="1188" spans="1:37" s="385" customFormat="1" ht="112.5" outlineLevel="2" x14ac:dyDescent="0.35">
      <c r="A1188" s="447">
        <f t="shared" ref="A1188:A1195" si="260">IF(B1187&lt;&gt;0,B1187,A1187)</f>
        <v>93</v>
      </c>
      <c r="B1188" s="893"/>
      <c r="C1188" s="908" t="s">
        <v>888</v>
      </c>
      <c r="D1188" s="1035"/>
      <c r="E1188" s="950"/>
      <c r="F1188" s="1032"/>
      <c r="G1188" s="1036"/>
      <c r="H1188" s="1041"/>
      <c r="I1188" s="882"/>
      <c r="J1188" s="1042"/>
      <c r="K1188" s="899" t="str">
        <f>IF(G1188&lt;&gt;0,VLOOKUP(G1188,'gia dat'!$A$1:$F$144,5,0)," ")</f>
        <v xml:space="preserve"> </v>
      </c>
      <c r="L1188" s="899" t="str">
        <f>IF(G1188&lt;&gt;0,VLOOKUP(G1188,'gia dat'!$A$1:$F$144,6,0)," ")</f>
        <v xml:space="preserve"> </v>
      </c>
      <c r="M1188" s="900" t="str">
        <f t="shared" si="243"/>
        <v xml:space="preserve"> </v>
      </c>
      <c r="N1188" s="900" t="str">
        <f t="shared" si="244"/>
        <v xml:space="preserve"> </v>
      </c>
      <c r="O1188" s="922"/>
      <c r="P1188" s="1046"/>
      <c r="Q1188" s="900" t="str">
        <f>IF(O1188&lt;&gt;0,VLOOKUP(O1188,'Cây trong'!$A$2:$C$246,3,0)," ")</f>
        <v xml:space="preserve"> </v>
      </c>
      <c r="R1188" s="900" t="str">
        <f t="shared" si="245"/>
        <v xml:space="preserve"> </v>
      </c>
      <c r="S1188" s="996"/>
      <c r="T1188" s="996"/>
      <c r="U1188" s="1042"/>
      <c r="V1188" s="929"/>
      <c r="W1188" s="900" t="str">
        <f>IF(S1188&lt;&gt;0,VLOOKUP(S1188,VKT!$A$2:$G$415,7,0),"")</f>
        <v/>
      </c>
      <c r="X1188" s="900" t="str">
        <f t="shared" si="258"/>
        <v xml:space="preserve"> </v>
      </c>
      <c r="Y1188" s="1016"/>
      <c r="Z1188" s="1016"/>
      <c r="AA1188" s="1016"/>
      <c r="AB1188" s="1026"/>
      <c r="AC1188" s="1016"/>
      <c r="AD1188" s="1016"/>
      <c r="AE1188" s="1016"/>
      <c r="AF1188" s="926"/>
      <c r="AG1188" s="906" t="str">
        <f>IF(AE1188&lt;&gt;0,VLOOKUP(AE1188,ODDS!$A$2:$C$13,3,0),"")</f>
        <v/>
      </c>
      <c r="AH1188" s="906" t="str">
        <f t="shared" si="246"/>
        <v xml:space="preserve"> </v>
      </c>
      <c r="AI1188" s="907" t="str">
        <f t="shared" si="252"/>
        <v xml:space="preserve"> </v>
      </c>
      <c r="AJ1188" s="894" t="s">
        <v>2924</v>
      </c>
      <c r="AK1188" s="902"/>
    </row>
    <row r="1189" spans="1:37" s="385" customFormat="1" ht="22.5" outlineLevel="2" x14ac:dyDescent="0.3">
      <c r="A1189" s="447">
        <f t="shared" si="260"/>
        <v>93</v>
      </c>
      <c r="B1189" s="893"/>
      <c r="C1189" s="908"/>
      <c r="D1189" s="1035"/>
      <c r="E1189" s="950"/>
      <c r="F1189" s="1032"/>
      <c r="G1189" s="922"/>
      <c r="H1189" s="1041"/>
      <c r="I1189" s="882"/>
      <c r="J1189" s="1042"/>
      <c r="K1189" s="899" t="str">
        <f>IF(G1189&lt;&gt;0,VLOOKUP(G1189,'gia dat'!$A$1:$F$144,5,0)," ")</f>
        <v xml:space="preserve"> </v>
      </c>
      <c r="L1189" s="899" t="str">
        <f>IF(G1189&lt;&gt;0,VLOOKUP(G1189,'gia dat'!$A$1:$F$144,6,0)," ")</f>
        <v xml:space="preserve"> </v>
      </c>
      <c r="M1189" s="900" t="str">
        <f t="shared" si="243"/>
        <v xml:space="preserve"> </v>
      </c>
      <c r="N1189" s="900" t="str">
        <f t="shared" si="244"/>
        <v xml:space="preserve"> </v>
      </c>
      <c r="O1189" s="922"/>
      <c r="P1189" s="1046"/>
      <c r="Q1189" s="900" t="str">
        <f>IF(O1189&lt;&gt;0,VLOOKUP(O1189,'Cây trong'!$A$2:$C$246,3,0)," ")</f>
        <v xml:space="preserve"> </v>
      </c>
      <c r="R1189" s="900" t="str">
        <f t="shared" si="245"/>
        <v xml:space="preserve"> </v>
      </c>
      <c r="S1189" s="996"/>
      <c r="T1189" s="996"/>
      <c r="U1189" s="1042"/>
      <c r="V1189" s="929"/>
      <c r="W1189" s="900" t="str">
        <f>IF(S1189&lt;&gt;0,VLOOKUP(S1189,VKT!$A$2:$G$415,7,0),"")</f>
        <v/>
      </c>
      <c r="X1189" s="900" t="str">
        <f t="shared" si="258"/>
        <v xml:space="preserve"> </v>
      </c>
      <c r="Y1189" s="1016"/>
      <c r="Z1189" s="1016"/>
      <c r="AA1189" s="1016"/>
      <c r="AB1189" s="1026"/>
      <c r="AC1189" s="1016"/>
      <c r="AD1189" s="1016"/>
      <c r="AE1189" s="1016"/>
      <c r="AF1189" s="926"/>
      <c r="AG1189" s="906" t="str">
        <f>IF(AE1189&lt;&gt;0,VLOOKUP(AE1189,ODDS!$A$2:$C$13,3,0),"")</f>
        <v/>
      </c>
      <c r="AH1189" s="906" t="str">
        <f t="shared" si="246"/>
        <v xml:space="preserve"> </v>
      </c>
      <c r="AI1189" s="907" t="str">
        <f t="shared" si="252"/>
        <v xml:space="preserve"> </v>
      </c>
      <c r="AJ1189" s="929" t="s">
        <v>889</v>
      </c>
      <c r="AK1189" s="902"/>
    </row>
    <row r="1190" spans="1:37" s="385" customFormat="1" ht="22.5" outlineLevel="2" x14ac:dyDescent="0.3">
      <c r="A1190" s="447">
        <f t="shared" si="260"/>
        <v>93</v>
      </c>
      <c r="B1190" s="893"/>
      <c r="C1190" s="908"/>
      <c r="D1190" s="1035"/>
      <c r="E1190" s="950"/>
      <c r="F1190" s="1032"/>
      <c r="G1190" s="894"/>
      <c r="H1190" s="1041"/>
      <c r="I1190" s="882"/>
      <c r="J1190" s="1042"/>
      <c r="K1190" s="899" t="str">
        <f>IF(G1190&lt;&gt;0,VLOOKUP(G1190,'gia dat'!$A$1:$F$144,5,0)," ")</f>
        <v xml:space="preserve"> </v>
      </c>
      <c r="L1190" s="899" t="str">
        <f>IF(G1190&lt;&gt;0,VLOOKUP(G1190,'gia dat'!$A$1:$F$144,6,0)," ")</f>
        <v xml:space="preserve"> </v>
      </c>
      <c r="M1190" s="900" t="str">
        <f t="shared" ref="M1190:M1260" si="261">IF(H1190&lt;&gt;0,ROUND(H1190*K1190,-3)," ")</f>
        <v xml:space="preserve"> </v>
      </c>
      <c r="N1190" s="900" t="str">
        <f t="shared" ref="N1190:N1260" si="262">IF(H1190&lt;&gt;0,ROUND(H1190*L1190,-3)," ")</f>
        <v xml:space="preserve"> </v>
      </c>
      <c r="O1190" s="922"/>
      <c r="P1190" s="1046"/>
      <c r="Q1190" s="900" t="str">
        <f>IF(O1190&lt;&gt;0,VLOOKUP(O1190,'Cây trong'!$A$2:$C$246,3,0)," ")</f>
        <v xml:space="preserve"> </v>
      </c>
      <c r="R1190" s="900" t="str">
        <f t="shared" si="245"/>
        <v xml:space="preserve"> </v>
      </c>
      <c r="S1190" s="996"/>
      <c r="T1190" s="996"/>
      <c r="U1190" s="1042"/>
      <c r="V1190" s="929"/>
      <c r="W1190" s="900" t="str">
        <f>IF(S1190&lt;&gt;0,VLOOKUP(S1190,VKT!$A$2:$G$415,7,0),"")</f>
        <v/>
      </c>
      <c r="X1190" s="900" t="str">
        <f t="shared" si="258"/>
        <v xml:space="preserve"> </v>
      </c>
      <c r="Y1190" s="1016"/>
      <c r="Z1190" s="1016"/>
      <c r="AA1190" s="1016"/>
      <c r="AB1190" s="1026"/>
      <c r="AC1190" s="1016"/>
      <c r="AD1190" s="1016"/>
      <c r="AE1190" s="1016"/>
      <c r="AF1190" s="926"/>
      <c r="AG1190" s="906" t="str">
        <f>IF(AE1190&lt;&gt;0,VLOOKUP(AE1190,ODDS!$A$2:$C$13,3,0),"")</f>
        <v/>
      </c>
      <c r="AH1190" s="906" t="str">
        <f t="shared" si="246"/>
        <v xml:space="preserve"> </v>
      </c>
      <c r="AI1190" s="907" t="str">
        <f t="shared" si="252"/>
        <v xml:space="preserve"> </v>
      </c>
      <c r="AJ1190" s="929" t="s">
        <v>809</v>
      </c>
      <c r="AK1190" s="929"/>
    </row>
    <row r="1191" spans="1:37" s="385" customFormat="1" ht="112.5" outlineLevel="2" x14ac:dyDescent="0.3">
      <c r="A1191" s="447">
        <f t="shared" si="260"/>
        <v>93</v>
      </c>
      <c r="B1191" s="893"/>
      <c r="C1191" s="908"/>
      <c r="D1191" s="1035"/>
      <c r="E1191" s="950"/>
      <c r="F1191" s="1032"/>
      <c r="G1191" s="894"/>
      <c r="H1191" s="1041"/>
      <c r="I1191" s="882"/>
      <c r="J1191" s="1042"/>
      <c r="K1191" s="899" t="str">
        <f>IF(G1191&lt;&gt;0,VLOOKUP(G1191,'gia dat'!$A$1:$F$144,5,0)," ")</f>
        <v xml:space="preserve"> </v>
      </c>
      <c r="L1191" s="899" t="str">
        <f>IF(G1191&lt;&gt;0,VLOOKUP(G1191,'gia dat'!$A$1:$F$144,6,0)," ")</f>
        <v xml:space="preserve"> </v>
      </c>
      <c r="M1191" s="900" t="str">
        <f t="shared" si="261"/>
        <v xml:space="preserve"> </v>
      </c>
      <c r="N1191" s="900" t="str">
        <f t="shared" si="262"/>
        <v xml:space="preserve"> </v>
      </c>
      <c r="O1191" s="922"/>
      <c r="P1191" s="1046"/>
      <c r="Q1191" s="900" t="str">
        <f>IF(O1191&lt;&gt;0,VLOOKUP(O1191,'Cây trong'!$A$2:$C$246,3,0)," ")</f>
        <v xml:space="preserve"> </v>
      </c>
      <c r="R1191" s="900" t="str">
        <f t="shared" si="245"/>
        <v xml:space="preserve"> </v>
      </c>
      <c r="S1191" s="996"/>
      <c r="T1191" s="996"/>
      <c r="U1191" s="1042"/>
      <c r="V1191" s="929"/>
      <c r="W1191" s="900" t="str">
        <f>IF(S1191&lt;&gt;0,VLOOKUP(S1191,VKT!$A$2:$G$415,7,0),"")</f>
        <v/>
      </c>
      <c r="X1191" s="900" t="str">
        <f t="shared" si="258"/>
        <v xml:space="preserve"> </v>
      </c>
      <c r="Y1191" s="1016"/>
      <c r="Z1191" s="1016"/>
      <c r="AA1191" s="1016"/>
      <c r="AB1191" s="1026"/>
      <c r="AC1191" s="1016"/>
      <c r="AD1191" s="1016"/>
      <c r="AE1191" s="1016"/>
      <c r="AF1191" s="926"/>
      <c r="AG1191" s="906" t="str">
        <f>IF(AE1191&lt;&gt;0,VLOOKUP(AE1191,ODDS!$A$2:$C$13,3,0),"")</f>
        <v/>
      </c>
      <c r="AH1191" s="906" t="str">
        <f t="shared" si="246"/>
        <v xml:space="preserve"> </v>
      </c>
      <c r="AI1191" s="907" t="str">
        <f t="shared" si="252"/>
        <v xml:space="preserve"> </v>
      </c>
      <c r="AJ1191" s="894" t="s">
        <v>2222</v>
      </c>
      <c r="AK1191" s="929"/>
    </row>
    <row r="1192" spans="1:37" s="385" customFormat="1" ht="22.5" outlineLevel="2" x14ac:dyDescent="0.3">
      <c r="A1192" s="447">
        <f t="shared" si="260"/>
        <v>93</v>
      </c>
      <c r="B1192" s="893"/>
      <c r="C1192" s="908"/>
      <c r="D1192" s="1035"/>
      <c r="E1192" s="950"/>
      <c r="F1192" s="1032"/>
      <c r="G1192" s="894"/>
      <c r="H1192" s="1041"/>
      <c r="I1192" s="882"/>
      <c r="J1192" s="1042"/>
      <c r="K1192" s="899" t="str">
        <f>IF(G1192&lt;&gt;0,VLOOKUP(G1192,'gia dat'!$A$1:$F$144,5,0)," ")</f>
        <v xml:space="preserve"> </v>
      </c>
      <c r="L1192" s="899" t="str">
        <f>IF(G1192&lt;&gt;0,VLOOKUP(G1192,'gia dat'!$A$1:$F$144,6,0)," ")</f>
        <v xml:space="preserve"> </v>
      </c>
      <c r="M1192" s="900" t="str">
        <f t="shared" si="261"/>
        <v xml:space="preserve"> </v>
      </c>
      <c r="N1192" s="900" t="str">
        <f t="shared" si="262"/>
        <v xml:space="preserve"> </v>
      </c>
      <c r="O1192" s="922"/>
      <c r="P1192" s="1046"/>
      <c r="Q1192" s="900" t="str">
        <f>IF(O1192&lt;&gt;0,VLOOKUP(O1192,'Cây trong'!$A$2:$C$246,3,0)," ")</f>
        <v xml:space="preserve"> </v>
      </c>
      <c r="R1192" s="900" t="str">
        <f t="shared" si="245"/>
        <v xml:space="preserve"> </v>
      </c>
      <c r="S1192" s="996"/>
      <c r="T1192" s="996"/>
      <c r="U1192" s="1042"/>
      <c r="V1192" s="929"/>
      <c r="W1192" s="900" t="str">
        <f>IF(S1192&lt;&gt;0,VLOOKUP(S1192,VKT!$A$2:$G$415,7,0),"")</f>
        <v/>
      </c>
      <c r="X1192" s="900" t="str">
        <f t="shared" si="258"/>
        <v xml:space="preserve"> </v>
      </c>
      <c r="Y1192" s="1016"/>
      <c r="Z1192" s="1016"/>
      <c r="AA1192" s="1016"/>
      <c r="AB1192" s="1026"/>
      <c r="AC1192" s="1016"/>
      <c r="AD1192" s="1016"/>
      <c r="AE1192" s="1016"/>
      <c r="AF1192" s="926"/>
      <c r="AG1192" s="906" t="str">
        <f>IF(AE1192&lt;&gt;0,VLOOKUP(AE1192,ODDS!$A$2:$C$13,3,0),"")</f>
        <v/>
      </c>
      <c r="AH1192" s="906" t="str">
        <f t="shared" si="246"/>
        <v xml:space="preserve"> </v>
      </c>
      <c r="AI1192" s="907" t="str">
        <f t="shared" si="252"/>
        <v xml:space="preserve"> </v>
      </c>
      <c r="AJ1192" s="922"/>
      <c r="AK1192" s="929"/>
    </row>
    <row r="1193" spans="1:37" s="385" customFormat="1" ht="22.5" outlineLevel="2" x14ac:dyDescent="0.35">
      <c r="A1193" s="447">
        <f t="shared" si="260"/>
        <v>93</v>
      </c>
      <c r="B1193" s="893"/>
      <c r="C1193" s="908"/>
      <c r="D1193" s="1035"/>
      <c r="E1193" s="950"/>
      <c r="F1193" s="1032"/>
      <c r="G1193" s="894"/>
      <c r="H1193" s="1041"/>
      <c r="I1193" s="882"/>
      <c r="J1193" s="1042"/>
      <c r="K1193" s="899" t="str">
        <f>IF(G1193&lt;&gt;0,VLOOKUP(G1193,'gia dat'!$A$1:$F$144,5,0)," ")</f>
        <v xml:space="preserve"> </v>
      </c>
      <c r="L1193" s="899" t="str">
        <f>IF(G1193&lt;&gt;0,VLOOKUP(G1193,'gia dat'!$A$1:$F$144,6,0)," ")</f>
        <v xml:space="preserve"> </v>
      </c>
      <c r="M1193" s="900" t="str">
        <f t="shared" si="261"/>
        <v xml:space="preserve"> </v>
      </c>
      <c r="N1193" s="900" t="str">
        <f t="shared" si="262"/>
        <v xml:space="preserve"> </v>
      </c>
      <c r="O1193" s="922"/>
      <c r="P1193" s="1046"/>
      <c r="Q1193" s="900" t="str">
        <f>IF(O1193&lt;&gt;0,VLOOKUP(O1193,'Cây trong'!$A$2:$C$246,3,0)," ")</f>
        <v xml:space="preserve"> </v>
      </c>
      <c r="R1193" s="900" t="str">
        <f t="shared" si="245"/>
        <v xml:space="preserve"> </v>
      </c>
      <c r="S1193" s="996"/>
      <c r="T1193" s="996"/>
      <c r="U1193" s="1042"/>
      <c r="V1193" s="929"/>
      <c r="W1193" s="900" t="str">
        <f>IF(S1193&lt;&gt;0,VLOOKUP(S1193,VKT!$A$2:$G$415,7,0),"")</f>
        <v/>
      </c>
      <c r="X1193" s="900" t="str">
        <f t="shared" si="258"/>
        <v xml:space="preserve"> </v>
      </c>
      <c r="Y1193" s="1016"/>
      <c r="Z1193" s="1016"/>
      <c r="AA1193" s="1016"/>
      <c r="AB1193" s="1026"/>
      <c r="AC1193" s="1016"/>
      <c r="AD1193" s="1016"/>
      <c r="AE1193" s="1016"/>
      <c r="AF1193" s="926"/>
      <c r="AG1193" s="906" t="str">
        <f>IF(AE1193&lt;&gt;0,VLOOKUP(AE1193,ODDS!$A$2:$C$13,3,0),"")</f>
        <v/>
      </c>
      <c r="AH1193" s="906" t="str">
        <f t="shared" si="246"/>
        <v xml:space="preserve"> </v>
      </c>
      <c r="AI1193" s="907" t="str">
        <f t="shared" si="252"/>
        <v xml:space="preserve"> </v>
      </c>
      <c r="AJ1193" s="1036"/>
      <c r="AK1193" s="929"/>
    </row>
    <row r="1194" spans="1:37" s="385" customFormat="1" ht="22.5" outlineLevel="2" x14ac:dyDescent="0.3">
      <c r="A1194" s="447">
        <f t="shared" si="260"/>
        <v>93</v>
      </c>
      <c r="B1194" s="893"/>
      <c r="C1194" s="908"/>
      <c r="D1194" s="1035"/>
      <c r="E1194" s="950"/>
      <c r="F1194" s="1032"/>
      <c r="G1194" s="894"/>
      <c r="H1194" s="1041"/>
      <c r="I1194" s="882"/>
      <c r="J1194" s="1042"/>
      <c r="K1194" s="899" t="str">
        <f>IF(G1194&lt;&gt;0,VLOOKUP(G1194,'gia dat'!$A$1:$F$144,5,0)," ")</f>
        <v xml:space="preserve"> </v>
      </c>
      <c r="L1194" s="899" t="str">
        <f>IF(G1194&lt;&gt;0,VLOOKUP(G1194,'gia dat'!$A$1:$F$144,6,0)," ")</f>
        <v xml:space="preserve"> </v>
      </c>
      <c r="M1194" s="900" t="str">
        <f t="shared" si="261"/>
        <v xml:space="preserve"> </v>
      </c>
      <c r="N1194" s="900" t="str">
        <f t="shared" si="262"/>
        <v xml:space="preserve"> </v>
      </c>
      <c r="O1194" s="922"/>
      <c r="P1194" s="1046"/>
      <c r="Q1194" s="900" t="str">
        <f>IF(O1194&lt;&gt;0,VLOOKUP(O1194,'Cây trong'!$A$2:$C$246,3,0)," ")</f>
        <v xml:space="preserve"> </v>
      </c>
      <c r="R1194" s="900" t="str">
        <f t="shared" si="245"/>
        <v xml:space="preserve"> </v>
      </c>
      <c r="S1194" s="996"/>
      <c r="T1194" s="996"/>
      <c r="U1194" s="1042"/>
      <c r="V1194" s="929"/>
      <c r="W1194" s="900" t="str">
        <f>IF(S1194&lt;&gt;0,VLOOKUP(S1194,VKT!$A$2:$G$415,7,0),"")</f>
        <v/>
      </c>
      <c r="X1194" s="900" t="str">
        <f t="shared" si="258"/>
        <v xml:space="preserve"> </v>
      </c>
      <c r="Y1194" s="1016"/>
      <c r="Z1194" s="1016"/>
      <c r="AA1194" s="1016"/>
      <c r="AB1194" s="1026"/>
      <c r="AC1194" s="1016"/>
      <c r="AD1194" s="1016"/>
      <c r="AE1194" s="1016"/>
      <c r="AF1194" s="926"/>
      <c r="AG1194" s="906" t="str">
        <f>IF(AE1194&lt;&gt;0,VLOOKUP(AE1194,ODDS!$A$2:$C$13,3,0),"")</f>
        <v/>
      </c>
      <c r="AH1194" s="906" t="str">
        <f t="shared" si="246"/>
        <v xml:space="preserve"> </v>
      </c>
      <c r="AI1194" s="907" t="str">
        <f t="shared" si="252"/>
        <v xml:space="preserve"> </v>
      </c>
      <c r="AJ1194" s="894"/>
      <c r="AK1194" s="929"/>
    </row>
    <row r="1195" spans="1:37" s="385" customFormat="1" ht="22.5" outlineLevel="2" x14ac:dyDescent="0.3">
      <c r="A1195" s="447">
        <f t="shared" si="260"/>
        <v>93</v>
      </c>
      <c r="B1195" s="893"/>
      <c r="C1195" s="942"/>
      <c r="D1195" s="950"/>
      <c r="E1195" s="947"/>
      <c r="F1195" s="947"/>
      <c r="G1195" s="922"/>
      <c r="H1195" s="1041"/>
      <c r="I1195" s="882"/>
      <c r="J1195" s="1042"/>
      <c r="K1195" s="899" t="str">
        <f>IF(G1195&lt;&gt;0,VLOOKUP(G1195,'gia dat'!$A$1:$F$144,5,0)," ")</f>
        <v xml:space="preserve"> </v>
      </c>
      <c r="L1195" s="899" t="str">
        <f>IF(G1195&lt;&gt;0,VLOOKUP(G1195,'gia dat'!$A$1:$F$144,6,0)," ")</f>
        <v xml:space="preserve"> </v>
      </c>
      <c r="M1195" s="900" t="str">
        <f t="shared" si="261"/>
        <v xml:space="preserve"> </v>
      </c>
      <c r="N1195" s="900" t="str">
        <f t="shared" si="262"/>
        <v xml:space="preserve"> </v>
      </c>
      <c r="O1195" s="922"/>
      <c r="P1195" s="1046"/>
      <c r="Q1195" s="900" t="str">
        <f>IF(O1195&lt;&gt;0,VLOOKUP(O1195,'Cây trong'!$A$2:$C$246,3,0)," ")</f>
        <v xml:space="preserve"> </v>
      </c>
      <c r="R1195" s="900" t="str">
        <f t="shared" si="245"/>
        <v xml:space="preserve"> </v>
      </c>
      <c r="S1195" s="922"/>
      <c r="T1195" s="944"/>
      <c r="U1195" s="1042"/>
      <c r="V1195" s="929"/>
      <c r="W1195" s="900" t="str">
        <f>IF(S1195&lt;&gt;0,VLOOKUP(S1195,VKT!$A$2:$G$415,7,0),"")</f>
        <v/>
      </c>
      <c r="X1195" s="900" t="str">
        <f t="shared" si="258"/>
        <v xml:space="preserve"> </v>
      </c>
      <c r="Y1195" s="1016"/>
      <c r="Z1195" s="1016"/>
      <c r="AA1195" s="1016"/>
      <c r="AB1195" s="1026"/>
      <c r="AC1195" s="1016"/>
      <c r="AD1195" s="1016"/>
      <c r="AE1195" s="1016"/>
      <c r="AF1195" s="926"/>
      <c r="AG1195" s="906" t="str">
        <f>IF(AE1195&lt;&gt;0,VLOOKUP(AE1195,ODDS!$A$2:$C$13,3,0),"")</f>
        <v/>
      </c>
      <c r="AH1195" s="906" t="str">
        <f t="shared" si="246"/>
        <v xml:space="preserve"> </v>
      </c>
      <c r="AI1195" s="907" t="str">
        <f t="shared" si="252"/>
        <v xml:space="preserve"> </v>
      </c>
      <c r="AJ1195" s="929"/>
      <c r="AK1195" s="929"/>
    </row>
    <row r="1196" spans="1:37" s="385" customFormat="1" ht="43.5" outlineLevel="1" x14ac:dyDescent="0.25">
      <c r="A1196" s="467" t="s">
        <v>2616</v>
      </c>
      <c r="B1196" s="912">
        <v>94</v>
      </c>
      <c r="C1196" s="942" t="s">
        <v>891</v>
      </c>
      <c r="D1196" s="1037"/>
      <c r="E1196" s="1037"/>
      <c r="F1196" s="1038"/>
      <c r="G1196" s="910"/>
      <c r="H1196" s="1039">
        <f>SUBTOTAL(9,H1197:H1205)</f>
        <v>419.8</v>
      </c>
      <c r="I1196" s="915">
        <f>SUBTOTAL(9,I1197:I1202)</f>
        <v>419.8</v>
      </c>
      <c r="J1196" s="1049"/>
      <c r="K1196" s="917"/>
      <c r="L1196" s="917"/>
      <c r="M1196" s="907">
        <f>SUBTOTAL(9,M1197:M1205)</f>
        <v>195459000</v>
      </c>
      <c r="N1196" s="907">
        <f>SUBTOTAL(9,N1197:N1205)</f>
        <v>586377000</v>
      </c>
      <c r="O1196" s="914"/>
      <c r="P1196" s="1044">
        <f>SUBTOTAL(9,P1197:P1205)</f>
        <v>0</v>
      </c>
      <c r="Q1196" s="907"/>
      <c r="R1196" s="907">
        <f>SUBTOTAL(9,R1197:R1205)</f>
        <v>0</v>
      </c>
      <c r="S1196" s="914"/>
      <c r="T1196" s="956"/>
      <c r="U1196" s="1040">
        <f>SUBTOTAL(9,U1197:U1205)</f>
        <v>0</v>
      </c>
      <c r="V1196" s="943"/>
      <c r="W1196" s="907"/>
      <c r="X1196" s="907">
        <f>SUBTOTAL(9,X1197:X1205)</f>
        <v>0</v>
      </c>
      <c r="Y1196" s="1016"/>
      <c r="Z1196" s="1016"/>
      <c r="AA1196" s="1016"/>
      <c r="AB1196" s="1026"/>
      <c r="AC1196" s="1016"/>
      <c r="AD1196" s="1016"/>
      <c r="AE1196" s="985"/>
      <c r="AF1196" s="935">
        <f>SUBTOTAL(9,AF1197:AF1205)</f>
        <v>0</v>
      </c>
      <c r="AG1196" s="921"/>
      <c r="AH1196" s="921">
        <f>SUBTOTAL(9,AH1197:AH1205)</f>
        <v>0</v>
      </c>
      <c r="AI1196" s="907">
        <f t="shared" si="252"/>
        <v>781836000</v>
      </c>
      <c r="AJ1196" s="910"/>
      <c r="AK1196" s="914"/>
    </row>
    <row r="1197" spans="1:37" s="385" customFormat="1" ht="135" outlineLevel="2" x14ac:dyDescent="0.3">
      <c r="A1197" s="447">
        <f>IF(B1196&lt;&gt;0,B1196,A1195)</f>
        <v>94</v>
      </c>
      <c r="B1197" s="893"/>
      <c r="C1197" s="894" t="s">
        <v>893</v>
      </c>
      <c r="D1197" s="950">
        <v>4</v>
      </c>
      <c r="E1197" s="950">
        <v>86</v>
      </c>
      <c r="F1197" s="1032">
        <v>203</v>
      </c>
      <c r="G1197" s="894" t="s">
        <v>2864</v>
      </c>
      <c r="H1197" s="1041">
        <f>419.8</f>
        <v>419.8</v>
      </c>
      <c r="I1197" s="882">
        <f t="shared" ref="I1197" si="263">IF(N1197&gt;0,H1197,"")</f>
        <v>419.8</v>
      </c>
      <c r="J1197" s="1050"/>
      <c r="K1197" s="899">
        <f>IF(G1197&lt;&gt;0,VLOOKUP(G1197,'gia dat'!$A$1:$F$144,5,0)," ")</f>
        <v>465600</v>
      </c>
      <c r="L1197" s="899">
        <f>IF(G1197&lt;&gt;0,VLOOKUP(G1197,'gia dat'!$A$1:$F$144,6,0)," ")</f>
        <v>1396800</v>
      </c>
      <c r="M1197" s="900">
        <f t="shared" si="261"/>
        <v>195459000</v>
      </c>
      <c r="N1197" s="900">
        <f t="shared" si="262"/>
        <v>586377000</v>
      </c>
      <c r="O1197" s="922"/>
      <c r="P1197" s="1046"/>
      <c r="Q1197" s="900" t="str">
        <f>IF(O1197&lt;&gt;0,VLOOKUP(O1197,'Cây trong'!$A$2:$C$246,3,0)," ")</f>
        <v xml:space="preserve"> </v>
      </c>
      <c r="R1197" s="900" t="str">
        <f t="shared" si="245"/>
        <v xml:space="preserve"> </v>
      </c>
      <c r="S1197" s="922"/>
      <c r="T1197" s="944"/>
      <c r="U1197" s="1042"/>
      <c r="V1197" s="929"/>
      <c r="W1197" s="900" t="str">
        <f>IF(S1197&lt;&gt;0,VLOOKUP(S1197,VKT!$A$2:$G$415,7,0),"")</f>
        <v/>
      </c>
      <c r="X1197" s="900" t="str">
        <f t="shared" si="258"/>
        <v xml:space="preserve"> </v>
      </c>
      <c r="Y1197" s="1016"/>
      <c r="Z1197" s="1016"/>
      <c r="AA1197" s="1016"/>
      <c r="AB1197" s="1026"/>
      <c r="AC1197" s="1016"/>
      <c r="AD1197" s="1016"/>
      <c r="AE1197" s="1016"/>
      <c r="AF1197" s="926"/>
      <c r="AG1197" s="906" t="str">
        <f>IF(AE1197&lt;&gt;0,VLOOKUP(AE1197,ODDS!$A$2:$C$13,3,0),"")</f>
        <v/>
      </c>
      <c r="AH1197" s="906"/>
      <c r="AI1197" s="907" t="str">
        <f t="shared" si="252"/>
        <v xml:space="preserve"> </v>
      </c>
      <c r="AJ1197" s="894" t="s">
        <v>892</v>
      </c>
      <c r="AK1197" s="922" t="s">
        <v>2771</v>
      </c>
    </row>
    <row r="1198" spans="1:37" s="385" customFormat="1" ht="112.5" outlineLevel="2" x14ac:dyDescent="0.3">
      <c r="A1198" s="447">
        <f t="shared" ref="A1198:A1205" si="264">IF(B1197&lt;&gt;0,B1197,A1197)</f>
        <v>94</v>
      </c>
      <c r="B1198" s="893"/>
      <c r="C1198" s="894" t="s">
        <v>895</v>
      </c>
      <c r="D1198" s="950"/>
      <c r="E1198" s="950"/>
      <c r="F1198" s="1032"/>
      <c r="G1198" s="894"/>
      <c r="H1198" s="1041"/>
      <c r="I1198" s="882"/>
      <c r="J1198" s="925"/>
      <c r="K1198" s="899" t="str">
        <f>IF(G1198&lt;&gt;0,VLOOKUP(G1198,'gia dat'!$A$1:$F$144,5,0)," ")</f>
        <v xml:space="preserve"> </v>
      </c>
      <c r="L1198" s="899" t="str">
        <f>IF(G1198&lt;&gt;0,VLOOKUP(G1198,'gia dat'!$A$1:$F$144,6,0)," ")</f>
        <v xml:space="preserve"> </v>
      </c>
      <c r="M1198" s="900" t="str">
        <f t="shared" si="261"/>
        <v xml:space="preserve"> </v>
      </c>
      <c r="N1198" s="900" t="str">
        <f t="shared" si="262"/>
        <v xml:space="preserve"> </v>
      </c>
      <c r="O1198" s="894"/>
      <c r="P1198" s="1046"/>
      <c r="Q1198" s="900" t="str">
        <f>IF(O1198&lt;&gt;0,VLOOKUP(O1198,'Cây trong'!$A$2:$C$246,3,0)," ")</f>
        <v xml:space="preserve"> </v>
      </c>
      <c r="R1198" s="900" t="str">
        <f t="shared" si="245"/>
        <v xml:space="preserve"> </v>
      </c>
      <c r="S1198" s="902"/>
      <c r="T1198" s="925"/>
      <c r="U1198" s="1042"/>
      <c r="V1198" s="929"/>
      <c r="W1198" s="900" t="str">
        <f>IF(S1198&lt;&gt;0,VLOOKUP(S1198,VKT!$A$2:$G$415,7,0),"")</f>
        <v/>
      </c>
      <c r="X1198" s="900" t="str">
        <f t="shared" si="258"/>
        <v xml:space="preserve"> </v>
      </c>
      <c r="Y1198" s="1016"/>
      <c r="Z1198" s="1016"/>
      <c r="AA1198" s="1016"/>
      <c r="AB1198" s="1026"/>
      <c r="AC1198" s="1016"/>
      <c r="AD1198" s="1016"/>
      <c r="AE1198" s="1016"/>
      <c r="AF1198" s="926"/>
      <c r="AG1198" s="906" t="str">
        <f>IF(AE1198&lt;&gt;0,VLOOKUP(AE1198,ODDS!$A$2:$C$13,3,0),"")</f>
        <v/>
      </c>
      <c r="AH1198" s="906" t="str">
        <f t="shared" si="246"/>
        <v xml:space="preserve"> </v>
      </c>
      <c r="AI1198" s="907" t="str">
        <f t="shared" si="252"/>
        <v xml:space="preserve"> </v>
      </c>
      <c r="AJ1198" s="894" t="s">
        <v>2925</v>
      </c>
      <c r="AK1198" s="894" t="s">
        <v>2448</v>
      </c>
    </row>
    <row r="1199" spans="1:37" s="385" customFormat="1" ht="22.5" outlineLevel="2" x14ac:dyDescent="0.3">
      <c r="A1199" s="447">
        <f t="shared" si="264"/>
        <v>94</v>
      </c>
      <c r="B1199" s="893"/>
      <c r="C1199" s="894"/>
      <c r="D1199" s="950"/>
      <c r="E1199" s="950"/>
      <c r="F1199" s="1032"/>
      <c r="G1199" s="922"/>
      <c r="H1199" s="1041"/>
      <c r="I1199" s="882"/>
      <c r="J1199" s="925"/>
      <c r="K1199" s="899" t="str">
        <f>IF(G1199&lt;&gt;0,VLOOKUP(G1199,'gia dat'!$A$1:$F$144,5,0)," ")</f>
        <v xml:space="preserve"> </v>
      </c>
      <c r="L1199" s="899" t="str">
        <f>IF(G1199&lt;&gt;0,VLOOKUP(G1199,'gia dat'!$A$1:$F$144,6,0)," ")</f>
        <v xml:space="preserve"> </v>
      </c>
      <c r="M1199" s="900" t="str">
        <f t="shared" si="261"/>
        <v xml:space="preserve"> </v>
      </c>
      <c r="N1199" s="900" t="str">
        <f t="shared" si="262"/>
        <v xml:space="preserve"> </v>
      </c>
      <c r="O1199" s="894"/>
      <c r="P1199" s="1046"/>
      <c r="Q1199" s="900" t="str">
        <f>IF(O1199&lt;&gt;0,VLOOKUP(O1199,'Cây trong'!$A$2:$C$246,3,0)," ")</f>
        <v xml:space="preserve"> </v>
      </c>
      <c r="R1199" s="900" t="str">
        <f t="shared" si="245"/>
        <v xml:space="preserve"> </v>
      </c>
      <c r="S1199" s="902"/>
      <c r="T1199" s="925"/>
      <c r="U1199" s="1042"/>
      <c r="V1199" s="929"/>
      <c r="W1199" s="900" t="str">
        <f>IF(S1199&lt;&gt;0,VLOOKUP(S1199,VKT!$A$2:$G$415,7,0),"")</f>
        <v/>
      </c>
      <c r="X1199" s="900" t="str">
        <f t="shared" si="258"/>
        <v xml:space="preserve"> </v>
      </c>
      <c r="Y1199" s="1016"/>
      <c r="Z1199" s="1016"/>
      <c r="AA1199" s="1016"/>
      <c r="AB1199" s="1026"/>
      <c r="AC1199" s="1016"/>
      <c r="AD1199" s="1016"/>
      <c r="AE1199" s="1016"/>
      <c r="AF1199" s="926"/>
      <c r="AG1199" s="906" t="str">
        <f>IF(AE1199&lt;&gt;0,VLOOKUP(AE1199,ODDS!$A$2:$C$13,3,0),"")</f>
        <v/>
      </c>
      <c r="AH1199" s="906" t="str">
        <f t="shared" si="246"/>
        <v xml:space="preserve"> </v>
      </c>
      <c r="AI1199" s="907" t="str">
        <f t="shared" si="252"/>
        <v xml:space="preserve"> </v>
      </c>
      <c r="AJ1199" s="929" t="s">
        <v>896</v>
      </c>
      <c r="AK1199" s="902"/>
    </row>
    <row r="1200" spans="1:37" s="385" customFormat="1" ht="67.5" outlineLevel="2" x14ac:dyDescent="0.3">
      <c r="A1200" s="447">
        <f t="shared" si="264"/>
        <v>94</v>
      </c>
      <c r="B1200" s="893"/>
      <c r="C1200" s="894"/>
      <c r="D1200" s="950"/>
      <c r="E1200" s="950"/>
      <c r="F1200" s="1032"/>
      <c r="G1200" s="894"/>
      <c r="H1200" s="1041"/>
      <c r="I1200" s="882"/>
      <c r="J1200" s="925"/>
      <c r="K1200" s="899" t="str">
        <f>IF(G1200&lt;&gt;0,VLOOKUP(G1200,'gia dat'!$A$1:$F$144,5,0)," ")</f>
        <v xml:space="preserve"> </v>
      </c>
      <c r="L1200" s="899" t="str">
        <f>IF(G1200&lt;&gt;0,VLOOKUP(G1200,'gia dat'!$A$1:$F$144,6,0)," ")</f>
        <v xml:space="preserve"> </v>
      </c>
      <c r="M1200" s="900" t="str">
        <f t="shared" si="261"/>
        <v xml:space="preserve"> </v>
      </c>
      <c r="N1200" s="900" t="str">
        <f t="shared" si="262"/>
        <v xml:space="preserve"> </v>
      </c>
      <c r="O1200" s="894"/>
      <c r="P1200" s="1046"/>
      <c r="Q1200" s="900" t="str">
        <f>IF(O1200&lt;&gt;0,VLOOKUP(O1200,'Cây trong'!$A$2:$C$246,3,0)," ")</f>
        <v xml:space="preserve"> </v>
      </c>
      <c r="R1200" s="900" t="str">
        <f t="shared" si="245"/>
        <v xml:space="preserve"> </v>
      </c>
      <c r="S1200" s="902"/>
      <c r="T1200" s="925"/>
      <c r="U1200" s="1042"/>
      <c r="V1200" s="929"/>
      <c r="W1200" s="900" t="str">
        <f>IF(S1200&lt;&gt;0,VLOOKUP(S1200,VKT!$A$2:$G$415,7,0),"")</f>
        <v/>
      </c>
      <c r="X1200" s="900" t="str">
        <f t="shared" si="258"/>
        <v xml:space="preserve"> </v>
      </c>
      <c r="Y1200" s="1016"/>
      <c r="Z1200" s="1016"/>
      <c r="AA1200" s="1016"/>
      <c r="AB1200" s="1026"/>
      <c r="AC1200" s="1016"/>
      <c r="AD1200" s="1016"/>
      <c r="AE1200" s="1016"/>
      <c r="AF1200" s="926"/>
      <c r="AG1200" s="906" t="str">
        <f>IF(AE1200&lt;&gt;0,VLOOKUP(AE1200,ODDS!$A$2:$C$13,3,0),"")</f>
        <v/>
      </c>
      <c r="AH1200" s="906" t="str">
        <f t="shared" si="246"/>
        <v xml:space="preserve"> </v>
      </c>
      <c r="AI1200" s="907" t="str">
        <f t="shared" si="252"/>
        <v xml:space="preserve"> </v>
      </c>
      <c r="AJ1200" s="894" t="s">
        <v>2074</v>
      </c>
      <c r="AK1200" s="929"/>
    </row>
    <row r="1201" spans="1:37" s="385" customFormat="1" ht="22.5" outlineLevel="2" x14ac:dyDescent="0.35">
      <c r="A1201" s="447">
        <f t="shared" si="264"/>
        <v>94</v>
      </c>
      <c r="B1201" s="893"/>
      <c r="C1201" s="894"/>
      <c r="D1201" s="950"/>
      <c r="E1201" s="950"/>
      <c r="F1201" s="1032"/>
      <c r="G1201" s="894"/>
      <c r="H1201" s="1041"/>
      <c r="I1201" s="882"/>
      <c r="J1201" s="925"/>
      <c r="K1201" s="899" t="str">
        <f>IF(G1201&lt;&gt;0,VLOOKUP(G1201,'gia dat'!$A$1:$F$144,5,0)," ")</f>
        <v xml:space="preserve"> </v>
      </c>
      <c r="L1201" s="899" t="str">
        <f>IF(G1201&lt;&gt;0,VLOOKUP(G1201,'gia dat'!$A$1:$F$144,6,0)," ")</f>
        <v xml:space="preserve"> </v>
      </c>
      <c r="M1201" s="900" t="str">
        <f t="shared" si="261"/>
        <v xml:space="preserve"> </v>
      </c>
      <c r="N1201" s="900" t="str">
        <f t="shared" si="262"/>
        <v xml:space="preserve"> </v>
      </c>
      <c r="O1201" s="894"/>
      <c r="P1201" s="1046"/>
      <c r="Q1201" s="900" t="str">
        <f>IF(O1201&lt;&gt;0,VLOOKUP(O1201,'Cây trong'!$A$2:$C$246,3,0)," ")</f>
        <v xml:space="preserve"> </v>
      </c>
      <c r="R1201" s="900" t="str">
        <f t="shared" si="245"/>
        <v xml:space="preserve"> </v>
      </c>
      <c r="S1201" s="902"/>
      <c r="T1201" s="925"/>
      <c r="U1201" s="1042"/>
      <c r="V1201" s="929"/>
      <c r="W1201" s="900" t="str">
        <f>IF(S1201&lt;&gt;0,VLOOKUP(S1201,VKT!$A$2:$G$415,7,0),"")</f>
        <v/>
      </c>
      <c r="X1201" s="900" t="str">
        <f t="shared" si="258"/>
        <v xml:space="preserve"> </v>
      </c>
      <c r="Y1201" s="1016"/>
      <c r="Z1201" s="1016"/>
      <c r="AA1201" s="1016"/>
      <c r="AB1201" s="1026"/>
      <c r="AC1201" s="1016"/>
      <c r="AD1201" s="1016"/>
      <c r="AE1201" s="1016"/>
      <c r="AF1201" s="926"/>
      <c r="AG1201" s="906" t="str">
        <f>IF(AE1201&lt;&gt;0,VLOOKUP(AE1201,ODDS!$A$2:$C$13,3,0),"")</f>
        <v/>
      </c>
      <c r="AH1201" s="906" t="str">
        <f t="shared" si="246"/>
        <v xml:space="preserve"> </v>
      </c>
      <c r="AI1201" s="907" t="str">
        <f t="shared" si="252"/>
        <v xml:space="preserve"> </v>
      </c>
      <c r="AJ1201" s="1051"/>
      <c r="AK1201" s="929"/>
    </row>
    <row r="1202" spans="1:37" s="385" customFormat="1" ht="22.5" outlineLevel="2" x14ac:dyDescent="0.3">
      <c r="A1202" s="447">
        <f t="shared" si="264"/>
        <v>94</v>
      </c>
      <c r="B1202" s="893"/>
      <c r="C1202" s="894"/>
      <c r="D1202" s="950"/>
      <c r="E1202" s="950"/>
      <c r="F1202" s="1032"/>
      <c r="G1202" s="894"/>
      <c r="H1202" s="1041"/>
      <c r="I1202" s="882"/>
      <c r="J1202" s="925"/>
      <c r="K1202" s="899" t="str">
        <f>IF(G1202&lt;&gt;0,VLOOKUP(G1202,'gia dat'!$A$1:$F$144,5,0)," ")</f>
        <v xml:space="preserve"> </v>
      </c>
      <c r="L1202" s="899" t="str">
        <f>IF(G1202&lt;&gt;0,VLOOKUP(G1202,'gia dat'!$A$1:$F$144,6,0)," ")</f>
        <v xml:space="preserve"> </v>
      </c>
      <c r="M1202" s="900" t="str">
        <f t="shared" si="261"/>
        <v xml:space="preserve"> </v>
      </c>
      <c r="N1202" s="900" t="str">
        <f t="shared" si="262"/>
        <v xml:space="preserve"> </v>
      </c>
      <c r="O1202" s="894"/>
      <c r="P1202" s="1046"/>
      <c r="Q1202" s="900" t="str">
        <f>IF(O1202&lt;&gt;0,VLOOKUP(O1202,'Cây trong'!$A$2:$C$246,3,0)," ")</f>
        <v xml:space="preserve"> </v>
      </c>
      <c r="R1202" s="900" t="str">
        <f t="shared" si="245"/>
        <v xml:space="preserve"> </v>
      </c>
      <c r="S1202" s="902"/>
      <c r="T1202" s="925"/>
      <c r="U1202" s="1042"/>
      <c r="V1202" s="929"/>
      <c r="W1202" s="900" t="str">
        <f>IF(S1202&lt;&gt;0,VLOOKUP(S1202,VKT!$A$2:$G$415,7,0),"")</f>
        <v/>
      </c>
      <c r="X1202" s="900" t="str">
        <f t="shared" si="258"/>
        <v xml:space="preserve"> </v>
      </c>
      <c r="Y1202" s="1016"/>
      <c r="Z1202" s="1016"/>
      <c r="AA1202" s="1016"/>
      <c r="AB1202" s="1026"/>
      <c r="AC1202" s="1016"/>
      <c r="AD1202" s="1016"/>
      <c r="AE1202" s="1016"/>
      <c r="AF1202" s="926"/>
      <c r="AG1202" s="906" t="str">
        <f>IF(AE1202&lt;&gt;0,VLOOKUP(AE1202,ODDS!$A$2:$C$13,3,0),"")</f>
        <v/>
      </c>
      <c r="AH1202" s="906" t="str">
        <f t="shared" si="246"/>
        <v xml:space="preserve"> </v>
      </c>
      <c r="AI1202" s="907" t="str">
        <f t="shared" si="252"/>
        <v xml:space="preserve"> </v>
      </c>
      <c r="AJ1202" s="922"/>
      <c r="AK1202" s="929"/>
    </row>
    <row r="1203" spans="1:37" s="385" customFormat="1" ht="22.5" outlineLevel="2" x14ac:dyDescent="0.35">
      <c r="A1203" s="447">
        <f t="shared" si="264"/>
        <v>94</v>
      </c>
      <c r="B1203" s="893"/>
      <c r="C1203" s="894"/>
      <c r="D1203" s="950"/>
      <c r="E1203" s="950"/>
      <c r="F1203" s="1032"/>
      <c r="G1203" s="894"/>
      <c r="H1203" s="1041"/>
      <c r="I1203" s="882"/>
      <c r="J1203" s="925"/>
      <c r="K1203" s="899" t="str">
        <f>IF(G1203&lt;&gt;0,VLOOKUP(G1203,'gia dat'!$A$1:$F$144,5,0)," ")</f>
        <v xml:space="preserve"> </v>
      </c>
      <c r="L1203" s="899" t="str">
        <f>IF(G1203&lt;&gt;0,VLOOKUP(G1203,'gia dat'!$A$1:$F$144,6,0)," ")</f>
        <v xml:space="preserve"> </v>
      </c>
      <c r="M1203" s="900" t="str">
        <f t="shared" si="261"/>
        <v xml:space="preserve"> </v>
      </c>
      <c r="N1203" s="900" t="str">
        <f t="shared" si="262"/>
        <v xml:space="preserve"> </v>
      </c>
      <c r="O1203" s="894"/>
      <c r="P1203" s="1046"/>
      <c r="Q1203" s="900" t="str">
        <f>IF(O1203&lt;&gt;0,VLOOKUP(O1203,'Cây trong'!$A$2:$C$246,3,0)," ")</f>
        <v xml:space="preserve"> </v>
      </c>
      <c r="R1203" s="900" t="str">
        <f t="shared" ref="R1203:R1294" si="265">IF(O1203&lt;&gt;0,ROUND(P1203*Q1203,-2)," ")</f>
        <v xml:space="preserve"> </v>
      </c>
      <c r="S1203" s="902"/>
      <c r="T1203" s="925"/>
      <c r="U1203" s="1042"/>
      <c r="V1203" s="929"/>
      <c r="W1203" s="900" t="str">
        <f>IF(S1203&lt;&gt;0,VLOOKUP(S1203,VKT!$A$2:$G$415,7,0),"")</f>
        <v/>
      </c>
      <c r="X1203" s="900" t="str">
        <f t="shared" si="258"/>
        <v xml:space="preserve"> </v>
      </c>
      <c r="Y1203" s="1016"/>
      <c r="Z1203" s="1016"/>
      <c r="AA1203" s="1016"/>
      <c r="AB1203" s="1026"/>
      <c r="AC1203" s="1016"/>
      <c r="AD1203" s="1016"/>
      <c r="AE1203" s="1016"/>
      <c r="AF1203" s="926"/>
      <c r="AG1203" s="906" t="str">
        <f>IF(AE1203&lt;&gt;0,VLOOKUP(AE1203,ODDS!$A$2:$C$13,3,0),"")</f>
        <v/>
      </c>
      <c r="AH1203" s="906" t="str">
        <f t="shared" ref="AH1203:AH1294" si="266">IF(AE1203&lt;&gt;0,ROUND(AF1203*AG1203,-2)," ")</f>
        <v xml:space="preserve"> </v>
      </c>
      <c r="AI1203" s="907" t="str">
        <f t="shared" si="252"/>
        <v xml:space="preserve"> </v>
      </c>
      <c r="AJ1203" s="1036"/>
      <c r="AK1203" s="929"/>
    </row>
    <row r="1204" spans="1:37" s="385" customFormat="1" ht="22.5" outlineLevel="2" x14ac:dyDescent="0.3">
      <c r="A1204" s="447">
        <f t="shared" si="264"/>
        <v>94</v>
      </c>
      <c r="B1204" s="893"/>
      <c r="C1204" s="894"/>
      <c r="D1204" s="950"/>
      <c r="E1204" s="950"/>
      <c r="F1204" s="1032"/>
      <c r="G1204" s="894"/>
      <c r="H1204" s="1041"/>
      <c r="I1204" s="882"/>
      <c r="J1204" s="925"/>
      <c r="K1204" s="899" t="str">
        <f>IF(G1204&lt;&gt;0,VLOOKUP(G1204,'gia dat'!$A$1:$F$144,5,0)," ")</f>
        <v xml:space="preserve"> </v>
      </c>
      <c r="L1204" s="899" t="str">
        <f>IF(G1204&lt;&gt;0,VLOOKUP(G1204,'gia dat'!$A$1:$F$144,6,0)," ")</f>
        <v xml:space="preserve"> </v>
      </c>
      <c r="M1204" s="900" t="str">
        <f t="shared" si="261"/>
        <v xml:space="preserve"> </v>
      </c>
      <c r="N1204" s="900" t="str">
        <f t="shared" si="262"/>
        <v xml:space="preserve"> </v>
      </c>
      <c r="O1204" s="894"/>
      <c r="P1204" s="1046"/>
      <c r="Q1204" s="900" t="str">
        <f>IF(O1204&lt;&gt;0,VLOOKUP(O1204,'Cây trong'!$A$2:$C$246,3,0)," ")</f>
        <v xml:space="preserve"> </v>
      </c>
      <c r="R1204" s="900" t="str">
        <f t="shared" si="265"/>
        <v xml:space="preserve"> </v>
      </c>
      <c r="S1204" s="902"/>
      <c r="T1204" s="925"/>
      <c r="U1204" s="1042"/>
      <c r="V1204" s="929"/>
      <c r="W1204" s="900" t="str">
        <f>IF(S1204&lt;&gt;0,VLOOKUP(S1204,VKT!$A$2:$G$415,7,0),"")</f>
        <v/>
      </c>
      <c r="X1204" s="900" t="str">
        <f t="shared" si="258"/>
        <v xml:space="preserve"> </v>
      </c>
      <c r="Y1204" s="1016"/>
      <c r="Z1204" s="1016"/>
      <c r="AA1204" s="1016"/>
      <c r="AB1204" s="1026"/>
      <c r="AC1204" s="1016"/>
      <c r="AD1204" s="1016"/>
      <c r="AE1204" s="1016"/>
      <c r="AF1204" s="926"/>
      <c r="AG1204" s="906" t="str">
        <f>IF(AE1204&lt;&gt;0,VLOOKUP(AE1204,ODDS!$A$2:$C$13,3,0),"")</f>
        <v/>
      </c>
      <c r="AH1204" s="906" t="str">
        <f t="shared" si="266"/>
        <v xml:space="preserve"> </v>
      </c>
      <c r="AI1204" s="907" t="str">
        <f t="shared" si="252"/>
        <v xml:space="preserve"> </v>
      </c>
      <c r="AJ1204" s="929"/>
      <c r="AK1204" s="929"/>
    </row>
    <row r="1205" spans="1:37" s="385" customFormat="1" ht="22.5" outlineLevel="2" x14ac:dyDescent="0.3">
      <c r="A1205" s="447">
        <f t="shared" si="264"/>
        <v>94</v>
      </c>
      <c r="B1205" s="893"/>
      <c r="C1205" s="910"/>
      <c r="D1205" s="950"/>
      <c r="E1205" s="950"/>
      <c r="F1205" s="1032"/>
      <c r="G1205" s="894"/>
      <c r="H1205" s="1041"/>
      <c r="I1205" s="882"/>
      <c r="J1205" s="925"/>
      <c r="K1205" s="899" t="str">
        <f>IF(G1205&lt;&gt;0,VLOOKUP(G1205,'gia dat'!$A$1:$F$144,5,0)," ")</f>
        <v xml:space="preserve"> </v>
      </c>
      <c r="L1205" s="899" t="str">
        <f>IF(G1205&lt;&gt;0,VLOOKUP(G1205,'gia dat'!$A$1:$F$144,6,0)," ")</f>
        <v xml:space="preserve"> </v>
      </c>
      <c r="M1205" s="900" t="str">
        <f t="shared" si="261"/>
        <v xml:space="preserve"> </v>
      </c>
      <c r="N1205" s="900" t="str">
        <f t="shared" si="262"/>
        <v xml:space="preserve"> </v>
      </c>
      <c r="O1205" s="894"/>
      <c r="P1205" s="1046"/>
      <c r="Q1205" s="900" t="str">
        <f>IF(O1205&lt;&gt;0,VLOOKUP(O1205,'Cây trong'!$A$2:$C$246,3,0)," ")</f>
        <v xml:space="preserve"> </v>
      </c>
      <c r="R1205" s="900" t="str">
        <f t="shared" si="265"/>
        <v xml:space="preserve"> </v>
      </c>
      <c r="S1205" s="902"/>
      <c r="T1205" s="925"/>
      <c r="U1205" s="1042"/>
      <c r="V1205" s="929"/>
      <c r="W1205" s="900" t="str">
        <f>IF(S1205&lt;&gt;0,VLOOKUP(S1205,VKT!$A$2:$G$415,7,0),"")</f>
        <v/>
      </c>
      <c r="X1205" s="900" t="str">
        <f t="shared" si="258"/>
        <v xml:space="preserve"> </v>
      </c>
      <c r="Y1205" s="1016"/>
      <c r="Z1205" s="1016"/>
      <c r="AA1205" s="1016"/>
      <c r="AB1205" s="1026"/>
      <c r="AC1205" s="1016"/>
      <c r="AD1205" s="1016"/>
      <c r="AE1205" s="1016"/>
      <c r="AF1205" s="926"/>
      <c r="AG1205" s="906" t="str">
        <f>IF(AE1205&lt;&gt;0,VLOOKUP(AE1205,ODDS!$A$2:$C$13,3,0),"")</f>
        <v/>
      </c>
      <c r="AH1205" s="906" t="str">
        <f t="shared" si="266"/>
        <v xml:space="preserve"> </v>
      </c>
      <c r="AI1205" s="907" t="str">
        <f t="shared" si="252"/>
        <v xml:space="preserve"> </v>
      </c>
      <c r="AJ1205" s="929"/>
      <c r="AK1205" s="929"/>
    </row>
    <row r="1206" spans="1:37" s="385" customFormat="1" ht="43.5" outlineLevel="1" x14ac:dyDescent="0.25">
      <c r="A1206" s="467" t="s">
        <v>2615</v>
      </c>
      <c r="B1206" s="912">
        <v>95</v>
      </c>
      <c r="C1206" s="910" t="s">
        <v>898</v>
      </c>
      <c r="D1206" s="1037"/>
      <c r="E1206" s="1037"/>
      <c r="F1206" s="1038"/>
      <c r="G1206" s="910"/>
      <c r="H1206" s="1039">
        <f>SUBTOTAL(9,H1207:H1212)</f>
        <v>416.70000000000005</v>
      </c>
      <c r="I1206" s="915">
        <f>SUBTOTAL(9,I1207:I1212)</f>
        <v>0</v>
      </c>
      <c r="J1206" s="933"/>
      <c r="K1206" s="917"/>
      <c r="L1206" s="917"/>
      <c r="M1206" s="907">
        <f>SUBTOTAL(9,M1207:M1212)</f>
        <v>194016000</v>
      </c>
      <c r="N1206" s="907">
        <f>SUBTOTAL(9,N1207:N1212)</f>
        <v>0</v>
      </c>
      <c r="O1206" s="910"/>
      <c r="P1206" s="1044">
        <f>SUBTOTAL(9,P1207:P1212)</f>
        <v>0</v>
      </c>
      <c r="Q1206" s="907"/>
      <c r="R1206" s="907">
        <f>SUBTOTAL(9,R1207:R1212)</f>
        <v>0</v>
      </c>
      <c r="S1206" s="918"/>
      <c r="T1206" s="933"/>
      <c r="U1206" s="1040">
        <f>SUBTOTAL(9,U1207:U1212)</f>
        <v>0</v>
      </c>
      <c r="V1206" s="943"/>
      <c r="W1206" s="907"/>
      <c r="X1206" s="907">
        <f>SUBTOTAL(9,X1207:X1212)</f>
        <v>0</v>
      </c>
      <c r="Y1206" s="1016"/>
      <c r="Z1206" s="1016"/>
      <c r="AA1206" s="1016"/>
      <c r="AB1206" s="1026"/>
      <c r="AC1206" s="1016"/>
      <c r="AD1206" s="1016"/>
      <c r="AE1206" s="985"/>
      <c r="AF1206" s="935">
        <f>SUBTOTAL(9,AF1207:AF1212)</f>
        <v>0</v>
      </c>
      <c r="AG1206" s="921"/>
      <c r="AH1206" s="921">
        <f>SUBTOTAL(9,AH1207:AH1212)</f>
        <v>0</v>
      </c>
      <c r="AI1206" s="907">
        <f t="shared" si="252"/>
        <v>194016000</v>
      </c>
      <c r="AJ1206" s="910"/>
      <c r="AK1206" s="914"/>
    </row>
    <row r="1207" spans="1:37" s="385" customFormat="1" ht="135" outlineLevel="2" x14ac:dyDescent="0.3">
      <c r="A1207" s="447">
        <f>IF(B1206&lt;&gt;0,B1206,A1205)</f>
        <v>95</v>
      </c>
      <c r="B1207" s="893"/>
      <c r="C1207" s="908" t="s">
        <v>900</v>
      </c>
      <c r="D1207" s="950">
        <v>3</v>
      </c>
      <c r="E1207" s="950">
        <v>86</v>
      </c>
      <c r="F1207" s="1032">
        <v>60</v>
      </c>
      <c r="G1207" s="894" t="s">
        <v>2862</v>
      </c>
      <c r="H1207" s="1041">
        <f>415.6+1.1</f>
        <v>416.70000000000005</v>
      </c>
      <c r="I1207" s="882" t="str">
        <f t="shared" ref="I1207" si="267">IF(N1207&gt;0,H1207,"")</f>
        <v/>
      </c>
      <c r="J1207" s="925"/>
      <c r="K1207" s="899">
        <f>IF(G1207&lt;&gt;0,VLOOKUP(G1207,'gia dat'!$A$1:$F$144,5,0)," ")</f>
        <v>465600</v>
      </c>
      <c r="L1207" s="899">
        <f>IF(G1207&lt;&gt;0,VLOOKUP(G1207,'gia dat'!$A$1:$F$144,6,0)," ")</f>
        <v>0</v>
      </c>
      <c r="M1207" s="900">
        <f t="shared" si="261"/>
        <v>194016000</v>
      </c>
      <c r="N1207" s="900">
        <f t="shared" si="262"/>
        <v>0</v>
      </c>
      <c r="O1207" s="894"/>
      <c r="P1207" s="1046"/>
      <c r="Q1207" s="900" t="str">
        <f>IF(O1207&lt;&gt;0,VLOOKUP(O1207,'Cây trong'!$A$2:$C$246,3,0)," ")</f>
        <v xml:space="preserve"> </v>
      </c>
      <c r="R1207" s="900" t="str">
        <f t="shared" si="265"/>
        <v xml:space="preserve"> </v>
      </c>
      <c r="S1207" s="902"/>
      <c r="T1207" s="925"/>
      <c r="U1207" s="1042"/>
      <c r="V1207" s="929"/>
      <c r="W1207" s="900" t="str">
        <f>IF(S1207&lt;&gt;0,VLOOKUP(S1207,VKT!$A$2:$G$415,7,0),"")</f>
        <v/>
      </c>
      <c r="X1207" s="900" t="str">
        <f t="shared" si="258"/>
        <v xml:space="preserve"> </v>
      </c>
      <c r="Y1207" s="1016"/>
      <c r="Z1207" s="1016"/>
      <c r="AA1207" s="1016"/>
      <c r="AB1207" s="1026"/>
      <c r="AC1207" s="1016"/>
      <c r="AD1207" s="1016"/>
      <c r="AE1207" s="1016"/>
      <c r="AF1207" s="926"/>
      <c r="AG1207" s="906" t="str">
        <f>IF(AE1207&lt;&gt;0,VLOOKUP(AE1207,ODDS!$A$2:$C$13,3,0),"")</f>
        <v/>
      </c>
      <c r="AH1207" s="906"/>
      <c r="AI1207" s="907" t="str">
        <f t="shared" si="252"/>
        <v xml:space="preserve"> </v>
      </c>
      <c r="AJ1207" s="894" t="s">
        <v>2776</v>
      </c>
      <c r="AK1207" s="922" t="s">
        <v>2771</v>
      </c>
    </row>
    <row r="1208" spans="1:37" s="385" customFormat="1" ht="90" outlineLevel="2" x14ac:dyDescent="0.35">
      <c r="A1208" s="447">
        <f>IF(B1207&lt;&gt;0,B1207,A1207)</f>
        <v>95</v>
      </c>
      <c r="B1208" s="893"/>
      <c r="C1208" s="908" t="s">
        <v>902</v>
      </c>
      <c r="D1208" s="1035"/>
      <c r="E1208" s="950"/>
      <c r="F1208" s="1032"/>
      <c r="G1208" s="1036"/>
      <c r="H1208" s="1033"/>
      <c r="I1208" s="882"/>
      <c r="J1208" s="1042"/>
      <c r="K1208" s="899" t="str">
        <f>IF(G1208&lt;&gt;0,VLOOKUP(G1208,'gia dat'!$A$1:$F$144,5,0)," ")</f>
        <v xml:space="preserve"> </v>
      </c>
      <c r="L1208" s="899" t="str">
        <f>IF(G1208&lt;&gt;0,VLOOKUP(G1208,'gia dat'!$A$1:$F$144,6,0)," ")</f>
        <v xml:space="preserve"> </v>
      </c>
      <c r="M1208" s="900" t="str">
        <f t="shared" si="261"/>
        <v xml:space="preserve"> </v>
      </c>
      <c r="N1208" s="900" t="str">
        <f t="shared" si="262"/>
        <v xml:space="preserve"> </v>
      </c>
      <c r="O1208" s="922"/>
      <c r="P1208" s="1046"/>
      <c r="Q1208" s="900" t="str">
        <f>IF(O1208&lt;&gt;0,VLOOKUP(O1208,'Cây trong'!$A$2:$C$246,3,0)," ")</f>
        <v xml:space="preserve"> </v>
      </c>
      <c r="R1208" s="900" t="str">
        <f t="shared" si="265"/>
        <v xml:space="preserve"> </v>
      </c>
      <c r="S1208" s="922"/>
      <c r="T1208" s="944"/>
      <c r="U1208" s="1042"/>
      <c r="V1208" s="929"/>
      <c r="W1208" s="900" t="str">
        <f>IF(S1208&lt;&gt;0,VLOOKUP(S1208,VKT!$A$2:$G$415,7,0),"")</f>
        <v/>
      </c>
      <c r="X1208" s="900" t="str">
        <f t="shared" si="258"/>
        <v xml:space="preserve"> </v>
      </c>
      <c r="Y1208" s="1016"/>
      <c r="Z1208" s="1016"/>
      <c r="AA1208" s="1016"/>
      <c r="AB1208" s="1026"/>
      <c r="AC1208" s="1016"/>
      <c r="AD1208" s="1016"/>
      <c r="AE1208" s="1016"/>
      <c r="AF1208" s="926"/>
      <c r="AG1208" s="906" t="str">
        <f>IF(AE1208&lt;&gt;0,VLOOKUP(AE1208,ODDS!$A$2:$C$13,3,0),"")</f>
        <v/>
      </c>
      <c r="AH1208" s="906" t="str">
        <f t="shared" si="266"/>
        <v xml:space="preserve"> </v>
      </c>
      <c r="AI1208" s="907" t="str">
        <f t="shared" si="252"/>
        <v xml:space="preserve"> </v>
      </c>
      <c r="AJ1208" s="894" t="s">
        <v>2777</v>
      </c>
      <c r="AK1208" s="902"/>
    </row>
    <row r="1209" spans="1:37" s="385" customFormat="1" ht="22.5" outlineLevel="2" x14ac:dyDescent="0.3">
      <c r="A1209" s="447">
        <f>IF(B1208&lt;&gt;0,B1208,A1208)</f>
        <v>95</v>
      </c>
      <c r="B1209" s="893"/>
      <c r="C1209" s="908"/>
      <c r="D1209" s="1035"/>
      <c r="E1209" s="950"/>
      <c r="F1209" s="1032"/>
      <c r="G1209" s="894"/>
      <c r="H1209" s="1041"/>
      <c r="I1209" s="882"/>
      <c r="J1209" s="1042"/>
      <c r="K1209" s="899" t="str">
        <f>IF(G1209&lt;&gt;0,VLOOKUP(G1209,'gia dat'!$A$1:$F$144,5,0)," ")</f>
        <v xml:space="preserve"> </v>
      </c>
      <c r="L1209" s="899" t="str">
        <f>IF(G1209&lt;&gt;0,VLOOKUP(G1209,'gia dat'!$A$1:$F$144,6,0)," ")</f>
        <v xml:space="preserve"> </v>
      </c>
      <c r="M1209" s="900" t="str">
        <f t="shared" si="261"/>
        <v xml:space="preserve"> </v>
      </c>
      <c r="N1209" s="900" t="str">
        <f t="shared" si="262"/>
        <v xml:space="preserve"> </v>
      </c>
      <c r="O1209" s="922"/>
      <c r="P1209" s="1046"/>
      <c r="Q1209" s="900" t="str">
        <f>IF(O1209&lt;&gt;0,VLOOKUP(O1209,'Cây trong'!$A$2:$C$246,3,0)," ")</f>
        <v xml:space="preserve"> </v>
      </c>
      <c r="R1209" s="900" t="str">
        <f t="shared" si="265"/>
        <v xml:space="preserve"> </v>
      </c>
      <c r="S1209" s="922"/>
      <c r="T1209" s="944"/>
      <c r="U1209" s="1042"/>
      <c r="V1209" s="929"/>
      <c r="W1209" s="900" t="str">
        <f>IF(S1209&lt;&gt;0,VLOOKUP(S1209,VKT!$A$2:$G$415,7,0),"")</f>
        <v/>
      </c>
      <c r="X1209" s="900" t="str">
        <f t="shared" si="258"/>
        <v xml:space="preserve"> </v>
      </c>
      <c r="Y1209" s="1016"/>
      <c r="Z1209" s="1016"/>
      <c r="AA1209" s="1016"/>
      <c r="AB1209" s="1026"/>
      <c r="AC1209" s="1016"/>
      <c r="AD1209" s="1016"/>
      <c r="AE1209" s="1016"/>
      <c r="AF1209" s="926"/>
      <c r="AG1209" s="906" t="str">
        <f>IF(AE1209&lt;&gt;0,VLOOKUP(AE1209,ODDS!$A$2:$C$13,3,0),"")</f>
        <v/>
      </c>
      <c r="AH1209" s="906" t="str">
        <f t="shared" si="266"/>
        <v xml:space="preserve"> </v>
      </c>
      <c r="AI1209" s="907" t="str">
        <f t="shared" si="252"/>
        <v xml:space="preserve"> </v>
      </c>
      <c r="AJ1209" s="929" t="s">
        <v>903</v>
      </c>
      <c r="AK1209" s="902"/>
    </row>
    <row r="1210" spans="1:37" s="385" customFormat="1" ht="112.5" outlineLevel="2" x14ac:dyDescent="0.3">
      <c r="A1210" s="447">
        <f>IF(B1209&lt;&gt;0,B1209,A1209)</f>
        <v>95</v>
      </c>
      <c r="B1210" s="893"/>
      <c r="C1210" s="908"/>
      <c r="D1210" s="1035"/>
      <c r="E1210" s="950"/>
      <c r="F1210" s="1032"/>
      <c r="G1210" s="894"/>
      <c r="H1210" s="1041"/>
      <c r="I1210" s="882"/>
      <c r="J1210" s="1042"/>
      <c r="K1210" s="899" t="str">
        <f>IF(G1210&lt;&gt;0,VLOOKUP(G1210,'gia dat'!$A$1:$F$144,5,0)," ")</f>
        <v xml:space="preserve"> </v>
      </c>
      <c r="L1210" s="899" t="str">
        <f>IF(G1210&lt;&gt;0,VLOOKUP(G1210,'gia dat'!$A$1:$F$144,6,0)," ")</f>
        <v xml:space="preserve"> </v>
      </c>
      <c r="M1210" s="900" t="str">
        <f t="shared" si="261"/>
        <v xml:space="preserve"> </v>
      </c>
      <c r="N1210" s="900" t="str">
        <f t="shared" si="262"/>
        <v xml:space="preserve"> </v>
      </c>
      <c r="O1210" s="922"/>
      <c r="P1210" s="1046"/>
      <c r="Q1210" s="900" t="str">
        <f>IF(O1210&lt;&gt;0,VLOOKUP(O1210,'Cây trong'!$A$2:$C$246,3,0)," ")</f>
        <v xml:space="preserve"> </v>
      </c>
      <c r="R1210" s="900" t="str">
        <f t="shared" si="265"/>
        <v xml:space="preserve"> </v>
      </c>
      <c r="S1210" s="922"/>
      <c r="T1210" s="944"/>
      <c r="U1210" s="1042"/>
      <c r="V1210" s="929"/>
      <c r="W1210" s="900" t="str">
        <f>IF(S1210&lt;&gt;0,VLOOKUP(S1210,VKT!$A$2:$G$415,7,0),"")</f>
        <v/>
      </c>
      <c r="X1210" s="900" t="str">
        <f t="shared" si="258"/>
        <v xml:space="preserve"> </v>
      </c>
      <c r="Y1210" s="1016"/>
      <c r="Z1210" s="1016"/>
      <c r="AA1210" s="1016"/>
      <c r="AB1210" s="1026"/>
      <c r="AC1210" s="1016"/>
      <c r="AD1210" s="1016"/>
      <c r="AE1210" s="1016"/>
      <c r="AF1210" s="926"/>
      <c r="AG1210" s="906" t="str">
        <f>IF(AE1210&lt;&gt;0,VLOOKUP(AE1210,ODDS!$A$2:$C$13,3,0),"")</f>
        <v/>
      </c>
      <c r="AH1210" s="906" t="str">
        <f t="shared" si="266"/>
        <v xml:space="preserve"> </v>
      </c>
      <c r="AI1210" s="907" t="str">
        <f t="shared" si="252"/>
        <v xml:space="preserve"> </v>
      </c>
      <c r="AJ1210" s="894" t="s">
        <v>2223</v>
      </c>
      <c r="AK1210" s="929"/>
    </row>
    <row r="1211" spans="1:37" s="385" customFormat="1" ht="22.5" outlineLevel="2" x14ac:dyDescent="0.35">
      <c r="A1211" s="447">
        <f>IF(B1210&lt;&gt;0,B1210,A1210)</f>
        <v>95</v>
      </c>
      <c r="B1211" s="893"/>
      <c r="C1211" s="908"/>
      <c r="D1211" s="1035"/>
      <c r="E1211" s="950"/>
      <c r="F1211" s="1032"/>
      <c r="G1211" s="894"/>
      <c r="H1211" s="1041"/>
      <c r="I1211" s="882"/>
      <c r="J1211" s="1042"/>
      <c r="K1211" s="899" t="str">
        <f>IF(G1211&lt;&gt;0,VLOOKUP(G1211,'gia dat'!$A$1:$F$144,5,0)," ")</f>
        <v xml:space="preserve"> </v>
      </c>
      <c r="L1211" s="899" t="str">
        <f>IF(G1211&lt;&gt;0,VLOOKUP(G1211,'gia dat'!$A$1:$F$144,6,0)," ")</f>
        <v xml:space="preserve"> </v>
      </c>
      <c r="M1211" s="900" t="str">
        <f t="shared" si="261"/>
        <v xml:space="preserve"> </v>
      </c>
      <c r="N1211" s="900" t="str">
        <f t="shared" si="262"/>
        <v xml:space="preserve"> </v>
      </c>
      <c r="O1211" s="922"/>
      <c r="P1211" s="1046"/>
      <c r="Q1211" s="900" t="str">
        <f>IF(O1211&lt;&gt;0,VLOOKUP(O1211,'Cây trong'!$A$2:$C$246,3,0)," ")</f>
        <v xml:space="preserve"> </v>
      </c>
      <c r="R1211" s="900" t="str">
        <f t="shared" si="265"/>
        <v xml:space="preserve"> </v>
      </c>
      <c r="S1211" s="922"/>
      <c r="T1211" s="944"/>
      <c r="U1211" s="1042"/>
      <c r="V1211" s="929"/>
      <c r="W1211" s="900" t="str">
        <f>IF(S1211&lt;&gt;0,VLOOKUP(S1211,VKT!$A$2:$G$415,7,0),"")</f>
        <v/>
      </c>
      <c r="X1211" s="900" t="str">
        <f t="shared" si="258"/>
        <v xml:space="preserve"> </v>
      </c>
      <c r="Y1211" s="1016"/>
      <c r="Z1211" s="1016"/>
      <c r="AA1211" s="1016"/>
      <c r="AB1211" s="1026"/>
      <c r="AC1211" s="1016"/>
      <c r="AD1211" s="1016"/>
      <c r="AE1211" s="1016"/>
      <c r="AF1211" s="926"/>
      <c r="AG1211" s="906" t="str">
        <f>IF(AE1211&lt;&gt;0,VLOOKUP(AE1211,ODDS!$A$2:$C$13,3,0),"")</f>
        <v/>
      </c>
      <c r="AH1211" s="906" t="str">
        <f t="shared" si="266"/>
        <v xml:space="preserve"> </v>
      </c>
      <c r="AI1211" s="907" t="str">
        <f t="shared" si="252"/>
        <v xml:space="preserve"> </v>
      </c>
      <c r="AJ1211" s="1036"/>
      <c r="AK1211" s="929"/>
    </row>
    <row r="1212" spans="1:37" s="385" customFormat="1" ht="22.5" outlineLevel="2" x14ac:dyDescent="0.3">
      <c r="A1212" s="447">
        <f>IF(B1211&lt;&gt;0,B1211,A1211)</f>
        <v>95</v>
      </c>
      <c r="B1212" s="893"/>
      <c r="C1212" s="942"/>
      <c r="D1212" s="950"/>
      <c r="E1212" s="947"/>
      <c r="F1212" s="947"/>
      <c r="G1212" s="922"/>
      <c r="H1212" s="1041"/>
      <c r="I1212" s="882"/>
      <c r="J1212" s="1042"/>
      <c r="K1212" s="899" t="str">
        <f>IF(G1212&lt;&gt;0,VLOOKUP(G1212,'gia dat'!$A$1:$F$144,5,0)," ")</f>
        <v xml:space="preserve"> </v>
      </c>
      <c r="L1212" s="899" t="str">
        <f>IF(G1212&lt;&gt;0,VLOOKUP(G1212,'gia dat'!$A$1:$F$144,6,0)," ")</f>
        <v xml:space="preserve"> </v>
      </c>
      <c r="M1212" s="900" t="str">
        <f t="shared" si="261"/>
        <v xml:space="preserve"> </v>
      </c>
      <c r="N1212" s="900" t="str">
        <f t="shared" si="262"/>
        <v xml:space="preserve"> </v>
      </c>
      <c r="O1212" s="922"/>
      <c r="P1212" s="1046"/>
      <c r="Q1212" s="900" t="str">
        <f>IF(O1212&lt;&gt;0,VLOOKUP(O1212,'Cây trong'!$A$2:$C$246,3,0)," ")</f>
        <v xml:space="preserve"> </v>
      </c>
      <c r="R1212" s="900" t="str">
        <f t="shared" si="265"/>
        <v xml:space="preserve"> </v>
      </c>
      <c r="S1212" s="922"/>
      <c r="T1212" s="944"/>
      <c r="U1212" s="1042"/>
      <c r="V1212" s="929"/>
      <c r="W1212" s="900" t="str">
        <f>IF(S1212&lt;&gt;0,VLOOKUP(S1212,VKT!$A$2:$G$415,7,0),"")</f>
        <v/>
      </c>
      <c r="X1212" s="900" t="str">
        <f t="shared" si="258"/>
        <v xml:space="preserve"> </v>
      </c>
      <c r="Y1212" s="1016"/>
      <c r="Z1212" s="1016"/>
      <c r="AA1212" s="1016"/>
      <c r="AB1212" s="1026"/>
      <c r="AC1212" s="1016"/>
      <c r="AD1212" s="1016"/>
      <c r="AE1212" s="1016"/>
      <c r="AF1212" s="926"/>
      <c r="AG1212" s="906" t="str">
        <f>IF(AE1212&lt;&gt;0,VLOOKUP(AE1212,ODDS!$A$2:$C$13,3,0),"")</f>
        <v/>
      </c>
      <c r="AH1212" s="906" t="str">
        <f t="shared" si="266"/>
        <v xml:space="preserve"> </v>
      </c>
      <c r="AI1212" s="907" t="str">
        <f t="shared" si="252"/>
        <v xml:space="preserve"> </v>
      </c>
      <c r="AJ1212" s="929"/>
      <c r="AK1212" s="929"/>
    </row>
    <row r="1213" spans="1:37" s="385" customFormat="1" ht="22.5" outlineLevel="1" x14ac:dyDescent="0.25">
      <c r="A1213" s="467" t="s">
        <v>2614</v>
      </c>
      <c r="B1213" s="912">
        <v>96</v>
      </c>
      <c r="C1213" s="942" t="s">
        <v>904</v>
      </c>
      <c r="D1213" s="1037"/>
      <c r="E1213" s="1037"/>
      <c r="F1213" s="1038"/>
      <c r="G1213" s="910"/>
      <c r="H1213" s="1039">
        <f>SUBTOTAL(9,H1214:H1219)</f>
        <v>416.59999999999997</v>
      </c>
      <c r="I1213" s="915">
        <f>SUBTOTAL(9,I1214:I1219)</f>
        <v>0</v>
      </c>
      <c r="J1213" s="1040"/>
      <c r="K1213" s="917"/>
      <c r="L1213" s="917"/>
      <c r="M1213" s="907">
        <f>SUBTOTAL(9,M1214:M1219)</f>
        <v>193969000</v>
      </c>
      <c r="N1213" s="907">
        <f>SUBTOTAL(9,N1214:N1219)</f>
        <v>0</v>
      </c>
      <c r="O1213" s="914"/>
      <c r="P1213" s="1044">
        <f>SUBTOTAL(9,P1214:P1219)</f>
        <v>0</v>
      </c>
      <c r="Q1213" s="907"/>
      <c r="R1213" s="907">
        <f>SUBTOTAL(9,R1214:R1219)</f>
        <v>0</v>
      </c>
      <c r="S1213" s="914"/>
      <c r="T1213" s="956"/>
      <c r="U1213" s="1040">
        <f>SUBTOTAL(9,U1214:U1219)</f>
        <v>0</v>
      </c>
      <c r="V1213" s="943"/>
      <c r="W1213" s="907"/>
      <c r="X1213" s="907">
        <f>SUBTOTAL(9,X1214:X1219)</f>
        <v>0</v>
      </c>
      <c r="Y1213" s="1016"/>
      <c r="Z1213" s="1016"/>
      <c r="AA1213" s="1016"/>
      <c r="AB1213" s="1026"/>
      <c r="AC1213" s="1016"/>
      <c r="AD1213" s="1016"/>
      <c r="AE1213" s="985"/>
      <c r="AF1213" s="935">
        <f>SUBTOTAL(9,AF1214:AF1219)</f>
        <v>0</v>
      </c>
      <c r="AG1213" s="921"/>
      <c r="AH1213" s="921">
        <f>SUBTOTAL(9,AH1214:AH1219)</f>
        <v>0</v>
      </c>
      <c r="AI1213" s="907">
        <f t="shared" si="252"/>
        <v>193969000</v>
      </c>
      <c r="AJ1213" s="910"/>
      <c r="AK1213" s="914"/>
    </row>
    <row r="1214" spans="1:37" s="385" customFormat="1" ht="135" outlineLevel="2" x14ac:dyDescent="0.3">
      <c r="A1214" s="447">
        <f>IF(B1213&lt;&gt;0,B1213,A1212)</f>
        <v>96</v>
      </c>
      <c r="B1214" s="893"/>
      <c r="C1214" s="894" t="s">
        <v>906</v>
      </c>
      <c r="D1214" s="950">
        <v>3</v>
      </c>
      <c r="E1214" s="950">
        <v>86</v>
      </c>
      <c r="F1214" s="1032">
        <v>226</v>
      </c>
      <c r="G1214" s="894" t="s">
        <v>2862</v>
      </c>
      <c r="H1214" s="1041">
        <f>415.4+1.2</f>
        <v>416.59999999999997</v>
      </c>
      <c r="I1214" s="882" t="str">
        <f t="shared" ref="I1214" si="268">IF(N1214&gt;0,H1214,"")</f>
        <v/>
      </c>
      <c r="J1214" s="1042"/>
      <c r="K1214" s="899">
        <f>IF(G1214&lt;&gt;0,VLOOKUP(G1214,'gia dat'!$A$1:$F$144,5,0)," ")</f>
        <v>465600</v>
      </c>
      <c r="L1214" s="899">
        <f>IF(G1214&lt;&gt;0,VLOOKUP(G1214,'gia dat'!$A$1:$F$144,6,0)," ")</f>
        <v>0</v>
      </c>
      <c r="M1214" s="900">
        <f t="shared" si="261"/>
        <v>193969000</v>
      </c>
      <c r="N1214" s="900">
        <f t="shared" si="262"/>
        <v>0</v>
      </c>
      <c r="O1214" s="922"/>
      <c r="P1214" s="1046"/>
      <c r="Q1214" s="900" t="str">
        <f>IF(O1214&lt;&gt;0,VLOOKUP(O1214,'Cây trong'!$A$2:$C$246,3,0)," ")</f>
        <v xml:space="preserve"> </v>
      </c>
      <c r="R1214" s="900" t="str">
        <f t="shared" si="265"/>
        <v xml:space="preserve"> </v>
      </c>
      <c r="S1214" s="922"/>
      <c r="T1214" s="944"/>
      <c r="U1214" s="1042"/>
      <c r="V1214" s="929"/>
      <c r="W1214" s="900" t="str">
        <f>IF(S1214&lt;&gt;0,VLOOKUP(S1214,VKT!$A$2:$G$415,7,0),"")</f>
        <v/>
      </c>
      <c r="X1214" s="900" t="str">
        <f t="shared" si="258"/>
        <v xml:space="preserve"> </v>
      </c>
      <c r="Y1214" s="1016"/>
      <c r="Z1214" s="1016"/>
      <c r="AA1214" s="1016"/>
      <c r="AB1214" s="1026"/>
      <c r="AC1214" s="1016"/>
      <c r="AD1214" s="1016"/>
      <c r="AE1214" s="1016"/>
      <c r="AF1214" s="926"/>
      <c r="AG1214" s="906" t="str">
        <f>IF(AE1214&lt;&gt;0,VLOOKUP(AE1214,ODDS!$A$2:$C$13,3,0),"")</f>
        <v/>
      </c>
      <c r="AH1214" s="906"/>
      <c r="AI1214" s="907" t="str">
        <f t="shared" si="252"/>
        <v xml:space="preserve"> </v>
      </c>
      <c r="AJ1214" s="894" t="s">
        <v>905</v>
      </c>
      <c r="AK1214" s="922" t="s">
        <v>2771</v>
      </c>
    </row>
    <row r="1215" spans="1:37" s="385" customFormat="1" ht="67.5" outlineLevel="2" x14ac:dyDescent="0.3">
      <c r="A1215" s="447">
        <f>IF(B1214&lt;&gt;0,B1214,A1214)</f>
        <v>96</v>
      </c>
      <c r="B1215" s="893"/>
      <c r="C1215" s="894" t="s">
        <v>908</v>
      </c>
      <c r="D1215" s="950"/>
      <c r="E1215" s="950"/>
      <c r="F1215" s="1032"/>
      <c r="G1215" s="894"/>
      <c r="H1215" s="1041"/>
      <c r="I1215" s="882"/>
      <c r="J1215" s="925"/>
      <c r="K1215" s="899" t="str">
        <f>IF(G1215&lt;&gt;0,VLOOKUP(G1215,'gia dat'!$A$1:$F$144,5,0)," ")</f>
        <v xml:space="preserve"> </v>
      </c>
      <c r="L1215" s="899" t="str">
        <f>IF(G1215&lt;&gt;0,VLOOKUP(G1215,'gia dat'!$A$1:$F$144,6,0)," ")</f>
        <v xml:space="preserve"> </v>
      </c>
      <c r="M1215" s="900" t="str">
        <f t="shared" si="261"/>
        <v xml:space="preserve"> </v>
      </c>
      <c r="N1215" s="900" t="str">
        <f t="shared" si="262"/>
        <v xml:space="preserve"> </v>
      </c>
      <c r="O1215" s="901"/>
      <c r="P1215" s="1046"/>
      <c r="Q1215" s="900" t="str">
        <f>IF(O1215&lt;&gt;0,VLOOKUP(O1215,'Cây trong'!$A$2:$C$246,3,0)," ")</f>
        <v xml:space="preserve"> </v>
      </c>
      <c r="R1215" s="900" t="str">
        <f t="shared" si="265"/>
        <v xml:space="preserve"> </v>
      </c>
      <c r="S1215" s="902"/>
      <c r="T1215" s="925"/>
      <c r="U1215" s="1042"/>
      <c r="V1215" s="929"/>
      <c r="W1215" s="900" t="str">
        <f>IF(S1215&lt;&gt;0,VLOOKUP(S1215,VKT!$A$2:$G$415,7,0),"")</f>
        <v/>
      </c>
      <c r="X1215" s="900" t="str">
        <f t="shared" si="258"/>
        <v xml:space="preserve"> </v>
      </c>
      <c r="Y1215" s="1016"/>
      <c r="Z1215" s="1016"/>
      <c r="AA1215" s="1016"/>
      <c r="AB1215" s="1026"/>
      <c r="AC1215" s="1016"/>
      <c r="AD1215" s="1016"/>
      <c r="AE1215" s="1016"/>
      <c r="AF1215" s="926"/>
      <c r="AG1215" s="906" t="str">
        <f>IF(AE1215&lt;&gt;0,VLOOKUP(AE1215,ODDS!$A$2:$C$13,3,0),"")</f>
        <v/>
      </c>
      <c r="AH1215" s="906" t="str">
        <f t="shared" si="266"/>
        <v xml:space="preserve"> </v>
      </c>
      <c r="AI1215" s="907" t="str">
        <f t="shared" si="252"/>
        <v xml:space="preserve"> </v>
      </c>
      <c r="AJ1215" s="894" t="s">
        <v>2926</v>
      </c>
      <c r="AK1215" s="902"/>
    </row>
    <row r="1216" spans="1:37" s="385" customFormat="1" ht="22.5" outlineLevel="2" x14ac:dyDescent="0.3">
      <c r="A1216" s="447">
        <f>IF(B1215&lt;&gt;0,B1215,A1215)</f>
        <v>96</v>
      </c>
      <c r="B1216" s="893"/>
      <c r="C1216" s="894"/>
      <c r="D1216" s="950"/>
      <c r="E1216" s="950"/>
      <c r="F1216" s="1032"/>
      <c r="G1216" s="894"/>
      <c r="H1216" s="1041"/>
      <c r="I1216" s="882"/>
      <c r="J1216" s="925"/>
      <c r="K1216" s="899" t="str">
        <f>IF(G1216&lt;&gt;0,VLOOKUP(G1216,'gia dat'!$A$1:$F$144,5,0)," ")</f>
        <v xml:space="preserve"> </v>
      </c>
      <c r="L1216" s="899" t="str">
        <f>IF(G1216&lt;&gt;0,VLOOKUP(G1216,'gia dat'!$A$1:$F$144,6,0)," ")</f>
        <v xml:space="preserve"> </v>
      </c>
      <c r="M1216" s="900" t="str">
        <f t="shared" si="261"/>
        <v xml:space="preserve"> </v>
      </c>
      <c r="N1216" s="900" t="str">
        <f t="shared" si="262"/>
        <v xml:space="preserve"> </v>
      </c>
      <c r="O1216" s="901"/>
      <c r="P1216" s="1046"/>
      <c r="Q1216" s="900" t="str">
        <f>IF(O1216&lt;&gt;0,VLOOKUP(O1216,'Cây trong'!$A$2:$C$246,3,0)," ")</f>
        <v xml:space="preserve"> </v>
      </c>
      <c r="R1216" s="900" t="str">
        <f t="shared" si="265"/>
        <v xml:space="preserve"> </v>
      </c>
      <c r="S1216" s="902"/>
      <c r="T1216" s="925"/>
      <c r="U1216" s="1042"/>
      <c r="V1216" s="929"/>
      <c r="W1216" s="900" t="str">
        <f>IF(S1216&lt;&gt;0,VLOOKUP(S1216,VKT!$A$2:$G$415,7,0),"")</f>
        <v/>
      </c>
      <c r="X1216" s="900" t="str">
        <f t="shared" si="258"/>
        <v xml:space="preserve"> </v>
      </c>
      <c r="Y1216" s="1016"/>
      <c r="Z1216" s="1016"/>
      <c r="AA1216" s="1016"/>
      <c r="AB1216" s="1026"/>
      <c r="AC1216" s="1016"/>
      <c r="AD1216" s="1016"/>
      <c r="AE1216" s="1016"/>
      <c r="AF1216" s="926"/>
      <c r="AG1216" s="906" t="str">
        <f>IF(AE1216&lt;&gt;0,VLOOKUP(AE1216,ODDS!$A$2:$C$13,3,0),"")</f>
        <v/>
      </c>
      <c r="AH1216" s="906" t="str">
        <f t="shared" si="266"/>
        <v xml:space="preserve"> </v>
      </c>
      <c r="AI1216" s="907" t="str">
        <f t="shared" si="252"/>
        <v xml:space="preserve"> </v>
      </c>
      <c r="AJ1216" s="929" t="s">
        <v>909</v>
      </c>
      <c r="AK1216" s="902"/>
    </row>
    <row r="1217" spans="1:37" s="385" customFormat="1" ht="90" outlineLevel="2" x14ac:dyDescent="0.3">
      <c r="A1217" s="447">
        <f>IF(B1216&lt;&gt;0,B1216,A1216)</f>
        <v>96</v>
      </c>
      <c r="B1217" s="893"/>
      <c r="C1217" s="894"/>
      <c r="D1217" s="950"/>
      <c r="E1217" s="950"/>
      <c r="F1217" s="1032"/>
      <c r="G1217" s="894"/>
      <c r="H1217" s="1041"/>
      <c r="I1217" s="882"/>
      <c r="J1217" s="925"/>
      <c r="K1217" s="899" t="str">
        <f>IF(G1217&lt;&gt;0,VLOOKUP(G1217,'gia dat'!$A$1:$F$144,5,0)," ")</f>
        <v xml:space="preserve"> </v>
      </c>
      <c r="L1217" s="899" t="str">
        <f>IF(G1217&lt;&gt;0,VLOOKUP(G1217,'gia dat'!$A$1:$F$144,6,0)," ")</f>
        <v xml:space="preserve"> </v>
      </c>
      <c r="M1217" s="900" t="str">
        <f t="shared" si="261"/>
        <v xml:space="preserve"> </v>
      </c>
      <c r="N1217" s="900" t="str">
        <f t="shared" si="262"/>
        <v xml:space="preserve"> </v>
      </c>
      <c r="O1217" s="901"/>
      <c r="P1217" s="1046"/>
      <c r="Q1217" s="900" t="str">
        <f>IF(O1217&lt;&gt;0,VLOOKUP(O1217,'Cây trong'!$A$2:$C$246,3,0)," ")</f>
        <v xml:space="preserve"> </v>
      </c>
      <c r="R1217" s="900" t="str">
        <f t="shared" si="265"/>
        <v xml:space="preserve"> </v>
      </c>
      <c r="S1217" s="902"/>
      <c r="T1217" s="925"/>
      <c r="U1217" s="1042"/>
      <c r="V1217" s="929"/>
      <c r="W1217" s="900" t="str">
        <f>IF(S1217&lt;&gt;0,VLOOKUP(S1217,VKT!$A$2:$G$415,7,0),"")</f>
        <v/>
      </c>
      <c r="X1217" s="900" t="str">
        <f t="shared" si="258"/>
        <v xml:space="preserve"> </v>
      </c>
      <c r="Y1217" s="1016"/>
      <c r="Z1217" s="1016"/>
      <c r="AA1217" s="1016"/>
      <c r="AB1217" s="1026"/>
      <c r="AC1217" s="1016"/>
      <c r="AD1217" s="1016"/>
      <c r="AE1217" s="1016"/>
      <c r="AF1217" s="926"/>
      <c r="AG1217" s="906" t="str">
        <f>IF(AE1217&lt;&gt;0,VLOOKUP(AE1217,ODDS!$A$2:$C$13,3,0),"")</f>
        <v/>
      </c>
      <c r="AH1217" s="906" t="str">
        <f t="shared" si="266"/>
        <v xml:space="preserve"> </v>
      </c>
      <c r="AI1217" s="907" t="str">
        <f t="shared" si="252"/>
        <v xml:space="preserve"> </v>
      </c>
      <c r="AJ1217" s="894" t="s">
        <v>2224</v>
      </c>
      <c r="AK1217" s="929"/>
    </row>
    <row r="1218" spans="1:37" s="385" customFormat="1" ht="22.5" outlineLevel="2" x14ac:dyDescent="0.35">
      <c r="A1218" s="447">
        <f>IF(B1217&lt;&gt;0,B1217,A1217)</f>
        <v>96</v>
      </c>
      <c r="B1218" s="893"/>
      <c r="C1218" s="908"/>
      <c r="D1218" s="950"/>
      <c r="E1218" s="950"/>
      <c r="F1218" s="1032"/>
      <c r="G1218" s="894"/>
      <c r="H1218" s="1041"/>
      <c r="I1218" s="882"/>
      <c r="J1218" s="925"/>
      <c r="K1218" s="899" t="str">
        <f>IF(G1218&lt;&gt;0,VLOOKUP(G1218,'gia dat'!$A$1:$F$144,5,0)," ")</f>
        <v xml:space="preserve"> </v>
      </c>
      <c r="L1218" s="899" t="str">
        <f>IF(G1218&lt;&gt;0,VLOOKUP(G1218,'gia dat'!$A$1:$F$144,6,0)," ")</f>
        <v xml:space="preserve"> </v>
      </c>
      <c r="M1218" s="900" t="str">
        <f t="shared" si="261"/>
        <v xml:space="preserve"> </v>
      </c>
      <c r="N1218" s="900" t="str">
        <f t="shared" si="262"/>
        <v xml:space="preserve"> </v>
      </c>
      <c r="O1218" s="901"/>
      <c r="P1218" s="1046"/>
      <c r="Q1218" s="900" t="str">
        <f>IF(O1218&lt;&gt;0,VLOOKUP(O1218,'Cây trong'!$A$2:$C$246,3,0)," ")</f>
        <v xml:space="preserve"> </v>
      </c>
      <c r="R1218" s="900" t="str">
        <f t="shared" si="265"/>
        <v xml:space="preserve"> </v>
      </c>
      <c r="S1218" s="902"/>
      <c r="T1218" s="925"/>
      <c r="U1218" s="1042"/>
      <c r="V1218" s="929"/>
      <c r="W1218" s="900" t="str">
        <f>IF(S1218&lt;&gt;0,VLOOKUP(S1218,VKT!$A$2:$G$415,7,0),"")</f>
        <v/>
      </c>
      <c r="X1218" s="900" t="str">
        <f t="shared" si="258"/>
        <v xml:space="preserve"> </v>
      </c>
      <c r="Y1218" s="1016"/>
      <c r="Z1218" s="1016"/>
      <c r="AA1218" s="1016"/>
      <c r="AB1218" s="1026"/>
      <c r="AC1218" s="1016"/>
      <c r="AD1218" s="1016"/>
      <c r="AE1218" s="1016"/>
      <c r="AF1218" s="926"/>
      <c r="AG1218" s="906" t="str">
        <f>IF(AE1218&lt;&gt;0,VLOOKUP(AE1218,ODDS!$A$2:$C$13,3,0),"")</f>
        <v/>
      </c>
      <c r="AH1218" s="906" t="str">
        <f t="shared" si="266"/>
        <v xml:space="preserve"> </v>
      </c>
      <c r="AI1218" s="907" t="str">
        <f t="shared" si="252"/>
        <v xml:space="preserve"> </v>
      </c>
      <c r="AJ1218" s="1036"/>
      <c r="AK1218" s="929"/>
    </row>
    <row r="1219" spans="1:37" s="385" customFormat="1" ht="22.5" outlineLevel="2" x14ac:dyDescent="0.3">
      <c r="A1219" s="447">
        <f>IF(B1218&lt;&gt;0,B1218,A1218)</f>
        <v>96</v>
      </c>
      <c r="B1219" s="893"/>
      <c r="C1219" s="942"/>
      <c r="D1219" s="1035"/>
      <c r="E1219" s="950"/>
      <c r="F1219" s="1032"/>
      <c r="G1219" s="894"/>
      <c r="H1219" s="1041"/>
      <c r="I1219" s="882"/>
      <c r="J1219" s="1042"/>
      <c r="K1219" s="899" t="str">
        <f>IF(G1219&lt;&gt;0,VLOOKUP(G1219,'gia dat'!$A$1:$F$144,5,0)," ")</f>
        <v xml:space="preserve"> </v>
      </c>
      <c r="L1219" s="899" t="str">
        <f>IF(G1219&lt;&gt;0,VLOOKUP(G1219,'gia dat'!$A$1:$F$144,6,0)," ")</f>
        <v xml:space="preserve"> </v>
      </c>
      <c r="M1219" s="900" t="str">
        <f t="shared" si="261"/>
        <v xml:space="preserve"> </v>
      </c>
      <c r="N1219" s="900" t="str">
        <f t="shared" si="262"/>
        <v xml:space="preserve"> </v>
      </c>
      <c r="O1219" s="922"/>
      <c r="P1219" s="1046"/>
      <c r="Q1219" s="900" t="str">
        <f>IF(O1219&lt;&gt;0,VLOOKUP(O1219,'Cây trong'!$A$2:$C$246,3,0)," ")</f>
        <v xml:space="preserve"> </v>
      </c>
      <c r="R1219" s="900" t="str">
        <f t="shared" si="265"/>
        <v xml:space="preserve"> </v>
      </c>
      <c r="S1219" s="922"/>
      <c r="T1219" s="944"/>
      <c r="U1219" s="1042"/>
      <c r="V1219" s="929"/>
      <c r="W1219" s="900" t="str">
        <f>IF(S1219&lt;&gt;0,VLOOKUP(S1219,VKT!$A$2:$G$415,7,0),"")</f>
        <v/>
      </c>
      <c r="X1219" s="900" t="str">
        <f t="shared" si="258"/>
        <v xml:space="preserve"> </v>
      </c>
      <c r="Y1219" s="1016"/>
      <c r="Z1219" s="1016"/>
      <c r="AA1219" s="1016"/>
      <c r="AB1219" s="1026"/>
      <c r="AC1219" s="1016"/>
      <c r="AD1219" s="1016"/>
      <c r="AE1219" s="1016"/>
      <c r="AF1219" s="926"/>
      <c r="AG1219" s="906" t="str">
        <f>IF(AE1219&lt;&gt;0,VLOOKUP(AE1219,ODDS!$A$2:$C$13,3,0),"")</f>
        <v/>
      </c>
      <c r="AH1219" s="906" t="str">
        <f t="shared" si="266"/>
        <v xml:space="preserve"> </v>
      </c>
      <c r="AI1219" s="907" t="str">
        <f t="shared" si="252"/>
        <v xml:space="preserve"> </v>
      </c>
      <c r="AJ1219" s="929"/>
      <c r="AK1219" s="929"/>
    </row>
    <row r="1220" spans="1:37" s="385" customFormat="1" ht="22.5" outlineLevel="1" x14ac:dyDescent="0.25">
      <c r="A1220" s="467" t="s">
        <v>2613</v>
      </c>
      <c r="B1220" s="912">
        <v>97</v>
      </c>
      <c r="C1220" s="942" t="s">
        <v>910</v>
      </c>
      <c r="D1220" s="1043"/>
      <c r="E1220" s="1037"/>
      <c r="F1220" s="1038"/>
      <c r="G1220" s="910"/>
      <c r="H1220" s="1039">
        <f>SUBTOTAL(9,H1221:H1227)</f>
        <v>771.3</v>
      </c>
      <c r="I1220" s="915">
        <f>SUBTOTAL(9,I1221:I1226)</f>
        <v>771.3</v>
      </c>
      <c r="J1220" s="1040"/>
      <c r="K1220" s="917"/>
      <c r="L1220" s="917"/>
      <c r="M1220" s="907">
        <f>SUBTOTAL(9,M1221:M1227)</f>
        <v>290626000</v>
      </c>
      <c r="N1220" s="907">
        <f>SUBTOTAL(9,N1221:N1227)</f>
        <v>871878000</v>
      </c>
      <c r="O1220" s="914"/>
      <c r="P1220" s="1044">
        <f>SUBTOTAL(9,P1221:P1227)</f>
        <v>0</v>
      </c>
      <c r="Q1220" s="907"/>
      <c r="R1220" s="907">
        <f>SUBTOTAL(9,R1221:R1227)</f>
        <v>0</v>
      </c>
      <c r="S1220" s="914"/>
      <c r="T1220" s="956"/>
      <c r="U1220" s="1040">
        <f>SUBTOTAL(9,U1221:U1227)</f>
        <v>0</v>
      </c>
      <c r="V1220" s="943"/>
      <c r="W1220" s="907"/>
      <c r="X1220" s="907">
        <f>SUBTOTAL(9,X1221:X1227)</f>
        <v>0</v>
      </c>
      <c r="Y1220" s="1016"/>
      <c r="Z1220" s="1016"/>
      <c r="AA1220" s="1016"/>
      <c r="AB1220" s="1026"/>
      <c r="AC1220" s="1016"/>
      <c r="AD1220" s="1016"/>
      <c r="AE1220" s="985"/>
      <c r="AF1220" s="935">
        <f>SUBTOTAL(9,AF1221:AF1227)</f>
        <v>0</v>
      </c>
      <c r="AG1220" s="921"/>
      <c r="AH1220" s="921">
        <f>SUBTOTAL(9,AH1221:AH1227)</f>
        <v>0</v>
      </c>
      <c r="AI1220" s="907">
        <f t="shared" si="252"/>
        <v>1162504000</v>
      </c>
      <c r="AJ1220" s="910"/>
      <c r="AK1220" s="914"/>
    </row>
    <row r="1221" spans="1:37" s="385" customFormat="1" ht="135" outlineLevel="2" x14ac:dyDescent="0.3">
      <c r="A1221" s="447">
        <f>IF(B1220&lt;&gt;0,B1220,A1219)</f>
        <v>97</v>
      </c>
      <c r="B1221" s="893"/>
      <c r="C1221" s="908" t="s">
        <v>912</v>
      </c>
      <c r="D1221" s="1035">
        <v>1</v>
      </c>
      <c r="E1221" s="950">
        <v>86</v>
      </c>
      <c r="F1221" s="1032">
        <v>208</v>
      </c>
      <c r="G1221" s="894" t="s">
        <v>2433</v>
      </c>
      <c r="H1221" s="1041">
        <v>771.3</v>
      </c>
      <c r="I1221" s="882">
        <f t="shared" ref="I1221" si="269">IF(N1221&gt;0,H1221,"")</f>
        <v>771.3</v>
      </c>
      <c r="J1221" s="1042"/>
      <c r="K1221" s="899">
        <f>IF(G1221&lt;&gt;0,VLOOKUP(G1221,'gia dat'!$A$1:$F$144,5,0)," ")</f>
        <v>376800</v>
      </c>
      <c r="L1221" s="899">
        <f>IF(G1221&lt;&gt;0,VLOOKUP(G1221,'gia dat'!$A$1:$F$144,6,0)," ")</f>
        <v>1130400</v>
      </c>
      <c r="M1221" s="900">
        <f t="shared" si="261"/>
        <v>290626000</v>
      </c>
      <c r="N1221" s="900">
        <f t="shared" si="262"/>
        <v>871878000</v>
      </c>
      <c r="O1221" s="922"/>
      <c r="P1221" s="1046"/>
      <c r="Q1221" s="900" t="str">
        <f>IF(O1221&lt;&gt;0,VLOOKUP(O1221,'Cây trong'!$A$2:$C$246,3,0)," ")</f>
        <v xml:space="preserve"> </v>
      </c>
      <c r="R1221" s="900" t="str">
        <f t="shared" si="265"/>
        <v xml:space="preserve"> </v>
      </c>
      <c r="S1221" s="922"/>
      <c r="T1221" s="944"/>
      <c r="U1221" s="1042"/>
      <c r="V1221" s="929"/>
      <c r="W1221" s="900" t="str">
        <f>IF(S1221&lt;&gt;0,VLOOKUP(S1221,VKT!$A$2:$G$415,7,0),"")</f>
        <v/>
      </c>
      <c r="X1221" s="900" t="str">
        <f t="shared" si="258"/>
        <v xml:space="preserve"> </v>
      </c>
      <c r="Y1221" s="1016"/>
      <c r="Z1221" s="1016"/>
      <c r="AA1221" s="1016"/>
      <c r="AB1221" s="1026"/>
      <c r="AC1221" s="1016"/>
      <c r="AD1221" s="1016"/>
      <c r="AE1221" s="1016"/>
      <c r="AF1221" s="926"/>
      <c r="AG1221" s="906" t="str">
        <f>IF(AE1221&lt;&gt;0,VLOOKUP(AE1221,ODDS!$A$2:$C$13,3,0),"")</f>
        <v/>
      </c>
      <c r="AH1221" s="906"/>
      <c r="AI1221" s="907" t="str">
        <f t="shared" si="252"/>
        <v xml:space="preserve"> </v>
      </c>
      <c r="AJ1221" s="894" t="s">
        <v>911</v>
      </c>
      <c r="AK1221" s="922" t="s">
        <v>2771</v>
      </c>
    </row>
    <row r="1222" spans="1:37" s="385" customFormat="1" ht="112.5" outlineLevel="2" x14ac:dyDescent="0.3">
      <c r="A1222" s="447">
        <f t="shared" ref="A1222:A1227" si="270">IF(B1221&lt;&gt;0,B1221,A1221)</f>
        <v>97</v>
      </c>
      <c r="B1222" s="893"/>
      <c r="C1222" s="894" t="s">
        <v>914</v>
      </c>
      <c r="D1222" s="950"/>
      <c r="E1222" s="947"/>
      <c r="F1222" s="947"/>
      <c r="G1222" s="922"/>
      <c r="H1222" s="1041"/>
      <c r="I1222" s="882"/>
      <c r="J1222" s="1042"/>
      <c r="K1222" s="899" t="str">
        <f>IF(G1222&lt;&gt;0,VLOOKUP(G1222,'gia dat'!$A$1:$F$144,5,0)," ")</f>
        <v xml:space="preserve"> </v>
      </c>
      <c r="L1222" s="899" t="str">
        <f>IF(G1222&lt;&gt;0,VLOOKUP(G1222,'gia dat'!$A$1:$F$144,6,0)," ")</f>
        <v xml:space="preserve"> </v>
      </c>
      <c r="M1222" s="900" t="str">
        <f t="shared" si="261"/>
        <v xml:space="preserve"> </v>
      </c>
      <c r="N1222" s="900" t="str">
        <f t="shared" si="262"/>
        <v xml:space="preserve"> </v>
      </c>
      <c r="O1222" s="922"/>
      <c r="P1222" s="1046"/>
      <c r="Q1222" s="900" t="str">
        <f>IF(O1222&lt;&gt;0,VLOOKUP(O1222,'Cây trong'!$A$2:$C$246,3,0)," ")</f>
        <v xml:space="preserve"> </v>
      </c>
      <c r="R1222" s="900" t="str">
        <f t="shared" si="265"/>
        <v xml:space="preserve"> </v>
      </c>
      <c r="S1222" s="922"/>
      <c r="T1222" s="944"/>
      <c r="U1222" s="1042"/>
      <c r="V1222" s="929"/>
      <c r="W1222" s="900" t="str">
        <f>IF(S1222&lt;&gt;0,VLOOKUP(S1222,VKT!$A$2:$G$415,7,0),"")</f>
        <v/>
      </c>
      <c r="X1222" s="900" t="str">
        <f t="shared" si="258"/>
        <v xml:space="preserve"> </v>
      </c>
      <c r="Y1222" s="1016"/>
      <c r="Z1222" s="1016"/>
      <c r="AA1222" s="1016"/>
      <c r="AB1222" s="1026"/>
      <c r="AC1222" s="1016"/>
      <c r="AD1222" s="1016"/>
      <c r="AE1222" s="1016"/>
      <c r="AF1222" s="926"/>
      <c r="AG1222" s="906" t="str">
        <f>IF(AE1222&lt;&gt;0,VLOOKUP(AE1222,ODDS!$A$2:$C$13,3,0),"")</f>
        <v/>
      </c>
      <c r="AH1222" s="906" t="str">
        <f t="shared" si="266"/>
        <v xml:space="preserve"> </v>
      </c>
      <c r="AI1222" s="907" t="str">
        <f t="shared" si="252"/>
        <v xml:space="preserve"> </v>
      </c>
      <c r="AJ1222" s="894" t="s">
        <v>2927</v>
      </c>
      <c r="AK1222" s="894" t="s">
        <v>2448</v>
      </c>
    </row>
    <row r="1223" spans="1:37" s="385" customFormat="1" ht="22.5" outlineLevel="2" x14ac:dyDescent="0.3">
      <c r="A1223" s="447">
        <f t="shared" si="270"/>
        <v>97</v>
      </c>
      <c r="B1223" s="893"/>
      <c r="C1223" s="894"/>
      <c r="D1223" s="950"/>
      <c r="E1223" s="950"/>
      <c r="F1223" s="1032"/>
      <c r="G1223" s="894"/>
      <c r="H1223" s="1041"/>
      <c r="I1223" s="882"/>
      <c r="J1223" s="925"/>
      <c r="K1223" s="899" t="str">
        <f>IF(G1223&lt;&gt;0,VLOOKUP(G1223,'gia dat'!$A$1:$F$144,5,0)," ")</f>
        <v xml:space="preserve"> </v>
      </c>
      <c r="L1223" s="899" t="str">
        <f>IF(G1223&lt;&gt;0,VLOOKUP(G1223,'gia dat'!$A$1:$F$144,6,0)," ")</f>
        <v xml:space="preserve"> </v>
      </c>
      <c r="M1223" s="900" t="str">
        <f t="shared" si="261"/>
        <v xml:space="preserve"> </v>
      </c>
      <c r="N1223" s="900" t="str">
        <f t="shared" si="262"/>
        <v xml:space="preserve"> </v>
      </c>
      <c r="O1223" s="901"/>
      <c r="P1223" s="1046"/>
      <c r="Q1223" s="900" t="str">
        <f>IF(O1223&lt;&gt;0,VLOOKUP(O1223,'Cây trong'!$A$2:$C$246,3,0)," ")</f>
        <v xml:space="preserve"> </v>
      </c>
      <c r="R1223" s="900" t="str">
        <f t="shared" si="265"/>
        <v xml:space="preserve"> </v>
      </c>
      <c r="S1223" s="902"/>
      <c r="T1223" s="925"/>
      <c r="U1223" s="1042"/>
      <c r="V1223" s="929"/>
      <c r="W1223" s="900" t="str">
        <f>IF(S1223&lt;&gt;0,VLOOKUP(S1223,VKT!$A$2:$G$415,7,0),"")</f>
        <v/>
      </c>
      <c r="X1223" s="900" t="str">
        <f t="shared" si="258"/>
        <v xml:space="preserve"> </v>
      </c>
      <c r="Y1223" s="1016"/>
      <c r="Z1223" s="1016"/>
      <c r="AA1223" s="1016"/>
      <c r="AB1223" s="1026"/>
      <c r="AC1223" s="1016"/>
      <c r="AD1223" s="1016"/>
      <c r="AE1223" s="1016"/>
      <c r="AF1223" s="926"/>
      <c r="AG1223" s="906" t="str">
        <f>IF(AE1223&lt;&gt;0,VLOOKUP(AE1223,ODDS!$A$2:$C$13,3,0),"")</f>
        <v/>
      </c>
      <c r="AH1223" s="906" t="str">
        <f t="shared" si="266"/>
        <v xml:space="preserve"> </v>
      </c>
      <c r="AI1223" s="907" t="str">
        <f t="shared" si="252"/>
        <v xml:space="preserve"> </v>
      </c>
      <c r="AJ1223" s="894" t="s">
        <v>915</v>
      </c>
      <c r="AK1223" s="902"/>
    </row>
    <row r="1224" spans="1:37" s="385" customFormat="1" ht="22.5" outlineLevel="2" x14ac:dyDescent="0.3">
      <c r="A1224" s="447">
        <f t="shared" si="270"/>
        <v>97</v>
      </c>
      <c r="B1224" s="893"/>
      <c r="C1224" s="894"/>
      <c r="D1224" s="950"/>
      <c r="E1224" s="950"/>
      <c r="F1224" s="1032"/>
      <c r="G1224" s="894"/>
      <c r="H1224" s="1041"/>
      <c r="I1224" s="882"/>
      <c r="J1224" s="925"/>
      <c r="K1224" s="899" t="str">
        <f>IF(G1224&lt;&gt;0,VLOOKUP(G1224,'gia dat'!$A$1:$F$144,5,0)," ")</f>
        <v xml:space="preserve"> </v>
      </c>
      <c r="L1224" s="899" t="str">
        <f>IF(G1224&lt;&gt;0,VLOOKUP(G1224,'gia dat'!$A$1:$F$144,6,0)," ")</f>
        <v xml:space="preserve"> </v>
      </c>
      <c r="M1224" s="900" t="str">
        <f t="shared" si="261"/>
        <v xml:space="preserve"> </v>
      </c>
      <c r="N1224" s="900" t="str">
        <f t="shared" si="262"/>
        <v xml:space="preserve"> </v>
      </c>
      <c r="O1224" s="901"/>
      <c r="P1224" s="1046"/>
      <c r="Q1224" s="900" t="str">
        <f>IF(O1224&lt;&gt;0,VLOOKUP(O1224,'Cây trong'!$A$2:$C$246,3,0)," ")</f>
        <v xml:space="preserve"> </v>
      </c>
      <c r="R1224" s="900" t="str">
        <f t="shared" si="265"/>
        <v xml:space="preserve"> </v>
      </c>
      <c r="S1224" s="902"/>
      <c r="T1224" s="925"/>
      <c r="U1224" s="1042"/>
      <c r="V1224" s="929"/>
      <c r="W1224" s="900" t="str">
        <f>IF(S1224&lt;&gt;0,VLOOKUP(S1224,VKT!$A$2:$G$415,7,0),"")</f>
        <v/>
      </c>
      <c r="X1224" s="900" t="str">
        <f t="shared" si="258"/>
        <v xml:space="preserve"> </v>
      </c>
      <c r="Y1224" s="1016"/>
      <c r="Z1224" s="1016"/>
      <c r="AA1224" s="1016"/>
      <c r="AB1224" s="1026"/>
      <c r="AC1224" s="1016"/>
      <c r="AD1224" s="1016"/>
      <c r="AE1224" s="1016"/>
      <c r="AF1224" s="926"/>
      <c r="AG1224" s="906" t="str">
        <f>IF(AE1224&lt;&gt;0,VLOOKUP(AE1224,ODDS!$A$2:$C$13,3,0),"")</f>
        <v/>
      </c>
      <c r="AH1224" s="906" t="str">
        <f t="shared" si="266"/>
        <v xml:space="preserve"> </v>
      </c>
      <c r="AI1224" s="907" t="str">
        <f t="shared" si="252"/>
        <v xml:space="preserve"> </v>
      </c>
      <c r="AJ1224" s="929" t="s">
        <v>809</v>
      </c>
      <c r="AK1224" s="929"/>
    </row>
    <row r="1225" spans="1:37" s="385" customFormat="1" ht="67.5" outlineLevel="2" x14ac:dyDescent="0.3">
      <c r="A1225" s="447">
        <f t="shared" si="270"/>
        <v>97</v>
      </c>
      <c r="B1225" s="893"/>
      <c r="C1225" s="894"/>
      <c r="D1225" s="950"/>
      <c r="E1225" s="950"/>
      <c r="F1225" s="1032"/>
      <c r="G1225" s="894"/>
      <c r="H1225" s="1041"/>
      <c r="I1225" s="882"/>
      <c r="J1225" s="925"/>
      <c r="K1225" s="899" t="str">
        <f>IF(G1225&lt;&gt;0,VLOOKUP(G1225,'gia dat'!$A$1:$F$144,5,0)," ")</f>
        <v xml:space="preserve"> </v>
      </c>
      <c r="L1225" s="899" t="str">
        <f>IF(G1225&lt;&gt;0,VLOOKUP(G1225,'gia dat'!$A$1:$F$144,6,0)," ")</f>
        <v xml:space="preserve"> </v>
      </c>
      <c r="M1225" s="900" t="str">
        <f t="shared" si="261"/>
        <v xml:space="preserve"> </v>
      </c>
      <c r="N1225" s="900" t="str">
        <f t="shared" si="262"/>
        <v xml:space="preserve"> </v>
      </c>
      <c r="O1225" s="901"/>
      <c r="P1225" s="1046"/>
      <c r="Q1225" s="900" t="str">
        <f>IF(O1225&lt;&gt;0,VLOOKUP(O1225,'Cây trong'!$A$2:$C$246,3,0)," ")</f>
        <v xml:space="preserve"> </v>
      </c>
      <c r="R1225" s="900" t="str">
        <f t="shared" si="265"/>
        <v xml:space="preserve"> </v>
      </c>
      <c r="S1225" s="902"/>
      <c r="T1225" s="925"/>
      <c r="U1225" s="1042"/>
      <c r="V1225" s="929"/>
      <c r="W1225" s="900" t="str">
        <f>IF(S1225&lt;&gt;0,VLOOKUP(S1225,VKT!$A$2:$G$415,7,0),"")</f>
        <v/>
      </c>
      <c r="X1225" s="900" t="str">
        <f t="shared" si="258"/>
        <v xml:space="preserve"> </v>
      </c>
      <c r="Y1225" s="1016"/>
      <c r="Z1225" s="1016"/>
      <c r="AA1225" s="1016"/>
      <c r="AB1225" s="1026"/>
      <c r="AC1225" s="1016"/>
      <c r="AD1225" s="1016"/>
      <c r="AE1225" s="1016"/>
      <c r="AF1225" s="926"/>
      <c r="AG1225" s="906" t="str">
        <f>IF(AE1225&lt;&gt;0,VLOOKUP(AE1225,ODDS!$A$2:$C$13,3,0),"")</f>
        <v/>
      </c>
      <c r="AH1225" s="906" t="str">
        <f t="shared" si="266"/>
        <v xml:space="preserve"> </v>
      </c>
      <c r="AI1225" s="907" t="str">
        <f t="shared" ref="AI1225:AI1288" si="271">IF(B1225&lt;&gt;0,M1225+N1225+R1225+X1225+AH1225," ")</f>
        <v xml:space="preserve"> </v>
      </c>
      <c r="AJ1225" s="894" t="s">
        <v>2074</v>
      </c>
      <c r="AK1225" s="929"/>
    </row>
    <row r="1226" spans="1:37" s="385" customFormat="1" ht="22.5" outlineLevel="2" x14ac:dyDescent="0.35">
      <c r="A1226" s="447">
        <f t="shared" si="270"/>
        <v>97</v>
      </c>
      <c r="B1226" s="893"/>
      <c r="C1226" s="894"/>
      <c r="D1226" s="950"/>
      <c r="E1226" s="950"/>
      <c r="F1226" s="1032"/>
      <c r="G1226" s="894"/>
      <c r="H1226" s="1041"/>
      <c r="I1226" s="882"/>
      <c r="J1226" s="925"/>
      <c r="K1226" s="899" t="str">
        <f>IF(G1226&lt;&gt;0,VLOOKUP(G1226,'gia dat'!$A$1:$F$144,5,0)," ")</f>
        <v xml:space="preserve"> </v>
      </c>
      <c r="L1226" s="899" t="str">
        <f>IF(G1226&lt;&gt;0,VLOOKUP(G1226,'gia dat'!$A$1:$F$144,6,0)," ")</f>
        <v xml:space="preserve"> </v>
      </c>
      <c r="M1226" s="900" t="str">
        <f t="shared" si="261"/>
        <v xml:space="preserve"> </v>
      </c>
      <c r="N1226" s="900" t="str">
        <f t="shared" si="262"/>
        <v xml:space="preserve"> </v>
      </c>
      <c r="O1226" s="901"/>
      <c r="P1226" s="1046"/>
      <c r="Q1226" s="900" t="str">
        <f>IF(O1226&lt;&gt;0,VLOOKUP(O1226,'Cây trong'!$A$2:$C$246,3,0)," ")</f>
        <v xml:space="preserve"> </v>
      </c>
      <c r="R1226" s="900" t="str">
        <f t="shared" si="265"/>
        <v xml:space="preserve"> </v>
      </c>
      <c r="S1226" s="902"/>
      <c r="T1226" s="925"/>
      <c r="U1226" s="1042"/>
      <c r="V1226" s="929"/>
      <c r="W1226" s="900" t="str">
        <f>IF(S1226&lt;&gt;0,VLOOKUP(S1226,VKT!$A$2:$G$415,7,0),"")</f>
        <v/>
      </c>
      <c r="X1226" s="900" t="str">
        <f t="shared" si="258"/>
        <v xml:space="preserve"> </v>
      </c>
      <c r="Y1226" s="1016"/>
      <c r="Z1226" s="1016"/>
      <c r="AA1226" s="1016"/>
      <c r="AB1226" s="1026"/>
      <c r="AC1226" s="1016"/>
      <c r="AD1226" s="1016"/>
      <c r="AE1226" s="1016"/>
      <c r="AF1226" s="926"/>
      <c r="AG1226" s="906" t="str">
        <f>IF(AE1226&lt;&gt;0,VLOOKUP(AE1226,ODDS!$A$2:$C$13,3,0),"")</f>
        <v/>
      </c>
      <c r="AH1226" s="906" t="str">
        <f t="shared" si="266"/>
        <v xml:space="preserve"> </v>
      </c>
      <c r="AI1226" s="907" t="str">
        <f t="shared" si="271"/>
        <v xml:space="preserve"> </v>
      </c>
      <c r="AJ1226" s="1036"/>
      <c r="AK1226" s="929"/>
    </row>
    <row r="1227" spans="1:37" s="385" customFormat="1" ht="22.5" outlineLevel="2" x14ac:dyDescent="0.3">
      <c r="A1227" s="447">
        <f t="shared" si="270"/>
        <v>97</v>
      </c>
      <c r="B1227" s="893"/>
      <c r="C1227" s="910"/>
      <c r="D1227" s="950"/>
      <c r="E1227" s="950"/>
      <c r="F1227" s="1032"/>
      <c r="G1227" s="894"/>
      <c r="H1227" s="1041"/>
      <c r="I1227" s="882"/>
      <c r="J1227" s="925"/>
      <c r="K1227" s="899" t="str">
        <f>IF(G1227&lt;&gt;0,VLOOKUP(G1227,'gia dat'!$A$1:$F$144,5,0)," ")</f>
        <v xml:space="preserve"> </v>
      </c>
      <c r="L1227" s="899" t="str">
        <f>IF(G1227&lt;&gt;0,VLOOKUP(G1227,'gia dat'!$A$1:$F$144,6,0)," ")</f>
        <v xml:space="preserve"> </v>
      </c>
      <c r="M1227" s="900" t="str">
        <f t="shared" si="261"/>
        <v xml:space="preserve"> </v>
      </c>
      <c r="N1227" s="900" t="str">
        <f t="shared" si="262"/>
        <v xml:space="preserve"> </v>
      </c>
      <c r="O1227" s="901"/>
      <c r="P1227" s="1046"/>
      <c r="Q1227" s="900" t="str">
        <f>IF(O1227&lt;&gt;0,VLOOKUP(O1227,'Cây trong'!$A$2:$C$246,3,0)," ")</f>
        <v xml:space="preserve"> </v>
      </c>
      <c r="R1227" s="900" t="str">
        <f t="shared" si="265"/>
        <v xml:space="preserve"> </v>
      </c>
      <c r="S1227" s="902"/>
      <c r="T1227" s="925"/>
      <c r="U1227" s="1042"/>
      <c r="V1227" s="929"/>
      <c r="W1227" s="900" t="str">
        <f>IF(S1227&lt;&gt;0,VLOOKUP(S1227,VKT!$A$2:$G$415,7,0),"")</f>
        <v/>
      </c>
      <c r="X1227" s="900" t="str">
        <f t="shared" si="258"/>
        <v xml:space="preserve"> </v>
      </c>
      <c r="Y1227" s="1016"/>
      <c r="Z1227" s="1016"/>
      <c r="AA1227" s="1016"/>
      <c r="AB1227" s="1026"/>
      <c r="AC1227" s="1016"/>
      <c r="AD1227" s="1016"/>
      <c r="AE1227" s="1016"/>
      <c r="AF1227" s="926"/>
      <c r="AG1227" s="906" t="str">
        <f>IF(AE1227&lt;&gt;0,VLOOKUP(AE1227,ODDS!$A$2:$C$13,3,0),"")</f>
        <v/>
      </c>
      <c r="AH1227" s="906" t="str">
        <f t="shared" si="266"/>
        <v xml:space="preserve"> </v>
      </c>
      <c r="AI1227" s="907" t="str">
        <f t="shared" si="271"/>
        <v xml:space="preserve"> </v>
      </c>
      <c r="AJ1227" s="929"/>
      <c r="AK1227" s="929"/>
    </row>
    <row r="1228" spans="1:37" s="385" customFormat="1" ht="43.5" outlineLevel="1" x14ac:dyDescent="0.25">
      <c r="A1228" s="467" t="s">
        <v>2612</v>
      </c>
      <c r="B1228" s="912">
        <v>98</v>
      </c>
      <c r="C1228" s="910" t="s">
        <v>916</v>
      </c>
      <c r="D1228" s="1037"/>
      <c r="E1228" s="1037"/>
      <c r="F1228" s="1038"/>
      <c r="G1228" s="910"/>
      <c r="H1228" s="1039">
        <f>SUBTOTAL(9,H1229:H1238)</f>
        <v>1762.5</v>
      </c>
      <c r="I1228" s="915">
        <f>SUBTOTAL(9,I1229:I1234)</f>
        <v>1762.5</v>
      </c>
      <c r="J1228" s="933"/>
      <c r="K1228" s="917"/>
      <c r="L1228" s="917"/>
      <c r="M1228" s="907">
        <f>SUBTOTAL(9,M1229:M1238)</f>
        <v>664110000</v>
      </c>
      <c r="N1228" s="907">
        <f>SUBTOTAL(9,N1229:N1238)</f>
        <v>1992330000</v>
      </c>
      <c r="O1228" s="934"/>
      <c r="P1228" s="1044">
        <f>SUBTOTAL(9,P1229:P1238)</f>
        <v>85</v>
      </c>
      <c r="Q1228" s="907"/>
      <c r="R1228" s="907">
        <f>SUBTOTAL(9,R1229:R1238)</f>
        <v>6968000</v>
      </c>
      <c r="S1228" s="918"/>
      <c r="T1228" s="933"/>
      <c r="U1228" s="1040">
        <f>SUBTOTAL(9,U1229:U1238)</f>
        <v>0</v>
      </c>
      <c r="V1228" s="943"/>
      <c r="W1228" s="907"/>
      <c r="X1228" s="907">
        <f>SUBTOTAL(9,X1229:X1238)</f>
        <v>0</v>
      </c>
      <c r="Y1228" s="1016"/>
      <c r="Z1228" s="1016"/>
      <c r="AA1228" s="1016"/>
      <c r="AB1228" s="1026"/>
      <c r="AC1228" s="1016"/>
      <c r="AD1228" s="1016"/>
      <c r="AE1228" s="985"/>
      <c r="AF1228" s="935">
        <f>SUBTOTAL(9,AF1229:AF1238)</f>
        <v>0</v>
      </c>
      <c r="AG1228" s="921"/>
      <c r="AH1228" s="921">
        <f>SUBTOTAL(9,AH1229:AH1238)</f>
        <v>0</v>
      </c>
      <c r="AI1228" s="907">
        <f t="shared" si="271"/>
        <v>2663408000</v>
      </c>
      <c r="AJ1228" s="910"/>
      <c r="AK1228" s="914"/>
    </row>
    <row r="1229" spans="1:37" s="385" customFormat="1" ht="135" outlineLevel="2" x14ac:dyDescent="0.3">
      <c r="A1229" s="447">
        <f>IF(B1228&lt;&gt;0,B1228,A1227)</f>
        <v>98</v>
      </c>
      <c r="B1229" s="893"/>
      <c r="C1229" s="894" t="s">
        <v>918</v>
      </c>
      <c r="D1229" s="950">
        <v>5</v>
      </c>
      <c r="E1229" s="950">
        <v>86</v>
      </c>
      <c r="F1229" s="1032">
        <v>45</v>
      </c>
      <c r="G1229" s="894" t="s">
        <v>2433</v>
      </c>
      <c r="H1229" s="1041">
        <v>1762.5</v>
      </c>
      <c r="I1229" s="882">
        <f t="shared" ref="I1229" si="272">IF(N1229&gt;0,H1229,"")</f>
        <v>1762.5</v>
      </c>
      <c r="J1229" s="925"/>
      <c r="K1229" s="899">
        <f>IF(G1229&lt;&gt;0,VLOOKUP(G1229,'gia dat'!$A$1:$F$144,5,0)," ")</f>
        <v>376800</v>
      </c>
      <c r="L1229" s="899">
        <f>IF(G1229&lt;&gt;0,VLOOKUP(G1229,'gia dat'!$A$1:$F$144,6,0)," ")</f>
        <v>1130400</v>
      </c>
      <c r="M1229" s="900">
        <f t="shared" si="261"/>
        <v>664110000</v>
      </c>
      <c r="N1229" s="900">
        <f t="shared" si="262"/>
        <v>1992330000</v>
      </c>
      <c r="O1229" s="901" t="s">
        <v>406</v>
      </c>
      <c r="P1229" s="1046">
        <v>12</v>
      </c>
      <c r="Q1229" s="900">
        <f>IF(O1229&lt;&gt;0,VLOOKUP(O1229,'Cây trong'!$A$2:$C$246,3,0)," ")</f>
        <v>180000</v>
      </c>
      <c r="R1229" s="900">
        <f t="shared" si="265"/>
        <v>2160000</v>
      </c>
      <c r="S1229" s="902"/>
      <c r="T1229" s="925"/>
      <c r="U1229" s="1042"/>
      <c r="V1229" s="929"/>
      <c r="W1229" s="900" t="str">
        <f>IF(S1229&lt;&gt;0,VLOOKUP(S1229,VKT!$A$2:$G$415,7,0),"")</f>
        <v/>
      </c>
      <c r="X1229" s="900" t="str">
        <f t="shared" si="258"/>
        <v xml:space="preserve"> </v>
      </c>
      <c r="Y1229" s="1016"/>
      <c r="Z1229" s="1016"/>
      <c r="AA1229" s="1016"/>
      <c r="AB1229" s="1026"/>
      <c r="AC1229" s="1016"/>
      <c r="AD1229" s="1016"/>
      <c r="AE1229" s="1016"/>
      <c r="AF1229" s="926"/>
      <c r="AG1229" s="906" t="str">
        <f>IF(AE1229&lt;&gt;0,VLOOKUP(AE1229,ODDS!$A$2:$C$13,3,0),"")</f>
        <v/>
      </c>
      <c r="AH1229" s="906"/>
      <c r="AI1229" s="907" t="str">
        <f t="shared" si="271"/>
        <v xml:space="preserve"> </v>
      </c>
      <c r="AJ1229" s="894" t="s">
        <v>917</v>
      </c>
      <c r="AK1229" s="922" t="s">
        <v>2771</v>
      </c>
    </row>
    <row r="1230" spans="1:37" s="385" customFormat="1" ht="112.5" outlineLevel="2" x14ac:dyDescent="0.3">
      <c r="A1230" s="447">
        <f t="shared" ref="A1230:A1238" si="273">IF(B1229&lt;&gt;0,B1229,A1229)</f>
        <v>98</v>
      </c>
      <c r="B1230" s="893"/>
      <c r="C1230" s="894" t="s">
        <v>1572</v>
      </c>
      <c r="D1230" s="950"/>
      <c r="E1230" s="950"/>
      <c r="F1230" s="1032"/>
      <c r="G1230" s="922"/>
      <c r="H1230" s="1041"/>
      <c r="I1230" s="882"/>
      <c r="J1230" s="925"/>
      <c r="K1230" s="899" t="str">
        <f>IF(G1230&lt;&gt;0,VLOOKUP(G1230,'gia dat'!$A$1:$F$144,5,0)," ")</f>
        <v xml:space="preserve"> </v>
      </c>
      <c r="L1230" s="899" t="str">
        <f>IF(G1230&lt;&gt;0,VLOOKUP(G1230,'gia dat'!$A$1:$F$144,6,0)," ")</f>
        <v xml:space="preserve"> </v>
      </c>
      <c r="M1230" s="900" t="str">
        <f t="shared" si="261"/>
        <v xml:space="preserve"> </v>
      </c>
      <c r="N1230" s="900" t="str">
        <f t="shared" si="262"/>
        <v xml:space="preserve"> </v>
      </c>
      <c r="O1230" s="901" t="s">
        <v>919</v>
      </c>
      <c r="P1230" s="1046">
        <v>18</v>
      </c>
      <c r="Q1230" s="900">
        <f>IF(O1230&lt;&gt;0,VLOOKUP(O1230,'Cây trong'!$A$2:$C$246,3,0)," ")</f>
        <v>36000</v>
      </c>
      <c r="R1230" s="900">
        <f t="shared" si="265"/>
        <v>648000</v>
      </c>
      <c r="S1230" s="902"/>
      <c r="T1230" s="925"/>
      <c r="U1230" s="1042"/>
      <c r="V1230" s="929"/>
      <c r="W1230" s="900" t="str">
        <f>IF(S1230&lt;&gt;0,VLOOKUP(S1230,VKT!$A$2:$G$415,7,0),"")</f>
        <v/>
      </c>
      <c r="X1230" s="900" t="str">
        <f t="shared" si="258"/>
        <v xml:space="preserve"> </v>
      </c>
      <c r="Y1230" s="1016"/>
      <c r="Z1230" s="1016"/>
      <c r="AA1230" s="1016"/>
      <c r="AB1230" s="1026"/>
      <c r="AC1230" s="1016"/>
      <c r="AD1230" s="1016"/>
      <c r="AE1230" s="1016"/>
      <c r="AF1230" s="926"/>
      <c r="AG1230" s="906" t="str">
        <f>IF(AE1230&lt;&gt;0,VLOOKUP(AE1230,ODDS!$A$2:$C$13,3,0),"")</f>
        <v/>
      </c>
      <c r="AH1230" s="906" t="str">
        <f t="shared" si="266"/>
        <v xml:space="preserve"> </v>
      </c>
      <c r="AI1230" s="907" t="str">
        <f t="shared" si="271"/>
        <v xml:space="preserve"> </v>
      </c>
      <c r="AJ1230" s="894" t="s">
        <v>2928</v>
      </c>
      <c r="AK1230" s="894" t="s">
        <v>2448</v>
      </c>
    </row>
    <row r="1231" spans="1:37" s="385" customFormat="1" ht="112.5" outlineLevel="2" x14ac:dyDescent="0.3">
      <c r="A1231" s="447">
        <f t="shared" si="273"/>
        <v>98</v>
      </c>
      <c r="B1231" s="893"/>
      <c r="C1231" s="894"/>
      <c r="D1231" s="950"/>
      <c r="E1231" s="950"/>
      <c r="F1231" s="1032"/>
      <c r="G1231" s="894"/>
      <c r="H1231" s="1041"/>
      <c r="I1231" s="882"/>
      <c r="J1231" s="925"/>
      <c r="K1231" s="899" t="str">
        <f>IF(G1231&lt;&gt;0,VLOOKUP(G1231,'gia dat'!$A$1:$F$144,5,0)," ")</f>
        <v xml:space="preserve"> </v>
      </c>
      <c r="L1231" s="899" t="str">
        <f>IF(G1231&lt;&gt;0,VLOOKUP(G1231,'gia dat'!$A$1:$F$144,6,0)," ")</f>
        <v xml:space="preserve"> </v>
      </c>
      <c r="M1231" s="900" t="str">
        <f t="shared" si="261"/>
        <v xml:space="preserve"> </v>
      </c>
      <c r="N1231" s="900" t="str">
        <f t="shared" si="262"/>
        <v xml:space="preserve"> </v>
      </c>
      <c r="O1231" s="894" t="s">
        <v>921</v>
      </c>
      <c r="P1231" s="1046">
        <v>10</v>
      </c>
      <c r="Q1231" s="900">
        <f>IF(O1231&lt;&gt;0,VLOOKUP(O1231,'Cây trong'!$A$2:$C$246,3,0)," ")</f>
        <v>120000</v>
      </c>
      <c r="R1231" s="900">
        <f t="shared" si="265"/>
        <v>1200000</v>
      </c>
      <c r="S1231" s="902"/>
      <c r="T1231" s="925"/>
      <c r="U1231" s="1042"/>
      <c r="V1231" s="929"/>
      <c r="W1231" s="900" t="str">
        <f>IF(S1231&lt;&gt;0,VLOOKUP(S1231,VKT!$A$2:$G$415,7,0),"")</f>
        <v/>
      </c>
      <c r="X1231" s="900" t="str">
        <f t="shared" si="258"/>
        <v xml:space="preserve"> </v>
      </c>
      <c r="Y1231" s="1016"/>
      <c r="Z1231" s="1016"/>
      <c r="AA1231" s="1016"/>
      <c r="AB1231" s="1026"/>
      <c r="AC1231" s="1016"/>
      <c r="AD1231" s="1016"/>
      <c r="AE1231" s="1016"/>
      <c r="AF1231" s="926"/>
      <c r="AG1231" s="906" t="str">
        <f>IF(AE1231&lt;&gt;0,VLOOKUP(AE1231,ODDS!$A$2:$C$13,3,0),"")</f>
        <v/>
      </c>
      <c r="AH1231" s="906" t="str">
        <f t="shared" si="266"/>
        <v xml:space="preserve"> </v>
      </c>
      <c r="AI1231" s="907" t="str">
        <f t="shared" si="271"/>
        <v xml:space="preserve"> </v>
      </c>
      <c r="AJ1231" s="894" t="s">
        <v>922</v>
      </c>
      <c r="AK1231" s="894" t="s">
        <v>2449</v>
      </c>
    </row>
    <row r="1232" spans="1:37" s="385" customFormat="1" ht="67.5" outlineLevel="2" x14ac:dyDescent="0.3">
      <c r="A1232" s="447">
        <f t="shared" si="273"/>
        <v>98</v>
      </c>
      <c r="B1232" s="893"/>
      <c r="C1232" s="908"/>
      <c r="D1232" s="950"/>
      <c r="E1232" s="950"/>
      <c r="F1232" s="1032"/>
      <c r="G1232" s="894"/>
      <c r="H1232" s="1041"/>
      <c r="I1232" s="882"/>
      <c r="J1232" s="925"/>
      <c r="K1232" s="899" t="str">
        <f>IF(G1232&lt;&gt;0,VLOOKUP(G1232,'gia dat'!$A$1:$F$144,5,0)," ")</f>
        <v xml:space="preserve"> </v>
      </c>
      <c r="L1232" s="899" t="str">
        <f>IF(G1232&lt;&gt;0,VLOOKUP(G1232,'gia dat'!$A$1:$F$144,6,0)," ")</f>
        <v xml:space="preserve"> </v>
      </c>
      <c r="M1232" s="900" t="str">
        <f t="shared" si="261"/>
        <v xml:space="preserve"> </v>
      </c>
      <c r="N1232" s="900" t="str">
        <f t="shared" si="262"/>
        <v xml:space="preserve"> </v>
      </c>
      <c r="O1232" s="922" t="s">
        <v>832</v>
      </c>
      <c r="P1232" s="1046">
        <v>12</v>
      </c>
      <c r="Q1232" s="900">
        <f>IF(O1232&lt;&gt;0,VLOOKUP(O1232,'Cây trong'!$A$2:$C$246,3,0)," ")</f>
        <v>60000</v>
      </c>
      <c r="R1232" s="900">
        <f t="shared" si="265"/>
        <v>720000</v>
      </c>
      <c r="S1232" s="902"/>
      <c r="T1232" s="925"/>
      <c r="U1232" s="1042"/>
      <c r="V1232" s="929"/>
      <c r="W1232" s="900" t="str">
        <f>IF(S1232&lt;&gt;0,VLOOKUP(S1232,VKT!$A$2:$G$415,7,0),"")</f>
        <v/>
      </c>
      <c r="X1232" s="900" t="str">
        <f t="shared" si="258"/>
        <v xml:space="preserve"> </v>
      </c>
      <c r="Y1232" s="1016"/>
      <c r="Z1232" s="1016"/>
      <c r="AA1232" s="1016"/>
      <c r="AB1232" s="1026"/>
      <c r="AC1232" s="1016"/>
      <c r="AD1232" s="1016"/>
      <c r="AE1232" s="1016"/>
      <c r="AF1232" s="926"/>
      <c r="AG1232" s="906" t="str">
        <f>IF(AE1232&lt;&gt;0,VLOOKUP(AE1232,ODDS!$A$2:$C$13,3,0),"")</f>
        <v/>
      </c>
      <c r="AH1232" s="906" t="str">
        <f t="shared" si="266"/>
        <v xml:space="preserve"> </v>
      </c>
      <c r="AI1232" s="907" t="str">
        <f t="shared" si="271"/>
        <v xml:space="preserve"> </v>
      </c>
      <c r="AJ1232" s="922" t="s">
        <v>2074</v>
      </c>
      <c r="AK1232" s="996"/>
    </row>
    <row r="1233" spans="1:37" s="385" customFormat="1" ht="67.5" outlineLevel="2" x14ac:dyDescent="0.35">
      <c r="A1233" s="447">
        <f t="shared" si="273"/>
        <v>98</v>
      </c>
      <c r="B1233" s="893"/>
      <c r="C1233" s="908"/>
      <c r="D1233" s="1035"/>
      <c r="E1233" s="950"/>
      <c r="F1233" s="1032"/>
      <c r="G1233" s="894"/>
      <c r="H1233" s="1041"/>
      <c r="I1233" s="882"/>
      <c r="J1233" s="1042"/>
      <c r="K1233" s="899" t="str">
        <f>IF(G1233&lt;&gt;0,VLOOKUP(G1233,'gia dat'!$A$1:$F$144,5,0)," ")</f>
        <v xml:space="preserve"> </v>
      </c>
      <c r="L1233" s="899" t="str">
        <f>IF(G1233&lt;&gt;0,VLOOKUP(G1233,'gia dat'!$A$1:$F$144,6,0)," ")</f>
        <v xml:space="preserve"> </v>
      </c>
      <c r="M1233" s="900" t="str">
        <f t="shared" si="261"/>
        <v xml:space="preserve"> </v>
      </c>
      <c r="N1233" s="900" t="str">
        <f t="shared" si="262"/>
        <v xml:space="preserve"> </v>
      </c>
      <c r="O1233" s="922" t="s">
        <v>832</v>
      </c>
      <c r="P1233" s="1046">
        <v>8</v>
      </c>
      <c r="Q1233" s="900">
        <f>IF(O1233&lt;&gt;0,VLOOKUP(O1233,'Cây trong'!$A$2:$C$246,3,0)," ")</f>
        <v>60000</v>
      </c>
      <c r="R1233" s="900">
        <f t="shared" si="265"/>
        <v>480000</v>
      </c>
      <c r="S1233" s="922"/>
      <c r="T1233" s="944"/>
      <c r="U1233" s="1042"/>
      <c r="V1233" s="929"/>
      <c r="W1233" s="900" t="str">
        <f>IF(S1233&lt;&gt;0,VLOOKUP(S1233,VKT!$A$2:$G$415,7,0),"")</f>
        <v/>
      </c>
      <c r="X1233" s="900" t="str">
        <f t="shared" si="258"/>
        <v xml:space="preserve"> </v>
      </c>
      <c r="Y1233" s="1016"/>
      <c r="Z1233" s="1016"/>
      <c r="AA1233" s="1016"/>
      <c r="AB1233" s="1026"/>
      <c r="AC1233" s="1016"/>
      <c r="AD1233" s="1016"/>
      <c r="AE1233" s="1016"/>
      <c r="AF1233" s="926"/>
      <c r="AG1233" s="906" t="str">
        <f>IF(AE1233&lt;&gt;0,VLOOKUP(AE1233,ODDS!$A$2:$C$13,3,0),"")</f>
        <v/>
      </c>
      <c r="AH1233" s="906" t="str">
        <f t="shared" si="266"/>
        <v xml:space="preserve"> </v>
      </c>
      <c r="AI1233" s="907" t="str">
        <f t="shared" si="271"/>
        <v xml:space="preserve"> </v>
      </c>
      <c r="AJ1233" s="1036"/>
      <c r="AK1233" s="929"/>
    </row>
    <row r="1234" spans="1:37" s="385" customFormat="1" ht="22.5" outlineLevel="2" x14ac:dyDescent="0.35">
      <c r="A1234" s="447">
        <f t="shared" si="273"/>
        <v>98</v>
      </c>
      <c r="B1234" s="893"/>
      <c r="C1234" s="908"/>
      <c r="D1234" s="1035"/>
      <c r="E1234" s="950"/>
      <c r="F1234" s="1032"/>
      <c r="G1234" s="894"/>
      <c r="H1234" s="1041"/>
      <c r="I1234" s="882"/>
      <c r="J1234" s="1042"/>
      <c r="K1234" s="899" t="str">
        <f>IF(G1234&lt;&gt;0,VLOOKUP(G1234,'gia dat'!$A$1:$F$144,5,0)," ")</f>
        <v xml:space="preserve"> </v>
      </c>
      <c r="L1234" s="899" t="str">
        <f>IF(G1234&lt;&gt;0,VLOOKUP(G1234,'gia dat'!$A$1:$F$144,6,0)," ")</f>
        <v xml:space="preserve"> </v>
      </c>
      <c r="M1234" s="900" t="str">
        <f t="shared" si="261"/>
        <v xml:space="preserve"> </v>
      </c>
      <c r="N1234" s="900" t="str">
        <f t="shared" si="262"/>
        <v xml:space="preserve"> </v>
      </c>
      <c r="O1234" s="922" t="s">
        <v>72</v>
      </c>
      <c r="P1234" s="1046">
        <v>5</v>
      </c>
      <c r="Q1234" s="900">
        <f>IF(O1234&lt;&gt;0,VLOOKUP(O1234,'Cây trong'!$A$2:$C$246,3,0)," ")</f>
        <v>132000</v>
      </c>
      <c r="R1234" s="900">
        <f t="shared" si="265"/>
        <v>660000</v>
      </c>
      <c r="S1234" s="922"/>
      <c r="T1234" s="944"/>
      <c r="U1234" s="1042"/>
      <c r="V1234" s="929"/>
      <c r="W1234" s="900" t="str">
        <f>IF(S1234&lt;&gt;0,VLOOKUP(S1234,VKT!$A$2:$G$415,7,0),"")</f>
        <v/>
      </c>
      <c r="X1234" s="900" t="str">
        <f t="shared" si="258"/>
        <v xml:space="preserve"> </v>
      </c>
      <c r="Y1234" s="1016"/>
      <c r="Z1234" s="1016"/>
      <c r="AA1234" s="1016"/>
      <c r="AB1234" s="1026"/>
      <c r="AC1234" s="1016"/>
      <c r="AD1234" s="1016"/>
      <c r="AE1234" s="1016"/>
      <c r="AF1234" s="926"/>
      <c r="AG1234" s="906" t="str">
        <f>IF(AE1234&lt;&gt;0,VLOOKUP(AE1234,ODDS!$A$2:$C$13,3,0),"")</f>
        <v/>
      </c>
      <c r="AH1234" s="906" t="str">
        <f t="shared" si="266"/>
        <v xml:space="preserve"> </v>
      </c>
      <c r="AI1234" s="907" t="str">
        <f t="shared" si="271"/>
        <v xml:space="preserve"> </v>
      </c>
      <c r="AJ1234" s="1036"/>
      <c r="AK1234" s="922"/>
    </row>
    <row r="1235" spans="1:37" s="385" customFormat="1" ht="22.5" outlineLevel="2" x14ac:dyDescent="0.3">
      <c r="A1235" s="447">
        <f t="shared" si="273"/>
        <v>98</v>
      </c>
      <c r="B1235" s="893"/>
      <c r="C1235" s="894"/>
      <c r="D1235" s="950"/>
      <c r="E1235" s="947"/>
      <c r="F1235" s="947"/>
      <c r="G1235" s="922"/>
      <c r="H1235" s="1041"/>
      <c r="I1235" s="882"/>
      <c r="J1235" s="1042"/>
      <c r="K1235" s="899" t="str">
        <f>IF(G1235&lt;&gt;0,VLOOKUP(G1235,'gia dat'!$A$1:$F$144,5,0)," ")</f>
        <v xml:space="preserve"> </v>
      </c>
      <c r="L1235" s="899" t="str">
        <f>IF(G1235&lt;&gt;0,VLOOKUP(G1235,'gia dat'!$A$1:$F$144,6,0)," ")</f>
        <v xml:space="preserve"> </v>
      </c>
      <c r="M1235" s="900" t="str">
        <f t="shared" si="261"/>
        <v xml:space="preserve"> </v>
      </c>
      <c r="N1235" s="900" t="str">
        <f t="shared" si="262"/>
        <v xml:space="preserve"> </v>
      </c>
      <c r="O1235" s="922" t="s">
        <v>73</v>
      </c>
      <c r="P1235" s="1046">
        <v>10</v>
      </c>
      <c r="Q1235" s="900">
        <f>IF(O1235&lt;&gt;0,VLOOKUP(O1235,'Cây trong'!$A$2:$C$246,3,0)," ")</f>
        <v>76000</v>
      </c>
      <c r="R1235" s="900">
        <f t="shared" si="265"/>
        <v>760000</v>
      </c>
      <c r="S1235" s="922"/>
      <c r="T1235" s="944"/>
      <c r="U1235" s="1042"/>
      <c r="V1235" s="929"/>
      <c r="W1235" s="900" t="str">
        <f>IF(S1235&lt;&gt;0,VLOOKUP(S1235,VKT!$A$2:$G$415,7,0),"")</f>
        <v/>
      </c>
      <c r="X1235" s="900" t="str">
        <f t="shared" si="258"/>
        <v xml:space="preserve"> </v>
      </c>
      <c r="Y1235" s="1016"/>
      <c r="Z1235" s="1016"/>
      <c r="AA1235" s="1016"/>
      <c r="AB1235" s="1026"/>
      <c r="AC1235" s="1016"/>
      <c r="AD1235" s="1016"/>
      <c r="AE1235" s="1016"/>
      <c r="AF1235" s="926"/>
      <c r="AG1235" s="906" t="str">
        <f>IF(AE1235&lt;&gt;0,VLOOKUP(AE1235,ODDS!$A$2:$C$13,3,0),"")</f>
        <v/>
      </c>
      <c r="AH1235" s="906" t="str">
        <f t="shared" si="266"/>
        <v xml:space="preserve"> </v>
      </c>
      <c r="AI1235" s="907" t="str">
        <f t="shared" si="271"/>
        <v xml:space="preserve"> </v>
      </c>
      <c r="AJ1235" s="922"/>
      <c r="AK1235" s="922"/>
    </row>
    <row r="1236" spans="1:37" s="385" customFormat="1" ht="22.5" outlineLevel="2" x14ac:dyDescent="0.3">
      <c r="A1236" s="447">
        <f t="shared" si="273"/>
        <v>98</v>
      </c>
      <c r="B1236" s="893"/>
      <c r="C1236" s="894"/>
      <c r="D1236" s="950"/>
      <c r="E1236" s="950"/>
      <c r="F1236" s="1032"/>
      <c r="G1236" s="894"/>
      <c r="H1236" s="1041"/>
      <c r="I1236" s="882"/>
      <c r="J1236" s="1050"/>
      <c r="K1236" s="899" t="str">
        <f>IF(G1236&lt;&gt;0,VLOOKUP(G1236,'gia dat'!$A$1:$F$144,5,0)," ")</f>
        <v xml:space="preserve"> </v>
      </c>
      <c r="L1236" s="899" t="str">
        <f>IF(G1236&lt;&gt;0,VLOOKUP(G1236,'gia dat'!$A$1:$F$144,6,0)," ")</f>
        <v xml:space="preserve"> </v>
      </c>
      <c r="M1236" s="900" t="str">
        <f t="shared" si="261"/>
        <v xml:space="preserve"> </v>
      </c>
      <c r="N1236" s="900" t="str">
        <f t="shared" si="262"/>
        <v xml:space="preserve"> </v>
      </c>
      <c r="O1236" s="922" t="s">
        <v>75</v>
      </c>
      <c r="P1236" s="1046">
        <v>10</v>
      </c>
      <c r="Q1236" s="900">
        <f>IF(O1236&lt;&gt;0,VLOOKUP(O1236,'Cây trong'!$A$2:$C$246,3,0)," ")</f>
        <v>34000</v>
      </c>
      <c r="R1236" s="900">
        <f t="shared" si="265"/>
        <v>340000</v>
      </c>
      <c r="S1236" s="922"/>
      <c r="T1236" s="944"/>
      <c r="U1236" s="1042"/>
      <c r="V1236" s="929"/>
      <c r="W1236" s="900" t="str">
        <f>IF(S1236&lt;&gt;0,VLOOKUP(S1236,VKT!$A$2:$G$415,7,0),"")</f>
        <v/>
      </c>
      <c r="X1236" s="900" t="str">
        <f t="shared" si="258"/>
        <v xml:space="preserve"> </v>
      </c>
      <c r="Y1236" s="1016"/>
      <c r="Z1236" s="1016"/>
      <c r="AA1236" s="1016"/>
      <c r="AB1236" s="1026"/>
      <c r="AC1236" s="1016"/>
      <c r="AD1236" s="1016"/>
      <c r="AE1236" s="1016"/>
      <c r="AF1236" s="926"/>
      <c r="AG1236" s="906" t="str">
        <f>IF(AE1236&lt;&gt;0,VLOOKUP(AE1236,ODDS!$A$2:$C$13,3,0),"")</f>
        <v/>
      </c>
      <c r="AH1236" s="906" t="str">
        <f t="shared" si="266"/>
        <v xml:space="preserve"> </v>
      </c>
      <c r="AI1236" s="907" t="str">
        <f t="shared" si="271"/>
        <v xml:space="preserve"> </v>
      </c>
      <c r="AJ1236" s="922"/>
      <c r="AK1236" s="922"/>
    </row>
    <row r="1237" spans="1:37" s="385" customFormat="1" ht="22.5" outlineLevel="2" x14ac:dyDescent="0.3">
      <c r="A1237" s="447">
        <f t="shared" si="273"/>
        <v>98</v>
      </c>
      <c r="B1237" s="893"/>
      <c r="C1237" s="894"/>
      <c r="D1237" s="950"/>
      <c r="E1237" s="950"/>
      <c r="F1237" s="1032"/>
      <c r="G1237" s="894"/>
      <c r="H1237" s="1041"/>
      <c r="I1237" s="882"/>
      <c r="J1237" s="1050"/>
      <c r="K1237" s="899" t="str">
        <f>IF(G1237&lt;&gt;0,VLOOKUP(G1237,'gia dat'!$A$1:$F$144,5,0)," ")</f>
        <v xml:space="preserve"> </v>
      </c>
      <c r="L1237" s="899" t="str">
        <f>IF(G1237&lt;&gt;0,VLOOKUP(G1237,'gia dat'!$A$1:$F$144,6,0)," ")</f>
        <v xml:space="preserve"> </v>
      </c>
      <c r="M1237" s="900" t="str">
        <f t="shared" si="261"/>
        <v xml:space="preserve"> </v>
      </c>
      <c r="N1237" s="900" t="str">
        <f t="shared" si="262"/>
        <v xml:space="preserve"> </v>
      </c>
      <c r="O1237" s="922"/>
      <c r="P1237" s="1046"/>
      <c r="Q1237" s="900" t="str">
        <f>IF(O1237&lt;&gt;0,VLOOKUP(O1237,'Cây trong'!$A$2:$C$246,3,0)," ")</f>
        <v xml:space="preserve"> </v>
      </c>
      <c r="R1237" s="900" t="str">
        <f t="shared" si="265"/>
        <v xml:space="preserve"> </v>
      </c>
      <c r="S1237" s="922"/>
      <c r="T1237" s="944"/>
      <c r="U1237" s="1042"/>
      <c r="V1237" s="929"/>
      <c r="W1237" s="900" t="str">
        <f>IF(S1237&lt;&gt;0,VLOOKUP(S1237,VKT!$A$2:$G$415,7,0),"")</f>
        <v/>
      </c>
      <c r="X1237" s="900" t="str">
        <f t="shared" si="258"/>
        <v xml:space="preserve"> </v>
      </c>
      <c r="Y1237" s="1016"/>
      <c r="Z1237" s="1016"/>
      <c r="AA1237" s="1016"/>
      <c r="AB1237" s="1026"/>
      <c r="AC1237" s="1016"/>
      <c r="AD1237" s="1016"/>
      <c r="AE1237" s="1016"/>
      <c r="AF1237" s="926"/>
      <c r="AG1237" s="906" t="str">
        <f>IF(AE1237&lt;&gt;0,VLOOKUP(AE1237,ODDS!$A$2:$C$13,3,0),"")</f>
        <v/>
      </c>
      <c r="AH1237" s="906" t="str">
        <f t="shared" si="266"/>
        <v xml:space="preserve"> </v>
      </c>
      <c r="AI1237" s="907" t="str">
        <f t="shared" si="271"/>
        <v xml:space="preserve"> </v>
      </c>
      <c r="AJ1237" s="922"/>
      <c r="AK1237" s="922"/>
    </row>
    <row r="1238" spans="1:37" s="385" customFormat="1" ht="22.5" outlineLevel="2" x14ac:dyDescent="0.3">
      <c r="A1238" s="447">
        <f t="shared" si="273"/>
        <v>98</v>
      </c>
      <c r="B1238" s="893"/>
      <c r="C1238" s="910"/>
      <c r="D1238" s="950"/>
      <c r="E1238" s="950"/>
      <c r="F1238" s="1032"/>
      <c r="G1238" s="894"/>
      <c r="H1238" s="1041"/>
      <c r="I1238" s="882"/>
      <c r="J1238" s="925"/>
      <c r="K1238" s="899" t="str">
        <f>IF(G1238&lt;&gt;0,VLOOKUP(G1238,'gia dat'!$A$1:$F$144,5,0)," ")</f>
        <v xml:space="preserve"> </v>
      </c>
      <c r="L1238" s="899" t="str">
        <f>IF(G1238&lt;&gt;0,VLOOKUP(G1238,'gia dat'!$A$1:$F$144,6,0)," ")</f>
        <v xml:space="preserve"> </v>
      </c>
      <c r="M1238" s="900" t="str">
        <f t="shared" si="261"/>
        <v xml:space="preserve"> </v>
      </c>
      <c r="N1238" s="900" t="str">
        <f t="shared" si="262"/>
        <v xml:space="preserve"> </v>
      </c>
      <c r="O1238" s="894"/>
      <c r="P1238" s="1046"/>
      <c r="Q1238" s="900" t="str">
        <f>IF(O1238&lt;&gt;0,VLOOKUP(O1238,'Cây trong'!$A$2:$C$246,3,0)," ")</f>
        <v xml:space="preserve"> </v>
      </c>
      <c r="R1238" s="900" t="str">
        <f t="shared" si="265"/>
        <v xml:space="preserve"> </v>
      </c>
      <c r="S1238" s="902"/>
      <c r="T1238" s="925"/>
      <c r="U1238" s="1042"/>
      <c r="V1238" s="929"/>
      <c r="W1238" s="900" t="str">
        <f>IF(S1238&lt;&gt;0,VLOOKUP(S1238,VKT!$A$2:$G$415,7,0),"")</f>
        <v/>
      </c>
      <c r="X1238" s="900" t="str">
        <f t="shared" si="258"/>
        <v xml:space="preserve"> </v>
      </c>
      <c r="Y1238" s="1016"/>
      <c r="Z1238" s="1016"/>
      <c r="AA1238" s="1016"/>
      <c r="AB1238" s="1026"/>
      <c r="AC1238" s="1016"/>
      <c r="AD1238" s="1016"/>
      <c r="AE1238" s="1016"/>
      <c r="AF1238" s="926"/>
      <c r="AG1238" s="906" t="str">
        <f>IF(AE1238&lt;&gt;0,VLOOKUP(AE1238,ODDS!$A$2:$C$13,3,0),"")</f>
        <v/>
      </c>
      <c r="AH1238" s="906" t="str">
        <f t="shared" si="266"/>
        <v xml:space="preserve"> </v>
      </c>
      <c r="AI1238" s="907" t="str">
        <f t="shared" si="271"/>
        <v xml:space="preserve"> </v>
      </c>
      <c r="AJ1238" s="922"/>
      <c r="AK1238" s="922"/>
    </row>
    <row r="1239" spans="1:37" s="385" customFormat="1" ht="43.5" outlineLevel="1" x14ac:dyDescent="0.25">
      <c r="A1239" s="467" t="s">
        <v>2611</v>
      </c>
      <c r="B1239" s="912">
        <v>99</v>
      </c>
      <c r="C1239" s="910" t="s">
        <v>923</v>
      </c>
      <c r="D1239" s="1037"/>
      <c r="E1239" s="1037"/>
      <c r="F1239" s="1038"/>
      <c r="G1239" s="910"/>
      <c r="H1239" s="1039">
        <f>SUBTOTAL(9,H1240:H1255)</f>
        <v>988.3</v>
      </c>
      <c r="I1239" s="915">
        <f>SUBTOTAL(9,I1240:I1245)</f>
        <v>0</v>
      </c>
      <c r="J1239" s="933"/>
      <c r="K1239" s="917"/>
      <c r="L1239" s="917"/>
      <c r="M1239" s="907">
        <f>SUBTOTAL(9,M1240:M1255)</f>
        <v>460152000</v>
      </c>
      <c r="N1239" s="907">
        <f>SUBTOTAL(9,N1240:N1255)</f>
        <v>0</v>
      </c>
      <c r="O1239" s="914"/>
      <c r="P1239" s="1044">
        <f>SUBTOTAL(9,P1240:P1255)</f>
        <v>99</v>
      </c>
      <c r="Q1239" s="907"/>
      <c r="R1239" s="907">
        <f>SUBTOTAL(9,R1240:R1255)</f>
        <v>23932000</v>
      </c>
      <c r="S1239" s="918"/>
      <c r="T1239" s="933"/>
      <c r="U1239" s="1040">
        <f>SUBTOTAL(9,U1240:U1255)</f>
        <v>0</v>
      </c>
      <c r="V1239" s="943"/>
      <c r="W1239" s="907"/>
      <c r="X1239" s="907">
        <f>SUBTOTAL(9,X1240:X1255)</f>
        <v>0</v>
      </c>
      <c r="Y1239" s="1016"/>
      <c r="Z1239" s="1016"/>
      <c r="AA1239" s="1016"/>
      <c r="AB1239" s="1026"/>
      <c r="AC1239" s="1016"/>
      <c r="AD1239" s="1016"/>
      <c r="AE1239" s="985"/>
      <c r="AF1239" s="935">
        <f>SUBTOTAL(9,AF1240:AF1255)</f>
        <v>0</v>
      </c>
      <c r="AG1239" s="921"/>
      <c r="AH1239" s="921">
        <f>SUBTOTAL(9,AH1240:AH1255)</f>
        <v>0</v>
      </c>
      <c r="AI1239" s="907">
        <f t="shared" si="271"/>
        <v>484084000</v>
      </c>
      <c r="AJ1239" s="910"/>
      <c r="AK1239" s="914"/>
    </row>
    <row r="1240" spans="1:37" s="385" customFormat="1" ht="135" outlineLevel="2" x14ac:dyDescent="0.3">
      <c r="A1240" s="447">
        <f>IF(B1239&lt;&gt;0,B1239,A1238)</f>
        <v>99</v>
      </c>
      <c r="B1240" s="893"/>
      <c r="C1240" s="894" t="s">
        <v>925</v>
      </c>
      <c r="D1240" s="950">
        <v>4</v>
      </c>
      <c r="E1240" s="950">
        <v>86</v>
      </c>
      <c r="F1240" s="1032">
        <v>61</v>
      </c>
      <c r="G1240" s="894" t="s">
        <v>2870</v>
      </c>
      <c r="H1240" s="1041">
        <f>988.3-H1241</f>
        <v>988.3</v>
      </c>
      <c r="I1240" s="882" t="str">
        <f t="shared" ref="I1240" si="274">IF(N1240&gt;0,H1240,"")</f>
        <v/>
      </c>
      <c r="J1240" s="925"/>
      <c r="K1240" s="899">
        <f>IF(G1240&lt;&gt;0,VLOOKUP(G1240,'gia dat'!$A$1:$F$144,5,0)," ")</f>
        <v>465600</v>
      </c>
      <c r="L1240" s="899">
        <f>IF(G1240&lt;&gt;0,VLOOKUP(G1240,'gia dat'!$A$1:$F$144,6,0)," ")</f>
        <v>0</v>
      </c>
      <c r="M1240" s="900">
        <f t="shared" si="261"/>
        <v>460152000</v>
      </c>
      <c r="N1240" s="900">
        <f t="shared" si="262"/>
        <v>0</v>
      </c>
      <c r="O1240" s="922" t="s">
        <v>400</v>
      </c>
      <c r="P1240" s="1046">
        <v>12</v>
      </c>
      <c r="Q1240" s="900">
        <f>IF(O1240&lt;&gt;0,VLOOKUP(O1240,'Cây trong'!$A$2:$C$246,3,0)," ")</f>
        <v>228000</v>
      </c>
      <c r="R1240" s="900">
        <f t="shared" si="265"/>
        <v>2736000</v>
      </c>
      <c r="S1240" s="902"/>
      <c r="T1240" s="925"/>
      <c r="U1240" s="1042"/>
      <c r="V1240" s="929"/>
      <c r="W1240" s="900" t="str">
        <f>IF(S1240&lt;&gt;0,VLOOKUP(S1240,VKT!$A$2:$G$415,7,0),"")</f>
        <v/>
      </c>
      <c r="X1240" s="900" t="str">
        <f t="shared" si="258"/>
        <v xml:space="preserve"> </v>
      </c>
      <c r="Y1240" s="1016"/>
      <c r="Z1240" s="1016"/>
      <c r="AA1240" s="1016"/>
      <c r="AB1240" s="1026"/>
      <c r="AC1240" s="1016"/>
      <c r="AD1240" s="1016"/>
      <c r="AE1240" s="1016"/>
      <c r="AF1240" s="926"/>
      <c r="AG1240" s="906" t="str">
        <f>IF(AE1240&lt;&gt;0,VLOOKUP(AE1240,ODDS!$A$2:$C$13,3,0),"")</f>
        <v/>
      </c>
      <c r="AH1240" s="906"/>
      <c r="AI1240" s="907" t="str">
        <f t="shared" si="271"/>
        <v xml:space="preserve"> </v>
      </c>
      <c r="AJ1240" s="894" t="s">
        <v>924</v>
      </c>
      <c r="AK1240" s="922" t="s">
        <v>2771</v>
      </c>
    </row>
    <row r="1241" spans="1:37" s="385" customFormat="1" ht="112.5" outlineLevel="2" x14ac:dyDescent="0.3">
      <c r="A1241" s="447">
        <f t="shared" ref="A1241:A1255" si="275">IF(B1240&lt;&gt;0,B1240,A1240)</f>
        <v>99</v>
      </c>
      <c r="B1241" s="893"/>
      <c r="C1241" s="942" t="s">
        <v>928</v>
      </c>
      <c r="D1241" s="950"/>
      <c r="E1241" s="950"/>
      <c r="F1241" s="1032"/>
      <c r="G1241" s="894"/>
      <c r="H1241" s="1041"/>
      <c r="I1241" s="882"/>
      <c r="J1241" s="925"/>
      <c r="K1241" s="899" t="str">
        <f>IF(G1241&lt;&gt;0,VLOOKUP(G1241,'gia dat'!$A$1:$F$144,5,0)," ")</f>
        <v xml:space="preserve"> </v>
      </c>
      <c r="L1241" s="899" t="str">
        <f>IF(G1241&lt;&gt;0,VLOOKUP(G1241,'gia dat'!$A$1:$F$144,6,0)," ")</f>
        <v xml:space="preserve"> </v>
      </c>
      <c r="M1241" s="900" t="str">
        <f t="shared" si="261"/>
        <v xml:space="preserve"> </v>
      </c>
      <c r="N1241" s="900" t="str">
        <f t="shared" si="262"/>
        <v xml:space="preserve"> </v>
      </c>
      <c r="O1241" s="922" t="s">
        <v>401</v>
      </c>
      <c r="P1241" s="1046">
        <v>10</v>
      </c>
      <c r="Q1241" s="900">
        <f>IF(O1241&lt;&gt;0,VLOOKUP(O1241,'Cây trong'!$A$2:$C$246,3,0)," ")</f>
        <v>80000</v>
      </c>
      <c r="R1241" s="900">
        <f t="shared" si="265"/>
        <v>800000</v>
      </c>
      <c r="S1241" s="902"/>
      <c r="T1241" s="925"/>
      <c r="U1241" s="1042"/>
      <c r="V1241" s="929"/>
      <c r="W1241" s="900" t="str">
        <f>IF(S1241&lt;&gt;0,VLOOKUP(S1241,VKT!$A$2:$G$415,7,0),"")</f>
        <v/>
      </c>
      <c r="X1241" s="900" t="str">
        <f t="shared" si="258"/>
        <v xml:space="preserve"> </v>
      </c>
      <c r="Y1241" s="1016"/>
      <c r="Z1241" s="1016"/>
      <c r="AA1241" s="1016"/>
      <c r="AB1241" s="1026"/>
      <c r="AC1241" s="1016"/>
      <c r="AD1241" s="1016"/>
      <c r="AE1241" s="1016"/>
      <c r="AF1241" s="926"/>
      <c r="AG1241" s="906" t="str">
        <f>IF(AE1241&lt;&gt;0,VLOOKUP(AE1241,ODDS!$A$2:$C$13,3,0),"")</f>
        <v/>
      </c>
      <c r="AH1241" s="906" t="str">
        <f t="shared" si="266"/>
        <v xml:space="preserve"> </v>
      </c>
      <c r="AI1241" s="907" t="str">
        <f t="shared" si="271"/>
        <v xml:space="preserve"> </v>
      </c>
      <c r="AJ1241" s="894" t="s">
        <v>2929</v>
      </c>
      <c r="AK1241" s="894" t="s">
        <v>2449</v>
      </c>
    </row>
    <row r="1242" spans="1:37" s="385" customFormat="1" ht="45" outlineLevel="2" x14ac:dyDescent="0.35">
      <c r="A1242" s="447">
        <f t="shared" si="275"/>
        <v>99</v>
      </c>
      <c r="B1242" s="893"/>
      <c r="C1242" s="908" t="s">
        <v>931</v>
      </c>
      <c r="D1242" s="950"/>
      <c r="E1242" s="950"/>
      <c r="F1242" s="1032"/>
      <c r="G1242" s="1036"/>
      <c r="H1242" s="1033"/>
      <c r="I1242" s="882"/>
      <c r="J1242" s="925"/>
      <c r="K1242" s="899" t="str">
        <f>IF(G1242&lt;&gt;0,VLOOKUP(G1242,'gia dat'!$A$1:$F$144,5,0)," ")</f>
        <v xml:space="preserve"> </v>
      </c>
      <c r="L1242" s="899" t="str">
        <f>IF(G1242&lt;&gt;0,VLOOKUP(G1242,'gia dat'!$A$1:$F$144,6,0)," ")</f>
        <v xml:space="preserve"> </v>
      </c>
      <c r="M1242" s="900" t="str">
        <f t="shared" si="261"/>
        <v xml:space="preserve"> </v>
      </c>
      <c r="N1242" s="900" t="str">
        <f t="shared" si="262"/>
        <v xml:space="preserve"> </v>
      </c>
      <c r="O1242" s="922" t="s">
        <v>401</v>
      </c>
      <c r="P1242" s="1046">
        <v>9</v>
      </c>
      <c r="Q1242" s="900">
        <f>IF(O1242&lt;&gt;0,VLOOKUP(O1242,'Cây trong'!$A$2:$C$246,3,0)," ")</f>
        <v>80000</v>
      </c>
      <c r="R1242" s="900">
        <f t="shared" si="265"/>
        <v>720000</v>
      </c>
      <c r="S1242" s="902"/>
      <c r="T1242" s="925"/>
      <c r="U1242" s="1042"/>
      <c r="V1242" s="929"/>
      <c r="W1242" s="900" t="str">
        <f>IF(S1242&lt;&gt;0,VLOOKUP(S1242,VKT!$A$2:$G$415,7,0),"")</f>
        <v/>
      </c>
      <c r="X1242" s="900" t="str">
        <f t="shared" si="258"/>
        <v xml:space="preserve"> </v>
      </c>
      <c r="Y1242" s="1016"/>
      <c r="Z1242" s="1016"/>
      <c r="AA1242" s="1016"/>
      <c r="AB1242" s="1026"/>
      <c r="AC1242" s="1016"/>
      <c r="AD1242" s="1016"/>
      <c r="AE1242" s="1016"/>
      <c r="AF1242" s="926"/>
      <c r="AG1242" s="906" t="str">
        <f>IF(AE1242&lt;&gt;0,VLOOKUP(AE1242,ODDS!$A$2:$C$13,3,0),"")</f>
        <v/>
      </c>
      <c r="AH1242" s="906" t="str">
        <f t="shared" si="266"/>
        <v xml:space="preserve"> </v>
      </c>
      <c r="AI1242" s="907" t="str">
        <f t="shared" si="271"/>
        <v xml:space="preserve"> </v>
      </c>
      <c r="AJ1242" s="894" t="s">
        <v>930</v>
      </c>
      <c r="AK1242" s="996"/>
    </row>
    <row r="1243" spans="1:37" s="385" customFormat="1" ht="157.5" outlineLevel="2" x14ac:dyDescent="0.3">
      <c r="A1243" s="447">
        <f t="shared" si="275"/>
        <v>99</v>
      </c>
      <c r="B1243" s="893"/>
      <c r="C1243" s="908" t="s">
        <v>1573</v>
      </c>
      <c r="D1243" s="1035"/>
      <c r="E1243" s="950"/>
      <c r="F1243" s="1032"/>
      <c r="G1243" s="894"/>
      <c r="H1243" s="1041"/>
      <c r="I1243" s="882"/>
      <c r="J1243" s="1042"/>
      <c r="K1243" s="899" t="str">
        <f>IF(G1243&lt;&gt;0,VLOOKUP(G1243,'gia dat'!$A$1:$F$144,5,0)," ")</f>
        <v xml:space="preserve"> </v>
      </c>
      <c r="L1243" s="899" t="str">
        <f>IF(G1243&lt;&gt;0,VLOOKUP(G1243,'gia dat'!$A$1:$F$144,6,0)," ")</f>
        <v xml:space="preserve"> </v>
      </c>
      <c r="M1243" s="900" t="str">
        <f t="shared" si="261"/>
        <v xml:space="preserve"> </v>
      </c>
      <c r="N1243" s="900" t="str">
        <f t="shared" si="262"/>
        <v xml:space="preserve"> </v>
      </c>
      <c r="O1243" s="894" t="s">
        <v>401</v>
      </c>
      <c r="P1243" s="1046">
        <v>10</v>
      </c>
      <c r="Q1243" s="900">
        <f>IF(O1243&lt;&gt;0,VLOOKUP(O1243,'Cây trong'!$A$2:$C$246,3,0)," ")</f>
        <v>80000</v>
      </c>
      <c r="R1243" s="900">
        <f t="shared" si="265"/>
        <v>800000</v>
      </c>
      <c r="S1243" s="922"/>
      <c r="T1243" s="944"/>
      <c r="U1243" s="1042"/>
      <c r="V1243" s="929"/>
      <c r="W1243" s="900" t="str">
        <f>IF(S1243&lt;&gt;0,VLOOKUP(S1243,VKT!$A$2:$G$415,7,0),"")</f>
        <v/>
      </c>
      <c r="X1243" s="900" t="str">
        <f t="shared" si="258"/>
        <v xml:space="preserve"> </v>
      </c>
      <c r="Y1243" s="1016"/>
      <c r="Z1243" s="1016"/>
      <c r="AA1243" s="1016"/>
      <c r="AB1243" s="1026"/>
      <c r="AC1243" s="1016"/>
      <c r="AD1243" s="1016"/>
      <c r="AE1243" s="1016"/>
      <c r="AF1243" s="926"/>
      <c r="AG1243" s="906" t="str">
        <f>IF(AE1243&lt;&gt;0,VLOOKUP(AE1243,ODDS!$A$2:$C$13,3,0),"")</f>
        <v/>
      </c>
      <c r="AH1243" s="906" t="str">
        <f t="shared" si="266"/>
        <v xml:space="preserve"> </v>
      </c>
      <c r="AI1243" s="907" t="str">
        <f t="shared" si="271"/>
        <v xml:space="preserve"> </v>
      </c>
      <c r="AJ1243" s="894" t="s">
        <v>2778</v>
      </c>
      <c r="AK1243" s="902"/>
    </row>
    <row r="1244" spans="1:37" s="385" customFormat="1" ht="45" outlineLevel="2" x14ac:dyDescent="0.35">
      <c r="A1244" s="447">
        <f t="shared" si="275"/>
        <v>99</v>
      </c>
      <c r="B1244" s="893"/>
      <c r="C1244" s="908"/>
      <c r="D1244" s="1035"/>
      <c r="E1244" s="950"/>
      <c r="F1244" s="1032"/>
      <c r="G1244" s="894"/>
      <c r="H1244" s="1041"/>
      <c r="I1244" s="882"/>
      <c r="J1244" s="1042"/>
      <c r="K1244" s="899" t="str">
        <f>IF(G1244&lt;&gt;0,VLOOKUP(G1244,'gia dat'!$A$1:$F$144,5,0)," ")</f>
        <v xml:space="preserve"> </v>
      </c>
      <c r="L1244" s="899" t="str">
        <f>IF(G1244&lt;&gt;0,VLOOKUP(G1244,'gia dat'!$A$1:$F$144,6,0)," ")</f>
        <v xml:space="preserve"> </v>
      </c>
      <c r="M1244" s="900" t="str">
        <f t="shared" si="261"/>
        <v xml:space="preserve"> </v>
      </c>
      <c r="N1244" s="900" t="str">
        <f t="shared" si="262"/>
        <v xml:space="preserve"> </v>
      </c>
      <c r="O1244" s="894" t="s">
        <v>932</v>
      </c>
      <c r="P1244" s="1046">
        <v>1</v>
      </c>
      <c r="Q1244" s="900">
        <f>IF(O1244&lt;&gt;0,VLOOKUP(O1244,'Cây trong'!$A$2:$C$246,3,0)," ")</f>
        <v>84000</v>
      </c>
      <c r="R1244" s="900">
        <f t="shared" si="265"/>
        <v>84000</v>
      </c>
      <c r="S1244" s="922"/>
      <c r="T1244" s="944"/>
      <c r="U1244" s="1042"/>
      <c r="V1244" s="929"/>
      <c r="W1244" s="900" t="str">
        <f>IF(S1244&lt;&gt;0,VLOOKUP(S1244,VKT!$A$2:$G$415,7,0),"")</f>
        <v/>
      </c>
      <c r="X1244" s="900" t="str">
        <f t="shared" si="258"/>
        <v xml:space="preserve"> </v>
      </c>
      <c r="Y1244" s="1016"/>
      <c r="Z1244" s="1016"/>
      <c r="AA1244" s="1016"/>
      <c r="AB1244" s="1026"/>
      <c r="AC1244" s="1016"/>
      <c r="AD1244" s="1016"/>
      <c r="AE1244" s="1016"/>
      <c r="AF1244" s="926"/>
      <c r="AG1244" s="906" t="str">
        <f>IF(AE1244&lt;&gt;0,VLOOKUP(AE1244,ODDS!$A$2:$C$13,3,0),"")</f>
        <v/>
      </c>
      <c r="AH1244" s="906" t="str">
        <f t="shared" si="266"/>
        <v xml:space="preserve"> </v>
      </c>
      <c r="AI1244" s="907" t="str">
        <f t="shared" si="271"/>
        <v xml:space="preserve"> </v>
      </c>
      <c r="AJ1244" s="1036"/>
      <c r="AK1244" s="929"/>
    </row>
    <row r="1245" spans="1:37" s="385" customFormat="1" ht="45" outlineLevel="2" x14ac:dyDescent="0.35">
      <c r="A1245" s="447">
        <f t="shared" si="275"/>
        <v>99</v>
      </c>
      <c r="B1245" s="893"/>
      <c r="C1245" s="894"/>
      <c r="D1245" s="950"/>
      <c r="E1245" s="947"/>
      <c r="F1245" s="947"/>
      <c r="G1245" s="922"/>
      <c r="H1245" s="1041"/>
      <c r="I1245" s="882"/>
      <c r="J1245" s="1042"/>
      <c r="K1245" s="899" t="str">
        <f>IF(G1245&lt;&gt;0,VLOOKUP(G1245,'gia dat'!$A$1:$F$144,5,0)," ")</f>
        <v xml:space="preserve"> </v>
      </c>
      <c r="L1245" s="899" t="str">
        <f>IF(G1245&lt;&gt;0,VLOOKUP(G1245,'gia dat'!$A$1:$F$144,6,0)," ")</f>
        <v xml:space="preserve"> </v>
      </c>
      <c r="M1245" s="900" t="str">
        <f t="shared" si="261"/>
        <v xml:space="preserve"> </v>
      </c>
      <c r="N1245" s="900" t="str">
        <f t="shared" si="262"/>
        <v xml:space="preserve"> </v>
      </c>
      <c r="O1245" s="894" t="s">
        <v>350</v>
      </c>
      <c r="P1245" s="1046">
        <v>6</v>
      </c>
      <c r="Q1245" s="900">
        <f>IF(O1245&lt;&gt;0,VLOOKUP(O1245,'Cây trong'!$A$2:$C$246,3,0)," ")</f>
        <v>72000</v>
      </c>
      <c r="R1245" s="900">
        <f t="shared" si="265"/>
        <v>432000</v>
      </c>
      <c r="S1245" s="922"/>
      <c r="T1245" s="944"/>
      <c r="U1245" s="1042"/>
      <c r="V1245" s="929"/>
      <c r="W1245" s="900" t="str">
        <f>IF(S1245&lt;&gt;0,VLOOKUP(S1245,VKT!$A$2:$G$415,7,0),"")</f>
        <v/>
      </c>
      <c r="X1245" s="900" t="str">
        <f t="shared" si="258"/>
        <v xml:space="preserve"> </v>
      </c>
      <c r="Y1245" s="1016"/>
      <c r="Z1245" s="1016"/>
      <c r="AA1245" s="1016"/>
      <c r="AB1245" s="1026"/>
      <c r="AC1245" s="1016"/>
      <c r="AD1245" s="1016"/>
      <c r="AE1245" s="1016"/>
      <c r="AF1245" s="926"/>
      <c r="AG1245" s="906" t="str">
        <f>IF(AE1245&lt;&gt;0,VLOOKUP(AE1245,ODDS!$A$2:$C$13,3,0),"")</f>
        <v/>
      </c>
      <c r="AH1245" s="906" t="str">
        <f t="shared" si="266"/>
        <v xml:space="preserve"> </v>
      </c>
      <c r="AI1245" s="907" t="str">
        <f t="shared" si="271"/>
        <v xml:space="preserve"> </v>
      </c>
      <c r="AJ1245" s="1036"/>
      <c r="AK1245" s="929"/>
    </row>
    <row r="1246" spans="1:37" s="385" customFormat="1" ht="45" outlineLevel="2" x14ac:dyDescent="0.3">
      <c r="A1246" s="447">
        <f t="shared" si="275"/>
        <v>99</v>
      </c>
      <c r="B1246" s="893"/>
      <c r="C1246" s="894"/>
      <c r="D1246" s="950"/>
      <c r="E1246" s="950"/>
      <c r="F1246" s="1032"/>
      <c r="G1246" s="894"/>
      <c r="H1246" s="1041"/>
      <c r="I1246" s="882"/>
      <c r="J1246" s="1042"/>
      <c r="K1246" s="899" t="str">
        <f>IF(G1246&lt;&gt;0,VLOOKUP(G1246,'gia dat'!$A$1:$F$144,5,0)," ")</f>
        <v xml:space="preserve"> </v>
      </c>
      <c r="L1246" s="899" t="str">
        <f>IF(G1246&lt;&gt;0,VLOOKUP(G1246,'gia dat'!$A$1:$F$144,6,0)," ")</f>
        <v xml:space="preserve"> </v>
      </c>
      <c r="M1246" s="900" t="str">
        <f t="shared" si="261"/>
        <v xml:space="preserve"> </v>
      </c>
      <c r="N1246" s="900" t="str">
        <f t="shared" si="262"/>
        <v xml:space="preserve"> </v>
      </c>
      <c r="O1246" s="922" t="s">
        <v>933</v>
      </c>
      <c r="P1246" s="1046">
        <v>15</v>
      </c>
      <c r="Q1246" s="900">
        <f>IF(O1246&lt;&gt;0,VLOOKUP(O1246,'Cây trong'!$A$2:$C$246,3,0)," ")</f>
        <v>360000</v>
      </c>
      <c r="R1246" s="900">
        <f t="shared" si="265"/>
        <v>5400000</v>
      </c>
      <c r="S1246" s="922"/>
      <c r="T1246" s="944"/>
      <c r="U1246" s="1042"/>
      <c r="V1246" s="929"/>
      <c r="W1246" s="900" t="str">
        <f>IF(S1246&lt;&gt;0,VLOOKUP(S1246,VKT!$A$2:$G$415,7,0),"")</f>
        <v/>
      </c>
      <c r="X1246" s="900" t="str">
        <f t="shared" si="258"/>
        <v xml:space="preserve"> </v>
      </c>
      <c r="Y1246" s="1016"/>
      <c r="Z1246" s="1016"/>
      <c r="AA1246" s="1016"/>
      <c r="AB1246" s="1026"/>
      <c r="AC1246" s="1016"/>
      <c r="AD1246" s="1016"/>
      <c r="AE1246" s="1016"/>
      <c r="AF1246" s="926"/>
      <c r="AG1246" s="906" t="str">
        <f>IF(AE1246&lt;&gt;0,VLOOKUP(AE1246,ODDS!$A$2:$C$13,3,0),"")</f>
        <v/>
      </c>
      <c r="AH1246" s="906" t="str">
        <f t="shared" si="266"/>
        <v xml:space="preserve"> </v>
      </c>
      <c r="AI1246" s="907" t="str">
        <f t="shared" si="271"/>
        <v xml:space="preserve"> </v>
      </c>
      <c r="AJ1246" s="929"/>
      <c r="AK1246" s="929"/>
    </row>
    <row r="1247" spans="1:37" s="385" customFormat="1" ht="45" outlineLevel="2" x14ac:dyDescent="0.3">
      <c r="A1247" s="447">
        <f t="shared" si="275"/>
        <v>99</v>
      </c>
      <c r="B1247" s="893"/>
      <c r="C1247" s="894"/>
      <c r="D1247" s="950"/>
      <c r="E1247" s="950"/>
      <c r="F1247" s="1032"/>
      <c r="G1247" s="894"/>
      <c r="H1247" s="1041"/>
      <c r="I1247" s="882"/>
      <c r="J1247" s="925"/>
      <c r="K1247" s="899" t="str">
        <f>IF(G1247&lt;&gt;0,VLOOKUP(G1247,'gia dat'!$A$1:$F$144,5,0)," ")</f>
        <v xml:space="preserve"> </v>
      </c>
      <c r="L1247" s="899" t="str">
        <f>IF(G1247&lt;&gt;0,VLOOKUP(G1247,'gia dat'!$A$1:$F$144,6,0)," ")</f>
        <v xml:space="preserve"> </v>
      </c>
      <c r="M1247" s="900" t="str">
        <f t="shared" si="261"/>
        <v xml:space="preserve"> </v>
      </c>
      <c r="N1247" s="900" t="str">
        <f t="shared" si="262"/>
        <v xml:space="preserve"> </v>
      </c>
      <c r="O1247" s="922" t="s">
        <v>933</v>
      </c>
      <c r="P1247" s="1046">
        <v>11</v>
      </c>
      <c r="Q1247" s="900">
        <f>IF(O1247&lt;&gt;0,VLOOKUP(O1247,'Cây trong'!$A$2:$C$246,3,0)," ")</f>
        <v>360000</v>
      </c>
      <c r="R1247" s="900">
        <f t="shared" si="265"/>
        <v>3960000</v>
      </c>
      <c r="S1247" s="902"/>
      <c r="T1247" s="925"/>
      <c r="U1247" s="1042"/>
      <c r="V1247" s="929"/>
      <c r="W1247" s="900" t="str">
        <f>IF(S1247&lt;&gt;0,VLOOKUP(S1247,VKT!$A$2:$G$415,7,0),"")</f>
        <v/>
      </c>
      <c r="X1247" s="900" t="str">
        <f t="shared" si="258"/>
        <v xml:space="preserve"> </v>
      </c>
      <c r="Y1247" s="1016"/>
      <c r="Z1247" s="1016"/>
      <c r="AA1247" s="1016"/>
      <c r="AB1247" s="1026"/>
      <c r="AC1247" s="1016"/>
      <c r="AD1247" s="1016"/>
      <c r="AE1247" s="1016"/>
      <c r="AF1247" s="926"/>
      <c r="AG1247" s="906" t="str">
        <f>IF(AE1247&lt;&gt;0,VLOOKUP(AE1247,ODDS!$A$2:$C$13,3,0),"")</f>
        <v/>
      </c>
      <c r="AH1247" s="906" t="str">
        <f t="shared" si="266"/>
        <v xml:space="preserve"> </v>
      </c>
      <c r="AI1247" s="907" t="str">
        <f t="shared" si="271"/>
        <v xml:space="preserve"> </v>
      </c>
      <c r="AJ1247" s="929"/>
      <c r="AK1247" s="929"/>
    </row>
    <row r="1248" spans="1:37" s="385" customFormat="1" ht="45" outlineLevel="2" x14ac:dyDescent="0.3">
      <c r="A1248" s="447">
        <f t="shared" si="275"/>
        <v>99</v>
      </c>
      <c r="B1248" s="893"/>
      <c r="C1248" s="908"/>
      <c r="D1248" s="950"/>
      <c r="E1248" s="950"/>
      <c r="F1248" s="1032"/>
      <c r="G1248" s="894"/>
      <c r="H1248" s="1041"/>
      <c r="I1248" s="882"/>
      <c r="J1248" s="925"/>
      <c r="K1248" s="899" t="str">
        <f>IF(G1248&lt;&gt;0,VLOOKUP(G1248,'gia dat'!$A$1:$F$144,5,0)," ")</f>
        <v xml:space="preserve"> </v>
      </c>
      <c r="L1248" s="899" t="str">
        <f>IF(G1248&lt;&gt;0,VLOOKUP(G1248,'gia dat'!$A$1:$F$144,6,0)," ")</f>
        <v xml:space="preserve"> </v>
      </c>
      <c r="M1248" s="900" t="str">
        <f t="shared" si="261"/>
        <v xml:space="preserve"> </v>
      </c>
      <c r="N1248" s="900" t="str">
        <f t="shared" si="262"/>
        <v xml:space="preserve"> </v>
      </c>
      <c r="O1248" s="922" t="s">
        <v>933</v>
      </c>
      <c r="P1248" s="1046">
        <v>10</v>
      </c>
      <c r="Q1248" s="900">
        <f>IF(O1248&lt;&gt;0,VLOOKUP(O1248,'Cây trong'!$A$2:$C$246,3,0)," ")</f>
        <v>360000</v>
      </c>
      <c r="R1248" s="900">
        <f t="shared" si="265"/>
        <v>3600000</v>
      </c>
      <c r="S1248" s="902"/>
      <c r="T1248" s="925"/>
      <c r="U1248" s="1042"/>
      <c r="V1248" s="929"/>
      <c r="W1248" s="900" t="str">
        <f>IF(S1248&lt;&gt;0,VLOOKUP(S1248,VKT!$A$2:$G$415,7,0),"")</f>
        <v/>
      </c>
      <c r="X1248" s="900" t="str">
        <f t="shared" si="258"/>
        <v xml:space="preserve"> </v>
      </c>
      <c r="Y1248" s="1016"/>
      <c r="Z1248" s="1016"/>
      <c r="AA1248" s="1016"/>
      <c r="AB1248" s="1026"/>
      <c r="AC1248" s="1016"/>
      <c r="AD1248" s="1016"/>
      <c r="AE1248" s="1016"/>
      <c r="AF1248" s="926"/>
      <c r="AG1248" s="906" t="str">
        <f>IF(AE1248&lt;&gt;0,VLOOKUP(AE1248,ODDS!$A$2:$C$13,3,0),"")</f>
        <v/>
      </c>
      <c r="AH1248" s="906" t="str">
        <f t="shared" si="266"/>
        <v xml:space="preserve"> </v>
      </c>
      <c r="AI1248" s="907" t="str">
        <f t="shared" si="271"/>
        <v xml:space="preserve"> </v>
      </c>
      <c r="AJ1248" s="929"/>
      <c r="AK1248" s="929"/>
    </row>
    <row r="1249" spans="1:37" s="385" customFormat="1" ht="45" outlineLevel="2" x14ac:dyDescent="0.3">
      <c r="A1249" s="447">
        <f t="shared" si="275"/>
        <v>99</v>
      </c>
      <c r="B1249" s="893"/>
      <c r="C1249" s="908"/>
      <c r="D1249" s="1035"/>
      <c r="E1249" s="950"/>
      <c r="F1249" s="1032"/>
      <c r="G1249" s="894"/>
      <c r="H1249" s="1041"/>
      <c r="I1249" s="882"/>
      <c r="J1249" s="1042"/>
      <c r="K1249" s="899" t="str">
        <f>IF(G1249&lt;&gt;0,VLOOKUP(G1249,'gia dat'!$A$1:$F$144,5,0)," ")</f>
        <v xml:space="preserve"> </v>
      </c>
      <c r="L1249" s="899" t="str">
        <f>IF(G1249&lt;&gt;0,VLOOKUP(G1249,'gia dat'!$A$1:$F$144,6,0)," ")</f>
        <v xml:space="preserve"> </v>
      </c>
      <c r="M1249" s="900" t="str">
        <f t="shared" si="261"/>
        <v xml:space="preserve"> </v>
      </c>
      <c r="N1249" s="900" t="str">
        <f t="shared" si="262"/>
        <v xml:space="preserve"> </v>
      </c>
      <c r="O1249" s="922" t="s">
        <v>933</v>
      </c>
      <c r="P1249" s="1046">
        <v>15</v>
      </c>
      <c r="Q1249" s="900">
        <f>IF(O1249&lt;&gt;0,VLOOKUP(O1249,'Cây trong'!$A$2:$C$246,3,0)," ")</f>
        <v>360000</v>
      </c>
      <c r="R1249" s="900">
        <f t="shared" si="265"/>
        <v>5400000</v>
      </c>
      <c r="S1249" s="922"/>
      <c r="T1249" s="944"/>
      <c r="U1249" s="1042"/>
      <c r="V1249" s="929"/>
      <c r="W1249" s="900" t="str">
        <f>IF(S1249&lt;&gt;0,VLOOKUP(S1249,VKT!$A$2:$G$415,7,0),"")</f>
        <v/>
      </c>
      <c r="X1249" s="900" t="str">
        <f t="shared" ref="X1249:X1318" si="276">IF(S1249&lt;&gt;0,ROUND(U1249*W1249,-3)," ")</f>
        <v xml:space="preserve"> </v>
      </c>
      <c r="Y1249" s="1016"/>
      <c r="Z1249" s="1016"/>
      <c r="AA1249" s="1016"/>
      <c r="AB1249" s="1026"/>
      <c r="AC1249" s="1016"/>
      <c r="AD1249" s="1016"/>
      <c r="AE1249" s="1016"/>
      <c r="AF1249" s="926"/>
      <c r="AG1249" s="906" t="str">
        <f>IF(AE1249&lt;&gt;0,VLOOKUP(AE1249,ODDS!$A$2:$C$13,3,0),"")</f>
        <v/>
      </c>
      <c r="AH1249" s="906" t="str">
        <f t="shared" si="266"/>
        <v xml:space="preserve"> </v>
      </c>
      <c r="AI1249" s="907" t="str">
        <f t="shared" si="271"/>
        <v xml:space="preserve"> </v>
      </c>
      <c r="AJ1249" s="929"/>
      <c r="AK1249" s="929"/>
    </row>
    <row r="1250" spans="1:37" s="385" customFormat="1" ht="22.5" outlineLevel="2" x14ac:dyDescent="0.3">
      <c r="A1250" s="447">
        <f t="shared" si="275"/>
        <v>99</v>
      </c>
      <c r="B1250" s="893"/>
      <c r="C1250" s="894"/>
      <c r="D1250" s="1035"/>
      <c r="E1250" s="950"/>
      <c r="F1250" s="1032"/>
      <c r="G1250" s="894"/>
      <c r="H1250" s="1041"/>
      <c r="I1250" s="882"/>
      <c r="J1250" s="1042"/>
      <c r="K1250" s="899" t="str">
        <f>IF(G1250&lt;&gt;0,VLOOKUP(G1250,'gia dat'!$A$1:$F$144,5,0)," ")</f>
        <v xml:space="preserve"> </v>
      </c>
      <c r="L1250" s="899" t="str">
        <f>IF(G1250&lt;&gt;0,VLOOKUP(G1250,'gia dat'!$A$1:$F$144,6,0)," ")</f>
        <v xml:space="preserve"> </v>
      </c>
      <c r="M1250" s="900" t="str">
        <f t="shared" si="261"/>
        <v xml:space="preserve"> </v>
      </c>
      <c r="N1250" s="900" t="str">
        <f t="shared" si="262"/>
        <v xml:space="preserve"> </v>
      </c>
      <c r="O1250" s="922"/>
      <c r="P1250" s="1046"/>
      <c r="Q1250" s="900" t="str">
        <f>IF(O1250&lt;&gt;0,VLOOKUP(O1250,'Cây trong'!$A$2:$C$246,3,0)," ")</f>
        <v xml:space="preserve"> </v>
      </c>
      <c r="R1250" s="900" t="str">
        <f t="shared" si="265"/>
        <v xml:space="preserve"> </v>
      </c>
      <c r="S1250" s="922"/>
      <c r="T1250" s="944"/>
      <c r="U1250" s="1042"/>
      <c r="V1250" s="929"/>
      <c r="W1250" s="900" t="str">
        <f>IF(S1250&lt;&gt;0,VLOOKUP(S1250,VKT!$A$2:$G$415,7,0),"")</f>
        <v/>
      </c>
      <c r="X1250" s="900" t="str">
        <f t="shared" si="276"/>
        <v xml:space="preserve"> </v>
      </c>
      <c r="Y1250" s="1016"/>
      <c r="Z1250" s="1016"/>
      <c r="AA1250" s="1016"/>
      <c r="AB1250" s="1026"/>
      <c r="AC1250" s="1016"/>
      <c r="AD1250" s="1016"/>
      <c r="AE1250" s="1016"/>
      <c r="AF1250" s="926"/>
      <c r="AG1250" s="906" t="str">
        <f>IF(AE1250&lt;&gt;0,VLOOKUP(AE1250,ODDS!$A$2:$C$13,3,0),"")</f>
        <v/>
      </c>
      <c r="AH1250" s="906" t="str">
        <f t="shared" si="266"/>
        <v xml:space="preserve"> </v>
      </c>
      <c r="AI1250" s="907" t="str">
        <f t="shared" si="271"/>
        <v xml:space="preserve"> </v>
      </c>
      <c r="AJ1250" s="929"/>
      <c r="AK1250" s="929"/>
    </row>
    <row r="1251" spans="1:37" s="385" customFormat="1" ht="22.5" outlineLevel="2" x14ac:dyDescent="0.3">
      <c r="A1251" s="447">
        <f t="shared" si="275"/>
        <v>99</v>
      </c>
      <c r="B1251" s="893"/>
      <c r="C1251" s="894"/>
      <c r="D1251" s="950"/>
      <c r="E1251" s="950"/>
      <c r="F1251" s="1032"/>
      <c r="G1251" s="894"/>
      <c r="H1251" s="1041"/>
      <c r="I1251" s="882"/>
      <c r="J1251" s="925"/>
      <c r="K1251" s="899" t="str">
        <f>IF(G1251&lt;&gt;0,VLOOKUP(G1251,'gia dat'!$A$1:$F$144,5,0)," ")</f>
        <v xml:space="preserve"> </v>
      </c>
      <c r="L1251" s="899" t="str">
        <f>IF(G1251&lt;&gt;0,VLOOKUP(G1251,'gia dat'!$A$1:$F$144,6,0)," ")</f>
        <v xml:space="preserve"> </v>
      </c>
      <c r="M1251" s="900" t="str">
        <f t="shared" si="261"/>
        <v xml:space="preserve"> </v>
      </c>
      <c r="N1251" s="900" t="str">
        <f t="shared" si="262"/>
        <v xml:space="preserve"> </v>
      </c>
      <c r="O1251" s="894"/>
      <c r="P1251" s="1046"/>
      <c r="Q1251" s="900" t="str">
        <f>IF(O1251&lt;&gt;0,VLOOKUP(O1251,'Cây trong'!$A$2:$C$246,3,0)," ")</f>
        <v xml:space="preserve"> </v>
      </c>
      <c r="R1251" s="900" t="str">
        <f t="shared" si="265"/>
        <v xml:space="preserve"> </v>
      </c>
      <c r="S1251" s="902"/>
      <c r="T1251" s="925"/>
      <c r="U1251" s="1042"/>
      <c r="V1251" s="929"/>
      <c r="W1251" s="900" t="str">
        <f>IF(S1251&lt;&gt;0,VLOOKUP(S1251,VKT!$A$2:$G$415,7,0),"")</f>
        <v/>
      </c>
      <c r="X1251" s="900" t="str">
        <f t="shared" si="276"/>
        <v xml:space="preserve"> </v>
      </c>
      <c r="Y1251" s="1016"/>
      <c r="Z1251" s="1016"/>
      <c r="AA1251" s="1016"/>
      <c r="AB1251" s="1026"/>
      <c r="AC1251" s="1016"/>
      <c r="AD1251" s="1016"/>
      <c r="AE1251" s="1016"/>
      <c r="AF1251" s="926"/>
      <c r="AG1251" s="906" t="str">
        <f>IF(AE1251&lt;&gt;0,VLOOKUP(AE1251,ODDS!$A$2:$C$13,3,0),"")</f>
        <v/>
      </c>
      <c r="AH1251" s="906" t="str">
        <f t="shared" si="266"/>
        <v xml:space="preserve"> </v>
      </c>
      <c r="AI1251" s="907" t="str">
        <f t="shared" si="271"/>
        <v xml:space="preserve"> </v>
      </c>
      <c r="AJ1251" s="929"/>
      <c r="AK1251" s="929"/>
    </row>
    <row r="1252" spans="1:37" s="385" customFormat="1" ht="22.5" outlineLevel="2" x14ac:dyDescent="0.3">
      <c r="A1252" s="447">
        <f t="shared" si="275"/>
        <v>99</v>
      </c>
      <c r="B1252" s="893"/>
      <c r="C1252" s="894"/>
      <c r="D1252" s="950"/>
      <c r="E1252" s="950"/>
      <c r="F1252" s="1032"/>
      <c r="G1252" s="894"/>
      <c r="H1252" s="1041"/>
      <c r="I1252" s="882"/>
      <c r="J1252" s="925"/>
      <c r="K1252" s="899" t="str">
        <f>IF(G1252&lt;&gt;0,VLOOKUP(G1252,'gia dat'!$A$1:$F$144,5,0)," ")</f>
        <v xml:space="preserve"> </v>
      </c>
      <c r="L1252" s="899" t="str">
        <f>IF(G1252&lt;&gt;0,VLOOKUP(G1252,'gia dat'!$A$1:$F$144,6,0)," ")</f>
        <v xml:space="preserve"> </v>
      </c>
      <c r="M1252" s="900" t="str">
        <f t="shared" si="261"/>
        <v xml:space="preserve"> </v>
      </c>
      <c r="N1252" s="900" t="str">
        <f t="shared" si="262"/>
        <v xml:space="preserve"> </v>
      </c>
      <c r="O1252" s="894"/>
      <c r="P1252" s="1046"/>
      <c r="Q1252" s="900"/>
      <c r="R1252" s="900"/>
      <c r="S1252" s="902"/>
      <c r="T1252" s="925"/>
      <c r="U1252" s="1042"/>
      <c r="V1252" s="929"/>
      <c r="W1252" s="900" t="str">
        <f>IF(S1252&lt;&gt;0,VLOOKUP(S1252,VKT!$A$2:$G$415,7,0),"")</f>
        <v/>
      </c>
      <c r="X1252" s="900" t="str">
        <f t="shared" si="276"/>
        <v xml:space="preserve"> </v>
      </c>
      <c r="Y1252" s="1016"/>
      <c r="Z1252" s="1016"/>
      <c r="AA1252" s="1016"/>
      <c r="AB1252" s="1026"/>
      <c r="AC1252" s="1016"/>
      <c r="AD1252" s="1016"/>
      <c r="AE1252" s="1016"/>
      <c r="AF1252" s="926"/>
      <c r="AG1252" s="906" t="str">
        <f>IF(AE1252&lt;&gt;0,VLOOKUP(AE1252,ODDS!$A$2:$C$13,3,0),"")</f>
        <v/>
      </c>
      <c r="AH1252" s="906"/>
      <c r="AI1252" s="907" t="str">
        <f t="shared" si="271"/>
        <v xml:space="preserve"> </v>
      </c>
      <c r="AJ1252" s="929"/>
      <c r="AK1252" s="929"/>
    </row>
    <row r="1253" spans="1:37" s="385" customFormat="1" ht="22.5" outlineLevel="2" x14ac:dyDescent="0.3">
      <c r="A1253" s="447">
        <f t="shared" si="275"/>
        <v>99</v>
      </c>
      <c r="B1253" s="893"/>
      <c r="C1253" s="894"/>
      <c r="D1253" s="950"/>
      <c r="E1253" s="950"/>
      <c r="F1253" s="1032"/>
      <c r="G1253" s="894"/>
      <c r="H1253" s="1041"/>
      <c r="I1253" s="882"/>
      <c r="J1253" s="925"/>
      <c r="K1253" s="899" t="str">
        <f>IF(G1253&lt;&gt;0,VLOOKUP(G1253,'gia dat'!$A$1:$F$144,5,0)," ")</f>
        <v xml:space="preserve"> </v>
      </c>
      <c r="L1253" s="899" t="str">
        <f>IF(G1253&lt;&gt;0,VLOOKUP(G1253,'gia dat'!$A$1:$F$144,6,0)," ")</f>
        <v xml:space="preserve"> </v>
      </c>
      <c r="M1253" s="900" t="str">
        <f t="shared" si="261"/>
        <v xml:space="preserve"> </v>
      </c>
      <c r="N1253" s="900" t="str">
        <f t="shared" si="262"/>
        <v xml:space="preserve"> </v>
      </c>
      <c r="O1253" s="894"/>
      <c r="P1253" s="1046"/>
      <c r="Q1253" s="900"/>
      <c r="R1253" s="900"/>
      <c r="S1253" s="902"/>
      <c r="T1253" s="925"/>
      <c r="U1253" s="1042"/>
      <c r="V1253" s="929"/>
      <c r="W1253" s="900" t="str">
        <f>IF(S1253&lt;&gt;0,VLOOKUP(S1253,VKT!$A$2:$G$415,7,0),"")</f>
        <v/>
      </c>
      <c r="X1253" s="900" t="str">
        <f t="shared" si="276"/>
        <v xml:space="preserve"> </v>
      </c>
      <c r="Y1253" s="1016"/>
      <c r="Z1253" s="1016"/>
      <c r="AA1253" s="1016"/>
      <c r="AB1253" s="1026"/>
      <c r="AC1253" s="1016"/>
      <c r="AD1253" s="1016"/>
      <c r="AE1253" s="1016"/>
      <c r="AF1253" s="926"/>
      <c r="AG1253" s="906" t="str">
        <f>IF(AE1253&lt;&gt;0,VLOOKUP(AE1253,ODDS!$A$2:$C$13,3,0),"")</f>
        <v/>
      </c>
      <c r="AH1253" s="906"/>
      <c r="AI1253" s="907" t="str">
        <f t="shared" si="271"/>
        <v xml:space="preserve"> </v>
      </c>
      <c r="AJ1253" s="929"/>
      <c r="AK1253" s="929"/>
    </row>
    <row r="1254" spans="1:37" s="385" customFormat="1" ht="22.5" outlineLevel="2" x14ac:dyDescent="0.3">
      <c r="A1254" s="447">
        <f t="shared" si="275"/>
        <v>99</v>
      </c>
      <c r="B1254" s="893"/>
      <c r="C1254" s="894"/>
      <c r="D1254" s="950"/>
      <c r="E1254" s="950"/>
      <c r="F1254" s="1032"/>
      <c r="G1254" s="894"/>
      <c r="H1254" s="1041"/>
      <c r="I1254" s="882"/>
      <c r="J1254" s="925"/>
      <c r="K1254" s="899" t="str">
        <f>IF(G1254&lt;&gt;0,VLOOKUP(G1254,'gia dat'!$A$1:$F$144,5,0)," ")</f>
        <v xml:space="preserve"> </v>
      </c>
      <c r="L1254" s="899" t="str">
        <f>IF(G1254&lt;&gt;0,VLOOKUP(G1254,'gia dat'!$A$1:$F$144,6,0)," ")</f>
        <v xml:space="preserve"> </v>
      </c>
      <c r="M1254" s="900" t="str">
        <f t="shared" si="261"/>
        <v xml:space="preserve"> </v>
      </c>
      <c r="N1254" s="900" t="str">
        <f t="shared" si="262"/>
        <v xml:space="preserve"> </v>
      </c>
      <c r="O1254" s="894"/>
      <c r="P1254" s="1046"/>
      <c r="Q1254" s="900"/>
      <c r="R1254" s="900"/>
      <c r="S1254" s="902"/>
      <c r="T1254" s="925"/>
      <c r="U1254" s="1042"/>
      <c r="V1254" s="929"/>
      <c r="W1254" s="900" t="str">
        <f>IF(S1254&lt;&gt;0,VLOOKUP(S1254,VKT!$A$2:$G$415,7,0),"")</f>
        <v/>
      </c>
      <c r="X1254" s="900" t="str">
        <f t="shared" si="276"/>
        <v xml:space="preserve"> </v>
      </c>
      <c r="Y1254" s="1016"/>
      <c r="Z1254" s="1016"/>
      <c r="AA1254" s="1016"/>
      <c r="AB1254" s="1026"/>
      <c r="AC1254" s="1016"/>
      <c r="AD1254" s="1016"/>
      <c r="AE1254" s="1016"/>
      <c r="AF1254" s="926"/>
      <c r="AG1254" s="906" t="str">
        <f>IF(AE1254&lt;&gt;0,VLOOKUP(AE1254,ODDS!$A$2:$C$13,3,0),"")</f>
        <v/>
      </c>
      <c r="AH1254" s="906"/>
      <c r="AI1254" s="907" t="str">
        <f t="shared" si="271"/>
        <v xml:space="preserve"> </v>
      </c>
      <c r="AJ1254" s="929"/>
      <c r="AK1254" s="929"/>
    </row>
    <row r="1255" spans="1:37" s="385" customFormat="1" ht="22.5" outlineLevel="2" x14ac:dyDescent="0.3">
      <c r="A1255" s="447">
        <f t="shared" si="275"/>
        <v>99</v>
      </c>
      <c r="B1255" s="912"/>
      <c r="C1255" s="910"/>
      <c r="D1255" s="950"/>
      <c r="E1255" s="950"/>
      <c r="F1255" s="1032"/>
      <c r="G1255" s="894"/>
      <c r="H1255" s="1041"/>
      <c r="I1255" s="882"/>
      <c r="J1255" s="925"/>
      <c r="K1255" s="899" t="str">
        <f>IF(G1255&lt;&gt;0,VLOOKUP(G1255,'gia dat'!$A$1:$F$144,5,0)," ")</f>
        <v xml:space="preserve"> </v>
      </c>
      <c r="L1255" s="899" t="str">
        <f>IF(G1255&lt;&gt;0,VLOOKUP(G1255,'gia dat'!$A$1:$F$144,6,0)," ")</f>
        <v xml:space="preserve"> </v>
      </c>
      <c r="M1255" s="900" t="str">
        <f t="shared" si="261"/>
        <v xml:space="preserve"> </v>
      </c>
      <c r="N1255" s="900" t="str">
        <f t="shared" si="262"/>
        <v xml:space="preserve"> </v>
      </c>
      <c r="O1255" s="894"/>
      <c r="P1255" s="1046"/>
      <c r="Q1255" s="900"/>
      <c r="R1255" s="900"/>
      <c r="S1255" s="902"/>
      <c r="T1255" s="925"/>
      <c r="U1255" s="1042"/>
      <c r="V1255" s="929"/>
      <c r="W1255" s="900" t="str">
        <f>IF(S1255&lt;&gt;0,VLOOKUP(S1255,VKT!$A$2:$G$415,7,0),"")</f>
        <v/>
      </c>
      <c r="X1255" s="900" t="str">
        <f t="shared" si="276"/>
        <v xml:space="preserve"> </v>
      </c>
      <c r="Y1255" s="1016"/>
      <c r="Z1255" s="1016"/>
      <c r="AA1255" s="1016"/>
      <c r="AB1255" s="1026"/>
      <c r="AC1255" s="1016"/>
      <c r="AD1255" s="1016"/>
      <c r="AE1255" s="1016"/>
      <c r="AF1255" s="926"/>
      <c r="AG1255" s="906" t="str">
        <f>IF(AE1255&lt;&gt;0,VLOOKUP(AE1255,ODDS!$A$2:$C$13,3,0),"")</f>
        <v/>
      </c>
      <c r="AH1255" s="906"/>
      <c r="AI1255" s="907" t="str">
        <f t="shared" si="271"/>
        <v xml:space="preserve"> </v>
      </c>
      <c r="AJ1255" s="929"/>
      <c r="AK1255" s="929"/>
    </row>
    <row r="1256" spans="1:37" s="402" customFormat="1" ht="43.5" outlineLevel="1" x14ac:dyDescent="0.25">
      <c r="A1256" s="467" t="s">
        <v>2610</v>
      </c>
      <c r="B1256" s="912">
        <v>100</v>
      </c>
      <c r="C1256" s="910" t="s">
        <v>959</v>
      </c>
      <c r="D1256" s="1037"/>
      <c r="E1256" s="1037"/>
      <c r="F1256" s="1038"/>
      <c r="G1256" s="910"/>
      <c r="H1256" s="1039">
        <f>SUBTOTAL(9,H1257:H1265)</f>
        <v>171.8</v>
      </c>
      <c r="I1256" s="915">
        <f>SUBTOTAL(9,I1257:I1262)</f>
        <v>0</v>
      </c>
      <c r="J1256" s="933"/>
      <c r="K1256" s="917"/>
      <c r="L1256" s="917"/>
      <c r="M1256" s="907">
        <f>SUBTOTAL(9,M1257:M1265)</f>
        <v>95246000</v>
      </c>
      <c r="N1256" s="907">
        <f>SUBTOTAL(9,N1257:N1265)</f>
        <v>0</v>
      </c>
      <c r="O1256" s="910"/>
      <c r="P1256" s="1044">
        <f>SUBTOTAL(9,P1257:P1265)</f>
        <v>0</v>
      </c>
      <c r="Q1256" s="907"/>
      <c r="R1256" s="907">
        <f>SUBTOTAL(9,R1257:R1265)</f>
        <v>0</v>
      </c>
      <c r="S1256" s="918"/>
      <c r="T1256" s="933"/>
      <c r="U1256" s="1040">
        <f>SUBTOTAL(9,U1257:U1265)</f>
        <v>0</v>
      </c>
      <c r="V1256" s="943"/>
      <c r="W1256" s="907"/>
      <c r="X1256" s="907">
        <f>SUBTOTAL(9,X1257:X1265)</f>
        <v>0</v>
      </c>
      <c r="Y1256" s="985"/>
      <c r="Z1256" s="985"/>
      <c r="AA1256" s="985"/>
      <c r="AB1256" s="1027"/>
      <c r="AC1256" s="985"/>
      <c r="AD1256" s="985"/>
      <c r="AE1256" s="985"/>
      <c r="AF1256" s="935">
        <f>SUBTOTAL(9,AF1257:AF1265)</f>
        <v>0</v>
      </c>
      <c r="AG1256" s="921"/>
      <c r="AH1256" s="921">
        <f>SUBTOTAL(9,AH1257:AH1265)</f>
        <v>0</v>
      </c>
      <c r="AI1256" s="907">
        <f t="shared" si="271"/>
        <v>95246000</v>
      </c>
      <c r="AJ1256" s="910"/>
      <c r="AK1256" s="914"/>
    </row>
    <row r="1257" spans="1:37" s="402" customFormat="1" ht="247.5" outlineLevel="2" x14ac:dyDescent="0.3">
      <c r="A1257" s="447">
        <f>IF(B1256&lt;&gt;0,B1256,A1255)</f>
        <v>100</v>
      </c>
      <c r="B1257" s="893"/>
      <c r="C1257" s="894" t="s">
        <v>961</v>
      </c>
      <c r="D1257" s="1037"/>
      <c r="E1257" s="950">
        <v>86</v>
      </c>
      <c r="F1257" s="1032">
        <v>233</v>
      </c>
      <c r="G1257" s="894" t="s">
        <v>2880</v>
      </c>
      <c r="H1257" s="1041">
        <f>171.8</f>
        <v>171.8</v>
      </c>
      <c r="I1257" s="882" t="str">
        <f t="shared" ref="I1257" si="277">IF(N1257&gt;0,H1257,"")</f>
        <v/>
      </c>
      <c r="J1257" s="933"/>
      <c r="K1257" s="899">
        <f>IF(G1257&lt;&gt;0,VLOOKUP(G1257,'gia dat'!$A$1:$F$144,5,0)," ")</f>
        <v>554400</v>
      </c>
      <c r="L1257" s="899">
        <f>IF(G1257&lt;&gt;0,VLOOKUP(G1257,'gia dat'!$A$1:$F$144,6,0)," ")</f>
        <v>0</v>
      </c>
      <c r="M1257" s="900">
        <f t="shared" si="261"/>
        <v>95246000</v>
      </c>
      <c r="N1257" s="900">
        <f t="shared" si="262"/>
        <v>0</v>
      </c>
      <c r="O1257" s="910"/>
      <c r="P1257" s="1044"/>
      <c r="Q1257" s="907"/>
      <c r="R1257" s="907"/>
      <c r="S1257" s="918"/>
      <c r="T1257" s="933"/>
      <c r="U1257" s="1040"/>
      <c r="V1257" s="943"/>
      <c r="W1257" s="900" t="str">
        <f>IF(S1257&lt;&gt;0,VLOOKUP(S1257,VKT!$A$2:$G$415,7,0),"")</f>
        <v/>
      </c>
      <c r="X1257" s="900" t="str">
        <f t="shared" si="276"/>
        <v xml:space="preserve"> </v>
      </c>
      <c r="Y1257" s="985"/>
      <c r="Z1257" s="985"/>
      <c r="AA1257" s="985"/>
      <c r="AB1257" s="1027"/>
      <c r="AC1257" s="985"/>
      <c r="AD1257" s="985"/>
      <c r="AE1257" s="985"/>
      <c r="AF1257" s="935"/>
      <c r="AG1257" s="906" t="str">
        <f>IF(AE1257&lt;&gt;0,VLOOKUP(AE1257,ODDS!$A$2:$C$13,3,0),"")</f>
        <v/>
      </c>
      <c r="AH1257" s="921"/>
      <c r="AI1257" s="907" t="str">
        <f t="shared" si="271"/>
        <v xml:space="preserve"> </v>
      </c>
      <c r="AJ1257" s="894" t="s">
        <v>2779</v>
      </c>
      <c r="AK1257" s="922" t="s">
        <v>2771</v>
      </c>
    </row>
    <row r="1258" spans="1:37" s="385" customFormat="1" ht="90" outlineLevel="2" x14ac:dyDescent="0.3">
      <c r="A1258" s="447">
        <f t="shared" ref="A1258:A1265" si="278">IF(B1257&lt;&gt;0,B1257,A1257)</f>
        <v>100</v>
      </c>
      <c r="B1258" s="893"/>
      <c r="C1258" s="894" t="s">
        <v>1657</v>
      </c>
      <c r="D1258" s="950"/>
      <c r="E1258" s="950"/>
      <c r="F1258" s="1032"/>
      <c r="G1258" s="894"/>
      <c r="H1258" s="1041"/>
      <c r="I1258" s="882"/>
      <c r="J1258" s="925"/>
      <c r="K1258" s="899" t="str">
        <f>IF(G1258&lt;&gt;0,VLOOKUP(G1258,'gia dat'!$A$1:$F$144,5,0)," ")</f>
        <v xml:space="preserve"> </v>
      </c>
      <c r="L1258" s="899" t="str">
        <f>IF(G1258&lt;&gt;0,VLOOKUP(G1258,'gia dat'!$A$1:$F$144,6,0)," ")</f>
        <v xml:space="preserve"> </v>
      </c>
      <c r="M1258" s="900" t="str">
        <f t="shared" si="261"/>
        <v xml:space="preserve"> </v>
      </c>
      <c r="N1258" s="900" t="str">
        <f t="shared" si="262"/>
        <v xml:space="preserve"> </v>
      </c>
      <c r="O1258" s="894"/>
      <c r="P1258" s="1046"/>
      <c r="Q1258" s="900"/>
      <c r="R1258" s="900"/>
      <c r="S1258" s="902"/>
      <c r="T1258" s="925"/>
      <c r="U1258" s="1042"/>
      <c r="V1258" s="929"/>
      <c r="W1258" s="900" t="str">
        <f>IF(S1258&lt;&gt;0,VLOOKUP(S1258,VKT!$A$2:$G$415,7,0),"")</f>
        <v/>
      </c>
      <c r="X1258" s="900" t="str">
        <f t="shared" si="276"/>
        <v xml:space="preserve"> </v>
      </c>
      <c r="Y1258" s="1016"/>
      <c r="Z1258" s="1016"/>
      <c r="AA1258" s="1016"/>
      <c r="AB1258" s="1026"/>
      <c r="AC1258" s="1016"/>
      <c r="AD1258" s="1016"/>
      <c r="AE1258" s="1016"/>
      <c r="AF1258" s="926"/>
      <c r="AG1258" s="906" t="str">
        <f>IF(AE1258&lt;&gt;0,VLOOKUP(AE1258,ODDS!$A$2:$C$13,3,0),"")</f>
        <v/>
      </c>
      <c r="AH1258" s="906"/>
      <c r="AI1258" s="907" t="str">
        <f t="shared" si="271"/>
        <v xml:space="preserve"> </v>
      </c>
      <c r="AJ1258" s="894"/>
      <c r="AK1258" s="929"/>
    </row>
    <row r="1259" spans="1:37" s="385" customFormat="1" ht="22.5" outlineLevel="2" x14ac:dyDescent="0.3">
      <c r="A1259" s="447">
        <f t="shared" si="278"/>
        <v>100</v>
      </c>
      <c r="B1259" s="893"/>
      <c r="C1259" s="894"/>
      <c r="D1259" s="950"/>
      <c r="E1259" s="950"/>
      <c r="F1259" s="1032"/>
      <c r="G1259" s="894"/>
      <c r="H1259" s="1041"/>
      <c r="I1259" s="882"/>
      <c r="J1259" s="925"/>
      <c r="K1259" s="899" t="str">
        <f>IF(G1259&lt;&gt;0,VLOOKUP(G1259,'gia dat'!$A$1:$F$144,5,0)," ")</f>
        <v xml:space="preserve"> </v>
      </c>
      <c r="L1259" s="899" t="str">
        <f>IF(G1259&lt;&gt;0,VLOOKUP(G1259,'gia dat'!$A$1:$F$144,6,0)," ")</f>
        <v xml:space="preserve"> </v>
      </c>
      <c r="M1259" s="900" t="str">
        <f t="shared" si="261"/>
        <v xml:space="preserve"> </v>
      </c>
      <c r="N1259" s="900" t="str">
        <f t="shared" si="262"/>
        <v xml:space="preserve"> </v>
      </c>
      <c r="O1259" s="894"/>
      <c r="P1259" s="1046"/>
      <c r="Q1259" s="900"/>
      <c r="R1259" s="900"/>
      <c r="S1259" s="902"/>
      <c r="T1259" s="925"/>
      <c r="U1259" s="1042"/>
      <c r="V1259" s="929"/>
      <c r="W1259" s="900" t="str">
        <f>IF(S1259&lt;&gt;0,VLOOKUP(S1259,VKT!$A$2:$G$415,7,0),"")</f>
        <v/>
      </c>
      <c r="X1259" s="900" t="str">
        <f t="shared" si="276"/>
        <v xml:space="preserve"> </v>
      </c>
      <c r="Y1259" s="1016"/>
      <c r="Z1259" s="1016"/>
      <c r="AA1259" s="1016"/>
      <c r="AB1259" s="1026"/>
      <c r="AC1259" s="1016"/>
      <c r="AD1259" s="1016"/>
      <c r="AE1259" s="1016"/>
      <c r="AF1259" s="926"/>
      <c r="AG1259" s="906" t="str">
        <f>IF(AE1259&lt;&gt;0,VLOOKUP(AE1259,ODDS!$A$2:$C$13,3,0),"")</f>
        <v/>
      </c>
      <c r="AH1259" s="906"/>
      <c r="AI1259" s="907" t="str">
        <f t="shared" si="271"/>
        <v xml:space="preserve"> </v>
      </c>
      <c r="AJ1259" s="894"/>
      <c r="AK1259" s="929"/>
    </row>
    <row r="1260" spans="1:37" s="385" customFormat="1" ht="22.5" outlineLevel="2" x14ac:dyDescent="0.3">
      <c r="A1260" s="447">
        <f t="shared" si="278"/>
        <v>100</v>
      </c>
      <c r="B1260" s="893"/>
      <c r="C1260" s="894"/>
      <c r="D1260" s="950"/>
      <c r="E1260" s="950"/>
      <c r="F1260" s="1032"/>
      <c r="G1260" s="894"/>
      <c r="H1260" s="1041"/>
      <c r="I1260" s="882"/>
      <c r="J1260" s="925"/>
      <c r="K1260" s="899" t="str">
        <f>IF(G1260&lt;&gt;0,VLOOKUP(G1260,'gia dat'!$A$1:$F$144,5,0)," ")</f>
        <v xml:space="preserve"> </v>
      </c>
      <c r="L1260" s="899" t="str">
        <f>IF(G1260&lt;&gt;0,VLOOKUP(G1260,'gia dat'!$A$1:$F$144,6,0)," ")</f>
        <v xml:space="preserve"> </v>
      </c>
      <c r="M1260" s="900" t="str">
        <f t="shared" si="261"/>
        <v xml:space="preserve"> </v>
      </c>
      <c r="N1260" s="900" t="str">
        <f t="shared" si="262"/>
        <v xml:space="preserve"> </v>
      </c>
      <c r="O1260" s="894"/>
      <c r="P1260" s="1046"/>
      <c r="Q1260" s="900"/>
      <c r="R1260" s="900"/>
      <c r="S1260" s="902"/>
      <c r="T1260" s="925"/>
      <c r="U1260" s="1042"/>
      <c r="V1260" s="929"/>
      <c r="W1260" s="900" t="str">
        <f>IF(S1260&lt;&gt;0,VLOOKUP(S1260,VKT!$A$2:$G$415,7,0),"")</f>
        <v/>
      </c>
      <c r="X1260" s="900" t="str">
        <f t="shared" si="276"/>
        <v xml:space="preserve"> </v>
      </c>
      <c r="Y1260" s="1016"/>
      <c r="Z1260" s="1016"/>
      <c r="AA1260" s="1016"/>
      <c r="AB1260" s="1026"/>
      <c r="AC1260" s="1016"/>
      <c r="AD1260" s="1016"/>
      <c r="AE1260" s="1016"/>
      <c r="AF1260" s="926"/>
      <c r="AG1260" s="906" t="str">
        <f>IF(AE1260&lt;&gt;0,VLOOKUP(AE1260,ODDS!$A$2:$C$13,3,0),"")</f>
        <v/>
      </c>
      <c r="AH1260" s="906"/>
      <c r="AI1260" s="907" t="str">
        <f t="shared" si="271"/>
        <v xml:space="preserve"> </v>
      </c>
      <c r="AJ1260" s="929"/>
      <c r="AK1260" s="929"/>
    </row>
    <row r="1261" spans="1:37" s="385" customFormat="1" ht="22.5" outlineLevel="2" x14ac:dyDescent="0.3">
      <c r="A1261" s="447">
        <f t="shared" si="278"/>
        <v>100</v>
      </c>
      <c r="B1261" s="893"/>
      <c r="C1261" s="894"/>
      <c r="D1261" s="950"/>
      <c r="E1261" s="950"/>
      <c r="F1261" s="1032"/>
      <c r="G1261" s="894"/>
      <c r="H1261" s="1041"/>
      <c r="I1261" s="882"/>
      <c r="J1261" s="925"/>
      <c r="K1261" s="899" t="str">
        <f>IF(G1261&lt;&gt;0,VLOOKUP(G1261,'gia dat'!$A$1:$F$144,5,0)," ")</f>
        <v xml:space="preserve"> </v>
      </c>
      <c r="L1261" s="899" t="str">
        <f>IF(G1261&lt;&gt;0,VLOOKUP(G1261,'gia dat'!$A$1:$F$144,6,0)," ")</f>
        <v xml:space="preserve"> </v>
      </c>
      <c r="M1261" s="900" t="str">
        <f t="shared" ref="M1261:M1329" si="279">IF(H1261&lt;&gt;0,ROUND(H1261*K1261,-3)," ")</f>
        <v xml:space="preserve"> </v>
      </c>
      <c r="N1261" s="900" t="str">
        <f t="shared" ref="N1261:N1329" si="280">IF(H1261&lt;&gt;0,ROUND(H1261*L1261,-3)," ")</f>
        <v xml:space="preserve"> </v>
      </c>
      <c r="O1261" s="894"/>
      <c r="P1261" s="1046"/>
      <c r="Q1261" s="900"/>
      <c r="R1261" s="900"/>
      <c r="S1261" s="902"/>
      <c r="T1261" s="925"/>
      <c r="U1261" s="1042"/>
      <c r="V1261" s="929"/>
      <c r="W1261" s="900" t="str">
        <f>IF(S1261&lt;&gt;0,VLOOKUP(S1261,VKT!$A$2:$G$415,7,0),"")</f>
        <v/>
      </c>
      <c r="X1261" s="900" t="str">
        <f t="shared" si="276"/>
        <v xml:space="preserve"> </v>
      </c>
      <c r="Y1261" s="1016"/>
      <c r="Z1261" s="1016"/>
      <c r="AA1261" s="1016"/>
      <c r="AB1261" s="1026"/>
      <c r="AC1261" s="1016"/>
      <c r="AD1261" s="1016"/>
      <c r="AE1261" s="1016"/>
      <c r="AF1261" s="926"/>
      <c r="AG1261" s="906" t="str">
        <f>IF(AE1261&lt;&gt;0,VLOOKUP(AE1261,ODDS!$A$2:$C$13,3,0),"")</f>
        <v/>
      </c>
      <c r="AH1261" s="906"/>
      <c r="AI1261" s="907" t="str">
        <f t="shared" si="271"/>
        <v xml:space="preserve"> </v>
      </c>
      <c r="AJ1261" s="929"/>
      <c r="AK1261" s="929"/>
    </row>
    <row r="1262" spans="1:37" s="385" customFormat="1" ht="22.5" outlineLevel="2" x14ac:dyDescent="0.3">
      <c r="A1262" s="447">
        <f t="shared" si="278"/>
        <v>100</v>
      </c>
      <c r="B1262" s="893"/>
      <c r="C1262" s="894"/>
      <c r="D1262" s="950"/>
      <c r="E1262" s="950"/>
      <c r="F1262" s="1032"/>
      <c r="G1262" s="894"/>
      <c r="H1262" s="1041"/>
      <c r="I1262" s="882"/>
      <c r="J1262" s="925"/>
      <c r="K1262" s="899" t="str">
        <f>IF(G1262&lt;&gt;0,VLOOKUP(G1262,'gia dat'!$A$1:$F$144,5,0)," ")</f>
        <v xml:space="preserve"> </v>
      </c>
      <c r="L1262" s="899" t="str">
        <f>IF(G1262&lt;&gt;0,VLOOKUP(G1262,'gia dat'!$A$1:$F$144,6,0)," ")</f>
        <v xml:space="preserve"> </v>
      </c>
      <c r="M1262" s="900" t="str">
        <f t="shared" si="279"/>
        <v xml:space="preserve"> </v>
      </c>
      <c r="N1262" s="900" t="str">
        <f t="shared" si="280"/>
        <v xml:space="preserve"> </v>
      </c>
      <c r="O1262" s="894"/>
      <c r="P1262" s="1046"/>
      <c r="Q1262" s="900"/>
      <c r="R1262" s="900"/>
      <c r="S1262" s="902"/>
      <c r="T1262" s="925"/>
      <c r="U1262" s="1042"/>
      <c r="V1262" s="929"/>
      <c r="W1262" s="900" t="str">
        <f>IF(S1262&lt;&gt;0,VLOOKUP(S1262,VKT!$A$2:$G$415,7,0),"")</f>
        <v/>
      </c>
      <c r="X1262" s="900" t="str">
        <f t="shared" si="276"/>
        <v xml:space="preserve"> </v>
      </c>
      <c r="Y1262" s="1016"/>
      <c r="Z1262" s="1016"/>
      <c r="AA1262" s="1016"/>
      <c r="AB1262" s="1026"/>
      <c r="AC1262" s="1016"/>
      <c r="AD1262" s="1016"/>
      <c r="AE1262" s="1016"/>
      <c r="AF1262" s="926"/>
      <c r="AG1262" s="906" t="str">
        <f>IF(AE1262&lt;&gt;0,VLOOKUP(AE1262,ODDS!$A$2:$C$13,3,0),"")</f>
        <v/>
      </c>
      <c r="AH1262" s="906"/>
      <c r="AI1262" s="907" t="str">
        <f t="shared" si="271"/>
        <v xml:space="preserve"> </v>
      </c>
      <c r="AJ1262" s="929"/>
      <c r="AK1262" s="929"/>
    </row>
    <row r="1263" spans="1:37" s="385" customFormat="1" ht="22.5" outlineLevel="2" x14ac:dyDescent="0.3">
      <c r="A1263" s="447">
        <f t="shared" si="278"/>
        <v>100</v>
      </c>
      <c r="B1263" s="893"/>
      <c r="C1263" s="894"/>
      <c r="D1263" s="950"/>
      <c r="E1263" s="950"/>
      <c r="F1263" s="1032"/>
      <c r="G1263" s="894"/>
      <c r="H1263" s="1041"/>
      <c r="I1263" s="882"/>
      <c r="J1263" s="925"/>
      <c r="K1263" s="899" t="str">
        <f>IF(G1263&lt;&gt;0,VLOOKUP(G1263,'gia dat'!$A$1:$F$144,5,0)," ")</f>
        <v xml:space="preserve"> </v>
      </c>
      <c r="L1263" s="899" t="str">
        <f>IF(G1263&lt;&gt;0,VLOOKUP(G1263,'gia dat'!$A$1:$F$144,6,0)," ")</f>
        <v xml:space="preserve"> </v>
      </c>
      <c r="M1263" s="900" t="str">
        <f t="shared" si="279"/>
        <v xml:space="preserve"> </v>
      </c>
      <c r="N1263" s="900" t="str">
        <f t="shared" si="280"/>
        <v xml:space="preserve"> </v>
      </c>
      <c r="O1263" s="894"/>
      <c r="P1263" s="1046"/>
      <c r="Q1263" s="900"/>
      <c r="R1263" s="900"/>
      <c r="S1263" s="902"/>
      <c r="T1263" s="925"/>
      <c r="U1263" s="1042"/>
      <c r="V1263" s="929"/>
      <c r="W1263" s="900" t="str">
        <f>IF(S1263&lt;&gt;0,VLOOKUP(S1263,VKT!$A$2:$G$415,7,0),"")</f>
        <v/>
      </c>
      <c r="X1263" s="900" t="str">
        <f t="shared" si="276"/>
        <v xml:space="preserve"> </v>
      </c>
      <c r="Y1263" s="1016"/>
      <c r="Z1263" s="1016"/>
      <c r="AA1263" s="1016"/>
      <c r="AB1263" s="1026"/>
      <c r="AC1263" s="1016"/>
      <c r="AD1263" s="1016"/>
      <c r="AE1263" s="1016"/>
      <c r="AF1263" s="926"/>
      <c r="AG1263" s="906" t="str">
        <f>IF(AE1263&lt;&gt;0,VLOOKUP(AE1263,ODDS!$A$2:$C$13,3,0),"")</f>
        <v/>
      </c>
      <c r="AH1263" s="906"/>
      <c r="AI1263" s="907" t="str">
        <f t="shared" si="271"/>
        <v xml:space="preserve"> </v>
      </c>
      <c r="AJ1263" s="929"/>
      <c r="AK1263" s="929"/>
    </row>
    <row r="1264" spans="1:37" s="385" customFormat="1" ht="22.5" outlineLevel="2" x14ac:dyDescent="0.3">
      <c r="A1264" s="447">
        <f t="shared" si="278"/>
        <v>100</v>
      </c>
      <c r="B1264" s="893"/>
      <c r="C1264" s="894"/>
      <c r="D1264" s="950"/>
      <c r="E1264" s="950"/>
      <c r="F1264" s="1032"/>
      <c r="G1264" s="894"/>
      <c r="H1264" s="1041"/>
      <c r="I1264" s="882"/>
      <c r="J1264" s="925"/>
      <c r="K1264" s="899" t="str">
        <f>IF(G1264&lt;&gt;0,VLOOKUP(G1264,'gia dat'!$A$1:$F$144,5,0)," ")</f>
        <v xml:space="preserve"> </v>
      </c>
      <c r="L1264" s="899" t="str">
        <f>IF(G1264&lt;&gt;0,VLOOKUP(G1264,'gia dat'!$A$1:$F$144,6,0)," ")</f>
        <v xml:space="preserve"> </v>
      </c>
      <c r="M1264" s="900" t="str">
        <f t="shared" si="279"/>
        <v xml:space="preserve"> </v>
      </c>
      <c r="N1264" s="900" t="str">
        <f t="shared" si="280"/>
        <v xml:space="preserve"> </v>
      </c>
      <c r="O1264" s="894"/>
      <c r="P1264" s="1046"/>
      <c r="Q1264" s="900"/>
      <c r="R1264" s="900"/>
      <c r="S1264" s="902"/>
      <c r="T1264" s="925"/>
      <c r="U1264" s="1042"/>
      <c r="V1264" s="929"/>
      <c r="W1264" s="900" t="str">
        <f>IF(S1264&lt;&gt;0,VLOOKUP(S1264,VKT!$A$2:$G$415,7,0),"")</f>
        <v/>
      </c>
      <c r="X1264" s="900" t="str">
        <f t="shared" si="276"/>
        <v xml:space="preserve"> </v>
      </c>
      <c r="Y1264" s="1016"/>
      <c r="Z1264" s="1016"/>
      <c r="AA1264" s="1016"/>
      <c r="AB1264" s="1026"/>
      <c r="AC1264" s="1016"/>
      <c r="AD1264" s="1016"/>
      <c r="AE1264" s="1016"/>
      <c r="AF1264" s="926"/>
      <c r="AG1264" s="906" t="str">
        <f>IF(AE1264&lt;&gt;0,VLOOKUP(AE1264,ODDS!$A$2:$C$13,3,0),"")</f>
        <v/>
      </c>
      <c r="AH1264" s="906"/>
      <c r="AI1264" s="907" t="str">
        <f t="shared" si="271"/>
        <v xml:space="preserve"> </v>
      </c>
      <c r="AJ1264" s="929"/>
      <c r="AK1264" s="929"/>
    </row>
    <row r="1265" spans="1:37" s="385" customFormat="1" ht="22.5" outlineLevel="2" x14ac:dyDescent="0.3">
      <c r="A1265" s="447">
        <f t="shared" si="278"/>
        <v>100</v>
      </c>
      <c r="B1265" s="912"/>
      <c r="C1265" s="910"/>
      <c r="D1265" s="950"/>
      <c r="E1265" s="950"/>
      <c r="F1265" s="1032"/>
      <c r="G1265" s="894"/>
      <c r="H1265" s="1041"/>
      <c r="I1265" s="882"/>
      <c r="J1265" s="925"/>
      <c r="K1265" s="899" t="str">
        <f>IF(G1265&lt;&gt;0,VLOOKUP(G1265,'gia dat'!$A$1:$F$144,5,0)," ")</f>
        <v xml:space="preserve"> </v>
      </c>
      <c r="L1265" s="899" t="str">
        <f>IF(G1265&lt;&gt;0,VLOOKUP(G1265,'gia dat'!$A$1:$F$144,6,0)," ")</f>
        <v xml:space="preserve"> </v>
      </c>
      <c r="M1265" s="900" t="str">
        <f t="shared" si="279"/>
        <v xml:space="preserve"> </v>
      </c>
      <c r="N1265" s="900" t="str">
        <f t="shared" si="280"/>
        <v xml:space="preserve"> </v>
      </c>
      <c r="O1265" s="894"/>
      <c r="P1265" s="1046"/>
      <c r="Q1265" s="900"/>
      <c r="R1265" s="900"/>
      <c r="S1265" s="902"/>
      <c r="T1265" s="925"/>
      <c r="U1265" s="1042"/>
      <c r="V1265" s="929"/>
      <c r="W1265" s="900" t="str">
        <f>IF(S1265&lt;&gt;0,VLOOKUP(S1265,VKT!$A$2:$G$415,7,0),"")</f>
        <v/>
      </c>
      <c r="X1265" s="900" t="str">
        <f t="shared" si="276"/>
        <v xml:space="preserve"> </v>
      </c>
      <c r="Y1265" s="1016"/>
      <c r="Z1265" s="1016"/>
      <c r="AA1265" s="1016"/>
      <c r="AB1265" s="1026"/>
      <c r="AC1265" s="1016"/>
      <c r="AD1265" s="1016"/>
      <c r="AE1265" s="1016"/>
      <c r="AF1265" s="926"/>
      <c r="AG1265" s="906" t="str">
        <f>IF(AE1265&lt;&gt;0,VLOOKUP(AE1265,ODDS!$A$2:$C$13,3,0),"")</f>
        <v/>
      </c>
      <c r="AH1265" s="906"/>
      <c r="AI1265" s="907" t="str">
        <f t="shared" si="271"/>
        <v xml:space="preserve"> </v>
      </c>
      <c r="AJ1265" s="929"/>
      <c r="AK1265" s="929"/>
    </row>
    <row r="1266" spans="1:37" s="385" customFormat="1" ht="43.5" outlineLevel="1" x14ac:dyDescent="0.25">
      <c r="A1266" s="467" t="s">
        <v>2609</v>
      </c>
      <c r="B1266" s="912">
        <v>101</v>
      </c>
      <c r="C1266" s="910" t="s">
        <v>959</v>
      </c>
      <c r="D1266" s="1037"/>
      <c r="E1266" s="1037"/>
      <c r="F1266" s="1038"/>
      <c r="G1266" s="910"/>
      <c r="H1266" s="1039">
        <f>SUBTOTAL(9,H1267:H1273)</f>
        <v>41.8</v>
      </c>
      <c r="I1266" s="915">
        <f>SUBTOTAL(9,I1267:I1272)</f>
        <v>0</v>
      </c>
      <c r="J1266" s="933"/>
      <c r="K1266" s="917"/>
      <c r="L1266" s="917"/>
      <c r="M1266" s="907">
        <f>SUBTOTAL(9,M1267:M1273)</f>
        <v>23174000</v>
      </c>
      <c r="N1266" s="907">
        <f>SUBTOTAL(9,N1267:N1273)</f>
        <v>0</v>
      </c>
      <c r="O1266" s="910"/>
      <c r="P1266" s="1044">
        <f>SUBTOTAL(9,P1267:P1273)</f>
        <v>0</v>
      </c>
      <c r="Q1266" s="907"/>
      <c r="R1266" s="907">
        <f>SUBTOTAL(9,R1267:R1273)</f>
        <v>0</v>
      </c>
      <c r="S1266" s="918"/>
      <c r="T1266" s="933"/>
      <c r="U1266" s="1040">
        <f>SUBTOTAL(9,U1267:U1273)</f>
        <v>0</v>
      </c>
      <c r="V1266" s="943"/>
      <c r="W1266" s="907"/>
      <c r="X1266" s="907">
        <f>SUBTOTAL(9,X1267:X1273)</f>
        <v>0</v>
      </c>
      <c r="Y1266" s="1016"/>
      <c r="Z1266" s="1016"/>
      <c r="AA1266" s="1016"/>
      <c r="AB1266" s="1026"/>
      <c r="AC1266" s="1016"/>
      <c r="AD1266" s="1016"/>
      <c r="AE1266" s="985"/>
      <c r="AF1266" s="935">
        <f>SUBTOTAL(9,AF1267:AF1273)</f>
        <v>0</v>
      </c>
      <c r="AG1266" s="921"/>
      <c r="AH1266" s="921">
        <f>SUBTOTAL(9,AH1267:AH1273)</f>
        <v>0</v>
      </c>
      <c r="AI1266" s="907">
        <f t="shared" si="271"/>
        <v>23174000</v>
      </c>
      <c r="AJ1266" s="910"/>
      <c r="AK1266" s="914"/>
    </row>
    <row r="1267" spans="1:37" s="385" customFormat="1" ht="225" outlineLevel="2" x14ac:dyDescent="0.3">
      <c r="A1267" s="447">
        <f>IF(B1266&lt;&gt;0,B1266,A1265)</f>
        <v>101</v>
      </c>
      <c r="B1267" s="893"/>
      <c r="C1267" s="894" t="s">
        <v>961</v>
      </c>
      <c r="D1267" s="950"/>
      <c r="E1267" s="950">
        <v>86</v>
      </c>
      <c r="F1267" s="1032">
        <v>233</v>
      </c>
      <c r="G1267" s="894" t="s">
        <v>2880</v>
      </c>
      <c r="H1267" s="1041">
        <v>41.8</v>
      </c>
      <c r="I1267" s="882" t="str">
        <f t="shared" ref="I1267" si="281">IF(N1267&gt;0,H1267,"")</f>
        <v/>
      </c>
      <c r="J1267" s="925"/>
      <c r="K1267" s="899">
        <f>IF(G1267&lt;&gt;0,VLOOKUP(G1267,'gia dat'!$A$1:$F$144,5,0)," ")</f>
        <v>554400</v>
      </c>
      <c r="L1267" s="899">
        <f>IF(G1267&lt;&gt;0,VLOOKUP(G1267,'gia dat'!$A$1:$F$144,6,0)," ")</f>
        <v>0</v>
      </c>
      <c r="M1267" s="900">
        <f t="shared" si="279"/>
        <v>23174000</v>
      </c>
      <c r="N1267" s="900">
        <f t="shared" si="280"/>
        <v>0</v>
      </c>
      <c r="O1267" s="894"/>
      <c r="P1267" s="1046"/>
      <c r="Q1267" s="900"/>
      <c r="R1267" s="900"/>
      <c r="S1267" s="902"/>
      <c r="T1267" s="925"/>
      <c r="U1267" s="1042"/>
      <c r="V1267" s="929"/>
      <c r="W1267" s="900" t="str">
        <f>IF(S1267&lt;&gt;0,VLOOKUP(S1267,VKT!$A$2:$G$415,7,0),"")</f>
        <v/>
      </c>
      <c r="X1267" s="900" t="str">
        <f t="shared" si="276"/>
        <v xml:space="preserve"> </v>
      </c>
      <c r="Y1267" s="1016"/>
      <c r="Z1267" s="1016"/>
      <c r="AA1267" s="1016"/>
      <c r="AB1267" s="1026"/>
      <c r="AC1267" s="1016"/>
      <c r="AD1267" s="1016"/>
      <c r="AE1267" s="1016"/>
      <c r="AF1267" s="926"/>
      <c r="AG1267" s="906" t="str">
        <f>IF(AE1267&lt;&gt;0,VLOOKUP(AE1267,ODDS!$A$2:$C$13,3,0),"")</f>
        <v/>
      </c>
      <c r="AH1267" s="906"/>
      <c r="AI1267" s="907" t="str">
        <f t="shared" si="271"/>
        <v xml:space="preserve"> </v>
      </c>
      <c r="AJ1267" s="894" t="s">
        <v>2780</v>
      </c>
      <c r="AK1267" s="922" t="s">
        <v>2771</v>
      </c>
    </row>
    <row r="1268" spans="1:37" s="385" customFormat="1" ht="90" outlineLevel="2" x14ac:dyDescent="0.3">
      <c r="A1268" s="447">
        <f t="shared" ref="A1268:A1273" si="282">IF(B1267&lt;&gt;0,B1267,A1267)</f>
        <v>101</v>
      </c>
      <c r="B1268" s="893"/>
      <c r="C1268" s="894" t="s">
        <v>1657</v>
      </c>
      <c r="D1268" s="950"/>
      <c r="E1268" s="950"/>
      <c r="F1268" s="1032"/>
      <c r="G1268" s="894"/>
      <c r="H1268" s="1041"/>
      <c r="I1268" s="882"/>
      <c r="J1268" s="925"/>
      <c r="K1268" s="899" t="str">
        <f>IF(G1268&lt;&gt;0,VLOOKUP(G1268,'gia dat'!$A$1:$F$144,5,0)," ")</f>
        <v xml:space="preserve"> </v>
      </c>
      <c r="L1268" s="899" t="str">
        <f>IF(G1268&lt;&gt;0,VLOOKUP(G1268,'gia dat'!$A$1:$F$144,6,0)," ")</f>
        <v xml:space="preserve"> </v>
      </c>
      <c r="M1268" s="900" t="str">
        <f t="shared" si="279"/>
        <v xml:space="preserve"> </v>
      </c>
      <c r="N1268" s="900" t="str">
        <f t="shared" si="280"/>
        <v xml:space="preserve"> </v>
      </c>
      <c r="O1268" s="894"/>
      <c r="P1268" s="1046"/>
      <c r="Q1268" s="900"/>
      <c r="R1268" s="900"/>
      <c r="S1268" s="902"/>
      <c r="T1268" s="925"/>
      <c r="U1268" s="1042"/>
      <c r="V1268" s="929"/>
      <c r="W1268" s="900" t="str">
        <f>IF(S1268&lt;&gt;0,VLOOKUP(S1268,VKT!$A$2:$G$415,7,0),"")</f>
        <v/>
      </c>
      <c r="X1268" s="900" t="str">
        <f t="shared" si="276"/>
        <v xml:space="preserve"> </v>
      </c>
      <c r="Y1268" s="1016"/>
      <c r="Z1268" s="1016"/>
      <c r="AA1268" s="1016"/>
      <c r="AB1268" s="1026"/>
      <c r="AC1268" s="1016"/>
      <c r="AD1268" s="1016"/>
      <c r="AE1268" s="1016"/>
      <c r="AF1268" s="926"/>
      <c r="AG1268" s="906" t="str">
        <f>IF(AE1268&lt;&gt;0,VLOOKUP(AE1268,ODDS!$A$2:$C$13,3,0),"")</f>
        <v/>
      </c>
      <c r="AH1268" s="906"/>
      <c r="AI1268" s="907" t="str">
        <f t="shared" si="271"/>
        <v xml:space="preserve"> </v>
      </c>
      <c r="AJ1268" s="894"/>
      <c r="AK1268" s="929"/>
    </row>
    <row r="1269" spans="1:37" s="385" customFormat="1" ht="22.5" outlineLevel="2" x14ac:dyDescent="0.3">
      <c r="A1269" s="447">
        <f t="shared" si="282"/>
        <v>101</v>
      </c>
      <c r="B1269" s="893"/>
      <c r="C1269" s="894"/>
      <c r="D1269" s="950"/>
      <c r="E1269" s="950"/>
      <c r="F1269" s="1032"/>
      <c r="G1269" s="894"/>
      <c r="H1269" s="1041"/>
      <c r="I1269" s="882"/>
      <c r="J1269" s="925"/>
      <c r="K1269" s="899" t="str">
        <f>IF(G1269&lt;&gt;0,VLOOKUP(G1269,'gia dat'!$A$1:$F$144,5,0)," ")</f>
        <v xml:space="preserve"> </v>
      </c>
      <c r="L1269" s="899" t="str">
        <f>IF(G1269&lt;&gt;0,VLOOKUP(G1269,'gia dat'!$A$1:$F$144,6,0)," ")</f>
        <v xml:space="preserve"> </v>
      </c>
      <c r="M1269" s="900" t="str">
        <f t="shared" si="279"/>
        <v xml:space="preserve"> </v>
      </c>
      <c r="N1269" s="900" t="str">
        <f t="shared" si="280"/>
        <v xml:space="preserve"> </v>
      </c>
      <c r="O1269" s="894"/>
      <c r="P1269" s="1046"/>
      <c r="Q1269" s="900"/>
      <c r="R1269" s="900"/>
      <c r="S1269" s="902"/>
      <c r="T1269" s="925"/>
      <c r="U1269" s="1042"/>
      <c r="V1269" s="929"/>
      <c r="W1269" s="900" t="str">
        <f>IF(S1269&lt;&gt;0,VLOOKUP(S1269,VKT!$A$2:$G$415,7,0),"")</f>
        <v/>
      </c>
      <c r="X1269" s="900" t="str">
        <f t="shared" si="276"/>
        <v xml:space="preserve"> </v>
      </c>
      <c r="Y1269" s="1016"/>
      <c r="Z1269" s="1016"/>
      <c r="AA1269" s="1016"/>
      <c r="AB1269" s="1026"/>
      <c r="AC1269" s="1016"/>
      <c r="AD1269" s="1016"/>
      <c r="AE1269" s="1016"/>
      <c r="AF1269" s="926"/>
      <c r="AG1269" s="906" t="str">
        <f>IF(AE1269&lt;&gt;0,VLOOKUP(AE1269,ODDS!$A$2:$C$13,3,0),"")</f>
        <v/>
      </c>
      <c r="AH1269" s="906"/>
      <c r="AI1269" s="907" t="str">
        <f t="shared" si="271"/>
        <v xml:space="preserve"> </v>
      </c>
      <c r="AJ1269" s="894"/>
      <c r="AK1269" s="929"/>
    </row>
    <row r="1270" spans="1:37" s="385" customFormat="1" ht="22.5" outlineLevel="2" x14ac:dyDescent="0.3">
      <c r="A1270" s="447">
        <f t="shared" si="282"/>
        <v>101</v>
      </c>
      <c r="B1270" s="893"/>
      <c r="C1270" s="894"/>
      <c r="D1270" s="950"/>
      <c r="E1270" s="950"/>
      <c r="F1270" s="1032"/>
      <c r="G1270" s="894"/>
      <c r="H1270" s="1041"/>
      <c r="I1270" s="882"/>
      <c r="J1270" s="925"/>
      <c r="K1270" s="899" t="str">
        <f>IF(G1270&lt;&gt;0,VLOOKUP(G1270,'gia dat'!$A$1:$F$144,5,0)," ")</f>
        <v xml:space="preserve"> </v>
      </c>
      <c r="L1270" s="899" t="str">
        <f>IF(G1270&lt;&gt;0,VLOOKUP(G1270,'gia dat'!$A$1:$F$144,6,0)," ")</f>
        <v xml:space="preserve"> </v>
      </c>
      <c r="M1270" s="900" t="str">
        <f t="shared" si="279"/>
        <v xml:space="preserve"> </v>
      </c>
      <c r="N1270" s="900" t="str">
        <f t="shared" si="280"/>
        <v xml:space="preserve"> </v>
      </c>
      <c r="O1270" s="894"/>
      <c r="P1270" s="1046"/>
      <c r="Q1270" s="900"/>
      <c r="R1270" s="900"/>
      <c r="S1270" s="902"/>
      <c r="T1270" s="925"/>
      <c r="U1270" s="1042"/>
      <c r="V1270" s="929"/>
      <c r="W1270" s="900" t="str">
        <f>IF(S1270&lt;&gt;0,VLOOKUP(S1270,VKT!$A$2:$G$415,7,0),"")</f>
        <v/>
      </c>
      <c r="X1270" s="900" t="str">
        <f t="shared" si="276"/>
        <v xml:space="preserve"> </v>
      </c>
      <c r="Y1270" s="1016"/>
      <c r="Z1270" s="1016"/>
      <c r="AA1270" s="1016"/>
      <c r="AB1270" s="1026"/>
      <c r="AC1270" s="1016"/>
      <c r="AD1270" s="1016"/>
      <c r="AE1270" s="1016"/>
      <c r="AF1270" s="926"/>
      <c r="AG1270" s="906" t="str">
        <f>IF(AE1270&lt;&gt;0,VLOOKUP(AE1270,ODDS!$A$2:$C$13,3,0),"")</f>
        <v/>
      </c>
      <c r="AH1270" s="906"/>
      <c r="AI1270" s="907" t="str">
        <f t="shared" si="271"/>
        <v xml:space="preserve"> </v>
      </c>
      <c r="AJ1270" s="929"/>
      <c r="AK1270" s="929"/>
    </row>
    <row r="1271" spans="1:37" s="385" customFormat="1" ht="22.5" outlineLevel="2" x14ac:dyDescent="0.3">
      <c r="A1271" s="447">
        <f t="shared" si="282"/>
        <v>101</v>
      </c>
      <c r="B1271" s="893"/>
      <c r="C1271" s="894"/>
      <c r="D1271" s="950"/>
      <c r="E1271" s="950"/>
      <c r="F1271" s="1032"/>
      <c r="G1271" s="894"/>
      <c r="H1271" s="1041"/>
      <c r="I1271" s="882"/>
      <c r="J1271" s="925"/>
      <c r="K1271" s="899" t="str">
        <f>IF(G1271&lt;&gt;0,VLOOKUP(G1271,'gia dat'!$A$1:$F$144,5,0)," ")</f>
        <v xml:space="preserve"> </v>
      </c>
      <c r="L1271" s="899" t="str">
        <f>IF(G1271&lt;&gt;0,VLOOKUP(G1271,'gia dat'!$A$1:$F$144,6,0)," ")</f>
        <v xml:space="preserve"> </v>
      </c>
      <c r="M1271" s="900" t="str">
        <f t="shared" si="279"/>
        <v xml:space="preserve"> </v>
      </c>
      <c r="N1271" s="900" t="str">
        <f t="shared" si="280"/>
        <v xml:space="preserve"> </v>
      </c>
      <c r="O1271" s="894"/>
      <c r="P1271" s="1046"/>
      <c r="Q1271" s="900"/>
      <c r="R1271" s="900"/>
      <c r="S1271" s="902"/>
      <c r="T1271" s="925"/>
      <c r="U1271" s="1042"/>
      <c r="V1271" s="929"/>
      <c r="W1271" s="900" t="str">
        <f>IF(S1271&lt;&gt;0,VLOOKUP(S1271,VKT!$A$2:$G$415,7,0),"")</f>
        <v/>
      </c>
      <c r="X1271" s="900" t="str">
        <f t="shared" si="276"/>
        <v xml:space="preserve"> </v>
      </c>
      <c r="Y1271" s="1016"/>
      <c r="Z1271" s="1016"/>
      <c r="AA1271" s="1016"/>
      <c r="AB1271" s="1026"/>
      <c r="AC1271" s="1016"/>
      <c r="AD1271" s="1016"/>
      <c r="AE1271" s="1016"/>
      <c r="AF1271" s="926"/>
      <c r="AG1271" s="906" t="str">
        <f>IF(AE1271&lt;&gt;0,VLOOKUP(AE1271,ODDS!$A$2:$C$13,3,0),"")</f>
        <v/>
      </c>
      <c r="AH1271" s="906"/>
      <c r="AI1271" s="907" t="str">
        <f t="shared" si="271"/>
        <v xml:space="preserve"> </v>
      </c>
      <c r="AJ1271" s="929"/>
      <c r="AK1271" s="929"/>
    </row>
    <row r="1272" spans="1:37" s="385" customFormat="1" ht="22.5" outlineLevel="2" x14ac:dyDescent="0.3">
      <c r="A1272" s="447">
        <f t="shared" si="282"/>
        <v>101</v>
      </c>
      <c r="B1272" s="893"/>
      <c r="C1272" s="894"/>
      <c r="D1272" s="950"/>
      <c r="E1272" s="950"/>
      <c r="F1272" s="1032"/>
      <c r="G1272" s="894"/>
      <c r="H1272" s="1041"/>
      <c r="I1272" s="882"/>
      <c r="J1272" s="925"/>
      <c r="K1272" s="899" t="str">
        <f>IF(G1272&lt;&gt;0,VLOOKUP(G1272,'gia dat'!$A$1:$F$144,5,0)," ")</f>
        <v xml:space="preserve"> </v>
      </c>
      <c r="L1272" s="899" t="str">
        <f>IF(G1272&lt;&gt;0,VLOOKUP(G1272,'gia dat'!$A$1:$F$144,6,0)," ")</f>
        <v xml:space="preserve"> </v>
      </c>
      <c r="M1272" s="900" t="str">
        <f t="shared" si="279"/>
        <v xml:space="preserve"> </v>
      </c>
      <c r="N1272" s="900" t="str">
        <f t="shared" si="280"/>
        <v xml:space="preserve"> </v>
      </c>
      <c r="O1272" s="894"/>
      <c r="P1272" s="1046"/>
      <c r="Q1272" s="900"/>
      <c r="R1272" s="900"/>
      <c r="S1272" s="902"/>
      <c r="T1272" s="925"/>
      <c r="U1272" s="1042"/>
      <c r="V1272" s="929"/>
      <c r="W1272" s="900" t="str">
        <f>IF(S1272&lt;&gt;0,VLOOKUP(S1272,VKT!$A$2:$G$415,7,0),"")</f>
        <v/>
      </c>
      <c r="X1272" s="900" t="str">
        <f t="shared" si="276"/>
        <v xml:space="preserve"> </v>
      </c>
      <c r="Y1272" s="1016"/>
      <c r="Z1272" s="1016"/>
      <c r="AA1272" s="1016"/>
      <c r="AB1272" s="1026"/>
      <c r="AC1272" s="1016"/>
      <c r="AD1272" s="1016"/>
      <c r="AE1272" s="1016"/>
      <c r="AF1272" s="926"/>
      <c r="AG1272" s="906" t="str">
        <f>IF(AE1272&lt;&gt;0,VLOOKUP(AE1272,ODDS!$A$2:$C$13,3,0),"")</f>
        <v/>
      </c>
      <c r="AH1272" s="906"/>
      <c r="AI1272" s="907" t="str">
        <f t="shared" si="271"/>
        <v xml:space="preserve"> </v>
      </c>
      <c r="AJ1272" s="929"/>
      <c r="AK1272" s="929"/>
    </row>
    <row r="1273" spans="1:37" s="385" customFormat="1" ht="22.5" outlineLevel="2" x14ac:dyDescent="0.3">
      <c r="A1273" s="447">
        <f t="shared" si="282"/>
        <v>101</v>
      </c>
      <c r="B1273" s="893"/>
      <c r="C1273" s="910"/>
      <c r="D1273" s="950"/>
      <c r="E1273" s="950"/>
      <c r="F1273" s="1032"/>
      <c r="G1273" s="894"/>
      <c r="H1273" s="1041"/>
      <c r="I1273" s="882"/>
      <c r="J1273" s="925"/>
      <c r="K1273" s="899" t="str">
        <f>IF(G1273&lt;&gt;0,VLOOKUP(G1273,'gia dat'!$A$1:$F$144,5,0)," ")</f>
        <v xml:space="preserve"> </v>
      </c>
      <c r="L1273" s="899" t="str">
        <f>IF(G1273&lt;&gt;0,VLOOKUP(G1273,'gia dat'!$A$1:$F$144,6,0)," ")</f>
        <v xml:space="preserve"> </v>
      </c>
      <c r="M1273" s="900" t="str">
        <f t="shared" si="279"/>
        <v xml:space="preserve"> </v>
      </c>
      <c r="N1273" s="900" t="str">
        <f t="shared" si="280"/>
        <v xml:space="preserve"> </v>
      </c>
      <c r="O1273" s="894"/>
      <c r="P1273" s="1046"/>
      <c r="Q1273" s="900"/>
      <c r="R1273" s="900"/>
      <c r="S1273" s="902"/>
      <c r="T1273" s="925"/>
      <c r="U1273" s="1042"/>
      <c r="V1273" s="929"/>
      <c r="W1273" s="900" t="str">
        <f>IF(S1273&lt;&gt;0,VLOOKUP(S1273,VKT!$A$2:$G$415,7,0),"")</f>
        <v/>
      </c>
      <c r="X1273" s="900" t="str">
        <f t="shared" si="276"/>
        <v xml:space="preserve"> </v>
      </c>
      <c r="Y1273" s="1016"/>
      <c r="Z1273" s="1016"/>
      <c r="AA1273" s="1016"/>
      <c r="AB1273" s="1026"/>
      <c r="AC1273" s="1016"/>
      <c r="AD1273" s="1016"/>
      <c r="AE1273" s="1016"/>
      <c r="AF1273" s="926"/>
      <c r="AG1273" s="906" t="str">
        <f>IF(AE1273&lt;&gt;0,VLOOKUP(AE1273,ODDS!$A$2:$C$13,3,0),"")</f>
        <v/>
      </c>
      <c r="AH1273" s="906"/>
      <c r="AI1273" s="907" t="str">
        <f t="shared" si="271"/>
        <v xml:space="preserve"> </v>
      </c>
      <c r="AJ1273" s="929"/>
      <c r="AK1273" s="929"/>
    </row>
    <row r="1274" spans="1:37" s="385" customFormat="1" ht="43.5" outlineLevel="1" x14ac:dyDescent="0.3">
      <c r="A1274" s="467" t="s">
        <v>2608</v>
      </c>
      <c r="B1274" s="912">
        <v>102</v>
      </c>
      <c r="C1274" s="910" t="s">
        <v>2225</v>
      </c>
      <c r="D1274" s="1037"/>
      <c r="E1274" s="1052"/>
      <c r="F1274" s="1052"/>
      <c r="G1274" s="1053"/>
      <c r="H1274" s="1054">
        <f>SUBTOTAL(9,H1275:H1295)</f>
        <v>0</v>
      </c>
      <c r="I1274" s="915">
        <f>SUBTOTAL(9,I1275:I1280)</f>
        <v>0</v>
      </c>
      <c r="J1274" s="1040"/>
      <c r="K1274" s="917"/>
      <c r="L1274" s="917"/>
      <c r="M1274" s="907">
        <f>SUBTOTAL(9,M1275:M1295)</f>
        <v>0</v>
      </c>
      <c r="N1274" s="907">
        <f>SUBTOTAL(9,N1275:N1295)</f>
        <v>0</v>
      </c>
      <c r="O1274" s="914"/>
      <c r="P1274" s="1044">
        <f>SUBTOTAL(9,P1275:P1295)</f>
        <v>36</v>
      </c>
      <c r="Q1274" s="907"/>
      <c r="R1274" s="907">
        <f>SUBTOTAL(9,R1275:R1295)</f>
        <v>13284000</v>
      </c>
      <c r="S1274" s="914"/>
      <c r="T1274" s="956"/>
      <c r="U1274" s="1040">
        <f>SUBTOTAL(9,U1275:U1295)</f>
        <v>382.32000000000005</v>
      </c>
      <c r="V1274" s="998"/>
      <c r="W1274" s="907"/>
      <c r="X1274" s="907">
        <f>SUBTOTAL(9,X1275:X1295)</f>
        <v>427379000</v>
      </c>
      <c r="Y1274" s="1016"/>
      <c r="Z1274" s="1016"/>
      <c r="AA1274" s="1016"/>
      <c r="AB1274" s="1026"/>
      <c r="AC1274" s="1016"/>
      <c r="AD1274" s="1016"/>
      <c r="AE1274" s="985"/>
      <c r="AF1274" s="935">
        <f>SUBTOTAL(9,AF1275:AF1295)</f>
        <v>0</v>
      </c>
      <c r="AG1274" s="921"/>
      <c r="AH1274" s="921">
        <f>SUBTOTAL(9,AH1275:AH1295)</f>
        <v>0</v>
      </c>
      <c r="AI1274" s="907">
        <f t="shared" si="271"/>
        <v>440663000</v>
      </c>
      <c r="AJ1274" s="943"/>
      <c r="AK1274" s="910"/>
    </row>
    <row r="1275" spans="1:37" s="385" customFormat="1" ht="112.5" outlineLevel="2" x14ac:dyDescent="0.35">
      <c r="A1275" s="447">
        <f>IF(B1274&lt;&gt;0,B1274,A1273)</f>
        <v>102</v>
      </c>
      <c r="B1275" s="893"/>
      <c r="C1275" s="908" t="s">
        <v>938</v>
      </c>
      <c r="D1275" s="950">
        <v>3</v>
      </c>
      <c r="E1275" s="1055"/>
      <c r="F1275" s="1055"/>
      <c r="G1275" s="1036"/>
      <c r="H1275" s="1033"/>
      <c r="I1275" s="882"/>
      <c r="J1275" s="1042"/>
      <c r="K1275" s="899" t="str">
        <f>IF(G1275&lt;&gt;0,VLOOKUP(G1275,'gia dat'!$A$1:$F$144,5,0)," ")</f>
        <v xml:space="preserve"> </v>
      </c>
      <c r="L1275" s="899" t="str">
        <f>IF(G1275&lt;&gt;0,VLOOKUP(G1275,'gia dat'!$A$1:$F$144,6,0)," ")</f>
        <v xml:space="preserve"> </v>
      </c>
      <c r="M1275" s="900" t="str">
        <f t="shared" si="279"/>
        <v xml:space="preserve"> </v>
      </c>
      <c r="N1275" s="900" t="str">
        <f t="shared" si="280"/>
        <v xml:space="preserve"> </v>
      </c>
      <c r="O1275" s="922" t="s">
        <v>145</v>
      </c>
      <c r="P1275" s="1046">
        <v>1</v>
      </c>
      <c r="Q1275" s="900">
        <f>IF(O1275&lt;&gt;0,VLOOKUP(O1275,'Cây trong'!$A$2:$C$246,3,0)," ")</f>
        <v>4240000</v>
      </c>
      <c r="R1275" s="900">
        <f t="shared" si="265"/>
        <v>4240000</v>
      </c>
      <c r="S1275" s="922" t="s">
        <v>1762</v>
      </c>
      <c r="T1275" s="944" t="s">
        <v>2911</v>
      </c>
      <c r="U1275" s="1042">
        <v>27</v>
      </c>
      <c r="V1275" s="996"/>
      <c r="W1275" s="900">
        <f>IF(S1275&lt;&gt;0,VLOOKUP(S1275,VKT!$A$2:$G$415,7,0),"")</f>
        <v>770070</v>
      </c>
      <c r="X1275" s="900">
        <f t="shared" si="276"/>
        <v>20792000</v>
      </c>
      <c r="Y1275" s="1016"/>
      <c r="Z1275" s="1016"/>
      <c r="AA1275" s="1016"/>
      <c r="AB1275" s="1026"/>
      <c r="AC1275" s="1016"/>
      <c r="AD1275" s="1016"/>
      <c r="AE1275" s="1016"/>
      <c r="AF1275" s="926"/>
      <c r="AG1275" s="906" t="str">
        <f>IF(AE1275&lt;&gt;0,VLOOKUP(AE1275,ODDS!$A$2:$C$13,3,0),"")</f>
        <v/>
      </c>
      <c r="AH1275" s="906" t="str">
        <f t="shared" si="266"/>
        <v xml:space="preserve"> </v>
      </c>
      <c r="AI1275" s="907" t="str">
        <f t="shared" si="271"/>
        <v xml:space="preserve"> </v>
      </c>
      <c r="AJ1275" s="929" t="s">
        <v>943</v>
      </c>
      <c r="AK1275" s="894" t="s">
        <v>2450</v>
      </c>
    </row>
    <row r="1276" spans="1:37" s="385" customFormat="1" ht="112.5" outlineLevel="2" x14ac:dyDescent="0.3">
      <c r="A1276" s="447">
        <f t="shared" ref="A1276:A1295" si="283">IF(B1275&lt;&gt;0,B1275,A1275)</f>
        <v>102</v>
      </c>
      <c r="B1276" s="893"/>
      <c r="C1276" s="910" t="s">
        <v>2226</v>
      </c>
      <c r="D1276" s="1035"/>
      <c r="E1276" s="950"/>
      <c r="F1276" s="1032"/>
      <c r="G1276" s="894"/>
      <c r="H1276" s="1041"/>
      <c r="I1276" s="882"/>
      <c r="J1276" s="1042"/>
      <c r="K1276" s="899" t="str">
        <f>IF(G1276&lt;&gt;0,VLOOKUP(G1276,'gia dat'!$A$1:$F$144,5,0)," ")</f>
        <v xml:space="preserve"> </v>
      </c>
      <c r="L1276" s="899" t="str">
        <f>IF(G1276&lt;&gt;0,VLOOKUP(G1276,'gia dat'!$A$1:$F$144,6,0)," ")</f>
        <v xml:space="preserve"> </v>
      </c>
      <c r="M1276" s="900" t="str">
        <f t="shared" si="279"/>
        <v xml:space="preserve"> </v>
      </c>
      <c r="N1276" s="900" t="str">
        <f t="shared" si="280"/>
        <v xml:space="preserve"> </v>
      </c>
      <c r="O1276" s="922" t="s">
        <v>61</v>
      </c>
      <c r="P1276" s="1046">
        <v>2</v>
      </c>
      <c r="Q1276" s="900">
        <f>IF(O1276&lt;&gt;0,VLOOKUP(O1276,'Cây trong'!$A$2:$C$246,3,0)," ")</f>
        <v>1708000</v>
      </c>
      <c r="R1276" s="900">
        <f t="shared" si="265"/>
        <v>3416000</v>
      </c>
      <c r="S1276" s="922" t="s">
        <v>1763</v>
      </c>
      <c r="T1276" s="944" t="s">
        <v>2911</v>
      </c>
      <c r="U1276" s="1042">
        <v>81.400000000000006</v>
      </c>
      <c r="V1276" s="1047"/>
      <c r="W1276" s="900">
        <f>IF(S1276&lt;&gt;0,VLOOKUP(S1276,VKT!$A$2:$G$415,7,0),"")</f>
        <v>3550600</v>
      </c>
      <c r="X1276" s="900">
        <f t="shared" si="276"/>
        <v>289019000</v>
      </c>
      <c r="Y1276" s="1016"/>
      <c r="Z1276" s="1016"/>
      <c r="AA1276" s="1016"/>
      <c r="AB1276" s="1026"/>
      <c r="AC1276" s="1016"/>
      <c r="AD1276" s="1016"/>
      <c r="AE1276" s="1016"/>
      <c r="AF1276" s="926"/>
      <c r="AG1276" s="906" t="str">
        <f>IF(AE1276&lt;&gt;0,VLOOKUP(AE1276,ODDS!$A$2:$C$13,3,0),"")</f>
        <v/>
      </c>
      <c r="AH1276" s="906" t="str">
        <f t="shared" si="266"/>
        <v xml:space="preserve"> </v>
      </c>
      <c r="AI1276" s="907" t="str">
        <f t="shared" si="271"/>
        <v xml:space="preserve"> </v>
      </c>
      <c r="AJ1276" s="929" t="s">
        <v>945</v>
      </c>
      <c r="AK1276" s="894" t="s">
        <v>2449</v>
      </c>
    </row>
    <row r="1277" spans="1:37" s="385" customFormat="1" ht="112.5" outlineLevel="2" x14ac:dyDescent="0.35">
      <c r="A1277" s="447">
        <f t="shared" si="283"/>
        <v>102</v>
      </c>
      <c r="B1277" s="893"/>
      <c r="C1277" s="908" t="s">
        <v>944</v>
      </c>
      <c r="D1277" s="1035"/>
      <c r="E1277" s="950"/>
      <c r="F1277" s="1032"/>
      <c r="G1277" s="894"/>
      <c r="H1277" s="1041"/>
      <c r="I1277" s="882"/>
      <c r="J1277" s="1042"/>
      <c r="K1277" s="899" t="str">
        <f>IF(G1277&lt;&gt;0,VLOOKUP(G1277,'gia dat'!$A$1:$F$144,5,0)," ")</f>
        <v xml:space="preserve"> </v>
      </c>
      <c r="L1277" s="899" t="str">
        <f>IF(G1277&lt;&gt;0,VLOOKUP(G1277,'gia dat'!$A$1:$F$144,6,0)," ")</f>
        <v xml:space="preserve"> </v>
      </c>
      <c r="M1277" s="900" t="str">
        <f t="shared" si="279"/>
        <v xml:space="preserve"> </v>
      </c>
      <c r="N1277" s="900" t="str">
        <f t="shared" si="280"/>
        <v xml:space="preserve"> </v>
      </c>
      <c r="O1277" s="922" t="s">
        <v>400</v>
      </c>
      <c r="P1277" s="1046">
        <v>10</v>
      </c>
      <c r="Q1277" s="900">
        <f>IF(O1277&lt;&gt;0,VLOOKUP(O1277,'Cây trong'!$A$2:$C$246,3,0)," ")</f>
        <v>228000</v>
      </c>
      <c r="R1277" s="900">
        <f t="shared" si="265"/>
        <v>2280000</v>
      </c>
      <c r="S1277" s="922" t="s">
        <v>1764</v>
      </c>
      <c r="T1277" s="944" t="s">
        <v>2911</v>
      </c>
      <c r="U1277" s="1042">
        <v>1.98</v>
      </c>
      <c r="V1277" s="996"/>
      <c r="W1277" s="900">
        <f>IF(S1277&lt;&gt;0,VLOOKUP(S1277,VKT!$A$2:$G$415,7,0),"")</f>
        <v>9028527</v>
      </c>
      <c r="X1277" s="900">
        <f t="shared" si="276"/>
        <v>17876000</v>
      </c>
      <c r="Y1277" s="1016"/>
      <c r="Z1277" s="1016"/>
      <c r="AA1277" s="1016"/>
      <c r="AB1277" s="1026"/>
      <c r="AC1277" s="1016"/>
      <c r="AD1277" s="1016"/>
      <c r="AE1277" s="1016"/>
      <c r="AF1277" s="926"/>
      <c r="AG1277" s="906" t="str">
        <f>IF(AE1277&lt;&gt;0,VLOOKUP(AE1277,ODDS!$A$2:$C$13,3,0),"")</f>
        <v/>
      </c>
      <c r="AH1277" s="906" t="str">
        <f t="shared" si="266"/>
        <v xml:space="preserve"> </v>
      </c>
      <c r="AI1277" s="907" t="str">
        <f t="shared" si="271"/>
        <v xml:space="preserve"> </v>
      </c>
      <c r="AJ1277" s="1036"/>
      <c r="AK1277" s="902" t="s">
        <v>2800</v>
      </c>
    </row>
    <row r="1278" spans="1:37" s="385" customFormat="1" ht="112.5" outlineLevel="2" x14ac:dyDescent="0.35">
      <c r="A1278" s="447">
        <f t="shared" si="283"/>
        <v>102</v>
      </c>
      <c r="B1278" s="893"/>
      <c r="C1278" s="908" t="s">
        <v>1655</v>
      </c>
      <c r="D1278" s="950"/>
      <c r="E1278" s="947"/>
      <c r="F1278" s="947"/>
      <c r="G1278" s="922"/>
      <c r="H1278" s="1041"/>
      <c r="I1278" s="882"/>
      <c r="J1278" s="1042"/>
      <c r="K1278" s="899" t="str">
        <f>IF(G1278&lt;&gt;0,VLOOKUP(G1278,'gia dat'!$A$1:$F$144,5,0)," ")</f>
        <v xml:space="preserve"> </v>
      </c>
      <c r="L1278" s="899" t="str">
        <f>IF(G1278&lt;&gt;0,VLOOKUP(G1278,'gia dat'!$A$1:$F$144,6,0)," ")</f>
        <v xml:space="preserve"> </v>
      </c>
      <c r="M1278" s="900" t="str">
        <f t="shared" si="279"/>
        <v xml:space="preserve"> </v>
      </c>
      <c r="N1278" s="900" t="str">
        <f t="shared" si="280"/>
        <v xml:space="preserve"> </v>
      </c>
      <c r="O1278" s="922" t="s">
        <v>401</v>
      </c>
      <c r="P1278" s="1046">
        <v>12</v>
      </c>
      <c r="Q1278" s="900">
        <f>IF(O1278&lt;&gt;0,VLOOKUP(O1278,'Cây trong'!$A$2:$C$246,3,0)," ")</f>
        <v>80000</v>
      </c>
      <c r="R1278" s="900">
        <f t="shared" si="265"/>
        <v>960000</v>
      </c>
      <c r="S1278" s="922" t="s">
        <v>1765</v>
      </c>
      <c r="T1278" s="944" t="s">
        <v>2911</v>
      </c>
      <c r="U1278" s="1042">
        <v>2.46</v>
      </c>
      <c r="V1278" s="996"/>
      <c r="W1278" s="900">
        <f>IF(S1278&lt;&gt;0,VLOOKUP(S1278,VKT!$A$2:$G$415,7,0),"")</f>
        <v>2354806</v>
      </c>
      <c r="X1278" s="900">
        <f t="shared" si="276"/>
        <v>5793000</v>
      </c>
      <c r="Y1278" s="1016"/>
      <c r="Z1278" s="1016"/>
      <c r="AA1278" s="1016"/>
      <c r="AB1278" s="1026"/>
      <c r="AC1278" s="1016"/>
      <c r="AD1278" s="1016"/>
      <c r="AE1278" s="1016"/>
      <c r="AF1278" s="926"/>
      <c r="AG1278" s="906" t="str">
        <f>IF(AE1278&lt;&gt;0,VLOOKUP(AE1278,ODDS!$A$2:$C$13,3,0),"")</f>
        <v/>
      </c>
      <c r="AH1278" s="906" t="str">
        <f t="shared" si="266"/>
        <v xml:space="preserve"> </v>
      </c>
      <c r="AI1278" s="907" t="str">
        <f t="shared" si="271"/>
        <v xml:space="preserve"> </v>
      </c>
      <c r="AJ1278" s="1036"/>
      <c r="AK1278" s="902"/>
    </row>
    <row r="1279" spans="1:37" s="385" customFormat="1" ht="45" outlineLevel="2" x14ac:dyDescent="0.35">
      <c r="A1279" s="447">
        <f t="shared" si="283"/>
        <v>102</v>
      </c>
      <c r="B1279" s="893"/>
      <c r="C1279" s="1036"/>
      <c r="D1279" s="950"/>
      <c r="E1279" s="950"/>
      <c r="F1279" s="1032"/>
      <c r="G1279" s="894"/>
      <c r="H1279" s="1041"/>
      <c r="I1279" s="882"/>
      <c r="J1279" s="1042"/>
      <c r="K1279" s="899" t="str">
        <f>IF(G1279&lt;&gt;0,VLOOKUP(G1279,'gia dat'!$A$1:$F$144,5,0)," ")</f>
        <v xml:space="preserve"> </v>
      </c>
      <c r="L1279" s="899" t="str">
        <f>IF(G1279&lt;&gt;0,VLOOKUP(G1279,'gia dat'!$A$1:$F$144,6,0)," ")</f>
        <v xml:space="preserve"> </v>
      </c>
      <c r="M1279" s="900" t="str">
        <f t="shared" si="279"/>
        <v xml:space="preserve"> </v>
      </c>
      <c r="N1279" s="900" t="str">
        <f t="shared" si="280"/>
        <v xml:space="preserve"> </v>
      </c>
      <c r="O1279" s="922" t="s">
        <v>184</v>
      </c>
      <c r="P1279" s="1046">
        <v>1</v>
      </c>
      <c r="Q1279" s="900">
        <f>IF(O1279&lt;&gt;0,VLOOKUP(O1279,'Cây trong'!$A$2:$C$246,3,0)," ")</f>
        <v>1632000</v>
      </c>
      <c r="R1279" s="900">
        <f t="shared" si="265"/>
        <v>1632000</v>
      </c>
      <c r="S1279" s="922" t="s">
        <v>1763</v>
      </c>
      <c r="T1279" s="944" t="s">
        <v>2911</v>
      </c>
      <c r="U1279" s="1042">
        <v>13.4</v>
      </c>
      <c r="V1279" s="996"/>
      <c r="W1279" s="900">
        <f>IF(S1279&lt;&gt;0,VLOOKUP(S1279,VKT!$A$2:$G$415,7,0),"")</f>
        <v>3550600</v>
      </c>
      <c r="X1279" s="900">
        <f t="shared" si="276"/>
        <v>47578000</v>
      </c>
      <c r="Y1279" s="1016"/>
      <c r="Z1279" s="1016"/>
      <c r="AA1279" s="1016"/>
      <c r="AB1279" s="1026"/>
      <c r="AC1279" s="1016"/>
      <c r="AD1279" s="1016"/>
      <c r="AE1279" s="1016"/>
      <c r="AF1279" s="926"/>
      <c r="AG1279" s="906" t="str">
        <f>IF(AE1279&lt;&gt;0,VLOOKUP(AE1279,ODDS!$A$2:$C$13,3,0),"")</f>
        <v/>
      </c>
      <c r="AH1279" s="906" t="str">
        <f t="shared" si="266"/>
        <v xml:space="preserve"> </v>
      </c>
      <c r="AI1279" s="907" t="str">
        <f t="shared" si="271"/>
        <v xml:space="preserve"> </v>
      </c>
      <c r="AJ1279" s="1036"/>
      <c r="AK1279" s="902"/>
    </row>
    <row r="1280" spans="1:37" s="385" customFormat="1" ht="67.5" outlineLevel="2" x14ac:dyDescent="0.3">
      <c r="A1280" s="447">
        <f t="shared" si="283"/>
        <v>102</v>
      </c>
      <c r="B1280" s="893"/>
      <c r="C1280" s="908"/>
      <c r="D1280" s="950"/>
      <c r="E1280" s="950"/>
      <c r="F1280" s="1032"/>
      <c r="G1280" s="894"/>
      <c r="H1280" s="1041"/>
      <c r="I1280" s="882"/>
      <c r="J1280" s="1042"/>
      <c r="K1280" s="899" t="str">
        <f>IF(G1280&lt;&gt;0,VLOOKUP(G1280,'gia dat'!$A$1:$F$144,5,0)," ")</f>
        <v xml:space="preserve"> </v>
      </c>
      <c r="L1280" s="899" t="str">
        <f>IF(G1280&lt;&gt;0,VLOOKUP(G1280,'gia dat'!$A$1:$F$144,6,0)," ")</f>
        <v xml:space="preserve"> </v>
      </c>
      <c r="M1280" s="900" t="str">
        <f t="shared" si="279"/>
        <v xml:space="preserve"> </v>
      </c>
      <c r="N1280" s="900" t="str">
        <f t="shared" si="280"/>
        <v xml:space="preserve"> </v>
      </c>
      <c r="O1280" s="922" t="s">
        <v>89</v>
      </c>
      <c r="P1280" s="1046">
        <v>1</v>
      </c>
      <c r="Q1280" s="900">
        <f>IF(O1280&lt;&gt;0,VLOOKUP(O1280,'Cây trong'!$A$2:$C$246,3,0)," ")</f>
        <v>283000</v>
      </c>
      <c r="R1280" s="900">
        <f t="shared" si="265"/>
        <v>283000</v>
      </c>
      <c r="S1280" s="902" t="s">
        <v>1766</v>
      </c>
      <c r="T1280" s="944" t="s">
        <v>2911</v>
      </c>
      <c r="U1280" s="1042">
        <v>16.100000000000001</v>
      </c>
      <c r="V1280" s="996"/>
      <c r="W1280" s="900">
        <f>IF(S1280&lt;&gt;0,VLOOKUP(S1280,VKT!$A$2:$G$415,7,0),"")</f>
        <v>265836</v>
      </c>
      <c r="X1280" s="900">
        <f t="shared" si="276"/>
        <v>4280000</v>
      </c>
      <c r="Y1280" s="1016"/>
      <c r="Z1280" s="1016"/>
      <c r="AA1280" s="1016"/>
      <c r="AB1280" s="1026"/>
      <c r="AC1280" s="1016"/>
      <c r="AD1280" s="1016"/>
      <c r="AE1280" s="1016"/>
      <c r="AF1280" s="926"/>
      <c r="AG1280" s="906" t="str">
        <f>IF(AE1280&lt;&gt;0,VLOOKUP(AE1280,ODDS!$A$2:$C$13,3,0),"")</f>
        <v/>
      </c>
      <c r="AH1280" s="906" t="str">
        <f t="shared" si="266"/>
        <v xml:space="preserve"> </v>
      </c>
      <c r="AI1280" s="907" t="str">
        <f t="shared" si="271"/>
        <v xml:space="preserve"> </v>
      </c>
      <c r="AJ1280" s="929"/>
      <c r="AK1280" s="929"/>
    </row>
    <row r="1281" spans="1:37" s="385" customFormat="1" ht="45" outlineLevel="2" x14ac:dyDescent="0.3">
      <c r="A1281" s="447">
        <f t="shared" si="283"/>
        <v>102</v>
      </c>
      <c r="B1281" s="893"/>
      <c r="C1281" s="894"/>
      <c r="D1281" s="950"/>
      <c r="E1281" s="950"/>
      <c r="F1281" s="1032"/>
      <c r="G1281" s="894"/>
      <c r="H1281" s="1041"/>
      <c r="I1281" s="882"/>
      <c r="J1281" s="1042"/>
      <c r="K1281" s="899" t="str">
        <f>IF(G1281&lt;&gt;0,VLOOKUP(G1281,'gia dat'!$A$1:$F$144,5,0)," ")</f>
        <v xml:space="preserve"> </v>
      </c>
      <c r="L1281" s="899" t="str">
        <f>IF(G1281&lt;&gt;0,VLOOKUP(G1281,'gia dat'!$A$1:$F$144,6,0)," ")</f>
        <v xml:space="preserve"> </v>
      </c>
      <c r="M1281" s="900" t="str">
        <f t="shared" si="279"/>
        <v xml:space="preserve"> </v>
      </c>
      <c r="N1281" s="900" t="str">
        <f t="shared" si="280"/>
        <v xml:space="preserve"> </v>
      </c>
      <c r="O1281" s="922" t="s">
        <v>946</v>
      </c>
      <c r="P1281" s="1046">
        <v>1</v>
      </c>
      <c r="Q1281" s="900">
        <f>IF(O1281&lt;&gt;0,VLOOKUP(O1281,'Cây trong'!$A$2:$C$246,3,0)," ")</f>
        <v>54000</v>
      </c>
      <c r="R1281" s="900">
        <f t="shared" si="265"/>
        <v>54000</v>
      </c>
      <c r="S1281" s="922" t="s">
        <v>1767</v>
      </c>
      <c r="T1281" s="944" t="s">
        <v>2911</v>
      </c>
      <c r="U1281" s="1042">
        <v>17.3</v>
      </c>
      <c r="V1281" s="996"/>
      <c r="W1281" s="900">
        <f>IF(S1281&lt;&gt;0,VLOOKUP(S1281,VKT!$A$2:$G$415,7,0),"")</f>
        <v>0</v>
      </c>
      <c r="X1281" s="900">
        <f t="shared" si="276"/>
        <v>0</v>
      </c>
      <c r="Y1281" s="1016"/>
      <c r="Z1281" s="1016"/>
      <c r="AA1281" s="1016"/>
      <c r="AB1281" s="1026"/>
      <c r="AC1281" s="1016"/>
      <c r="AD1281" s="1016"/>
      <c r="AE1281" s="1016"/>
      <c r="AF1281" s="926"/>
      <c r="AG1281" s="906" t="str">
        <f>IF(AE1281&lt;&gt;0,VLOOKUP(AE1281,ODDS!$A$2:$C$13,3,0),"")</f>
        <v/>
      </c>
      <c r="AH1281" s="906" t="str">
        <f t="shared" si="266"/>
        <v xml:space="preserve"> </v>
      </c>
      <c r="AI1281" s="907" t="str">
        <f t="shared" si="271"/>
        <v xml:space="preserve"> </v>
      </c>
      <c r="AJ1281" s="894"/>
      <c r="AK1281" s="929"/>
    </row>
    <row r="1282" spans="1:37" s="385" customFormat="1" ht="67.5" outlineLevel="2" x14ac:dyDescent="0.3">
      <c r="A1282" s="447">
        <f t="shared" si="283"/>
        <v>102</v>
      </c>
      <c r="B1282" s="893"/>
      <c r="C1282" s="894"/>
      <c r="D1282" s="950"/>
      <c r="E1282" s="950"/>
      <c r="F1282" s="1032"/>
      <c r="G1282" s="894"/>
      <c r="H1282" s="1041"/>
      <c r="I1282" s="882"/>
      <c r="J1282" s="1042"/>
      <c r="K1282" s="899" t="str">
        <f>IF(G1282&lt;&gt;0,VLOOKUP(G1282,'gia dat'!$A$1:$F$144,5,0)," ")</f>
        <v xml:space="preserve"> </v>
      </c>
      <c r="L1282" s="899" t="str">
        <f>IF(G1282&lt;&gt;0,VLOOKUP(G1282,'gia dat'!$A$1:$F$144,6,0)," ")</f>
        <v xml:space="preserve"> </v>
      </c>
      <c r="M1282" s="900" t="str">
        <f t="shared" si="279"/>
        <v xml:space="preserve"> </v>
      </c>
      <c r="N1282" s="900" t="str">
        <f t="shared" si="280"/>
        <v xml:space="preserve"> </v>
      </c>
      <c r="O1282" s="922" t="s">
        <v>134</v>
      </c>
      <c r="P1282" s="1046">
        <v>1</v>
      </c>
      <c r="Q1282" s="900">
        <f>IF(O1282&lt;&gt;0,VLOOKUP(O1282,'Cây trong'!$A$2:$C$246,3,0)," ")</f>
        <v>203000</v>
      </c>
      <c r="R1282" s="900">
        <f t="shared" si="265"/>
        <v>203000</v>
      </c>
      <c r="S1282" s="902" t="s">
        <v>1768</v>
      </c>
      <c r="T1282" s="944" t="s">
        <v>2911</v>
      </c>
      <c r="U1282" s="1042">
        <v>17.3</v>
      </c>
      <c r="V1282" s="996"/>
      <c r="W1282" s="900">
        <f>IF(S1282&lt;&gt;0,VLOOKUP(S1282,VKT!$A$2:$G$415,7,0),"")</f>
        <v>238288</v>
      </c>
      <c r="X1282" s="900">
        <f t="shared" si="276"/>
        <v>4122000</v>
      </c>
      <c r="Y1282" s="1016"/>
      <c r="Z1282" s="1016"/>
      <c r="AA1282" s="1016"/>
      <c r="AB1282" s="1026"/>
      <c r="AC1282" s="1016"/>
      <c r="AD1282" s="1016"/>
      <c r="AE1282" s="1016"/>
      <c r="AF1282" s="926"/>
      <c r="AG1282" s="906" t="str">
        <f>IF(AE1282&lt;&gt;0,VLOOKUP(AE1282,ODDS!$A$2:$C$13,3,0),"")</f>
        <v/>
      </c>
      <c r="AH1282" s="906" t="str">
        <f t="shared" si="266"/>
        <v xml:space="preserve"> </v>
      </c>
      <c r="AI1282" s="907" t="str">
        <f t="shared" si="271"/>
        <v xml:space="preserve"> </v>
      </c>
      <c r="AJ1282" s="929"/>
      <c r="AK1282" s="929"/>
    </row>
    <row r="1283" spans="1:37" s="385" customFormat="1" ht="67.5" outlineLevel="2" x14ac:dyDescent="0.3">
      <c r="A1283" s="447">
        <f t="shared" si="283"/>
        <v>102</v>
      </c>
      <c r="B1283" s="893"/>
      <c r="C1283" s="894"/>
      <c r="D1283" s="950"/>
      <c r="E1283" s="950"/>
      <c r="F1283" s="1032"/>
      <c r="G1283" s="894"/>
      <c r="H1283" s="1041"/>
      <c r="I1283" s="882"/>
      <c r="J1283" s="1042"/>
      <c r="K1283" s="899" t="str">
        <f>IF(G1283&lt;&gt;0,VLOOKUP(G1283,'gia dat'!$A$1:$F$144,5,0)," ")</f>
        <v xml:space="preserve"> </v>
      </c>
      <c r="L1283" s="899" t="str">
        <f>IF(G1283&lt;&gt;0,VLOOKUP(G1283,'gia dat'!$A$1:$F$144,6,0)," ")</f>
        <v xml:space="preserve"> </v>
      </c>
      <c r="M1283" s="900" t="str">
        <f t="shared" si="279"/>
        <v xml:space="preserve"> </v>
      </c>
      <c r="N1283" s="900" t="str">
        <f t="shared" si="280"/>
        <v xml:space="preserve"> </v>
      </c>
      <c r="O1283" s="922" t="s">
        <v>352</v>
      </c>
      <c r="P1283" s="1046">
        <v>2</v>
      </c>
      <c r="Q1283" s="900">
        <f>IF(O1283&lt;&gt;0,VLOOKUP(O1283,'Cây trong'!$A$2:$C$246,3,0)," ")</f>
        <v>60000</v>
      </c>
      <c r="R1283" s="900">
        <f t="shared" si="265"/>
        <v>120000</v>
      </c>
      <c r="S1283" s="902" t="s">
        <v>1769</v>
      </c>
      <c r="T1283" s="944" t="s">
        <v>2911</v>
      </c>
      <c r="U1283" s="1042">
        <v>26.35</v>
      </c>
      <c r="V1283" s="996"/>
      <c r="W1283" s="900">
        <f>IF(S1283&lt;&gt;0,VLOOKUP(S1283,VKT!$A$2:$G$415,7,0),"")</f>
        <v>0</v>
      </c>
      <c r="X1283" s="900">
        <f t="shared" si="276"/>
        <v>0</v>
      </c>
      <c r="Y1283" s="1016"/>
      <c r="Z1283" s="1016"/>
      <c r="AA1283" s="1016"/>
      <c r="AB1283" s="1026"/>
      <c r="AC1283" s="1016"/>
      <c r="AD1283" s="1016"/>
      <c r="AE1283" s="1016"/>
      <c r="AF1283" s="926"/>
      <c r="AG1283" s="906" t="str">
        <f>IF(AE1283&lt;&gt;0,VLOOKUP(AE1283,ODDS!$A$2:$C$13,3,0),"")</f>
        <v/>
      </c>
      <c r="AH1283" s="906" t="str">
        <f t="shared" si="266"/>
        <v xml:space="preserve"> </v>
      </c>
      <c r="AI1283" s="907" t="str">
        <f t="shared" si="271"/>
        <v xml:space="preserve"> </v>
      </c>
      <c r="AJ1283" s="929"/>
      <c r="AK1283" s="929"/>
    </row>
    <row r="1284" spans="1:37" s="385" customFormat="1" ht="67.5" outlineLevel="2" x14ac:dyDescent="0.3">
      <c r="A1284" s="447">
        <f t="shared" si="283"/>
        <v>102</v>
      </c>
      <c r="B1284" s="893"/>
      <c r="C1284" s="894"/>
      <c r="D1284" s="950"/>
      <c r="E1284" s="950"/>
      <c r="F1284" s="1032"/>
      <c r="G1284" s="894"/>
      <c r="H1284" s="1041"/>
      <c r="I1284" s="882"/>
      <c r="J1284" s="1042"/>
      <c r="K1284" s="899" t="str">
        <f>IF(G1284&lt;&gt;0,VLOOKUP(G1284,'gia dat'!$A$1:$F$144,5,0)," ")</f>
        <v xml:space="preserve"> </v>
      </c>
      <c r="L1284" s="899" t="str">
        <f>IF(G1284&lt;&gt;0,VLOOKUP(G1284,'gia dat'!$A$1:$F$144,6,0)," ")</f>
        <v xml:space="preserve"> </v>
      </c>
      <c r="M1284" s="900" t="str">
        <f t="shared" si="279"/>
        <v xml:space="preserve"> </v>
      </c>
      <c r="N1284" s="900" t="str">
        <f t="shared" si="280"/>
        <v xml:space="preserve"> </v>
      </c>
      <c r="O1284" s="922" t="s">
        <v>739</v>
      </c>
      <c r="P1284" s="1046">
        <v>1</v>
      </c>
      <c r="Q1284" s="900">
        <f>IF(O1284&lt;&gt;0,VLOOKUP(O1284,'Cây trong'!$A$2:$C$246,3,0)," ")</f>
        <v>72000</v>
      </c>
      <c r="R1284" s="900">
        <f t="shared" si="265"/>
        <v>72000</v>
      </c>
      <c r="S1284" s="922" t="s">
        <v>1770</v>
      </c>
      <c r="T1284" s="944" t="s">
        <v>2930</v>
      </c>
      <c r="U1284" s="1042">
        <v>0.14000000000000001</v>
      </c>
      <c r="V1284" s="996"/>
      <c r="W1284" s="900">
        <f>IF(S1284&lt;&gt;0,VLOOKUP(S1284,VKT!$A$2:$G$415,7,0),"")</f>
        <v>3591896</v>
      </c>
      <c r="X1284" s="900">
        <f t="shared" si="276"/>
        <v>503000</v>
      </c>
      <c r="Y1284" s="1016"/>
      <c r="Z1284" s="1016"/>
      <c r="AA1284" s="1016"/>
      <c r="AB1284" s="1026"/>
      <c r="AC1284" s="1016"/>
      <c r="AD1284" s="1016"/>
      <c r="AE1284" s="1016"/>
      <c r="AF1284" s="926"/>
      <c r="AG1284" s="906" t="str">
        <f>IF(AE1284&lt;&gt;0,VLOOKUP(AE1284,ODDS!$A$2:$C$13,3,0),"")</f>
        <v/>
      </c>
      <c r="AH1284" s="906" t="str">
        <f t="shared" si="266"/>
        <v xml:space="preserve"> </v>
      </c>
      <c r="AI1284" s="907" t="str">
        <f t="shared" si="271"/>
        <v xml:space="preserve"> </v>
      </c>
      <c r="AJ1284" s="929"/>
      <c r="AK1284" s="929"/>
    </row>
    <row r="1285" spans="1:37" s="385" customFormat="1" ht="67.5" outlineLevel="2" x14ac:dyDescent="0.3">
      <c r="A1285" s="447">
        <f t="shared" si="283"/>
        <v>102</v>
      </c>
      <c r="B1285" s="893"/>
      <c r="C1285" s="894"/>
      <c r="D1285" s="950"/>
      <c r="E1285" s="950"/>
      <c r="F1285" s="1032"/>
      <c r="G1285" s="894"/>
      <c r="H1285" s="1041"/>
      <c r="I1285" s="882"/>
      <c r="J1285" s="1042"/>
      <c r="K1285" s="899" t="str">
        <f>IF(G1285&lt;&gt;0,VLOOKUP(G1285,'gia dat'!$A$1:$F$144,5,0)," ")</f>
        <v xml:space="preserve"> </v>
      </c>
      <c r="L1285" s="899" t="str">
        <f>IF(G1285&lt;&gt;0,VLOOKUP(G1285,'gia dat'!$A$1:$F$144,6,0)," ")</f>
        <v xml:space="preserve"> </v>
      </c>
      <c r="M1285" s="900" t="str">
        <f t="shared" si="279"/>
        <v xml:space="preserve"> </v>
      </c>
      <c r="N1285" s="900" t="str">
        <f t="shared" si="280"/>
        <v xml:space="preserve"> </v>
      </c>
      <c r="O1285" s="922" t="s">
        <v>948</v>
      </c>
      <c r="P1285" s="1046">
        <v>1</v>
      </c>
      <c r="Q1285" s="900">
        <f>IF(O1285&lt;&gt;0,VLOOKUP(O1285,'Cây trong'!$A$2:$C$246,3,0)," ")</f>
        <v>0</v>
      </c>
      <c r="R1285" s="900">
        <f t="shared" si="265"/>
        <v>0</v>
      </c>
      <c r="S1285" s="922" t="s">
        <v>1771</v>
      </c>
      <c r="T1285" s="944" t="s">
        <v>2911</v>
      </c>
      <c r="U1285" s="1042">
        <v>1.5</v>
      </c>
      <c r="V1285" s="996"/>
      <c r="W1285" s="900">
        <f>IF(S1285&lt;&gt;0,VLOOKUP(S1285,VKT!$A$2:$G$415,7,0),"")</f>
        <v>348773</v>
      </c>
      <c r="X1285" s="900">
        <f t="shared" si="276"/>
        <v>523000</v>
      </c>
      <c r="Y1285" s="1016"/>
      <c r="Z1285" s="1016"/>
      <c r="AA1285" s="1016"/>
      <c r="AB1285" s="1026"/>
      <c r="AC1285" s="1016"/>
      <c r="AD1285" s="1016"/>
      <c r="AE1285" s="1016"/>
      <c r="AF1285" s="926"/>
      <c r="AG1285" s="906" t="str">
        <f>IF(AE1285&lt;&gt;0,VLOOKUP(AE1285,ODDS!$A$2:$C$13,3,0),"")</f>
        <v/>
      </c>
      <c r="AH1285" s="906" t="str">
        <f t="shared" si="266"/>
        <v xml:space="preserve"> </v>
      </c>
      <c r="AI1285" s="907" t="str">
        <f t="shared" si="271"/>
        <v xml:space="preserve"> </v>
      </c>
      <c r="AJ1285" s="929"/>
      <c r="AK1285" s="929"/>
    </row>
    <row r="1286" spans="1:37" s="385" customFormat="1" ht="67.5" outlineLevel="2" x14ac:dyDescent="0.3">
      <c r="A1286" s="447">
        <f t="shared" si="283"/>
        <v>102</v>
      </c>
      <c r="B1286" s="893"/>
      <c r="C1286" s="894"/>
      <c r="D1286" s="950"/>
      <c r="E1286" s="950"/>
      <c r="F1286" s="1032"/>
      <c r="G1286" s="894"/>
      <c r="H1286" s="1041"/>
      <c r="I1286" s="882"/>
      <c r="J1286" s="1042"/>
      <c r="K1286" s="899" t="str">
        <f>IF(G1286&lt;&gt;0,VLOOKUP(G1286,'gia dat'!$A$1:$F$144,5,0)," ")</f>
        <v xml:space="preserve"> </v>
      </c>
      <c r="L1286" s="899" t="str">
        <f>IF(G1286&lt;&gt;0,VLOOKUP(G1286,'gia dat'!$A$1:$F$144,6,0)," ")</f>
        <v xml:space="preserve"> </v>
      </c>
      <c r="M1286" s="900" t="str">
        <f t="shared" si="279"/>
        <v xml:space="preserve"> </v>
      </c>
      <c r="N1286" s="900" t="str">
        <f t="shared" si="280"/>
        <v xml:space="preserve"> </v>
      </c>
      <c r="O1286" s="922" t="s">
        <v>2931</v>
      </c>
      <c r="P1286" s="1046">
        <v>3</v>
      </c>
      <c r="Q1286" s="900">
        <f>IF(O1286&lt;&gt;0,VLOOKUP(O1286,'Cây trong'!$A$2:$C$246,3,0)," ")</f>
        <v>8000</v>
      </c>
      <c r="R1286" s="900">
        <f t="shared" si="265"/>
        <v>24000</v>
      </c>
      <c r="S1286" s="922" t="s">
        <v>1772</v>
      </c>
      <c r="T1286" s="944" t="s">
        <v>2911</v>
      </c>
      <c r="U1286" s="1042">
        <v>0.52</v>
      </c>
      <c r="V1286" s="996"/>
      <c r="W1286" s="900">
        <f>IF(S1286&lt;&gt;0,VLOOKUP(S1286,VKT!$A$2:$G$415,7,0),"")</f>
        <v>254391</v>
      </c>
      <c r="X1286" s="900">
        <f t="shared" si="276"/>
        <v>132000</v>
      </c>
      <c r="Y1286" s="1016"/>
      <c r="Z1286" s="1016"/>
      <c r="AA1286" s="1016"/>
      <c r="AB1286" s="1026"/>
      <c r="AC1286" s="1016"/>
      <c r="AD1286" s="1016"/>
      <c r="AE1286" s="1016"/>
      <c r="AF1286" s="926"/>
      <c r="AG1286" s="906" t="str">
        <f>IF(AE1286&lt;&gt;0,VLOOKUP(AE1286,ODDS!$A$2:$C$13,3,0),"")</f>
        <v/>
      </c>
      <c r="AH1286" s="906" t="str">
        <f t="shared" si="266"/>
        <v xml:space="preserve"> </v>
      </c>
      <c r="AI1286" s="907" t="str">
        <f t="shared" si="271"/>
        <v xml:space="preserve"> </v>
      </c>
      <c r="AJ1286" s="929"/>
      <c r="AK1286" s="929"/>
    </row>
    <row r="1287" spans="1:37" s="385" customFormat="1" ht="67.5" outlineLevel="2" x14ac:dyDescent="0.3">
      <c r="A1287" s="447">
        <f t="shared" si="283"/>
        <v>102</v>
      </c>
      <c r="B1287" s="893"/>
      <c r="C1287" s="894"/>
      <c r="D1287" s="950"/>
      <c r="E1287" s="950"/>
      <c r="F1287" s="1032"/>
      <c r="G1287" s="894"/>
      <c r="H1287" s="1041"/>
      <c r="I1287" s="882"/>
      <c r="J1287" s="1042"/>
      <c r="K1287" s="899" t="str">
        <f>IF(G1287&lt;&gt;0,VLOOKUP(G1287,'gia dat'!$A$1:$F$144,5,0)," ")</f>
        <v xml:space="preserve"> </v>
      </c>
      <c r="L1287" s="899" t="str">
        <f>IF(G1287&lt;&gt;0,VLOOKUP(G1287,'gia dat'!$A$1:$F$144,6,0)," ")</f>
        <v xml:space="preserve"> </v>
      </c>
      <c r="M1287" s="900" t="str">
        <f t="shared" si="279"/>
        <v xml:space="preserve"> </v>
      </c>
      <c r="N1287" s="900" t="str">
        <f t="shared" si="280"/>
        <v xml:space="preserve"> </v>
      </c>
      <c r="O1287" s="922"/>
      <c r="P1287" s="1046"/>
      <c r="Q1287" s="900" t="str">
        <f>IF(O1287&lt;&gt;0,VLOOKUP(O1287,'Cây trong'!$A$2:$C$246,3,0)," ")</f>
        <v xml:space="preserve"> </v>
      </c>
      <c r="R1287" s="900" t="str">
        <f t="shared" si="265"/>
        <v xml:space="preserve"> </v>
      </c>
      <c r="S1287" s="922" t="s">
        <v>1771</v>
      </c>
      <c r="T1287" s="944" t="s">
        <v>2911</v>
      </c>
      <c r="U1287" s="1042">
        <v>1.32</v>
      </c>
      <c r="V1287" s="996"/>
      <c r="W1287" s="900">
        <f>IF(S1287&lt;&gt;0,VLOOKUP(S1287,VKT!$A$2:$G$415,7,0),"")</f>
        <v>348773</v>
      </c>
      <c r="X1287" s="900">
        <f t="shared" si="276"/>
        <v>460000</v>
      </c>
      <c r="Y1287" s="1016"/>
      <c r="Z1287" s="1016"/>
      <c r="AA1287" s="1016"/>
      <c r="AB1287" s="1026"/>
      <c r="AC1287" s="1016"/>
      <c r="AD1287" s="1016"/>
      <c r="AE1287" s="1016"/>
      <c r="AF1287" s="926"/>
      <c r="AG1287" s="906" t="str">
        <f>IF(AE1287&lt;&gt;0,VLOOKUP(AE1287,ODDS!$A$2:$C$13,3,0),"")</f>
        <v/>
      </c>
      <c r="AH1287" s="906" t="str">
        <f t="shared" si="266"/>
        <v xml:space="preserve"> </v>
      </c>
      <c r="AI1287" s="907" t="str">
        <f t="shared" si="271"/>
        <v xml:space="preserve"> </v>
      </c>
      <c r="AJ1287" s="929"/>
      <c r="AK1287" s="929"/>
    </row>
    <row r="1288" spans="1:37" s="385" customFormat="1" ht="67.5" outlineLevel="2" x14ac:dyDescent="0.3">
      <c r="A1288" s="447">
        <f t="shared" si="283"/>
        <v>102</v>
      </c>
      <c r="B1288" s="893"/>
      <c r="C1288" s="908"/>
      <c r="D1288" s="950"/>
      <c r="E1288" s="950"/>
      <c r="F1288" s="1032"/>
      <c r="G1288" s="894"/>
      <c r="H1288" s="1041"/>
      <c r="I1288" s="882"/>
      <c r="J1288" s="1042"/>
      <c r="K1288" s="899" t="str">
        <f>IF(G1288&lt;&gt;0,VLOOKUP(G1288,'gia dat'!$A$1:$F$144,5,0)," ")</f>
        <v xml:space="preserve"> </v>
      </c>
      <c r="L1288" s="899" t="str">
        <f>IF(G1288&lt;&gt;0,VLOOKUP(G1288,'gia dat'!$A$1:$F$144,6,0)," ")</f>
        <v xml:space="preserve"> </v>
      </c>
      <c r="M1288" s="900" t="str">
        <f t="shared" si="279"/>
        <v xml:space="preserve"> </v>
      </c>
      <c r="N1288" s="900" t="str">
        <f t="shared" si="280"/>
        <v xml:space="preserve"> </v>
      </c>
      <c r="O1288" s="922"/>
      <c r="P1288" s="1046"/>
      <c r="Q1288" s="900" t="str">
        <f>IF(O1288&lt;&gt;0,VLOOKUP(O1288,'Cây trong'!$A$2:$C$246,3,0)," ")</f>
        <v xml:space="preserve"> </v>
      </c>
      <c r="R1288" s="900" t="str">
        <f t="shared" si="265"/>
        <v xml:space="preserve"> </v>
      </c>
      <c r="S1288" s="922" t="s">
        <v>1771</v>
      </c>
      <c r="T1288" s="944" t="s">
        <v>2911</v>
      </c>
      <c r="U1288" s="1042">
        <v>0.36</v>
      </c>
      <c r="V1288" s="996"/>
      <c r="W1288" s="900">
        <f>IF(S1288&lt;&gt;0,VLOOKUP(S1288,VKT!$A$2:$G$415,7,0),"")</f>
        <v>348773</v>
      </c>
      <c r="X1288" s="900">
        <f t="shared" si="276"/>
        <v>126000</v>
      </c>
      <c r="Y1288" s="1016"/>
      <c r="Z1288" s="1016"/>
      <c r="AA1288" s="1016"/>
      <c r="AB1288" s="1026"/>
      <c r="AC1288" s="1016"/>
      <c r="AD1288" s="1016"/>
      <c r="AE1288" s="1016"/>
      <c r="AF1288" s="926"/>
      <c r="AG1288" s="906" t="str">
        <f>IF(AE1288&lt;&gt;0,VLOOKUP(AE1288,ODDS!$A$2:$C$13,3,0),"")</f>
        <v/>
      </c>
      <c r="AH1288" s="906" t="str">
        <f t="shared" si="266"/>
        <v xml:space="preserve"> </v>
      </c>
      <c r="AI1288" s="907" t="str">
        <f t="shared" si="271"/>
        <v xml:space="preserve"> </v>
      </c>
      <c r="AJ1288" s="929"/>
      <c r="AK1288" s="929"/>
    </row>
    <row r="1289" spans="1:37" s="385" customFormat="1" ht="45" outlineLevel="2" x14ac:dyDescent="0.3">
      <c r="A1289" s="447">
        <f t="shared" si="283"/>
        <v>102</v>
      </c>
      <c r="B1289" s="893"/>
      <c r="C1289" s="908"/>
      <c r="D1289" s="1035"/>
      <c r="E1289" s="950"/>
      <c r="F1289" s="1032"/>
      <c r="G1289" s="894"/>
      <c r="H1289" s="1041"/>
      <c r="I1289" s="882"/>
      <c r="J1289" s="1042"/>
      <c r="K1289" s="899" t="str">
        <f>IF(G1289&lt;&gt;0,VLOOKUP(G1289,'gia dat'!$A$1:$F$144,5,0)," ")</f>
        <v xml:space="preserve"> </v>
      </c>
      <c r="L1289" s="899" t="str">
        <f>IF(G1289&lt;&gt;0,VLOOKUP(G1289,'gia dat'!$A$1:$F$144,6,0)," ")</f>
        <v xml:space="preserve"> </v>
      </c>
      <c r="M1289" s="900" t="str">
        <f t="shared" si="279"/>
        <v xml:space="preserve"> </v>
      </c>
      <c r="N1289" s="900" t="str">
        <f t="shared" si="280"/>
        <v xml:space="preserve"> </v>
      </c>
      <c r="O1289" s="922"/>
      <c r="P1289" s="1046"/>
      <c r="Q1289" s="900" t="str">
        <f>IF(O1289&lt;&gt;0,VLOOKUP(O1289,'Cây trong'!$A$2:$C$246,3,0)," ")</f>
        <v xml:space="preserve"> </v>
      </c>
      <c r="R1289" s="900" t="str">
        <f t="shared" si="265"/>
        <v xml:space="preserve"> </v>
      </c>
      <c r="S1289" s="922" t="s">
        <v>1773</v>
      </c>
      <c r="T1289" s="944" t="s">
        <v>2930</v>
      </c>
      <c r="U1289" s="1042">
        <v>0.08</v>
      </c>
      <c r="V1289" s="996"/>
      <c r="W1289" s="900">
        <f>IF(S1289&lt;&gt;0,VLOOKUP(S1289,VKT!$A$2:$G$415,7,0),"")</f>
        <v>0</v>
      </c>
      <c r="X1289" s="900">
        <f t="shared" si="276"/>
        <v>0</v>
      </c>
      <c r="Y1289" s="1016"/>
      <c r="Z1289" s="1016"/>
      <c r="AA1289" s="1016"/>
      <c r="AB1289" s="1026"/>
      <c r="AC1289" s="1016"/>
      <c r="AD1289" s="1016"/>
      <c r="AE1289" s="1016"/>
      <c r="AF1289" s="926"/>
      <c r="AG1289" s="906" t="str">
        <f>IF(AE1289&lt;&gt;0,VLOOKUP(AE1289,ODDS!$A$2:$C$13,3,0),"")</f>
        <v/>
      </c>
      <c r="AH1289" s="906" t="str">
        <f t="shared" si="266"/>
        <v xml:space="preserve"> </v>
      </c>
      <c r="AI1289" s="907" t="str">
        <f t="shared" ref="AI1289:AI1352" si="284">IF(B1289&lt;&gt;0,M1289+N1289+R1289+X1289+AH1289," ")</f>
        <v xml:space="preserve"> </v>
      </c>
      <c r="AJ1289" s="929"/>
      <c r="AK1289" s="929"/>
    </row>
    <row r="1290" spans="1:37" s="385" customFormat="1" ht="67.5" outlineLevel="2" x14ac:dyDescent="0.3">
      <c r="A1290" s="447">
        <f t="shared" si="283"/>
        <v>102</v>
      </c>
      <c r="B1290" s="893"/>
      <c r="C1290" s="908"/>
      <c r="D1290" s="1035"/>
      <c r="E1290" s="950"/>
      <c r="F1290" s="1032"/>
      <c r="G1290" s="894"/>
      <c r="H1290" s="1041"/>
      <c r="I1290" s="882"/>
      <c r="J1290" s="1042"/>
      <c r="K1290" s="899" t="str">
        <f>IF(G1290&lt;&gt;0,VLOOKUP(G1290,'gia dat'!$A$1:$F$144,5,0)," ")</f>
        <v xml:space="preserve"> </v>
      </c>
      <c r="L1290" s="899" t="str">
        <f>IF(G1290&lt;&gt;0,VLOOKUP(G1290,'gia dat'!$A$1:$F$144,6,0)," ")</f>
        <v xml:space="preserve"> </v>
      </c>
      <c r="M1290" s="900" t="str">
        <f t="shared" si="279"/>
        <v xml:space="preserve"> </v>
      </c>
      <c r="N1290" s="900" t="str">
        <f t="shared" si="280"/>
        <v xml:space="preserve"> </v>
      </c>
      <c r="O1290" s="922"/>
      <c r="P1290" s="1046"/>
      <c r="Q1290" s="900" t="str">
        <f>IF(O1290&lt;&gt;0,VLOOKUP(O1290,'Cây trong'!$A$2:$C$246,3,0)," ")</f>
        <v xml:space="preserve"> </v>
      </c>
      <c r="R1290" s="900" t="str">
        <f t="shared" si="265"/>
        <v xml:space="preserve"> </v>
      </c>
      <c r="S1290" s="922" t="s">
        <v>1774</v>
      </c>
      <c r="T1290" s="944" t="s">
        <v>2911</v>
      </c>
      <c r="U1290" s="1042">
        <v>2.16</v>
      </c>
      <c r="V1290" s="996"/>
      <c r="W1290" s="900">
        <f>IF(S1290&lt;&gt;0,VLOOKUP(S1290,VKT!$A$2:$G$415,7,0),"")</f>
        <v>286855</v>
      </c>
      <c r="X1290" s="900">
        <f t="shared" si="276"/>
        <v>620000</v>
      </c>
      <c r="Y1290" s="1016"/>
      <c r="Z1290" s="1016"/>
      <c r="AA1290" s="1016"/>
      <c r="AB1290" s="1026"/>
      <c r="AC1290" s="1016"/>
      <c r="AD1290" s="1016"/>
      <c r="AE1290" s="1016"/>
      <c r="AF1290" s="926"/>
      <c r="AG1290" s="906" t="str">
        <f>IF(AE1290&lt;&gt;0,VLOOKUP(AE1290,ODDS!$A$2:$C$13,3,0),"")</f>
        <v/>
      </c>
      <c r="AH1290" s="906" t="str">
        <f t="shared" si="266"/>
        <v xml:space="preserve"> </v>
      </c>
      <c r="AI1290" s="907" t="str">
        <f t="shared" si="284"/>
        <v xml:space="preserve"> </v>
      </c>
      <c r="AJ1290" s="922"/>
      <c r="AK1290" s="922"/>
    </row>
    <row r="1291" spans="1:37" s="385" customFormat="1" ht="45" outlineLevel="2" x14ac:dyDescent="0.3">
      <c r="A1291" s="447">
        <f t="shared" si="283"/>
        <v>102</v>
      </c>
      <c r="B1291" s="893"/>
      <c r="C1291" s="908"/>
      <c r="D1291" s="950"/>
      <c r="E1291" s="947"/>
      <c r="F1291" s="947"/>
      <c r="G1291" s="922"/>
      <c r="H1291" s="1041"/>
      <c r="I1291" s="882"/>
      <c r="J1291" s="1042"/>
      <c r="K1291" s="899" t="str">
        <f>IF(G1291&lt;&gt;0,VLOOKUP(G1291,'gia dat'!$A$1:$F$144,5,0)," ")</f>
        <v xml:space="preserve"> </v>
      </c>
      <c r="L1291" s="899" t="str">
        <f>IF(G1291&lt;&gt;0,VLOOKUP(G1291,'gia dat'!$A$1:$F$144,6,0)," ")</f>
        <v xml:space="preserve"> </v>
      </c>
      <c r="M1291" s="900" t="str">
        <f t="shared" si="279"/>
        <v xml:space="preserve"> </v>
      </c>
      <c r="N1291" s="900" t="str">
        <f t="shared" si="280"/>
        <v xml:space="preserve"> </v>
      </c>
      <c r="O1291" s="922"/>
      <c r="P1291" s="1046"/>
      <c r="Q1291" s="900" t="str">
        <f>IF(O1291&lt;&gt;0,VLOOKUP(O1291,'Cây trong'!$A$2:$C$246,3,0)," ")</f>
        <v xml:space="preserve"> </v>
      </c>
      <c r="R1291" s="900" t="str">
        <f t="shared" si="265"/>
        <v xml:space="preserve"> </v>
      </c>
      <c r="S1291" s="922" t="s">
        <v>1775</v>
      </c>
      <c r="T1291" s="944" t="s">
        <v>2911</v>
      </c>
      <c r="U1291" s="1042">
        <v>12.75</v>
      </c>
      <c r="V1291" s="996"/>
      <c r="W1291" s="900">
        <f>IF(S1291&lt;&gt;0,VLOOKUP(S1291,VKT!$A$2:$G$415,7,0),"")</f>
        <v>0</v>
      </c>
      <c r="X1291" s="900">
        <f t="shared" si="276"/>
        <v>0</v>
      </c>
      <c r="Y1291" s="1016"/>
      <c r="Z1291" s="1016"/>
      <c r="AA1291" s="1016"/>
      <c r="AB1291" s="1026"/>
      <c r="AC1291" s="1016"/>
      <c r="AD1291" s="1016"/>
      <c r="AE1291" s="1016"/>
      <c r="AF1291" s="926"/>
      <c r="AG1291" s="906" t="str">
        <f>IF(AE1291&lt;&gt;0,VLOOKUP(AE1291,ODDS!$A$2:$C$13,3,0),"")</f>
        <v/>
      </c>
      <c r="AH1291" s="906" t="str">
        <f t="shared" si="266"/>
        <v xml:space="preserve"> </v>
      </c>
      <c r="AI1291" s="907" t="str">
        <f t="shared" si="284"/>
        <v xml:space="preserve"> </v>
      </c>
      <c r="AJ1291" s="929"/>
      <c r="AK1291" s="929"/>
    </row>
    <row r="1292" spans="1:37" s="385" customFormat="1" ht="45" outlineLevel="2" x14ac:dyDescent="0.3">
      <c r="A1292" s="447">
        <f t="shared" si="283"/>
        <v>102</v>
      </c>
      <c r="B1292" s="893"/>
      <c r="C1292" s="908"/>
      <c r="D1292" s="950"/>
      <c r="E1292" s="947"/>
      <c r="F1292" s="947"/>
      <c r="G1292" s="922"/>
      <c r="H1292" s="1041"/>
      <c r="I1292" s="882"/>
      <c r="J1292" s="1042"/>
      <c r="K1292" s="899" t="str">
        <f>IF(G1292&lt;&gt;0,VLOOKUP(G1292,'gia dat'!$A$1:$F$144,5,0)," ")</f>
        <v xml:space="preserve"> </v>
      </c>
      <c r="L1292" s="899" t="str">
        <f>IF(G1292&lt;&gt;0,VLOOKUP(G1292,'gia dat'!$A$1:$F$144,6,0)," ")</f>
        <v xml:space="preserve"> </v>
      </c>
      <c r="M1292" s="900" t="str">
        <f t="shared" si="279"/>
        <v xml:space="preserve"> </v>
      </c>
      <c r="N1292" s="900" t="str">
        <f t="shared" si="280"/>
        <v xml:space="preserve"> </v>
      </c>
      <c r="O1292" s="922"/>
      <c r="P1292" s="1046"/>
      <c r="Q1292" s="900" t="str">
        <f>IF(O1292&lt;&gt;0,VLOOKUP(O1292,'Cây trong'!$A$2:$C$246,3,0)," ")</f>
        <v xml:space="preserve"> </v>
      </c>
      <c r="R1292" s="900" t="str">
        <f t="shared" si="265"/>
        <v xml:space="preserve"> </v>
      </c>
      <c r="S1292" s="922" t="s">
        <v>1776</v>
      </c>
      <c r="T1292" s="944" t="s">
        <v>2911</v>
      </c>
      <c r="U1292" s="1042">
        <v>94.8</v>
      </c>
      <c r="V1292" s="996"/>
      <c r="W1292" s="900">
        <f>IF(S1292&lt;&gt;0,VLOOKUP(S1292,VKT!$A$2:$G$415,7,0),"")</f>
        <v>177161</v>
      </c>
      <c r="X1292" s="900">
        <f t="shared" si="276"/>
        <v>16795000</v>
      </c>
      <c r="Y1292" s="1016"/>
      <c r="Z1292" s="1016"/>
      <c r="AA1292" s="1016"/>
      <c r="AB1292" s="1026"/>
      <c r="AC1292" s="1016"/>
      <c r="AD1292" s="1016"/>
      <c r="AE1292" s="1016"/>
      <c r="AF1292" s="926"/>
      <c r="AG1292" s="906" t="str">
        <f>IF(AE1292&lt;&gt;0,VLOOKUP(AE1292,ODDS!$A$2:$C$13,3,0),"")</f>
        <v/>
      </c>
      <c r="AH1292" s="906" t="str">
        <f t="shared" si="266"/>
        <v xml:space="preserve"> </v>
      </c>
      <c r="AI1292" s="907" t="str">
        <f t="shared" si="284"/>
        <v xml:space="preserve"> </v>
      </c>
      <c r="AJ1292" s="929"/>
      <c r="AK1292" s="929"/>
    </row>
    <row r="1293" spans="1:37" s="385" customFormat="1" ht="67.5" outlineLevel="2" x14ac:dyDescent="0.3">
      <c r="A1293" s="447">
        <f t="shared" si="283"/>
        <v>102</v>
      </c>
      <c r="B1293" s="893"/>
      <c r="C1293" s="908"/>
      <c r="D1293" s="950"/>
      <c r="E1293" s="947"/>
      <c r="F1293" s="947"/>
      <c r="G1293" s="922"/>
      <c r="H1293" s="1041"/>
      <c r="I1293" s="882"/>
      <c r="J1293" s="1042"/>
      <c r="K1293" s="899" t="str">
        <f>IF(G1293&lt;&gt;0,VLOOKUP(G1293,'gia dat'!$A$1:$F$144,5,0)," ")</f>
        <v xml:space="preserve"> </v>
      </c>
      <c r="L1293" s="899" t="str">
        <f>IF(G1293&lt;&gt;0,VLOOKUP(G1293,'gia dat'!$A$1:$F$144,6,0)," ")</f>
        <v xml:space="preserve"> </v>
      </c>
      <c r="M1293" s="900" t="str">
        <f t="shared" si="279"/>
        <v xml:space="preserve"> </v>
      </c>
      <c r="N1293" s="900" t="str">
        <f t="shared" si="280"/>
        <v xml:space="preserve"> </v>
      </c>
      <c r="O1293" s="922"/>
      <c r="P1293" s="1046"/>
      <c r="Q1293" s="900" t="str">
        <f>IF(O1293&lt;&gt;0,VLOOKUP(O1293,'Cây trong'!$A$2:$C$246,3,0)," ")</f>
        <v xml:space="preserve"> </v>
      </c>
      <c r="R1293" s="900" t="str">
        <f t="shared" si="265"/>
        <v xml:space="preserve"> </v>
      </c>
      <c r="S1293" s="922" t="s">
        <v>1777</v>
      </c>
      <c r="T1293" s="944" t="s">
        <v>2911</v>
      </c>
      <c r="U1293" s="1042">
        <v>65.400000000000006</v>
      </c>
      <c r="V1293" s="996"/>
      <c r="W1293" s="900">
        <f>IF(S1293&lt;&gt;0,VLOOKUP(S1293,VKT!$A$2:$G$415,7,0),"")</f>
        <v>286855</v>
      </c>
      <c r="X1293" s="900">
        <f t="shared" si="276"/>
        <v>18760000</v>
      </c>
      <c r="Y1293" s="1016"/>
      <c r="Z1293" s="1016"/>
      <c r="AA1293" s="1016"/>
      <c r="AB1293" s="1026"/>
      <c r="AC1293" s="1016"/>
      <c r="AD1293" s="1016"/>
      <c r="AE1293" s="1016"/>
      <c r="AF1293" s="926"/>
      <c r="AG1293" s="906" t="str">
        <f>IF(AE1293&lt;&gt;0,VLOOKUP(AE1293,ODDS!$A$2:$C$13,3,0),"")</f>
        <v/>
      </c>
      <c r="AH1293" s="906" t="str">
        <f t="shared" si="266"/>
        <v xml:space="preserve"> </v>
      </c>
      <c r="AI1293" s="907" t="str">
        <f t="shared" si="284"/>
        <v xml:space="preserve"> </v>
      </c>
      <c r="AJ1293" s="929"/>
      <c r="AK1293" s="929"/>
    </row>
    <row r="1294" spans="1:37" s="385" customFormat="1" ht="22.5" outlineLevel="2" x14ac:dyDescent="0.3">
      <c r="A1294" s="447">
        <f t="shared" si="283"/>
        <v>102</v>
      </c>
      <c r="B1294" s="893"/>
      <c r="C1294" s="908"/>
      <c r="D1294" s="950"/>
      <c r="E1294" s="947"/>
      <c r="F1294" s="947"/>
      <c r="G1294" s="922"/>
      <c r="H1294" s="1041"/>
      <c r="I1294" s="882"/>
      <c r="J1294" s="1042"/>
      <c r="K1294" s="899" t="str">
        <f>IF(G1294&lt;&gt;0,VLOOKUP(G1294,'gia dat'!$A$1:$F$144,5,0)," ")</f>
        <v xml:space="preserve"> </v>
      </c>
      <c r="L1294" s="899" t="str">
        <f>IF(G1294&lt;&gt;0,VLOOKUP(G1294,'gia dat'!$A$1:$F$144,6,0)," ")</f>
        <v xml:space="preserve"> </v>
      </c>
      <c r="M1294" s="900" t="str">
        <f t="shared" si="279"/>
        <v xml:space="preserve"> </v>
      </c>
      <c r="N1294" s="900" t="str">
        <f t="shared" si="280"/>
        <v xml:space="preserve"> </v>
      </c>
      <c r="O1294" s="922"/>
      <c r="P1294" s="1046"/>
      <c r="Q1294" s="900" t="str">
        <f>IF(O1294&lt;&gt;0,VLOOKUP(O1294,'Cây trong'!$A$2:$C$246,3,0)," ")</f>
        <v xml:space="preserve"> </v>
      </c>
      <c r="R1294" s="900" t="str">
        <f t="shared" si="265"/>
        <v xml:space="preserve"> </v>
      </c>
      <c r="S1294" s="922"/>
      <c r="T1294" s="944"/>
      <c r="U1294" s="1042"/>
      <c r="V1294" s="996"/>
      <c r="W1294" s="900" t="str">
        <f>IF(S1294&lt;&gt;0,VLOOKUP(S1294,VKT!$A$2:$G$415,7,0),"")</f>
        <v/>
      </c>
      <c r="X1294" s="900" t="str">
        <f t="shared" si="276"/>
        <v xml:space="preserve"> </v>
      </c>
      <c r="Y1294" s="1016"/>
      <c r="Z1294" s="1016"/>
      <c r="AA1294" s="1016"/>
      <c r="AB1294" s="1026"/>
      <c r="AC1294" s="1016"/>
      <c r="AD1294" s="1016"/>
      <c r="AE1294" s="1016"/>
      <c r="AF1294" s="926"/>
      <c r="AG1294" s="906" t="str">
        <f>IF(AE1294&lt;&gt;0,VLOOKUP(AE1294,ODDS!$A$2:$C$13,3,0),"")</f>
        <v/>
      </c>
      <c r="AH1294" s="906" t="str">
        <f t="shared" si="266"/>
        <v xml:space="preserve"> </v>
      </c>
      <c r="AI1294" s="907" t="str">
        <f t="shared" si="284"/>
        <v xml:space="preserve"> </v>
      </c>
      <c r="AJ1294" s="929"/>
      <c r="AK1294" s="929"/>
    </row>
    <row r="1295" spans="1:37" s="385" customFormat="1" ht="22.5" outlineLevel="2" x14ac:dyDescent="0.3">
      <c r="A1295" s="447">
        <f t="shared" si="283"/>
        <v>102</v>
      </c>
      <c r="B1295" s="893"/>
      <c r="C1295" s="910"/>
      <c r="D1295" s="950"/>
      <c r="E1295" s="950"/>
      <c r="F1295" s="1032"/>
      <c r="G1295" s="894"/>
      <c r="H1295" s="1041"/>
      <c r="I1295" s="882"/>
      <c r="J1295" s="1042"/>
      <c r="K1295" s="899" t="str">
        <f>IF(G1295&lt;&gt;0,VLOOKUP(G1295,'gia dat'!$A$1:$F$144,5,0)," ")</f>
        <v xml:space="preserve"> </v>
      </c>
      <c r="L1295" s="899" t="str">
        <f>IF(G1295&lt;&gt;0,VLOOKUP(G1295,'gia dat'!$A$1:$F$144,6,0)," ")</f>
        <v xml:space="preserve"> </v>
      </c>
      <c r="M1295" s="900" t="str">
        <f t="shared" si="279"/>
        <v xml:space="preserve"> </v>
      </c>
      <c r="N1295" s="900" t="str">
        <f t="shared" si="280"/>
        <v xml:space="preserve"> </v>
      </c>
      <c r="O1295" s="922"/>
      <c r="P1295" s="1046"/>
      <c r="Q1295" s="900" t="str">
        <f>IF(O1295&lt;&gt;0,VLOOKUP(O1295,'Cây trong'!$A$2:$C$246,3,0)," ")</f>
        <v xml:space="preserve"> </v>
      </c>
      <c r="R1295" s="900" t="str">
        <f t="shared" ref="R1295:R1365" si="285">IF(O1295&lt;&gt;0,ROUND(P1295*Q1295,-2)," ")</f>
        <v xml:space="preserve"> </v>
      </c>
      <c r="S1295" s="922"/>
      <c r="T1295" s="944"/>
      <c r="U1295" s="1042"/>
      <c r="V1295" s="996"/>
      <c r="W1295" s="900" t="str">
        <f>IF(S1295&lt;&gt;0,VLOOKUP(S1295,VKT!$A$2:$G$415,7,0),"")</f>
        <v/>
      </c>
      <c r="X1295" s="900" t="str">
        <f t="shared" si="276"/>
        <v xml:space="preserve"> </v>
      </c>
      <c r="Y1295" s="1016"/>
      <c r="Z1295" s="1016"/>
      <c r="AA1295" s="1016"/>
      <c r="AB1295" s="1026"/>
      <c r="AC1295" s="1016"/>
      <c r="AD1295" s="1016"/>
      <c r="AE1295" s="1016"/>
      <c r="AF1295" s="926"/>
      <c r="AG1295" s="906" t="str">
        <f>IF(AE1295&lt;&gt;0,VLOOKUP(AE1295,ODDS!$A$2:$C$13,3,0),"")</f>
        <v/>
      </c>
      <c r="AH1295" s="906" t="str">
        <f t="shared" ref="AH1295:AH1365" si="286">IF(AE1295&lt;&gt;0,ROUND(AF1295*AG1295,-2)," ")</f>
        <v xml:space="preserve"> </v>
      </c>
      <c r="AI1295" s="907" t="str">
        <f t="shared" si="284"/>
        <v xml:space="preserve"> </v>
      </c>
      <c r="AJ1295" s="929"/>
      <c r="AK1295" s="929"/>
    </row>
    <row r="1296" spans="1:37" s="385" customFormat="1" ht="43.5" outlineLevel="1" x14ac:dyDescent="0.25">
      <c r="A1296" s="467" t="s">
        <v>2607</v>
      </c>
      <c r="B1296" s="912">
        <v>103</v>
      </c>
      <c r="C1296" s="910" t="s">
        <v>950</v>
      </c>
      <c r="D1296" s="1037"/>
      <c r="E1296" s="1037"/>
      <c r="F1296" s="1038"/>
      <c r="G1296" s="910"/>
      <c r="H1296" s="1039">
        <f>SUBTOTAL(9,H1297:H1302)</f>
        <v>0</v>
      </c>
      <c r="I1296" s="915">
        <f>SUBTOTAL(9,I1297:I1302)</f>
        <v>0</v>
      </c>
      <c r="J1296" s="1040"/>
      <c r="K1296" s="917"/>
      <c r="L1296" s="917"/>
      <c r="M1296" s="907">
        <f>SUBTOTAL(9,M1297:M1302)</f>
        <v>0</v>
      </c>
      <c r="N1296" s="907">
        <f>SUBTOTAL(9,N1297:N1302)</f>
        <v>0</v>
      </c>
      <c r="O1296" s="914"/>
      <c r="P1296" s="1044">
        <f>SUBTOTAL(9,P1297:P1302)</f>
        <v>0</v>
      </c>
      <c r="Q1296" s="907"/>
      <c r="R1296" s="907">
        <f>SUBTOTAL(9,R1297:R1302)</f>
        <v>0</v>
      </c>
      <c r="S1296" s="914"/>
      <c r="T1296" s="956"/>
      <c r="U1296" s="1040">
        <f>SUBTOTAL(9,U1297:U1302)</f>
        <v>27.9</v>
      </c>
      <c r="V1296" s="998"/>
      <c r="W1296" s="907"/>
      <c r="X1296" s="907">
        <f>SUBTOTAL(9,X1297:X1302)</f>
        <v>32052000</v>
      </c>
      <c r="Y1296" s="1016"/>
      <c r="Z1296" s="1016"/>
      <c r="AA1296" s="1016"/>
      <c r="AB1296" s="1026"/>
      <c r="AC1296" s="1016"/>
      <c r="AD1296" s="1016"/>
      <c r="AE1296" s="985"/>
      <c r="AF1296" s="935">
        <f>SUBTOTAL(9,AF1297:AF1302)</f>
        <v>0</v>
      </c>
      <c r="AG1296" s="921"/>
      <c r="AH1296" s="921">
        <f>SUBTOTAL(9,AH1297:AH1302)</f>
        <v>0</v>
      </c>
      <c r="AI1296" s="907">
        <f t="shared" si="284"/>
        <v>32052000</v>
      </c>
      <c r="AJ1296" s="910"/>
      <c r="AK1296" s="910"/>
    </row>
    <row r="1297" spans="1:37" s="385" customFormat="1" ht="112.5" outlineLevel="2" x14ac:dyDescent="0.3">
      <c r="A1297" s="447">
        <f>IF(B1296&lt;&gt;0,B1296,A1295)</f>
        <v>103</v>
      </c>
      <c r="B1297" s="893"/>
      <c r="C1297" s="894" t="s">
        <v>952</v>
      </c>
      <c r="D1297" s="950">
        <v>1</v>
      </c>
      <c r="E1297" s="950"/>
      <c r="F1297" s="1032"/>
      <c r="G1297" s="894"/>
      <c r="H1297" s="1041"/>
      <c r="I1297" s="882"/>
      <c r="J1297" s="1042"/>
      <c r="K1297" s="899" t="str">
        <f>IF(G1297&lt;&gt;0,VLOOKUP(G1297,'gia dat'!$A$1:$F$144,5,0)," ")</f>
        <v xml:space="preserve"> </v>
      </c>
      <c r="L1297" s="899" t="str">
        <f>IF(G1297&lt;&gt;0,VLOOKUP(G1297,'gia dat'!$A$1:$F$144,6,0)," ")</f>
        <v xml:space="preserve"> </v>
      </c>
      <c r="M1297" s="900" t="str">
        <f t="shared" si="279"/>
        <v xml:space="preserve"> </v>
      </c>
      <c r="N1297" s="900" t="str">
        <f t="shared" si="280"/>
        <v xml:space="preserve"> </v>
      </c>
      <c r="O1297" s="922"/>
      <c r="P1297" s="1046"/>
      <c r="Q1297" s="900" t="str">
        <f>IF(O1297&lt;&gt;0,VLOOKUP(O1297,'Cây trong'!$A$2:$C$246,3,0)," ")</f>
        <v xml:space="preserve"> </v>
      </c>
      <c r="R1297" s="900" t="str">
        <f t="shared" si="285"/>
        <v xml:space="preserve"> </v>
      </c>
      <c r="S1297" s="922" t="s">
        <v>1778</v>
      </c>
      <c r="T1297" s="944" t="s">
        <v>2911</v>
      </c>
      <c r="U1297" s="1042">
        <v>22.5</v>
      </c>
      <c r="V1297" s="996"/>
      <c r="W1297" s="900">
        <f>IF(S1297&lt;&gt;0,VLOOKUP(S1297,VKT!$A$2:$G$415,7,0),"")</f>
        <v>1399121</v>
      </c>
      <c r="X1297" s="900">
        <f t="shared" si="276"/>
        <v>31480000</v>
      </c>
      <c r="Y1297" s="1016"/>
      <c r="Z1297" s="1016"/>
      <c r="AA1297" s="1016"/>
      <c r="AB1297" s="1026"/>
      <c r="AC1297" s="1016"/>
      <c r="AD1297" s="1016"/>
      <c r="AE1297" s="1016"/>
      <c r="AF1297" s="926"/>
      <c r="AG1297" s="906" t="str">
        <f>IF(AE1297&lt;&gt;0,VLOOKUP(AE1297,ODDS!$A$2:$C$13,3,0),"")</f>
        <v/>
      </c>
      <c r="AH1297" s="906" t="str">
        <f t="shared" si="286"/>
        <v xml:space="preserve"> </v>
      </c>
      <c r="AI1297" s="907" t="str">
        <f t="shared" si="284"/>
        <v xml:space="preserve"> </v>
      </c>
      <c r="AJ1297" s="894" t="s">
        <v>951</v>
      </c>
      <c r="AK1297" s="894" t="s">
        <v>2450</v>
      </c>
    </row>
    <row r="1298" spans="1:37" s="385" customFormat="1" ht="112.5" outlineLevel="2" x14ac:dyDescent="0.3">
      <c r="A1298" s="447">
        <f>IF(B1297&lt;&gt;0,B1297,A1297)</f>
        <v>103</v>
      </c>
      <c r="B1298" s="893"/>
      <c r="C1298" s="894" t="s">
        <v>1655</v>
      </c>
      <c r="D1298" s="950"/>
      <c r="E1298" s="950"/>
      <c r="F1298" s="1032"/>
      <c r="G1298" s="894"/>
      <c r="H1298" s="1041"/>
      <c r="I1298" s="882"/>
      <c r="J1298" s="1042"/>
      <c r="K1298" s="899" t="str">
        <f>IF(G1298&lt;&gt;0,VLOOKUP(G1298,'gia dat'!$A$1:$F$144,5,0)," ")</f>
        <v xml:space="preserve"> </v>
      </c>
      <c r="L1298" s="899" t="str">
        <f>IF(G1298&lt;&gt;0,VLOOKUP(G1298,'gia dat'!$A$1:$F$144,6,0)," ")</f>
        <v xml:space="preserve"> </v>
      </c>
      <c r="M1298" s="900" t="str">
        <f t="shared" si="279"/>
        <v xml:space="preserve"> </v>
      </c>
      <c r="N1298" s="900" t="str">
        <f t="shared" si="280"/>
        <v xml:space="preserve"> </v>
      </c>
      <c r="O1298" s="922"/>
      <c r="P1298" s="1046"/>
      <c r="Q1298" s="900" t="str">
        <f>IF(O1298&lt;&gt;0,VLOOKUP(O1298,'Cây trong'!$A$2:$C$246,3,0)," ")</f>
        <v xml:space="preserve"> </v>
      </c>
      <c r="R1298" s="900" t="str">
        <f t="shared" si="285"/>
        <v xml:space="preserve"> </v>
      </c>
      <c r="S1298" s="922" t="s">
        <v>1748</v>
      </c>
      <c r="T1298" s="944" t="s">
        <v>2911</v>
      </c>
      <c r="U1298" s="1042">
        <v>2.7</v>
      </c>
      <c r="V1298" s="996"/>
      <c r="W1298" s="900">
        <f>IF(S1298&lt;&gt;0,VLOOKUP(S1298,VKT!$A$2:$G$415,7,0),"")</f>
        <v>0</v>
      </c>
      <c r="X1298" s="900">
        <f t="shared" si="276"/>
        <v>0</v>
      </c>
      <c r="Y1298" s="1016"/>
      <c r="Z1298" s="1016"/>
      <c r="AA1298" s="1016"/>
      <c r="AB1298" s="1026"/>
      <c r="AC1298" s="1016"/>
      <c r="AD1298" s="1016"/>
      <c r="AE1298" s="1016"/>
      <c r="AF1298" s="926"/>
      <c r="AG1298" s="906" t="str">
        <f>IF(AE1298&lt;&gt;0,VLOOKUP(AE1298,ODDS!$A$2:$C$13,3,0),"")</f>
        <v/>
      </c>
      <c r="AH1298" s="906" t="str">
        <f t="shared" si="286"/>
        <v xml:space="preserve"> </v>
      </c>
      <c r="AI1298" s="907" t="str">
        <f t="shared" si="284"/>
        <v xml:space="preserve"> </v>
      </c>
      <c r="AJ1298" s="894"/>
      <c r="AK1298" s="894" t="s">
        <v>2800</v>
      </c>
    </row>
    <row r="1299" spans="1:37" s="385" customFormat="1" ht="67.5" outlineLevel="2" x14ac:dyDescent="0.3">
      <c r="A1299" s="447">
        <f>IF(B1298&lt;&gt;0,B1298,A1298)</f>
        <v>103</v>
      </c>
      <c r="B1299" s="893"/>
      <c r="C1299" s="908"/>
      <c r="D1299" s="950"/>
      <c r="E1299" s="950"/>
      <c r="F1299" s="1032"/>
      <c r="G1299" s="894"/>
      <c r="H1299" s="1041"/>
      <c r="I1299" s="882"/>
      <c r="J1299" s="925"/>
      <c r="K1299" s="899" t="str">
        <f>IF(G1299&lt;&gt;0,VLOOKUP(G1299,'gia dat'!$A$1:$F$144,5,0)," ")</f>
        <v xml:space="preserve"> </v>
      </c>
      <c r="L1299" s="899" t="str">
        <f>IF(G1299&lt;&gt;0,VLOOKUP(G1299,'gia dat'!$A$1:$F$144,6,0)," ")</f>
        <v xml:space="preserve"> </v>
      </c>
      <c r="M1299" s="900" t="str">
        <f t="shared" si="279"/>
        <v xml:space="preserve"> </v>
      </c>
      <c r="N1299" s="900" t="str">
        <f t="shared" si="280"/>
        <v xml:space="preserve"> </v>
      </c>
      <c r="O1299" s="894"/>
      <c r="P1299" s="1046"/>
      <c r="Q1299" s="900" t="str">
        <f>IF(O1299&lt;&gt;0,VLOOKUP(O1299,'Cây trong'!$A$2:$C$246,3,0)," ")</f>
        <v xml:space="preserve"> </v>
      </c>
      <c r="R1299" s="900" t="str">
        <f t="shared" si="285"/>
        <v xml:space="preserve"> </v>
      </c>
      <c r="S1299" s="902" t="s">
        <v>1749</v>
      </c>
      <c r="T1299" s="944" t="s">
        <v>2911</v>
      </c>
      <c r="U1299" s="1042">
        <v>2.7</v>
      </c>
      <c r="V1299" s="929"/>
      <c r="W1299" s="900">
        <f>IF(S1299&lt;&gt;0,VLOOKUP(S1299,VKT!$A$2:$G$415,7,0),"")</f>
        <v>211811</v>
      </c>
      <c r="X1299" s="900">
        <f t="shared" si="276"/>
        <v>572000</v>
      </c>
      <c r="Y1299" s="1016"/>
      <c r="Z1299" s="1016"/>
      <c r="AA1299" s="1016"/>
      <c r="AB1299" s="1026"/>
      <c r="AC1299" s="1016"/>
      <c r="AD1299" s="1016"/>
      <c r="AE1299" s="1016"/>
      <c r="AF1299" s="926"/>
      <c r="AG1299" s="906" t="str">
        <f>IF(AE1299&lt;&gt;0,VLOOKUP(AE1299,ODDS!$A$2:$C$13,3,0),"")</f>
        <v/>
      </c>
      <c r="AH1299" s="906" t="str">
        <f t="shared" si="286"/>
        <v xml:space="preserve"> </v>
      </c>
      <c r="AI1299" s="907" t="str">
        <f t="shared" si="284"/>
        <v xml:space="preserve"> </v>
      </c>
      <c r="AJ1299" s="894"/>
      <c r="AK1299" s="894"/>
    </row>
    <row r="1300" spans="1:37" s="385" customFormat="1" ht="22.5" outlineLevel="2" x14ac:dyDescent="0.3">
      <c r="A1300" s="447">
        <f>IF(B1299&lt;&gt;0,B1299,A1299)</f>
        <v>103</v>
      </c>
      <c r="B1300" s="893"/>
      <c r="C1300" s="908"/>
      <c r="D1300" s="1035"/>
      <c r="E1300" s="950"/>
      <c r="F1300" s="1032"/>
      <c r="G1300" s="894"/>
      <c r="H1300" s="1041"/>
      <c r="I1300" s="882"/>
      <c r="J1300" s="1042"/>
      <c r="K1300" s="899" t="str">
        <f>IF(G1300&lt;&gt;0,VLOOKUP(G1300,'gia dat'!$A$1:$F$144,5,0)," ")</f>
        <v xml:space="preserve"> </v>
      </c>
      <c r="L1300" s="899" t="str">
        <f>IF(G1300&lt;&gt;0,VLOOKUP(G1300,'gia dat'!$A$1:$F$144,6,0)," ")</f>
        <v xml:space="preserve"> </v>
      </c>
      <c r="M1300" s="900" t="str">
        <f t="shared" si="279"/>
        <v xml:space="preserve"> </v>
      </c>
      <c r="N1300" s="900" t="str">
        <f t="shared" si="280"/>
        <v xml:space="preserve"> </v>
      </c>
      <c r="O1300" s="922"/>
      <c r="P1300" s="1046"/>
      <c r="Q1300" s="900" t="str">
        <f>IF(O1300&lt;&gt;0,VLOOKUP(O1300,'Cây trong'!$A$2:$C$246,3,0)," ")</f>
        <v xml:space="preserve"> </v>
      </c>
      <c r="R1300" s="900" t="str">
        <f t="shared" si="285"/>
        <v xml:space="preserve"> </v>
      </c>
      <c r="S1300" s="922"/>
      <c r="T1300" s="944"/>
      <c r="U1300" s="1042"/>
      <c r="V1300" s="929"/>
      <c r="W1300" s="900" t="str">
        <f>IF(S1300&lt;&gt;0,VLOOKUP(S1300,VKT!$A$2:$G$415,7,0),"")</f>
        <v/>
      </c>
      <c r="X1300" s="900" t="str">
        <f t="shared" si="276"/>
        <v xml:space="preserve"> </v>
      </c>
      <c r="Y1300" s="1016"/>
      <c r="Z1300" s="1016"/>
      <c r="AA1300" s="1016"/>
      <c r="AB1300" s="1026"/>
      <c r="AC1300" s="1016"/>
      <c r="AD1300" s="1016"/>
      <c r="AE1300" s="1016"/>
      <c r="AF1300" s="926"/>
      <c r="AG1300" s="906" t="str">
        <f>IF(AE1300&lt;&gt;0,VLOOKUP(AE1300,ODDS!$A$2:$C$13,3,0),"")</f>
        <v/>
      </c>
      <c r="AH1300" s="906" t="str">
        <f t="shared" si="286"/>
        <v xml:space="preserve"> </v>
      </c>
      <c r="AI1300" s="907" t="str">
        <f t="shared" si="284"/>
        <v xml:space="preserve"> </v>
      </c>
      <c r="AJ1300" s="929"/>
      <c r="AK1300" s="929"/>
    </row>
    <row r="1301" spans="1:37" s="385" customFormat="1" ht="22.5" outlineLevel="2" x14ac:dyDescent="0.3">
      <c r="A1301" s="447">
        <f>IF(B1300&lt;&gt;0,B1300,A1300)</f>
        <v>103</v>
      </c>
      <c r="B1301" s="893"/>
      <c r="C1301" s="908"/>
      <c r="D1301" s="1035"/>
      <c r="E1301" s="950"/>
      <c r="F1301" s="1032"/>
      <c r="G1301" s="894"/>
      <c r="H1301" s="1041"/>
      <c r="I1301" s="882"/>
      <c r="J1301" s="1042"/>
      <c r="K1301" s="899" t="str">
        <f>IF(G1301&lt;&gt;0,VLOOKUP(G1301,'gia dat'!$A$1:$F$144,5,0)," ")</f>
        <v xml:space="preserve"> </v>
      </c>
      <c r="L1301" s="899" t="str">
        <f>IF(G1301&lt;&gt;0,VLOOKUP(G1301,'gia dat'!$A$1:$F$144,6,0)," ")</f>
        <v xml:space="preserve"> </v>
      </c>
      <c r="M1301" s="900" t="str">
        <f t="shared" si="279"/>
        <v xml:space="preserve"> </v>
      </c>
      <c r="N1301" s="900" t="str">
        <f t="shared" si="280"/>
        <v xml:space="preserve"> </v>
      </c>
      <c r="O1301" s="922"/>
      <c r="P1301" s="1046"/>
      <c r="Q1301" s="900" t="str">
        <f>IF(O1301&lt;&gt;0,VLOOKUP(O1301,'Cây trong'!$A$2:$C$246,3,0)," ")</f>
        <v xml:space="preserve"> </v>
      </c>
      <c r="R1301" s="900" t="str">
        <f t="shared" si="285"/>
        <v xml:space="preserve"> </v>
      </c>
      <c r="S1301" s="922"/>
      <c r="T1301" s="944"/>
      <c r="U1301" s="1042"/>
      <c r="V1301" s="929"/>
      <c r="W1301" s="900" t="str">
        <f>IF(S1301&lt;&gt;0,VLOOKUP(S1301,VKT!$A$2:$G$415,7,0),"")</f>
        <v/>
      </c>
      <c r="X1301" s="900" t="str">
        <f t="shared" si="276"/>
        <v xml:space="preserve"> </v>
      </c>
      <c r="Y1301" s="1016"/>
      <c r="Z1301" s="1016"/>
      <c r="AA1301" s="1016"/>
      <c r="AB1301" s="1026"/>
      <c r="AC1301" s="1016"/>
      <c r="AD1301" s="1016"/>
      <c r="AE1301" s="1016"/>
      <c r="AF1301" s="926"/>
      <c r="AG1301" s="906" t="str">
        <f>IF(AE1301&lt;&gt;0,VLOOKUP(AE1301,ODDS!$A$2:$C$13,3,0),"")</f>
        <v/>
      </c>
      <c r="AH1301" s="906" t="str">
        <f t="shared" si="286"/>
        <v xml:space="preserve"> </v>
      </c>
      <c r="AI1301" s="907" t="str">
        <f t="shared" si="284"/>
        <v xml:space="preserve"> </v>
      </c>
      <c r="AJ1301" s="929"/>
      <c r="AK1301" s="929"/>
    </row>
    <row r="1302" spans="1:37" s="385" customFormat="1" ht="22.5" outlineLevel="2" x14ac:dyDescent="0.3">
      <c r="A1302" s="447">
        <f>IF(B1301&lt;&gt;0,B1301,A1301)</f>
        <v>103</v>
      </c>
      <c r="B1302" s="893"/>
      <c r="C1302" s="942"/>
      <c r="D1302" s="1035"/>
      <c r="E1302" s="950"/>
      <c r="F1302" s="1032"/>
      <c r="G1302" s="894"/>
      <c r="H1302" s="1041"/>
      <c r="I1302" s="882"/>
      <c r="J1302" s="1042"/>
      <c r="K1302" s="899" t="str">
        <f>IF(G1302&lt;&gt;0,VLOOKUP(G1302,'gia dat'!$A$1:$F$144,5,0)," ")</f>
        <v xml:space="preserve"> </v>
      </c>
      <c r="L1302" s="899" t="str">
        <f>IF(G1302&lt;&gt;0,VLOOKUP(G1302,'gia dat'!$A$1:$F$144,6,0)," ")</f>
        <v xml:space="preserve"> </v>
      </c>
      <c r="M1302" s="900" t="str">
        <f t="shared" si="279"/>
        <v xml:space="preserve"> </v>
      </c>
      <c r="N1302" s="900" t="str">
        <f t="shared" si="280"/>
        <v xml:space="preserve"> </v>
      </c>
      <c r="O1302" s="922"/>
      <c r="P1302" s="1046"/>
      <c r="Q1302" s="900" t="str">
        <f>IF(O1302&lt;&gt;0,VLOOKUP(O1302,'Cây trong'!$A$2:$C$246,3,0)," ")</f>
        <v xml:space="preserve"> </v>
      </c>
      <c r="R1302" s="900" t="str">
        <f t="shared" si="285"/>
        <v xml:space="preserve"> </v>
      </c>
      <c r="S1302" s="922"/>
      <c r="T1302" s="944"/>
      <c r="U1302" s="1042"/>
      <c r="V1302" s="929"/>
      <c r="W1302" s="900" t="str">
        <f>IF(S1302&lt;&gt;0,VLOOKUP(S1302,VKT!$A$2:$G$415,7,0),"")</f>
        <v/>
      </c>
      <c r="X1302" s="900" t="str">
        <f t="shared" si="276"/>
        <v xml:space="preserve"> </v>
      </c>
      <c r="Y1302" s="1016"/>
      <c r="Z1302" s="1016"/>
      <c r="AA1302" s="1016"/>
      <c r="AB1302" s="1026"/>
      <c r="AC1302" s="1016"/>
      <c r="AD1302" s="1016"/>
      <c r="AE1302" s="1016"/>
      <c r="AF1302" s="926"/>
      <c r="AG1302" s="906" t="str">
        <f>IF(AE1302&lt;&gt;0,VLOOKUP(AE1302,ODDS!$A$2:$C$13,3,0),"")</f>
        <v/>
      </c>
      <c r="AH1302" s="906" t="str">
        <f t="shared" si="286"/>
        <v xml:space="preserve"> </v>
      </c>
      <c r="AI1302" s="907" t="str">
        <f t="shared" si="284"/>
        <v xml:space="preserve"> </v>
      </c>
      <c r="AJ1302" s="929"/>
      <c r="AK1302" s="929"/>
    </row>
    <row r="1303" spans="1:37" s="385" customFormat="1" ht="43.5" outlineLevel="1" x14ac:dyDescent="0.3">
      <c r="A1303" s="467" t="s">
        <v>2606</v>
      </c>
      <c r="B1303" s="912">
        <v>104</v>
      </c>
      <c r="C1303" s="942" t="s">
        <v>2227</v>
      </c>
      <c r="D1303" s="1037"/>
      <c r="E1303" s="1052"/>
      <c r="F1303" s="1052"/>
      <c r="G1303" s="1053"/>
      <c r="H1303" s="1054">
        <f>SUBTOTAL(9,H1304:H1311)</f>
        <v>0</v>
      </c>
      <c r="I1303" s="915">
        <f>SUBTOTAL(9,I1304:I1309)</f>
        <v>0</v>
      </c>
      <c r="J1303" s="1040"/>
      <c r="K1303" s="917"/>
      <c r="L1303" s="917"/>
      <c r="M1303" s="907">
        <f>SUBTOTAL(9,M1304:M1311)</f>
        <v>0</v>
      </c>
      <c r="N1303" s="907">
        <f>SUBTOTAL(9,N1304:N1311)</f>
        <v>0</v>
      </c>
      <c r="O1303" s="914"/>
      <c r="P1303" s="1044">
        <f>SUBTOTAL(9,P1304:P1311)</f>
        <v>0</v>
      </c>
      <c r="Q1303" s="907"/>
      <c r="R1303" s="907">
        <f>SUBTOTAL(9,R1304:R1311)</f>
        <v>0</v>
      </c>
      <c r="S1303" s="914"/>
      <c r="T1303" s="956"/>
      <c r="U1303" s="1040">
        <f>SUBTOTAL(9,U1304:U1311)</f>
        <v>48.5</v>
      </c>
      <c r="V1303" s="943"/>
      <c r="W1303" s="907"/>
      <c r="X1303" s="907">
        <f>SUBTOTAL(9,X1304:X1311)</f>
        <v>51215000</v>
      </c>
      <c r="Y1303" s="1016"/>
      <c r="Z1303" s="1016"/>
      <c r="AA1303" s="1016"/>
      <c r="AB1303" s="1026"/>
      <c r="AC1303" s="1016"/>
      <c r="AD1303" s="1016"/>
      <c r="AE1303" s="985"/>
      <c r="AF1303" s="935">
        <f>SUBTOTAL(9,AF1304:AF1311)</f>
        <v>0</v>
      </c>
      <c r="AG1303" s="921"/>
      <c r="AH1303" s="921">
        <f>SUBTOTAL(9,AH1304:AH1311)</f>
        <v>0</v>
      </c>
      <c r="AI1303" s="907">
        <f t="shared" si="284"/>
        <v>51215000</v>
      </c>
      <c r="AJ1303" s="943"/>
      <c r="AK1303" s="910"/>
    </row>
    <row r="1304" spans="1:37" s="385" customFormat="1" ht="112.5" outlineLevel="2" x14ac:dyDescent="0.35">
      <c r="A1304" s="447">
        <f>IF(B1303&lt;&gt;0,B1303,A1302)</f>
        <v>104</v>
      </c>
      <c r="B1304" s="893"/>
      <c r="C1304" s="894" t="s">
        <v>955</v>
      </c>
      <c r="D1304" s="950">
        <v>4</v>
      </c>
      <c r="E1304" s="1055"/>
      <c r="F1304" s="1055"/>
      <c r="G1304" s="1036"/>
      <c r="H1304" s="1033"/>
      <c r="I1304" s="882"/>
      <c r="J1304" s="1042"/>
      <c r="K1304" s="899" t="str">
        <f>IF(G1304&lt;&gt;0,VLOOKUP(G1304,'gia dat'!$A$1:$F$144,5,0)," ")</f>
        <v xml:space="preserve"> </v>
      </c>
      <c r="L1304" s="899" t="str">
        <f>IF(G1304&lt;&gt;0,VLOOKUP(G1304,'gia dat'!$A$1:$F$144,6,0)," ")</f>
        <v xml:space="preserve"> </v>
      </c>
      <c r="M1304" s="900" t="str">
        <f t="shared" si="279"/>
        <v xml:space="preserve"> </v>
      </c>
      <c r="N1304" s="900" t="str">
        <f t="shared" si="280"/>
        <v xml:space="preserve"> </v>
      </c>
      <c r="O1304" s="922"/>
      <c r="P1304" s="1046"/>
      <c r="Q1304" s="900" t="str">
        <f>IF(O1304&lt;&gt;0,VLOOKUP(O1304,'Cây trong'!$A$2:$C$246,3,0)," ")</f>
        <v xml:space="preserve"> </v>
      </c>
      <c r="R1304" s="900" t="str">
        <f t="shared" si="285"/>
        <v xml:space="preserve"> </v>
      </c>
      <c r="S1304" s="922" t="s">
        <v>1779</v>
      </c>
      <c r="T1304" s="944" t="s">
        <v>2911</v>
      </c>
      <c r="U1304" s="1042">
        <v>36</v>
      </c>
      <c r="V1304" s="929"/>
      <c r="W1304" s="900">
        <f>IF(S1304&lt;&gt;0,VLOOKUP(S1304,VKT!$A$2:$G$415,7,0),"")</f>
        <v>1399121</v>
      </c>
      <c r="X1304" s="900">
        <f t="shared" si="276"/>
        <v>50368000</v>
      </c>
      <c r="Y1304" s="1016"/>
      <c r="Z1304" s="1016"/>
      <c r="AA1304" s="1016"/>
      <c r="AB1304" s="1026"/>
      <c r="AC1304" s="1016"/>
      <c r="AD1304" s="1016"/>
      <c r="AE1304" s="1016"/>
      <c r="AF1304" s="926"/>
      <c r="AG1304" s="906" t="str">
        <f>IF(AE1304&lt;&gt;0,VLOOKUP(AE1304,ODDS!$A$2:$C$13,3,0),"")</f>
        <v/>
      </c>
      <c r="AH1304" s="906" t="str">
        <f t="shared" si="286"/>
        <v xml:space="preserve"> </v>
      </c>
      <c r="AI1304" s="907" t="str">
        <f t="shared" si="284"/>
        <v xml:space="preserve"> </v>
      </c>
      <c r="AJ1304" s="929" t="s">
        <v>958</v>
      </c>
      <c r="AK1304" s="894" t="s">
        <v>2450</v>
      </c>
    </row>
    <row r="1305" spans="1:37" s="385" customFormat="1" ht="112.5" outlineLevel="2" x14ac:dyDescent="0.3">
      <c r="A1305" s="447">
        <f t="shared" ref="A1305:A1311" si="287">IF(B1304&lt;&gt;0,B1304,A1304)</f>
        <v>104</v>
      </c>
      <c r="B1305" s="893"/>
      <c r="C1305" s="894" t="s">
        <v>1656</v>
      </c>
      <c r="D1305" s="950"/>
      <c r="E1305" s="950"/>
      <c r="F1305" s="1032"/>
      <c r="G1305" s="894"/>
      <c r="H1305" s="1041"/>
      <c r="I1305" s="882"/>
      <c r="J1305" s="1042"/>
      <c r="K1305" s="899" t="str">
        <f>IF(G1305&lt;&gt;0,VLOOKUP(G1305,'gia dat'!$A$1:$F$144,5,0)," ")</f>
        <v xml:space="preserve"> </v>
      </c>
      <c r="L1305" s="899" t="str">
        <f>IF(G1305&lt;&gt;0,VLOOKUP(G1305,'gia dat'!$A$1:$F$144,6,0)," ")</f>
        <v xml:space="preserve"> </v>
      </c>
      <c r="M1305" s="900" t="str">
        <f t="shared" si="279"/>
        <v xml:space="preserve"> </v>
      </c>
      <c r="N1305" s="900" t="str">
        <f t="shared" si="280"/>
        <v xml:space="preserve"> </v>
      </c>
      <c r="O1305" s="922"/>
      <c r="P1305" s="1046"/>
      <c r="Q1305" s="900" t="str">
        <f>IF(O1305&lt;&gt;0,VLOOKUP(O1305,'Cây trong'!$A$2:$C$246,3,0)," ")</f>
        <v xml:space="preserve"> </v>
      </c>
      <c r="R1305" s="900" t="str">
        <f t="shared" si="285"/>
        <v xml:space="preserve"> </v>
      </c>
      <c r="S1305" s="922" t="s">
        <v>1748</v>
      </c>
      <c r="T1305" s="944" t="s">
        <v>2911</v>
      </c>
      <c r="U1305" s="1042">
        <v>4</v>
      </c>
      <c r="V1305" s="929"/>
      <c r="W1305" s="900">
        <f>IF(S1305&lt;&gt;0,VLOOKUP(S1305,VKT!$A$2:$G$415,7,0),"")</f>
        <v>0</v>
      </c>
      <c r="X1305" s="900">
        <f t="shared" si="276"/>
        <v>0</v>
      </c>
      <c r="Y1305" s="1016"/>
      <c r="Z1305" s="1016"/>
      <c r="AA1305" s="1016"/>
      <c r="AB1305" s="1026"/>
      <c r="AC1305" s="1016"/>
      <c r="AD1305" s="1016"/>
      <c r="AE1305" s="1016"/>
      <c r="AF1305" s="926"/>
      <c r="AG1305" s="906" t="str">
        <f>IF(AE1305&lt;&gt;0,VLOOKUP(AE1305,ODDS!$A$2:$C$13,3,0),"")</f>
        <v/>
      </c>
      <c r="AH1305" s="906" t="str">
        <f t="shared" si="286"/>
        <v xml:space="preserve"> </v>
      </c>
      <c r="AI1305" s="907" t="str">
        <f t="shared" si="284"/>
        <v xml:space="preserve"> </v>
      </c>
      <c r="AJ1305" s="929"/>
      <c r="AK1305" s="902" t="s">
        <v>2800</v>
      </c>
    </row>
    <row r="1306" spans="1:37" s="385" customFormat="1" ht="67.5" outlineLevel="2" x14ac:dyDescent="0.35">
      <c r="A1306" s="447">
        <f t="shared" si="287"/>
        <v>104</v>
      </c>
      <c r="B1306" s="893"/>
      <c r="C1306" s="894"/>
      <c r="D1306" s="950"/>
      <c r="E1306" s="950"/>
      <c r="F1306" s="1032"/>
      <c r="G1306" s="894"/>
      <c r="H1306" s="1041"/>
      <c r="I1306" s="882"/>
      <c r="J1306" s="1042"/>
      <c r="K1306" s="899" t="str">
        <f>IF(G1306&lt;&gt;0,VLOOKUP(G1306,'gia dat'!$A$1:$F$144,5,0)," ")</f>
        <v xml:space="preserve"> </v>
      </c>
      <c r="L1306" s="899" t="str">
        <f>IF(G1306&lt;&gt;0,VLOOKUP(G1306,'gia dat'!$A$1:$F$144,6,0)," ")</f>
        <v xml:space="preserve"> </v>
      </c>
      <c r="M1306" s="900" t="str">
        <f t="shared" si="279"/>
        <v xml:space="preserve"> </v>
      </c>
      <c r="N1306" s="900" t="str">
        <f t="shared" si="280"/>
        <v xml:space="preserve"> </v>
      </c>
      <c r="O1306" s="922"/>
      <c r="P1306" s="1046"/>
      <c r="Q1306" s="900" t="str">
        <f>IF(O1306&lt;&gt;0,VLOOKUP(O1306,'Cây trong'!$A$2:$C$246,3,0)," ")</f>
        <v xml:space="preserve"> </v>
      </c>
      <c r="R1306" s="900" t="str">
        <f t="shared" si="285"/>
        <v xml:space="preserve"> </v>
      </c>
      <c r="S1306" s="902" t="s">
        <v>1749</v>
      </c>
      <c r="T1306" s="944" t="s">
        <v>2911</v>
      </c>
      <c r="U1306" s="1042">
        <v>4</v>
      </c>
      <c r="V1306" s="929"/>
      <c r="W1306" s="900">
        <f>IF(S1306&lt;&gt;0,VLOOKUP(S1306,VKT!$A$2:$G$415,7,0),"")</f>
        <v>211811</v>
      </c>
      <c r="X1306" s="900">
        <f t="shared" si="276"/>
        <v>847000</v>
      </c>
      <c r="Y1306" s="1016"/>
      <c r="Z1306" s="1016"/>
      <c r="AA1306" s="1016"/>
      <c r="AB1306" s="1026"/>
      <c r="AC1306" s="1016"/>
      <c r="AD1306" s="1016"/>
      <c r="AE1306" s="1016"/>
      <c r="AF1306" s="926"/>
      <c r="AG1306" s="906" t="str">
        <f>IF(AE1306&lt;&gt;0,VLOOKUP(AE1306,ODDS!$A$2:$C$13,3,0),"")</f>
        <v/>
      </c>
      <c r="AH1306" s="906" t="str">
        <f t="shared" si="286"/>
        <v xml:space="preserve"> </v>
      </c>
      <c r="AI1306" s="907" t="str">
        <f t="shared" si="284"/>
        <v xml:space="preserve"> </v>
      </c>
      <c r="AJ1306" s="1036"/>
      <c r="AK1306" s="902"/>
    </row>
    <row r="1307" spans="1:37" s="385" customFormat="1" ht="90" outlineLevel="2" x14ac:dyDescent="0.35">
      <c r="A1307" s="447">
        <f t="shared" si="287"/>
        <v>104</v>
      </c>
      <c r="B1307" s="893"/>
      <c r="C1307" s="894"/>
      <c r="D1307" s="950"/>
      <c r="E1307" s="950"/>
      <c r="F1307" s="1032"/>
      <c r="G1307" s="894"/>
      <c r="H1307" s="1041"/>
      <c r="I1307" s="882"/>
      <c r="J1307" s="925"/>
      <c r="K1307" s="899" t="str">
        <f>IF(G1307&lt;&gt;0,VLOOKUP(G1307,'gia dat'!$A$1:$F$144,5,0)," ")</f>
        <v xml:space="preserve"> </v>
      </c>
      <c r="L1307" s="899" t="str">
        <f>IF(G1307&lt;&gt;0,VLOOKUP(G1307,'gia dat'!$A$1:$F$144,6,0)," ")</f>
        <v xml:space="preserve"> </v>
      </c>
      <c r="M1307" s="900" t="str">
        <f t="shared" si="279"/>
        <v xml:space="preserve"> </v>
      </c>
      <c r="N1307" s="900" t="str">
        <f t="shared" si="280"/>
        <v xml:space="preserve"> </v>
      </c>
      <c r="O1307" s="901"/>
      <c r="P1307" s="1046"/>
      <c r="Q1307" s="900" t="str">
        <f>IF(O1307&lt;&gt;0,VLOOKUP(O1307,'Cây trong'!$A$2:$C$246,3,0)," ")</f>
        <v xml:space="preserve"> </v>
      </c>
      <c r="R1307" s="900" t="str">
        <f t="shared" si="285"/>
        <v xml:space="preserve"> </v>
      </c>
      <c r="S1307" s="902" t="s">
        <v>1780</v>
      </c>
      <c r="T1307" s="944" t="s">
        <v>2911</v>
      </c>
      <c r="U1307" s="1042">
        <v>4.5</v>
      </c>
      <c r="V1307" s="929"/>
      <c r="W1307" s="900">
        <f>IF(S1307&lt;&gt;0,VLOOKUP(S1307,VKT!$A$2:$G$415,7,0),"")</f>
        <v>0</v>
      </c>
      <c r="X1307" s="900">
        <f t="shared" si="276"/>
        <v>0</v>
      </c>
      <c r="Y1307" s="1016"/>
      <c r="Z1307" s="1016"/>
      <c r="AA1307" s="1016"/>
      <c r="AB1307" s="1026"/>
      <c r="AC1307" s="1016"/>
      <c r="AD1307" s="1016"/>
      <c r="AE1307" s="1016"/>
      <c r="AF1307" s="926"/>
      <c r="AG1307" s="906" t="str">
        <f>IF(AE1307&lt;&gt;0,VLOOKUP(AE1307,ODDS!$A$2:$C$13,3,0),"")</f>
        <v/>
      </c>
      <c r="AH1307" s="906" t="str">
        <f t="shared" si="286"/>
        <v xml:space="preserve"> </v>
      </c>
      <c r="AI1307" s="907" t="str">
        <f t="shared" si="284"/>
        <v xml:space="preserve"> </v>
      </c>
      <c r="AJ1307" s="1036"/>
      <c r="AK1307" s="902"/>
    </row>
    <row r="1308" spans="1:37" s="385" customFormat="1" ht="22.5" outlineLevel="2" x14ac:dyDescent="0.35">
      <c r="A1308" s="447">
        <f t="shared" si="287"/>
        <v>104</v>
      </c>
      <c r="B1308" s="893"/>
      <c r="C1308" s="894"/>
      <c r="D1308" s="950"/>
      <c r="E1308" s="950"/>
      <c r="F1308" s="1032"/>
      <c r="G1308" s="894"/>
      <c r="H1308" s="1041"/>
      <c r="I1308" s="882"/>
      <c r="J1308" s="925"/>
      <c r="K1308" s="899" t="str">
        <f>IF(G1308&lt;&gt;0,VLOOKUP(G1308,'gia dat'!$A$1:$F$144,5,0)," ")</f>
        <v xml:space="preserve"> </v>
      </c>
      <c r="L1308" s="899" t="str">
        <f>IF(G1308&lt;&gt;0,VLOOKUP(G1308,'gia dat'!$A$1:$F$144,6,0)," ")</f>
        <v xml:space="preserve"> </v>
      </c>
      <c r="M1308" s="900" t="str">
        <f t="shared" si="279"/>
        <v xml:space="preserve"> </v>
      </c>
      <c r="N1308" s="900" t="str">
        <f t="shared" si="280"/>
        <v xml:space="preserve"> </v>
      </c>
      <c r="O1308" s="901"/>
      <c r="P1308" s="1046"/>
      <c r="Q1308" s="900" t="str">
        <f>IF(O1308&lt;&gt;0,VLOOKUP(O1308,'Cây trong'!$A$2:$C$246,3,0)," ")</f>
        <v xml:space="preserve"> </v>
      </c>
      <c r="R1308" s="900" t="str">
        <f t="shared" si="285"/>
        <v xml:space="preserve"> </v>
      </c>
      <c r="S1308" s="902"/>
      <c r="T1308" s="944"/>
      <c r="U1308" s="1042"/>
      <c r="V1308" s="929"/>
      <c r="W1308" s="900" t="str">
        <f>IF(S1308&lt;&gt;0,VLOOKUP(S1308,VKT!$A$2:$G$415,7,0),"")</f>
        <v/>
      </c>
      <c r="X1308" s="900" t="str">
        <f t="shared" si="276"/>
        <v xml:space="preserve"> </v>
      </c>
      <c r="Y1308" s="1016"/>
      <c r="Z1308" s="1016"/>
      <c r="AA1308" s="1016"/>
      <c r="AB1308" s="1026"/>
      <c r="AC1308" s="1016"/>
      <c r="AD1308" s="1016"/>
      <c r="AE1308" s="1016"/>
      <c r="AF1308" s="926"/>
      <c r="AG1308" s="906" t="str">
        <f>IF(AE1308&lt;&gt;0,VLOOKUP(AE1308,ODDS!$A$2:$C$13,3,0),"")</f>
        <v/>
      </c>
      <c r="AH1308" s="906" t="str">
        <f t="shared" si="286"/>
        <v xml:space="preserve"> </v>
      </c>
      <c r="AI1308" s="907" t="str">
        <f t="shared" si="284"/>
        <v xml:space="preserve"> </v>
      </c>
      <c r="AJ1308" s="1036"/>
      <c r="AK1308" s="929"/>
    </row>
    <row r="1309" spans="1:37" s="385" customFormat="1" ht="22.5" outlineLevel="2" x14ac:dyDescent="0.3">
      <c r="A1309" s="447">
        <f t="shared" si="287"/>
        <v>104</v>
      </c>
      <c r="B1309" s="893"/>
      <c r="C1309" s="894"/>
      <c r="D1309" s="950"/>
      <c r="E1309" s="950"/>
      <c r="F1309" s="1032"/>
      <c r="G1309" s="894"/>
      <c r="H1309" s="1041"/>
      <c r="I1309" s="882"/>
      <c r="J1309" s="925"/>
      <c r="K1309" s="899" t="str">
        <f>IF(G1309&lt;&gt;0,VLOOKUP(G1309,'gia dat'!$A$1:$F$144,5,0)," ")</f>
        <v xml:space="preserve"> </v>
      </c>
      <c r="L1309" s="899" t="str">
        <f>IF(G1309&lt;&gt;0,VLOOKUP(G1309,'gia dat'!$A$1:$F$144,6,0)," ")</f>
        <v xml:space="preserve"> </v>
      </c>
      <c r="M1309" s="900" t="str">
        <f t="shared" si="279"/>
        <v xml:space="preserve"> </v>
      </c>
      <c r="N1309" s="900" t="str">
        <f t="shared" si="280"/>
        <v xml:space="preserve"> </v>
      </c>
      <c r="O1309" s="901"/>
      <c r="P1309" s="1046"/>
      <c r="Q1309" s="900" t="str">
        <f>IF(O1309&lt;&gt;0,VLOOKUP(O1309,'Cây trong'!$A$2:$C$246,3,0)," ")</f>
        <v xml:space="preserve"> </v>
      </c>
      <c r="R1309" s="900" t="str">
        <f t="shared" si="285"/>
        <v xml:space="preserve"> </v>
      </c>
      <c r="S1309" s="902"/>
      <c r="T1309" s="944"/>
      <c r="U1309" s="1042"/>
      <c r="V1309" s="929"/>
      <c r="W1309" s="900" t="str">
        <f>IF(S1309&lt;&gt;0,VLOOKUP(S1309,VKT!$A$2:$G$415,7,0),"")</f>
        <v/>
      </c>
      <c r="X1309" s="900" t="str">
        <f t="shared" si="276"/>
        <v xml:space="preserve"> </v>
      </c>
      <c r="Y1309" s="1016"/>
      <c r="Z1309" s="1016"/>
      <c r="AA1309" s="1016"/>
      <c r="AB1309" s="1026"/>
      <c r="AC1309" s="1016"/>
      <c r="AD1309" s="1016"/>
      <c r="AE1309" s="1016"/>
      <c r="AF1309" s="926"/>
      <c r="AG1309" s="906" t="str">
        <f>IF(AE1309&lt;&gt;0,VLOOKUP(AE1309,ODDS!$A$2:$C$13,3,0),"")</f>
        <v/>
      </c>
      <c r="AH1309" s="906" t="str">
        <f t="shared" si="286"/>
        <v xml:space="preserve"> </v>
      </c>
      <c r="AI1309" s="907" t="str">
        <f t="shared" si="284"/>
        <v xml:space="preserve"> </v>
      </c>
      <c r="AJ1309" s="929"/>
      <c r="AK1309" s="929"/>
    </row>
    <row r="1310" spans="1:37" s="385" customFormat="1" ht="22.5" outlineLevel="2" x14ac:dyDescent="0.3">
      <c r="A1310" s="447">
        <f t="shared" si="287"/>
        <v>104</v>
      </c>
      <c r="B1310" s="893"/>
      <c r="C1310" s="894"/>
      <c r="D1310" s="950"/>
      <c r="E1310" s="950"/>
      <c r="F1310" s="1032"/>
      <c r="G1310" s="894"/>
      <c r="H1310" s="1041"/>
      <c r="I1310" s="882"/>
      <c r="J1310" s="925"/>
      <c r="K1310" s="899" t="str">
        <f>IF(G1310&lt;&gt;0,VLOOKUP(G1310,'gia dat'!$A$1:$F$144,5,0)," ")</f>
        <v xml:space="preserve"> </v>
      </c>
      <c r="L1310" s="899" t="str">
        <f>IF(G1310&lt;&gt;0,VLOOKUP(G1310,'gia dat'!$A$1:$F$144,6,0)," ")</f>
        <v xml:space="preserve"> </v>
      </c>
      <c r="M1310" s="900" t="str">
        <f t="shared" si="279"/>
        <v xml:space="preserve"> </v>
      </c>
      <c r="N1310" s="900" t="str">
        <f t="shared" si="280"/>
        <v xml:space="preserve"> </v>
      </c>
      <c r="O1310" s="901"/>
      <c r="P1310" s="1046"/>
      <c r="Q1310" s="900" t="str">
        <f>IF(O1310&lt;&gt;0,VLOOKUP(O1310,'Cây trong'!$A$2:$C$246,3,0)," ")</f>
        <v xml:space="preserve"> </v>
      </c>
      <c r="R1310" s="900" t="str">
        <f t="shared" si="285"/>
        <v xml:space="preserve"> </v>
      </c>
      <c r="S1310" s="902"/>
      <c r="T1310" s="944"/>
      <c r="U1310" s="1042"/>
      <c r="V1310" s="929"/>
      <c r="W1310" s="900" t="str">
        <f>IF(S1310&lt;&gt;0,VLOOKUP(S1310,VKT!$A$2:$G$415,7,0),"")</f>
        <v/>
      </c>
      <c r="X1310" s="900" t="str">
        <f t="shared" si="276"/>
        <v xml:space="preserve"> </v>
      </c>
      <c r="Y1310" s="1016"/>
      <c r="Z1310" s="1016"/>
      <c r="AA1310" s="1016"/>
      <c r="AB1310" s="1026"/>
      <c r="AC1310" s="1016"/>
      <c r="AD1310" s="1016"/>
      <c r="AE1310" s="1016"/>
      <c r="AF1310" s="926"/>
      <c r="AG1310" s="906" t="str">
        <f>IF(AE1310&lt;&gt;0,VLOOKUP(AE1310,ODDS!$A$2:$C$13,3,0),"")</f>
        <v/>
      </c>
      <c r="AH1310" s="906" t="str">
        <f t="shared" si="286"/>
        <v xml:space="preserve"> </v>
      </c>
      <c r="AI1310" s="907" t="str">
        <f t="shared" si="284"/>
        <v xml:space="preserve"> </v>
      </c>
      <c r="AJ1310" s="929"/>
      <c r="AK1310" s="929"/>
    </row>
    <row r="1311" spans="1:37" s="385" customFormat="1" ht="22.5" outlineLevel="2" x14ac:dyDescent="0.3">
      <c r="A1311" s="447">
        <f t="shared" si="287"/>
        <v>104</v>
      </c>
      <c r="B1311" s="893"/>
      <c r="C1311" s="910"/>
      <c r="D1311" s="950"/>
      <c r="E1311" s="950"/>
      <c r="F1311" s="1032"/>
      <c r="G1311" s="894"/>
      <c r="H1311" s="1041"/>
      <c r="I1311" s="882"/>
      <c r="J1311" s="925"/>
      <c r="K1311" s="899" t="str">
        <f>IF(G1311&lt;&gt;0,VLOOKUP(G1311,'gia dat'!$A$1:$F$144,5,0)," ")</f>
        <v xml:space="preserve"> </v>
      </c>
      <c r="L1311" s="899" t="str">
        <f>IF(G1311&lt;&gt;0,VLOOKUP(G1311,'gia dat'!$A$1:$F$144,6,0)," ")</f>
        <v xml:space="preserve"> </v>
      </c>
      <c r="M1311" s="900" t="str">
        <f t="shared" si="279"/>
        <v xml:space="preserve"> </v>
      </c>
      <c r="N1311" s="900" t="str">
        <f t="shared" si="280"/>
        <v xml:space="preserve"> </v>
      </c>
      <c r="O1311" s="901"/>
      <c r="P1311" s="1046"/>
      <c r="Q1311" s="900" t="str">
        <f>IF(O1311&lt;&gt;0,VLOOKUP(O1311,'Cây trong'!$A$2:$C$246,3,0)," ")</f>
        <v xml:space="preserve"> </v>
      </c>
      <c r="R1311" s="900" t="str">
        <f t="shared" si="285"/>
        <v xml:space="preserve"> </v>
      </c>
      <c r="S1311" s="902"/>
      <c r="T1311" s="944"/>
      <c r="U1311" s="1042"/>
      <c r="V1311" s="929"/>
      <c r="W1311" s="900" t="str">
        <f>IF(S1311&lt;&gt;0,VLOOKUP(S1311,VKT!$A$2:$G$415,7,0),"")</f>
        <v/>
      </c>
      <c r="X1311" s="900" t="str">
        <f t="shared" si="276"/>
        <v xml:space="preserve"> </v>
      </c>
      <c r="Y1311" s="1016"/>
      <c r="Z1311" s="1016"/>
      <c r="AA1311" s="1016"/>
      <c r="AB1311" s="1026"/>
      <c r="AC1311" s="1016"/>
      <c r="AD1311" s="1016"/>
      <c r="AE1311" s="1016"/>
      <c r="AF1311" s="926"/>
      <c r="AG1311" s="906" t="str">
        <f>IF(AE1311&lt;&gt;0,VLOOKUP(AE1311,ODDS!$A$2:$C$13,3,0),"")</f>
        <v/>
      </c>
      <c r="AH1311" s="906" t="str">
        <f t="shared" si="286"/>
        <v xml:space="preserve"> </v>
      </c>
      <c r="AI1311" s="907" t="str">
        <f t="shared" si="284"/>
        <v xml:space="preserve"> </v>
      </c>
      <c r="AJ1311" s="929"/>
      <c r="AK1311" s="929"/>
    </row>
    <row r="1312" spans="1:37" s="385" customFormat="1" ht="43.5" outlineLevel="1" x14ac:dyDescent="0.25">
      <c r="A1312" s="467" t="s">
        <v>2605</v>
      </c>
      <c r="B1312" s="912">
        <v>105</v>
      </c>
      <c r="C1312" s="910" t="s">
        <v>959</v>
      </c>
      <c r="D1312" s="1037"/>
      <c r="E1312" s="1037"/>
      <c r="F1312" s="1038"/>
      <c r="G1312" s="910"/>
      <c r="H1312" s="1039">
        <f>SUBTOTAL(9,H1313:H1334)</f>
        <v>2363.6999999999998</v>
      </c>
      <c r="I1312" s="915">
        <f>SUBTOTAL(9,I1313:I1318)</f>
        <v>552</v>
      </c>
      <c r="J1312" s="933"/>
      <c r="K1312" s="917"/>
      <c r="L1312" s="917"/>
      <c r="M1312" s="907">
        <f>SUBTOTAL(9,M1313:M1334)</f>
        <v>1310435000</v>
      </c>
      <c r="N1312" s="907">
        <f>SUBTOTAL(9,N1313:N1334)</f>
        <v>918086000</v>
      </c>
      <c r="O1312" s="910"/>
      <c r="P1312" s="968">
        <f>SUBTOTAL(9,P1313:P1334)</f>
        <v>181</v>
      </c>
      <c r="Q1312" s="968">
        <f>SUBTOTAL(9,Q1313:Q1334)</f>
        <v>2397000</v>
      </c>
      <c r="R1312" s="907">
        <f>SUBTOTAL(9,R1313:R1334)</f>
        <v>19193000</v>
      </c>
      <c r="S1312" s="918"/>
      <c r="T1312" s="956"/>
      <c r="U1312" s="936">
        <f>SUBTOTAL(9,U1313:U1334)</f>
        <v>3221.8599999999997</v>
      </c>
      <c r="V1312" s="1056"/>
      <c r="W1312" s="907"/>
      <c r="X1312" s="907">
        <f>SUBTOTAL(9,X1313:X1334)</f>
        <v>0</v>
      </c>
      <c r="Y1312" s="1016"/>
      <c r="Z1312" s="1016"/>
      <c r="AA1312" s="1016"/>
      <c r="AB1312" s="1026"/>
      <c r="AC1312" s="1016"/>
      <c r="AD1312" s="1016"/>
      <c r="AE1312" s="985"/>
      <c r="AF1312" s="935">
        <f>SUBTOTAL(9,AF1313:AF1334)</f>
        <v>0</v>
      </c>
      <c r="AG1312" s="921"/>
      <c r="AH1312" s="921">
        <f>SUBTOTAL(9,AH1313:AH1334)</f>
        <v>0</v>
      </c>
      <c r="AI1312" s="907">
        <f t="shared" si="284"/>
        <v>2247714000</v>
      </c>
      <c r="AJ1312" s="910"/>
      <c r="AK1312" s="914"/>
    </row>
    <row r="1313" spans="1:37" s="385" customFormat="1" ht="135" outlineLevel="2" x14ac:dyDescent="0.3">
      <c r="A1313" s="447">
        <f>IF(B1312&lt;&gt;0,B1312,A1311)</f>
        <v>105</v>
      </c>
      <c r="B1313" s="893"/>
      <c r="C1313" s="894" t="s">
        <v>961</v>
      </c>
      <c r="D1313" s="950">
        <v>2</v>
      </c>
      <c r="E1313" s="950">
        <v>86</v>
      </c>
      <c r="F1313" s="1032">
        <v>233</v>
      </c>
      <c r="G1313" s="894" t="s">
        <v>2895</v>
      </c>
      <c r="H1313" s="1041">
        <f>2363.7-H1314</f>
        <v>1811.6999999999998</v>
      </c>
      <c r="I1313" s="882" t="str">
        <f t="shared" ref="I1313:I1314" si="288">IF(N1313&gt;0,H1313,"")</f>
        <v/>
      </c>
      <c r="J1313" s="925"/>
      <c r="K1313" s="899">
        <f>IF(G1313&lt;&gt;0,VLOOKUP(G1313,'gia dat'!$A$1:$F$144,5,0)," ")</f>
        <v>554400</v>
      </c>
      <c r="L1313" s="899">
        <f>IF(G1313&lt;&gt;0,VLOOKUP(G1313,'gia dat'!$A$1:$F$144,6,0)," ")</f>
        <v>0</v>
      </c>
      <c r="M1313" s="900">
        <f t="shared" si="279"/>
        <v>1004406000</v>
      </c>
      <c r="N1313" s="900">
        <f t="shared" si="280"/>
        <v>0</v>
      </c>
      <c r="O1313" s="894" t="s">
        <v>932</v>
      </c>
      <c r="P1313" s="965">
        <v>50</v>
      </c>
      <c r="Q1313" s="900">
        <f>IF(O1313&lt;&gt;0,VLOOKUP(O1313,'Cây trong'!$A$2:$C$246,3,0)," ")</f>
        <v>84000</v>
      </c>
      <c r="R1313" s="900">
        <f t="shared" si="285"/>
        <v>4200000</v>
      </c>
      <c r="S1313" s="902" t="s">
        <v>2158</v>
      </c>
      <c r="T1313" s="944" t="s">
        <v>2911</v>
      </c>
      <c r="U1313" s="927">
        <v>7.36</v>
      </c>
      <c r="V1313" s="1017"/>
      <c r="W1313" s="900"/>
      <c r="X1313" s="900">
        <f t="shared" si="276"/>
        <v>0</v>
      </c>
      <c r="Y1313" s="1016"/>
      <c r="Z1313" s="1016"/>
      <c r="AA1313" s="1016"/>
      <c r="AB1313" s="1026"/>
      <c r="AC1313" s="1016"/>
      <c r="AD1313" s="1016"/>
      <c r="AE1313" s="1016"/>
      <c r="AF1313" s="926"/>
      <c r="AG1313" s="906" t="str">
        <f>IF(AE1313&lt;&gt;0,VLOOKUP(AE1313,ODDS!$A$2:$C$13,3,0),"")</f>
        <v/>
      </c>
      <c r="AH1313" s="906" t="str">
        <f t="shared" si="286"/>
        <v xml:space="preserve"> </v>
      </c>
      <c r="AI1313" s="907" t="str">
        <f t="shared" si="284"/>
        <v xml:space="preserve"> </v>
      </c>
      <c r="AJ1313" s="894" t="s">
        <v>960</v>
      </c>
      <c r="AK1313" s="922" t="s">
        <v>2771</v>
      </c>
    </row>
    <row r="1314" spans="1:37" s="385" customFormat="1" ht="112.5" outlineLevel="2" x14ac:dyDescent="0.3">
      <c r="A1314" s="447">
        <f t="shared" ref="A1314:A1334" si="289">IF(B1313&lt;&gt;0,B1313,A1313)</f>
        <v>105</v>
      </c>
      <c r="B1314" s="893"/>
      <c r="C1314" s="894" t="s">
        <v>1657</v>
      </c>
      <c r="D1314" s="950"/>
      <c r="E1314" s="950">
        <v>86</v>
      </c>
      <c r="F1314" s="1032">
        <v>233</v>
      </c>
      <c r="G1314" s="894" t="s">
        <v>2896</v>
      </c>
      <c r="H1314" s="1041">
        <f>84.1+467.9</f>
        <v>552</v>
      </c>
      <c r="I1314" s="882">
        <f t="shared" si="288"/>
        <v>552</v>
      </c>
      <c r="J1314" s="925"/>
      <c r="K1314" s="899">
        <f>IF(G1314&lt;&gt;0,VLOOKUP(G1314,'gia dat'!$A$1:$F$144,5,0)," ")</f>
        <v>554400</v>
      </c>
      <c r="L1314" s="899">
        <f>IF(G1314&lt;&gt;0,VLOOKUP(G1314,'gia dat'!$A$1:$F$144,6,0)," ")</f>
        <v>1663200</v>
      </c>
      <c r="M1314" s="900">
        <f t="shared" si="279"/>
        <v>306029000</v>
      </c>
      <c r="N1314" s="900">
        <f t="shared" si="280"/>
        <v>918086000</v>
      </c>
      <c r="O1314" s="894" t="s">
        <v>350</v>
      </c>
      <c r="P1314" s="965">
        <v>70</v>
      </c>
      <c r="Q1314" s="900">
        <f>IF(O1314&lt;&gt;0,VLOOKUP(O1314,'Cây trong'!$A$2:$C$246,3,0)," ")</f>
        <v>72000</v>
      </c>
      <c r="R1314" s="900">
        <f t="shared" si="285"/>
        <v>5040000</v>
      </c>
      <c r="S1314" s="902" t="s">
        <v>2932</v>
      </c>
      <c r="T1314" s="944" t="s">
        <v>2930</v>
      </c>
      <c r="U1314" s="927">
        <v>922.8</v>
      </c>
      <c r="V1314" s="1017"/>
      <c r="W1314" s="900"/>
      <c r="X1314" s="900">
        <f t="shared" si="276"/>
        <v>0</v>
      </c>
      <c r="Y1314" s="1016"/>
      <c r="Z1314" s="1016"/>
      <c r="AA1314" s="1016"/>
      <c r="AB1314" s="1026"/>
      <c r="AC1314" s="1016"/>
      <c r="AD1314" s="1016"/>
      <c r="AE1314" s="1016"/>
      <c r="AF1314" s="926"/>
      <c r="AG1314" s="906" t="str">
        <f>IF(AE1314&lt;&gt;0,VLOOKUP(AE1314,ODDS!$A$2:$C$13,3,0),"")</f>
        <v/>
      </c>
      <c r="AH1314" s="906" t="str">
        <f t="shared" si="286"/>
        <v xml:space="preserve"> </v>
      </c>
      <c r="AI1314" s="907" t="str">
        <f t="shared" si="284"/>
        <v xml:space="preserve"> </v>
      </c>
      <c r="AJ1314" s="894" t="s">
        <v>2933</v>
      </c>
      <c r="AK1314" s="894" t="s">
        <v>2800</v>
      </c>
    </row>
    <row r="1315" spans="1:37" s="385" customFormat="1" ht="112.5" outlineLevel="2" x14ac:dyDescent="0.3">
      <c r="A1315" s="447">
        <f t="shared" si="289"/>
        <v>105</v>
      </c>
      <c r="B1315" s="893"/>
      <c r="C1315" s="908"/>
      <c r="D1315" s="950"/>
      <c r="E1315" s="950"/>
      <c r="F1315" s="1032"/>
      <c r="G1315" s="894"/>
      <c r="H1315" s="1041"/>
      <c r="I1315" s="882"/>
      <c r="J1315" s="925"/>
      <c r="K1315" s="899" t="str">
        <f>IF(G1315&lt;&gt;0,VLOOKUP(G1315,'gia dat'!$A$1:$F$144,5,0)," ")</f>
        <v xml:space="preserve"> </v>
      </c>
      <c r="L1315" s="899" t="str">
        <f>IF(G1315&lt;&gt;0,VLOOKUP(G1315,'gia dat'!$A$1:$F$144,6,0)," ")</f>
        <v xml:space="preserve"> </v>
      </c>
      <c r="M1315" s="900" t="str">
        <f t="shared" si="279"/>
        <v xml:space="preserve"> </v>
      </c>
      <c r="N1315" s="900" t="str">
        <f t="shared" si="280"/>
        <v xml:space="preserve"> </v>
      </c>
      <c r="O1315" s="894" t="s">
        <v>350</v>
      </c>
      <c r="P1315" s="965">
        <v>15</v>
      </c>
      <c r="Q1315" s="900">
        <f>IF(O1315&lt;&gt;0,VLOOKUP(O1315,'Cây trong'!$A$2:$C$246,3,0)," ")</f>
        <v>72000</v>
      </c>
      <c r="R1315" s="900">
        <f t="shared" si="285"/>
        <v>1080000</v>
      </c>
      <c r="S1315" s="902" t="s">
        <v>1782</v>
      </c>
      <c r="T1315" s="944" t="s">
        <v>2911</v>
      </c>
      <c r="U1315" s="927">
        <v>220.5</v>
      </c>
      <c r="V1315" s="1017"/>
      <c r="W1315" s="900"/>
      <c r="X1315" s="900">
        <f t="shared" si="276"/>
        <v>0</v>
      </c>
      <c r="Y1315" s="1016"/>
      <c r="Z1315" s="1016"/>
      <c r="AA1315" s="1016"/>
      <c r="AB1315" s="1026"/>
      <c r="AC1315" s="1016"/>
      <c r="AD1315" s="1016"/>
      <c r="AE1315" s="1016"/>
      <c r="AF1315" s="926"/>
      <c r="AG1315" s="906" t="str">
        <f>IF(AE1315&lt;&gt;0,VLOOKUP(AE1315,ODDS!$A$2:$C$13,3,0),"")</f>
        <v/>
      </c>
      <c r="AH1315" s="906" t="str">
        <f t="shared" si="286"/>
        <v xml:space="preserve"> </v>
      </c>
      <c r="AI1315" s="907" t="str">
        <f t="shared" si="284"/>
        <v xml:space="preserve"> </v>
      </c>
      <c r="AJ1315" s="894" t="s">
        <v>964</v>
      </c>
      <c r="AK1315" s="894"/>
    </row>
    <row r="1316" spans="1:37" s="385" customFormat="1" ht="135" outlineLevel="2" x14ac:dyDescent="0.3">
      <c r="A1316" s="447">
        <f t="shared" si="289"/>
        <v>105</v>
      </c>
      <c r="B1316" s="893"/>
      <c r="C1316" s="908"/>
      <c r="D1316" s="950"/>
      <c r="E1316" s="950"/>
      <c r="F1316" s="1032"/>
      <c r="G1316" s="894"/>
      <c r="H1316" s="1041"/>
      <c r="I1316" s="882"/>
      <c r="J1316" s="1042"/>
      <c r="K1316" s="899" t="str">
        <f>IF(G1316&lt;&gt;0,VLOOKUP(G1316,'gia dat'!$A$1:$F$144,5,0)," ")</f>
        <v xml:space="preserve"> </v>
      </c>
      <c r="L1316" s="899" t="str">
        <f>IF(G1316&lt;&gt;0,VLOOKUP(G1316,'gia dat'!$A$1:$F$144,6,0)," ")</f>
        <v xml:space="preserve"> </v>
      </c>
      <c r="M1316" s="900" t="str">
        <f t="shared" si="279"/>
        <v xml:space="preserve"> </v>
      </c>
      <c r="N1316" s="900" t="str">
        <f t="shared" si="280"/>
        <v xml:space="preserve"> </v>
      </c>
      <c r="O1316" s="894" t="s">
        <v>350</v>
      </c>
      <c r="P1316" s="965">
        <v>10</v>
      </c>
      <c r="Q1316" s="900">
        <f>IF(O1316&lt;&gt;0,VLOOKUP(O1316,'Cây trong'!$A$2:$C$246,3,0)," ")</f>
        <v>72000</v>
      </c>
      <c r="R1316" s="900">
        <f t="shared" si="285"/>
        <v>720000</v>
      </c>
      <c r="S1316" s="902" t="s">
        <v>1783</v>
      </c>
      <c r="T1316" s="944" t="s">
        <v>2911</v>
      </c>
      <c r="U1316" s="1042">
        <v>2.4</v>
      </c>
      <c r="V1316" s="1047"/>
      <c r="W1316" s="900"/>
      <c r="X1316" s="900">
        <f t="shared" si="276"/>
        <v>0</v>
      </c>
      <c r="Y1316" s="1016"/>
      <c r="Z1316" s="1016"/>
      <c r="AA1316" s="1016"/>
      <c r="AB1316" s="1026"/>
      <c r="AC1316" s="1016"/>
      <c r="AD1316" s="1016"/>
      <c r="AE1316" s="1016"/>
      <c r="AF1316" s="926"/>
      <c r="AG1316" s="906" t="str">
        <f>IF(AE1316&lt;&gt;0,VLOOKUP(AE1316,ODDS!$A$2:$C$13,3,0),"")</f>
        <v/>
      </c>
      <c r="AH1316" s="906" t="str">
        <f t="shared" si="286"/>
        <v xml:space="preserve"> </v>
      </c>
      <c r="AI1316" s="907" t="str">
        <f t="shared" si="284"/>
        <v xml:space="preserve"> </v>
      </c>
      <c r="AJ1316" s="894" t="s">
        <v>965</v>
      </c>
      <c r="AK1316" s="894"/>
    </row>
    <row r="1317" spans="1:37" s="385" customFormat="1" ht="112.5" outlineLevel="2" x14ac:dyDescent="0.3">
      <c r="A1317" s="447">
        <f t="shared" si="289"/>
        <v>105</v>
      </c>
      <c r="B1317" s="893"/>
      <c r="C1317" s="908"/>
      <c r="D1317" s="1035"/>
      <c r="E1317" s="950"/>
      <c r="F1317" s="1032"/>
      <c r="G1317" s="894"/>
      <c r="H1317" s="1034"/>
      <c r="I1317" s="882"/>
      <c r="J1317" s="1042"/>
      <c r="K1317" s="899" t="str">
        <f>IF(G1317&lt;&gt;0,VLOOKUP(G1317,'gia dat'!$A$1:$F$144,5,0)," ")</f>
        <v xml:space="preserve"> </v>
      </c>
      <c r="L1317" s="899" t="str">
        <f>IF(G1317&lt;&gt;0,VLOOKUP(G1317,'gia dat'!$A$1:$F$144,6,0)," ")</f>
        <v xml:space="preserve"> </v>
      </c>
      <c r="M1317" s="900" t="str">
        <f t="shared" si="279"/>
        <v xml:space="preserve"> </v>
      </c>
      <c r="N1317" s="900" t="str">
        <f t="shared" si="280"/>
        <v xml:space="preserve"> </v>
      </c>
      <c r="O1317" s="922" t="s">
        <v>966</v>
      </c>
      <c r="P1317" s="965">
        <v>1</v>
      </c>
      <c r="Q1317" s="900">
        <f>IF(O1317&lt;&gt;0,VLOOKUP(O1317,'Cây trong'!$A$2:$C$246,3,0)," ")</f>
        <v>180000</v>
      </c>
      <c r="R1317" s="900">
        <f t="shared" si="285"/>
        <v>180000</v>
      </c>
      <c r="S1317" s="902" t="s">
        <v>1782</v>
      </c>
      <c r="T1317" s="944" t="s">
        <v>2911</v>
      </c>
      <c r="U1317" s="927">
        <v>157.29999999999998</v>
      </c>
      <c r="V1317" s="1017"/>
      <c r="W1317" s="900"/>
      <c r="X1317" s="900">
        <f t="shared" si="276"/>
        <v>0</v>
      </c>
      <c r="Y1317" s="1016"/>
      <c r="Z1317" s="1016"/>
      <c r="AA1317" s="1016"/>
      <c r="AB1317" s="1026"/>
      <c r="AC1317" s="1016"/>
      <c r="AD1317" s="1016"/>
      <c r="AE1317" s="1016"/>
      <c r="AF1317" s="926"/>
      <c r="AG1317" s="906" t="str">
        <f>IF(AE1317&lt;&gt;0,VLOOKUP(AE1317,ODDS!$A$2:$C$13,3,0),"")</f>
        <v/>
      </c>
      <c r="AH1317" s="906" t="str">
        <f t="shared" si="286"/>
        <v xml:space="preserve"> </v>
      </c>
      <c r="AI1317" s="907" t="str">
        <f t="shared" si="284"/>
        <v xml:space="preserve"> </v>
      </c>
      <c r="AJ1317" s="1026" t="s">
        <v>2074</v>
      </c>
      <c r="AK1317" s="902"/>
    </row>
    <row r="1318" spans="1:37" s="385" customFormat="1" ht="135" outlineLevel="2" x14ac:dyDescent="0.35">
      <c r="A1318" s="447">
        <f t="shared" si="289"/>
        <v>105</v>
      </c>
      <c r="B1318" s="893"/>
      <c r="C1318" s="894"/>
      <c r="D1318" s="950"/>
      <c r="E1318" s="947"/>
      <c r="F1318" s="947"/>
      <c r="G1318" s="922"/>
      <c r="H1318" s="1034"/>
      <c r="I1318" s="882"/>
      <c r="J1318" s="1042"/>
      <c r="K1318" s="899" t="str">
        <f>IF(G1318&lt;&gt;0,VLOOKUP(G1318,'gia dat'!$A$1:$F$144,5,0)," ")</f>
        <v xml:space="preserve"> </v>
      </c>
      <c r="L1318" s="899" t="str">
        <f>IF(G1318&lt;&gt;0,VLOOKUP(G1318,'gia dat'!$A$1:$F$144,6,0)," ")</f>
        <v xml:space="preserve"> </v>
      </c>
      <c r="M1318" s="900" t="str">
        <f t="shared" si="279"/>
        <v xml:space="preserve"> </v>
      </c>
      <c r="N1318" s="900" t="str">
        <f t="shared" si="280"/>
        <v xml:space="preserve"> </v>
      </c>
      <c r="O1318" s="922" t="s">
        <v>79</v>
      </c>
      <c r="P1318" s="965">
        <v>3</v>
      </c>
      <c r="Q1318" s="900">
        <f>IF(O1318&lt;&gt;0,VLOOKUP(O1318,'Cây trong'!$A$2:$C$246,3,0)," ")</f>
        <v>1035000</v>
      </c>
      <c r="R1318" s="900">
        <f t="shared" si="285"/>
        <v>3105000</v>
      </c>
      <c r="S1318" s="902" t="s">
        <v>1784</v>
      </c>
      <c r="T1318" s="944" t="s">
        <v>2911</v>
      </c>
      <c r="U1318" s="1042">
        <v>1.8</v>
      </c>
      <c r="V1318" s="1047"/>
      <c r="W1318" s="900"/>
      <c r="X1318" s="900">
        <f t="shared" si="276"/>
        <v>0</v>
      </c>
      <c r="Y1318" s="1016"/>
      <c r="Z1318" s="1016"/>
      <c r="AA1318" s="1016"/>
      <c r="AB1318" s="1026"/>
      <c r="AC1318" s="1016"/>
      <c r="AD1318" s="1016"/>
      <c r="AE1318" s="1016"/>
      <c r="AF1318" s="926"/>
      <c r="AG1318" s="906" t="str">
        <f>IF(AE1318&lt;&gt;0,VLOOKUP(AE1318,ODDS!$A$2:$C$13,3,0),"")</f>
        <v/>
      </c>
      <c r="AH1318" s="906" t="str">
        <f t="shared" si="286"/>
        <v xml:space="preserve"> </v>
      </c>
      <c r="AI1318" s="907" t="str">
        <f t="shared" si="284"/>
        <v xml:space="preserve"> </v>
      </c>
      <c r="AJ1318" s="1036"/>
      <c r="AK1318" s="1016"/>
    </row>
    <row r="1319" spans="1:37" s="385" customFormat="1" ht="112.5" outlineLevel="2" x14ac:dyDescent="0.3">
      <c r="A1319" s="447">
        <f t="shared" si="289"/>
        <v>105</v>
      </c>
      <c r="B1319" s="893"/>
      <c r="C1319" s="894"/>
      <c r="D1319" s="950"/>
      <c r="E1319" s="950"/>
      <c r="F1319" s="1032"/>
      <c r="G1319" s="894"/>
      <c r="H1319" s="1034"/>
      <c r="I1319" s="882"/>
      <c r="J1319" s="1042"/>
      <c r="K1319" s="899" t="str">
        <f>IF(G1319&lt;&gt;0,VLOOKUP(G1319,'gia dat'!$A$1:$F$144,5,0)," ")</f>
        <v xml:space="preserve"> </v>
      </c>
      <c r="L1319" s="899" t="str">
        <f>IF(G1319&lt;&gt;0,VLOOKUP(G1319,'gia dat'!$A$1:$F$144,6,0)," ")</f>
        <v xml:space="preserve"> </v>
      </c>
      <c r="M1319" s="900" t="str">
        <f t="shared" si="279"/>
        <v xml:space="preserve"> </v>
      </c>
      <c r="N1319" s="900" t="str">
        <f t="shared" si="280"/>
        <v xml:space="preserve"> </v>
      </c>
      <c r="O1319" s="922" t="s">
        <v>67</v>
      </c>
      <c r="P1319" s="965">
        <v>2</v>
      </c>
      <c r="Q1319" s="900">
        <f>IF(O1319&lt;&gt;0,VLOOKUP(O1319,'Cây trong'!$A$2:$C$246,3,0)," ")</f>
        <v>494000</v>
      </c>
      <c r="R1319" s="900">
        <f t="shared" si="285"/>
        <v>988000</v>
      </c>
      <c r="S1319" s="902" t="s">
        <v>1782</v>
      </c>
      <c r="T1319" s="944" t="s">
        <v>2911</v>
      </c>
      <c r="U1319" s="927">
        <v>411.7</v>
      </c>
      <c r="V1319" s="1017"/>
      <c r="W1319" s="900"/>
      <c r="X1319" s="900">
        <f t="shared" ref="X1319:X1388" si="290">IF(S1319&lt;&gt;0,ROUND(U1319*W1319,-3)," ")</f>
        <v>0</v>
      </c>
      <c r="Y1319" s="1016"/>
      <c r="Z1319" s="1016"/>
      <c r="AA1319" s="1016"/>
      <c r="AB1319" s="1026"/>
      <c r="AC1319" s="1016"/>
      <c r="AD1319" s="1016"/>
      <c r="AE1319" s="1016"/>
      <c r="AF1319" s="926"/>
      <c r="AG1319" s="906" t="str">
        <f>IF(AE1319&lt;&gt;0,VLOOKUP(AE1319,ODDS!$A$2:$C$13,3,0),"")</f>
        <v/>
      </c>
      <c r="AH1319" s="906" t="str">
        <f t="shared" si="286"/>
        <v xml:space="preserve"> </v>
      </c>
      <c r="AI1319" s="907" t="str">
        <f t="shared" si="284"/>
        <v xml:space="preserve"> </v>
      </c>
      <c r="AJ1319" s="1016"/>
      <c r="AK1319" s="1016"/>
    </row>
    <row r="1320" spans="1:37" s="385" customFormat="1" ht="112.5" outlineLevel="2" x14ac:dyDescent="0.3">
      <c r="A1320" s="447">
        <f t="shared" si="289"/>
        <v>105</v>
      </c>
      <c r="B1320" s="893"/>
      <c r="C1320" s="894"/>
      <c r="D1320" s="950"/>
      <c r="E1320" s="950"/>
      <c r="F1320" s="1032"/>
      <c r="G1320" s="894"/>
      <c r="H1320" s="1034"/>
      <c r="I1320" s="882"/>
      <c r="J1320" s="1042"/>
      <c r="K1320" s="899" t="str">
        <f>IF(G1320&lt;&gt;0,VLOOKUP(G1320,'gia dat'!$A$1:$F$144,5,0)," ")</f>
        <v xml:space="preserve"> </v>
      </c>
      <c r="L1320" s="899" t="str">
        <f>IF(G1320&lt;&gt;0,VLOOKUP(G1320,'gia dat'!$A$1:$F$144,6,0)," ")</f>
        <v xml:space="preserve"> </v>
      </c>
      <c r="M1320" s="900" t="str">
        <f t="shared" si="279"/>
        <v xml:space="preserve"> </v>
      </c>
      <c r="N1320" s="900" t="str">
        <f t="shared" si="280"/>
        <v xml:space="preserve"> </v>
      </c>
      <c r="O1320" s="922" t="s">
        <v>400</v>
      </c>
      <c r="P1320" s="965">
        <v>10</v>
      </c>
      <c r="Q1320" s="900">
        <f>IF(O1320&lt;&gt;0,VLOOKUP(O1320,'Cây trong'!$A$2:$C$246,3,0)," ")</f>
        <v>228000</v>
      </c>
      <c r="R1320" s="900">
        <f t="shared" si="285"/>
        <v>2280000</v>
      </c>
      <c r="S1320" s="902" t="s">
        <v>1785</v>
      </c>
      <c r="T1320" s="944" t="s">
        <v>2911</v>
      </c>
      <c r="U1320" s="1042">
        <f>2.9</f>
        <v>2.9</v>
      </c>
      <c r="V1320" s="1047"/>
      <c r="W1320" s="900"/>
      <c r="X1320" s="900">
        <f t="shared" si="290"/>
        <v>0</v>
      </c>
      <c r="Y1320" s="1016"/>
      <c r="Z1320" s="1016"/>
      <c r="AA1320" s="1016"/>
      <c r="AB1320" s="1026"/>
      <c r="AC1320" s="1016"/>
      <c r="AD1320" s="1016"/>
      <c r="AE1320" s="1016"/>
      <c r="AF1320" s="926"/>
      <c r="AG1320" s="906" t="str">
        <f>IF(AE1320&lt;&gt;0,VLOOKUP(AE1320,ODDS!$A$2:$C$13,3,0),"")</f>
        <v/>
      </c>
      <c r="AH1320" s="906" t="str">
        <f t="shared" si="286"/>
        <v xml:space="preserve"> </v>
      </c>
      <c r="AI1320" s="907" t="str">
        <f t="shared" si="284"/>
        <v xml:space="preserve"> </v>
      </c>
      <c r="AJ1320" s="1016"/>
      <c r="AK1320" s="1016"/>
    </row>
    <row r="1321" spans="1:37" s="385" customFormat="1" ht="90" outlineLevel="2" x14ac:dyDescent="0.3">
      <c r="A1321" s="447">
        <f t="shared" si="289"/>
        <v>105</v>
      </c>
      <c r="B1321" s="893"/>
      <c r="C1321" s="894"/>
      <c r="D1321" s="950"/>
      <c r="E1321" s="950"/>
      <c r="F1321" s="1032"/>
      <c r="G1321" s="894"/>
      <c r="H1321" s="1034"/>
      <c r="I1321" s="882"/>
      <c r="J1321" s="1042"/>
      <c r="K1321" s="899" t="str">
        <f>IF(G1321&lt;&gt;0,VLOOKUP(G1321,'gia dat'!$A$1:$F$144,5,0)," ")</f>
        <v xml:space="preserve"> </v>
      </c>
      <c r="L1321" s="899" t="str">
        <f>IF(G1321&lt;&gt;0,VLOOKUP(G1321,'gia dat'!$A$1:$F$144,6,0)," ")</f>
        <v xml:space="preserve"> </v>
      </c>
      <c r="M1321" s="900" t="str">
        <f t="shared" si="279"/>
        <v xml:space="preserve"> </v>
      </c>
      <c r="N1321" s="900" t="str">
        <f t="shared" si="280"/>
        <v xml:space="preserve"> </v>
      </c>
      <c r="O1321" s="922" t="s">
        <v>401</v>
      </c>
      <c r="P1321" s="965">
        <v>16</v>
      </c>
      <c r="Q1321" s="900">
        <f>IF(O1321&lt;&gt;0,VLOOKUP(O1321,'Cây trong'!$A$2:$C$246,3,0)," ")</f>
        <v>80000</v>
      </c>
      <c r="R1321" s="900">
        <f t="shared" si="285"/>
        <v>1280000</v>
      </c>
      <c r="S1321" s="902" t="s">
        <v>1786</v>
      </c>
      <c r="T1321" s="944" t="s">
        <v>2911</v>
      </c>
      <c r="U1321" s="927">
        <v>339.79999999999995</v>
      </c>
      <c r="V1321" s="1017"/>
      <c r="W1321" s="900"/>
      <c r="X1321" s="900">
        <f t="shared" si="290"/>
        <v>0</v>
      </c>
      <c r="Y1321" s="1016"/>
      <c r="Z1321" s="1016"/>
      <c r="AA1321" s="1016"/>
      <c r="AB1321" s="1026"/>
      <c r="AC1321" s="1016"/>
      <c r="AD1321" s="1016"/>
      <c r="AE1321" s="1016"/>
      <c r="AF1321" s="926"/>
      <c r="AG1321" s="906" t="str">
        <f>IF(AE1321&lt;&gt;0,VLOOKUP(AE1321,ODDS!$A$2:$C$13,3,0),"")</f>
        <v/>
      </c>
      <c r="AH1321" s="906" t="str">
        <f t="shared" si="286"/>
        <v xml:space="preserve"> </v>
      </c>
      <c r="AI1321" s="907" t="str">
        <f t="shared" si="284"/>
        <v xml:space="preserve"> </v>
      </c>
      <c r="AJ1321" s="1016"/>
      <c r="AK1321" s="1016"/>
    </row>
    <row r="1322" spans="1:37" s="385" customFormat="1" ht="112.5" outlineLevel="2" x14ac:dyDescent="0.3">
      <c r="A1322" s="447">
        <f t="shared" si="289"/>
        <v>105</v>
      </c>
      <c r="B1322" s="893"/>
      <c r="C1322" s="894"/>
      <c r="D1322" s="950"/>
      <c r="E1322" s="950"/>
      <c r="F1322" s="1032"/>
      <c r="G1322" s="894"/>
      <c r="H1322" s="1034"/>
      <c r="I1322" s="882"/>
      <c r="J1322" s="1042"/>
      <c r="K1322" s="899" t="str">
        <f>IF(G1322&lt;&gt;0,VLOOKUP(G1322,'gia dat'!$A$1:$F$144,5,0)," ")</f>
        <v xml:space="preserve"> </v>
      </c>
      <c r="L1322" s="899" t="str">
        <f>IF(G1322&lt;&gt;0,VLOOKUP(G1322,'gia dat'!$A$1:$F$144,6,0)," ")</f>
        <v xml:space="preserve"> </v>
      </c>
      <c r="M1322" s="900" t="str">
        <f t="shared" si="279"/>
        <v xml:space="preserve"> </v>
      </c>
      <c r="N1322" s="900" t="str">
        <f t="shared" si="280"/>
        <v xml:space="preserve"> </v>
      </c>
      <c r="O1322" s="922" t="s">
        <v>401</v>
      </c>
      <c r="P1322" s="965">
        <v>4</v>
      </c>
      <c r="Q1322" s="900">
        <f>IF(O1322&lt;&gt;0,VLOOKUP(O1322,'Cây trong'!$A$2:$C$246,3,0)," ")</f>
        <v>80000</v>
      </c>
      <c r="R1322" s="900">
        <f t="shared" si="285"/>
        <v>320000</v>
      </c>
      <c r="S1322" s="902" t="s">
        <v>1787</v>
      </c>
      <c r="T1322" s="944" t="s">
        <v>2911</v>
      </c>
      <c r="U1322" s="1042">
        <f>3.2</f>
        <v>3.2</v>
      </c>
      <c r="V1322" s="1047"/>
      <c r="W1322" s="900"/>
      <c r="X1322" s="900">
        <f t="shared" si="290"/>
        <v>0</v>
      </c>
      <c r="Y1322" s="1016"/>
      <c r="Z1322" s="1016"/>
      <c r="AA1322" s="1016"/>
      <c r="AB1322" s="1026"/>
      <c r="AC1322" s="1016"/>
      <c r="AD1322" s="1016"/>
      <c r="AE1322" s="1016"/>
      <c r="AF1322" s="926"/>
      <c r="AG1322" s="906" t="str">
        <f>IF(AE1322&lt;&gt;0,VLOOKUP(AE1322,ODDS!$A$2:$C$13,3,0),"")</f>
        <v/>
      </c>
      <c r="AH1322" s="906" t="str">
        <f t="shared" si="286"/>
        <v xml:space="preserve"> </v>
      </c>
      <c r="AI1322" s="907" t="str">
        <f t="shared" si="284"/>
        <v xml:space="preserve"> </v>
      </c>
      <c r="AJ1322" s="1016"/>
      <c r="AK1322" s="1016"/>
    </row>
    <row r="1323" spans="1:37" s="385" customFormat="1" ht="112.5" outlineLevel="2" x14ac:dyDescent="0.3">
      <c r="A1323" s="447">
        <f t="shared" si="289"/>
        <v>105</v>
      </c>
      <c r="B1323" s="893"/>
      <c r="C1323" s="894"/>
      <c r="D1323" s="950"/>
      <c r="E1323" s="950"/>
      <c r="F1323" s="1032"/>
      <c r="G1323" s="894"/>
      <c r="H1323" s="1034"/>
      <c r="I1323" s="882"/>
      <c r="J1323" s="1042"/>
      <c r="K1323" s="899" t="str">
        <f>IF(G1323&lt;&gt;0,VLOOKUP(G1323,'gia dat'!$A$1:$F$144,5,0)," ")</f>
        <v xml:space="preserve"> </v>
      </c>
      <c r="L1323" s="899" t="str">
        <f>IF(G1323&lt;&gt;0,VLOOKUP(G1323,'gia dat'!$A$1:$F$144,6,0)," ")</f>
        <v xml:space="preserve"> </v>
      </c>
      <c r="M1323" s="900" t="str">
        <f t="shared" si="279"/>
        <v xml:space="preserve"> </v>
      </c>
      <c r="N1323" s="900" t="str">
        <f t="shared" si="280"/>
        <v xml:space="preserve"> </v>
      </c>
      <c r="O1323" s="922"/>
      <c r="P1323" s="965"/>
      <c r="Q1323" s="900" t="str">
        <f>IF(O1323&lt;&gt;0,VLOOKUP(O1323,'Cây trong'!$A$2:$C$246,3,0)," ")</f>
        <v xml:space="preserve"> </v>
      </c>
      <c r="R1323" s="900" t="str">
        <f t="shared" si="285"/>
        <v xml:space="preserve"> </v>
      </c>
      <c r="S1323" s="902" t="s">
        <v>1788</v>
      </c>
      <c r="T1323" s="944" t="s">
        <v>2911</v>
      </c>
      <c r="U1323" s="1042">
        <f>2.9</f>
        <v>2.9</v>
      </c>
      <c r="V1323" s="1047"/>
      <c r="W1323" s="900"/>
      <c r="X1323" s="900">
        <f t="shared" si="290"/>
        <v>0</v>
      </c>
      <c r="Y1323" s="1016"/>
      <c r="Z1323" s="1016"/>
      <c r="AA1323" s="1016"/>
      <c r="AB1323" s="1026"/>
      <c r="AC1323" s="1016"/>
      <c r="AD1323" s="1016"/>
      <c r="AE1323" s="1016"/>
      <c r="AF1323" s="926"/>
      <c r="AG1323" s="906" t="str">
        <f>IF(AE1323&lt;&gt;0,VLOOKUP(AE1323,ODDS!$A$2:$C$13,3,0),"")</f>
        <v/>
      </c>
      <c r="AH1323" s="906" t="str">
        <f t="shared" si="286"/>
        <v xml:space="preserve"> </v>
      </c>
      <c r="AI1323" s="907" t="str">
        <f t="shared" si="284"/>
        <v xml:space="preserve"> </v>
      </c>
      <c r="AJ1323" s="1016"/>
      <c r="AK1323" s="1016"/>
    </row>
    <row r="1324" spans="1:37" s="385" customFormat="1" ht="90" outlineLevel="2" x14ac:dyDescent="0.3">
      <c r="A1324" s="447">
        <f t="shared" si="289"/>
        <v>105</v>
      </c>
      <c r="B1324" s="893"/>
      <c r="C1324" s="894"/>
      <c r="D1324" s="950"/>
      <c r="E1324" s="950"/>
      <c r="F1324" s="1032"/>
      <c r="G1324" s="894"/>
      <c r="H1324" s="1034"/>
      <c r="I1324" s="882"/>
      <c r="J1324" s="1042"/>
      <c r="K1324" s="899" t="str">
        <f>IF(G1324&lt;&gt;0,VLOOKUP(G1324,'gia dat'!$A$1:$F$144,5,0)," ")</f>
        <v xml:space="preserve"> </v>
      </c>
      <c r="L1324" s="899" t="str">
        <f>IF(G1324&lt;&gt;0,VLOOKUP(G1324,'gia dat'!$A$1:$F$144,6,0)," ")</f>
        <v xml:space="preserve"> </v>
      </c>
      <c r="M1324" s="900" t="str">
        <f t="shared" si="279"/>
        <v xml:space="preserve"> </v>
      </c>
      <c r="N1324" s="900" t="str">
        <f t="shared" si="280"/>
        <v xml:space="preserve"> </v>
      </c>
      <c r="O1324" s="922"/>
      <c r="P1324" s="965"/>
      <c r="Q1324" s="900" t="str">
        <f>IF(O1324&lt;&gt;0,VLOOKUP(O1324,'Cây trong'!$A$2:$C$246,3,0)," ")</f>
        <v xml:space="preserve"> </v>
      </c>
      <c r="R1324" s="900" t="str">
        <f t="shared" si="285"/>
        <v xml:space="preserve"> </v>
      </c>
      <c r="S1324" s="902" t="s">
        <v>1786</v>
      </c>
      <c r="T1324" s="944" t="s">
        <v>2911</v>
      </c>
      <c r="U1324" s="927">
        <v>47.2</v>
      </c>
      <c r="V1324" s="1017"/>
      <c r="W1324" s="900"/>
      <c r="X1324" s="900">
        <f t="shared" si="290"/>
        <v>0</v>
      </c>
      <c r="Y1324" s="1016"/>
      <c r="Z1324" s="1016"/>
      <c r="AA1324" s="1016"/>
      <c r="AB1324" s="1026"/>
      <c r="AC1324" s="1016"/>
      <c r="AD1324" s="1016"/>
      <c r="AE1324" s="1016"/>
      <c r="AF1324" s="926"/>
      <c r="AG1324" s="906" t="str">
        <f>IF(AE1324&lt;&gt;0,VLOOKUP(AE1324,ODDS!$A$2:$C$13,3,0),"")</f>
        <v/>
      </c>
      <c r="AH1324" s="906" t="str">
        <f t="shared" si="286"/>
        <v xml:space="preserve"> </v>
      </c>
      <c r="AI1324" s="907" t="str">
        <f t="shared" si="284"/>
        <v xml:space="preserve"> </v>
      </c>
      <c r="AJ1324" s="1016"/>
      <c r="AK1324" s="1016"/>
    </row>
    <row r="1325" spans="1:37" s="385" customFormat="1" ht="112.5" outlineLevel="2" x14ac:dyDescent="0.3">
      <c r="A1325" s="447">
        <f t="shared" si="289"/>
        <v>105</v>
      </c>
      <c r="B1325" s="893"/>
      <c r="C1325" s="894"/>
      <c r="D1325" s="950"/>
      <c r="E1325" s="950"/>
      <c r="F1325" s="1032"/>
      <c r="G1325" s="894"/>
      <c r="H1325" s="1034"/>
      <c r="I1325" s="882"/>
      <c r="J1325" s="1042"/>
      <c r="K1325" s="899" t="str">
        <f>IF(G1325&lt;&gt;0,VLOOKUP(G1325,'gia dat'!$A$1:$F$144,5,0)," ")</f>
        <v xml:space="preserve"> </v>
      </c>
      <c r="L1325" s="899" t="str">
        <f>IF(G1325&lt;&gt;0,VLOOKUP(G1325,'gia dat'!$A$1:$F$144,6,0)," ")</f>
        <v xml:space="preserve"> </v>
      </c>
      <c r="M1325" s="900" t="str">
        <f t="shared" si="279"/>
        <v xml:space="preserve"> </v>
      </c>
      <c r="N1325" s="900" t="str">
        <f t="shared" si="280"/>
        <v xml:space="preserve"> </v>
      </c>
      <c r="O1325" s="922"/>
      <c r="P1325" s="965"/>
      <c r="Q1325" s="900" t="str">
        <f>IF(O1325&lt;&gt;0,VLOOKUP(O1325,'Cây trong'!$A$2:$C$246,3,0)," ")</f>
        <v xml:space="preserve"> </v>
      </c>
      <c r="R1325" s="900" t="str">
        <f t="shared" si="285"/>
        <v xml:space="preserve"> </v>
      </c>
      <c r="S1325" s="902" t="s">
        <v>1790</v>
      </c>
      <c r="T1325" s="944" t="s">
        <v>2911</v>
      </c>
      <c r="U1325" s="1042">
        <f>3.4</f>
        <v>3.4</v>
      </c>
      <c r="V1325" s="1047"/>
      <c r="W1325" s="900"/>
      <c r="X1325" s="900">
        <f t="shared" si="290"/>
        <v>0</v>
      </c>
      <c r="Y1325" s="1016"/>
      <c r="Z1325" s="1016"/>
      <c r="AA1325" s="1016"/>
      <c r="AB1325" s="1026"/>
      <c r="AC1325" s="1016"/>
      <c r="AD1325" s="1016"/>
      <c r="AE1325" s="1016"/>
      <c r="AF1325" s="926"/>
      <c r="AG1325" s="906" t="str">
        <f>IF(AE1325&lt;&gt;0,VLOOKUP(AE1325,ODDS!$A$2:$C$13,3,0),"")</f>
        <v/>
      </c>
      <c r="AH1325" s="906" t="str">
        <f t="shared" si="286"/>
        <v xml:space="preserve"> </v>
      </c>
      <c r="AI1325" s="907" t="str">
        <f t="shared" si="284"/>
        <v xml:space="preserve"> </v>
      </c>
      <c r="AJ1325" s="1016"/>
      <c r="AK1325" s="1016"/>
    </row>
    <row r="1326" spans="1:37" s="385" customFormat="1" ht="90" outlineLevel="2" x14ac:dyDescent="0.3">
      <c r="A1326" s="447">
        <f t="shared" si="289"/>
        <v>105</v>
      </c>
      <c r="B1326" s="893"/>
      <c r="C1326" s="894"/>
      <c r="D1326" s="950"/>
      <c r="E1326" s="950"/>
      <c r="F1326" s="1032"/>
      <c r="G1326" s="894"/>
      <c r="H1326" s="1034"/>
      <c r="I1326" s="882"/>
      <c r="J1326" s="1042"/>
      <c r="K1326" s="899" t="str">
        <f>IF(G1326&lt;&gt;0,VLOOKUP(G1326,'gia dat'!$A$1:$F$144,5,0)," ")</f>
        <v xml:space="preserve"> </v>
      </c>
      <c r="L1326" s="899" t="str">
        <f>IF(G1326&lt;&gt;0,VLOOKUP(G1326,'gia dat'!$A$1:$F$144,6,0)," ")</f>
        <v xml:space="preserve"> </v>
      </c>
      <c r="M1326" s="900" t="str">
        <f t="shared" si="279"/>
        <v xml:space="preserve"> </v>
      </c>
      <c r="N1326" s="900" t="str">
        <f t="shared" si="280"/>
        <v xml:space="preserve"> </v>
      </c>
      <c r="O1326" s="922"/>
      <c r="P1326" s="965"/>
      <c r="Q1326" s="900" t="str">
        <f>IF(O1326&lt;&gt;0,VLOOKUP(O1326,'Cây trong'!$A$2:$C$246,3,0)," ")</f>
        <v xml:space="preserve"> </v>
      </c>
      <c r="R1326" s="900" t="str">
        <f t="shared" si="285"/>
        <v xml:space="preserve"> </v>
      </c>
      <c r="S1326" s="902" t="s">
        <v>1791</v>
      </c>
      <c r="T1326" s="944" t="s">
        <v>2911</v>
      </c>
      <c r="U1326" s="1042">
        <v>326.39999999999998</v>
      </c>
      <c r="V1326" s="1047"/>
      <c r="W1326" s="900"/>
      <c r="X1326" s="900">
        <f t="shared" si="290"/>
        <v>0</v>
      </c>
      <c r="Y1326" s="1016"/>
      <c r="Z1326" s="1016"/>
      <c r="AA1326" s="1016"/>
      <c r="AB1326" s="1026"/>
      <c r="AC1326" s="1016"/>
      <c r="AD1326" s="1016"/>
      <c r="AE1326" s="1016"/>
      <c r="AF1326" s="926"/>
      <c r="AG1326" s="906" t="str">
        <f>IF(AE1326&lt;&gt;0,VLOOKUP(AE1326,ODDS!$A$2:$C$13,3,0),"")</f>
        <v/>
      </c>
      <c r="AH1326" s="906" t="str">
        <f t="shared" si="286"/>
        <v xml:space="preserve"> </v>
      </c>
      <c r="AI1326" s="907" t="str">
        <f t="shared" si="284"/>
        <v xml:space="preserve"> </v>
      </c>
      <c r="AJ1326" s="1016"/>
      <c r="AK1326" s="1016"/>
    </row>
    <row r="1327" spans="1:37" s="385" customFormat="1" ht="90" outlineLevel="2" x14ac:dyDescent="0.3">
      <c r="A1327" s="447">
        <f t="shared" si="289"/>
        <v>105</v>
      </c>
      <c r="B1327" s="893"/>
      <c r="C1327" s="894"/>
      <c r="D1327" s="950"/>
      <c r="E1327" s="950"/>
      <c r="F1327" s="1032"/>
      <c r="G1327" s="894"/>
      <c r="H1327" s="1034"/>
      <c r="I1327" s="882"/>
      <c r="J1327" s="1042"/>
      <c r="K1327" s="899" t="str">
        <f>IF(G1327&lt;&gt;0,VLOOKUP(G1327,'gia dat'!$A$1:$F$144,5,0)," ")</f>
        <v xml:space="preserve"> </v>
      </c>
      <c r="L1327" s="899" t="str">
        <f>IF(G1327&lt;&gt;0,VLOOKUP(G1327,'gia dat'!$A$1:$F$144,6,0)," ")</f>
        <v xml:space="preserve"> </v>
      </c>
      <c r="M1327" s="900" t="str">
        <f t="shared" si="279"/>
        <v xml:space="preserve"> </v>
      </c>
      <c r="N1327" s="900" t="str">
        <f t="shared" si="280"/>
        <v xml:space="preserve"> </v>
      </c>
      <c r="O1327" s="922"/>
      <c r="P1327" s="965"/>
      <c r="Q1327" s="900" t="str">
        <f>IF(O1327&lt;&gt;0,VLOOKUP(O1327,'Cây trong'!$A$2:$C$246,3,0)," ")</f>
        <v xml:space="preserve"> </v>
      </c>
      <c r="R1327" s="900" t="str">
        <f t="shared" si="285"/>
        <v xml:space="preserve"> </v>
      </c>
      <c r="S1327" s="902" t="s">
        <v>1792</v>
      </c>
      <c r="T1327" s="944" t="s">
        <v>2911</v>
      </c>
      <c r="U1327" s="1042">
        <v>375.2</v>
      </c>
      <c r="V1327" s="1047"/>
      <c r="W1327" s="900"/>
      <c r="X1327" s="900">
        <f t="shared" si="290"/>
        <v>0</v>
      </c>
      <c r="Y1327" s="1016"/>
      <c r="Z1327" s="1016"/>
      <c r="AA1327" s="1016"/>
      <c r="AB1327" s="1026"/>
      <c r="AC1327" s="1016"/>
      <c r="AD1327" s="1016"/>
      <c r="AE1327" s="1016"/>
      <c r="AF1327" s="926"/>
      <c r="AG1327" s="906" t="str">
        <f>IF(AE1327&lt;&gt;0,VLOOKUP(AE1327,ODDS!$A$2:$C$13,3,0),"")</f>
        <v/>
      </c>
      <c r="AH1327" s="906" t="str">
        <f t="shared" si="286"/>
        <v xml:space="preserve"> </v>
      </c>
      <c r="AI1327" s="907" t="str">
        <f t="shared" si="284"/>
        <v xml:space="preserve"> </v>
      </c>
      <c r="AJ1327" s="1016"/>
      <c r="AK1327" s="1016"/>
    </row>
    <row r="1328" spans="1:37" s="385" customFormat="1" ht="67.5" outlineLevel="2" x14ac:dyDescent="0.3">
      <c r="A1328" s="447">
        <f t="shared" si="289"/>
        <v>105</v>
      </c>
      <c r="B1328" s="893"/>
      <c r="C1328" s="894"/>
      <c r="D1328" s="950"/>
      <c r="E1328" s="950"/>
      <c r="F1328" s="1032"/>
      <c r="G1328" s="894"/>
      <c r="H1328" s="1034"/>
      <c r="I1328" s="882"/>
      <c r="J1328" s="1042"/>
      <c r="K1328" s="899" t="str">
        <f>IF(G1328&lt;&gt;0,VLOOKUP(G1328,'gia dat'!$A$1:$F$144,5,0)," ")</f>
        <v xml:space="preserve"> </v>
      </c>
      <c r="L1328" s="899" t="str">
        <f>IF(G1328&lt;&gt;0,VLOOKUP(G1328,'gia dat'!$A$1:$F$144,6,0)," ")</f>
        <v xml:space="preserve"> </v>
      </c>
      <c r="M1328" s="900" t="str">
        <f t="shared" si="279"/>
        <v xml:space="preserve"> </v>
      </c>
      <c r="N1328" s="900" t="str">
        <f t="shared" si="280"/>
        <v xml:space="preserve"> </v>
      </c>
      <c r="O1328" s="922"/>
      <c r="P1328" s="965"/>
      <c r="Q1328" s="900" t="str">
        <f>IF(O1328&lt;&gt;0,VLOOKUP(O1328,'Cây trong'!$A$2:$C$246,3,0)," ")</f>
        <v xml:space="preserve"> </v>
      </c>
      <c r="R1328" s="900" t="str">
        <f t="shared" si="285"/>
        <v xml:space="preserve"> </v>
      </c>
      <c r="S1328" s="902" t="s">
        <v>1793</v>
      </c>
      <c r="T1328" s="944" t="s">
        <v>2934</v>
      </c>
      <c r="U1328" s="1042">
        <v>3.8</v>
      </c>
      <c r="V1328" s="1047"/>
      <c r="W1328" s="900"/>
      <c r="X1328" s="900">
        <f t="shared" si="290"/>
        <v>0</v>
      </c>
      <c r="Y1328" s="1016"/>
      <c r="Z1328" s="1016"/>
      <c r="AA1328" s="1016"/>
      <c r="AB1328" s="1026"/>
      <c r="AC1328" s="1016"/>
      <c r="AD1328" s="1016"/>
      <c r="AE1328" s="1016"/>
      <c r="AF1328" s="926"/>
      <c r="AG1328" s="906" t="str">
        <f>IF(AE1328&lt;&gt;0,VLOOKUP(AE1328,ODDS!$A$2:$C$13,3,0),"")</f>
        <v/>
      </c>
      <c r="AH1328" s="906" t="str">
        <f t="shared" si="286"/>
        <v xml:space="preserve"> </v>
      </c>
      <c r="AI1328" s="907" t="str">
        <f t="shared" si="284"/>
        <v xml:space="preserve"> </v>
      </c>
      <c r="AJ1328" s="1016"/>
      <c r="AK1328" s="1016"/>
    </row>
    <row r="1329" spans="1:37" s="385" customFormat="1" ht="67.5" outlineLevel="2" x14ac:dyDescent="0.3">
      <c r="A1329" s="447">
        <f t="shared" si="289"/>
        <v>105</v>
      </c>
      <c r="B1329" s="893"/>
      <c r="C1329" s="894"/>
      <c r="D1329" s="950"/>
      <c r="E1329" s="950"/>
      <c r="F1329" s="1032"/>
      <c r="G1329" s="894"/>
      <c r="H1329" s="1034"/>
      <c r="I1329" s="882"/>
      <c r="J1329" s="1042"/>
      <c r="K1329" s="899" t="str">
        <f>IF(G1329&lt;&gt;0,VLOOKUP(G1329,'gia dat'!$A$1:$F$144,5,0)," ")</f>
        <v xml:space="preserve"> </v>
      </c>
      <c r="L1329" s="899" t="str">
        <f>IF(G1329&lt;&gt;0,VLOOKUP(G1329,'gia dat'!$A$1:$F$144,6,0)," ")</f>
        <v xml:space="preserve"> </v>
      </c>
      <c r="M1329" s="900" t="str">
        <f t="shared" si="279"/>
        <v xml:space="preserve"> </v>
      </c>
      <c r="N1329" s="900" t="str">
        <f t="shared" si="280"/>
        <v xml:space="preserve"> </v>
      </c>
      <c r="O1329" s="922"/>
      <c r="P1329" s="965"/>
      <c r="Q1329" s="900" t="str">
        <f>IF(O1329&lt;&gt;0,VLOOKUP(O1329,'Cây trong'!$A$2:$C$246,3,0)," ")</f>
        <v xml:space="preserve"> </v>
      </c>
      <c r="R1329" s="900" t="str">
        <f t="shared" si="285"/>
        <v xml:space="preserve"> </v>
      </c>
      <c r="S1329" s="902" t="s">
        <v>1794</v>
      </c>
      <c r="T1329" s="944" t="s">
        <v>2935</v>
      </c>
      <c r="U1329" s="1042">
        <v>4.8</v>
      </c>
      <c r="V1329" s="1047"/>
      <c r="W1329" s="900"/>
      <c r="X1329" s="900">
        <f t="shared" si="290"/>
        <v>0</v>
      </c>
      <c r="Y1329" s="1016"/>
      <c r="Z1329" s="1016"/>
      <c r="AA1329" s="1016"/>
      <c r="AB1329" s="1026"/>
      <c r="AC1329" s="1016"/>
      <c r="AD1329" s="1016"/>
      <c r="AE1329" s="1016"/>
      <c r="AF1329" s="926"/>
      <c r="AG1329" s="906" t="str">
        <f>IF(AE1329&lt;&gt;0,VLOOKUP(AE1329,ODDS!$A$2:$C$13,3,0),"")</f>
        <v/>
      </c>
      <c r="AH1329" s="906" t="str">
        <f t="shared" si="286"/>
        <v xml:space="preserve"> </v>
      </c>
      <c r="AI1329" s="907" t="str">
        <f t="shared" si="284"/>
        <v xml:space="preserve"> </v>
      </c>
      <c r="AJ1329" s="1016"/>
      <c r="AK1329" s="1016"/>
    </row>
    <row r="1330" spans="1:37" s="385" customFormat="1" ht="90" outlineLevel="2" x14ac:dyDescent="0.3">
      <c r="A1330" s="447">
        <f t="shared" si="289"/>
        <v>105</v>
      </c>
      <c r="B1330" s="893"/>
      <c r="C1330" s="894"/>
      <c r="D1330" s="950"/>
      <c r="E1330" s="950"/>
      <c r="F1330" s="1032"/>
      <c r="G1330" s="894"/>
      <c r="H1330" s="1034"/>
      <c r="I1330" s="882"/>
      <c r="J1330" s="1042"/>
      <c r="K1330" s="899" t="str">
        <f>IF(G1330&lt;&gt;0,VLOOKUP(G1330,'gia dat'!$A$1:$F$144,5,0)," ")</f>
        <v xml:space="preserve"> </v>
      </c>
      <c r="L1330" s="899" t="str">
        <f>IF(G1330&lt;&gt;0,VLOOKUP(G1330,'gia dat'!$A$1:$F$144,6,0)," ")</f>
        <v xml:space="preserve"> </v>
      </c>
      <c r="M1330" s="900" t="str">
        <f t="shared" ref="M1330:M1399" si="291">IF(H1330&lt;&gt;0,ROUND(H1330*K1330,-3)," ")</f>
        <v xml:space="preserve"> </v>
      </c>
      <c r="N1330" s="900" t="str">
        <f t="shared" ref="N1330:N1399" si="292">IF(H1330&lt;&gt;0,ROUND(H1330*L1330,-3)," ")</f>
        <v xml:space="preserve"> </v>
      </c>
      <c r="O1330" s="922"/>
      <c r="P1330" s="965"/>
      <c r="Q1330" s="900" t="str">
        <f>IF(O1330&lt;&gt;0,VLOOKUP(O1330,'Cây trong'!$A$2:$C$246,3,0)," ")</f>
        <v xml:space="preserve"> </v>
      </c>
      <c r="R1330" s="900" t="str">
        <f t="shared" si="285"/>
        <v xml:space="preserve"> </v>
      </c>
      <c r="S1330" s="902" t="s">
        <v>1795</v>
      </c>
      <c r="T1330" s="944" t="s">
        <v>2911</v>
      </c>
      <c r="U1330" s="1042">
        <v>27.2</v>
      </c>
      <c r="V1330" s="1047"/>
      <c r="W1330" s="900"/>
      <c r="X1330" s="900">
        <f t="shared" si="290"/>
        <v>0</v>
      </c>
      <c r="Y1330" s="1016"/>
      <c r="Z1330" s="1016"/>
      <c r="AA1330" s="1016"/>
      <c r="AB1330" s="1026"/>
      <c r="AC1330" s="1016"/>
      <c r="AD1330" s="1016"/>
      <c r="AE1330" s="1016"/>
      <c r="AF1330" s="926"/>
      <c r="AG1330" s="906" t="str">
        <f>IF(AE1330&lt;&gt;0,VLOOKUP(AE1330,ODDS!$A$2:$C$13,3,0),"")</f>
        <v/>
      </c>
      <c r="AH1330" s="906" t="str">
        <f t="shared" si="286"/>
        <v xml:space="preserve"> </v>
      </c>
      <c r="AI1330" s="907" t="str">
        <f t="shared" si="284"/>
        <v xml:space="preserve"> </v>
      </c>
      <c r="AJ1330" s="1016"/>
      <c r="AK1330" s="1016"/>
    </row>
    <row r="1331" spans="1:37" s="385" customFormat="1" ht="67.5" outlineLevel="2" x14ac:dyDescent="0.3">
      <c r="A1331" s="447">
        <f t="shared" si="289"/>
        <v>105</v>
      </c>
      <c r="B1331" s="893"/>
      <c r="C1331" s="894"/>
      <c r="D1331" s="950"/>
      <c r="E1331" s="950"/>
      <c r="F1331" s="1032"/>
      <c r="G1331" s="894"/>
      <c r="H1331" s="1034"/>
      <c r="I1331" s="882"/>
      <c r="J1331" s="1042"/>
      <c r="K1331" s="899" t="str">
        <f>IF(G1331&lt;&gt;0,VLOOKUP(G1331,'gia dat'!$A$1:$F$144,5,0)," ")</f>
        <v xml:space="preserve"> </v>
      </c>
      <c r="L1331" s="899" t="str">
        <f>IF(G1331&lt;&gt;0,VLOOKUP(G1331,'gia dat'!$A$1:$F$144,6,0)," ")</f>
        <v xml:space="preserve"> </v>
      </c>
      <c r="M1331" s="900" t="str">
        <f t="shared" si="291"/>
        <v xml:space="preserve"> </v>
      </c>
      <c r="N1331" s="900" t="str">
        <f t="shared" si="292"/>
        <v xml:space="preserve"> </v>
      </c>
      <c r="O1331" s="922"/>
      <c r="P1331" s="965"/>
      <c r="Q1331" s="900" t="str">
        <f>IF(O1331&lt;&gt;0,VLOOKUP(O1331,'Cây trong'!$A$2:$C$246,3,0)," ")</f>
        <v xml:space="preserve"> </v>
      </c>
      <c r="R1331" s="900" t="str">
        <f t="shared" si="285"/>
        <v xml:space="preserve"> </v>
      </c>
      <c r="S1331" s="922" t="s">
        <v>1796</v>
      </c>
      <c r="T1331" s="944" t="s">
        <v>2911</v>
      </c>
      <c r="U1331" s="1042">
        <v>361.2</v>
      </c>
      <c r="V1331" s="1047"/>
      <c r="W1331" s="900"/>
      <c r="X1331" s="900">
        <f t="shared" si="290"/>
        <v>0</v>
      </c>
      <c r="Y1331" s="1016"/>
      <c r="Z1331" s="1016"/>
      <c r="AA1331" s="1016"/>
      <c r="AB1331" s="1026"/>
      <c r="AC1331" s="1016"/>
      <c r="AD1331" s="1016"/>
      <c r="AE1331" s="1016"/>
      <c r="AF1331" s="926"/>
      <c r="AG1331" s="906" t="str">
        <f>IF(AE1331&lt;&gt;0,VLOOKUP(AE1331,ODDS!$A$2:$C$13,3,0),"")</f>
        <v/>
      </c>
      <c r="AH1331" s="906" t="str">
        <f t="shared" si="286"/>
        <v xml:space="preserve"> </v>
      </c>
      <c r="AI1331" s="907" t="str">
        <f t="shared" si="284"/>
        <v xml:space="preserve"> </v>
      </c>
      <c r="AJ1331" s="1016"/>
      <c r="AK1331" s="1016"/>
    </row>
    <row r="1332" spans="1:37" s="385" customFormat="1" ht="22.5" outlineLevel="2" x14ac:dyDescent="0.3">
      <c r="A1332" s="447">
        <f t="shared" si="289"/>
        <v>105</v>
      </c>
      <c r="B1332" s="893"/>
      <c r="C1332" s="894"/>
      <c r="D1332" s="950"/>
      <c r="E1332" s="950"/>
      <c r="F1332" s="1032"/>
      <c r="G1332" s="894"/>
      <c r="H1332" s="1034"/>
      <c r="I1332" s="882"/>
      <c r="J1332" s="1042"/>
      <c r="K1332" s="899" t="str">
        <f>IF(G1332&lt;&gt;0,VLOOKUP(G1332,'gia dat'!$A$1:$F$144,5,0)," ")</f>
        <v xml:space="preserve"> </v>
      </c>
      <c r="L1332" s="899" t="str">
        <f>IF(G1332&lt;&gt;0,VLOOKUP(G1332,'gia dat'!$A$1:$F$144,6,0)," ")</f>
        <v xml:space="preserve"> </v>
      </c>
      <c r="M1332" s="900" t="str">
        <f t="shared" si="291"/>
        <v xml:space="preserve"> </v>
      </c>
      <c r="N1332" s="900" t="str">
        <f t="shared" si="292"/>
        <v xml:space="preserve"> </v>
      </c>
      <c r="O1332" s="922"/>
      <c r="P1332" s="965"/>
      <c r="Q1332" s="900" t="str">
        <f>IF(O1332&lt;&gt;0,VLOOKUP(O1332,'Cây trong'!$A$2:$C$246,3,0)," ")</f>
        <v xml:space="preserve"> </v>
      </c>
      <c r="R1332" s="900" t="str">
        <f t="shared" si="285"/>
        <v xml:space="preserve"> </v>
      </c>
      <c r="S1332" s="922"/>
      <c r="T1332" s="944"/>
      <c r="U1332" s="1042"/>
      <c r="V1332" s="1047"/>
      <c r="W1332" s="900" t="str">
        <f>IF(S1332&lt;&gt;0,VLOOKUP(S1332,VKT!$A$2:$G$415,7,0),"")</f>
        <v/>
      </c>
      <c r="X1332" s="900" t="str">
        <f t="shared" si="290"/>
        <v xml:space="preserve"> </v>
      </c>
      <c r="Y1332" s="1016"/>
      <c r="Z1332" s="1016"/>
      <c r="AA1332" s="1016"/>
      <c r="AB1332" s="1026"/>
      <c r="AC1332" s="1016"/>
      <c r="AD1332" s="1016"/>
      <c r="AE1332" s="1016"/>
      <c r="AF1332" s="926"/>
      <c r="AG1332" s="906" t="str">
        <f>IF(AE1332&lt;&gt;0,VLOOKUP(AE1332,ODDS!$A$2:$C$13,3,0),"")</f>
        <v/>
      </c>
      <c r="AH1332" s="906" t="str">
        <f t="shared" si="286"/>
        <v xml:space="preserve"> </v>
      </c>
      <c r="AI1332" s="907" t="str">
        <f t="shared" si="284"/>
        <v xml:space="preserve"> </v>
      </c>
      <c r="AJ1332" s="1016"/>
      <c r="AK1332" s="1016"/>
    </row>
    <row r="1333" spans="1:37" s="385" customFormat="1" ht="22.5" outlineLevel="2" x14ac:dyDescent="0.3">
      <c r="A1333" s="447">
        <f t="shared" si="289"/>
        <v>105</v>
      </c>
      <c r="B1333" s="893"/>
      <c r="C1333" s="894"/>
      <c r="D1333" s="950"/>
      <c r="E1333" s="950"/>
      <c r="F1333" s="1032"/>
      <c r="G1333" s="894"/>
      <c r="H1333" s="1034"/>
      <c r="I1333" s="882"/>
      <c r="J1333" s="1042"/>
      <c r="K1333" s="899" t="str">
        <f>IF(G1333&lt;&gt;0,VLOOKUP(G1333,'gia dat'!$A$1:$F$144,5,0)," ")</f>
        <v xml:space="preserve"> </v>
      </c>
      <c r="L1333" s="899" t="str">
        <f>IF(G1333&lt;&gt;0,VLOOKUP(G1333,'gia dat'!$A$1:$F$144,6,0)," ")</f>
        <v xml:space="preserve"> </v>
      </c>
      <c r="M1333" s="900" t="str">
        <f t="shared" si="291"/>
        <v xml:space="preserve"> </v>
      </c>
      <c r="N1333" s="900" t="str">
        <f t="shared" si="292"/>
        <v xml:space="preserve"> </v>
      </c>
      <c r="O1333" s="922"/>
      <c r="P1333" s="965"/>
      <c r="Q1333" s="900" t="str">
        <f>IF(O1333&lt;&gt;0,VLOOKUP(O1333,'Cây trong'!$A$2:$C$246,3,0)," ")</f>
        <v xml:space="preserve"> </v>
      </c>
      <c r="R1333" s="900" t="str">
        <f t="shared" si="285"/>
        <v xml:space="preserve"> </v>
      </c>
      <c r="S1333" s="1016"/>
      <c r="T1333" s="922"/>
      <c r="U1333" s="1042"/>
      <c r="V1333" s="1047"/>
      <c r="W1333" s="900" t="str">
        <f>IF(S1333&lt;&gt;0,VLOOKUP(S1333,VKT!$A$2:$G$415,7,0),"")</f>
        <v/>
      </c>
      <c r="X1333" s="900" t="str">
        <f t="shared" si="290"/>
        <v xml:space="preserve"> </v>
      </c>
      <c r="Y1333" s="1016"/>
      <c r="Z1333" s="1016"/>
      <c r="AA1333" s="1016"/>
      <c r="AB1333" s="1026"/>
      <c r="AC1333" s="1016"/>
      <c r="AD1333" s="1016"/>
      <c r="AE1333" s="1016"/>
      <c r="AF1333" s="926"/>
      <c r="AG1333" s="906" t="str">
        <f>IF(AE1333&lt;&gt;0,VLOOKUP(AE1333,ODDS!$A$2:$C$13,3,0),"")</f>
        <v/>
      </c>
      <c r="AH1333" s="906" t="str">
        <f t="shared" si="286"/>
        <v xml:space="preserve"> </v>
      </c>
      <c r="AI1333" s="907" t="str">
        <f t="shared" si="284"/>
        <v xml:space="preserve"> </v>
      </c>
      <c r="AJ1333" s="1016"/>
      <c r="AK1333" s="1016"/>
    </row>
    <row r="1334" spans="1:37" s="385" customFormat="1" ht="22.5" outlineLevel="2" x14ac:dyDescent="0.3">
      <c r="A1334" s="447">
        <f t="shared" si="289"/>
        <v>105</v>
      </c>
      <c r="B1334" s="893"/>
      <c r="C1334" s="910"/>
      <c r="D1334" s="950"/>
      <c r="E1334" s="950"/>
      <c r="F1334" s="1032"/>
      <c r="G1334" s="894"/>
      <c r="H1334" s="1034"/>
      <c r="I1334" s="882"/>
      <c r="J1334" s="1042"/>
      <c r="K1334" s="899" t="str">
        <f>IF(G1334&lt;&gt;0,VLOOKUP(G1334,'gia dat'!$A$1:$F$144,5,0)," ")</f>
        <v xml:space="preserve"> </v>
      </c>
      <c r="L1334" s="899" t="str">
        <f>IF(G1334&lt;&gt;0,VLOOKUP(G1334,'gia dat'!$A$1:$F$144,6,0)," ")</f>
        <v xml:space="preserve"> </v>
      </c>
      <c r="M1334" s="900" t="str">
        <f t="shared" si="291"/>
        <v xml:space="preserve"> </v>
      </c>
      <c r="N1334" s="900" t="str">
        <f t="shared" si="292"/>
        <v xml:space="preserve"> </v>
      </c>
      <c r="O1334" s="1016"/>
      <c r="P1334" s="1057"/>
      <c r="Q1334" s="900" t="str">
        <f>IF(O1334&lt;&gt;0,VLOOKUP(O1334,'Cây trong'!$A$2:$C$246,3,0)," ")</f>
        <v xml:space="preserve"> </v>
      </c>
      <c r="R1334" s="900" t="str">
        <f t="shared" si="285"/>
        <v xml:space="preserve"> </v>
      </c>
      <c r="S1334" s="1016"/>
      <c r="T1334" s="922"/>
      <c r="U1334" s="1042"/>
      <c r="V1334" s="1047"/>
      <c r="W1334" s="900" t="str">
        <f>IF(S1334&lt;&gt;0,VLOOKUP(S1334,VKT!$A$2:$G$415,7,0),"")</f>
        <v/>
      </c>
      <c r="X1334" s="900" t="str">
        <f t="shared" si="290"/>
        <v xml:space="preserve"> </v>
      </c>
      <c r="Y1334" s="1016"/>
      <c r="Z1334" s="1016"/>
      <c r="AA1334" s="1016"/>
      <c r="AB1334" s="1026"/>
      <c r="AC1334" s="1016"/>
      <c r="AD1334" s="1016"/>
      <c r="AE1334" s="1016"/>
      <c r="AF1334" s="926"/>
      <c r="AG1334" s="906" t="str">
        <f>IF(AE1334&lt;&gt;0,VLOOKUP(AE1334,ODDS!$A$2:$C$13,3,0),"")</f>
        <v/>
      </c>
      <c r="AH1334" s="906" t="str">
        <f t="shared" si="286"/>
        <v xml:space="preserve"> </v>
      </c>
      <c r="AI1334" s="907" t="str">
        <f t="shared" si="284"/>
        <v xml:space="preserve"> </v>
      </c>
      <c r="AJ1334" s="1016"/>
      <c r="AK1334" s="1016"/>
    </row>
    <row r="1335" spans="1:37" s="385" customFormat="1" ht="65.25" outlineLevel="1" x14ac:dyDescent="0.25">
      <c r="A1335" s="467" t="s">
        <v>2604</v>
      </c>
      <c r="B1335" s="912">
        <v>106</v>
      </c>
      <c r="C1335" s="910" t="s">
        <v>969</v>
      </c>
      <c r="D1335" s="1037"/>
      <c r="E1335" s="1037"/>
      <c r="F1335" s="1038"/>
      <c r="G1335" s="910"/>
      <c r="H1335" s="1058">
        <f>SUBTOTAL(9,H1336:H1343)</f>
        <v>982.1</v>
      </c>
      <c r="I1335" s="915">
        <f>SUBTOTAL(9,I1336:I1341)</f>
        <v>0</v>
      </c>
      <c r="J1335" s="1040"/>
      <c r="K1335" s="917"/>
      <c r="L1335" s="917"/>
      <c r="M1335" s="907">
        <f>SUBTOTAL(9,M1336:M1343)</f>
        <v>0</v>
      </c>
      <c r="N1335" s="907">
        <f>SUBTOTAL(9,N1336:N1343)</f>
        <v>0</v>
      </c>
      <c r="O1335" s="914"/>
      <c r="P1335" s="968">
        <f>SUBTOTAL(9,P1336:P1343)</f>
        <v>64</v>
      </c>
      <c r="Q1335" s="907"/>
      <c r="R1335" s="907">
        <f>SUBTOTAL(9,R1336:R1343)</f>
        <v>7860000</v>
      </c>
      <c r="S1335" s="914"/>
      <c r="T1335" s="956"/>
      <c r="U1335" s="919">
        <f>SUBTOTAL(9,U1336:U1343)</f>
        <v>808.5200000000001</v>
      </c>
      <c r="V1335" s="998"/>
      <c r="W1335" s="907"/>
      <c r="X1335" s="907">
        <f>SUBTOTAL(9,X1336:X1343)</f>
        <v>650736000</v>
      </c>
      <c r="Y1335" s="1016"/>
      <c r="Z1335" s="1016"/>
      <c r="AA1335" s="1016"/>
      <c r="AB1335" s="1026"/>
      <c r="AC1335" s="1016"/>
      <c r="AD1335" s="1016"/>
      <c r="AE1335" s="985"/>
      <c r="AF1335" s="935">
        <f>SUBTOTAL(9,AF1336:AF1343)</f>
        <v>0</v>
      </c>
      <c r="AG1335" s="921"/>
      <c r="AH1335" s="921">
        <f>SUBTOTAL(9,AH1336:AH1343)</f>
        <v>0</v>
      </c>
      <c r="AI1335" s="907">
        <f t="shared" si="284"/>
        <v>658596000</v>
      </c>
      <c r="AJ1335" s="910"/>
      <c r="AK1335" s="918"/>
    </row>
    <row r="1336" spans="1:37" s="385" customFormat="1" ht="112.5" outlineLevel="2" x14ac:dyDescent="0.3">
      <c r="A1336" s="447">
        <f>IF(B1335&lt;&gt;0,B1335,A1334)</f>
        <v>106</v>
      </c>
      <c r="B1336" s="893"/>
      <c r="C1336" s="922" t="s">
        <v>1658</v>
      </c>
      <c r="D1336" s="950"/>
      <c r="E1336" s="950"/>
      <c r="F1336" s="1032"/>
      <c r="G1336" s="894" t="s">
        <v>970</v>
      </c>
      <c r="H1336" s="1059">
        <v>982.1</v>
      </c>
      <c r="I1336" s="882" t="str">
        <f t="shared" ref="I1336" si="293">IF(N1336&gt;0,H1336,"")</f>
        <v/>
      </c>
      <c r="J1336" s="1042"/>
      <c r="K1336" s="899">
        <f>IF(G1336&lt;&gt;0,VLOOKUP(G1336,'gia dat'!$A$1:$F$144,5,0)," ")</f>
        <v>0</v>
      </c>
      <c r="L1336" s="899">
        <f>IF(G1336&lt;&gt;0,VLOOKUP(G1336,'gia dat'!$A$1:$F$144,6,0)," ")</f>
        <v>0</v>
      </c>
      <c r="M1336" s="900">
        <f t="shared" si="291"/>
        <v>0</v>
      </c>
      <c r="N1336" s="900">
        <f t="shared" si="292"/>
        <v>0</v>
      </c>
      <c r="O1336" s="922" t="s">
        <v>971</v>
      </c>
      <c r="P1336" s="965">
        <v>2</v>
      </c>
      <c r="Q1336" s="900">
        <f>IF(O1336&lt;&gt;0,VLOOKUP(O1336,'Cây trong'!$A$2:$C$246,3,0)," ")</f>
        <v>360000</v>
      </c>
      <c r="R1336" s="900">
        <f t="shared" si="285"/>
        <v>720000</v>
      </c>
      <c r="S1336" s="922" t="s">
        <v>972</v>
      </c>
      <c r="T1336" s="944" t="s">
        <v>2911</v>
      </c>
      <c r="U1336" s="903">
        <v>343.2</v>
      </c>
      <c r="V1336" s="996"/>
      <c r="W1336" s="900">
        <f>IF(S1336&lt;&gt;0,VLOOKUP(S1336,VKT!$A$2:$G$415,7,0),"")</f>
        <v>1248814</v>
      </c>
      <c r="X1336" s="900">
        <f t="shared" si="290"/>
        <v>428593000</v>
      </c>
      <c r="Y1336" s="1016"/>
      <c r="Z1336" s="1016"/>
      <c r="AA1336" s="1016"/>
      <c r="AB1336" s="1026"/>
      <c r="AC1336" s="1016"/>
      <c r="AD1336" s="1016"/>
      <c r="AE1336" s="1016"/>
      <c r="AF1336" s="926"/>
      <c r="AG1336" s="906" t="str">
        <f>IF(AE1336&lt;&gt;0,VLOOKUP(AE1336,ODDS!$A$2:$C$13,3,0),"")</f>
        <v/>
      </c>
      <c r="AH1336" s="906" t="str">
        <f t="shared" si="286"/>
        <v xml:space="preserve"> </v>
      </c>
      <c r="AI1336" s="907" t="str">
        <f t="shared" si="284"/>
        <v xml:space="preserve"> </v>
      </c>
      <c r="AJ1336" s="894" t="s">
        <v>974</v>
      </c>
      <c r="AK1336" s="902"/>
    </row>
    <row r="1337" spans="1:37" s="385" customFormat="1" ht="93" outlineLevel="2" x14ac:dyDescent="0.3">
      <c r="A1337" s="447">
        <f t="shared" ref="A1337:A1343" si="294">IF(B1336&lt;&gt;0,B1336,A1336)</f>
        <v>106</v>
      </c>
      <c r="B1337" s="893"/>
      <c r="C1337" s="922"/>
      <c r="D1337" s="950"/>
      <c r="E1337" s="950"/>
      <c r="F1337" s="1032"/>
      <c r="G1337" s="894"/>
      <c r="H1337" s="1041"/>
      <c r="I1337" s="882"/>
      <c r="J1337" s="1042"/>
      <c r="K1337" s="899" t="str">
        <f>IF(G1337&lt;&gt;0,VLOOKUP(G1337,'gia dat'!$A$1:$F$144,5,0)," ")</f>
        <v xml:space="preserve"> </v>
      </c>
      <c r="L1337" s="899" t="str">
        <f>IF(G1337&lt;&gt;0,VLOOKUP(G1337,'gia dat'!$A$1:$F$144,6,0)," ")</f>
        <v xml:space="preserve"> </v>
      </c>
      <c r="M1337" s="900" t="str">
        <f t="shared" si="291"/>
        <v xml:space="preserve"> </v>
      </c>
      <c r="N1337" s="900" t="str">
        <f t="shared" si="292"/>
        <v xml:space="preserve"> </v>
      </c>
      <c r="O1337" s="922" t="s">
        <v>352</v>
      </c>
      <c r="P1337" s="965">
        <v>22</v>
      </c>
      <c r="Q1337" s="900">
        <f>IF(O1337&lt;&gt;0,VLOOKUP(O1337,'Cây trong'!$A$2:$C$246,3,0)," ")</f>
        <v>60000</v>
      </c>
      <c r="R1337" s="900">
        <f t="shared" si="285"/>
        <v>1320000</v>
      </c>
      <c r="S1337" s="922" t="s">
        <v>936</v>
      </c>
      <c r="T1337" s="944" t="s">
        <v>2911</v>
      </c>
      <c r="U1337" s="903">
        <v>243</v>
      </c>
      <c r="V1337" s="996">
        <v>243</v>
      </c>
      <c r="W1337" s="900"/>
      <c r="X1337" s="900">
        <f>IF(S1337&lt;&gt;0,ROUND(U1337*W1337,-3)," ")</f>
        <v>0</v>
      </c>
      <c r="Y1337" s="1016"/>
      <c r="Z1337" s="1016"/>
      <c r="AA1337" s="1016"/>
      <c r="AB1337" s="1026"/>
      <c r="AC1337" s="1016"/>
      <c r="AD1337" s="1016"/>
      <c r="AE1337" s="1016"/>
      <c r="AF1337" s="926"/>
      <c r="AG1337" s="906" t="str">
        <f>IF(AE1337&lt;&gt;0,VLOOKUP(AE1337,ODDS!$A$2:$C$13,3,0),"")</f>
        <v/>
      </c>
      <c r="AH1337" s="906" t="str">
        <f t="shared" si="286"/>
        <v xml:space="preserve"> </v>
      </c>
      <c r="AI1337" s="907" t="str">
        <f t="shared" si="284"/>
        <v xml:space="preserve"> </v>
      </c>
      <c r="AJ1337" s="894" t="s">
        <v>2936</v>
      </c>
      <c r="AK1337" s="902"/>
    </row>
    <row r="1338" spans="1:37" s="385" customFormat="1" ht="135" outlineLevel="2" x14ac:dyDescent="0.3">
      <c r="A1338" s="447">
        <f t="shared" si="294"/>
        <v>106</v>
      </c>
      <c r="B1338" s="893"/>
      <c r="C1338" s="894"/>
      <c r="D1338" s="950"/>
      <c r="E1338" s="950"/>
      <c r="F1338" s="1032"/>
      <c r="G1338" s="894"/>
      <c r="H1338" s="1041"/>
      <c r="I1338" s="882"/>
      <c r="J1338" s="1042"/>
      <c r="K1338" s="899" t="str">
        <f>IF(G1338&lt;&gt;0,VLOOKUP(G1338,'gia dat'!$A$1:$F$144,5,0)," ")</f>
        <v xml:space="preserve"> </v>
      </c>
      <c r="L1338" s="899" t="str">
        <f>IF(G1338&lt;&gt;0,VLOOKUP(G1338,'gia dat'!$A$1:$F$144,6,0)," ")</f>
        <v xml:space="preserve"> </v>
      </c>
      <c r="M1338" s="900" t="str">
        <f t="shared" si="291"/>
        <v xml:space="preserve"> </v>
      </c>
      <c r="N1338" s="900" t="str">
        <f t="shared" si="292"/>
        <v xml:space="preserve"> </v>
      </c>
      <c r="O1338" s="922" t="s">
        <v>353</v>
      </c>
      <c r="P1338" s="965">
        <v>25</v>
      </c>
      <c r="Q1338" s="900">
        <f>IF(O1338&lt;&gt;0,VLOOKUP(O1338,'Cây trong'!$A$2:$C$246,3,0)," ")</f>
        <v>96000</v>
      </c>
      <c r="R1338" s="900">
        <f t="shared" si="285"/>
        <v>2400000</v>
      </c>
      <c r="S1338" s="922" t="s">
        <v>976</v>
      </c>
      <c r="T1338" s="944" t="s">
        <v>2911</v>
      </c>
      <c r="U1338" s="903">
        <v>170.3</v>
      </c>
      <c r="V1338" s="996"/>
      <c r="W1338" s="900">
        <f>IF(S1338&lt;&gt;0,VLOOKUP(S1338,VKT!$A$2:$G$415,7,0),"")</f>
        <v>949667</v>
      </c>
      <c r="X1338" s="900">
        <f t="shared" si="290"/>
        <v>161728000</v>
      </c>
      <c r="Y1338" s="1016"/>
      <c r="Z1338" s="1016"/>
      <c r="AA1338" s="1016"/>
      <c r="AB1338" s="1026"/>
      <c r="AC1338" s="1016"/>
      <c r="AD1338" s="1016"/>
      <c r="AE1338" s="1016"/>
      <c r="AF1338" s="926"/>
      <c r="AG1338" s="906" t="str">
        <f>IF(AE1338&lt;&gt;0,VLOOKUP(AE1338,ODDS!$A$2:$C$13,3,0),"")</f>
        <v/>
      </c>
      <c r="AH1338" s="906" t="str">
        <f t="shared" si="286"/>
        <v xml:space="preserve"> </v>
      </c>
      <c r="AI1338" s="907" t="str">
        <f t="shared" si="284"/>
        <v xml:space="preserve"> </v>
      </c>
      <c r="AJ1338" s="894"/>
      <c r="AK1338" s="902"/>
    </row>
    <row r="1339" spans="1:37" s="385" customFormat="1" ht="90" outlineLevel="2" x14ac:dyDescent="0.3">
      <c r="A1339" s="447">
        <f t="shared" si="294"/>
        <v>106</v>
      </c>
      <c r="B1339" s="893"/>
      <c r="C1339" s="894"/>
      <c r="D1339" s="950"/>
      <c r="E1339" s="950"/>
      <c r="F1339" s="1032"/>
      <c r="G1339" s="894"/>
      <c r="H1339" s="1041"/>
      <c r="I1339" s="882"/>
      <c r="J1339" s="925"/>
      <c r="K1339" s="899" t="str">
        <f>IF(G1339&lt;&gt;0,VLOOKUP(G1339,'gia dat'!$A$1:$F$144,5,0)," ")</f>
        <v xml:space="preserve"> </v>
      </c>
      <c r="L1339" s="899" t="str">
        <f>IF(G1339&lt;&gt;0,VLOOKUP(G1339,'gia dat'!$A$1:$F$144,6,0)," ")</f>
        <v xml:space="preserve"> </v>
      </c>
      <c r="M1339" s="900" t="str">
        <f t="shared" si="291"/>
        <v xml:space="preserve"> </v>
      </c>
      <c r="N1339" s="900" t="str">
        <f t="shared" si="292"/>
        <v xml:space="preserve"> </v>
      </c>
      <c r="O1339" s="922" t="s">
        <v>400</v>
      </c>
      <c r="P1339" s="965">
        <v>15</v>
      </c>
      <c r="Q1339" s="900">
        <f>IF(O1339&lt;&gt;0,VLOOKUP(O1339,'Cây trong'!$A$2:$C$246,3,0)," ")</f>
        <v>228000</v>
      </c>
      <c r="R1339" s="900">
        <f t="shared" si="285"/>
        <v>3420000</v>
      </c>
      <c r="S1339" s="922" t="s">
        <v>972</v>
      </c>
      <c r="T1339" s="944" t="s">
        <v>2911</v>
      </c>
      <c r="U1339" s="903">
        <v>30.6</v>
      </c>
      <c r="V1339" s="996"/>
      <c r="W1339" s="900">
        <f>IF(S1339&lt;&gt;0,VLOOKUP(S1339,VKT!$A$2:$G$415,7,0),"")</f>
        <v>1248814</v>
      </c>
      <c r="X1339" s="900">
        <f t="shared" si="290"/>
        <v>38214000</v>
      </c>
      <c r="Y1339" s="1016"/>
      <c r="Z1339" s="1016"/>
      <c r="AA1339" s="1016"/>
      <c r="AB1339" s="1026"/>
      <c r="AC1339" s="1016"/>
      <c r="AD1339" s="1016"/>
      <c r="AE1339" s="1016"/>
      <c r="AF1339" s="926"/>
      <c r="AG1339" s="906" t="str">
        <f>IF(AE1339&lt;&gt;0,VLOOKUP(AE1339,ODDS!$A$2:$C$13,3,0),"")</f>
        <v/>
      </c>
      <c r="AH1339" s="906" t="str">
        <f t="shared" si="286"/>
        <v xml:space="preserve"> </v>
      </c>
      <c r="AI1339" s="907" t="str">
        <f t="shared" si="284"/>
        <v xml:space="preserve"> </v>
      </c>
      <c r="AJ1339" s="929"/>
      <c r="AK1339" s="902"/>
    </row>
    <row r="1340" spans="1:37" s="385" customFormat="1" ht="90" outlineLevel="2" x14ac:dyDescent="0.3">
      <c r="A1340" s="447">
        <f t="shared" si="294"/>
        <v>106</v>
      </c>
      <c r="B1340" s="893"/>
      <c r="C1340" s="894"/>
      <c r="D1340" s="950"/>
      <c r="E1340" s="950"/>
      <c r="F1340" s="1032"/>
      <c r="G1340" s="894"/>
      <c r="H1340" s="1041"/>
      <c r="I1340" s="882"/>
      <c r="J1340" s="925"/>
      <c r="K1340" s="899" t="str">
        <f>IF(G1340&lt;&gt;0,VLOOKUP(G1340,'gia dat'!$A$1:$F$144,5,0)," ")</f>
        <v xml:space="preserve"> </v>
      </c>
      <c r="L1340" s="899" t="str">
        <f>IF(G1340&lt;&gt;0,VLOOKUP(G1340,'gia dat'!$A$1:$F$144,6,0)," ")</f>
        <v xml:space="preserve"> </v>
      </c>
      <c r="M1340" s="900" t="str">
        <f t="shared" si="291"/>
        <v xml:space="preserve"> </v>
      </c>
      <c r="N1340" s="900" t="str">
        <f t="shared" si="292"/>
        <v xml:space="preserve"> </v>
      </c>
      <c r="O1340" s="901"/>
      <c r="P1340" s="1046"/>
      <c r="Q1340" s="900" t="str">
        <f>IF(O1340&lt;&gt;0,VLOOKUP(O1340,'Cây trong'!$A$2:$C$246,3,0)," ")</f>
        <v xml:space="preserve"> </v>
      </c>
      <c r="R1340" s="900" t="str">
        <f t="shared" si="285"/>
        <v xml:space="preserve"> </v>
      </c>
      <c r="S1340" s="922" t="s">
        <v>972</v>
      </c>
      <c r="T1340" s="944" t="s">
        <v>2911</v>
      </c>
      <c r="U1340" s="903">
        <v>11.22</v>
      </c>
      <c r="V1340" s="996"/>
      <c r="W1340" s="900">
        <f>IF(S1340&lt;&gt;0,VLOOKUP(S1340,VKT!$A$2:$G$415,7,0),"")</f>
        <v>1248814</v>
      </c>
      <c r="X1340" s="900">
        <f t="shared" si="290"/>
        <v>14012000</v>
      </c>
      <c r="Y1340" s="1016"/>
      <c r="Z1340" s="1016"/>
      <c r="AA1340" s="1016"/>
      <c r="AB1340" s="1026"/>
      <c r="AC1340" s="1016"/>
      <c r="AD1340" s="1016"/>
      <c r="AE1340" s="1016"/>
      <c r="AF1340" s="926"/>
      <c r="AG1340" s="906" t="str">
        <f>IF(AE1340&lt;&gt;0,VLOOKUP(AE1340,ODDS!$A$2:$C$13,3,0),"")</f>
        <v/>
      </c>
      <c r="AH1340" s="906" t="str">
        <f t="shared" si="286"/>
        <v xml:space="preserve"> </v>
      </c>
      <c r="AI1340" s="907" t="str">
        <f t="shared" si="284"/>
        <v xml:space="preserve"> </v>
      </c>
      <c r="AJ1340" s="929"/>
      <c r="AK1340" s="929"/>
    </row>
    <row r="1341" spans="1:37" s="385" customFormat="1" ht="45" outlineLevel="2" x14ac:dyDescent="0.3">
      <c r="A1341" s="447">
        <f t="shared" si="294"/>
        <v>106</v>
      </c>
      <c r="B1341" s="893"/>
      <c r="C1341" s="910"/>
      <c r="D1341" s="950"/>
      <c r="E1341" s="950"/>
      <c r="F1341" s="1032"/>
      <c r="G1341" s="894"/>
      <c r="H1341" s="1041"/>
      <c r="I1341" s="882"/>
      <c r="J1341" s="925"/>
      <c r="K1341" s="899" t="str">
        <f>IF(G1341&lt;&gt;0,VLOOKUP(G1341,'gia dat'!$A$1:$F$144,5,0)," ")</f>
        <v xml:space="preserve"> </v>
      </c>
      <c r="L1341" s="899" t="str">
        <f>IF(G1341&lt;&gt;0,VLOOKUP(G1341,'gia dat'!$A$1:$F$144,6,0)," ")</f>
        <v xml:space="preserve"> </v>
      </c>
      <c r="M1341" s="900" t="str">
        <f t="shared" si="291"/>
        <v xml:space="preserve"> </v>
      </c>
      <c r="N1341" s="900" t="str">
        <f t="shared" si="292"/>
        <v xml:space="preserve"> </v>
      </c>
      <c r="O1341" s="901"/>
      <c r="P1341" s="1046"/>
      <c r="Q1341" s="900" t="str">
        <f>IF(O1341&lt;&gt;0,VLOOKUP(O1341,'Cây trong'!$A$2:$C$246,3,0)," ")</f>
        <v xml:space="preserve"> </v>
      </c>
      <c r="R1341" s="900" t="str">
        <f t="shared" si="285"/>
        <v xml:space="preserve"> </v>
      </c>
      <c r="S1341" s="922" t="s">
        <v>550</v>
      </c>
      <c r="T1341" s="944" t="s">
        <v>2911</v>
      </c>
      <c r="U1341" s="903">
        <v>10.199999999999999</v>
      </c>
      <c r="V1341" s="996"/>
      <c r="W1341" s="900">
        <f>IF(S1341&lt;&gt;0,VLOOKUP(S1341,VKT!$A$2:$G$415,7,0),"")</f>
        <v>802830</v>
      </c>
      <c r="X1341" s="900">
        <f t="shared" si="290"/>
        <v>8189000</v>
      </c>
      <c r="Y1341" s="1016"/>
      <c r="Z1341" s="1016"/>
      <c r="AA1341" s="1016"/>
      <c r="AB1341" s="1026"/>
      <c r="AC1341" s="1016"/>
      <c r="AD1341" s="1016"/>
      <c r="AE1341" s="1016"/>
      <c r="AF1341" s="926"/>
      <c r="AG1341" s="906" t="str">
        <f>IF(AE1341&lt;&gt;0,VLOOKUP(AE1341,ODDS!$A$2:$C$13,3,0),"")</f>
        <v/>
      </c>
      <c r="AH1341" s="906" t="str">
        <f t="shared" si="286"/>
        <v xml:space="preserve"> </v>
      </c>
      <c r="AI1341" s="907" t="str">
        <f t="shared" si="284"/>
        <v xml:space="preserve"> </v>
      </c>
      <c r="AJ1341" s="929"/>
      <c r="AK1341" s="929"/>
    </row>
    <row r="1342" spans="1:37" s="385" customFormat="1" ht="22.5" outlineLevel="2" x14ac:dyDescent="0.3">
      <c r="A1342" s="447">
        <f t="shared" si="294"/>
        <v>106</v>
      </c>
      <c r="B1342" s="893"/>
      <c r="C1342" s="910"/>
      <c r="D1342" s="1028"/>
      <c r="E1342" s="1028"/>
      <c r="F1342" s="1028"/>
      <c r="G1342" s="922"/>
      <c r="H1342" s="1060"/>
      <c r="I1342" s="882"/>
      <c r="J1342" s="996"/>
      <c r="K1342" s="899" t="str">
        <f>IF(G1342&lt;&gt;0,VLOOKUP(G1342,'gia dat'!$A$1:$F$144,5,0)," ")</f>
        <v xml:space="preserve"> </v>
      </c>
      <c r="L1342" s="899" t="str">
        <f>IF(G1342&lt;&gt;0,VLOOKUP(G1342,'gia dat'!$A$1:$F$144,6,0)," ")</f>
        <v xml:space="preserve"> </v>
      </c>
      <c r="M1342" s="900" t="str">
        <f t="shared" si="291"/>
        <v xml:space="preserve"> </v>
      </c>
      <c r="N1342" s="900" t="str">
        <f t="shared" si="292"/>
        <v xml:space="preserve"> </v>
      </c>
      <c r="O1342" s="996"/>
      <c r="P1342" s="965"/>
      <c r="Q1342" s="900" t="str">
        <f>IF(O1342&lt;&gt;0,VLOOKUP(O1342,'Cây trong'!$A$2:$C$246,3,0)," ")</f>
        <v xml:space="preserve"> </v>
      </c>
      <c r="R1342" s="900" t="str">
        <f t="shared" si="285"/>
        <v xml:space="preserve"> </v>
      </c>
      <c r="S1342" s="996"/>
      <c r="T1342" s="996"/>
      <c r="U1342" s="1050"/>
      <c r="V1342" s="996"/>
      <c r="W1342" s="900" t="str">
        <f>IF(S1342&lt;&gt;0,VLOOKUP(S1342,VKT!$A$2:$G$415,7,0),"")</f>
        <v/>
      </c>
      <c r="X1342" s="900" t="str">
        <f t="shared" si="290"/>
        <v xml:space="preserve"> </v>
      </c>
      <c r="Y1342" s="1016"/>
      <c r="Z1342" s="1016"/>
      <c r="AA1342" s="1016"/>
      <c r="AB1342" s="1026"/>
      <c r="AC1342" s="1016"/>
      <c r="AD1342" s="1016"/>
      <c r="AE1342" s="1016"/>
      <c r="AF1342" s="926"/>
      <c r="AG1342" s="906" t="str">
        <f>IF(AE1342&lt;&gt;0,VLOOKUP(AE1342,ODDS!$A$2:$C$13,3,0),"")</f>
        <v/>
      </c>
      <c r="AH1342" s="906" t="str">
        <f t="shared" si="286"/>
        <v xml:space="preserve"> </v>
      </c>
      <c r="AI1342" s="907" t="str">
        <f t="shared" si="284"/>
        <v xml:space="preserve"> </v>
      </c>
      <c r="AJ1342" s="996"/>
      <c r="AK1342" s="996"/>
    </row>
    <row r="1343" spans="1:37" s="385" customFormat="1" ht="22.5" outlineLevel="2" x14ac:dyDescent="0.3">
      <c r="A1343" s="447">
        <f t="shared" si="294"/>
        <v>106</v>
      </c>
      <c r="B1343" s="893"/>
      <c r="C1343" s="910"/>
      <c r="D1343" s="1028"/>
      <c r="E1343" s="1028"/>
      <c r="F1343" s="1028"/>
      <c r="G1343" s="922"/>
      <c r="H1343" s="1060"/>
      <c r="I1343" s="882"/>
      <c r="J1343" s="996"/>
      <c r="K1343" s="899" t="str">
        <f>IF(G1343&lt;&gt;0,VLOOKUP(G1343,'gia dat'!$A$1:$F$144,5,0)," ")</f>
        <v xml:space="preserve"> </v>
      </c>
      <c r="L1343" s="899" t="str">
        <f>IF(G1343&lt;&gt;0,VLOOKUP(G1343,'gia dat'!$A$1:$F$144,6,0)," ")</f>
        <v xml:space="preserve"> </v>
      </c>
      <c r="M1343" s="900" t="str">
        <f t="shared" si="291"/>
        <v xml:space="preserve"> </v>
      </c>
      <c r="N1343" s="900" t="str">
        <f t="shared" si="292"/>
        <v xml:space="preserve"> </v>
      </c>
      <c r="O1343" s="996"/>
      <c r="P1343" s="965"/>
      <c r="Q1343" s="900" t="str">
        <f>IF(O1343&lt;&gt;0,VLOOKUP(O1343,'Cây trong'!$A$2:$C$246,3,0)," ")</f>
        <v xml:space="preserve"> </v>
      </c>
      <c r="R1343" s="900" t="str">
        <f t="shared" si="285"/>
        <v xml:space="preserve"> </v>
      </c>
      <c r="S1343" s="996"/>
      <c r="T1343" s="996"/>
      <c r="U1343" s="1050"/>
      <c r="V1343" s="996"/>
      <c r="W1343" s="900" t="str">
        <f>IF(S1343&lt;&gt;0,VLOOKUP(S1343,VKT!$A$2:$G$415,7,0),"")</f>
        <v/>
      </c>
      <c r="X1343" s="900" t="str">
        <f t="shared" si="290"/>
        <v xml:space="preserve"> </v>
      </c>
      <c r="Y1343" s="922"/>
      <c r="Z1343" s="922"/>
      <c r="AA1343" s="922"/>
      <c r="AB1343" s="922"/>
      <c r="AC1343" s="922"/>
      <c r="AD1343" s="922"/>
      <c r="AE1343" s="922"/>
      <c r="AF1343" s="1046"/>
      <c r="AG1343" s="906" t="str">
        <f>IF(AE1343&lt;&gt;0,VLOOKUP(AE1343,ODDS!$A$2:$C$13,3,0),"")</f>
        <v/>
      </c>
      <c r="AH1343" s="906" t="str">
        <f t="shared" si="286"/>
        <v xml:space="preserve"> </v>
      </c>
      <c r="AI1343" s="907" t="str">
        <f t="shared" si="284"/>
        <v xml:space="preserve"> </v>
      </c>
      <c r="AJ1343" s="996"/>
      <c r="AK1343" s="996"/>
    </row>
    <row r="1344" spans="1:37" s="385" customFormat="1" ht="43.5" outlineLevel="1" x14ac:dyDescent="0.25">
      <c r="A1344" s="467" t="s">
        <v>2603</v>
      </c>
      <c r="B1344" s="912">
        <v>107</v>
      </c>
      <c r="C1344" s="910" t="s">
        <v>977</v>
      </c>
      <c r="D1344" s="1037"/>
      <c r="E1344" s="1037"/>
      <c r="F1344" s="1038"/>
      <c r="G1344" s="910"/>
      <c r="H1344" s="932">
        <f>SUBTOTAL(9,H1345:H1353)</f>
        <v>445.9</v>
      </c>
      <c r="I1344" s="915">
        <f>SUBTOTAL(9,I1345:I1350)</f>
        <v>0</v>
      </c>
      <c r="J1344" s="933"/>
      <c r="K1344" s="917"/>
      <c r="L1344" s="917"/>
      <c r="M1344" s="907">
        <f>SUBTOTAL(9,M1345:M1353)</f>
        <v>1226865000</v>
      </c>
      <c r="N1344" s="907">
        <f>SUBTOTAL(9,N1345:N1353)</f>
        <v>0</v>
      </c>
      <c r="O1344" s="914"/>
      <c r="P1344" s="968">
        <f>SUBTOTAL(9,P1345:P1353)</f>
        <v>25</v>
      </c>
      <c r="Q1344" s="907"/>
      <c r="R1344" s="907">
        <f>SUBTOTAL(9,R1345:R1353)</f>
        <v>2000000</v>
      </c>
      <c r="S1344" s="918"/>
      <c r="T1344" s="933"/>
      <c r="U1344" s="936">
        <f>SUBTOTAL(9,U1345:U1353)</f>
        <v>12</v>
      </c>
      <c r="V1344" s="943"/>
      <c r="W1344" s="907"/>
      <c r="X1344" s="907">
        <f>SUBTOTAL(9,X1345:X1353)</f>
        <v>17506000</v>
      </c>
      <c r="Y1344" s="898"/>
      <c r="Z1344" s="904"/>
      <c r="AA1344" s="904"/>
      <c r="AB1344" s="904"/>
      <c r="AC1344" s="904"/>
      <c r="AD1344" s="904"/>
      <c r="AE1344" s="938"/>
      <c r="AF1344" s="917">
        <f>SUBTOTAL(9,AF1345:AF1353)</f>
        <v>0</v>
      </c>
      <c r="AG1344" s="921"/>
      <c r="AH1344" s="921">
        <f>SUBTOTAL(9,AH1345:AH1353)</f>
        <v>0</v>
      </c>
      <c r="AI1344" s="907">
        <f t="shared" si="284"/>
        <v>1246371000</v>
      </c>
      <c r="AJ1344" s="910"/>
      <c r="AK1344" s="914"/>
    </row>
    <row r="1345" spans="1:37" s="385" customFormat="1" ht="135" outlineLevel="2" x14ac:dyDescent="0.3">
      <c r="A1345" s="447">
        <f>IF(B1344&lt;&gt;0,B1344,A1343)</f>
        <v>107</v>
      </c>
      <c r="B1345" s="893"/>
      <c r="C1345" s="894" t="s">
        <v>984</v>
      </c>
      <c r="D1345" s="950">
        <v>4</v>
      </c>
      <c r="E1345" s="950">
        <v>86</v>
      </c>
      <c r="F1345" s="1032">
        <v>59</v>
      </c>
      <c r="G1345" s="894" t="s">
        <v>2870</v>
      </c>
      <c r="H1345" s="940">
        <f>295.9-H1347</f>
        <v>295.89999999999998</v>
      </c>
      <c r="I1345" s="882" t="str">
        <f t="shared" ref="I1345:I1346" si="295">IF(N1345&gt;0,H1345,"")</f>
        <v/>
      </c>
      <c r="J1345" s="925"/>
      <c r="K1345" s="899">
        <f>IF(G1345&lt;&gt;0,VLOOKUP(G1345,'gia dat'!$A$1:$F$144,5,0)," ")</f>
        <v>465600</v>
      </c>
      <c r="L1345" s="899">
        <f>IF(G1345&lt;&gt;0,VLOOKUP(G1345,'gia dat'!$A$1:$F$144,6,0)," ")</f>
        <v>0</v>
      </c>
      <c r="M1345" s="900">
        <f t="shared" si="291"/>
        <v>137771000</v>
      </c>
      <c r="N1345" s="900">
        <f t="shared" si="292"/>
        <v>0</v>
      </c>
      <c r="O1345" s="922" t="s">
        <v>401</v>
      </c>
      <c r="P1345" s="965">
        <v>25</v>
      </c>
      <c r="Q1345" s="900">
        <f>IF(O1345&lt;&gt;0,VLOOKUP(O1345,'Cây trong'!$A$2:$C$246,3,0)," ")</f>
        <v>80000</v>
      </c>
      <c r="R1345" s="900">
        <f t="shared" si="285"/>
        <v>2000000</v>
      </c>
      <c r="S1345" s="902" t="s">
        <v>1926</v>
      </c>
      <c r="T1345" s="925" t="s">
        <v>2911</v>
      </c>
      <c r="U1345" s="927">
        <v>12</v>
      </c>
      <c r="V1345" s="929"/>
      <c r="W1345" s="900">
        <f>IF(S1345&lt;&gt;0,VLOOKUP(S1345,VKT!$A$2:$G$415,7,0),"")</f>
        <v>1458856</v>
      </c>
      <c r="X1345" s="900">
        <f t="shared" si="290"/>
        <v>17506000</v>
      </c>
      <c r="Y1345" s="898"/>
      <c r="Z1345" s="904" t="s">
        <v>980</v>
      </c>
      <c r="AA1345" s="904" t="s">
        <v>981</v>
      </c>
      <c r="AB1345" s="904" t="s">
        <v>266</v>
      </c>
      <c r="AC1345" s="904" t="s">
        <v>982</v>
      </c>
      <c r="AD1345" s="904"/>
      <c r="AE1345" s="905"/>
      <c r="AF1345" s="899"/>
      <c r="AG1345" s="906"/>
      <c r="AH1345" s="906"/>
      <c r="AI1345" s="907" t="str">
        <f t="shared" si="284"/>
        <v xml:space="preserve"> </v>
      </c>
      <c r="AJ1345" s="894" t="s">
        <v>983</v>
      </c>
      <c r="AK1345" s="922" t="s">
        <v>2771</v>
      </c>
    </row>
    <row r="1346" spans="1:37" s="385" customFormat="1" ht="135" outlineLevel="2" x14ac:dyDescent="0.3">
      <c r="A1346" s="447">
        <f t="shared" ref="A1346:A1353" si="296">IF(B1345&lt;&gt;0,B1345,A1345)</f>
        <v>107</v>
      </c>
      <c r="B1346" s="893"/>
      <c r="C1346" s="908" t="s">
        <v>1574</v>
      </c>
      <c r="D1346" s="950"/>
      <c r="E1346" s="950">
        <v>86</v>
      </c>
      <c r="F1346" s="1032">
        <v>59</v>
      </c>
      <c r="G1346" s="894" t="s">
        <v>2049</v>
      </c>
      <c r="H1346" s="940">
        <v>150</v>
      </c>
      <c r="I1346" s="882" t="str">
        <f t="shared" si="295"/>
        <v/>
      </c>
      <c r="J1346" s="925"/>
      <c r="K1346" s="899">
        <f>IF(G1346&lt;&gt;0,VLOOKUP(G1346,'gia dat'!$A$1:$F$144,5,0)," ")</f>
        <v>7260624</v>
      </c>
      <c r="L1346" s="899">
        <f>IF(G1346&lt;&gt;0,VLOOKUP(G1346,'gia dat'!$A$1:$F$144,6,0)," ")</f>
        <v>0</v>
      </c>
      <c r="M1346" s="900">
        <f t="shared" si="291"/>
        <v>1089094000</v>
      </c>
      <c r="N1346" s="900">
        <f t="shared" si="292"/>
        <v>0</v>
      </c>
      <c r="O1346" s="922"/>
      <c r="P1346" s="926"/>
      <c r="Q1346" s="900" t="str">
        <f>IF(O1346&lt;&gt;0,VLOOKUP(O1346,'Cây trong'!$A$2:$C$246,3,0)," ")</f>
        <v xml:space="preserve"> </v>
      </c>
      <c r="R1346" s="900" t="str">
        <f t="shared" si="285"/>
        <v xml:space="preserve"> </v>
      </c>
      <c r="S1346" s="902"/>
      <c r="T1346" s="925"/>
      <c r="U1346" s="927"/>
      <c r="V1346" s="929"/>
      <c r="W1346" s="900" t="str">
        <f>IF(S1346&lt;&gt;0,VLOOKUP(S1346,VKT!$A$2:$G$415,7,0),"")</f>
        <v/>
      </c>
      <c r="X1346" s="900" t="str">
        <f t="shared" si="290"/>
        <v xml:space="preserve"> </v>
      </c>
      <c r="Y1346" s="898"/>
      <c r="Z1346" s="904"/>
      <c r="AA1346" s="904"/>
      <c r="AB1346" s="904"/>
      <c r="AC1346" s="904"/>
      <c r="AD1346" s="904"/>
      <c r="AE1346" s="905"/>
      <c r="AF1346" s="926"/>
      <c r="AG1346" s="906" t="str">
        <f>IF(AE1346&lt;&gt;0,VLOOKUP(AE1346,ODDS!$A$2:$C$13,3,0),"")</f>
        <v/>
      </c>
      <c r="AH1346" s="906" t="str">
        <f t="shared" si="286"/>
        <v xml:space="preserve"> </v>
      </c>
      <c r="AI1346" s="907" t="str">
        <f t="shared" si="284"/>
        <v xml:space="preserve"> </v>
      </c>
      <c r="AJ1346" s="894" t="s">
        <v>2937</v>
      </c>
      <c r="AK1346" s="894" t="s">
        <v>2450</v>
      </c>
    </row>
    <row r="1347" spans="1:37" s="385" customFormat="1" ht="112.5" outlineLevel="2" x14ac:dyDescent="0.3">
      <c r="A1347" s="447">
        <f t="shared" si="296"/>
        <v>107</v>
      </c>
      <c r="B1347" s="893"/>
      <c r="C1347" s="910"/>
      <c r="D1347" s="950"/>
      <c r="E1347" s="950"/>
      <c r="F1347" s="1032"/>
      <c r="G1347" s="894"/>
      <c r="H1347" s="940"/>
      <c r="I1347" s="882"/>
      <c r="J1347" s="925"/>
      <c r="K1347" s="899" t="str">
        <f>IF(G1347&lt;&gt;0,VLOOKUP(G1347,'gia dat'!$A$1:$F$144,5,0)," ")</f>
        <v xml:space="preserve"> </v>
      </c>
      <c r="L1347" s="899" t="str">
        <f>IF(G1347&lt;&gt;0,VLOOKUP(G1347,'gia dat'!$A$1:$F$144,6,0)," ")</f>
        <v xml:space="preserve"> </v>
      </c>
      <c r="M1347" s="900" t="str">
        <f t="shared" si="291"/>
        <v xml:space="preserve"> </v>
      </c>
      <c r="N1347" s="900" t="str">
        <f t="shared" si="292"/>
        <v xml:space="preserve"> </v>
      </c>
      <c r="O1347" s="894"/>
      <c r="P1347" s="926"/>
      <c r="Q1347" s="900" t="str">
        <f>IF(O1347&lt;&gt;0,VLOOKUP(O1347,'Cây trong'!$A$2:$C$246,3,0)," ")</f>
        <v xml:space="preserve"> </v>
      </c>
      <c r="R1347" s="900" t="str">
        <f t="shared" si="285"/>
        <v xml:space="preserve"> </v>
      </c>
      <c r="S1347" s="902"/>
      <c r="T1347" s="925"/>
      <c r="U1347" s="927"/>
      <c r="V1347" s="929"/>
      <c r="W1347" s="900" t="str">
        <f>IF(S1347&lt;&gt;0,VLOOKUP(S1347,VKT!$A$2:$G$415,7,0),"")</f>
        <v/>
      </c>
      <c r="X1347" s="900" t="str">
        <f t="shared" si="290"/>
        <v xml:space="preserve"> </v>
      </c>
      <c r="Y1347" s="898"/>
      <c r="Z1347" s="904"/>
      <c r="AA1347" s="904"/>
      <c r="AB1347" s="904"/>
      <c r="AC1347" s="904"/>
      <c r="AD1347" s="904"/>
      <c r="AE1347" s="941"/>
      <c r="AF1347" s="926"/>
      <c r="AG1347" s="906" t="str">
        <f>IF(AE1347&lt;&gt;0,VLOOKUP(AE1347,ODDS!$A$2:$C$13,3,0),"")</f>
        <v/>
      </c>
      <c r="AH1347" s="906" t="str">
        <f t="shared" si="286"/>
        <v xml:space="preserve"> </v>
      </c>
      <c r="AI1347" s="907" t="str">
        <f t="shared" si="284"/>
        <v xml:space="preserve"> </v>
      </c>
      <c r="AJ1347" s="922" t="s">
        <v>2228</v>
      </c>
      <c r="AK1347" s="894" t="s">
        <v>2449</v>
      </c>
    </row>
    <row r="1348" spans="1:37" s="385" customFormat="1" ht="112.5" outlineLevel="2" x14ac:dyDescent="0.3">
      <c r="A1348" s="447">
        <f t="shared" si="296"/>
        <v>107</v>
      </c>
      <c r="B1348" s="893"/>
      <c r="C1348" s="922"/>
      <c r="D1348" s="1028"/>
      <c r="E1348" s="1028"/>
      <c r="F1348" s="1028"/>
      <c r="G1348" s="922"/>
      <c r="H1348" s="1060"/>
      <c r="I1348" s="882"/>
      <c r="J1348" s="996"/>
      <c r="K1348" s="899" t="str">
        <f>IF(G1348&lt;&gt;0,VLOOKUP(G1348,'gia dat'!$A$1:$F$144,5,0)," ")</f>
        <v xml:space="preserve"> </v>
      </c>
      <c r="L1348" s="899" t="str">
        <f>IF(G1348&lt;&gt;0,VLOOKUP(G1348,'gia dat'!$A$1:$F$144,6,0)," ")</f>
        <v xml:space="preserve"> </v>
      </c>
      <c r="M1348" s="900" t="str">
        <f t="shared" si="291"/>
        <v xml:space="preserve"> </v>
      </c>
      <c r="N1348" s="900" t="str">
        <f t="shared" si="292"/>
        <v xml:space="preserve"> </v>
      </c>
      <c r="O1348" s="996"/>
      <c r="P1348" s="965"/>
      <c r="Q1348" s="900" t="str">
        <f>IF(O1348&lt;&gt;0,VLOOKUP(O1348,'Cây trong'!$A$2:$C$246,3,0)," ")</f>
        <v xml:space="preserve"> </v>
      </c>
      <c r="R1348" s="900" t="str">
        <f t="shared" si="285"/>
        <v xml:space="preserve"> </v>
      </c>
      <c r="S1348" s="996"/>
      <c r="T1348" s="996"/>
      <c r="U1348" s="1050"/>
      <c r="V1348" s="996"/>
      <c r="W1348" s="900" t="str">
        <f>IF(S1348&lt;&gt;0,VLOOKUP(S1348,VKT!$A$2:$G$415,7,0),"")</f>
        <v/>
      </c>
      <c r="X1348" s="900" t="str">
        <f t="shared" si="290"/>
        <v xml:space="preserve"> </v>
      </c>
      <c r="Y1348" s="922"/>
      <c r="Z1348" s="922"/>
      <c r="AA1348" s="922"/>
      <c r="AB1348" s="922"/>
      <c r="AC1348" s="922"/>
      <c r="AD1348" s="922"/>
      <c r="AE1348" s="922"/>
      <c r="AF1348" s="1046"/>
      <c r="AG1348" s="906" t="str">
        <f>IF(AE1348&lt;&gt;0,VLOOKUP(AE1348,ODDS!$A$2:$C$13,3,0),"")</f>
        <v/>
      </c>
      <c r="AH1348" s="906" t="str">
        <f t="shared" si="286"/>
        <v xml:space="preserve"> </v>
      </c>
      <c r="AI1348" s="907" t="str">
        <f t="shared" si="284"/>
        <v xml:space="preserve"> </v>
      </c>
      <c r="AJ1348" s="929" t="s">
        <v>2350</v>
      </c>
      <c r="AK1348" s="922" t="s">
        <v>2800</v>
      </c>
    </row>
    <row r="1349" spans="1:37" s="385" customFormat="1" ht="22.5" outlineLevel="2" x14ac:dyDescent="0.35">
      <c r="A1349" s="447">
        <f t="shared" si="296"/>
        <v>107</v>
      </c>
      <c r="B1349" s="893"/>
      <c r="C1349" s="908"/>
      <c r="D1349" s="1035"/>
      <c r="E1349" s="950"/>
      <c r="F1349" s="1032"/>
      <c r="G1349" s="894"/>
      <c r="H1349" s="1059"/>
      <c r="I1349" s="882"/>
      <c r="J1349" s="1042"/>
      <c r="K1349" s="899" t="str">
        <f>IF(G1349&lt;&gt;0,VLOOKUP(G1349,'gia dat'!$A$1:$F$144,5,0)," ")</f>
        <v xml:space="preserve"> </v>
      </c>
      <c r="L1349" s="899" t="str">
        <f>IF(G1349&lt;&gt;0,VLOOKUP(G1349,'gia dat'!$A$1:$F$144,6,0)," ")</f>
        <v xml:space="preserve"> </v>
      </c>
      <c r="M1349" s="900" t="str">
        <f t="shared" si="291"/>
        <v xml:space="preserve"> </v>
      </c>
      <c r="N1349" s="900" t="str">
        <f t="shared" si="292"/>
        <v xml:space="preserve"> </v>
      </c>
      <c r="O1349" s="922"/>
      <c r="P1349" s="965"/>
      <c r="Q1349" s="900" t="str">
        <f>IF(O1349&lt;&gt;0,VLOOKUP(O1349,'Cây trong'!$A$2:$C$246,3,0)," ")</f>
        <v xml:space="preserve"> </v>
      </c>
      <c r="R1349" s="900" t="str">
        <f t="shared" si="285"/>
        <v xml:space="preserve"> </v>
      </c>
      <c r="S1349" s="922"/>
      <c r="T1349" s="944"/>
      <c r="U1349" s="903"/>
      <c r="V1349" s="929"/>
      <c r="W1349" s="900" t="str">
        <f>IF(S1349&lt;&gt;0,VLOOKUP(S1349,VKT!$A$2:$G$415,7,0),"")</f>
        <v/>
      </c>
      <c r="X1349" s="900" t="str">
        <f t="shared" si="290"/>
        <v xml:space="preserve"> </v>
      </c>
      <c r="Y1349" s="898"/>
      <c r="Z1349" s="904"/>
      <c r="AA1349" s="904"/>
      <c r="AB1349" s="904"/>
      <c r="AC1349" s="904"/>
      <c r="AD1349" s="904"/>
      <c r="AE1349" s="904"/>
      <c r="AF1349" s="899"/>
      <c r="AG1349" s="906" t="str">
        <f>IF(AE1349&lt;&gt;0,VLOOKUP(AE1349,ODDS!$A$2:$C$13,3,0),"")</f>
        <v/>
      </c>
      <c r="AH1349" s="906" t="str">
        <f t="shared" si="286"/>
        <v xml:space="preserve"> </v>
      </c>
      <c r="AI1349" s="907" t="str">
        <f t="shared" si="284"/>
        <v xml:space="preserve"> </v>
      </c>
      <c r="AJ1349" s="1036"/>
      <c r="AK1349" s="929"/>
    </row>
    <row r="1350" spans="1:37" s="385" customFormat="1" ht="22.5" outlineLevel="2" x14ac:dyDescent="0.3">
      <c r="A1350" s="447">
        <f t="shared" si="296"/>
        <v>107</v>
      </c>
      <c r="B1350" s="893"/>
      <c r="C1350" s="894"/>
      <c r="D1350" s="950"/>
      <c r="E1350" s="947"/>
      <c r="F1350" s="947"/>
      <c r="G1350" s="922"/>
      <c r="H1350" s="1059"/>
      <c r="I1350" s="882"/>
      <c r="J1350" s="1042"/>
      <c r="K1350" s="899" t="str">
        <f>IF(G1350&lt;&gt;0,VLOOKUP(G1350,'gia dat'!$A$1:$F$144,5,0)," ")</f>
        <v xml:space="preserve"> </v>
      </c>
      <c r="L1350" s="899" t="str">
        <f>IF(G1350&lt;&gt;0,VLOOKUP(G1350,'gia dat'!$A$1:$F$144,6,0)," ")</f>
        <v xml:space="preserve"> </v>
      </c>
      <c r="M1350" s="900" t="str">
        <f t="shared" si="291"/>
        <v xml:space="preserve"> </v>
      </c>
      <c r="N1350" s="900" t="str">
        <f t="shared" si="292"/>
        <v xml:space="preserve"> </v>
      </c>
      <c r="O1350" s="922"/>
      <c r="P1350" s="965"/>
      <c r="Q1350" s="900" t="str">
        <f>IF(O1350&lt;&gt;0,VLOOKUP(O1350,'Cây trong'!$A$2:$C$246,3,0)," ")</f>
        <v xml:space="preserve"> </v>
      </c>
      <c r="R1350" s="900" t="str">
        <f t="shared" si="285"/>
        <v xml:space="preserve"> </v>
      </c>
      <c r="S1350" s="922"/>
      <c r="T1350" s="944"/>
      <c r="U1350" s="903"/>
      <c r="V1350" s="929"/>
      <c r="W1350" s="900" t="str">
        <f>IF(S1350&lt;&gt;0,VLOOKUP(S1350,VKT!$A$2:$G$415,7,0),"")</f>
        <v/>
      </c>
      <c r="X1350" s="900" t="str">
        <f t="shared" si="290"/>
        <v xml:space="preserve"> </v>
      </c>
      <c r="Y1350" s="898"/>
      <c r="Z1350" s="904"/>
      <c r="AA1350" s="904"/>
      <c r="AB1350" s="904"/>
      <c r="AC1350" s="904"/>
      <c r="AD1350" s="904"/>
      <c r="AE1350" s="904"/>
      <c r="AF1350" s="899"/>
      <c r="AG1350" s="906" t="str">
        <f>IF(AE1350&lt;&gt;0,VLOOKUP(AE1350,ODDS!$A$2:$C$13,3,0),"")</f>
        <v/>
      </c>
      <c r="AH1350" s="906" t="str">
        <f t="shared" si="286"/>
        <v xml:space="preserve"> </v>
      </c>
      <c r="AI1350" s="907" t="str">
        <f t="shared" si="284"/>
        <v xml:space="preserve"> </v>
      </c>
      <c r="AJ1350" s="929"/>
      <c r="AK1350" s="929"/>
    </row>
    <row r="1351" spans="1:37" s="385" customFormat="1" ht="22.5" outlineLevel="2" x14ac:dyDescent="0.3">
      <c r="A1351" s="447">
        <f t="shared" si="296"/>
        <v>107</v>
      </c>
      <c r="B1351" s="893"/>
      <c r="C1351" s="894"/>
      <c r="D1351" s="950"/>
      <c r="E1351" s="950"/>
      <c r="F1351" s="1032"/>
      <c r="G1351" s="894"/>
      <c r="H1351" s="1059"/>
      <c r="I1351" s="882"/>
      <c r="J1351" s="1042"/>
      <c r="K1351" s="899" t="str">
        <f>IF(G1351&lt;&gt;0,VLOOKUP(G1351,'gia dat'!$A$1:$F$144,5,0)," ")</f>
        <v xml:space="preserve"> </v>
      </c>
      <c r="L1351" s="899" t="str">
        <f>IF(G1351&lt;&gt;0,VLOOKUP(G1351,'gia dat'!$A$1:$F$144,6,0)," ")</f>
        <v xml:space="preserve"> </v>
      </c>
      <c r="M1351" s="900" t="str">
        <f t="shared" si="291"/>
        <v xml:space="preserve"> </v>
      </c>
      <c r="N1351" s="900" t="str">
        <f t="shared" si="292"/>
        <v xml:space="preserve"> </v>
      </c>
      <c r="O1351" s="922"/>
      <c r="P1351" s="965"/>
      <c r="Q1351" s="900" t="str">
        <f>IF(O1351&lt;&gt;0,VLOOKUP(O1351,'Cây trong'!$A$2:$C$246,3,0)," ")</f>
        <v xml:space="preserve"> </v>
      </c>
      <c r="R1351" s="900" t="str">
        <f t="shared" si="285"/>
        <v xml:space="preserve"> </v>
      </c>
      <c r="S1351" s="922"/>
      <c r="T1351" s="944"/>
      <c r="U1351" s="903"/>
      <c r="V1351" s="929"/>
      <c r="W1351" s="900" t="str">
        <f>IF(S1351&lt;&gt;0,VLOOKUP(S1351,VKT!$A$2:$G$415,7,0),"")</f>
        <v/>
      </c>
      <c r="X1351" s="900" t="str">
        <f t="shared" si="290"/>
        <v xml:space="preserve"> </v>
      </c>
      <c r="Y1351" s="898"/>
      <c r="Z1351" s="904"/>
      <c r="AA1351" s="904"/>
      <c r="AB1351" s="904"/>
      <c r="AC1351" s="904"/>
      <c r="AD1351" s="904"/>
      <c r="AE1351" s="904"/>
      <c r="AF1351" s="899"/>
      <c r="AG1351" s="906" t="str">
        <f>IF(AE1351&lt;&gt;0,VLOOKUP(AE1351,ODDS!$A$2:$C$13,3,0),"")</f>
        <v/>
      </c>
      <c r="AH1351" s="906" t="str">
        <f t="shared" si="286"/>
        <v xml:space="preserve"> </v>
      </c>
      <c r="AI1351" s="907" t="str">
        <f t="shared" si="284"/>
        <v xml:space="preserve"> </v>
      </c>
      <c r="AJ1351" s="929"/>
      <c r="AK1351" s="929"/>
    </row>
    <row r="1352" spans="1:37" s="385" customFormat="1" ht="22.5" outlineLevel="2" x14ac:dyDescent="0.3">
      <c r="A1352" s="447">
        <f t="shared" si="296"/>
        <v>107</v>
      </c>
      <c r="B1352" s="893"/>
      <c r="C1352" s="894"/>
      <c r="D1352" s="950"/>
      <c r="E1352" s="950"/>
      <c r="F1352" s="1032"/>
      <c r="G1352" s="894"/>
      <c r="H1352" s="940"/>
      <c r="I1352" s="882"/>
      <c r="J1352" s="925"/>
      <c r="K1352" s="899" t="str">
        <f>IF(G1352&lt;&gt;0,VLOOKUP(G1352,'gia dat'!$A$1:$F$144,5,0)," ")</f>
        <v xml:space="preserve"> </v>
      </c>
      <c r="L1352" s="899" t="str">
        <f>IF(G1352&lt;&gt;0,VLOOKUP(G1352,'gia dat'!$A$1:$F$144,6,0)," ")</f>
        <v xml:space="preserve"> </v>
      </c>
      <c r="M1352" s="900" t="str">
        <f t="shared" si="291"/>
        <v xml:space="preserve"> </v>
      </c>
      <c r="N1352" s="900" t="str">
        <f t="shared" si="292"/>
        <v xml:space="preserve"> </v>
      </c>
      <c r="O1352" s="922"/>
      <c r="P1352" s="926"/>
      <c r="Q1352" s="900" t="str">
        <f>IF(O1352&lt;&gt;0,VLOOKUP(O1352,'Cây trong'!$A$2:$C$246,3,0)," ")</f>
        <v xml:space="preserve"> </v>
      </c>
      <c r="R1352" s="900" t="str">
        <f t="shared" si="285"/>
        <v xml:space="preserve"> </v>
      </c>
      <c r="S1352" s="902"/>
      <c r="T1352" s="925"/>
      <c r="U1352" s="927"/>
      <c r="V1352" s="929"/>
      <c r="W1352" s="900" t="str">
        <f>IF(S1352&lt;&gt;0,VLOOKUP(S1352,VKT!$A$2:$G$415,7,0),"")</f>
        <v/>
      </c>
      <c r="X1352" s="900" t="str">
        <f t="shared" si="290"/>
        <v xml:space="preserve"> </v>
      </c>
      <c r="Y1352" s="898"/>
      <c r="Z1352" s="904"/>
      <c r="AA1352" s="904"/>
      <c r="AB1352" s="904"/>
      <c r="AC1352" s="904"/>
      <c r="AD1352" s="904"/>
      <c r="AE1352" s="904"/>
      <c r="AF1352" s="899"/>
      <c r="AG1352" s="906" t="str">
        <f>IF(AE1352&lt;&gt;0,VLOOKUP(AE1352,ODDS!$A$2:$C$13,3,0),"")</f>
        <v/>
      </c>
      <c r="AH1352" s="906" t="str">
        <f t="shared" si="286"/>
        <v xml:space="preserve"> </v>
      </c>
      <c r="AI1352" s="907" t="str">
        <f t="shared" si="284"/>
        <v xml:space="preserve"> </v>
      </c>
      <c r="AJ1352" s="929"/>
      <c r="AK1352" s="929"/>
    </row>
    <row r="1353" spans="1:37" s="385" customFormat="1" ht="22.5" outlineLevel="2" x14ac:dyDescent="0.3">
      <c r="A1353" s="447">
        <f t="shared" si="296"/>
        <v>107</v>
      </c>
      <c r="B1353" s="893"/>
      <c r="C1353" s="910"/>
      <c r="D1353" s="950"/>
      <c r="E1353" s="950"/>
      <c r="F1353" s="1032"/>
      <c r="G1353" s="894"/>
      <c r="H1353" s="940"/>
      <c r="I1353" s="882"/>
      <c r="J1353" s="925"/>
      <c r="K1353" s="899" t="str">
        <f>IF(G1353&lt;&gt;0,VLOOKUP(G1353,'gia dat'!$A$1:$F$144,5,0)," ")</f>
        <v xml:space="preserve"> </v>
      </c>
      <c r="L1353" s="899" t="str">
        <f>IF(G1353&lt;&gt;0,VLOOKUP(G1353,'gia dat'!$A$1:$F$144,6,0)," ")</f>
        <v xml:space="preserve"> </v>
      </c>
      <c r="M1353" s="900" t="str">
        <f t="shared" si="291"/>
        <v xml:space="preserve"> </v>
      </c>
      <c r="N1353" s="900" t="str">
        <f t="shared" si="292"/>
        <v xml:space="preserve"> </v>
      </c>
      <c r="O1353" s="894"/>
      <c r="P1353" s="926"/>
      <c r="Q1353" s="900" t="str">
        <f>IF(O1353&lt;&gt;0,VLOOKUP(O1353,'Cây trong'!$A$2:$C$246,3,0)," ")</f>
        <v xml:space="preserve"> </v>
      </c>
      <c r="R1353" s="900" t="str">
        <f t="shared" si="285"/>
        <v xml:space="preserve"> </v>
      </c>
      <c r="S1353" s="902"/>
      <c r="T1353" s="925"/>
      <c r="U1353" s="927"/>
      <c r="V1353" s="929"/>
      <c r="W1353" s="900" t="str">
        <f>IF(S1353&lt;&gt;0,VLOOKUP(S1353,VKT!$A$2:$G$415,7,0),"")</f>
        <v/>
      </c>
      <c r="X1353" s="900" t="str">
        <f t="shared" si="290"/>
        <v xml:space="preserve"> </v>
      </c>
      <c r="Y1353" s="898"/>
      <c r="Z1353" s="904"/>
      <c r="AA1353" s="904"/>
      <c r="AB1353" s="904"/>
      <c r="AC1353" s="904"/>
      <c r="AD1353" s="904"/>
      <c r="AE1353" s="904"/>
      <c r="AF1353" s="899"/>
      <c r="AG1353" s="906" t="str">
        <f>IF(AE1353&lt;&gt;0,VLOOKUP(AE1353,ODDS!$A$2:$C$13,3,0),"")</f>
        <v/>
      </c>
      <c r="AH1353" s="906" t="str">
        <f t="shared" si="286"/>
        <v xml:space="preserve"> </v>
      </c>
      <c r="AI1353" s="907" t="str">
        <f t="shared" ref="AI1353:AI1416" si="297">IF(B1353&lt;&gt;0,M1353+N1353+R1353+X1353+AH1353," ")</f>
        <v xml:space="preserve"> </v>
      </c>
      <c r="AJ1353" s="929"/>
      <c r="AK1353" s="929"/>
    </row>
    <row r="1354" spans="1:37" s="385" customFormat="1" ht="22.5" outlineLevel="1" x14ac:dyDescent="0.25">
      <c r="A1354" s="467" t="s">
        <v>2602</v>
      </c>
      <c r="B1354" s="912">
        <v>108</v>
      </c>
      <c r="C1354" s="910" t="s">
        <v>987</v>
      </c>
      <c r="D1354" s="1037"/>
      <c r="E1354" s="1037"/>
      <c r="F1354" s="1038"/>
      <c r="G1354" s="910"/>
      <c r="H1354" s="932">
        <f>SUBTOTAL(9,H1355:H1361)</f>
        <v>664.4</v>
      </c>
      <c r="I1354" s="915">
        <f>SUBTOTAL(9,I1355:I1360)</f>
        <v>614.5</v>
      </c>
      <c r="J1354" s="933"/>
      <c r="K1354" s="917"/>
      <c r="L1354" s="917"/>
      <c r="M1354" s="907">
        <f>SUBTOTAL(9,M1355:M1361)</f>
        <v>648416000</v>
      </c>
      <c r="N1354" s="907">
        <f>SUBTOTAL(9,N1355:N1361)</f>
        <v>858334000</v>
      </c>
      <c r="O1354" s="914"/>
      <c r="P1354" s="968">
        <f>SUBTOTAL(9,P1355:P1361)</f>
        <v>7</v>
      </c>
      <c r="Q1354" s="907"/>
      <c r="R1354" s="907">
        <f>SUBTOTAL(9,R1355:R1361)</f>
        <v>1308000</v>
      </c>
      <c r="S1354" s="918"/>
      <c r="T1354" s="933"/>
      <c r="U1354" s="936">
        <f>SUBTOTAL(9,U1355:U1361)</f>
        <v>0</v>
      </c>
      <c r="V1354" s="943"/>
      <c r="W1354" s="907"/>
      <c r="X1354" s="907">
        <f>SUBTOTAL(9,X1355:X1361)</f>
        <v>0</v>
      </c>
      <c r="Y1354" s="898"/>
      <c r="Z1354" s="904"/>
      <c r="AA1354" s="904"/>
      <c r="AB1354" s="904"/>
      <c r="AC1354" s="904"/>
      <c r="AD1354" s="904"/>
      <c r="AE1354" s="938"/>
      <c r="AF1354" s="917">
        <f>SUBTOTAL(9,AF1355:AF1361)</f>
        <v>0</v>
      </c>
      <c r="AG1354" s="921"/>
      <c r="AH1354" s="921">
        <f>SUBTOTAL(9,AH1355:AH1361)</f>
        <v>0</v>
      </c>
      <c r="AI1354" s="907">
        <f t="shared" si="297"/>
        <v>1508058000</v>
      </c>
      <c r="AJ1354" s="910"/>
      <c r="AK1354" s="914"/>
    </row>
    <row r="1355" spans="1:37" s="385" customFormat="1" ht="135" outlineLevel="2" x14ac:dyDescent="0.3">
      <c r="A1355" s="447">
        <f>IF(B1354&lt;&gt;0,B1354,A1353)</f>
        <v>108</v>
      </c>
      <c r="B1355" s="893"/>
      <c r="C1355" s="894" t="s">
        <v>990</v>
      </c>
      <c r="D1355" s="950">
        <v>4</v>
      </c>
      <c r="E1355" s="950">
        <v>86</v>
      </c>
      <c r="F1355" s="1032">
        <v>154</v>
      </c>
      <c r="G1355" s="894" t="s">
        <v>2871</v>
      </c>
      <c r="H1355" s="940">
        <v>614.5</v>
      </c>
      <c r="I1355" s="882">
        <f t="shared" ref="I1355:I1356" si="298">IF(N1355&gt;0,H1355,"")</f>
        <v>614.5</v>
      </c>
      <c r="J1355" s="925"/>
      <c r="K1355" s="899">
        <f>IF(G1355&lt;&gt;0,VLOOKUP(G1355,'gia dat'!$A$1:$F$144,5,0)," ")</f>
        <v>465600</v>
      </c>
      <c r="L1355" s="899">
        <f>IF(G1355&lt;&gt;0,VLOOKUP(G1355,'gia dat'!$A$1:$F$144,6,0)," ")</f>
        <v>1396800</v>
      </c>
      <c r="M1355" s="900">
        <f t="shared" si="291"/>
        <v>286111000</v>
      </c>
      <c r="N1355" s="900">
        <f t="shared" si="292"/>
        <v>858334000</v>
      </c>
      <c r="O1355" s="922" t="s">
        <v>400</v>
      </c>
      <c r="P1355" s="965">
        <v>5</v>
      </c>
      <c r="Q1355" s="900">
        <f>IF(O1355&lt;&gt;0,VLOOKUP(O1355,'Cây trong'!$A$2:$C$246,3,0)," ")</f>
        <v>228000</v>
      </c>
      <c r="R1355" s="900">
        <f t="shared" si="285"/>
        <v>1140000</v>
      </c>
      <c r="S1355" s="902"/>
      <c r="T1355" s="925"/>
      <c r="U1355" s="927"/>
      <c r="V1355" s="929"/>
      <c r="W1355" s="900" t="str">
        <f>IF(S1355&lt;&gt;0,VLOOKUP(S1355,VKT!$A$2:$G$415,7,0),"")</f>
        <v/>
      </c>
      <c r="X1355" s="900" t="str">
        <f t="shared" si="290"/>
        <v xml:space="preserve"> </v>
      </c>
      <c r="Y1355" s="898"/>
      <c r="Z1355" s="904"/>
      <c r="AA1355" s="904"/>
      <c r="AB1355" s="904"/>
      <c r="AC1355" s="904"/>
      <c r="AD1355" s="904"/>
      <c r="AE1355" s="905"/>
      <c r="AF1355" s="899"/>
      <c r="AG1355" s="906"/>
      <c r="AH1355" s="906"/>
      <c r="AI1355" s="907" t="str">
        <f t="shared" si="297"/>
        <v xml:space="preserve"> </v>
      </c>
      <c r="AJ1355" s="894" t="s">
        <v>989</v>
      </c>
      <c r="AK1355" s="922" t="s">
        <v>2771</v>
      </c>
    </row>
    <row r="1356" spans="1:37" s="385" customFormat="1" ht="112.5" outlineLevel="2" x14ac:dyDescent="0.3">
      <c r="A1356" s="447">
        <f t="shared" ref="A1356:A1361" si="299">IF(B1355&lt;&gt;0,B1355,A1355)</f>
        <v>108</v>
      </c>
      <c r="B1356" s="893"/>
      <c r="C1356" s="908" t="s">
        <v>1575</v>
      </c>
      <c r="D1356" s="950"/>
      <c r="E1356" s="950">
        <v>86</v>
      </c>
      <c r="F1356" s="1032">
        <v>154</v>
      </c>
      <c r="G1356" s="894" t="s">
        <v>2049</v>
      </c>
      <c r="H1356" s="940">
        <v>49.9</v>
      </c>
      <c r="I1356" s="882" t="str">
        <f t="shared" si="298"/>
        <v/>
      </c>
      <c r="J1356" s="925"/>
      <c r="K1356" s="899">
        <f>IF(G1356&lt;&gt;0,VLOOKUP(G1356,'gia dat'!$A$1:$F$144,5,0)," ")</f>
        <v>7260624</v>
      </c>
      <c r="L1356" s="899">
        <f>IF(G1356&lt;&gt;0,VLOOKUP(G1356,'gia dat'!$A$1:$F$144,6,0)," ")</f>
        <v>0</v>
      </c>
      <c r="M1356" s="900">
        <f t="shared" si="291"/>
        <v>362305000</v>
      </c>
      <c r="N1356" s="900">
        <f t="shared" si="292"/>
        <v>0</v>
      </c>
      <c r="O1356" s="894" t="s">
        <v>932</v>
      </c>
      <c r="P1356" s="926">
        <v>2</v>
      </c>
      <c r="Q1356" s="900">
        <f>IF(O1356&lt;&gt;0,VLOOKUP(O1356,'Cây trong'!$A$2:$C$246,3,0)," ")</f>
        <v>84000</v>
      </c>
      <c r="R1356" s="900">
        <f t="shared" si="285"/>
        <v>168000</v>
      </c>
      <c r="S1356" s="902"/>
      <c r="T1356" s="925"/>
      <c r="U1356" s="927"/>
      <c r="V1356" s="929"/>
      <c r="W1356" s="900" t="str">
        <f>IF(S1356&lt;&gt;0,VLOOKUP(S1356,VKT!$A$2:$G$415,7,0),"")</f>
        <v/>
      </c>
      <c r="X1356" s="900" t="str">
        <f t="shared" si="290"/>
        <v xml:space="preserve"> </v>
      </c>
      <c r="Y1356" s="898"/>
      <c r="Z1356" s="904"/>
      <c r="AA1356" s="904"/>
      <c r="AB1356" s="904"/>
      <c r="AC1356" s="904"/>
      <c r="AD1356" s="904"/>
      <c r="AE1356" s="904"/>
      <c r="AF1356" s="899"/>
      <c r="AG1356" s="906" t="str">
        <f>IF(AE1356&lt;&gt;0,VLOOKUP(AE1356,ODDS!$A$2:$C$13,3,0),"")</f>
        <v/>
      </c>
      <c r="AH1356" s="906" t="str">
        <f t="shared" si="286"/>
        <v xml:space="preserve"> </v>
      </c>
      <c r="AI1356" s="907" t="str">
        <f t="shared" si="297"/>
        <v xml:space="preserve"> </v>
      </c>
      <c r="AJ1356" s="894" t="s">
        <v>2938</v>
      </c>
      <c r="AK1356" s="894" t="s">
        <v>2448</v>
      </c>
    </row>
    <row r="1357" spans="1:37" s="385" customFormat="1" ht="112.5" outlineLevel="2" x14ac:dyDescent="0.3">
      <c r="A1357" s="447">
        <f t="shared" si="299"/>
        <v>108</v>
      </c>
      <c r="B1357" s="893"/>
      <c r="C1357" s="908"/>
      <c r="D1357" s="950"/>
      <c r="E1357" s="950"/>
      <c r="F1357" s="1032"/>
      <c r="G1357" s="894"/>
      <c r="H1357" s="940"/>
      <c r="I1357" s="882"/>
      <c r="J1357" s="925"/>
      <c r="K1357" s="899" t="str">
        <f>IF(G1357&lt;&gt;0,VLOOKUP(G1357,'gia dat'!$A$1:$F$144,5,0)," ")</f>
        <v xml:space="preserve"> </v>
      </c>
      <c r="L1357" s="899" t="str">
        <f>IF(G1357&lt;&gt;0,VLOOKUP(G1357,'gia dat'!$A$1:$F$144,6,0)," ")</f>
        <v xml:space="preserve"> </v>
      </c>
      <c r="M1357" s="900" t="str">
        <f t="shared" si="291"/>
        <v xml:space="preserve"> </v>
      </c>
      <c r="N1357" s="900" t="str">
        <f t="shared" si="292"/>
        <v xml:space="preserve"> </v>
      </c>
      <c r="O1357" s="894"/>
      <c r="P1357" s="926"/>
      <c r="Q1357" s="900" t="str">
        <f>IF(O1357&lt;&gt;0,VLOOKUP(O1357,'Cây trong'!$A$2:$C$246,3,0)," ")</f>
        <v xml:space="preserve"> </v>
      </c>
      <c r="R1357" s="900" t="str">
        <f t="shared" si="285"/>
        <v xml:space="preserve"> </v>
      </c>
      <c r="S1357" s="902"/>
      <c r="T1357" s="925"/>
      <c r="U1357" s="927"/>
      <c r="V1357" s="929"/>
      <c r="W1357" s="900" t="str">
        <f>IF(S1357&lt;&gt;0,VLOOKUP(S1357,VKT!$A$2:$G$415,7,0),"")</f>
        <v/>
      </c>
      <c r="X1357" s="900" t="str">
        <f t="shared" si="290"/>
        <v xml:space="preserve"> </v>
      </c>
      <c r="Y1357" s="898"/>
      <c r="Z1357" s="904"/>
      <c r="AA1357" s="904"/>
      <c r="AB1357" s="904"/>
      <c r="AC1357" s="904"/>
      <c r="AD1357" s="904"/>
      <c r="AE1357" s="904"/>
      <c r="AF1357" s="899"/>
      <c r="AG1357" s="906" t="str">
        <f>IF(AE1357&lt;&gt;0,VLOOKUP(AE1357,ODDS!$A$2:$C$13,3,0),"")</f>
        <v/>
      </c>
      <c r="AH1357" s="906" t="str">
        <f t="shared" si="286"/>
        <v xml:space="preserve"> </v>
      </c>
      <c r="AI1357" s="907" t="str">
        <f t="shared" si="297"/>
        <v xml:space="preserve"> </v>
      </c>
      <c r="AJ1357" s="894" t="s">
        <v>2074</v>
      </c>
      <c r="AK1357" s="894" t="s">
        <v>2449</v>
      </c>
    </row>
    <row r="1358" spans="1:37" s="385" customFormat="1" ht="22.5" outlineLevel="2" x14ac:dyDescent="0.35">
      <c r="A1358" s="447">
        <f t="shared" si="299"/>
        <v>108</v>
      </c>
      <c r="B1358" s="893"/>
      <c r="C1358" s="922"/>
      <c r="D1358" s="1035"/>
      <c r="E1358" s="950"/>
      <c r="F1358" s="1032"/>
      <c r="G1358" s="894"/>
      <c r="H1358" s="940"/>
      <c r="I1358" s="882"/>
      <c r="J1358" s="1042"/>
      <c r="K1358" s="899" t="str">
        <f>IF(G1358&lt;&gt;0,VLOOKUP(G1358,'gia dat'!$A$1:$F$144,5,0)," ")</f>
        <v xml:space="preserve"> </v>
      </c>
      <c r="L1358" s="899" t="str">
        <f>IF(G1358&lt;&gt;0,VLOOKUP(G1358,'gia dat'!$A$1:$F$144,6,0)," ")</f>
        <v xml:space="preserve"> </v>
      </c>
      <c r="M1358" s="900" t="str">
        <f t="shared" si="291"/>
        <v xml:space="preserve"> </v>
      </c>
      <c r="N1358" s="900" t="str">
        <f t="shared" si="292"/>
        <v xml:space="preserve"> </v>
      </c>
      <c r="O1358" s="894"/>
      <c r="P1358" s="965"/>
      <c r="Q1358" s="900" t="str">
        <f>IF(O1358&lt;&gt;0,VLOOKUP(O1358,'Cây trong'!$A$2:$C$246,3,0)," ")</f>
        <v xml:space="preserve"> </v>
      </c>
      <c r="R1358" s="900" t="str">
        <f t="shared" si="285"/>
        <v xml:space="preserve"> </v>
      </c>
      <c r="S1358" s="922"/>
      <c r="T1358" s="944"/>
      <c r="U1358" s="903"/>
      <c r="V1358" s="929"/>
      <c r="W1358" s="900" t="str">
        <f>IF(S1358&lt;&gt;0,VLOOKUP(S1358,VKT!$A$2:$G$415,7,0),"")</f>
        <v/>
      </c>
      <c r="X1358" s="900" t="str">
        <f t="shared" si="290"/>
        <v xml:space="preserve"> </v>
      </c>
      <c r="Y1358" s="898"/>
      <c r="Z1358" s="904"/>
      <c r="AA1358" s="904"/>
      <c r="AB1358" s="904"/>
      <c r="AC1358" s="904"/>
      <c r="AD1358" s="904"/>
      <c r="AE1358" s="904"/>
      <c r="AF1358" s="899"/>
      <c r="AG1358" s="906" t="str">
        <f>IF(AE1358&lt;&gt;0,VLOOKUP(AE1358,ODDS!$A$2:$C$13,3,0),"")</f>
        <v/>
      </c>
      <c r="AH1358" s="906" t="str">
        <f t="shared" si="286"/>
        <v xml:space="preserve"> </v>
      </c>
      <c r="AI1358" s="907" t="str">
        <f t="shared" si="297"/>
        <v xml:space="preserve"> </v>
      </c>
      <c r="AJ1358" s="1036"/>
      <c r="AK1358" s="922"/>
    </row>
    <row r="1359" spans="1:37" s="385" customFormat="1" ht="22.5" outlineLevel="2" x14ac:dyDescent="0.35">
      <c r="A1359" s="447">
        <f t="shared" si="299"/>
        <v>108</v>
      </c>
      <c r="B1359" s="893"/>
      <c r="C1359" s="922"/>
      <c r="D1359" s="1035"/>
      <c r="E1359" s="950"/>
      <c r="F1359" s="1032"/>
      <c r="G1359" s="894"/>
      <c r="H1359" s="1059"/>
      <c r="I1359" s="882"/>
      <c r="J1359" s="1042"/>
      <c r="K1359" s="899" t="str">
        <f>IF(G1359&lt;&gt;0,VLOOKUP(G1359,'gia dat'!$A$1:$F$144,5,0)," ")</f>
        <v xml:space="preserve"> </v>
      </c>
      <c r="L1359" s="899" t="str">
        <f>IF(G1359&lt;&gt;0,VLOOKUP(G1359,'gia dat'!$A$1:$F$144,6,0)," ")</f>
        <v xml:space="preserve"> </v>
      </c>
      <c r="M1359" s="900" t="str">
        <f t="shared" si="291"/>
        <v xml:space="preserve"> </v>
      </c>
      <c r="N1359" s="900" t="str">
        <f t="shared" si="292"/>
        <v xml:space="preserve"> </v>
      </c>
      <c r="O1359" s="922"/>
      <c r="P1359" s="965"/>
      <c r="Q1359" s="900" t="str">
        <f>IF(O1359&lt;&gt;0,VLOOKUP(O1359,'Cây trong'!$A$2:$C$246,3,0)," ")</f>
        <v xml:space="preserve"> </v>
      </c>
      <c r="R1359" s="900" t="str">
        <f t="shared" si="285"/>
        <v xml:space="preserve"> </v>
      </c>
      <c r="S1359" s="922"/>
      <c r="T1359" s="944"/>
      <c r="U1359" s="903"/>
      <c r="V1359" s="929"/>
      <c r="W1359" s="900" t="str">
        <f>IF(S1359&lt;&gt;0,VLOOKUP(S1359,VKT!$A$2:$G$415,7,0),"")</f>
        <v/>
      </c>
      <c r="X1359" s="900" t="str">
        <f t="shared" si="290"/>
        <v xml:space="preserve"> </v>
      </c>
      <c r="Y1359" s="898"/>
      <c r="Z1359" s="904"/>
      <c r="AA1359" s="904"/>
      <c r="AB1359" s="904"/>
      <c r="AC1359" s="904"/>
      <c r="AD1359" s="904"/>
      <c r="AE1359" s="904"/>
      <c r="AF1359" s="899"/>
      <c r="AG1359" s="906" t="str">
        <f>IF(AE1359&lt;&gt;0,VLOOKUP(AE1359,ODDS!$A$2:$C$13,3,0),"")</f>
        <v/>
      </c>
      <c r="AH1359" s="906" t="str">
        <f t="shared" si="286"/>
        <v xml:space="preserve"> </v>
      </c>
      <c r="AI1359" s="907" t="str">
        <f t="shared" si="297"/>
        <v xml:space="preserve"> </v>
      </c>
      <c r="AJ1359" s="1036"/>
      <c r="AK1359" s="929"/>
    </row>
    <row r="1360" spans="1:37" s="385" customFormat="1" ht="22.5" outlineLevel="2" x14ac:dyDescent="0.3">
      <c r="A1360" s="447">
        <f t="shared" si="299"/>
        <v>108</v>
      </c>
      <c r="B1360" s="893"/>
      <c r="C1360" s="908"/>
      <c r="D1360" s="1035"/>
      <c r="E1360" s="950"/>
      <c r="F1360" s="1032"/>
      <c r="G1360" s="894"/>
      <c r="H1360" s="1059"/>
      <c r="I1360" s="882"/>
      <c r="J1360" s="1042"/>
      <c r="K1360" s="899" t="str">
        <f>IF(G1360&lt;&gt;0,VLOOKUP(G1360,'gia dat'!$A$1:$F$144,5,0)," ")</f>
        <v xml:space="preserve"> </v>
      </c>
      <c r="L1360" s="899" t="str">
        <f>IF(G1360&lt;&gt;0,VLOOKUP(G1360,'gia dat'!$A$1:$F$144,6,0)," ")</f>
        <v xml:space="preserve"> </v>
      </c>
      <c r="M1360" s="900" t="str">
        <f t="shared" si="291"/>
        <v xml:space="preserve"> </v>
      </c>
      <c r="N1360" s="900" t="str">
        <f t="shared" si="292"/>
        <v xml:space="preserve"> </v>
      </c>
      <c r="O1360" s="922"/>
      <c r="P1360" s="965"/>
      <c r="Q1360" s="900" t="str">
        <f>IF(O1360&lt;&gt;0,VLOOKUP(O1360,'Cây trong'!$A$2:$C$246,3,0)," ")</f>
        <v xml:space="preserve"> </v>
      </c>
      <c r="R1360" s="900" t="str">
        <f t="shared" si="285"/>
        <v xml:space="preserve"> </v>
      </c>
      <c r="S1360" s="922"/>
      <c r="T1360" s="944"/>
      <c r="U1360" s="903"/>
      <c r="V1360" s="929"/>
      <c r="W1360" s="900" t="str">
        <f>IF(S1360&lt;&gt;0,VLOOKUP(S1360,VKT!$A$2:$G$415,7,0),"")</f>
        <v/>
      </c>
      <c r="X1360" s="900" t="str">
        <f t="shared" si="290"/>
        <v xml:space="preserve"> </v>
      </c>
      <c r="Y1360" s="898"/>
      <c r="Z1360" s="904"/>
      <c r="AA1360" s="904"/>
      <c r="AB1360" s="904"/>
      <c r="AC1360" s="904"/>
      <c r="AD1360" s="904"/>
      <c r="AE1360" s="904"/>
      <c r="AF1360" s="899"/>
      <c r="AG1360" s="906" t="str">
        <f>IF(AE1360&lt;&gt;0,VLOOKUP(AE1360,ODDS!$A$2:$C$13,3,0),"")</f>
        <v/>
      </c>
      <c r="AH1360" s="906" t="str">
        <f t="shared" si="286"/>
        <v xml:space="preserve"> </v>
      </c>
      <c r="AI1360" s="907" t="str">
        <f t="shared" si="297"/>
        <v xml:space="preserve"> </v>
      </c>
      <c r="AJ1360" s="929"/>
      <c r="AK1360" s="929"/>
    </row>
    <row r="1361" spans="1:37" s="385" customFormat="1" ht="22.5" outlineLevel="2" x14ac:dyDescent="0.3">
      <c r="A1361" s="447">
        <f t="shared" si="299"/>
        <v>108</v>
      </c>
      <c r="B1361" s="893"/>
      <c r="C1361" s="910"/>
      <c r="D1361" s="950"/>
      <c r="E1361" s="947"/>
      <c r="F1361" s="947"/>
      <c r="G1361" s="922"/>
      <c r="H1361" s="1059"/>
      <c r="I1361" s="882"/>
      <c r="J1361" s="1042"/>
      <c r="K1361" s="899" t="str">
        <f>IF(G1361&lt;&gt;0,VLOOKUP(G1361,'gia dat'!$A$1:$F$144,5,0)," ")</f>
        <v xml:space="preserve"> </v>
      </c>
      <c r="L1361" s="899" t="str">
        <f>IF(G1361&lt;&gt;0,VLOOKUP(G1361,'gia dat'!$A$1:$F$144,6,0)," ")</f>
        <v xml:space="preserve"> </v>
      </c>
      <c r="M1361" s="900" t="str">
        <f t="shared" si="291"/>
        <v xml:space="preserve"> </v>
      </c>
      <c r="N1361" s="900" t="str">
        <f t="shared" si="292"/>
        <v xml:space="preserve"> </v>
      </c>
      <c r="O1361" s="922"/>
      <c r="P1361" s="965"/>
      <c r="Q1361" s="900" t="str">
        <f>IF(O1361&lt;&gt;0,VLOOKUP(O1361,'Cây trong'!$A$2:$C$246,3,0)," ")</f>
        <v xml:space="preserve"> </v>
      </c>
      <c r="R1361" s="900" t="str">
        <f t="shared" si="285"/>
        <v xml:space="preserve"> </v>
      </c>
      <c r="S1361" s="922"/>
      <c r="T1361" s="944"/>
      <c r="U1361" s="903"/>
      <c r="V1361" s="929"/>
      <c r="W1361" s="900" t="str">
        <f>IF(S1361&lt;&gt;0,VLOOKUP(S1361,VKT!$A$2:$G$415,7,0),"")</f>
        <v/>
      </c>
      <c r="X1361" s="900" t="str">
        <f t="shared" si="290"/>
        <v xml:space="preserve"> </v>
      </c>
      <c r="Y1361" s="898"/>
      <c r="Z1361" s="904"/>
      <c r="AA1361" s="904"/>
      <c r="AB1361" s="904"/>
      <c r="AC1361" s="904"/>
      <c r="AD1361" s="904"/>
      <c r="AE1361" s="904"/>
      <c r="AF1361" s="899"/>
      <c r="AG1361" s="906" t="str">
        <f>IF(AE1361&lt;&gt;0,VLOOKUP(AE1361,ODDS!$A$2:$C$13,3,0),"")</f>
        <v/>
      </c>
      <c r="AH1361" s="906" t="str">
        <f t="shared" si="286"/>
        <v xml:space="preserve"> </v>
      </c>
      <c r="AI1361" s="907" t="str">
        <f t="shared" si="297"/>
        <v xml:space="preserve"> </v>
      </c>
      <c r="AJ1361" s="929"/>
      <c r="AK1361" s="929"/>
    </row>
    <row r="1362" spans="1:37" s="385" customFormat="1" ht="22.5" outlineLevel="1" x14ac:dyDescent="0.25">
      <c r="A1362" s="467" t="s">
        <v>2601</v>
      </c>
      <c r="B1362" s="912">
        <v>109</v>
      </c>
      <c r="C1362" s="910" t="s">
        <v>993</v>
      </c>
      <c r="D1362" s="1037"/>
      <c r="E1362" s="1037"/>
      <c r="F1362" s="1038"/>
      <c r="G1362" s="910"/>
      <c r="H1362" s="932">
        <f>SUBTOTAL(9,H1363:H1370)</f>
        <v>168.5</v>
      </c>
      <c r="I1362" s="915">
        <f>SUBTOTAL(9,I1363:I1368)</f>
        <v>0</v>
      </c>
      <c r="J1362" s="933"/>
      <c r="K1362" s="917"/>
      <c r="L1362" s="917"/>
      <c r="M1362" s="907">
        <f>SUBTOTAL(9,M1363:M1370)</f>
        <v>867488000</v>
      </c>
      <c r="N1362" s="907">
        <f>SUBTOTAL(9,N1363:N1370)</f>
        <v>0</v>
      </c>
      <c r="O1362" s="914"/>
      <c r="P1362" s="935">
        <f>SUBTOTAL(9,P1363:P1370)</f>
        <v>51</v>
      </c>
      <c r="Q1362" s="907"/>
      <c r="R1362" s="907">
        <f>SUBTOTAL(9,R1363:R1370)</f>
        <v>5771000</v>
      </c>
      <c r="S1362" s="918"/>
      <c r="T1362" s="933"/>
      <c r="U1362" s="936">
        <f>SUBTOTAL(9,U1363:U1370)</f>
        <v>0</v>
      </c>
      <c r="V1362" s="943"/>
      <c r="W1362" s="907"/>
      <c r="X1362" s="907">
        <f>SUBTOTAL(9,X1363:X1370)</f>
        <v>0</v>
      </c>
      <c r="Y1362" s="898"/>
      <c r="Z1362" s="904"/>
      <c r="AA1362" s="904"/>
      <c r="AB1362" s="904"/>
      <c r="AC1362" s="904"/>
      <c r="AD1362" s="904"/>
      <c r="AE1362" s="938"/>
      <c r="AF1362" s="917">
        <f>SUBTOTAL(9,AF1363:AF1370)</f>
        <v>0</v>
      </c>
      <c r="AG1362" s="921"/>
      <c r="AH1362" s="921">
        <f>SUBTOTAL(9,AH1363:AH1370)</f>
        <v>0</v>
      </c>
      <c r="AI1362" s="907">
        <f t="shared" si="297"/>
        <v>873259000</v>
      </c>
      <c r="AJ1362" s="910"/>
      <c r="AK1362" s="914"/>
    </row>
    <row r="1363" spans="1:37" s="385" customFormat="1" ht="135" outlineLevel="2" x14ac:dyDescent="0.3">
      <c r="A1363" s="447">
        <f>IF(B1362&lt;&gt;0,B1362,A1361)</f>
        <v>109</v>
      </c>
      <c r="B1363" s="893"/>
      <c r="C1363" s="894" t="s">
        <v>995</v>
      </c>
      <c r="D1363" s="950">
        <v>5</v>
      </c>
      <c r="E1363" s="950">
        <v>86</v>
      </c>
      <c r="F1363" s="1032">
        <v>165</v>
      </c>
      <c r="G1363" s="894" t="s">
        <v>2870</v>
      </c>
      <c r="H1363" s="940">
        <f>68.5</f>
        <v>68.5</v>
      </c>
      <c r="I1363" s="882" t="str">
        <f t="shared" ref="I1363:I1365" si="300">IF(N1363&gt;0,H1363,"")</f>
        <v/>
      </c>
      <c r="J1363" s="925"/>
      <c r="K1363" s="899">
        <f>IF(G1363&lt;&gt;0,VLOOKUP(G1363,'gia dat'!$A$1:$F$144,5,0)," ")</f>
        <v>465600</v>
      </c>
      <c r="L1363" s="899">
        <f>IF(G1363&lt;&gt;0,VLOOKUP(G1363,'gia dat'!$A$1:$F$144,6,0)," ")</f>
        <v>0</v>
      </c>
      <c r="M1363" s="900">
        <f t="shared" si="291"/>
        <v>31894000</v>
      </c>
      <c r="N1363" s="900">
        <f t="shared" si="292"/>
        <v>0</v>
      </c>
      <c r="O1363" s="922" t="s">
        <v>400</v>
      </c>
      <c r="P1363" s="926">
        <v>17</v>
      </c>
      <c r="Q1363" s="900">
        <f>IF(O1363&lt;&gt;0,VLOOKUP(O1363,'Cây trong'!$A$2:$C$246,3,0)," ")</f>
        <v>228000</v>
      </c>
      <c r="R1363" s="900">
        <f t="shared" si="285"/>
        <v>3876000</v>
      </c>
      <c r="S1363" s="902"/>
      <c r="T1363" s="925"/>
      <c r="U1363" s="927"/>
      <c r="V1363" s="929"/>
      <c r="W1363" s="900" t="str">
        <f>IF(S1363&lt;&gt;0,VLOOKUP(S1363,VKT!$A$2:$G$415,7,0),"")</f>
        <v/>
      </c>
      <c r="X1363" s="900" t="str">
        <f t="shared" si="290"/>
        <v xml:space="preserve"> </v>
      </c>
      <c r="Y1363" s="898"/>
      <c r="Z1363" s="904"/>
      <c r="AA1363" s="904"/>
      <c r="AB1363" s="904"/>
      <c r="AC1363" s="904"/>
      <c r="AD1363" s="904"/>
      <c r="AE1363" s="905"/>
      <c r="AF1363" s="899"/>
      <c r="AG1363" s="906"/>
      <c r="AH1363" s="906"/>
      <c r="AI1363" s="907" t="str">
        <f t="shared" si="297"/>
        <v xml:space="preserve"> </v>
      </c>
      <c r="AJ1363" s="894" t="s">
        <v>2782</v>
      </c>
      <c r="AK1363" s="922" t="s">
        <v>2771</v>
      </c>
    </row>
    <row r="1364" spans="1:37" s="385" customFormat="1" ht="112.5" outlineLevel="2" x14ac:dyDescent="0.3">
      <c r="A1364" s="447">
        <f t="shared" ref="A1364:A1370" si="301">IF(B1363&lt;&gt;0,B1363,A1363)</f>
        <v>109</v>
      </c>
      <c r="B1364" s="893"/>
      <c r="C1364" s="908" t="s">
        <v>2781</v>
      </c>
      <c r="D1364" s="950"/>
      <c r="E1364" s="950">
        <v>86</v>
      </c>
      <c r="F1364" s="1032">
        <v>165</v>
      </c>
      <c r="G1364" s="894" t="s">
        <v>2491</v>
      </c>
      <c r="H1364" s="1060">
        <v>35.200000000000003</v>
      </c>
      <c r="I1364" s="882" t="str">
        <f t="shared" si="300"/>
        <v/>
      </c>
      <c r="J1364" s="925"/>
      <c r="K1364" s="899">
        <f>IF(G1364&lt;&gt;0,VLOOKUP(G1364,'gia dat'!$A$1:$F$144,5,0)," ")</f>
        <v>10372320</v>
      </c>
      <c r="L1364" s="899">
        <f>IF(G1364&lt;&gt;0,VLOOKUP(G1364,'gia dat'!$A$1:$F$144,6,0)," ")</f>
        <v>0</v>
      </c>
      <c r="M1364" s="900">
        <f t="shared" si="291"/>
        <v>365106000</v>
      </c>
      <c r="N1364" s="900">
        <f t="shared" si="292"/>
        <v>0</v>
      </c>
      <c r="O1364" s="922" t="s">
        <v>401</v>
      </c>
      <c r="P1364" s="926">
        <v>19</v>
      </c>
      <c r="Q1364" s="900">
        <f>IF(O1364&lt;&gt;0,VLOOKUP(O1364,'Cây trong'!$A$2:$C$246,3,0)," ")</f>
        <v>80000</v>
      </c>
      <c r="R1364" s="900">
        <f t="shared" si="285"/>
        <v>1520000</v>
      </c>
      <c r="S1364" s="902"/>
      <c r="T1364" s="925"/>
      <c r="U1364" s="927"/>
      <c r="V1364" s="929"/>
      <c r="W1364" s="900" t="str">
        <f>IF(S1364&lt;&gt;0,VLOOKUP(S1364,VKT!$A$2:$G$415,7,0),"")</f>
        <v/>
      </c>
      <c r="X1364" s="900" t="str">
        <f t="shared" si="290"/>
        <v xml:space="preserve"> </v>
      </c>
      <c r="Y1364" s="898"/>
      <c r="Z1364" s="904"/>
      <c r="AA1364" s="904"/>
      <c r="AB1364" s="904"/>
      <c r="AC1364" s="904"/>
      <c r="AD1364" s="904"/>
      <c r="AE1364" s="904"/>
      <c r="AF1364" s="899"/>
      <c r="AG1364" s="906" t="str">
        <f>IF(AE1364&lt;&gt;0,VLOOKUP(AE1364,ODDS!$A$2:$C$13,3,0),"")</f>
        <v/>
      </c>
      <c r="AH1364" s="906" t="str">
        <f t="shared" si="286"/>
        <v xml:space="preserve"> </v>
      </c>
      <c r="AI1364" s="907" t="str">
        <f t="shared" si="297"/>
        <v xml:space="preserve"> </v>
      </c>
      <c r="AJ1364" s="894" t="s">
        <v>2939</v>
      </c>
      <c r="AK1364" s="894" t="s">
        <v>2449</v>
      </c>
    </row>
    <row r="1365" spans="1:37" s="385" customFormat="1" ht="112.5" outlineLevel="2" x14ac:dyDescent="0.3">
      <c r="A1365" s="447">
        <f t="shared" si="301"/>
        <v>109</v>
      </c>
      <c r="B1365" s="893"/>
      <c r="C1365" s="908"/>
      <c r="D1365" s="950"/>
      <c r="E1365" s="950">
        <v>86</v>
      </c>
      <c r="F1365" s="1032">
        <v>165</v>
      </c>
      <c r="G1365" s="894" t="s">
        <v>2049</v>
      </c>
      <c r="H1365" s="940">
        <f>100-H1364</f>
        <v>64.8</v>
      </c>
      <c r="I1365" s="882" t="str">
        <f t="shared" si="300"/>
        <v/>
      </c>
      <c r="J1365" s="925"/>
      <c r="K1365" s="899">
        <f>IF(G1365&lt;&gt;0,VLOOKUP(G1365,'gia dat'!$A$1:$F$144,5,0)," ")</f>
        <v>7260624</v>
      </c>
      <c r="L1365" s="899">
        <f>IF(G1365&lt;&gt;0,VLOOKUP(G1365,'gia dat'!$A$1:$F$144,6,0)," ")</f>
        <v>0</v>
      </c>
      <c r="M1365" s="900">
        <f t="shared" si="291"/>
        <v>470488000</v>
      </c>
      <c r="N1365" s="900">
        <f t="shared" si="292"/>
        <v>0</v>
      </c>
      <c r="O1365" s="894" t="s">
        <v>2916</v>
      </c>
      <c r="P1365" s="926">
        <v>15</v>
      </c>
      <c r="Q1365" s="900">
        <f>IF(O1365&lt;&gt;0,VLOOKUP(O1365,'Cây trong'!$A$2:$C$246,3,0)," ")</f>
        <v>25000</v>
      </c>
      <c r="R1365" s="900">
        <f t="shared" si="285"/>
        <v>375000</v>
      </c>
      <c r="S1365" s="902"/>
      <c r="T1365" s="925"/>
      <c r="U1365" s="927"/>
      <c r="V1365" s="929"/>
      <c r="W1365" s="900" t="str">
        <f>IF(S1365&lt;&gt;0,VLOOKUP(S1365,VKT!$A$2:$G$415,7,0),"")</f>
        <v/>
      </c>
      <c r="X1365" s="900" t="str">
        <f t="shared" si="290"/>
        <v xml:space="preserve"> </v>
      </c>
      <c r="Y1365" s="898"/>
      <c r="Z1365" s="904"/>
      <c r="AA1365" s="904"/>
      <c r="AB1365" s="904"/>
      <c r="AC1365" s="904"/>
      <c r="AD1365" s="904"/>
      <c r="AE1365" s="904"/>
      <c r="AF1365" s="899"/>
      <c r="AG1365" s="906" t="str">
        <f>IF(AE1365&lt;&gt;0,VLOOKUP(AE1365,ODDS!$A$2:$C$13,3,0),"")</f>
        <v/>
      </c>
      <c r="AH1365" s="906" t="str">
        <f t="shared" si="286"/>
        <v xml:space="preserve"> </v>
      </c>
      <c r="AI1365" s="907" t="str">
        <f t="shared" si="297"/>
        <v xml:space="preserve"> </v>
      </c>
      <c r="AJ1365" s="894" t="s">
        <v>2229</v>
      </c>
      <c r="AK1365" s="922"/>
    </row>
    <row r="1366" spans="1:37" s="385" customFormat="1" ht="22.5" outlineLevel="2" x14ac:dyDescent="0.35">
      <c r="A1366" s="447">
        <f t="shared" si="301"/>
        <v>109</v>
      </c>
      <c r="B1366" s="893"/>
      <c r="C1366" s="908"/>
      <c r="D1366" s="950"/>
      <c r="E1366" s="950"/>
      <c r="F1366" s="1032"/>
      <c r="G1366" s="894"/>
      <c r="H1366" s="1061"/>
      <c r="I1366" s="882"/>
      <c r="J1366" s="925"/>
      <c r="K1366" s="899" t="str">
        <f>IF(G1366&lt;&gt;0,VLOOKUP(G1366,'gia dat'!$A$1:$F$144,5,0)," ")</f>
        <v xml:space="preserve"> </v>
      </c>
      <c r="L1366" s="899" t="str">
        <f>IF(G1366&lt;&gt;0,VLOOKUP(G1366,'gia dat'!$A$1:$F$144,6,0)," ")</f>
        <v xml:space="preserve"> </v>
      </c>
      <c r="M1366" s="900" t="str">
        <f t="shared" si="291"/>
        <v xml:space="preserve"> </v>
      </c>
      <c r="N1366" s="900" t="str">
        <f t="shared" si="292"/>
        <v xml:space="preserve"> </v>
      </c>
      <c r="O1366" s="894"/>
      <c r="P1366" s="926"/>
      <c r="Q1366" s="900" t="str">
        <f>IF(O1366&lt;&gt;0,VLOOKUP(O1366,'Cây trong'!$A$2:$C$246,3,0)," ")</f>
        <v xml:space="preserve"> </v>
      </c>
      <c r="R1366" s="900" t="str">
        <f t="shared" ref="R1366:R1433" si="302">IF(O1366&lt;&gt;0,ROUND(P1366*Q1366,-2)," ")</f>
        <v xml:space="preserve"> </v>
      </c>
      <c r="S1366" s="902"/>
      <c r="T1366" s="925"/>
      <c r="U1366" s="927"/>
      <c r="V1366" s="929"/>
      <c r="W1366" s="900" t="str">
        <f>IF(S1366&lt;&gt;0,VLOOKUP(S1366,VKT!$A$2:$G$415,7,0),"")</f>
        <v/>
      </c>
      <c r="X1366" s="900" t="str">
        <f t="shared" si="290"/>
        <v xml:space="preserve"> </v>
      </c>
      <c r="Y1366" s="898"/>
      <c r="Z1366" s="904"/>
      <c r="AA1366" s="904"/>
      <c r="AB1366" s="904"/>
      <c r="AC1366" s="904"/>
      <c r="AD1366" s="904"/>
      <c r="AE1366" s="904"/>
      <c r="AF1366" s="899"/>
      <c r="AG1366" s="906" t="str">
        <f>IF(AE1366&lt;&gt;0,VLOOKUP(AE1366,ODDS!$A$2:$C$13,3,0),"")</f>
        <v/>
      </c>
      <c r="AH1366" s="906" t="str">
        <f t="shared" ref="AH1366:AH1433" si="303">IF(AE1366&lt;&gt;0,ROUND(AF1366*AG1366,-2)," ")</f>
        <v xml:space="preserve"> </v>
      </c>
      <c r="AI1366" s="907" t="str">
        <f t="shared" si="297"/>
        <v xml:space="preserve"> </v>
      </c>
      <c r="AJ1366" s="1036"/>
      <c r="AK1366" s="894"/>
    </row>
    <row r="1367" spans="1:37" s="385" customFormat="1" ht="22.5" outlineLevel="2" x14ac:dyDescent="0.35">
      <c r="A1367" s="447">
        <f t="shared" si="301"/>
        <v>109</v>
      </c>
      <c r="B1367" s="893"/>
      <c r="C1367" s="908"/>
      <c r="D1367" s="950"/>
      <c r="E1367" s="950"/>
      <c r="F1367" s="1032"/>
      <c r="G1367" s="894"/>
      <c r="H1367" s="1061"/>
      <c r="I1367" s="882"/>
      <c r="J1367" s="925"/>
      <c r="K1367" s="899" t="str">
        <f>IF(G1367&lt;&gt;0,VLOOKUP(G1367,'gia dat'!$A$1:$F$144,5,0)," ")</f>
        <v xml:space="preserve"> </v>
      </c>
      <c r="L1367" s="899" t="str">
        <f>IF(G1367&lt;&gt;0,VLOOKUP(G1367,'gia dat'!$A$1:$F$144,6,0)," ")</f>
        <v xml:space="preserve"> </v>
      </c>
      <c r="M1367" s="900" t="str">
        <f t="shared" si="291"/>
        <v xml:space="preserve"> </v>
      </c>
      <c r="N1367" s="900" t="str">
        <f t="shared" si="292"/>
        <v xml:space="preserve"> </v>
      </c>
      <c r="O1367" s="996"/>
      <c r="P1367" s="965"/>
      <c r="Q1367" s="900" t="str">
        <f>IF(O1367&lt;&gt;0,VLOOKUP(O1367,'Cây trong'!$A$2:$C$246,3,0)," ")</f>
        <v xml:space="preserve"> </v>
      </c>
      <c r="R1367" s="900" t="str">
        <f t="shared" si="302"/>
        <v xml:space="preserve"> </v>
      </c>
      <c r="S1367" s="902"/>
      <c r="T1367" s="925"/>
      <c r="U1367" s="927"/>
      <c r="V1367" s="929"/>
      <c r="W1367" s="900" t="str">
        <f>IF(S1367&lt;&gt;0,VLOOKUP(S1367,VKT!$A$2:$G$415,7,0),"")</f>
        <v/>
      </c>
      <c r="X1367" s="900" t="str">
        <f t="shared" si="290"/>
        <v xml:space="preserve"> </v>
      </c>
      <c r="Y1367" s="898"/>
      <c r="Z1367" s="904"/>
      <c r="AA1367" s="904"/>
      <c r="AB1367" s="904"/>
      <c r="AC1367" s="904"/>
      <c r="AD1367" s="904"/>
      <c r="AE1367" s="904"/>
      <c r="AF1367" s="899"/>
      <c r="AG1367" s="906" t="str">
        <f>IF(AE1367&lt;&gt;0,VLOOKUP(AE1367,ODDS!$A$2:$C$13,3,0),"")</f>
        <v/>
      </c>
      <c r="AH1367" s="906" t="str">
        <f t="shared" si="303"/>
        <v xml:space="preserve"> </v>
      </c>
      <c r="AI1367" s="907" t="str">
        <f t="shared" si="297"/>
        <v xml:space="preserve"> </v>
      </c>
      <c r="AJ1367" s="1036"/>
      <c r="AK1367" s="894"/>
    </row>
    <row r="1368" spans="1:37" s="385" customFormat="1" ht="22.5" outlineLevel="2" x14ac:dyDescent="0.3">
      <c r="A1368" s="447">
        <f t="shared" si="301"/>
        <v>109</v>
      </c>
      <c r="B1368" s="893"/>
      <c r="C1368" s="908"/>
      <c r="D1368" s="950"/>
      <c r="E1368" s="950"/>
      <c r="F1368" s="1032"/>
      <c r="G1368" s="894"/>
      <c r="H1368" s="940"/>
      <c r="I1368" s="882"/>
      <c r="J1368" s="925"/>
      <c r="K1368" s="899" t="str">
        <f>IF(G1368&lt;&gt;0,VLOOKUP(G1368,'gia dat'!$A$1:$F$144,5,0)," ")</f>
        <v xml:space="preserve"> </v>
      </c>
      <c r="L1368" s="899" t="str">
        <f>IF(G1368&lt;&gt;0,VLOOKUP(G1368,'gia dat'!$A$1:$F$144,6,0)," ")</f>
        <v xml:space="preserve"> </v>
      </c>
      <c r="M1368" s="900" t="str">
        <f t="shared" si="291"/>
        <v xml:space="preserve"> </v>
      </c>
      <c r="N1368" s="900" t="str">
        <f t="shared" si="292"/>
        <v xml:space="preserve"> </v>
      </c>
      <c r="O1368" s="894"/>
      <c r="P1368" s="926"/>
      <c r="Q1368" s="900" t="str">
        <f>IF(O1368&lt;&gt;0,VLOOKUP(O1368,'Cây trong'!$A$2:$C$246,3,0)," ")</f>
        <v xml:space="preserve"> </v>
      </c>
      <c r="R1368" s="900" t="str">
        <f t="shared" si="302"/>
        <v xml:space="preserve"> </v>
      </c>
      <c r="S1368" s="902"/>
      <c r="T1368" s="925"/>
      <c r="U1368" s="927"/>
      <c r="V1368" s="929"/>
      <c r="W1368" s="900" t="str">
        <f>IF(S1368&lt;&gt;0,VLOOKUP(S1368,VKT!$A$2:$G$415,7,0),"")</f>
        <v/>
      </c>
      <c r="X1368" s="900" t="str">
        <f t="shared" si="290"/>
        <v xml:space="preserve"> </v>
      </c>
      <c r="Y1368" s="898"/>
      <c r="Z1368" s="904"/>
      <c r="AA1368" s="904"/>
      <c r="AB1368" s="904"/>
      <c r="AC1368" s="904"/>
      <c r="AD1368" s="904"/>
      <c r="AE1368" s="904"/>
      <c r="AF1368" s="899"/>
      <c r="AG1368" s="906" t="str">
        <f>IF(AE1368&lt;&gt;0,VLOOKUP(AE1368,ODDS!$A$2:$C$13,3,0),"")</f>
        <v/>
      </c>
      <c r="AH1368" s="906" t="str">
        <f t="shared" si="303"/>
        <v xml:space="preserve"> </v>
      </c>
      <c r="AI1368" s="907" t="str">
        <f t="shared" si="297"/>
        <v xml:space="preserve"> </v>
      </c>
      <c r="AJ1368" s="894"/>
      <c r="AK1368" s="894"/>
    </row>
    <row r="1369" spans="1:37" s="385" customFormat="1" ht="22.5" outlineLevel="2" x14ac:dyDescent="0.3">
      <c r="A1369" s="447">
        <f t="shared" si="301"/>
        <v>109</v>
      </c>
      <c r="B1369" s="893"/>
      <c r="C1369" s="922"/>
      <c r="D1369" s="1035"/>
      <c r="E1369" s="950"/>
      <c r="F1369" s="1032"/>
      <c r="G1369" s="894"/>
      <c r="H1369" s="1059"/>
      <c r="I1369" s="882"/>
      <c r="J1369" s="1042"/>
      <c r="K1369" s="899" t="str">
        <f>IF(G1369&lt;&gt;0,VLOOKUP(G1369,'gia dat'!$A$1:$F$144,5,0)," ")</f>
        <v xml:space="preserve"> </v>
      </c>
      <c r="L1369" s="899" t="str">
        <f>IF(G1369&lt;&gt;0,VLOOKUP(G1369,'gia dat'!$A$1:$F$144,6,0)," ")</f>
        <v xml:space="preserve"> </v>
      </c>
      <c r="M1369" s="900" t="str">
        <f t="shared" si="291"/>
        <v xml:space="preserve"> </v>
      </c>
      <c r="N1369" s="900" t="str">
        <f t="shared" si="292"/>
        <v xml:space="preserve"> </v>
      </c>
      <c r="O1369" s="894"/>
      <c r="P1369" s="965"/>
      <c r="Q1369" s="900" t="str">
        <f>IF(O1369&lt;&gt;0,VLOOKUP(O1369,'Cây trong'!$A$2:$C$246,3,0)," ")</f>
        <v xml:space="preserve"> </v>
      </c>
      <c r="R1369" s="900" t="str">
        <f t="shared" si="302"/>
        <v xml:space="preserve"> </v>
      </c>
      <c r="S1369" s="922"/>
      <c r="T1369" s="944"/>
      <c r="U1369" s="903"/>
      <c r="V1369" s="929"/>
      <c r="W1369" s="900" t="str">
        <f>IF(S1369&lt;&gt;0,VLOOKUP(S1369,VKT!$A$2:$G$415,7,0),"")</f>
        <v/>
      </c>
      <c r="X1369" s="900" t="str">
        <f t="shared" si="290"/>
        <v xml:space="preserve"> </v>
      </c>
      <c r="Y1369" s="898"/>
      <c r="Z1369" s="904"/>
      <c r="AA1369" s="904"/>
      <c r="AB1369" s="904"/>
      <c r="AC1369" s="904"/>
      <c r="AD1369" s="904"/>
      <c r="AE1369" s="904"/>
      <c r="AF1369" s="899"/>
      <c r="AG1369" s="906" t="str">
        <f>IF(AE1369&lt;&gt;0,VLOOKUP(AE1369,ODDS!$A$2:$C$13,3,0),"")</f>
        <v/>
      </c>
      <c r="AH1369" s="906" t="str">
        <f t="shared" si="303"/>
        <v xml:space="preserve"> </v>
      </c>
      <c r="AI1369" s="907" t="str">
        <f t="shared" si="297"/>
        <v xml:space="preserve"> </v>
      </c>
      <c r="AJ1369" s="929"/>
      <c r="AK1369" s="929"/>
    </row>
    <row r="1370" spans="1:37" s="385" customFormat="1" ht="22.5" outlineLevel="2" x14ac:dyDescent="0.3">
      <c r="A1370" s="447">
        <f t="shared" si="301"/>
        <v>109</v>
      </c>
      <c r="B1370" s="893"/>
      <c r="C1370" s="910"/>
      <c r="D1370" s="1035"/>
      <c r="E1370" s="950"/>
      <c r="F1370" s="1032"/>
      <c r="G1370" s="894"/>
      <c r="H1370" s="1059"/>
      <c r="I1370" s="882"/>
      <c r="J1370" s="1042"/>
      <c r="K1370" s="899" t="str">
        <f>IF(G1370&lt;&gt;0,VLOOKUP(G1370,'gia dat'!$A$1:$F$144,5,0)," ")</f>
        <v xml:space="preserve"> </v>
      </c>
      <c r="L1370" s="899" t="str">
        <f>IF(G1370&lt;&gt;0,VLOOKUP(G1370,'gia dat'!$A$1:$F$144,6,0)," ")</f>
        <v xml:space="preserve"> </v>
      </c>
      <c r="M1370" s="900" t="str">
        <f t="shared" si="291"/>
        <v xml:space="preserve"> </v>
      </c>
      <c r="N1370" s="900" t="str">
        <f t="shared" si="292"/>
        <v xml:space="preserve"> </v>
      </c>
      <c r="O1370" s="922"/>
      <c r="P1370" s="965"/>
      <c r="Q1370" s="900" t="str">
        <f>IF(O1370&lt;&gt;0,VLOOKUP(O1370,'Cây trong'!$A$2:$C$246,3,0)," ")</f>
        <v xml:space="preserve"> </v>
      </c>
      <c r="R1370" s="900" t="str">
        <f t="shared" si="302"/>
        <v xml:space="preserve"> </v>
      </c>
      <c r="S1370" s="922"/>
      <c r="T1370" s="944"/>
      <c r="U1370" s="903"/>
      <c r="V1370" s="929"/>
      <c r="W1370" s="900" t="str">
        <f>IF(S1370&lt;&gt;0,VLOOKUP(S1370,VKT!$A$2:$G$415,7,0),"")</f>
        <v/>
      </c>
      <c r="X1370" s="900" t="str">
        <f t="shared" si="290"/>
        <v xml:space="preserve"> </v>
      </c>
      <c r="Y1370" s="898"/>
      <c r="Z1370" s="904"/>
      <c r="AA1370" s="904"/>
      <c r="AB1370" s="904"/>
      <c r="AC1370" s="904"/>
      <c r="AD1370" s="904"/>
      <c r="AE1370" s="904"/>
      <c r="AF1370" s="899"/>
      <c r="AG1370" s="906" t="str">
        <f>IF(AE1370&lt;&gt;0,VLOOKUP(AE1370,ODDS!$A$2:$C$13,3,0),"")</f>
        <v/>
      </c>
      <c r="AH1370" s="906" t="str">
        <f t="shared" si="303"/>
        <v xml:space="preserve"> </v>
      </c>
      <c r="AI1370" s="907" t="str">
        <f t="shared" si="297"/>
        <v xml:space="preserve"> </v>
      </c>
      <c r="AJ1370" s="929"/>
      <c r="AK1370" s="929"/>
    </row>
    <row r="1371" spans="1:37" s="385" customFormat="1" ht="22.5" outlineLevel="1" x14ac:dyDescent="0.25">
      <c r="A1371" s="467" t="s">
        <v>2600</v>
      </c>
      <c r="B1371" s="912">
        <v>110</v>
      </c>
      <c r="C1371" s="910" t="s">
        <v>998</v>
      </c>
      <c r="D1371" s="1037"/>
      <c r="E1371" s="1037"/>
      <c r="F1371" s="1038"/>
      <c r="G1371" s="910"/>
      <c r="H1371" s="932">
        <f>SUBTOTAL(9,H1372:H1378)</f>
        <v>125</v>
      </c>
      <c r="I1371" s="915">
        <f>SUBTOTAL(9,I1372:I1377)</f>
        <v>0</v>
      </c>
      <c r="J1371" s="933"/>
      <c r="K1371" s="917"/>
      <c r="L1371" s="917"/>
      <c r="M1371" s="907">
        <f>SUBTOTAL(9,M1372:M1378)</f>
        <v>430313000</v>
      </c>
      <c r="N1371" s="907">
        <f>SUBTOTAL(9,N1372:N1378)</f>
        <v>0</v>
      </c>
      <c r="O1371" s="910"/>
      <c r="P1371" s="935">
        <f>SUBTOTAL(9,P1372:P1378)</f>
        <v>43</v>
      </c>
      <c r="Q1371" s="907"/>
      <c r="R1371" s="907">
        <f>SUBTOTAL(9,R1372:R1378)</f>
        <v>4788000</v>
      </c>
      <c r="S1371" s="918"/>
      <c r="T1371" s="933"/>
      <c r="U1371" s="936">
        <f>SUBTOTAL(9,U1372:U1378)</f>
        <v>0</v>
      </c>
      <c r="V1371" s="943"/>
      <c r="W1371" s="907"/>
      <c r="X1371" s="907">
        <f>SUBTOTAL(9,X1372:X1378)</f>
        <v>0</v>
      </c>
      <c r="Y1371" s="898"/>
      <c r="Z1371" s="904"/>
      <c r="AA1371" s="904"/>
      <c r="AB1371" s="904"/>
      <c r="AC1371" s="904"/>
      <c r="AD1371" s="904"/>
      <c r="AE1371" s="938"/>
      <c r="AF1371" s="917">
        <f>SUBTOTAL(9,AF1372:AF1378)</f>
        <v>0</v>
      </c>
      <c r="AG1371" s="921"/>
      <c r="AH1371" s="921">
        <f>SUBTOTAL(9,AH1372:AH1378)</f>
        <v>0</v>
      </c>
      <c r="AI1371" s="907">
        <f t="shared" si="297"/>
        <v>435101000</v>
      </c>
      <c r="AJ1371" s="910"/>
      <c r="AK1371" s="914"/>
    </row>
    <row r="1372" spans="1:37" s="385" customFormat="1" ht="135" outlineLevel="2" x14ac:dyDescent="0.3">
      <c r="A1372" s="447">
        <f>IF(B1371&lt;&gt;0,B1371,A1370)</f>
        <v>110</v>
      </c>
      <c r="B1372" s="893"/>
      <c r="C1372" s="894" t="s">
        <v>1000</v>
      </c>
      <c r="D1372" s="950">
        <v>4</v>
      </c>
      <c r="E1372" s="950">
        <v>86</v>
      </c>
      <c r="F1372" s="1032">
        <v>314</v>
      </c>
      <c r="G1372" s="894" t="s">
        <v>2870</v>
      </c>
      <c r="H1372" s="940">
        <f>75</f>
        <v>75</v>
      </c>
      <c r="I1372" s="882" t="str">
        <f t="shared" ref="I1372:I1374" si="304">IF(N1372&gt;0,H1372,"")</f>
        <v/>
      </c>
      <c r="J1372" s="925"/>
      <c r="K1372" s="899">
        <f>IF(G1372&lt;&gt;0,VLOOKUP(G1372,'gia dat'!$A$1:$F$144,5,0)," ")</f>
        <v>465600</v>
      </c>
      <c r="L1372" s="899">
        <f>IF(G1372&lt;&gt;0,VLOOKUP(G1372,'gia dat'!$A$1:$F$144,6,0)," ")</f>
        <v>0</v>
      </c>
      <c r="M1372" s="900">
        <f t="shared" si="291"/>
        <v>34920000</v>
      </c>
      <c r="N1372" s="900">
        <f t="shared" si="292"/>
        <v>0</v>
      </c>
      <c r="O1372" s="894" t="s">
        <v>72</v>
      </c>
      <c r="P1372" s="926">
        <v>7</v>
      </c>
      <c r="Q1372" s="900">
        <f>IF(O1372&lt;&gt;0,VLOOKUP(O1372,'Cây trong'!$A$2:$C$246,3,0)," ")</f>
        <v>132000</v>
      </c>
      <c r="R1372" s="900">
        <f t="shared" si="302"/>
        <v>924000</v>
      </c>
      <c r="S1372" s="902"/>
      <c r="T1372" s="925"/>
      <c r="U1372" s="927"/>
      <c r="V1372" s="929"/>
      <c r="W1372" s="900" t="str">
        <f>IF(S1372&lt;&gt;0,VLOOKUP(S1372,VKT!$A$2:$G$415,7,0),"")</f>
        <v/>
      </c>
      <c r="X1372" s="900" t="str">
        <f t="shared" si="290"/>
        <v xml:space="preserve"> </v>
      </c>
      <c r="Y1372" s="898"/>
      <c r="Z1372" s="904"/>
      <c r="AA1372" s="904"/>
      <c r="AB1372" s="904"/>
      <c r="AC1372" s="904"/>
      <c r="AD1372" s="904"/>
      <c r="AE1372" s="905"/>
      <c r="AF1372" s="899"/>
      <c r="AG1372" s="906"/>
      <c r="AH1372" s="906"/>
      <c r="AI1372" s="907" t="str">
        <f t="shared" si="297"/>
        <v xml:space="preserve"> </v>
      </c>
      <c r="AJ1372" s="894" t="s">
        <v>999</v>
      </c>
      <c r="AK1372" s="922" t="s">
        <v>2771</v>
      </c>
    </row>
    <row r="1373" spans="1:37" s="385" customFormat="1" ht="112.5" outlineLevel="2" x14ac:dyDescent="0.3">
      <c r="A1373" s="447">
        <f t="shared" ref="A1373:A1378" si="305">IF(B1372&lt;&gt;0,B1372,A1372)</f>
        <v>110</v>
      </c>
      <c r="B1373" s="893"/>
      <c r="C1373" s="908" t="s">
        <v>1577</v>
      </c>
      <c r="D1373" s="950"/>
      <c r="E1373" s="950">
        <v>86</v>
      </c>
      <c r="F1373" s="1032">
        <v>314</v>
      </c>
      <c r="G1373" s="894" t="s">
        <v>2491</v>
      </c>
      <c r="H1373" s="940">
        <v>10.4</v>
      </c>
      <c r="I1373" s="882" t="str">
        <f t="shared" si="304"/>
        <v/>
      </c>
      <c r="J1373" s="925"/>
      <c r="K1373" s="899">
        <f>IF(G1373&lt;&gt;0,VLOOKUP(G1373,'gia dat'!$A$1:$F$144,5,0)," ")</f>
        <v>10372320</v>
      </c>
      <c r="L1373" s="899">
        <f>IF(G1373&lt;&gt;0,VLOOKUP(G1373,'gia dat'!$A$1:$F$144,6,0)," ")</f>
        <v>0</v>
      </c>
      <c r="M1373" s="900">
        <f t="shared" si="291"/>
        <v>107872000</v>
      </c>
      <c r="N1373" s="900">
        <f t="shared" si="292"/>
        <v>0</v>
      </c>
      <c r="O1373" s="894" t="s">
        <v>73</v>
      </c>
      <c r="P1373" s="926">
        <v>13</v>
      </c>
      <c r="Q1373" s="900">
        <f>IF(O1373&lt;&gt;0,VLOOKUP(O1373,'Cây trong'!$A$2:$C$246,3,0)," ")</f>
        <v>76000</v>
      </c>
      <c r="R1373" s="900">
        <f t="shared" si="302"/>
        <v>988000</v>
      </c>
      <c r="S1373" s="902"/>
      <c r="T1373" s="925"/>
      <c r="U1373" s="927"/>
      <c r="V1373" s="929"/>
      <c r="W1373" s="900" t="str">
        <f>IF(S1373&lt;&gt;0,VLOOKUP(S1373,VKT!$A$2:$G$415,7,0),"")</f>
        <v/>
      </c>
      <c r="X1373" s="900" t="str">
        <f t="shared" si="290"/>
        <v xml:space="preserve"> </v>
      </c>
      <c r="Y1373" s="898"/>
      <c r="Z1373" s="904"/>
      <c r="AA1373" s="904"/>
      <c r="AB1373" s="904"/>
      <c r="AC1373" s="904"/>
      <c r="AD1373" s="904"/>
      <c r="AE1373" s="904"/>
      <c r="AF1373" s="899"/>
      <c r="AG1373" s="906" t="str">
        <f>IF(AE1373&lt;&gt;0,VLOOKUP(AE1373,ODDS!$A$2:$C$13,3,0),"")</f>
        <v/>
      </c>
      <c r="AH1373" s="906" t="str">
        <f t="shared" si="303"/>
        <v xml:space="preserve"> </v>
      </c>
      <c r="AI1373" s="907" t="str">
        <f t="shared" si="297"/>
        <v xml:space="preserve"> </v>
      </c>
      <c r="AJ1373" s="894" t="s">
        <v>2940</v>
      </c>
      <c r="AK1373" s="894" t="s">
        <v>2449</v>
      </c>
    </row>
    <row r="1374" spans="1:37" s="385" customFormat="1" ht="112.5" outlineLevel="2" x14ac:dyDescent="0.3">
      <c r="A1374" s="447">
        <f t="shared" si="305"/>
        <v>110</v>
      </c>
      <c r="B1374" s="893"/>
      <c r="C1374" s="908"/>
      <c r="D1374" s="950"/>
      <c r="E1374" s="950"/>
      <c r="F1374" s="1032"/>
      <c r="G1374" s="894" t="s">
        <v>2049</v>
      </c>
      <c r="H1374" s="940">
        <f>50-H1373</f>
        <v>39.6</v>
      </c>
      <c r="I1374" s="882" t="str">
        <f t="shared" si="304"/>
        <v/>
      </c>
      <c r="J1374" s="925"/>
      <c r="K1374" s="899">
        <f>IF(G1374&lt;&gt;0,VLOOKUP(G1374,'gia dat'!$A$1:$F$144,5,0)," ")</f>
        <v>7260624</v>
      </c>
      <c r="L1374" s="899">
        <f>IF(G1374&lt;&gt;0,VLOOKUP(G1374,'gia dat'!$A$1:$F$144,6,0)," ")</f>
        <v>0</v>
      </c>
      <c r="M1374" s="900">
        <f t="shared" si="291"/>
        <v>287521000</v>
      </c>
      <c r="N1374" s="900">
        <f t="shared" si="292"/>
        <v>0</v>
      </c>
      <c r="O1374" s="922" t="s">
        <v>400</v>
      </c>
      <c r="P1374" s="926">
        <v>7</v>
      </c>
      <c r="Q1374" s="900">
        <f>IF(O1374&lt;&gt;0,VLOOKUP(O1374,'Cây trong'!$A$2:$C$246,3,0)," ")</f>
        <v>228000</v>
      </c>
      <c r="R1374" s="900">
        <f t="shared" si="302"/>
        <v>1596000</v>
      </c>
      <c r="S1374" s="902"/>
      <c r="T1374" s="925"/>
      <c r="U1374" s="927"/>
      <c r="V1374" s="929"/>
      <c r="W1374" s="900" t="str">
        <f>IF(S1374&lt;&gt;0,VLOOKUP(S1374,VKT!$A$2:$G$415,7,0),"")</f>
        <v/>
      </c>
      <c r="X1374" s="900" t="str">
        <f t="shared" si="290"/>
        <v xml:space="preserve"> </v>
      </c>
      <c r="Y1374" s="898"/>
      <c r="Z1374" s="904"/>
      <c r="AA1374" s="904"/>
      <c r="AB1374" s="904"/>
      <c r="AC1374" s="904"/>
      <c r="AD1374" s="904"/>
      <c r="AE1374" s="904"/>
      <c r="AF1374" s="899"/>
      <c r="AG1374" s="906" t="str">
        <f>IF(AE1374&lt;&gt;0,VLOOKUP(AE1374,ODDS!$A$2:$C$13,3,0),"")</f>
        <v/>
      </c>
      <c r="AH1374" s="906" t="str">
        <f t="shared" si="303"/>
        <v xml:space="preserve"> </v>
      </c>
      <c r="AI1374" s="907" t="str">
        <f t="shared" si="297"/>
        <v xml:space="preserve"> </v>
      </c>
      <c r="AJ1374" s="929" t="s">
        <v>809</v>
      </c>
      <c r="AK1374" s="894"/>
    </row>
    <row r="1375" spans="1:37" s="385" customFormat="1" ht="112.5" outlineLevel="2" x14ac:dyDescent="0.3">
      <c r="A1375" s="447">
        <f t="shared" si="305"/>
        <v>110</v>
      </c>
      <c r="B1375" s="893"/>
      <c r="C1375" s="908"/>
      <c r="D1375" s="950"/>
      <c r="E1375" s="950"/>
      <c r="F1375" s="1032"/>
      <c r="G1375" s="894"/>
      <c r="H1375" s="940"/>
      <c r="I1375" s="882"/>
      <c r="J1375" s="925"/>
      <c r="K1375" s="899" t="str">
        <f>IF(G1375&lt;&gt;0,VLOOKUP(G1375,'gia dat'!$A$1:$F$144,5,0)," ")</f>
        <v xml:space="preserve"> </v>
      </c>
      <c r="L1375" s="899" t="str">
        <f>IF(G1375&lt;&gt;0,VLOOKUP(G1375,'gia dat'!$A$1:$F$144,6,0)," ")</f>
        <v xml:space="preserve"> </v>
      </c>
      <c r="M1375" s="900" t="str">
        <f t="shared" si="291"/>
        <v xml:space="preserve"> </v>
      </c>
      <c r="N1375" s="900" t="str">
        <f t="shared" si="292"/>
        <v xml:space="preserve"> </v>
      </c>
      <c r="O1375" s="922" t="s">
        <v>401</v>
      </c>
      <c r="P1375" s="926">
        <v>16</v>
      </c>
      <c r="Q1375" s="900">
        <f>IF(O1375&lt;&gt;0,VLOOKUP(O1375,'Cây trong'!$A$2:$C$246,3,0)," ")</f>
        <v>80000</v>
      </c>
      <c r="R1375" s="900">
        <f t="shared" si="302"/>
        <v>1280000</v>
      </c>
      <c r="S1375" s="902"/>
      <c r="T1375" s="925"/>
      <c r="U1375" s="927"/>
      <c r="V1375" s="929"/>
      <c r="W1375" s="900" t="str">
        <f>IF(S1375&lt;&gt;0,VLOOKUP(S1375,VKT!$A$2:$G$415,7,0),"")</f>
        <v/>
      </c>
      <c r="X1375" s="900" t="str">
        <f t="shared" si="290"/>
        <v xml:space="preserve"> </v>
      </c>
      <c r="Y1375" s="898"/>
      <c r="Z1375" s="904"/>
      <c r="AA1375" s="904"/>
      <c r="AB1375" s="904"/>
      <c r="AC1375" s="904"/>
      <c r="AD1375" s="904"/>
      <c r="AE1375" s="904"/>
      <c r="AF1375" s="899"/>
      <c r="AG1375" s="906" t="str">
        <f>IF(AE1375&lt;&gt;0,VLOOKUP(AE1375,ODDS!$A$2:$C$13,3,0),"")</f>
        <v/>
      </c>
      <c r="AH1375" s="906" t="str">
        <f t="shared" si="303"/>
        <v xml:space="preserve"> </v>
      </c>
      <c r="AI1375" s="907" t="str">
        <f t="shared" si="297"/>
        <v xml:space="preserve"> </v>
      </c>
      <c r="AJ1375" s="894" t="s">
        <v>2230</v>
      </c>
      <c r="AK1375" s="894"/>
    </row>
    <row r="1376" spans="1:37" s="385" customFormat="1" ht="22.5" outlineLevel="2" x14ac:dyDescent="0.3">
      <c r="A1376" s="447">
        <f t="shared" si="305"/>
        <v>110</v>
      </c>
      <c r="B1376" s="893"/>
      <c r="C1376" s="908"/>
      <c r="D1376" s="950"/>
      <c r="E1376" s="950"/>
      <c r="F1376" s="1032"/>
      <c r="G1376" s="894"/>
      <c r="H1376" s="940"/>
      <c r="I1376" s="882"/>
      <c r="J1376" s="925"/>
      <c r="K1376" s="899" t="str">
        <f>IF(G1376&lt;&gt;0,VLOOKUP(G1376,'gia dat'!$A$1:$F$144,5,0)," ")</f>
        <v xml:space="preserve"> </v>
      </c>
      <c r="L1376" s="899" t="str">
        <f>IF(G1376&lt;&gt;0,VLOOKUP(G1376,'gia dat'!$A$1:$F$144,6,0)," ")</f>
        <v xml:space="preserve"> </v>
      </c>
      <c r="M1376" s="900" t="str">
        <f t="shared" si="291"/>
        <v xml:space="preserve"> </v>
      </c>
      <c r="N1376" s="900" t="str">
        <f t="shared" si="292"/>
        <v xml:space="preserve"> </v>
      </c>
      <c r="O1376" s="922"/>
      <c r="P1376" s="926"/>
      <c r="Q1376" s="900" t="str">
        <f>IF(O1376&lt;&gt;0,VLOOKUP(O1376,'Cây trong'!$A$2:$C$246,3,0)," ")</f>
        <v xml:space="preserve"> </v>
      </c>
      <c r="R1376" s="900" t="str">
        <f t="shared" si="302"/>
        <v xml:space="preserve"> </v>
      </c>
      <c r="S1376" s="902"/>
      <c r="T1376" s="925"/>
      <c r="U1376" s="927"/>
      <c r="V1376" s="929"/>
      <c r="W1376" s="900" t="str">
        <f>IF(S1376&lt;&gt;0,VLOOKUP(S1376,VKT!$A$2:$G$415,7,0),"")</f>
        <v/>
      </c>
      <c r="X1376" s="900" t="str">
        <f t="shared" si="290"/>
        <v xml:space="preserve"> </v>
      </c>
      <c r="Y1376" s="898"/>
      <c r="Z1376" s="904"/>
      <c r="AA1376" s="904"/>
      <c r="AB1376" s="904"/>
      <c r="AC1376" s="904"/>
      <c r="AD1376" s="904"/>
      <c r="AE1376" s="904"/>
      <c r="AF1376" s="899"/>
      <c r="AG1376" s="906" t="str">
        <f>IF(AE1376&lt;&gt;0,VLOOKUP(AE1376,ODDS!$A$2:$C$13,3,0),"")</f>
        <v/>
      </c>
      <c r="AH1376" s="906" t="str">
        <f t="shared" si="303"/>
        <v xml:space="preserve"> </v>
      </c>
      <c r="AI1376" s="907" t="str">
        <f t="shared" si="297"/>
        <v xml:space="preserve"> </v>
      </c>
      <c r="AJ1376" s="894"/>
      <c r="AK1376" s="894"/>
    </row>
    <row r="1377" spans="1:37" s="385" customFormat="1" ht="22.5" outlineLevel="2" x14ac:dyDescent="0.3">
      <c r="A1377" s="447">
        <f t="shared" si="305"/>
        <v>110</v>
      </c>
      <c r="B1377" s="893"/>
      <c r="C1377" s="894"/>
      <c r="D1377" s="950"/>
      <c r="E1377" s="950"/>
      <c r="F1377" s="1032"/>
      <c r="G1377" s="894"/>
      <c r="H1377" s="940"/>
      <c r="I1377" s="882"/>
      <c r="J1377" s="925"/>
      <c r="K1377" s="899" t="str">
        <f>IF(G1377&lt;&gt;0,VLOOKUP(G1377,'gia dat'!$A$1:$F$144,5,0)," ")</f>
        <v xml:space="preserve"> </v>
      </c>
      <c r="L1377" s="899" t="str">
        <f>IF(G1377&lt;&gt;0,VLOOKUP(G1377,'gia dat'!$A$1:$F$144,6,0)," ")</f>
        <v xml:space="preserve"> </v>
      </c>
      <c r="M1377" s="900" t="str">
        <f t="shared" si="291"/>
        <v xml:space="preserve"> </v>
      </c>
      <c r="N1377" s="900" t="str">
        <f t="shared" si="292"/>
        <v xml:space="preserve"> </v>
      </c>
      <c r="O1377" s="894"/>
      <c r="P1377" s="926"/>
      <c r="Q1377" s="900" t="str">
        <f>IF(O1377&lt;&gt;0,VLOOKUP(O1377,'Cây trong'!$A$2:$C$246,3,0)," ")</f>
        <v xml:space="preserve"> </v>
      </c>
      <c r="R1377" s="900" t="str">
        <f t="shared" si="302"/>
        <v xml:space="preserve"> </v>
      </c>
      <c r="S1377" s="902"/>
      <c r="T1377" s="925"/>
      <c r="U1377" s="927"/>
      <c r="V1377" s="929"/>
      <c r="W1377" s="900" t="str">
        <f>IF(S1377&lt;&gt;0,VLOOKUP(S1377,VKT!$A$2:$G$415,7,0),"")</f>
        <v/>
      </c>
      <c r="X1377" s="900" t="str">
        <f t="shared" si="290"/>
        <v xml:space="preserve"> </v>
      </c>
      <c r="Y1377" s="898"/>
      <c r="Z1377" s="904"/>
      <c r="AA1377" s="904"/>
      <c r="AB1377" s="904"/>
      <c r="AC1377" s="904"/>
      <c r="AD1377" s="904"/>
      <c r="AE1377" s="904"/>
      <c r="AF1377" s="899"/>
      <c r="AG1377" s="906" t="str">
        <f>IF(AE1377&lt;&gt;0,VLOOKUP(AE1377,ODDS!$A$2:$C$13,3,0),"")</f>
        <v/>
      </c>
      <c r="AH1377" s="906" t="str">
        <f t="shared" si="303"/>
        <v xml:space="preserve"> </v>
      </c>
      <c r="AI1377" s="907" t="str">
        <f t="shared" si="297"/>
        <v xml:space="preserve"> </v>
      </c>
      <c r="AJ1377" s="894"/>
      <c r="AK1377" s="894"/>
    </row>
    <row r="1378" spans="1:37" s="385" customFormat="1" ht="22.5" outlineLevel="2" x14ac:dyDescent="0.3">
      <c r="A1378" s="447">
        <f t="shared" si="305"/>
        <v>110</v>
      </c>
      <c r="B1378" s="893"/>
      <c r="C1378" s="910"/>
      <c r="D1378" s="950"/>
      <c r="E1378" s="950"/>
      <c r="F1378" s="1032"/>
      <c r="G1378" s="894"/>
      <c r="H1378" s="1059"/>
      <c r="I1378" s="882"/>
      <c r="J1378" s="1042"/>
      <c r="K1378" s="899" t="str">
        <f>IF(G1378&lt;&gt;0,VLOOKUP(G1378,'gia dat'!$A$1:$F$144,5,0)," ")</f>
        <v xml:space="preserve"> </v>
      </c>
      <c r="L1378" s="899" t="str">
        <f>IF(G1378&lt;&gt;0,VLOOKUP(G1378,'gia dat'!$A$1:$F$144,6,0)," ")</f>
        <v xml:space="preserve"> </v>
      </c>
      <c r="M1378" s="900" t="str">
        <f t="shared" si="291"/>
        <v xml:space="preserve"> </v>
      </c>
      <c r="N1378" s="900" t="str">
        <f t="shared" si="292"/>
        <v xml:space="preserve"> </v>
      </c>
      <c r="O1378" s="922"/>
      <c r="P1378" s="965"/>
      <c r="Q1378" s="900" t="str">
        <f>IF(O1378&lt;&gt;0,VLOOKUP(O1378,'Cây trong'!$A$2:$C$246,3,0)," ")</f>
        <v xml:space="preserve"> </v>
      </c>
      <c r="R1378" s="900" t="str">
        <f t="shared" si="302"/>
        <v xml:space="preserve"> </v>
      </c>
      <c r="S1378" s="922"/>
      <c r="T1378" s="944"/>
      <c r="U1378" s="903"/>
      <c r="V1378" s="929"/>
      <c r="W1378" s="900" t="str">
        <f>IF(S1378&lt;&gt;0,VLOOKUP(S1378,VKT!$A$2:$G$415,7,0),"")</f>
        <v/>
      </c>
      <c r="X1378" s="900" t="str">
        <f t="shared" si="290"/>
        <v xml:space="preserve"> </v>
      </c>
      <c r="Y1378" s="898"/>
      <c r="Z1378" s="904"/>
      <c r="AA1378" s="904"/>
      <c r="AB1378" s="904"/>
      <c r="AC1378" s="904"/>
      <c r="AD1378" s="904"/>
      <c r="AE1378" s="904"/>
      <c r="AF1378" s="899"/>
      <c r="AG1378" s="906" t="str">
        <f>IF(AE1378&lt;&gt;0,VLOOKUP(AE1378,ODDS!$A$2:$C$13,3,0),"")</f>
        <v/>
      </c>
      <c r="AH1378" s="906" t="str">
        <f t="shared" si="303"/>
        <v xml:space="preserve"> </v>
      </c>
      <c r="AI1378" s="907" t="str">
        <f t="shared" si="297"/>
        <v xml:space="preserve"> </v>
      </c>
      <c r="AJ1378" s="929"/>
      <c r="AK1378" s="929"/>
    </row>
    <row r="1379" spans="1:37" s="385" customFormat="1" ht="43.5" outlineLevel="1" x14ac:dyDescent="0.25">
      <c r="A1379" s="467" t="s">
        <v>2599</v>
      </c>
      <c r="B1379" s="912">
        <v>111</v>
      </c>
      <c r="C1379" s="910" t="s">
        <v>50</v>
      </c>
      <c r="D1379" s="1037"/>
      <c r="E1379" s="1037"/>
      <c r="F1379" s="1038"/>
      <c r="G1379" s="910"/>
      <c r="H1379" s="932">
        <f>SUBTOTAL(9,H1380:H1414)</f>
        <v>2890.2</v>
      </c>
      <c r="I1379" s="915">
        <f>SUBTOTAL(9,I1380:I1385)</f>
        <v>2196.6999999999998</v>
      </c>
      <c r="J1379" s="933"/>
      <c r="K1379" s="917"/>
      <c r="L1379" s="917"/>
      <c r="M1379" s="907">
        <f>SUBTOTAL(9,M1380:M1414)</f>
        <v>2246124000</v>
      </c>
      <c r="N1379" s="907">
        <f>SUBTOTAL(9,N1380:N1414)</f>
        <v>3653551000</v>
      </c>
      <c r="O1379" s="910"/>
      <c r="P1379" s="935">
        <f>SUBTOTAL(9,P1380:P1414)</f>
        <v>42</v>
      </c>
      <c r="Q1379" s="907"/>
      <c r="R1379" s="907">
        <f>SUBTOTAL(9,R1380:R1414)</f>
        <v>11836000</v>
      </c>
      <c r="S1379" s="918"/>
      <c r="T1379" s="933"/>
      <c r="U1379" s="936">
        <f>SUBTOTAL(9,U1380:U1414)</f>
        <v>849.53000000000009</v>
      </c>
      <c r="V1379" s="943"/>
      <c r="W1379" s="907"/>
      <c r="X1379" s="907">
        <f>SUBTOTAL(9,X1380:X1414)</f>
        <v>740236000</v>
      </c>
      <c r="Y1379" s="898"/>
      <c r="Z1379" s="904"/>
      <c r="AA1379" s="904"/>
      <c r="AB1379" s="904"/>
      <c r="AC1379" s="904"/>
      <c r="AD1379" s="904"/>
      <c r="AE1379" s="938"/>
      <c r="AF1379" s="917">
        <f>SUBTOTAL(9,AF1380:AF1414)</f>
        <v>1</v>
      </c>
      <c r="AG1379" s="921"/>
      <c r="AH1379" s="921">
        <f>SUBTOTAL(9,AH1380:AH1414)</f>
        <v>17000000</v>
      </c>
      <c r="AI1379" s="907">
        <f t="shared" si="297"/>
        <v>6668747000</v>
      </c>
      <c r="AJ1379" s="910"/>
      <c r="AK1379" s="914"/>
    </row>
    <row r="1380" spans="1:37" s="385" customFormat="1" ht="135" outlineLevel="2" x14ac:dyDescent="0.3">
      <c r="A1380" s="447">
        <f>IF(B1379&lt;&gt;0,B1379,A1378)</f>
        <v>111</v>
      </c>
      <c r="B1380" s="893"/>
      <c r="C1380" s="894" t="s">
        <v>112</v>
      </c>
      <c r="D1380" s="950">
        <v>2</v>
      </c>
      <c r="E1380" s="950">
        <v>86</v>
      </c>
      <c r="F1380" s="1032">
        <v>167</v>
      </c>
      <c r="G1380" s="894" t="s">
        <v>2895</v>
      </c>
      <c r="H1380" s="940">
        <v>597.5</v>
      </c>
      <c r="I1380" s="882" t="str">
        <f t="shared" ref="I1380:I1382" si="306">IF(N1380&gt;0,H1380,"")</f>
        <v/>
      </c>
      <c r="J1380" s="925"/>
      <c r="K1380" s="899">
        <f>IF(G1380&lt;&gt;0,VLOOKUP(G1380,'gia dat'!$A$1:$F$144,5,0)," ")</f>
        <v>554400</v>
      </c>
      <c r="L1380" s="899">
        <f>IF(G1380&lt;&gt;0,VLOOKUP(G1380,'gia dat'!$A$1:$F$144,6,0)," ")</f>
        <v>0</v>
      </c>
      <c r="M1380" s="900">
        <f t="shared" si="291"/>
        <v>331254000</v>
      </c>
      <c r="N1380" s="900">
        <f t="shared" si="292"/>
        <v>0</v>
      </c>
      <c r="O1380" s="894" t="s">
        <v>61</v>
      </c>
      <c r="P1380" s="926">
        <v>3</v>
      </c>
      <c r="Q1380" s="900">
        <f>IF(O1380&lt;&gt;0,VLOOKUP(O1380,'Cây trong'!$A$2:$C$246,3,0)," ")</f>
        <v>1708000</v>
      </c>
      <c r="R1380" s="900">
        <f t="shared" si="302"/>
        <v>5124000</v>
      </c>
      <c r="S1380" s="902" t="s">
        <v>2333</v>
      </c>
      <c r="T1380" s="925" t="s">
        <v>2911</v>
      </c>
      <c r="U1380" s="927">
        <v>90.3</v>
      </c>
      <c r="V1380" s="929"/>
      <c r="W1380" s="900">
        <f>IF(S1380&lt;&gt;0,VLOOKUP(S1380,VKT!$A$2:$G$415,7,0),"")</f>
        <v>211811</v>
      </c>
      <c r="X1380" s="900">
        <f t="shared" si="290"/>
        <v>19127000</v>
      </c>
      <c r="Y1380" s="898"/>
      <c r="Z1380" s="904"/>
      <c r="AA1380" s="904"/>
      <c r="AB1380" s="904"/>
      <c r="AC1380" s="904"/>
      <c r="AD1380" s="904"/>
      <c r="AE1380" s="905"/>
      <c r="AF1380" s="899"/>
      <c r="AG1380" s="906"/>
      <c r="AH1380" s="906"/>
      <c r="AI1380" s="907" t="str">
        <f t="shared" si="297"/>
        <v xml:space="preserve"> </v>
      </c>
      <c r="AJ1380" s="894" t="s">
        <v>1002</v>
      </c>
      <c r="AK1380" s="922" t="s">
        <v>2771</v>
      </c>
    </row>
    <row r="1381" spans="1:37" s="385" customFormat="1" ht="112.5" outlineLevel="2" x14ac:dyDescent="0.3">
      <c r="A1381" s="447">
        <f t="shared" ref="A1381:A1414" si="307">IF(B1380&lt;&gt;0,B1380,A1380)</f>
        <v>111</v>
      </c>
      <c r="B1381" s="893"/>
      <c r="C1381" s="922" t="s">
        <v>1659</v>
      </c>
      <c r="D1381" s="950"/>
      <c r="E1381" s="950">
        <v>86</v>
      </c>
      <c r="F1381" s="1032">
        <v>167</v>
      </c>
      <c r="G1381" s="894" t="s">
        <v>2049</v>
      </c>
      <c r="H1381" s="940">
        <v>96</v>
      </c>
      <c r="I1381" s="882" t="str">
        <f t="shared" si="306"/>
        <v/>
      </c>
      <c r="J1381" s="925"/>
      <c r="K1381" s="899">
        <f>IF(G1381&lt;&gt;0,VLOOKUP(G1381,'gia dat'!$A$1:$F$144,5,0)," ")</f>
        <v>7260624</v>
      </c>
      <c r="L1381" s="899">
        <f>IF(G1381&lt;&gt;0,VLOOKUP(G1381,'gia dat'!$A$1:$F$144,6,0)," ")</f>
        <v>0</v>
      </c>
      <c r="M1381" s="900">
        <f t="shared" si="291"/>
        <v>697020000</v>
      </c>
      <c r="N1381" s="900">
        <f t="shared" si="292"/>
        <v>0</v>
      </c>
      <c r="O1381" s="894" t="s">
        <v>1004</v>
      </c>
      <c r="P1381" s="926">
        <v>1</v>
      </c>
      <c r="Q1381" s="900">
        <f>IF(O1381&lt;&gt;0,VLOOKUP(O1381,'Cây trong'!$A$2:$C$246,3,0)," ")</f>
        <v>60000</v>
      </c>
      <c r="R1381" s="900">
        <f t="shared" si="302"/>
        <v>60000</v>
      </c>
      <c r="S1381" s="902" t="s">
        <v>2351</v>
      </c>
      <c r="T1381" s="925" t="s">
        <v>2911</v>
      </c>
      <c r="U1381" s="927">
        <v>36</v>
      </c>
      <c r="V1381" s="929"/>
      <c r="W1381" s="900">
        <f>IF(S1381&lt;&gt;0,VLOOKUP(S1381,VKT!$A$2:$G$415,7,0),"")</f>
        <v>684506</v>
      </c>
      <c r="X1381" s="900">
        <f t="shared" si="290"/>
        <v>24642000</v>
      </c>
      <c r="Y1381" s="898"/>
      <c r="Z1381" s="904" t="s">
        <v>980</v>
      </c>
      <c r="AA1381" s="904" t="s">
        <v>1005</v>
      </c>
      <c r="AB1381" s="904"/>
      <c r="AC1381" s="904" t="s">
        <v>267</v>
      </c>
      <c r="AD1381" s="904"/>
      <c r="AE1381" s="905" t="s">
        <v>2791</v>
      </c>
      <c r="AF1381" s="926">
        <v>1</v>
      </c>
      <c r="AG1381" s="906">
        <f>IF(AE1381&lt;&gt;0,VLOOKUP(AE1381,ODDS!$A$2:$C$13,3,0),"")</f>
        <v>17000000</v>
      </c>
      <c r="AH1381" s="906">
        <f t="shared" si="303"/>
        <v>17000000</v>
      </c>
      <c r="AI1381" s="907" t="str">
        <f t="shared" si="297"/>
        <v xml:space="preserve"> </v>
      </c>
      <c r="AJ1381" s="894" t="s">
        <v>2941</v>
      </c>
      <c r="AK1381" s="894" t="s">
        <v>2448</v>
      </c>
    </row>
    <row r="1382" spans="1:37" s="385" customFormat="1" ht="112.5" outlineLevel="2" x14ac:dyDescent="0.3">
      <c r="A1382" s="447">
        <f t="shared" si="307"/>
        <v>111</v>
      </c>
      <c r="B1382" s="893"/>
      <c r="C1382" s="894"/>
      <c r="D1382" s="950"/>
      <c r="E1382" s="950"/>
      <c r="F1382" s="1032"/>
      <c r="G1382" s="894" t="s">
        <v>2896</v>
      </c>
      <c r="H1382" s="1062">
        <f>2794.2-H1380</f>
        <v>2196.6999999999998</v>
      </c>
      <c r="I1382" s="882">
        <f t="shared" si="306"/>
        <v>2196.6999999999998</v>
      </c>
      <c r="J1382" s="925"/>
      <c r="K1382" s="899">
        <f>IF(G1382&lt;&gt;0,VLOOKUP(G1382,'gia dat'!$A$1:$F$144,5,0)," ")</f>
        <v>554400</v>
      </c>
      <c r="L1382" s="899">
        <f>IF(G1382&lt;&gt;0,VLOOKUP(G1382,'gia dat'!$A$1:$F$144,6,0)," ")</f>
        <v>1663200</v>
      </c>
      <c r="M1382" s="900">
        <f t="shared" si="291"/>
        <v>1217850000</v>
      </c>
      <c r="N1382" s="900">
        <f t="shared" si="292"/>
        <v>3653551000</v>
      </c>
      <c r="O1382" s="894" t="s">
        <v>754</v>
      </c>
      <c r="P1382" s="926">
        <v>1</v>
      </c>
      <c r="Q1382" s="900">
        <f>IF(O1382&lt;&gt;0,VLOOKUP(O1382,'Cây trong'!$A$2:$C$246,3,0)," ")</f>
        <v>0</v>
      </c>
      <c r="R1382" s="900">
        <f t="shared" si="302"/>
        <v>0</v>
      </c>
      <c r="S1382" s="902" t="s">
        <v>2352</v>
      </c>
      <c r="T1382" s="925" t="s">
        <v>2930</v>
      </c>
      <c r="U1382" s="927">
        <v>0.39</v>
      </c>
      <c r="V1382" s="929"/>
      <c r="W1382" s="900">
        <f>IF(S1382&lt;&gt;0,VLOOKUP(S1382,VKT!$A$2:$G$415,7,0),"")</f>
        <v>0</v>
      </c>
      <c r="X1382" s="900">
        <f t="shared" si="290"/>
        <v>0</v>
      </c>
      <c r="Y1382" s="898"/>
      <c r="Z1382" s="904"/>
      <c r="AA1382" s="904"/>
      <c r="AB1382" s="904"/>
      <c r="AC1382" s="904"/>
      <c r="AD1382" s="904"/>
      <c r="AE1382" s="941"/>
      <c r="AF1382" s="926"/>
      <c r="AG1382" s="906" t="str">
        <f>IF(AE1382&lt;&gt;0,VLOOKUP(AE1382,ODDS!$A$2:$C$13,3,0),"")</f>
        <v/>
      </c>
      <c r="AH1382" s="906" t="str">
        <f t="shared" si="303"/>
        <v xml:space="preserve"> </v>
      </c>
      <c r="AI1382" s="907" t="str">
        <f t="shared" si="297"/>
        <v xml:space="preserve"> </v>
      </c>
      <c r="AJ1382" s="894" t="s">
        <v>2074</v>
      </c>
      <c r="AK1382" s="894" t="s">
        <v>2450</v>
      </c>
    </row>
    <row r="1383" spans="1:37" s="385" customFormat="1" ht="112.5" outlineLevel="2" x14ac:dyDescent="0.3">
      <c r="A1383" s="447">
        <f t="shared" si="307"/>
        <v>111</v>
      </c>
      <c r="B1383" s="893"/>
      <c r="C1383" s="894"/>
      <c r="D1383" s="950"/>
      <c r="E1383" s="950"/>
      <c r="F1383" s="1032"/>
      <c r="G1383" s="894"/>
      <c r="H1383" s="1062"/>
      <c r="I1383" s="882"/>
      <c r="J1383" s="925"/>
      <c r="K1383" s="899" t="str">
        <f>IF(G1383&lt;&gt;0,VLOOKUP(G1383,'gia dat'!$A$1:$F$144,5,0)," ")</f>
        <v xml:space="preserve"> </v>
      </c>
      <c r="L1383" s="899" t="str">
        <f>IF(G1383&lt;&gt;0,VLOOKUP(G1383,'gia dat'!$A$1:$F$144,6,0)," ")</f>
        <v xml:space="preserve"> </v>
      </c>
      <c r="M1383" s="900" t="str">
        <f t="shared" si="291"/>
        <v xml:space="preserve"> </v>
      </c>
      <c r="N1383" s="900" t="str">
        <f t="shared" si="292"/>
        <v xml:space="preserve"> </v>
      </c>
      <c r="O1383" s="894" t="s">
        <v>750</v>
      </c>
      <c r="P1383" s="926">
        <v>1</v>
      </c>
      <c r="Q1383" s="900">
        <f>IF(O1383&lt;&gt;0,VLOOKUP(O1383,'Cây trong'!$A$2:$C$246,3,0)," ")</f>
        <v>0</v>
      </c>
      <c r="R1383" s="900">
        <f t="shared" si="302"/>
        <v>0</v>
      </c>
      <c r="S1383" s="902" t="s">
        <v>2333</v>
      </c>
      <c r="T1383" s="925" t="s">
        <v>2911</v>
      </c>
      <c r="U1383" s="927">
        <v>3.6</v>
      </c>
      <c r="V1383" s="929"/>
      <c r="W1383" s="900">
        <f>IF(S1383&lt;&gt;0,VLOOKUP(S1383,VKT!$A$2:$G$415,7,0),"")</f>
        <v>211811</v>
      </c>
      <c r="X1383" s="900">
        <f t="shared" si="290"/>
        <v>763000</v>
      </c>
      <c r="Y1383" s="898"/>
      <c r="Z1383" s="904"/>
      <c r="AA1383" s="904"/>
      <c r="AB1383" s="904"/>
      <c r="AC1383" s="904"/>
      <c r="AD1383" s="904"/>
      <c r="AE1383" s="904"/>
      <c r="AF1383" s="899"/>
      <c r="AG1383" s="906" t="str">
        <f>IF(AE1383&lt;&gt;0,VLOOKUP(AE1383,ODDS!$A$2:$C$13,3,0),"")</f>
        <v/>
      </c>
      <c r="AH1383" s="906" t="str">
        <f t="shared" si="303"/>
        <v xml:space="preserve"> </v>
      </c>
      <c r="AI1383" s="907" t="str">
        <f t="shared" si="297"/>
        <v xml:space="preserve"> </v>
      </c>
      <c r="AJ1383" s="894" t="s">
        <v>2163</v>
      </c>
      <c r="AK1383" s="894" t="s">
        <v>2449</v>
      </c>
    </row>
    <row r="1384" spans="1:37" s="385" customFormat="1" ht="90" outlineLevel="2" x14ac:dyDescent="0.3">
      <c r="A1384" s="447">
        <f t="shared" si="307"/>
        <v>111</v>
      </c>
      <c r="B1384" s="893"/>
      <c r="C1384" s="894"/>
      <c r="D1384" s="950"/>
      <c r="E1384" s="950"/>
      <c r="F1384" s="1032"/>
      <c r="G1384" s="894"/>
      <c r="H1384" s="940"/>
      <c r="I1384" s="882"/>
      <c r="J1384" s="925"/>
      <c r="K1384" s="899" t="str">
        <f>IF(G1384&lt;&gt;0,VLOOKUP(G1384,'gia dat'!$A$1:$F$144,5,0)," ")</f>
        <v xml:space="preserve"> </v>
      </c>
      <c r="L1384" s="899" t="str">
        <f>IF(G1384&lt;&gt;0,VLOOKUP(G1384,'gia dat'!$A$1:$F$144,6,0)," ")</f>
        <v xml:space="preserve"> </v>
      </c>
      <c r="M1384" s="900" t="str">
        <f t="shared" si="291"/>
        <v xml:space="preserve"> </v>
      </c>
      <c r="N1384" s="900" t="str">
        <f t="shared" si="292"/>
        <v xml:space="preserve"> </v>
      </c>
      <c r="O1384" s="894" t="s">
        <v>932</v>
      </c>
      <c r="P1384" s="926">
        <v>8</v>
      </c>
      <c r="Q1384" s="900">
        <f>IF(O1384&lt;&gt;0,VLOOKUP(O1384,'Cây trong'!$A$2:$C$246,3,0)," ")</f>
        <v>84000</v>
      </c>
      <c r="R1384" s="900">
        <f t="shared" si="302"/>
        <v>672000</v>
      </c>
      <c r="S1384" s="902" t="s">
        <v>1748</v>
      </c>
      <c r="T1384" s="925" t="s">
        <v>2911</v>
      </c>
      <c r="U1384" s="927">
        <v>3.7</v>
      </c>
      <c r="V1384" s="929"/>
      <c r="W1384" s="900">
        <f>IF(S1384&lt;&gt;0,VLOOKUP(S1384,VKT!$A$2:$G$415,7,0),"")</f>
        <v>0</v>
      </c>
      <c r="X1384" s="900">
        <f t="shared" si="290"/>
        <v>0</v>
      </c>
      <c r="Y1384" s="898"/>
      <c r="Z1384" s="904"/>
      <c r="AA1384" s="904"/>
      <c r="AB1384" s="904"/>
      <c r="AC1384" s="904"/>
      <c r="AD1384" s="904"/>
      <c r="AE1384" s="904"/>
      <c r="AF1384" s="899"/>
      <c r="AG1384" s="906" t="str">
        <f>IF(AE1384&lt;&gt;0,VLOOKUP(AE1384,ODDS!$A$2:$C$13,3,0),"")</f>
        <v/>
      </c>
      <c r="AH1384" s="906" t="str">
        <f t="shared" si="303"/>
        <v xml:space="preserve"> </v>
      </c>
      <c r="AI1384" s="907" t="str">
        <f t="shared" si="297"/>
        <v xml:space="preserve"> </v>
      </c>
      <c r="AJ1384" s="894"/>
      <c r="AK1384" s="894" t="s">
        <v>2451</v>
      </c>
    </row>
    <row r="1385" spans="1:37" s="385" customFormat="1" ht="112.5" outlineLevel="2" x14ac:dyDescent="0.3">
      <c r="A1385" s="447">
        <f t="shared" si="307"/>
        <v>111</v>
      </c>
      <c r="B1385" s="893"/>
      <c r="C1385" s="894"/>
      <c r="D1385" s="950"/>
      <c r="E1385" s="950"/>
      <c r="F1385" s="1032"/>
      <c r="G1385" s="894"/>
      <c r="H1385" s="1061"/>
      <c r="I1385" s="882"/>
      <c r="J1385" s="925"/>
      <c r="K1385" s="899" t="str">
        <f>IF(G1385&lt;&gt;0,VLOOKUP(G1385,'gia dat'!$A$1:$F$144,5,0)," ")</f>
        <v xml:space="preserve"> </v>
      </c>
      <c r="L1385" s="899" t="str">
        <f>IF(G1385&lt;&gt;0,VLOOKUP(G1385,'gia dat'!$A$1:$F$144,6,0)," ")</f>
        <v xml:space="preserve"> </v>
      </c>
      <c r="M1385" s="900" t="str">
        <f t="shared" si="291"/>
        <v xml:space="preserve"> </v>
      </c>
      <c r="N1385" s="900" t="str">
        <f t="shared" si="292"/>
        <v xml:space="preserve"> </v>
      </c>
      <c r="O1385" s="894" t="s">
        <v>350</v>
      </c>
      <c r="P1385" s="926">
        <v>2</v>
      </c>
      <c r="Q1385" s="900">
        <f>IF(O1385&lt;&gt;0,VLOOKUP(O1385,'Cây trong'!$A$2:$C$246,3,0)," ")</f>
        <v>72000</v>
      </c>
      <c r="R1385" s="900">
        <f t="shared" si="302"/>
        <v>144000</v>
      </c>
      <c r="S1385" s="902" t="s">
        <v>1749</v>
      </c>
      <c r="T1385" s="925" t="s">
        <v>2911</v>
      </c>
      <c r="U1385" s="927">
        <v>3.7</v>
      </c>
      <c r="V1385" s="929"/>
      <c r="W1385" s="900">
        <f>IF(S1385&lt;&gt;0,VLOOKUP(S1385,VKT!$A$2:$G$415,7,0),"")</f>
        <v>211811</v>
      </c>
      <c r="X1385" s="900">
        <f t="shared" si="290"/>
        <v>784000</v>
      </c>
      <c r="Y1385" s="898"/>
      <c r="Z1385" s="904"/>
      <c r="AA1385" s="904"/>
      <c r="AB1385" s="904"/>
      <c r="AC1385" s="904"/>
      <c r="AD1385" s="904"/>
      <c r="AE1385" s="904"/>
      <c r="AF1385" s="899"/>
      <c r="AG1385" s="906" t="str">
        <f>IF(AE1385&lt;&gt;0,VLOOKUP(AE1385,ODDS!$A$2:$C$13,3,0),"")</f>
        <v/>
      </c>
      <c r="AH1385" s="906" t="str">
        <f t="shared" si="303"/>
        <v xml:space="preserve"> </v>
      </c>
      <c r="AI1385" s="907" t="str">
        <f t="shared" si="297"/>
        <v xml:space="preserve"> </v>
      </c>
      <c r="AJ1385" s="894"/>
      <c r="AK1385" s="894" t="s">
        <v>2800</v>
      </c>
    </row>
    <row r="1386" spans="1:37" s="385" customFormat="1" ht="45" outlineLevel="2" x14ac:dyDescent="0.3">
      <c r="A1386" s="447">
        <f t="shared" si="307"/>
        <v>111</v>
      </c>
      <c r="B1386" s="893"/>
      <c r="C1386" s="894"/>
      <c r="D1386" s="950"/>
      <c r="E1386" s="950"/>
      <c r="F1386" s="1032"/>
      <c r="G1386" s="894"/>
      <c r="H1386" s="940"/>
      <c r="I1386" s="882"/>
      <c r="J1386" s="925"/>
      <c r="K1386" s="899" t="str">
        <f>IF(G1386&lt;&gt;0,VLOOKUP(G1386,'gia dat'!$A$1:$F$144,5,0)," ")</f>
        <v xml:space="preserve"> </v>
      </c>
      <c r="L1386" s="899" t="str">
        <f>IF(G1386&lt;&gt;0,VLOOKUP(G1386,'gia dat'!$A$1:$F$144,6,0)," ")</f>
        <v xml:space="preserve"> </v>
      </c>
      <c r="M1386" s="900" t="str">
        <f t="shared" si="291"/>
        <v xml:space="preserve"> </v>
      </c>
      <c r="N1386" s="900" t="str">
        <f t="shared" si="292"/>
        <v xml:space="preserve"> </v>
      </c>
      <c r="O1386" s="894" t="s">
        <v>145</v>
      </c>
      <c r="P1386" s="926">
        <v>1</v>
      </c>
      <c r="Q1386" s="900">
        <f>IF(O1386&lt;&gt;0,VLOOKUP(O1386,'Cây trong'!$A$2:$C$246,3,0)," ")</f>
        <v>4240000</v>
      </c>
      <c r="R1386" s="900">
        <f t="shared" si="302"/>
        <v>4240000</v>
      </c>
      <c r="S1386" s="902" t="s">
        <v>1838</v>
      </c>
      <c r="T1386" s="925" t="s">
        <v>2911</v>
      </c>
      <c r="U1386" s="927">
        <v>69.900000000000006</v>
      </c>
      <c r="V1386" s="929"/>
      <c r="W1386" s="900">
        <f>IF(S1386&lt;&gt;0,VLOOKUP(S1386,VKT!$A$2:$G$415,7,0),"")</f>
        <v>3156089</v>
      </c>
      <c r="X1386" s="900">
        <f t="shared" si="290"/>
        <v>220611000</v>
      </c>
      <c r="Y1386" s="898" t="s">
        <v>139</v>
      </c>
      <c r="Z1386" s="904" t="s">
        <v>980</v>
      </c>
      <c r="AA1386" s="904" t="s">
        <v>1012</v>
      </c>
      <c r="AB1386" s="904" t="s">
        <v>269</v>
      </c>
      <c r="AC1386" s="904" t="s">
        <v>139</v>
      </c>
      <c r="AD1386" s="904"/>
      <c r="AE1386" s="904"/>
      <c r="AF1386" s="899"/>
      <c r="AG1386" s="906" t="str">
        <f>IF(AE1386&lt;&gt;0,VLOOKUP(AE1386,ODDS!$A$2:$C$13,3,0),"")</f>
        <v/>
      </c>
      <c r="AH1386" s="906" t="str">
        <f t="shared" si="303"/>
        <v xml:space="preserve"> </v>
      </c>
      <c r="AI1386" s="907" t="str">
        <f t="shared" si="297"/>
        <v xml:space="preserve"> </v>
      </c>
      <c r="AJ1386" s="894"/>
      <c r="AK1386" s="894"/>
    </row>
    <row r="1387" spans="1:37" s="385" customFormat="1" ht="90" outlineLevel="2" x14ac:dyDescent="0.3">
      <c r="A1387" s="447">
        <f t="shared" si="307"/>
        <v>111</v>
      </c>
      <c r="B1387" s="893"/>
      <c r="C1387" s="894"/>
      <c r="D1387" s="950"/>
      <c r="E1387" s="950"/>
      <c r="F1387" s="1032"/>
      <c r="G1387" s="894"/>
      <c r="H1387" s="940"/>
      <c r="I1387" s="882"/>
      <c r="J1387" s="925"/>
      <c r="K1387" s="899" t="str">
        <f>IF(G1387&lt;&gt;0,VLOOKUP(G1387,'gia dat'!$A$1:$F$144,5,0)," ")</f>
        <v xml:space="preserve"> </v>
      </c>
      <c r="L1387" s="899" t="str">
        <f>IF(G1387&lt;&gt;0,VLOOKUP(G1387,'gia dat'!$A$1:$F$144,6,0)," ")</f>
        <v xml:space="preserve"> </v>
      </c>
      <c r="M1387" s="900" t="str">
        <f t="shared" si="291"/>
        <v xml:space="preserve"> </v>
      </c>
      <c r="N1387" s="900" t="str">
        <f t="shared" si="292"/>
        <v xml:space="preserve"> </v>
      </c>
      <c r="O1387" s="894" t="s">
        <v>75</v>
      </c>
      <c r="P1387" s="926">
        <v>10</v>
      </c>
      <c r="Q1387" s="900">
        <f>IF(O1387&lt;&gt;0,VLOOKUP(O1387,'Cây trong'!$A$2:$C$246,3,0)," ")</f>
        <v>34000</v>
      </c>
      <c r="R1387" s="900">
        <f t="shared" si="302"/>
        <v>340000</v>
      </c>
      <c r="S1387" s="902" t="s">
        <v>2353</v>
      </c>
      <c r="T1387" s="925" t="s">
        <v>2930</v>
      </c>
      <c r="U1387" s="927">
        <v>7.65</v>
      </c>
      <c r="V1387" s="929"/>
      <c r="W1387" s="900">
        <f>IF(S1387&lt;&gt;0,VLOOKUP(S1387,VKT!$A$2:$G$415,7,0),"")</f>
        <v>0</v>
      </c>
      <c r="X1387" s="900">
        <f t="shared" si="290"/>
        <v>0</v>
      </c>
      <c r="Y1387" s="898"/>
      <c r="Z1387" s="904"/>
      <c r="AA1387" s="904"/>
      <c r="AB1387" s="904"/>
      <c r="AC1387" s="904"/>
      <c r="AD1387" s="904"/>
      <c r="AE1387" s="904"/>
      <c r="AF1387" s="899"/>
      <c r="AG1387" s="906" t="str">
        <f>IF(AE1387&lt;&gt;0,VLOOKUP(AE1387,ODDS!$A$2:$C$13,3,0),"")</f>
        <v/>
      </c>
      <c r="AH1387" s="906" t="str">
        <f t="shared" si="303"/>
        <v xml:space="preserve"> </v>
      </c>
      <c r="AI1387" s="907" t="str">
        <f t="shared" si="297"/>
        <v xml:space="preserve"> </v>
      </c>
      <c r="AJ1387" s="894"/>
      <c r="AK1387" s="894"/>
    </row>
    <row r="1388" spans="1:37" s="385" customFormat="1" ht="67.5" outlineLevel="2" x14ac:dyDescent="0.3">
      <c r="A1388" s="447">
        <f t="shared" si="307"/>
        <v>111</v>
      </c>
      <c r="B1388" s="893"/>
      <c r="C1388" s="894"/>
      <c r="D1388" s="950"/>
      <c r="E1388" s="950"/>
      <c r="F1388" s="1032"/>
      <c r="G1388" s="894"/>
      <c r="H1388" s="940"/>
      <c r="I1388" s="882"/>
      <c r="J1388" s="925"/>
      <c r="K1388" s="899" t="str">
        <f>IF(G1388&lt;&gt;0,VLOOKUP(G1388,'gia dat'!$A$1:$F$144,5,0)," ")</f>
        <v xml:space="preserve"> </v>
      </c>
      <c r="L1388" s="899" t="str">
        <f>IF(G1388&lt;&gt;0,VLOOKUP(G1388,'gia dat'!$A$1:$F$144,6,0)," ")</f>
        <v xml:space="preserve"> </v>
      </c>
      <c r="M1388" s="900" t="str">
        <f t="shared" si="291"/>
        <v xml:space="preserve"> </v>
      </c>
      <c r="N1388" s="900" t="str">
        <f t="shared" si="292"/>
        <v xml:space="preserve"> </v>
      </c>
      <c r="O1388" s="922" t="s">
        <v>401</v>
      </c>
      <c r="P1388" s="926">
        <v>3</v>
      </c>
      <c r="Q1388" s="900">
        <f>IF(O1388&lt;&gt;0,VLOOKUP(O1388,'Cây trong'!$A$2:$C$246,3,0)," ")</f>
        <v>80000</v>
      </c>
      <c r="R1388" s="900">
        <f t="shared" si="302"/>
        <v>240000</v>
      </c>
      <c r="S1388" s="902" t="s">
        <v>2351</v>
      </c>
      <c r="T1388" s="925" t="s">
        <v>2911</v>
      </c>
      <c r="U1388" s="952">
        <v>20.3</v>
      </c>
      <c r="V1388" s="929"/>
      <c r="W1388" s="900">
        <f>IF(S1388&lt;&gt;0,VLOOKUP(S1388,VKT!$A$2:$G$415,7,0),"")</f>
        <v>684506</v>
      </c>
      <c r="X1388" s="900">
        <f t="shared" si="290"/>
        <v>13895000</v>
      </c>
      <c r="Y1388" s="898"/>
      <c r="Z1388" s="904" t="s">
        <v>980</v>
      </c>
      <c r="AA1388" s="904" t="s">
        <v>1005</v>
      </c>
      <c r="AB1388" s="904"/>
      <c r="AC1388" s="904" t="s">
        <v>267</v>
      </c>
      <c r="AD1388" s="904"/>
      <c r="AE1388" s="904"/>
      <c r="AF1388" s="899"/>
      <c r="AG1388" s="906" t="str">
        <f>IF(AE1388&lt;&gt;0,VLOOKUP(AE1388,ODDS!$A$2:$C$13,3,0),"")</f>
        <v/>
      </c>
      <c r="AH1388" s="906" t="str">
        <f t="shared" si="303"/>
        <v xml:space="preserve"> </v>
      </c>
      <c r="AI1388" s="907" t="str">
        <f t="shared" si="297"/>
        <v xml:space="preserve"> </v>
      </c>
      <c r="AJ1388" s="894"/>
      <c r="AK1388" s="894"/>
    </row>
    <row r="1389" spans="1:37" s="385" customFormat="1" ht="67.5" outlineLevel="2" x14ac:dyDescent="0.3">
      <c r="A1389" s="447">
        <f t="shared" si="307"/>
        <v>111</v>
      </c>
      <c r="B1389" s="893"/>
      <c r="C1389" s="894"/>
      <c r="D1389" s="950"/>
      <c r="E1389" s="950"/>
      <c r="F1389" s="1032"/>
      <c r="G1389" s="894"/>
      <c r="H1389" s="940"/>
      <c r="I1389" s="882"/>
      <c r="J1389" s="925"/>
      <c r="K1389" s="899" t="str">
        <f>IF(G1389&lt;&gt;0,VLOOKUP(G1389,'gia dat'!$A$1:$F$144,5,0)," ")</f>
        <v xml:space="preserve"> </v>
      </c>
      <c r="L1389" s="899" t="str">
        <f>IF(G1389&lt;&gt;0,VLOOKUP(G1389,'gia dat'!$A$1:$F$144,6,0)," ")</f>
        <v xml:space="preserve"> </v>
      </c>
      <c r="M1389" s="900" t="str">
        <f t="shared" si="291"/>
        <v xml:space="preserve"> </v>
      </c>
      <c r="N1389" s="900" t="str">
        <f t="shared" si="292"/>
        <v xml:space="preserve"> </v>
      </c>
      <c r="O1389" s="922" t="s">
        <v>401</v>
      </c>
      <c r="P1389" s="926">
        <v>2</v>
      </c>
      <c r="Q1389" s="900">
        <f>IF(O1389&lt;&gt;0,VLOOKUP(O1389,'Cây trong'!$A$2:$C$246,3,0)," ")</f>
        <v>80000</v>
      </c>
      <c r="R1389" s="900">
        <f t="shared" si="302"/>
        <v>160000</v>
      </c>
      <c r="S1389" s="902" t="s">
        <v>1750</v>
      </c>
      <c r="T1389" s="925" t="s">
        <v>2911</v>
      </c>
      <c r="U1389" s="952">
        <v>53.8</v>
      </c>
      <c r="V1389" s="929"/>
      <c r="W1389" s="900">
        <f>IF(S1389&lt;&gt;0,VLOOKUP(S1389,VKT!$A$2:$G$415,7,0),"")</f>
        <v>984277</v>
      </c>
      <c r="X1389" s="900">
        <f t="shared" ref="X1389:X1455" si="308">IF(S1389&lt;&gt;0,ROUND(U1389*W1389,-3)," ")</f>
        <v>52954000</v>
      </c>
      <c r="Y1389" s="898"/>
      <c r="Z1389" s="904" t="s">
        <v>980</v>
      </c>
      <c r="AA1389" s="904" t="s">
        <v>1012</v>
      </c>
      <c r="AB1389" s="904" t="s">
        <v>269</v>
      </c>
      <c r="AC1389" s="904" t="s">
        <v>267</v>
      </c>
      <c r="AD1389" s="904"/>
      <c r="AE1389" s="904"/>
      <c r="AF1389" s="899"/>
      <c r="AG1389" s="906" t="str">
        <f>IF(AE1389&lt;&gt;0,VLOOKUP(AE1389,ODDS!$A$2:$C$13,3,0),"")</f>
        <v/>
      </c>
      <c r="AH1389" s="906" t="str">
        <f t="shared" si="303"/>
        <v xml:space="preserve"> </v>
      </c>
      <c r="AI1389" s="907" t="str">
        <f t="shared" si="297"/>
        <v xml:space="preserve"> </v>
      </c>
      <c r="AJ1389" s="894"/>
      <c r="AK1389" s="894"/>
    </row>
    <row r="1390" spans="1:37" s="385" customFormat="1" ht="67.5" outlineLevel="2" x14ac:dyDescent="0.3">
      <c r="A1390" s="447">
        <f t="shared" si="307"/>
        <v>111</v>
      </c>
      <c r="B1390" s="893"/>
      <c r="C1390" s="894"/>
      <c r="D1390" s="950"/>
      <c r="E1390" s="950"/>
      <c r="F1390" s="1032"/>
      <c r="G1390" s="894"/>
      <c r="H1390" s="940"/>
      <c r="I1390" s="882"/>
      <c r="J1390" s="925"/>
      <c r="K1390" s="899" t="str">
        <f>IF(G1390&lt;&gt;0,VLOOKUP(G1390,'gia dat'!$A$1:$F$144,5,0)," ")</f>
        <v xml:space="preserve"> </v>
      </c>
      <c r="L1390" s="899" t="str">
        <f>IF(G1390&lt;&gt;0,VLOOKUP(G1390,'gia dat'!$A$1:$F$144,6,0)," ")</f>
        <v xml:space="preserve"> </v>
      </c>
      <c r="M1390" s="900" t="str">
        <f t="shared" si="291"/>
        <v xml:space="preserve"> </v>
      </c>
      <c r="N1390" s="900" t="str">
        <f t="shared" si="292"/>
        <v xml:space="preserve"> </v>
      </c>
      <c r="O1390" s="894" t="s">
        <v>154</v>
      </c>
      <c r="P1390" s="926">
        <v>2</v>
      </c>
      <c r="Q1390" s="900">
        <f>IF(O1390&lt;&gt;0,VLOOKUP(O1390,'Cây trong'!$A$2:$C$246,3,0)," ")</f>
        <v>248000</v>
      </c>
      <c r="R1390" s="900">
        <f t="shared" si="302"/>
        <v>496000</v>
      </c>
      <c r="S1390" s="902" t="s">
        <v>2354</v>
      </c>
      <c r="T1390" s="925" t="s">
        <v>2911</v>
      </c>
      <c r="U1390" s="952">
        <v>1.7</v>
      </c>
      <c r="V1390" s="929"/>
      <c r="W1390" s="900">
        <f>IF(S1390&lt;&gt;0,VLOOKUP(S1390,VKT!$A$2:$G$415,7,0),"")</f>
        <v>7577429</v>
      </c>
      <c r="X1390" s="900">
        <f t="shared" si="308"/>
        <v>12882000</v>
      </c>
      <c r="Y1390" s="898" t="s">
        <v>139</v>
      </c>
      <c r="Z1390" s="904" t="s">
        <v>980</v>
      </c>
      <c r="AA1390" s="904" t="s">
        <v>1012</v>
      </c>
      <c r="AB1390" s="904" t="s">
        <v>269</v>
      </c>
      <c r="AC1390" s="904" t="s">
        <v>139</v>
      </c>
      <c r="AD1390" s="904"/>
      <c r="AE1390" s="904"/>
      <c r="AF1390" s="899"/>
      <c r="AG1390" s="906" t="str">
        <f>IF(AE1390&lt;&gt;0,VLOOKUP(AE1390,ODDS!$A$2:$C$13,3,0),"")</f>
        <v/>
      </c>
      <c r="AH1390" s="906" t="str">
        <f t="shared" si="303"/>
        <v xml:space="preserve"> </v>
      </c>
      <c r="AI1390" s="907" t="str">
        <f t="shared" si="297"/>
        <v xml:space="preserve"> </v>
      </c>
      <c r="AJ1390" s="894" t="s">
        <v>1015</v>
      </c>
      <c r="AK1390" s="894"/>
    </row>
    <row r="1391" spans="1:37" s="385" customFormat="1" ht="67.5" outlineLevel="2" x14ac:dyDescent="0.3">
      <c r="A1391" s="447">
        <f t="shared" si="307"/>
        <v>111</v>
      </c>
      <c r="B1391" s="893"/>
      <c r="C1391" s="894"/>
      <c r="D1391" s="950"/>
      <c r="E1391" s="950"/>
      <c r="F1391" s="1032"/>
      <c r="G1391" s="894"/>
      <c r="H1391" s="940"/>
      <c r="I1391" s="882"/>
      <c r="J1391" s="925"/>
      <c r="K1391" s="899" t="str">
        <f>IF(G1391&lt;&gt;0,VLOOKUP(G1391,'gia dat'!$A$1:$F$144,5,0)," ")</f>
        <v xml:space="preserve"> </v>
      </c>
      <c r="L1391" s="899" t="str">
        <f>IF(G1391&lt;&gt;0,VLOOKUP(G1391,'gia dat'!$A$1:$F$144,6,0)," ")</f>
        <v xml:space="preserve"> </v>
      </c>
      <c r="M1391" s="900" t="str">
        <f t="shared" si="291"/>
        <v xml:space="preserve"> </v>
      </c>
      <c r="N1391" s="900" t="str">
        <f t="shared" si="292"/>
        <v xml:space="preserve"> </v>
      </c>
      <c r="O1391" s="894" t="s">
        <v>76</v>
      </c>
      <c r="P1391" s="926">
        <v>8</v>
      </c>
      <c r="Q1391" s="900">
        <f>IF(O1391&lt;&gt;0,VLOOKUP(O1391,'Cây trong'!$A$2:$C$246,3,0)," ")</f>
        <v>45000</v>
      </c>
      <c r="R1391" s="900">
        <f t="shared" si="302"/>
        <v>360000</v>
      </c>
      <c r="S1391" s="902" t="s">
        <v>2354</v>
      </c>
      <c r="T1391" s="925" t="s">
        <v>2911</v>
      </c>
      <c r="U1391" s="952">
        <v>1.7</v>
      </c>
      <c r="V1391" s="929"/>
      <c r="W1391" s="900">
        <f>IF(S1391&lt;&gt;0,VLOOKUP(S1391,VKT!$A$2:$G$415,7,0),"")</f>
        <v>7577429</v>
      </c>
      <c r="X1391" s="900">
        <f t="shared" si="308"/>
        <v>12882000</v>
      </c>
      <c r="Y1391" s="898" t="s">
        <v>139</v>
      </c>
      <c r="Z1391" s="904" t="s">
        <v>980</v>
      </c>
      <c r="AA1391" s="904" t="s">
        <v>1012</v>
      </c>
      <c r="AB1391" s="904" t="s">
        <v>269</v>
      </c>
      <c r="AC1391" s="904" t="s">
        <v>139</v>
      </c>
      <c r="AD1391" s="904"/>
      <c r="AE1391" s="904"/>
      <c r="AF1391" s="899"/>
      <c r="AG1391" s="906" t="str">
        <f>IF(AE1391&lt;&gt;0,VLOOKUP(AE1391,ODDS!$A$2:$C$13,3,0),"")</f>
        <v/>
      </c>
      <c r="AH1391" s="906" t="str">
        <f t="shared" si="303"/>
        <v xml:space="preserve"> </v>
      </c>
      <c r="AI1391" s="907" t="str">
        <f t="shared" si="297"/>
        <v xml:space="preserve"> </v>
      </c>
      <c r="AJ1391" s="894" t="s">
        <v>1015</v>
      </c>
      <c r="AK1391" s="894"/>
    </row>
    <row r="1392" spans="1:37" s="385" customFormat="1" ht="67.5" outlineLevel="2" x14ac:dyDescent="0.3">
      <c r="A1392" s="447">
        <f t="shared" si="307"/>
        <v>111</v>
      </c>
      <c r="B1392" s="893"/>
      <c r="C1392" s="894"/>
      <c r="D1392" s="950"/>
      <c r="E1392" s="950"/>
      <c r="F1392" s="1032"/>
      <c r="G1392" s="894"/>
      <c r="H1392" s="940"/>
      <c r="I1392" s="882"/>
      <c r="J1392" s="925"/>
      <c r="K1392" s="899" t="str">
        <f>IF(G1392&lt;&gt;0,VLOOKUP(G1392,'gia dat'!$A$1:$F$144,5,0)," ")</f>
        <v xml:space="preserve"> </v>
      </c>
      <c r="L1392" s="899" t="str">
        <f>IF(G1392&lt;&gt;0,VLOOKUP(G1392,'gia dat'!$A$1:$F$144,6,0)," ")</f>
        <v xml:space="preserve"> </v>
      </c>
      <c r="M1392" s="900" t="str">
        <f t="shared" si="291"/>
        <v xml:space="preserve"> </v>
      </c>
      <c r="N1392" s="900" t="str">
        <f t="shared" si="292"/>
        <v xml:space="preserve"> </v>
      </c>
      <c r="O1392" s="894"/>
      <c r="P1392" s="926"/>
      <c r="Q1392" s="900" t="str">
        <f>IF(O1392&lt;&gt;0,VLOOKUP(O1392,'Cây trong'!$A$2:$C$246,3,0)," ")</f>
        <v xml:space="preserve"> </v>
      </c>
      <c r="R1392" s="900" t="str">
        <f t="shared" si="302"/>
        <v xml:space="preserve"> </v>
      </c>
      <c r="S1392" s="902" t="s">
        <v>1805</v>
      </c>
      <c r="T1392" s="925" t="s">
        <v>2911</v>
      </c>
      <c r="U1392" s="927">
        <v>77.61</v>
      </c>
      <c r="V1392" s="929"/>
      <c r="W1392" s="900">
        <f>IF(S1392&lt;&gt;0,VLOOKUP(S1392,VKT!$A$2:$G$415,7,0),"")</f>
        <v>642264</v>
      </c>
      <c r="X1392" s="900">
        <f t="shared" si="308"/>
        <v>49846000</v>
      </c>
      <c r="Y1392" s="898"/>
      <c r="Z1392" s="904"/>
      <c r="AA1392" s="904"/>
      <c r="AB1392" s="904"/>
      <c r="AC1392" s="904"/>
      <c r="AD1392" s="904"/>
      <c r="AE1392" s="904"/>
      <c r="AF1392" s="899"/>
      <c r="AG1392" s="906" t="str">
        <f>IF(AE1392&lt;&gt;0,VLOOKUP(AE1392,ODDS!$A$2:$C$13,3,0),"")</f>
        <v/>
      </c>
      <c r="AH1392" s="906" t="str">
        <f t="shared" si="303"/>
        <v xml:space="preserve"> </v>
      </c>
      <c r="AI1392" s="907" t="str">
        <f t="shared" si="297"/>
        <v xml:space="preserve"> </v>
      </c>
      <c r="AJ1392" s="894"/>
      <c r="AK1392" s="894"/>
    </row>
    <row r="1393" spans="1:37" s="385" customFormat="1" ht="67.5" outlineLevel="2" x14ac:dyDescent="0.3">
      <c r="A1393" s="447">
        <f t="shared" si="307"/>
        <v>111</v>
      </c>
      <c r="B1393" s="893"/>
      <c r="C1393" s="894"/>
      <c r="D1393" s="950"/>
      <c r="E1393" s="950"/>
      <c r="F1393" s="1032"/>
      <c r="G1393" s="894"/>
      <c r="H1393" s="940"/>
      <c r="I1393" s="882"/>
      <c r="J1393" s="925"/>
      <c r="K1393" s="899" t="str">
        <f>IF(G1393&lt;&gt;0,VLOOKUP(G1393,'gia dat'!$A$1:$F$144,5,0)," ")</f>
        <v xml:space="preserve"> </v>
      </c>
      <c r="L1393" s="899" t="str">
        <f>IF(G1393&lt;&gt;0,VLOOKUP(G1393,'gia dat'!$A$1:$F$144,6,0)," ")</f>
        <v xml:space="preserve"> </v>
      </c>
      <c r="M1393" s="900" t="str">
        <f t="shared" si="291"/>
        <v xml:space="preserve"> </v>
      </c>
      <c r="N1393" s="900" t="str">
        <f t="shared" si="292"/>
        <v xml:space="preserve"> </v>
      </c>
      <c r="O1393" s="894"/>
      <c r="P1393" s="926"/>
      <c r="Q1393" s="900" t="str">
        <f>IF(O1393&lt;&gt;0,VLOOKUP(O1393,'Cây trong'!$A$2:$C$246,3,0)," ")</f>
        <v xml:space="preserve"> </v>
      </c>
      <c r="R1393" s="900" t="str">
        <f t="shared" si="302"/>
        <v xml:space="preserve"> </v>
      </c>
      <c r="S1393" s="902" t="s">
        <v>1805</v>
      </c>
      <c r="T1393" s="925" t="s">
        <v>2911</v>
      </c>
      <c r="U1393" s="927">
        <v>6.51</v>
      </c>
      <c r="V1393" s="929"/>
      <c r="W1393" s="900">
        <f>IF(S1393&lt;&gt;0,VLOOKUP(S1393,VKT!$A$2:$G$415,7,0),"")</f>
        <v>642264</v>
      </c>
      <c r="X1393" s="900">
        <f t="shared" si="308"/>
        <v>4181000</v>
      </c>
      <c r="Y1393" s="898"/>
      <c r="Z1393" s="904"/>
      <c r="AA1393" s="904"/>
      <c r="AB1393" s="904"/>
      <c r="AC1393" s="904"/>
      <c r="AD1393" s="904"/>
      <c r="AE1393" s="904"/>
      <c r="AF1393" s="899"/>
      <c r="AG1393" s="906" t="str">
        <f>IF(AE1393&lt;&gt;0,VLOOKUP(AE1393,ODDS!$A$2:$C$13,3,0),"")</f>
        <v/>
      </c>
      <c r="AH1393" s="906" t="str">
        <f t="shared" si="303"/>
        <v xml:space="preserve"> </v>
      </c>
      <c r="AI1393" s="907" t="str">
        <f t="shared" si="297"/>
        <v xml:space="preserve"> </v>
      </c>
      <c r="AJ1393" s="894"/>
      <c r="AK1393" s="894"/>
    </row>
    <row r="1394" spans="1:37" s="385" customFormat="1" ht="67.5" outlineLevel="2" x14ac:dyDescent="0.3">
      <c r="A1394" s="447">
        <f t="shared" si="307"/>
        <v>111</v>
      </c>
      <c r="B1394" s="893"/>
      <c r="C1394" s="894"/>
      <c r="D1394" s="950"/>
      <c r="E1394" s="950"/>
      <c r="F1394" s="1032"/>
      <c r="G1394" s="894"/>
      <c r="H1394" s="940"/>
      <c r="I1394" s="882"/>
      <c r="J1394" s="925"/>
      <c r="K1394" s="899" t="str">
        <f>IF(G1394&lt;&gt;0,VLOOKUP(G1394,'gia dat'!$A$1:$F$144,5,0)," ")</f>
        <v xml:space="preserve"> </v>
      </c>
      <c r="L1394" s="899" t="str">
        <f>IF(G1394&lt;&gt;0,VLOOKUP(G1394,'gia dat'!$A$1:$F$144,6,0)," ")</f>
        <v xml:space="preserve"> </v>
      </c>
      <c r="M1394" s="900" t="str">
        <f t="shared" si="291"/>
        <v xml:space="preserve"> </v>
      </c>
      <c r="N1394" s="900" t="str">
        <f t="shared" si="292"/>
        <v xml:space="preserve"> </v>
      </c>
      <c r="O1394" s="894"/>
      <c r="P1394" s="926"/>
      <c r="Q1394" s="900" t="str">
        <f>IF(O1394&lt;&gt;0,VLOOKUP(O1394,'Cây trong'!$A$2:$C$246,3,0)," ")</f>
        <v xml:space="preserve"> </v>
      </c>
      <c r="R1394" s="900" t="str">
        <f t="shared" si="302"/>
        <v xml:space="preserve"> </v>
      </c>
      <c r="S1394" s="902" t="s">
        <v>1805</v>
      </c>
      <c r="T1394" s="925" t="s">
        <v>2911</v>
      </c>
      <c r="U1394" s="927">
        <v>10.1</v>
      </c>
      <c r="V1394" s="929"/>
      <c r="W1394" s="900">
        <f>IF(S1394&lt;&gt;0,VLOOKUP(S1394,VKT!$A$2:$G$415,7,0),"")</f>
        <v>642264</v>
      </c>
      <c r="X1394" s="900">
        <f t="shared" si="308"/>
        <v>6487000</v>
      </c>
      <c r="Y1394" s="898"/>
      <c r="Z1394" s="904"/>
      <c r="AA1394" s="904"/>
      <c r="AB1394" s="904"/>
      <c r="AC1394" s="904"/>
      <c r="AD1394" s="904"/>
      <c r="AE1394" s="904"/>
      <c r="AF1394" s="899"/>
      <c r="AG1394" s="906" t="str">
        <f>IF(AE1394&lt;&gt;0,VLOOKUP(AE1394,ODDS!$A$2:$C$13,3,0),"")</f>
        <v/>
      </c>
      <c r="AH1394" s="906" t="str">
        <f t="shared" si="303"/>
        <v xml:space="preserve"> </v>
      </c>
      <c r="AI1394" s="907" t="str">
        <f t="shared" si="297"/>
        <v xml:space="preserve"> </v>
      </c>
      <c r="AJ1394" s="894"/>
      <c r="AK1394" s="894"/>
    </row>
    <row r="1395" spans="1:37" s="385" customFormat="1" ht="67.5" outlineLevel="2" x14ac:dyDescent="0.3">
      <c r="A1395" s="447">
        <f t="shared" si="307"/>
        <v>111</v>
      </c>
      <c r="B1395" s="893"/>
      <c r="C1395" s="894"/>
      <c r="D1395" s="950"/>
      <c r="E1395" s="950"/>
      <c r="F1395" s="1032"/>
      <c r="G1395" s="894"/>
      <c r="H1395" s="940"/>
      <c r="I1395" s="882"/>
      <c r="J1395" s="925"/>
      <c r="K1395" s="899" t="str">
        <f>IF(G1395&lt;&gt;0,VLOOKUP(G1395,'gia dat'!$A$1:$F$144,5,0)," ")</f>
        <v xml:space="preserve"> </v>
      </c>
      <c r="L1395" s="899" t="str">
        <f>IF(G1395&lt;&gt;0,VLOOKUP(G1395,'gia dat'!$A$1:$F$144,6,0)," ")</f>
        <v xml:space="preserve"> </v>
      </c>
      <c r="M1395" s="900" t="str">
        <f t="shared" si="291"/>
        <v xml:space="preserve"> </v>
      </c>
      <c r="N1395" s="900" t="str">
        <f t="shared" si="292"/>
        <v xml:space="preserve"> </v>
      </c>
      <c r="O1395" s="894"/>
      <c r="P1395" s="926"/>
      <c r="Q1395" s="900" t="str">
        <f>IF(O1395&lt;&gt;0,VLOOKUP(O1395,'Cây trong'!$A$2:$C$246,3,0)," ")</f>
        <v xml:space="preserve"> </v>
      </c>
      <c r="R1395" s="900" t="str">
        <f t="shared" si="302"/>
        <v xml:space="preserve"> </v>
      </c>
      <c r="S1395" s="902" t="s">
        <v>2355</v>
      </c>
      <c r="T1395" s="925" t="s">
        <v>2911</v>
      </c>
      <c r="U1395" s="927">
        <v>0.8</v>
      </c>
      <c r="V1395" s="929"/>
      <c r="W1395" s="900">
        <f>IF(S1395&lt;&gt;0,VLOOKUP(S1395,VKT!$A$2:$G$415,7,0),"")</f>
        <v>642264</v>
      </c>
      <c r="X1395" s="900">
        <f t="shared" si="308"/>
        <v>514000</v>
      </c>
      <c r="Y1395" s="898"/>
      <c r="Z1395" s="904"/>
      <c r="AA1395" s="904"/>
      <c r="AB1395" s="904"/>
      <c r="AC1395" s="904"/>
      <c r="AD1395" s="904"/>
      <c r="AE1395" s="904"/>
      <c r="AF1395" s="899"/>
      <c r="AG1395" s="906" t="str">
        <f>IF(AE1395&lt;&gt;0,VLOOKUP(AE1395,ODDS!$A$2:$C$13,3,0),"")</f>
        <v/>
      </c>
      <c r="AH1395" s="906" t="str">
        <f t="shared" si="303"/>
        <v xml:space="preserve"> </v>
      </c>
      <c r="AI1395" s="907" t="str">
        <f t="shared" si="297"/>
        <v xml:space="preserve"> </v>
      </c>
      <c r="AJ1395" s="894"/>
      <c r="AK1395" s="894"/>
    </row>
    <row r="1396" spans="1:37" s="385" customFormat="1" ht="67.5" outlineLevel="2" x14ac:dyDescent="0.3">
      <c r="A1396" s="447">
        <f t="shared" si="307"/>
        <v>111</v>
      </c>
      <c r="B1396" s="893"/>
      <c r="C1396" s="894"/>
      <c r="D1396" s="950"/>
      <c r="E1396" s="950"/>
      <c r="F1396" s="1032"/>
      <c r="G1396" s="894"/>
      <c r="H1396" s="940"/>
      <c r="I1396" s="882"/>
      <c r="J1396" s="925"/>
      <c r="K1396" s="899" t="str">
        <f>IF(G1396&lt;&gt;0,VLOOKUP(G1396,'gia dat'!$A$1:$F$144,5,0)," ")</f>
        <v xml:space="preserve"> </v>
      </c>
      <c r="L1396" s="899" t="str">
        <f>IF(G1396&lt;&gt;0,VLOOKUP(G1396,'gia dat'!$A$1:$F$144,6,0)," ")</f>
        <v xml:space="preserve"> </v>
      </c>
      <c r="M1396" s="900" t="str">
        <f t="shared" si="291"/>
        <v xml:space="preserve"> </v>
      </c>
      <c r="N1396" s="900" t="str">
        <f t="shared" si="292"/>
        <v xml:space="preserve"> </v>
      </c>
      <c r="O1396" s="894"/>
      <c r="P1396" s="926"/>
      <c r="Q1396" s="900" t="str">
        <f>IF(O1396&lt;&gt;0,VLOOKUP(O1396,'Cây trong'!$A$2:$C$246,3,0)," ")</f>
        <v xml:space="preserve"> </v>
      </c>
      <c r="R1396" s="900" t="str">
        <f t="shared" si="302"/>
        <v xml:space="preserve"> </v>
      </c>
      <c r="S1396" s="902" t="s">
        <v>2356</v>
      </c>
      <c r="T1396" s="925" t="s">
        <v>2930</v>
      </c>
      <c r="U1396" s="927">
        <v>1.97</v>
      </c>
      <c r="V1396" s="929"/>
      <c r="W1396" s="900">
        <f>IF(S1396&lt;&gt;0,VLOOKUP(S1396,VKT!$A$2:$G$415,7,0),"")</f>
        <v>0</v>
      </c>
      <c r="X1396" s="900">
        <f t="shared" si="308"/>
        <v>0</v>
      </c>
      <c r="Y1396" s="898"/>
      <c r="Z1396" s="904"/>
      <c r="AA1396" s="904"/>
      <c r="AB1396" s="904"/>
      <c r="AC1396" s="904"/>
      <c r="AD1396" s="904"/>
      <c r="AE1396" s="904"/>
      <c r="AF1396" s="899"/>
      <c r="AG1396" s="906" t="str">
        <f>IF(AE1396&lt;&gt;0,VLOOKUP(AE1396,ODDS!$A$2:$C$13,3,0),"")</f>
        <v/>
      </c>
      <c r="AH1396" s="906" t="str">
        <f t="shared" si="303"/>
        <v xml:space="preserve"> </v>
      </c>
      <c r="AI1396" s="907" t="str">
        <f t="shared" si="297"/>
        <v xml:space="preserve"> </v>
      </c>
      <c r="AJ1396" s="894"/>
      <c r="AK1396" s="894"/>
    </row>
    <row r="1397" spans="1:37" s="385" customFormat="1" ht="67.5" outlineLevel="2" x14ac:dyDescent="0.3">
      <c r="A1397" s="447">
        <f t="shared" si="307"/>
        <v>111</v>
      </c>
      <c r="B1397" s="893"/>
      <c r="C1397" s="894"/>
      <c r="D1397" s="950"/>
      <c r="E1397" s="950"/>
      <c r="F1397" s="1032"/>
      <c r="G1397" s="894"/>
      <c r="H1397" s="940"/>
      <c r="I1397" s="882"/>
      <c r="J1397" s="925"/>
      <c r="K1397" s="899" t="str">
        <f>IF(G1397&lt;&gt;0,VLOOKUP(G1397,'gia dat'!$A$1:$F$144,5,0)," ")</f>
        <v xml:space="preserve"> </v>
      </c>
      <c r="L1397" s="899" t="str">
        <f>IF(G1397&lt;&gt;0,VLOOKUP(G1397,'gia dat'!$A$1:$F$144,6,0)," ")</f>
        <v xml:space="preserve"> </v>
      </c>
      <c r="M1397" s="900" t="str">
        <f t="shared" si="291"/>
        <v xml:space="preserve"> </v>
      </c>
      <c r="N1397" s="900" t="str">
        <f t="shared" si="292"/>
        <v xml:space="preserve"> </v>
      </c>
      <c r="O1397" s="894"/>
      <c r="P1397" s="926"/>
      <c r="Q1397" s="900" t="str">
        <f>IF(O1397&lt;&gt;0,VLOOKUP(O1397,'Cây trong'!$A$2:$C$246,3,0)," ")</f>
        <v xml:space="preserve"> </v>
      </c>
      <c r="R1397" s="900" t="str">
        <f t="shared" si="302"/>
        <v xml:space="preserve"> </v>
      </c>
      <c r="S1397" s="902" t="s">
        <v>2357</v>
      </c>
      <c r="T1397" s="925" t="s">
        <v>2911</v>
      </c>
      <c r="U1397" s="927">
        <v>8.36</v>
      </c>
      <c r="V1397" s="929"/>
      <c r="W1397" s="900">
        <f>IF(S1397&lt;&gt;0,VLOOKUP(S1397,VKT!$A$2:$G$415,7,0),"")</f>
        <v>254982</v>
      </c>
      <c r="X1397" s="900">
        <f t="shared" si="308"/>
        <v>2132000</v>
      </c>
      <c r="Y1397" s="898"/>
      <c r="Z1397" s="904"/>
      <c r="AA1397" s="904"/>
      <c r="AB1397" s="904"/>
      <c r="AC1397" s="904"/>
      <c r="AD1397" s="904"/>
      <c r="AE1397" s="904"/>
      <c r="AF1397" s="899"/>
      <c r="AG1397" s="906" t="str">
        <f>IF(AE1397&lt;&gt;0,VLOOKUP(AE1397,ODDS!$A$2:$C$13,3,0),"")</f>
        <v/>
      </c>
      <c r="AH1397" s="906" t="str">
        <f t="shared" si="303"/>
        <v xml:space="preserve"> </v>
      </c>
      <c r="AI1397" s="907" t="str">
        <f t="shared" si="297"/>
        <v xml:space="preserve"> </v>
      </c>
      <c r="AJ1397" s="894"/>
      <c r="AK1397" s="894"/>
    </row>
    <row r="1398" spans="1:37" s="385" customFormat="1" ht="45" outlineLevel="2" x14ac:dyDescent="0.3">
      <c r="A1398" s="447">
        <f t="shared" si="307"/>
        <v>111</v>
      </c>
      <c r="B1398" s="893"/>
      <c r="C1398" s="894"/>
      <c r="D1398" s="950"/>
      <c r="E1398" s="950"/>
      <c r="F1398" s="1032"/>
      <c r="G1398" s="894"/>
      <c r="H1398" s="940"/>
      <c r="I1398" s="882"/>
      <c r="J1398" s="925"/>
      <c r="K1398" s="899" t="str">
        <f>IF(G1398&lt;&gt;0,VLOOKUP(G1398,'gia dat'!$A$1:$F$144,5,0)," ")</f>
        <v xml:space="preserve"> </v>
      </c>
      <c r="L1398" s="899" t="str">
        <f>IF(G1398&lt;&gt;0,VLOOKUP(G1398,'gia dat'!$A$1:$F$144,6,0)," ")</f>
        <v xml:space="preserve"> </v>
      </c>
      <c r="M1398" s="900" t="str">
        <f t="shared" si="291"/>
        <v xml:space="preserve"> </v>
      </c>
      <c r="N1398" s="900" t="str">
        <f t="shared" si="292"/>
        <v xml:space="preserve"> </v>
      </c>
      <c r="O1398" s="894"/>
      <c r="P1398" s="926"/>
      <c r="Q1398" s="900" t="str">
        <f>IF(O1398&lt;&gt;0,VLOOKUP(O1398,'Cây trong'!$A$2:$C$246,3,0)," ")</f>
        <v xml:space="preserve"> </v>
      </c>
      <c r="R1398" s="900" t="str">
        <f t="shared" si="302"/>
        <v xml:space="preserve"> </v>
      </c>
      <c r="S1398" s="902" t="s">
        <v>2358</v>
      </c>
      <c r="T1398" s="925" t="s">
        <v>2930</v>
      </c>
      <c r="U1398" s="927">
        <v>0.04</v>
      </c>
      <c r="V1398" s="929"/>
      <c r="W1398" s="900">
        <f>IF(S1398&lt;&gt;0,VLOOKUP(S1398,VKT!$A$2:$G$415,7,0),"")</f>
        <v>0</v>
      </c>
      <c r="X1398" s="900">
        <f t="shared" si="308"/>
        <v>0</v>
      </c>
      <c r="Y1398" s="898"/>
      <c r="Z1398" s="904"/>
      <c r="AA1398" s="904"/>
      <c r="AB1398" s="904"/>
      <c r="AC1398" s="904"/>
      <c r="AD1398" s="904"/>
      <c r="AE1398" s="904"/>
      <c r="AF1398" s="899"/>
      <c r="AG1398" s="906" t="str">
        <f>IF(AE1398&lt;&gt;0,VLOOKUP(AE1398,ODDS!$A$2:$C$13,3,0),"")</f>
        <v/>
      </c>
      <c r="AH1398" s="906" t="str">
        <f t="shared" si="303"/>
        <v xml:space="preserve"> </v>
      </c>
      <c r="AI1398" s="907" t="str">
        <f t="shared" si="297"/>
        <v xml:space="preserve"> </v>
      </c>
      <c r="AJ1398" s="894"/>
      <c r="AK1398" s="894"/>
    </row>
    <row r="1399" spans="1:37" s="385" customFormat="1" ht="67.5" outlineLevel="2" x14ac:dyDescent="0.3">
      <c r="A1399" s="447">
        <f t="shared" si="307"/>
        <v>111</v>
      </c>
      <c r="B1399" s="893"/>
      <c r="C1399" s="894"/>
      <c r="D1399" s="950"/>
      <c r="E1399" s="950"/>
      <c r="F1399" s="1032"/>
      <c r="G1399" s="894"/>
      <c r="H1399" s="940"/>
      <c r="I1399" s="882"/>
      <c r="J1399" s="925"/>
      <c r="K1399" s="899" t="str">
        <f>IF(G1399&lt;&gt;0,VLOOKUP(G1399,'gia dat'!$A$1:$F$144,5,0)," ")</f>
        <v xml:space="preserve"> </v>
      </c>
      <c r="L1399" s="899" t="str">
        <f>IF(G1399&lt;&gt;0,VLOOKUP(G1399,'gia dat'!$A$1:$F$144,6,0)," ")</f>
        <v xml:space="preserve"> </v>
      </c>
      <c r="M1399" s="900" t="str">
        <f t="shared" si="291"/>
        <v xml:space="preserve"> </v>
      </c>
      <c r="N1399" s="900" t="str">
        <f t="shared" si="292"/>
        <v xml:space="preserve"> </v>
      </c>
      <c r="O1399" s="894"/>
      <c r="P1399" s="926"/>
      <c r="Q1399" s="900" t="str">
        <f>IF(O1399&lt;&gt;0,VLOOKUP(O1399,'Cây trong'!$A$2:$C$246,3,0)," ")</f>
        <v xml:space="preserve"> </v>
      </c>
      <c r="R1399" s="900" t="str">
        <f t="shared" si="302"/>
        <v xml:space="preserve"> </v>
      </c>
      <c r="S1399" s="902" t="s">
        <v>1805</v>
      </c>
      <c r="T1399" s="925" t="s">
        <v>2911</v>
      </c>
      <c r="U1399" s="927">
        <v>0.42</v>
      </c>
      <c r="V1399" s="929"/>
      <c r="W1399" s="900">
        <f>IF(S1399&lt;&gt;0,VLOOKUP(S1399,VKT!$A$2:$G$415,7,0),"")</f>
        <v>642264</v>
      </c>
      <c r="X1399" s="900">
        <f t="shared" si="308"/>
        <v>270000</v>
      </c>
      <c r="Y1399" s="898"/>
      <c r="Z1399" s="904"/>
      <c r="AA1399" s="904"/>
      <c r="AB1399" s="904"/>
      <c r="AC1399" s="904"/>
      <c r="AD1399" s="904"/>
      <c r="AE1399" s="904"/>
      <c r="AF1399" s="899"/>
      <c r="AG1399" s="906" t="str">
        <f>IF(AE1399&lt;&gt;0,VLOOKUP(AE1399,ODDS!$A$2:$C$13,3,0),"")</f>
        <v/>
      </c>
      <c r="AH1399" s="906" t="str">
        <f t="shared" si="303"/>
        <v xml:space="preserve"> </v>
      </c>
      <c r="AI1399" s="907" t="str">
        <f t="shared" si="297"/>
        <v xml:space="preserve"> </v>
      </c>
      <c r="AJ1399" s="894"/>
      <c r="AK1399" s="894"/>
    </row>
    <row r="1400" spans="1:37" s="385" customFormat="1" ht="45" outlineLevel="2" x14ac:dyDescent="0.3">
      <c r="A1400" s="447">
        <f t="shared" si="307"/>
        <v>111</v>
      </c>
      <c r="B1400" s="893"/>
      <c r="C1400" s="894"/>
      <c r="D1400" s="950"/>
      <c r="E1400" s="950"/>
      <c r="F1400" s="1032"/>
      <c r="G1400" s="894"/>
      <c r="H1400" s="940"/>
      <c r="I1400" s="882"/>
      <c r="J1400" s="925"/>
      <c r="K1400" s="899" t="str">
        <f>IF(G1400&lt;&gt;0,VLOOKUP(G1400,'gia dat'!$A$1:$F$144,5,0)," ")</f>
        <v xml:space="preserve"> </v>
      </c>
      <c r="L1400" s="899" t="str">
        <f>IF(G1400&lt;&gt;0,VLOOKUP(G1400,'gia dat'!$A$1:$F$144,6,0)," ")</f>
        <v xml:space="preserve"> </v>
      </c>
      <c r="M1400" s="900" t="str">
        <f t="shared" ref="M1400:M1467" si="309">IF(H1400&lt;&gt;0,ROUND(H1400*K1400,-3)," ")</f>
        <v xml:space="preserve"> </v>
      </c>
      <c r="N1400" s="900" t="str">
        <f t="shared" ref="N1400:N1467" si="310">IF(H1400&lt;&gt;0,ROUND(H1400*L1400,-3)," ")</f>
        <v xml:space="preserve"> </v>
      </c>
      <c r="O1400" s="894"/>
      <c r="P1400" s="926"/>
      <c r="Q1400" s="900" t="str">
        <f>IF(O1400&lt;&gt;0,VLOOKUP(O1400,'Cây trong'!$A$2:$C$246,3,0)," ")</f>
        <v xml:space="preserve"> </v>
      </c>
      <c r="R1400" s="900" t="str">
        <f t="shared" si="302"/>
        <v xml:space="preserve"> </v>
      </c>
      <c r="S1400" s="902" t="s">
        <v>2358</v>
      </c>
      <c r="T1400" s="925" t="s">
        <v>2930</v>
      </c>
      <c r="U1400" s="927">
        <v>0.11</v>
      </c>
      <c r="V1400" s="929"/>
      <c r="W1400" s="900">
        <f>IF(S1400&lt;&gt;0,VLOOKUP(S1400,VKT!$A$2:$G$415,7,0),"")</f>
        <v>0</v>
      </c>
      <c r="X1400" s="900">
        <f t="shared" si="308"/>
        <v>0</v>
      </c>
      <c r="Y1400" s="898"/>
      <c r="Z1400" s="904"/>
      <c r="AA1400" s="904"/>
      <c r="AB1400" s="904"/>
      <c r="AC1400" s="904"/>
      <c r="AD1400" s="904"/>
      <c r="AE1400" s="904"/>
      <c r="AF1400" s="899"/>
      <c r="AG1400" s="906" t="str">
        <f>IF(AE1400&lt;&gt;0,VLOOKUP(AE1400,ODDS!$A$2:$C$13,3,0),"")</f>
        <v/>
      </c>
      <c r="AH1400" s="906" t="str">
        <f t="shared" si="303"/>
        <v xml:space="preserve"> </v>
      </c>
      <c r="AI1400" s="907" t="str">
        <f t="shared" si="297"/>
        <v xml:space="preserve"> </v>
      </c>
      <c r="AJ1400" s="894"/>
      <c r="AK1400" s="894"/>
    </row>
    <row r="1401" spans="1:37" s="385" customFormat="1" ht="67.5" outlineLevel="2" x14ac:dyDescent="0.3">
      <c r="A1401" s="447">
        <f t="shared" si="307"/>
        <v>111</v>
      </c>
      <c r="B1401" s="893"/>
      <c r="C1401" s="894"/>
      <c r="D1401" s="950"/>
      <c r="E1401" s="950"/>
      <c r="F1401" s="1032"/>
      <c r="G1401" s="894"/>
      <c r="H1401" s="940"/>
      <c r="I1401" s="882"/>
      <c r="J1401" s="925"/>
      <c r="K1401" s="899" t="str">
        <f>IF(G1401&lt;&gt;0,VLOOKUP(G1401,'gia dat'!$A$1:$F$144,5,0)," ")</f>
        <v xml:space="preserve"> </v>
      </c>
      <c r="L1401" s="899" t="str">
        <f>IF(G1401&lt;&gt;0,VLOOKUP(G1401,'gia dat'!$A$1:$F$144,6,0)," ")</f>
        <v xml:space="preserve"> </v>
      </c>
      <c r="M1401" s="900" t="str">
        <f t="shared" si="309"/>
        <v xml:space="preserve"> </v>
      </c>
      <c r="N1401" s="900" t="str">
        <f t="shared" si="310"/>
        <v xml:space="preserve"> </v>
      </c>
      <c r="O1401" s="894"/>
      <c r="P1401" s="926"/>
      <c r="Q1401" s="900" t="str">
        <f>IF(O1401&lt;&gt;0,VLOOKUP(O1401,'Cây trong'!$A$2:$C$246,3,0)," ")</f>
        <v xml:space="preserve"> </v>
      </c>
      <c r="R1401" s="900" t="str">
        <f t="shared" si="302"/>
        <v xml:space="preserve"> </v>
      </c>
      <c r="S1401" s="902" t="s">
        <v>1805</v>
      </c>
      <c r="T1401" s="925" t="s">
        <v>2911</v>
      </c>
      <c r="U1401" s="927">
        <v>1.1000000000000001</v>
      </c>
      <c r="V1401" s="929"/>
      <c r="W1401" s="900">
        <f>IF(S1401&lt;&gt;0,VLOOKUP(S1401,VKT!$A$2:$G$415,7,0),"")</f>
        <v>642264</v>
      </c>
      <c r="X1401" s="900">
        <f t="shared" si="308"/>
        <v>706000</v>
      </c>
      <c r="Y1401" s="898"/>
      <c r="Z1401" s="904"/>
      <c r="AA1401" s="904"/>
      <c r="AB1401" s="904"/>
      <c r="AC1401" s="904"/>
      <c r="AD1401" s="904"/>
      <c r="AE1401" s="904"/>
      <c r="AF1401" s="899"/>
      <c r="AG1401" s="906" t="str">
        <f>IF(AE1401&lt;&gt;0,VLOOKUP(AE1401,ODDS!$A$2:$C$13,3,0),"")</f>
        <v/>
      </c>
      <c r="AH1401" s="906" t="str">
        <f t="shared" si="303"/>
        <v xml:space="preserve"> </v>
      </c>
      <c r="AI1401" s="907" t="str">
        <f t="shared" si="297"/>
        <v xml:space="preserve"> </v>
      </c>
      <c r="AJ1401" s="894"/>
      <c r="AK1401" s="894"/>
    </row>
    <row r="1402" spans="1:37" s="385" customFormat="1" ht="67.5" outlineLevel="2" x14ac:dyDescent="0.3">
      <c r="A1402" s="447">
        <f t="shared" si="307"/>
        <v>111</v>
      </c>
      <c r="B1402" s="893"/>
      <c r="C1402" s="894"/>
      <c r="D1402" s="950"/>
      <c r="E1402" s="950"/>
      <c r="F1402" s="1032"/>
      <c r="G1402" s="894"/>
      <c r="H1402" s="940"/>
      <c r="I1402" s="882"/>
      <c r="J1402" s="925"/>
      <c r="K1402" s="899" t="str">
        <f>IF(G1402&lt;&gt;0,VLOOKUP(G1402,'gia dat'!$A$1:$F$144,5,0)," ")</f>
        <v xml:space="preserve"> </v>
      </c>
      <c r="L1402" s="899" t="str">
        <f>IF(G1402&lt;&gt;0,VLOOKUP(G1402,'gia dat'!$A$1:$F$144,6,0)," ")</f>
        <v xml:space="preserve"> </v>
      </c>
      <c r="M1402" s="900" t="str">
        <f t="shared" si="309"/>
        <v xml:space="preserve"> </v>
      </c>
      <c r="N1402" s="900" t="str">
        <f t="shared" si="310"/>
        <v xml:space="preserve"> </v>
      </c>
      <c r="O1402" s="894"/>
      <c r="P1402" s="926"/>
      <c r="Q1402" s="900" t="str">
        <f>IF(O1402&lt;&gt;0,VLOOKUP(O1402,'Cây trong'!$A$2:$C$246,3,0)," ")</f>
        <v xml:space="preserve"> </v>
      </c>
      <c r="R1402" s="900" t="str">
        <f t="shared" si="302"/>
        <v xml:space="preserve"> </v>
      </c>
      <c r="S1402" s="902" t="s">
        <v>2359</v>
      </c>
      <c r="T1402" s="925" t="s">
        <v>2911</v>
      </c>
      <c r="U1402" s="952">
        <v>2.76</v>
      </c>
      <c r="V1402" s="929"/>
      <c r="W1402" s="900">
        <f>IF(S1402&lt;&gt;0,VLOOKUP(S1402,VKT!$A$2:$G$415,7,0),"")</f>
        <v>8189638</v>
      </c>
      <c r="X1402" s="900">
        <f t="shared" si="308"/>
        <v>22603000</v>
      </c>
      <c r="Y1402" s="898" t="s">
        <v>139</v>
      </c>
      <c r="Z1402" s="904" t="s">
        <v>980</v>
      </c>
      <c r="AA1402" s="904" t="s">
        <v>1012</v>
      </c>
      <c r="AB1402" s="904" t="s">
        <v>269</v>
      </c>
      <c r="AC1402" s="904" t="s">
        <v>139</v>
      </c>
      <c r="AD1402" s="904"/>
      <c r="AE1402" s="904"/>
      <c r="AF1402" s="899"/>
      <c r="AG1402" s="906" t="str">
        <f>IF(AE1402&lt;&gt;0,VLOOKUP(AE1402,ODDS!$A$2:$C$13,3,0),"")</f>
        <v/>
      </c>
      <c r="AH1402" s="906" t="str">
        <f t="shared" si="303"/>
        <v xml:space="preserve"> </v>
      </c>
      <c r="AI1402" s="907" t="str">
        <f t="shared" si="297"/>
        <v xml:space="preserve"> </v>
      </c>
      <c r="AJ1402" s="894" t="s">
        <v>1022</v>
      </c>
      <c r="AK1402" s="894"/>
    </row>
    <row r="1403" spans="1:37" s="385" customFormat="1" ht="45" outlineLevel="2" x14ac:dyDescent="0.3">
      <c r="A1403" s="447">
        <f t="shared" si="307"/>
        <v>111</v>
      </c>
      <c r="B1403" s="893"/>
      <c r="C1403" s="894"/>
      <c r="D1403" s="950"/>
      <c r="E1403" s="950"/>
      <c r="F1403" s="1032"/>
      <c r="G1403" s="894"/>
      <c r="H1403" s="940"/>
      <c r="I1403" s="882"/>
      <c r="J1403" s="925"/>
      <c r="K1403" s="899" t="str">
        <f>IF(G1403&lt;&gt;0,VLOOKUP(G1403,'gia dat'!$A$1:$F$144,5,0)," ")</f>
        <v xml:space="preserve"> </v>
      </c>
      <c r="L1403" s="899" t="str">
        <f>IF(G1403&lt;&gt;0,VLOOKUP(G1403,'gia dat'!$A$1:$F$144,6,0)," ")</f>
        <v xml:space="preserve"> </v>
      </c>
      <c r="M1403" s="900" t="str">
        <f t="shared" si="309"/>
        <v xml:space="preserve"> </v>
      </c>
      <c r="N1403" s="900" t="str">
        <f t="shared" si="310"/>
        <v xml:space="preserve"> </v>
      </c>
      <c r="O1403" s="894"/>
      <c r="P1403" s="926"/>
      <c r="Q1403" s="900" t="str">
        <f>IF(O1403&lt;&gt;0,VLOOKUP(O1403,'Cây trong'!$A$2:$C$246,3,0)," ")</f>
        <v xml:space="preserve"> </v>
      </c>
      <c r="R1403" s="900" t="str">
        <f t="shared" si="302"/>
        <v xml:space="preserve"> </v>
      </c>
      <c r="S1403" s="902" t="s">
        <v>1779</v>
      </c>
      <c r="T1403" s="925" t="s">
        <v>2911</v>
      </c>
      <c r="U1403" s="927">
        <v>9.9</v>
      </c>
      <c r="V1403" s="929"/>
      <c r="W1403" s="900">
        <f>IF(S1403&lt;&gt;0,VLOOKUP(S1403,VKT!$A$2:$G$415,7,0),"")</f>
        <v>1399121</v>
      </c>
      <c r="X1403" s="900">
        <f t="shared" si="308"/>
        <v>13851000</v>
      </c>
      <c r="Y1403" s="898"/>
      <c r="Z1403" s="904" t="s">
        <v>980</v>
      </c>
      <c r="AA1403" s="904" t="s">
        <v>1005</v>
      </c>
      <c r="AB1403" s="904" t="s">
        <v>266</v>
      </c>
      <c r="AC1403" s="904" t="s">
        <v>982</v>
      </c>
      <c r="AD1403" s="904"/>
      <c r="AE1403" s="904"/>
      <c r="AF1403" s="899"/>
      <c r="AG1403" s="906" t="str">
        <f>IF(AE1403&lt;&gt;0,VLOOKUP(AE1403,ODDS!$A$2:$C$13,3,0),"")</f>
        <v/>
      </c>
      <c r="AH1403" s="906" t="str">
        <f t="shared" si="303"/>
        <v xml:space="preserve"> </v>
      </c>
      <c r="AI1403" s="907" t="str">
        <f t="shared" si="297"/>
        <v xml:space="preserve"> </v>
      </c>
      <c r="AJ1403" s="894"/>
      <c r="AK1403" s="894"/>
    </row>
    <row r="1404" spans="1:37" s="385" customFormat="1" ht="45" outlineLevel="2" x14ac:dyDescent="0.3">
      <c r="A1404" s="447">
        <f t="shared" si="307"/>
        <v>111</v>
      </c>
      <c r="B1404" s="893"/>
      <c r="C1404" s="894"/>
      <c r="D1404" s="950"/>
      <c r="E1404" s="950"/>
      <c r="F1404" s="1032"/>
      <c r="G1404" s="894"/>
      <c r="H1404" s="940"/>
      <c r="I1404" s="882"/>
      <c r="J1404" s="925"/>
      <c r="K1404" s="899" t="str">
        <f>IF(G1404&lt;&gt;0,VLOOKUP(G1404,'gia dat'!$A$1:$F$144,5,0)," ")</f>
        <v xml:space="preserve"> </v>
      </c>
      <c r="L1404" s="899" t="str">
        <f>IF(G1404&lt;&gt;0,VLOOKUP(G1404,'gia dat'!$A$1:$F$144,6,0)," ")</f>
        <v xml:space="preserve"> </v>
      </c>
      <c r="M1404" s="900" t="str">
        <f t="shared" si="309"/>
        <v xml:space="preserve"> </v>
      </c>
      <c r="N1404" s="900" t="str">
        <f t="shared" si="310"/>
        <v xml:space="preserve"> </v>
      </c>
      <c r="O1404" s="894"/>
      <c r="P1404" s="926"/>
      <c r="Q1404" s="900" t="str">
        <f>IF(O1404&lt;&gt;0,VLOOKUP(O1404,'Cây trong'!$A$2:$C$246,3,0)," ")</f>
        <v xml:space="preserve"> </v>
      </c>
      <c r="R1404" s="900" t="str">
        <f t="shared" si="302"/>
        <v xml:space="preserve"> </v>
      </c>
      <c r="S1404" s="902" t="s">
        <v>1779</v>
      </c>
      <c r="T1404" s="925" t="s">
        <v>2911</v>
      </c>
      <c r="U1404" s="927">
        <v>25.2</v>
      </c>
      <c r="V1404" s="929"/>
      <c r="W1404" s="900">
        <f>IF(S1404&lt;&gt;0,VLOOKUP(S1404,VKT!$A$2:$G$415,7,0),"")</f>
        <v>1399121</v>
      </c>
      <c r="X1404" s="900">
        <f t="shared" si="308"/>
        <v>35258000</v>
      </c>
      <c r="Y1404" s="898"/>
      <c r="Z1404" s="904" t="s">
        <v>980</v>
      </c>
      <c r="AA1404" s="904" t="s">
        <v>1005</v>
      </c>
      <c r="AB1404" s="904" t="s">
        <v>266</v>
      </c>
      <c r="AC1404" s="904" t="s">
        <v>982</v>
      </c>
      <c r="AD1404" s="904"/>
      <c r="AE1404" s="904"/>
      <c r="AF1404" s="899"/>
      <c r="AG1404" s="906" t="str">
        <f>IF(AE1404&lt;&gt;0,VLOOKUP(AE1404,ODDS!$A$2:$C$13,3,0),"")</f>
        <v/>
      </c>
      <c r="AH1404" s="906" t="str">
        <f t="shared" si="303"/>
        <v xml:space="preserve"> </v>
      </c>
      <c r="AI1404" s="907" t="str">
        <f t="shared" si="297"/>
        <v xml:space="preserve"> </v>
      </c>
      <c r="AJ1404" s="894"/>
      <c r="AK1404" s="894"/>
    </row>
    <row r="1405" spans="1:37" s="385" customFormat="1" ht="67.5" outlineLevel="2" x14ac:dyDescent="0.3">
      <c r="A1405" s="447">
        <f t="shared" si="307"/>
        <v>111</v>
      </c>
      <c r="B1405" s="893"/>
      <c r="C1405" s="894"/>
      <c r="D1405" s="950"/>
      <c r="E1405" s="950"/>
      <c r="F1405" s="1032"/>
      <c r="G1405" s="894"/>
      <c r="H1405" s="940"/>
      <c r="I1405" s="882"/>
      <c r="J1405" s="925"/>
      <c r="K1405" s="899" t="str">
        <f>IF(G1405&lt;&gt;0,VLOOKUP(G1405,'gia dat'!$A$1:$F$144,5,0)," ")</f>
        <v xml:space="preserve"> </v>
      </c>
      <c r="L1405" s="899" t="str">
        <f>IF(G1405&lt;&gt;0,VLOOKUP(G1405,'gia dat'!$A$1:$F$144,6,0)," ")</f>
        <v xml:space="preserve"> </v>
      </c>
      <c r="M1405" s="900" t="str">
        <f t="shared" si="309"/>
        <v xml:space="preserve"> </v>
      </c>
      <c r="N1405" s="900" t="str">
        <f t="shared" si="310"/>
        <v xml:space="preserve"> </v>
      </c>
      <c r="O1405" s="894"/>
      <c r="P1405" s="926"/>
      <c r="Q1405" s="900" t="str">
        <f>IF(O1405&lt;&gt;0,VLOOKUP(O1405,'Cây trong'!$A$2:$C$246,3,0)," ")</f>
        <v xml:space="preserve"> </v>
      </c>
      <c r="R1405" s="900" t="str">
        <f t="shared" si="302"/>
        <v xml:space="preserve"> </v>
      </c>
      <c r="S1405" s="902" t="s">
        <v>1761</v>
      </c>
      <c r="T1405" s="925" t="s">
        <v>2911</v>
      </c>
      <c r="U1405" s="927">
        <v>36</v>
      </c>
      <c r="V1405" s="929"/>
      <c r="W1405" s="900">
        <f>IF(S1405&lt;&gt;0,VLOOKUP(S1405,VKT!$A$2:$G$415,7,0),"")</f>
        <v>0</v>
      </c>
      <c r="X1405" s="900">
        <f t="shared" si="308"/>
        <v>0</v>
      </c>
      <c r="Y1405" s="898"/>
      <c r="Z1405" s="904" t="s">
        <v>980</v>
      </c>
      <c r="AA1405" s="904" t="s">
        <v>1005</v>
      </c>
      <c r="AB1405" s="904" t="s">
        <v>269</v>
      </c>
      <c r="AC1405" s="904" t="s">
        <v>139</v>
      </c>
      <c r="AD1405" s="904"/>
      <c r="AE1405" s="904"/>
      <c r="AF1405" s="899"/>
      <c r="AG1405" s="906" t="str">
        <f>IF(AE1405&lt;&gt;0,VLOOKUP(AE1405,ODDS!$A$2:$C$13,3,0),"")</f>
        <v/>
      </c>
      <c r="AH1405" s="906" t="str">
        <f t="shared" si="303"/>
        <v xml:space="preserve"> </v>
      </c>
      <c r="AI1405" s="907" t="str">
        <f t="shared" si="297"/>
        <v xml:space="preserve"> </v>
      </c>
      <c r="AJ1405" s="894"/>
      <c r="AK1405" s="894"/>
    </row>
    <row r="1406" spans="1:37" s="385" customFormat="1" ht="45" outlineLevel="2" x14ac:dyDescent="0.3">
      <c r="A1406" s="447">
        <f t="shared" si="307"/>
        <v>111</v>
      </c>
      <c r="B1406" s="893"/>
      <c r="C1406" s="894"/>
      <c r="D1406" s="950"/>
      <c r="E1406" s="950"/>
      <c r="F1406" s="1032"/>
      <c r="G1406" s="894"/>
      <c r="H1406" s="940"/>
      <c r="I1406" s="882"/>
      <c r="J1406" s="925"/>
      <c r="K1406" s="899" t="str">
        <f>IF(G1406&lt;&gt;0,VLOOKUP(G1406,'gia dat'!$A$1:$F$144,5,0)," ")</f>
        <v xml:space="preserve"> </v>
      </c>
      <c r="L1406" s="899" t="str">
        <f>IF(G1406&lt;&gt;0,VLOOKUP(G1406,'gia dat'!$A$1:$F$144,6,0)," ")</f>
        <v xml:space="preserve"> </v>
      </c>
      <c r="M1406" s="900" t="str">
        <f t="shared" si="309"/>
        <v xml:space="preserve"> </v>
      </c>
      <c r="N1406" s="900" t="str">
        <f t="shared" si="310"/>
        <v xml:space="preserve"> </v>
      </c>
      <c r="O1406" s="894"/>
      <c r="P1406" s="926"/>
      <c r="Q1406" s="900" t="str">
        <f>IF(O1406&lt;&gt;0,VLOOKUP(O1406,'Cây trong'!$A$2:$C$246,3,0)," ")</f>
        <v xml:space="preserve"> </v>
      </c>
      <c r="R1406" s="900" t="str">
        <f t="shared" si="302"/>
        <v xml:space="preserve"> </v>
      </c>
      <c r="S1406" s="902" t="s">
        <v>2360</v>
      </c>
      <c r="T1406" s="925" t="s">
        <v>2934</v>
      </c>
      <c r="U1406" s="927">
        <v>11</v>
      </c>
      <c r="V1406" s="929"/>
      <c r="W1406" s="900">
        <f>IF(S1406&lt;&gt;0,VLOOKUP(S1406,VKT!$A$2:$G$415,7,0),"")</f>
        <v>0</v>
      </c>
      <c r="X1406" s="900">
        <f t="shared" si="308"/>
        <v>0</v>
      </c>
      <c r="Y1406" s="898"/>
      <c r="Z1406" s="904"/>
      <c r="AA1406" s="904"/>
      <c r="AB1406" s="904"/>
      <c r="AC1406" s="904"/>
      <c r="AD1406" s="904"/>
      <c r="AE1406" s="904"/>
      <c r="AF1406" s="899"/>
      <c r="AG1406" s="906" t="str">
        <f>IF(AE1406&lt;&gt;0,VLOOKUP(AE1406,ODDS!$A$2:$C$13,3,0),"")</f>
        <v/>
      </c>
      <c r="AH1406" s="906" t="str">
        <f t="shared" si="303"/>
        <v xml:space="preserve"> </v>
      </c>
      <c r="AI1406" s="907" t="str">
        <f t="shared" si="297"/>
        <v xml:space="preserve"> </v>
      </c>
      <c r="AJ1406" s="894"/>
      <c r="AK1406" s="894"/>
    </row>
    <row r="1407" spans="1:37" s="385" customFormat="1" ht="67.5" outlineLevel="2" x14ac:dyDescent="0.3">
      <c r="A1407" s="447">
        <f t="shared" si="307"/>
        <v>111</v>
      </c>
      <c r="B1407" s="893"/>
      <c r="C1407" s="894"/>
      <c r="D1407" s="950"/>
      <c r="E1407" s="950"/>
      <c r="F1407" s="1032"/>
      <c r="G1407" s="894"/>
      <c r="H1407" s="940"/>
      <c r="I1407" s="882"/>
      <c r="J1407" s="925"/>
      <c r="K1407" s="899" t="str">
        <f>IF(G1407&lt;&gt;0,VLOOKUP(G1407,'gia dat'!$A$1:$F$144,5,0)," ")</f>
        <v xml:space="preserve"> </v>
      </c>
      <c r="L1407" s="899" t="str">
        <f>IF(G1407&lt;&gt;0,VLOOKUP(G1407,'gia dat'!$A$1:$F$144,6,0)," ")</f>
        <v xml:space="preserve"> </v>
      </c>
      <c r="M1407" s="900" t="str">
        <f t="shared" si="309"/>
        <v xml:space="preserve"> </v>
      </c>
      <c r="N1407" s="900" t="str">
        <f t="shared" si="310"/>
        <v xml:space="preserve"> </v>
      </c>
      <c r="O1407" s="894"/>
      <c r="P1407" s="926"/>
      <c r="Q1407" s="900" t="str">
        <f>IF(O1407&lt;&gt;0,VLOOKUP(O1407,'Cây trong'!$A$2:$C$246,3,0)," ")</f>
        <v xml:space="preserve"> </v>
      </c>
      <c r="R1407" s="900" t="str">
        <f t="shared" si="302"/>
        <v xml:space="preserve"> </v>
      </c>
      <c r="S1407" s="902" t="s">
        <v>2351</v>
      </c>
      <c r="T1407" s="925" t="s">
        <v>2911</v>
      </c>
      <c r="U1407" s="927">
        <v>48.5</v>
      </c>
      <c r="V1407" s="929"/>
      <c r="W1407" s="900">
        <f>IF(S1407&lt;&gt;0,VLOOKUP(S1407,VKT!$A$2:$G$415,7,0),"")</f>
        <v>684506</v>
      </c>
      <c r="X1407" s="900">
        <f t="shared" si="308"/>
        <v>33199000</v>
      </c>
      <c r="Y1407" s="898"/>
      <c r="Z1407" s="904" t="s">
        <v>980</v>
      </c>
      <c r="AA1407" s="904" t="s">
        <v>1005</v>
      </c>
      <c r="AB1407" s="904"/>
      <c r="AC1407" s="904" t="s">
        <v>267</v>
      </c>
      <c r="AD1407" s="904"/>
      <c r="AE1407" s="904"/>
      <c r="AF1407" s="899"/>
      <c r="AG1407" s="906" t="str">
        <f>IF(AE1407&lt;&gt;0,VLOOKUP(AE1407,ODDS!$A$2:$C$13,3,0),"")</f>
        <v/>
      </c>
      <c r="AH1407" s="906" t="str">
        <f t="shared" si="303"/>
        <v xml:space="preserve"> </v>
      </c>
      <c r="AI1407" s="907" t="str">
        <f t="shared" si="297"/>
        <v xml:space="preserve"> </v>
      </c>
      <c r="AJ1407" s="894"/>
      <c r="AK1407" s="894"/>
    </row>
    <row r="1408" spans="1:37" s="385" customFormat="1" ht="67.5" outlineLevel="2" x14ac:dyDescent="0.3">
      <c r="A1408" s="447">
        <f t="shared" si="307"/>
        <v>111</v>
      </c>
      <c r="B1408" s="893"/>
      <c r="C1408" s="894"/>
      <c r="D1408" s="950"/>
      <c r="E1408" s="950"/>
      <c r="F1408" s="1032"/>
      <c r="G1408" s="894"/>
      <c r="H1408" s="940"/>
      <c r="I1408" s="882"/>
      <c r="J1408" s="925"/>
      <c r="K1408" s="899" t="str">
        <f>IF(G1408&lt;&gt;0,VLOOKUP(G1408,'gia dat'!$A$1:$F$144,5,0)," ")</f>
        <v xml:space="preserve"> </v>
      </c>
      <c r="L1408" s="899" t="str">
        <f>IF(G1408&lt;&gt;0,VLOOKUP(G1408,'gia dat'!$A$1:$F$144,6,0)," ")</f>
        <v xml:space="preserve"> </v>
      </c>
      <c r="M1408" s="900" t="str">
        <f t="shared" si="309"/>
        <v xml:space="preserve"> </v>
      </c>
      <c r="N1408" s="900" t="str">
        <f t="shared" si="310"/>
        <v xml:space="preserve"> </v>
      </c>
      <c r="O1408" s="894"/>
      <c r="P1408" s="926"/>
      <c r="Q1408" s="900" t="str">
        <f>IF(O1408&lt;&gt;0,VLOOKUP(O1408,'Cây trong'!$A$2:$C$246,3,0)," ")</f>
        <v xml:space="preserve"> </v>
      </c>
      <c r="R1408" s="900" t="str">
        <f t="shared" si="302"/>
        <v xml:space="preserve"> </v>
      </c>
      <c r="S1408" s="902" t="s">
        <v>2351</v>
      </c>
      <c r="T1408" s="925" t="s">
        <v>2911</v>
      </c>
      <c r="U1408" s="927">
        <v>264.60000000000002</v>
      </c>
      <c r="V1408" s="929"/>
      <c r="W1408" s="900">
        <f>IF(S1408&lt;&gt;0,VLOOKUP(S1408,VKT!$A$2:$G$415,7,0),"")</f>
        <v>684506</v>
      </c>
      <c r="X1408" s="900">
        <f t="shared" si="308"/>
        <v>181120000</v>
      </c>
      <c r="Y1408" s="898"/>
      <c r="Z1408" s="904" t="s">
        <v>980</v>
      </c>
      <c r="AA1408" s="904" t="s">
        <v>1005</v>
      </c>
      <c r="AB1408" s="904"/>
      <c r="AC1408" s="904" t="s">
        <v>267</v>
      </c>
      <c r="AD1408" s="904"/>
      <c r="AE1408" s="904"/>
      <c r="AF1408" s="899"/>
      <c r="AG1408" s="906" t="str">
        <f>IF(AE1408&lt;&gt;0,VLOOKUP(AE1408,ODDS!$A$2:$C$13,3,0),"")</f>
        <v/>
      </c>
      <c r="AH1408" s="906" t="str">
        <f t="shared" si="303"/>
        <v xml:space="preserve"> </v>
      </c>
      <c r="AI1408" s="907" t="str">
        <f t="shared" si="297"/>
        <v xml:space="preserve"> </v>
      </c>
      <c r="AJ1408" s="894"/>
      <c r="AK1408" s="894"/>
    </row>
    <row r="1409" spans="1:37" s="385" customFormat="1" ht="67.5" outlineLevel="2" x14ac:dyDescent="0.3">
      <c r="A1409" s="447">
        <f t="shared" si="307"/>
        <v>111</v>
      </c>
      <c r="B1409" s="893"/>
      <c r="C1409" s="894"/>
      <c r="D1409" s="950"/>
      <c r="E1409" s="950"/>
      <c r="F1409" s="1032"/>
      <c r="G1409" s="894"/>
      <c r="H1409" s="940"/>
      <c r="I1409" s="882"/>
      <c r="J1409" s="925"/>
      <c r="K1409" s="899" t="str">
        <f>IF(G1409&lt;&gt;0,VLOOKUP(G1409,'gia dat'!$A$1:$F$144,5,0)," ")</f>
        <v xml:space="preserve"> </v>
      </c>
      <c r="L1409" s="899" t="str">
        <f>IF(G1409&lt;&gt;0,VLOOKUP(G1409,'gia dat'!$A$1:$F$144,6,0)," ")</f>
        <v xml:space="preserve"> </v>
      </c>
      <c r="M1409" s="900" t="str">
        <f t="shared" si="309"/>
        <v xml:space="preserve"> </v>
      </c>
      <c r="N1409" s="900" t="str">
        <f t="shared" si="310"/>
        <v xml:space="preserve"> </v>
      </c>
      <c r="O1409" s="894"/>
      <c r="P1409" s="926"/>
      <c r="Q1409" s="900" t="str">
        <f>IF(O1409&lt;&gt;0,VLOOKUP(O1409,'Cây trong'!$A$2:$C$246,3,0)," ")</f>
        <v xml:space="preserve"> </v>
      </c>
      <c r="R1409" s="900" t="str">
        <f t="shared" si="302"/>
        <v xml:space="preserve"> </v>
      </c>
      <c r="S1409" s="902" t="s">
        <v>2361</v>
      </c>
      <c r="T1409" s="925" t="s">
        <v>2934</v>
      </c>
      <c r="U1409" s="927">
        <v>0.41</v>
      </c>
      <c r="V1409" s="929"/>
      <c r="W1409" s="900">
        <f>IF(S1409&lt;&gt;0,VLOOKUP(S1409,VKT!$A$2:$G$415,7,0),"")</f>
        <v>0</v>
      </c>
      <c r="X1409" s="900">
        <f t="shared" si="308"/>
        <v>0</v>
      </c>
      <c r="Y1409" s="898"/>
      <c r="Z1409" s="904"/>
      <c r="AA1409" s="904"/>
      <c r="AB1409" s="904"/>
      <c r="AC1409" s="904"/>
      <c r="AD1409" s="904"/>
      <c r="AE1409" s="904"/>
      <c r="AF1409" s="899"/>
      <c r="AG1409" s="906" t="str">
        <f>IF(AE1409&lt;&gt;0,VLOOKUP(AE1409,ODDS!$A$2:$C$13,3,0),"")</f>
        <v/>
      </c>
      <c r="AH1409" s="906" t="str">
        <f t="shared" si="303"/>
        <v xml:space="preserve"> </v>
      </c>
      <c r="AI1409" s="907" t="str">
        <f t="shared" si="297"/>
        <v xml:space="preserve"> </v>
      </c>
      <c r="AJ1409" s="894"/>
      <c r="AK1409" s="894"/>
    </row>
    <row r="1410" spans="1:37" s="385" customFormat="1" ht="90" outlineLevel="2" x14ac:dyDescent="0.3">
      <c r="A1410" s="447">
        <f t="shared" si="307"/>
        <v>111</v>
      </c>
      <c r="B1410" s="893"/>
      <c r="C1410" s="908"/>
      <c r="D1410" s="950"/>
      <c r="E1410" s="950"/>
      <c r="F1410" s="1032"/>
      <c r="G1410" s="894"/>
      <c r="H1410" s="940"/>
      <c r="I1410" s="882"/>
      <c r="J1410" s="925"/>
      <c r="K1410" s="899" t="str">
        <f>IF(G1410&lt;&gt;0,VLOOKUP(G1410,'gia dat'!$A$1:$F$144,5,0)," ")</f>
        <v xml:space="preserve"> </v>
      </c>
      <c r="L1410" s="899" t="str">
        <f>IF(G1410&lt;&gt;0,VLOOKUP(G1410,'gia dat'!$A$1:$F$144,6,0)," ")</f>
        <v xml:space="preserve"> </v>
      </c>
      <c r="M1410" s="900" t="str">
        <f t="shared" si="309"/>
        <v xml:space="preserve"> </v>
      </c>
      <c r="N1410" s="900" t="str">
        <f t="shared" si="310"/>
        <v xml:space="preserve"> </v>
      </c>
      <c r="O1410" s="922"/>
      <c r="P1410" s="926"/>
      <c r="Q1410" s="900" t="str">
        <f>IF(O1410&lt;&gt;0,VLOOKUP(O1410,'Cây trong'!$A$2:$C$246,3,0)," ")</f>
        <v xml:space="preserve"> </v>
      </c>
      <c r="R1410" s="900" t="str">
        <f t="shared" si="302"/>
        <v xml:space="preserve"> </v>
      </c>
      <c r="S1410" s="902" t="s">
        <v>2362</v>
      </c>
      <c r="T1410" s="925" t="s">
        <v>2911</v>
      </c>
      <c r="U1410" s="927">
        <v>50.4</v>
      </c>
      <c r="V1410" s="929"/>
      <c r="W1410" s="900">
        <f>IF(S1410&lt;&gt;0,VLOOKUP(S1410,VKT!$A$2:$G$415,7,0),"")</f>
        <v>625568</v>
      </c>
      <c r="X1410" s="900">
        <f t="shared" si="308"/>
        <v>31529000</v>
      </c>
      <c r="Y1410" s="898"/>
      <c r="Z1410" s="904"/>
      <c r="AA1410" s="904"/>
      <c r="AB1410" s="904"/>
      <c r="AC1410" s="904"/>
      <c r="AD1410" s="904"/>
      <c r="AE1410" s="904"/>
      <c r="AF1410" s="899"/>
      <c r="AG1410" s="906" t="str">
        <f>IF(AE1410&lt;&gt;0,VLOOKUP(AE1410,ODDS!$A$2:$C$13,3,0),"")</f>
        <v/>
      </c>
      <c r="AH1410" s="906" t="str">
        <f t="shared" si="303"/>
        <v xml:space="preserve"> </v>
      </c>
      <c r="AI1410" s="907" t="str">
        <f t="shared" si="297"/>
        <v xml:space="preserve"> </v>
      </c>
      <c r="AJ1410" s="929"/>
      <c r="AK1410" s="929"/>
    </row>
    <row r="1411" spans="1:37" s="385" customFormat="1" ht="67.5" outlineLevel="2" x14ac:dyDescent="0.3">
      <c r="A1411" s="447">
        <f t="shared" si="307"/>
        <v>111</v>
      </c>
      <c r="B1411" s="893"/>
      <c r="C1411" s="908"/>
      <c r="D1411" s="1035"/>
      <c r="E1411" s="950"/>
      <c r="F1411" s="1032"/>
      <c r="G1411" s="894"/>
      <c r="H1411" s="1059"/>
      <c r="I1411" s="882"/>
      <c r="J1411" s="1042"/>
      <c r="K1411" s="899" t="str">
        <f>IF(G1411&lt;&gt;0,VLOOKUP(G1411,'gia dat'!$A$1:$F$144,5,0)," ")</f>
        <v xml:space="preserve"> </v>
      </c>
      <c r="L1411" s="899" t="str">
        <f>IF(G1411&lt;&gt;0,VLOOKUP(G1411,'gia dat'!$A$1:$F$144,6,0)," ")</f>
        <v xml:space="preserve"> </v>
      </c>
      <c r="M1411" s="900" t="str">
        <f t="shared" si="309"/>
        <v xml:space="preserve"> </v>
      </c>
      <c r="N1411" s="900" t="str">
        <f t="shared" si="310"/>
        <v xml:space="preserve"> </v>
      </c>
      <c r="O1411" s="922"/>
      <c r="P1411" s="965"/>
      <c r="Q1411" s="900" t="str">
        <f>IF(O1411&lt;&gt;0,VLOOKUP(O1411,'Cây trong'!$A$2:$C$246,3,0)," ")</f>
        <v xml:space="preserve"> </v>
      </c>
      <c r="R1411" s="900" t="str">
        <f t="shared" si="302"/>
        <v xml:space="preserve"> </v>
      </c>
      <c r="S1411" s="922" t="s">
        <v>1758</v>
      </c>
      <c r="T1411" s="944" t="s">
        <v>93</v>
      </c>
      <c r="U1411" s="927">
        <v>1</v>
      </c>
      <c r="V1411" s="929"/>
      <c r="W1411" s="900">
        <f>IF(S1411&lt;&gt;0,VLOOKUP(S1411,VKT!$A$2:$G$415,7,0),"")</f>
        <v>0</v>
      </c>
      <c r="X1411" s="900">
        <f t="shared" si="308"/>
        <v>0</v>
      </c>
      <c r="Y1411" s="898"/>
      <c r="Z1411" s="904"/>
      <c r="AA1411" s="904"/>
      <c r="AB1411" s="904"/>
      <c r="AC1411" s="904"/>
      <c r="AD1411" s="904"/>
      <c r="AE1411" s="904"/>
      <c r="AF1411" s="899"/>
      <c r="AG1411" s="906" t="str">
        <f>IF(AE1411&lt;&gt;0,VLOOKUP(AE1411,ODDS!$A$2:$C$13,3,0),"")</f>
        <v/>
      </c>
      <c r="AH1411" s="906" t="str">
        <f t="shared" si="303"/>
        <v xml:space="preserve"> </v>
      </c>
      <c r="AI1411" s="907" t="str">
        <f t="shared" si="297"/>
        <v xml:space="preserve"> </v>
      </c>
      <c r="AJ1411" s="929"/>
      <c r="AK1411" s="929"/>
    </row>
    <row r="1412" spans="1:37" s="385" customFormat="1" ht="22.5" outlineLevel="2" x14ac:dyDescent="0.3">
      <c r="A1412" s="447">
        <f t="shared" si="307"/>
        <v>111</v>
      </c>
      <c r="B1412" s="893"/>
      <c r="C1412" s="908"/>
      <c r="D1412" s="1035"/>
      <c r="E1412" s="950"/>
      <c r="F1412" s="1032"/>
      <c r="G1412" s="894"/>
      <c r="H1412" s="1059"/>
      <c r="I1412" s="882"/>
      <c r="J1412" s="1042"/>
      <c r="K1412" s="899" t="str">
        <f>IF(G1412&lt;&gt;0,VLOOKUP(G1412,'gia dat'!$A$1:$F$144,5,0)," ")</f>
        <v xml:space="preserve"> </v>
      </c>
      <c r="L1412" s="899" t="str">
        <f>IF(G1412&lt;&gt;0,VLOOKUP(G1412,'gia dat'!$A$1:$F$144,6,0)," ")</f>
        <v xml:space="preserve"> </v>
      </c>
      <c r="M1412" s="900" t="str">
        <f t="shared" si="309"/>
        <v xml:space="preserve"> </v>
      </c>
      <c r="N1412" s="900" t="str">
        <f t="shared" si="310"/>
        <v xml:space="preserve"> </v>
      </c>
      <c r="O1412" s="922"/>
      <c r="P1412" s="965"/>
      <c r="Q1412" s="900" t="str">
        <f>IF(O1412&lt;&gt;0,VLOOKUP(O1412,'Cây trong'!$A$2:$C$246,3,0)," ")</f>
        <v xml:space="preserve"> </v>
      </c>
      <c r="R1412" s="900" t="str">
        <f t="shared" si="302"/>
        <v xml:space="preserve"> </v>
      </c>
      <c r="S1412" s="922"/>
      <c r="T1412" s="944"/>
      <c r="U1412" s="903"/>
      <c r="V1412" s="929"/>
      <c r="W1412" s="900" t="str">
        <f>IF(S1412&lt;&gt;0,VLOOKUP(S1412,VKT!$A$2:$G$415,7,0),"")</f>
        <v/>
      </c>
      <c r="X1412" s="900" t="str">
        <f t="shared" si="308"/>
        <v xml:space="preserve"> </v>
      </c>
      <c r="Y1412" s="898"/>
      <c r="Z1412" s="904"/>
      <c r="AA1412" s="904"/>
      <c r="AB1412" s="904"/>
      <c r="AC1412" s="904"/>
      <c r="AD1412" s="904"/>
      <c r="AE1412" s="904"/>
      <c r="AF1412" s="899"/>
      <c r="AG1412" s="906" t="str">
        <f>IF(AE1412&lt;&gt;0,VLOOKUP(AE1412,ODDS!$A$2:$C$13,3,0),"")</f>
        <v/>
      </c>
      <c r="AH1412" s="906" t="str">
        <f t="shared" si="303"/>
        <v xml:space="preserve"> </v>
      </c>
      <c r="AI1412" s="907" t="str">
        <f t="shared" si="297"/>
        <v xml:space="preserve"> </v>
      </c>
      <c r="AJ1412" s="929"/>
      <c r="AK1412" s="929"/>
    </row>
    <row r="1413" spans="1:37" s="385" customFormat="1" ht="22.5" outlineLevel="2" x14ac:dyDescent="0.3">
      <c r="A1413" s="447">
        <f t="shared" si="307"/>
        <v>111</v>
      </c>
      <c r="B1413" s="893"/>
      <c r="C1413" s="908"/>
      <c r="D1413" s="1035"/>
      <c r="E1413" s="950"/>
      <c r="F1413" s="1032"/>
      <c r="G1413" s="894"/>
      <c r="H1413" s="1059"/>
      <c r="I1413" s="882"/>
      <c r="J1413" s="1042"/>
      <c r="K1413" s="899" t="str">
        <f>IF(G1413&lt;&gt;0,VLOOKUP(G1413,'gia dat'!$A$1:$F$144,5,0)," ")</f>
        <v xml:space="preserve"> </v>
      </c>
      <c r="L1413" s="899" t="str">
        <f>IF(G1413&lt;&gt;0,VLOOKUP(G1413,'gia dat'!$A$1:$F$144,6,0)," ")</f>
        <v xml:space="preserve"> </v>
      </c>
      <c r="M1413" s="900" t="str">
        <f t="shared" si="309"/>
        <v xml:space="preserve"> </v>
      </c>
      <c r="N1413" s="900" t="str">
        <f t="shared" si="310"/>
        <v xml:space="preserve"> </v>
      </c>
      <c r="O1413" s="922"/>
      <c r="P1413" s="965"/>
      <c r="Q1413" s="900" t="str">
        <f>IF(O1413&lt;&gt;0,VLOOKUP(O1413,'Cây trong'!$A$2:$C$246,3,0)," ")</f>
        <v xml:space="preserve"> </v>
      </c>
      <c r="R1413" s="900" t="str">
        <f t="shared" si="302"/>
        <v xml:space="preserve"> </v>
      </c>
      <c r="S1413" s="922"/>
      <c r="T1413" s="944"/>
      <c r="U1413" s="903"/>
      <c r="V1413" s="929"/>
      <c r="W1413" s="900" t="str">
        <f>IF(S1413&lt;&gt;0,VLOOKUP(S1413,VKT!$A$2:$G$415,7,0),"")</f>
        <v/>
      </c>
      <c r="X1413" s="900" t="str">
        <f t="shared" si="308"/>
        <v xml:space="preserve"> </v>
      </c>
      <c r="Y1413" s="898"/>
      <c r="Z1413" s="904"/>
      <c r="AA1413" s="904"/>
      <c r="AB1413" s="904"/>
      <c r="AC1413" s="904"/>
      <c r="AD1413" s="904"/>
      <c r="AE1413" s="904"/>
      <c r="AF1413" s="899"/>
      <c r="AG1413" s="906" t="str">
        <f>IF(AE1413&lt;&gt;0,VLOOKUP(AE1413,ODDS!$A$2:$C$13,3,0),"")</f>
        <v/>
      </c>
      <c r="AH1413" s="906" t="str">
        <f t="shared" si="303"/>
        <v xml:space="preserve"> </v>
      </c>
      <c r="AI1413" s="907" t="str">
        <f t="shared" si="297"/>
        <v xml:space="preserve"> </v>
      </c>
      <c r="AJ1413" s="929"/>
      <c r="AK1413" s="929"/>
    </row>
    <row r="1414" spans="1:37" s="385" customFormat="1" ht="22.5" outlineLevel="2" x14ac:dyDescent="0.3">
      <c r="A1414" s="447">
        <f t="shared" si="307"/>
        <v>111</v>
      </c>
      <c r="B1414" s="893"/>
      <c r="C1414" s="910"/>
      <c r="D1414" s="1035"/>
      <c r="E1414" s="950"/>
      <c r="F1414" s="1032"/>
      <c r="G1414" s="894"/>
      <c r="H1414" s="1059"/>
      <c r="I1414" s="882"/>
      <c r="J1414" s="1042"/>
      <c r="K1414" s="899" t="str">
        <f>IF(G1414&lt;&gt;0,VLOOKUP(G1414,'gia dat'!$A$1:$F$144,5,0)," ")</f>
        <v xml:space="preserve"> </v>
      </c>
      <c r="L1414" s="899" t="str">
        <f>IF(G1414&lt;&gt;0,VLOOKUP(G1414,'gia dat'!$A$1:$F$144,6,0)," ")</f>
        <v xml:space="preserve"> </v>
      </c>
      <c r="M1414" s="900" t="str">
        <f t="shared" si="309"/>
        <v xml:space="preserve"> </v>
      </c>
      <c r="N1414" s="900" t="str">
        <f t="shared" si="310"/>
        <v xml:space="preserve"> </v>
      </c>
      <c r="O1414" s="922"/>
      <c r="P1414" s="965"/>
      <c r="Q1414" s="900" t="str">
        <f>IF(O1414&lt;&gt;0,VLOOKUP(O1414,'Cây trong'!$A$2:$C$246,3,0)," ")</f>
        <v xml:space="preserve"> </v>
      </c>
      <c r="R1414" s="900" t="str">
        <f t="shared" si="302"/>
        <v xml:space="preserve"> </v>
      </c>
      <c r="S1414" s="922"/>
      <c r="T1414" s="944"/>
      <c r="U1414" s="903"/>
      <c r="V1414" s="929"/>
      <c r="W1414" s="900" t="str">
        <f>IF(S1414&lt;&gt;0,VLOOKUP(S1414,VKT!$A$2:$G$415,7,0),"")</f>
        <v/>
      </c>
      <c r="X1414" s="900" t="str">
        <f t="shared" si="308"/>
        <v xml:space="preserve"> </v>
      </c>
      <c r="Y1414" s="898"/>
      <c r="Z1414" s="904"/>
      <c r="AA1414" s="904"/>
      <c r="AB1414" s="904"/>
      <c r="AC1414" s="904"/>
      <c r="AD1414" s="904"/>
      <c r="AE1414" s="904"/>
      <c r="AF1414" s="899"/>
      <c r="AG1414" s="906" t="str">
        <f>IF(AE1414&lt;&gt;0,VLOOKUP(AE1414,ODDS!$A$2:$C$13,3,0),"")</f>
        <v/>
      </c>
      <c r="AH1414" s="906" t="str">
        <f t="shared" si="303"/>
        <v xml:space="preserve"> </v>
      </c>
      <c r="AI1414" s="907" t="str">
        <f t="shared" si="297"/>
        <v xml:space="preserve"> </v>
      </c>
      <c r="AJ1414" s="929"/>
      <c r="AK1414" s="929"/>
    </row>
    <row r="1415" spans="1:37" s="385" customFormat="1" ht="22.5" outlineLevel="1" x14ac:dyDescent="0.25">
      <c r="A1415" s="467" t="s">
        <v>2598</v>
      </c>
      <c r="B1415" s="912">
        <v>112</v>
      </c>
      <c r="C1415" s="910" t="s">
        <v>1027</v>
      </c>
      <c r="D1415" s="1037"/>
      <c r="E1415" s="1037"/>
      <c r="F1415" s="1038"/>
      <c r="G1415" s="910"/>
      <c r="H1415" s="932">
        <f>SUBTOTAL(9,H1416:H1427)</f>
        <v>500</v>
      </c>
      <c r="I1415" s="915">
        <f>SUBTOTAL(9,I1416:I1421)</f>
        <v>419.2</v>
      </c>
      <c r="J1415" s="933"/>
      <c r="K1415" s="917"/>
      <c r="L1415" s="917"/>
      <c r="M1415" s="907">
        <f>SUBTOTAL(9,M1416:M1427)</f>
        <v>232800000</v>
      </c>
      <c r="N1415" s="907">
        <f>SUBTOTAL(9,N1416:N1427)</f>
        <v>585539000</v>
      </c>
      <c r="O1415" s="910"/>
      <c r="P1415" s="935">
        <f>SUBTOTAL(9,P1416:P1427)</f>
        <v>1</v>
      </c>
      <c r="Q1415" s="907"/>
      <c r="R1415" s="907">
        <f>SUBTOTAL(9,R1416:R1427)</f>
        <v>600000</v>
      </c>
      <c r="S1415" s="918"/>
      <c r="T1415" s="933"/>
      <c r="U1415" s="936">
        <f>SUBTOTAL(9,U1416:U1427)</f>
        <v>79.100000000000009</v>
      </c>
      <c r="V1415" s="943"/>
      <c r="W1415" s="907"/>
      <c r="X1415" s="907">
        <f>SUBTOTAL(9,X1416:X1427)</f>
        <v>210905000</v>
      </c>
      <c r="Y1415" s="898"/>
      <c r="Z1415" s="904"/>
      <c r="AA1415" s="904"/>
      <c r="AB1415" s="904"/>
      <c r="AC1415" s="904"/>
      <c r="AD1415" s="904"/>
      <c r="AE1415" s="938"/>
      <c r="AF1415" s="917">
        <f>SUBTOTAL(9,AF1416:AF1427)</f>
        <v>1</v>
      </c>
      <c r="AG1415" s="921"/>
      <c r="AH1415" s="921">
        <f>SUBTOTAL(9,AH1416:AH1427)</f>
        <v>13000000</v>
      </c>
      <c r="AI1415" s="907">
        <f t="shared" si="297"/>
        <v>1042844000</v>
      </c>
      <c r="AJ1415" s="910"/>
      <c r="AK1415" s="914"/>
    </row>
    <row r="1416" spans="1:37" s="385" customFormat="1" ht="135" outlineLevel="2" x14ac:dyDescent="0.3">
      <c r="A1416" s="447">
        <f>IF(B1415&lt;&gt;0,B1415,A1414)</f>
        <v>112</v>
      </c>
      <c r="B1416" s="893"/>
      <c r="C1416" s="894" t="s">
        <v>1030</v>
      </c>
      <c r="D1416" s="950">
        <v>1</v>
      </c>
      <c r="E1416" s="950">
        <v>86</v>
      </c>
      <c r="F1416" s="1032">
        <v>1512</v>
      </c>
      <c r="G1416" s="894" t="s">
        <v>2434</v>
      </c>
      <c r="H1416" s="940">
        <f>500-H1417</f>
        <v>80.800000000000011</v>
      </c>
      <c r="I1416" s="882" t="str">
        <f t="shared" ref="I1416:I1417" si="311">IF(N1416&gt;0,H1416,"")</f>
        <v/>
      </c>
      <c r="J1416" s="925"/>
      <c r="K1416" s="899">
        <f>IF(G1416&lt;&gt;0,VLOOKUP(G1416,'gia dat'!$A$1:$F$144,5,0)," ")</f>
        <v>465600</v>
      </c>
      <c r="L1416" s="899">
        <f>IF(G1416&lt;&gt;0,VLOOKUP(G1416,'gia dat'!$A$1:$F$144,6,0)," ")</f>
        <v>0</v>
      </c>
      <c r="M1416" s="900">
        <f t="shared" si="309"/>
        <v>37620000</v>
      </c>
      <c r="N1416" s="900">
        <f t="shared" si="310"/>
        <v>0</v>
      </c>
      <c r="O1416" s="894" t="s">
        <v>1028</v>
      </c>
      <c r="P1416" s="926">
        <v>1</v>
      </c>
      <c r="Q1416" s="900">
        <f>IF(O1416&lt;&gt;0,VLOOKUP(O1416,'Cây trong'!$A$2:$C$246,3,0)," ")</f>
        <v>600000</v>
      </c>
      <c r="R1416" s="900">
        <f t="shared" si="302"/>
        <v>600000</v>
      </c>
      <c r="S1416" s="902" t="s">
        <v>1763</v>
      </c>
      <c r="T1416" s="925" t="s">
        <v>2911</v>
      </c>
      <c r="U1416" s="927">
        <v>52.8</v>
      </c>
      <c r="V1416" s="929"/>
      <c r="W1416" s="900">
        <f>IF(S1416&lt;&gt;0,VLOOKUP(S1416,VKT!$A$2:$G$415,7,0),"")</f>
        <v>3550600</v>
      </c>
      <c r="X1416" s="900">
        <f t="shared" si="308"/>
        <v>187472000</v>
      </c>
      <c r="Y1416" s="898" t="s">
        <v>139</v>
      </c>
      <c r="Z1416" s="904" t="s">
        <v>980</v>
      </c>
      <c r="AA1416" s="904" t="s">
        <v>1012</v>
      </c>
      <c r="AB1416" s="904" t="s">
        <v>269</v>
      </c>
      <c r="AC1416" s="904" t="s">
        <v>139</v>
      </c>
      <c r="AD1416" s="904"/>
      <c r="AE1416" s="905"/>
      <c r="AF1416" s="899"/>
      <c r="AG1416" s="906"/>
      <c r="AH1416" s="906"/>
      <c r="AI1416" s="907" t="str">
        <f t="shared" si="297"/>
        <v xml:space="preserve"> </v>
      </c>
      <c r="AJ1416" s="894" t="s">
        <v>1029</v>
      </c>
      <c r="AK1416" s="922" t="s">
        <v>2771</v>
      </c>
    </row>
    <row r="1417" spans="1:37" s="385" customFormat="1" ht="135" outlineLevel="2" x14ac:dyDescent="0.3">
      <c r="A1417" s="447">
        <f t="shared" ref="A1417:A1427" si="312">IF(B1416&lt;&gt;0,B1416,A1416)</f>
        <v>112</v>
      </c>
      <c r="B1417" s="893"/>
      <c r="C1417" s="922" t="s">
        <v>1660</v>
      </c>
      <c r="D1417" s="950"/>
      <c r="E1417" s="950">
        <v>86</v>
      </c>
      <c r="F1417" s="1032">
        <v>1512</v>
      </c>
      <c r="G1417" s="894" t="s">
        <v>2435</v>
      </c>
      <c r="H1417" s="940">
        <v>419.2</v>
      </c>
      <c r="I1417" s="882">
        <f t="shared" si="311"/>
        <v>419.2</v>
      </c>
      <c r="J1417" s="925"/>
      <c r="K1417" s="899">
        <f>IF(G1417&lt;&gt;0,VLOOKUP(G1417,'gia dat'!$A$1:$F$144,5,0)," ")</f>
        <v>465600</v>
      </c>
      <c r="L1417" s="899">
        <f>IF(G1417&lt;&gt;0,VLOOKUP(G1417,'gia dat'!$A$1:$F$144,6,0)," ")</f>
        <v>1396800</v>
      </c>
      <c r="M1417" s="900">
        <f t="shared" si="309"/>
        <v>195180000</v>
      </c>
      <c r="N1417" s="900">
        <f t="shared" si="310"/>
        <v>585539000</v>
      </c>
      <c r="O1417" s="894"/>
      <c r="P1417" s="926"/>
      <c r="Q1417" s="900" t="str">
        <f>IF(O1417&lt;&gt;0,VLOOKUP(O1417,'Cây trong'!$A$2:$C$246,3,0)," ")</f>
        <v xml:space="preserve"> </v>
      </c>
      <c r="R1417" s="900" t="str">
        <f t="shared" si="302"/>
        <v xml:space="preserve"> </v>
      </c>
      <c r="S1417" s="902" t="s">
        <v>1797</v>
      </c>
      <c r="T1417" s="925" t="s">
        <v>2911</v>
      </c>
      <c r="U1417" s="952">
        <v>2.2000000000000002</v>
      </c>
      <c r="V1417" s="929"/>
      <c r="W1417" s="900">
        <f>IF(S1417&lt;&gt;0,VLOOKUP(S1417,VKT!$A$2:$G$415,7,0),"")</f>
        <v>3550600</v>
      </c>
      <c r="X1417" s="900">
        <f t="shared" si="308"/>
        <v>7811000</v>
      </c>
      <c r="Y1417" s="898" t="s">
        <v>139</v>
      </c>
      <c r="Z1417" s="904" t="s">
        <v>980</v>
      </c>
      <c r="AA1417" s="904" t="s">
        <v>1012</v>
      </c>
      <c r="AB1417" s="904" t="s">
        <v>269</v>
      </c>
      <c r="AC1417" s="904" t="s">
        <v>139</v>
      </c>
      <c r="AD1417" s="904"/>
      <c r="AE1417" s="905" t="s">
        <v>2789</v>
      </c>
      <c r="AF1417" s="926">
        <v>1</v>
      </c>
      <c r="AG1417" s="906">
        <f>IF(AE1417&lt;&gt;0,VLOOKUP(AE1417,ODDS!$A$2:$C$13,3,0),"")</f>
        <v>13000000</v>
      </c>
      <c r="AH1417" s="906">
        <f t="shared" si="303"/>
        <v>13000000</v>
      </c>
      <c r="AI1417" s="907" t="str">
        <f t="shared" ref="AI1417:AI1480" si="313">IF(B1417&lt;&gt;0,M1417+N1417+R1417+X1417+AH1417," ")</f>
        <v xml:space="preserve"> </v>
      </c>
      <c r="AJ1417" s="894" t="s">
        <v>2942</v>
      </c>
      <c r="AK1417" s="894" t="s">
        <v>2448</v>
      </c>
    </row>
    <row r="1418" spans="1:37" s="385" customFormat="1" ht="112.5" outlineLevel="2" x14ac:dyDescent="0.3">
      <c r="A1418" s="447">
        <f t="shared" si="312"/>
        <v>112</v>
      </c>
      <c r="B1418" s="893"/>
      <c r="C1418" s="894"/>
      <c r="D1418" s="950"/>
      <c r="E1418" s="950"/>
      <c r="F1418" s="1032"/>
      <c r="G1418" s="894"/>
      <c r="H1418" s="940"/>
      <c r="I1418" s="882"/>
      <c r="J1418" s="925"/>
      <c r="K1418" s="899" t="str">
        <f>IF(G1418&lt;&gt;0,VLOOKUP(G1418,'gia dat'!$A$1:$F$144,5,0)," ")</f>
        <v xml:space="preserve"> </v>
      </c>
      <c r="L1418" s="899" t="str">
        <f>IF(G1418&lt;&gt;0,VLOOKUP(G1418,'gia dat'!$A$1:$F$144,6,0)," ")</f>
        <v xml:space="preserve"> </v>
      </c>
      <c r="M1418" s="900" t="str">
        <f t="shared" si="309"/>
        <v xml:space="preserve"> </v>
      </c>
      <c r="N1418" s="900" t="str">
        <f t="shared" si="310"/>
        <v xml:space="preserve"> </v>
      </c>
      <c r="O1418" s="894"/>
      <c r="P1418" s="926"/>
      <c r="Q1418" s="900" t="str">
        <f>IF(O1418&lt;&gt;0,VLOOKUP(O1418,'Cây trong'!$A$2:$C$246,3,0)," ")</f>
        <v xml:space="preserve"> </v>
      </c>
      <c r="R1418" s="900" t="str">
        <f t="shared" si="302"/>
        <v xml:space="preserve"> </v>
      </c>
      <c r="S1418" s="902" t="s">
        <v>1797</v>
      </c>
      <c r="T1418" s="925" t="s">
        <v>2911</v>
      </c>
      <c r="U1418" s="927">
        <v>2.2000000000000002</v>
      </c>
      <c r="V1418" s="929"/>
      <c r="W1418" s="900">
        <f>IF(S1418&lt;&gt;0,VLOOKUP(S1418,VKT!$A$2:$G$415,7,0),"")</f>
        <v>3550600</v>
      </c>
      <c r="X1418" s="900">
        <f t="shared" si="308"/>
        <v>7811000</v>
      </c>
      <c r="Y1418" s="898" t="s">
        <v>139</v>
      </c>
      <c r="Z1418" s="904" t="s">
        <v>980</v>
      </c>
      <c r="AA1418" s="904" t="s">
        <v>1012</v>
      </c>
      <c r="AB1418" s="904" t="s">
        <v>269</v>
      </c>
      <c r="AC1418" s="904" t="s">
        <v>139</v>
      </c>
      <c r="AD1418" s="904"/>
      <c r="AE1418" s="941"/>
      <c r="AF1418" s="926"/>
      <c r="AG1418" s="906" t="str">
        <f>IF(AE1418&lt;&gt;0,VLOOKUP(AE1418,ODDS!$A$2:$C$13,3,0),"")</f>
        <v/>
      </c>
      <c r="AH1418" s="906" t="str">
        <f t="shared" si="303"/>
        <v xml:space="preserve"> </v>
      </c>
      <c r="AI1418" s="907" t="str">
        <f t="shared" si="313"/>
        <v xml:space="preserve"> </v>
      </c>
      <c r="AJ1418" s="894" t="s">
        <v>1032</v>
      </c>
      <c r="AK1418" s="894" t="s">
        <v>2450</v>
      </c>
    </row>
    <row r="1419" spans="1:37" s="385" customFormat="1" ht="112.5" outlineLevel="2" x14ac:dyDescent="0.3">
      <c r="A1419" s="447">
        <f t="shared" si="312"/>
        <v>112</v>
      </c>
      <c r="B1419" s="893"/>
      <c r="C1419" s="894"/>
      <c r="D1419" s="950"/>
      <c r="E1419" s="950"/>
      <c r="F1419" s="1032"/>
      <c r="G1419" s="894"/>
      <c r="H1419" s="940"/>
      <c r="I1419" s="882"/>
      <c r="J1419" s="925"/>
      <c r="K1419" s="899" t="str">
        <f>IF(G1419&lt;&gt;0,VLOOKUP(G1419,'gia dat'!$A$1:$F$144,5,0)," ")</f>
        <v xml:space="preserve"> </v>
      </c>
      <c r="L1419" s="899" t="str">
        <f>IF(G1419&lt;&gt;0,VLOOKUP(G1419,'gia dat'!$A$1:$F$144,6,0)," ")</f>
        <v xml:space="preserve"> </v>
      </c>
      <c r="M1419" s="900" t="str">
        <f t="shared" si="309"/>
        <v xml:space="preserve"> </v>
      </c>
      <c r="N1419" s="900" t="str">
        <f t="shared" si="310"/>
        <v xml:space="preserve"> </v>
      </c>
      <c r="O1419" s="894"/>
      <c r="P1419" s="926"/>
      <c r="Q1419" s="900" t="str">
        <f>IF(O1419&lt;&gt;0,VLOOKUP(O1419,'Cây trong'!$A$2:$C$246,3,0)," ")</f>
        <v xml:space="preserve"> </v>
      </c>
      <c r="R1419" s="900" t="str">
        <f t="shared" si="302"/>
        <v xml:space="preserve"> </v>
      </c>
      <c r="S1419" s="902" t="s">
        <v>1797</v>
      </c>
      <c r="T1419" s="925" t="s">
        <v>2911</v>
      </c>
      <c r="U1419" s="927">
        <v>2.2000000000000002</v>
      </c>
      <c r="V1419" s="929"/>
      <c r="W1419" s="900">
        <f>IF(S1419&lt;&gt;0,VLOOKUP(S1419,VKT!$A$2:$G$415,7,0),"")</f>
        <v>3550600</v>
      </c>
      <c r="X1419" s="900">
        <f t="shared" si="308"/>
        <v>7811000</v>
      </c>
      <c r="Y1419" s="898" t="s">
        <v>139</v>
      </c>
      <c r="Z1419" s="904" t="s">
        <v>980</v>
      </c>
      <c r="AA1419" s="904" t="s">
        <v>1012</v>
      </c>
      <c r="AB1419" s="904" t="s">
        <v>269</v>
      </c>
      <c r="AC1419" s="904" t="s">
        <v>139</v>
      </c>
      <c r="AD1419" s="904"/>
      <c r="AE1419" s="904"/>
      <c r="AF1419" s="899"/>
      <c r="AG1419" s="906" t="str">
        <f>IF(AE1419&lt;&gt;0,VLOOKUP(AE1419,ODDS!$A$2:$C$13,3,0),"")</f>
        <v/>
      </c>
      <c r="AH1419" s="906" t="str">
        <f t="shared" si="303"/>
        <v xml:space="preserve"> </v>
      </c>
      <c r="AI1419" s="907" t="str">
        <f t="shared" si="313"/>
        <v xml:space="preserve"> </v>
      </c>
      <c r="AJ1419" s="894" t="s">
        <v>2074</v>
      </c>
      <c r="AK1419" s="894" t="s">
        <v>2449</v>
      </c>
    </row>
    <row r="1420" spans="1:37" s="385" customFormat="1" ht="90" outlineLevel="2" x14ac:dyDescent="0.35">
      <c r="A1420" s="447">
        <f t="shared" si="312"/>
        <v>112</v>
      </c>
      <c r="B1420" s="893"/>
      <c r="C1420" s="894"/>
      <c r="D1420" s="950"/>
      <c r="E1420" s="950"/>
      <c r="F1420" s="1032"/>
      <c r="G1420" s="894"/>
      <c r="H1420" s="940"/>
      <c r="I1420" s="882"/>
      <c r="J1420" s="925"/>
      <c r="K1420" s="899" t="str">
        <f>IF(G1420&lt;&gt;0,VLOOKUP(G1420,'gia dat'!$A$1:$F$144,5,0)," ")</f>
        <v xml:space="preserve"> </v>
      </c>
      <c r="L1420" s="899" t="str">
        <f>IF(G1420&lt;&gt;0,VLOOKUP(G1420,'gia dat'!$A$1:$F$144,6,0)," ")</f>
        <v xml:space="preserve"> </v>
      </c>
      <c r="M1420" s="900" t="str">
        <f t="shared" si="309"/>
        <v xml:space="preserve"> </v>
      </c>
      <c r="N1420" s="900" t="str">
        <f t="shared" si="310"/>
        <v xml:space="preserve"> </v>
      </c>
      <c r="O1420" s="894"/>
      <c r="P1420" s="926"/>
      <c r="Q1420" s="900" t="str">
        <f>IF(O1420&lt;&gt;0,VLOOKUP(O1420,'Cây trong'!$A$2:$C$246,3,0)," ")</f>
        <v xml:space="preserve"> </v>
      </c>
      <c r="R1420" s="900" t="str">
        <f t="shared" si="302"/>
        <v xml:space="preserve"> </v>
      </c>
      <c r="S1420" s="902" t="s">
        <v>2409</v>
      </c>
      <c r="T1420" s="925" t="s">
        <v>2911</v>
      </c>
      <c r="U1420" s="927">
        <v>19.7</v>
      </c>
      <c r="V1420" s="929"/>
      <c r="W1420" s="900">
        <f>IF(S1420&lt;&gt;0,VLOOKUP(S1420,VKT!$A$2:$G$415,7,0),"")</f>
        <v>0</v>
      </c>
      <c r="X1420" s="900">
        <f t="shared" si="308"/>
        <v>0</v>
      </c>
      <c r="Y1420" s="898"/>
      <c r="Z1420" s="904"/>
      <c r="AA1420" s="904"/>
      <c r="AB1420" s="904"/>
      <c r="AC1420" s="904"/>
      <c r="AD1420" s="904"/>
      <c r="AE1420" s="904"/>
      <c r="AF1420" s="899"/>
      <c r="AG1420" s="906" t="str">
        <f>IF(AE1420&lt;&gt;0,VLOOKUP(AE1420,ODDS!$A$2:$C$13,3,0),"")</f>
        <v/>
      </c>
      <c r="AH1420" s="906" t="str">
        <f t="shared" si="303"/>
        <v xml:space="preserve"> </v>
      </c>
      <c r="AI1420" s="907" t="str">
        <f t="shared" si="313"/>
        <v xml:space="preserve"> </v>
      </c>
      <c r="AJ1420" s="1036"/>
      <c r="AK1420" s="894" t="s">
        <v>2451</v>
      </c>
    </row>
    <row r="1421" spans="1:37" s="385" customFormat="1" ht="112.5" outlineLevel="2" x14ac:dyDescent="0.35">
      <c r="A1421" s="447">
        <f t="shared" si="312"/>
        <v>112</v>
      </c>
      <c r="B1421" s="893"/>
      <c r="C1421" s="894"/>
      <c r="D1421" s="950"/>
      <c r="E1421" s="950"/>
      <c r="F1421" s="1032"/>
      <c r="G1421" s="894"/>
      <c r="H1421" s="940"/>
      <c r="I1421" s="882"/>
      <c r="J1421" s="925"/>
      <c r="K1421" s="899" t="str">
        <f>IF(G1421&lt;&gt;0,VLOOKUP(G1421,'gia dat'!$A$1:$F$144,5,0)," ")</f>
        <v xml:space="preserve"> </v>
      </c>
      <c r="L1421" s="899" t="str">
        <f>IF(G1421&lt;&gt;0,VLOOKUP(G1421,'gia dat'!$A$1:$F$144,6,0)," ")</f>
        <v xml:space="preserve"> </v>
      </c>
      <c r="M1421" s="900" t="str">
        <f t="shared" si="309"/>
        <v xml:space="preserve"> </v>
      </c>
      <c r="N1421" s="900" t="str">
        <f t="shared" si="310"/>
        <v xml:space="preserve"> </v>
      </c>
      <c r="O1421" s="894"/>
      <c r="P1421" s="926"/>
      <c r="Q1421" s="900" t="str">
        <f>IF(O1421&lt;&gt;0,VLOOKUP(O1421,'Cây trong'!$A$2:$C$246,3,0)," ")</f>
        <v xml:space="preserve"> </v>
      </c>
      <c r="R1421" s="900" t="str">
        <f t="shared" si="302"/>
        <v xml:space="preserve"> </v>
      </c>
      <c r="S1421" s="902"/>
      <c r="T1421" s="925"/>
      <c r="U1421" s="927"/>
      <c r="V1421" s="929"/>
      <c r="W1421" s="900" t="str">
        <f>IF(S1421&lt;&gt;0,VLOOKUP(S1421,VKT!$A$2:$G$415,7,0),"")</f>
        <v/>
      </c>
      <c r="X1421" s="900" t="str">
        <f t="shared" si="308"/>
        <v xml:space="preserve"> </v>
      </c>
      <c r="Y1421" s="898"/>
      <c r="Z1421" s="904"/>
      <c r="AA1421" s="904"/>
      <c r="AB1421" s="904"/>
      <c r="AC1421" s="904"/>
      <c r="AD1421" s="904"/>
      <c r="AE1421" s="904"/>
      <c r="AF1421" s="899"/>
      <c r="AG1421" s="906" t="str">
        <f>IF(AE1421&lt;&gt;0,VLOOKUP(AE1421,ODDS!$A$2:$C$13,3,0),"")</f>
        <v/>
      </c>
      <c r="AH1421" s="906" t="str">
        <f t="shared" si="303"/>
        <v xml:space="preserve"> </v>
      </c>
      <c r="AI1421" s="907" t="str">
        <f t="shared" si="313"/>
        <v xml:space="preserve"> </v>
      </c>
      <c r="AJ1421" s="1036"/>
      <c r="AK1421" s="894" t="s">
        <v>2800</v>
      </c>
    </row>
    <row r="1422" spans="1:37" s="385" customFormat="1" ht="22.5" outlineLevel="2" x14ac:dyDescent="0.35">
      <c r="A1422" s="447">
        <f t="shared" si="312"/>
        <v>112</v>
      </c>
      <c r="B1422" s="893"/>
      <c r="C1422" s="894"/>
      <c r="D1422" s="950"/>
      <c r="E1422" s="950"/>
      <c r="F1422" s="1032"/>
      <c r="G1422" s="894"/>
      <c r="H1422" s="940"/>
      <c r="I1422" s="882"/>
      <c r="J1422" s="925"/>
      <c r="K1422" s="899" t="str">
        <f>IF(G1422&lt;&gt;0,VLOOKUP(G1422,'gia dat'!$A$1:$F$144,5,0)," ")</f>
        <v xml:space="preserve"> </v>
      </c>
      <c r="L1422" s="899" t="str">
        <f>IF(G1422&lt;&gt;0,VLOOKUP(G1422,'gia dat'!$A$1:$F$144,6,0)," ")</f>
        <v xml:space="preserve"> </v>
      </c>
      <c r="M1422" s="900" t="str">
        <f t="shared" si="309"/>
        <v xml:space="preserve"> </v>
      </c>
      <c r="N1422" s="900" t="str">
        <f t="shared" si="310"/>
        <v xml:space="preserve"> </v>
      </c>
      <c r="O1422" s="894"/>
      <c r="P1422" s="926"/>
      <c r="Q1422" s="900" t="str">
        <f>IF(O1422&lt;&gt;0,VLOOKUP(O1422,'Cây trong'!$A$2:$C$246,3,0)," ")</f>
        <v xml:space="preserve"> </v>
      </c>
      <c r="R1422" s="900" t="str">
        <f t="shared" si="302"/>
        <v xml:space="preserve"> </v>
      </c>
      <c r="S1422" s="902"/>
      <c r="T1422" s="925"/>
      <c r="U1422" s="927"/>
      <c r="V1422" s="929"/>
      <c r="W1422" s="900" t="str">
        <f>IF(S1422&lt;&gt;0,VLOOKUP(S1422,VKT!$A$2:$G$415,7,0),"")</f>
        <v/>
      </c>
      <c r="X1422" s="900" t="str">
        <f t="shared" si="308"/>
        <v xml:space="preserve"> </v>
      </c>
      <c r="Y1422" s="898"/>
      <c r="Z1422" s="904"/>
      <c r="AA1422" s="904"/>
      <c r="AB1422" s="904"/>
      <c r="AC1422" s="904"/>
      <c r="AD1422" s="904"/>
      <c r="AE1422" s="904"/>
      <c r="AF1422" s="899"/>
      <c r="AG1422" s="906" t="str">
        <f>IF(AE1422&lt;&gt;0,VLOOKUP(AE1422,ODDS!$A$2:$C$13,3,0),"")</f>
        <v/>
      </c>
      <c r="AH1422" s="906" t="str">
        <f t="shared" si="303"/>
        <v xml:space="preserve"> </v>
      </c>
      <c r="AI1422" s="907" t="str">
        <f t="shared" si="313"/>
        <v xml:space="preserve"> </v>
      </c>
      <c r="AJ1422" s="1036"/>
      <c r="AK1422" s="894"/>
    </row>
    <row r="1423" spans="1:37" s="385" customFormat="1" ht="22.5" outlineLevel="2" x14ac:dyDescent="0.3">
      <c r="A1423" s="447">
        <f t="shared" si="312"/>
        <v>112</v>
      </c>
      <c r="B1423" s="893"/>
      <c r="C1423" s="894"/>
      <c r="D1423" s="950"/>
      <c r="E1423" s="950"/>
      <c r="F1423" s="1032"/>
      <c r="G1423" s="894"/>
      <c r="H1423" s="940"/>
      <c r="I1423" s="882"/>
      <c r="J1423" s="925"/>
      <c r="K1423" s="899" t="str">
        <f>IF(G1423&lt;&gt;0,VLOOKUP(G1423,'gia dat'!$A$1:$F$144,5,0)," ")</f>
        <v xml:space="preserve"> </v>
      </c>
      <c r="L1423" s="899" t="str">
        <f>IF(G1423&lt;&gt;0,VLOOKUP(G1423,'gia dat'!$A$1:$F$144,6,0)," ")</f>
        <v xml:space="preserve"> </v>
      </c>
      <c r="M1423" s="900" t="str">
        <f t="shared" si="309"/>
        <v xml:space="preserve"> </v>
      </c>
      <c r="N1423" s="900" t="str">
        <f t="shared" si="310"/>
        <v xml:space="preserve"> </v>
      </c>
      <c r="O1423" s="894"/>
      <c r="P1423" s="926"/>
      <c r="Q1423" s="900" t="str">
        <f>IF(O1423&lt;&gt;0,VLOOKUP(O1423,'Cây trong'!$A$2:$C$246,3,0)," ")</f>
        <v xml:space="preserve"> </v>
      </c>
      <c r="R1423" s="900" t="str">
        <f t="shared" si="302"/>
        <v xml:space="preserve"> </v>
      </c>
      <c r="S1423" s="902"/>
      <c r="T1423" s="925"/>
      <c r="U1423" s="952"/>
      <c r="V1423" s="929"/>
      <c r="W1423" s="900" t="str">
        <f>IF(S1423&lt;&gt;0,VLOOKUP(S1423,VKT!$A$2:$G$415,7,0),"")</f>
        <v/>
      </c>
      <c r="X1423" s="900" t="str">
        <f t="shared" si="308"/>
        <v xml:space="preserve"> </v>
      </c>
      <c r="Y1423" s="898"/>
      <c r="Z1423" s="904"/>
      <c r="AA1423" s="904"/>
      <c r="AB1423" s="904"/>
      <c r="AC1423" s="904"/>
      <c r="AD1423" s="904"/>
      <c r="AE1423" s="904"/>
      <c r="AF1423" s="899"/>
      <c r="AG1423" s="906" t="str">
        <f>IF(AE1423&lt;&gt;0,VLOOKUP(AE1423,ODDS!$A$2:$C$13,3,0),"")</f>
        <v/>
      </c>
      <c r="AH1423" s="906" t="str">
        <f t="shared" si="303"/>
        <v xml:space="preserve"> </v>
      </c>
      <c r="AI1423" s="907" t="str">
        <f t="shared" si="313"/>
        <v xml:space="preserve"> </v>
      </c>
      <c r="AJ1423" s="894"/>
      <c r="AK1423" s="894"/>
    </row>
    <row r="1424" spans="1:37" s="385" customFormat="1" ht="22.5" outlineLevel="2" x14ac:dyDescent="0.3">
      <c r="A1424" s="447">
        <f t="shared" si="312"/>
        <v>112</v>
      </c>
      <c r="B1424" s="893"/>
      <c r="C1424" s="894"/>
      <c r="D1424" s="950"/>
      <c r="E1424" s="950"/>
      <c r="F1424" s="1032"/>
      <c r="G1424" s="894"/>
      <c r="H1424" s="940"/>
      <c r="I1424" s="882"/>
      <c r="J1424" s="925"/>
      <c r="K1424" s="899" t="str">
        <f>IF(G1424&lt;&gt;0,VLOOKUP(G1424,'gia dat'!$A$1:$F$144,5,0)," ")</f>
        <v xml:space="preserve"> </v>
      </c>
      <c r="L1424" s="899" t="str">
        <f>IF(G1424&lt;&gt;0,VLOOKUP(G1424,'gia dat'!$A$1:$F$144,6,0)," ")</f>
        <v xml:space="preserve"> </v>
      </c>
      <c r="M1424" s="900" t="str">
        <f t="shared" si="309"/>
        <v xml:space="preserve"> </v>
      </c>
      <c r="N1424" s="900" t="str">
        <f t="shared" si="310"/>
        <v xml:space="preserve"> </v>
      </c>
      <c r="O1424" s="894"/>
      <c r="P1424" s="926"/>
      <c r="Q1424" s="900" t="str">
        <f>IF(O1424&lt;&gt;0,VLOOKUP(O1424,'Cây trong'!$A$2:$C$246,3,0)," ")</f>
        <v xml:space="preserve"> </v>
      </c>
      <c r="R1424" s="900" t="str">
        <f t="shared" si="302"/>
        <v xml:space="preserve"> </v>
      </c>
      <c r="S1424" s="902"/>
      <c r="T1424" s="925"/>
      <c r="U1424" s="927"/>
      <c r="V1424" s="929"/>
      <c r="W1424" s="900" t="str">
        <f>IF(S1424&lt;&gt;0,VLOOKUP(S1424,VKT!$A$2:$G$415,7,0),"")</f>
        <v/>
      </c>
      <c r="X1424" s="900" t="str">
        <f t="shared" si="308"/>
        <v xml:space="preserve"> </v>
      </c>
      <c r="Y1424" s="898"/>
      <c r="Z1424" s="904"/>
      <c r="AA1424" s="904"/>
      <c r="AB1424" s="904"/>
      <c r="AC1424" s="904"/>
      <c r="AD1424" s="904"/>
      <c r="AE1424" s="904"/>
      <c r="AF1424" s="899"/>
      <c r="AG1424" s="906" t="str">
        <f>IF(AE1424&lt;&gt;0,VLOOKUP(AE1424,ODDS!$A$2:$C$13,3,0),"")</f>
        <v/>
      </c>
      <c r="AH1424" s="906" t="str">
        <f t="shared" si="303"/>
        <v xml:space="preserve"> </v>
      </c>
      <c r="AI1424" s="907" t="str">
        <f t="shared" si="313"/>
        <v xml:space="preserve"> </v>
      </c>
      <c r="AJ1424" s="894"/>
      <c r="AK1424" s="894"/>
    </row>
    <row r="1425" spans="1:37" s="385" customFormat="1" ht="22.5" outlineLevel="2" x14ac:dyDescent="0.3">
      <c r="A1425" s="447">
        <f t="shared" si="312"/>
        <v>112</v>
      </c>
      <c r="B1425" s="893"/>
      <c r="C1425" s="894"/>
      <c r="D1425" s="950"/>
      <c r="E1425" s="950"/>
      <c r="F1425" s="1032"/>
      <c r="G1425" s="894"/>
      <c r="H1425" s="940"/>
      <c r="I1425" s="882"/>
      <c r="J1425" s="925"/>
      <c r="K1425" s="899" t="str">
        <f>IF(G1425&lt;&gt;0,VLOOKUP(G1425,'gia dat'!$A$1:$F$144,5,0)," ")</f>
        <v xml:space="preserve"> </v>
      </c>
      <c r="L1425" s="899" t="str">
        <f>IF(G1425&lt;&gt;0,VLOOKUP(G1425,'gia dat'!$A$1:$F$144,6,0)," ")</f>
        <v xml:space="preserve"> </v>
      </c>
      <c r="M1425" s="900" t="str">
        <f t="shared" si="309"/>
        <v xml:space="preserve"> </v>
      </c>
      <c r="N1425" s="900" t="str">
        <f t="shared" si="310"/>
        <v xml:space="preserve"> </v>
      </c>
      <c r="O1425" s="894"/>
      <c r="P1425" s="926"/>
      <c r="Q1425" s="900" t="str">
        <f>IF(O1425&lt;&gt;0,VLOOKUP(O1425,'Cây trong'!$A$2:$C$246,3,0)," ")</f>
        <v xml:space="preserve"> </v>
      </c>
      <c r="R1425" s="900" t="str">
        <f t="shared" si="302"/>
        <v xml:space="preserve"> </v>
      </c>
      <c r="S1425" s="902"/>
      <c r="T1425" s="925"/>
      <c r="U1425" s="927"/>
      <c r="V1425" s="929"/>
      <c r="W1425" s="900" t="str">
        <f>IF(S1425&lt;&gt;0,VLOOKUP(S1425,VKT!$A$2:$G$415,7,0),"")</f>
        <v/>
      </c>
      <c r="X1425" s="900" t="str">
        <f t="shared" si="308"/>
        <v xml:space="preserve"> </v>
      </c>
      <c r="Y1425" s="898"/>
      <c r="Z1425" s="904"/>
      <c r="AA1425" s="904"/>
      <c r="AB1425" s="904"/>
      <c r="AC1425" s="904"/>
      <c r="AD1425" s="904"/>
      <c r="AE1425" s="904"/>
      <c r="AF1425" s="899"/>
      <c r="AG1425" s="906" t="str">
        <f>IF(AE1425&lt;&gt;0,VLOOKUP(AE1425,ODDS!$A$2:$C$13,3,0),"")</f>
        <v/>
      </c>
      <c r="AH1425" s="906" t="str">
        <f t="shared" si="303"/>
        <v xml:space="preserve"> </v>
      </c>
      <c r="AI1425" s="907" t="str">
        <f t="shared" si="313"/>
        <v xml:space="preserve"> </v>
      </c>
      <c r="AJ1425" s="894"/>
      <c r="AK1425" s="894"/>
    </row>
    <row r="1426" spans="1:37" s="385" customFormat="1" ht="22.5" outlineLevel="2" x14ac:dyDescent="0.3">
      <c r="A1426" s="447">
        <f t="shared" si="312"/>
        <v>112</v>
      </c>
      <c r="B1426" s="893"/>
      <c r="C1426" s="894"/>
      <c r="D1426" s="950"/>
      <c r="E1426" s="950"/>
      <c r="F1426" s="1032"/>
      <c r="G1426" s="894"/>
      <c r="H1426" s="940"/>
      <c r="I1426" s="882"/>
      <c r="J1426" s="925"/>
      <c r="K1426" s="899" t="str">
        <f>IF(G1426&lt;&gt;0,VLOOKUP(G1426,'gia dat'!$A$1:$F$144,5,0)," ")</f>
        <v xml:space="preserve"> </v>
      </c>
      <c r="L1426" s="899" t="str">
        <f>IF(G1426&lt;&gt;0,VLOOKUP(G1426,'gia dat'!$A$1:$F$144,6,0)," ")</f>
        <v xml:space="preserve"> </v>
      </c>
      <c r="M1426" s="900" t="str">
        <f t="shared" si="309"/>
        <v xml:space="preserve"> </v>
      </c>
      <c r="N1426" s="900" t="str">
        <f t="shared" si="310"/>
        <v xml:space="preserve"> </v>
      </c>
      <c r="O1426" s="894"/>
      <c r="P1426" s="926"/>
      <c r="Q1426" s="900" t="str">
        <f>IF(O1426&lt;&gt;0,VLOOKUP(O1426,'Cây trong'!$A$2:$C$246,3,0)," ")</f>
        <v xml:space="preserve"> </v>
      </c>
      <c r="R1426" s="900" t="str">
        <f t="shared" si="302"/>
        <v xml:space="preserve"> </v>
      </c>
      <c r="S1426" s="902"/>
      <c r="T1426" s="925"/>
      <c r="U1426" s="927"/>
      <c r="V1426" s="929"/>
      <c r="W1426" s="900" t="str">
        <f>IF(S1426&lt;&gt;0,VLOOKUP(S1426,VKT!$A$2:$G$415,7,0),"")</f>
        <v/>
      </c>
      <c r="X1426" s="900" t="str">
        <f t="shared" si="308"/>
        <v xml:space="preserve"> </v>
      </c>
      <c r="Y1426" s="898"/>
      <c r="Z1426" s="904"/>
      <c r="AA1426" s="904"/>
      <c r="AB1426" s="904"/>
      <c r="AC1426" s="904"/>
      <c r="AD1426" s="904"/>
      <c r="AE1426" s="904"/>
      <c r="AF1426" s="899"/>
      <c r="AG1426" s="906" t="str">
        <f>IF(AE1426&lt;&gt;0,VLOOKUP(AE1426,ODDS!$A$2:$C$13,3,0),"")</f>
        <v/>
      </c>
      <c r="AH1426" s="906" t="str">
        <f t="shared" si="303"/>
        <v xml:space="preserve"> </v>
      </c>
      <c r="AI1426" s="907" t="str">
        <f t="shared" si="313"/>
        <v xml:space="preserve"> </v>
      </c>
      <c r="AJ1426" s="894"/>
      <c r="AK1426" s="894"/>
    </row>
    <row r="1427" spans="1:37" s="385" customFormat="1" ht="22.5" outlineLevel="2" x14ac:dyDescent="0.3">
      <c r="A1427" s="447">
        <f t="shared" si="312"/>
        <v>112</v>
      </c>
      <c r="B1427" s="893"/>
      <c r="C1427" s="910"/>
      <c r="D1427" s="950"/>
      <c r="E1427" s="950"/>
      <c r="F1427" s="1032"/>
      <c r="G1427" s="894"/>
      <c r="H1427" s="940"/>
      <c r="I1427" s="882"/>
      <c r="J1427" s="925"/>
      <c r="K1427" s="899" t="str">
        <f>IF(G1427&lt;&gt;0,VLOOKUP(G1427,'gia dat'!$A$1:$F$144,5,0)," ")</f>
        <v xml:space="preserve"> </v>
      </c>
      <c r="L1427" s="899" t="str">
        <f>IF(G1427&lt;&gt;0,VLOOKUP(G1427,'gia dat'!$A$1:$F$144,6,0)," ")</f>
        <v xml:space="preserve"> </v>
      </c>
      <c r="M1427" s="900" t="str">
        <f t="shared" si="309"/>
        <v xml:space="preserve"> </v>
      </c>
      <c r="N1427" s="900" t="str">
        <f t="shared" si="310"/>
        <v xml:space="preserve"> </v>
      </c>
      <c r="O1427" s="894"/>
      <c r="P1427" s="926"/>
      <c r="Q1427" s="900" t="str">
        <f>IF(O1427&lt;&gt;0,VLOOKUP(O1427,'Cây trong'!$A$2:$C$246,3,0)," ")</f>
        <v xml:space="preserve"> </v>
      </c>
      <c r="R1427" s="900" t="str">
        <f t="shared" si="302"/>
        <v xml:space="preserve"> </v>
      </c>
      <c r="S1427" s="902"/>
      <c r="T1427" s="925"/>
      <c r="U1427" s="927"/>
      <c r="V1427" s="929"/>
      <c r="W1427" s="900" t="str">
        <f>IF(S1427&lt;&gt;0,VLOOKUP(S1427,VKT!$A$2:$G$415,7,0),"")</f>
        <v/>
      </c>
      <c r="X1427" s="900" t="str">
        <f t="shared" si="308"/>
        <v xml:space="preserve"> </v>
      </c>
      <c r="Y1427" s="898"/>
      <c r="Z1427" s="904"/>
      <c r="AA1427" s="904"/>
      <c r="AB1427" s="904"/>
      <c r="AC1427" s="904"/>
      <c r="AD1427" s="904"/>
      <c r="AE1427" s="904"/>
      <c r="AF1427" s="899"/>
      <c r="AG1427" s="906" t="str">
        <f>IF(AE1427&lt;&gt;0,VLOOKUP(AE1427,ODDS!$A$2:$C$13,3,0),"")</f>
        <v/>
      </c>
      <c r="AH1427" s="906" t="str">
        <f t="shared" si="303"/>
        <v xml:space="preserve"> </v>
      </c>
      <c r="AI1427" s="907" t="str">
        <f t="shared" si="313"/>
        <v xml:space="preserve"> </v>
      </c>
      <c r="AJ1427" s="929"/>
      <c r="AK1427" s="929"/>
    </row>
    <row r="1428" spans="1:37" s="385" customFormat="1" ht="43.5" outlineLevel="1" x14ac:dyDescent="0.25">
      <c r="A1428" s="467" t="s">
        <v>2597</v>
      </c>
      <c r="B1428" s="912">
        <v>113</v>
      </c>
      <c r="C1428" s="910" t="s">
        <v>1033</v>
      </c>
      <c r="D1428" s="1037"/>
      <c r="E1428" s="1037"/>
      <c r="F1428" s="1038"/>
      <c r="G1428" s="910"/>
      <c r="H1428" s="932">
        <f>SUBTOTAL(9,H1429:H1451)</f>
        <v>1500</v>
      </c>
      <c r="I1428" s="915">
        <f>SUBTOTAL(9,I1429:I1434)</f>
        <v>1169.0999999999999</v>
      </c>
      <c r="J1428" s="933"/>
      <c r="K1428" s="917"/>
      <c r="L1428" s="917"/>
      <c r="M1428" s="907">
        <f>SUBTOTAL(9,M1429:M1451)</f>
        <v>698400000</v>
      </c>
      <c r="N1428" s="907">
        <f>SUBTOTAL(9,N1429:N1451)</f>
        <v>1632999000</v>
      </c>
      <c r="O1428" s="914"/>
      <c r="P1428" s="935">
        <f>SUBTOTAL(9,P1429:P1451)</f>
        <v>59</v>
      </c>
      <c r="Q1428" s="907"/>
      <c r="R1428" s="907">
        <f>SUBTOTAL(9,R1429:R1451)</f>
        <v>16224000</v>
      </c>
      <c r="S1428" s="918"/>
      <c r="T1428" s="933"/>
      <c r="U1428" s="936">
        <f>SUBTOTAL(9,U1429:U1451)</f>
        <v>264.61</v>
      </c>
      <c r="V1428" s="943"/>
      <c r="W1428" s="907"/>
      <c r="X1428" s="907">
        <f>SUBTOTAL(9,X1429:X1451)</f>
        <v>453381000</v>
      </c>
      <c r="Y1428" s="898"/>
      <c r="Z1428" s="904"/>
      <c r="AA1428" s="904"/>
      <c r="AB1428" s="904"/>
      <c r="AC1428" s="904"/>
      <c r="AD1428" s="904"/>
      <c r="AE1428" s="938"/>
      <c r="AF1428" s="917">
        <f>SUBTOTAL(9,AF1429:AF1451)</f>
        <v>0</v>
      </c>
      <c r="AG1428" s="921"/>
      <c r="AH1428" s="921">
        <f>SUBTOTAL(9,AH1429:AH1451)</f>
        <v>0</v>
      </c>
      <c r="AI1428" s="907">
        <f t="shared" si="313"/>
        <v>2801004000</v>
      </c>
      <c r="AJ1428" s="910"/>
      <c r="AK1428" s="914"/>
    </row>
    <row r="1429" spans="1:37" s="385" customFormat="1" ht="135" outlineLevel="2" x14ac:dyDescent="0.3">
      <c r="A1429" s="447">
        <f>IF(B1428&lt;&gt;0,B1428,A1427)</f>
        <v>113</v>
      </c>
      <c r="B1429" s="893"/>
      <c r="C1429" s="894" t="s">
        <v>1035</v>
      </c>
      <c r="D1429" s="950">
        <v>3</v>
      </c>
      <c r="E1429" s="950">
        <v>86</v>
      </c>
      <c r="F1429" s="1032">
        <v>711</v>
      </c>
      <c r="G1429" s="894" t="s">
        <v>2435</v>
      </c>
      <c r="H1429" s="940">
        <f>500-H1432</f>
        <v>371.7</v>
      </c>
      <c r="I1429" s="882">
        <f t="shared" ref="I1429:I1434" si="314">IF(N1429&gt;0,H1429,"")</f>
        <v>371.7</v>
      </c>
      <c r="J1429" s="925"/>
      <c r="K1429" s="899">
        <f>IF(G1429&lt;&gt;0,VLOOKUP(G1429,'gia dat'!$A$1:$F$144,5,0)," ")</f>
        <v>465600</v>
      </c>
      <c r="L1429" s="899">
        <f>IF(G1429&lt;&gt;0,VLOOKUP(G1429,'gia dat'!$A$1:$F$144,6,0)," ")</f>
        <v>1396800</v>
      </c>
      <c r="M1429" s="900">
        <f t="shared" si="309"/>
        <v>173064000</v>
      </c>
      <c r="N1429" s="900">
        <f t="shared" si="310"/>
        <v>519191000</v>
      </c>
      <c r="O1429" s="922" t="s">
        <v>783</v>
      </c>
      <c r="P1429" s="926">
        <v>3</v>
      </c>
      <c r="Q1429" s="900">
        <f>IF(O1429&lt;&gt;0,VLOOKUP(O1429,'Cây trong'!$A$2:$C$246,3,0)," ")</f>
        <v>60000</v>
      </c>
      <c r="R1429" s="900">
        <f t="shared" si="302"/>
        <v>180000</v>
      </c>
      <c r="S1429" s="902" t="s">
        <v>1802</v>
      </c>
      <c r="T1429" s="925" t="s">
        <v>2911</v>
      </c>
      <c r="U1429" s="927">
        <v>106.3</v>
      </c>
      <c r="V1429" s="929"/>
      <c r="W1429" s="900">
        <f>IF(S1429&lt;&gt;0,VLOOKUP(S1429,VKT!$A$2:$G$415,7,0),"")</f>
        <v>3156089</v>
      </c>
      <c r="X1429" s="900">
        <f t="shared" si="308"/>
        <v>335492000</v>
      </c>
      <c r="Y1429" s="898" t="s">
        <v>139</v>
      </c>
      <c r="Z1429" s="904" t="s">
        <v>980</v>
      </c>
      <c r="AA1429" s="904" t="s">
        <v>1012</v>
      </c>
      <c r="AB1429" s="904" t="s">
        <v>269</v>
      </c>
      <c r="AC1429" s="904" t="s">
        <v>139</v>
      </c>
      <c r="AD1429" s="904"/>
      <c r="AE1429" s="905"/>
      <c r="AF1429" s="899"/>
      <c r="AG1429" s="906" t="str">
        <f>IF(AE1429&lt;&gt;0,VLOOKUP(AE1429,ODDS!$A$2:$C$13,3,0),"")</f>
        <v/>
      </c>
      <c r="AH1429" s="906"/>
      <c r="AI1429" s="907" t="str">
        <f t="shared" si="313"/>
        <v xml:space="preserve"> </v>
      </c>
      <c r="AJ1429" s="894" t="s">
        <v>1034</v>
      </c>
      <c r="AK1429" s="922" t="s">
        <v>2771</v>
      </c>
    </row>
    <row r="1430" spans="1:37" s="385" customFormat="1" ht="90" outlineLevel="2" x14ac:dyDescent="0.3">
      <c r="A1430" s="447">
        <f t="shared" ref="A1430:A1451" si="315">IF(B1429&lt;&gt;0,B1429,A1429)</f>
        <v>113</v>
      </c>
      <c r="B1430" s="893"/>
      <c r="C1430" s="894" t="s">
        <v>1662</v>
      </c>
      <c r="D1430" s="950"/>
      <c r="E1430" s="950">
        <v>86</v>
      </c>
      <c r="F1430" s="1032">
        <v>317</v>
      </c>
      <c r="G1430" s="894" t="s">
        <v>2435</v>
      </c>
      <c r="H1430" s="940">
        <f>500-H1433</f>
        <v>396.8</v>
      </c>
      <c r="I1430" s="882">
        <f t="shared" si="314"/>
        <v>396.8</v>
      </c>
      <c r="J1430" s="925"/>
      <c r="K1430" s="899">
        <f>IF(G1430&lt;&gt;0,VLOOKUP(G1430,'gia dat'!$A$1:$F$144,5,0)," ")</f>
        <v>465600</v>
      </c>
      <c r="L1430" s="899">
        <f>IF(G1430&lt;&gt;0,VLOOKUP(G1430,'gia dat'!$A$1:$F$144,6,0)," ")</f>
        <v>1396800</v>
      </c>
      <c r="M1430" s="900">
        <f t="shared" si="309"/>
        <v>184750000</v>
      </c>
      <c r="N1430" s="900">
        <f t="shared" si="310"/>
        <v>554250000</v>
      </c>
      <c r="O1430" s="894" t="s">
        <v>727</v>
      </c>
      <c r="P1430" s="926">
        <v>3</v>
      </c>
      <c r="Q1430" s="900">
        <f>IF(O1430&lt;&gt;0,VLOOKUP(O1430,'Cây trong'!$A$2:$C$246,3,0)," ")</f>
        <v>32000</v>
      </c>
      <c r="R1430" s="900">
        <f t="shared" si="302"/>
        <v>96000</v>
      </c>
      <c r="S1430" s="902" t="s">
        <v>1802</v>
      </c>
      <c r="T1430" s="925" t="s">
        <v>2911</v>
      </c>
      <c r="U1430" s="927">
        <v>27</v>
      </c>
      <c r="V1430" s="929"/>
      <c r="W1430" s="900">
        <f>IF(S1430&lt;&gt;0,VLOOKUP(S1430,VKT!$A$2:$G$415,7,0),"")</f>
        <v>3156089</v>
      </c>
      <c r="X1430" s="900">
        <f t="shared" si="308"/>
        <v>85214000</v>
      </c>
      <c r="Y1430" s="898" t="s">
        <v>139</v>
      </c>
      <c r="Z1430" s="904" t="s">
        <v>980</v>
      </c>
      <c r="AA1430" s="904" t="s">
        <v>1012</v>
      </c>
      <c r="AB1430" s="904" t="s">
        <v>269</v>
      </c>
      <c r="AC1430" s="904" t="s">
        <v>139</v>
      </c>
      <c r="AD1430" s="904"/>
      <c r="AE1430" s="904"/>
      <c r="AF1430" s="899"/>
      <c r="AG1430" s="906" t="str">
        <f>IF(AE1430&lt;&gt;0,VLOOKUP(AE1430,ODDS!$A$2:$C$13,3,0),"")</f>
        <v/>
      </c>
      <c r="AH1430" s="906" t="str">
        <f t="shared" si="303"/>
        <v xml:space="preserve"> </v>
      </c>
      <c r="AI1430" s="907" t="str">
        <f t="shared" si="313"/>
        <v xml:space="preserve"> </v>
      </c>
      <c r="AJ1430" s="894" t="s">
        <v>2943</v>
      </c>
      <c r="AK1430" s="894" t="s">
        <v>2448</v>
      </c>
    </row>
    <row r="1431" spans="1:37" s="385" customFormat="1" ht="112.5" outlineLevel="2" x14ac:dyDescent="0.3">
      <c r="A1431" s="447">
        <f t="shared" si="315"/>
        <v>113</v>
      </c>
      <c r="B1431" s="893"/>
      <c r="C1431" s="894"/>
      <c r="D1431" s="950"/>
      <c r="E1431" s="950">
        <v>86</v>
      </c>
      <c r="F1431" s="1032">
        <v>276</v>
      </c>
      <c r="G1431" s="894" t="s">
        <v>2435</v>
      </c>
      <c r="H1431" s="940">
        <f>500-H1434</f>
        <v>400.6</v>
      </c>
      <c r="I1431" s="882">
        <f t="shared" si="314"/>
        <v>400.6</v>
      </c>
      <c r="J1431" s="925"/>
      <c r="K1431" s="899">
        <f>IF(G1431&lt;&gt;0,VLOOKUP(G1431,'gia dat'!$A$1:$F$144,5,0)," ")</f>
        <v>465600</v>
      </c>
      <c r="L1431" s="899">
        <f>IF(G1431&lt;&gt;0,VLOOKUP(G1431,'gia dat'!$A$1:$F$144,6,0)," ")</f>
        <v>1396800</v>
      </c>
      <c r="M1431" s="900">
        <f t="shared" si="309"/>
        <v>186519000</v>
      </c>
      <c r="N1431" s="900">
        <f t="shared" si="310"/>
        <v>559558000</v>
      </c>
      <c r="O1431" s="894" t="s">
        <v>1037</v>
      </c>
      <c r="P1431" s="926">
        <v>1</v>
      </c>
      <c r="Q1431" s="900">
        <f>IF(O1431&lt;&gt;0,VLOOKUP(O1431,'Cây trong'!$A$2:$C$246,3,0)," ")</f>
        <v>120000</v>
      </c>
      <c r="R1431" s="900">
        <f t="shared" si="302"/>
        <v>120000</v>
      </c>
      <c r="S1431" s="902" t="s">
        <v>1803</v>
      </c>
      <c r="T1431" s="925" t="s">
        <v>2911</v>
      </c>
      <c r="U1431" s="952">
        <v>2.16</v>
      </c>
      <c r="V1431" s="929"/>
      <c r="W1431" s="900">
        <f>IF(S1431&lt;&gt;0,VLOOKUP(S1431,VKT!$A$2:$G$415,7,0),"")</f>
        <v>2093161</v>
      </c>
      <c r="X1431" s="900">
        <f t="shared" si="308"/>
        <v>4521000</v>
      </c>
      <c r="Y1431" s="898" t="s">
        <v>139</v>
      </c>
      <c r="Z1431" s="904" t="s">
        <v>980</v>
      </c>
      <c r="AA1431" s="904" t="s">
        <v>1012</v>
      </c>
      <c r="AB1431" s="904" t="s">
        <v>269</v>
      </c>
      <c r="AC1431" s="904" t="s">
        <v>139</v>
      </c>
      <c r="AD1431" s="904"/>
      <c r="AE1431" s="904"/>
      <c r="AF1431" s="899"/>
      <c r="AG1431" s="906" t="str">
        <f>IF(AE1431&lt;&gt;0,VLOOKUP(AE1431,ODDS!$A$2:$C$13,3,0),"")</f>
        <v/>
      </c>
      <c r="AH1431" s="906" t="str">
        <f t="shared" si="303"/>
        <v xml:space="preserve"> </v>
      </c>
      <c r="AI1431" s="907" t="str">
        <f t="shared" si="313"/>
        <v xml:space="preserve"> </v>
      </c>
      <c r="AJ1431" s="894" t="s">
        <v>2783</v>
      </c>
      <c r="AK1431" s="894" t="s">
        <v>2450</v>
      </c>
    </row>
    <row r="1432" spans="1:37" s="385" customFormat="1" ht="112.5" outlineLevel="2" x14ac:dyDescent="0.3">
      <c r="A1432" s="447">
        <f t="shared" si="315"/>
        <v>113</v>
      </c>
      <c r="B1432" s="893"/>
      <c r="C1432" s="894"/>
      <c r="D1432" s="950"/>
      <c r="E1432" s="950">
        <v>86</v>
      </c>
      <c r="F1432" s="1032">
        <v>711</v>
      </c>
      <c r="G1432" s="894" t="s">
        <v>2434</v>
      </c>
      <c r="H1432" s="940">
        <v>128.30000000000001</v>
      </c>
      <c r="I1432" s="882" t="str">
        <f t="shared" si="314"/>
        <v/>
      </c>
      <c r="J1432" s="925"/>
      <c r="K1432" s="899">
        <f>IF(G1432&lt;&gt;0,VLOOKUP(G1432,'gia dat'!$A$1:$F$144,5,0)," ")</f>
        <v>465600</v>
      </c>
      <c r="L1432" s="899">
        <f>IF(G1432&lt;&gt;0,VLOOKUP(G1432,'gia dat'!$A$1:$F$144,6,0)," ")</f>
        <v>0</v>
      </c>
      <c r="M1432" s="900">
        <f t="shared" si="309"/>
        <v>59736000</v>
      </c>
      <c r="N1432" s="900">
        <f t="shared" si="310"/>
        <v>0</v>
      </c>
      <c r="O1432" s="894" t="s">
        <v>145</v>
      </c>
      <c r="P1432" s="926">
        <v>1</v>
      </c>
      <c r="Q1432" s="900">
        <f>IF(O1432&lt;&gt;0,VLOOKUP(O1432,'Cây trong'!$A$2:$C$246,3,0)," ")</f>
        <v>4240000</v>
      </c>
      <c r="R1432" s="900">
        <f t="shared" si="302"/>
        <v>4240000</v>
      </c>
      <c r="S1432" s="902" t="s">
        <v>1803</v>
      </c>
      <c r="T1432" s="925" t="s">
        <v>2911</v>
      </c>
      <c r="U1432" s="952">
        <v>2.16</v>
      </c>
      <c r="V1432" s="929"/>
      <c r="W1432" s="900">
        <f>IF(S1432&lt;&gt;0,VLOOKUP(S1432,VKT!$A$2:$G$415,7,0),"")</f>
        <v>2093161</v>
      </c>
      <c r="X1432" s="900">
        <f t="shared" si="308"/>
        <v>4521000</v>
      </c>
      <c r="Y1432" s="898" t="s">
        <v>139</v>
      </c>
      <c r="Z1432" s="904" t="s">
        <v>980</v>
      </c>
      <c r="AA1432" s="904" t="s">
        <v>1012</v>
      </c>
      <c r="AB1432" s="904" t="s">
        <v>269</v>
      </c>
      <c r="AC1432" s="904" t="s">
        <v>139</v>
      </c>
      <c r="AD1432" s="904"/>
      <c r="AE1432" s="904"/>
      <c r="AF1432" s="899"/>
      <c r="AG1432" s="906" t="str">
        <f>IF(AE1432&lt;&gt;0,VLOOKUP(AE1432,ODDS!$A$2:$C$13,3,0),"")</f>
        <v/>
      </c>
      <c r="AH1432" s="906" t="str">
        <f t="shared" si="303"/>
        <v xml:space="preserve"> </v>
      </c>
      <c r="AI1432" s="907" t="str">
        <f t="shared" si="313"/>
        <v xml:space="preserve"> </v>
      </c>
      <c r="AJ1432" s="894" t="s">
        <v>2944</v>
      </c>
      <c r="AK1432" s="894" t="s">
        <v>2449</v>
      </c>
    </row>
    <row r="1433" spans="1:37" s="385" customFormat="1" ht="112.5" outlineLevel="2" x14ac:dyDescent="0.3">
      <c r="A1433" s="447">
        <f t="shared" si="315"/>
        <v>113</v>
      </c>
      <c r="B1433" s="893"/>
      <c r="C1433" s="894"/>
      <c r="D1433" s="950"/>
      <c r="E1433" s="950">
        <v>86</v>
      </c>
      <c r="F1433" s="1032">
        <v>317</v>
      </c>
      <c r="G1433" s="894" t="s">
        <v>2434</v>
      </c>
      <c r="H1433" s="940">
        <v>103.2</v>
      </c>
      <c r="I1433" s="882" t="str">
        <f t="shared" si="314"/>
        <v/>
      </c>
      <c r="J1433" s="925"/>
      <c r="K1433" s="899">
        <f>IF(G1433&lt;&gt;0,VLOOKUP(G1433,'gia dat'!$A$1:$F$144,5,0)," ")</f>
        <v>465600</v>
      </c>
      <c r="L1433" s="899">
        <f>IF(G1433&lt;&gt;0,VLOOKUP(G1433,'gia dat'!$A$1:$F$144,6,0)," ")</f>
        <v>0</v>
      </c>
      <c r="M1433" s="900">
        <f t="shared" si="309"/>
        <v>48050000</v>
      </c>
      <c r="N1433" s="900">
        <f t="shared" si="310"/>
        <v>0</v>
      </c>
      <c r="O1433" s="894" t="s">
        <v>77</v>
      </c>
      <c r="P1433" s="926">
        <v>1</v>
      </c>
      <c r="Q1433" s="900">
        <f>IF(O1433&lt;&gt;0,VLOOKUP(O1433,'Cây trong'!$A$2:$C$246,3,0)," ")</f>
        <v>3064000</v>
      </c>
      <c r="R1433" s="900">
        <f t="shared" si="302"/>
        <v>3064000</v>
      </c>
      <c r="S1433" s="902" t="s">
        <v>1803</v>
      </c>
      <c r="T1433" s="925" t="s">
        <v>2911</v>
      </c>
      <c r="U1433" s="952">
        <v>2.16</v>
      </c>
      <c r="V1433" s="929"/>
      <c r="W1433" s="900">
        <f>IF(S1433&lt;&gt;0,VLOOKUP(S1433,VKT!$A$2:$G$415,7,0),"")</f>
        <v>2093161</v>
      </c>
      <c r="X1433" s="900">
        <f t="shared" si="308"/>
        <v>4521000</v>
      </c>
      <c r="Y1433" s="898" t="s">
        <v>139</v>
      </c>
      <c r="Z1433" s="904" t="s">
        <v>980</v>
      </c>
      <c r="AA1433" s="904" t="s">
        <v>1012</v>
      </c>
      <c r="AB1433" s="904" t="s">
        <v>269</v>
      </c>
      <c r="AC1433" s="904" t="s">
        <v>139</v>
      </c>
      <c r="AD1433" s="904"/>
      <c r="AE1433" s="904"/>
      <c r="AF1433" s="899"/>
      <c r="AG1433" s="906" t="str">
        <f>IF(AE1433&lt;&gt;0,VLOOKUP(AE1433,ODDS!$A$2:$C$13,3,0),"")</f>
        <v/>
      </c>
      <c r="AH1433" s="906" t="str">
        <f t="shared" si="303"/>
        <v xml:space="preserve"> </v>
      </c>
      <c r="AI1433" s="907" t="str">
        <f t="shared" si="313"/>
        <v xml:space="preserve"> </v>
      </c>
      <c r="AJ1433" s="894" t="s">
        <v>1040</v>
      </c>
      <c r="AK1433" s="894" t="s">
        <v>2800</v>
      </c>
    </row>
    <row r="1434" spans="1:37" s="385" customFormat="1" ht="70.5" outlineLevel="2" x14ac:dyDescent="0.3">
      <c r="A1434" s="447">
        <f t="shared" si="315"/>
        <v>113</v>
      </c>
      <c r="B1434" s="893"/>
      <c r="C1434" s="894"/>
      <c r="D1434" s="950"/>
      <c r="E1434" s="950">
        <v>86</v>
      </c>
      <c r="F1434" s="1032">
        <v>276</v>
      </c>
      <c r="G1434" s="894" t="s">
        <v>2434</v>
      </c>
      <c r="H1434" s="940">
        <v>99.4</v>
      </c>
      <c r="I1434" s="882" t="str">
        <f t="shared" si="314"/>
        <v/>
      </c>
      <c r="J1434" s="925"/>
      <c r="K1434" s="899">
        <f>IF(G1434&lt;&gt;0,VLOOKUP(G1434,'gia dat'!$A$1:$F$144,5,0)," ")</f>
        <v>465600</v>
      </c>
      <c r="L1434" s="899">
        <f>IF(G1434&lt;&gt;0,VLOOKUP(G1434,'gia dat'!$A$1:$F$144,6,0)," ")</f>
        <v>0</v>
      </c>
      <c r="M1434" s="900">
        <f t="shared" si="309"/>
        <v>46281000</v>
      </c>
      <c r="N1434" s="900">
        <f t="shared" si="310"/>
        <v>0</v>
      </c>
      <c r="O1434" s="922" t="s">
        <v>400</v>
      </c>
      <c r="P1434" s="926">
        <v>23</v>
      </c>
      <c r="Q1434" s="900">
        <f>IF(O1434&lt;&gt;0,VLOOKUP(O1434,'Cây trong'!$A$2:$C$246,3,0)," ")</f>
        <v>228000</v>
      </c>
      <c r="R1434" s="900">
        <f t="shared" ref="R1434:R1502" si="316">IF(O1434&lt;&gt;0,ROUND(P1434*Q1434,-2)," ")</f>
        <v>5244000</v>
      </c>
      <c r="S1434" s="902" t="s">
        <v>1803</v>
      </c>
      <c r="T1434" s="925" t="s">
        <v>2911</v>
      </c>
      <c r="U1434" s="952">
        <v>2.16</v>
      </c>
      <c r="V1434" s="929"/>
      <c r="W1434" s="900">
        <f>IF(S1434&lt;&gt;0,VLOOKUP(S1434,VKT!$A$2:$G$415,7,0),"")</f>
        <v>2093161</v>
      </c>
      <c r="X1434" s="900">
        <f t="shared" si="308"/>
        <v>4521000</v>
      </c>
      <c r="Y1434" s="898" t="s">
        <v>139</v>
      </c>
      <c r="Z1434" s="904" t="s">
        <v>980</v>
      </c>
      <c r="AA1434" s="904" t="s">
        <v>1012</v>
      </c>
      <c r="AB1434" s="904" t="s">
        <v>269</v>
      </c>
      <c r="AC1434" s="904" t="s">
        <v>139</v>
      </c>
      <c r="AD1434" s="904"/>
      <c r="AE1434" s="904"/>
      <c r="AF1434" s="899"/>
      <c r="AG1434" s="906" t="str">
        <f>IF(AE1434&lt;&gt;0,VLOOKUP(AE1434,ODDS!$A$2:$C$13,3,0),"")</f>
        <v/>
      </c>
      <c r="AH1434" s="906" t="str">
        <f t="shared" ref="AH1434:AH1500" si="317">IF(AE1434&lt;&gt;0,ROUND(AF1434*AG1434,-2)," ")</f>
        <v xml:space="preserve"> </v>
      </c>
      <c r="AI1434" s="907" t="str">
        <f t="shared" si="313"/>
        <v xml:space="preserve"> </v>
      </c>
      <c r="AJ1434" s="894" t="s">
        <v>2945</v>
      </c>
      <c r="AK1434" s="894"/>
    </row>
    <row r="1435" spans="1:37" s="385" customFormat="1" ht="67.5" outlineLevel="2" x14ac:dyDescent="0.3">
      <c r="A1435" s="447">
        <f t="shared" si="315"/>
        <v>113</v>
      </c>
      <c r="B1435" s="893"/>
      <c r="C1435" s="894"/>
      <c r="D1435" s="950"/>
      <c r="E1435" s="950"/>
      <c r="F1435" s="1032"/>
      <c r="G1435" s="894"/>
      <c r="H1435" s="940"/>
      <c r="I1435" s="882"/>
      <c r="J1435" s="925"/>
      <c r="K1435" s="899" t="str">
        <f>IF(G1435&lt;&gt;0,VLOOKUP(G1435,'gia dat'!$A$1:$F$144,5,0)," ")</f>
        <v xml:space="preserve"> </v>
      </c>
      <c r="L1435" s="899" t="str">
        <f>IF(G1435&lt;&gt;0,VLOOKUP(G1435,'gia dat'!$A$1:$F$144,6,0)," ")</f>
        <v xml:space="preserve"> </v>
      </c>
      <c r="M1435" s="900" t="str">
        <f t="shared" si="309"/>
        <v xml:space="preserve"> </v>
      </c>
      <c r="N1435" s="900" t="str">
        <f t="shared" si="310"/>
        <v xml:space="preserve"> </v>
      </c>
      <c r="O1435" s="922" t="s">
        <v>401</v>
      </c>
      <c r="P1435" s="926">
        <v>10</v>
      </c>
      <c r="Q1435" s="900">
        <f>IF(O1435&lt;&gt;0,VLOOKUP(O1435,'Cây trong'!$A$2:$C$246,3,0)," ")</f>
        <v>80000</v>
      </c>
      <c r="R1435" s="900">
        <f t="shared" si="316"/>
        <v>800000</v>
      </c>
      <c r="S1435" s="902" t="s">
        <v>1803</v>
      </c>
      <c r="T1435" s="925" t="s">
        <v>2911</v>
      </c>
      <c r="U1435" s="952">
        <v>2.16</v>
      </c>
      <c r="V1435" s="929"/>
      <c r="W1435" s="900">
        <f>IF(S1435&lt;&gt;0,VLOOKUP(S1435,VKT!$A$2:$G$415,7,0),"")</f>
        <v>2093161</v>
      </c>
      <c r="X1435" s="900">
        <f t="shared" si="308"/>
        <v>4521000</v>
      </c>
      <c r="Y1435" s="898" t="s">
        <v>139</v>
      </c>
      <c r="Z1435" s="904" t="s">
        <v>980</v>
      </c>
      <c r="AA1435" s="904" t="s">
        <v>1012</v>
      </c>
      <c r="AB1435" s="904" t="s">
        <v>269</v>
      </c>
      <c r="AC1435" s="904" t="s">
        <v>139</v>
      </c>
      <c r="AD1435" s="904"/>
      <c r="AE1435" s="904"/>
      <c r="AF1435" s="899"/>
      <c r="AG1435" s="906" t="str">
        <f>IF(AE1435&lt;&gt;0,VLOOKUP(AE1435,ODDS!$A$2:$C$13,3,0),"")</f>
        <v/>
      </c>
      <c r="AH1435" s="906" t="str">
        <f t="shared" si="317"/>
        <v xml:space="preserve"> </v>
      </c>
      <c r="AI1435" s="907" t="str">
        <f t="shared" si="313"/>
        <v xml:space="preserve"> </v>
      </c>
      <c r="AJ1435" s="894" t="s">
        <v>169</v>
      </c>
      <c r="AK1435" s="894"/>
    </row>
    <row r="1436" spans="1:37" s="385" customFormat="1" ht="67.5" outlineLevel="2" x14ac:dyDescent="0.3">
      <c r="A1436" s="447">
        <f t="shared" si="315"/>
        <v>113</v>
      </c>
      <c r="B1436" s="893"/>
      <c r="C1436" s="894"/>
      <c r="D1436" s="950"/>
      <c r="E1436" s="950"/>
      <c r="F1436" s="1032"/>
      <c r="G1436" s="894"/>
      <c r="H1436" s="940"/>
      <c r="I1436" s="882"/>
      <c r="J1436" s="925"/>
      <c r="K1436" s="899" t="str">
        <f>IF(G1436&lt;&gt;0,VLOOKUP(G1436,'gia dat'!$A$1:$F$144,5,0)," ")</f>
        <v xml:space="preserve"> </v>
      </c>
      <c r="L1436" s="899" t="str">
        <f>IF(G1436&lt;&gt;0,VLOOKUP(G1436,'gia dat'!$A$1:$F$144,6,0)," ")</f>
        <v xml:space="preserve"> </v>
      </c>
      <c r="M1436" s="900" t="str">
        <f t="shared" si="309"/>
        <v xml:space="preserve"> </v>
      </c>
      <c r="N1436" s="900" t="str">
        <f t="shared" si="310"/>
        <v xml:space="preserve"> </v>
      </c>
      <c r="O1436" s="922" t="s">
        <v>401</v>
      </c>
      <c r="P1436" s="926">
        <v>16</v>
      </c>
      <c r="Q1436" s="900">
        <f>IF(O1436&lt;&gt;0,VLOOKUP(O1436,'Cây trong'!$A$2:$C$246,3,0)," ")</f>
        <v>80000</v>
      </c>
      <c r="R1436" s="900">
        <f t="shared" si="316"/>
        <v>1280000</v>
      </c>
      <c r="S1436" s="902" t="s">
        <v>1803</v>
      </c>
      <c r="T1436" s="925" t="s">
        <v>2911</v>
      </c>
      <c r="U1436" s="952">
        <v>2.16</v>
      </c>
      <c r="V1436" s="929"/>
      <c r="W1436" s="900">
        <f>IF(S1436&lt;&gt;0,VLOOKUP(S1436,VKT!$A$2:$G$415,7,0),"")</f>
        <v>2093161</v>
      </c>
      <c r="X1436" s="900">
        <f t="shared" si="308"/>
        <v>4521000</v>
      </c>
      <c r="Y1436" s="898" t="s">
        <v>139</v>
      </c>
      <c r="Z1436" s="904" t="s">
        <v>980</v>
      </c>
      <c r="AA1436" s="904" t="s">
        <v>1012</v>
      </c>
      <c r="AB1436" s="904" t="s">
        <v>269</v>
      </c>
      <c r="AC1436" s="904" t="s">
        <v>139</v>
      </c>
      <c r="AD1436" s="904"/>
      <c r="AE1436" s="904"/>
      <c r="AF1436" s="899"/>
      <c r="AG1436" s="906" t="str">
        <f>IF(AE1436&lt;&gt;0,VLOOKUP(AE1436,ODDS!$A$2:$C$13,3,0),"")</f>
        <v/>
      </c>
      <c r="AH1436" s="906" t="str">
        <f t="shared" si="317"/>
        <v xml:space="preserve"> </v>
      </c>
      <c r="AI1436" s="907" t="str">
        <f t="shared" si="313"/>
        <v xml:space="preserve"> </v>
      </c>
      <c r="AJ1436" s="894" t="s">
        <v>2075</v>
      </c>
      <c r="AK1436" s="929"/>
    </row>
    <row r="1437" spans="1:37" s="385" customFormat="1" ht="67.5" outlineLevel="2" x14ac:dyDescent="0.35">
      <c r="A1437" s="447">
        <f t="shared" si="315"/>
        <v>113</v>
      </c>
      <c r="B1437" s="893"/>
      <c r="C1437" s="894"/>
      <c r="D1437" s="950"/>
      <c r="E1437" s="950"/>
      <c r="F1437" s="1032"/>
      <c r="G1437" s="894"/>
      <c r="H1437" s="940"/>
      <c r="I1437" s="882"/>
      <c r="J1437" s="925"/>
      <c r="K1437" s="899" t="str">
        <f>IF(G1437&lt;&gt;0,VLOOKUP(G1437,'gia dat'!$A$1:$F$144,5,0)," ")</f>
        <v xml:space="preserve"> </v>
      </c>
      <c r="L1437" s="899" t="str">
        <f>IF(G1437&lt;&gt;0,VLOOKUP(G1437,'gia dat'!$A$1:$F$144,6,0)," ")</f>
        <v xml:space="preserve"> </v>
      </c>
      <c r="M1437" s="900" t="str">
        <f t="shared" si="309"/>
        <v xml:space="preserve"> </v>
      </c>
      <c r="N1437" s="900" t="str">
        <f t="shared" si="310"/>
        <v xml:space="preserve"> </v>
      </c>
      <c r="O1437" s="894" t="s">
        <v>1042</v>
      </c>
      <c r="P1437" s="926">
        <v>1</v>
      </c>
      <c r="Q1437" s="900">
        <f>IF(O1437&lt;&gt;0,VLOOKUP(O1437,'Cây trong'!$A$2:$C$246,3,0)," ")</f>
        <v>1200000</v>
      </c>
      <c r="R1437" s="900">
        <f t="shared" si="316"/>
        <v>1200000</v>
      </c>
      <c r="S1437" s="902" t="s">
        <v>1804</v>
      </c>
      <c r="T1437" s="925" t="s">
        <v>2934</v>
      </c>
      <c r="U1437" s="927">
        <v>0.18</v>
      </c>
      <c r="V1437" s="929"/>
      <c r="W1437" s="900">
        <f>IF(S1437&lt;&gt;0,VLOOKUP(S1437,VKT!$A$2:$G$415,7,0),"")</f>
        <v>0</v>
      </c>
      <c r="X1437" s="900">
        <f t="shared" si="308"/>
        <v>0</v>
      </c>
      <c r="Y1437" s="898"/>
      <c r="Z1437" s="904"/>
      <c r="AA1437" s="904"/>
      <c r="AB1437" s="904"/>
      <c r="AC1437" s="904"/>
      <c r="AD1437" s="904"/>
      <c r="AE1437" s="904"/>
      <c r="AF1437" s="899"/>
      <c r="AG1437" s="906" t="str">
        <f>IF(AE1437&lt;&gt;0,VLOOKUP(AE1437,ODDS!$A$2:$C$13,3,0),"")</f>
        <v/>
      </c>
      <c r="AH1437" s="906" t="str">
        <f t="shared" si="317"/>
        <v xml:space="preserve"> </v>
      </c>
      <c r="AI1437" s="907" t="str">
        <f t="shared" si="313"/>
        <v xml:space="preserve"> </v>
      </c>
      <c r="AJ1437" s="1036"/>
      <c r="AK1437" s="894"/>
    </row>
    <row r="1438" spans="1:37" s="385" customFormat="1" ht="67.5" outlineLevel="2" x14ac:dyDescent="0.35">
      <c r="A1438" s="447">
        <f t="shared" si="315"/>
        <v>113</v>
      </c>
      <c r="B1438" s="893"/>
      <c r="C1438" s="894"/>
      <c r="D1438" s="950"/>
      <c r="E1438" s="950"/>
      <c r="F1438" s="1032"/>
      <c r="G1438" s="894"/>
      <c r="H1438" s="940"/>
      <c r="I1438" s="882"/>
      <c r="J1438" s="925"/>
      <c r="K1438" s="899" t="str">
        <f>IF(G1438&lt;&gt;0,VLOOKUP(G1438,'gia dat'!$A$1:$F$144,5,0)," ")</f>
        <v xml:space="preserve"> </v>
      </c>
      <c r="L1438" s="899" t="str">
        <f>IF(G1438&lt;&gt;0,VLOOKUP(G1438,'gia dat'!$A$1:$F$144,6,0)," ")</f>
        <v xml:space="preserve"> </v>
      </c>
      <c r="M1438" s="900" t="str">
        <f t="shared" si="309"/>
        <v xml:space="preserve"> </v>
      </c>
      <c r="N1438" s="900" t="str">
        <f t="shared" si="310"/>
        <v xml:space="preserve"> </v>
      </c>
      <c r="O1438" s="894"/>
      <c r="P1438" s="926"/>
      <c r="Q1438" s="900" t="str">
        <f>IF(O1438&lt;&gt;0,VLOOKUP(O1438,'Cây trong'!$A$2:$C$246,3,0)," ")</f>
        <v xml:space="preserve"> </v>
      </c>
      <c r="R1438" s="900" t="str">
        <f t="shared" si="316"/>
        <v xml:space="preserve"> </v>
      </c>
      <c r="S1438" s="902" t="s">
        <v>1805</v>
      </c>
      <c r="T1438" s="925" t="s">
        <v>2911</v>
      </c>
      <c r="U1438" s="927">
        <v>5.04</v>
      </c>
      <c r="V1438" s="929"/>
      <c r="W1438" s="900">
        <f>IF(S1438&lt;&gt;0,VLOOKUP(S1438,VKT!$A$2:$G$415,7,0),"")</f>
        <v>642264</v>
      </c>
      <c r="X1438" s="900">
        <f t="shared" si="308"/>
        <v>3237000</v>
      </c>
      <c r="Y1438" s="898"/>
      <c r="Z1438" s="904"/>
      <c r="AA1438" s="904"/>
      <c r="AB1438" s="904"/>
      <c r="AC1438" s="904"/>
      <c r="AD1438" s="904"/>
      <c r="AE1438" s="904"/>
      <c r="AF1438" s="899"/>
      <c r="AG1438" s="906" t="str">
        <f>IF(AE1438&lt;&gt;0,VLOOKUP(AE1438,ODDS!$A$2:$C$13,3,0),"")</f>
        <v/>
      </c>
      <c r="AH1438" s="906" t="str">
        <f t="shared" si="317"/>
        <v xml:space="preserve"> </v>
      </c>
      <c r="AI1438" s="907" t="str">
        <f t="shared" si="313"/>
        <v xml:space="preserve"> </v>
      </c>
      <c r="AJ1438" s="1036"/>
      <c r="AK1438" s="894"/>
    </row>
    <row r="1439" spans="1:37" s="392" customFormat="1" ht="67.5" outlineLevel="2" x14ac:dyDescent="0.35">
      <c r="A1439" s="447">
        <f t="shared" si="315"/>
        <v>113</v>
      </c>
      <c r="B1439" s="893"/>
      <c r="C1439" s="894"/>
      <c r="D1439" s="950"/>
      <c r="E1439" s="950"/>
      <c r="F1439" s="1032"/>
      <c r="G1439" s="894"/>
      <c r="H1439" s="940"/>
      <c r="I1439" s="882"/>
      <c r="J1439" s="925"/>
      <c r="K1439" s="899" t="str">
        <f>IF(G1439&lt;&gt;0,VLOOKUP(G1439,'gia dat'!$A$1:$F$144,5,0)," ")</f>
        <v xml:space="preserve"> </v>
      </c>
      <c r="L1439" s="899" t="str">
        <f>IF(G1439&lt;&gt;0,VLOOKUP(G1439,'gia dat'!$A$1:$F$144,6,0)," ")</f>
        <v xml:space="preserve"> </v>
      </c>
      <c r="M1439" s="900" t="str">
        <f t="shared" si="309"/>
        <v xml:space="preserve"> </v>
      </c>
      <c r="N1439" s="900" t="str">
        <f t="shared" si="310"/>
        <v xml:space="preserve"> </v>
      </c>
      <c r="O1439" s="894"/>
      <c r="P1439" s="926"/>
      <c r="Q1439" s="900" t="str">
        <f>IF(O1439&lt;&gt;0,VLOOKUP(O1439,'Cây trong'!$A$2:$C$246,3,0)," ")</f>
        <v xml:space="preserve"> </v>
      </c>
      <c r="R1439" s="900" t="str">
        <f t="shared" si="316"/>
        <v xml:space="preserve"> </v>
      </c>
      <c r="S1439" s="902" t="s">
        <v>2407</v>
      </c>
      <c r="T1439" s="925" t="s">
        <v>2911</v>
      </c>
      <c r="U1439" s="927">
        <v>86.4</v>
      </c>
      <c r="V1439" s="929"/>
      <c r="W1439" s="900">
        <f>IF(S1439&lt;&gt;0,VLOOKUP(S1439,VKT!$A$2:$G$415,7,0),"")</f>
        <v>0</v>
      </c>
      <c r="X1439" s="900">
        <f t="shared" si="308"/>
        <v>0</v>
      </c>
      <c r="Y1439" s="898"/>
      <c r="Z1439" s="904"/>
      <c r="AA1439" s="904"/>
      <c r="AB1439" s="904"/>
      <c r="AC1439" s="904"/>
      <c r="AD1439" s="904"/>
      <c r="AE1439" s="904"/>
      <c r="AF1439" s="899"/>
      <c r="AG1439" s="906" t="str">
        <f>IF(AE1439&lt;&gt;0,VLOOKUP(AE1439,ODDS!$A$2:$C$13,3,0),"")</f>
        <v/>
      </c>
      <c r="AH1439" s="906" t="str">
        <f t="shared" si="317"/>
        <v xml:space="preserve"> </v>
      </c>
      <c r="AI1439" s="907" t="str">
        <f t="shared" si="313"/>
        <v xml:space="preserve"> </v>
      </c>
      <c r="AJ1439" s="1036"/>
      <c r="AK1439" s="894"/>
    </row>
    <row r="1440" spans="1:37" s="385" customFormat="1" ht="112.5" outlineLevel="2" x14ac:dyDescent="0.3">
      <c r="A1440" s="447">
        <f t="shared" si="315"/>
        <v>113</v>
      </c>
      <c r="B1440" s="893"/>
      <c r="C1440" s="894"/>
      <c r="D1440" s="950"/>
      <c r="E1440" s="950"/>
      <c r="F1440" s="1032"/>
      <c r="G1440" s="894"/>
      <c r="H1440" s="940"/>
      <c r="I1440" s="882"/>
      <c r="J1440" s="925"/>
      <c r="K1440" s="899" t="str">
        <f>IF(G1440&lt;&gt;0,VLOOKUP(G1440,'gia dat'!$A$1:$F$144,5,0)," ")</f>
        <v xml:space="preserve"> </v>
      </c>
      <c r="L1440" s="899" t="str">
        <f>IF(G1440&lt;&gt;0,VLOOKUP(G1440,'gia dat'!$A$1:$F$144,6,0)," ")</f>
        <v xml:space="preserve"> </v>
      </c>
      <c r="M1440" s="900" t="str">
        <f t="shared" si="309"/>
        <v xml:space="preserve"> </v>
      </c>
      <c r="N1440" s="900" t="str">
        <f t="shared" si="310"/>
        <v xml:space="preserve"> </v>
      </c>
      <c r="O1440" s="894"/>
      <c r="P1440" s="926"/>
      <c r="Q1440" s="900" t="str">
        <f>IF(O1440&lt;&gt;0,VLOOKUP(O1440,'Cây trong'!$A$2:$C$246,3,0)," ")</f>
        <v xml:space="preserve"> </v>
      </c>
      <c r="R1440" s="900" t="str">
        <f t="shared" si="316"/>
        <v xml:space="preserve"> </v>
      </c>
      <c r="S1440" s="902" t="s">
        <v>2408</v>
      </c>
      <c r="T1440" s="925" t="s">
        <v>2911</v>
      </c>
      <c r="U1440" s="927">
        <v>2.6</v>
      </c>
      <c r="V1440" s="929"/>
      <c r="W1440" s="900">
        <f>IF(S1440&lt;&gt;0,VLOOKUP(S1440,VKT!$A$2:$G$415,7,0),"")</f>
        <v>0</v>
      </c>
      <c r="X1440" s="900">
        <f t="shared" si="308"/>
        <v>0</v>
      </c>
      <c r="Y1440" s="898"/>
      <c r="Z1440" s="904"/>
      <c r="AA1440" s="904"/>
      <c r="AB1440" s="904"/>
      <c r="AC1440" s="904"/>
      <c r="AD1440" s="904"/>
      <c r="AE1440" s="904"/>
      <c r="AF1440" s="899"/>
      <c r="AG1440" s="906" t="str">
        <f>IF(AE1440&lt;&gt;0,VLOOKUP(AE1440,ODDS!$A$2:$C$13,3,0),"")</f>
        <v/>
      </c>
      <c r="AH1440" s="906" t="str">
        <f t="shared" si="317"/>
        <v xml:space="preserve"> </v>
      </c>
      <c r="AI1440" s="907" t="str">
        <f t="shared" si="313"/>
        <v xml:space="preserve"> </v>
      </c>
      <c r="AJ1440" s="894"/>
      <c r="AK1440" s="894"/>
    </row>
    <row r="1441" spans="1:39" s="385" customFormat="1" ht="112.5" outlineLevel="2" x14ac:dyDescent="0.3">
      <c r="A1441" s="447">
        <f t="shared" si="315"/>
        <v>113</v>
      </c>
      <c r="B1441" s="893"/>
      <c r="C1441" s="894"/>
      <c r="D1441" s="950"/>
      <c r="E1441" s="950"/>
      <c r="F1441" s="1032"/>
      <c r="G1441" s="894"/>
      <c r="H1441" s="940"/>
      <c r="I1441" s="882"/>
      <c r="J1441" s="925"/>
      <c r="K1441" s="899" t="str">
        <f>IF(G1441&lt;&gt;0,VLOOKUP(G1441,'gia dat'!$A$1:$F$144,5,0)," ")</f>
        <v xml:space="preserve"> </v>
      </c>
      <c r="L1441" s="899" t="str">
        <f>IF(G1441&lt;&gt;0,VLOOKUP(G1441,'gia dat'!$A$1:$F$144,6,0)," ")</f>
        <v xml:space="preserve"> </v>
      </c>
      <c r="M1441" s="900" t="str">
        <f t="shared" si="309"/>
        <v xml:space="preserve"> </v>
      </c>
      <c r="N1441" s="900" t="str">
        <f t="shared" si="310"/>
        <v xml:space="preserve"> </v>
      </c>
      <c r="O1441" s="894"/>
      <c r="P1441" s="926"/>
      <c r="Q1441" s="900" t="str">
        <f>IF(O1441&lt;&gt;0,VLOOKUP(O1441,'Cây trong'!$A$2:$C$246,3,0)," ")</f>
        <v xml:space="preserve"> </v>
      </c>
      <c r="R1441" s="900" t="str">
        <f t="shared" si="316"/>
        <v xml:space="preserve"> </v>
      </c>
      <c r="S1441" s="902" t="s">
        <v>2408</v>
      </c>
      <c r="T1441" s="925" t="s">
        <v>2911</v>
      </c>
      <c r="U1441" s="927">
        <v>3.6</v>
      </c>
      <c r="V1441" s="929"/>
      <c r="W1441" s="900">
        <f>IF(S1441&lt;&gt;0,VLOOKUP(S1441,VKT!$A$2:$G$415,7,0),"")</f>
        <v>0</v>
      </c>
      <c r="X1441" s="900">
        <f t="shared" si="308"/>
        <v>0</v>
      </c>
      <c r="Y1441" s="898"/>
      <c r="Z1441" s="904"/>
      <c r="AA1441" s="904"/>
      <c r="AB1441" s="904"/>
      <c r="AC1441" s="904"/>
      <c r="AD1441" s="904"/>
      <c r="AE1441" s="904"/>
      <c r="AF1441" s="899"/>
      <c r="AG1441" s="906" t="str">
        <f>IF(AE1441&lt;&gt;0,VLOOKUP(AE1441,ODDS!$A$2:$C$13,3,0),"")</f>
        <v/>
      </c>
      <c r="AH1441" s="906" t="str">
        <f t="shared" si="317"/>
        <v xml:space="preserve"> </v>
      </c>
      <c r="AI1441" s="907" t="str">
        <f t="shared" si="313"/>
        <v xml:space="preserve"> </v>
      </c>
      <c r="AJ1441" s="894"/>
      <c r="AK1441" s="894"/>
    </row>
    <row r="1442" spans="1:39" s="385" customFormat="1" ht="112.5" outlineLevel="2" x14ac:dyDescent="0.3">
      <c r="A1442" s="447">
        <f t="shared" si="315"/>
        <v>113</v>
      </c>
      <c r="B1442" s="893"/>
      <c r="C1442" s="894"/>
      <c r="D1442" s="950"/>
      <c r="E1442" s="950"/>
      <c r="F1442" s="1032"/>
      <c r="G1442" s="894"/>
      <c r="H1442" s="940"/>
      <c r="I1442" s="882"/>
      <c r="J1442" s="925"/>
      <c r="K1442" s="899" t="str">
        <f>IF(G1442&lt;&gt;0,VLOOKUP(G1442,'gia dat'!$A$1:$F$144,5,0)," ")</f>
        <v xml:space="preserve"> </v>
      </c>
      <c r="L1442" s="899" t="str">
        <f>IF(G1442&lt;&gt;0,VLOOKUP(G1442,'gia dat'!$A$1:$F$144,6,0)," ")</f>
        <v xml:space="preserve"> </v>
      </c>
      <c r="M1442" s="900" t="str">
        <f t="shared" si="309"/>
        <v xml:space="preserve"> </v>
      </c>
      <c r="N1442" s="900" t="str">
        <f t="shared" si="310"/>
        <v xml:space="preserve"> </v>
      </c>
      <c r="O1442" s="894"/>
      <c r="P1442" s="926"/>
      <c r="Q1442" s="900" t="str">
        <f>IF(O1442&lt;&gt;0,VLOOKUP(O1442,'Cây trong'!$A$2:$C$246,3,0)," ")</f>
        <v xml:space="preserve"> </v>
      </c>
      <c r="R1442" s="900" t="str">
        <f t="shared" si="316"/>
        <v xml:space="preserve"> </v>
      </c>
      <c r="S1442" s="902" t="s">
        <v>2408</v>
      </c>
      <c r="T1442" s="925" t="s">
        <v>2911</v>
      </c>
      <c r="U1442" s="927">
        <v>4.5999999999999996</v>
      </c>
      <c r="V1442" s="929"/>
      <c r="W1442" s="900">
        <f>IF(S1442&lt;&gt;0,VLOOKUP(S1442,VKT!$A$2:$G$415,7,0),"")</f>
        <v>0</v>
      </c>
      <c r="X1442" s="900">
        <f t="shared" si="308"/>
        <v>0</v>
      </c>
      <c r="Y1442" s="898"/>
      <c r="Z1442" s="904"/>
      <c r="AA1442" s="904"/>
      <c r="AB1442" s="904"/>
      <c r="AC1442" s="904"/>
      <c r="AD1442" s="904"/>
      <c r="AE1442" s="904"/>
      <c r="AF1442" s="899"/>
      <c r="AG1442" s="906" t="str">
        <f>IF(AE1442&lt;&gt;0,VLOOKUP(AE1442,ODDS!$A$2:$C$13,3,0),"")</f>
        <v/>
      </c>
      <c r="AH1442" s="906" t="str">
        <f t="shared" si="317"/>
        <v xml:space="preserve"> </v>
      </c>
      <c r="AI1442" s="907" t="str">
        <f t="shared" si="313"/>
        <v xml:space="preserve"> </v>
      </c>
      <c r="AJ1442" s="894"/>
      <c r="AK1442" s="894"/>
    </row>
    <row r="1443" spans="1:39" s="385" customFormat="1" ht="112.5" outlineLevel="2" x14ac:dyDescent="0.3">
      <c r="A1443" s="447">
        <f t="shared" si="315"/>
        <v>113</v>
      </c>
      <c r="B1443" s="893"/>
      <c r="C1443" s="894"/>
      <c r="D1443" s="950"/>
      <c r="E1443" s="950"/>
      <c r="F1443" s="1032"/>
      <c r="G1443" s="894"/>
      <c r="H1443" s="940"/>
      <c r="I1443" s="882"/>
      <c r="J1443" s="925"/>
      <c r="K1443" s="899" t="str">
        <f>IF(G1443&lt;&gt;0,VLOOKUP(G1443,'gia dat'!$A$1:$F$144,5,0)," ")</f>
        <v xml:space="preserve"> </v>
      </c>
      <c r="L1443" s="899" t="str">
        <f>IF(G1443&lt;&gt;0,VLOOKUP(G1443,'gia dat'!$A$1:$F$144,6,0)," ")</f>
        <v xml:space="preserve"> </v>
      </c>
      <c r="M1443" s="900" t="str">
        <f t="shared" si="309"/>
        <v xml:space="preserve"> </v>
      </c>
      <c r="N1443" s="900" t="str">
        <f t="shared" si="310"/>
        <v xml:space="preserve"> </v>
      </c>
      <c r="O1443" s="894"/>
      <c r="P1443" s="926"/>
      <c r="Q1443" s="900" t="str">
        <f>IF(O1443&lt;&gt;0,VLOOKUP(O1443,'Cây trong'!$A$2:$C$246,3,0)," ")</f>
        <v xml:space="preserve"> </v>
      </c>
      <c r="R1443" s="900" t="str">
        <f t="shared" si="316"/>
        <v xml:space="preserve"> </v>
      </c>
      <c r="S1443" s="902" t="s">
        <v>2408</v>
      </c>
      <c r="T1443" s="925" t="s">
        <v>2911</v>
      </c>
      <c r="U1443" s="927">
        <v>5.6</v>
      </c>
      <c r="V1443" s="929"/>
      <c r="W1443" s="900">
        <f>IF(S1443&lt;&gt;0,VLOOKUP(S1443,VKT!$A$2:$G$415,7,0),"")</f>
        <v>0</v>
      </c>
      <c r="X1443" s="900">
        <f t="shared" si="308"/>
        <v>0</v>
      </c>
      <c r="Y1443" s="898"/>
      <c r="Z1443" s="904"/>
      <c r="AA1443" s="904"/>
      <c r="AB1443" s="904"/>
      <c r="AC1443" s="904"/>
      <c r="AD1443" s="904"/>
      <c r="AE1443" s="904"/>
      <c r="AF1443" s="899"/>
      <c r="AG1443" s="906" t="str">
        <f>IF(AE1443&lt;&gt;0,VLOOKUP(AE1443,ODDS!$A$2:$C$13,3,0),"")</f>
        <v/>
      </c>
      <c r="AH1443" s="906" t="str">
        <f t="shared" si="317"/>
        <v xml:space="preserve"> </v>
      </c>
      <c r="AI1443" s="907" t="str">
        <f t="shared" si="313"/>
        <v xml:space="preserve"> </v>
      </c>
      <c r="AJ1443" s="894"/>
      <c r="AK1443" s="894"/>
    </row>
    <row r="1444" spans="1:39" s="385" customFormat="1" ht="112.5" outlineLevel="2" x14ac:dyDescent="0.3">
      <c r="A1444" s="447">
        <f t="shared" si="315"/>
        <v>113</v>
      </c>
      <c r="B1444" s="893"/>
      <c r="C1444" s="894"/>
      <c r="D1444" s="950"/>
      <c r="E1444" s="950"/>
      <c r="F1444" s="1032"/>
      <c r="G1444" s="894"/>
      <c r="H1444" s="940"/>
      <c r="I1444" s="882"/>
      <c r="J1444" s="925"/>
      <c r="K1444" s="899" t="str">
        <f>IF(G1444&lt;&gt;0,VLOOKUP(G1444,'gia dat'!$A$1:$F$144,5,0)," ")</f>
        <v xml:space="preserve"> </v>
      </c>
      <c r="L1444" s="899" t="str">
        <f>IF(G1444&lt;&gt;0,VLOOKUP(G1444,'gia dat'!$A$1:$F$144,6,0)," ")</f>
        <v xml:space="preserve"> </v>
      </c>
      <c r="M1444" s="900" t="str">
        <f t="shared" si="309"/>
        <v xml:space="preserve"> </v>
      </c>
      <c r="N1444" s="900" t="str">
        <f t="shared" si="310"/>
        <v xml:space="preserve"> </v>
      </c>
      <c r="O1444" s="894"/>
      <c r="P1444" s="926"/>
      <c r="Q1444" s="900" t="str">
        <f>IF(O1444&lt;&gt;0,VLOOKUP(O1444,'Cây trong'!$A$2:$C$246,3,0)," ")</f>
        <v xml:space="preserve"> </v>
      </c>
      <c r="R1444" s="900" t="str">
        <f t="shared" si="316"/>
        <v xml:space="preserve"> </v>
      </c>
      <c r="S1444" s="902" t="s">
        <v>2408</v>
      </c>
      <c r="T1444" s="925" t="s">
        <v>2911</v>
      </c>
      <c r="U1444" s="927">
        <v>6.6</v>
      </c>
      <c r="V1444" s="929"/>
      <c r="W1444" s="900">
        <f>IF(S1444&lt;&gt;0,VLOOKUP(S1444,VKT!$A$2:$G$415,7,0),"")</f>
        <v>0</v>
      </c>
      <c r="X1444" s="900">
        <f t="shared" si="308"/>
        <v>0</v>
      </c>
      <c r="Y1444" s="898"/>
      <c r="Z1444" s="904"/>
      <c r="AA1444" s="904"/>
      <c r="AB1444" s="904"/>
      <c r="AC1444" s="904"/>
      <c r="AD1444" s="904"/>
      <c r="AE1444" s="904"/>
      <c r="AF1444" s="899"/>
      <c r="AG1444" s="906" t="str">
        <f>IF(AE1444&lt;&gt;0,VLOOKUP(AE1444,ODDS!$A$2:$C$13,3,0),"")</f>
        <v/>
      </c>
      <c r="AH1444" s="906" t="str">
        <f t="shared" si="317"/>
        <v xml:space="preserve"> </v>
      </c>
      <c r="AI1444" s="907" t="str">
        <f t="shared" si="313"/>
        <v xml:space="preserve"> </v>
      </c>
      <c r="AJ1444" s="894"/>
      <c r="AK1444" s="894"/>
    </row>
    <row r="1445" spans="1:39" s="385" customFormat="1" ht="67.5" outlineLevel="2" x14ac:dyDescent="0.3">
      <c r="A1445" s="447">
        <f t="shared" si="315"/>
        <v>113</v>
      </c>
      <c r="B1445" s="893"/>
      <c r="C1445" s="894"/>
      <c r="D1445" s="950"/>
      <c r="E1445" s="950"/>
      <c r="F1445" s="1032"/>
      <c r="G1445" s="894"/>
      <c r="H1445" s="940"/>
      <c r="I1445" s="882"/>
      <c r="J1445" s="925"/>
      <c r="K1445" s="899" t="str">
        <f>IF(G1445&lt;&gt;0,VLOOKUP(G1445,'gia dat'!$A$1:$F$144,5,0)," ")</f>
        <v xml:space="preserve"> </v>
      </c>
      <c r="L1445" s="899" t="str">
        <f>IF(G1445&lt;&gt;0,VLOOKUP(G1445,'gia dat'!$A$1:$F$144,6,0)," ")</f>
        <v xml:space="preserve"> </v>
      </c>
      <c r="M1445" s="900" t="str">
        <f t="shared" si="309"/>
        <v xml:space="preserve"> </v>
      </c>
      <c r="N1445" s="900" t="str">
        <f t="shared" si="310"/>
        <v xml:space="preserve"> </v>
      </c>
      <c r="O1445" s="894"/>
      <c r="P1445" s="926"/>
      <c r="Q1445" s="900" t="str">
        <f>IF(O1445&lt;&gt;0,VLOOKUP(O1445,'Cây trong'!$A$2:$C$246,3,0)," ")</f>
        <v xml:space="preserve"> </v>
      </c>
      <c r="R1445" s="900" t="str">
        <f t="shared" si="316"/>
        <v xml:space="preserve"> </v>
      </c>
      <c r="S1445" s="902" t="s">
        <v>1805</v>
      </c>
      <c r="T1445" s="925" t="s">
        <v>2911</v>
      </c>
      <c r="U1445" s="927">
        <v>3.6</v>
      </c>
      <c r="V1445" s="929"/>
      <c r="W1445" s="900">
        <f>IF(S1445&lt;&gt;0,VLOOKUP(S1445,VKT!$A$2:$G$415,7,0),"")</f>
        <v>642264</v>
      </c>
      <c r="X1445" s="900">
        <f t="shared" si="308"/>
        <v>2312000</v>
      </c>
      <c r="Y1445" s="898"/>
      <c r="Z1445" s="904"/>
      <c r="AA1445" s="904"/>
      <c r="AB1445" s="904"/>
      <c r="AC1445" s="904"/>
      <c r="AD1445" s="904"/>
      <c r="AE1445" s="904"/>
      <c r="AF1445" s="899"/>
      <c r="AG1445" s="906" t="str">
        <f>IF(AE1445&lt;&gt;0,VLOOKUP(AE1445,ODDS!$A$2:$C$13,3,0),"")</f>
        <v/>
      </c>
      <c r="AH1445" s="906" t="str">
        <f t="shared" si="317"/>
        <v xml:space="preserve"> </v>
      </c>
      <c r="AI1445" s="907" t="str">
        <f t="shared" si="313"/>
        <v xml:space="preserve"> </v>
      </c>
      <c r="AJ1445" s="894"/>
      <c r="AK1445" s="894"/>
    </row>
    <row r="1446" spans="1:39" s="385" customFormat="1" ht="67.5" outlineLevel="2" x14ac:dyDescent="0.3">
      <c r="A1446" s="447">
        <f t="shared" si="315"/>
        <v>113</v>
      </c>
      <c r="B1446" s="893"/>
      <c r="C1446" s="894"/>
      <c r="D1446" s="950"/>
      <c r="E1446" s="950"/>
      <c r="F1446" s="1032"/>
      <c r="G1446" s="894"/>
      <c r="H1446" s="940"/>
      <c r="I1446" s="882"/>
      <c r="J1446" s="925"/>
      <c r="K1446" s="899" t="str">
        <f>IF(G1446&lt;&gt;0,VLOOKUP(G1446,'gia dat'!$A$1:$F$144,5,0)," ")</f>
        <v xml:space="preserve"> </v>
      </c>
      <c r="L1446" s="899" t="str">
        <f>IF(G1446&lt;&gt;0,VLOOKUP(G1446,'gia dat'!$A$1:$F$144,6,0)," ")</f>
        <v xml:space="preserve"> </v>
      </c>
      <c r="M1446" s="900" t="str">
        <f t="shared" si="309"/>
        <v xml:space="preserve"> </v>
      </c>
      <c r="N1446" s="900" t="str">
        <f t="shared" si="310"/>
        <v xml:space="preserve"> </v>
      </c>
      <c r="O1446" s="894"/>
      <c r="P1446" s="926"/>
      <c r="Q1446" s="900" t="str">
        <f>IF(O1446&lt;&gt;0,VLOOKUP(O1446,'Cây trong'!$A$2:$C$246,3,0)," ")</f>
        <v xml:space="preserve"> </v>
      </c>
      <c r="R1446" s="900" t="str">
        <f t="shared" si="316"/>
        <v xml:space="preserve"> </v>
      </c>
      <c r="S1446" s="902" t="s">
        <v>1804</v>
      </c>
      <c r="T1446" s="925" t="s">
        <v>2930</v>
      </c>
      <c r="U1446" s="927">
        <v>0.13</v>
      </c>
      <c r="V1446" s="929"/>
      <c r="W1446" s="900">
        <f>IF(S1446&lt;&gt;0,VLOOKUP(S1446,VKT!$A$2:$G$415,7,0),"")</f>
        <v>0</v>
      </c>
      <c r="X1446" s="900">
        <f t="shared" si="308"/>
        <v>0</v>
      </c>
      <c r="Y1446" s="898"/>
      <c r="Z1446" s="904"/>
      <c r="AA1446" s="904"/>
      <c r="AB1446" s="904"/>
      <c r="AC1446" s="904"/>
      <c r="AD1446" s="904"/>
      <c r="AE1446" s="904"/>
      <c r="AF1446" s="899"/>
      <c r="AG1446" s="906" t="str">
        <f>IF(AE1446&lt;&gt;0,VLOOKUP(AE1446,ODDS!$A$2:$C$13,3,0),"")</f>
        <v/>
      </c>
      <c r="AH1446" s="906" t="str">
        <f t="shared" si="317"/>
        <v xml:space="preserve"> </v>
      </c>
      <c r="AI1446" s="907" t="str">
        <f t="shared" si="313"/>
        <v xml:space="preserve"> </v>
      </c>
      <c r="AJ1446" s="894"/>
      <c r="AK1446" s="894"/>
    </row>
    <row r="1447" spans="1:39" s="385" customFormat="1" ht="22.5" outlineLevel="2" x14ac:dyDescent="0.3">
      <c r="A1447" s="447">
        <f t="shared" si="315"/>
        <v>113</v>
      </c>
      <c r="B1447" s="893"/>
      <c r="C1447" s="894"/>
      <c r="D1447" s="950"/>
      <c r="E1447" s="950"/>
      <c r="F1447" s="1032"/>
      <c r="G1447" s="894"/>
      <c r="H1447" s="940"/>
      <c r="I1447" s="882"/>
      <c r="J1447" s="925"/>
      <c r="K1447" s="899" t="str">
        <f>IF(G1447&lt;&gt;0,VLOOKUP(G1447,'gia dat'!$A$1:$F$144,5,0)," ")</f>
        <v xml:space="preserve"> </v>
      </c>
      <c r="L1447" s="899" t="str">
        <f>IF(G1447&lt;&gt;0,VLOOKUP(G1447,'gia dat'!$A$1:$F$144,6,0)," ")</f>
        <v xml:space="preserve"> </v>
      </c>
      <c r="M1447" s="900" t="str">
        <f t="shared" si="309"/>
        <v xml:space="preserve"> </v>
      </c>
      <c r="N1447" s="900" t="str">
        <f t="shared" si="310"/>
        <v xml:space="preserve"> </v>
      </c>
      <c r="O1447" s="894"/>
      <c r="P1447" s="926"/>
      <c r="Q1447" s="900" t="str">
        <f>IF(O1447&lt;&gt;0,VLOOKUP(O1447,'Cây trong'!$A$2:$C$246,3,0)," ")</f>
        <v xml:space="preserve"> </v>
      </c>
      <c r="R1447" s="900" t="str">
        <f t="shared" si="316"/>
        <v xml:space="preserve"> </v>
      </c>
      <c r="S1447" s="902"/>
      <c r="T1447" s="925"/>
      <c r="U1447" s="927"/>
      <c r="V1447" s="929"/>
      <c r="W1447" s="900" t="str">
        <f>IF(S1447&lt;&gt;0,VLOOKUP(S1447,VKT!$A$2:$G$415,7,0),"")</f>
        <v/>
      </c>
      <c r="X1447" s="900" t="str">
        <f t="shared" si="308"/>
        <v xml:space="preserve"> </v>
      </c>
      <c r="Y1447" s="898"/>
      <c r="Z1447" s="904"/>
      <c r="AA1447" s="904"/>
      <c r="AB1447" s="904"/>
      <c r="AC1447" s="904"/>
      <c r="AD1447" s="904"/>
      <c r="AE1447" s="904"/>
      <c r="AF1447" s="899"/>
      <c r="AG1447" s="906" t="str">
        <f>IF(AE1447&lt;&gt;0,VLOOKUP(AE1447,ODDS!$A$2:$C$13,3,0),"")</f>
        <v/>
      </c>
      <c r="AH1447" s="906" t="str">
        <f t="shared" si="317"/>
        <v xml:space="preserve"> </v>
      </c>
      <c r="AI1447" s="907" t="str">
        <f t="shared" si="313"/>
        <v xml:space="preserve"> </v>
      </c>
      <c r="AJ1447" s="894"/>
      <c r="AK1447" s="894"/>
    </row>
    <row r="1448" spans="1:39" s="385" customFormat="1" ht="22.5" outlineLevel="2" x14ac:dyDescent="0.3">
      <c r="A1448" s="447">
        <f t="shared" si="315"/>
        <v>113</v>
      </c>
      <c r="B1448" s="893"/>
      <c r="C1448" s="894"/>
      <c r="D1448" s="950"/>
      <c r="E1448" s="950"/>
      <c r="F1448" s="1032"/>
      <c r="G1448" s="894"/>
      <c r="H1448" s="940"/>
      <c r="I1448" s="882"/>
      <c r="J1448" s="925"/>
      <c r="K1448" s="899" t="str">
        <f>IF(G1448&lt;&gt;0,VLOOKUP(G1448,'gia dat'!$A$1:$F$144,5,0)," ")</f>
        <v xml:space="preserve"> </v>
      </c>
      <c r="L1448" s="899" t="str">
        <f>IF(G1448&lt;&gt;0,VLOOKUP(G1448,'gia dat'!$A$1:$F$144,6,0)," ")</f>
        <v xml:space="preserve"> </v>
      </c>
      <c r="M1448" s="900" t="str">
        <f t="shared" si="309"/>
        <v xml:space="preserve"> </v>
      </c>
      <c r="N1448" s="900" t="str">
        <f t="shared" si="310"/>
        <v xml:space="preserve"> </v>
      </c>
      <c r="O1448" s="894"/>
      <c r="P1448" s="926"/>
      <c r="Q1448" s="900" t="str">
        <f>IF(O1448&lt;&gt;0,VLOOKUP(O1448,'Cây trong'!$A$2:$C$246,3,0)," ")</f>
        <v xml:space="preserve"> </v>
      </c>
      <c r="R1448" s="900" t="str">
        <f t="shared" si="316"/>
        <v xml:space="preserve"> </v>
      </c>
      <c r="S1448" s="902"/>
      <c r="T1448" s="925"/>
      <c r="U1448" s="927"/>
      <c r="V1448" s="929"/>
      <c r="W1448" s="900" t="str">
        <f>IF(S1448&lt;&gt;0,VLOOKUP(S1448,VKT!$A$2:$G$415,7,0),"")</f>
        <v/>
      </c>
      <c r="X1448" s="900" t="str">
        <f t="shared" si="308"/>
        <v xml:space="preserve"> </v>
      </c>
      <c r="Y1448" s="898"/>
      <c r="Z1448" s="904"/>
      <c r="AA1448" s="904"/>
      <c r="AB1448" s="904"/>
      <c r="AC1448" s="904"/>
      <c r="AD1448" s="904"/>
      <c r="AE1448" s="904"/>
      <c r="AF1448" s="899"/>
      <c r="AG1448" s="906" t="str">
        <f>IF(AE1448&lt;&gt;0,VLOOKUP(AE1448,ODDS!$A$2:$C$13,3,0),"")</f>
        <v/>
      </c>
      <c r="AH1448" s="906" t="str">
        <f t="shared" si="317"/>
        <v xml:space="preserve"> </v>
      </c>
      <c r="AI1448" s="907" t="str">
        <f t="shared" si="313"/>
        <v xml:space="preserve"> </v>
      </c>
      <c r="AJ1448" s="894"/>
      <c r="AK1448" s="894"/>
    </row>
    <row r="1449" spans="1:39" s="385" customFormat="1" ht="22.5" outlineLevel="2" x14ac:dyDescent="0.3">
      <c r="A1449" s="447">
        <f t="shared" si="315"/>
        <v>113</v>
      </c>
      <c r="B1449" s="893"/>
      <c r="C1449" s="894"/>
      <c r="D1449" s="950"/>
      <c r="E1449" s="950"/>
      <c r="F1449" s="1032"/>
      <c r="G1449" s="894"/>
      <c r="H1449" s="940"/>
      <c r="I1449" s="882"/>
      <c r="J1449" s="925"/>
      <c r="K1449" s="899" t="str">
        <f>IF(G1449&lt;&gt;0,VLOOKUP(G1449,'gia dat'!$A$1:$F$144,5,0)," ")</f>
        <v xml:space="preserve"> </v>
      </c>
      <c r="L1449" s="899" t="str">
        <f>IF(G1449&lt;&gt;0,VLOOKUP(G1449,'gia dat'!$A$1:$F$144,6,0)," ")</f>
        <v xml:space="preserve"> </v>
      </c>
      <c r="M1449" s="900" t="str">
        <f t="shared" si="309"/>
        <v xml:space="preserve"> </v>
      </c>
      <c r="N1449" s="900" t="str">
        <f t="shared" si="310"/>
        <v xml:space="preserve"> </v>
      </c>
      <c r="O1449" s="894"/>
      <c r="P1449" s="926"/>
      <c r="Q1449" s="900" t="str">
        <f>IF(O1449&lt;&gt;0,VLOOKUP(O1449,'Cây trong'!$A$2:$C$246,3,0)," ")</f>
        <v xml:space="preserve"> </v>
      </c>
      <c r="R1449" s="900" t="str">
        <f t="shared" si="316"/>
        <v xml:space="preserve"> </v>
      </c>
      <c r="S1449" s="902"/>
      <c r="T1449" s="925"/>
      <c r="U1449" s="927"/>
      <c r="V1449" s="929"/>
      <c r="W1449" s="900" t="str">
        <f>IF(S1449&lt;&gt;0,VLOOKUP(S1449,VKT!$A$2:$G$415,7,0),"")</f>
        <v/>
      </c>
      <c r="X1449" s="900" t="str">
        <f t="shared" si="308"/>
        <v xml:space="preserve"> </v>
      </c>
      <c r="Y1449" s="898"/>
      <c r="Z1449" s="904"/>
      <c r="AA1449" s="904"/>
      <c r="AB1449" s="904"/>
      <c r="AC1449" s="904"/>
      <c r="AD1449" s="904"/>
      <c r="AE1449" s="904"/>
      <c r="AF1449" s="899"/>
      <c r="AG1449" s="906" t="str">
        <f>IF(AE1449&lt;&gt;0,VLOOKUP(AE1449,ODDS!$A$2:$C$13,3,0),"")</f>
        <v/>
      </c>
      <c r="AH1449" s="906" t="str">
        <f t="shared" si="317"/>
        <v xml:space="preserve"> </v>
      </c>
      <c r="AI1449" s="907" t="str">
        <f t="shared" si="313"/>
        <v xml:space="preserve"> </v>
      </c>
      <c r="AJ1449" s="894"/>
      <c r="AK1449" s="894"/>
    </row>
    <row r="1450" spans="1:39" s="385" customFormat="1" ht="22.5" outlineLevel="2" x14ac:dyDescent="0.3">
      <c r="A1450" s="447">
        <f t="shared" si="315"/>
        <v>113</v>
      </c>
      <c r="B1450" s="893"/>
      <c r="C1450" s="894"/>
      <c r="D1450" s="950"/>
      <c r="E1450" s="950"/>
      <c r="F1450" s="1032"/>
      <c r="G1450" s="894"/>
      <c r="H1450" s="940"/>
      <c r="I1450" s="882"/>
      <c r="J1450" s="925"/>
      <c r="K1450" s="899" t="str">
        <f>IF(G1450&lt;&gt;0,VLOOKUP(G1450,'gia dat'!$A$1:$F$144,5,0)," ")</f>
        <v xml:space="preserve"> </v>
      </c>
      <c r="L1450" s="899" t="str">
        <f>IF(G1450&lt;&gt;0,VLOOKUP(G1450,'gia dat'!$A$1:$F$144,6,0)," ")</f>
        <v xml:space="preserve"> </v>
      </c>
      <c r="M1450" s="900" t="str">
        <f t="shared" si="309"/>
        <v xml:space="preserve"> </v>
      </c>
      <c r="N1450" s="900" t="str">
        <f t="shared" si="310"/>
        <v xml:space="preserve"> </v>
      </c>
      <c r="O1450" s="894"/>
      <c r="P1450" s="926"/>
      <c r="Q1450" s="900" t="str">
        <f>IF(O1450&lt;&gt;0,VLOOKUP(O1450,'Cây trong'!$A$2:$C$246,3,0)," ")</f>
        <v xml:space="preserve"> </v>
      </c>
      <c r="R1450" s="900" t="str">
        <f t="shared" si="316"/>
        <v xml:space="preserve"> </v>
      </c>
      <c r="S1450" s="902"/>
      <c r="T1450" s="925"/>
      <c r="U1450" s="927"/>
      <c r="V1450" s="929"/>
      <c r="W1450" s="900" t="str">
        <f>IF(S1450&lt;&gt;0,VLOOKUP(S1450,VKT!$A$2:$G$415,7,0),"")</f>
        <v/>
      </c>
      <c r="X1450" s="900" t="str">
        <f t="shared" si="308"/>
        <v xml:space="preserve"> </v>
      </c>
      <c r="Y1450" s="898"/>
      <c r="Z1450" s="904"/>
      <c r="AA1450" s="904"/>
      <c r="AB1450" s="904"/>
      <c r="AC1450" s="904"/>
      <c r="AD1450" s="904"/>
      <c r="AE1450" s="904"/>
      <c r="AF1450" s="899"/>
      <c r="AG1450" s="906" t="str">
        <f>IF(AE1450&lt;&gt;0,VLOOKUP(AE1450,ODDS!$A$2:$C$13,3,0),"")</f>
        <v/>
      </c>
      <c r="AH1450" s="906" t="str">
        <f t="shared" si="317"/>
        <v xml:space="preserve"> </v>
      </c>
      <c r="AI1450" s="907" t="str">
        <f t="shared" si="313"/>
        <v xml:space="preserve"> </v>
      </c>
      <c r="AJ1450" s="894"/>
      <c r="AK1450" s="894"/>
    </row>
    <row r="1451" spans="1:39" s="385" customFormat="1" ht="22.5" outlineLevel="2" x14ac:dyDescent="0.3">
      <c r="A1451" s="447">
        <f t="shared" si="315"/>
        <v>113</v>
      </c>
      <c r="B1451" s="893"/>
      <c r="C1451" s="910"/>
      <c r="D1451" s="950"/>
      <c r="E1451" s="950"/>
      <c r="F1451" s="1032"/>
      <c r="G1451" s="894"/>
      <c r="H1451" s="940"/>
      <c r="I1451" s="882"/>
      <c r="J1451" s="925"/>
      <c r="K1451" s="899" t="str">
        <f>IF(G1451&lt;&gt;0,VLOOKUP(G1451,'gia dat'!$A$1:$F$144,5,0)," ")</f>
        <v xml:space="preserve"> </v>
      </c>
      <c r="L1451" s="899" t="str">
        <f>IF(G1451&lt;&gt;0,VLOOKUP(G1451,'gia dat'!$A$1:$F$144,6,0)," ")</f>
        <v xml:space="preserve"> </v>
      </c>
      <c r="M1451" s="900" t="str">
        <f t="shared" si="309"/>
        <v xml:space="preserve"> </v>
      </c>
      <c r="N1451" s="900" t="str">
        <f t="shared" si="310"/>
        <v xml:space="preserve"> </v>
      </c>
      <c r="O1451" s="894"/>
      <c r="P1451" s="926"/>
      <c r="Q1451" s="900" t="str">
        <f>IF(O1451&lt;&gt;0,VLOOKUP(O1451,'Cây trong'!$A$2:$C$246,3,0)," ")</f>
        <v xml:space="preserve"> </v>
      </c>
      <c r="R1451" s="900" t="str">
        <f t="shared" si="316"/>
        <v xml:space="preserve"> </v>
      </c>
      <c r="S1451" s="894"/>
      <c r="T1451" s="894"/>
      <c r="U1451" s="1018"/>
      <c r="V1451" s="894"/>
      <c r="W1451" s="900" t="str">
        <f>IF(S1451&lt;&gt;0,VLOOKUP(S1451,VKT!$A$2:$G$415,7,0),"")</f>
        <v/>
      </c>
      <c r="X1451" s="900" t="str">
        <f t="shared" si="308"/>
        <v xml:space="preserve"> </v>
      </c>
      <c r="Y1451" s="894"/>
      <c r="Z1451" s="894"/>
      <c r="AA1451" s="894"/>
      <c r="AB1451" s="894"/>
      <c r="AC1451" s="894"/>
      <c r="AD1451" s="904"/>
      <c r="AE1451" s="904"/>
      <c r="AF1451" s="899"/>
      <c r="AG1451" s="906" t="str">
        <f>IF(AE1451&lt;&gt;0,VLOOKUP(AE1451,ODDS!$A$2:$C$13,3,0),"")</f>
        <v/>
      </c>
      <c r="AH1451" s="906" t="str">
        <f t="shared" si="317"/>
        <v xml:space="preserve"> </v>
      </c>
      <c r="AI1451" s="907" t="str">
        <f t="shared" si="313"/>
        <v xml:space="preserve"> </v>
      </c>
      <c r="AJ1451" s="894"/>
      <c r="AK1451" s="894"/>
    </row>
    <row r="1452" spans="1:39" s="385" customFormat="1" ht="22.5" outlineLevel="1" x14ac:dyDescent="0.25">
      <c r="A1452" s="467" t="s">
        <v>2596</v>
      </c>
      <c r="B1452" s="912">
        <v>114</v>
      </c>
      <c r="C1452" s="910" t="s">
        <v>1043</v>
      </c>
      <c r="D1452" s="1037"/>
      <c r="E1452" s="1037"/>
      <c r="F1452" s="1038"/>
      <c r="G1452" s="910"/>
      <c r="H1452" s="932">
        <f>SUBTOTAL(9,H1453:H1458)</f>
        <v>0</v>
      </c>
      <c r="I1452" s="915">
        <f>SUBTOTAL(9,I1453:I1458)</f>
        <v>0</v>
      </c>
      <c r="J1452" s="933"/>
      <c r="K1452" s="917"/>
      <c r="L1452" s="917"/>
      <c r="M1452" s="907">
        <f>SUBTOTAL(9,M1453:M1458)</f>
        <v>0</v>
      </c>
      <c r="N1452" s="907">
        <f>SUBTOTAL(9,N1453:N1458)</f>
        <v>0</v>
      </c>
      <c r="O1452" s="910"/>
      <c r="P1452" s="935">
        <f>SUBTOTAL(9,P1453:P1458)</f>
        <v>0</v>
      </c>
      <c r="Q1452" s="907"/>
      <c r="R1452" s="907">
        <f>SUBTOTAL(9,R1453:R1458)</f>
        <v>0</v>
      </c>
      <c r="S1452" s="918"/>
      <c r="T1452" s="933"/>
      <c r="U1452" s="936">
        <f>SUBTOTAL(9,U1453:U1458)</f>
        <v>25.06</v>
      </c>
      <c r="V1452" s="943"/>
      <c r="W1452" s="907"/>
      <c r="X1452" s="907">
        <f>SUBTOTAL(9,X1453:X1458)</f>
        <v>2002000</v>
      </c>
      <c r="Y1452" s="898"/>
      <c r="Z1452" s="904"/>
      <c r="AA1452" s="904"/>
      <c r="AB1452" s="904"/>
      <c r="AC1452" s="904"/>
      <c r="AD1452" s="904"/>
      <c r="AE1452" s="920"/>
      <c r="AF1452" s="917">
        <f>SUBTOTAL(9,AF1453:AF1458)</f>
        <v>0</v>
      </c>
      <c r="AG1452" s="921"/>
      <c r="AH1452" s="921">
        <f>SUBTOTAL(9,AH1453:AH1458)</f>
        <v>0</v>
      </c>
      <c r="AI1452" s="907">
        <f t="shared" si="313"/>
        <v>2002000</v>
      </c>
      <c r="AJ1452" s="910"/>
      <c r="AK1452" s="910"/>
      <c r="AM1452" s="473"/>
    </row>
    <row r="1453" spans="1:39" s="385" customFormat="1" ht="112.5" outlineLevel="2" x14ac:dyDescent="0.3">
      <c r="A1453" s="447">
        <f>IF(B1452&lt;&gt;0,B1452,A1451)</f>
        <v>114</v>
      </c>
      <c r="B1453" s="893"/>
      <c r="C1453" s="894" t="s">
        <v>1045</v>
      </c>
      <c r="D1453" s="950"/>
      <c r="E1453" s="950"/>
      <c r="F1453" s="1032"/>
      <c r="G1453" s="894"/>
      <c r="H1453" s="940"/>
      <c r="I1453" s="882"/>
      <c r="J1453" s="925"/>
      <c r="K1453" s="899" t="str">
        <f>IF(G1453&lt;&gt;0,VLOOKUP(G1453,'gia dat'!$A$1:$F$144,5,0)," ")</f>
        <v xml:space="preserve"> </v>
      </c>
      <c r="L1453" s="899" t="str">
        <f>IF(G1453&lt;&gt;0,VLOOKUP(G1453,'gia dat'!$A$1:$F$144,6,0)," ")</f>
        <v xml:space="preserve"> </v>
      </c>
      <c r="M1453" s="900" t="str">
        <f t="shared" si="309"/>
        <v xml:space="preserve"> </v>
      </c>
      <c r="N1453" s="900" t="str">
        <f t="shared" si="310"/>
        <v xml:space="preserve"> </v>
      </c>
      <c r="O1453" s="894"/>
      <c r="P1453" s="926"/>
      <c r="Q1453" s="900" t="str">
        <f>IF(O1453&lt;&gt;0,VLOOKUP(O1453,'Cây trong'!$A$2:$C$246,3,0)," ")</f>
        <v xml:space="preserve"> </v>
      </c>
      <c r="R1453" s="900" t="str">
        <f t="shared" si="316"/>
        <v xml:space="preserve"> </v>
      </c>
      <c r="S1453" s="902" t="s">
        <v>1748</v>
      </c>
      <c r="T1453" s="925" t="s">
        <v>2911</v>
      </c>
      <c r="U1453" s="927">
        <v>9.4499999999999993</v>
      </c>
      <c r="V1453" s="929"/>
      <c r="W1453" s="900">
        <f>IF(S1453&lt;&gt;0,VLOOKUP(S1453,VKT!$A$2:$G$415,7,0),"")</f>
        <v>0</v>
      </c>
      <c r="X1453" s="900">
        <f t="shared" si="308"/>
        <v>0</v>
      </c>
      <c r="Y1453" s="898"/>
      <c r="Z1453" s="904"/>
      <c r="AA1453" s="904"/>
      <c r="AB1453" s="904"/>
      <c r="AC1453" s="904"/>
      <c r="AD1453" s="904"/>
      <c r="AE1453" s="904"/>
      <c r="AF1453" s="899"/>
      <c r="AG1453" s="906" t="str">
        <f>IF(AE1453&lt;&gt;0,VLOOKUP(AE1453,ODDS!$A$2:$C$13,3,0),"")</f>
        <v/>
      </c>
      <c r="AH1453" s="906" t="str">
        <f t="shared" si="317"/>
        <v xml:space="preserve"> </v>
      </c>
      <c r="AI1453" s="907" t="str">
        <f t="shared" si="313"/>
        <v xml:space="preserve"> </v>
      </c>
      <c r="AJ1453" s="894" t="s">
        <v>1044</v>
      </c>
      <c r="AK1453" s="894" t="s">
        <v>2450</v>
      </c>
      <c r="AM1453" s="378" t="s">
        <v>2157</v>
      </c>
    </row>
    <row r="1454" spans="1:39" s="385" customFormat="1" ht="112.5" outlineLevel="2" x14ac:dyDescent="0.35">
      <c r="A1454" s="447">
        <f>IF(B1453&lt;&gt;0,B1453,A1453)</f>
        <v>114</v>
      </c>
      <c r="B1454" s="893"/>
      <c r="C1454" s="894" t="s">
        <v>1661</v>
      </c>
      <c r="D1454" s="950"/>
      <c r="E1454" s="950"/>
      <c r="F1454" s="1032"/>
      <c r="G1454" s="894"/>
      <c r="H1454" s="940"/>
      <c r="I1454" s="882"/>
      <c r="J1454" s="925"/>
      <c r="K1454" s="899" t="str">
        <f>IF(G1454&lt;&gt;0,VLOOKUP(G1454,'gia dat'!$A$1:$F$144,5,0)," ")</f>
        <v xml:space="preserve"> </v>
      </c>
      <c r="L1454" s="899" t="str">
        <f>IF(G1454&lt;&gt;0,VLOOKUP(G1454,'gia dat'!$A$1:$F$144,6,0)," ")</f>
        <v xml:space="preserve"> </v>
      </c>
      <c r="M1454" s="900" t="str">
        <f t="shared" si="309"/>
        <v xml:space="preserve"> </v>
      </c>
      <c r="N1454" s="900" t="str">
        <f t="shared" si="310"/>
        <v xml:space="preserve"> </v>
      </c>
      <c r="O1454" s="894"/>
      <c r="P1454" s="926"/>
      <c r="Q1454" s="900" t="str">
        <f>IF(O1454&lt;&gt;0,VLOOKUP(O1454,'Cây trong'!$A$2:$C$246,3,0)," ")</f>
        <v xml:space="preserve"> </v>
      </c>
      <c r="R1454" s="900" t="str">
        <f t="shared" si="316"/>
        <v xml:space="preserve"> </v>
      </c>
      <c r="S1454" s="902" t="s">
        <v>1749</v>
      </c>
      <c r="T1454" s="925" t="s">
        <v>2911</v>
      </c>
      <c r="U1454" s="927">
        <v>9.4499999999999993</v>
      </c>
      <c r="V1454" s="929"/>
      <c r="W1454" s="900">
        <f>IF(S1454&lt;&gt;0,VLOOKUP(S1454,VKT!$A$2:$G$415,7,0),"")</f>
        <v>211811</v>
      </c>
      <c r="X1454" s="900">
        <f t="shared" si="308"/>
        <v>2002000</v>
      </c>
      <c r="Y1454" s="898"/>
      <c r="Z1454" s="904"/>
      <c r="AA1454" s="904"/>
      <c r="AB1454" s="904"/>
      <c r="AC1454" s="904"/>
      <c r="AD1454" s="904"/>
      <c r="AE1454" s="904"/>
      <c r="AF1454" s="899"/>
      <c r="AG1454" s="906" t="str">
        <f>IF(AE1454&lt;&gt;0,VLOOKUP(AE1454,ODDS!$A$2:$C$13,3,0),"")</f>
        <v/>
      </c>
      <c r="AH1454" s="906" t="str">
        <f t="shared" si="317"/>
        <v xml:space="preserve"> </v>
      </c>
      <c r="AI1454" s="907" t="str">
        <f t="shared" si="313"/>
        <v xml:space="preserve"> </v>
      </c>
      <c r="AJ1454" s="1036"/>
      <c r="AK1454" s="894" t="s">
        <v>2800</v>
      </c>
    </row>
    <row r="1455" spans="1:39" s="385" customFormat="1" ht="45" outlineLevel="2" x14ac:dyDescent="0.3">
      <c r="A1455" s="447">
        <f>IF(B1454&lt;&gt;0,B1454,A1454)</f>
        <v>114</v>
      </c>
      <c r="B1455" s="893"/>
      <c r="C1455" s="894"/>
      <c r="D1455" s="950"/>
      <c r="E1455" s="950"/>
      <c r="F1455" s="1032"/>
      <c r="G1455" s="894"/>
      <c r="H1455" s="940"/>
      <c r="I1455" s="882"/>
      <c r="J1455" s="925"/>
      <c r="K1455" s="899" t="str">
        <f>IF(G1455&lt;&gt;0,VLOOKUP(G1455,'gia dat'!$A$1:$F$144,5,0)," ")</f>
        <v xml:space="preserve"> </v>
      </c>
      <c r="L1455" s="899" t="str">
        <f>IF(G1455&lt;&gt;0,VLOOKUP(G1455,'gia dat'!$A$1:$F$144,6,0)," ")</f>
        <v xml:space="preserve"> </v>
      </c>
      <c r="M1455" s="900" t="str">
        <f t="shared" si="309"/>
        <v xml:space="preserve"> </v>
      </c>
      <c r="N1455" s="900" t="str">
        <f t="shared" si="310"/>
        <v xml:space="preserve"> </v>
      </c>
      <c r="O1455" s="894"/>
      <c r="P1455" s="926"/>
      <c r="Q1455" s="900" t="str">
        <f>IF(O1455&lt;&gt;0,VLOOKUP(O1455,'Cây trong'!$A$2:$C$246,3,0)," ")</f>
        <v xml:space="preserve"> </v>
      </c>
      <c r="R1455" s="900" t="str">
        <f t="shared" si="316"/>
        <v xml:space="preserve"> </v>
      </c>
      <c r="S1455" s="902" t="s">
        <v>1812</v>
      </c>
      <c r="T1455" s="925" t="s">
        <v>2911</v>
      </c>
      <c r="U1455" s="952">
        <v>6.16</v>
      </c>
      <c r="V1455" s="929"/>
      <c r="W1455" s="900">
        <f>IF(S1455&lt;&gt;0,VLOOKUP(S1455,VKT!$A$2:$G$415,7,0),"")</f>
        <v>0</v>
      </c>
      <c r="X1455" s="900">
        <f t="shared" si="308"/>
        <v>0</v>
      </c>
      <c r="Y1455" s="898"/>
      <c r="Z1455" s="904"/>
      <c r="AA1455" s="904"/>
      <c r="AB1455" s="904"/>
      <c r="AC1455" s="904"/>
      <c r="AD1455" s="904"/>
      <c r="AE1455" s="904"/>
      <c r="AF1455" s="899"/>
      <c r="AG1455" s="906" t="str">
        <f>IF(AE1455&lt;&gt;0,VLOOKUP(AE1455,ODDS!$A$2:$C$13,3,0),"")</f>
        <v/>
      </c>
      <c r="AH1455" s="906" t="str">
        <f t="shared" si="317"/>
        <v xml:space="preserve"> </v>
      </c>
      <c r="AI1455" s="907" t="str">
        <f t="shared" si="313"/>
        <v xml:space="preserve"> </v>
      </c>
      <c r="AJ1455" s="894"/>
      <c r="AK1455" s="894"/>
    </row>
    <row r="1456" spans="1:39" s="385" customFormat="1" ht="22.5" outlineLevel="2" x14ac:dyDescent="0.3">
      <c r="A1456" s="447">
        <f>IF(B1455&lt;&gt;0,B1455,A1455)</f>
        <v>114</v>
      </c>
      <c r="B1456" s="893"/>
      <c r="C1456" s="894"/>
      <c r="D1456" s="950"/>
      <c r="E1456" s="950"/>
      <c r="F1456" s="1032"/>
      <c r="G1456" s="894"/>
      <c r="H1456" s="940"/>
      <c r="I1456" s="882"/>
      <c r="J1456" s="925"/>
      <c r="K1456" s="899" t="str">
        <f>IF(G1456&lt;&gt;0,VLOOKUP(G1456,'gia dat'!$A$1:$F$144,5,0)," ")</f>
        <v xml:space="preserve"> </v>
      </c>
      <c r="L1456" s="899" t="str">
        <f>IF(G1456&lt;&gt;0,VLOOKUP(G1456,'gia dat'!$A$1:$F$144,6,0)," ")</f>
        <v xml:space="preserve"> </v>
      </c>
      <c r="M1456" s="900" t="str">
        <f t="shared" si="309"/>
        <v xml:space="preserve"> </v>
      </c>
      <c r="N1456" s="900" t="str">
        <f t="shared" si="310"/>
        <v xml:space="preserve"> </v>
      </c>
      <c r="O1456" s="894"/>
      <c r="P1456" s="926"/>
      <c r="Q1456" s="900" t="str">
        <f>IF(O1456&lt;&gt;0,VLOOKUP(O1456,'Cây trong'!$A$2:$C$246,3,0)," ")</f>
        <v xml:space="preserve"> </v>
      </c>
      <c r="R1456" s="900" t="str">
        <f t="shared" si="316"/>
        <v xml:space="preserve"> </v>
      </c>
      <c r="S1456" s="902"/>
      <c r="T1456" s="925"/>
      <c r="U1456" s="952"/>
      <c r="V1456" s="929"/>
      <c r="W1456" s="900" t="str">
        <f>IF(S1456&lt;&gt;0,VLOOKUP(S1456,VKT!$A$2:$G$415,7,0),"")</f>
        <v/>
      </c>
      <c r="X1456" s="900" t="str">
        <f t="shared" ref="X1456:X1526" si="318">IF(S1456&lt;&gt;0,ROUND(U1456*W1456,-3)," ")</f>
        <v xml:space="preserve"> </v>
      </c>
      <c r="Y1456" s="898"/>
      <c r="Z1456" s="904"/>
      <c r="AA1456" s="904"/>
      <c r="AB1456" s="904"/>
      <c r="AC1456" s="904"/>
      <c r="AD1456" s="904"/>
      <c r="AE1456" s="904"/>
      <c r="AF1456" s="899"/>
      <c r="AG1456" s="906" t="str">
        <f>IF(AE1456&lt;&gt;0,VLOOKUP(AE1456,ODDS!$A$2:$C$13,3,0),"")</f>
        <v/>
      </c>
      <c r="AH1456" s="906" t="str">
        <f t="shared" si="317"/>
        <v xml:space="preserve"> </v>
      </c>
      <c r="AI1456" s="907" t="str">
        <f t="shared" si="313"/>
        <v xml:space="preserve"> </v>
      </c>
      <c r="AJ1456" s="894"/>
      <c r="AK1456" s="894"/>
    </row>
    <row r="1457" spans="1:39" s="385" customFormat="1" ht="22.5" outlineLevel="2" x14ac:dyDescent="0.3">
      <c r="A1457" s="447">
        <f>IF(B1456&lt;&gt;0,B1456,A1456)</f>
        <v>114</v>
      </c>
      <c r="B1457" s="893"/>
      <c r="C1457" s="894"/>
      <c r="D1457" s="950"/>
      <c r="E1457" s="950"/>
      <c r="F1457" s="1032"/>
      <c r="G1457" s="894"/>
      <c r="H1457" s="940"/>
      <c r="I1457" s="882"/>
      <c r="J1457" s="925"/>
      <c r="K1457" s="899" t="str">
        <f>IF(G1457&lt;&gt;0,VLOOKUP(G1457,'gia dat'!$A$1:$F$144,5,0)," ")</f>
        <v xml:space="preserve"> </v>
      </c>
      <c r="L1457" s="899" t="str">
        <f>IF(G1457&lt;&gt;0,VLOOKUP(G1457,'gia dat'!$A$1:$F$144,6,0)," ")</f>
        <v xml:space="preserve"> </v>
      </c>
      <c r="M1457" s="900" t="str">
        <f t="shared" si="309"/>
        <v xml:space="preserve"> </v>
      </c>
      <c r="N1457" s="900" t="str">
        <f t="shared" si="310"/>
        <v xml:space="preserve"> </v>
      </c>
      <c r="O1457" s="894"/>
      <c r="P1457" s="926"/>
      <c r="Q1457" s="900" t="str">
        <f>IF(O1457&lt;&gt;0,VLOOKUP(O1457,'Cây trong'!$A$2:$C$246,3,0)," ")</f>
        <v xml:space="preserve"> </v>
      </c>
      <c r="R1457" s="900" t="str">
        <f t="shared" si="316"/>
        <v xml:space="preserve"> </v>
      </c>
      <c r="S1457" s="902"/>
      <c r="T1457" s="925"/>
      <c r="U1457" s="952"/>
      <c r="V1457" s="929"/>
      <c r="W1457" s="900" t="str">
        <f>IF(S1457&lt;&gt;0,VLOOKUP(S1457,VKT!$A$2:$G$415,7,0),"")</f>
        <v/>
      </c>
      <c r="X1457" s="900" t="str">
        <f t="shared" si="318"/>
        <v xml:space="preserve"> </v>
      </c>
      <c r="Y1457" s="898"/>
      <c r="Z1457" s="904"/>
      <c r="AA1457" s="904"/>
      <c r="AB1457" s="904"/>
      <c r="AC1457" s="904"/>
      <c r="AD1457" s="904"/>
      <c r="AE1457" s="904"/>
      <c r="AF1457" s="899"/>
      <c r="AG1457" s="906" t="str">
        <f>IF(AE1457&lt;&gt;0,VLOOKUP(AE1457,ODDS!$A$2:$C$13,3,0),"")</f>
        <v/>
      </c>
      <c r="AH1457" s="906" t="str">
        <f t="shared" si="317"/>
        <v xml:space="preserve"> </v>
      </c>
      <c r="AI1457" s="907" t="str">
        <f t="shared" si="313"/>
        <v xml:space="preserve"> </v>
      </c>
      <c r="AJ1457" s="894"/>
      <c r="AK1457" s="894"/>
    </row>
    <row r="1458" spans="1:39" s="385" customFormat="1" ht="22.5" outlineLevel="2" x14ac:dyDescent="0.3">
      <c r="A1458" s="447">
        <f>IF(B1457&lt;&gt;0,B1457,A1457)</f>
        <v>114</v>
      </c>
      <c r="B1458" s="893"/>
      <c r="C1458" s="910"/>
      <c r="D1458" s="950"/>
      <c r="E1458" s="950"/>
      <c r="F1458" s="1032"/>
      <c r="G1458" s="894"/>
      <c r="H1458" s="940"/>
      <c r="I1458" s="882"/>
      <c r="J1458" s="925"/>
      <c r="K1458" s="899" t="str">
        <f>IF(G1458&lt;&gt;0,VLOOKUP(G1458,'gia dat'!$A$1:$F$144,5,0)," ")</f>
        <v xml:space="preserve"> </v>
      </c>
      <c r="L1458" s="899" t="str">
        <f>IF(G1458&lt;&gt;0,VLOOKUP(G1458,'gia dat'!$A$1:$F$144,6,0)," ")</f>
        <v xml:space="preserve"> </v>
      </c>
      <c r="M1458" s="900" t="str">
        <f t="shared" si="309"/>
        <v xml:space="preserve"> </v>
      </c>
      <c r="N1458" s="900" t="str">
        <f t="shared" si="310"/>
        <v xml:space="preserve"> </v>
      </c>
      <c r="O1458" s="894"/>
      <c r="P1458" s="926"/>
      <c r="Q1458" s="900" t="str">
        <f>IF(O1458&lt;&gt;0,VLOOKUP(O1458,'Cây trong'!$A$2:$C$246,3,0)," ")</f>
        <v xml:space="preserve"> </v>
      </c>
      <c r="R1458" s="900" t="str">
        <f t="shared" si="316"/>
        <v xml:space="preserve"> </v>
      </c>
      <c r="S1458" s="902"/>
      <c r="T1458" s="925"/>
      <c r="U1458" s="927"/>
      <c r="V1458" s="929"/>
      <c r="W1458" s="900" t="str">
        <f>IF(S1458&lt;&gt;0,VLOOKUP(S1458,VKT!$A$2:$G$415,7,0),"")</f>
        <v/>
      </c>
      <c r="X1458" s="900" t="str">
        <f t="shared" si="318"/>
        <v xml:space="preserve"> </v>
      </c>
      <c r="Y1458" s="898"/>
      <c r="Z1458" s="904"/>
      <c r="AA1458" s="904"/>
      <c r="AB1458" s="904"/>
      <c r="AC1458" s="904"/>
      <c r="AD1458" s="904"/>
      <c r="AE1458" s="904"/>
      <c r="AF1458" s="899"/>
      <c r="AG1458" s="906" t="str">
        <f>IF(AE1458&lt;&gt;0,VLOOKUP(AE1458,ODDS!$A$2:$C$13,3,0),"")</f>
        <v/>
      </c>
      <c r="AH1458" s="906" t="str">
        <f t="shared" si="317"/>
        <v xml:space="preserve"> </v>
      </c>
      <c r="AI1458" s="907" t="str">
        <f t="shared" si="313"/>
        <v xml:space="preserve"> </v>
      </c>
      <c r="AJ1458" s="1016"/>
      <c r="AK1458" s="1016"/>
    </row>
    <row r="1459" spans="1:39" s="385" customFormat="1" ht="22.5" outlineLevel="1" x14ac:dyDescent="0.25">
      <c r="A1459" s="467" t="s">
        <v>2595</v>
      </c>
      <c r="B1459" s="912">
        <v>115</v>
      </c>
      <c r="C1459" s="910" t="s">
        <v>1046</v>
      </c>
      <c r="D1459" s="1037"/>
      <c r="E1459" s="1037"/>
      <c r="F1459" s="1038"/>
      <c r="G1459" s="910"/>
      <c r="H1459" s="932">
        <f>SUBTOTAL(9,H1460:H1468)</f>
        <v>0</v>
      </c>
      <c r="I1459" s="915">
        <f>SUBTOTAL(9,I1460:I1465)</f>
        <v>0</v>
      </c>
      <c r="J1459" s="933"/>
      <c r="K1459" s="917"/>
      <c r="L1459" s="917"/>
      <c r="M1459" s="907">
        <f>SUBTOTAL(9,M1460:M1468)</f>
        <v>0</v>
      </c>
      <c r="N1459" s="907">
        <f>SUBTOTAL(9,N1460:N1468)</f>
        <v>0</v>
      </c>
      <c r="O1459" s="910"/>
      <c r="P1459" s="935">
        <f>SUBTOTAL(9,P1460:P1468)</f>
        <v>0</v>
      </c>
      <c r="Q1459" s="907"/>
      <c r="R1459" s="907">
        <f>SUBTOTAL(9,R1460:R1468)</f>
        <v>0</v>
      </c>
      <c r="S1459" s="918"/>
      <c r="T1459" s="933"/>
      <c r="U1459" s="936">
        <f>SUBTOTAL(9,U1460:U1468)</f>
        <v>118.86</v>
      </c>
      <c r="V1459" s="943"/>
      <c r="W1459" s="907"/>
      <c r="X1459" s="907">
        <f>SUBTOTAL(9,X1460:X1468)</f>
        <v>156730000</v>
      </c>
      <c r="Y1459" s="898"/>
      <c r="Z1459" s="904"/>
      <c r="AA1459" s="904"/>
      <c r="AB1459" s="904"/>
      <c r="AC1459" s="904"/>
      <c r="AD1459" s="904"/>
      <c r="AE1459" s="920"/>
      <c r="AF1459" s="917">
        <f>SUBTOTAL(9,AF1460:AF1468)</f>
        <v>0</v>
      </c>
      <c r="AG1459" s="921"/>
      <c r="AH1459" s="921">
        <f>SUBTOTAL(9,AH1460:AH1468)</f>
        <v>0</v>
      </c>
      <c r="AI1459" s="907">
        <f t="shared" si="313"/>
        <v>156730000</v>
      </c>
      <c r="AJ1459" s="910"/>
      <c r="AK1459" s="910"/>
      <c r="AM1459" s="472"/>
    </row>
    <row r="1460" spans="1:39" s="385" customFormat="1" ht="112.5" outlineLevel="2" x14ac:dyDescent="0.3">
      <c r="A1460" s="447">
        <f>IF(B1459&lt;&gt;0,B1459,A1458)</f>
        <v>115</v>
      </c>
      <c r="B1460" s="893"/>
      <c r="C1460" s="894" t="s">
        <v>1049</v>
      </c>
      <c r="D1460" s="950"/>
      <c r="E1460" s="950"/>
      <c r="F1460" s="1032"/>
      <c r="G1460" s="894"/>
      <c r="H1460" s="940"/>
      <c r="I1460" s="882"/>
      <c r="J1460" s="925"/>
      <c r="K1460" s="899" t="str">
        <f>IF(G1460&lt;&gt;0,VLOOKUP(G1460,'gia dat'!$A$1:$F$144,5,0)," ")</f>
        <v xml:space="preserve"> </v>
      </c>
      <c r="L1460" s="899" t="str">
        <f>IF(G1460&lt;&gt;0,VLOOKUP(G1460,'gia dat'!$A$1:$F$144,6,0)," ")</f>
        <v xml:space="preserve"> </v>
      </c>
      <c r="M1460" s="900" t="str">
        <f t="shared" si="309"/>
        <v xml:space="preserve"> </v>
      </c>
      <c r="N1460" s="900" t="str">
        <f t="shared" si="310"/>
        <v xml:space="preserve"> </v>
      </c>
      <c r="O1460" s="894"/>
      <c r="P1460" s="926"/>
      <c r="Q1460" s="900" t="str">
        <f>IF(O1460&lt;&gt;0,VLOOKUP(O1460,'Cây trong'!$A$2:$C$246,3,0)," ")</f>
        <v xml:space="preserve"> </v>
      </c>
      <c r="R1460" s="900" t="str">
        <f t="shared" si="316"/>
        <v xml:space="preserve"> </v>
      </c>
      <c r="S1460" s="902" t="s">
        <v>1763</v>
      </c>
      <c r="T1460" s="925" t="s">
        <v>2911</v>
      </c>
      <c r="U1460" s="927">
        <v>25</v>
      </c>
      <c r="V1460" s="929"/>
      <c r="W1460" s="900">
        <f>IF(S1460&lt;&gt;0,VLOOKUP(S1460,VKT!$A$2:$G$415,7,0),"")</f>
        <v>3550600</v>
      </c>
      <c r="X1460" s="900">
        <f t="shared" si="318"/>
        <v>88765000</v>
      </c>
      <c r="Y1460" s="898" t="s">
        <v>139</v>
      </c>
      <c r="Z1460" s="904" t="s">
        <v>980</v>
      </c>
      <c r="AA1460" s="904" t="s">
        <v>1012</v>
      </c>
      <c r="AB1460" s="904" t="s">
        <v>269</v>
      </c>
      <c r="AC1460" s="904" t="s">
        <v>139</v>
      </c>
      <c r="AD1460" s="904" t="s">
        <v>1047</v>
      </c>
      <c r="AE1460" s="904"/>
      <c r="AF1460" s="899"/>
      <c r="AG1460" s="906" t="str">
        <f>IF(AE1460&lt;&gt;0,VLOOKUP(AE1460,ODDS!$A$2:$C$13,3,0),"")</f>
        <v/>
      </c>
      <c r="AH1460" s="906" t="str">
        <f t="shared" si="317"/>
        <v xml:space="preserve"> </v>
      </c>
      <c r="AI1460" s="907" t="str">
        <f t="shared" si="313"/>
        <v xml:space="preserve"> </v>
      </c>
      <c r="AJ1460" s="894" t="s">
        <v>250</v>
      </c>
      <c r="AK1460" s="894" t="s">
        <v>2450</v>
      </c>
      <c r="AM1460" s="377" t="s">
        <v>1861</v>
      </c>
    </row>
    <row r="1461" spans="1:39" s="385" customFormat="1" ht="135" outlineLevel="2" x14ac:dyDescent="0.35">
      <c r="A1461" s="447">
        <f t="shared" ref="A1461:A1468" si="319">IF(B1460&lt;&gt;0,B1460,A1460)</f>
        <v>115</v>
      </c>
      <c r="B1461" s="893"/>
      <c r="C1461" s="894" t="s">
        <v>1578</v>
      </c>
      <c r="D1461" s="950"/>
      <c r="E1461" s="950"/>
      <c r="F1461" s="1032"/>
      <c r="G1461" s="894"/>
      <c r="H1461" s="940"/>
      <c r="I1461" s="882"/>
      <c r="J1461" s="925"/>
      <c r="K1461" s="899" t="str">
        <f>IF(G1461&lt;&gt;0,VLOOKUP(G1461,'gia dat'!$A$1:$F$144,5,0)," ")</f>
        <v xml:space="preserve"> </v>
      </c>
      <c r="L1461" s="899" t="str">
        <f>IF(G1461&lt;&gt;0,VLOOKUP(G1461,'gia dat'!$A$1:$F$144,6,0)," ")</f>
        <v xml:space="preserve"> </v>
      </c>
      <c r="M1461" s="900" t="str">
        <f t="shared" si="309"/>
        <v xml:space="preserve"> </v>
      </c>
      <c r="N1461" s="900" t="str">
        <f t="shared" si="310"/>
        <v xml:space="preserve"> </v>
      </c>
      <c r="O1461" s="894"/>
      <c r="P1461" s="926"/>
      <c r="Q1461" s="900" t="str">
        <f>IF(O1461&lt;&gt;0,VLOOKUP(O1461,'Cây trong'!$A$2:$C$246,3,0)," ")</f>
        <v xml:space="preserve"> </v>
      </c>
      <c r="R1461" s="900" t="str">
        <f t="shared" si="316"/>
        <v xml:space="preserve"> </v>
      </c>
      <c r="S1461" s="902" t="s">
        <v>1813</v>
      </c>
      <c r="T1461" s="925" t="s">
        <v>2911</v>
      </c>
      <c r="U1461" s="952">
        <v>2.5</v>
      </c>
      <c r="V1461" s="929"/>
      <c r="W1461" s="900">
        <f>IF(S1461&lt;&gt;0,VLOOKUP(S1461,VKT!$A$2:$G$415,7,0),"")</f>
        <v>9347414</v>
      </c>
      <c r="X1461" s="900">
        <f t="shared" si="318"/>
        <v>23369000</v>
      </c>
      <c r="Y1461" s="898" t="s">
        <v>139</v>
      </c>
      <c r="Z1461" s="904" t="s">
        <v>980</v>
      </c>
      <c r="AA1461" s="904" t="s">
        <v>1012</v>
      </c>
      <c r="AB1461" s="904" t="s">
        <v>269</v>
      </c>
      <c r="AC1461" s="904" t="s">
        <v>139</v>
      </c>
      <c r="AD1461" s="904" t="s">
        <v>1047</v>
      </c>
      <c r="AE1461" s="904"/>
      <c r="AF1461" s="899"/>
      <c r="AG1461" s="906" t="str">
        <f>IF(AE1461&lt;&gt;0,VLOOKUP(AE1461,ODDS!$A$2:$C$13,3,0),"")</f>
        <v/>
      </c>
      <c r="AH1461" s="906" t="str">
        <f t="shared" si="317"/>
        <v xml:space="preserve"> </v>
      </c>
      <c r="AI1461" s="907" t="str">
        <f t="shared" si="313"/>
        <v xml:space="preserve"> </v>
      </c>
      <c r="AJ1461" s="1036"/>
      <c r="AK1461" s="894" t="s">
        <v>2800</v>
      </c>
    </row>
    <row r="1462" spans="1:39" s="385" customFormat="1" ht="45" outlineLevel="2" x14ac:dyDescent="0.3">
      <c r="A1462" s="447">
        <f t="shared" si="319"/>
        <v>115</v>
      </c>
      <c r="B1462" s="893"/>
      <c r="C1462" s="894"/>
      <c r="D1462" s="950"/>
      <c r="E1462" s="950"/>
      <c r="F1462" s="1032"/>
      <c r="G1462" s="894"/>
      <c r="H1462" s="940"/>
      <c r="I1462" s="882"/>
      <c r="J1462" s="925"/>
      <c r="K1462" s="899" t="str">
        <f>IF(G1462&lt;&gt;0,VLOOKUP(G1462,'gia dat'!$A$1:$F$144,5,0)," ")</f>
        <v xml:space="preserve"> </v>
      </c>
      <c r="L1462" s="899" t="str">
        <f>IF(G1462&lt;&gt;0,VLOOKUP(G1462,'gia dat'!$A$1:$F$144,6,0)," ")</f>
        <v xml:space="preserve"> </v>
      </c>
      <c r="M1462" s="900" t="str">
        <f t="shared" si="309"/>
        <v xml:space="preserve"> </v>
      </c>
      <c r="N1462" s="900" t="str">
        <f t="shared" si="310"/>
        <v xml:space="preserve"> </v>
      </c>
      <c r="O1462" s="894"/>
      <c r="P1462" s="926"/>
      <c r="Q1462" s="900" t="str">
        <f>IF(O1462&lt;&gt;0,VLOOKUP(O1462,'Cây trong'!$A$2:$C$246,3,0)," ")</f>
        <v xml:space="preserve"> </v>
      </c>
      <c r="R1462" s="900" t="str">
        <f t="shared" si="316"/>
        <v xml:space="preserve"> </v>
      </c>
      <c r="S1462" s="902" t="s">
        <v>1776</v>
      </c>
      <c r="T1462" s="925" t="s">
        <v>2911</v>
      </c>
      <c r="U1462" s="927">
        <v>32.799999999999997</v>
      </c>
      <c r="V1462" s="929"/>
      <c r="W1462" s="900">
        <f>IF(S1462&lt;&gt;0,VLOOKUP(S1462,VKT!$A$2:$G$415,7,0),"")</f>
        <v>177161</v>
      </c>
      <c r="X1462" s="900">
        <f t="shared" si="318"/>
        <v>5811000</v>
      </c>
      <c r="Y1462" s="898"/>
      <c r="Z1462" s="904"/>
      <c r="AA1462" s="904"/>
      <c r="AB1462" s="904"/>
      <c r="AC1462" s="904"/>
      <c r="AD1462" s="904"/>
      <c r="AE1462" s="904"/>
      <c r="AF1462" s="899"/>
      <c r="AG1462" s="906" t="str">
        <f>IF(AE1462&lt;&gt;0,VLOOKUP(AE1462,ODDS!$A$2:$C$13,3,0),"")</f>
        <v/>
      </c>
      <c r="AH1462" s="906" t="str">
        <f t="shared" si="317"/>
        <v xml:space="preserve"> </v>
      </c>
      <c r="AI1462" s="907" t="str">
        <f t="shared" si="313"/>
        <v xml:space="preserve"> </v>
      </c>
      <c r="AJ1462" s="894"/>
      <c r="AK1462" s="894"/>
    </row>
    <row r="1463" spans="1:39" s="385" customFormat="1" ht="67.5" outlineLevel="2" x14ac:dyDescent="0.35">
      <c r="A1463" s="447">
        <f t="shared" si="319"/>
        <v>115</v>
      </c>
      <c r="B1463" s="893"/>
      <c r="C1463" s="894"/>
      <c r="D1463" s="950"/>
      <c r="E1463" s="950"/>
      <c r="F1463" s="1032"/>
      <c r="G1463" s="894"/>
      <c r="H1463" s="940"/>
      <c r="I1463" s="882"/>
      <c r="J1463" s="925"/>
      <c r="K1463" s="899" t="str">
        <f>IF(G1463&lt;&gt;0,VLOOKUP(G1463,'gia dat'!$A$1:$F$144,5,0)," ")</f>
        <v xml:space="preserve"> </v>
      </c>
      <c r="L1463" s="899" t="str">
        <f>IF(G1463&lt;&gt;0,VLOOKUP(G1463,'gia dat'!$A$1:$F$144,6,0)," ")</f>
        <v xml:space="preserve"> </v>
      </c>
      <c r="M1463" s="900" t="str">
        <f t="shared" si="309"/>
        <v xml:space="preserve"> </v>
      </c>
      <c r="N1463" s="900" t="str">
        <f t="shared" si="310"/>
        <v xml:space="preserve"> </v>
      </c>
      <c r="O1463" s="894"/>
      <c r="P1463" s="926"/>
      <c r="Q1463" s="900" t="str">
        <f>IF(O1463&lt;&gt;0,VLOOKUP(O1463,'Cây trong'!$A$2:$C$246,3,0)," ")</f>
        <v xml:space="preserve"> </v>
      </c>
      <c r="R1463" s="900" t="str">
        <f t="shared" si="316"/>
        <v xml:space="preserve"> </v>
      </c>
      <c r="S1463" s="902" t="s">
        <v>1777</v>
      </c>
      <c r="T1463" s="925" t="s">
        <v>2911</v>
      </c>
      <c r="U1463" s="927">
        <v>41.6</v>
      </c>
      <c r="V1463" s="929"/>
      <c r="W1463" s="900">
        <f>IF(S1463&lt;&gt;0,VLOOKUP(S1463,VKT!$A$2:$G$415,7,0),"")</f>
        <v>286855</v>
      </c>
      <c r="X1463" s="900">
        <f t="shared" si="318"/>
        <v>11933000</v>
      </c>
      <c r="Y1463" s="898"/>
      <c r="Z1463" s="904"/>
      <c r="AA1463" s="904"/>
      <c r="AB1463" s="904"/>
      <c r="AC1463" s="904"/>
      <c r="AD1463" s="904"/>
      <c r="AE1463" s="904"/>
      <c r="AF1463" s="899"/>
      <c r="AG1463" s="906" t="str">
        <f>IF(AE1463&lt;&gt;0,VLOOKUP(AE1463,ODDS!$A$2:$C$13,3,0),"")</f>
        <v/>
      </c>
      <c r="AH1463" s="906" t="str">
        <f t="shared" si="317"/>
        <v xml:space="preserve"> </v>
      </c>
      <c r="AI1463" s="907" t="str">
        <f t="shared" si="313"/>
        <v xml:space="preserve"> </v>
      </c>
      <c r="AJ1463" s="1036"/>
      <c r="AK1463" s="894"/>
    </row>
    <row r="1464" spans="1:39" s="385" customFormat="1" ht="45" outlineLevel="2" x14ac:dyDescent="0.3">
      <c r="A1464" s="447">
        <f t="shared" si="319"/>
        <v>115</v>
      </c>
      <c r="B1464" s="893"/>
      <c r="C1464" s="894"/>
      <c r="D1464" s="950"/>
      <c r="E1464" s="950"/>
      <c r="F1464" s="1032"/>
      <c r="G1464" s="894"/>
      <c r="H1464" s="940"/>
      <c r="I1464" s="882"/>
      <c r="J1464" s="925"/>
      <c r="K1464" s="899" t="str">
        <f>IF(G1464&lt;&gt;0,VLOOKUP(G1464,'gia dat'!$A$1:$F$144,5,0)," ")</f>
        <v xml:space="preserve"> </v>
      </c>
      <c r="L1464" s="899" t="str">
        <f>IF(G1464&lt;&gt;0,VLOOKUP(G1464,'gia dat'!$A$1:$F$144,6,0)," ")</f>
        <v xml:space="preserve"> </v>
      </c>
      <c r="M1464" s="900" t="str">
        <f t="shared" si="309"/>
        <v xml:space="preserve"> </v>
      </c>
      <c r="N1464" s="900" t="str">
        <f t="shared" si="310"/>
        <v xml:space="preserve"> </v>
      </c>
      <c r="O1464" s="894"/>
      <c r="P1464" s="926"/>
      <c r="Q1464" s="900" t="str">
        <f>IF(O1464&lt;&gt;0,VLOOKUP(O1464,'Cây trong'!$A$2:$C$246,3,0)," ")</f>
        <v xml:space="preserve"> </v>
      </c>
      <c r="R1464" s="900" t="str">
        <f t="shared" si="316"/>
        <v xml:space="preserve"> </v>
      </c>
      <c r="S1464" s="902" t="s">
        <v>1814</v>
      </c>
      <c r="T1464" s="925" t="s">
        <v>2911</v>
      </c>
      <c r="U1464" s="927">
        <v>4.96</v>
      </c>
      <c r="V1464" s="929"/>
      <c r="W1464" s="900">
        <f>IF(S1464&lt;&gt;0,VLOOKUP(S1464,VKT!$A$2:$G$415,7,0),"")</f>
        <v>3550600</v>
      </c>
      <c r="X1464" s="900">
        <f t="shared" si="318"/>
        <v>17611000</v>
      </c>
      <c r="Y1464" s="898" t="s">
        <v>139</v>
      </c>
      <c r="Z1464" s="904" t="s">
        <v>980</v>
      </c>
      <c r="AA1464" s="904" t="s">
        <v>1012</v>
      </c>
      <c r="AB1464" s="904" t="s">
        <v>269</v>
      </c>
      <c r="AC1464" s="904" t="s">
        <v>139</v>
      </c>
      <c r="AD1464" s="904" t="s">
        <v>1047</v>
      </c>
      <c r="AE1464" s="904"/>
      <c r="AF1464" s="899"/>
      <c r="AG1464" s="906" t="str">
        <f>IF(AE1464&lt;&gt;0,VLOOKUP(AE1464,ODDS!$A$2:$C$13,3,0),"")</f>
        <v/>
      </c>
      <c r="AH1464" s="906" t="str">
        <f t="shared" si="317"/>
        <v xml:space="preserve"> </v>
      </c>
      <c r="AI1464" s="907" t="str">
        <f t="shared" si="313"/>
        <v xml:space="preserve"> </v>
      </c>
      <c r="AJ1464" s="929"/>
      <c r="AK1464" s="929"/>
    </row>
    <row r="1465" spans="1:39" s="385" customFormat="1" ht="67.5" outlineLevel="2" x14ac:dyDescent="0.3">
      <c r="A1465" s="447">
        <f t="shared" si="319"/>
        <v>115</v>
      </c>
      <c r="B1465" s="893"/>
      <c r="C1465" s="894"/>
      <c r="D1465" s="950"/>
      <c r="E1465" s="950"/>
      <c r="F1465" s="1032"/>
      <c r="G1465" s="894"/>
      <c r="H1465" s="940"/>
      <c r="I1465" s="882"/>
      <c r="J1465" s="925"/>
      <c r="K1465" s="899" t="str">
        <f>IF(G1465&lt;&gt;0,VLOOKUP(G1465,'gia dat'!$A$1:$F$144,5,0)," ")</f>
        <v xml:space="preserve"> </v>
      </c>
      <c r="L1465" s="899" t="str">
        <f>IF(G1465&lt;&gt;0,VLOOKUP(G1465,'gia dat'!$A$1:$F$144,6,0)," ")</f>
        <v xml:space="preserve"> </v>
      </c>
      <c r="M1465" s="900" t="str">
        <f t="shared" si="309"/>
        <v xml:space="preserve"> </v>
      </c>
      <c r="N1465" s="900" t="str">
        <f t="shared" si="310"/>
        <v xml:space="preserve"> </v>
      </c>
      <c r="O1465" s="894"/>
      <c r="P1465" s="926"/>
      <c r="Q1465" s="900" t="str">
        <f>IF(O1465&lt;&gt;0,VLOOKUP(O1465,'Cây trong'!$A$2:$C$246,3,0)," ")</f>
        <v xml:space="preserve"> </v>
      </c>
      <c r="R1465" s="900" t="str">
        <f t="shared" si="316"/>
        <v xml:space="preserve"> </v>
      </c>
      <c r="S1465" s="902" t="s">
        <v>1762</v>
      </c>
      <c r="T1465" s="925" t="s">
        <v>2911</v>
      </c>
      <c r="U1465" s="927">
        <v>12</v>
      </c>
      <c r="V1465" s="929"/>
      <c r="W1465" s="900">
        <f>IF(S1465&lt;&gt;0,VLOOKUP(S1465,VKT!$A$2:$G$415,7,0),"")</f>
        <v>770070</v>
      </c>
      <c r="X1465" s="900">
        <f t="shared" si="318"/>
        <v>9241000</v>
      </c>
      <c r="Y1465" s="898"/>
      <c r="Z1465" s="904" t="s">
        <v>980</v>
      </c>
      <c r="AA1465" s="904" t="s">
        <v>1005</v>
      </c>
      <c r="AB1465" s="904"/>
      <c r="AC1465" s="904" t="s">
        <v>267</v>
      </c>
      <c r="AD1465" s="904"/>
      <c r="AE1465" s="904"/>
      <c r="AF1465" s="899"/>
      <c r="AG1465" s="906" t="str">
        <f>IF(AE1465&lt;&gt;0,VLOOKUP(AE1465,ODDS!$A$2:$C$13,3,0),"")</f>
        <v/>
      </c>
      <c r="AH1465" s="906" t="str">
        <f t="shared" si="317"/>
        <v xml:space="preserve"> </v>
      </c>
      <c r="AI1465" s="907" t="str">
        <f t="shared" si="313"/>
        <v xml:space="preserve"> </v>
      </c>
      <c r="AJ1465" s="929"/>
      <c r="AK1465" s="929"/>
    </row>
    <row r="1466" spans="1:39" s="385" customFormat="1" ht="22.5" outlineLevel="2" x14ac:dyDescent="0.3">
      <c r="A1466" s="447">
        <f t="shared" si="319"/>
        <v>115</v>
      </c>
      <c r="B1466" s="893"/>
      <c r="C1466" s="894"/>
      <c r="D1466" s="950"/>
      <c r="E1466" s="950"/>
      <c r="F1466" s="1032"/>
      <c r="G1466" s="894"/>
      <c r="H1466" s="940"/>
      <c r="I1466" s="882"/>
      <c r="J1466" s="925"/>
      <c r="K1466" s="899" t="str">
        <f>IF(G1466&lt;&gt;0,VLOOKUP(G1466,'gia dat'!$A$1:$F$144,5,0)," ")</f>
        <v xml:space="preserve"> </v>
      </c>
      <c r="L1466" s="899" t="str">
        <f>IF(G1466&lt;&gt;0,VLOOKUP(G1466,'gia dat'!$A$1:$F$144,6,0)," ")</f>
        <v xml:space="preserve"> </v>
      </c>
      <c r="M1466" s="900" t="str">
        <f t="shared" si="309"/>
        <v xml:space="preserve"> </v>
      </c>
      <c r="N1466" s="900" t="str">
        <f t="shared" si="310"/>
        <v xml:space="preserve"> </v>
      </c>
      <c r="O1466" s="894"/>
      <c r="P1466" s="926"/>
      <c r="Q1466" s="900" t="str">
        <f>IF(O1466&lt;&gt;0,VLOOKUP(O1466,'Cây trong'!$A$2:$C$246,3,0)," ")</f>
        <v xml:space="preserve"> </v>
      </c>
      <c r="R1466" s="900" t="str">
        <f t="shared" si="316"/>
        <v xml:space="preserve"> </v>
      </c>
      <c r="S1466" s="902"/>
      <c r="T1466" s="925"/>
      <c r="U1466" s="927"/>
      <c r="V1466" s="929"/>
      <c r="W1466" s="900" t="str">
        <f>IF(S1466&lt;&gt;0,VLOOKUP(S1466,VKT!$A$2:$G$415,7,0),"")</f>
        <v/>
      </c>
      <c r="X1466" s="900" t="str">
        <f t="shared" si="318"/>
        <v xml:space="preserve"> </v>
      </c>
      <c r="Y1466" s="898"/>
      <c r="Z1466" s="904"/>
      <c r="AA1466" s="904"/>
      <c r="AB1466" s="904"/>
      <c r="AC1466" s="904"/>
      <c r="AD1466" s="904"/>
      <c r="AE1466" s="904"/>
      <c r="AF1466" s="899"/>
      <c r="AG1466" s="906" t="str">
        <f>IF(AE1466&lt;&gt;0,VLOOKUP(AE1466,ODDS!$A$2:$C$13,3,0),"")</f>
        <v/>
      </c>
      <c r="AH1466" s="906" t="str">
        <f t="shared" si="317"/>
        <v xml:space="preserve"> </v>
      </c>
      <c r="AI1466" s="907" t="str">
        <f t="shared" si="313"/>
        <v xml:space="preserve"> </v>
      </c>
      <c r="AJ1466" s="929"/>
      <c r="AK1466" s="929"/>
    </row>
    <row r="1467" spans="1:39" s="385" customFormat="1" ht="22.5" outlineLevel="2" x14ac:dyDescent="0.3">
      <c r="A1467" s="447">
        <f t="shared" si="319"/>
        <v>115</v>
      </c>
      <c r="B1467" s="893"/>
      <c r="C1467" s="894"/>
      <c r="D1467" s="950"/>
      <c r="E1467" s="950"/>
      <c r="F1467" s="1032"/>
      <c r="G1467" s="894"/>
      <c r="H1467" s="940"/>
      <c r="I1467" s="882"/>
      <c r="J1467" s="925"/>
      <c r="K1467" s="899" t="str">
        <f>IF(G1467&lt;&gt;0,VLOOKUP(G1467,'gia dat'!$A$1:$F$144,5,0)," ")</f>
        <v xml:space="preserve"> </v>
      </c>
      <c r="L1467" s="899" t="str">
        <f>IF(G1467&lt;&gt;0,VLOOKUP(G1467,'gia dat'!$A$1:$F$144,6,0)," ")</f>
        <v xml:space="preserve"> </v>
      </c>
      <c r="M1467" s="900" t="str">
        <f t="shared" si="309"/>
        <v xml:space="preserve"> </v>
      </c>
      <c r="N1467" s="900" t="str">
        <f t="shared" si="310"/>
        <v xml:space="preserve"> </v>
      </c>
      <c r="O1467" s="894"/>
      <c r="P1467" s="926"/>
      <c r="Q1467" s="900" t="str">
        <f>IF(O1467&lt;&gt;0,VLOOKUP(O1467,'Cây trong'!$A$2:$C$246,3,0)," ")</f>
        <v xml:space="preserve"> </v>
      </c>
      <c r="R1467" s="900" t="str">
        <f t="shared" si="316"/>
        <v xml:space="preserve"> </v>
      </c>
      <c r="S1467" s="902"/>
      <c r="T1467" s="925"/>
      <c r="U1467" s="927"/>
      <c r="V1467" s="929"/>
      <c r="W1467" s="900" t="str">
        <f>IF(S1467&lt;&gt;0,VLOOKUP(S1467,VKT!$A$2:$G$415,7,0),"")</f>
        <v/>
      </c>
      <c r="X1467" s="900" t="str">
        <f t="shared" si="318"/>
        <v xml:space="preserve"> </v>
      </c>
      <c r="Y1467" s="898"/>
      <c r="Z1467" s="904"/>
      <c r="AA1467" s="904"/>
      <c r="AB1467" s="904"/>
      <c r="AC1467" s="904"/>
      <c r="AD1467" s="904"/>
      <c r="AE1467" s="904"/>
      <c r="AF1467" s="899"/>
      <c r="AG1467" s="906" t="str">
        <f>IF(AE1467&lt;&gt;0,VLOOKUP(AE1467,ODDS!$A$2:$C$13,3,0),"")</f>
        <v/>
      </c>
      <c r="AH1467" s="906" t="str">
        <f t="shared" si="317"/>
        <v xml:space="preserve"> </v>
      </c>
      <c r="AI1467" s="907" t="str">
        <f t="shared" si="313"/>
        <v xml:space="preserve"> </v>
      </c>
      <c r="AJ1467" s="929"/>
      <c r="AK1467" s="929"/>
    </row>
    <row r="1468" spans="1:39" s="385" customFormat="1" ht="22.5" outlineLevel="2" x14ac:dyDescent="0.3">
      <c r="A1468" s="447">
        <f t="shared" si="319"/>
        <v>115</v>
      </c>
      <c r="B1468" s="893"/>
      <c r="C1468" s="910"/>
      <c r="D1468" s="950"/>
      <c r="E1468" s="950"/>
      <c r="F1468" s="1032"/>
      <c r="G1468" s="894"/>
      <c r="H1468" s="940"/>
      <c r="I1468" s="882"/>
      <c r="J1468" s="925"/>
      <c r="K1468" s="899" t="str">
        <f>IF(G1468&lt;&gt;0,VLOOKUP(G1468,'gia dat'!$A$1:$F$144,5,0)," ")</f>
        <v xml:space="preserve"> </v>
      </c>
      <c r="L1468" s="899" t="str">
        <f>IF(G1468&lt;&gt;0,VLOOKUP(G1468,'gia dat'!$A$1:$F$144,6,0)," ")</f>
        <v xml:space="preserve"> </v>
      </c>
      <c r="M1468" s="900" t="str">
        <f t="shared" ref="M1468:M1539" si="320">IF(H1468&lt;&gt;0,ROUND(H1468*K1468,-3)," ")</f>
        <v xml:space="preserve"> </v>
      </c>
      <c r="N1468" s="900" t="str">
        <f t="shared" ref="N1468:N1539" si="321">IF(H1468&lt;&gt;0,ROUND(H1468*L1468,-3)," ")</f>
        <v xml:space="preserve"> </v>
      </c>
      <c r="O1468" s="894"/>
      <c r="P1468" s="926"/>
      <c r="Q1468" s="900" t="str">
        <f>IF(O1468&lt;&gt;0,VLOOKUP(O1468,'Cây trong'!$A$2:$C$246,3,0)," ")</f>
        <v xml:space="preserve"> </v>
      </c>
      <c r="R1468" s="900" t="str">
        <f t="shared" si="316"/>
        <v xml:space="preserve"> </v>
      </c>
      <c r="S1468" s="902"/>
      <c r="T1468" s="925"/>
      <c r="U1468" s="927"/>
      <c r="V1468" s="929"/>
      <c r="W1468" s="900" t="str">
        <f>IF(S1468&lt;&gt;0,VLOOKUP(S1468,VKT!$A$2:$G$415,7,0),"")</f>
        <v/>
      </c>
      <c r="X1468" s="900" t="str">
        <f t="shared" si="318"/>
        <v xml:space="preserve"> </v>
      </c>
      <c r="Y1468" s="898"/>
      <c r="Z1468" s="904"/>
      <c r="AA1468" s="904"/>
      <c r="AB1468" s="904"/>
      <c r="AC1468" s="904"/>
      <c r="AD1468" s="904"/>
      <c r="AE1468" s="904"/>
      <c r="AF1468" s="899"/>
      <c r="AG1468" s="906" t="str">
        <f>IF(AE1468&lt;&gt;0,VLOOKUP(AE1468,ODDS!$A$2:$C$13,3,0),"")</f>
        <v/>
      </c>
      <c r="AH1468" s="906" t="str">
        <f t="shared" si="317"/>
        <v xml:space="preserve"> </v>
      </c>
      <c r="AI1468" s="907" t="str">
        <f t="shared" si="313"/>
        <v xml:space="preserve"> </v>
      </c>
      <c r="AJ1468" s="929"/>
      <c r="AK1468" s="929"/>
    </row>
    <row r="1469" spans="1:39" s="385" customFormat="1" ht="43.5" outlineLevel="1" x14ac:dyDescent="0.25">
      <c r="A1469" s="467" t="s">
        <v>2594</v>
      </c>
      <c r="B1469" s="912">
        <v>116</v>
      </c>
      <c r="C1469" s="910" t="s">
        <v>1052</v>
      </c>
      <c r="D1469" s="1037"/>
      <c r="E1469" s="1037"/>
      <c r="F1469" s="1038"/>
      <c r="G1469" s="910"/>
      <c r="H1469" s="932">
        <f>SUBTOTAL(9,H1470:H1482)</f>
        <v>0</v>
      </c>
      <c r="I1469" s="915">
        <f>SUBTOTAL(9,I1470:I1475)</f>
        <v>0</v>
      </c>
      <c r="J1469" s="933"/>
      <c r="K1469" s="917"/>
      <c r="L1469" s="917"/>
      <c r="M1469" s="907">
        <f>SUBTOTAL(9,M1470:M1482)</f>
        <v>0</v>
      </c>
      <c r="N1469" s="907">
        <f>SUBTOTAL(9,N1470:N1482)</f>
        <v>0</v>
      </c>
      <c r="O1469" s="910"/>
      <c r="P1469" s="935">
        <f>SUBTOTAL(9,P1470:P1482)</f>
        <v>0</v>
      </c>
      <c r="Q1469" s="907"/>
      <c r="R1469" s="907">
        <f>SUBTOTAL(9,R1470:R1482)</f>
        <v>0</v>
      </c>
      <c r="S1469" s="918"/>
      <c r="T1469" s="933"/>
      <c r="U1469" s="936">
        <f>SUBTOTAL(9,U1470:U1482)</f>
        <v>71.710000000000008</v>
      </c>
      <c r="V1469" s="943"/>
      <c r="W1469" s="907"/>
      <c r="X1469" s="907">
        <f>SUBTOTAL(9,X1470:X1482)</f>
        <v>108305000</v>
      </c>
      <c r="Y1469" s="898"/>
      <c r="Z1469" s="904"/>
      <c r="AA1469" s="904"/>
      <c r="AB1469" s="904"/>
      <c r="AC1469" s="904"/>
      <c r="AD1469" s="904"/>
      <c r="AE1469" s="920"/>
      <c r="AF1469" s="917">
        <f>SUBTOTAL(9,AF1470:AF1482)</f>
        <v>0</v>
      </c>
      <c r="AG1469" s="921"/>
      <c r="AH1469" s="921">
        <f>SUBTOTAL(9,AH1470:AH1482)</f>
        <v>0</v>
      </c>
      <c r="AI1469" s="907">
        <f t="shared" si="313"/>
        <v>108305000</v>
      </c>
      <c r="AJ1469" s="910"/>
      <c r="AK1469" s="910"/>
      <c r="AM1469" s="472"/>
    </row>
    <row r="1470" spans="1:39" s="385" customFormat="1" ht="112.5" outlineLevel="2" x14ac:dyDescent="0.3">
      <c r="A1470" s="447">
        <f>IF(B1469&lt;&gt;0,B1469,A1468)</f>
        <v>116</v>
      </c>
      <c r="B1470" s="893"/>
      <c r="C1470" s="894" t="s">
        <v>1054</v>
      </c>
      <c r="D1470" s="950"/>
      <c r="E1470" s="950"/>
      <c r="F1470" s="1032"/>
      <c r="G1470" s="894"/>
      <c r="H1470" s="940"/>
      <c r="I1470" s="882"/>
      <c r="J1470" s="925"/>
      <c r="K1470" s="899" t="str">
        <f>IF(G1470&lt;&gt;0,VLOOKUP(G1470,'gia dat'!$A$1:$F$144,5,0)," ")</f>
        <v xml:space="preserve"> </v>
      </c>
      <c r="L1470" s="899" t="str">
        <f>IF(G1470&lt;&gt;0,VLOOKUP(G1470,'gia dat'!$A$1:$F$144,6,0)," ")</f>
        <v xml:space="preserve"> </v>
      </c>
      <c r="M1470" s="900" t="str">
        <f t="shared" si="320"/>
        <v xml:space="preserve"> </v>
      </c>
      <c r="N1470" s="900" t="str">
        <f t="shared" si="321"/>
        <v xml:space="preserve"> </v>
      </c>
      <c r="O1470" s="894"/>
      <c r="P1470" s="926"/>
      <c r="Q1470" s="900" t="str">
        <f>IF(O1470&lt;&gt;0,VLOOKUP(O1470,'Cây trong'!$A$2:$C$246,3,0)," ")</f>
        <v xml:space="preserve"> </v>
      </c>
      <c r="R1470" s="900" t="str">
        <f t="shared" si="316"/>
        <v xml:space="preserve"> </v>
      </c>
      <c r="S1470" s="902" t="s">
        <v>1767</v>
      </c>
      <c r="T1470" s="925" t="s">
        <v>2911</v>
      </c>
      <c r="U1470" s="927">
        <v>3.36</v>
      </c>
      <c r="V1470" s="929"/>
      <c r="W1470" s="900">
        <f>IF(S1470&lt;&gt;0,VLOOKUP(S1470,VKT!$A$2:$G$415,7,0),"")</f>
        <v>0</v>
      </c>
      <c r="X1470" s="900">
        <f t="shared" si="318"/>
        <v>0</v>
      </c>
      <c r="Y1470" s="898"/>
      <c r="Z1470" s="904"/>
      <c r="AA1470" s="904"/>
      <c r="AB1470" s="904"/>
      <c r="AC1470" s="904"/>
      <c r="AD1470" s="904"/>
      <c r="AE1470" s="904"/>
      <c r="AF1470" s="899"/>
      <c r="AG1470" s="906" t="str">
        <f>IF(AE1470&lt;&gt;0,VLOOKUP(AE1470,ODDS!$A$2:$C$13,3,0),"")</f>
        <v/>
      </c>
      <c r="AH1470" s="906" t="str">
        <f t="shared" si="317"/>
        <v xml:space="preserve"> </v>
      </c>
      <c r="AI1470" s="907" t="str">
        <f t="shared" si="313"/>
        <v xml:space="preserve"> </v>
      </c>
      <c r="AJ1470" s="894" t="s">
        <v>250</v>
      </c>
      <c r="AK1470" s="894" t="s">
        <v>2450</v>
      </c>
      <c r="AM1470" s="377" t="s">
        <v>1861</v>
      </c>
    </row>
    <row r="1471" spans="1:39" s="385" customFormat="1" ht="112.5" outlineLevel="2" x14ac:dyDescent="0.35">
      <c r="A1471" s="447">
        <f t="shared" ref="A1471:A1482" si="322">IF(B1470&lt;&gt;0,B1470,A1470)</f>
        <v>116</v>
      </c>
      <c r="B1471" s="893"/>
      <c r="C1471" s="894" t="s">
        <v>1579</v>
      </c>
      <c r="D1471" s="950"/>
      <c r="E1471" s="950"/>
      <c r="F1471" s="1032"/>
      <c r="G1471" s="894"/>
      <c r="H1471" s="940"/>
      <c r="I1471" s="882"/>
      <c r="J1471" s="925"/>
      <c r="K1471" s="899" t="str">
        <f>IF(G1471&lt;&gt;0,VLOOKUP(G1471,'gia dat'!$A$1:$F$144,5,0)," ")</f>
        <v xml:space="preserve"> </v>
      </c>
      <c r="L1471" s="899" t="str">
        <f>IF(G1471&lt;&gt;0,VLOOKUP(G1471,'gia dat'!$A$1:$F$144,6,0)," ")</f>
        <v xml:space="preserve"> </v>
      </c>
      <c r="M1471" s="900" t="str">
        <f t="shared" si="320"/>
        <v xml:space="preserve"> </v>
      </c>
      <c r="N1471" s="900" t="str">
        <f t="shared" si="321"/>
        <v xml:space="preserve"> </v>
      </c>
      <c r="O1471" s="894"/>
      <c r="P1471" s="926"/>
      <c r="Q1471" s="900" t="str">
        <f>IF(O1471&lt;&gt;0,VLOOKUP(O1471,'Cây trong'!$A$2:$C$246,3,0)," ")</f>
        <v xml:space="preserve"> </v>
      </c>
      <c r="R1471" s="900" t="str">
        <f t="shared" si="316"/>
        <v xml:space="preserve"> </v>
      </c>
      <c r="S1471" s="902" t="s">
        <v>1768</v>
      </c>
      <c r="T1471" s="925" t="s">
        <v>2911</v>
      </c>
      <c r="U1471" s="927">
        <v>3.36</v>
      </c>
      <c r="V1471" s="929"/>
      <c r="W1471" s="900">
        <f>IF(S1471&lt;&gt;0,VLOOKUP(S1471,VKT!$A$2:$G$415,7,0),"")</f>
        <v>238288</v>
      </c>
      <c r="X1471" s="900">
        <f t="shared" si="318"/>
        <v>801000</v>
      </c>
      <c r="Y1471" s="898"/>
      <c r="Z1471" s="904"/>
      <c r="AA1471" s="904"/>
      <c r="AB1471" s="904"/>
      <c r="AC1471" s="904"/>
      <c r="AD1471" s="904"/>
      <c r="AE1471" s="904"/>
      <c r="AF1471" s="899"/>
      <c r="AG1471" s="906" t="str">
        <f>IF(AE1471&lt;&gt;0,VLOOKUP(AE1471,ODDS!$A$2:$C$13,3,0),"")</f>
        <v/>
      </c>
      <c r="AH1471" s="906" t="str">
        <f t="shared" si="317"/>
        <v xml:space="preserve"> </v>
      </c>
      <c r="AI1471" s="907" t="str">
        <f t="shared" si="313"/>
        <v xml:space="preserve"> </v>
      </c>
      <c r="AJ1471" s="1036"/>
      <c r="AK1471" s="894" t="s">
        <v>2800</v>
      </c>
    </row>
    <row r="1472" spans="1:39" s="385" customFormat="1" ht="67.5" outlineLevel="2" x14ac:dyDescent="0.3">
      <c r="A1472" s="447">
        <f t="shared" si="322"/>
        <v>116</v>
      </c>
      <c r="B1472" s="893"/>
      <c r="C1472" s="894"/>
      <c r="D1472" s="950"/>
      <c r="E1472" s="950"/>
      <c r="F1472" s="1032"/>
      <c r="G1472" s="894"/>
      <c r="H1472" s="940"/>
      <c r="I1472" s="882"/>
      <c r="J1472" s="925"/>
      <c r="K1472" s="899" t="str">
        <f>IF(G1472&lt;&gt;0,VLOOKUP(G1472,'gia dat'!$A$1:$F$144,5,0)," ")</f>
        <v xml:space="preserve"> </v>
      </c>
      <c r="L1472" s="899" t="str">
        <f>IF(G1472&lt;&gt;0,VLOOKUP(G1472,'gia dat'!$A$1:$F$144,6,0)," ")</f>
        <v xml:space="preserve"> </v>
      </c>
      <c r="M1472" s="900" t="str">
        <f t="shared" si="320"/>
        <v xml:space="preserve"> </v>
      </c>
      <c r="N1472" s="900" t="str">
        <f t="shared" si="321"/>
        <v xml:space="preserve"> </v>
      </c>
      <c r="O1472" s="894"/>
      <c r="P1472" s="926"/>
      <c r="Q1472" s="900" t="str">
        <f>IF(O1472&lt;&gt;0,VLOOKUP(O1472,'Cây trong'!$A$2:$C$246,3,0)," ")</f>
        <v xml:space="preserve"> </v>
      </c>
      <c r="R1472" s="900" t="str">
        <f t="shared" si="316"/>
        <v xml:space="preserve"> </v>
      </c>
      <c r="S1472" s="902" t="s">
        <v>1762</v>
      </c>
      <c r="T1472" s="925" t="s">
        <v>2911</v>
      </c>
      <c r="U1472" s="927">
        <v>12.5</v>
      </c>
      <c r="V1472" s="929"/>
      <c r="W1472" s="900">
        <f>IF(S1472&lt;&gt;0,VLOOKUP(S1472,VKT!$A$2:$G$415,7,0),"")</f>
        <v>770070</v>
      </c>
      <c r="X1472" s="900">
        <f t="shared" si="318"/>
        <v>9626000</v>
      </c>
      <c r="Y1472" s="898"/>
      <c r="Z1472" s="904" t="s">
        <v>980</v>
      </c>
      <c r="AA1472" s="904" t="s">
        <v>1005</v>
      </c>
      <c r="AB1472" s="904"/>
      <c r="AC1472" s="904" t="s">
        <v>267</v>
      </c>
      <c r="AD1472" s="904"/>
      <c r="AE1472" s="904"/>
      <c r="AF1472" s="899"/>
      <c r="AG1472" s="906" t="str">
        <f>IF(AE1472&lt;&gt;0,VLOOKUP(AE1472,ODDS!$A$2:$C$13,3,0),"")</f>
        <v/>
      </c>
      <c r="AH1472" s="906" t="str">
        <f t="shared" si="317"/>
        <v xml:space="preserve"> </v>
      </c>
      <c r="AI1472" s="907" t="str">
        <f t="shared" si="313"/>
        <v xml:space="preserve"> </v>
      </c>
      <c r="AJ1472" s="894"/>
      <c r="AK1472" s="894"/>
    </row>
    <row r="1473" spans="1:39" s="385" customFormat="1" ht="45" outlineLevel="2" x14ac:dyDescent="0.35">
      <c r="A1473" s="447">
        <f t="shared" si="322"/>
        <v>116</v>
      </c>
      <c r="B1473" s="893"/>
      <c r="C1473" s="894"/>
      <c r="D1473" s="950"/>
      <c r="E1473" s="950"/>
      <c r="F1473" s="1032"/>
      <c r="G1473" s="894"/>
      <c r="H1473" s="940"/>
      <c r="I1473" s="882"/>
      <c r="J1473" s="925"/>
      <c r="K1473" s="899" t="str">
        <f>IF(G1473&lt;&gt;0,VLOOKUP(G1473,'gia dat'!$A$1:$F$144,5,0)," ")</f>
        <v xml:space="preserve"> </v>
      </c>
      <c r="L1473" s="899" t="str">
        <f>IF(G1473&lt;&gt;0,VLOOKUP(G1473,'gia dat'!$A$1:$F$144,6,0)," ")</f>
        <v xml:space="preserve"> </v>
      </c>
      <c r="M1473" s="900" t="str">
        <f t="shared" si="320"/>
        <v xml:space="preserve"> </v>
      </c>
      <c r="N1473" s="900" t="str">
        <f t="shared" si="321"/>
        <v xml:space="preserve"> </v>
      </c>
      <c r="O1473" s="894"/>
      <c r="P1473" s="926"/>
      <c r="Q1473" s="900" t="str">
        <f>IF(O1473&lt;&gt;0,VLOOKUP(O1473,'Cây trong'!$A$2:$C$246,3,0)," ")</f>
        <v xml:space="preserve"> </v>
      </c>
      <c r="R1473" s="900" t="str">
        <f t="shared" si="316"/>
        <v xml:space="preserve"> </v>
      </c>
      <c r="S1473" s="902" t="s">
        <v>1763</v>
      </c>
      <c r="T1473" s="925" t="s">
        <v>2911</v>
      </c>
      <c r="U1473" s="927">
        <v>26.6</v>
      </c>
      <c r="V1473" s="929"/>
      <c r="W1473" s="900">
        <f>IF(S1473&lt;&gt;0,VLOOKUP(S1473,VKT!$A$2:$G$415,7,0),"")</f>
        <v>3550600</v>
      </c>
      <c r="X1473" s="900">
        <f t="shared" si="318"/>
        <v>94446000</v>
      </c>
      <c r="Y1473" s="898" t="s">
        <v>139</v>
      </c>
      <c r="Z1473" s="904" t="s">
        <v>980</v>
      </c>
      <c r="AA1473" s="904" t="s">
        <v>1012</v>
      </c>
      <c r="AB1473" s="904" t="s">
        <v>269</v>
      </c>
      <c r="AC1473" s="904" t="s">
        <v>139</v>
      </c>
      <c r="AD1473" s="904"/>
      <c r="AE1473" s="904"/>
      <c r="AF1473" s="899"/>
      <c r="AG1473" s="906" t="str">
        <f>IF(AE1473&lt;&gt;0,VLOOKUP(AE1473,ODDS!$A$2:$C$13,3,0),"")</f>
        <v/>
      </c>
      <c r="AH1473" s="906" t="str">
        <f t="shared" si="317"/>
        <v xml:space="preserve"> </v>
      </c>
      <c r="AI1473" s="907" t="str">
        <f t="shared" si="313"/>
        <v xml:space="preserve"> </v>
      </c>
      <c r="AJ1473" s="1036"/>
      <c r="AK1473" s="894"/>
    </row>
    <row r="1474" spans="1:39" s="385" customFormat="1" ht="45" outlineLevel="2" x14ac:dyDescent="0.3">
      <c r="A1474" s="447">
        <f t="shared" si="322"/>
        <v>116</v>
      </c>
      <c r="B1474" s="893"/>
      <c r="C1474" s="894"/>
      <c r="D1474" s="950"/>
      <c r="E1474" s="950"/>
      <c r="F1474" s="1032"/>
      <c r="G1474" s="894"/>
      <c r="H1474" s="940"/>
      <c r="I1474" s="882"/>
      <c r="J1474" s="925"/>
      <c r="K1474" s="899" t="str">
        <f>IF(G1474&lt;&gt;0,VLOOKUP(G1474,'gia dat'!$A$1:$F$144,5,0)," ")</f>
        <v xml:space="preserve"> </v>
      </c>
      <c r="L1474" s="899" t="str">
        <f>IF(G1474&lt;&gt;0,VLOOKUP(G1474,'gia dat'!$A$1:$F$144,6,0)," ")</f>
        <v xml:space="preserve"> </v>
      </c>
      <c r="M1474" s="900" t="str">
        <f t="shared" si="320"/>
        <v xml:space="preserve"> </v>
      </c>
      <c r="N1474" s="900" t="str">
        <f t="shared" si="321"/>
        <v xml:space="preserve"> </v>
      </c>
      <c r="O1474" s="894"/>
      <c r="P1474" s="926"/>
      <c r="Q1474" s="900" t="str">
        <f>IF(O1474&lt;&gt;0,VLOOKUP(O1474,'Cây trong'!$A$2:$C$246,3,0)," ")</f>
        <v xml:space="preserve"> </v>
      </c>
      <c r="R1474" s="900" t="str">
        <f t="shared" si="316"/>
        <v xml:space="preserve"> </v>
      </c>
      <c r="S1474" s="902" t="s">
        <v>1767</v>
      </c>
      <c r="T1474" s="925" t="s">
        <v>2911</v>
      </c>
      <c r="U1474" s="927">
        <v>10.4</v>
      </c>
      <c r="V1474" s="929"/>
      <c r="W1474" s="900">
        <f>IF(S1474&lt;&gt;0,VLOOKUP(S1474,VKT!$A$2:$G$415,7,0),"")</f>
        <v>0</v>
      </c>
      <c r="X1474" s="900">
        <f t="shared" si="318"/>
        <v>0</v>
      </c>
      <c r="Y1474" s="898"/>
      <c r="Z1474" s="904"/>
      <c r="AA1474" s="904"/>
      <c r="AB1474" s="904"/>
      <c r="AC1474" s="904"/>
      <c r="AD1474" s="904"/>
      <c r="AE1474" s="904"/>
      <c r="AF1474" s="899"/>
      <c r="AG1474" s="906" t="str">
        <f>IF(AE1474&lt;&gt;0,VLOOKUP(AE1474,ODDS!$A$2:$C$13,3,0),"")</f>
        <v/>
      </c>
      <c r="AH1474" s="906" t="str">
        <f t="shared" si="317"/>
        <v xml:space="preserve"> </v>
      </c>
      <c r="AI1474" s="907" t="str">
        <f t="shared" si="313"/>
        <v xml:space="preserve"> </v>
      </c>
      <c r="AJ1474" s="929"/>
      <c r="AK1474" s="929"/>
    </row>
    <row r="1475" spans="1:39" s="385" customFormat="1" ht="67.5" outlineLevel="2" x14ac:dyDescent="0.3">
      <c r="A1475" s="447">
        <f t="shared" si="322"/>
        <v>116</v>
      </c>
      <c r="B1475" s="893"/>
      <c r="C1475" s="894"/>
      <c r="D1475" s="950"/>
      <c r="E1475" s="950"/>
      <c r="F1475" s="1032"/>
      <c r="G1475" s="894"/>
      <c r="H1475" s="940"/>
      <c r="I1475" s="882"/>
      <c r="J1475" s="925"/>
      <c r="K1475" s="899" t="str">
        <f>IF(G1475&lt;&gt;0,VLOOKUP(G1475,'gia dat'!$A$1:$F$144,5,0)," ")</f>
        <v xml:space="preserve"> </v>
      </c>
      <c r="L1475" s="899" t="str">
        <f>IF(G1475&lt;&gt;0,VLOOKUP(G1475,'gia dat'!$A$1:$F$144,6,0)," ")</f>
        <v xml:space="preserve"> </v>
      </c>
      <c r="M1475" s="900" t="str">
        <f t="shared" si="320"/>
        <v xml:space="preserve"> </v>
      </c>
      <c r="N1475" s="900" t="str">
        <f t="shared" si="321"/>
        <v xml:space="preserve"> </v>
      </c>
      <c r="O1475" s="894"/>
      <c r="P1475" s="926"/>
      <c r="Q1475" s="900" t="str">
        <f>IF(O1475&lt;&gt;0,VLOOKUP(O1475,'Cây trong'!$A$2:$C$246,3,0)," ")</f>
        <v xml:space="preserve"> </v>
      </c>
      <c r="R1475" s="900" t="str">
        <f t="shared" si="316"/>
        <v xml:space="preserve"> </v>
      </c>
      <c r="S1475" s="902" t="s">
        <v>1768</v>
      </c>
      <c r="T1475" s="925" t="s">
        <v>2911</v>
      </c>
      <c r="U1475" s="927">
        <v>10.4</v>
      </c>
      <c r="V1475" s="929"/>
      <c r="W1475" s="900">
        <f>IF(S1475&lt;&gt;0,VLOOKUP(S1475,VKT!$A$2:$G$415,7,0),"")</f>
        <v>238288</v>
      </c>
      <c r="X1475" s="900">
        <f t="shared" si="318"/>
        <v>2478000</v>
      </c>
      <c r="Y1475" s="898"/>
      <c r="Z1475" s="904"/>
      <c r="AA1475" s="904"/>
      <c r="AB1475" s="904"/>
      <c r="AC1475" s="904"/>
      <c r="AD1475" s="904"/>
      <c r="AE1475" s="904"/>
      <c r="AF1475" s="899"/>
      <c r="AG1475" s="906" t="str">
        <f>IF(AE1475&lt;&gt;0,VLOOKUP(AE1475,ODDS!$A$2:$C$13,3,0),"")</f>
        <v/>
      </c>
      <c r="AH1475" s="906" t="str">
        <f t="shared" si="317"/>
        <v xml:space="preserve"> </v>
      </c>
      <c r="AI1475" s="907" t="str">
        <f t="shared" si="313"/>
        <v xml:space="preserve"> </v>
      </c>
      <c r="AJ1475" s="894"/>
      <c r="AK1475" s="894"/>
    </row>
    <row r="1476" spans="1:39" s="385" customFormat="1" ht="45" outlineLevel="2" x14ac:dyDescent="0.3">
      <c r="A1476" s="447">
        <f t="shared" si="322"/>
        <v>116</v>
      </c>
      <c r="B1476" s="893"/>
      <c r="C1476" s="894"/>
      <c r="D1476" s="950"/>
      <c r="E1476" s="950"/>
      <c r="F1476" s="1032"/>
      <c r="G1476" s="894"/>
      <c r="H1476" s="940"/>
      <c r="I1476" s="882"/>
      <c r="J1476" s="925"/>
      <c r="K1476" s="899" t="str">
        <f>IF(G1476&lt;&gt;0,VLOOKUP(G1476,'gia dat'!$A$1:$F$144,5,0)," ")</f>
        <v xml:space="preserve"> </v>
      </c>
      <c r="L1476" s="899" t="str">
        <f>IF(G1476&lt;&gt;0,VLOOKUP(G1476,'gia dat'!$A$1:$F$144,6,0)," ")</f>
        <v xml:space="preserve"> </v>
      </c>
      <c r="M1476" s="900" t="str">
        <f t="shared" si="320"/>
        <v xml:space="preserve"> </v>
      </c>
      <c r="N1476" s="900" t="str">
        <f t="shared" si="321"/>
        <v xml:space="preserve"> </v>
      </c>
      <c r="O1476" s="894"/>
      <c r="P1476" s="926"/>
      <c r="Q1476" s="900" t="str">
        <f>IF(O1476&lt;&gt;0,VLOOKUP(O1476,'Cây trong'!$A$2:$C$246,3,0)," ")</f>
        <v xml:space="preserve"> </v>
      </c>
      <c r="R1476" s="900" t="str">
        <f t="shared" si="316"/>
        <v xml:space="preserve"> </v>
      </c>
      <c r="S1476" s="902" t="s">
        <v>1770</v>
      </c>
      <c r="T1476" s="925" t="s">
        <v>2934</v>
      </c>
      <c r="U1476" s="927">
        <v>0.22</v>
      </c>
      <c r="V1476" s="929"/>
      <c r="W1476" s="900">
        <f>IF(S1476&lt;&gt;0,VLOOKUP(S1476,VKT!$A$2:$G$415,7,0),"")</f>
        <v>3591896</v>
      </c>
      <c r="X1476" s="900">
        <f t="shared" si="318"/>
        <v>790000</v>
      </c>
      <c r="Y1476" s="898"/>
      <c r="Z1476" s="904"/>
      <c r="AA1476" s="904"/>
      <c r="AB1476" s="904"/>
      <c r="AC1476" s="904"/>
      <c r="AD1476" s="904"/>
      <c r="AE1476" s="904"/>
      <c r="AF1476" s="899"/>
      <c r="AG1476" s="906" t="str">
        <f>IF(AE1476&lt;&gt;0,VLOOKUP(AE1476,ODDS!$A$2:$C$13,3,0),"")</f>
        <v/>
      </c>
      <c r="AH1476" s="906" t="str">
        <f t="shared" si="317"/>
        <v xml:space="preserve"> </v>
      </c>
      <c r="AI1476" s="907" t="str">
        <f t="shared" si="313"/>
        <v xml:space="preserve"> </v>
      </c>
      <c r="AJ1476" s="894"/>
      <c r="AK1476" s="894"/>
    </row>
    <row r="1477" spans="1:39" s="385" customFormat="1" ht="45" outlineLevel="2" x14ac:dyDescent="0.3">
      <c r="A1477" s="447">
        <f t="shared" si="322"/>
        <v>116</v>
      </c>
      <c r="B1477" s="893"/>
      <c r="C1477" s="894"/>
      <c r="D1477" s="950"/>
      <c r="E1477" s="950"/>
      <c r="F1477" s="1032"/>
      <c r="G1477" s="894"/>
      <c r="H1477" s="940"/>
      <c r="I1477" s="882"/>
      <c r="J1477" s="925"/>
      <c r="K1477" s="899" t="str">
        <f>IF(G1477&lt;&gt;0,VLOOKUP(G1477,'gia dat'!$A$1:$F$144,5,0)," ")</f>
        <v xml:space="preserve"> </v>
      </c>
      <c r="L1477" s="899" t="str">
        <f>IF(G1477&lt;&gt;0,VLOOKUP(G1477,'gia dat'!$A$1:$F$144,6,0)," ")</f>
        <v xml:space="preserve"> </v>
      </c>
      <c r="M1477" s="900" t="str">
        <f t="shared" si="320"/>
        <v xml:space="preserve"> </v>
      </c>
      <c r="N1477" s="900" t="str">
        <f t="shared" si="321"/>
        <v xml:space="preserve"> </v>
      </c>
      <c r="O1477" s="894"/>
      <c r="P1477" s="926"/>
      <c r="Q1477" s="900" t="str">
        <f>IF(O1477&lt;&gt;0,VLOOKUP(O1477,'Cây trong'!$A$2:$C$246,3,0)," ")</f>
        <v xml:space="preserve"> </v>
      </c>
      <c r="R1477" s="900" t="str">
        <f t="shared" si="316"/>
        <v xml:space="preserve"> </v>
      </c>
      <c r="S1477" s="902" t="s">
        <v>1816</v>
      </c>
      <c r="T1477" s="925" t="s">
        <v>2934</v>
      </c>
      <c r="U1477" s="927">
        <v>0.06</v>
      </c>
      <c r="V1477" s="929"/>
      <c r="W1477" s="900">
        <f>IF(S1477&lt;&gt;0,VLOOKUP(S1477,VKT!$A$2:$G$415,7,0),"")</f>
        <v>0</v>
      </c>
      <c r="X1477" s="900">
        <f t="shared" si="318"/>
        <v>0</v>
      </c>
      <c r="Y1477" s="898"/>
      <c r="Z1477" s="904"/>
      <c r="AA1477" s="904"/>
      <c r="AB1477" s="904"/>
      <c r="AC1477" s="904"/>
      <c r="AD1477" s="904"/>
      <c r="AE1477" s="904"/>
      <c r="AF1477" s="899"/>
      <c r="AG1477" s="906" t="str">
        <f>IF(AE1477&lt;&gt;0,VLOOKUP(AE1477,ODDS!$A$2:$C$13,3,0),"")</f>
        <v/>
      </c>
      <c r="AH1477" s="906" t="str">
        <f t="shared" si="317"/>
        <v xml:space="preserve"> </v>
      </c>
      <c r="AI1477" s="907" t="str">
        <f t="shared" si="313"/>
        <v xml:space="preserve"> </v>
      </c>
      <c r="AJ1477" s="894"/>
      <c r="AK1477" s="894"/>
    </row>
    <row r="1478" spans="1:39" s="385" customFormat="1" ht="45" outlineLevel="2" x14ac:dyDescent="0.3">
      <c r="A1478" s="447">
        <f t="shared" si="322"/>
        <v>116</v>
      </c>
      <c r="B1478" s="893"/>
      <c r="C1478" s="894"/>
      <c r="D1478" s="950"/>
      <c r="E1478" s="950"/>
      <c r="F1478" s="1032"/>
      <c r="G1478" s="894"/>
      <c r="H1478" s="940"/>
      <c r="I1478" s="882"/>
      <c r="J1478" s="925"/>
      <c r="K1478" s="899" t="str">
        <f>IF(G1478&lt;&gt;0,VLOOKUP(G1478,'gia dat'!$A$1:$F$144,5,0)," ")</f>
        <v xml:space="preserve"> </v>
      </c>
      <c r="L1478" s="899" t="str">
        <f>IF(G1478&lt;&gt;0,VLOOKUP(G1478,'gia dat'!$A$1:$F$144,6,0)," ")</f>
        <v xml:space="preserve"> </v>
      </c>
      <c r="M1478" s="900" t="str">
        <f t="shared" si="320"/>
        <v xml:space="preserve"> </v>
      </c>
      <c r="N1478" s="900" t="str">
        <f t="shared" si="321"/>
        <v xml:space="preserve"> </v>
      </c>
      <c r="O1478" s="894"/>
      <c r="P1478" s="926"/>
      <c r="Q1478" s="900" t="str">
        <f>IF(O1478&lt;&gt;0,VLOOKUP(O1478,'Cây trong'!$A$2:$C$246,3,0)," ")</f>
        <v xml:space="preserve"> </v>
      </c>
      <c r="R1478" s="900" t="str">
        <f t="shared" si="316"/>
        <v xml:space="preserve"> </v>
      </c>
      <c r="S1478" s="902" t="s">
        <v>1817</v>
      </c>
      <c r="T1478" s="925" t="s">
        <v>2911</v>
      </c>
      <c r="U1478" s="927">
        <v>0.81</v>
      </c>
      <c r="V1478" s="929"/>
      <c r="W1478" s="900">
        <f>IF(S1478&lt;&gt;0,VLOOKUP(S1478,VKT!$A$2:$G$415,7,0),"")</f>
        <v>202204</v>
      </c>
      <c r="X1478" s="900">
        <f t="shared" si="318"/>
        <v>164000</v>
      </c>
      <c r="Y1478" s="898"/>
      <c r="Z1478" s="904"/>
      <c r="AA1478" s="904"/>
      <c r="AB1478" s="904"/>
      <c r="AC1478" s="904"/>
      <c r="AD1478" s="904"/>
      <c r="AE1478" s="904"/>
      <c r="AF1478" s="899"/>
      <c r="AG1478" s="906" t="str">
        <f>IF(AE1478&lt;&gt;0,VLOOKUP(AE1478,ODDS!$A$2:$C$13,3,0),"")</f>
        <v/>
      </c>
      <c r="AH1478" s="906" t="str">
        <f t="shared" si="317"/>
        <v xml:space="preserve"> </v>
      </c>
      <c r="AI1478" s="907" t="str">
        <f t="shared" si="313"/>
        <v xml:space="preserve"> </v>
      </c>
      <c r="AJ1478" s="894"/>
      <c r="AK1478" s="894"/>
    </row>
    <row r="1479" spans="1:39" s="385" customFormat="1" ht="25.5" outlineLevel="2" x14ac:dyDescent="0.3">
      <c r="A1479" s="447">
        <f t="shared" si="322"/>
        <v>116</v>
      </c>
      <c r="B1479" s="893"/>
      <c r="C1479" s="894"/>
      <c r="D1479" s="950"/>
      <c r="E1479" s="950"/>
      <c r="F1479" s="1032"/>
      <c r="G1479" s="894"/>
      <c r="H1479" s="940"/>
      <c r="I1479" s="882"/>
      <c r="J1479" s="925"/>
      <c r="K1479" s="899" t="str">
        <f>IF(G1479&lt;&gt;0,VLOOKUP(G1479,'gia dat'!$A$1:$F$144,5,0)," ")</f>
        <v xml:space="preserve"> </v>
      </c>
      <c r="L1479" s="899" t="str">
        <f>IF(G1479&lt;&gt;0,VLOOKUP(G1479,'gia dat'!$A$1:$F$144,6,0)," ")</f>
        <v xml:space="preserve"> </v>
      </c>
      <c r="M1479" s="900" t="str">
        <f t="shared" si="320"/>
        <v xml:space="preserve"> </v>
      </c>
      <c r="N1479" s="900" t="str">
        <f t="shared" si="321"/>
        <v xml:space="preserve"> </v>
      </c>
      <c r="O1479" s="894"/>
      <c r="P1479" s="926"/>
      <c r="Q1479" s="900" t="str">
        <f>IF(O1479&lt;&gt;0,VLOOKUP(O1479,'Cây trong'!$A$2:$C$246,3,0)," ")</f>
        <v xml:space="preserve"> </v>
      </c>
      <c r="R1479" s="900" t="str">
        <f t="shared" si="316"/>
        <v xml:space="preserve"> </v>
      </c>
      <c r="S1479" s="996" t="s">
        <v>1818</v>
      </c>
      <c r="T1479" s="925" t="s">
        <v>2911</v>
      </c>
      <c r="U1479" s="927">
        <v>4</v>
      </c>
      <c r="V1479" s="929"/>
      <c r="W1479" s="900">
        <f>IF(S1479&lt;&gt;0,VLOOKUP(S1479,VKT!$A$2:$G$415,7,0),"")</f>
        <v>0</v>
      </c>
      <c r="X1479" s="900">
        <f t="shared" si="318"/>
        <v>0</v>
      </c>
      <c r="Y1479" s="898"/>
      <c r="Z1479" s="904"/>
      <c r="AA1479" s="904"/>
      <c r="AB1479" s="904"/>
      <c r="AC1479" s="904"/>
      <c r="AD1479" s="904"/>
      <c r="AE1479" s="904"/>
      <c r="AF1479" s="899"/>
      <c r="AG1479" s="906" t="str">
        <f>IF(AE1479&lt;&gt;0,VLOOKUP(AE1479,ODDS!$A$2:$C$13,3,0),"")</f>
        <v/>
      </c>
      <c r="AH1479" s="906" t="str">
        <f t="shared" si="317"/>
        <v xml:space="preserve"> </v>
      </c>
      <c r="AI1479" s="907" t="str">
        <f t="shared" si="313"/>
        <v xml:space="preserve"> </v>
      </c>
      <c r="AJ1479" s="894"/>
      <c r="AK1479" s="894"/>
    </row>
    <row r="1480" spans="1:39" s="385" customFormat="1" ht="22.5" outlineLevel="2" x14ac:dyDescent="0.3">
      <c r="A1480" s="447">
        <f t="shared" si="322"/>
        <v>116</v>
      </c>
      <c r="B1480" s="893"/>
      <c r="C1480" s="894"/>
      <c r="D1480" s="950"/>
      <c r="E1480" s="950"/>
      <c r="F1480" s="1032"/>
      <c r="G1480" s="894"/>
      <c r="H1480" s="940"/>
      <c r="I1480" s="882"/>
      <c r="J1480" s="925"/>
      <c r="K1480" s="899" t="str">
        <f>IF(G1480&lt;&gt;0,VLOOKUP(G1480,'gia dat'!$A$1:$F$144,5,0)," ")</f>
        <v xml:space="preserve"> </v>
      </c>
      <c r="L1480" s="899" t="str">
        <f>IF(G1480&lt;&gt;0,VLOOKUP(G1480,'gia dat'!$A$1:$F$144,6,0)," ")</f>
        <v xml:space="preserve"> </v>
      </c>
      <c r="M1480" s="900" t="str">
        <f t="shared" si="320"/>
        <v xml:space="preserve"> </v>
      </c>
      <c r="N1480" s="900" t="str">
        <f t="shared" si="321"/>
        <v xml:space="preserve"> </v>
      </c>
      <c r="O1480" s="894"/>
      <c r="P1480" s="926"/>
      <c r="Q1480" s="900" t="str">
        <f>IF(O1480&lt;&gt;0,VLOOKUP(O1480,'Cây trong'!$A$2:$C$246,3,0)," ")</f>
        <v xml:space="preserve"> </v>
      </c>
      <c r="R1480" s="900" t="str">
        <f t="shared" si="316"/>
        <v xml:space="preserve"> </v>
      </c>
      <c r="S1480" s="996"/>
      <c r="T1480" s="925"/>
      <c r="U1480" s="927"/>
      <c r="V1480" s="929"/>
      <c r="W1480" s="900" t="str">
        <f>IF(S1480&lt;&gt;0,VLOOKUP(S1480,VKT!$A$2:$G$415,7,0),"")</f>
        <v/>
      </c>
      <c r="X1480" s="900" t="str">
        <f t="shared" si="318"/>
        <v xml:space="preserve"> </v>
      </c>
      <c r="Y1480" s="898"/>
      <c r="Z1480" s="904"/>
      <c r="AA1480" s="904"/>
      <c r="AB1480" s="904"/>
      <c r="AC1480" s="904"/>
      <c r="AD1480" s="904"/>
      <c r="AE1480" s="904"/>
      <c r="AF1480" s="899"/>
      <c r="AG1480" s="906" t="str">
        <f>IF(AE1480&lt;&gt;0,VLOOKUP(AE1480,ODDS!$A$2:$C$13,3,0),"")</f>
        <v/>
      </c>
      <c r="AH1480" s="906" t="str">
        <f t="shared" si="317"/>
        <v xml:space="preserve"> </v>
      </c>
      <c r="AI1480" s="907" t="str">
        <f t="shared" si="313"/>
        <v xml:space="preserve"> </v>
      </c>
      <c r="AJ1480" s="894"/>
      <c r="AK1480" s="894"/>
    </row>
    <row r="1481" spans="1:39" s="385" customFormat="1" ht="22.5" outlineLevel="2" x14ac:dyDescent="0.3">
      <c r="A1481" s="447">
        <f t="shared" si="322"/>
        <v>116</v>
      </c>
      <c r="B1481" s="893"/>
      <c r="C1481" s="894"/>
      <c r="D1481" s="950"/>
      <c r="E1481" s="950"/>
      <c r="F1481" s="1032"/>
      <c r="G1481" s="894"/>
      <c r="H1481" s="940"/>
      <c r="I1481" s="882"/>
      <c r="J1481" s="925"/>
      <c r="K1481" s="899" t="str">
        <f>IF(G1481&lt;&gt;0,VLOOKUP(G1481,'gia dat'!$A$1:$F$144,5,0)," ")</f>
        <v xml:space="preserve"> </v>
      </c>
      <c r="L1481" s="899" t="str">
        <f>IF(G1481&lt;&gt;0,VLOOKUP(G1481,'gia dat'!$A$1:$F$144,6,0)," ")</f>
        <v xml:space="preserve"> </v>
      </c>
      <c r="M1481" s="900" t="str">
        <f t="shared" si="320"/>
        <v xml:space="preserve"> </v>
      </c>
      <c r="N1481" s="900" t="str">
        <f t="shared" si="321"/>
        <v xml:space="preserve"> </v>
      </c>
      <c r="O1481" s="894"/>
      <c r="P1481" s="926"/>
      <c r="Q1481" s="900" t="str">
        <f>IF(O1481&lt;&gt;0,VLOOKUP(O1481,'Cây trong'!$A$2:$C$246,3,0)," ")</f>
        <v xml:space="preserve"> </v>
      </c>
      <c r="R1481" s="900" t="str">
        <f t="shared" si="316"/>
        <v xml:space="preserve"> </v>
      </c>
      <c r="S1481" s="902"/>
      <c r="T1481" s="925"/>
      <c r="U1481" s="927"/>
      <c r="V1481" s="929"/>
      <c r="W1481" s="900" t="str">
        <f>IF(S1481&lt;&gt;0,VLOOKUP(S1481,VKT!$A$2:$G$415,7,0),"")</f>
        <v/>
      </c>
      <c r="X1481" s="900" t="str">
        <f t="shared" si="318"/>
        <v xml:space="preserve"> </v>
      </c>
      <c r="Y1481" s="898"/>
      <c r="Z1481" s="904"/>
      <c r="AA1481" s="904"/>
      <c r="AB1481" s="904"/>
      <c r="AC1481" s="904"/>
      <c r="AD1481" s="904"/>
      <c r="AE1481" s="904"/>
      <c r="AF1481" s="899"/>
      <c r="AG1481" s="906" t="str">
        <f>IF(AE1481&lt;&gt;0,VLOOKUP(AE1481,ODDS!$A$2:$C$13,3,0),"")</f>
        <v/>
      </c>
      <c r="AH1481" s="906" t="str">
        <f t="shared" si="317"/>
        <v xml:space="preserve"> </v>
      </c>
      <c r="AI1481" s="907" t="str">
        <f t="shared" ref="AI1481:AI1544" si="323">IF(B1481&lt;&gt;0,M1481+N1481+R1481+X1481+AH1481," ")</f>
        <v xml:space="preserve"> </v>
      </c>
      <c r="AJ1481" s="894"/>
      <c r="AK1481" s="894"/>
    </row>
    <row r="1482" spans="1:39" s="385" customFormat="1" ht="22.5" outlineLevel="2" x14ac:dyDescent="0.3">
      <c r="A1482" s="447">
        <f t="shared" si="322"/>
        <v>116</v>
      </c>
      <c r="B1482" s="893"/>
      <c r="C1482" s="910"/>
      <c r="D1482" s="950"/>
      <c r="E1482" s="950"/>
      <c r="F1482" s="1032"/>
      <c r="G1482" s="894"/>
      <c r="H1482" s="940"/>
      <c r="I1482" s="882"/>
      <c r="J1482" s="925"/>
      <c r="K1482" s="899" t="str">
        <f>IF(G1482&lt;&gt;0,VLOOKUP(G1482,'gia dat'!$A$1:$F$144,5,0)," ")</f>
        <v xml:space="preserve"> </v>
      </c>
      <c r="L1482" s="899" t="str">
        <f>IF(G1482&lt;&gt;0,VLOOKUP(G1482,'gia dat'!$A$1:$F$144,6,0)," ")</f>
        <v xml:space="preserve"> </v>
      </c>
      <c r="M1482" s="900" t="str">
        <f t="shared" si="320"/>
        <v xml:space="preserve"> </v>
      </c>
      <c r="N1482" s="900" t="str">
        <f t="shared" si="321"/>
        <v xml:space="preserve"> </v>
      </c>
      <c r="O1482" s="894"/>
      <c r="P1482" s="926"/>
      <c r="Q1482" s="900" t="str">
        <f>IF(O1482&lt;&gt;0,VLOOKUP(O1482,'Cây trong'!$A$2:$C$246,3,0)," ")</f>
        <v xml:space="preserve"> </v>
      </c>
      <c r="R1482" s="900" t="str">
        <f t="shared" si="316"/>
        <v xml:space="preserve"> </v>
      </c>
      <c r="S1482" s="902"/>
      <c r="T1482" s="925"/>
      <c r="U1482" s="927"/>
      <c r="V1482" s="929"/>
      <c r="W1482" s="900" t="str">
        <f>IF(S1482&lt;&gt;0,VLOOKUP(S1482,VKT!$A$2:$G$415,7,0),"")</f>
        <v/>
      </c>
      <c r="X1482" s="900" t="str">
        <f t="shared" si="318"/>
        <v xml:space="preserve"> </v>
      </c>
      <c r="Y1482" s="898"/>
      <c r="Z1482" s="904"/>
      <c r="AA1482" s="904"/>
      <c r="AB1482" s="904"/>
      <c r="AC1482" s="904"/>
      <c r="AD1482" s="904"/>
      <c r="AE1482" s="904"/>
      <c r="AF1482" s="899"/>
      <c r="AG1482" s="906" t="str">
        <f>IF(AE1482&lt;&gt;0,VLOOKUP(AE1482,ODDS!$A$2:$C$13,3,0),"")</f>
        <v/>
      </c>
      <c r="AH1482" s="906" t="str">
        <f t="shared" si="317"/>
        <v xml:space="preserve"> </v>
      </c>
      <c r="AI1482" s="907" t="str">
        <f t="shared" si="323"/>
        <v xml:space="preserve"> </v>
      </c>
      <c r="AJ1482" s="894"/>
      <c r="AK1482" s="894"/>
    </row>
    <row r="1483" spans="1:39" s="385" customFormat="1" ht="43.5" outlineLevel="1" x14ac:dyDescent="0.25">
      <c r="A1483" s="467" t="s">
        <v>2593</v>
      </c>
      <c r="B1483" s="912">
        <v>117</v>
      </c>
      <c r="C1483" s="910" t="s">
        <v>1055</v>
      </c>
      <c r="D1483" s="1037"/>
      <c r="E1483" s="1037"/>
      <c r="F1483" s="1038"/>
      <c r="G1483" s="910"/>
      <c r="H1483" s="932">
        <f>SUBTOTAL(9,H1484:H1500)</f>
        <v>0</v>
      </c>
      <c r="I1483" s="915">
        <f>SUBTOTAL(9,I1484:I1489)</f>
        <v>0</v>
      </c>
      <c r="J1483" s="933"/>
      <c r="K1483" s="917"/>
      <c r="L1483" s="917"/>
      <c r="M1483" s="907">
        <f>SUBTOTAL(9,M1484:M1500)</f>
        <v>0</v>
      </c>
      <c r="N1483" s="907">
        <f>SUBTOTAL(9,N1484:N1500)</f>
        <v>0</v>
      </c>
      <c r="O1483" s="910"/>
      <c r="P1483" s="935">
        <f>SUBTOTAL(9,P1484:P1500)</f>
        <v>41</v>
      </c>
      <c r="Q1483" s="907"/>
      <c r="R1483" s="907">
        <f>SUBTOTAL(9,R1484:R1500)</f>
        <v>35907000</v>
      </c>
      <c r="S1483" s="918"/>
      <c r="T1483" s="933"/>
      <c r="U1483" s="936">
        <f>SUBTOTAL(9,U1484:U1500)</f>
        <v>162.48999999999998</v>
      </c>
      <c r="V1483" s="943"/>
      <c r="W1483" s="907"/>
      <c r="X1483" s="907">
        <f>SUBTOTAL(9,X1484:X1500)</f>
        <v>397767000</v>
      </c>
      <c r="Y1483" s="898"/>
      <c r="Z1483" s="904"/>
      <c r="AA1483" s="904"/>
      <c r="AB1483" s="904"/>
      <c r="AC1483" s="904"/>
      <c r="AD1483" s="904"/>
      <c r="AE1483" s="920"/>
      <c r="AF1483" s="917">
        <f>SUBTOTAL(9,AF1484:AF1500)</f>
        <v>0</v>
      </c>
      <c r="AG1483" s="921"/>
      <c r="AH1483" s="921">
        <f>SUBTOTAL(9,AH1484:AH1500)</f>
        <v>0</v>
      </c>
      <c r="AI1483" s="907">
        <f t="shared" si="323"/>
        <v>433674000</v>
      </c>
      <c r="AJ1483" s="910"/>
      <c r="AK1483" s="910"/>
      <c r="AM1483" s="472"/>
    </row>
    <row r="1484" spans="1:39" s="385" customFormat="1" ht="112.5" outlineLevel="2" x14ac:dyDescent="0.3">
      <c r="A1484" s="447">
        <f>IF(B1483&lt;&gt;0,B1483,A1482)</f>
        <v>117</v>
      </c>
      <c r="B1484" s="893"/>
      <c r="C1484" s="894" t="s">
        <v>1057</v>
      </c>
      <c r="D1484" s="950"/>
      <c r="E1484" s="950"/>
      <c r="F1484" s="1032"/>
      <c r="G1484" s="894"/>
      <c r="H1484" s="940"/>
      <c r="I1484" s="882"/>
      <c r="J1484" s="925"/>
      <c r="K1484" s="899" t="str">
        <f>IF(G1484&lt;&gt;0,VLOOKUP(G1484,'gia dat'!$A$1:$F$144,5,0)," ")</f>
        <v xml:space="preserve"> </v>
      </c>
      <c r="L1484" s="899" t="str">
        <f>IF(G1484&lt;&gt;0,VLOOKUP(G1484,'gia dat'!$A$1:$F$144,6,0)," ")</f>
        <v xml:space="preserve"> </v>
      </c>
      <c r="M1484" s="900" t="str">
        <f t="shared" si="320"/>
        <v xml:space="preserve"> </v>
      </c>
      <c r="N1484" s="900" t="str">
        <f t="shared" si="321"/>
        <v xml:space="preserve"> </v>
      </c>
      <c r="O1484" s="894" t="s">
        <v>64</v>
      </c>
      <c r="P1484" s="926">
        <v>7</v>
      </c>
      <c r="Q1484" s="900">
        <f>IF(O1484&lt;&gt;0,VLOOKUP(O1484,'Cây trong'!$A$2:$C$246,3,0)," ")</f>
        <v>1122000</v>
      </c>
      <c r="R1484" s="900">
        <f t="shared" si="316"/>
        <v>7854000</v>
      </c>
      <c r="S1484" s="902" t="s">
        <v>1762</v>
      </c>
      <c r="T1484" s="925" t="s">
        <v>2911</v>
      </c>
      <c r="U1484" s="927">
        <v>26.6</v>
      </c>
      <c r="V1484" s="929"/>
      <c r="W1484" s="900">
        <f>IF(S1484&lt;&gt;0,VLOOKUP(S1484,VKT!$A$2:$G$415,7,0),"")</f>
        <v>770070</v>
      </c>
      <c r="X1484" s="900">
        <f t="shared" si="318"/>
        <v>20484000</v>
      </c>
      <c r="Y1484" s="898"/>
      <c r="Z1484" s="904" t="s">
        <v>980</v>
      </c>
      <c r="AA1484" s="904" t="s">
        <v>1005</v>
      </c>
      <c r="AB1484" s="904"/>
      <c r="AC1484" s="904" t="s">
        <v>267</v>
      </c>
      <c r="AD1484" s="904"/>
      <c r="AE1484" s="904"/>
      <c r="AF1484" s="899"/>
      <c r="AG1484" s="906" t="str">
        <f>IF(AE1484&lt;&gt;0,VLOOKUP(AE1484,ODDS!$A$2:$C$13,3,0),"")</f>
        <v/>
      </c>
      <c r="AH1484" s="906" t="str">
        <f t="shared" si="317"/>
        <v xml:space="preserve"> </v>
      </c>
      <c r="AI1484" s="907" t="str">
        <f t="shared" si="323"/>
        <v xml:space="preserve"> </v>
      </c>
      <c r="AJ1484" s="894" t="s">
        <v>1058</v>
      </c>
      <c r="AK1484" s="894" t="s">
        <v>2450</v>
      </c>
      <c r="AM1484" s="377" t="s">
        <v>1861</v>
      </c>
    </row>
    <row r="1485" spans="1:39" s="385" customFormat="1" ht="135" outlineLevel="2" x14ac:dyDescent="0.35">
      <c r="A1485" s="447">
        <f t="shared" ref="A1485:A1500" si="324">IF(B1484&lt;&gt;0,B1484,A1484)</f>
        <v>117</v>
      </c>
      <c r="B1485" s="893"/>
      <c r="C1485" s="922" t="s">
        <v>1580</v>
      </c>
      <c r="D1485" s="950"/>
      <c r="E1485" s="950"/>
      <c r="F1485" s="1032"/>
      <c r="G1485" s="894"/>
      <c r="H1485" s="940"/>
      <c r="I1485" s="882"/>
      <c r="J1485" s="925"/>
      <c r="K1485" s="899" t="str">
        <f>IF(G1485&lt;&gt;0,VLOOKUP(G1485,'gia dat'!$A$1:$F$144,5,0)," ")</f>
        <v xml:space="preserve"> </v>
      </c>
      <c r="L1485" s="899" t="str">
        <f>IF(G1485&lt;&gt;0,VLOOKUP(G1485,'gia dat'!$A$1:$F$144,6,0)," ")</f>
        <v xml:space="preserve"> </v>
      </c>
      <c r="M1485" s="900" t="str">
        <f t="shared" si="320"/>
        <v xml:space="preserve"> </v>
      </c>
      <c r="N1485" s="900" t="str">
        <f t="shared" si="321"/>
        <v xml:space="preserve"> </v>
      </c>
      <c r="O1485" s="894" t="s">
        <v>67</v>
      </c>
      <c r="P1485" s="926">
        <v>3</v>
      </c>
      <c r="Q1485" s="900">
        <f>IF(O1485&lt;&gt;0,VLOOKUP(O1485,'Cây trong'!$A$2:$C$246,3,0)," ")</f>
        <v>494000</v>
      </c>
      <c r="R1485" s="900">
        <f t="shared" si="316"/>
        <v>1482000</v>
      </c>
      <c r="S1485" s="902" t="s">
        <v>1819</v>
      </c>
      <c r="T1485" s="925" t="s">
        <v>2911</v>
      </c>
      <c r="U1485" s="927">
        <v>10</v>
      </c>
      <c r="V1485" s="929"/>
      <c r="W1485" s="900">
        <f>IF(S1485&lt;&gt;0,VLOOKUP(S1485,VKT!$A$2:$G$415,7,0),"")</f>
        <v>4246132</v>
      </c>
      <c r="X1485" s="900">
        <f t="shared" si="318"/>
        <v>42461000</v>
      </c>
      <c r="Y1485" s="898" t="s">
        <v>981</v>
      </c>
      <c r="Z1485" s="904" t="s">
        <v>980</v>
      </c>
      <c r="AA1485" s="904" t="s">
        <v>1012</v>
      </c>
      <c r="AB1485" s="904"/>
      <c r="AC1485" s="904" t="s">
        <v>981</v>
      </c>
      <c r="AD1485" s="904"/>
      <c r="AE1485" s="904"/>
      <c r="AF1485" s="899"/>
      <c r="AG1485" s="906" t="str">
        <f>IF(AE1485&lt;&gt;0,VLOOKUP(AE1485,ODDS!$A$2:$C$13,3,0),"")</f>
        <v/>
      </c>
      <c r="AH1485" s="906" t="str">
        <f t="shared" si="317"/>
        <v xml:space="preserve"> </v>
      </c>
      <c r="AI1485" s="907" t="str">
        <f t="shared" si="323"/>
        <v xml:space="preserve"> </v>
      </c>
      <c r="AJ1485" s="1036"/>
      <c r="AK1485" s="894" t="s">
        <v>2449</v>
      </c>
    </row>
    <row r="1486" spans="1:39" s="385" customFormat="1" ht="112.5" outlineLevel="2" x14ac:dyDescent="0.3">
      <c r="A1486" s="447">
        <f t="shared" si="324"/>
        <v>117</v>
      </c>
      <c r="B1486" s="893"/>
      <c r="C1486" s="894"/>
      <c r="D1486" s="950"/>
      <c r="E1486" s="950"/>
      <c r="F1486" s="1032"/>
      <c r="G1486" s="894"/>
      <c r="H1486" s="940"/>
      <c r="I1486" s="882"/>
      <c r="J1486" s="925"/>
      <c r="K1486" s="899" t="str">
        <f>IF(G1486&lt;&gt;0,VLOOKUP(G1486,'gia dat'!$A$1:$F$144,5,0)," ")</f>
        <v xml:space="preserve"> </v>
      </c>
      <c r="L1486" s="899" t="str">
        <f>IF(G1486&lt;&gt;0,VLOOKUP(G1486,'gia dat'!$A$1:$F$144,6,0)," ")</f>
        <v xml:space="preserve"> </v>
      </c>
      <c r="M1486" s="900" t="str">
        <f t="shared" si="320"/>
        <v xml:space="preserve"> </v>
      </c>
      <c r="N1486" s="900" t="str">
        <f t="shared" si="321"/>
        <v xml:space="preserve"> </v>
      </c>
      <c r="O1486" s="894" t="s">
        <v>77</v>
      </c>
      <c r="P1486" s="926">
        <v>2</v>
      </c>
      <c r="Q1486" s="900">
        <f>IF(O1486&lt;&gt;0,VLOOKUP(O1486,'Cây trong'!$A$2:$C$246,3,0)," ")</f>
        <v>3064000</v>
      </c>
      <c r="R1486" s="900">
        <f t="shared" si="316"/>
        <v>6128000</v>
      </c>
      <c r="S1486" s="902" t="s">
        <v>1820</v>
      </c>
      <c r="T1486" s="925" t="s">
        <v>2911</v>
      </c>
      <c r="U1486" s="927">
        <v>44.4</v>
      </c>
      <c r="V1486" s="929"/>
      <c r="W1486" s="900">
        <f>IF(S1486&lt;&gt;0,VLOOKUP(S1486,VKT!$A$2:$G$415,7,0),"")</f>
        <v>5307665</v>
      </c>
      <c r="X1486" s="900">
        <f t="shared" si="318"/>
        <v>235660000</v>
      </c>
      <c r="Y1486" s="898" t="s">
        <v>981</v>
      </c>
      <c r="Z1486" s="904" t="s">
        <v>980</v>
      </c>
      <c r="AA1486" s="904" t="s">
        <v>1012</v>
      </c>
      <c r="AB1486" s="904" t="s">
        <v>269</v>
      </c>
      <c r="AC1486" s="904" t="s">
        <v>981</v>
      </c>
      <c r="AD1486" s="904"/>
      <c r="AE1486" s="904"/>
      <c r="AF1486" s="899"/>
      <c r="AG1486" s="906" t="str">
        <f>IF(AE1486&lt;&gt;0,VLOOKUP(AE1486,ODDS!$A$2:$C$13,3,0),"")</f>
        <v/>
      </c>
      <c r="AH1486" s="906" t="str">
        <f t="shared" si="317"/>
        <v xml:space="preserve"> </v>
      </c>
      <c r="AI1486" s="907" t="str">
        <f t="shared" si="323"/>
        <v xml:space="preserve"> </v>
      </c>
      <c r="AJ1486" s="894"/>
      <c r="AK1486" s="894" t="s">
        <v>2800</v>
      </c>
    </row>
    <row r="1487" spans="1:39" s="385" customFormat="1" ht="90" outlineLevel="2" x14ac:dyDescent="0.35">
      <c r="A1487" s="447">
        <f t="shared" si="324"/>
        <v>117</v>
      </c>
      <c r="B1487" s="893"/>
      <c r="C1487" s="894"/>
      <c r="D1487" s="950"/>
      <c r="E1487" s="950"/>
      <c r="F1487" s="1032"/>
      <c r="G1487" s="894"/>
      <c r="H1487" s="940"/>
      <c r="I1487" s="882"/>
      <c r="J1487" s="925"/>
      <c r="K1487" s="899" t="str">
        <f>IF(G1487&lt;&gt;0,VLOOKUP(G1487,'gia dat'!$A$1:$F$144,5,0)," ")</f>
        <v xml:space="preserve"> </v>
      </c>
      <c r="L1487" s="899" t="str">
        <f>IF(G1487&lt;&gt;0,VLOOKUP(G1487,'gia dat'!$A$1:$F$144,6,0)," ")</f>
        <v xml:space="preserve"> </v>
      </c>
      <c r="M1487" s="900" t="str">
        <f t="shared" si="320"/>
        <v xml:space="preserve"> </v>
      </c>
      <c r="N1487" s="900" t="str">
        <f t="shared" si="321"/>
        <v xml:space="preserve"> </v>
      </c>
      <c r="O1487" s="894" t="s">
        <v>79</v>
      </c>
      <c r="P1487" s="926">
        <v>19</v>
      </c>
      <c r="Q1487" s="900">
        <f>IF(O1487&lt;&gt;0,VLOOKUP(O1487,'Cây trong'!$A$2:$C$246,3,0)," ")</f>
        <v>1035000</v>
      </c>
      <c r="R1487" s="900">
        <f t="shared" si="316"/>
        <v>19665000</v>
      </c>
      <c r="S1487" s="902" t="s">
        <v>1821</v>
      </c>
      <c r="T1487" s="925" t="s">
        <v>2911</v>
      </c>
      <c r="U1487" s="952">
        <v>2.4</v>
      </c>
      <c r="V1487" s="929"/>
      <c r="W1487" s="900">
        <f>IF(S1487&lt;&gt;0,VLOOKUP(S1487,VKT!$A$2:$G$415,7,0),"")</f>
        <v>9347414</v>
      </c>
      <c r="X1487" s="900">
        <f t="shared" si="318"/>
        <v>22434000</v>
      </c>
      <c r="Y1487" s="898" t="s">
        <v>981</v>
      </c>
      <c r="Z1487" s="904" t="s">
        <v>980</v>
      </c>
      <c r="AA1487" s="904" t="s">
        <v>1012</v>
      </c>
      <c r="AB1487" s="904" t="s">
        <v>269</v>
      </c>
      <c r="AC1487" s="904" t="s">
        <v>981</v>
      </c>
      <c r="AD1487" s="904"/>
      <c r="AE1487" s="904"/>
      <c r="AF1487" s="899"/>
      <c r="AG1487" s="906" t="str">
        <f>IF(AE1487&lt;&gt;0,VLOOKUP(AE1487,ODDS!$A$2:$C$13,3,0),"")</f>
        <v/>
      </c>
      <c r="AH1487" s="906" t="str">
        <f t="shared" si="317"/>
        <v xml:space="preserve"> </v>
      </c>
      <c r="AI1487" s="907" t="str">
        <f t="shared" si="323"/>
        <v xml:space="preserve"> </v>
      </c>
      <c r="AJ1487" s="1036"/>
      <c r="AK1487" s="894"/>
    </row>
    <row r="1488" spans="1:39" s="385" customFormat="1" ht="67.5" outlineLevel="2" x14ac:dyDescent="0.3">
      <c r="A1488" s="447">
        <f t="shared" si="324"/>
        <v>117</v>
      </c>
      <c r="B1488" s="893"/>
      <c r="C1488" s="894"/>
      <c r="D1488" s="950"/>
      <c r="E1488" s="950"/>
      <c r="F1488" s="1032"/>
      <c r="G1488" s="894"/>
      <c r="H1488" s="940"/>
      <c r="I1488" s="882"/>
      <c r="J1488" s="925"/>
      <c r="K1488" s="899" t="str">
        <f>IF(G1488&lt;&gt;0,VLOOKUP(G1488,'gia dat'!$A$1:$F$144,5,0)," ")</f>
        <v xml:space="preserve"> </v>
      </c>
      <c r="L1488" s="899" t="str">
        <f>IF(G1488&lt;&gt;0,VLOOKUP(G1488,'gia dat'!$A$1:$F$144,6,0)," ")</f>
        <v xml:space="preserve"> </v>
      </c>
      <c r="M1488" s="900" t="str">
        <f t="shared" si="320"/>
        <v xml:space="preserve"> </v>
      </c>
      <c r="N1488" s="900" t="str">
        <f t="shared" si="321"/>
        <v xml:space="preserve"> </v>
      </c>
      <c r="O1488" s="894" t="s">
        <v>80</v>
      </c>
      <c r="P1488" s="926">
        <v>1</v>
      </c>
      <c r="Q1488" s="900">
        <f>IF(O1488&lt;&gt;0,VLOOKUP(O1488,'Cây trong'!$A$2:$C$246,3,0)," ")</f>
        <v>400000</v>
      </c>
      <c r="R1488" s="900">
        <f t="shared" si="316"/>
        <v>400000</v>
      </c>
      <c r="S1488" s="902" t="s">
        <v>1822</v>
      </c>
      <c r="T1488" s="925" t="s">
        <v>2911</v>
      </c>
      <c r="U1488" s="927">
        <v>29.67</v>
      </c>
      <c r="V1488" s="929"/>
      <c r="W1488" s="900">
        <f>IF(S1488&lt;&gt;0,VLOOKUP(S1488,VKT!$A$2:$G$415,7,0),"")</f>
        <v>1107311</v>
      </c>
      <c r="X1488" s="900">
        <f t="shared" si="318"/>
        <v>32854000</v>
      </c>
      <c r="Y1488" s="898" t="s">
        <v>139</v>
      </c>
      <c r="Z1488" s="904" t="s">
        <v>980</v>
      </c>
      <c r="AA1488" s="904" t="s">
        <v>1012</v>
      </c>
      <c r="AB1488" s="904" t="s">
        <v>269</v>
      </c>
      <c r="AC1488" s="904" t="s">
        <v>267</v>
      </c>
      <c r="AD1488" s="904"/>
      <c r="AE1488" s="904"/>
      <c r="AF1488" s="899"/>
      <c r="AG1488" s="906" t="str">
        <f>IF(AE1488&lt;&gt;0,VLOOKUP(AE1488,ODDS!$A$2:$C$13,3,0),"")</f>
        <v/>
      </c>
      <c r="AH1488" s="906" t="str">
        <f t="shared" si="317"/>
        <v xml:space="preserve"> </v>
      </c>
      <c r="AI1488" s="907" t="str">
        <f t="shared" si="323"/>
        <v xml:space="preserve"> </v>
      </c>
      <c r="AJ1488" s="929"/>
      <c r="AK1488" s="929"/>
    </row>
    <row r="1489" spans="1:37" s="385" customFormat="1" ht="90" outlineLevel="2" x14ac:dyDescent="0.3">
      <c r="A1489" s="447">
        <f t="shared" si="324"/>
        <v>117</v>
      </c>
      <c r="B1489" s="893"/>
      <c r="C1489" s="894"/>
      <c r="D1489" s="950"/>
      <c r="E1489" s="950"/>
      <c r="F1489" s="1032"/>
      <c r="G1489" s="894"/>
      <c r="H1489" s="940"/>
      <c r="I1489" s="882"/>
      <c r="J1489" s="925"/>
      <c r="K1489" s="899" t="str">
        <f>IF(G1489&lt;&gt;0,VLOOKUP(G1489,'gia dat'!$A$1:$F$144,5,0)," ")</f>
        <v xml:space="preserve"> </v>
      </c>
      <c r="L1489" s="899" t="str">
        <f>IF(G1489&lt;&gt;0,VLOOKUP(G1489,'gia dat'!$A$1:$F$144,6,0)," ")</f>
        <v xml:space="preserve"> </v>
      </c>
      <c r="M1489" s="900" t="str">
        <f t="shared" si="320"/>
        <v xml:space="preserve"> </v>
      </c>
      <c r="N1489" s="900" t="str">
        <f t="shared" si="321"/>
        <v xml:space="preserve"> </v>
      </c>
      <c r="O1489" s="894" t="s">
        <v>131</v>
      </c>
      <c r="P1489" s="926">
        <v>1</v>
      </c>
      <c r="Q1489" s="900">
        <f>IF(O1489&lt;&gt;0,VLOOKUP(O1489,'Cây trong'!$A$2:$C$246,3,0)," ")</f>
        <v>228000</v>
      </c>
      <c r="R1489" s="900">
        <f t="shared" si="316"/>
        <v>228000</v>
      </c>
      <c r="S1489" s="902" t="s">
        <v>1823</v>
      </c>
      <c r="T1489" s="925" t="s">
        <v>2911</v>
      </c>
      <c r="U1489" s="952">
        <v>2.2799999999999998</v>
      </c>
      <c r="V1489" s="929"/>
      <c r="W1489" s="900">
        <f>IF(S1489&lt;&gt;0,VLOOKUP(S1489,VKT!$A$2:$G$415,7,0),"")</f>
        <v>8524607</v>
      </c>
      <c r="X1489" s="900">
        <f t="shared" si="318"/>
        <v>19436000</v>
      </c>
      <c r="Y1489" s="898" t="s">
        <v>139</v>
      </c>
      <c r="Z1489" s="904" t="s">
        <v>980</v>
      </c>
      <c r="AA1489" s="904" t="s">
        <v>1012</v>
      </c>
      <c r="AB1489" s="904" t="s">
        <v>269</v>
      </c>
      <c r="AC1489" s="904" t="s">
        <v>139</v>
      </c>
      <c r="AD1489" s="904"/>
      <c r="AE1489" s="904"/>
      <c r="AF1489" s="899"/>
      <c r="AG1489" s="906" t="str">
        <f>IF(AE1489&lt;&gt;0,VLOOKUP(AE1489,ODDS!$A$2:$C$13,3,0),"")</f>
        <v/>
      </c>
      <c r="AH1489" s="906" t="str">
        <f t="shared" si="317"/>
        <v xml:space="preserve"> </v>
      </c>
      <c r="AI1489" s="907" t="str">
        <f t="shared" si="323"/>
        <v xml:space="preserve"> </v>
      </c>
      <c r="AJ1489" s="894"/>
      <c r="AK1489" s="894"/>
    </row>
    <row r="1490" spans="1:37" s="385" customFormat="1" ht="67.5" outlineLevel="2" x14ac:dyDescent="0.3">
      <c r="A1490" s="447">
        <f t="shared" si="324"/>
        <v>117</v>
      </c>
      <c r="B1490" s="893"/>
      <c r="C1490" s="894"/>
      <c r="D1490" s="950"/>
      <c r="E1490" s="950"/>
      <c r="F1490" s="1032"/>
      <c r="G1490" s="894"/>
      <c r="H1490" s="940"/>
      <c r="I1490" s="882"/>
      <c r="J1490" s="925"/>
      <c r="K1490" s="899" t="str">
        <f>IF(G1490&lt;&gt;0,VLOOKUP(G1490,'gia dat'!$A$1:$F$144,5,0)," ")</f>
        <v xml:space="preserve"> </v>
      </c>
      <c r="L1490" s="899" t="str">
        <f>IF(G1490&lt;&gt;0,VLOOKUP(G1490,'gia dat'!$A$1:$F$144,6,0)," ")</f>
        <v xml:space="preserve"> </v>
      </c>
      <c r="M1490" s="900" t="str">
        <f t="shared" si="320"/>
        <v xml:space="preserve"> </v>
      </c>
      <c r="N1490" s="900" t="str">
        <f t="shared" si="321"/>
        <v xml:space="preserve"> </v>
      </c>
      <c r="O1490" s="922" t="s">
        <v>783</v>
      </c>
      <c r="P1490" s="926">
        <v>1</v>
      </c>
      <c r="Q1490" s="900">
        <f>IF(O1490&lt;&gt;0,VLOOKUP(O1490,'Cây trong'!$A$2:$C$246,3,0)," ")</f>
        <v>60000</v>
      </c>
      <c r="R1490" s="900">
        <f t="shared" si="316"/>
        <v>60000</v>
      </c>
      <c r="S1490" s="902" t="s">
        <v>1824</v>
      </c>
      <c r="T1490" s="925" t="s">
        <v>2911</v>
      </c>
      <c r="U1490" s="927">
        <v>10.199999999999999</v>
      </c>
      <c r="V1490" s="929"/>
      <c r="W1490" s="900">
        <f>IF(S1490&lt;&gt;0,VLOOKUP(S1490,VKT!$A$2:$G$415,7,0),"")</f>
        <v>1737793</v>
      </c>
      <c r="X1490" s="900">
        <f t="shared" si="318"/>
        <v>17725000</v>
      </c>
      <c r="Y1490" s="898"/>
      <c r="Z1490" s="904"/>
      <c r="AA1490" s="904"/>
      <c r="AB1490" s="904"/>
      <c r="AC1490" s="904"/>
      <c r="AD1490" s="904"/>
      <c r="AE1490" s="904"/>
      <c r="AF1490" s="899"/>
      <c r="AG1490" s="906" t="str">
        <f>IF(AE1490&lt;&gt;0,VLOOKUP(AE1490,ODDS!$A$2:$C$13,3,0),"")</f>
        <v/>
      </c>
      <c r="AH1490" s="906" t="str">
        <f t="shared" si="317"/>
        <v xml:space="preserve"> </v>
      </c>
      <c r="AI1490" s="907" t="str">
        <f t="shared" si="323"/>
        <v xml:space="preserve"> </v>
      </c>
      <c r="AJ1490" s="894"/>
      <c r="AK1490" s="894"/>
    </row>
    <row r="1491" spans="1:37" s="385" customFormat="1" ht="67.5" outlineLevel="2" x14ac:dyDescent="0.3">
      <c r="A1491" s="447">
        <f t="shared" si="324"/>
        <v>117</v>
      </c>
      <c r="B1491" s="893"/>
      <c r="C1491" s="894"/>
      <c r="D1491" s="950"/>
      <c r="E1491" s="950"/>
      <c r="F1491" s="1032"/>
      <c r="G1491" s="894"/>
      <c r="H1491" s="940"/>
      <c r="I1491" s="882"/>
      <c r="J1491" s="925"/>
      <c r="K1491" s="899" t="str">
        <f>IF(G1491&lt;&gt;0,VLOOKUP(G1491,'gia dat'!$A$1:$F$144,5,0)," ")</f>
        <v xml:space="preserve"> </v>
      </c>
      <c r="L1491" s="899" t="str">
        <f>IF(G1491&lt;&gt;0,VLOOKUP(G1491,'gia dat'!$A$1:$F$144,6,0)," ")</f>
        <v xml:space="preserve"> </v>
      </c>
      <c r="M1491" s="900" t="str">
        <f t="shared" si="320"/>
        <v xml:space="preserve"> </v>
      </c>
      <c r="N1491" s="900" t="str">
        <f t="shared" si="321"/>
        <v xml:space="preserve"> </v>
      </c>
      <c r="O1491" s="894" t="s">
        <v>836</v>
      </c>
      <c r="P1491" s="926">
        <v>2</v>
      </c>
      <c r="Q1491" s="900">
        <f>IF(O1491&lt;&gt;0,VLOOKUP(O1491,'Cây trong'!$A$2:$C$246,3,0)," ")</f>
        <v>0</v>
      </c>
      <c r="R1491" s="900">
        <f t="shared" si="316"/>
        <v>0</v>
      </c>
      <c r="S1491" s="902" t="s">
        <v>1768</v>
      </c>
      <c r="T1491" s="925" t="s">
        <v>2911</v>
      </c>
      <c r="U1491" s="927">
        <v>7</v>
      </c>
      <c r="V1491" s="929"/>
      <c r="W1491" s="900">
        <f>IF(S1491&lt;&gt;0,VLOOKUP(S1491,VKT!$A$2:$G$415,7,0),"")</f>
        <v>238288</v>
      </c>
      <c r="X1491" s="900">
        <f t="shared" si="318"/>
        <v>1668000</v>
      </c>
      <c r="Y1491" s="898"/>
      <c r="Z1491" s="904"/>
      <c r="AA1491" s="904"/>
      <c r="AB1491" s="904"/>
      <c r="AC1491" s="904"/>
      <c r="AD1491" s="904"/>
      <c r="AE1491" s="904"/>
      <c r="AF1491" s="899"/>
      <c r="AG1491" s="906" t="str">
        <f>IF(AE1491&lt;&gt;0,VLOOKUP(AE1491,ODDS!$A$2:$C$13,3,0),"")</f>
        <v/>
      </c>
      <c r="AH1491" s="906" t="str">
        <f t="shared" si="317"/>
        <v xml:space="preserve"> </v>
      </c>
      <c r="AI1491" s="907" t="str">
        <f t="shared" si="323"/>
        <v xml:space="preserve"> </v>
      </c>
      <c r="AJ1491" s="894"/>
      <c r="AK1491" s="894"/>
    </row>
    <row r="1492" spans="1:37" s="385" customFormat="1" ht="67.5" outlineLevel="2" x14ac:dyDescent="0.3">
      <c r="A1492" s="447">
        <f t="shared" si="324"/>
        <v>117</v>
      </c>
      <c r="B1492" s="893"/>
      <c r="C1492" s="894"/>
      <c r="D1492" s="950"/>
      <c r="E1492" s="950"/>
      <c r="F1492" s="1032"/>
      <c r="G1492" s="894"/>
      <c r="H1492" s="940"/>
      <c r="I1492" s="882"/>
      <c r="J1492" s="925"/>
      <c r="K1492" s="899" t="str">
        <f>IF(G1492&lt;&gt;0,VLOOKUP(G1492,'gia dat'!$A$1:$F$144,5,0)," ")</f>
        <v xml:space="preserve"> </v>
      </c>
      <c r="L1492" s="899" t="str">
        <f>IF(G1492&lt;&gt;0,VLOOKUP(G1492,'gia dat'!$A$1:$F$144,6,0)," ")</f>
        <v xml:space="preserve"> </v>
      </c>
      <c r="M1492" s="900" t="str">
        <f t="shared" si="320"/>
        <v xml:space="preserve"> </v>
      </c>
      <c r="N1492" s="900" t="str">
        <f t="shared" si="321"/>
        <v xml:space="preserve"> </v>
      </c>
      <c r="O1492" s="894" t="s">
        <v>750</v>
      </c>
      <c r="P1492" s="926">
        <v>3</v>
      </c>
      <c r="Q1492" s="900">
        <f>IF(O1492&lt;&gt;0,VLOOKUP(O1492,'Cây trong'!$A$2:$C$246,3,0)," ")</f>
        <v>0</v>
      </c>
      <c r="R1492" s="900">
        <f t="shared" si="316"/>
        <v>0</v>
      </c>
      <c r="S1492" s="902" t="s">
        <v>1798</v>
      </c>
      <c r="T1492" s="925" t="s">
        <v>2911</v>
      </c>
      <c r="U1492" s="927">
        <v>6.1</v>
      </c>
      <c r="V1492" s="929"/>
      <c r="W1492" s="900">
        <f>IF(S1492&lt;&gt;0,VLOOKUP(S1492,VKT!$A$2:$G$415,7,0),"")</f>
        <v>348773</v>
      </c>
      <c r="X1492" s="900">
        <f t="shared" si="318"/>
        <v>2128000</v>
      </c>
      <c r="Y1492" s="898"/>
      <c r="Z1492" s="904"/>
      <c r="AA1492" s="904"/>
      <c r="AB1492" s="904"/>
      <c r="AC1492" s="904"/>
      <c r="AD1492" s="904"/>
      <c r="AE1492" s="904"/>
      <c r="AF1492" s="899"/>
      <c r="AG1492" s="906" t="str">
        <f>IF(AE1492&lt;&gt;0,VLOOKUP(AE1492,ODDS!$A$2:$C$13,3,0),"")</f>
        <v/>
      </c>
      <c r="AH1492" s="906" t="str">
        <f t="shared" si="317"/>
        <v xml:space="preserve"> </v>
      </c>
      <c r="AI1492" s="907" t="str">
        <f t="shared" si="323"/>
        <v xml:space="preserve"> </v>
      </c>
      <c r="AJ1492" s="894"/>
      <c r="AK1492" s="894"/>
    </row>
    <row r="1493" spans="1:37" s="385" customFormat="1" ht="67.5" outlineLevel="2" x14ac:dyDescent="0.3">
      <c r="A1493" s="447">
        <f t="shared" si="324"/>
        <v>117</v>
      </c>
      <c r="B1493" s="893"/>
      <c r="C1493" s="894"/>
      <c r="D1493" s="950"/>
      <c r="E1493" s="950"/>
      <c r="F1493" s="1032"/>
      <c r="G1493" s="894"/>
      <c r="H1493" s="940"/>
      <c r="I1493" s="882"/>
      <c r="J1493" s="925"/>
      <c r="K1493" s="899" t="str">
        <f>IF(G1493&lt;&gt;0,VLOOKUP(G1493,'gia dat'!$A$1:$F$144,5,0)," ")</f>
        <v xml:space="preserve"> </v>
      </c>
      <c r="L1493" s="899" t="str">
        <f>IF(G1493&lt;&gt;0,VLOOKUP(G1493,'gia dat'!$A$1:$F$144,6,0)," ")</f>
        <v xml:space="preserve"> </v>
      </c>
      <c r="M1493" s="900" t="str">
        <f t="shared" si="320"/>
        <v xml:space="preserve"> </v>
      </c>
      <c r="N1493" s="900" t="str">
        <f t="shared" si="321"/>
        <v xml:space="preserve"> </v>
      </c>
      <c r="O1493" s="894" t="s">
        <v>76</v>
      </c>
      <c r="P1493" s="926">
        <v>2</v>
      </c>
      <c r="Q1493" s="900">
        <f>IF(O1493&lt;&gt;0,VLOOKUP(O1493,'Cây trong'!$A$2:$C$246,3,0)," ")</f>
        <v>45000</v>
      </c>
      <c r="R1493" s="900">
        <f t="shared" si="316"/>
        <v>90000</v>
      </c>
      <c r="S1493" s="902" t="s">
        <v>1798</v>
      </c>
      <c r="T1493" s="925" t="s">
        <v>2911</v>
      </c>
      <c r="U1493" s="927">
        <v>4.5</v>
      </c>
      <c r="V1493" s="929"/>
      <c r="W1493" s="900">
        <f>IF(S1493&lt;&gt;0,VLOOKUP(S1493,VKT!$A$2:$G$415,7,0),"")</f>
        <v>348773</v>
      </c>
      <c r="X1493" s="900">
        <f t="shared" si="318"/>
        <v>1569000</v>
      </c>
      <c r="Y1493" s="898"/>
      <c r="Z1493" s="904"/>
      <c r="AA1493" s="904"/>
      <c r="AB1493" s="904"/>
      <c r="AC1493" s="904"/>
      <c r="AD1493" s="904"/>
      <c r="AE1493" s="904"/>
      <c r="AF1493" s="899"/>
      <c r="AG1493" s="906" t="str">
        <f>IF(AE1493&lt;&gt;0,VLOOKUP(AE1493,ODDS!$A$2:$C$13,3,0),"")</f>
        <v/>
      </c>
      <c r="AH1493" s="906" t="str">
        <f t="shared" si="317"/>
        <v xml:space="preserve"> </v>
      </c>
      <c r="AI1493" s="907" t="str">
        <f t="shared" si="323"/>
        <v xml:space="preserve"> </v>
      </c>
      <c r="AJ1493" s="894"/>
      <c r="AK1493" s="894"/>
    </row>
    <row r="1494" spans="1:37" s="385" customFormat="1" ht="45" outlineLevel="2" x14ac:dyDescent="0.3">
      <c r="A1494" s="447">
        <f t="shared" si="324"/>
        <v>117</v>
      </c>
      <c r="B1494" s="893"/>
      <c r="C1494" s="894"/>
      <c r="D1494" s="950"/>
      <c r="E1494" s="950"/>
      <c r="F1494" s="1032"/>
      <c r="G1494" s="894"/>
      <c r="H1494" s="940"/>
      <c r="I1494" s="882"/>
      <c r="J1494" s="925"/>
      <c r="K1494" s="899" t="str">
        <f>IF(G1494&lt;&gt;0,VLOOKUP(G1494,'gia dat'!$A$1:$F$144,5,0)," ")</f>
        <v xml:space="preserve"> </v>
      </c>
      <c r="L1494" s="899" t="str">
        <f>IF(G1494&lt;&gt;0,VLOOKUP(G1494,'gia dat'!$A$1:$F$144,6,0)," ")</f>
        <v xml:space="preserve"> </v>
      </c>
      <c r="M1494" s="900" t="str">
        <f t="shared" si="320"/>
        <v xml:space="preserve"> </v>
      </c>
      <c r="N1494" s="900" t="str">
        <f t="shared" si="321"/>
        <v xml:space="preserve"> </v>
      </c>
      <c r="O1494" s="894"/>
      <c r="P1494" s="926"/>
      <c r="Q1494" s="900" t="str">
        <f>IF(O1494&lt;&gt;0,VLOOKUP(O1494,'Cây trong'!$A$2:$C$246,3,0)," ")</f>
        <v xml:space="preserve"> </v>
      </c>
      <c r="R1494" s="900" t="str">
        <f t="shared" si="316"/>
        <v xml:space="preserve"> </v>
      </c>
      <c r="S1494" s="902" t="s">
        <v>1800</v>
      </c>
      <c r="T1494" s="925" t="s">
        <v>2934</v>
      </c>
      <c r="U1494" s="927">
        <v>0.2</v>
      </c>
      <c r="V1494" s="929"/>
      <c r="W1494" s="900">
        <f>IF(S1494&lt;&gt;0,VLOOKUP(S1494,VKT!$A$2:$G$415,7,0),"")</f>
        <v>0</v>
      </c>
      <c r="X1494" s="900">
        <f t="shared" si="318"/>
        <v>0</v>
      </c>
      <c r="Y1494" s="898"/>
      <c r="Z1494" s="904"/>
      <c r="AA1494" s="904"/>
      <c r="AB1494" s="904"/>
      <c r="AC1494" s="904"/>
      <c r="AD1494" s="904"/>
      <c r="AE1494" s="904"/>
      <c r="AF1494" s="899"/>
      <c r="AG1494" s="906" t="str">
        <f>IF(AE1494&lt;&gt;0,VLOOKUP(AE1494,ODDS!$A$2:$C$13,3,0),"")</f>
        <v/>
      </c>
      <c r="AH1494" s="906" t="str">
        <f t="shared" si="317"/>
        <v xml:space="preserve"> </v>
      </c>
      <c r="AI1494" s="907" t="str">
        <f t="shared" si="323"/>
        <v xml:space="preserve"> </v>
      </c>
      <c r="AJ1494" s="894"/>
      <c r="AK1494" s="894"/>
    </row>
    <row r="1495" spans="1:37" s="385" customFormat="1" ht="67.5" outlineLevel="2" x14ac:dyDescent="0.3">
      <c r="A1495" s="447">
        <f t="shared" si="324"/>
        <v>117</v>
      </c>
      <c r="B1495" s="893"/>
      <c r="C1495" s="894"/>
      <c r="D1495" s="950"/>
      <c r="E1495" s="950"/>
      <c r="F1495" s="1032"/>
      <c r="G1495" s="894"/>
      <c r="H1495" s="940"/>
      <c r="I1495" s="882"/>
      <c r="J1495" s="925"/>
      <c r="K1495" s="899" t="str">
        <f>IF(G1495&lt;&gt;0,VLOOKUP(G1495,'gia dat'!$A$1:$F$144,5,0)," ")</f>
        <v xml:space="preserve"> </v>
      </c>
      <c r="L1495" s="899" t="str">
        <f>IF(G1495&lt;&gt;0,VLOOKUP(G1495,'gia dat'!$A$1:$F$144,6,0)," ")</f>
        <v xml:space="preserve"> </v>
      </c>
      <c r="M1495" s="900" t="str">
        <f t="shared" si="320"/>
        <v xml:space="preserve"> </v>
      </c>
      <c r="N1495" s="900" t="str">
        <f t="shared" si="321"/>
        <v xml:space="preserve"> </v>
      </c>
      <c r="O1495" s="894"/>
      <c r="P1495" s="926"/>
      <c r="Q1495" s="900" t="str">
        <f>IF(O1495&lt;&gt;0,VLOOKUP(O1495,'Cây trong'!$A$2:$C$246,3,0)," ")</f>
        <v xml:space="preserve"> </v>
      </c>
      <c r="R1495" s="900" t="str">
        <f t="shared" si="316"/>
        <v xml:space="preserve"> </v>
      </c>
      <c r="S1495" s="902" t="s">
        <v>1777</v>
      </c>
      <c r="T1495" s="925" t="s">
        <v>2911</v>
      </c>
      <c r="U1495" s="927">
        <v>4.7</v>
      </c>
      <c r="V1495" s="929"/>
      <c r="W1495" s="900">
        <f>IF(S1495&lt;&gt;0,VLOOKUP(S1495,VKT!$A$2:$G$415,7,0),"")</f>
        <v>286855</v>
      </c>
      <c r="X1495" s="900">
        <f t="shared" si="318"/>
        <v>1348000</v>
      </c>
      <c r="Y1495" s="898"/>
      <c r="Z1495" s="904"/>
      <c r="AA1495" s="904"/>
      <c r="AB1495" s="904"/>
      <c r="AC1495" s="904"/>
      <c r="AD1495" s="904"/>
      <c r="AE1495" s="904"/>
      <c r="AF1495" s="899"/>
      <c r="AG1495" s="906" t="str">
        <f>IF(AE1495&lt;&gt;0,VLOOKUP(AE1495,ODDS!$A$2:$C$13,3,0),"")</f>
        <v/>
      </c>
      <c r="AH1495" s="906" t="str">
        <f t="shared" si="317"/>
        <v xml:space="preserve"> </v>
      </c>
      <c r="AI1495" s="907" t="str">
        <f t="shared" si="323"/>
        <v xml:space="preserve"> </v>
      </c>
      <c r="AJ1495" s="894"/>
      <c r="AK1495" s="894"/>
    </row>
    <row r="1496" spans="1:37" s="385" customFormat="1" ht="45" outlineLevel="2" x14ac:dyDescent="0.3">
      <c r="A1496" s="447">
        <f t="shared" si="324"/>
        <v>117</v>
      </c>
      <c r="B1496" s="893"/>
      <c r="C1496" s="894"/>
      <c r="D1496" s="950"/>
      <c r="E1496" s="950"/>
      <c r="F1496" s="1032"/>
      <c r="G1496" s="894"/>
      <c r="H1496" s="940"/>
      <c r="I1496" s="882"/>
      <c r="J1496" s="925"/>
      <c r="K1496" s="899" t="str">
        <f>IF(G1496&lt;&gt;0,VLOOKUP(G1496,'gia dat'!$A$1:$F$144,5,0)," ")</f>
        <v xml:space="preserve"> </v>
      </c>
      <c r="L1496" s="899" t="str">
        <f>IF(G1496&lt;&gt;0,VLOOKUP(G1496,'gia dat'!$A$1:$F$144,6,0)," ")</f>
        <v xml:space="preserve"> </v>
      </c>
      <c r="M1496" s="900" t="str">
        <f t="shared" si="320"/>
        <v xml:space="preserve"> </v>
      </c>
      <c r="N1496" s="900" t="str">
        <f t="shared" si="321"/>
        <v xml:space="preserve"> </v>
      </c>
      <c r="O1496" s="894"/>
      <c r="P1496" s="926"/>
      <c r="Q1496" s="900" t="str">
        <f>IF(O1496&lt;&gt;0,VLOOKUP(O1496,'Cây trong'!$A$2:$C$246,3,0)," ")</f>
        <v xml:space="preserve"> </v>
      </c>
      <c r="R1496" s="900" t="str">
        <f t="shared" si="316"/>
        <v xml:space="preserve"> </v>
      </c>
      <c r="S1496" s="902" t="s">
        <v>1775</v>
      </c>
      <c r="T1496" s="925" t="s">
        <v>2911</v>
      </c>
      <c r="U1496" s="927">
        <v>10.4</v>
      </c>
      <c r="V1496" s="929"/>
      <c r="W1496" s="900">
        <f>IF(S1496&lt;&gt;0,VLOOKUP(S1496,VKT!$A$2:$G$415,7,0),"")</f>
        <v>0</v>
      </c>
      <c r="X1496" s="900">
        <f t="shared" si="318"/>
        <v>0</v>
      </c>
      <c r="Y1496" s="898"/>
      <c r="Z1496" s="904"/>
      <c r="AA1496" s="904"/>
      <c r="AB1496" s="904"/>
      <c r="AC1496" s="904"/>
      <c r="AD1496" s="904"/>
      <c r="AE1496" s="904"/>
      <c r="AF1496" s="899"/>
      <c r="AG1496" s="906" t="str">
        <f>IF(AE1496&lt;&gt;0,VLOOKUP(AE1496,ODDS!$A$2:$C$13,3,0),"")</f>
        <v/>
      </c>
      <c r="AH1496" s="906" t="str">
        <f t="shared" si="317"/>
        <v xml:space="preserve"> </v>
      </c>
      <c r="AI1496" s="907" t="str">
        <f t="shared" si="323"/>
        <v xml:space="preserve"> </v>
      </c>
      <c r="AJ1496" s="894"/>
      <c r="AK1496" s="894"/>
    </row>
    <row r="1497" spans="1:37" s="385" customFormat="1" ht="45" outlineLevel="2" x14ac:dyDescent="0.3">
      <c r="A1497" s="447">
        <f t="shared" si="324"/>
        <v>117</v>
      </c>
      <c r="B1497" s="893"/>
      <c r="C1497" s="894"/>
      <c r="D1497" s="950"/>
      <c r="E1497" s="950"/>
      <c r="F1497" s="1032"/>
      <c r="G1497" s="894"/>
      <c r="H1497" s="940"/>
      <c r="I1497" s="882"/>
      <c r="J1497" s="925"/>
      <c r="K1497" s="899" t="str">
        <f>IF(G1497&lt;&gt;0,VLOOKUP(G1497,'gia dat'!$A$1:$F$144,5,0)," ")</f>
        <v xml:space="preserve"> </v>
      </c>
      <c r="L1497" s="899" t="str">
        <f>IF(G1497&lt;&gt;0,VLOOKUP(G1497,'gia dat'!$A$1:$F$144,6,0)," ")</f>
        <v xml:space="preserve"> </v>
      </c>
      <c r="M1497" s="900" t="str">
        <f t="shared" si="320"/>
        <v xml:space="preserve"> </v>
      </c>
      <c r="N1497" s="900" t="str">
        <f t="shared" si="321"/>
        <v xml:space="preserve"> </v>
      </c>
      <c r="O1497" s="894"/>
      <c r="P1497" s="926"/>
      <c r="Q1497" s="900" t="str">
        <f>IF(O1497&lt;&gt;0,VLOOKUP(O1497,'Cây trong'!$A$2:$C$246,3,0)," ")</f>
        <v xml:space="preserve"> </v>
      </c>
      <c r="R1497" s="900" t="str">
        <f t="shared" si="316"/>
        <v xml:space="preserve"> </v>
      </c>
      <c r="S1497" s="902" t="s">
        <v>1775</v>
      </c>
      <c r="T1497" s="925" t="s">
        <v>2911</v>
      </c>
      <c r="U1497" s="927">
        <v>3.04</v>
      </c>
      <c r="V1497" s="929"/>
      <c r="W1497" s="900">
        <f>IF(S1497&lt;&gt;0,VLOOKUP(S1497,VKT!$A$2:$G$415,7,0),"")</f>
        <v>0</v>
      </c>
      <c r="X1497" s="900">
        <f t="shared" si="318"/>
        <v>0</v>
      </c>
      <c r="Y1497" s="898"/>
      <c r="Z1497" s="904" t="s">
        <v>266</v>
      </c>
      <c r="AA1497" s="904" t="s">
        <v>82</v>
      </c>
      <c r="AB1497" s="904" t="s">
        <v>1059</v>
      </c>
      <c r="AC1497" s="904" t="s">
        <v>1060</v>
      </c>
      <c r="AD1497" s="904"/>
      <c r="AE1497" s="904"/>
      <c r="AF1497" s="899"/>
      <c r="AG1497" s="906" t="str">
        <f>IF(AE1497&lt;&gt;0,VLOOKUP(AE1497,ODDS!$A$2:$C$13,3,0),"")</f>
        <v/>
      </c>
      <c r="AH1497" s="906" t="str">
        <f t="shared" si="317"/>
        <v xml:space="preserve"> </v>
      </c>
      <c r="AI1497" s="907" t="str">
        <f t="shared" si="323"/>
        <v xml:space="preserve"> </v>
      </c>
      <c r="AJ1497" s="894"/>
      <c r="AK1497" s="894"/>
    </row>
    <row r="1498" spans="1:37" s="385" customFormat="1" ht="67.5" outlineLevel="2" x14ac:dyDescent="0.3">
      <c r="A1498" s="447">
        <f t="shared" si="324"/>
        <v>117</v>
      </c>
      <c r="B1498" s="893"/>
      <c r="C1498" s="894"/>
      <c r="D1498" s="950"/>
      <c r="E1498" s="950"/>
      <c r="F1498" s="1032"/>
      <c r="G1498" s="894"/>
      <c r="H1498" s="940"/>
      <c r="I1498" s="882"/>
      <c r="J1498" s="925"/>
      <c r="K1498" s="899" t="str">
        <f>IF(G1498&lt;&gt;0,VLOOKUP(G1498,'gia dat'!$A$1:$F$144,5,0)," ")</f>
        <v xml:space="preserve"> </v>
      </c>
      <c r="L1498" s="899" t="str">
        <f>IF(G1498&lt;&gt;0,VLOOKUP(G1498,'gia dat'!$A$1:$F$144,6,0)," ")</f>
        <v xml:space="preserve"> </v>
      </c>
      <c r="M1498" s="900" t="str">
        <f t="shared" si="320"/>
        <v xml:space="preserve"> </v>
      </c>
      <c r="N1498" s="900" t="str">
        <f t="shared" si="321"/>
        <v xml:space="preserve"> </v>
      </c>
      <c r="O1498" s="894"/>
      <c r="P1498" s="926"/>
      <c r="Q1498" s="900" t="str">
        <f>IF(O1498&lt;&gt;0,VLOOKUP(O1498,'Cây trong'!$A$2:$C$246,3,0)," ")</f>
        <v xml:space="preserve"> </v>
      </c>
      <c r="R1498" s="900" t="str">
        <f t="shared" si="316"/>
        <v xml:space="preserve"> </v>
      </c>
      <c r="S1498" s="902" t="s">
        <v>1825</v>
      </c>
      <c r="T1498" s="925" t="s">
        <v>93</v>
      </c>
      <c r="U1498" s="927">
        <v>1</v>
      </c>
      <c r="V1498" s="929"/>
      <c r="W1498" s="900">
        <f>IF(S1498&lt;&gt;0,VLOOKUP(S1498,VKT!$A$2:$G$415,7,0),"")</f>
        <v>0</v>
      </c>
      <c r="X1498" s="900">
        <f t="shared" si="318"/>
        <v>0</v>
      </c>
      <c r="Y1498" s="898"/>
      <c r="Z1498" s="904" t="s">
        <v>266</v>
      </c>
      <c r="AA1498" s="904" t="s">
        <v>82</v>
      </c>
      <c r="AB1498" s="904" t="s">
        <v>1059</v>
      </c>
      <c r="AC1498" s="904" t="s">
        <v>1060</v>
      </c>
      <c r="AD1498" s="904"/>
      <c r="AE1498" s="904"/>
      <c r="AF1498" s="899"/>
      <c r="AG1498" s="906" t="str">
        <f>IF(AE1498&lt;&gt;0,VLOOKUP(AE1498,ODDS!$A$2:$C$13,3,0),"")</f>
        <v/>
      </c>
      <c r="AH1498" s="906" t="str">
        <f t="shared" si="317"/>
        <v xml:space="preserve"> </v>
      </c>
      <c r="AI1498" s="907" t="str">
        <f t="shared" si="323"/>
        <v xml:space="preserve"> </v>
      </c>
      <c r="AJ1498" s="894"/>
      <c r="AK1498" s="894"/>
    </row>
    <row r="1499" spans="1:37" s="385" customFormat="1" ht="22.5" outlineLevel="2" x14ac:dyDescent="0.3">
      <c r="A1499" s="447">
        <f t="shared" si="324"/>
        <v>117</v>
      </c>
      <c r="B1499" s="893"/>
      <c r="C1499" s="894"/>
      <c r="D1499" s="950"/>
      <c r="E1499" s="950"/>
      <c r="F1499" s="1032"/>
      <c r="G1499" s="894"/>
      <c r="H1499" s="940"/>
      <c r="I1499" s="882"/>
      <c r="J1499" s="925"/>
      <c r="K1499" s="899" t="str">
        <f>IF(G1499&lt;&gt;0,VLOOKUP(G1499,'gia dat'!$A$1:$F$144,5,0)," ")</f>
        <v xml:space="preserve"> </v>
      </c>
      <c r="L1499" s="899" t="str">
        <f>IF(G1499&lt;&gt;0,VLOOKUP(G1499,'gia dat'!$A$1:$F$144,6,0)," ")</f>
        <v xml:space="preserve"> </v>
      </c>
      <c r="M1499" s="900" t="str">
        <f t="shared" si="320"/>
        <v xml:space="preserve"> </v>
      </c>
      <c r="N1499" s="900" t="str">
        <f t="shared" si="321"/>
        <v xml:space="preserve"> </v>
      </c>
      <c r="O1499" s="894"/>
      <c r="P1499" s="926"/>
      <c r="Q1499" s="900" t="str">
        <f>IF(O1499&lt;&gt;0,VLOOKUP(O1499,'Cây trong'!$A$2:$C$246,3,0)," ")</f>
        <v xml:space="preserve"> </v>
      </c>
      <c r="R1499" s="900" t="str">
        <f t="shared" si="316"/>
        <v xml:space="preserve"> </v>
      </c>
      <c r="S1499" s="902"/>
      <c r="T1499" s="925"/>
      <c r="U1499" s="927"/>
      <c r="V1499" s="929"/>
      <c r="W1499" s="900" t="str">
        <f>IF(S1499&lt;&gt;0,VLOOKUP(S1499,VKT!$A$2:$G$415,7,0),"")</f>
        <v/>
      </c>
      <c r="X1499" s="900" t="str">
        <f t="shared" si="318"/>
        <v xml:space="preserve"> </v>
      </c>
      <c r="Y1499" s="898"/>
      <c r="Z1499" s="904"/>
      <c r="AA1499" s="904"/>
      <c r="AB1499" s="904"/>
      <c r="AC1499" s="904"/>
      <c r="AD1499" s="904"/>
      <c r="AE1499" s="904"/>
      <c r="AF1499" s="899"/>
      <c r="AG1499" s="906" t="str">
        <f>IF(AE1499&lt;&gt;0,VLOOKUP(AE1499,ODDS!$A$2:$C$13,3,0),"")</f>
        <v/>
      </c>
      <c r="AH1499" s="906" t="str">
        <f t="shared" si="317"/>
        <v xml:space="preserve"> </v>
      </c>
      <c r="AI1499" s="907" t="str">
        <f t="shared" si="323"/>
        <v xml:space="preserve"> </v>
      </c>
      <c r="AJ1499" s="894"/>
      <c r="AK1499" s="894"/>
    </row>
    <row r="1500" spans="1:37" s="385" customFormat="1" ht="22.5" outlineLevel="2" x14ac:dyDescent="0.3">
      <c r="A1500" s="447">
        <f t="shared" si="324"/>
        <v>117</v>
      </c>
      <c r="B1500" s="893"/>
      <c r="C1500" s="910"/>
      <c r="D1500" s="950"/>
      <c r="E1500" s="950"/>
      <c r="F1500" s="1032"/>
      <c r="G1500" s="894"/>
      <c r="H1500" s="1059"/>
      <c r="I1500" s="882"/>
      <c r="J1500" s="1042"/>
      <c r="K1500" s="899" t="str">
        <f>IF(G1500&lt;&gt;0,VLOOKUP(G1500,'gia dat'!$A$1:$F$144,5,0)," ")</f>
        <v xml:space="preserve"> </v>
      </c>
      <c r="L1500" s="899" t="str">
        <f>IF(G1500&lt;&gt;0,VLOOKUP(G1500,'gia dat'!$A$1:$F$144,6,0)," ")</f>
        <v xml:space="preserve"> </v>
      </c>
      <c r="M1500" s="900" t="str">
        <f t="shared" si="320"/>
        <v xml:space="preserve"> </v>
      </c>
      <c r="N1500" s="900" t="str">
        <f t="shared" si="321"/>
        <v xml:space="preserve"> </v>
      </c>
      <c r="O1500" s="922"/>
      <c r="P1500" s="965"/>
      <c r="Q1500" s="900" t="str">
        <f>IF(O1500&lt;&gt;0,VLOOKUP(O1500,'Cây trong'!$A$2:$C$246,3,0)," ")</f>
        <v xml:space="preserve"> </v>
      </c>
      <c r="R1500" s="900" t="str">
        <f t="shared" si="316"/>
        <v xml:space="preserve"> </v>
      </c>
      <c r="S1500" s="922"/>
      <c r="T1500" s="944"/>
      <c r="U1500" s="903"/>
      <c r="V1500" s="996"/>
      <c r="W1500" s="900" t="str">
        <f>IF(S1500&lt;&gt;0,VLOOKUP(S1500,VKT!$A$2:$G$415,7,0),"")</f>
        <v/>
      </c>
      <c r="X1500" s="900" t="str">
        <f t="shared" si="318"/>
        <v xml:space="preserve"> </v>
      </c>
      <c r="Y1500" s="898"/>
      <c r="Z1500" s="904"/>
      <c r="AA1500" s="904"/>
      <c r="AB1500" s="904"/>
      <c r="AC1500" s="904"/>
      <c r="AD1500" s="904"/>
      <c r="AE1500" s="904"/>
      <c r="AF1500" s="899"/>
      <c r="AG1500" s="906" t="str">
        <f>IF(AE1500&lt;&gt;0,VLOOKUP(AE1500,ODDS!$A$2:$C$13,3,0),"")</f>
        <v/>
      </c>
      <c r="AH1500" s="906" t="str">
        <f t="shared" si="317"/>
        <v xml:space="preserve"> </v>
      </c>
      <c r="AI1500" s="907" t="str">
        <f t="shared" si="323"/>
        <v xml:space="preserve"> </v>
      </c>
      <c r="AJ1500" s="929"/>
      <c r="AK1500" s="929"/>
    </row>
    <row r="1501" spans="1:37" s="385" customFormat="1" ht="43.5" outlineLevel="1" x14ac:dyDescent="0.25">
      <c r="A1501" s="467" t="s">
        <v>2592</v>
      </c>
      <c r="B1501" s="912">
        <v>118</v>
      </c>
      <c r="C1501" s="910" t="s">
        <v>1061</v>
      </c>
      <c r="D1501" s="1037"/>
      <c r="E1501" s="1037"/>
      <c r="F1501" s="1038"/>
      <c r="G1501" s="910"/>
      <c r="H1501" s="932">
        <f>SUBTOTAL(9,H1502:H1506)</f>
        <v>100</v>
      </c>
      <c r="I1501" s="915">
        <f>SUBTOTAL(9,I1502:I1507)</f>
        <v>100</v>
      </c>
      <c r="J1501" s="933"/>
      <c r="K1501" s="917"/>
      <c r="L1501" s="917"/>
      <c r="M1501" s="907">
        <f>SUBTOTAL(9,M1502:M1506)</f>
        <v>37680000</v>
      </c>
      <c r="N1501" s="907">
        <f>SUBTOTAL(9,N1502:N1506)</f>
        <v>113040000</v>
      </c>
      <c r="O1501" s="910"/>
      <c r="P1501" s="935">
        <f>SUBTOTAL(9,P1502:P1506)</f>
        <v>0</v>
      </c>
      <c r="Q1501" s="907"/>
      <c r="R1501" s="907">
        <f>SUBTOTAL(9,R1502:R1506)</f>
        <v>0</v>
      </c>
      <c r="S1501" s="918"/>
      <c r="T1501" s="933"/>
      <c r="U1501" s="936">
        <f>SUBTOTAL(9,U1502:U1506)</f>
        <v>0</v>
      </c>
      <c r="V1501" s="943"/>
      <c r="W1501" s="907"/>
      <c r="X1501" s="907">
        <f>SUBTOTAL(9,X1502:X1506)</f>
        <v>0</v>
      </c>
      <c r="Y1501" s="898"/>
      <c r="Z1501" s="904"/>
      <c r="AA1501" s="904"/>
      <c r="AB1501" s="904"/>
      <c r="AC1501" s="904"/>
      <c r="AD1501" s="904"/>
      <c r="AE1501" s="920"/>
      <c r="AF1501" s="917">
        <f>SUBTOTAL(9,AF1502:AF1506)</f>
        <v>0</v>
      </c>
      <c r="AG1501" s="921"/>
      <c r="AH1501" s="921">
        <f>SUBTOTAL(9,AH1502:AH1506)</f>
        <v>0</v>
      </c>
      <c r="AI1501" s="907">
        <f t="shared" si="323"/>
        <v>150720000</v>
      </c>
      <c r="AJ1501" s="910"/>
      <c r="AK1501" s="914"/>
    </row>
    <row r="1502" spans="1:37" s="385" customFormat="1" ht="135" outlineLevel="2" x14ac:dyDescent="0.3">
      <c r="A1502" s="447">
        <f>IF(B1501&lt;&gt;0,B1501,A1500)</f>
        <v>118</v>
      </c>
      <c r="B1502" s="893"/>
      <c r="C1502" s="894" t="s">
        <v>2784</v>
      </c>
      <c r="D1502" s="950">
        <v>5</v>
      </c>
      <c r="E1502" s="950">
        <v>86</v>
      </c>
      <c r="F1502" s="1032">
        <v>228</v>
      </c>
      <c r="G1502" s="894" t="s">
        <v>2433</v>
      </c>
      <c r="H1502" s="940">
        <v>100</v>
      </c>
      <c r="I1502" s="882">
        <f t="shared" ref="I1502" si="325">IF(N1502&gt;0,H1502,"")</f>
        <v>100</v>
      </c>
      <c r="J1502" s="925"/>
      <c r="K1502" s="899">
        <f>IF(G1502&lt;&gt;0,VLOOKUP(G1502,'gia dat'!$A$1:$F$144,5,0)," ")</f>
        <v>376800</v>
      </c>
      <c r="L1502" s="899">
        <f>IF(G1502&lt;&gt;0,VLOOKUP(G1502,'gia dat'!$A$1:$F$144,6,0)," ")</f>
        <v>1130400</v>
      </c>
      <c r="M1502" s="900">
        <f t="shared" si="320"/>
        <v>37680000</v>
      </c>
      <c r="N1502" s="900">
        <f t="shared" si="321"/>
        <v>113040000</v>
      </c>
      <c r="O1502" s="894"/>
      <c r="P1502" s="926"/>
      <c r="Q1502" s="900" t="str">
        <f>IF(O1502&lt;&gt;0,VLOOKUP(O1502,'Cây trong'!$A$2:$C$246,3,0)," ")</f>
        <v xml:space="preserve"> </v>
      </c>
      <c r="R1502" s="900" t="str">
        <f t="shared" si="316"/>
        <v xml:space="preserve"> </v>
      </c>
      <c r="S1502" s="902"/>
      <c r="T1502" s="925"/>
      <c r="U1502" s="927"/>
      <c r="V1502" s="929"/>
      <c r="W1502" s="900" t="str">
        <f>IF(S1502&lt;&gt;0,VLOOKUP(S1502,VKT!$A$2:$G$415,7,0),"")</f>
        <v/>
      </c>
      <c r="X1502" s="900" t="str">
        <f t="shared" si="318"/>
        <v xml:space="preserve"> </v>
      </c>
      <c r="Y1502" s="898"/>
      <c r="Z1502" s="904"/>
      <c r="AA1502" s="904"/>
      <c r="AB1502" s="904"/>
      <c r="AC1502" s="904"/>
      <c r="AD1502" s="904"/>
      <c r="AE1502" s="904"/>
      <c r="AF1502" s="899"/>
      <c r="AG1502" s="906" t="str">
        <f>IF(AE1502&lt;&gt;0,VLOOKUP(AE1502,ODDS!$A$2:$C$13,3,0),"")</f>
        <v/>
      </c>
      <c r="AH1502" s="906"/>
      <c r="AI1502" s="907" t="str">
        <f t="shared" si="323"/>
        <v xml:space="preserve"> </v>
      </c>
      <c r="AJ1502" s="894" t="s">
        <v>1062</v>
      </c>
      <c r="AK1502" s="922" t="s">
        <v>2771</v>
      </c>
    </row>
    <row r="1503" spans="1:37" s="385" customFormat="1" ht="135" outlineLevel="2" x14ac:dyDescent="0.3">
      <c r="A1503" s="447">
        <f>IF(B1502&lt;&gt;0,B1502,A1502)</f>
        <v>118</v>
      </c>
      <c r="B1503" s="893"/>
      <c r="C1503" s="922" t="s">
        <v>1581</v>
      </c>
      <c r="D1503" s="950"/>
      <c r="E1503" s="950"/>
      <c r="F1503" s="1032"/>
      <c r="G1503" s="894"/>
      <c r="H1503" s="940"/>
      <c r="I1503" s="882"/>
      <c r="J1503" s="925"/>
      <c r="K1503" s="899" t="str">
        <f>IF(G1503&lt;&gt;0,VLOOKUP(G1503,'gia dat'!$A$1:$F$144,5,0)," ")</f>
        <v xml:space="preserve"> </v>
      </c>
      <c r="L1503" s="899" t="str">
        <f>IF(G1503&lt;&gt;0,VLOOKUP(G1503,'gia dat'!$A$1:$F$144,6,0)," ")</f>
        <v xml:space="preserve"> </v>
      </c>
      <c r="M1503" s="900" t="str">
        <f t="shared" si="320"/>
        <v xml:space="preserve"> </v>
      </c>
      <c r="N1503" s="900" t="str">
        <f t="shared" si="321"/>
        <v xml:space="preserve"> </v>
      </c>
      <c r="O1503" s="894"/>
      <c r="P1503" s="926"/>
      <c r="Q1503" s="900" t="str">
        <f>IF(O1503&lt;&gt;0,VLOOKUP(O1503,'Cây trong'!$A$2:$C$246,3,0)," ")</f>
        <v xml:space="preserve"> </v>
      </c>
      <c r="R1503" s="900" t="str">
        <f t="shared" ref="R1503:R1575" si="326">IF(O1503&lt;&gt;0,ROUND(P1503*Q1503,-2)," ")</f>
        <v xml:space="preserve"> </v>
      </c>
      <c r="S1503" s="902"/>
      <c r="T1503" s="925"/>
      <c r="U1503" s="952"/>
      <c r="V1503" s="929"/>
      <c r="W1503" s="900" t="str">
        <f>IF(S1503&lt;&gt;0,VLOOKUP(S1503,VKT!$A$2:$G$415,7,0),"")</f>
        <v/>
      </c>
      <c r="X1503" s="900" t="str">
        <f t="shared" si="318"/>
        <v xml:space="preserve"> </v>
      </c>
      <c r="Y1503" s="898"/>
      <c r="Z1503" s="904"/>
      <c r="AA1503" s="904"/>
      <c r="AB1503" s="904"/>
      <c r="AC1503" s="904"/>
      <c r="AD1503" s="904"/>
      <c r="AE1503" s="904"/>
      <c r="AF1503" s="899"/>
      <c r="AG1503" s="906" t="str">
        <f>IF(AE1503&lt;&gt;0,VLOOKUP(AE1503,ODDS!$A$2:$C$13,3,0),"")</f>
        <v/>
      </c>
      <c r="AH1503" s="906" t="str">
        <f t="shared" ref="AH1503:AH1575" si="327">IF(AE1503&lt;&gt;0,ROUND(AF1503*AG1503,-2)," ")</f>
        <v xml:space="preserve"> </v>
      </c>
      <c r="AI1503" s="907" t="str">
        <f t="shared" si="323"/>
        <v xml:space="preserve"> </v>
      </c>
      <c r="AJ1503" s="894" t="s">
        <v>2946</v>
      </c>
      <c r="AK1503" s="894" t="s">
        <v>2448</v>
      </c>
    </row>
    <row r="1504" spans="1:37" s="385" customFormat="1" ht="67.5" outlineLevel="2" x14ac:dyDescent="0.3">
      <c r="A1504" s="447">
        <f>IF(B1503&lt;&gt;0,B1503,A1503)</f>
        <v>118</v>
      </c>
      <c r="B1504" s="893"/>
      <c r="C1504" s="894"/>
      <c r="D1504" s="950"/>
      <c r="E1504" s="950"/>
      <c r="F1504" s="1032"/>
      <c r="G1504" s="894"/>
      <c r="H1504" s="940"/>
      <c r="I1504" s="882"/>
      <c r="J1504" s="925"/>
      <c r="K1504" s="899" t="str">
        <f>IF(G1504&lt;&gt;0,VLOOKUP(G1504,'gia dat'!$A$1:$F$144,5,0)," ")</f>
        <v xml:space="preserve"> </v>
      </c>
      <c r="L1504" s="899" t="str">
        <f>IF(G1504&lt;&gt;0,VLOOKUP(G1504,'gia dat'!$A$1:$F$144,6,0)," ")</f>
        <v xml:space="preserve"> </v>
      </c>
      <c r="M1504" s="900" t="str">
        <f t="shared" si="320"/>
        <v xml:space="preserve"> </v>
      </c>
      <c r="N1504" s="900" t="str">
        <f t="shared" si="321"/>
        <v xml:space="preserve"> </v>
      </c>
      <c r="O1504" s="894"/>
      <c r="P1504" s="926"/>
      <c r="Q1504" s="900" t="str">
        <f>IF(O1504&lt;&gt;0,VLOOKUP(O1504,'Cây trong'!$A$2:$C$246,3,0)," ")</f>
        <v xml:space="preserve"> </v>
      </c>
      <c r="R1504" s="900" t="str">
        <f t="shared" si="326"/>
        <v xml:space="preserve"> </v>
      </c>
      <c r="S1504" s="902"/>
      <c r="T1504" s="925"/>
      <c r="U1504" s="927"/>
      <c r="V1504" s="929"/>
      <c r="W1504" s="900" t="str">
        <f>IF(S1504&lt;&gt;0,VLOOKUP(S1504,VKT!$A$2:$G$415,7,0),"")</f>
        <v/>
      </c>
      <c r="X1504" s="900" t="str">
        <f t="shared" si="318"/>
        <v xml:space="preserve"> </v>
      </c>
      <c r="Y1504" s="898"/>
      <c r="Z1504" s="904"/>
      <c r="AA1504" s="904"/>
      <c r="AB1504" s="904"/>
      <c r="AC1504" s="904"/>
      <c r="AD1504" s="904"/>
      <c r="AE1504" s="904"/>
      <c r="AF1504" s="899"/>
      <c r="AG1504" s="906" t="str">
        <f>IF(AE1504&lt;&gt;0,VLOOKUP(AE1504,ODDS!$A$2:$C$13,3,0),"")</f>
        <v/>
      </c>
      <c r="AH1504" s="906" t="str">
        <f t="shared" si="327"/>
        <v xml:space="preserve"> </v>
      </c>
      <c r="AI1504" s="907" t="str">
        <f t="shared" si="323"/>
        <v xml:space="preserve"> </v>
      </c>
      <c r="AJ1504" s="894" t="s">
        <v>2074</v>
      </c>
      <c r="AK1504" s="929"/>
    </row>
    <row r="1505" spans="1:37" s="385" customFormat="1" ht="22.5" outlineLevel="2" x14ac:dyDescent="0.35">
      <c r="A1505" s="447">
        <f>IF(B1504&lt;&gt;0,B1504,A1504)</f>
        <v>118</v>
      </c>
      <c r="B1505" s="893"/>
      <c r="C1505" s="894"/>
      <c r="D1505" s="950"/>
      <c r="E1505" s="950"/>
      <c r="F1505" s="1032"/>
      <c r="G1505" s="894"/>
      <c r="H1505" s="940"/>
      <c r="I1505" s="882"/>
      <c r="J1505" s="925"/>
      <c r="K1505" s="899" t="str">
        <f>IF(G1505&lt;&gt;0,VLOOKUP(G1505,'gia dat'!$A$1:$F$144,5,0)," ")</f>
        <v xml:space="preserve"> </v>
      </c>
      <c r="L1505" s="899" t="str">
        <f>IF(G1505&lt;&gt;0,VLOOKUP(G1505,'gia dat'!$A$1:$F$144,6,0)," ")</f>
        <v xml:space="preserve"> </v>
      </c>
      <c r="M1505" s="900" t="str">
        <f t="shared" si="320"/>
        <v xml:space="preserve"> </v>
      </c>
      <c r="N1505" s="900" t="str">
        <f t="shared" si="321"/>
        <v xml:space="preserve"> </v>
      </c>
      <c r="O1505" s="894"/>
      <c r="P1505" s="926"/>
      <c r="Q1505" s="900" t="str">
        <f>IF(O1505&lt;&gt;0,VLOOKUP(O1505,'Cây trong'!$A$2:$C$246,3,0)," ")</f>
        <v xml:space="preserve"> </v>
      </c>
      <c r="R1505" s="900" t="str">
        <f t="shared" si="326"/>
        <v xml:space="preserve"> </v>
      </c>
      <c r="S1505" s="902"/>
      <c r="T1505" s="925"/>
      <c r="U1505" s="927"/>
      <c r="V1505" s="929"/>
      <c r="W1505" s="900" t="str">
        <f>IF(S1505&lt;&gt;0,VLOOKUP(S1505,VKT!$A$2:$G$415,7,0),"")</f>
        <v/>
      </c>
      <c r="X1505" s="900" t="str">
        <f t="shared" si="318"/>
        <v xml:space="preserve"> </v>
      </c>
      <c r="Y1505" s="898"/>
      <c r="Z1505" s="904"/>
      <c r="AA1505" s="904"/>
      <c r="AB1505" s="904"/>
      <c r="AC1505" s="904"/>
      <c r="AD1505" s="904"/>
      <c r="AE1505" s="904"/>
      <c r="AF1505" s="899"/>
      <c r="AG1505" s="906" t="str">
        <f>IF(AE1505&lt;&gt;0,VLOOKUP(AE1505,ODDS!$A$2:$C$13,3,0),"")</f>
        <v/>
      </c>
      <c r="AH1505" s="906" t="str">
        <f t="shared" si="327"/>
        <v xml:space="preserve"> </v>
      </c>
      <c r="AI1505" s="907" t="str">
        <f t="shared" si="323"/>
        <v xml:space="preserve"> </v>
      </c>
      <c r="AJ1505" s="1036"/>
      <c r="AK1505" s="894"/>
    </row>
    <row r="1506" spans="1:37" s="385" customFormat="1" ht="22.5" outlineLevel="2" x14ac:dyDescent="0.3">
      <c r="A1506" s="447">
        <f>IF(B1505&lt;&gt;0,B1505,A1505)</f>
        <v>118</v>
      </c>
      <c r="B1506" s="893"/>
      <c r="C1506" s="910"/>
      <c r="D1506" s="950"/>
      <c r="E1506" s="950"/>
      <c r="F1506" s="1032"/>
      <c r="G1506" s="894"/>
      <c r="H1506" s="940"/>
      <c r="I1506" s="882"/>
      <c r="J1506" s="925"/>
      <c r="K1506" s="899" t="str">
        <f>IF(G1506&lt;&gt;0,VLOOKUP(G1506,'gia dat'!$A$1:$F$144,5,0)," ")</f>
        <v xml:space="preserve"> </v>
      </c>
      <c r="L1506" s="899" t="str">
        <f>IF(G1506&lt;&gt;0,VLOOKUP(G1506,'gia dat'!$A$1:$F$144,6,0)," ")</f>
        <v xml:space="preserve"> </v>
      </c>
      <c r="M1506" s="900" t="str">
        <f t="shared" si="320"/>
        <v xml:space="preserve"> </v>
      </c>
      <c r="N1506" s="900" t="str">
        <f t="shared" si="321"/>
        <v xml:space="preserve"> </v>
      </c>
      <c r="O1506" s="894"/>
      <c r="P1506" s="926"/>
      <c r="Q1506" s="900" t="str">
        <f>IF(O1506&lt;&gt;0,VLOOKUP(O1506,'Cây trong'!$A$2:$C$246,3,0)," ")</f>
        <v xml:space="preserve"> </v>
      </c>
      <c r="R1506" s="900" t="str">
        <f t="shared" si="326"/>
        <v xml:space="preserve"> </v>
      </c>
      <c r="S1506" s="902"/>
      <c r="T1506" s="925"/>
      <c r="U1506" s="927"/>
      <c r="V1506" s="929"/>
      <c r="W1506" s="900" t="str">
        <f>IF(S1506&lt;&gt;0,VLOOKUP(S1506,VKT!$A$2:$G$415,7,0),"")</f>
        <v/>
      </c>
      <c r="X1506" s="900" t="str">
        <f t="shared" si="318"/>
        <v xml:space="preserve"> </v>
      </c>
      <c r="Y1506" s="898"/>
      <c r="Z1506" s="904"/>
      <c r="AA1506" s="904"/>
      <c r="AB1506" s="904"/>
      <c r="AC1506" s="904"/>
      <c r="AD1506" s="904"/>
      <c r="AE1506" s="904"/>
      <c r="AF1506" s="899"/>
      <c r="AG1506" s="906" t="str">
        <f>IF(AE1506&lt;&gt;0,VLOOKUP(AE1506,ODDS!$A$2:$C$13,3,0),"")</f>
        <v/>
      </c>
      <c r="AH1506" s="906" t="str">
        <f t="shared" si="327"/>
        <v xml:space="preserve"> </v>
      </c>
      <c r="AI1506" s="907" t="str">
        <f t="shared" si="323"/>
        <v xml:space="preserve"> </v>
      </c>
      <c r="AJ1506" s="894"/>
      <c r="AK1506" s="894"/>
    </row>
    <row r="1507" spans="1:37" s="385" customFormat="1" ht="22.5" outlineLevel="1" x14ac:dyDescent="0.25">
      <c r="A1507" s="467" t="s">
        <v>2591</v>
      </c>
      <c r="B1507" s="912">
        <v>119</v>
      </c>
      <c r="C1507" s="910" t="s">
        <v>1065</v>
      </c>
      <c r="D1507" s="1037"/>
      <c r="E1507" s="1037"/>
      <c r="F1507" s="1038"/>
      <c r="G1507" s="910"/>
      <c r="H1507" s="932">
        <f>SUBTOTAL(9,H1508:H1513)</f>
        <v>100</v>
      </c>
      <c r="I1507" s="915">
        <f>SUBTOTAL(9,I1508:I1513)</f>
        <v>100</v>
      </c>
      <c r="J1507" s="933"/>
      <c r="K1507" s="917"/>
      <c r="L1507" s="917"/>
      <c r="M1507" s="907">
        <f>SUBTOTAL(9,M1508:M1513)</f>
        <v>37680000</v>
      </c>
      <c r="N1507" s="907">
        <f>SUBTOTAL(9,N1508:N1513)</f>
        <v>113040000</v>
      </c>
      <c r="O1507" s="910"/>
      <c r="P1507" s="935">
        <f>SUBTOTAL(9,P1508:P1513)</f>
        <v>0</v>
      </c>
      <c r="Q1507" s="907"/>
      <c r="R1507" s="907">
        <f>SUBTOTAL(9,R1508:R1513)</f>
        <v>0</v>
      </c>
      <c r="S1507" s="918"/>
      <c r="T1507" s="933"/>
      <c r="U1507" s="936">
        <f>SUBTOTAL(9,U1508:U1513)</f>
        <v>0</v>
      </c>
      <c r="V1507" s="943"/>
      <c r="W1507" s="907"/>
      <c r="X1507" s="907">
        <f>SUBTOTAL(9,X1508:X1513)</f>
        <v>0</v>
      </c>
      <c r="Y1507" s="898"/>
      <c r="Z1507" s="904"/>
      <c r="AA1507" s="904"/>
      <c r="AB1507" s="904"/>
      <c r="AC1507" s="904"/>
      <c r="AD1507" s="904"/>
      <c r="AE1507" s="920"/>
      <c r="AF1507" s="917">
        <f>SUBTOTAL(9,AF1508:AF1513)</f>
        <v>0</v>
      </c>
      <c r="AG1507" s="921"/>
      <c r="AH1507" s="921">
        <f>SUBTOTAL(9,AH1508:AH1513)</f>
        <v>0</v>
      </c>
      <c r="AI1507" s="907">
        <f t="shared" si="323"/>
        <v>150720000</v>
      </c>
      <c r="AJ1507" s="910"/>
      <c r="AK1507" s="914"/>
    </row>
    <row r="1508" spans="1:37" s="385" customFormat="1" ht="135" outlineLevel="2" x14ac:dyDescent="0.3">
      <c r="A1508" s="447">
        <f>IF(B1507&lt;&gt;0,B1507,A1506)</f>
        <v>119</v>
      </c>
      <c r="B1508" s="893"/>
      <c r="C1508" s="894" t="s">
        <v>1067</v>
      </c>
      <c r="D1508" s="950">
        <v>8</v>
      </c>
      <c r="E1508" s="950">
        <v>86</v>
      </c>
      <c r="F1508" s="1032">
        <v>229</v>
      </c>
      <c r="G1508" s="894" t="s">
        <v>2433</v>
      </c>
      <c r="H1508" s="940">
        <v>100</v>
      </c>
      <c r="I1508" s="882">
        <f t="shared" ref="I1508" si="328">IF(N1508&gt;0,H1508,"")</f>
        <v>100</v>
      </c>
      <c r="J1508" s="925"/>
      <c r="K1508" s="899">
        <f>IF(G1508&lt;&gt;0,VLOOKUP(G1508,'gia dat'!$A$1:$F$144,5,0)," ")</f>
        <v>376800</v>
      </c>
      <c r="L1508" s="899">
        <f>IF(G1508&lt;&gt;0,VLOOKUP(G1508,'gia dat'!$A$1:$F$144,6,0)," ")</f>
        <v>1130400</v>
      </c>
      <c r="M1508" s="900">
        <f t="shared" si="320"/>
        <v>37680000</v>
      </c>
      <c r="N1508" s="900">
        <f t="shared" si="321"/>
        <v>113040000</v>
      </c>
      <c r="O1508" s="894"/>
      <c r="P1508" s="926"/>
      <c r="Q1508" s="900" t="str">
        <f>IF(O1508&lt;&gt;0,VLOOKUP(O1508,'Cây trong'!$A$2:$C$246,3,0)," ")</f>
        <v xml:space="preserve"> </v>
      </c>
      <c r="R1508" s="900" t="str">
        <f t="shared" si="326"/>
        <v xml:space="preserve"> </v>
      </c>
      <c r="S1508" s="902"/>
      <c r="T1508" s="925"/>
      <c r="U1508" s="927"/>
      <c r="V1508" s="929"/>
      <c r="W1508" s="900" t="str">
        <f>IF(S1508&lt;&gt;0,VLOOKUP(S1508,VKT!$A$2:$G$415,7,0),"")</f>
        <v/>
      </c>
      <c r="X1508" s="900" t="str">
        <f t="shared" si="318"/>
        <v xml:space="preserve"> </v>
      </c>
      <c r="Y1508" s="898"/>
      <c r="Z1508" s="904"/>
      <c r="AA1508" s="904"/>
      <c r="AB1508" s="904"/>
      <c r="AC1508" s="904"/>
      <c r="AD1508" s="904"/>
      <c r="AE1508" s="904"/>
      <c r="AF1508" s="899"/>
      <c r="AG1508" s="906" t="str">
        <f>IF(AE1508&lt;&gt;0,VLOOKUP(AE1508,ODDS!$A$2:$C$13,3,0),"")</f>
        <v/>
      </c>
      <c r="AH1508" s="906"/>
      <c r="AI1508" s="907" t="str">
        <f t="shared" si="323"/>
        <v xml:space="preserve"> </v>
      </c>
      <c r="AJ1508" s="894" t="s">
        <v>1066</v>
      </c>
      <c r="AK1508" s="922" t="s">
        <v>2771</v>
      </c>
    </row>
    <row r="1509" spans="1:37" s="385" customFormat="1" ht="112.5" outlineLevel="2" x14ac:dyDescent="0.3">
      <c r="A1509" s="447">
        <f>IF(B1508&lt;&gt;0,B1508,A1508)</f>
        <v>119</v>
      </c>
      <c r="B1509" s="893"/>
      <c r="C1509" s="922" t="s">
        <v>1582</v>
      </c>
      <c r="D1509" s="950"/>
      <c r="E1509" s="950"/>
      <c r="F1509" s="1032"/>
      <c r="G1509" s="894"/>
      <c r="H1509" s="940"/>
      <c r="I1509" s="882"/>
      <c r="J1509" s="925"/>
      <c r="K1509" s="899" t="str">
        <f>IF(G1509&lt;&gt;0,VLOOKUP(G1509,'gia dat'!$A$1:$F$144,5,0)," ")</f>
        <v xml:space="preserve"> </v>
      </c>
      <c r="L1509" s="899" t="str">
        <f>IF(G1509&lt;&gt;0,VLOOKUP(G1509,'gia dat'!$A$1:$F$144,6,0)," ")</f>
        <v xml:space="preserve"> </v>
      </c>
      <c r="M1509" s="900" t="str">
        <f t="shared" si="320"/>
        <v xml:space="preserve"> </v>
      </c>
      <c r="N1509" s="900" t="str">
        <f t="shared" si="321"/>
        <v xml:space="preserve"> </v>
      </c>
      <c r="O1509" s="894"/>
      <c r="P1509" s="926"/>
      <c r="Q1509" s="900" t="str">
        <f>IF(O1509&lt;&gt;0,VLOOKUP(O1509,'Cây trong'!$A$2:$C$246,3,0)," ")</f>
        <v xml:space="preserve"> </v>
      </c>
      <c r="R1509" s="900" t="str">
        <f t="shared" si="326"/>
        <v xml:space="preserve"> </v>
      </c>
      <c r="S1509" s="902"/>
      <c r="T1509" s="925"/>
      <c r="U1509" s="952"/>
      <c r="V1509" s="929"/>
      <c r="W1509" s="900" t="str">
        <f>IF(S1509&lt;&gt;0,VLOOKUP(S1509,VKT!$A$2:$G$415,7,0),"")</f>
        <v/>
      </c>
      <c r="X1509" s="900" t="str">
        <f t="shared" si="318"/>
        <v xml:space="preserve"> </v>
      </c>
      <c r="Y1509" s="898"/>
      <c r="Z1509" s="904"/>
      <c r="AA1509" s="904"/>
      <c r="AB1509" s="904"/>
      <c r="AC1509" s="904"/>
      <c r="AD1509" s="904"/>
      <c r="AE1509" s="904"/>
      <c r="AF1509" s="899"/>
      <c r="AG1509" s="906" t="str">
        <f>IF(AE1509&lt;&gt;0,VLOOKUP(AE1509,ODDS!$A$2:$C$13,3,0),"")</f>
        <v/>
      </c>
      <c r="AH1509" s="906" t="str">
        <f t="shared" si="327"/>
        <v xml:space="preserve"> </v>
      </c>
      <c r="AI1509" s="907" t="str">
        <f t="shared" si="323"/>
        <v xml:space="preserve"> </v>
      </c>
      <c r="AJ1509" s="894" t="s">
        <v>2947</v>
      </c>
      <c r="AK1509" s="894" t="s">
        <v>2448</v>
      </c>
    </row>
    <row r="1510" spans="1:37" s="385" customFormat="1" ht="22.5" outlineLevel="2" x14ac:dyDescent="0.3">
      <c r="A1510" s="447">
        <f>IF(B1509&lt;&gt;0,B1509,A1509)</f>
        <v>119</v>
      </c>
      <c r="B1510" s="893"/>
      <c r="C1510" s="894"/>
      <c r="D1510" s="950"/>
      <c r="E1510" s="950"/>
      <c r="F1510" s="1032"/>
      <c r="G1510" s="894"/>
      <c r="H1510" s="940"/>
      <c r="I1510" s="882"/>
      <c r="J1510" s="925"/>
      <c r="K1510" s="899" t="str">
        <f>IF(G1510&lt;&gt;0,VLOOKUP(G1510,'gia dat'!$A$1:$F$144,5,0)," ")</f>
        <v xml:space="preserve"> </v>
      </c>
      <c r="L1510" s="899" t="str">
        <f>IF(G1510&lt;&gt;0,VLOOKUP(G1510,'gia dat'!$A$1:$F$144,6,0)," ")</f>
        <v xml:space="preserve"> </v>
      </c>
      <c r="M1510" s="900" t="str">
        <f t="shared" si="320"/>
        <v xml:space="preserve"> </v>
      </c>
      <c r="N1510" s="900" t="str">
        <f t="shared" si="321"/>
        <v xml:space="preserve"> </v>
      </c>
      <c r="O1510" s="894"/>
      <c r="P1510" s="926"/>
      <c r="Q1510" s="900" t="str">
        <f>IF(O1510&lt;&gt;0,VLOOKUP(O1510,'Cây trong'!$A$2:$C$246,3,0)," ")</f>
        <v xml:space="preserve"> </v>
      </c>
      <c r="R1510" s="900" t="str">
        <f t="shared" si="326"/>
        <v xml:space="preserve"> </v>
      </c>
      <c r="S1510" s="902"/>
      <c r="T1510" s="925"/>
      <c r="U1510" s="927"/>
      <c r="V1510" s="929"/>
      <c r="W1510" s="900" t="str">
        <f>IF(S1510&lt;&gt;0,VLOOKUP(S1510,VKT!$A$2:$G$415,7,0),"")</f>
        <v/>
      </c>
      <c r="X1510" s="900" t="str">
        <f t="shared" si="318"/>
        <v xml:space="preserve"> </v>
      </c>
      <c r="Y1510" s="898"/>
      <c r="Z1510" s="904"/>
      <c r="AA1510" s="904"/>
      <c r="AB1510" s="904"/>
      <c r="AC1510" s="904"/>
      <c r="AD1510" s="904"/>
      <c r="AE1510" s="904"/>
      <c r="AF1510" s="899"/>
      <c r="AG1510" s="906" t="str">
        <f>IF(AE1510&lt;&gt;0,VLOOKUP(AE1510,ODDS!$A$2:$C$13,3,0),"")</f>
        <v/>
      </c>
      <c r="AH1510" s="906" t="str">
        <f t="shared" si="327"/>
        <v xml:space="preserve"> </v>
      </c>
      <c r="AI1510" s="907" t="str">
        <f t="shared" si="323"/>
        <v xml:space="preserve"> </v>
      </c>
      <c r="AJ1510" s="929" t="s">
        <v>809</v>
      </c>
      <c r="AK1510" s="929"/>
    </row>
    <row r="1511" spans="1:37" s="385" customFormat="1" ht="67.5" outlineLevel="2" x14ac:dyDescent="0.3">
      <c r="A1511" s="447">
        <f>IF(B1510&lt;&gt;0,B1510,A1510)</f>
        <v>119</v>
      </c>
      <c r="B1511" s="893"/>
      <c r="C1511" s="894"/>
      <c r="D1511" s="950"/>
      <c r="E1511" s="950"/>
      <c r="F1511" s="1032"/>
      <c r="G1511" s="894"/>
      <c r="H1511" s="940"/>
      <c r="I1511" s="882"/>
      <c r="J1511" s="925"/>
      <c r="K1511" s="899" t="str">
        <f>IF(G1511&lt;&gt;0,VLOOKUP(G1511,'gia dat'!$A$1:$F$144,5,0)," ")</f>
        <v xml:space="preserve"> </v>
      </c>
      <c r="L1511" s="899" t="str">
        <f>IF(G1511&lt;&gt;0,VLOOKUP(G1511,'gia dat'!$A$1:$F$144,6,0)," ")</f>
        <v xml:space="preserve"> </v>
      </c>
      <c r="M1511" s="900" t="str">
        <f t="shared" si="320"/>
        <v xml:space="preserve"> </v>
      </c>
      <c r="N1511" s="900" t="str">
        <f t="shared" si="321"/>
        <v xml:space="preserve"> </v>
      </c>
      <c r="O1511" s="894"/>
      <c r="P1511" s="926"/>
      <c r="Q1511" s="900" t="str">
        <f>IF(O1511&lt;&gt;0,VLOOKUP(O1511,'Cây trong'!$A$2:$C$246,3,0)," ")</f>
        <v xml:space="preserve"> </v>
      </c>
      <c r="R1511" s="900" t="str">
        <f t="shared" si="326"/>
        <v xml:space="preserve"> </v>
      </c>
      <c r="S1511" s="902"/>
      <c r="T1511" s="925"/>
      <c r="U1511" s="927"/>
      <c r="V1511" s="929"/>
      <c r="W1511" s="900" t="str">
        <f>IF(S1511&lt;&gt;0,VLOOKUP(S1511,VKT!$A$2:$G$415,7,0),"")</f>
        <v/>
      </c>
      <c r="X1511" s="900" t="str">
        <f t="shared" si="318"/>
        <v xml:space="preserve"> </v>
      </c>
      <c r="Y1511" s="898"/>
      <c r="Z1511" s="904"/>
      <c r="AA1511" s="904"/>
      <c r="AB1511" s="904"/>
      <c r="AC1511" s="904"/>
      <c r="AD1511" s="904"/>
      <c r="AE1511" s="904"/>
      <c r="AF1511" s="899"/>
      <c r="AG1511" s="906" t="str">
        <f>IF(AE1511&lt;&gt;0,VLOOKUP(AE1511,ODDS!$A$2:$C$13,3,0),"")</f>
        <v/>
      </c>
      <c r="AH1511" s="906" t="str">
        <f t="shared" si="327"/>
        <v xml:space="preserve"> </v>
      </c>
      <c r="AI1511" s="907" t="str">
        <f t="shared" si="323"/>
        <v xml:space="preserve"> </v>
      </c>
      <c r="AJ1511" s="894" t="s">
        <v>2074</v>
      </c>
      <c r="AK1511" s="894"/>
    </row>
    <row r="1512" spans="1:37" s="385" customFormat="1" ht="22.5" outlineLevel="2" x14ac:dyDescent="0.3">
      <c r="A1512" s="447">
        <f>IF(B1511&lt;&gt;0,B1511,A1511)</f>
        <v>119</v>
      </c>
      <c r="B1512" s="893"/>
      <c r="C1512" s="894"/>
      <c r="D1512" s="950"/>
      <c r="E1512" s="950"/>
      <c r="F1512" s="1032"/>
      <c r="G1512" s="894"/>
      <c r="H1512" s="940"/>
      <c r="I1512" s="882"/>
      <c r="J1512" s="925"/>
      <c r="K1512" s="899" t="str">
        <f>IF(G1512&lt;&gt;0,VLOOKUP(G1512,'gia dat'!$A$1:$F$144,5,0)," ")</f>
        <v xml:space="preserve"> </v>
      </c>
      <c r="L1512" s="899" t="str">
        <f>IF(G1512&lt;&gt;0,VLOOKUP(G1512,'gia dat'!$A$1:$F$144,6,0)," ")</f>
        <v xml:space="preserve"> </v>
      </c>
      <c r="M1512" s="900" t="str">
        <f t="shared" si="320"/>
        <v xml:space="preserve"> </v>
      </c>
      <c r="N1512" s="900" t="str">
        <f t="shared" si="321"/>
        <v xml:space="preserve"> </v>
      </c>
      <c r="O1512" s="894"/>
      <c r="P1512" s="926"/>
      <c r="Q1512" s="900" t="str">
        <f>IF(O1512&lt;&gt;0,VLOOKUP(O1512,'Cây trong'!$A$2:$C$246,3,0)," ")</f>
        <v xml:space="preserve"> </v>
      </c>
      <c r="R1512" s="900" t="str">
        <f t="shared" si="326"/>
        <v xml:space="preserve"> </v>
      </c>
      <c r="S1512" s="902"/>
      <c r="T1512" s="925"/>
      <c r="U1512" s="927"/>
      <c r="V1512" s="929"/>
      <c r="W1512" s="900" t="str">
        <f>IF(S1512&lt;&gt;0,VLOOKUP(S1512,VKT!$A$2:$G$415,7,0),"")</f>
        <v/>
      </c>
      <c r="X1512" s="900" t="str">
        <f t="shared" si="318"/>
        <v xml:space="preserve"> </v>
      </c>
      <c r="Y1512" s="898"/>
      <c r="Z1512" s="904"/>
      <c r="AA1512" s="904"/>
      <c r="AB1512" s="904"/>
      <c r="AC1512" s="904"/>
      <c r="AD1512" s="904"/>
      <c r="AE1512" s="904"/>
      <c r="AF1512" s="899"/>
      <c r="AG1512" s="906" t="str">
        <f>IF(AE1512&lt;&gt;0,VLOOKUP(AE1512,ODDS!$A$2:$C$13,3,0),"")</f>
        <v/>
      </c>
      <c r="AH1512" s="906" t="str">
        <f t="shared" si="327"/>
        <v xml:space="preserve"> </v>
      </c>
      <c r="AI1512" s="907" t="str">
        <f t="shared" si="323"/>
        <v xml:space="preserve"> </v>
      </c>
      <c r="AJ1512" s="894"/>
      <c r="AK1512" s="894"/>
    </row>
    <row r="1513" spans="1:37" s="385" customFormat="1" ht="22.5" outlineLevel="2" x14ac:dyDescent="0.3">
      <c r="A1513" s="447">
        <f>IF(B1512&lt;&gt;0,B1512,A1512)</f>
        <v>119</v>
      </c>
      <c r="B1513" s="893"/>
      <c r="C1513" s="910"/>
      <c r="D1513" s="950"/>
      <c r="E1513" s="950"/>
      <c r="F1513" s="1032"/>
      <c r="G1513" s="894"/>
      <c r="H1513" s="940"/>
      <c r="I1513" s="882"/>
      <c r="J1513" s="925"/>
      <c r="K1513" s="899" t="str">
        <f>IF(G1513&lt;&gt;0,VLOOKUP(G1513,'gia dat'!$A$1:$F$144,5,0)," ")</f>
        <v xml:space="preserve"> </v>
      </c>
      <c r="L1513" s="899" t="str">
        <f>IF(G1513&lt;&gt;0,VLOOKUP(G1513,'gia dat'!$A$1:$F$144,6,0)," ")</f>
        <v xml:space="preserve"> </v>
      </c>
      <c r="M1513" s="900" t="str">
        <f t="shared" si="320"/>
        <v xml:space="preserve"> </v>
      </c>
      <c r="N1513" s="900" t="str">
        <f t="shared" si="321"/>
        <v xml:space="preserve"> </v>
      </c>
      <c r="O1513" s="894"/>
      <c r="P1513" s="926"/>
      <c r="Q1513" s="900" t="str">
        <f>IF(O1513&lt;&gt;0,VLOOKUP(O1513,'Cây trong'!$A$2:$C$246,3,0)," ")</f>
        <v xml:space="preserve"> </v>
      </c>
      <c r="R1513" s="900" t="str">
        <f t="shared" si="326"/>
        <v xml:space="preserve"> </v>
      </c>
      <c r="S1513" s="902"/>
      <c r="T1513" s="925"/>
      <c r="U1513" s="952"/>
      <c r="V1513" s="929"/>
      <c r="W1513" s="900" t="str">
        <f>IF(S1513&lt;&gt;0,VLOOKUP(S1513,VKT!$A$2:$G$415,7,0),"")</f>
        <v/>
      </c>
      <c r="X1513" s="900" t="str">
        <f t="shared" si="318"/>
        <v xml:space="preserve"> </v>
      </c>
      <c r="Y1513" s="898"/>
      <c r="Z1513" s="904"/>
      <c r="AA1513" s="904"/>
      <c r="AB1513" s="904"/>
      <c r="AC1513" s="904"/>
      <c r="AD1513" s="904"/>
      <c r="AE1513" s="904"/>
      <c r="AF1513" s="899"/>
      <c r="AG1513" s="906" t="str">
        <f>IF(AE1513&lt;&gt;0,VLOOKUP(AE1513,ODDS!$A$2:$C$13,3,0),"")</f>
        <v/>
      </c>
      <c r="AH1513" s="906" t="str">
        <f t="shared" si="327"/>
        <v xml:space="preserve"> </v>
      </c>
      <c r="AI1513" s="907" t="str">
        <f t="shared" si="323"/>
        <v xml:space="preserve"> </v>
      </c>
      <c r="AJ1513" s="894"/>
      <c r="AK1513" s="894"/>
    </row>
    <row r="1514" spans="1:37" s="385" customFormat="1" ht="22.5" outlineLevel="1" x14ac:dyDescent="0.25">
      <c r="A1514" s="467" t="s">
        <v>2590</v>
      </c>
      <c r="B1514" s="912">
        <v>120</v>
      </c>
      <c r="C1514" s="910" t="s">
        <v>1069</v>
      </c>
      <c r="D1514" s="931"/>
      <c r="E1514" s="1037"/>
      <c r="F1514" s="1038"/>
      <c r="G1514" s="910"/>
      <c r="H1514" s="932">
        <f>SUBTOTAL(9,H1515:H1519)</f>
        <v>200</v>
      </c>
      <c r="I1514" s="915">
        <f>SUBTOTAL(9,I1515:I1520)</f>
        <v>0</v>
      </c>
      <c r="J1514" s="933"/>
      <c r="K1514" s="917"/>
      <c r="L1514" s="917"/>
      <c r="M1514" s="907">
        <f>SUBTOTAL(9,M1515:M1519)</f>
        <v>75360000</v>
      </c>
      <c r="N1514" s="907">
        <f>SUBTOTAL(9,N1515:N1519)</f>
        <v>0</v>
      </c>
      <c r="O1514" s="910"/>
      <c r="P1514" s="935">
        <f>SUBTOTAL(9,P1515:P1519)</f>
        <v>0</v>
      </c>
      <c r="Q1514" s="907"/>
      <c r="R1514" s="907">
        <f>SUBTOTAL(9,R1515:R1519)</f>
        <v>0</v>
      </c>
      <c r="S1514" s="918"/>
      <c r="T1514" s="933"/>
      <c r="U1514" s="936">
        <f>SUBTOTAL(9,U1515:U1519)</f>
        <v>0</v>
      </c>
      <c r="V1514" s="943"/>
      <c r="W1514" s="907"/>
      <c r="X1514" s="907">
        <f>SUBTOTAL(9,X1515:X1519)</f>
        <v>0</v>
      </c>
      <c r="Y1514" s="898"/>
      <c r="Z1514" s="904"/>
      <c r="AA1514" s="904"/>
      <c r="AB1514" s="904"/>
      <c r="AC1514" s="904"/>
      <c r="AD1514" s="904"/>
      <c r="AE1514" s="920"/>
      <c r="AF1514" s="917">
        <f>SUBTOTAL(9,AF1515:AF1519)</f>
        <v>0</v>
      </c>
      <c r="AG1514" s="921"/>
      <c r="AH1514" s="921">
        <f>SUBTOTAL(9,AH1515:AH1519)</f>
        <v>0</v>
      </c>
      <c r="AI1514" s="907">
        <f t="shared" si="323"/>
        <v>75360000</v>
      </c>
      <c r="AJ1514" s="910"/>
      <c r="AK1514" s="914"/>
    </row>
    <row r="1515" spans="1:37" s="385" customFormat="1" ht="135" outlineLevel="2" x14ac:dyDescent="0.3">
      <c r="A1515" s="447">
        <f>IF(B1514&lt;&gt;0,B1514,A1513)</f>
        <v>120</v>
      </c>
      <c r="B1515" s="893"/>
      <c r="C1515" s="894" t="s">
        <v>1071</v>
      </c>
      <c r="D1515" s="923">
        <v>4</v>
      </c>
      <c r="E1515" s="950">
        <v>86</v>
      </c>
      <c r="F1515" s="1032">
        <v>229</v>
      </c>
      <c r="G1515" s="894" t="s">
        <v>2432</v>
      </c>
      <c r="H1515" s="940">
        <v>200</v>
      </c>
      <c r="I1515" s="882" t="str">
        <f t="shared" ref="I1515" si="329">IF(N1515&gt;0,H1515,"")</f>
        <v/>
      </c>
      <c r="J1515" s="925"/>
      <c r="K1515" s="899">
        <f>IF(G1515&lt;&gt;0,VLOOKUP(G1515,'gia dat'!$A$1:$F$144,5,0)," ")</f>
        <v>376800</v>
      </c>
      <c r="L1515" s="899">
        <f>IF(G1515&lt;&gt;0,VLOOKUP(G1515,'gia dat'!$A$1:$F$144,6,0)," ")</f>
        <v>0</v>
      </c>
      <c r="M1515" s="900">
        <f t="shared" si="320"/>
        <v>75360000</v>
      </c>
      <c r="N1515" s="900">
        <f t="shared" si="321"/>
        <v>0</v>
      </c>
      <c r="O1515" s="894"/>
      <c r="P1515" s="926"/>
      <c r="Q1515" s="900" t="str">
        <f>IF(O1515&lt;&gt;0,VLOOKUP(O1515,'Cây trong'!$A$2:$C$246,3,0)," ")</f>
        <v xml:space="preserve"> </v>
      </c>
      <c r="R1515" s="900" t="str">
        <f t="shared" si="326"/>
        <v xml:space="preserve"> </v>
      </c>
      <c r="S1515" s="902"/>
      <c r="T1515" s="925"/>
      <c r="U1515" s="927"/>
      <c r="V1515" s="929"/>
      <c r="W1515" s="900" t="str">
        <f>IF(S1515&lt;&gt;0,VLOOKUP(S1515,VKT!$A$2:$G$415,7,0),"")</f>
        <v/>
      </c>
      <c r="X1515" s="900" t="str">
        <f t="shared" si="318"/>
        <v xml:space="preserve"> </v>
      </c>
      <c r="Y1515" s="898"/>
      <c r="Z1515" s="904"/>
      <c r="AA1515" s="904"/>
      <c r="AB1515" s="904"/>
      <c r="AC1515" s="904"/>
      <c r="AD1515" s="904"/>
      <c r="AE1515" s="904"/>
      <c r="AF1515" s="899"/>
      <c r="AG1515" s="906" t="str">
        <f>IF(AE1515&lt;&gt;0,VLOOKUP(AE1515,ODDS!$A$2:$C$13,3,0),"")</f>
        <v/>
      </c>
      <c r="AH1515" s="906"/>
      <c r="AI1515" s="907" t="str">
        <f t="shared" si="323"/>
        <v xml:space="preserve"> </v>
      </c>
      <c r="AJ1515" s="894" t="s">
        <v>1070</v>
      </c>
      <c r="AK1515" s="922" t="s">
        <v>2771</v>
      </c>
    </row>
    <row r="1516" spans="1:37" s="385" customFormat="1" ht="67.5" outlineLevel="2" x14ac:dyDescent="0.3">
      <c r="A1516" s="447">
        <f>IF(B1515&lt;&gt;0,B1515,A1515)</f>
        <v>120</v>
      </c>
      <c r="B1516" s="893"/>
      <c r="C1516" s="922" t="s">
        <v>1583</v>
      </c>
      <c r="D1516" s="950"/>
      <c r="E1516" s="950"/>
      <c r="F1516" s="1032"/>
      <c r="G1516" s="894"/>
      <c r="H1516" s="940"/>
      <c r="I1516" s="882"/>
      <c r="J1516" s="925"/>
      <c r="K1516" s="899" t="str">
        <f>IF(G1516&lt;&gt;0,VLOOKUP(G1516,'gia dat'!$A$1:$F$144,5,0)," ")</f>
        <v xml:space="preserve"> </v>
      </c>
      <c r="L1516" s="899" t="str">
        <f>IF(G1516&lt;&gt;0,VLOOKUP(G1516,'gia dat'!$A$1:$F$144,6,0)," ")</f>
        <v xml:space="preserve"> </v>
      </c>
      <c r="M1516" s="900" t="str">
        <f t="shared" si="320"/>
        <v xml:space="preserve"> </v>
      </c>
      <c r="N1516" s="900" t="str">
        <f t="shared" si="321"/>
        <v xml:space="preserve"> </v>
      </c>
      <c r="O1516" s="894"/>
      <c r="P1516" s="926"/>
      <c r="Q1516" s="900" t="str">
        <f>IF(O1516&lt;&gt;0,VLOOKUP(O1516,'Cây trong'!$A$2:$C$246,3,0)," ")</f>
        <v xml:space="preserve"> </v>
      </c>
      <c r="R1516" s="900" t="str">
        <f t="shared" si="326"/>
        <v xml:space="preserve"> </v>
      </c>
      <c r="S1516" s="902"/>
      <c r="T1516" s="925"/>
      <c r="U1516" s="952"/>
      <c r="V1516" s="929"/>
      <c r="W1516" s="900" t="str">
        <f>IF(S1516&lt;&gt;0,VLOOKUP(S1516,VKT!$A$2:$G$415,7,0),"")</f>
        <v/>
      </c>
      <c r="X1516" s="900" t="str">
        <f t="shared" si="318"/>
        <v xml:space="preserve"> </v>
      </c>
      <c r="Y1516" s="898"/>
      <c r="Z1516" s="904"/>
      <c r="AA1516" s="904"/>
      <c r="AB1516" s="904"/>
      <c r="AC1516" s="904"/>
      <c r="AD1516" s="904"/>
      <c r="AE1516" s="904"/>
      <c r="AF1516" s="899"/>
      <c r="AG1516" s="906" t="str">
        <f>IF(AE1516&lt;&gt;0,VLOOKUP(AE1516,ODDS!$A$2:$C$13,3,0),"")</f>
        <v/>
      </c>
      <c r="AH1516" s="906" t="str">
        <f t="shared" si="327"/>
        <v xml:space="preserve"> </v>
      </c>
      <c r="AI1516" s="907" t="str">
        <f t="shared" si="323"/>
        <v xml:space="preserve"> </v>
      </c>
      <c r="AJ1516" s="894" t="s">
        <v>2948</v>
      </c>
      <c r="AK1516" s="894"/>
    </row>
    <row r="1517" spans="1:37" s="385" customFormat="1" ht="157.5" outlineLevel="2" x14ac:dyDescent="0.3">
      <c r="A1517" s="447">
        <f>IF(B1516&lt;&gt;0,B1516,A1516)</f>
        <v>120</v>
      </c>
      <c r="B1517" s="893"/>
      <c r="C1517" s="894"/>
      <c r="D1517" s="950"/>
      <c r="E1517" s="950"/>
      <c r="F1517" s="1032"/>
      <c r="G1517" s="894"/>
      <c r="H1517" s="940"/>
      <c r="I1517" s="882"/>
      <c r="J1517" s="925"/>
      <c r="K1517" s="899" t="str">
        <f>IF(G1517&lt;&gt;0,VLOOKUP(G1517,'gia dat'!$A$1:$F$144,5,0)," ")</f>
        <v xml:space="preserve"> </v>
      </c>
      <c r="L1517" s="899" t="str">
        <f>IF(G1517&lt;&gt;0,VLOOKUP(G1517,'gia dat'!$A$1:$F$144,6,0)," ")</f>
        <v xml:space="preserve"> </v>
      </c>
      <c r="M1517" s="900" t="str">
        <f t="shared" si="320"/>
        <v xml:space="preserve"> </v>
      </c>
      <c r="N1517" s="900" t="str">
        <f t="shared" si="321"/>
        <v xml:space="preserve"> </v>
      </c>
      <c r="O1517" s="894"/>
      <c r="P1517" s="926"/>
      <c r="Q1517" s="900" t="str">
        <f>IF(O1517&lt;&gt;0,VLOOKUP(O1517,'Cây trong'!$A$2:$C$246,3,0)," ")</f>
        <v xml:space="preserve"> </v>
      </c>
      <c r="R1517" s="900" t="str">
        <f t="shared" si="326"/>
        <v xml:space="preserve"> </v>
      </c>
      <c r="S1517" s="902"/>
      <c r="T1517" s="925"/>
      <c r="U1517" s="927"/>
      <c r="V1517" s="929"/>
      <c r="W1517" s="900" t="str">
        <f>IF(S1517&lt;&gt;0,VLOOKUP(S1517,VKT!$A$2:$G$415,7,0),"")</f>
        <v/>
      </c>
      <c r="X1517" s="900" t="str">
        <f t="shared" si="318"/>
        <v xml:space="preserve"> </v>
      </c>
      <c r="Y1517" s="898"/>
      <c r="Z1517" s="904"/>
      <c r="AA1517" s="904"/>
      <c r="AB1517" s="904"/>
      <c r="AC1517" s="904"/>
      <c r="AD1517" s="904"/>
      <c r="AE1517" s="904"/>
      <c r="AF1517" s="899"/>
      <c r="AG1517" s="906" t="str">
        <f>IF(AE1517&lt;&gt;0,VLOOKUP(AE1517,ODDS!$A$2:$C$13,3,0),"")</f>
        <v/>
      </c>
      <c r="AH1517" s="906" t="str">
        <f t="shared" si="327"/>
        <v xml:space="preserve"> </v>
      </c>
      <c r="AI1517" s="907" t="str">
        <f t="shared" si="323"/>
        <v xml:space="preserve"> </v>
      </c>
      <c r="AJ1517" s="894" t="s">
        <v>2076</v>
      </c>
      <c r="AK1517" s="929"/>
    </row>
    <row r="1518" spans="1:37" s="385" customFormat="1" ht="22.5" outlineLevel="2" x14ac:dyDescent="0.35">
      <c r="A1518" s="447">
        <f>IF(B1517&lt;&gt;0,B1517,A1517)</f>
        <v>120</v>
      </c>
      <c r="B1518" s="893"/>
      <c r="C1518" s="894"/>
      <c r="D1518" s="950"/>
      <c r="E1518" s="950"/>
      <c r="F1518" s="1032"/>
      <c r="G1518" s="894"/>
      <c r="H1518" s="940"/>
      <c r="I1518" s="882"/>
      <c r="J1518" s="925"/>
      <c r="K1518" s="899" t="str">
        <f>IF(G1518&lt;&gt;0,VLOOKUP(G1518,'gia dat'!$A$1:$F$144,5,0)," ")</f>
        <v xml:space="preserve"> </v>
      </c>
      <c r="L1518" s="899" t="str">
        <f>IF(G1518&lt;&gt;0,VLOOKUP(G1518,'gia dat'!$A$1:$F$144,6,0)," ")</f>
        <v xml:space="preserve"> </v>
      </c>
      <c r="M1518" s="900" t="str">
        <f t="shared" si="320"/>
        <v xml:space="preserve"> </v>
      </c>
      <c r="N1518" s="900" t="str">
        <f t="shared" si="321"/>
        <v xml:space="preserve"> </v>
      </c>
      <c r="O1518" s="894"/>
      <c r="P1518" s="926"/>
      <c r="Q1518" s="900" t="str">
        <f>IF(O1518&lt;&gt;0,VLOOKUP(O1518,'Cây trong'!$A$2:$C$246,3,0)," ")</f>
        <v xml:space="preserve"> </v>
      </c>
      <c r="R1518" s="900" t="str">
        <f t="shared" si="326"/>
        <v xml:space="preserve"> </v>
      </c>
      <c r="S1518" s="902"/>
      <c r="T1518" s="925"/>
      <c r="U1518" s="927"/>
      <c r="V1518" s="929"/>
      <c r="W1518" s="900" t="str">
        <f>IF(S1518&lt;&gt;0,VLOOKUP(S1518,VKT!$A$2:$G$415,7,0),"")</f>
        <v/>
      </c>
      <c r="X1518" s="900" t="str">
        <f t="shared" si="318"/>
        <v xml:space="preserve"> </v>
      </c>
      <c r="Y1518" s="898"/>
      <c r="Z1518" s="904"/>
      <c r="AA1518" s="904"/>
      <c r="AB1518" s="904"/>
      <c r="AC1518" s="904"/>
      <c r="AD1518" s="904"/>
      <c r="AE1518" s="904"/>
      <c r="AF1518" s="899"/>
      <c r="AG1518" s="906" t="str">
        <f>IF(AE1518&lt;&gt;0,VLOOKUP(AE1518,ODDS!$A$2:$C$13,3,0),"")</f>
        <v/>
      </c>
      <c r="AH1518" s="906" t="str">
        <f t="shared" si="327"/>
        <v xml:space="preserve"> </v>
      </c>
      <c r="AI1518" s="907" t="str">
        <f t="shared" si="323"/>
        <v xml:space="preserve"> </v>
      </c>
      <c r="AJ1518" s="1036"/>
      <c r="AK1518" s="894"/>
    </row>
    <row r="1519" spans="1:37" s="385" customFormat="1" ht="22.5" outlineLevel="2" x14ac:dyDescent="0.3">
      <c r="A1519" s="447">
        <f>IF(B1518&lt;&gt;0,B1518,A1518)</f>
        <v>120</v>
      </c>
      <c r="B1519" s="893"/>
      <c r="C1519" s="910"/>
      <c r="D1519" s="950"/>
      <c r="E1519" s="950"/>
      <c r="F1519" s="1032"/>
      <c r="G1519" s="894"/>
      <c r="H1519" s="940"/>
      <c r="I1519" s="882"/>
      <c r="J1519" s="925"/>
      <c r="K1519" s="899" t="str">
        <f>IF(G1519&lt;&gt;0,VLOOKUP(G1519,'gia dat'!$A$1:$F$144,5,0)," ")</f>
        <v xml:space="preserve"> </v>
      </c>
      <c r="L1519" s="899" t="str">
        <f>IF(G1519&lt;&gt;0,VLOOKUP(G1519,'gia dat'!$A$1:$F$144,6,0)," ")</f>
        <v xml:space="preserve"> </v>
      </c>
      <c r="M1519" s="900" t="str">
        <f t="shared" si="320"/>
        <v xml:space="preserve"> </v>
      </c>
      <c r="N1519" s="900" t="str">
        <f t="shared" si="321"/>
        <v xml:space="preserve"> </v>
      </c>
      <c r="O1519" s="894"/>
      <c r="P1519" s="926"/>
      <c r="Q1519" s="900" t="str">
        <f>IF(O1519&lt;&gt;0,VLOOKUP(O1519,'Cây trong'!$A$2:$C$246,3,0)," ")</f>
        <v xml:space="preserve"> </v>
      </c>
      <c r="R1519" s="900" t="str">
        <f t="shared" si="326"/>
        <v xml:space="preserve"> </v>
      </c>
      <c r="S1519" s="902"/>
      <c r="T1519" s="925"/>
      <c r="U1519" s="927"/>
      <c r="V1519" s="929"/>
      <c r="W1519" s="900" t="str">
        <f>IF(S1519&lt;&gt;0,VLOOKUP(S1519,VKT!$A$2:$G$415,7,0),"")</f>
        <v/>
      </c>
      <c r="X1519" s="900" t="str">
        <f t="shared" si="318"/>
        <v xml:space="preserve"> </v>
      </c>
      <c r="Y1519" s="898"/>
      <c r="Z1519" s="904"/>
      <c r="AA1519" s="904"/>
      <c r="AB1519" s="904"/>
      <c r="AC1519" s="904"/>
      <c r="AD1519" s="904"/>
      <c r="AE1519" s="904"/>
      <c r="AF1519" s="899"/>
      <c r="AG1519" s="906" t="str">
        <f>IF(AE1519&lt;&gt;0,VLOOKUP(AE1519,ODDS!$A$2:$C$13,3,0),"")</f>
        <v/>
      </c>
      <c r="AH1519" s="906" t="str">
        <f t="shared" si="327"/>
        <v xml:space="preserve"> </v>
      </c>
      <c r="AI1519" s="907" t="str">
        <f t="shared" si="323"/>
        <v xml:space="preserve"> </v>
      </c>
      <c r="AJ1519" s="894"/>
      <c r="AK1519" s="894"/>
    </row>
    <row r="1520" spans="1:37" s="385" customFormat="1" ht="43.5" outlineLevel="1" x14ac:dyDescent="0.25">
      <c r="A1520" s="467" t="s">
        <v>2589</v>
      </c>
      <c r="B1520" s="912">
        <v>121</v>
      </c>
      <c r="C1520" s="910" t="s">
        <v>1073</v>
      </c>
      <c r="D1520" s="1037"/>
      <c r="E1520" s="1037"/>
      <c r="F1520" s="1038"/>
      <c r="G1520" s="910"/>
      <c r="H1520" s="932">
        <f>SUBTOTAL(9,H1521:H1527)</f>
        <v>200</v>
      </c>
      <c r="I1520" s="915">
        <f>SUBTOTAL(9,I1521:I1526)</f>
        <v>0</v>
      </c>
      <c r="J1520" s="933"/>
      <c r="K1520" s="917"/>
      <c r="L1520" s="917"/>
      <c r="M1520" s="907">
        <f>SUBTOTAL(9,M1521:M1527)</f>
        <v>75360000</v>
      </c>
      <c r="N1520" s="907">
        <f>SUBTOTAL(9,N1521:N1527)</f>
        <v>0</v>
      </c>
      <c r="O1520" s="910"/>
      <c r="P1520" s="935">
        <f>SUBTOTAL(9,P1521:P1527)</f>
        <v>0</v>
      </c>
      <c r="Q1520" s="907"/>
      <c r="R1520" s="907">
        <f>SUBTOTAL(9,R1521:R1527)</f>
        <v>0</v>
      </c>
      <c r="S1520" s="918"/>
      <c r="T1520" s="933"/>
      <c r="U1520" s="936">
        <f>SUBTOTAL(9,U1521:U1527)</f>
        <v>0</v>
      </c>
      <c r="V1520" s="943"/>
      <c r="W1520" s="907"/>
      <c r="X1520" s="907">
        <f>SUBTOTAL(9,X1521:X1527)</f>
        <v>0</v>
      </c>
      <c r="Y1520" s="898"/>
      <c r="Z1520" s="904"/>
      <c r="AA1520" s="904"/>
      <c r="AB1520" s="904"/>
      <c r="AC1520" s="904"/>
      <c r="AD1520" s="904"/>
      <c r="AE1520" s="920"/>
      <c r="AF1520" s="917">
        <f>SUBTOTAL(9,AF1521:AF1527)</f>
        <v>0</v>
      </c>
      <c r="AG1520" s="921"/>
      <c r="AH1520" s="921">
        <f>SUBTOTAL(9,AH1521:AH1527)</f>
        <v>0</v>
      </c>
      <c r="AI1520" s="907">
        <f t="shared" si="323"/>
        <v>75360000</v>
      </c>
      <c r="AJ1520" s="910"/>
      <c r="AK1520" s="914"/>
    </row>
    <row r="1521" spans="1:37" s="385" customFormat="1" ht="135" outlineLevel="2" x14ac:dyDescent="0.3">
      <c r="A1521" s="447">
        <f>IF(B1520&lt;&gt;0,B1520,A1519)</f>
        <v>121</v>
      </c>
      <c r="B1521" s="893"/>
      <c r="C1521" s="894" t="s">
        <v>1075</v>
      </c>
      <c r="D1521" s="950">
        <v>4</v>
      </c>
      <c r="E1521" s="950">
        <v>86</v>
      </c>
      <c r="F1521" s="1032">
        <v>231</v>
      </c>
      <c r="G1521" s="894" t="s">
        <v>2432</v>
      </c>
      <c r="H1521" s="940">
        <f>100</f>
        <v>100</v>
      </c>
      <c r="I1521" s="882" t="str">
        <f t="shared" ref="I1521:I1522" si="330">IF(N1521&gt;0,H1521,"")</f>
        <v/>
      </c>
      <c r="J1521" s="925"/>
      <c r="K1521" s="899">
        <f>IF(G1521&lt;&gt;0,VLOOKUP(G1521,'gia dat'!$A$1:$F$144,5,0)," ")</f>
        <v>376800</v>
      </c>
      <c r="L1521" s="899">
        <f>IF(G1521&lt;&gt;0,VLOOKUP(G1521,'gia dat'!$A$1:$F$144,6,0)," ")</f>
        <v>0</v>
      </c>
      <c r="M1521" s="900">
        <f t="shared" si="320"/>
        <v>37680000</v>
      </c>
      <c r="N1521" s="900">
        <f t="shared" si="321"/>
        <v>0</v>
      </c>
      <c r="O1521" s="894"/>
      <c r="P1521" s="926"/>
      <c r="Q1521" s="900" t="str">
        <f>IF(O1521&lt;&gt;0,VLOOKUP(O1521,'Cây trong'!$A$2:$C$246,3,0)," ")</f>
        <v xml:space="preserve"> </v>
      </c>
      <c r="R1521" s="900" t="str">
        <f t="shared" si="326"/>
        <v xml:space="preserve"> </v>
      </c>
      <c r="S1521" s="902"/>
      <c r="T1521" s="925"/>
      <c r="U1521" s="927"/>
      <c r="V1521" s="929"/>
      <c r="W1521" s="900" t="str">
        <f>IF(S1521&lt;&gt;0,VLOOKUP(S1521,VKT!$A$2:$G$415,7,0),"")</f>
        <v/>
      </c>
      <c r="X1521" s="900" t="str">
        <f t="shared" si="318"/>
        <v xml:space="preserve"> </v>
      </c>
      <c r="Y1521" s="898"/>
      <c r="Z1521" s="904"/>
      <c r="AA1521" s="904"/>
      <c r="AB1521" s="904"/>
      <c r="AC1521" s="904"/>
      <c r="AD1521" s="904"/>
      <c r="AE1521" s="904"/>
      <c r="AF1521" s="899"/>
      <c r="AG1521" s="906" t="str">
        <f>IF(AE1521&lt;&gt;0,VLOOKUP(AE1521,ODDS!$A$2:$C$13,3,0),"")</f>
        <v/>
      </c>
      <c r="AH1521" s="906"/>
      <c r="AI1521" s="907" t="str">
        <f t="shared" si="323"/>
        <v xml:space="preserve"> </v>
      </c>
      <c r="AJ1521" s="894" t="s">
        <v>1074</v>
      </c>
      <c r="AK1521" s="922" t="s">
        <v>2771</v>
      </c>
    </row>
    <row r="1522" spans="1:37" s="385" customFormat="1" ht="112.5" outlineLevel="2" x14ac:dyDescent="0.3">
      <c r="A1522" s="447">
        <f t="shared" ref="A1522:A1527" si="331">IF(B1521&lt;&gt;0,B1521,A1521)</f>
        <v>121</v>
      </c>
      <c r="B1522" s="893"/>
      <c r="C1522" s="922" t="s">
        <v>1584</v>
      </c>
      <c r="D1522" s="950"/>
      <c r="E1522" s="950">
        <v>86</v>
      </c>
      <c r="F1522" s="1032">
        <v>214</v>
      </c>
      <c r="G1522" s="894" t="s">
        <v>2432</v>
      </c>
      <c r="H1522" s="940">
        <f>100</f>
        <v>100</v>
      </c>
      <c r="I1522" s="882" t="str">
        <f t="shared" si="330"/>
        <v/>
      </c>
      <c r="J1522" s="925"/>
      <c r="K1522" s="899">
        <f>IF(G1522&lt;&gt;0,VLOOKUP(G1522,'gia dat'!$A$1:$F$144,5,0)," ")</f>
        <v>376800</v>
      </c>
      <c r="L1522" s="899">
        <f>IF(G1522&lt;&gt;0,VLOOKUP(G1522,'gia dat'!$A$1:$F$144,6,0)," ")</f>
        <v>0</v>
      </c>
      <c r="M1522" s="900">
        <f t="shared" si="320"/>
        <v>37680000</v>
      </c>
      <c r="N1522" s="900">
        <f t="shared" si="321"/>
        <v>0</v>
      </c>
      <c r="O1522" s="894"/>
      <c r="P1522" s="926"/>
      <c r="Q1522" s="900" t="str">
        <f>IF(O1522&lt;&gt;0,VLOOKUP(O1522,'Cây trong'!$A$2:$C$246,3,0)," ")</f>
        <v xml:space="preserve"> </v>
      </c>
      <c r="R1522" s="900" t="str">
        <f t="shared" si="326"/>
        <v xml:space="preserve"> </v>
      </c>
      <c r="S1522" s="902"/>
      <c r="T1522" s="925"/>
      <c r="U1522" s="952"/>
      <c r="V1522" s="929"/>
      <c r="W1522" s="900" t="str">
        <f>IF(S1522&lt;&gt;0,VLOOKUP(S1522,VKT!$A$2:$G$415,7,0),"")</f>
        <v/>
      </c>
      <c r="X1522" s="900" t="str">
        <f t="shared" si="318"/>
        <v xml:space="preserve"> </v>
      </c>
      <c r="Y1522" s="898"/>
      <c r="Z1522" s="904"/>
      <c r="AA1522" s="904"/>
      <c r="AB1522" s="904"/>
      <c r="AC1522" s="904"/>
      <c r="AD1522" s="904"/>
      <c r="AE1522" s="904"/>
      <c r="AF1522" s="899"/>
      <c r="AG1522" s="906" t="str">
        <f>IF(AE1522&lt;&gt;0,VLOOKUP(AE1522,ODDS!$A$2:$C$13,3,0),"")</f>
        <v/>
      </c>
      <c r="AH1522" s="906" t="str">
        <f t="shared" si="327"/>
        <v xml:space="preserve"> </v>
      </c>
      <c r="AI1522" s="907" t="str">
        <f t="shared" si="323"/>
        <v xml:space="preserve"> </v>
      </c>
      <c r="AJ1522" s="894" t="s">
        <v>2949</v>
      </c>
      <c r="AK1522" s="894"/>
    </row>
    <row r="1523" spans="1:37" s="385" customFormat="1" ht="67.5" outlineLevel="2" x14ac:dyDescent="0.3">
      <c r="A1523" s="447">
        <f t="shared" si="331"/>
        <v>121</v>
      </c>
      <c r="B1523" s="893"/>
      <c r="C1523" s="894"/>
      <c r="D1523" s="950"/>
      <c r="E1523" s="950"/>
      <c r="F1523" s="1032"/>
      <c r="G1523" s="894"/>
      <c r="H1523" s="940"/>
      <c r="I1523" s="882"/>
      <c r="J1523" s="925"/>
      <c r="K1523" s="899" t="str">
        <f>IF(G1523&lt;&gt;0,VLOOKUP(G1523,'gia dat'!$A$1:$F$144,5,0)," ")</f>
        <v xml:space="preserve"> </v>
      </c>
      <c r="L1523" s="899" t="str">
        <f>IF(G1523&lt;&gt;0,VLOOKUP(G1523,'gia dat'!$A$1:$F$144,6,0)," ")</f>
        <v xml:space="preserve"> </v>
      </c>
      <c r="M1523" s="900" t="str">
        <f t="shared" si="320"/>
        <v xml:space="preserve"> </v>
      </c>
      <c r="N1523" s="900" t="str">
        <f t="shared" si="321"/>
        <v xml:space="preserve"> </v>
      </c>
      <c r="O1523" s="894"/>
      <c r="P1523" s="926"/>
      <c r="Q1523" s="900" t="str">
        <f>IF(O1523&lt;&gt;0,VLOOKUP(O1523,'Cây trong'!$A$2:$C$246,3,0)," ")</f>
        <v xml:space="preserve"> </v>
      </c>
      <c r="R1523" s="900" t="str">
        <f t="shared" si="326"/>
        <v xml:space="preserve"> </v>
      </c>
      <c r="S1523" s="902"/>
      <c r="T1523" s="925"/>
      <c r="U1523" s="927"/>
      <c r="V1523" s="929"/>
      <c r="W1523" s="900" t="str">
        <f>IF(S1523&lt;&gt;0,VLOOKUP(S1523,VKT!$A$2:$G$415,7,0),"")</f>
        <v/>
      </c>
      <c r="X1523" s="900" t="str">
        <f t="shared" si="318"/>
        <v xml:space="preserve"> </v>
      </c>
      <c r="Y1523" s="898"/>
      <c r="Z1523" s="904"/>
      <c r="AA1523" s="904"/>
      <c r="AB1523" s="904"/>
      <c r="AC1523" s="904"/>
      <c r="AD1523" s="904"/>
      <c r="AE1523" s="904"/>
      <c r="AF1523" s="899"/>
      <c r="AG1523" s="906" t="str">
        <f>IF(AE1523&lt;&gt;0,VLOOKUP(AE1523,ODDS!$A$2:$C$13,3,0),"")</f>
        <v/>
      </c>
      <c r="AH1523" s="906" t="str">
        <f t="shared" si="327"/>
        <v xml:space="preserve"> </v>
      </c>
      <c r="AI1523" s="907" t="str">
        <f t="shared" si="323"/>
        <v xml:space="preserve"> </v>
      </c>
      <c r="AJ1523" s="894" t="s">
        <v>1077</v>
      </c>
      <c r="AK1523" s="894"/>
    </row>
    <row r="1524" spans="1:37" s="385" customFormat="1" ht="45" outlineLevel="2" x14ac:dyDescent="0.3">
      <c r="A1524" s="447">
        <f t="shared" si="331"/>
        <v>121</v>
      </c>
      <c r="B1524" s="893"/>
      <c r="C1524" s="894"/>
      <c r="D1524" s="950"/>
      <c r="E1524" s="950"/>
      <c r="F1524" s="1032"/>
      <c r="G1524" s="894"/>
      <c r="H1524" s="940"/>
      <c r="I1524" s="882"/>
      <c r="J1524" s="925"/>
      <c r="K1524" s="899" t="str">
        <f>IF(G1524&lt;&gt;0,VLOOKUP(G1524,'gia dat'!$A$1:$F$144,5,0)," ")</f>
        <v xml:space="preserve"> </v>
      </c>
      <c r="L1524" s="899" t="str">
        <f>IF(G1524&lt;&gt;0,VLOOKUP(G1524,'gia dat'!$A$1:$F$144,6,0)," ")</f>
        <v xml:space="preserve"> </v>
      </c>
      <c r="M1524" s="900" t="str">
        <f t="shared" si="320"/>
        <v xml:space="preserve"> </v>
      </c>
      <c r="N1524" s="900" t="str">
        <f t="shared" si="321"/>
        <v xml:space="preserve"> </v>
      </c>
      <c r="O1524" s="894"/>
      <c r="P1524" s="926"/>
      <c r="Q1524" s="900" t="str">
        <f>IF(O1524&lt;&gt;0,VLOOKUP(O1524,'Cây trong'!$A$2:$C$246,3,0)," ")</f>
        <v xml:space="preserve"> </v>
      </c>
      <c r="R1524" s="900" t="str">
        <f t="shared" si="326"/>
        <v xml:space="preserve"> </v>
      </c>
      <c r="S1524" s="902"/>
      <c r="T1524" s="925"/>
      <c r="U1524" s="927"/>
      <c r="V1524" s="929"/>
      <c r="W1524" s="900" t="str">
        <f>IF(S1524&lt;&gt;0,VLOOKUP(S1524,VKT!$A$2:$G$415,7,0),"")</f>
        <v/>
      </c>
      <c r="X1524" s="900" t="str">
        <f t="shared" si="318"/>
        <v xml:space="preserve"> </v>
      </c>
      <c r="Y1524" s="898"/>
      <c r="Z1524" s="904"/>
      <c r="AA1524" s="904"/>
      <c r="AB1524" s="904"/>
      <c r="AC1524" s="904"/>
      <c r="AD1524" s="904"/>
      <c r="AE1524" s="904"/>
      <c r="AF1524" s="899"/>
      <c r="AG1524" s="906" t="str">
        <f>IF(AE1524&lt;&gt;0,VLOOKUP(AE1524,ODDS!$A$2:$C$13,3,0),"")</f>
        <v/>
      </c>
      <c r="AH1524" s="906" t="str">
        <f t="shared" si="327"/>
        <v xml:space="preserve"> </v>
      </c>
      <c r="AI1524" s="907" t="str">
        <f t="shared" si="323"/>
        <v xml:space="preserve"> </v>
      </c>
      <c r="AJ1524" s="894" t="s">
        <v>1078</v>
      </c>
      <c r="AK1524" s="894"/>
    </row>
    <row r="1525" spans="1:37" s="385" customFormat="1" ht="112.5" outlineLevel="2" x14ac:dyDescent="0.3">
      <c r="A1525" s="447">
        <f t="shared" si="331"/>
        <v>121</v>
      </c>
      <c r="B1525" s="893"/>
      <c r="C1525" s="894"/>
      <c r="D1525" s="950"/>
      <c r="E1525" s="950"/>
      <c r="F1525" s="1032"/>
      <c r="G1525" s="894"/>
      <c r="H1525" s="940"/>
      <c r="I1525" s="882"/>
      <c r="J1525" s="925"/>
      <c r="K1525" s="899" t="str">
        <f>IF(G1525&lt;&gt;0,VLOOKUP(G1525,'gia dat'!$A$1:$F$144,5,0)," ")</f>
        <v xml:space="preserve"> </v>
      </c>
      <c r="L1525" s="899" t="str">
        <f>IF(G1525&lt;&gt;0,VLOOKUP(G1525,'gia dat'!$A$1:$F$144,6,0)," ")</f>
        <v xml:space="preserve"> </v>
      </c>
      <c r="M1525" s="900" t="str">
        <f t="shared" si="320"/>
        <v xml:space="preserve"> </v>
      </c>
      <c r="N1525" s="900" t="str">
        <f t="shared" si="321"/>
        <v xml:space="preserve"> </v>
      </c>
      <c r="O1525" s="894"/>
      <c r="P1525" s="926"/>
      <c r="Q1525" s="900" t="str">
        <f>IF(O1525&lt;&gt;0,VLOOKUP(O1525,'Cây trong'!$A$2:$C$246,3,0)," ")</f>
        <v xml:space="preserve"> </v>
      </c>
      <c r="R1525" s="900" t="str">
        <f t="shared" si="326"/>
        <v xml:space="preserve"> </v>
      </c>
      <c r="S1525" s="902"/>
      <c r="T1525" s="925"/>
      <c r="U1525" s="927"/>
      <c r="V1525" s="929"/>
      <c r="W1525" s="900" t="str">
        <f>IF(S1525&lt;&gt;0,VLOOKUP(S1525,VKT!$A$2:$G$415,7,0),"")</f>
        <v/>
      </c>
      <c r="X1525" s="900" t="str">
        <f t="shared" si="318"/>
        <v xml:space="preserve"> </v>
      </c>
      <c r="Y1525" s="898"/>
      <c r="Z1525" s="904"/>
      <c r="AA1525" s="904"/>
      <c r="AB1525" s="904"/>
      <c r="AC1525" s="904"/>
      <c r="AD1525" s="904"/>
      <c r="AE1525" s="904"/>
      <c r="AF1525" s="899"/>
      <c r="AG1525" s="906" t="str">
        <f>IF(AE1525&lt;&gt;0,VLOOKUP(AE1525,ODDS!$A$2:$C$13,3,0),"")</f>
        <v/>
      </c>
      <c r="AH1525" s="906" t="str">
        <f t="shared" si="327"/>
        <v xml:space="preserve"> </v>
      </c>
      <c r="AI1525" s="907" t="str">
        <f t="shared" si="323"/>
        <v xml:space="preserve"> </v>
      </c>
      <c r="AJ1525" s="894" t="s">
        <v>2231</v>
      </c>
      <c r="AK1525" s="929"/>
    </row>
    <row r="1526" spans="1:37" s="385" customFormat="1" ht="22.5" outlineLevel="2" x14ac:dyDescent="0.35">
      <c r="A1526" s="447">
        <f t="shared" si="331"/>
        <v>121</v>
      </c>
      <c r="B1526" s="893"/>
      <c r="C1526" s="908"/>
      <c r="D1526" s="950"/>
      <c r="E1526" s="950"/>
      <c r="F1526" s="1032"/>
      <c r="G1526" s="894"/>
      <c r="H1526" s="940"/>
      <c r="I1526" s="882"/>
      <c r="J1526" s="925"/>
      <c r="K1526" s="899" t="str">
        <f>IF(G1526&lt;&gt;0,VLOOKUP(G1526,'gia dat'!$A$1:$F$144,5,0)," ")</f>
        <v xml:space="preserve"> </v>
      </c>
      <c r="L1526" s="899" t="str">
        <f>IF(G1526&lt;&gt;0,VLOOKUP(G1526,'gia dat'!$A$1:$F$144,6,0)," ")</f>
        <v xml:space="preserve"> </v>
      </c>
      <c r="M1526" s="900" t="str">
        <f t="shared" si="320"/>
        <v xml:space="preserve"> </v>
      </c>
      <c r="N1526" s="900" t="str">
        <f t="shared" si="321"/>
        <v xml:space="preserve"> </v>
      </c>
      <c r="O1526" s="894"/>
      <c r="P1526" s="926"/>
      <c r="Q1526" s="900" t="str">
        <f>IF(O1526&lt;&gt;0,VLOOKUP(O1526,'Cây trong'!$A$2:$C$246,3,0)," ")</f>
        <v xml:space="preserve"> </v>
      </c>
      <c r="R1526" s="900" t="str">
        <f t="shared" si="326"/>
        <v xml:space="preserve"> </v>
      </c>
      <c r="S1526" s="902"/>
      <c r="T1526" s="925"/>
      <c r="U1526" s="927"/>
      <c r="V1526" s="929"/>
      <c r="W1526" s="900" t="str">
        <f>IF(S1526&lt;&gt;0,VLOOKUP(S1526,VKT!$A$2:$G$415,7,0),"")</f>
        <v/>
      </c>
      <c r="X1526" s="900" t="str">
        <f t="shared" si="318"/>
        <v xml:space="preserve"> </v>
      </c>
      <c r="Y1526" s="898"/>
      <c r="Z1526" s="904"/>
      <c r="AA1526" s="904"/>
      <c r="AB1526" s="904"/>
      <c r="AC1526" s="904"/>
      <c r="AD1526" s="904"/>
      <c r="AE1526" s="904"/>
      <c r="AF1526" s="899"/>
      <c r="AG1526" s="906" t="str">
        <f>IF(AE1526&lt;&gt;0,VLOOKUP(AE1526,ODDS!$A$2:$C$13,3,0),"")</f>
        <v/>
      </c>
      <c r="AH1526" s="906" t="str">
        <f t="shared" si="327"/>
        <v xml:space="preserve"> </v>
      </c>
      <c r="AI1526" s="907" t="str">
        <f t="shared" si="323"/>
        <v xml:space="preserve"> </v>
      </c>
      <c r="AJ1526" s="1036"/>
      <c r="AK1526" s="929"/>
    </row>
    <row r="1527" spans="1:37" s="385" customFormat="1" ht="22.5" outlineLevel="2" x14ac:dyDescent="0.3">
      <c r="A1527" s="447">
        <f t="shared" si="331"/>
        <v>121</v>
      </c>
      <c r="B1527" s="893"/>
      <c r="C1527" s="910"/>
      <c r="D1527" s="1035"/>
      <c r="E1527" s="950"/>
      <c r="F1527" s="1032"/>
      <c r="G1527" s="894"/>
      <c r="H1527" s="1059"/>
      <c r="I1527" s="882"/>
      <c r="J1527" s="1042"/>
      <c r="K1527" s="899" t="str">
        <f>IF(G1527&lt;&gt;0,VLOOKUP(G1527,'gia dat'!$A$1:$F$144,5,0)," ")</f>
        <v xml:space="preserve"> </v>
      </c>
      <c r="L1527" s="899" t="str">
        <f>IF(G1527&lt;&gt;0,VLOOKUP(G1527,'gia dat'!$A$1:$F$144,6,0)," ")</f>
        <v xml:space="preserve"> </v>
      </c>
      <c r="M1527" s="900" t="str">
        <f t="shared" si="320"/>
        <v xml:space="preserve"> </v>
      </c>
      <c r="N1527" s="900" t="str">
        <f t="shared" si="321"/>
        <v xml:space="preserve"> </v>
      </c>
      <c r="O1527" s="922"/>
      <c r="P1527" s="965"/>
      <c r="Q1527" s="900" t="str">
        <f>IF(O1527&lt;&gt;0,VLOOKUP(O1527,'Cây trong'!$A$2:$C$246,3,0)," ")</f>
        <v xml:space="preserve"> </v>
      </c>
      <c r="R1527" s="900" t="str">
        <f t="shared" si="326"/>
        <v xml:space="preserve"> </v>
      </c>
      <c r="S1527" s="922"/>
      <c r="T1527" s="944"/>
      <c r="U1527" s="903"/>
      <c r="V1527" s="929"/>
      <c r="W1527" s="900" t="str">
        <f>IF(S1527&lt;&gt;0,VLOOKUP(S1527,VKT!$A$2:$G$415,7,0),"")</f>
        <v/>
      </c>
      <c r="X1527" s="900" t="str">
        <f t="shared" ref="X1527:X1600" si="332">IF(S1527&lt;&gt;0,ROUND(U1527*W1527,-3)," ")</f>
        <v xml:space="preserve"> </v>
      </c>
      <c r="Y1527" s="898"/>
      <c r="Z1527" s="904"/>
      <c r="AA1527" s="904"/>
      <c r="AB1527" s="904"/>
      <c r="AC1527" s="904"/>
      <c r="AD1527" s="904"/>
      <c r="AE1527" s="904"/>
      <c r="AF1527" s="899"/>
      <c r="AG1527" s="906" t="str">
        <f>IF(AE1527&lt;&gt;0,VLOOKUP(AE1527,ODDS!$A$2:$C$13,3,0),"")</f>
        <v/>
      </c>
      <c r="AH1527" s="906" t="str">
        <f t="shared" si="327"/>
        <v xml:space="preserve"> </v>
      </c>
      <c r="AI1527" s="907" t="str">
        <f t="shared" si="323"/>
        <v xml:space="preserve"> </v>
      </c>
      <c r="AJ1527" s="929"/>
      <c r="AK1527" s="929"/>
    </row>
    <row r="1528" spans="1:37" s="385" customFormat="1" ht="65.25" outlineLevel="1" x14ac:dyDescent="0.25">
      <c r="A1528" s="467" t="s">
        <v>2588</v>
      </c>
      <c r="B1528" s="912">
        <v>122</v>
      </c>
      <c r="C1528" s="910" t="s">
        <v>2050</v>
      </c>
      <c r="D1528" s="1037"/>
      <c r="E1528" s="1037"/>
      <c r="F1528" s="1038"/>
      <c r="G1528" s="910"/>
      <c r="H1528" s="932">
        <f>SUBTOTAL(9,H1529:H1536)</f>
        <v>100</v>
      </c>
      <c r="I1528" s="915">
        <f>SUBTOTAL(9,I1529:I1534)</f>
        <v>0</v>
      </c>
      <c r="J1528" s="933"/>
      <c r="K1528" s="917"/>
      <c r="L1528" s="917"/>
      <c r="M1528" s="907">
        <f>SUBTOTAL(9,M1529:M1536)</f>
        <v>37680000</v>
      </c>
      <c r="N1528" s="907">
        <f>SUBTOTAL(9,N1529:N1536)</f>
        <v>0</v>
      </c>
      <c r="O1528" s="910"/>
      <c r="P1528" s="935">
        <f>SUBTOTAL(9,P1529:P1536)</f>
        <v>0</v>
      </c>
      <c r="Q1528" s="907"/>
      <c r="R1528" s="907">
        <f>SUBTOTAL(9,R1529:R1536)</f>
        <v>0</v>
      </c>
      <c r="S1528" s="918"/>
      <c r="T1528" s="933"/>
      <c r="U1528" s="936">
        <f>SUBTOTAL(9,U1529:U1536)</f>
        <v>0</v>
      </c>
      <c r="V1528" s="943"/>
      <c r="W1528" s="907"/>
      <c r="X1528" s="907">
        <f>SUBTOTAL(9,X1529:X1536)</f>
        <v>0</v>
      </c>
      <c r="Y1528" s="898"/>
      <c r="Z1528" s="904"/>
      <c r="AA1528" s="904"/>
      <c r="AB1528" s="904"/>
      <c r="AC1528" s="904"/>
      <c r="AD1528" s="904"/>
      <c r="AE1528" s="920"/>
      <c r="AF1528" s="917">
        <f>SUBTOTAL(9,AF1529:AF1536)</f>
        <v>0</v>
      </c>
      <c r="AG1528" s="921"/>
      <c r="AH1528" s="921">
        <f>SUBTOTAL(9,AH1529:AH1536)</f>
        <v>0</v>
      </c>
      <c r="AI1528" s="907">
        <f t="shared" si="323"/>
        <v>37680000</v>
      </c>
      <c r="AJ1528" s="910"/>
      <c r="AK1528" s="914"/>
    </row>
    <row r="1529" spans="1:37" s="385" customFormat="1" ht="135" outlineLevel="2" x14ac:dyDescent="0.3">
      <c r="A1529" s="447">
        <f>IF(B1528&lt;&gt;0,B1528,A1527)</f>
        <v>122</v>
      </c>
      <c r="B1529" s="893"/>
      <c r="C1529" s="894"/>
      <c r="D1529" s="950">
        <v>1</v>
      </c>
      <c r="E1529" s="950">
        <v>86</v>
      </c>
      <c r="F1529" s="1032">
        <v>217</v>
      </c>
      <c r="G1529" s="894" t="s">
        <v>2432</v>
      </c>
      <c r="H1529" s="940">
        <v>100</v>
      </c>
      <c r="I1529" s="882" t="str">
        <f t="shared" ref="I1529" si="333">IF(N1529&gt;0,H1529,"")</f>
        <v/>
      </c>
      <c r="J1529" s="925"/>
      <c r="K1529" s="899">
        <f>IF(G1529&lt;&gt;0,VLOOKUP(G1529,'gia dat'!$A$1:$F$144,5,0)," ")</f>
        <v>376800</v>
      </c>
      <c r="L1529" s="899">
        <f>IF(G1529&lt;&gt;0,VLOOKUP(G1529,'gia dat'!$A$1:$F$144,6,0)," ")</f>
        <v>0</v>
      </c>
      <c r="M1529" s="900">
        <f t="shared" si="320"/>
        <v>37680000</v>
      </c>
      <c r="N1529" s="900">
        <f t="shared" si="321"/>
        <v>0</v>
      </c>
      <c r="O1529" s="894"/>
      <c r="P1529" s="926"/>
      <c r="Q1529" s="900" t="str">
        <f>IF(O1529&lt;&gt;0,VLOOKUP(O1529,'Cây trong'!$A$2:$C$246,3,0)," ")</f>
        <v xml:space="preserve"> </v>
      </c>
      <c r="R1529" s="900" t="str">
        <f t="shared" si="326"/>
        <v xml:space="preserve"> </v>
      </c>
      <c r="S1529" s="902"/>
      <c r="T1529" s="925"/>
      <c r="U1529" s="927"/>
      <c r="V1529" s="929"/>
      <c r="W1529" s="900" t="str">
        <f>IF(S1529&lt;&gt;0,VLOOKUP(S1529,VKT!$A$2:$G$415,7,0),"")</f>
        <v/>
      </c>
      <c r="X1529" s="900" t="str">
        <f t="shared" si="332"/>
        <v xml:space="preserve"> </v>
      </c>
      <c r="Y1529" s="898"/>
      <c r="Z1529" s="904"/>
      <c r="AA1529" s="904"/>
      <c r="AB1529" s="904"/>
      <c r="AC1529" s="904"/>
      <c r="AD1529" s="904"/>
      <c r="AE1529" s="904"/>
      <c r="AF1529" s="899"/>
      <c r="AG1529" s="906" t="str">
        <f>IF(AE1529&lt;&gt;0,VLOOKUP(AE1529,ODDS!$A$2:$C$13,3,0),"")</f>
        <v/>
      </c>
      <c r="AH1529" s="906" t="str">
        <f t="shared" si="327"/>
        <v xml:space="preserve"> </v>
      </c>
      <c r="AI1529" s="907" t="str">
        <f t="shared" si="323"/>
        <v xml:space="preserve"> </v>
      </c>
      <c r="AJ1529" s="894" t="s">
        <v>1080</v>
      </c>
      <c r="AK1529" s="922" t="s">
        <v>2771</v>
      </c>
    </row>
    <row r="1530" spans="1:37" s="385" customFormat="1" ht="48" outlineLevel="2" x14ac:dyDescent="0.3">
      <c r="A1530" s="447">
        <f t="shared" ref="A1530:A1536" si="334">IF(B1529&lt;&gt;0,B1529,A1529)</f>
        <v>122</v>
      </c>
      <c r="B1530" s="893"/>
      <c r="C1530" s="922"/>
      <c r="D1530" s="950"/>
      <c r="E1530" s="950"/>
      <c r="F1530" s="1032"/>
      <c r="G1530" s="894"/>
      <c r="H1530" s="940"/>
      <c r="I1530" s="882"/>
      <c r="J1530" s="925"/>
      <c r="K1530" s="899" t="str">
        <f>IF(G1530&lt;&gt;0,VLOOKUP(G1530,'gia dat'!$A$1:$F$144,5,0)," ")</f>
        <v xml:space="preserve"> </v>
      </c>
      <c r="L1530" s="899" t="str">
        <f>IF(G1530&lt;&gt;0,VLOOKUP(G1530,'gia dat'!$A$1:$F$144,6,0)," ")</f>
        <v xml:space="preserve"> </v>
      </c>
      <c r="M1530" s="900" t="str">
        <f t="shared" si="320"/>
        <v xml:space="preserve"> </v>
      </c>
      <c r="N1530" s="900" t="str">
        <f t="shared" si="321"/>
        <v xml:space="preserve"> </v>
      </c>
      <c r="O1530" s="894"/>
      <c r="P1530" s="926"/>
      <c r="Q1530" s="900" t="str">
        <f>IF(O1530&lt;&gt;0,VLOOKUP(O1530,'Cây trong'!$A$2:$C$246,3,0)," ")</f>
        <v xml:space="preserve"> </v>
      </c>
      <c r="R1530" s="900" t="str">
        <f t="shared" si="326"/>
        <v xml:space="preserve"> </v>
      </c>
      <c r="S1530" s="902"/>
      <c r="T1530" s="925"/>
      <c r="U1530" s="952"/>
      <c r="V1530" s="929"/>
      <c r="W1530" s="900" t="str">
        <f>IF(S1530&lt;&gt;0,VLOOKUP(S1530,VKT!$A$2:$G$415,7,0),"")</f>
        <v/>
      </c>
      <c r="X1530" s="900" t="str">
        <f t="shared" si="332"/>
        <v xml:space="preserve"> </v>
      </c>
      <c r="Y1530" s="898"/>
      <c r="Z1530" s="904"/>
      <c r="AA1530" s="904"/>
      <c r="AB1530" s="904"/>
      <c r="AC1530" s="904"/>
      <c r="AD1530" s="904"/>
      <c r="AE1530" s="904"/>
      <c r="AF1530" s="899"/>
      <c r="AG1530" s="906" t="str">
        <f>IF(AE1530&lt;&gt;0,VLOOKUP(AE1530,ODDS!$A$2:$C$13,3,0),"")</f>
        <v/>
      </c>
      <c r="AH1530" s="906" t="str">
        <f t="shared" si="327"/>
        <v xml:space="preserve"> </v>
      </c>
      <c r="AI1530" s="907" t="str">
        <f t="shared" si="323"/>
        <v xml:space="preserve"> </v>
      </c>
      <c r="AJ1530" s="894" t="s">
        <v>2950</v>
      </c>
      <c r="AK1530" s="894"/>
    </row>
    <row r="1531" spans="1:37" s="385" customFormat="1" ht="45" outlineLevel="2" x14ac:dyDescent="0.3">
      <c r="A1531" s="447">
        <f t="shared" si="334"/>
        <v>122</v>
      </c>
      <c r="B1531" s="893"/>
      <c r="C1531" s="894"/>
      <c r="D1531" s="950"/>
      <c r="E1531" s="950"/>
      <c r="F1531" s="1032"/>
      <c r="G1531" s="894"/>
      <c r="H1531" s="940"/>
      <c r="I1531" s="882"/>
      <c r="J1531" s="925"/>
      <c r="K1531" s="899" t="str">
        <f>IF(G1531&lt;&gt;0,VLOOKUP(G1531,'gia dat'!$A$1:$F$144,5,0)," ")</f>
        <v xml:space="preserve"> </v>
      </c>
      <c r="L1531" s="899" t="str">
        <f>IF(G1531&lt;&gt;0,VLOOKUP(G1531,'gia dat'!$A$1:$F$144,6,0)," ")</f>
        <v xml:space="preserve"> </v>
      </c>
      <c r="M1531" s="900" t="str">
        <f t="shared" si="320"/>
        <v xml:space="preserve"> </v>
      </c>
      <c r="N1531" s="900" t="str">
        <f t="shared" si="321"/>
        <v xml:space="preserve"> </v>
      </c>
      <c r="O1531" s="894"/>
      <c r="P1531" s="926"/>
      <c r="Q1531" s="900" t="str">
        <f>IF(O1531&lt;&gt;0,VLOOKUP(O1531,'Cây trong'!$A$2:$C$246,3,0)," ")</f>
        <v xml:space="preserve"> </v>
      </c>
      <c r="R1531" s="900" t="str">
        <f t="shared" si="326"/>
        <v xml:space="preserve"> </v>
      </c>
      <c r="S1531" s="902"/>
      <c r="T1531" s="925"/>
      <c r="U1531" s="927"/>
      <c r="V1531" s="929"/>
      <c r="W1531" s="900" t="str">
        <f>IF(S1531&lt;&gt;0,VLOOKUP(S1531,VKT!$A$2:$G$415,7,0),"")</f>
        <v/>
      </c>
      <c r="X1531" s="900" t="str">
        <f t="shared" si="332"/>
        <v xml:space="preserve"> </v>
      </c>
      <c r="Y1531" s="898"/>
      <c r="Z1531" s="904"/>
      <c r="AA1531" s="904"/>
      <c r="AB1531" s="904"/>
      <c r="AC1531" s="904"/>
      <c r="AD1531" s="904"/>
      <c r="AE1531" s="904"/>
      <c r="AF1531" s="899"/>
      <c r="AG1531" s="906" t="str">
        <f>IF(AE1531&lt;&gt;0,VLOOKUP(AE1531,ODDS!$A$2:$C$13,3,0),"")</f>
        <v/>
      </c>
      <c r="AH1531" s="906" t="str">
        <f t="shared" si="327"/>
        <v xml:space="preserve"> </v>
      </c>
      <c r="AI1531" s="907" t="str">
        <f t="shared" si="323"/>
        <v xml:space="preserve"> </v>
      </c>
      <c r="AJ1531" s="894" t="s">
        <v>1083</v>
      </c>
      <c r="AK1531" s="894"/>
    </row>
    <row r="1532" spans="1:37" s="385" customFormat="1" ht="22.5" outlineLevel="2" x14ac:dyDescent="0.3">
      <c r="A1532" s="447">
        <f t="shared" si="334"/>
        <v>122</v>
      </c>
      <c r="B1532" s="893"/>
      <c r="C1532" s="894"/>
      <c r="D1532" s="950"/>
      <c r="E1532" s="950"/>
      <c r="F1532" s="1032"/>
      <c r="G1532" s="894"/>
      <c r="H1532" s="940"/>
      <c r="I1532" s="882"/>
      <c r="J1532" s="925"/>
      <c r="K1532" s="899" t="str">
        <f>IF(G1532&lt;&gt;0,VLOOKUP(G1532,'gia dat'!$A$1:$F$144,5,0)," ")</f>
        <v xml:space="preserve"> </v>
      </c>
      <c r="L1532" s="899" t="str">
        <f>IF(G1532&lt;&gt;0,VLOOKUP(G1532,'gia dat'!$A$1:$F$144,6,0)," ")</f>
        <v xml:space="preserve"> </v>
      </c>
      <c r="M1532" s="900" t="str">
        <f t="shared" si="320"/>
        <v xml:space="preserve"> </v>
      </c>
      <c r="N1532" s="900" t="str">
        <f t="shared" si="321"/>
        <v xml:space="preserve"> </v>
      </c>
      <c r="O1532" s="894"/>
      <c r="P1532" s="926"/>
      <c r="Q1532" s="900" t="str">
        <f>IF(O1532&lt;&gt;0,VLOOKUP(O1532,'Cây trong'!$A$2:$C$246,3,0)," ")</f>
        <v xml:space="preserve"> </v>
      </c>
      <c r="R1532" s="900" t="str">
        <f t="shared" si="326"/>
        <v xml:space="preserve"> </v>
      </c>
      <c r="S1532" s="902"/>
      <c r="T1532" s="925"/>
      <c r="U1532" s="927"/>
      <c r="V1532" s="929"/>
      <c r="W1532" s="900" t="str">
        <f>IF(S1532&lt;&gt;0,VLOOKUP(S1532,VKT!$A$2:$G$415,7,0),"")</f>
        <v/>
      </c>
      <c r="X1532" s="900" t="str">
        <f t="shared" si="332"/>
        <v xml:space="preserve"> </v>
      </c>
      <c r="Y1532" s="898"/>
      <c r="Z1532" s="904"/>
      <c r="AA1532" s="904"/>
      <c r="AB1532" s="904"/>
      <c r="AC1532" s="904"/>
      <c r="AD1532" s="904"/>
      <c r="AE1532" s="904"/>
      <c r="AF1532" s="899"/>
      <c r="AG1532" s="906" t="str">
        <f>IF(AE1532&lt;&gt;0,VLOOKUP(AE1532,ODDS!$A$2:$C$13,3,0),"")</f>
        <v/>
      </c>
      <c r="AH1532" s="906" t="str">
        <f t="shared" si="327"/>
        <v xml:space="preserve"> </v>
      </c>
      <c r="AI1532" s="907" t="str">
        <f t="shared" si="323"/>
        <v xml:space="preserve"> </v>
      </c>
      <c r="AJ1532" s="929"/>
      <c r="AK1532" s="929"/>
    </row>
    <row r="1533" spans="1:37" s="385" customFormat="1" ht="22.5" outlineLevel="2" x14ac:dyDescent="0.3">
      <c r="A1533" s="447">
        <f t="shared" si="334"/>
        <v>122</v>
      </c>
      <c r="B1533" s="893"/>
      <c r="C1533" s="894"/>
      <c r="D1533" s="950"/>
      <c r="E1533" s="950"/>
      <c r="F1533" s="1032"/>
      <c r="G1533" s="894"/>
      <c r="H1533" s="940"/>
      <c r="I1533" s="882"/>
      <c r="J1533" s="925"/>
      <c r="K1533" s="899" t="str">
        <f>IF(G1533&lt;&gt;0,VLOOKUP(G1533,'gia dat'!$A$1:$F$144,5,0)," ")</f>
        <v xml:space="preserve"> </v>
      </c>
      <c r="L1533" s="899" t="str">
        <f>IF(G1533&lt;&gt;0,VLOOKUP(G1533,'gia dat'!$A$1:$F$144,6,0)," ")</f>
        <v xml:space="preserve"> </v>
      </c>
      <c r="M1533" s="900" t="str">
        <f t="shared" si="320"/>
        <v xml:space="preserve"> </v>
      </c>
      <c r="N1533" s="900" t="str">
        <f t="shared" si="321"/>
        <v xml:space="preserve"> </v>
      </c>
      <c r="O1533" s="894"/>
      <c r="P1533" s="926"/>
      <c r="Q1533" s="900" t="str">
        <f>IF(O1533&lt;&gt;0,VLOOKUP(O1533,'Cây trong'!$A$2:$C$246,3,0)," ")</f>
        <v xml:space="preserve"> </v>
      </c>
      <c r="R1533" s="900" t="str">
        <f t="shared" si="326"/>
        <v xml:space="preserve"> </v>
      </c>
      <c r="S1533" s="902"/>
      <c r="T1533" s="925"/>
      <c r="U1533" s="927"/>
      <c r="V1533" s="929"/>
      <c r="W1533" s="900" t="str">
        <f>IF(S1533&lt;&gt;0,VLOOKUP(S1533,VKT!$A$2:$G$415,7,0),"")</f>
        <v/>
      </c>
      <c r="X1533" s="900" t="str">
        <f t="shared" si="332"/>
        <v xml:space="preserve"> </v>
      </c>
      <c r="Y1533" s="898"/>
      <c r="Z1533" s="904"/>
      <c r="AA1533" s="904"/>
      <c r="AB1533" s="904"/>
      <c r="AC1533" s="904"/>
      <c r="AD1533" s="904"/>
      <c r="AE1533" s="904"/>
      <c r="AF1533" s="899"/>
      <c r="AG1533" s="906" t="str">
        <f>IF(AE1533&lt;&gt;0,VLOOKUP(AE1533,ODDS!$A$2:$C$13,3,0),"")</f>
        <v/>
      </c>
      <c r="AH1533" s="906" t="str">
        <f t="shared" si="327"/>
        <v xml:space="preserve"> </v>
      </c>
      <c r="AI1533" s="907" t="str">
        <f t="shared" si="323"/>
        <v xml:space="preserve"> </v>
      </c>
      <c r="AJ1533" s="894"/>
      <c r="AK1533" s="894"/>
    </row>
    <row r="1534" spans="1:37" s="385" customFormat="1" ht="22.5" outlineLevel="2" x14ac:dyDescent="0.3">
      <c r="A1534" s="447">
        <f t="shared" si="334"/>
        <v>122</v>
      </c>
      <c r="B1534" s="893"/>
      <c r="C1534" s="894"/>
      <c r="D1534" s="950"/>
      <c r="E1534" s="950"/>
      <c r="F1534" s="1032"/>
      <c r="G1534" s="894"/>
      <c r="H1534" s="940"/>
      <c r="I1534" s="882"/>
      <c r="J1534" s="925"/>
      <c r="K1534" s="899" t="str">
        <f>IF(G1534&lt;&gt;0,VLOOKUP(G1534,'gia dat'!$A$1:$F$144,5,0)," ")</f>
        <v xml:space="preserve"> </v>
      </c>
      <c r="L1534" s="899" t="str">
        <f>IF(G1534&lt;&gt;0,VLOOKUP(G1534,'gia dat'!$A$1:$F$144,6,0)," ")</f>
        <v xml:space="preserve"> </v>
      </c>
      <c r="M1534" s="900" t="str">
        <f t="shared" si="320"/>
        <v xml:space="preserve"> </v>
      </c>
      <c r="N1534" s="900" t="str">
        <f t="shared" si="321"/>
        <v xml:space="preserve"> </v>
      </c>
      <c r="O1534" s="894"/>
      <c r="P1534" s="926"/>
      <c r="Q1534" s="900" t="str">
        <f>IF(O1534&lt;&gt;0,VLOOKUP(O1534,'Cây trong'!$A$2:$C$246,3,0)," ")</f>
        <v xml:space="preserve"> </v>
      </c>
      <c r="R1534" s="900" t="str">
        <f t="shared" si="326"/>
        <v xml:space="preserve"> </v>
      </c>
      <c r="S1534" s="902"/>
      <c r="T1534" s="925"/>
      <c r="U1534" s="927"/>
      <c r="V1534" s="929"/>
      <c r="W1534" s="900" t="str">
        <f>IF(S1534&lt;&gt;0,VLOOKUP(S1534,VKT!$A$2:$G$415,7,0),"")</f>
        <v/>
      </c>
      <c r="X1534" s="900" t="str">
        <f t="shared" si="332"/>
        <v xml:space="preserve"> </v>
      </c>
      <c r="Y1534" s="898"/>
      <c r="Z1534" s="904"/>
      <c r="AA1534" s="904"/>
      <c r="AB1534" s="904"/>
      <c r="AC1534" s="904"/>
      <c r="AD1534" s="904"/>
      <c r="AE1534" s="904"/>
      <c r="AF1534" s="899"/>
      <c r="AG1534" s="906" t="str">
        <f>IF(AE1534&lt;&gt;0,VLOOKUP(AE1534,ODDS!$A$2:$C$13,3,0),"")</f>
        <v/>
      </c>
      <c r="AH1534" s="906" t="str">
        <f t="shared" si="327"/>
        <v xml:space="preserve"> </v>
      </c>
      <c r="AI1534" s="907" t="str">
        <f t="shared" si="323"/>
        <v xml:space="preserve"> </v>
      </c>
      <c r="AJ1534" s="894"/>
      <c r="AK1534" s="894"/>
    </row>
    <row r="1535" spans="1:37" s="385" customFormat="1" ht="22.5" outlineLevel="2" x14ac:dyDescent="0.3">
      <c r="A1535" s="447">
        <f t="shared" si="334"/>
        <v>122</v>
      </c>
      <c r="B1535" s="893"/>
      <c r="C1535" s="908"/>
      <c r="D1535" s="950"/>
      <c r="E1535" s="950"/>
      <c r="F1535" s="1032"/>
      <c r="G1535" s="894"/>
      <c r="H1535" s="940"/>
      <c r="I1535" s="882"/>
      <c r="J1535" s="925"/>
      <c r="K1535" s="899" t="str">
        <f>IF(G1535&lt;&gt;0,VLOOKUP(G1535,'gia dat'!$A$1:$F$144,5,0)," ")</f>
        <v xml:space="preserve"> </v>
      </c>
      <c r="L1535" s="899" t="str">
        <f>IF(G1535&lt;&gt;0,VLOOKUP(G1535,'gia dat'!$A$1:$F$144,6,0)," ")</f>
        <v xml:space="preserve"> </v>
      </c>
      <c r="M1535" s="900" t="str">
        <f t="shared" si="320"/>
        <v xml:space="preserve"> </v>
      </c>
      <c r="N1535" s="900" t="str">
        <f t="shared" si="321"/>
        <v xml:space="preserve"> </v>
      </c>
      <c r="O1535" s="894"/>
      <c r="P1535" s="926"/>
      <c r="Q1535" s="900" t="str">
        <f>IF(O1535&lt;&gt;0,VLOOKUP(O1535,'Cây trong'!$A$2:$C$246,3,0)," ")</f>
        <v xml:space="preserve"> </v>
      </c>
      <c r="R1535" s="900" t="str">
        <f t="shared" si="326"/>
        <v xml:space="preserve"> </v>
      </c>
      <c r="S1535" s="902"/>
      <c r="T1535" s="925"/>
      <c r="U1535" s="927"/>
      <c r="V1535" s="929"/>
      <c r="W1535" s="900" t="str">
        <f>IF(S1535&lt;&gt;0,VLOOKUP(S1535,VKT!$A$2:$G$415,7,0),"")</f>
        <v/>
      </c>
      <c r="X1535" s="900" t="str">
        <f t="shared" si="332"/>
        <v xml:space="preserve"> </v>
      </c>
      <c r="Y1535" s="898"/>
      <c r="Z1535" s="904"/>
      <c r="AA1535" s="904"/>
      <c r="AB1535" s="904"/>
      <c r="AC1535" s="904"/>
      <c r="AD1535" s="904"/>
      <c r="AE1535" s="904"/>
      <c r="AF1535" s="899"/>
      <c r="AG1535" s="906" t="str">
        <f>IF(AE1535&lt;&gt;0,VLOOKUP(AE1535,ODDS!$A$2:$C$13,3,0),"")</f>
        <v/>
      </c>
      <c r="AH1535" s="906" t="str">
        <f t="shared" si="327"/>
        <v xml:space="preserve"> </v>
      </c>
      <c r="AI1535" s="907" t="str">
        <f t="shared" si="323"/>
        <v xml:space="preserve"> </v>
      </c>
      <c r="AJ1535" s="894"/>
      <c r="AK1535" s="894"/>
    </row>
    <row r="1536" spans="1:37" s="385" customFormat="1" ht="22.5" outlineLevel="2" x14ac:dyDescent="0.3">
      <c r="A1536" s="447">
        <f t="shared" si="334"/>
        <v>122</v>
      </c>
      <c r="B1536" s="893"/>
      <c r="C1536" s="910"/>
      <c r="D1536" s="1035"/>
      <c r="E1536" s="950"/>
      <c r="F1536" s="1032"/>
      <c r="G1536" s="894"/>
      <c r="H1536" s="1059"/>
      <c r="I1536" s="882"/>
      <c r="J1536" s="1042"/>
      <c r="K1536" s="899" t="str">
        <f>IF(G1536&lt;&gt;0,VLOOKUP(G1536,'gia dat'!$A$1:$F$144,5,0)," ")</f>
        <v xml:space="preserve"> </v>
      </c>
      <c r="L1536" s="899" t="str">
        <f>IF(G1536&lt;&gt;0,VLOOKUP(G1536,'gia dat'!$A$1:$F$144,6,0)," ")</f>
        <v xml:space="preserve"> </v>
      </c>
      <c r="M1536" s="900" t="str">
        <f t="shared" si="320"/>
        <v xml:space="preserve"> </v>
      </c>
      <c r="N1536" s="900" t="str">
        <f t="shared" si="321"/>
        <v xml:space="preserve"> </v>
      </c>
      <c r="O1536" s="922"/>
      <c r="P1536" s="965"/>
      <c r="Q1536" s="900" t="str">
        <f>IF(O1536&lt;&gt;0,VLOOKUP(O1536,'Cây trong'!$A$2:$C$246,3,0)," ")</f>
        <v xml:space="preserve"> </v>
      </c>
      <c r="R1536" s="900" t="str">
        <f t="shared" si="326"/>
        <v xml:space="preserve"> </v>
      </c>
      <c r="S1536" s="922"/>
      <c r="T1536" s="944"/>
      <c r="U1536" s="903"/>
      <c r="V1536" s="929"/>
      <c r="W1536" s="900" t="str">
        <f>IF(S1536&lt;&gt;0,VLOOKUP(S1536,VKT!$A$2:$G$415,7,0),"")</f>
        <v/>
      </c>
      <c r="X1536" s="900" t="str">
        <f t="shared" si="332"/>
        <v xml:space="preserve"> </v>
      </c>
      <c r="Y1536" s="898"/>
      <c r="Z1536" s="904"/>
      <c r="AA1536" s="904"/>
      <c r="AB1536" s="904"/>
      <c r="AC1536" s="904"/>
      <c r="AD1536" s="904"/>
      <c r="AE1536" s="904"/>
      <c r="AF1536" s="899"/>
      <c r="AG1536" s="906" t="str">
        <f>IF(AE1536&lt;&gt;0,VLOOKUP(AE1536,ODDS!$A$2:$C$13,3,0),"")</f>
        <v/>
      </c>
      <c r="AH1536" s="906" t="str">
        <f t="shared" si="327"/>
        <v xml:space="preserve"> </v>
      </c>
      <c r="AI1536" s="907" t="str">
        <f t="shared" si="323"/>
        <v xml:space="preserve"> </v>
      </c>
      <c r="AJ1536" s="929"/>
      <c r="AK1536" s="929"/>
    </row>
    <row r="1537" spans="1:37" s="385" customFormat="1" ht="43.5" outlineLevel="1" x14ac:dyDescent="0.25">
      <c r="A1537" s="467" t="s">
        <v>2587</v>
      </c>
      <c r="B1537" s="912">
        <v>123</v>
      </c>
      <c r="C1537" s="910" t="s">
        <v>1084</v>
      </c>
      <c r="D1537" s="1037"/>
      <c r="E1537" s="1037"/>
      <c r="F1537" s="1038"/>
      <c r="G1537" s="910"/>
      <c r="H1537" s="932">
        <f>SUBTOTAL(9,H1538:H1542)</f>
        <v>100</v>
      </c>
      <c r="I1537" s="915">
        <f>SUBTOTAL(9,I1538:I1543)</f>
        <v>100</v>
      </c>
      <c r="J1537" s="933"/>
      <c r="K1537" s="917"/>
      <c r="L1537" s="917"/>
      <c r="M1537" s="907">
        <f>SUBTOTAL(9,M1538:M1542)</f>
        <v>37680000</v>
      </c>
      <c r="N1537" s="907">
        <f>SUBTOTAL(9,N1538:N1542)</f>
        <v>113040000</v>
      </c>
      <c r="O1537" s="910"/>
      <c r="P1537" s="935">
        <f>SUBTOTAL(9,P1538:P1542)</f>
        <v>0</v>
      </c>
      <c r="Q1537" s="907"/>
      <c r="R1537" s="907">
        <f>SUBTOTAL(9,R1538:R1542)</f>
        <v>0</v>
      </c>
      <c r="S1537" s="918"/>
      <c r="T1537" s="933"/>
      <c r="U1537" s="936">
        <f>SUBTOTAL(9,U1538:U1542)</f>
        <v>0</v>
      </c>
      <c r="V1537" s="943"/>
      <c r="W1537" s="907"/>
      <c r="X1537" s="907">
        <f>SUBTOTAL(9,X1538:X1542)</f>
        <v>0</v>
      </c>
      <c r="Y1537" s="898"/>
      <c r="Z1537" s="904"/>
      <c r="AA1537" s="904"/>
      <c r="AB1537" s="904"/>
      <c r="AC1537" s="904"/>
      <c r="AD1537" s="904"/>
      <c r="AE1537" s="920"/>
      <c r="AF1537" s="917">
        <f>SUBTOTAL(9,AF1538:AF1542)</f>
        <v>0</v>
      </c>
      <c r="AG1537" s="921"/>
      <c r="AH1537" s="921">
        <f>SUBTOTAL(9,AH1538:AH1542)</f>
        <v>0</v>
      </c>
      <c r="AI1537" s="907">
        <f t="shared" si="323"/>
        <v>150720000</v>
      </c>
      <c r="AJ1537" s="910"/>
      <c r="AK1537" s="914"/>
    </row>
    <row r="1538" spans="1:37" s="385" customFormat="1" ht="135" outlineLevel="2" x14ac:dyDescent="0.3">
      <c r="A1538" s="447">
        <f>IF(B1537&lt;&gt;0,B1537,A1536)</f>
        <v>123</v>
      </c>
      <c r="B1538" s="893"/>
      <c r="C1538" s="894" t="s">
        <v>1086</v>
      </c>
      <c r="D1538" s="950">
        <v>1</v>
      </c>
      <c r="E1538" s="950">
        <v>86</v>
      </c>
      <c r="F1538" s="1032">
        <v>216</v>
      </c>
      <c r="G1538" s="894" t="s">
        <v>2433</v>
      </c>
      <c r="H1538" s="940">
        <v>100</v>
      </c>
      <c r="I1538" s="882">
        <f t="shared" ref="I1538" si="335">IF(N1538&gt;0,H1538,"")</f>
        <v>100</v>
      </c>
      <c r="J1538" s="925"/>
      <c r="K1538" s="899">
        <f>IF(G1538&lt;&gt;0,VLOOKUP(G1538,'gia dat'!$A$1:$F$144,5,0)," ")</f>
        <v>376800</v>
      </c>
      <c r="L1538" s="899">
        <f>IF(G1538&lt;&gt;0,VLOOKUP(G1538,'gia dat'!$A$1:$F$144,6,0)," ")</f>
        <v>1130400</v>
      </c>
      <c r="M1538" s="900">
        <f t="shared" si="320"/>
        <v>37680000</v>
      </c>
      <c r="N1538" s="900">
        <f t="shared" si="321"/>
        <v>113040000</v>
      </c>
      <c r="O1538" s="894"/>
      <c r="P1538" s="926"/>
      <c r="Q1538" s="900" t="str">
        <f>IF(O1538&lt;&gt;0,VLOOKUP(O1538,'Cây trong'!$A$2:$C$246,3,0)," ")</f>
        <v xml:space="preserve"> </v>
      </c>
      <c r="R1538" s="900" t="str">
        <f t="shared" si="326"/>
        <v xml:space="preserve"> </v>
      </c>
      <c r="S1538" s="902"/>
      <c r="T1538" s="925"/>
      <c r="U1538" s="927"/>
      <c r="V1538" s="929"/>
      <c r="W1538" s="900" t="str">
        <f>IF(S1538&lt;&gt;0,VLOOKUP(S1538,VKT!$A$2:$G$415,7,0),"")</f>
        <v/>
      </c>
      <c r="X1538" s="900" t="str">
        <f t="shared" si="332"/>
        <v xml:space="preserve"> </v>
      </c>
      <c r="Y1538" s="898"/>
      <c r="Z1538" s="904"/>
      <c r="AA1538" s="904"/>
      <c r="AB1538" s="904"/>
      <c r="AC1538" s="904"/>
      <c r="AD1538" s="904"/>
      <c r="AE1538" s="904"/>
      <c r="AF1538" s="899"/>
      <c r="AG1538" s="906" t="str">
        <f>IF(AE1538&lt;&gt;0,VLOOKUP(AE1538,ODDS!$A$2:$C$13,3,0),"")</f>
        <v/>
      </c>
      <c r="AH1538" s="906"/>
      <c r="AI1538" s="907" t="str">
        <f t="shared" si="323"/>
        <v xml:space="preserve"> </v>
      </c>
      <c r="AJ1538" s="894" t="s">
        <v>1085</v>
      </c>
      <c r="AK1538" s="922" t="s">
        <v>2771</v>
      </c>
    </row>
    <row r="1539" spans="1:37" s="385" customFormat="1" ht="112.5" outlineLevel="2" x14ac:dyDescent="0.3">
      <c r="A1539" s="447">
        <f>IF(B1538&lt;&gt;0,B1538,A1538)</f>
        <v>123</v>
      </c>
      <c r="B1539" s="893"/>
      <c r="C1539" s="922" t="s">
        <v>1586</v>
      </c>
      <c r="D1539" s="950"/>
      <c r="E1539" s="950"/>
      <c r="F1539" s="1032"/>
      <c r="G1539" s="894"/>
      <c r="H1539" s="940"/>
      <c r="I1539" s="882"/>
      <c r="J1539" s="925"/>
      <c r="K1539" s="899" t="str">
        <f>IF(G1539&lt;&gt;0,VLOOKUP(G1539,'gia dat'!$A$1:$F$144,5,0)," ")</f>
        <v xml:space="preserve"> </v>
      </c>
      <c r="L1539" s="899" t="str">
        <f>IF(G1539&lt;&gt;0,VLOOKUP(G1539,'gia dat'!$A$1:$F$144,6,0)," ")</f>
        <v xml:space="preserve"> </v>
      </c>
      <c r="M1539" s="900" t="str">
        <f t="shared" si="320"/>
        <v xml:space="preserve"> </v>
      </c>
      <c r="N1539" s="900" t="str">
        <f t="shared" si="321"/>
        <v xml:space="preserve"> </v>
      </c>
      <c r="O1539" s="894"/>
      <c r="P1539" s="926"/>
      <c r="Q1539" s="900" t="str">
        <f>IF(O1539&lt;&gt;0,VLOOKUP(O1539,'Cây trong'!$A$2:$C$246,3,0)," ")</f>
        <v xml:space="preserve"> </v>
      </c>
      <c r="R1539" s="900" t="str">
        <f t="shared" si="326"/>
        <v xml:space="preserve"> </v>
      </c>
      <c r="S1539" s="902"/>
      <c r="T1539" s="925"/>
      <c r="U1539" s="952"/>
      <c r="V1539" s="929"/>
      <c r="W1539" s="900" t="str">
        <f>IF(S1539&lt;&gt;0,VLOOKUP(S1539,VKT!$A$2:$G$415,7,0),"")</f>
        <v/>
      </c>
      <c r="X1539" s="900" t="str">
        <f t="shared" si="332"/>
        <v xml:space="preserve"> </v>
      </c>
      <c r="Y1539" s="898"/>
      <c r="Z1539" s="904"/>
      <c r="AA1539" s="904"/>
      <c r="AB1539" s="904"/>
      <c r="AC1539" s="904"/>
      <c r="AD1539" s="904"/>
      <c r="AE1539" s="904"/>
      <c r="AF1539" s="899"/>
      <c r="AG1539" s="906" t="str">
        <f>IF(AE1539&lt;&gt;0,VLOOKUP(AE1539,ODDS!$A$2:$C$13,3,0),"")</f>
        <v/>
      </c>
      <c r="AH1539" s="906" t="str">
        <f t="shared" si="327"/>
        <v xml:space="preserve"> </v>
      </c>
      <c r="AI1539" s="907" t="str">
        <f t="shared" si="323"/>
        <v xml:space="preserve"> </v>
      </c>
      <c r="AJ1539" s="894" t="s">
        <v>2951</v>
      </c>
      <c r="AK1539" s="894" t="s">
        <v>2448</v>
      </c>
    </row>
    <row r="1540" spans="1:37" s="385" customFormat="1" ht="67.5" outlineLevel="2" x14ac:dyDescent="0.3">
      <c r="A1540" s="447">
        <f>IF(B1539&lt;&gt;0,B1539,A1539)</f>
        <v>123</v>
      </c>
      <c r="B1540" s="893"/>
      <c r="C1540" s="894"/>
      <c r="D1540" s="950"/>
      <c r="E1540" s="950"/>
      <c r="F1540" s="1032"/>
      <c r="G1540" s="894"/>
      <c r="H1540" s="940"/>
      <c r="I1540" s="882"/>
      <c r="J1540" s="925"/>
      <c r="K1540" s="899" t="str">
        <f>IF(G1540&lt;&gt;0,VLOOKUP(G1540,'gia dat'!$A$1:$F$144,5,0)," ")</f>
        <v xml:space="preserve"> </v>
      </c>
      <c r="L1540" s="899" t="str">
        <f>IF(G1540&lt;&gt;0,VLOOKUP(G1540,'gia dat'!$A$1:$F$144,6,0)," ")</f>
        <v xml:space="preserve"> </v>
      </c>
      <c r="M1540" s="900" t="str">
        <f t="shared" ref="M1540:M1612" si="336">IF(H1540&lt;&gt;0,ROUND(H1540*K1540,-3)," ")</f>
        <v xml:space="preserve"> </v>
      </c>
      <c r="N1540" s="900" t="str">
        <f t="shared" ref="N1540:N1612" si="337">IF(H1540&lt;&gt;0,ROUND(H1540*L1540,-3)," ")</f>
        <v xml:space="preserve"> </v>
      </c>
      <c r="O1540" s="894"/>
      <c r="P1540" s="926"/>
      <c r="Q1540" s="900" t="str">
        <f>IF(O1540&lt;&gt;0,VLOOKUP(O1540,'Cây trong'!$A$2:$C$246,3,0)," ")</f>
        <v xml:space="preserve"> </v>
      </c>
      <c r="R1540" s="900" t="str">
        <f t="shared" si="326"/>
        <v xml:space="preserve"> </v>
      </c>
      <c r="S1540" s="902"/>
      <c r="T1540" s="925"/>
      <c r="U1540" s="927"/>
      <c r="V1540" s="929"/>
      <c r="W1540" s="900" t="str">
        <f>IF(S1540&lt;&gt;0,VLOOKUP(S1540,VKT!$A$2:$G$415,7,0),"")</f>
        <v/>
      </c>
      <c r="X1540" s="900" t="str">
        <f t="shared" si="332"/>
        <v xml:space="preserve"> </v>
      </c>
      <c r="Y1540" s="898"/>
      <c r="Z1540" s="904"/>
      <c r="AA1540" s="904"/>
      <c r="AB1540" s="904"/>
      <c r="AC1540" s="904"/>
      <c r="AD1540" s="904"/>
      <c r="AE1540" s="904"/>
      <c r="AF1540" s="899"/>
      <c r="AG1540" s="906" t="str">
        <f>IF(AE1540&lt;&gt;0,VLOOKUP(AE1540,ODDS!$A$2:$C$13,3,0),"")</f>
        <v/>
      </c>
      <c r="AH1540" s="906" t="str">
        <f t="shared" si="327"/>
        <v xml:space="preserve"> </v>
      </c>
      <c r="AI1540" s="907" t="str">
        <f t="shared" si="323"/>
        <v xml:space="preserve"> </v>
      </c>
      <c r="AJ1540" s="894" t="s">
        <v>2074</v>
      </c>
      <c r="AK1540" s="929"/>
    </row>
    <row r="1541" spans="1:37" s="385" customFormat="1" ht="22.5" outlineLevel="2" x14ac:dyDescent="0.35">
      <c r="A1541" s="447">
        <f>IF(B1540&lt;&gt;0,B1540,A1540)</f>
        <v>123</v>
      </c>
      <c r="B1541" s="893"/>
      <c r="C1541" s="894"/>
      <c r="D1541" s="950"/>
      <c r="E1541" s="950"/>
      <c r="F1541" s="1032"/>
      <c r="G1541" s="894"/>
      <c r="H1541" s="940"/>
      <c r="I1541" s="882"/>
      <c r="J1541" s="925"/>
      <c r="K1541" s="899" t="str">
        <f>IF(G1541&lt;&gt;0,VLOOKUP(G1541,'gia dat'!$A$1:$F$144,5,0)," ")</f>
        <v xml:space="preserve"> </v>
      </c>
      <c r="L1541" s="899" t="str">
        <f>IF(G1541&lt;&gt;0,VLOOKUP(G1541,'gia dat'!$A$1:$F$144,6,0)," ")</f>
        <v xml:space="preserve"> </v>
      </c>
      <c r="M1541" s="900" t="str">
        <f t="shared" si="336"/>
        <v xml:space="preserve"> </v>
      </c>
      <c r="N1541" s="900" t="str">
        <f t="shared" si="337"/>
        <v xml:space="preserve"> </v>
      </c>
      <c r="O1541" s="894"/>
      <c r="P1541" s="926"/>
      <c r="Q1541" s="900" t="str">
        <f>IF(O1541&lt;&gt;0,VLOOKUP(O1541,'Cây trong'!$A$2:$C$246,3,0)," ")</f>
        <v xml:space="preserve"> </v>
      </c>
      <c r="R1541" s="900" t="str">
        <f t="shared" si="326"/>
        <v xml:space="preserve"> </v>
      </c>
      <c r="S1541" s="902"/>
      <c r="T1541" s="925"/>
      <c r="U1541" s="927"/>
      <c r="V1541" s="929"/>
      <c r="W1541" s="900" t="str">
        <f>IF(S1541&lt;&gt;0,VLOOKUP(S1541,VKT!$A$2:$G$415,7,0),"")</f>
        <v/>
      </c>
      <c r="X1541" s="900" t="str">
        <f t="shared" si="332"/>
        <v xml:space="preserve"> </v>
      </c>
      <c r="Y1541" s="898"/>
      <c r="Z1541" s="904"/>
      <c r="AA1541" s="904"/>
      <c r="AB1541" s="904"/>
      <c r="AC1541" s="904"/>
      <c r="AD1541" s="904"/>
      <c r="AE1541" s="904"/>
      <c r="AF1541" s="899"/>
      <c r="AG1541" s="906" t="str">
        <f>IF(AE1541&lt;&gt;0,VLOOKUP(AE1541,ODDS!$A$2:$C$13,3,0),"")</f>
        <v/>
      </c>
      <c r="AH1541" s="906" t="str">
        <f t="shared" si="327"/>
        <v xml:space="preserve"> </v>
      </c>
      <c r="AI1541" s="907" t="str">
        <f t="shared" si="323"/>
        <v xml:space="preserve"> </v>
      </c>
      <c r="AJ1541" s="1036"/>
      <c r="AK1541" s="894"/>
    </row>
    <row r="1542" spans="1:37" s="385" customFormat="1" ht="22.5" outlineLevel="2" x14ac:dyDescent="0.3">
      <c r="A1542" s="447">
        <f>IF(B1541&lt;&gt;0,B1541,A1541)</f>
        <v>123</v>
      </c>
      <c r="B1542" s="893"/>
      <c r="C1542" s="910"/>
      <c r="D1542" s="950"/>
      <c r="E1542" s="950"/>
      <c r="F1542" s="1032"/>
      <c r="G1542" s="894"/>
      <c r="H1542" s="940"/>
      <c r="I1542" s="882"/>
      <c r="J1542" s="925"/>
      <c r="K1542" s="899" t="str">
        <f>IF(G1542&lt;&gt;0,VLOOKUP(G1542,'gia dat'!$A$1:$F$144,5,0)," ")</f>
        <v xml:space="preserve"> </v>
      </c>
      <c r="L1542" s="899" t="str">
        <f>IF(G1542&lt;&gt;0,VLOOKUP(G1542,'gia dat'!$A$1:$F$144,6,0)," ")</f>
        <v xml:space="preserve"> </v>
      </c>
      <c r="M1542" s="900" t="str">
        <f t="shared" si="336"/>
        <v xml:space="preserve"> </v>
      </c>
      <c r="N1542" s="900" t="str">
        <f t="shared" si="337"/>
        <v xml:space="preserve"> </v>
      </c>
      <c r="O1542" s="894"/>
      <c r="P1542" s="926"/>
      <c r="Q1542" s="900" t="str">
        <f>IF(O1542&lt;&gt;0,VLOOKUP(O1542,'Cây trong'!$A$2:$C$246,3,0)," ")</f>
        <v xml:space="preserve"> </v>
      </c>
      <c r="R1542" s="900" t="str">
        <f t="shared" si="326"/>
        <v xml:space="preserve"> </v>
      </c>
      <c r="S1542" s="902"/>
      <c r="T1542" s="925"/>
      <c r="U1542" s="927"/>
      <c r="V1542" s="929"/>
      <c r="W1542" s="900" t="str">
        <f>IF(S1542&lt;&gt;0,VLOOKUP(S1542,VKT!$A$2:$G$415,7,0),"")</f>
        <v/>
      </c>
      <c r="X1542" s="900" t="str">
        <f t="shared" si="332"/>
        <v xml:space="preserve"> </v>
      </c>
      <c r="Y1542" s="898"/>
      <c r="Z1542" s="904"/>
      <c r="AA1542" s="904"/>
      <c r="AB1542" s="904"/>
      <c r="AC1542" s="904"/>
      <c r="AD1542" s="904"/>
      <c r="AE1542" s="904"/>
      <c r="AF1542" s="899"/>
      <c r="AG1542" s="906" t="str">
        <f>IF(AE1542&lt;&gt;0,VLOOKUP(AE1542,ODDS!$A$2:$C$13,3,0),"")</f>
        <v/>
      </c>
      <c r="AH1542" s="906" t="str">
        <f t="shared" si="327"/>
        <v xml:space="preserve"> </v>
      </c>
      <c r="AI1542" s="907" t="str">
        <f t="shared" si="323"/>
        <v xml:space="preserve"> </v>
      </c>
      <c r="AJ1542" s="894"/>
      <c r="AK1542" s="894"/>
    </row>
    <row r="1543" spans="1:37" s="385" customFormat="1" ht="22.5" outlineLevel="1" x14ac:dyDescent="0.25">
      <c r="A1543" s="467" t="s">
        <v>2586</v>
      </c>
      <c r="B1543" s="912">
        <v>124</v>
      </c>
      <c r="C1543" s="910" t="s">
        <v>1088</v>
      </c>
      <c r="D1543" s="1037"/>
      <c r="E1543" s="1037"/>
      <c r="F1543" s="1038"/>
      <c r="G1543" s="910"/>
      <c r="H1543" s="932">
        <f>SUBTOTAL(9,H1544:H1548)</f>
        <v>100</v>
      </c>
      <c r="I1543" s="915">
        <f>SUBTOTAL(9,I1544:I1549)</f>
        <v>100</v>
      </c>
      <c r="J1543" s="933"/>
      <c r="K1543" s="917"/>
      <c r="L1543" s="917"/>
      <c r="M1543" s="907">
        <f>SUBTOTAL(9,M1544:M1548)</f>
        <v>37680000</v>
      </c>
      <c r="N1543" s="907">
        <f>SUBTOTAL(9,N1544:N1548)</f>
        <v>113040000</v>
      </c>
      <c r="O1543" s="910"/>
      <c r="P1543" s="935">
        <f>SUBTOTAL(9,P1544:P1548)</f>
        <v>0</v>
      </c>
      <c r="Q1543" s="907"/>
      <c r="R1543" s="907">
        <f>SUBTOTAL(9,R1544:R1548)</f>
        <v>0</v>
      </c>
      <c r="S1543" s="918"/>
      <c r="T1543" s="933"/>
      <c r="U1543" s="936">
        <f>SUBTOTAL(9,U1544:U1548)</f>
        <v>0</v>
      </c>
      <c r="V1543" s="943"/>
      <c r="W1543" s="907"/>
      <c r="X1543" s="907">
        <f>SUBTOTAL(9,X1544:X1548)</f>
        <v>0</v>
      </c>
      <c r="Y1543" s="898"/>
      <c r="Z1543" s="904"/>
      <c r="AA1543" s="904"/>
      <c r="AB1543" s="904"/>
      <c r="AC1543" s="904"/>
      <c r="AD1543" s="904"/>
      <c r="AE1543" s="920"/>
      <c r="AF1543" s="917">
        <f>SUBTOTAL(9,AF1544:AF1548)</f>
        <v>0</v>
      </c>
      <c r="AG1543" s="921"/>
      <c r="AH1543" s="921">
        <f>SUBTOTAL(9,AH1544:AH1548)</f>
        <v>0</v>
      </c>
      <c r="AI1543" s="907">
        <f t="shared" si="323"/>
        <v>150720000</v>
      </c>
      <c r="AJ1543" s="910"/>
      <c r="AK1543" s="914"/>
    </row>
    <row r="1544" spans="1:37" s="385" customFormat="1" ht="135" outlineLevel="2" x14ac:dyDescent="0.3">
      <c r="A1544" s="447">
        <f>IF(B1543&lt;&gt;0,B1543,A1542)</f>
        <v>124</v>
      </c>
      <c r="B1544" s="893"/>
      <c r="C1544" s="894" t="s">
        <v>1090</v>
      </c>
      <c r="D1544" s="950">
        <v>1</v>
      </c>
      <c r="E1544" s="950">
        <v>86</v>
      </c>
      <c r="F1544" s="1032">
        <v>215</v>
      </c>
      <c r="G1544" s="894" t="s">
        <v>2433</v>
      </c>
      <c r="H1544" s="940">
        <v>100</v>
      </c>
      <c r="I1544" s="882">
        <f t="shared" ref="I1544" si="338">IF(N1544&gt;0,H1544,"")</f>
        <v>100</v>
      </c>
      <c r="J1544" s="925"/>
      <c r="K1544" s="899">
        <f>IF(G1544&lt;&gt;0,VLOOKUP(G1544,'gia dat'!$A$1:$F$144,5,0)," ")</f>
        <v>376800</v>
      </c>
      <c r="L1544" s="899">
        <f>IF(G1544&lt;&gt;0,VLOOKUP(G1544,'gia dat'!$A$1:$F$144,6,0)," ")</f>
        <v>1130400</v>
      </c>
      <c r="M1544" s="900">
        <f t="shared" si="336"/>
        <v>37680000</v>
      </c>
      <c r="N1544" s="900">
        <f t="shared" si="337"/>
        <v>113040000</v>
      </c>
      <c r="O1544" s="894"/>
      <c r="P1544" s="926"/>
      <c r="Q1544" s="900" t="str">
        <f>IF(O1544&lt;&gt;0,VLOOKUP(O1544,'Cây trong'!$A$2:$C$246,3,0)," ")</f>
        <v xml:space="preserve"> </v>
      </c>
      <c r="R1544" s="900" t="str">
        <f t="shared" si="326"/>
        <v xml:space="preserve"> </v>
      </c>
      <c r="S1544" s="902"/>
      <c r="T1544" s="925"/>
      <c r="U1544" s="927"/>
      <c r="V1544" s="929"/>
      <c r="W1544" s="900" t="str">
        <f>IF(S1544&lt;&gt;0,VLOOKUP(S1544,VKT!$A$2:$G$415,7,0),"")</f>
        <v/>
      </c>
      <c r="X1544" s="900" t="str">
        <f t="shared" si="332"/>
        <v xml:space="preserve"> </v>
      </c>
      <c r="Y1544" s="898"/>
      <c r="Z1544" s="904"/>
      <c r="AA1544" s="904"/>
      <c r="AB1544" s="904"/>
      <c r="AC1544" s="904"/>
      <c r="AD1544" s="904"/>
      <c r="AE1544" s="904"/>
      <c r="AF1544" s="899"/>
      <c r="AG1544" s="906" t="str">
        <f>IF(AE1544&lt;&gt;0,VLOOKUP(AE1544,ODDS!$A$2:$C$13,3,0),"")</f>
        <v/>
      </c>
      <c r="AH1544" s="906"/>
      <c r="AI1544" s="907" t="str">
        <f t="shared" si="323"/>
        <v xml:space="preserve"> </v>
      </c>
      <c r="AJ1544" s="894" t="s">
        <v>1089</v>
      </c>
      <c r="AK1544" s="922" t="s">
        <v>2771</v>
      </c>
    </row>
    <row r="1545" spans="1:37" s="385" customFormat="1" ht="112.5" outlineLevel="2" x14ac:dyDescent="0.3">
      <c r="A1545" s="447">
        <f>IF(B1544&lt;&gt;0,B1544,A1544)</f>
        <v>124</v>
      </c>
      <c r="B1545" s="893"/>
      <c r="C1545" s="922" t="s">
        <v>2785</v>
      </c>
      <c r="D1545" s="950"/>
      <c r="E1545" s="950"/>
      <c r="F1545" s="1032"/>
      <c r="G1545" s="894"/>
      <c r="H1545" s="940"/>
      <c r="I1545" s="882"/>
      <c r="J1545" s="925"/>
      <c r="K1545" s="899" t="str">
        <f>IF(G1545&lt;&gt;0,VLOOKUP(G1545,'gia dat'!$A$1:$F$144,5,0)," ")</f>
        <v xml:space="preserve"> </v>
      </c>
      <c r="L1545" s="899" t="str">
        <f>IF(G1545&lt;&gt;0,VLOOKUP(G1545,'gia dat'!$A$1:$F$144,6,0)," ")</f>
        <v xml:space="preserve"> </v>
      </c>
      <c r="M1545" s="900" t="str">
        <f t="shared" si="336"/>
        <v xml:space="preserve"> </v>
      </c>
      <c r="N1545" s="900" t="str">
        <f t="shared" si="337"/>
        <v xml:space="preserve"> </v>
      </c>
      <c r="O1545" s="894"/>
      <c r="P1545" s="926"/>
      <c r="Q1545" s="900" t="str">
        <f>IF(O1545&lt;&gt;0,VLOOKUP(O1545,'Cây trong'!$A$2:$C$246,3,0)," ")</f>
        <v xml:space="preserve"> </v>
      </c>
      <c r="R1545" s="900" t="str">
        <f t="shared" si="326"/>
        <v xml:space="preserve"> </v>
      </c>
      <c r="S1545" s="902"/>
      <c r="T1545" s="925"/>
      <c r="U1545" s="952"/>
      <c r="V1545" s="929"/>
      <c r="W1545" s="900" t="str">
        <f>IF(S1545&lt;&gt;0,VLOOKUP(S1545,VKT!$A$2:$G$415,7,0),"")</f>
        <v/>
      </c>
      <c r="X1545" s="900" t="str">
        <f t="shared" si="332"/>
        <v xml:space="preserve"> </v>
      </c>
      <c r="Y1545" s="898"/>
      <c r="Z1545" s="904"/>
      <c r="AA1545" s="904"/>
      <c r="AB1545" s="904"/>
      <c r="AC1545" s="904"/>
      <c r="AD1545" s="904"/>
      <c r="AE1545" s="904"/>
      <c r="AF1545" s="899"/>
      <c r="AG1545" s="906" t="str">
        <f>IF(AE1545&lt;&gt;0,VLOOKUP(AE1545,ODDS!$A$2:$C$13,3,0),"")</f>
        <v/>
      </c>
      <c r="AH1545" s="906" t="str">
        <f t="shared" si="327"/>
        <v xml:space="preserve"> </v>
      </c>
      <c r="AI1545" s="907" t="str">
        <f t="shared" ref="AI1545:AI1608" si="339">IF(B1545&lt;&gt;0,M1545+N1545+R1545+X1545+AH1545," ")</f>
        <v xml:space="preserve"> </v>
      </c>
      <c r="AJ1545" s="894" t="s">
        <v>2952</v>
      </c>
      <c r="AK1545" s="894" t="s">
        <v>2448</v>
      </c>
    </row>
    <row r="1546" spans="1:37" s="385" customFormat="1" ht="67.5" outlineLevel="2" x14ac:dyDescent="0.3">
      <c r="A1546" s="447">
        <f>IF(B1545&lt;&gt;0,B1545,A1545)</f>
        <v>124</v>
      </c>
      <c r="B1546" s="893"/>
      <c r="C1546" s="922"/>
      <c r="D1546" s="950"/>
      <c r="E1546" s="950"/>
      <c r="F1546" s="1032"/>
      <c r="G1546" s="894"/>
      <c r="H1546" s="940"/>
      <c r="I1546" s="882"/>
      <c r="J1546" s="925"/>
      <c r="K1546" s="899" t="str">
        <f>IF(G1546&lt;&gt;0,VLOOKUP(G1546,'gia dat'!$A$1:$F$144,5,0)," ")</f>
        <v xml:space="preserve"> </v>
      </c>
      <c r="L1546" s="899" t="str">
        <f>IF(G1546&lt;&gt;0,VLOOKUP(G1546,'gia dat'!$A$1:$F$144,6,0)," ")</f>
        <v xml:space="preserve"> </v>
      </c>
      <c r="M1546" s="900" t="str">
        <f t="shared" si="336"/>
        <v xml:space="preserve"> </v>
      </c>
      <c r="N1546" s="900" t="str">
        <f t="shared" si="337"/>
        <v xml:space="preserve"> </v>
      </c>
      <c r="O1546" s="894"/>
      <c r="P1546" s="926"/>
      <c r="Q1546" s="900" t="str">
        <f>IF(O1546&lt;&gt;0,VLOOKUP(O1546,'Cây trong'!$A$2:$C$246,3,0)," ")</f>
        <v xml:space="preserve"> </v>
      </c>
      <c r="R1546" s="900" t="str">
        <f t="shared" si="326"/>
        <v xml:space="preserve"> </v>
      </c>
      <c r="S1546" s="902"/>
      <c r="T1546" s="925"/>
      <c r="U1546" s="927"/>
      <c r="V1546" s="929"/>
      <c r="W1546" s="900" t="str">
        <f>IF(S1546&lt;&gt;0,VLOOKUP(S1546,VKT!$A$2:$G$415,7,0),"")</f>
        <v/>
      </c>
      <c r="X1546" s="900" t="str">
        <f t="shared" si="332"/>
        <v xml:space="preserve"> </v>
      </c>
      <c r="Y1546" s="898"/>
      <c r="Z1546" s="904"/>
      <c r="AA1546" s="904"/>
      <c r="AB1546" s="904"/>
      <c r="AC1546" s="904"/>
      <c r="AD1546" s="904"/>
      <c r="AE1546" s="904"/>
      <c r="AF1546" s="899"/>
      <c r="AG1546" s="906" t="str">
        <f>IF(AE1546&lt;&gt;0,VLOOKUP(AE1546,ODDS!$A$2:$C$13,3,0),"")</f>
        <v/>
      </c>
      <c r="AH1546" s="906" t="str">
        <f t="shared" si="327"/>
        <v xml:space="preserve"> </v>
      </c>
      <c r="AI1546" s="907" t="str">
        <f t="shared" si="339"/>
        <v xml:space="preserve"> </v>
      </c>
      <c r="AJ1546" s="894" t="s">
        <v>2074</v>
      </c>
      <c r="AK1546" s="929"/>
    </row>
    <row r="1547" spans="1:37" s="385" customFormat="1" ht="22.5" outlineLevel="2" x14ac:dyDescent="0.35">
      <c r="A1547" s="447">
        <f>IF(B1546&lt;&gt;0,B1546,A1546)</f>
        <v>124</v>
      </c>
      <c r="B1547" s="893"/>
      <c r="C1547" s="894"/>
      <c r="D1547" s="950"/>
      <c r="E1547" s="950"/>
      <c r="F1547" s="1032"/>
      <c r="G1547" s="894"/>
      <c r="H1547" s="940"/>
      <c r="I1547" s="882"/>
      <c r="J1547" s="925"/>
      <c r="K1547" s="899" t="str">
        <f>IF(G1547&lt;&gt;0,VLOOKUP(G1547,'gia dat'!$A$1:$F$144,5,0)," ")</f>
        <v xml:space="preserve"> </v>
      </c>
      <c r="L1547" s="899" t="str">
        <f>IF(G1547&lt;&gt;0,VLOOKUP(G1547,'gia dat'!$A$1:$F$144,6,0)," ")</f>
        <v xml:space="preserve"> </v>
      </c>
      <c r="M1547" s="900" t="str">
        <f t="shared" si="336"/>
        <v xml:space="preserve"> </v>
      </c>
      <c r="N1547" s="900" t="str">
        <f t="shared" si="337"/>
        <v xml:space="preserve"> </v>
      </c>
      <c r="O1547" s="894"/>
      <c r="P1547" s="926"/>
      <c r="Q1547" s="900" t="str">
        <f>IF(O1547&lt;&gt;0,VLOOKUP(O1547,'Cây trong'!$A$2:$C$246,3,0)," ")</f>
        <v xml:space="preserve"> </v>
      </c>
      <c r="R1547" s="900" t="str">
        <f t="shared" si="326"/>
        <v xml:space="preserve"> </v>
      </c>
      <c r="S1547" s="902"/>
      <c r="T1547" s="925"/>
      <c r="U1547" s="927"/>
      <c r="V1547" s="929"/>
      <c r="W1547" s="900" t="str">
        <f>IF(S1547&lt;&gt;0,VLOOKUP(S1547,VKT!$A$2:$G$415,7,0),"")</f>
        <v/>
      </c>
      <c r="X1547" s="900" t="str">
        <f t="shared" si="332"/>
        <v xml:space="preserve"> </v>
      </c>
      <c r="Y1547" s="898"/>
      <c r="Z1547" s="904"/>
      <c r="AA1547" s="904"/>
      <c r="AB1547" s="904"/>
      <c r="AC1547" s="904"/>
      <c r="AD1547" s="904"/>
      <c r="AE1547" s="904"/>
      <c r="AF1547" s="899"/>
      <c r="AG1547" s="906" t="str">
        <f>IF(AE1547&lt;&gt;0,VLOOKUP(AE1547,ODDS!$A$2:$C$13,3,0),"")</f>
        <v/>
      </c>
      <c r="AH1547" s="906" t="str">
        <f t="shared" si="327"/>
        <v xml:space="preserve"> </v>
      </c>
      <c r="AI1547" s="907" t="str">
        <f t="shared" si="339"/>
        <v xml:space="preserve"> </v>
      </c>
      <c r="AJ1547" s="1036"/>
      <c r="AK1547" s="929"/>
    </row>
    <row r="1548" spans="1:37" s="385" customFormat="1" ht="22.5" outlineLevel="2" x14ac:dyDescent="0.3">
      <c r="A1548" s="447">
        <f>IF(B1547&lt;&gt;0,B1547,A1547)</f>
        <v>124</v>
      </c>
      <c r="B1548" s="893"/>
      <c r="C1548" s="910"/>
      <c r="D1548" s="950"/>
      <c r="E1548" s="950"/>
      <c r="F1548" s="1032"/>
      <c r="G1548" s="894"/>
      <c r="H1548" s="940"/>
      <c r="I1548" s="882"/>
      <c r="J1548" s="925"/>
      <c r="K1548" s="899" t="str">
        <f>IF(G1548&lt;&gt;0,VLOOKUP(G1548,'gia dat'!$A$1:$F$144,5,0)," ")</f>
        <v xml:space="preserve"> </v>
      </c>
      <c r="L1548" s="899" t="str">
        <f>IF(G1548&lt;&gt;0,VLOOKUP(G1548,'gia dat'!$A$1:$F$144,6,0)," ")</f>
        <v xml:space="preserve"> </v>
      </c>
      <c r="M1548" s="900" t="str">
        <f t="shared" si="336"/>
        <v xml:space="preserve"> </v>
      </c>
      <c r="N1548" s="900" t="str">
        <f t="shared" si="337"/>
        <v xml:space="preserve"> </v>
      </c>
      <c r="O1548" s="894"/>
      <c r="P1548" s="926"/>
      <c r="Q1548" s="900" t="str">
        <f>IF(O1548&lt;&gt;0,VLOOKUP(O1548,'Cây trong'!$A$2:$C$246,3,0)," ")</f>
        <v xml:space="preserve"> </v>
      </c>
      <c r="R1548" s="900" t="str">
        <f t="shared" si="326"/>
        <v xml:space="preserve"> </v>
      </c>
      <c r="S1548" s="902"/>
      <c r="T1548" s="925"/>
      <c r="U1548" s="927"/>
      <c r="V1548" s="929"/>
      <c r="W1548" s="900" t="str">
        <f>IF(S1548&lt;&gt;0,VLOOKUP(S1548,VKT!$A$2:$G$415,7,0),"")</f>
        <v/>
      </c>
      <c r="X1548" s="900" t="str">
        <f t="shared" si="332"/>
        <v xml:space="preserve"> </v>
      </c>
      <c r="Y1548" s="898"/>
      <c r="Z1548" s="904"/>
      <c r="AA1548" s="904"/>
      <c r="AB1548" s="904"/>
      <c r="AC1548" s="904"/>
      <c r="AD1548" s="904"/>
      <c r="AE1548" s="904"/>
      <c r="AF1548" s="899"/>
      <c r="AG1548" s="906" t="str">
        <f>IF(AE1548&lt;&gt;0,VLOOKUP(AE1548,ODDS!$A$2:$C$13,3,0),"")</f>
        <v/>
      </c>
      <c r="AH1548" s="906" t="str">
        <f t="shared" si="327"/>
        <v xml:space="preserve"> </v>
      </c>
      <c r="AI1548" s="907" t="str">
        <f t="shared" si="339"/>
        <v xml:space="preserve"> </v>
      </c>
      <c r="AJ1548" s="894"/>
      <c r="AK1548" s="894"/>
    </row>
    <row r="1549" spans="1:37" s="385" customFormat="1" ht="22.5" outlineLevel="1" x14ac:dyDescent="0.25">
      <c r="A1549" s="467" t="s">
        <v>2585</v>
      </c>
      <c r="B1549" s="912">
        <v>125</v>
      </c>
      <c r="C1549" s="910" t="s">
        <v>1092</v>
      </c>
      <c r="D1549" s="1037"/>
      <c r="E1549" s="1037"/>
      <c r="F1549" s="1038"/>
      <c r="G1549" s="910"/>
      <c r="H1549" s="932">
        <f>SUBTOTAL(9,H1550:H1555)</f>
        <v>100</v>
      </c>
      <c r="I1549" s="915">
        <f>SUBTOTAL(9,I1550:I1555)</f>
        <v>100</v>
      </c>
      <c r="J1549" s="933"/>
      <c r="K1549" s="917"/>
      <c r="L1549" s="917"/>
      <c r="M1549" s="907">
        <f>SUBTOTAL(9,M1550:M1555)</f>
        <v>37680000</v>
      </c>
      <c r="N1549" s="907">
        <f>SUBTOTAL(9,N1550:N1555)</f>
        <v>113040000</v>
      </c>
      <c r="O1549" s="910"/>
      <c r="P1549" s="935">
        <f>SUBTOTAL(9,P1550:P1555)</f>
        <v>0</v>
      </c>
      <c r="Q1549" s="907"/>
      <c r="R1549" s="907">
        <f>SUBTOTAL(9,R1550:R1555)</f>
        <v>0</v>
      </c>
      <c r="S1549" s="918"/>
      <c r="T1549" s="933"/>
      <c r="U1549" s="936">
        <f>SUBTOTAL(9,U1550:U1555)</f>
        <v>0</v>
      </c>
      <c r="V1549" s="943"/>
      <c r="W1549" s="907"/>
      <c r="X1549" s="907">
        <f>SUBTOTAL(9,X1550:X1555)</f>
        <v>0</v>
      </c>
      <c r="Y1549" s="898"/>
      <c r="Z1549" s="904"/>
      <c r="AA1549" s="904"/>
      <c r="AB1549" s="904"/>
      <c r="AC1549" s="904"/>
      <c r="AD1549" s="904"/>
      <c r="AE1549" s="920"/>
      <c r="AF1549" s="917">
        <f>SUBTOTAL(9,AF1550:AF1555)</f>
        <v>0</v>
      </c>
      <c r="AG1549" s="921"/>
      <c r="AH1549" s="921">
        <f>SUBTOTAL(9,AH1550:AH1555)</f>
        <v>0</v>
      </c>
      <c r="AI1549" s="907">
        <f t="shared" si="339"/>
        <v>150720000</v>
      </c>
      <c r="AJ1549" s="910"/>
      <c r="AK1549" s="914"/>
    </row>
    <row r="1550" spans="1:37" s="385" customFormat="1" ht="135" outlineLevel="2" x14ac:dyDescent="0.3">
      <c r="A1550" s="447">
        <f>IF(B1549&lt;&gt;0,B1549,A1548)</f>
        <v>125</v>
      </c>
      <c r="B1550" s="893"/>
      <c r="C1550" s="894" t="s">
        <v>2786</v>
      </c>
      <c r="D1550" s="950">
        <v>4</v>
      </c>
      <c r="E1550" s="950">
        <v>86</v>
      </c>
      <c r="F1550" s="1032">
        <v>213</v>
      </c>
      <c r="G1550" s="894" t="s">
        <v>2433</v>
      </c>
      <c r="H1550" s="940">
        <v>100</v>
      </c>
      <c r="I1550" s="882">
        <f t="shared" ref="I1550" si="340">IF(N1550&gt;0,H1550,"")</f>
        <v>100</v>
      </c>
      <c r="J1550" s="925"/>
      <c r="K1550" s="899">
        <f>IF(G1550&lt;&gt;0,VLOOKUP(G1550,'gia dat'!$A$1:$F$144,5,0)," ")</f>
        <v>376800</v>
      </c>
      <c r="L1550" s="899">
        <f>IF(G1550&lt;&gt;0,VLOOKUP(G1550,'gia dat'!$A$1:$F$144,6,0)," ")</f>
        <v>1130400</v>
      </c>
      <c r="M1550" s="900">
        <f t="shared" si="336"/>
        <v>37680000</v>
      </c>
      <c r="N1550" s="900">
        <f t="shared" si="337"/>
        <v>113040000</v>
      </c>
      <c r="O1550" s="894"/>
      <c r="P1550" s="926"/>
      <c r="Q1550" s="900" t="str">
        <f>IF(O1550&lt;&gt;0,VLOOKUP(O1550,'Cây trong'!$A$2:$C$246,3,0)," ")</f>
        <v xml:space="preserve"> </v>
      </c>
      <c r="R1550" s="900" t="str">
        <f t="shared" si="326"/>
        <v xml:space="preserve"> </v>
      </c>
      <c r="S1550" s="902"/>
      <c r="T1550" s="925"/>
      <c r="U1550" s="927"/>
      <c r="V1550" s="929"/>
      <c r="W1550" s="900" t="str">
        <f>IF(S1550&lt;&gt;0,VLOOKUP(S1550,VKT!$A$2:$G$415,7,0),"")</f>
        <v/>
      </c>
      <c r="X1550" s="900" t="str">
        <f t="shared" si="332"/>
        <v xml:space="preserve"> </v>
      </c>
      <c r="Y1550" s="898"/>
      <c r="Z1550" s="904"/>
      <c r="AA1550" s="904"/>
      <c r="AB1550" s="904"/>
      <c r="AC1550" s="904"/>
      <c r="AD1550" s="904"/>
      <c r="AE1550" s="904"/>
      <c r="AF1550" s="899"/>
      <c r="AG1550" s="906" t="str">
        <f>IF(AE1550&lt;&gt;0,VLOOKUP(AE1550,ODDS!$A$2:$C$13,3,0),"")</f>
        <v/>
      </c>
      <c r="AH1550" s="906"/>
      <c r="AI1550" s="907" t="str">
        <f t="shared" si="339"/>
        <v xml:space="preserve"> </v>
      </c>
      <c r="AJ1550" s="894" t="s">
        <v>1093</v>
      </c>
      <c r="AK1550" s="922" t="s">
        <v>2771</v>
      </c>
    </row>
    <row r="1551" spans="1:37" s="385" customFormat="1" ht="90" outlineLevel="2" x14ac:dyDescent="0.3">
      <c r="A1551" s="447">
        <f>IF(B1550&lt;&gt;0,B1550,A1550)</f>
        <v>125</v>
      </c>
      <c r="B1551" s="893"/>
      <c r="C1551" s="908" t="s">
        <v>1588</v>
      </c>
      <c r="D1551" s="950"/>
      <c r="E1551" s="950"/>
      <c r="F1551" s="1032"/>
      <c r="G1551" s="894"/>
      <c r="H1551" s="940"/>
      <c r="I1551" s="882"/>
      <c r="J1551" s="925"/>
      <c r="K1551" s="899" t="str">
        <f>IF(G1551&lt;&gt;0,VLOOKUP(G1551,'gia dat'!$A$1:$F$144,5,0)," ")</f>
        <v xml:space="preserve"> </v>
      </c>
      <c r="L1551" s="899" t="str">
        <f>IF(G1551&lt;&gt;0,VLOOKUP(G1551,'gia dat'!$A$1:$F$144,6,0)," ")</f>
        <v xml:space="preserve"> </v>
      </c>
      <c r="M1551" s="900" t="str">
        <f t="shared" si="336"/>
        <v xml:space="preserve"> </v>
      </c>
      <c r="N1551" s="900" t="str">
        <f t="shared" si="337"/>
        <v xml:space="preserve"> </v>
      </c>
      <c r="O1551" s="894"/>
      <c r="P1551" s="926"/>
      <c r="Q1551" s="900" t="str">
        <f>IF(O1551&lt;&gt;0,VLOOKUP(O1551,'Cây trong'!$A$2:$C$246,3,0)," ")</f>
        <v xml:space="preserve"> </v>
      </c>
      <c r="R1551" s="900" t="str">
        <f t="shared" si="326"/>
        <v xml:space="preserve"> </v>
      </c>
      <c r="S1551" s="902"/>
      <c r="T1551" s="925"/>
      <c r="U1551" s="952"/>
      <c r="V1551" s="929"/>
      <c r="W1551" s="900" t="str">
        <f>IF(S1551&lt;&gt;0,VLOOKUP(S1551,VKT!$A$2:$G$415,7,0),"")</f>
        <v/>
      </c>
      <c r="X1551" s="900" t="str">
        <f t="shared" si="332"/>
        <v xml:space="preserve"> </v>
      </c>
      <c r="Y1551" s="898"/>
      <c r="Z1551" s="904"/>
      <c r="AA1551" s="904"/>
      <c r="AB1551" s="904"/>
      <c r="AC1551" s="904"/>
      <c r="AD1551" s="904"/>
      <c r="AE1551" s="904"/>
      <c r="AF1551" s="899"/>
      <c r="AG1551" s="906" t="str">
        <f>IF(AE1551&lt;&gt;0,VLOOKUP(AE1551,ODDS!$A$2:$C$13,3,0),"")</f>
        <v/>
      </c>
      <c r="AH1551" s="906" t="str">
        <f t="shared" si="327"/>
        <v xml:space="preserve"> </v>
      </c>
      <c r="AI1551" s="907" t="str">
        <f t="shared" si="339"/>
        <v xml:space="preserve"> </v>
      </c>
      <c r="AJ1551" s="894" t="s">
        <v>2953</v>
      </c>
      <c r="AK1551" s="894" t="s">
        <v>2448</v>
      </c>
    </row>
    <row r="1552" spans="1:37" s="385" customFormat="1" ht="67.5" outlineLevel="2" x14ac:dyDescent="0.3">
      <c r="A1552" s="447">
        <f>IF(B1551&lt;&gt;0,B1551,A1551)</f>
        <v>125</v>
      </c>
      <c r="B1552" s="893"/>
      <c r="C1552" s="908"/>
      <c r="D1552" s="950"/>
      <c r="E1552" s="950"/>
      <c r="F1552" s="1032"/>
      <c r="G1552" s="894"/>
      <c r="H1552" s="940"/>
      <c r="I1552" s="882"/>
      <c r="J1552" s="925"/>
      <c r="K1552" s="899" t="str">
        <f>IF(G1552&lt;&gt;0,VLOOKUP(G1552,'gia dat'!$A$1:$F$144,5,0)," ")</f>
        <v xml:space="preserve"> </v>
      </c>
      <c r="L1552" s="899" t="str">
        <f>IF(G1552&lt;&gt;0,VLOOKUP(G1552,'gia dat'!$A$1:$F$144,6,0)," ")</f>
        <v xml:space="preserve"> </v>
      </c>
      <c r="M1552" s="900" t="str">
        <f t="shared" si="336"/>
        <v xml:space="preserve"> </v>
      </c>
      <c r="N1552" s="900" t="str">
        <f t="shared" si="337"/>
        <v xml:space="preserve"> </v>
      </c>
      <c r="O1552" s="894"/>
      <c r="P1552" s="926"/>
      <c r="Q1552" s="900" t="str">
        <f>IF(O1552&lt;&gt;0,VLOOKUP(O1552,'Cây trong'!$A$2:$C$246,3,0)," ")</f>
        <v xml:space="preserve"> </v>
      </c>
      <c r="R1552" s="900" t="str">
        <f t="shared" si="326"/>
        <v xml:space="preserve"> </v>
      </c>
      <c r="S1552" s="902"/>
      <c r="T1552" s="925"/>
      <c r="U1552" s="927"/>
      <c r="V1552" s="929"/>
      <c r="W1552" s="900" t="str">
        <f>IF(S1552&lt;&gt;0,VLOOKUP(S1552,VKT!$A$2:$G$415,7,0),"")</f>
        <v/>
      </c>
      <c r="X1552" s="900" t="str">
        <f t="shared" si="332"/>
        <v xml:space="preserve"> </v>
      </c>
      <c r="Y1552" s="898"/>
      <c r="Z1552" s="904"/>
      <c r="AA1552" s="904"/>
      <c r="AB1552" s="904"/>
      <c r="AC1552" s="904"/>
      <c r="AD1552" s="904"/>
      <c r="AE1552" s="904"/>
      <c r="AF1552" s="899"/>
      <c r="AG1552" s="906" t="str">
        <f>IF(AE1552&lt;&gt;0,VLOOKUP(AE1552,ODDS!$A$2:$C$13,3,0),"")</f>
        <v/>
      </c>
      <c r="AH1552" s="906" t="str">
        <f t="shared" si="327"/>
        <v xml:space="preserve"> </v>
      </c>
      <c r="AI1552" s="907" t="str">
        <f t="shared" si="339"/>
        <v xml:space="preserve"> </v>
      </c>
      <c r="AJ1552" s="894" t="s">
        <v>2077</v>
      </c>
      <c r="AK1552" s="929"/>
    </row>
    <row r="1553" spans="1:37" s="385" customFormat="1" ht="22.5" outlineLevel="2" x14ac:dyDescent="0.35">
      <c r="A1553" s="447">
        <f>IF(B1552&lt;&gt;0,B1552,A1552)</f>
        <v>125</v>
      </c>
      <c r="B1553" s="893"/>
      <c r="C1553" s="908"/>
      <c r="D1553" s="950"/>
      <c r="E1553" s="950"/>
      <c r="F1553" s="1032"/>
      <c r="G1553" s="894"/>
      <c r="H1553" s="940"/>
      <c r="I1553" s="882"/>
      <c r="J1553" s="925"/>
      <c r="K1553" s="899" t="str">
        <f>IF(G1553&lt;&gt;0,VLOOKUP(G1553,'gia dat'!$A$1:$F$144,5,0)," ")</f>
        <v xml:space="preserve"> </v>
      </c>
      <c r="L1553" s="899" t="str">
        <f>IF(G1553&lt;&gt;0,VLOOKUP(G1553,'gia dat'!$A$1:$F$144,6,0)," ")</f>
        <v xml:space="preserve"> </v>
      </c>
      <c r="M1553" s="900" t="str">
        <f t="shared" si="336"/>
        <v xml:space="preserve"> </v>
      </c>
      <c r="N1553" s="900" t="str">
        <f t="shared" si="337"/>
        <v xml:space="preserve"> </v>
      </c>
      <c r="O1553" s="894"/>
      <c r="P1553" s="926"/>
      <c r="Q1553" s="900" t="str">
        <f>IF(O1553&lt;&gt;0,VLOOKUP(O1553,'Cây trong'!$A$2:$C$246,3,0)," ")</f>
        <v xml:space="preserve"> </v>
      </c>
      <c r="R1553" s="900" t="str">
        <f t="shared" si="326"/>
        <v xml:space="preserve"> </v>
      </c>
      <c r="S1553" s="902"/>
      <c r="T1553" s="925"/>
      <c r="U1553" s="927"/>
      <c r="V1553" s="929"/>
      <c r="W1553" s="900" t="str">
        <f>IF(S1553&lt;&gt;0,VLOOKUP(S1553,VKT!$A$2:$G$415,7,0),"")</f>
        <v/>
      </c>
      <c r="X1553" s="900" t="str">
        <f t="shared" si="332"/>
        <v xml:space="preserve"> </v>
      </c>
      <c r="Y1553" s="898"/>
      <c r="Z1553" s="904"/>
      <c r="AA1553" s="904"/>
      <c r="AB1553" s="904"/>
      <c r="AC1553" s="904"/>
      <c r="AD1553" s="904"/>
      <c r="AE1553" s="904"/>
      <c r="AF1553" s="899"/>
      <c r="AG1553" s="906" t="str">
        <f>IF(AE1553&lt;&gt;0,VLOOKUP(AE1553,ODDS!$A$2:$C$13,3,0),"")</f>
        <v/>
      </c>
      <c r="AH1553" s="906" t="str">
        <f t="shared" si="327"/>
        <v xml:space="preserve"> </v>
      </c>
      <c r="AI1553" s="907" t="str">
        <f t="shared" si="339"/>
        <v xml:space="preserve"> </v>
      </c>
      <c r="AJ1553" s="1036"/>
      <c r="AK1553" s="894"/>
    </row>
    <row r="1554" spans="1:37" s="385" customFormat="1" ht="22.5" outlineLevel="2" x14ac:dyDescent="0.3">
      <c r="A1554" s="447">
        <f>IF(B1553&lt;&gt;0,B1553,A1553)</f>
        <v>125</v>
      </c>
      <c r="B1554" s="893"/>
      <c r="C1554" s="894"/>
      <c r="D1554" s="950"/>
      <c r="E1554" s="950"/>
      <c r="F1554" s="1032"/>
      <c r="G1554" s="894"/>
      <c r="H1554" s="940"/>
      <c r="I1554" s="882"/>
      <c r="J1554" s="925"/>
      <c r="K1554" s="899" t="str">
        <f>IF(G1554&lt;&gt;0,VLOOKUP(G1554,'gia dat'!$A$1:$F$144,5,0)," ")</f>
        <v xml:space="preserve"> </v>
      </c>
      <c r="L1554" s="899" t="str">
        <f>IF(G1554&lt;&gt;0,VLOOKUP(G1554,'gia dat'!$A$1:$F$144,6,0)," ")</f>
        <v xml:space="preserve"> </v>
      </c>
      <c r="M1554" s="900" t="str">
        <f t="shared" si="336"/>
        <v xml:space="preserve"> </v>
      </c>
      <c r="N1554" s="900" t="str">
        <f t="shared" si="337"/>
        <v xml:space="preserve"> </v>
      </c>
      <c r="O1554" s="894"/>
      <c r="P1554" s="926"/>
      <c r="Q1554" s="900" t="str">
        <f>IF(O1554&lt;&gt;0,VLOOKUP(O1554,'Cây trong'!$A$2:$C$246,3,0)," ")</f>
        <v xml:space="preserve"> </v>
      </c>
      <c r="R1554" s="900" t="str">
        <f t="shared" si="326"/>
        <v xml:space="preserve"> </v>
      </c>
      <c r="S1554" s="902"/>
      <c r="T1554" s="925"/>
      <c r="U1554" s="927"/>
      <c r="V1554" s="929"/>
      <c r="W1554" s="900" t="str">
        <f>IF(S1554&lt;&gt;0,VLOOKUP(S1554,VKT!$A$2:$G$415,7,0),"")</f>
        <v/>
      </c>
      <c r="X1554" s="900" t="str">
        <f t="shared" si="332"/>
        <v xml:space="preserve"> </v>
      </c>
      <c r="Y1554" s="898"/>
      <c r="Z1554" s="904"/>
      <c r="AA1554" s="904"/>
      <c r="AB1554" s="904"/>
      <c r="AC1554" s="904"/>
      <c r="AD1554" s="904"/>
      <c r="AE1554" s="904"/>
      <c r="AF1554" s="899"/>
      <c r="AG1554" s="906" t="str">
        <f>IF(AE1554&lt;&gt;0,VLOOKUP(AE1554,ODDS!$A$2:$C$13,3,0),"")</f>
        <v/>
      </c>
      <c r="AH1554" s="906" t="str">
        <f t="shared" si="327"/>
        <v xml:space="preserve"> </v>
      </c>
      <c r="AI1554" s="907" t="str">
        <f t="shared" si="339"/>
        <v xml:space="preserve"> </v>
      </c>
      <c r="AJ1554" s="894"/>
      <c r="AK1554" s="894"/>
    </row>
    <row r="1555" spans="1:37" s="385" customFormat="1" ht="22.5" outlineLevel="2" x14ac:dyDescent="0.3">
      <c r="A1555" s="447">
        <f>IF(B1554&lt;&gt;0,B1554,A1554)</f>
        <v>125</v>
      </c>
      <c r="B1555" s="893"/>
      <c r="C1555" s="910"/>
      <c r="D1555" s="950"/>
      <c r="E1555" s="950"/>
      <c r="F1555" s="1032"/>
      <c r="G1555" s="894"/>
      <c r="H1555" s="940"/>
      <c r="I1555" s="882"/>
      <c r="J1555" s="925"/>
      <c r="K1555" s="899" t="str">
        <f>IF(G1555&lt;&gt;0,VLOOKUP(G1555,'gia dat'!$A$1:$F$144,5,0)," ")</f>
        <v xml:space="preserve"> </v>
      </c>
      <c r="L1555" s="899" t="str">
        <f>IF(G1555&lt;&gt;0,VLOOKUP(G1555,'gia dat'!$A$1:$F$144,6,0)," ")</f>
        <v xml:space="preserve"> </v>
      </c>
      <c r="M1555" s="900" t="str">
        <f t="shared" si="336"/>
        <v xml:space="preserve"> </v>
      </c>
      <c r="N1555" s="900" t="str">
        <f t="shared" si="337"/>
        <v xml:space="preserve"> </v>
      </c>
      <c r="O1555" s="894"/>
      <c r="P1555" s="926"/>
      <c r="Q1555" s="900" t="str">
        <f>IF(O1555&lt;&gt;0,VLOOKUP(O1555,'Cây trong'!$A$2:$C$246,3,0)," ")</f>
        <v xml:space="preserve"> </v>
      </c>
      <c r="R1555" s="900" t="str">
        <f t="shared" si="326"/>
        <v xml:space="preserve"> </v>
      </c>
      <c r="S1555" s="902"/>
      <c r="T1555" s="925"/>
      <c r="U1555" s="927"/>
      <c r="V1555" s="929"/>
      <c r="W1555" s="900" t="str">
        <f>IF(S1555&lt;&gt;0,VLOOKUP(S1555,VKT!$A$2:$G$415,7,0),"")</f>
        <v/>
      </c>
      <c r="X1555" s="900" t="str">
        <f t="shared" si="332"/>
        <v xml:space="preserve"> </v>
      </c>
      <c r="Y1555" s="898"/>
      <c r="Z1555" s="904"/>
      <c r="AA1555" s="904"/>
      <c r="AB1555" s="904"/>
      <c r="AC1555" s="904"/>
      <c r="AD1555" s="904"/>
      <c r="AE1555" s="904"/>
      <c r="AF1555" s="899"/>
      <c r="AG1555" s="906" t="str">
        <f>IF(AE1555&lt;&gt;0,VLOOKUP(AE1555,ODDS!$A$2:$C$13,3,0),"")</f>
        <v/>
      </c>
      <c r="AH1555" s="906" t="str">
        <f t="shared" si="327"/>
        <v xml:space="preserve"> </v>
      </c>
      <c r="AI1555" s="907" t="str">
        <f t="shared" si="339"/>
        <v xml:space="preserve"> </v>
      </c>
      <c r="AJ1555" s="894"/>
      <c r="AK1555" s="894"/>
    </row>
    <row r="1556" spans="1:37" s="385" customFormat="1" ht="22.5" outlineLevel="1" x14ac:dyDescent="0.25">
      <c r="A1556" s="467" t="s">
        <v>2584</v>
      </c>
      <c r="B1556" s="912">
        <v>126</v>
      </c>
      <c r="C1556" s="910" t="s">
        <v>1095</v>
      </c>
      <c r="D1556" s="1037"/>
      <c r="E1556" s="1037"/>
      <c r="F1556" s="1038"/>
      <c r="G1556" s="910"/>
      <c r="H1556" s="932">
        <f>SUBTOTAL(9,H1557:H1568)</f>
        <v>902.2</v>
      </c>
      <c r="I1556" s="915">
        <f>SUBTOTAL(9,I1557:I1562)</f>
        <v>601.5</v>
      </c>
      <c r="J1556" s="933"/>
      <c r="K1556" s="917"/>
      <c r="L1556" s="917"/>
      <c r="M1556" s="907">
        <f>SUBTOTAL(9,M1557:M1568)</f>
        <v>420064000</v>
      </c>
      <c r="N1556" s="907">
        <f>SUBTOTAL(9,N1557:N1568)</f>
        <v>840175000</v>
      </c>
      <c r="O1556" s="910"/>
      <c r="P1556" s="935">
        <f>SUBTOTAL(9,P1557:P1568)</f>
        <v>0</v>
      </c>
      <c r="Q1556" s="907"/>
      <c r="R1556" s="907">
        <f>SUBTOTAL(9,R1557:R1568)</f>
        <v>0</v>
      </c>
      <c r="S1556" s="918"/>
      <c r="T1556" s="933"/>
      <c r="U1556" s="936">
        <f>SUBTOTAL(9,U1557:U1568)</f>
        <v>0</v>
      </c>
      <c r="V1556" s="943"/>
      <c r="W1556" s="907"/>
      <c r="X1556" s="907">
        <f>SUBTOTAL(9,X1557:X1568)</f>
        <v>0</v>
      </c>
      <c r="Y1556" s="898"/>
      <c r="Z1556" s="904"/>
      <c r="AA1556" s="904"/>
      <c r="AB1556" s="904"/>
      <c r="AC1556" s="904"/>
      <c r="AD1556" s="904"/>
      <c r="AE1556" s="920"/>
      <c r="AF1556" s="917">
        <f>SUBTOTAL(9,AF1557:AF1568)</f>
        <v>0</v>
      </c>
      <c r="AG1556" s="921"/>
      <c r="AH1556" s="921">
        <f>SUBTOTAL(9,AH1557:AH1568)</f>
        <v>0</v>
      </c>
      <c r="AI1556" s="907">
        <f t="shared" si="339"/>
        <v>1260239000</v>
      </c>
      <c r="AJ1556" s="910"/>
      <c r="AK1556" s="914"/>
    </row>
    <row r="1557" spans="1:37" s="385" customFormat="1" ht="135" outlineLevel="2" x14ac:dyDescent="0.3">
      <c r="A1557" s="447">
        <f>IF(B1556&lt;&gt;0,B1556,A1555)</f>
        <v>126</v>
      </c>
      <c r="B1557" s="893"/>
      <c r="C1557" s="894" t="s">
        <v>1097</v>
      </c>
      <c r="D1557" s="950">
        <v>1</v>
      </c>
      <c r="E1557" s="950">
        <v>86</v>
      </c>
      <c r="F1557" s="1032">
        <v>166</v>
      </c>
      <c r="G1557" s="894" t="s">
        <v>2870</v>
      </c>
      <c r="H1557" s="940">
        <f>902.2-H1558</f>
        <v>300.70000000000005</v>
      </c>
      <c r="I1557" s="882" t="str">
        <f t="shared" ref="I1557:I1558" si="341">IF(N1557&gt;0,H1557,"")</f>
        <v/>
      </c>
      <c r="J1557" s="925"/>
      <c r="K1557" s="899">
        <f>IF(G1557&lt;&gt;0,VLOOKUP(G1557,'gia dat'!$A$1:$F$144,5,0)," ")</f>
        <v>465600</v>
      </c>
      <c r="L1557" s="899">
        <f>IF(G1557&lt;&gt;0,VLOOKUP(G1557,'gia dat'!$A$1:$F$144,6,0)," ")</f>
        <v>0</v>
      </c>
      <c r="M1557" s="900">
        <f t="shared" si="336"/>
        <v>140006000</v>
      </c>
      <c r="N1557" s="900">
        <f t="shared" si="337"/>
        <v>0</v>
      </c>
      <c r="O1557" s="894"/>
      <c r="P1557" s="926"/>
      <c r="Q1557" s="900" t="str">
        <f>IF(O1557&lt;&gt;0,VLOOKUP(O1557,'Cây trong'!$A$2:$C$246,3,0)," ")</f>
        <v xml:space="preserve"> </v>
      </c>
      <c r="R1557" s="900" t="str">
        <f t="shared" si="326"/>
        <v xml:space="preserve"> </v>
      </c>
      <c r="S1557" s="902"/>
      <c r="T1557" s="925"/>
      <c r="U1557" s="927"/>
      <c r="V1557" s="929"/>
      <c r="W1557" s="900" t="str">
        <f>IF(S1557&lt;&gt;0,VLOOKUP(S1557,VKT!$A$2:$G$415,7,0),"")</f>
        <v/>
      </c>
      <c r="X1557" s="900" t="str">
        <f t="shared" si="332"/>
        <v xml:space="preserve"> </v>
      </c>
      <c r="Y1557" s="898"/>
      <c r="Z1557" s="904"/>
      <c r="AA1557" s="904"/>
      <c r="AB1557" s="904"/>
      <c r="AC1557" s="904"/>
      <c r="AD1557" s="904"/>
      <c r="AE1557" s="904"/>
      <c r="AF1557" s="899"/>
      <c r="AG1557" s="906" t="str">
        <f>IF(AE1557&lt;&gt;0,VLOOKUP(AE1557,ODDS!$A$2:$C$13,3,0),"")</f>
        <v/>
      </c>
      <c r="AH1557" s="906"/>
      <c r="AI1557" s="907" t="str">
        <f t="shared" si="339"/>
        <v xml:space="preserve"> </v>
      </c>
      <c r="AJ1557" s="894" t="s">
        <v>1096</v>
      </c>
      <c r="AK1557" s="922" t="s">
        <v>2771</v>
      </c>
    </row>
    <row r="1558" spans="1:37" s="385" customFormat="1" ht="157.5" outlineLevel="2" x14ac:dyDescent="0.3">
      <c r="A1558" s="447">
        <f t="shared" ref="A1558:A1568" si="342">IF(B1557&lt;&gt;0,B1557,A1557)</f>
        <v>126</v>
      </c>
      <c r="B1558" s="893"/>
      <c r="C1558" s="908" t="s">
        <v>2787</v>
      </c>
      <c r="D1558" s="950"/>
      <c r="E1558" s="950"/>
      <c r="F1558" s="1032"/>
      <c r="G1558" s="894" t="s">
        <v>2872</v>
      </c>
      <c r="H1558" s="940">
        <v>601.5</v>
      </c>
      <c r="I1558" s="882">
        <f t="shared" si="341"/>
        <v>601.5</v>
      </c>
      <c r="J1558" s="925"/>
      <c r="K1558" s="899">
        <f>IF(G1558&lt;&gt;0,VLOOKUP(G1558,'gia dat'!$A$1:$F$144,5,0)," ")</f>
        <v>465600</v>
      </c>
      <c r="L1558" s="899">
        <f>IF(G1558&lt;&gt;0,VLOOKUP(G1558,'gia dat'!$A$1:$F$144,6,0)," ")</f>
        <v>1396800</v>
      </c>
      <c r="M1558" s="900">
        <f t="shared" si="336"/>
        <v>280058000</v>
      </c>
      <c r="N1558" s="900">
        <f t="shared" si="337"/>
        <v>840175000</v>
      </c>
      <c r="O1558" s="894"/>
      <c r="P1558" s="926"/>
      <c r="Q1558" s="900" t="str">
        <f>IF(O1558&lt;&gt;0,VLOOKUP(O1558,'Cây trong'!$A$2:$C$246,3,0)," ")</f>
        <v xml:space="preserve"> </v>
      </c>
      <c r="R1558" s="900" t="str">
        <f t="shared" si="326"/>
        <v xml:space="preserve"> </v>
      </c>
      <c r="S1558" s="902"/>
      <c r="T1558" s="925"/>
      <c r="U1558" s="952"/>
      <c r="V1558" s="929"/>
      <c r="W1558" s="900" t="str">
        <f>IF(S1558&lt;&gt;0,VLOOKUP(S1558,VKT!$A$2:$G$415,7,0),"")</f>
        <v/>
      </c>
      <c r="X1558" s="900" t="str">
        <f t="shared" si="332"/>
        <v xml:space="preserve"> </v>
      </c>
      <c r="Y1558" s="898"/>
      <c r="Z1558" s="904"/>
      <c r="AA1558" s="904"/>
      <c r="AB1558" s="904"/>
      <c r="AC1558" s="904"/>
      <c r="AD1558" s="904"/>
      <c r="AE1558" s="904"/>
      <c r="AF1558" s="899"/>
      <c r="AG1558" s="906" t="str">
        <f>IF(AE1558&lt;&gt;0,VLOOKUP(AE1558,ODDS!$A$2:$C$13,3,0),"")</f>
        <v/>
      </c>
      <c r="AH1558" s="906" t="str">
        <f t="shared" si="327"/>
        <v xml:space="preserve"> </v>
      </c>
      <c r="AI1558" s="907" t="str">
        <f t="shared" si="339"/>
        <v xml:space="preserve"> </v>
      </c>
      <c r="AJ1558" s="894" t="s">
        <v>2954</v>
      </c>
      <c r="AK1558" s="894" t="s">
        <v>2448</v>
      </c>
    </row>
    <row r="1559" spans="1:37" s="385" customFormat="1" ht="22.5" outlineLevel="2" x14ac:dyDescent="0.3">
      <c r="A1559" s="447">
        <f t="shared" si="342"/>
        <v>126</v>
      </c>
      <c r="B1559" s="893"/>
      <c r="C1559" s="910" t="s">
        <v>1100</v>
      </c>
      <c r="D1559" s="950"/>
      <c r="E1559" s="950"/>
      <c r="F1559" s="1032"/>
      <c r="G1559" s="894"/>
      <c r="H1559" s="940"/>
      <c r="I1559" s="882"/>
      <c r="J1559" s="925"/>
      <c r="K1559" s="899" t="str">
        <f>IF(G1559&lt;&gt;0,VLOOKUP(G1559,'gia dat'!$A$1:$F$144,5,0)," ")</f>
        <v xml:space="preserve"> </v>
      </c>
      <c r="L1559" s="899" t="str">
        <f>IF(G1559&lt;&gt;0,VLOOKUP(G1559,'gia dat'!$A$1:$F$144,6,0)," ")</f>
        <v xml:space="preserve"> </v>
      </c>
      <c r="M1559" s="900" t="str">
        <f t="shared" si="336"/>
        <v xml:space="preserve"> </v>
      </c>
      <c r="N1559" s="900" t="str">
        <f t="shared" si="337"/>
        <v xml:space="preserve"> </v>
      </c>
      <c r="O1559" s="894"/>
      <c r="P1559" s="926"/>
      <c r="Q1559" s="900" t="str">
        <f>IF(O1559&lt;&gt;0,VLOOKUP(O1559,'Cây trong'!$A$2:$C$246,3,0)," ")</f>
        <v xml:space="preserve"> </v>
      </c>
      <c r="R1559" s="900" t="str">
        <f t="shared" si="326"/>
        <v xml:space="preserve"> </v>
      </c>
      <c r="S1559" s="902"/>
      <c r="T1559" s="925"/>
      <c r="U1559" s="927"/>
      <c r="V1559" s="929"/>
      <c r="W1559" s="900" t="str">
        <f>IF(S1559&lt;&gt;0,VLOOKUP(S1559,VKT!$A$2:$G$415,7,0),"")</f>
        <v/>
      </c>
      <c r="X1559" s="900" t="str">
        <f t="shared" si="332"/>
        <v xml:space="preserve"> </v>
      </c>
      <c r="Y1559" s="898"/>
      <c r="Z1559" s="904"/>
      <c r="AA1559" s="904"/>
      <c r="AB1559" s="904"/>
      <c r="AC1559" s="904"/>
      <c r="AD1559" s="904"/>
      <c r="AE1559" s="904"/>
      <c r="AF1559" s="899"/>
      <c r="AG1559" s="906" t="str">
        <f>IF(AE1559&lt;&gt;0,VLOOKUP(AE1559,ODDS!$A$2:$C$13,3,0),"")</f>
        <v/>
      </c>
      <c r="AH1559" s="906" t="str">
        <f t="shared" si="327"/>
        <v xml:space="preserve"> </v>
      </c>
      <c r="AI1559" s="907" t="str">
        <f t="shared" si="339"/>
        <v xml:space="preserve"> </v>
      </c>
      <c r="AJ1559" s="929" t="s">
        <v>1815</v>
      </c>
      <c r="AK1559" s="929"/>
    </row>
    <row r="1560" spans="1:37" s="385" customFormat="1" ht="90" outlineLevel="2" x14ac:dyDescent="0.3">
      <c r="A1560" s="447">
        <f t="shared" si="342"/>
        <v>126</v>
      </c>
      <c r="B1560" s="893"/>
      <c r="C1560" s="894" t="s">
        <v>1101</v>
      </c>
      <c r="D1560" s="950">
        <v>1</v>
      </c>
      <c r="E1560" s="950"/>
      <c r="F1560" s="1032"/>
      <c r="G1560" s="894"/>
      <c r="H1560" s="940"/>
      <c r="I1560" s="882"/>
      <c r="J1560" s="925"/>
      <c r="K1560" s="899" t="str">
        <f>IF(G1560&lt;&gt;0,VLOOKUP(G1560,'gia dat'!$A$1:$F$144,5,0)," ")</f>
        <v xml:space="preserve"> </v>
      </c>
      <c r="L1560" s="899" t="str">
        <f>IF(G1560&lt;&gt;0,VLOOKUP(G1560,'gia dat'!$A$1:$F$144,6,0)," ")</f>
        <v xml:space="preserve"> </v>
      </c>
      <c r="M1560" s="900" t="str">
        <f t="shared" si="336"/>
        <v xml:space="preserve"> </v>
      </c>
      <c r="N1560" s="900" t="str">
        <f t="shared" si="337"/>
        <v xml:space="preserve"> </v>
      </c>
      <c r="O1560" s="894"/>
      <c r="P1560" s="926"/>
      <c r="Q1560" s="900" t="str">
        <f>IF(O1560&lt;&gt;0,VLOOKUP(O1560,'Cây trong'!$A$2:$C$246,3,0)," ")</f>
        <v xml:space="preserve"> </v>
      </c>
      <c r="R1560" s="900" t="str">
        <f t="shared" si="326"/>
        <v xml:space="preserve"> </v>
      </c>
      <c r="S1560" s="902"/>
      <c r="T1560" s="925"/>
      <c r="U1560" s="927"/>
      <c r="V1560" s="929"/>
      <c r="W1560" s="900" t="str">
        <f>IF(S1560&lt;&gt;0,VLOOKUP(S1560,VKT!$A$2:$G$415,7,0),"")</f>
        <v/>
      </c>
      <c r="X1560" s="900" t="str">
        <f t="shared" si="332"/>
        <v xml:space="preserve"> </v>
      </c>
      <c r="Y1560" s="898"/>
      <c r="Z1560" s="904"/>
      <c r="AA1560" s="904"/>
      <c r="AB1560" s="904"/>
      <c r="AC1560" s="904"/>
      <c r="AD1560" s="904"/>
      <c r="AE1560" s="904"/>
      <c r="AF1560" s="899"/>
      <c r="AG1560" s="906" t="str">
        <f>IF(AE1560&lt;&gt;0,VLOOKUP(AE1560,ODDS!$A$2:$C$13,3,0),"")</f>
        <v/>
      </c>
      <c r="AH1560" s="906" t="str">
        <f t="shared" si="327"/>
        <v xml:space="preserve"> </v>
      </c>
      <c r="AI1560" s="907" t="str">
        <f t="shared" si="339"/>
        <v xml:space="preserve"> </v>
      </c>
      <c r="AJ1560" s="894" t="s">
        <v>2078</v>
      </c>
      <c r="AK1560" s="894"/>
    </row>
    <row r="1561" spans="1:37" s="385" customFormat="1" ht="112.5" outlineLevel="2" x14ac:dyDescent="0.3">
      <c r="A1561" s="447">
        <f t="shared" si="342"/>
        <v>126</v>
      </c>
      <c r="B1561" s="893"/>
      <c r="C1561" s="908" t="s">
        <v>1591</v>
      </c>
      <c r="D1561" s="950"/>
      <c r="E1561" s="950"/>
      <c r="F1561" s="1032"/>
      <c r="G1561" s="894"/>
      <c r="H1561" s="940"/>
      <c r="I1561" s="882"/>
      <c r="J1561" s="925"/>
      <c r="K1561" s="899" t="str">
        <f>IF(G1561&lt;&gt;0,VLOOKUP(G1561,'gia dat'!$A$1:$F$144,5,0)," ")</f>
        <v xml:space="preserve"> </v>
      </c>
      <c r="L1561" s="899" t="str">
        <f>IF(G1561&lt;&gt;0,VLOOKUP(G1561,'gia dat'!$A$1:$F$144,6,0)," ")</f>
        <v xml:space="preserve"> </v>
      </c>
      <c r="M1561" s="900" t="str">
        <f t="shared" si="336"/>
        <v xml:space="preserve"> </v>
      </c>
      <c r="N1561" s="900" t="str">
        <f t="shared" si="337"/>
        <v xml:space="preserve"> </v>
      </c>
      <c r="O1561" s="894"/>
      <c r="P1561" s="926"/>
      <c r="Q1561" s="900" t="str">
        <f>IF(O1561&lt;&gt;0,VLOOKUP(O1561,'Cây trong'!$A$2:$C$246,3,0)," ")</f>
        <v xml:space="preserve"> </v>
      </c>
      <c r="R1561" s="900" t="str">
        <f t="shared" si="326"/>
        <v xml:space="preserve"> </v>
      </c>
      <c r="S1561" s="902"/>
      <c r="T1561" s="925"/>
      <c r="U1561" s="927"/>
      <c r="V1561" s="929"/>
      <c r="W1561" s="900" t="str">
        <f>IF(S1561&lt;&gt;0,VLOOKUP(S1561,VKT!$A$2:$G$415,7,0),"")</f>
        <v/>
      </c>
      <c r="X1561" s="900" t="str">
        <f t="shared" si="332"/>
        <v xml:space="preserve"> </v>
      </c>
      <c r="Y1561" s="898"/>
      <c r="Z1561" s="904"/>
      <c r="AA1561" s="904"/>
      <c r="AB1561" s="904"/>
      <c r="AC1561" s="904"/>
      <c r="AD1561" s="904"/>
      <c r="AE1561" s="904"/>
      <c r="AF1561" s="899"/>
      <c r="AG1561" s="906" t="str">
        <f>IF(AE1561&lt;&gt;0,VLOOKUP(AE1561,ODDS!$A$2:$C$13,3,0),"")</f>
        <v/>
      </c>
      <c r="AH1561" s="906" t="str">
        <f t="shared" si="327"/>
        <v xml:space="preserve"> </v>
      </c>
      <c r="AI1561" s="907" t="str">
        <f t="shared" si="339"/>
        <v xml:space="preserve"> </v>
      </c>
      <c r="AJ1561" s="894" t="s">
        <v>2079</v>
      </c>
      <c r="AK1561" s="894"/>
    </row>
    <row r="1562" spans="1:37" s="385" customFormat="1" ht="22.5" outlineLevel="2" x14ac:dyDescent="0.3">
      <c r="A1562" s="447">
        <f t="shared" si="342"/>
        <v>126</v>
      </c>
      <c r="B1562" s="893"/>
      <c r="C1562" s="910" t="s">
        <v>1102</v>
      </c>
      <c r="D1562" s="950"/>
      <c r="E1562" s="950"/>
      <c r="F1562" s="1032"/>
      <c r="G1562" s="894"/>
      <c r="H1562" s="940"/>
      <c r="I1562" s="882"/>
      <c r="J1562" s="925"/>
      <c r="K1562" s="899" t="str">
        <f>IF(G1562&lt;&gt;0,VLOOKUP(G1562,'gia dat'!$A$1:$F$144,5,0)," ")</f>
        <v xml:space="preserve"> </v>
      </c>
      <c r="L1562" s="899" t="str">
        <f>IF(G1562&lt;&gt;0,VLOOKUP(G1562,'gia dat'!$A$1:$F$144,6,0)," ")</f>
        <v xml:space="preserve"> </v>
      </c>
      <c r="M1562" s="900" t="str">
        <f t="shared" si="336"/>
        <v xml:space="preserve"> </v>
      </c>
      <c r="N1562" s="900" t="str">
        <f t="shared" si="337"/>
        <v xml:space="preserve"> </v>
      </c>
      <c r="O1562" s="894"/>
      <c r="P1562" s="926"/>
      <c r="Q1562" s="900" t="str">
        <f>IF(O1562&lt;&gt;0,VLOOKUP(O1562,'Cây trong'!$A$2:$C$246,3,0)," ")</f>
        <v xml:space="preserve"> </v>
      </c>
      <c r="R1562" s="900" t="str">
        <f t="shared" si="326"/>
        <v xml:space="preserve"> </v>
      </c>
      <c r="S1562" s="902"/>
      <c r="T1562" s="925"/>
      <c r="U1562" s="927"/>
      <c r="V1562" s="929"/>
      <c r="W1562" s="900" t="str">
        <f>IF(S1562&lt;&gt;0,VLOOKUP(S1562,VKT!$A$2:$G$415,7,0),"")</f>
        <v/>
      </c>
      <c r="X1562" s="900" t="str">
        <f t="shared" si="332"/>
        <v xml:space="preserve"> </v>
      </c>
      <c r="Y1562" s="898"/>
      <c r="Z1562" s="904"/>
      <c r="AA1562" s="904"/>
      <c r="AB1562" s="904"/>
      <c r="AC1562" s="904"/>
      <c r="AD1562" s="904"/>
      <c r="AE1562" s="904"/>
      <c r="AF1562" s="899"/>
      <c r="AG1562" s="906" t="str">
        <f>IF(AE1562&lt;&gt;0,VLOOKUP(AE1562,ODDS!$A$2:$C$13,3,0),"")</f>
        <v/>
      </c>
      <c r="AH1562" s="906" t="str">
        <f t="shared" si="327"/>
        <v xml:space="preserve"> </v>
      </c>
      <c r="AI1562" s="907" t="str">
        <f t="shared" si="339"/>
        <v xml:space="preserve"> </v>
      </c>
      <c r="AJ1562" s="894"/>
      <c r="AK1562" s="894"/>
    </row>
    <row r="1563" spans="1:37" s="385" customFormat="1" ht="45" outlineLevel="2" x14ac:dyDescent="0.3">
      <c r="A1563" s="447">
        <f t="shared" si="342"/>
        <v>126</v>
      </c>
      <c r="B1563" s="893"/>
      <c r="C1563" s="894" t="s">
        <v>1103</v>
      </c>
      <c r="D1563" s="950">
        <v>1</v>
      </c>
      <c r="E1563" s="950"/>
      <c r="F1563" s="1032"/>
      <c r="G1563" s="894"/>
      <c r="H1563" s="940"/>
      <c r="I1563" s="882"/>
      <c r="J1563" s="925"/>
      <c r="K1563" s="899" t="str">
        <f>IF(G1563&lt;&gt;0,VLOOKUP(G1563,'gia dat'!$A$1:$F$144,5,0)," ")</f>
        <v xml:space="preserve"> </v>
      </c>
      <c r="L1563" s="899" t="str">
        <f>IF(G1563&lt;&gt;0,VLOOKUP(G1563,'gia dat'!$A$1:$F$144,6,0)," ")</f>
        <v xml:space="preserve"> </v>
      </c>
      <c r="M1563" s="900" t="str">
        <f t="shared" si="336"/>
        <v xml:space="preserve"> </v>
      </c>
      <c r="N1563" s="900" t="str">
        <f t="shared" si="337"/>
        <v xml:space="preserve"> </v>
      </c>
      <c r="O1563" s="894"/>
      <c r="P1563" s="926"/>
      <c r="Q1563" s="900" t="str">
        <f>IF(O1563&lt;&gt;0,VLOOKUP(O1563,'Cây trong'!$A$2:$C$246,3,0)," ")</f>
        <v xml:space="preserve"> </v>
      </c>
      <c r="R1563" s="900" t="str">
        <f t="shared" si="326"/>
        <v xml:space="preserve"> </v>
      </c>
      <c r="S1563" s="902"/>
      <c r="T1563" s="925"/>
      <c r="U1563" s="927"/>
      <c r="V1563" s="929"/>
      <c r="W1563" s="900" t="str">
        <f>IF(S1563&lt;&gt;0,VLOOKUP(S1563,VKT!$A$2:$G$415,7,0),"")</f>
        <v/>
      </c>
      <c r="X1563" s="900" t="str">
        <f t="shared" si="332"/>
        <v xml:space="preserve"> </v>
      </c>
      <c r="Y1563" s="898"/>
      <c r="Z1563" s="904"/>
      <c r="AA1563" s="904"/>
      <c r="AB1563" s="904"/>
      <c r="AC1563" s="904"/>
      <c r="AD1563" s="904"/>
      <c r="AE1563" s="904"/>
      <c r="AF1563" s="899"/>
      <c r="AG1563" s="906" t="str">
        <f>IF(AE1563&lt;&gt;0,VLOOKUP(AE1563,ODDS!$A$2:$C$13,3,0),"")</f>
        <v/>
      </c>
      <c r="AH1563" s="906" t="str">
        <f t="shared" si="327"/>
        <v xml:space="preserve"> </v>
      </c>
      <c r="AI1563" s="907" t="str">
        <f t="shared" si="339"/>
        <v xml:space="preserve"> </v>
      </c>
      <c r="AJ1563" s="894"/>
      <c r="AK1563" s="894"/>
    </row>
    <row r="1564" spans="1:37" s="385" customFormat="1" ht="90" outlineLevel="2" x14ac:dyDescent="0.3">
      <c r="A1564" s="447">
        <f t="shared" si="342"/>
        <v>126</v>
      </c>
      <c r="B1564" s="893"/>
      <c r="C1564" s="908" t="s">
        <v>2232</v>
      </c>
      <c r="D1564" s="950"/>
      <c r="E1564" s="950"/>
      <c r="F1564" s="1032"/>
      <c r="G1564" s="894"/>
      <c r="H1564" s="940"/>
      <c r="I1564" s="882"/>
      <c r="J1564" s="925"/>
      <c r="K1564" s="899" t="str">
        <f>IF(G1564&lt;&gt;0,VLOOKUP(G1564,'gia dat'!$A$1:$F$144,5,0)," ")</f>
        <v xml:space="preserve"> </v>
      </c>
      <c r="L1564" s="899" t="str">
        <f>IF(G1564&lt;&gt;0,VLOOKUP(G1564,'gia dat'!$A$1:$F$144,6,0)," ")</f>
        <v xml:space="preserve"> </v>
      </c>
      <c r="M1564" s="900" t="str">
        <f t="shared" si="336"/>
        <v xml:space="preserve"> </v>
      </c>
      <c r="N1564" s="900" t="str">
        <f t="shared" si="337"/>
        <v xml:space="preserve"> </v>
      </c>
      <c r="O1564" s="894"/>
      <c r="P1564" s="926"/>
      <c r="Q1564" s="900" t="str">
        <f>IF(O1564&lt;&gt;0,VLOOKUP(O1564,'Cây trong'!$A$2:$C$246,3,0)," ")</f>
        <v xml:space="preserve"> </v>
      </c>
      <c r="R1564" s="900" t="str">
        <f t="shared" si="326"/>
        <v xml:space="preserve"> </v>
      </c>
      <c r="S1564" s="902"/>
      <c r="T1564" s="925"/>
      <c r="U1564" s="927"/>
      <c r="V1564" s="929"/>
      <c r="W1564" s="900" t="str">
        <f>IF(S1564&lt;&gt;0,VLOOKUP(S1564,VKT!$A$2:$G$415,7,0),"")</f>
        <v/>
      </c>
      <c r="X1564" s="900" t="str">
        <f t="shared" si="332"/>
        <v xml:space="preserve"> </v>
      </c>
      <c r="Y1564" s="898"/>
      <c r="Z1564" s="904"/>
      <c r="AA1564" s="904"/>
      <c r="AB1564" s="904"/>
      <c r="AC1564" s="904"/>
      <c r="AD1564" s="904"/>
      <c r="AE1564" s="904"/>
      <c r="AF1564" s="899"/>
      <c r="AG1564" s="906" t="str">
        <f>IF(AE1564&lt;&gt;0,VLOOKUP(AE1564,ODDS!$A$2:$C$13,3,0),"")</f>
        <v/>
      </c>
      <c r="AH1564" s="906" t="str">
        <f t="shared" si="327"/>
        <v xml:space="preserve"> </v>
      </c>
      <c r="AI1564" s="907" t="str">
        <f t="shared" si="339"/>
        <v xml:space="preserve"> </v>
      </c>
      <c r="AJ1564" s="894"/>
      <c r="AK1564" s="894"/>
    </row>
    <row r="1565" spans="1:37" s="385" customFormat="1" ht="22.5" outlineLevel="2" x14ac:dyDescent="0.35">
      <c r="A1565" s="447">
        <f t="shared" si="342"/>
        <v>126</v>
      </c>
      <c r="B1565" s="893"/>
      <c r="C1565" s="1051"/>
      <c r="D1565" s="950"/>
      <c r="E1565" s="950"/>
      <c r="F1565" s="1032"/>
      <c r="G1565" s="894"/>
      <c r="H1565" s="940"/>
      <c r="I1565" s="882"/>
      <c r="J1565" s="925"/>
      <c r="K1565" s="899" t="str">
        <f>IF(G1565&lt;&gt;0,VLOOKUP(G1565,'gia dat'!$A$1:$F$144,5,0)," ")</f>
        <v xml:space="preserve"> </v>
      </c>
      <c r="L1565" s="899" t="str">
        <f>IF(G1565&lt;&gt;0,VLOOKUP(G1565,'gia dat'!$A$1:$F$144,6,0)," ")</f>
        <v xml:space="preserve"> </v>
      </c>
      <c r="M1565" s="900" t="str">
        <f t="shared" si="336"/>
        <v xml:space="preserve"> </v>
      </c>
      <c r="N1565" s="900" t="str">
        <f t="shared" si="337"/>
        <v xml:space="preserve"> </v>
      </c>
      <c r="O1565" s="894"/>
      <c r="P1565" s="926"/>
      <c r="Q1565" s="900" t="str">
        <f>IF(O1565&lt;&gt;0,VLOOKUP(O1565,'Cây trong'!$A$2:$C$246,3,0)," ")</f>
        <v xml:space="preserve"> </v>
      </c>
      <c r="R1565" s="900" t="str">
        <f t="shared" si="326"/>
        <v xml:space="preserve"> </v>
      </c>
      <c r="S1565" s="902"/>
      <c r="T1565" s="925"/>
      <c r="U1565" s="927"/>
      <c r="V1565" s="929"/>
      <c r="W1565" s="900" t="str">
        <f>IF(S1565&lt;&gt;0,VLOOKUP(S1565,VKT!$A$2:$G$415,7,0),"")</f>
        <v/>
      </c>
      <c r="X1565" s="900" t="str">
        <f t="shared" si="332"/>
        <v xml:space="preserve"> </v>
      </c>
      <c r="Y1565" s="898"/>
      <c r="Z1565" s="904"/>
      <c r="AA1565" s="904"/>
      <c r="AB1565" s="904"/>
      <c r="AC1565" s="904"/>
      <c r="AD1565" s="904"/>
      <c r="AE1565" s="904"/>
      <c r="AF1565" s="899"/>
      <c r="AG1565" s="906" t="str">
        <f>IF(AE1565&lt;&gt;0,VLOOKUP(AE1565,ODDS!$A$2:$C$13,3,0),"")</f>
        <v/>
      </c>
      <c r="AH1565" s="906" t="str">
        <f t="shared" si="327"/>
        <v xml:space="preserve"> </v>
      </c>
      <c r="AI1565" s="907" t="str">
        <f t="shared" si="339"/>
        <v xml:space="preserve"> </v>
      </c>
      <c r="AJ1565" s="894"/>
      <c r="AK1565" s="894"/>
    </row>
    <row r="1566" spans="1:37" s="385" customFormat="1" ht="22.5" outlineLevel="2" x14ac:dyDescent="0.3">
      <c r="A1566" s="447">
        <f t="shared" si="342"/>
        <v>126</v>
      </c>
      <c r="B1566" s="893"/>
      <c r="C1566" s="908"/>
      <c r="D1566" s="950"/>
      <c r="E1566" s="950"/>
      <c r="F1566" s="1032"/>
      <c r="G1566" s="894"/>
      <c r="H1566" s="940"/>
      <c r="I1566" s="882"/>
      <c r="J1566" s="925"/>
      <c r="K1566" s="899" t="str">
        <f>IF(G1566&lt;&gt;0,VLOOKUP(G1566,'gia dat'!$A$1:$F$144,5,0)," ")</f>
        <v xml:space="preserve"> </v>
      </c>
      <c r="L1566" s="899" t="str">
        <f>IF(G1566&lt;&gt;0,VLOOKUP(G1566,'gia dat'!$A$1:$F$144,6,0)," ")</f>
        <v xml:space="preserve"> </v>
      </c>
      <c r="M1566" s="900" t="str">
        <f t="shared" si="336"/>
        <v xml:space="preserve"> </v>
      </c>
      <c r="N1566" s="900" t="str">
        <f t="shared" si="337"/>
        <v xml:space="preserve"> </v>
      </c>
      <c r="O1566" s="894"/>
      <c r="P1566" s="926"/>
      <c r="Q1566" s="900" t="str">
        <f>IF(O1566&lt;&gt;0,VLOOKUP(O1566,'Cây trong'!$A$2:$C$246,3,0)," ")</f>
        <v xml:space="preserve"> </v>
      </c>
      <c r="R1566" s="900" t="str">
        <f t="shared" si="326"/>
        <v xml:space="preserve"> </v>
      </c>
      <c r="S1566" s="902"/>
      <c r="T1566" s="925"/>
      <c r="U1566" s="927"/>
      <c r="V1566" s="929"/>
      <c r="W1566" s="900" t="str">
        <f>IF(S1566&lt;&gt;0,VLOOKUP(S1566,VKT!$A$2:$G$415,7,0),"")</f>
        <v/>
      </c>
      <c r="X1566" s="900" t="str">
        <f t="shared" si="332"/>
        <v xml:space="preserve"> </v>
      </c>
      <c r="Y1566" s="898"/>
      <c r="Z1566" s="904"/>
      <c r="AA1566" s="904"/>
      <c r="AB1566" s="904"/>
      <c r="AC1566" s="904"/>
      <c r="AD1566" s="904"/>
      <c r="AE1566" s="904"/>
      <c r="AF1566" s="899"/>
      <c r="AG1566" s="906" t="str">
        <f>IF(AE1566&lt;&gt;0,VLOOKUP(AE1566,ODDS!$A$2:$C$13,3,0),"")</f>
        <v/>
      </c>
      <c r="AH1566" s="906" t="str">
        <f t="shared" si="327"/>
        <v xml:space="preserve"> </v>
      </c>
      <c r="AI1566" s="907" t="str">
        <f t="shared" si="339"/>
        <v xml:space="preserve"> </v>
      </c>
      <c r="AJ1566" s="894"/>
      <c r="AK1566" s="894"/>
    </row>
    <row r="1567" spans="1:37" s="385" customFormat="1" ht="22.5" outlineLevel="2" x14ac:dyDescent="0.3">
      <c r="A1567" s="447">
        <f t="shared" si="342"/>
        <v>126</v>
      </c>
      <c r="B1567" s="893"/>
      <c r="C1567" s="908"/>
      <c r="D1567" s="950"/>
      <c r="E1567" s="950"/>
      <c r="F1567" s="1032"/>
      <c r="G1567" s="894"/>
      <c r="H1567" s="940"/>
      <c r="I1567" s="882"/>
      <c r="J1567" s="925"/>
      <c r="K1567" s="899" t="str">
        <f>IF(G1567&lt;&gt;0,VLOOKUP(G1567,'gia dat'!$A$1:$F$144,5,0)," ")</f>
        <v xml:space="preserve"> </v>
      </c>
      <c r="L1567" s="899" t="str">
        <f>IF(G1567&lt;&gt;0,VLOOKUP(G1567,'gia dat'!$A$1:$F$144,6,0)," ")</f>
        <v xml:space="preserve"> </v>
      </c>
      <c r="M1567" s="900" t="str">
        <f t="shared" si="336"/>
        <v xml:space="preserve"> </v>
      </c>
      <c r="N1567" s="900" t="str">
        <f t="shared" si="337"/>
        <v xml:space="preserve"> </v>
      </c>
      <c r="O1567" s="894"/>
      <c r="P1567" s="926"/>
      <c r="Q1567" s="900" t="str">
        <f>IF(O1567&lt;&gt;0,VLOOKUP(O1567,'Cây trong'!$A$2:$C$246,3,0)," ")</f>
        <v xml:space="preserve"> </v>
      </c>
      <c r="R1567" s="900" t="str">
        <f t="shared" si="326"/>
        <v xml:space="preserve"> </v>
      </c>
      <c r="S1567" s="902"/>
      <c r="T1567" s="925"/>
      <c r="U1567" s="927"/>
      <c r="V1567" s="929"/>
      <c r="W1567" s="900" t="str">
        <f>IF(S1567&lt;&gt;0,VLOOKUP(S1567,VKT!$A$2:$G$415,7,0),"")</f>
        <v/>
      </c>
      <c r="X1567" s="900" t="str">
        <f t="shared" si="332"/>
        <v xml:space="preserve"> </v>
      </c>
      <c r="Y1567" s="898"/>
      <c r="Z1567" s="904"/>
      <c r="AA1567" s="904"/>
      <c r="AB1567" s="904"/>
      <c r="AC1567" s="904"/>
      <c r="AD1567" s="904"/>
      <c r="AE1567" s="904"/>
      <c r="AF1567" s="899"/>
      <c r="AG1567" s="906" t="str">
        <f>IF(AE1567&lt;&gt;0,VLOOKUP(AE1567,ODDS!$A$2:$C$13,3,0),"")</f>
        <v/>
      </c>
      <c r="AH1567" s="906" t="str">
        <f t="shared" si="327"/>
        <v xml:space="preserve"> </v>
      </c>
      <c r="AI1567" s="907" t="str">
        <f t="shared" si="339"/>
        <v xml:space="preserve"> </v>
      </c>
      <c r="AJ1567" s="894"/>
      <c r="AK1567" s="894"/>
    </row>
    <row r="1568" spans="1:37" s="385" customFormat="1" ht="22.5" outlineLevel="2" x14ac:dyDescent="0.3">
      <c r="A1568" s="447">
        <f t="shared" si="342"/>
        <v>126</v>
      </c>
      <c r="B1568" s="893"/>
      <c r="C1568" s="942"/>
      <c r="D1568" s="950"/>
      <c r="E1568" s="950"/>
      <c r="F1568" s="1032"/>
      <c r="G1568" s="894"/>
      <c r="H1568" s="940"/>
      <c r="I1568" s="882"/>
      <c r="J1568" s="925"/>
      <c r="K1568" s="899" t="str">
        <f>IF(G1568&lt;&gt;0,VLOOKUP(G1568,'gia dat'!$A$1:$F$144,5,0)," ")</f>
        <v xml:space="preserve"> </v>
      </c>
      <c r="L1568" s="899" t="str">
        <f>IF(G1568&lt;&gt;0,VLOOKUP(G1568,'gia dat'!$A$1:$F$144,6,0)," ")</f>
        <v xml:space="preserve"> </v>
      </c>
      <c r="M1568" s="900" t="str">
        <f t="shared" si="336"/>
        <v xml:space="preserve"> </v>
      </c>
      <c r="N1568" s="900" t="str">
        <f t="shared" si="337"/>
        <v xml:space="preserve"> </v>
      </c>
      <c r="O1568" s="894"/>
      <c r="P1568" s="926"/>
      <c r="Q1568" s="900" t="str">
        <f>IF(O1568&lt;&gt;0,VLOOKUP(O1568,'Cây trong'!$A$2:$C$246,3,0)," ")</f>
        <v xml:space="preserve"> </v>
      </c>
      <c r="R1568" s="900" t="str">
        <f t="shared" si="326"/>
        <v xml:space="preserve"> </v>
      </c>
      <c r="S1568" s="902"/>
      <c r="T1568" s="925"/>
      <c r="U1568" s="927"/>
      <c r="V1568" s="929"/>
      <c r="W1568" s="900" t="str">
        <f>IF(S1568&lt;&gt;0,VLOOKUP(S1568,VKT!$A$2:$G$415,7,0),"")</f>
        <v/>
      </c>
      <c r="X1568" s="900" t="str">
        <f t="shared" si="332"/>
        <v xml:space="preserve"> </v>
      </c>
      <c r="Y1568" s="898"/>
      <c r="Z1568" s="904"/>
      <c r="AA1568" s="904"/>
      <c r="AB1568" s="904"/>
      <c r="AC1568" s="904"/>
      <c r="AD1568" s="904"/>
      <c r="AE1568" s="904"/>
      <c r="AF1568" s="899"/>
      <c r="AG1568" s="906" t="str">
        <f>IF(AE1568&lt;&gt;0,VLOOKUP(AE1568,ODDS!$A$2:$C$13,3,0),"")</f>
        <v/>
      </c>
      <c r="AH1568" s="906" t="str">
        <f t="shared" si="327"/>
        <v xml:space="preserve"> </v>
      </c>
      <c r="AI1568" s="907" t="str">
        <f t="shared" si="339"/>
        <v xml:space="preserve"> </v>
      </c>
      <c r="AJ1568" s="894"/>
      <c r="AK1568" s="894"/>
    </row>
    <row r="1569" spans="1:37" s="394" customFormat="1" ht="22.5" outlineLevel="1" x14ac:dyDescent="0.25">
      <c r="A1569" s="467" t="s">
        <v>2583</v>
      </c>
      <c r="B1569" s="912">
        <v>127</v>
      </c>
      <c r="C1569" s="942" t="s">
        <v>1104</v>
      </c>
      <c r="D1569" s="1038"/>
      <c r="E1569" s="977"/>
      <c r="F1569" s="977"/>
      <c r="G1569" s="914"/>
      <c r="H1569" s="1039">
        <f>SUBTOTAL(9,H1570:H1575)</f>
        <v>235.1</v>
      </c>
      <c r="I1569" s="915">
        <f>SUBTOTAL(9,I1570:I1575)</f>
        <v>235.1</v>
      </c>
      <c r="J1569" s="916"/>
      <c r="K1569" s="917"/>
      <c r="L1569" s="917"/>
      <c r="M1569" s="907">
        <f>SUBTOTAL(9,M1570:M1575)</f>
        <v>88585000</v>
      </c>
      <c r="N1569" s="907">
        <f>SUBTOTAL(9,N1570:N1575)</f>
        <v>265757000</v>
      </c>
      <c r="O1569" s="942"/>
      <c r="P1569" s="1063">
        <f>SUBTOTAL(9,P1570:P1575)</f>
        <v>0</v>
      </c>
      <c r="Q1569" s="907"/>
      <c r="R1569" s="907">
        <f>SUBTOTAL(9,R1570:R1575)</f>
        <v>0</v>
      </c>
      <c r="S1569" s="918"/>
      <c r="T1569" s="956"/>
      <c r="U1569" s="1064">
        <f>SUBTOTAL(9,U1570:U1575)</f>
        <v>0</v>
      </c>
      <c r="V1569" s="914"/>
      <c r="W1569" s="907"/>
      <c r="X1569" s="907">
        <f>SUBTOTAL(9,X1570:X1575)</f>
        <v>0</v>
      </c>
      <c r="Y1569" s="985"/>
      <c r="Z1569" s="922"/>
      <c r="AA1569" s="898"/>
      <c r="AB1569" s="922"/>
      <c r="AC1569" s="922"/>
      <c r="AD1569" s="922"/>
      <c r="AE1569" s="914"/>
      <c r="AF1569" s="1044">
        <f>SUBTOTAL(9,AF1570:AF1575)</f>
        <v>0</v>
      </c>
      <c r="AG1569" s="921"/>
      <c r="AH1569" s="921">
        <f>SUBTOTAL(9,AH1570:AH1575)</f>
        <v>0</v>
      </c>
      <c r="AI1569" s="907">
        <f t="shared" si="339"/>
        <v>354342000</v>
      </c>
      <c r="AJ1569" s="914"/>
      <c r="AK1569" s="914"/>
    </row>
    <row r="1570" spans="1:37" s="394" customFormat="1" ht="135" outlineLevel="2" x14ac:dyDescent="0.3">
      <c r="A1570" s="447">
        <f>IF(B1569&lt;&gt;0,B1569,A1568)</f>
        <v>127</v>
      </c>
      <c r="B1570" s="893"/>
      <c r="C1570" s="908" t="s">
        <v>1107</v>
      </c>
      <c r="D1570" s="1032">
        <v>6</v>
      </c>
      <c r="E1570" s="947">
        <v>86</v>
      </c>
      <c r="F1570" s="947">
        <v>267</v>
      </c>
      <c r="G1570" s="922" t="s">
        <v>2433</v>
      </c>
      <c r="H1570" s="1041">
        <v>222.1</v>
      </c>
      <c r="I1570" s="882">
        <f t="shared" ref="I1570:I1571" si="343">IF(N1570&gt;0,H1570,"")</f>
        <v>222.1</v>
      </c>
      <c r="J1570" s="898"/>
      <c r="K1570" s="899">
        <f>IF(G1570&lt;&gt;0,VLOOKUP(G1570,'gia dat'!$A$1:$F$144,5,0)," ")</f>
        <v>376800</v>
      </c>
      <c r="L1570" s="899">
        <f>IF(G1570&lt;&gt;0,VLOOKUP(G1570,'gia dat'!$A$1:$F$144,6,0)," ")</f>
        <v>1130400</v>
      </c>
      <c r="M1570" s="900">
        <f t="shared" si="336"/>
        <v>83687000</v>
      </c>
      <c r="N1570" s="900">
        <f t="shared" si="337"/>
        <v>251062000</v>
      </c>
      <c r="O1570" s="908"/>
      <c r="P1570" s="1065"/>
      <c r="Q1570" s="900" t="str">
        <f>IF(O1570&lt;&gt;0,VLOOKUP(O1570,'Cây trong'!$A$2:$C$246,3,0)," ")</f>
        <v xml:space="preserve"> </v>
      </c>
      <c r="R1570" s="900" t="str">
        <f t="shared" si="326"/>
        <v xml:space="preserve"> </v>
      </c>
      <c r="S1570" s="902"/>
      <c r="T1570" s="944"/>
      <c r="U1570" s="1066"/>
      <c r="V1570" s="922"/>
      <c r="W1570" s="900" t="str">
        <f>IF(S1570&lt;&gt;0,VLOOKUP(S1570,VKT!$A$2:$G$415,7,0),"")</f>
        <v/>
      </c>
      <c r="X1570" s="900" t="str">
        <f t="shared" si="332"/>
        <v xml:space="preserve"> </v>
      </c>
      <c r="Y1570" s="985"/>
      <c r="Z1570" s="922"/>
      <c r="AA1570" s="898"/>
      <c r="AB1570" s="922"/>
      <c r="AC1570" s="922"/>
      <c r="AD1570" s="922"/>
      <c r="AE1570" s="922"/>
      <c r="AF1570" s="1046"/>
      <c r="AG1570" s="906" t="str">
        <f>IF(AE1570&lt;&gt;0,VLOOKUP(AE1570,ODDS!$A$2:$C$13,3,0),"")</f>
        <v/>
      </c>
      <c r="AH1570" s="906"/>
      <c r="AI1570" s="907" t="str">
        <f t="shared" si="339"/>
        <v xml:space="preserve"> </v>
      </c>
      <c r="AJ1570" s="922" t="s">
        <v>1106</v>
      </c>
      <c r="AK1570" s="922" t="s">
        <v>2771</v>
      </c>
    </row>
    <row r="1571" spans="1:37" s="394" customFormat="1" ht="112.5" outlineLevel="2" x14ac:dyDescent="0.3">
      <c r="A1571" s="447">
        <f>IF(B1570&lt;&gt;0,B1570,A1570)</f>
        <v>127</v>
      </c>
      <c r="B1571" s="893"/>
      <c r="C1571" s="908" t="s">
        <v>2906</v>
      </c>
      <c r="D1571" s="1032"/>
      <c r="E1571" s="947">
        <v>86</v>
      </c>
      <c r="F1571" s="947" t="s">
        <v>1108</v>
      </c>
      <c r="G1571" s="922" t="s">
        <v>2441</v>
      </c>
      <c r="H1571" s="1041">
        <v>13</v>
      </c>
      <c r="I1571" s="882">
        <f t="shared" si="343"/>
        <v>13</v>
      </c>
      <c r="J1571" s="898"/>
      <c r="K1571" s="899">
        <f>IF(G1571&lt;&gt;0,VLOOKUP(G1571,'gia dat'!$A$1:$F$144,5,0)," ")</f>
        <v>376800</v>
      </c>
      <c r="L1571" s="899">
        <f>IF(G1571&lt;&gt;0,VLOOKUP(G1571,'gia dat'!$A$1:$F$144,6,0)," ")</f>
        <v>1130400</v>
      </c>
      <c r="M1571" s="900">
        <f t="shared" si="336"/>
        <v>4898000</v>
      </c>
      <c r="N1571" s="900">
        <f t="shared" si="337"/>
        <v>14695000</v>
      </c>
      <c r="O1571" s="908"/>
      <c r="P1571" s="1065"/>
      <c r="Q1571" s="900" t="str">
        <f>IF(O1571&lt;&gt;0,VLOOKUP(O1571,'Cây trong'!$A$2:$C$246,3,0)," ")</f>
        <v xml:space="preserve"> </v>
      </c>
      <c r="R1571" s="900" t="str">
        <f t="shared" si="326"/>
        <v xml:space="preserve"> </v>
      </c>
      <c r="S1571" s="902"/>
      <c r="T1571" s="944"/>
      <c r="U1571" s="1066"/>
      <c r="V1571" s="922"/>
      <c r="W1571" s="900" t="str">
        <f>IF(S1571&lt;&gt;0,VLOOKUP(S1571,VKT!$A$2:$G$415,7,0),"")</f>
        <v/>
      </c>
      <c r="X1571" s="900" t="str">
        <f t="shared" si="332"/>
        <v xml:space="preserve"> </v>
      </c>
      <c r="Y1571" s="985"/>
      <c r="Z1571" s="922"/>
      <c r="AA1571" s="1067"/>
      <c r="AB1571" s="922"/>
      <c r="AC1571" s="922"/>
      <c r="AD1571" s="922"/>
      <c r="AE1571" s="922"/>
      <c r="AF1571" s="1046"/>
      <c r="AG1571" s="906" t="str">
        <f>IF(AE1571&lt;&gt;0,VLOOKUP(AE1571,ODDS!$A$2:$C$13,3,0),"")</f>
        <v/>
      </c>
      <c r="AH1571" s="906" t="str">
        <f t="shared" si="327"/>
        <v xml:space="preserve"> </v>
      </c>
      <c r="AI1571" s="907" t="str">
        <f t="shared" si="339"/>
        <v xml:space="preserve"> </v>
      </c>
      <c r="AJ1571" s="922" t="s">
        <v>1110</v>
      </c>
      <c r="AK1571" s="894" t="s">
        <v>2448</v>
      </c>
    </row>
    <row r="1572" spans="1:37" s="394" customFormat="1" ht="135" outlineLevel="2" x14ac:dyDescent="0.3">
      <c r="A1572" s="447">
        <f>IF(B1571&lt;&gt;0,B1571,A1571)</f>
        <v>127</v>
      </c>
      <c r="B1572" s="893"/>
      <c r="C1572" s="908"/>
      <c r="D1572" s="1032"/>
      <c r="E1572" s="947"/>
      <c r="F1572" s="947"/>
      <c r="G1572" s="922"/>
      <c r="H1572" s="1041"/>
      <c r="I1572" s="882"/>
      <c r="J1572" s="898"/>
      <c r="K1572" s="899" t="str">
        <f>IF(G1572&lt;&gt;0,VLOOKUP(G1572,'gia dat'!$A$1:$F$144,5,0)," ")</f>
        <v xml:space="preserve"> </v>
      </c>
      <c r="L1572" s="899" t="str">
        <f>IF(G1572&lt;&gt;0,VLOOKUP(G1572,'gia dat'!$A$1:$F$144,6,0)," ")</f>
        <v xml:space="preserve"> </v>
      </c>
      <c r="M1572" s="900" t="str">
        <f t="shared" si="336"/>
        <v xml:space="preserve"> </v>
      </c>
      <c r="N1572" s="900" t="str">
        <f t="shared" si="337"/>
        <v xml:space="preserve"> </v>
      </c>
      <c r="O1572" s="908"/>
      <c r="P1572" s="1065"/>
      <c r="Q1572" s="900" t="str">
        <f>IF(O1572&lt;&gt;0,VLOOKUP(O1572,'Cây trong'!$A$2:$C$246,3,0)," ")</f>
        <v xml:space="preserve"> </v>
      </c>
      <c r="R1572" s="900" t="str">
        <f t="shared" si="326"/>
        <v xml:space="preserve"> </v>
      </c>
      <c r="S1572" s="902"/>
      <c r="T1572" s="944"/>
      <c r="U1572" s="1066"/>
      <c r="V1572" s="922"/>
      <c r="W1572" s="900" t="str">
        <f>IF(S1572&lt;&gt;0,VLOOKUP(S1572,VKT!$A$2:$G$415,7,0),"")</f>
        <v/>
      </c>
      <c r="X1572" s="900" t="str">
        <f t="shared" si="332"/>
        <v xml:space="preserve"> </v>
      </c>
      <c r="Y1572" s="985"/>
      <c r="Z1572" s="922"/>
      <c r="AA1572" s="1067"/>
      <c r="AB1572" s="922"/>
      <c r="AC1572" s="922"/>
      <c r="AD1572" s="922"/>
      <c r="AE1572" s="922"/>
      <c r="AF1572" s="1046"/>
      <c r="AG1572" s="906" t="str">
        <f>IF(AE1572&lt;&gt;0,VLOOKUP(AE1572,ODDS!$A$2:$C$13,3,0),"")</f>
        <v/>
      </c>
      <c r="AH1572" s="906" t="str">
        <f t="shared" si="327"/>
        <v xml:space="preserve"> </v>
      </c>
      <c r="AI1572" s="907" t="str">
        <f t="shared" si="339"/>
        <v xml:space="preserve"> </v>
      </c>
      <c r="AJ1572" s="922" t="s">
        <v>1111</v>
      </c>
      <c r="AK1572" s="922"/>
    </row>
    <row r="1573" spans="1:37" s="394" customFormat="1" ht="67.5" outlineLevel="2" x14ac:dyDescent="0.3">
      <c r="A1573" s="447">
        <f>IF(B1572&lt;&gt;0,B1572,A1572)</f>
        <v>127</v>
      </c>
      <c r="B1573" s="893"/>
      <c r="C1573" s="908"/>
      <c r="D1573" s="1032"/>
      <c r="E1573" s="947"/>
      <c r="F1573" s="947"/>
      <c r="G1573" s="922"/>
      <c r="H1573" s="1041"/>
      <c r="I1573" s="882"/>
      <c r="J1573" s="898"/>
      <c r="K1573" s="899" t="str">
        <f>IF(G1573&lt;&gt;0,VLOOKUP(G1573,'gia dat'!$A$1:$F$144,5,0)," ")</f>
        <v xml:space="preserve"> </v>
      </c>
      <c r="L1573" s="899" t="str">
        <f>IF(G1573&lt;&gt;0,VLOOKUP(G1573,'gia dat'!$A$1:$F$144,6,0)," ")</f>
        <v xml:space="preserve"> </v>
      </c>
      <c r="M1573" s="900" t="str">
        <f t="shared" si="336"/>
        <v xml:space="preserve"> </v>
      </c>
      <c r="N1573" s="900" t="str">
        <f t="shared" si="337"/>
        <v xml:space="preserve"> </v>
      </c>
      <c r="O1573" s="908"/>
      <c r="P1573" s="1065"/>
      <c r="Q1573" s="900" t="str">
        <f>IF(O1573&lt;&gt;0,VLOOKUP(O1573,'Cây trong'!$A$2:$C$246,3,0)," ")</f>
        <v xml:space="preserve"> </v>
      </c>
      <c r="R1573" s="900" t="str">
        <f t="shared" si="326"/>
        <v xml:space="preserve"> </v>
      </c>
      <c r="S1573" s="902"/>
      <c r="T1573" s="944"/>
      <c r="U1573" s="1066"/>
      <c r="V1573" s="922"/>
      <c r="W1573" s="900" t="str">
        <f>IF(S1573&lt;&gt;0,VLOOKUP(S1573,VKT!$A$2:$G$415,7,0),"")</f>
        <v/>
      </c>
      <c r="X1573" s="900" t="str">
        <f t="shared" si="332"/>
        <v xml:space="preserve"> </v>
      </c>
      <c r="Y1573" s="985"/>
      <c r="Z1573" s="922"/>
      <c r="AA1573" s="1067"/>
      <c r="AB1573" s="922"/>
      <c r="AC1573" s="922"/>
      <c r="AD1573" s="922"/>
      <c r="AE1573" s="922"/>
      <c r="AF1573" s="1046"/>
      <c r="AG1573" s="906" t="str">
        <f>IF(AE1573&lt;&gt;0,VLOOKUP(AE1573,ODDS!$A$2:$C$13,3,0),"")</f>
        <v/>
      </c>
      <c r="AH1573" s="906" t="str">
        <f t="shared" si="327"/>
        <v xml:space="preserve"> </v>
      </c>
      <c r="AI1573" s="907" t="str">
        <f t="shared" si="339"/>
        <v xml:space="preserve"> </v>
      </c>
      <c r="AJ1573" s="922" t="s">
        <v>2074</v>
      </c>
      <c r="AK1573" s="922"/>
    </row>
    <row r="1574" spans="1:37" s="394" customFormat="1" ht="22.5" outlineLevel="2" x14ac:dyDescent="0.35">
      <c r="A1574" s="447">
        <f>IF(B1573&lt;&gt;0,B1573,A1573)</f>
        <v>127</v>
      </c>
      <c r="B1574" s="893"/>
      <c r="C1574" s="908"/>
      <c r="D1574" s="1032"/>
      <c r="E1574" s="947"/>
      <c r="F1574" s="947"/>
      <c r="G1574" s="922"/>
      <c r="H1574" s="1041"/>
      <c r="I1574" s="882"/>
      <c r="J1574" s="898"/>
      <c r="K1574" s="899" t="str">
        <f>IF(G1574&lt;&gt;0,VLOOKUP(G1574,'gia dat'!$A$1:$F$144,5,0)," ")</f>
        <v xml:space="preserve"> </v>
      </c>
      <c r="L1574" s="899" t="str">
        <f>IF(G1574&lt;&gt;0,VLOOKUP(G1574,'gia dat'!$A$1:$F$144,6,0)," ")</f>
        <v xml:space="preserve"> </v>
      </c>
      <c r="M1574" s="900" t="str">
        <f t="shared" si="336"/>
        <v xml:space="preserve"> </v>
      </c>
      <c r="N1574" s="900" t="str">
        <f t="shared" si="337"/>
        <v xml:space="preserve"> </v>
      </c>
      <c r="O1574" s="908"/>
      <c r="P1574" s="1065"/>
      <c r="Q1574" s="900" t="str">
        <f>IF(O1574&lt;&gt;0,VLOOKUP(O1574,'Cây trong'!$A$2:$C$246,3,0)," ")</f>
        <v xml:space="preserve"> </v>
      </c>
      <c r="R1574" s="900" t="str">
        <f t="shared" si="326"/>
        <v xml:space="preserve"> </v>
      </c>
      <c r="S1574" s="902"/>
      <c r="T1574" s="944"/>
      <c r="U1574" s="1066"/>
      <c r="V1574" s="922"/>
      <c r="W1574" s="900" t="str">
        <f>IF(S1574&lt;&gt;0,VLOOKUP(S1574,VKT!$A$2:$G$415,7,0),"")</f>
        <v/>
      </c>
      <c r="X1574" s="900" t="str">
        <f t="shared" si="332"/>
        <v xml:space="preserve"> </v>
      </c>
      <c r="Y1574" s="985"/>
      <c r="Z1574" s="922"/>
      <c r="AA1574" s="1067"/>
      <c r="AB1574" s="922"/>
      <c r="AC1574" s="922"/>
      <c r="AD1574" s="922"/>
      <c r="AE1574" s="922"/>
      <c r="AF1574" s="1046"/>
      <c r="AG1574" s="906" t="str">
        <f>IF(AE1574&lt;&gt;0,VLOOKUP(AE1574,ODDS!$A$2:$C$13,3,0),"")</f>
        <v/>
      </c>
      <c r="AH1574" s="906" t="str">
        <f t="shared" si="327"/>
        <v xml:space="preserve"> </v>
      </c>
      <c r="AI1574" s="907" t="str">
        <f t="shared" si="339"/>
        <v xml:space="preserve"> </v>
      </c>
      <c r="AJ1574" s="1068"/>
      <c r="AK1574" s="922"/>
    </row>
    <row r="1575" spans="1:37" s="394" customFormat="1" ht="22.5" outlineLevel="2" x14ac:dyDescent="0.3">
      <c r="A1575" s="447">
        <f>IF(B1574&lt;&gt;0,B1574,A1574)</f>
        <v>127</v>
      </c>
      <c r="B1575" s="893"/>
      <c r="C1575" s="942"/>
      <c r="D1575" s="1032"/>
      <c r="E1575" s="947"/>
      <c r="F1575" s="947"/>
      <c r="G1575" s="922"/>
      <c r="H1575" s="1041"/>
      <c r="I1575" s="882"/>
      <c r="J1575" s="894"/>
      <c r="K1575" s="899" t="str">
        <f>IF(G1575&lt;&gt;0,VLOOKUP(G1575,'gia dat'!$A$1:$F$144,5,0)," ")</f>
        <v xml:space="preserve"> </v>
      </c>
      <c r="L1575" s="899" t="str">
        <f>IF(G1575&lt;&gt;0,VLOOKUP(G1575,'gia dat'!$A$1:$F$144,6,0)," ")</f>
        <v xml:space="preserve"> </v>
      </c>
      <c r="M1575" s="900" t="str">
        <f t="shared" si="336"/>
        <v xml:space="preserve"> </v>
      </c>
      <c r="N1575" s="900" t="str">
        <f t="shared" si="337"/>
        <v xml:space="preserve"> </v>
      </c>
      <c r="O1575" s="908"/>
      <c r="P1575" s="1065"/>
      <c r="Q1575" s="900" t="str">
        <f>IF(O1575&lt;&gt;0,VLOOKUP(O1575,'Cây trong'!$A$2:$C$246,3,0)," ")</f>
        <v xml:space="preserve"> </v>
      </c>
      <c r="R1575" s="900" t="str">
        <f t="shared" si="326"/>
        <v xml:space="preserve"> </v>
      </c>
      <c r="S1575" s="908"/>
      <c r="T1575" s="944"/>
      <c r="U1575" s="1066"/>
      <c r="V1575" s="922"/>
      <c r="W1575" s="900" t="str">
        <f>IF(S1575&lt;&gt;0,VLOOKUP(S1575,VKT!$A$2:$G$415,7,0),"")</f>
        <v/>
      </c>
      <c r="X1575" s="900" t="str">
        <f t="shared" si="332"/>
        <v xml:space="preserve"> </v>
      </c>
      <c r="Y1575" s="985"/>
      <c r="Z1575" s="922"/>
      <c r="AA1575" s="1067"/>
      <c r="AB1575" s="922"/>
      <c r="AC1575" s="922"/>
      <c r="AD1575" s="922"/>
      <c r="AE1575" s="922"/>
      <c r="AF1575" s="1046"/>
      <c r="AG1575" s="906" t="str">
        <f>IF(AE1575&lt;&gt;0,VLOOKUP(AE1575,ODDS!$A$2:$C$13,3,0),"")</f>
        <v/>
      </c>
      <c r="AH1575" s="906" t="str">
        <f t="shared" si="327"/>
        <v xml:space="preserve"> </v>
      </c>
      <c r="AI1575" s="907" t="str">
        <f t="shared" si="339"/>
        <v xml:space="preserve"> </v>
      </c>
      <c r="AJ1575" s="922"/>
      <c r="AK1575" s="922"/>
    </row>
    <row r="1576" spans="1:37" s="394" customFormat="1" ht="43.5" outlineLevel="1" x14ac:dyDescent="0.25">
      <c r="A1576" s="467" t="s">
        <v>2582</v>
      </c>
      <c r="B1576" s="912">
        <v>128</v>
      </c>
      <c r="C1576" s="942" t="s">
        <v>1112</v>
      </c>
      <c r="D1576" s="1038"/>
      <c r="E1576" s="977"/>
      <c r="F1576" s="977"/>
      <c r="G1576" s="914"/>
      <c r="H1576" s="1039">
        <f>SUBTOTAL(9,H1577:H1582)</f>
        <v>272.2</v>
      </c>
      <c r="I1576" s="915">
        <f>SUBTOTAL(9,I1577:I1582)</f>
        <v>0</v>
      </c>
      <c r="J1576" s="916"/>
      <c r="K1576" s="917"/>
      <c r="L1576" s="917"/>
      <c r="M1576" s="907">
        <f>SUBTOTAL(9,M1577:M1582)</f>
        <v>126736000</v>
      </c>
      <c r="N1576" s="907">
        <f>SUBTOTAL(9,N1577:N1582)</f>
        <v>0</v>
      </c>
      <c r="O1576" s="942"/>
      <c r="P1576" s="1063">
        <f>SUBTOTAL(9,P1577:P1582)</f>
        <v>0</v>
      </c>
      <c r="Q1576" s="907"/>
      <c r="R1576" s="907">
        <f>SUBTOTAL(9,R1577:R1582)</f>
        <v>0</v>
      </c>
      <c r="S1576" s="918"/>
      <c r="T1576" s="956"/>
      <c r="U1576" s="1064">
        <f>SUBTOTAL(9,U1577:U1582)</f>
        <v>0</v>
      </c>
      <c r="V1576" s="914"/>
      <c r="W1576" s="907"/>
      <c r="X1576" s="907">
        <f>SUBTOTAL(9,X1577:X1582)</f>
        <v>0</v>
      </c>
      <c r="Y1576" s="985"/>
      <c r="Z1576" s="922"/>
      <c r="AA1576" s="1067"/>
      <c r="AB1576" s="922"/>
      <c r="AC1576" s="922"/>
      <c r="AD1576" s="922"/>
      <c r="AE1576" s="914"/>
      <c r="AF1576" s="1044">
        <f>SUBTOTAL(9,AF1577:AF1582)</f>
        <v>0</v>
      </c>
      <c r="AG1576" s="921"/>
      <c r="AH1576" s="921">
        <f>SUBTOTAL(9,AH1577:AH1582)</f>
        <v>0</v>
      </c>
      <c r="AI1576" s="907">
        <f t="shared" si="339"/>
        <v>126736000</v>
      </c>
      <c r="AJ1576" s="914"/>
      <c r="AK1576" s="914"/>
    </row>
    <row r="1577" spans="1:37" s="394" customFormat="1" ht="135" outlineLevel="2" x14ac:dyDescent="0.3">
      <c r="A1577" s="447">
        <f>IF(B1576&lt;&gt;0,B1576,A1575)</f>
        <v>128</v>
      </c>
      <c r="B1577" s="893"/>
      <c r="C1577" s="908" t="s">
        <v>1115</v>
      </c>
      <c r="D1577" s="1032">
        <v>5</v>
      </c>
      <c r="E1577" s="947">
        <v>86</v>
      </c>
      <c r="F1577" s="947">
        <v>21</v>
      </c>
      <c r="G1577" s="922" t="s">
        <v>2051</v>
      </c>
      <c r="H1577" s="1041">
        <f>253.9-H1579</f>
        <v>253.9</v>
      </c>
      <c r="I1577" s="882" t="str">
        <f t="shared" ref="I1577:I1578" si="344">IF(N1577&gt;0,H1577,"")</f>
        <v/>
      </c>
      <c r="J1577" s="898"/>
      <c r="K1577" s="899">
        <f>IF(G1577&lt;&gt;0,VLOOKUP(G1577,'gia dat'!$A$1:$F$144,5,0)," ")</f>
        <v>465600</v>
      </c>
      <c r="L1577" s="899">
        <f>IF(G1577&lt;&gt;0,VLOOKUP(G1577,'gia dat'!$A$1:$F$144,6,0)," ")</f>
        <v>0</v>
      </c>
      <c r="M1577" s="900">
        <f t="shared" si="336"/>
        <v>118216000</v>
      </c>
      <c r="N1577" s="900">
        <f t="shared" si="337"/>
        <v>0</v>
      </c>
      <c r="O1577" s="908"/>
      <c r="P1577" s="1065"/>
      <c r="Q1577" s="900" t="str">
        <f>IF(O1577&lt;&gt;0,VLOOKUP(O1577,'Cây trong'!$A$2:$C$246,3,0)," ")</f>
        <v xml:space="preserve"> </v>
      </c>
      <c r="R1577" s="900" t="str">
        <f t="shared" ref="R1577:R1647" si="345">IF(O1577&lt;&gt;0,ROUND(P1577*Q1577,-2)," ")</f>
        <v xml:space="preserve"> </v>
      </c>
      <c r="S1577" s="902"/>
      <c r="T1577" s="944"/>
      <c r="U1577" s="1066"/>
      <c r="V1577" s="922"/>
      <c r="W1577" s="900" t="str">
        <f>IF(S1577&lt;&gt;0,VLOOKUP(S1577,VKT!$A$2:$G$415,7,0),"")</f>
        <v/>
      </c>
      <c r="X1577" s="900" t="str">
        <f t="shared" si="332"/>
        <v xml:space="preserve"> </v>
      </c>
      <c r="Y1577" s="985"/>
      <c r="Z1577" s="922"/>
      <c r="AA1577" s="1067"/>
      <c r="AB1577" s="922"/>
      <c r="AC1577" s="922"/>
      <c r="AD1577" s="922"/>
      <c r="AE1577" s="922"/>
      <c r="AF1577" s="1046"/>
      <c r="AG1577" s="906" t="str">
        <f>IF(AE1577&lt;&gt;0,VLOOKUP(AE1577,ODDS!$A$2:$C$13,3,0),"")</f>
        <v/>
      </c>
      <c r="AH1577" s="906"/>
      <c r="AI1577" s="907" t="str">
        <f t="shared" si="339"/>
        <v xml:space="preserve"> </v>
      </c>
      <c r="AJ1577" s="922" t="s">
        <v>1114</v>
      </c>
      <c r="AK1577" s="922" t="s">
        <v>2771</v>
      </c>
    </row>
    <row r="1578" spans="1:37" s="394" customFormat="1" ht="135" outlineLevel="2" x14ac:dyDescent="0.3">
      <c r="A1578" s="447">
        <f>IF(B1577&lt;&gt;0,B1577,A1577)</f>
        <v>128</v>
      </c>
      <c r="B1578" s="893"/>
      <c r="C1578" s="908" t="s">
        <v>1593</v>
      </c>
      <c r="D1578" s="1032"/>
      <c r="E1578" s="947">
        <v>86</v>
      </c>
      <c r="F1578" s="947" t="s">
        <v>1116</v>
      </c>
      <c r="G1578" s="922" t="s">
        <v>2052</v>
      </c>
      <c r="H1578" s="1041">
        <v>18.3</v>
      </c>
      <c r="I1578" s="882" t="str">
        <f t="shared" si="344"/>
        <v/>
      </c>
      <c r="J1578" s="898"/>
      <c r="K1578" s="899">
        <f>IF(G1578&lt;&gt;0,VLOOKUP(G1578,'gia dat'!$A$1:$F$144,5,0)," ")</f>
        <v>465600</v>
      </c>
      <c r="L1578" s="899">
        <f>IF(G1578&lt;&gt;0,VLOOKUP(G1578,'gia dat'!$A$1:$F$144,6,0)," ")</f>
        <v>0</v>
      </c>
      <c r="M1578" s="900">
        <f t="shared" si="336"/>
        <v>8520000</v>
      </c>
      <c r="N1578" s="900">
        <f t="shared" si="337"/>
        <v>0</v>
      </c>
      <c r="O1578" s="908"/>
      <c r="P1578" s="1065"/>
      <c r="Q1578" s="900" t="str">
        <f>IF(O1578&lt;&gt;0,VLOOKUP(O1578,'Cây trong'!$A$2:$C$246,3,0)," ")</f>
        <v xml:space="preserve"> </v>
      </c>
      <c r="R1578" s="900" t="str">
        <f t="shared" si="345"/>
        <v xml:space="preserve"> </v>
      </c>
      <c r="S1578" s="902"/>
      <c r="T1578" s="944"/>
      <c r="U1578" s="1066"/>
      <c r="V1578" s="922"/>
      <c r="W1578" s="900" t="str">
        <f>IF(S1578&lt;&gt;0,VLOOKUP(S1578,VKT!$A$2:$G$415,7,0),"")</f>
        <v/>
      </c>
      <c r="X1578" s="900" t="str">
        <f t="shared" si="332"/>
        <v xml:space="preserve"> </v>
      </c>
      <c r="Y1578" s="985"/>
      <c r="Z1578" s="922"/>
      <c r="AA1578" s="1067"/>
      <c r="AB1578" s="922"/>
      <c r="AC1578" s="922"/>
      <c r="AD1578" s="922"/>
      <c r="AE1578" s="922"/>
      <c r="AF1578" s="1046"/>
      <c r="AG1578" s="906" t="str">
        <f>IF(AE1578&lt;&gt;0,VLOOKUP(AE1578,ODDS!$A$2:$C$13,3,0),"")</f>
        <v/>
      </c>
      <c r="AH1578" s="906" t="str">
        <f t="shared" ref="AH1578:AH1647" si="346">IF(AE1578&lt;&gt;0,ROUND(AF1578*AG1578,-2)," ")</f>
        <v xml:space="preserve"> </v>
      </c>
      <c r="AI1578" s="907" t="str">
        <f t="shared" si="339"/>
        <v xml:space="preserve"> </v>
      </c>
      <c r="AJ1578" s="922" t="s">
        <v>1117</v>
      </c>
      <c r="AK1578" s="922"/>
    </row>
    <row r="1579" spans="1:37" s="394" customFormat="1" ht="112.5" outlineLevel="2" x14ac:dyDescent="0.3">
      <c r="A1579" s="447">
        <f>IF(B1578&lt;&gt;0,B1578,A1578)</f>
        <v>128</v>
      </c>
      <c r="B1579" s="893"/>
      <c r="C1579" s="908"/>
      <c r="D1579" s="1032"/>
      <c r="E1579" s="947"/>
      <c r="F1579" s="947"/>
      <c r="G1579" s="922"/>
      <c r="H1579" s="1041"/>
      <c r="I1579" s="882"/>
      <c r="J1579" s="898"/>
      <c r="K1579" s="899" t="str">
        <f>IF(G1579&lt;&gt;0,VLOOKUP(G1579,'gia dat'!$A$1:$F$144,5,0)," ")</f>
        <v xml:space="preserve"> </v>
      </c>
      <c r="L1579" s="899" t="str">
        <f>IF(G1579&lt;&gt;0,VLOOKUP(G1579,'gia dat'!$A$1:$F$144,6,0)," ")</f>
        <v xml:space="preserve"> </v>
      </c>
      <c r="M1579" s="900" t="str">
        <f t="shared" si="336"/>
        <v xml:space="preserve"> </v>
      </c>
      <c r="N1579" s="900" t="str">
        <f t="shared" si="337"/>
        <v xml:space="preserve"> </v>
      </c>
      <c r="O1579" s="922"/>
      <c r="P1579" s="1065"/>
      <c r="Q1579" s="900" t="str">
        <f>IF(O1579&lt;&gt;0,VLOOKUP(O1579,'Cây trong'!$A$2:$C$246,3,0)," ")</f>
        <v xml:space="preserve"> </v>
      </c>
      <c r="R1579" s="900" t="str">
        <f t="shared" si="345"/>
        <v xml:space="preserve"> </v>
      </c>
      <c r="S1579" s="902"/>
      <c r="T1579" s="944"/>
      <c r="U1579" s="1066"/>
      <c r="V1579" s="922"/>
      <c r="W1579" s="900" t="str">
        <f>IF(S1579&lt;&gt;0,VLOOKUP(S1579,VKT!$A$2:$G$415,7,0),"")</f>
        <v/>
      </c>
      <c r="X1579" s="900" t="str">
        <f t="shared" si="332"/>
        <v xml:space="preserve"> </v>
      </c>
      <c r="Y1579" s="985"/>
      <c r="Z1579" s="922"/>
      <c r="AA1579" s="1067"/>
      <c r="AB1579" s="922"/>
      <c r="AC1579" s="922"/>
      <c r="AD1579" s="922"/>
      <c r="AE1579" s="922"/>
      <c r="AF1579" s="1046"/>
      <c r="AG1579" s="906" t="str">
        <f>IF(AE1579&lt;&gt;0,VLOOKUP(AE1579,ODDS!$A$2:$C$13,3,0),"")</f>
        <v/>
      </c>
      <c r="AH1579" s="906" t="str">
        <f t="shared" si="346"/>
        <v xml:space="preserve"> </v>
      </c>
      <c r="AI1579" s="907" t="str">
        <f t="shared" si="339"/>
        <v xml:space="preserve"> </v>
      </c>
      <c r="AJ1579" s="922" t="s">
        <v>1118</v>
      </c>
      <c r="AK1579" s="894"/>
    </row>
    <row r="1580" spans="1:37" s="394" customFormat="1" ht="112.5" outlineLevel="2" x14ac:dyDescent="0.3">
      <c r="A1580" s="447">
        <f>IF(B1579&lt;&gt;0,B1579,A1579)</f>
        <v>128</v>
      </c>
      <c r="B1580" s="893"/>
      <c r="C1580" s="908"/>
      <c r="D1580" s="1032"/>
      <c r="E1580" s="947"/>
      <c r="F1580" s="947"/>
      <c r="G1580" s="922"/>
      <c r="H1580" s="1041"/>
      <c r="I1580" s="882"/>
      <c r="J1580" s="894"/>
      <c r="K1580" s="899" t="str">
        <f>IF(G1580&lt;&gt;0,VLOOKUP(G1580,'gia dat'!$A$1:$F$144,5,0)," ")</f>
        <v xml:space="preserve"> </v>
      </c>
      <c r="L1580" s="899" t="str">
        <f>IF(G1580&lt;&gt;0,VLOOKUP(G1580,'gia dat'!$A$1:$F$144,6,0)," ")</f>
        <v xml:space="preserve"> </v>
      </c>
      <c r="M1580" s="900" t="str">
        <f t="shared" si="336"/>
        <v xml:space="preserve"> </v>
      </c>
      <c r="N1580" s="900" t="str">
        <f t="shared" si="337"/>
        <v xml:space="preserve"> </v>
      </c>
      <c r="O1580" s="908"/>
      <c r="P1580" s="1065"/>
      <c r="Q1580" s="900" t="str">
        <f>IF(O1580&lt;&gt;0,VLOOKUP(O1580,'Cây trong'!$A$2:$C$246,3,0)," ")</f>
        <v xml:space="preserve"> </v>
      </c>
      <c r="R1580" s="900" t="str">
        <f t="shared" si="345"/>
        <v xml:space="preserve"> </v>
      </c>
      <c r="S1580" s="908"/>
      <c r="T1580" s="944"/>
      <c r="U1580" s="1066"/>
      <c r="V1580" s="922"/>
      <c r="W1580" s="900" t="str">
        <f>IF(S1580&lt;&gt;0,VLOOKUP(S1580,VKT!$A$2:$G$415,7,0),"")</f>
        <v/>
      </c>
      <c r="X1580" s="900" t="str">
        <f t="shared" si="332"/>
        <v xml:space="preserve"> </v>
      </c>
      <c r="Y1580" s="985"/>
      <c r="Z1580" s="922"/>
      <c r="AA1580" s="1067"/>
      <c r="AB1580" s="922"/>
      <c r="AC1580" s="922"/>
      <c r="AD1580" s="922"/>
      <c r="AE1580" s="922"/>
      <c r="AF1580" s="1046"/>
      <c r="AG1580" s="906" t="str">
        <f>IF(AE1580&lt;&gt;0,VLOOKUP(AE1580,ODDS!$A$2:$C$13,3,0),"")</f>
        <v/>
      </c>
      <c r="AH1580" s="906" t="str">
        <f t="shared" si="346"/>
        <v xml:space="preserve"> </v>
      </c>
      <c r="AI1580" s="907" t="str">
        <f t="shared" si="339"/>
        <v xml:space="preserve"> </v>
      </c>
      <c r="AJ1580" s="908" t="s">
        <v>2233</v>
      </c>
      <c r="AK1580" s="922"/>
    </row>
    <row r="1581" spans="1:37" s="394" customFormat="1" ht="22.5" outlineLevel="2" x14ac:dyDescent="0.35">
      <c r="A1581" s="447">
        <f>IF(B1580&lt;&gt;0,B1580,A1580)</f>
        <v>128</v>
      </c>
      <c r="B1581" s="893"/>
      <c r="C1581" s="908"/>
      <c r="D1581" s="1032"/>
      <c r="E1581" s="947"/>
      <c r="F1581" s="947"/>
      <c r="G1581" s="922"/>
      <c r="H1581" s="1041"/>
      <c r="I1581" s="882"/>
      <c r="J1581" s="894"/>
      <c r="K1581" s="899" t="str">
        <f>IF(G1581&lt;&gt;0,VLOOKUP(G1581,'gia dat'!$A$1:$F$144,5,0)," ")</f>
        <v xml:space="preserve"> </v>
      </c>
      <c r="L1581" s="899" t="str">
        <f>IF(G1581&lt;&gt;0,VLOOKUP(G1581,'gia dat'!$A$1:$F$144,6,0)," ")</f>
        <v xml:space="preserve"> </v>
      </c>
      <c r="M1581" s="900" t="str">
        <f t="shared" si="336"/>
        <v xml:space="preserve"> </v>
      </c>
      <c r="N1581" s="900" t="str">
        <f t="shared" si="337"/>
        <v xml:space="preserve"> </v>
      </c>
      <c r="O1581" s="908"/>
      <c r="P1581" s="1065"/>
      <c r="Q1581" s="900" t="str">
        <f>IF(O1581&lt;&gt;0,VLOOKUP(O1581,'Cây trong'!$A$2:$C$246,3,0)," ")</f>
        <v xml:space="preserve"> </v>
      </c>
      <c r="R1581" s="900" t="str">
        <f t="shared" si="345"/>
        <v xml:space="preserve"> </v>
      </c>
      <c r="S1581" s="908"/>
      <c r="T1581" s="944"/>
      <c r="U1581" s="1066"/>
      <c r="V1581" s="922"/>
      <c r="W1581" s="900" t="str">
        <f>IF(S1581&lt;&gt;0,VLOOKUP(S1581,VKT!$A$2:$G$415,7,0),"")</f>
        <v/>
      </c>
      <c r="X1581" s="900" t="str">
        <f t="shared" si="332"/>
        <v xml:space="preserve"> </v>
      </c>
      <c r="Y1581" s="985"/>
      <c r="Z1581" s="922"/>
      <c r="AA1581" s="1067"/>
      <c r="AB1581" s="922"/>
      <c r="AC1581" s="922"/>
      <c r="AD1581" s="922"/>
      <c r="AE1581" s="922"/>
      <c r="AF1581" s="1046"/>
      <c r="AG1581" s="906" t="str">
        <f>IF(AE1581&lt;&gt;0,VLOOKUP(AE1581,ODDS!$A$2:$C$13,3,0),"")</f>
        <v/>
      </c>
      <c r="AH1581" s="906" t="str">
        <f t="shared" si="346"/>
        <v xml:space="preserve"> </v>
      </c>
      <c r="AI1581" s="907" t="str">
        <f t="shared" si="339"/>
        <v xml:space="preserve"> </v>
      </c>
      <c r="AJ1581" s="1068"/>
      <c r="AK1581" s="908"/>
    </row>
    <row r="1582" spans="1:37" s="394" customFormat="1" ht="22.5" outlineLevel="2" x14ac:dyDescent="0.3">
      <c r="A1582" s="447">
        <f>IF(B1581&lt;&gt;0,B1581,A1581)</f>
        <v>128</v>
      </c>
      <c r="B1582" s="893"/>
      <c r="C1582" s="942"/>
      <c r="D1582" s="1032"/>
      <c r="E1582" s="947"/>
      <c r="F1582" s="947"/>
      <c r="G1582" s="922"/>
      <c r="H1582" s="1041"/>
      <c r="I1582" s="882"/>
      <c r="J1582" s="894"/>
      <c r="K1582" s="899" t="str">
        <f>IF(G1582&lt;&gt;0,VLOOKUP(G1582,'gia dat'!$A$1:$F$144,5,0)," ")</f>
        <v xml:space="preserve"> </v>
      </c>
      <c r="L1582" s="899" t="str">
        <f>IF(G1582&lt;&gt;0,VLOOKUP(G1582,'gia dat'!$A$1:$F$144,6,0)," ")</f>
        <v xml:space="preserve"> </v>
      </c>
      <c r="M1582" s="900" t="str">
        <f t="shared" si="336"/>
        <v xml:space="preserve"> </v>
      </c>
      <c r="N1582" s="900" t="str">
        <f t="shared" si="337"/>
        <v xml:space="preserve"> </v>
      </c>
      <c r="O1582" s="908"/>
      <c r="P1582" s="1065"/>
      <c r="Q1582" s="900" t="str">
        <f>IF(O1582&lt;&gt;0,VLOOKUP(O1582,'Cây trong'!$A$2:$C$246,3,0)," ")</f>
        <v xml:space="preserve"> </v>
      </c>
      <c r="R1582" s="900" t="str">
        <f t="shared" si="345"/>
        <v xml:space="preserve"> </v>
      </c>
      <c r="S1582" s="908"/>
      <c r="T1582" s="944"/>
      <c r="U1582" s="1066"/>
      <c r="V1582" s="922"/>
      <c r="W1582" s="900" t="str">
        <f>IF(S1582&lt;&gt;0,VLOOKUP(S1582,VKT!$A$2:$G$415,7,0),"")</f>
        <v/>
      </c>
      <c r="X1582" s="900" t="str">
        <f t="shared" si="332"/>
        <v xml:space="preserve"> </v>
      </c>
      <c r="Y1582" s="985"/>
      <c r="Z1582" s="922"/>
      <c r="AA1582" s="1067"/>
      <c r="AB1582" s="922"/>
      <c r="AC1582" s="922"/>
      <c r="AD1582" s="922"/>
      <c r="AE1582" s="922"/>
      <c r="AF1582" s="1046"/>
      <c r="AG1582" s="906" t="str">
        <f>IF(AE1582&lt;&gt;0,VLOOKUP(AE1582,ODDS!$A$2:$C$13,3,0),"")</f>
        <v/>
      </c>
      <c r="AH1582" s="906" t="str">
        <f t="shared" si="346"/>
        <v xml:space="preserve"> </v>
      </c>
      <c r="AI1582" s="907" t="str">
        <f t="shared" si="339"/>
        <v xml:space="preserve"> </v>
      </c>
      <c r="AJ1582" s="922"/>
      <c r="AK1582" s="922"/>
    </row>
    <row r="1583" spans="1:37" s="394" customFormat="1" ht="43.5" outlineLevel="1" x14ac:dyDescent="0.25">
      <c r="A1583" s="467" t="s">
        <v>2581</v>
      </c>
      <c r="B1583" s="912">
        <v>129</v>
      </c>
      <c r="C1583" s="942" t="s">
        <v>1119</v>
      </c>
      <c r="D1583" s="1038"/>
      <c r="E1583" s="977"/>
      <c r="F1583" s="977"/>
      <c r="G1583" s="914"/>
      <c r="H1583" s="1039">
        <f>SUBTOTAL(9,H1584:H1589)</f>
        <v>318.2</v>
      </c>
      <c r="I1583" s="915">
        <f>SUBTOTAL(9,I1584:I1589)</f>
        <v>318.2</v>
      </c>
      <c r="J1583" s="916"/>
      <c r="K1583" s="917"/>
      <c r="L1583" s="917"/>
      <c r="M1583" s="907">
        <f>SUBTOTAL(9,M1584:M1589)</f>
        <v>119898000</v>
      </c>
      <c r="N1583" s="907">
        <f>SUBTOTAL(9,N1584:N1589)</f>
        <v>359694000</v>
      </c>
      <c r="O1583" s="942"/>
      <c r="P1583" s="1063">
        <f>SUBTOTAL(9,P1584:P1589)</f>
        <v>200</v>
      </c>
      <c r="Q1583" s="907"/>
      <c r="R1583" s="907">
        <f>SUBTOTAL(9,R1584:R1589)</f>
        <v>2636000</v>
      </c>
      <c r="S1583" s="918"/>
      <c r="T1583" s="956"/>
      <c r="U1583" s="1064">
        <f>SUBTOTAL(9,U1584:U1589)</f>
        <v>0</v>
      </c>
      <c r="V1583" s="914"/>
      <c r="W1583" s="907"/>
      <c r="X1583" s="907">
        <f>SUBTOTAL(9,X1584:X1589)</f>
        <v>0</v>
      </c>
      <c r="Y1583" s="985"/>
      <c r="Z1583" s="922"/>
      <c r="AA1583" s="1067"/>
      <c r="AB1583" s="922"/>
      <c r="AC1583" s="922"/>
      <c r="AD1583" s="922"/>
      <c r="AE1583" s="914"/>
      <c r="AF1583" s="1044">
        <f>SUBTOTAL(9,AF1584:AF1589)</f>
        <v>0</v>
      </c>
      <c r="AG1583" s="921"/>
      <c r="AH1583" s="921">
        <f>SUBTOTAL(9,AH1584:AH1589)</f>
        <v>0</v>
      </c>
      <c r="AI1583" s="907">
        <f t="shared" si="339"/>
        <v>482228000</v>
      </c>
      <c r="AJ1583" s="914"/>
      <c r="AK1583" s="914"/>
    </row>
    <row r="1584" spans="1:37" s="394" customFormat="1" ht="135" outlineLevel="2" x14ac:dyDescent="0.3">
      <c r="A1584" s="447">
        <f>IF(B1583&lt;&gt;0,B1583,A1582)</f>
        <v>129</v>
      </c>
      <c r="B1584" s="893"/>
      <c r="C1584" s="908" t="s">
        <v>1122</v>
      </c>
      <c r="D1584" s="1032">
        <v>2</v>
      </c>
      <c r="E1584" s="947">
        <v>86</v>
      </c>
      <c r="F1584" s="947">
        <v>368</v>
      </c>
      <c r="G1584" s="922" t="s">
        <v>2433</v>
      </c>
      <c r="H1584" s="1041">
        <v>311.39999999999998</v>
      </c>
      <c r="I1584" s="882">
        <f t="shared" ref="I1584:I1585" si="347">IF(N1584&gt;0,H1584,"")</f>
        <v>311.39999999999998</v>
      </c>
      <c r="J1584" s="898"/>
      <c r="K1584" s="899">
        <f>IF(G1584&lt;&gt;0,VLOOKUP(G1584,'gia dat'!$A$1:$F$144,5,0)," ")</f>
        <v>376800</v>
      </c>
      <c r="L1584" s="899">
        <f>IF(G1584&lt;&gt;0,VLOOKUP(G1584,'gia dat'!$A$1:$F$144,6,0)," ")</f>
        <v>1130400</v>
      </c>
      <c r="M1584" s="900">
        <f t="shared" si="336"/>
        <v>117336000</v>
      </c>
      <c r="N1584" s="900">
        <f t="shared" si="337"/>
        <v>352007000</v>
      </c>
      <c r="O1584" s="908" t="s">
        <v>154</v>
      </c>
      <c r="P1584" s="1065">
        <v>1</v>
      </c>
      <c r="Q1584" s="900">
        <f>IF(O1584&lt;&gt;0,VLOOKUP(O1584,'Cây trong'!$A$2:$C$246,3,0)," ")</f>
        <v>248000</v>
      </c>
      <c r="R1584" s="900">
        <f t="shared" si="345"/>
        <v>248000</v>
      </c>
      <c r="S1584" s="902"/>
      <c r="T1584" s="944"/>
      <c r="U1584" s="1066"/>
      <c r="V1584" s="922"/>
      <c r="W1584" s="900" t="str">
        <f>IF(S1584&lt;&gt;0,VLOOKUP(S1584,VKT!$A$2:$G$415,7,0),"")</f>
        <v/>
      </c>
      <c r="X1584" s="900" t="str">
        <f t="shared" si="332"/>
        <v xml:space="preserve"> </v>
      </c>
      <c r="Y1584" s="985"/>
      <c r="Z1584" s="922"/>
      <c r="AA1584" s="1067"/>
      <c r="AB1584" s="922"/>
      <c r="AC1584" s="922"/>
      <c r="AD1584" s="922"/>
      <c r="AE1584" s="922"/>
      <c r="AF1584" s="1046"/>
      <c r="AG1584" s="906" t="str">
        <f>IF(AE1584&lt;&gt;0,VLOOKUP(AE1584,ODDS!$A$2:$C$13,3,0),"")</f>
        <v/>
      </c>
      <c r="AH1584" s="906"/>
      <c r="AI1584" s="907" t="str">
        <f t="shared" si="339"/>
        <v xml:space="preserve"> </v>
      </c>
      <c r="AJ1584" s="922" t="s">
        <v>1121</v>
      </c>
      <c r="AK1584" s="922" t="s">
        <v>2771</v>
      </c>
    </row>
    <row r="1585" spans="1:37" s="394" customFormat="1" ht="90" outlineLevel="2" x14ac:dyDescent="0.3">
      <c r="A1585" s="447">
        <f>IF(B1584&lt;&gt;0,B1584,A1584)</f>
        <v>129</v>
      </c>
      <c r="B1585" s="893"/>
      <c r="C1585" s="908" t="s">
        <v>1594</v>
      </c>
      <c r="D1585" s="1032"/>
      <c r="E1585" s="947">
        <v>86</v>
      </c>
      <c r="F1585" s="947" t="s">
        <v>1123</v>
      </c>
      <c r="G1585" s="922" t="s">
        <v>2441</v>
      </c>
      <c r="H1585" s="1041">
        <v>6.8</v>
      </c>
      <c r="I1585" s="882">
        <f t="shared" si="347"/>
        <v>6.8</v>
      </c>
      <c r="J1585" s="898"/>
      <c r="K1585" s="899">
        <f>IF(G1585&lt;&gt;0,VLOOKUP(G1585,'gia dat'!$A$1:$F$144,5,0)," ")</f>
        <v>376800</v>
      </c>
      <c r="L1585" s="899">
        <f>IF(G1585&lt;&gt;0,VLOOKUP(G1585,'gia dat'!$A$1:$F$144,6,0)," ")</f>
        <v>1130400</v>
      </c>
      <c r="M1585" s="900">
        <f t="shared" si="336"/>
        <v>2562000</v>
      </c>
      <c r="N1585" s="900">
        <f t="shared" si="337"/>
        <v>7687000</v>
      </c>
      <c r="O1585" s="908" t="s">
        <v>347</v>
      </c>
      <c r="P1585" s="1065">
        <v>199</v>
      </c>
      <c r="Q1585" s="900">
        <f>IF(O1585&lt;&gt;0,VLOOKUP(O1585,'Cây trong'!$A$2:$C$246,3,0)," ")</f>
        <v>12000</v>
      </c>
      <c r="R1585" s="900">
        <f t="shared" si="345"/>
        <v>2388000</v>
      </c>
      <c r="S1585" s="902"/>
      <c r="T1585" s="944"/>
      <c r="U1585" s="1066"/>
      <c r="V1585" s="922"/>
      <c r="W1585" s="900" t="str">
        <f>IF(S1585&lt;&gt;0,VLOOKUP(S1585,VKT!$A$2:$G$415,7,0),"")</f>
        <v/>
      </c>
      <c r="X1585" s="900" t="str">
        <f t="shared" si="332"/>
        <v xml:space="preserve"> </v>
      </c>
      <c r="Y1585" s="985"/>
      <c r="Z1585" s="922"/>
      <c r="AA1585" s="1067"/>
      <c r="AB1585" s="922"/>
      <c r="AC1585" s="922"/>
      <c r="AD1585" s="922"/>
      <c r="AE1585" s="922"/>
      <c r="AF1585" s="1046"/>
      <c r="AG1585" s="906" t="str">
        <f>IF(AE1585&lt;&gt;0,VLOOKUP(AE1585,ODDS!$A$2:$C$13,3,0),"")</f>
        <v/>
      </c>
      <c r="AH1585" s="906" t="str">
        <f t="shared" si="346"/>
        <v xml:space="preserve"> </v>
      </c>
      <c r="AI1585" s="907" t="str">
        <f t="shared" si="339"/>
        <v xml:space="preserve"> </v>
      </c>
      <c r="AJ1585" s="922" t="s">
        <v>1124</v>
      </c>
      <c r="AK1585" s="894" t="s">
        <v>2448</v>
      </c>
    </row>
    <row r="1586" spans="1:37" s="394" customFormat="1" ht="22.5" outlineLevel="2" x14ac:dyDescent="0.3">
      <c r="A1586" s="447">
        <f>IF(B1585&lt;&gt;0,B1585,A1585)</f>
        <v>129</v>
      </c>
      <c r="B1586" s="893"/>
      <c r="C1586" s="908"/>
      <c r="D1586" s="1032"/>
      <c r="E1586" s="947"/>
      <c r="F1586" s="947"/>
      <c r="G1586" s="922"/>
      <c r="H1586" s="1041"/>
      <c r="I1586" s="882"/>
      <c r="J1586" s="898"/>
      <c r="K1586" s="899" t="str">
        <f>IF(G1586&lt;&gt;0,VLOOKUP(G1586,'gia dat'!$A$1:$F$144,5,0)," ")</f>
        <v xml:space="preserve"> </v>
      </c>
      <c r="L1586" s="899" t="str">
        <f>IF(G1586&lt;&gt;0,VLOOKUP(G1586,'gia dat'!$A$1:$F$144,6,0)," ")</f>
        <v xml:space="preserve"> </v>
      </c>
      <c r="M1586" s="900" t="str">
        <f t="shared" si="336"/>
        <v xml:space="preserve"> </v>
      </c>
      <c r="N1586" s="900" t="str">
        <f t="shared" si="337"/>
        <v xml:space="preserve"> </v>
      </c>
      <c r="O1586" s="908"/>
      <c r="P1586" s="1065"/>
      <c r="Q1586" s="900" t="str">
        <f>IF(O1586&lt;&gt;0,VLOOKUP(O1586,'Cây trong'!$A$2:$C$246,3,0)," ")</f>
        <v xml:space="preserve"> </v>
      </c>
      <c r="R1586" s="900" t="str">
        <f t="shared" si="345"/>
        <v xml:space="preserve"> </v>
      </c>
      <c r="S1586" s="902"/>
      <c r="T1586" s="944"/>
      <c r="U1586" s="1066"/>
      <c r="V1586" s="922"/>
      <c r="W1586" s="900" t="str">
        <f>IF(S1586&lt;&gt;0,VLOOKUP(S1586,VKT!$A$2:$G$415,7,0),"")</f>
        <v/>
      </c>
      <c r="X1586" s="900" t="str">
        <f t="shared" si="332"/>
        <v xml:space="preserve"> </v>
      </c>
      <c r="Y1586" s="985"/>
      <c r="Z1586" s="922"/>
      <c r="AA1586" s="1067"/>
      <c r="AB1586" s="922"/>
      <c r="AC1586" s="922"/>
      <c r="AD1586" s="922"/>
      <c r="AE1586" s="922"/>
      <c r="AF1586" s="1046"/>
      <c r="AG1586" s="906" t="str">
        <f>IF(AE1586&lt;&gt;0,VLOOKUP(AE1586,ODDS!$A$2:$C$13,3,0),"")</f>
        <v/>
      </c>
      <c r="AH1586" s="906" t="str">
        <f t="shared" si="346"/>
        <v xml:space="preserve"> </v>
      </c>
      <c r="AI1586" s="907" t="str">
        <f t="shared" si="339"/>
        <v xml:space="preserve"> </v>
      </c>
      <c r="AJ1586" s="922" t="s">
        <v>404</v>
      </c>
      <c r="AK1586" s="922"/>
    </row>
    <row r="1587" spans="1:37" s="394" customFormat="1" ht="135" outlineLevel="2" x14ac:dyDescent="0.3">
      <c r="A1587" s="447">
        <f>IF(B1586&lt;&gt;0,B1586,A1586)</f>
        <v>129</v>
      </c>
      <c r="B1587" s="893"/>
      <c r="C1587" s="908"/>
      <c r="D1587" s="1032"/>
      <c r="E1587" s="947"/>
      <c r="F1587" s="947"/>
      <c r="G1587" s="922"/>
      <c r="H1587" s="1041"/>
      <c r="I1587" s="882"/>
      <c r="J1587" s="894"/>
      <c r="K1587" s="899" t="str">
        <f>IF(G1587&lt;&gt;0,VLOOKUP(G1587,'gia dat'!$A$1:$F$144,5,0)," ")</f>
        <v xml:space="preserve"> </v>
      </c>
      <c r="L1587" s="899" t="str">
        <f>IF(G1587&lt;&gt;0,VLOOKUP(G1587,'gia dat'!$A$1:$F$144,6,0)," ")</f>
        <v xml:space="preserve"> </v>
      </c>
      <c r="M1587" s="900" t="str">
        <f t="shared" si="336"/>
        <v xml:space="preserve"> </v>
      </c>
      <c r="N1587" s="900" t="str">
        <f t="shared" si="337"/>
        <v xml:space="preserve"> </v>
      </c>
      <c r="O1587" s="908"/>
      <c r="P1587" s="1065"/>
      <c r="Q1587" s="900" t="str">
        <f>IF(O1587&lt;&gt;0,VLOOKUP(O1587,'Cây trong'!$A$2:$C$246,3,0)," ")</f>
        <v xml:space="preserve"> </v>
      </c>
      <c r="R1587" s="900" t="str">
        <f t="shared" si="345"/>
        <v xml:space="preserve"> </v>
      </c>
      <c r="S1587" s="908"/>
      <c r="T1587" s="944"/>
      <c r="U1587" s="1066"/>
      <c r="V1587" s="922"/>
      <c r="W1587" s="900" t="str">
        <f>IF(S1587&lt;&gt;0,VLOOKUP(S1587,VKT!$A$2:$G$415,7,0),"")</f>
        <v/>
      </c>
      <c r="X1587" s="900" t="str">
        <f t="shared" si="332"/>
        <v xml:space="preserve"> </v>
      </c>
      <c r="Y1587" s="985"/>
      <c r="Z1587" s="922"/>
      <c r="AA1587" s="1067"/>
      <c r="AB1587" s="922"/>
      <c r="AC1587" s="922"/>
      <c r="AD1587" s="922"/>
      <c r="AE1587" s="922"/>
      <c r="AF1587" s="1046"/>
      <c r="AG1587" s="906" t="str">
        <f>IF(AE1587&lt;&gt;0,VLOOKUP(AE1587,ODDS!$A$2:$C$13,3,0),"")</f>
        <v/>
      </c>
      <c r="AH1587" s="906" t="str">
        <f t="shared" si="346"/>
        <v xml:space="preserve"> </v>
      </c>
      <c r="AI1587" s="907" t="str">
        <f t="shared" si="339"/>
        <v xml:space="preserve"> </v>
      </c>
      <c r="AJ1587" s="922" t="s">
        <v>1125</v>
      </c>
      <c r="AK1587" s="922"/>
    </row>
    <row r="1588" spans="1:37" s="394" customFormat="1" ht="67.5" outlineLevel="2" x14ac:dyDescent="0.3">
      <c r="A1588" s="447">
        <f>IF(B1587&lt;&gt;0,B1587,A1587)</f>
        <v>129</v>
      </c>
      <c r="B1588" s="893"/>
      <c r="C1588" s="908"/>
      <c r="D1588" s="1032"/>
      <c r="E1588" s="947"/>
      <c r="F1588" s="947"/>
      <c r="G1588" s="922"/>
      <c r="H1588" s="1041"/>
      <c r="I1588" s="882"/>
      <c r="J1588" s="894"/>
      <c r="K1588" s="899" t="str">
        <f>IF(G1588&lt;&gt;0,VLOOKUP(G1588,'gia dat'!$A$1:$F$144,5,0)," ")</f>
        <v xml:space="preserve"> </v>
      </c>
      <c r="L1588" s="899" t="str">
        <f>IF(G1588&lt;&gt;0,VLOOKUP(G1588,'gia dat'!$A$1:$F$144,6,0)," ")</f>
        <v xml:space="preserve"> </v>
      </c>
      <c r="M1588" s="900" t="str">
        <f t="shared" si="336"/>
        <v xml:space="preserve"> </v>
      </c>
      <c r="N1588" s="900" t="str">
        <f t="shared" si="337"/>
        <v xml:space="preserve"> </v>
      </c>
      <c r="O1588" s="908"/>
      <c r="P1588" s="1065"/>
      <c r="Q1588" s="900" t="str">
        <f>IF(O1588&lt;&gt;0,VLOOKUP(O1588,'Cây trong'!$A$2:$C$246,3,0)," ")</f>
        <v xml:space="preserve"> </v>
      </c>
      <c r="R1588" s="900" t="str">
        <f t="shared" si="345"/>
        <v xml:space="preserve"> </v>
      </c>
      <c r="S1588" s="908"/>
      <c r="T1588" s="944"/>
      <c r="U1588" s="1066"/>
      <c r="V1588" s="922"/>
      <c r="W1588" s="900" t="str">
        <f>IF(S1588&lt;&gt;0,VLOOKUP(S1588,VKT!$A$2:$G$415,7,0),"")</f>
        <v/>
      </c>
      <c r="X1588" s="900" t="str">
        <f t="shared" si="332"/>
        <v xml:space="preserve"> </v>
      </c>
      <c r="Y1588" s="985"/>
      <c r="Z1588" s="922"/>
      <c r="AA1588" s="1067"/>
      <c r="AB1588" s="922"/>
      <c r="AC1588" s="922"/>
      <c r="AD1588" s="922"/>
      <c r="AE1588" s="922"/>
      <c r="AF1588" s="1046"/>
      <c r="AG1588" s="906" t="str">
        <f>IF(AE1588&lt;&gt;0,VLOOKUP(AE1588,ODDS!$A$2:$C$13,3,0),"")</f>
        <v/>
      </c>
      <c r="AH1588" s="906" t="str">
        <f t="shared" si="346"/>
        <v xml:space="preserve"> </v>
      </c>
      <c r="AI1588" s="907" t="str">
        <f t="shared" si="339"/>
        <v xml:space="preserve"> </v>
      </c>
      <c r="AJ1588" s="922" t="s">
        <v>2074</v>
      </c>
      <c r="AK1588" s="922"/>
    </row>
    <row r="1589" spans="1:37" s="394" customFormat="1" ht="22.5" outlineLevel="2" x14ac:dyDescent="0.3">
      <c r="A1589" s="447">
        <f>IF(B1588&lt;&gt;0,B1588,A1588)</f>
        <v>129</v>
      </c>
      <c r="B1589" s="893"/>
      <c r="C1589" s="942"/>
      <c r="D1589" s="1032"/>
      <c r="E1589" s="947"/>
      <c r="F1589" s="947"/>
      <c r="G1589" s="922"/>
      <c r="H1589" s="1041"/>
      <c r="I1589" s="882"/>
      <c r="J1589" s="894"/>
      <c r="K1589" s="899" t="str">
        <f>IF(G1589&lt;&gt;0,VLOOKUP(G1589,'gia dat'!$A$1:$F$144,5,0)," ")</f>
        <v xml:space="preserve"> </v>
      </c>
      <c r="L1589" s="899" t="str">
        <f>IF(G1589&lt;&gt;0,VLOOKUP(G1589,'gia dat'!$A$1:$F$144,6,0)," ")</f>
        <v xml:space="preserve"> </v>
      </c>
      <c r="M1589" s="900" t="str">
        <f t="shared" si="336"/>
        <v xml:space="preserve"> </v>
      </c>
      <c r="N1589" s="900" t="str">
        <f t="shared" si="337"/>
        <v xml:space="preserve"> </v>
      </c>
      <c r="O1589" s="908"/>
      <c r="P1589" s="1065"/>
      <c r="Q1589" s="900" t="str">
        <f>IF(O1589&lt;&gt;0,VLOOKUP(O1589,'Cây trong'!$A$2:$C$246,3,0)," ")</f>
        <v xml:space="preserve"> </v>
      </c>
      <c r="R1589" s="900" t="str">
        <f t="shared" si="345"/>
        <v xml:space="preserve"> </v>
      </c>
      <c r="S1589" s="908"/>
      <c r="T1589" s="944"/>
      <c r="U1589" s="1066"/>
      <c r="V1589" s="922"/>
      <c r="W1589" s="900" t="str">
        <f>IF(S1589&lt;&gt;0,VLOOKUP(S1589,VKT!$A$2:$G$415,7,0),"")</f>
        <v/>
      </c>
      <c r="X1589" s="900" t="str">
        <f t="shared" si="332"/>
        <v xml:space="preserve"> </v>
      </c>
      <c r="Y1589" s="985"/>
      <c r="Z1589" s="922"/>
      <c r="AA1589" s="1067"/>
      <c r="AB1589" s="922"/>
      <c r="AC1589" s="922"/>
      <c r="AD1589" s="922"/>
      <c r="AE1589" s="922"/>
      <c r="AF1589" s="1046"/>
      <c r="AG1589" s="906" t="str">
        <f>IF(AE1589&lt;&gt;0,VLOOKUP(AE1589,ODDS!$A$2:$C$13,3,0),"")</f>
        <v/>
      </c>
      <c r="AH1589" s="906" t="str">
        <f t="shared" si="346"/>
        <v xml:space="preserve"> </v>
      </c>
      <c r="AI1589" s="907" t="str">
        <f t="shared" si="339"/>
        <v xml:space="preserve"> </v>
      </c>
      <c r="AJ1589" s="922"/>
      <c r="AK1589" s="922"/>
    </row>
    <row r="1590" spans="1:37" s="394" customFormat="1" ht="43.5" outlineLevel="1" x14ac:dyDescent="0.25">
      <c r="A1590" s="467" t="s">
        <v>2580</v>
      </c>
      <c r="B1590" s="912">
        <v>130</v>
      </c>
      <c r="C1590" s="942" t="s">
        <v>1126</v>
      </c>
      <c r="D1590" s="1038"/>
      <c r="E1590" s="977"/>
      <c r="F1590" s="977"/>
      <c r="G1590" s="914"/>
      <c r="H1590" s="1039">
        <f>SUBTOTAL(9,H1591:H1596)</f>
        <v>307.39999999999998</v>
      </c>
      <c r="I1590" s="915">
        <f>SUBTOTAL(9,I1591:I1596)</f>
        <v>307.39999999999998</v>
      </c>
      <c r="J1590" s="916"/>
      <c r="K1590" s="917"/>
      <c r="L1590" s="917"/>
      <c r="M1590" s="907">
        <f>SUBTOTAL(9,M1591:M1596)</f>
        <v>115828000</v>
      </c>
      <c r="N1590" s="907">
        <f>SUBTOTAL(9,N1591:N1596)</f>
        <v>347485000</v>
      </c>
      <c r="O1590" s="942"/>
      <c r="P1590" s="1063">
        <f>SUBTOTAL(9,P1591:P1596)</f>
        <v>195</v>
      </c>
      <c r="Q1590" s="907"/>
      <c r="R1590" s="907">
        <f>SUBTOTAL(9,R1591:R1596)</f>
        <v>2340000</v>
      </c>
      <c r="S1590" s="918"/>
      <c r="T1590" s="956"/>
      <c r="U1590" s="1064">
        <f>SUBTOTAL(9,U1591:U1596)</f>
        <v>0</v>
      </c>
      <c r="V1590" s="914"/>
      <c r="W1590" s="907"/>
      <c r="X1590" s="907">
        <f>SUBTOTAL(9,X1591:X1596)</f>
        <v>0</v>
      </c>
      <c r="Y1590" s="985"/>
      <c r="Z1590" s="922"/>
      <c r="AA1590" s="1067"/>
      <c r="AB1590" s="922"/>
      <c r="AC1590" s="922"/>
      <c r="AD1590" s="922"/>
      <c r="AE1590" s="914"/>
      <c r="AF1590" s="1044">
        <f>SUBTOTAL(9,AF1591:AF1596)</f>
        <v>0</v>
      </c>
      <c r="AG1590" s="921"/>
      <c r="AH1590" s="921">
        <f>SUBTOTAL(9,AH1591:AH1596)</f>
        <v>0</v>
      </c>
      <c r="AI1590" s="907">
        <f t="shared" si="339"/>
        <v>465653000</v>
      </c>
      <c r="AJ1590" s="914"/>
      <c r="AK1590" s="914"/>
    </row>
    <row r="1591" spans="1:37" s="394" customFormat="1" ht="135" outlineLevel="2" x14ac:dyDescent="0.3">
      <c r="A1591" s="447">
        <f>IF(B1590&lt;&gt;0,B1590,A1589)</f>
        <v>130</v>
      </c>
      <c r="B1591" s="893"/>
      <c r="C1591" s="908" t="s">
        <v>1128</v>
      </c>
      <c r="D1591" s="1032">
        <v>3</v>
      </c>
      <c r="E1591" s="947">
        <v>86</v>
      </c>
      <c r="F1591" s="947">
        <v>367</v>
      </c>
      <c r="G1591" s="922" t="s">
        <v>2433</v>
      </c>
      <c r="H1591" s="1041">
        <v>307.39999999999998</v>
      </c>
      <c r="I1591" s="882">
        <f t="shared" ref="I1591" si="348">IF(N1591&gt;0,H1591,"")</f>
        <v>307.39999999999998</v>
      </c>
      <c r="J1591" s="898"/>
      <c r="K1591" s="899">
        <f>IF(G1591&lt;&gt;0,VLOOKUP(G1591,'gia dat'!$A$1:$F$144,5,0)," ")</f>
        <v>376800</v>
      </c>
      <c r="L1591" s="899">
        <f>IF(G1591&lt;&gt;0,VLOOKUP(G1591,'gia dat'!$A$1:$F$144,6,0)," ")</f>
        <v>1130400</v>
      </c>
      <c r="M1591" s="900">
        <f t="shared" si="336"/>
        <v>115828000</v>
      </c>
      <c r="N1591" s="900">
        <f t="shared" si="337"/>
        <v>347485000</v>
      </c>
      <c r="O1591" s="908" t="s">
        <v>347</v>
      </c>
      <c r="P1591" s="1065">
        <v>195</v>
      </c>
      <c r="Q1591" s="900">
        <f>IF(O1591&lt;&gt;0,VLOOKUP(O1591,'Cây trong'!$A$2:$C$246,3,0)," ")</f>
        <v>12000</v>
      </c>
      <c r="R1591" s="900">
        <f t="shared" si="345"/>
        <v>2340000</v>
      </c>
      <c r="S1591" s="902"/>
      <c r="T1591" s="944"/>
      <c r="U1591" s="1066"/>
      <c r="V1591" s="922"/>
      <c r="W1591" s="900" t="str">
        <f>IF(S1591&lt;&gt;0,VLOOKUP(S1591,VKT!$A$2:$G$415,7,0),"")</f>
        <v/>
      </c>
      <c r="X1591" s="900" t="str">
        <f t="shared" si="332"/>
        <v xml:space="preserve"> </v>
      </c>
      <c r="Y1591" s="985"/>
      <c r="Z1591" s="922"/>
      <c r="AA1591" s="1067"/>
      <c r="AB1591" s="922"/>
      <c r="AC1591" s="922"/>
      <c r="AD1591" s="922"/>
      <c r="AE1591" s="922"/>
      <c r="AF1591" s="1046"/>
      <c r="AG1591" s="906" t="str">
        <f>IF(AE1591&lt;&gt;0,VLOOKUP(AE1591,ODDS!$A$2:$C$13,3,0),"")</f>
        <v/>
      </c>
      <c r="AH1591" s="906"/>
      <c r="AI1591" s="907" t="str">
        <f t="shared" si="339"/>
        <v xml:space="preserve"> </v>
      </c>
      <c r="AJ1591" s="922" t="s">
        <v>1127</v>
      </c>
      <c r="AK1591" s="922" t="s">
        <v>2771</v>
      </c>
    </row>
    <row r="1592" spans="1:37" s="394" customFormat="1" ht="112.5" outlineLevel="2" x14ac:dyDescent="0.3">
      <c r="A1592" s="447">
        <f>IF(B1591&lt;&gt;0,B1591,A1591)</f>
        <v>130</v>
      </c>
      <c r="B1592" s="893"/>
      <c r="C1592" s="908" t="s">
        <v>1595</v>
      </c>
      <c r="D1592" s="1032"/>
      <c r="E1592" s="947"/>
      <c r="F1592" s="947"/>
      <c r="G1592" s="922"/>
      <c r="H1592" s="1041"/>
      <c r="I1592" s="882"/>
      <c r="J1592" s="898"/>
      <c r="K1592" s="899" t="str">
        <f>IF(G1592&lt;&gt;0,VLOOKUP(G1592,'gia dat'!$A$1:$F$144,5,0)," ")</f>
        <v xml:space="preserve"> </v>
      </c>
      <c r="L1592" s="899" t="str">
        <f>IF(G1592&lt;&gt;0,VLOOKUP(G1592,'gia dat'!$A$1:$F$144,6,0)," ")</f>
        <v xml:space="preserve"> </v>
      </c>
      <c r="M1592" s="900" t="str">
        <f t="shared" si="336"/>
        <v xml:space="preserve"> </v>
      </c>
      <c r="N1592" s="900" t="str">
        <f t="shared" si="337"/>
        <v xml:space="preserve"> </v>
      </c>
      <c r="O1592" s="908"/>
      <c r="P1592" s="1065"/>
      <c r="Q1592" s="900" t="str">
        <f>IF(O1592&lt;&gt;0,VLOOKUP(O1592,'Cây trong'!$A$2:$C$246,3,0)," ")</f>
        <v xml:space="preserve"> </v>
      </c>
      <c r="R1592" s="900" t="str">
        <f t="shared" si="345"/>
        <v xml:space="preserve"> </v>
      </c>
      <c r="S1592" s="902"/>
      <c r="T1592" s="944"/>
      <c r="U1592" s="1066"/>
      <c r="V1592" s="922"/>
      <c r="W1592" s="900" t="str">
        <f>IF(S1592&lt;&gt;0,VLOOKUP(S1592,VKT!$A$2:$G$415,7,0),"")</f>
        <v/>
      </c>
      <c r="X1592" s="900" t="str">
        <f t="shared" si="332"/>
        <v xml:space="preserve"> </v>
      </c>
      <c r="Y1592" s="985"/>
      <c r="Z1592" s="922"/>
      <c r="AA1592" s="1067"/>
      <c r="AB1592" s="922"/>
      <c r="AC1592" s="922"/>
      <c r="AD1592" s="922"/>
      <c r="AE1592" s="922"/>
      <c r="AF1592" s="1046"/>
      <c r="AG1592" s="906" t="str">
        <f>IF(AE1592&lt;&gt;0,VLOOKUP(AE1592,ODDS!$A$2:$C$13,3,0),"")</f>
        <v/>
      </c>
      <c r="AH1592" s="906" t="str">
        <f t="shared" si="346"/>
        <v xml:space="preserve"> </v>
      </c>
      <c r="AI1592" s="907" t="str">
        <f t="shared" si="339"/>
        <v xml:space="preserve"> </v>
      </c>
      <c r="AJ1592" s="922" t="s">
        <v>1129</v>
      </c>
      <c r="AK1592" s="894" t="s">
        <v>2448</v>
      </c>
    </row>
    <row r="1593" spans="1:37" s="394" customFormat="1" ht="112.5" outlineLevel="2" x14ac:dyDescent="0.3">
      <c r="A1593" s="447">
        <f>IF(B1592&lt;&gt;0,B1592,A1592)</f>
        <v>130</v>
      </c>
      <c r="B1593" s="893"/>
      <c r="C1593" s="908"/>
      <c r="D1593" s="1032"/>
      <c r="E1593" s="947"/>
      <c r="F1593" s="947"/>
      <c r="G1593" s="922"/>
      <c r="H1593" s="1041"/>
      <c r="I1593" s="882"/>
      <c r="J1593" s="898"/>
      <c r="K1593" s="899" t="str">
        <f>IF(G1593&lt;&gt;0,VLOOKUP(G1593,'gia dat'!$A$1:$F$144,5,0)," ")</f>
        <v xml:space="preserve"> </v>
      </c>
      <c r="L1593" s="899" t="str">
        <f>IF(G1593&lt;&gt;0,VLOOKUP(G1593,'gia dat'!$A$1:$F$144,6,0)," ")</f>
        <v xml:space="preserve"> </v>
      </c>
      <c r="M1593" s="900" t="str">
        <f t="shared" si="336"/>
        <v xml:space="preserve"> </v>
      </c>
      <c r="N1593" s="900" t="str">
        <f t="shared" si="337"/>
        <v xml:space="preserve"> </v>
      </c>
      <c r="O1593" s="908"/>
      <c r="P1593" s="1065"/>
      <c r="Q1593" s="900" t="str">
        <f>IF(O1593&lt;&gt;0,VLOOKUP(O1593,'Cây trong'!$A$2:$C$246,3,0)," ")</f>
        <v xml:space="preserve"> </v>
      </c>
      <c r="R1593" s="900" t="str">
        <f t="shared" si="345"/>
        <v xml:space="preserve"> </v>
      </c>
      <c r="S1593" s="902"/>
      <c r="T1593" s="944"/>
      <c r="U1593" s="1066"/>
      <c r="V1593" s="922"/>
      <c r="W1593" s="900" t="str">
        <f>IF(S1593&lt;&gt;0,VLOOKUP(S1593,VKT!$A$2:$G$415,7,0),"")</f>
        <v/>
      </c>
      <c r="X1593" s="900" t="str">
        <f t="shared" si="332"/>
        <v xml:space="preserve"> </v>
      </c>
      <c r="Y1593" s="985"/>
      <c r="Z1593" s="922"/>
      <c r="AA1593" s="1067"/>
      <c r="AB1593" s="922"/>
      <c r="AC1593" s="922"/>
      <c r="AD1593" s="922"/>
      <c r="AE1593" s="922"/>
      <c r="AF1593" s="1046"/>
      <c r="AG1593" s="906" t="str">
        <f>IF(AE1593&lt;&gt;0,VLOOKUP(AE1593,ODDS!$A$2:$C$13,3,0),"")</f>
        <v/>
      </c>
      <c r="AH1593" s="906" t="str">
        <f t="shared" si="346"/>
        <v xml:space="preserve"> </v>
      </c>
      <c r="AI1593" s="907" t="str">
        <f t="shared" si="339"/>
        <v xml:space="preserve"> </v>
      </c>
      <c r="AJ1593" s="922" t="s">
        <v>2074</v>
      </c>
      <c r="AK1593" s="894" t="s">
        <v>2449</v>
      </c>
    </row>
    <row r="1594" spans="1:37" s="394" customFormat="1" ht="22.5" outlineLevel="2" x14ac:dyDescent="0.35">
      <c r="A1594" s="447">
        <f>IF(B1593&lt;&gt;0,B1593,A1593)</f>
        <v>130</v>
      </c>
      <c r="B1594" s="893"/>
      <c r="C1594" s="908"/>
      <c r="D1594" s="1032"/>
      <c r="E1594" s="947"/>
      <c r="F1594" s="947"/>
      <c r="G1594" s="922"/>
      <c r="H1594" s="1041"/>
      <c r="I1594" s="882"/>
      <c r="J1594" s="894"/>
      <c r="K1594" s="899" t="str">
        <f>IF(G1594&lt;&gt;0,VLOOKUP(G1594,'gia dat'!$A$1:$F$144,5,0)," ")</f>
        <v xml:space="preserve"> </v>
      </c>
      <c r="L1594" s="899" t="str">
        <f>IF(G1594&lt;&gt;0,VLOOKUP(G1594,'gia dat'!$A$1:$F$144,6,0)," ")</f>
        <v xml:space="preserve"> </v>
      </c>
      <c r="M1594" s="900" t="str">
        <f t="shared" si="336"/>
        <v xml:space="preserve"> </v>
      </c>
      <c r="N1594" s="900" t="str">
        <f t="shared" si="337"/>
        <v xml:space="preserve"> </v>
      </c>
      <c r="O1594" s="908"/>
      <c r="P1594" s="1065"/>
      <c r="Q1594" s="900" t="str">
        <f>IF(O1594&lt;&gt;0,VLOOKUP(O1594,'Cây trong'!$A$2:$C$246,3,0)," ")</f>
        <v xml:space="preserve"> </v>
      </c>
      <c r="R1594" s="900" t="str">
        <f t="shared" si="345"/>
        <v xml:space="preserve"> </v>
      </c>
      <c r="S1594" s="908"/>
      <c r="T1594" s="944"/>
      <c r="U1594" s="1066"/>
      <c r="V1594" s="922"/>
      <c r="W1594" s="900" t="str">
        <f>IF(S1594&lt;&gt;0,VLOOKUP(S1594,VKT!$A$2:$G$415,7,0),"")</f>
        <v/>
      </c>
      <c r="X1594" s="900" t="str">
        <f t="shared" si="332"/>
        <v xml:space="preserve"> </v>
      </c>
      <c r="Y1594" s="985"/>
      <c r="Z1594" s="922"/>
      <c r="AA1594" s="1067"/>
      <c r="AB1594" s="922"/>
      <c r="AC1594" s="922"/>
      <c r="AD1594" s="922"/>
      <c r="AE1594" s="922"/>
      <c r="AF1594" s="1046"/>
      <c r="AG1594" s="906" t="str">
        <f>IF(AE1594&lt;&gt;0,VLOOKUP(AE1594,ODDS!$A$2:$C$13,3,0),"")</f>
        <v/>
      </c>
      <c r="AH1594" s="906" t="str">
        <f t="shared" si="346"/>
        <v xml:space="preserve"> </v>
      </c>
      <c r="AI1594" s="907" t="str">
        <f t="shared" si="339"/>
        <v xml:space="preserve"> </v>
      </c>
      <c r="AJ1594" s="1068"/>
      <c r="AK1594" s="922"/>
    </row>
    <row r="1595" spans="1:37" s="394" customFormat="1" ht="22.5" outlineLevel="2" x14ac:dyDescent="0.3">
      <c r="A1595" s="447">
        <f>IF(B1594&lt;&gt;0,B1594,A1594)</f>
        <v>130</v>
      </c>
      <c r="B1595" s="893"/>
      <c r="C1595" s="908"/>
      <c r="D1595" s="1032"/>
      <c r="E1595" s="947"/>
      <c r="F1595" s="947"/>
      <c r="G1595" s="922"/>
      <c r="H1595" s="1041"/>
      <c r="I1595" s="882"/>
      <c r="J1595" s="894"/>
      <c r="K1595" s="899" t="str">
        <f>IF(G1595&lt;&gt;0,VLOOKUP(G1595,'gia dat'!$A$1:$F$144,5,0)," ")</f>
        <v xml:space="preserve"> </v>
      </c>
      <c r="L1595" s="899" t="str">
        <f>IF(G1595&lt;&gt;0,VLOOKUP(G1595,'gia dat'!$A$1:$F$144,6,0)," ")</f>
        <v xml:space="preserve"> </v>
      </c>
      <c r="M1595" s="900" t="str">
        <f t="shared" si="336"/>
        <v xml:space="preserve"> </v>
      </c>
      <c r="N1595" s="900" t="str">
        <f t="shared" si="337"/>
        <v xml:space="preserve"> </v>
      </c>
      <c r="O1595" s="908"/>
      <c r="P1595" s="1065"/>
      <c r="Q1595" s="900" t="str">
        <f>IF(O1595&lt;&gt;0,VLOOKUP(O1595,'Cây trong'!$A$2:$C$246,3,0)," ")</f>
        <v xml:space="preserve"> </v>
      </c>
      <c r="R1595" s="900" t="str">
        <f t="shared" si="345"/>
        <v xml:space="preserve"> </v>
      </c>
      <c r="S1595" s="908"/>
      <c r="T1595" s="944"/>
      <c r="U1595" s="1066"/>
      <c r="V1595" s="922"/>
      <c r="W1595" s="900" t="str">
        <f>IF(S1595&lt;&gt;0,VLOOKUP(S1595,VKT!$A$2:$G$415,7,0),"")</f>
        <v/>
      </c>
      <c r="X1595" s="900" t="str">
        <f t="shared" si="332"/>
        <v xml:space="preserve"> </v>
      </c>
      <c r="Y1595" s="985"/>
      <c r="Z1595" s="922"/>
      <c r="AA1595" s="1067"/>
      <c r="AB1595" s="922"/>
      <c r="AC1595" s="922"/>
      <c r="AD1595" s="922"/>
      <c r="AE1595" s="922"/>
      <c r="AF1595" s="1046"/>
      <c r="AG1595" s="906" t="str">
        <f>IF(AE1595&lt;&gt;0,VLOOKUP(AE1595,ODDS!$A$2:$C$13,3,0),"")</f>
        <v/>
      </c>
      <c r="AH1595" s="906" t="str">
        <f t="shared" si="346"/>
        <v xml:space="preserve"> </v>
      </c>
      <c r="AI1595" s="907" t="str">
        <f t="shared" si="339"/>
        <v xml:space="preserve"> </v>
      </c>
      <c r="AJ1595" s="922"/>
      <c r="AK1595" s="922"/>
    </row>
    <row r="1596" spans="1:37" s="394" customFormat="1" ht="22.5" outlineLevel="2" x14ac:dyDescent="0.3">
      <c r="A1596" s="447">
        <f>IF(B1595&lt;&gt;0,B1595,A1595)</f>
        <v>130</v>
      </c>
      <c r="B1596" s="893"/>
      <c r="C1596" s="942"/>
      <c r="D1596" s="1032"/>
      <c r="E1596" s="947"/>
      <c r="F1596" s="947"/>
      <c r="G1596" s="922"/>
      <c r="H1596" s="1041"/>
      <c r="I1596" s="882"/>
      <c r="J1596" s="894"/>
      <c r="K1596" s="899" t="str">
        <f>IF(G1596&lt;&gt;0,VLOOKUP(G1596,'gia dat'!$A$1:$F$144,5,0)," ")</f>
        <v xml:space="preserve"> </v>
      </c>
      <c r="L1596" s="899" t="str">
        <f>IF(G1596&lt;&gt;0,VLOOKUP(G1596,'gia dat'!$A$1:$F$144,6,0)," ")</f>
        <v xml:space="preserve"> </v>
      </c>
      <c r="M1596" s="900" t="str">
        <f t="shared" si="336"/>
        <v xml:space="preserve"> </v>
      </c>
      <c r="N1596" s="900" t="str">
        <f t="shared" si="337"/>
        <v xml:space="preserve"> </v>
      </c>
      <c r="O1596" s="908"/>
      <c r="P1596" s="1065"/>
      <c r="Q1596" s="900" t="str">
        <f>IF(O1596&lt;&gt;0,VLOOKUP(O1596,'Cây trong'!$A$2:$C$246,3,0)," ")</f>
        <v xml:space="preserve"> </v>
      </c>
      <c r="R1596" s="900" t="str">
        <f t="shared" si="345"/>
        <v xml:space="preserve"> </v>
      </c>
      <c r="S1596" s="908"/>
      <c r="T1596" s="944"/>
      <c r="U1596" s="1066"/>
      <c r="V1596" s="922"/>
      <c r="W1596" s="900" t="str">
        <f>IF(S1596&lt;&gt;0,VLOOKUP(S1596,VKT!$A$2:$G$415,7,0),"")</f>
        <v/>
      </c>
      <c r="X1596" s="900" t="str">
        <f t="shared" si="332"/>
        <v xml:space="preserve"> </v>
      </c>
      <c r="Y1596" s="985"/>
      <c r="Z1596" s="922"/>
      <c r="AA1596" s="1067"/>
      <c r="AB1596" s="922"/>
      <c r="AC1596" s="922"/>
      <c r="AD1596" s="922"/>
      <c r="AE1596" s="922"/>
      <c r="AF1596" s="1046"/>
      <c r="AG1596" s="906" t="str">
        <f>IF(AE1596&lt;&gt;0,VLOOKUP(AE1596,ODDS!$A$2:$C$13,3,0),"")</f>
        <v/>
      </c>
      <c r="AH1596" s="906" t="str">
        <f t="shared" si="346"/>
        <v xml:space="preserve"> </v>
      </c>
      <c r="AI1596" s="907" t="str">
        <f t="shared" si="339"/>
        <v xml:space="preserve"> </v>
      </c>
      <c r="AJ1596" s="922"/>
      <c r="AK1596" s="922"/>
    </row>
    <row r="1597" spans="1:37" s="396" customFormat="1" ht="43.5" outlineLevel="1" x14ac:dyDescent="0.25">
      <c r="A1597" s="467" t="s">
        <v>2579</v>
      </c>
      <c r="B1597" s="912">
        <v>131</v>
      </c>
      <c r="C1597" s="942" t="s">
        <v>1130</v>
      </c>
      <c r="D1597" s="1038"/>
      <c r="E1597" s="977"/>
      <c r="F1597" s="977"/>
      <c r="G1597" s="914"/>
      <c r="H1597" s="1039">
        <f>SUBTOTAL(9,H1598:H1607)</f>
        <v>249.79999999999998</v>
      </c>
      <c r="I1597" s="915">
        <f>SUBTOTAL(9,I1598:I1603)</f>
        <v>0</v>
      </c>
      <c r="J1597" s="916"/>
      <c r="K1597" s="917"/>
      <c r="L1597" s="917"/>
      <c r="M1597" s="907">
        <f>SUBTOTAL(9,M1598:M1607)</f>
        <v>1609174000</v>
      </c>
      <c r="N1597" s="907">
        <f>SUBTOTAL(9,N1598:N1607)</f>
        <v>0</v>
      </c>
      <c r="O1597" s="942"/>
      <c r="P1597" s="1063">
        <f>SUBTOTAL(9,P1598:P1607)</f>
        <v>0</v>
      </c>
      <c r="Q1597" s="907"/>
      <c r="R1597" s="907">
        <f>SUBTOTAL(9,R1598:R1607)</f>
        <v>0</v>
      </c>
      <c r="S1597" s="918"/>
      <c r="T1597" s="956"/>
      <c r="U1597" s="1064">
        <f>SUBTOTAL(9,U1598:U1607)</f>
        <v>268.62</v>
      </c>
      <c r="V1597" s="914"/>
      <c r="W1597" s="907"/>
      <c r="X1597" s="907">
        <f>SUBTOTAL(9,X1598:X1607)</f>
        <v>1167944000</v>
      </c>
      <c r="Y1597" s="985"/>
      <c r="Z1597" s="922"/>
      <c r="AA1597" s="1067"/>
      <c r="AB1597" s="922"/>
      <c r="AC1597" s="922"/>
      <c r="AD1597" s="922"/>
      <c r="AE1597" s="914"/>
      <c r="AF1597" s="1044">
        <f>SUBTOTAL(9,AF1598:AF1607)</f>
        <v>1</v>
      </c>
      <c r="AG1597" s="921"/>
      <c r="AH1597" s="921">
        <f>SUBTOTAL(9,AH1598:AH1607)</f>
        <v>5000000</v>
      </c>
      <c r="AI1597" s="907">
        <f t="shared" si="339"/>
        <v>2782118000</v>
      </c>
      <c r="AJ1597" s="914"/>
      <c r="AK1597" s="914"/>
    </row>
    <row r="1598" spans="1:37" s="396" customFormat="1" ht="157.5" outlineLevel="2" x14ac:dyDescent="0.3">
      <c r="A1598" s="447">
        <f>IF(B1597&lt;&gt;0,B1597,A1596)</f>
        <v>131</v>
      </c>
      <c r="B1598" s="893"/>
      <c r="C1598" s="908" t="s">
        <v>1135</v>
      </c>
      <c r="D1598" s="1032">
        <v>4</v>
      </c>
      <c r="E1598" s="947">
        <v>86</v>
      </c>
      <c r="F1598" s="947">
        <v>1576</v>
      </c>
      <c r="G1598" s="922" t="s">
        <v>2874</v>
      </c>
      <c r="H1598" s="1041">
        <v>30.1</v>
      </c>
      <c r="I1598" s="882" t="str">
        <f t="shared" ref="I1598:I1599" si="349">IF(N1598&gt;0,H1598,"")</f>
        <v/>
      </c>
      <c r="J1598" s="898"/>
      <c r="K1598" s="899">
        <f>IF(G1598&lt;&gt;0,VLOOKUP(G1598,'gia dat'!$A$1:$F$144,5,0)," ")</f>
        <v>465600</v>
      </c>
      <c r="L1598" s="899">
        <f>IF(G1598&lt;&gt;0,VLOOKUP(G1598,'gia dat'!$A$1:$F$144,6,0)," ")</f>
        <v>0</v>
      </c>
      <c r="M1598" s="900">
        <f t="shared" si="336"/>
        <v>14015000</v>
      </c>
      <c r="N1598" s="900">
        <f t="shared" si="337"/>
        <v>0</v>
      </c>
      <c r="O1598" s="908"/>
      <c r="P1598" s="1065"/>
      <c r="Q1598" s="900" t="str">
        <f>IF(O1598&lt;&gt;0,VLOOKUP(O1598,'Cây trong'!$A$2:$C$246,3,0)," ")</f>
        <v xml:space="preserve"> </v>
      </c>
      <c r="R1598" s="900" t="str">
        <f t="shared" si="345"/>
        <v xml:space="preserve"> </v>
      </c>
      <c r="S1598" s="902" t="s">
        <v>2363</v>
      </c>
      <c r="T1598" s="944" t="s">
        <v>1133</v>
      </c>
      <c r="U1598" s="1066">
        <v>15.9</v>
      </c>
      <c r="V1598" s="922"/>
      <c r="W1598" s="900">
        <f>IF(S1598&lt;&gt;0,VLOOKUP(S1598,VKT!$A$2:$G$415,7,0),"")</f>
        <v>805811</v>
      </c>
      <c r="X1598" s="900">
        <f t="shared" si="332"/>
        <v>12812000</v>
      </c>
      <c r="Y1598" s="985"/>
      <c r="Z1598" s="922"/>
      <c r="AA1598" s="1067"/>
      <c r="AB1598" s="922"/>
      <c r="AC1598" s="922"/>
      <c r="AD1598" s="922"/>
      <c r="AE1598" s="922" t="s">
        <v>2137</v>
      </c>
      <c r="AF1598" s="1046">
        <v>1</v>
      </c>
      <c r="AG1598" s="906">
        <f>IF(AE1598&lt;&gt;0,VLOOKUP(AE1598,ODDS!$A$2:$C$13,3,0),"")</f>
        <v>5000000</v>
      </c>
      <c r="AH1598" s="906">
        <f t="shared" si="346"/>
        <v>5000000</v>
      </c>
      <c r="AI1598" s="907" t="str">
        <f t="shared" si="339"/>
        <v xml:space="preserve"> </v>
      </c>
      <c r="AJ1598" s="922" t="s">
        <v>1134</v>
      </c>
      <c r="AK1598" s="922" t="s">
        <v>2771</v>
      </c>
    </row>
    <row r="1599" spans="1:37" s="394" customFormat="1" ht="112.5" outlineLevel="2" x14ac:dyDescent="0.3">
      <c r="A1599" s="447">
        <f t="shared" ref="A1599:A1607" si="350">IF(B1598&lt;&gt;0,B1598,A1598)</f>
        <v>131</v>
      </c>
      <c r="B1599" s="893"/>
      <c r="C1599" s="942" t="s">
        <v>1141</v>
      </c>
      <c r="D1599" s="1032"/>
      <c r="E1599" s="947">
        <v>86</v>
      </c>
      <c r="F1599" s="947">
        <v>1576</v>
      </c>
      <c r="G1599" s="922" t="s">
        <v>2049</v>
      </c>
      <c r="H1599" s="1041">
        <v>219.7</v>
      </c>
      <c r="I1599" s="882" t="str">
        <f t="shared" si="349"/>
        <v/>
      </c>
      <c r="J1599" s="898"/>
      <c r="K1599" s="899">
        <f>IF(G1599&lt;&gt;0,VLOOKUP(G1599,'gia dat'!$A$1:$F$144,5,0)," ")</f>
        <v>7260624</v>
      </c>
      <c r="L1599" s="899">
        <f>IF(G1599&lt;&gt;0,VLOOKUP(G1599,'gia dat'!$A$1:$F$144,6,0)," ")</f>
        <v>0</v>
      </c>
      <c r="M1599" s="900">
        <f t="shared" si="336"/>
        <v>1595159000</v>
      </c>
      <c r="N1599" s="900">
        <f t="shared" si="337"/>
        <v>0</v>
      </c>
      <c r="O1599" s="908"/>
      <c r="P1599" s="1065"/>
      <c r="Q1599" s="900" t="str">
        <f>IF(O1599&lt;&gt;0,VLOOKUP(O1599,'Cây trong'!$A$2:$C$246,3,0)," ")</f>
        <v xml:space="preserve"> </v>
      </c>
      <c r="R1599" s="900" t="str">
        <f t="shared" si="345"/>
        <v xml:space="preserve"> </v>
      </c>
      <c r="S1599" s="902" t="s">
        <v>1914</v>
      </c>
      <c r="T1599" s="944" t="s">
        <v>1133</v>
      </c>
      <c r="U1599" s="1066">
        <v>177.6</v>
      </c>
      <c r="V1599" s="922"/>
      <c r="W1599" s="900">
        <f>IF(S1599&lt;&gt;0,VLOOKUP(S1599,VKT!$A$2:$G$415,7,0),"")</f>
        <v>5307665</v>
      </c>
      <c r="X1599" s="900">
        <f t="shared" si="332"/>
        <v>942641000</v>
      </c>
      <c r="Y1599" s="996" t="s">
        <v>1138</v>
      </c>
      <c r="Z1599" s="1016" t="s">
        <v>1139</v>
      </c>
      <c r="AA1599" s="1016" t="s">
        <v>56</v>
      </c>
      <c r="AB1599" s="1026" t="s">
        <v>269</v>
      </c>
      <c r="AC1599" s="1016" t="s">
        <v>1138</v>
      </c>
      <c r="AD1599" s="1016"/>
      <c r="AE1599" s="1016"/>
      <c r="AF1599" s="926"/>
      <c r="AG1599" s="906" t="str">
        <f>IF(AE1599&lt;&gt;0,VLOOKUP(AE1599,ODDS!$A$2:$C$13,3,0),"")</f>
        <v/>
      </c>
      <c r="AH1599" s="906"/>
      <c r="AI1599" s="907" t="str">
        <f t="shared" si="339"/>
        <v xml:space="preserve"> </v>
      </c>
      <c r="AJ1599" s="922" t="s">
        <v>1140</v>
      </c>
      <c r="AK1599" s="894" t="s">
        <v>2450</v>
      </c>
    </row>
    <row r="1600" spans="1:37" s="394" customFormat="1" ht="135" outlineLevel="2" x14ac:dyDescent="0.3">
      <c r="A1600" s="447">
        <f t="shared" si="350"/>
        <v>131</v>
      </c>
      <c r="B1600" s="893"/>
      <c r="C1600" s="908" t="s">
        <v>1144</v>
      </c>
      <c r="D1600" s="1032"/>
      <c r="E1600" s="947"/>
      <c r="F1600" s="947"/>
      <c r="G1600" s="908"/>
      <c r="H1600" s="1041"/>
      <c r="I1600" s="882"/>
      <c r="J1600" s="898"/>
      <c r="K1600" s="899" t="str">
        <f>IF(G1600&lt;&gt;0,VLOOKUP(G1600,'gia dat'!$A$1:$F$144,5,0)," ")</f>
        <v xml:space="preserve"> </v>
      </c>
      <c r="L1600" s="899" t="str">
        <f>IF(G1600&lt;&gt;0,VLOOKUP(G1600,'gia dat'!$A$1:$F$144,6,0)," ")</f>
        <v xml:space="preserve"> </v>
      </c>
      <c r="M1600" s="900" t="str">
        <f t="shared" si="336"/>
        <v xml:space="preserve"> </v>
      </c>
      <c r="N1600" s="900" t="str">
        <f t="shared" si="337"/>
        <v xml:space="preserve"> </v>
      </c>
      <c r="O1600" s="908"/>
      <c r="P1600" s="1065"/>
      <c r="Q1600" s="900" t="str">
        <f>IF(O1600&lt;&gt;0,VLOOKUP(O1600,'Cây trong'!$A$2:$C$246,3,0)," ")</f>
        <v xml:space="preserve"> </v>
      </c>
      <c r="R1600" s="900" t="str">
        <f t="shared" si="345"/>
        <v xml:space="preserve"> </v>
      </c>
      <c r="S1600" s="902" t="s">
        <v>2364</v>
      </c>
      <c r="T1600" s="944" t="s">
        <v>1133</v>
      </c>
      <c r="U1600" s="1066">
        <v>16.5</v>
      </c>
      <c r="V1600" s="922"/>
      <c r="W1600" s="900">
        <f>IF(S1600&lt;&gt;0,VLOOKUP(S1600,VKT!$A$2:$G$415,7,0),"")</f>
        <v>9028527</v>
      </c>
      <c r="X1600" s="900">
        <f t="shared" si="332"/>
        <v>148971000</v>
      </c>
      <c r="Y1600" s="985"/>
      <c r="Z1600" s="922"/>
      <c r="AA1600" s="1067"/>
      <c r="AB1600" s="922"/>
      <c r="AC1600" s="922"/>
      <c r="AD1600" s="922"/>
      <c r="AE1600" s="922"/>
      <c r="AF1600" s="1046"/>
      <c r="AG1600" s="906" t="str">
        <f>IF(AE1600&lt;&gt;0,VLOOKUP(AE1600,ODDS!$A$2:$C$13,3,0),"")</f>
        <v/>
      </c>
      <c r="AH1600" s="906" t="str">
        <f t="shared" si="346"/>
        <v xml:space="preserve"> </v>
      </c>
      <c r="AI1600" s="907" t="str">
        <f t="shared" si="339"/>
        <v xml:space="preserve"> </v>
      </c>
      <c r="AJ1600" s="922" t="s">
        <v>1146</v>
      </c>
      <c r="AK1600" s="894" t="s">
        <v>2447</v>
      </c>
    </row>
    <row r="1601" spans="1:39" s="394" customFormat="1" ht="135" outlineLevel="2" x14ac:dyDescent="0.35">
      <c r="A1601" s="447">
        <f t="shared" si="350"/>
        <v>131</v>
      </c>
      <c r="B1601" s="893"/>
      <c r="C1601" s="908" t="s">
        <v>1596</v>
      </c>
      <c r="D1601" s="1032"/>
      <c r="E1601" s="947"/>
      <c r="F1601" s="947"/>
      <c r="G1601" s="922"/>
      <c r="H1601" s="1041"/>
      <c r="I1601" s="882"/>
      <c r="J1601" s="894"/>
      <c r="K1601" s="899" t="str">
        <f>IF(G1601&lt;&gt;0,VLOOKUP(G1601,'gia dat'!$A$1:$F$144,5,0)," ")</f>
        <v xml:space="preserve"> </v>
      </c>
      <c r="L1601" s="899" t="str">
        <f>IF(G1601&lt;&gt;0,VLOOKUP(G1601,'gia dat'!$A$1:$F$144,6,0)," ")</f>
        <v xml:space="preserve"> </v>
      </c>
      <c r="M1601" s="900" t="str">
        <f t="shared" si="336"/>
        <v xml:space="preserve"> </v>
      </c>
      <c r="N1601" s="900" t="str">
        <f t="shared" si="337"/>
        <v xml:space="preserve"> </v>
      </c>
      <c r="O1601" s="908"/>
      <c r="P1601" s="1065"/>
      <c r="Q1601" s="900" t="str">
        <f>IF(O1601&lt;&gt;0,VLOOKUP(O1601,'Cây trong'!$A$2:$C$246,3,0)," ")</f>
        <v xml:space="preserve"> </v>
      </c>
      <c r="R1601" s="900" t="str">
        <f t="shared" si="345"/>
        <v xml:space="preserve"> </v>
      </c>
      <c r="S1601" s="908" t="s">
        <v>2365</v>
      </c>
      <c r="T1601" s="944" t="s">
        <v>1133</v>
      </c>
      <c r="U1601" s="1066">
        <v>2.52</v>
      </c>
      <c r="V1601" s="922"/>
      <c r="W1601" s="900">
        <f>IF(S1601&lt;&gt;0,VLOOKUP(S1601,VKT!$A$2:$G$415,7,0),"")</f>
        <v>9213342</v>
      </c>
      <c r="X1601" s="900">
        <f t="shared" ref="X1601:X1680" si="351">IF(S1601&lt;&gt;0,ROUND(U1601*W1601,-3)," ")</f>
        <v>23218000</v>
      </c>
      <c r="Y1601" s="985"/>
      <c r="Z1601" s="922"/>
      <c r="AA1601" s="1067"/>
      <c r="AB1601" s="922"/>
      <c r="AC1601" s="922"/>
      <c r="AD1601" s="922"/>
      <c r="AE1601" s="922"/>
      <c r="AF1601" s="1046"/>
      <c r="AG1601" s="906" t="str">
        <f>IF(AE1601&lt;&gt;0,VLOOKUP(AE1601,ODDS!$A$2:$C$13,3,0),"")</f>
        <v/>
      </c>
      <c r="AH1601" s="906" t="str">
        <f t="shared" si="346"/>
        <v xml:space="preserve"> </v>
      </c>
      <c r="AI1601" s="907" t="str">
        <f t="shared" si="339"/>
        <v xml:space="preserve"> </v>
      </c>
      <c r="AJ1601" s="1068"/>
      <c r="AK1601" s="922" t="s">
        <v>2800</v>
      </c>
    </row>
    <row r="1602" spans="1:39" s="394" customFormat="1" ht="112.5" outlineLevel="2" x14ac:dyDescent="0.3">
      <c r="A1602" s="447">
        <f t="shared" si="350"/>
        <v>131</v>
      </c>
      <c r="B1602" s="893"/>
      <c r="C1602" s="908"/>
      <c r="D1602" s="1032"/>
      <c r="E1602" s="947"/>
      <c r="F1602" s="947"/>
      <c r="G1602" s="922"/>
      <c r="H1602" s="1041"/>
      <c r="I1602" s="882"/>
      <c r="J1602" s="894"/>
      <c r="K1602" s="899" t="str">
        <f>IF(G1602&lt;&gt;0,VLOOKUP(G1602,'gia dat'!$A$1:$F$144,5,0)," ")</f>
        <v xml:space="preserve"> </v>
      </c>
      <c r="L1602" s="899" t="str">
        <f>IF(G1602&lt;&gt;0,VLOOKUP(G1602,'gia dat'!$A$1:$F$144,6,0)," ")</f>
        <v xml:space="preserve"> </v>
      </c>
      <c r="M1602" s="900" t="str">
        <f t="shared" si="336"/>
        <v xml:space="preserve"> </v>
      </c>
      <c r="N1602" s="900" t="str">
        <f t="shared" si="337"/>
        <v xml:space="preserve"> </v>
      </c>
      <c r="O1602" s="908"/>
      <c r="P1602" s="1065"/>
      <c r="Q1602" s="900" t="str">
        <f>IF(O1602&lt;&gt;0,VLOOKUP(O1602,'Cây trong'!$A$2:$C$246,3,0)," ")</f>
        <v xml:space="preserve"> </v>
      </c>
      <c r="R1602" s="900" t="str">
        <f t="shared" si="345"/>
        <v xml:space="preserve"> </v>
      </c>
      <c r="S1602" s="908" t="s">
        <v>2366</v>
      </c>
      <c r="T1602" s="944" t="s">
        <v>1133</v>
      </c>
      <c r="U1602" s="1066">
        <v>19.8</v>
      </c>
      <c r="V1602" s="922"/>
      <c r="W1602" s="900">
        <f>IF(S1602&lt;&gt;0,VLOOKUP(S1602,VKT!$A$2:$G$415,7,0),"")</f>
        <v>623651</v>
      </c>
      <c r="X1602" s="900">
        <f t="shared" si="351"/>
        <v>12348000</v>
      </c>
      <c r="Y1602" s="985"/>
      <c r="Z1602" s="922"/>
      <c r="AA1602" s="1067"/>
      <c r="AB1602" s="922"/>
      <c r="AC1602" s="922"/>
      <c r="AD1602" s="922"/>
      <c r="AE1602" s="922"/>
      <c r="AF1602" s="1046"/>
      <c r="AG1602" s="906" t="str">
        <f>IF(AE1602&lt;&gt;0,VLOOKUP(AE1602,ODDS!$A$2:$C$13,3,0),"")</f>
        <v/>
      </c>
      <c r="AH1602" s="906" t="str">
        <f t="shared" si="346"/>
        <v xml:space="preserve"> </v>
      </c>
      <c r="AI1602" s="907" t="str">
        <f t="shared" si="339"/>
        <v xml:space="preserve"> </v>
      </c>
      <c r="AJ1602" s="922"/>
      <c r="AK1602" s="922"/>
    </row>
    <row r="1603" spans="1:39" s="394" customFormat="1" ht="90" outlineLevel="2" x14ac:dyDescent="0.3">
      <c r="A1603" s="447">
        <f t="shared" si="350"/>
        <v>131</v>
      </c>
      <c r="B1603" s="893"/>
      <c r="C1603" s="908"/>
      <c r="D1603" s="1032"/>
      <c r="E1603" s="947"/>
      <c r="F1603" s="947"/>
      <c r="G1603" s="922"/>
      <c r="H1603" s="1041"/>
      <c r="I1603" s="882"/>
      <c r="J1603" s="894"/>
      <c r="K1603" s="899" t="str">
        <f>IF(G1603&lt;&gt;0,VLOOKUP(G1603,'gia dat'!$A$1:$F$144,5,0)," ")</f>
        <v xml:space="preserve"> </v>
      </c>
      <c r="L1603" s="899" t="str">
        <f>IF(G1603&lt;&gt;0,VLOOKUP(G1603,'gia dat'!$A$1:$F$144,6,0)," ")</f>
        <v xml:space="preserve"> </v>
      </c>
      <c r="M1603" s="900" t="str">
        <f t="shared" si="336"/>
        <v xml:space="preserve"> </v>
      </c>
      <c r="N1603" s="900" t="str">
        <f t="shared" si="337"/>
        <v xml:space="preserve"> </v>
      </c>
      <c r="O1603" s="908"/>
      <c r="P1603" s="1065"/>
      <c r="Q1603" s="900" t="str">
        <f>IF(O1603&lt;&gt;0,VLOOKUP(O1603,'Cây trong'!$A$2:$C$246,3,0)," ")</f>
        <v xml:space="preserve"> </v>
      </c>
      <c r="R1603" s="900" t="str">
        <f t="shared" si="345"/>
        <v xml:space="preserve"> </v>
      </c>
      <c r="S1603" s="908" t="s">
        <v>1945</v>
      </c>
      <c r="T1603" s="944" t="s">
        <v>1133</v>
      </c>
      <c r="U1603" s="1066">
        <v>36.299999999999997</v>
      </c>
      <c r="V1603" s="922"/>
      <c r="W1603" s="900">
        <f>IF(S1603&lt;&gt;0,VLOOKUP(S1603,VKT!$A$2:$G$415,7,0),"")</f>
        <v>770070</v>
      </c>
      <c r="X1603" s="900">
        <f t="shared" si="351"/>
        <v>27954000</v>
      </c>
      <c r="Y1603" s="985"/>
      <c r="Z1603" s="922"/>
      <c r="AA1603" s="1067"/>
      <c r="AB1603" s="922"/>
      <c r="AC1603" s="922"/>
      <c r="AD1603" s="922"/>
      <c r="AE1603" s="922"/>
      <c r="AF1603" s="1046"/>
      <c r="AG1603" s="906" t="str">
        <f>IF(AE1603&lt;&gt;0,VLOOKUP(AE1603,ODDS!$A$2:$C$13,3,0),"")</f>
        <v/>
      </c>
      <c r="AH1603" s="906" t="str">
        <f t="shared" si="346"/>
        <v xml:space="preserve"> </v>
      </c>
      <c r="AI1603" s="907" t="str">
        <f t="shared" si="339"/>
        <v xml:space="preserve"> </v>
      </c>
      <c r="AJ1603" s="922"/>
      <c r="AK1603" s="922"/>
    </row>
    <row r="1604" spans="1:39" s="394" customFormat="1" ht="22.5" outlineLevel="2" x14ac:dyDescent="0.3">
      <c r="A1604" s="447">
        <f t="shared" si="350"/>
        <v>131</v>
      </c>
      <c r="B1604" s="893"/>
      <c r="C1604" s="908"/>
      <c r="D1604" s="1032"/>
      <c r="E1604" s="947"/>
      <c r="F1604" s="947"/>
      <c r="G1604" s="922"/>
      <c r="H1604" s="1041"/>
      <c r="I1604" s="882"/>
      <c r="J1604" s="894"/>
      <c r="K1604" s="899" t="str">
        <f>IF(G1604&lt;&gt;0,VLOOKUP(G1604,'gia dat'!$A$1:$F$144,5,0)," ")</f>
        <v xml:space="preserve"> </v>
      </c>
      <c r="L1604" s="899" t="str">
        <f>IF(G1604&lt;&gt;0,VLOOKUP(G1604,'gia dat'!$A$1:$F$144,6,0)," ")</f>
        <v xml:space="preserve"> </v>
      </c>
      <c r="M1604" s="900" t="str">
        <f t="shared" si="336"/>
        <v xml:space="preserve"> </v>
      </c>
      <c r="N1604" s="900" t="str">
        <f t="shared" si="337"/>
        <v xml:space="preserve"> </v>
      </c>
      <c r="O1604" s="908"/>
      <c r="P1604" s="1065"/>
      <c r="Q1604" s="900" t="str">
        <f>IF(O1604&lt;&gt;0,VLOOKUP(O1604,'Cây trong'!$A$2:$C$246,3,0)," ")</f>
        <v xml:space="preserve"> </v>
      </c>
      <c r="R1604" s="900" t="str">
        <f t="shared" si="345"/>
        <v xml:space="preserve"> </v>
      </c>
      <c r="S1604" s="908"/>
      <c r="T1604" s="944"/>
      <c r="U1604" s="1066"/>
      <c r="V1604" s="922"/>
      <c r="W1604" s="900" t="str">
        <f>IF(S1604&lt;&gt;0,VLOOKUP(S1604,VKT!$A$2:$G$415,7,0),"")</f>
        <v/>
      </c>
      <c r="X1604" s="900" t="str">
        <f t="shared" si="351"/>
        <v xml:space="preserve"> </v>
      </c>
      <c r="Y1604" s="985"/>
      <c r="Z1604" s="922"/>
      <c r="AA1604" s="1067"/>
      <c r="AB1604" s="922"/>
      <c r="AC1604" s="922"/>
      <c r="AD1604" s="922"/>
      <c r="AE1604" s="922"/>
      <c r="AF1604" s="1046"/>
      <c r="AG1604" s="906" t="str">
        <f>IF(AE1604&lt;&gt;0,VLOOKUP(AE1604,ODDS!$A$2:$C$13,3,0),"")</f>
        <v/>
      </c>
      <c r="AH1604" s="906" t="str">
        <f t="shared" si="346"/>
        <v xml:space="preserve"> </v>
      </c>
      <c r="AI1604" s="907" t="str">
        <f t="shared" si="339"/>
        <v xml:space="preserve"> </v>
      </c>
      <c r="AJ1604" s="922"/>
      <c r="AK1604" s="922"/>
    </row>
    <row r="1605" spans="1:39" s="394" customFormat="1" ht="22.5" outlineLevel="2" x14ac:dyDescent="0.3">
      <c r="A1605" s="447">
        <f t="shared" si="350"/>
        <v>131</v>
      </c>
      <c r="B1605" s="893"/>
      <c r="C1605" s="908"/>
      <c r="D1605" s="1032"/>
      <c r="E1605" s="947"/>
      <c r="F1605" s="947"/>
      <c r="G1605" s="922"/>
      <c r="H1605" s="1041"/>
      <c r="I1605" s="882"/>
      <c r="J1605" s="894"/>
      <c r="K1605" s="899" t="str">
        <f>IF(G1605&lt;&gt;0,VLOOKUP(G1605,'gia dat'!$A$1:$F$144,5,0)," ")</f>
        <v xml:space="preserve"> </v>
      </c>
      <c r="L1605" s="899" t="str">
        <f>IF(G1605&lt;&gt;0,VLOOKUP(G1605,'gia dat'!$A$1:$F$144,6,0)," ")</f>
        <v xml:space="preserve"> </v>
      </c>
      <c r="M1605" s="900" t="str">
        <f t="shared" si="336"/>
        <v xml:space="preserve"> </v>
      </c>
      <c r="N1605" s="900" t="str">
        <f t="shared" si="337"/>
        <v xml:space="preserve"> </v>
      </c>
      <c r="O1605" s="908"/>
      <c r="P1605" s="1065"/>
      <c r="Q1605" s="900" t="str">
        <f>IF(O1605&lt;&gt;0,VLOOKUP(O1605,'Cây trong'!$A$2:$C$246,3,0)," ")</f>
        <v xml:space="preserve"> </v>
      </c>
      <c r="R1605" s="900" t="str">
        <f t="shared" si="345"/>
        <v xml:space="preserve"> </v>
      </c>
      <c r="S1605" s="908"/>
      <c r="T1605" s="944"/>
      <c r="U1605" s="1066"/>
      <c r="V1605" s="922"/>
      <c r="W1605" s="900" t="str">
        <f>IF(S1605&lt;&gt;0,VLOOKUP(S1605,VKT!$A$2:$G$415,7,0),"")</f>
        <v/>
      </c>
      <c r="X1605" s="900" t="str">
        <f t="shared" si="351"/>
        <v xml:space="preserve"> </v>
      </c>
      <c r="Y1605" s="985"/>
      <c r="Z1605" s="922"/>
      <c r="AA1605" s="1067"/>
      <c r="AB1605" s="922"/>
      <c r="AC1605" s="922"/>
      <c r="AD1605" s="922"/>
      <c r="AE1605" s="922"/>
      <c r="AF1605" s="1046"/>
      <c r="AG1605" s="906" t="str">
        <f>IF(AE1605&lt;&gt;0,VLOOKUP(AE1605,ODDS!$A$2:$C$13,3,0),"")</f>
        <v/>
      </c>
      <c r="AH1605" s="906" t="str">
        <f t="shared" si="346"/>
        <v xml:space="preserve"> </v>
      </c>
      <c r="AI1605" s="907" t="str">
        <f t="shared" si="339"/>
        <v xml:space="preserve"> </v>
      </c>
      <c r="AJ1605" s="922"/>
      <c r="AK1605" s="922"/>
    </row>
    <row r="1606" spans="1:39" s="394" customFormat="1" ht="22.5" outlineLevel="2" x14ac:dyDescent="0.3">
      <c r="A1606" s="447">
        <f t="shared" si="350"/>
        <v>131</v>
      </c>
      <c r="B1606" s="893"/>
      <c r="C1606" s="908"/>
      <c r="D1606" s="1032"/>
      <c r="E1606" s="947"/>
      <c r="F1606" s="947"/>
      <c r="G1606" s="922"/>
      <c r="H1606" s="1041"/>
      <c r="I1606" s="882"/>
      <c r="J1606" s="894"/>
      <c r="K1606" s="899" t="str">
        <f>IF(G1606&lt;&gt;0,VLOOKUP(G1606,'gia dat'!$A$1:$F$144,5,0)," ")</f>
        <v xml:space="preserve"> </v>
      </c>
      <c r="L1606" s="899" t="str">
        <f>IF(G1606&lt;&gt;0,VLOOKUP(G1606,'gia dat'!$A$1:$F$144,6,0)," ")</f>
        <v xml:space="preserve"> </v>
      </c>
      <c r="M1606" s="900" t="str">
        <f t="shared" si="336"/>
        <v xml:space="preserve"> </v>
      </c>
      <c r="N1606" s="900" t="str">
        <f t="shared" si="337"/>
        <v xml:space="preserve"> </v>
      </c>
      <c r="O1606" s="908"/>
      <c r="P1606" s="1065"/>
      <c r="Q1606" s="900" t="str">
        <f>IF(O1606&lt;&gt;0,VLOOKUP(O1606,'Cây trong'!$A$2:$C$246,3,0)," ")</f>
        <v xml:space="preserve"> </v>
      </c>
      <c r="R1606" s="900" t="str">
        <f t="shared" si="345"/>
        <v xml:space="preserve"> </v>
      </c>
      <c r="S1606" s="908"/>
      <c r="T1606" s="944"/>
      <c r="U1606" s="1066"/>
      <c r="V1606" s="922"/>
      <c r="W1606" s="900" t="str">
        <f>IF(S1606&lt;&gt;0,VLOOKUP(S1606,VKT!$A$2:$G$415,7,0),"")</f>
        <v/>
      </c>
      <c r="X1606" s="900" t="str">
        <f t="shared" si="351"/>
        <v xml:space="preserve"> </v>
      </c>
      <c r="Y1606" s="985"/>
      <c r="Z1606" s="922"/>
      <c r="AA1606" s="1067"/>
      <c r="AB1606" s="922"/>
      <c r="AC1606" s="922"/>
      <c r="AD1606" s="922"/>
      <c r="AE1606" s="922"/>
      <c r="AF1606" s="1046"/>
      <c r="AG1606" s="906" t="str">
        <f>IF(AE1606&lt;&gt;0,VLOOKUP(AE1606,ODDS!$A$2:$C$13,3,0),"")</f>
        <v/>
      </c>
      <c r="AH1606" s="906" t="str">
        <f t="shared" si="346"/>
        <v xml:space="preserve"> </v>
      </c>
      <c r="AI1606" s="907" t="str">
        <f t="shared" si="339"/>
        <v xml:space="preserve"> </v>
      </c>
      <c r="AJ1606" s="922"/>
      <c r="AK1606" s="922"/>
    </row>
    <row r="1607" spans="1:39" s="394" customFormat="1" ht="22.5" outlineLevel="2" x14ac:dyDescent="0.3">
      <c r="A1607" s="447">
        <f t="shared" si="350"/>
        <v>131</v>
      </c>
      <c r="B1607" s="893"/>
      <c r="C1607" s="942"/>
      <c r="D1607" s="1032"/>
      <c r="E1607" s="947"/>
      <c r="F1607" s="947"/>
      <c r="G1607" s="922"/>
      <c r="H1607" s="1041"/>
      <c r="I1607" s="882"/>
      <c r="J1607" s="894"/>
      <c r="K1607" s="899" t="str">
        <f>IF(G1607&lt;&gt;0,VLOOKUP(G1607,'gia dat'!$A$1:$F$144,5,0)," ")</f>
        <v xml:space="preserve"> </v>
      </c>
      <c r="L1607" s="899" t="str">
        <f>IF(G1607&lt;&gt;0,VLOOKUP(G1607,'gia dat'!$A$1:$F$144,6,0)," ")</f>
        <v xml:space="preserve"> </v>
      </c>
      <c r="M1607" s="900" t="str">
        <f t="shared" si="336"/>
        <v xml:space="preserve"> </v>
      </c>
      <c r="N1607" s="900" t="str">
        <f t="shared" si="337"/>
        <v xml:space="preserve"> </v>
      </c>
      <c r="O1607" s="908"/>
      <c r="P1607" s="1065"/>
      <c r="Q1607" s="900" t="str">
        <f>IF(O1607&lt;&gt;0,VLOOKUP(O1607,'Cây trong'!$A$2:$C$246,3,0)," ")</f>
        <v xml:space="preserve"> </v>
      </c>
      <c r="R1607" s="900" t="str">
        <f t="shared" si="345"/>
        <v xml:space="preserve"> </v>
      </c>
      <c r="S1607" s="908"/>
      <c r="T1607" s="944"/>
      <c r="U1607" s="1066"/>
      <c r="V1607" s="922"/>
      <c r="W1607" s="900" t="str">
        <f>IF(S1607&lt;&gt;0,VLOOKUP(S1607,VKT!$A$2:$G$415,7,0),"")</f>
        <v/>
      </c>
      <c r="X1607" s="900" t="str">
        <f t="shared" si="351"/>
        <v xml:space="preserve"> </v>
      </c>
      <c r="Y1607" s="985"/>
      <c r="Z1607" s="922"/>
      <c r="AA1607" s="1067"/>
      <c r="AB1607" s="922"/>
      <c r="AC1607" s="922"/>
      <c r="AD1607" s="922"/>
      <c r="AE1607" s="922"/>
      <c r="AF1607" s="1046"/>
      <c r="AG1607" s="906" t="str">
        <f>IF(AE1607&lt;&gt;0,VLOOKUP(AE1607,ODDS!$A$2:$C$13,3,0),"")</f>
        <v/>
      </c>
      <c r="AH1607" s="906" t="str">
        <f t="shared" si="346"/>
        <v xml:space="preserve"> </v>
      </c>
      <c r="AI1607" s="907" t="str">
        <f t="shared" si="339"/>
        <v xml:space="preserve"> </v>
      </c>
      <c r="AJ1607" s="908"/>
      <c r="AK1607" s="908"/>
    </row>
    <row r="1608" spans="1:39" s="396" customFormat="1" ht="43.5" outlineLevel="1" x14ac:dyDescent="0.25">
      <c r="A1608" s="467" t="s">
        <v>2578</v>
      </c>
      <c r="B1608" s="912">
        <v>132</v>
      </c>
      <c r="C1608" s="942" t="s">
        <v>2454</v>
      </c>
      <c r="D1608" s="1038"/>
      <c r="E1608" s="977"/>
      <c r="F1608" s="977"/>
      <c r="G1608" s="914"/>
      <c r="H1608" s="1039">
        <f>SUBTOTAL(9,H1609:H1621)</f>
        <v>16.600000000000001</v>
      </c>
      <c r="I1608" s="915">
        <f>SUBTOTAL(9,I1609:I1614)</f>
        <v>12.4</v>
      </c>
      <c r="J1608" s="916"/>
      <c r="K1608" s="917"/>
      <c r="L1608" s="917"/>
      <c r="M1608" s="907">
        <f>SUBTOTAL(9,M1609:M1621)</f>
        <v>7729000</v>
      </c>
      <c r="N1608" s="907">
        <f>SUBTOTAL(9,N1609:N1621)</f>
        <v>17320000</v>
      </c>
      <c r="O1608" s="942"/>
      <c r="P1608" s="1063">
        <f>SUBTOTAL(9,P1609:P1621)</f>
        <v>30</v>
      </c>
      <c r="Q1608" s="907"/>
      <c r="R1608" s="907">
        <f>SUBTOTAL(9,R1609:R1621)</f>
        <v>4861000</v>
      </c>
      <c r="S1608" s="918"/>
      <c r="T1608" s="956"/>
      <c r="U1608" s="1064">
        <f>SUBTOTAL(9,U1609:U1621)</f>
        <v>16</v>
      </c>
      <c r="V1608" s="914"/>
      <c r="W1608" s="907"/>
      <c r="X1608" s="907">
        <f>SUBTOTAL(9,X1609:X1621)</f>
        <v>11960000</v>
      </c>
      <c r="Y1608" s="985"/>
      <c r="Z1608" s="922"/>
      <c r="AA1608" s="1067"/>
      <c r="AB1608" s="922"/>
      <c r="AC1608" s="922"/>
      <c r="AD1608" s="922"/>
      <c r="AE1608" s="914"/>
      <c r="AF1608" s="1044">
        <f>SUBTOTAL(9,AF1609:AF1621)</f>
        <v>0</v>
      </c>
      <c r="AG1608" s="921"/>
      <c r="AH1608" s="921">
        <f>SUBTOTAL(9,AH1609:AH1621)</f>
        <v>0</v>
      </c>
      <c r="AI1608" s="907">
        <f t="shared" si="339"/>
        <v>41870000</v>
      </c>
      <c r="AJ1608" s="914"/>
      <c r="AK1608" s="914"/>
      <c r="AM1608" s="468"/>
    </row>
    <row r="1609" spans="1:39" s="396" customFormat="1" ht="135" outlineLevel="2" x14ac:dyDescent="0.3">
      <c r="A1609" s="447">
        <f>IF(B1608&lt;&gt;0,B1608,A1607)</f>
        <v>132</v>
      </c>
      <c r="B1609" s="893"/>
      <c r="C1609" s="908" t="s">
        <v>1151</v>
      </c>
      <c r="D1609" s="1032">
        <v>4</v>
      </c>
      <c r="E1609" s="947">
        <v>86</v>
      </c>
      <c r="F1609" s="947">
        <v>52</v>
      </c>
      <c r="G1609" s="922" t="s">
        <v>2870</v>
      </c>
      <c r="H1609" s="1041">
        <f>14.3-H1611</f>
        <v>1.9000000000000004</v>
      </c>
      <c r="I1609" s="882" t="str">
        <f t="shared" ref="I1609:I1611" si="352">IF(N1609&gt;0,H1609,"")</f>
        <v/>
      </c>
      <c r="J1609" s="898"/>
      <c r="K1609" s="899">
        <f>IF(G1609&lt;&gt;0,VLOOKUP(G1609,'gia dat'!$A$1:$F$144,5,0)," ")</f>
        <v>465600</v>
      </c>
      <c r="L1609" s="899">
        <f>IF(G1609&lt;&gt;0,VLOOKUP(G1609,'gia dat'!$A$1:$F$144,6,0)," ")</f>
        <v>0</v>
      </c>
      <c r="M1609" s="900">
        <f t="shared" si="336"/>
        <v>885000</v>
      </c>
      <c r="N1609" s="900">
        <f t="shared" si="337"/>
        <v>0</v>
      </c>
      <c r="O1609" s="908" t="s">
        <v>72</v>
      </c>
      <c r="P1609" s="1065">
        <v>8</v>
      </c>
      <c r="Q1609" s="900">
        <f>IF(O1609&lt;&gt;0,VLOOKUP(O1609,'Cây trong'!$A$2:$C$246,3,0)," ")</f>
        <v>132000</v>
      </c>
      <c r="R1609" s="900">
        <f t="shared" si="345"/>
        <v>1056000</v>
      </c>
      <c r="S1609" s="902" t="s">
        <v>2367</v>
      </c>
      <c r="T1609" s="944" t="s">
        <v>1133</v>
      </c>
      <c r="U1609" s="1066">
        <v>11</v>
      </c>
      <c r="V1609" s="922"/>
      <c r="W1609" s="900">
        <f>IF(S1609&lt;&gt;0,VLOOKUP(S1609,VKT!$A$2:$G$415,7,0),"")</f>
        <v>774798</v>
      </c>
      <c r="X1609" s="900">
        <f t="shared" si="351"/>
        <v>8523000</v>
      </c>
      <c r="Y1609" s="985"/>
      <c r="Z1609" s="922"/>
      <c r="AA1609" s="1067"/>
      <c r="AB1609" s="922"/>
      <c r="AC1609" s="922"/>
      <c r="AD1609" s="922"/>
      <c r="AE1609" s="922"/>
      <c r="AF1609" s="1046"/>
      <c r="AG1609" s="906" t="str">
        <f>IF(AE1609&lt;&gt;0,VLOOKUP(AE1609,ODDS!$A$2:$C$13,3,0),"")</f>
        <v/>
      </c>
      <c r="AH1609" s="906"/>
      <c r="AI1609" s="907" t="str">
        <f t="shared" ref="AI1609:AI1672" si="353">IF(B1609&lt;&gt;0,M1609+N1609+R1609+X1609+AH1609," ")</f>
        <v xml:space="preserve"> </v>
      </c>
      <c r="AJ1609" s="922" t="s">
        <v>1150</v>
      </c>
      <c r="AK1609" s="922" t="s">
        <v>2771</v>
      </c>
      <c r="AL1609" s="396" t="s">
        <v>2234</v>
      </c>
      <c r="AM1609" s="380" t="s">
        <v>2159</v>
      </c>
    </row>
    <row r="1610" spans="1:39" s="394" customFormat="1" ht="135" outlineLevel="2" x14ac:dyDescent="0.3">
      <c r="A1610" s="447">
        <f t="shared" ref="A1610:A1621" si="354">IF(B1609&lt;&gt;0,B1609,A1609)</f>
        <v>132</v>
      </c>
      <c r="B1610" s="893"/>
      <c r="C1610" s="908" t="s">
        <v>1597</v>
      </c>
      <c r="D1610" s="1032"/>
      <c r="E1610" s="947">
        <v>86</v>
      </c>
      <c r="F1610" s="947" t="s">
        <v>1152</v>
      </c>
      <c r="G1610" s="922" t="s">
        <v>2876</v>
      </c>
      <c r="H1610" s="1041">
        <v>2.2999999999999998</v>
      </c>
      <c r="I1610" s="882" t="str">
        <f t="shared" si="352"/>
        <v/>
      </c>
      <c r="J1610" s="898"/>
      <c r="K1610" s="899">
        <f>IF(G1610&lt;&gt;0,VLOOKUP(G1610,'gia dat'!$A$1:$F$144,5,0)," ")</f>
        <v>465600</v>
      </c>
      <c r="L1610" s="899">
        <f>IF(G1610&lt;&gt;0,VLOOKUP(G1610,'gia dat'!$A$1:$F$144,6,0)," ")</f>
        <v>0</v>
      </c>
      <c r="M1610" s="900">
        <f t="shared" si="336"/>
        <v>1071000</v>
      </c>
      <c r="N1610" s="900">
        <f t="shared" si="337"/>
        <v>0</v>
      </c>
      <c r="O1610" s="908" t="s">
        <v>73</v>
      </c>
      <c r="P1610" s="1065">
        <v>6</v>
      </c>
      <c r="Q1610" s="900">
        <f>IF(O1610&lt;&gt;0,VLOOKUP(O1610,'Cây trong'!$A$2:$C$246,3,0)," ")</f>
        <v>76000</v>
      </c>
      <c r="R1610" s="900">
        <f t="shared" si="345"/>
        <v>456000</v>
      </c>
      <c r="S1610" s="902" t="s">
        <v>2368</v>
      </c>
      <c r="T1610" s="944" t="s">
        <v>1133</v>
      </c>
      <c r="U1610" s="1066">
        <v>5</v>
      </c>
      <c r="V1610" s="922"/>
      <c r="W1610" s="900">
        <f>IF(S1610&lt;&gt;0,VLOOKUP(S1610,VKT!$A$2:$G$415,7,0),"")</f>
        <v>687379</v>
      </c>
      <c r="X1610" s="900">
        <f t="shared" si="351"/>
        <v>3437000</v>
      </c>
      <c r="Y1610" s="985"/>
      <c r="Z1610" s="922"/>
      <c r="AA1610" s="1067"/>
      <c r="AB1610" s="922"/>
      <c r="AC1610" s="922"/>
      <c r="AD1610" s="922"/>
      <c r="AE1610" s="922"/>
      <c r="AF1610" s="1046"/>
      <c r="AG1610" s="906" t="str">
        <f>IF(AE1610&lt;&gt;0,VLOOKUP(AE1610,ODDS!$A$2:$C$13,3,0),"")</f>
        <v/>
      </c>
      <c r="AH1610" s="906" t="str">
        <f t="shared" si="346"/>
        <v xml:space="preserve"> </v>
      </c>
      <c r="AI1610" s="907" t="str">
        <f t="shared" si="353"/>
        <v xml:space="preserve"> </v>
      </c>
      <c r="AJ1610" s="922" t="s">
        <v>1154</v>
      </c>
      <c r="AK1610" s="894" t="s">
        <v>2450</v>
      </c>
    </row>
    <row r="1611" spans="1:39" s="394" customFormat="1" ht="157.5" outlineLevel="2" x14ac:dyDescent="0.3">
      <c r="A1611" s="447">
        <f t="shared" si="354"/>
        <v>132</v>
      </c>
      <c r="B1611" s="893"/>
      <c r="C1611" s="908"/>
      <c r="D1611" s="1032"/>
      <c r="E1611" s="947"/>
      <c r="F1611" s="947"/>
      <c r="G1611" s="922" t="s">
        <v>2873</v>
      </c>
      <c r="H1611" s="1041">
        <v>12.4</v>
      </c>
      <c r="I1611" s="882">
        <f t="shared" si="352"/>
        <v>12.4</v>
      </c>
      <c r="J1611" s="898"/>
      <c r="K1611" s="899">
        <f>IF(G1611&lt;&gt;0,VLOOKUP(G1611,'gia dat'!$A$1:$F$144,5,0)," ")</f>
        <v>465600</v>
      </c>
      <c r="L1611" s="899">
        <f>IF(G1611&lt;&gt;0,VLOOKUP(G1611,'gia dat'!$A$1:$F$144,6,0)," ")</f>
        <v>1396800</v>
      </c>
      <c r="M1611" s="900">
        <f t="shared" si="336"/>
        <v>5773000</v>
      </c>
      <c r="N1611" s="900">
        <f t="shared" si="337"/>
        <v>17320000</v>
      </c>
      <c r="O1611" s="908" t="s">
        <v>75</v>
      </c>
      <c r="P1611" s="1065">
        <v>9</v>
      </c>
      <c r="Q1611" s="900">
        <f>IF(O1611&lt;&gt;0,VLOOKUP(O1611,'Cây trong'!$A$2:$C$246,3,0)," ")</f>
        <v>34000</v>
      </c>
      <c r="R1611" s="900">
        <f t="shared" si="345"/>
        <v>306000</v>
      </c>
      <c r="S1611" s="902"/>
      <c r="T1611" s="944"/>
      <c r="U1611" s="1066"/>
      <c r="V1611" s="922"/>
      <c r="W1611" s="900" t="str">
        <f>IF(S1611&lt;&gt;0,VLOOKUP(S1611,VKT!$A$2:$G$415,7,0),"")</f>
        <v/>
      </c>
      <c r="X1611" s="900" t="str">
        <f t="shared" si="351"/>
        <v xml:space="preserve"> </v>
      </c>
      <c r="Y1611" s="985"/>
      <c r="Z1611" s="922"/>
      <c r="AA1611" s="1067"/>
      <c r="AB1611" s="922"/>
      <c r="AC1611" s="922"/>
      <c r="AD1611" s="922"/>
      <c r="AE1611" s="922"/>
      <c r="AF1611" s="1046"/>
      <c r="AG1611" s="906" t="str">
        <f>IF(AE1611&lt;&gt;0,VLOOKUP(AE1611,ODDS!$A$2:$C$13,3,0),"")</f>
        <v/>
      </c>
      <c r="AH1611" s="906" t="str">
        <f t="shared" si="346"/>
        <v xml:space="preserve"> </v>
      </c>
      <c r="AI1611" s="907" t="str">
        <f t="shared" si="353"/>
        <v xml:space="preserve"> </v>
      </c>
      <c r="AJ1611" s="910" t="s">
        <v>2071</v>
      </c>
      <c r="AK1611" s="894" t="s">
        <v>2449</v>
      </c>
    </row>
    <row r="1612" spans="1:39" s="394" customFormat="1" ht="157.5" outlineLevel="2" x14ac:dyDescent="0.3">
      <c r="A1612" s="447">
        <f t="shared" si="354"/>
        <v>132</v>
      </c>
      <c r="B1612" s="893"/>
      <c r="C1612" s="908"/>
      <c r="D1612" s="1032"/>
      <c r="E1612" s="947"/>
      <c r="F1612" s="947"/>
      <c r="G1612" s="922"/>
      <c r="H1612" s="1041"/>
      <c r="I1612" s="882"/>
      <c r="J1612" s="894"/>
      <c r="K1612" s="899" t="str">
        <f>IF(G1612&lt;&gt;0,VLOOKUP(G1612,'gia dat'!$A$1:$F$144,5,0)," ")</f>
        <v xml:space="preserve"> </v>
      </c>
      <c r="L1612" s="899" t="str">
        <f>IF(G1612&lt;&gt;0,VLOOKUP(G1612,'gia dat'!$A$1:$F$144,6,0)," ")</f>
        <v xml:space="preserve"> </v>
      </c>
      <c r="M1612" s="900" t="str">
        <f t="shared" si="336"/>
        <v xml:space="preserve"> </v>
      </c>
      <c r="N1612" s="900" t="str">
        <f t="shared" si="337"/>
        <v xml:space="preserve"> </v>
      </c>
      <c r="O1612" s="908" t="s">
        <v>165</v>
      </c>
      <c r="P1612" s="1065">
        <v>1</v>
      </c>
      <c r="Q1612" s="900">
        <f>IF(O1612&lt;&gt;0,VLOOKUP(O1612,'Cây trong'!$A$2:$C$246,3,0)," ")</f>
        <v>180000</v>
      </c>
      <c r="R1612" s="900">
        <f t="shared" si="345"/>
        <v>180000</v>
      </c>
      <c r="S1612" s="908"/>
      <c r="T1612" s="944"/>
      <c r="U1612" s="1066"/>
      <c r="V1612" s="922"/>
      <c r="W1612" s="900" t="str">
        <f>IF(S1612&lt;&gt;0,VLOOKUP(S1612,VKT!$A$2:$G$415,7,0),"")</f>
        <v/>
      </c>
      <c r="X1612" s="900" t="str">
        <f t="shared" si="351"/>
        <v xml:space="preserve"> </v>
      </c>
      <c r="Y1612" s="985"/>
      <c r="Z1612" s="922"/>
      <c r="AA1612" s="1067"/>
      <c r="AB1612" s="922"/>
      <c r="AC1612" s="922"/>
      <c r="AD1612" s="922"/>
      <c r="AE1612" s="922"/>
      <c r="AF1612" s="1046"/>
      <c r="AG1612" s="906" t="str">
        <f>IF(AE1612&lt;&gt;0,VLOOKUP(AE1612,ODDS!$A$2:$C$13,3,0),"")</f>
        <v/>
      </c>
      <c r="AH1612" s="906" t="str">
        <f t="shared" si="346"/>
        <v xml:space="preserve"> </v>
      </c>
      <c r="AI1612" s="907" t="str">
        <f t="shared" si="353"/>
        <v xml:space="preserve"> </v>
      </c>
      <c r="AJ1612" s="922" t="s">
        <v>1155</v>
      </c>
      <c r="AK1612" s="922" t="s">
        <v>2800</v>
      </c>
    </row>
    <row r="1613" spans="1:39" s="394" customFormat="1" ht="112.5" outlineLevel="2" x14ac:dyDescent="0.3">
      <c r="A1613" s="447">
        <f t="shared" si="354"/>
        <v>132</v>
      </c>
      <c r="B1613" s="893"/>
      <c r="C1613" s="908"/>
      <c r="D1613" s="1032"/>
      <c r="E1613" s="947"/>
      <c r="F1613" s="947"/>
      <c r="G1613" s="922"/>
      <c r="H1613" s="1041"/>
      <c r="I1613" s="882"/>
      <c r="J1613" s="894"/>
      <c r="K1613" s="899" t="str">
        <f>IF(G1613&lt;&gt;0,VLOOKUP(G1613,'gia dat'!$A$1:$F$144,5,0)," ")</f>
        <v xml:space="preserve"> </v>
      </c>
      <c r="L1613" s="899" t="str">
        <f>IF(G1613&lt;&gt;0,VLOOKUP(G1613,'gia dat'!$A$1:$F$144,6,0)," ")</f>
        <v xml:space="preserve"> </v>
      </c>
      <c r="M1613" s="900" t="str">
        <f t="shared" ref="M1613:M1683" si="355">IF(H1613&lt;&gt;0,ROUND(H1613*K1613,-3)," ")</f>
        <v xml:space="preserve"> </v>
      </c>
      <c r="N1613" s="900" t="str">
        <f t="shared" ref="N1613:N1683" si="356">IF(H1613&lt;&gt;0,ROUND(H1613*L1613,-3)," ")</f>
        <v xml:space="preserve"> </v>
      </c>
      <c r="O1613" s="908" t="s">
        <v>61</v>
      </c>
      <c r="P1613" s="1065">
        <v>1</v>
      </c>
      <c r="Q1613" s="900">
        <f>IF(O1613&lt;&gt;0,VLOOKUP(O1613,'Cây trong'!$A$2:$C$246,3,0)," ")</f>
        <v>1708000</v>
      </c>
      <c r="R1613" s="900">
        <f t="shared" si="345"/>
        <v>1708000</v>
      </c>
      <c r="S1613" s="908"/>
      <c r="T1613" s="944"/>
      <c r="U1613" s="1066"/>
      <c r="V1613" s="922"/>
      <c r="W1613" s="900" t="str">
        <f>IF(S1613&lt;&gt;0,VLOOKUP(S1613,VKT!$A$2:$G$415,7,0),"")</f>
        <v/>
      </c>
      <c r="X1613" s="900" t="str">
        <f t="shared" si="351"/>
        <v xml:space="preserve"> </v>
      </c>
      <c r="Y1613" s="985"/>
      <c r="Z1613" s="922"/>
      <c r="AA1613" s="1067"/>
      <c r="AB1613" s="922"/>
      <c r="AC1613" s="922"/>
      <c r="AD1613" s="922"/>
      <c r="AE1613" s="922"/>
      <c r="AF1613" s="1046"/>
      <c r="AG1613" s="906" t="str">
        <f>IF(AE1613&lt;&gt;0,VLOOKUP(AE1613,ODDS!$A$2:$C$13,3,0),"")</f>
        <v/>
      </c>
      <c r="AH1613" s="906" t="str">
        <f t="shared" si="346"/>
        <v xml:space="preserve"> </v>
      </c>
      <c r="AI1613" s="907" t="str">
        <f t="shared" si="353"/>
        <v xml:space="preserve"> </v>
      </c>
      <c r="AJ1613" s="922" t="s">
        <v>2235</v>
      </c>
      <c r="AK1613" s="922"/>
    </row>
    <row r="1614" spans="1:39" s="394" customFormat="1" ht="22.5" outlineLevel="2" x14ac:dyDescent="0.35">
      <c r="A1614" s="447">
        <f t="shared" si="354"/>
        <v>132</v>
      </c>
      <c r="B1614" s="893"/>
      <c r="C1614" s="908"/>
      <c r="D1614" s="1032"/>
      <c r="E1614" s="947"/>
      <c r="F1614" s="947"/>
      <c r="G1614" s="922"/>
      <c r="H1614" s="1041"/>
      <c r="I1614" s="882"/>
      <c r="J1614" s="894"/>
      <c r="K1614" s="899" t="str">
        <f>IF(G1614&lt;&gt;0,VLOOKUP(G1614,'gia dat'!$A$1:$F$144,5,0)," ")</f>
        <v xml:space="preserve"> </v>
      </c>
      <c r="L1614" s="899" t="str">
        <f>IF(G1614&lt;&gt;0,VLOOKUP(G1614,'gia dat'!$A$1:$F$144,6,0)," ")</f>
        <v xml:space="preserve"> </v>
      </c>
      <c r="M1614" s="900" t="str">
        <f t="shared" si="355"/>
        <v xml:space="preserve"> </v>
      </c>
      <c r="N1614" s="900" t="str">
        <f t="shared" si="356"/>
        <v xml:space="preserve"> </v>
      </c>
      <c r="O1614" s="908" t="s">
        <v>69</v>
      </c>
      <c r="P1614" s="1065">
        <v>3</v>
      </c>
      <c r="Q1614" s="900">
        <f>IF(O1614&lt;&gt;0,VLOOKUP(O1614,'Cây trong'!$A$2:$C$246,3,0)," ")</f>
        <v>211000</v>
      </c>
      <c r="R1614" s="900">
        <f t="shared" si="345"/>
        <v>633000</v>
      </c>
      <c r="S1614" s="908"/>
      <c r="T1614" s="944"/>
      <c r="U1614" s="1066"/>
      <c r="V1614" s="922"/>
      <c r="W1614" s="900" t="str">
        <f>IF(S1614&lt;&gt;0,VLOOKUP(S1614,VKT!$A$2:$G$415,7,0),"")</f>
        <v/>
      </c>
      <c r="X1614" s="900" t="str">
        <f t="shared" si="351"/>
        <v xml:space="preserve"> </v>
      </c>
      <c r="Y1614" s="985"/>
      <c r="Z1614" s="922"/>
      <c r="AA1614" s="1067"/>
      <c r="AB1614" s="922"/>
      <c r="AC1614" s="922"/>
      <c r="AD1614" s="922"/>
      <c r="AE1614" s="922"/>
      <c r="AF1614" s="1046"/>
      <c r="AG1614" s="906" t="str">
        <f>IF(AE1614&lt;&gt;0,VLOOKUP(AE1614,ODDS!$A$2:$C$13,3,0),"")</f>
        <v/>
      </c>
      <c r="AH1614" s="906" t="str">
        <f t="shared" si="346"/>
        <v xml:space="preserve"> </v>
      </c>
      <c r="AI1614" s="907" t="str">
        <f t="shared" si="353"/>
        <v xml:space="preserve"> </v>
      </c>
      <c r="AJ1614" s="1068"/>
      <c r="AK1614" s="922"/>
    </row>
    <row r="1615" spans="1:39" s="394" customFormat="1" ht="22.5" outlineLevel="2" x14ac:dyDescent="0.3">
      <c r="A1615" s="447">
        <f t="shared" si="354"/>
        <v>132</v>
      </c>
      <c r="B1615" s="893"/>
      <c r="C1615" s="908"/>
      <c r="D1615" s="1032"/>
      <c r="E1615" s="947"/>
      <c r="F1615" s="947"/>
      <c r="G1615" s="922"/>
      <c r="H1615" s="1041"/>
      <c r="I1615" s="882"/>
      <c r="J1615" s="894"/>
      <c r="K1615" s="899" t="str">
        <f>IF(G1615&lt;&gt;0,VLOOKUP(G1615,'gia dat'!$A$1:$F$144,5,0)," ")</f>
        <v xml:space="preserve"> </v>
      </c>
      <c r="L1615" s="899" t="str">
        <f>IF(G1615&lt;&gt;0,VLOOKUP(G1615,'gia dat'!$A$1:$F$144,6,0)," ")</f>
        <v xml:space="preserve"> </v>
      </c>
      <c r="M1615" s="900" t="str">
        <f t="shared" si="355"/>
        <v xml:space="preserve"> </v>
      </c>
      <c r="N1615" s="900" t="str">
        <f t="shared" si="356"/>
        <v xml:space="preserve"> </v>
      </c>
      <c r="O1615" s="908" t="s">
        <v>131</v>
      </c>
      <c r="P1615" s="1065">
        <v>1</v>
      </c>
      <c r="Q1615" s="900">
        <f>IF(O1615&lt;&gt;0,VLOOKUP(O1615,'Cây trong'!$A$2:$C$246,3,0)," ")</f>
        <v>228000</v>
      </c>
      <c r="R1615" s="900">
        <f t="shared" si="345"/>
        <v>228000</v>
      </c>
      <c r="S1615" s="908"/>
      <c r="T1615" s="944"/>
      <c r="U1615" s="1066"/>
      <c r="V1615" s="922"/>
      <c r="W1615" s="900" t="str">
        <f>IF(S1615&lt;&gt;0,VLOOKUP(S1615,VKT!$A$2:$G$415,7,0),"")</f>
        <v/>
      </c>
      <c r="X1615" s="900" t="str">
        <f t="shared" si="351"/>
        <v xml:space="preserve"> </v>
      </c>
      <c r="Y1615" s="985"/>
      <c r="Z1615" s="922"/>
      <c r="AA1615" s="1067"/>
      <c r="AB1615" s="922"/>
      <c r="AC1615" s="922"/>
      <c r="AD1615" s="922"/>
      <c r="AE1615" s="922"/>
      <c r="AF1615" s="1046"/>
      <c r="AG1615" s="906" t="str">
        <f>IF(AE1615&lt;&gt;0,VLOOKUP(AE1615,ODDS!$A$2:$C$13,3,0),"")</f>
        <v/>
      </c>
      <c r="AH1615" s="906" t="str">
        <f t="shared" si="346"/>
        <v xml:space="preserve"> </v>
      </c>
      <c r="AI1615" s="907" t="str">
        <f t="shared" si="353"/>
        <v xml:space="preserve"> </v>
      </c>
      <c r="AJ1615" s="922"/>
      <c r="AK1615" s="922"/>
    </row>
    <row r="1616" spans="1:39" s="394" customFormat="1" ht="45" outlineLevel="2" x14ac:dyDescent="0.3">
      <c r="A1616" s="447">
        <f t="shared" si="354"/>
        <v>132</v>
      </c>
      <c r="B1616" s="893"/>
      <c r="C1616" s="908"/>
      <c r="D1616" s="1032"/>
      <c r="E1616" s="947"/>
      <c r="F1616" s="947"/>
      <c r="G1616" s="922"/>
      <c r="H1616" s="1041"/>
      <c r="I1616" s="882"/>
      <c r="J1616" s="894"/>
      <c r="K1616" s="899" t="str">
        <f>IF(G1616&lt;&gt;0,VLOOKUP(G1616,'gia dat'!$A$1:$F$144,5,0)," ")</f>
        <v xml:space="preserve"> </v>
      </c>
      <c r="L1616" s="899" t="str">
        <f>IF(G1616&lt;&gt;0,VLOOKUP(G1616,'gia dat'!$A$1:$F$144,6,0)," ")</f>
        <v xml:space="preserve"> </v>
      </c>
      <c r="M1616" s="900" t="str">
        <f t="shared" si="355"/>
        <v xml:space="preserve"> </v>
      </c>
      <c r="N1616" s="900" t="str">
        <f t="shared" si="356"/>
        <v xml:space="preserve"> </v>
      </c>
      <c r="O1616" s="908" t="s">
        <v>1156</v>
      </c>
      <c r="P1616" s="1065">
        <v>1</v>
      </c>
      <c r="Q1616" s="900">
        <f>IF(O1616&lt;&gt;0,VLOOKUP(O1616,'Cây trong'!$A$2:$C$246,3,0)," ")</f>
        <v>294000</v>
      </c>
      <c r="R1616" s="900">
        <f t="shared" si="345"/>
        <v>294000</v>
      </c>
      <c r="S1616" s="908"/>
      <c r="T1616" s="944"/>
      <c r="U1616" s="1066"/>
      <c r="V1616" s="922"/>
      <c r="W1616" s="900" t="str">
        <f>IF(S1616&lt;&gt;0,VLOOKUP(S1616,VKT!$A$2:$G$415,7,0),"")</f>
        <v/>
      </c>
      <c r="X1616" s="900" t="str">
        <f t="shared" si="351"/>
        <v xml:space="preserve"> </v>
      </c>
      <c r="Y1616" s="985"/>
      <c r="Z1616" s="922"/>
      <c r="AA1616" s="1067"/>
      <c r="AB1616" s="922"/>
      <c r="AC1616" s="922"/>
      <c r="AD1616" s="922"/>
      <c r="AE1616" s="922"/>
      <c r="AF1616" s="1046"/>
      <c r="AG1616" s="906" t="str">
        <f>IF(AE1616&lt;&gt;0,VLOOKUP(AE1616,ODDS!$A$2:$C$13,3,0),"")</f>
        <v/>
      </c>
      <c r="AH1616" s="906" t="str">
        <f t="shared" si="346"/>
        <v xml:space="preserve"> </v>
      </c>
      <c r="AI1616" s="907" t="str">
        <f t="shared" si="353"/>
        <v xml:space="preserve"> </v>
      </c>
      <c r="AJ1616" s="1069"/>
      <c r="AK1616" s="1069"/>
    </row>
    <row r="1617" spans="1:37" s="394" customFormat="1" ht="22.5" outlineLevel="2" x14ac:dyDescent="0.3">
      <c r="A1617" s="447">
        <f t="shared" si="354"/>
        <v>132</v>
      </c>
      <c r="B1617" s="893"/>
      <c r="C1617" s="908"/>
      <c r="D1617" s="1032"/>
      <c r="E1617" s="947"/>
      <c r="F1617" s="947"/>
      <c r="G1617" s="922"/>
      <c r="H1617" s="1041"/>
      <c r="I1617" s="882"/>
      <c r="J1617" s="894"/>
      <c r="K1617" s="899" t="str">
        <f>IF(G1617&lt;&gt;0,VLOOKUP(G1617,'gia dat'!$A$1:$F$144,5,0)," ")</f>
        <v xml:space="preserve"> </v>
      </c>
      <c r="L1617" s="899" t="str">
        <f>IF(G1617&lt;&gt;0,VLOOKUP(G1617,'gia dat'!$A$1:$F$144,6,0)," ")</f>
        <v xml:space="preserve"> </v>
      </c>
      <c r="M1617" s="900" t="str">
        <f t="shared" si="355"/>
        <v xml:space="preserve"> </v>
      </c>
      <c r="N1617" s="900" t="str">
        <f t="shared" si="356"/>
        <v xml:space="preserve"> </v>
      </c>
      <c r="O1617" s="908"/>
      <c r="P1617" s="1065"/>
      <c r="Q1617" s="900" t="str">
        <f>IF(O1617&lt;&gt;0,VLOOKUP(O1617,'Cây trong'!$A$2:$C$246,3,0)," ")</f>
        <v xml:space="preserve"> </v>
      </c>
      <c r="R1617" s="900" t="str">
        <f t="shared" si="345"/>
        <v xml:space="preserve"> </v>
      </c>
      <c r="S1617" s="908"/>
      <c r="T1617" s="944"/>
      <c r="U1617" s="1066"/>
      <c r="V1617" s="922"/>
      <c r="W1617" s="900" t="str">
        <f>IF(S1617&lt;&gt;0,VLOOKUP(S1617,VKT!$A$2:$G$415,7,0),"")</f>
        <v/>
      </c>
      <c r="X1617" s="900" t="str">
        <f t="shared" si="351"/>
        <v xml:space="preserve"> </v>
      </c>
      <c r="Y1617" s="985"/>
      <c r="Z1617" s="922"/>
      <c r="AA1617" s="1067"/>
      <c r="AB1617" s="922"/>
      <c r="AC1617" s="922"/>
      <c r="AD1617" s="922"/>
      <c r="AE1617" s="922"/>
      <c r="AF1617" s="1046"/>
      <c r="AG1617" s="906" t="str">
        <f>IF(AE1617&lt;&gt;0,VLOOKUP(AE1617,ODDS!$A$2:$C$13,3,0),"")</f>
        <v/>
      </c>
      <c r="AH1617" s="906" t="str">
        <f t="shared" si="346"/>
        <v xml:space="preserve"> </v>
      </c>
      <c r="AI1617" s="907" t="str">
        <f t="shared" si="353"/>
        <v xml:space="preserve"> </v>
      </c>
      <c r="AJ1617" s="908"/>
      <c r="AK1617" s="908"/>
    </row>
    <row r="1618" spans="1:37" s="394" customFormat="1" ht="22.5" outlineLevel="2" x14ac:dyDescent="0.3">
      <c r="A1618" s="447">
        <f t="shared" si="354"/>
        <v>132</v>
      </c>
      <c r="B1618" s="893"/>
      <c r="C1618" s="908"/>
      <c r="D1618" s="1032"/>
      <c r="E1618" s="947"/>
      <c r="F1618" s="947"/>
      <c r="G1618" s="922"/>
      <c r="H1618" s="1041"/>
      <c r="I1618" s="882"/>
      <c r="J1618" s="894"/>
      <c r="K1618" s="899" t="str">
        <f>IF(G1618&lt;&gt;0,VLOOKUP(G1618,'gia dat'!$A$1:$F$144,5,0)," ")</f>
        <v xml:space="preserve"> </v>
      </c>
      <c r="L1618" s="899" t="str">
        <f>IF(G1618&lt;&gt;0,VLOOKUP(G1618,'gia dat'!$A$1:$F$144,6,0)," ")</f>
        <v xml:space="preserve"> </v>
      </c>
      <c r="M1618" s="900" t="str">
        <f t="shared" si="355"/>
        <v xml:space="preserve"> </v>
      </c>
      <c r="N1618" s="900" t="str">
        <f t="shared" si="356"/>
        <v xml:space="preserve"> </v>
      </c>
      <c r="O1618" s="908"/>
      <c r="P1618" s="1065"/>
      <c r="Q1618" s="900" t="str">
        <f>IF(O1618&lt;&gt;0,VLOOKUP(O1618,'Cây trong'!$A$2:$C$246,3,0)," ")</f>
        <v xml:space="preserve"> </v>
      </c>
      <c r="R1618" s="900" t="str">
        <f t="shared" si="345"/>
        <v xml:space="preserve"> </v>
      </c>
      <c r="S1618" s="908"/>
      <c r="T1618" s="944"/>
      <c r="U1618" s="1066"/>
      <c r="V1618" s="922"/>
      <c r="W1618" s="900" t="str">
        <f>IF(S1618&lt;&gt;0,VLOOKUP(S1618,VKT!$A$2:$G$415,7,0),"")</f>
        <v/>
      </c>
      <c r="X1618" s="900" t="str">
        <f t="shared" si="351"/>
        <v xml:space="preserve"> </v>
      </c>
      <c r="Y1618" s="985"/>
      <c r="Z1618" s="922"/>
      <c r="AA1618" s="1067"/>
      <c r="AB1618" s="922"/>
      <c r="AC1618" s="922"/>
      <c r="AD1618" s="922"/>
      <c r="AE1618" s="922"/>
      <c r="AF1618" s="1046"/>
      <c r="AG1618" s="906" t="str">
        <f>IF(AE1618&lt;&gt;0,VLOOKUP(AE1618,ODDS!$A$2:$C$13,3,0),"")</f>
        <v/>
      </c>
      <c r="AH1618" s="906" t="str">
        <f t="shared" si="346"/>
        <v xml:space="preserve"> </v>
      </c>
      <c r="AI1618" s="907" t="str">
        <f t="shared" si="353"/>
        <v xml:space="preserve"> </v>
      </c>
      <c r="AJ1618" s="894"/>
      <c r="AK1618" s="894"/>
    </row>
    <row r="1619" spans="1:37" s="394" customFormat="1" ht="22.5" outlineLevel="2" x14ac:dyDescent="0.3">
      <c r="A1619" s="447">
        <f t="shared" si="354"/>
        <v>132</v>
      </c>
      <c r="B1619" s="893"/>
      <c r="C1619" s="908"/>
      <c r="D1619" s="1032"/>
      <c r="E1619" s="947"/>
      <c r="F1619" s="947"/>
      <c r="G1619" s="922"/>
      <c r="H1619" s="1041"/>
      <c r="I1619" s="882"/>
      <c r="J1619" s="894"/>
      <c r="K1619" s="899" t="str">
        <f>IF(G1619&lt;&gt;0,VLOOKUP(G1619,'gia dat'!$A$1:$F$144,5,0)," ")</f>
        <v xml:space="preserve"> </v>
      </c>
      <c r="L1619" s="899" t="str">
        <f>IF(G1619&lt;&gt;0,VLOOKUP(G1619,'gia dat'!$A$1:$F$144,6,0)," ")</f>
        <v xml:space="preserve"> </v>
      </c>
      <c r="M1619" s="900" t="str">
        <f t="shared" si="355"/>
        <v xml:space="preserve"> </v>
      </c>
      <c r="N1619" s="900" t="str">
        <f t="shared" si="356"/>
        <v xml:space="preserve"> </v>
      </c>
      <c r="O1619" s="908"/>
      <c r="P1619" s="1065"/>
      <c r="Q1619" s="900" t="str">
        <f>IF(O1619&lt;&gt;0,VLOOKUP(O1619,'Cây trong'!$A$2:$C$246,3,0)," ")</f>
        <v xml:space="preserve"> </v>
      </c>
      <c r="R1619" s="900" t="str">
        <f t="shared" si="345"/>
        <v xml:space="preserve"> </v>
      </c>
      <c r="S1619" s="908"/>
      <c r="T1619" s="944"/>
      <c r="U1619" s="1066"/>
      <c r="V1619" s="922"/>
      <c r="W1619" s="900" t="str">
        <f>IF(S1619&lt;&gt;0,VLOOKUP(S1619,VKT!$A$2:$G$415,7,0),"")</f>
        <v/>
      </c>
      <c r="X1619" s="900" t="str">
        <f t="shared" si="351"/>
        <v xml:space="preserve"> </v>
      </c>
      <c r="Y1619" s="985"/>
      <c r="Z1619" s="922"/>
      <c r="AA1619" s="1067"/>
      <c r="AB1619" s="922"/>
      <c r="AC1619" s="922"/>
      <c r="AD1619" s="922"/>
      <c r="AE1619" s="922"/>
      <c r="AF1619" s="1046"/>
      <c r="AG1619" s="906" t="str">
        <f>IF(AE1619&lt;&gt;0,VLOOKUP(AE1619,ODDS!$A$2:$C$13,3,0),"")</f>
        <v/>
      </c>
      <c r="AH1619" s="906" t="str">
        <f t="shared" si="346"/>
        <v xml:space="preserve"> </v>
      </c>
      <c r="AI1619" s="907" t="str">
        <f t="shared" si="353"/>
        <v xml:space="preserve"> </v>
      </c>
      <c r="AJ1619" s="894"/>
      <c r="AK1619" s="894"/>
    </row>
    <row r="1620" spans="1:37" s="394" customFormat="1" ht="22.5" outlineLevel="2" x14ac:dyDescent="0.3">
      <c r="A1620" s="447">
        <f t="shared" si="354"/>
        <v>132</v>
      </c>
      <c r="B1620" s="893"/>
      <c r="C1620" s="908"/>
      <c r="D1620" s="1032"/>
      <c r="E1620" s="947"/>
      <c r="F1620" s="947"/>
      <c r="G1620" s="922"/>
      <c r="H1620" s="1041"/>
      <c r="I1620" s="882"/>
      <c r="J1620" s="894"/>
      <c r="K1620" s="899" t="str">
        <f>IF(G1620&lt;&gt;0,VLOOKUP(G1620,'gia dat'!$A$1:$F$144,5,0)," ")</f>
        <v xml:space="preserve"> </v>
      </c>
      <c r="L1620" s="899" t="str">
        <f>IF(G1620&lt;&gt;0,VLOOKUP(G1620,'gia dat'!$A$1:$F$144,6,0)," ")</f>
        <v xml:space="preserve"> </v>
      </c>
      <c r="M1620" s="900" t="str">
        <f t="shared" si="355"/>
        <v xml:space="preserve"> </v>
      </c>
      <c r="N1620" s="900" t="str">
        <f t="shared" si="356"/>
        <v xml:space="preserve"> </v>
      </c>
      <c r="O1620" s="908"/>
      <c r="P1620" s="1065"/>
      <c r="Q1620" s="900" t="str">
        <f>IF(O1620&lt;&gt;0,VLOOKUP(O1620,'Cây trong'!$A$2:$C$246,3,0)," ")</f>
        <v xml:space="preserve"> </v>
      </c>
      <c r="R1620" s="900" t="str">
        <f t="shared" si="345"/>
        <v xml:space="preserve"> </v>
      </c>
      <c r="S1620" s="908"/>
      <c r="T1620" s="944"/>
      <c r="U1620" s="1066"/>
      <c r="V1620" s="922"/>
      <c r="W1620" s="900" t="str">
        <f>IF(S1620&lt;&gt;0,VLOOKUP(S1620,VKT!$A$2:$G$415,7,0),"")</f>
        <v/>
      </c>
      <c r="X1620" s="900" t="str">
        <f t="shared" si="351"/>
        <v xml:space="preserve"> </v>
      </c>
      <c r="Y1620" s="985"/>
      <c r="Z1620" s="922"/>
      <c r="AA1620" s="1067"/>
      <c r="AB1620" s="922"/>
      <c r="AC1620" s="922"/>
      <c r="AD1620" s="922"/>
      <c r="AE1620" s="922"/>
      <c r="AF1620" s="1046"/>
      <c r="AG1620" s="906" t="str">
        <f>IF(AE1620&lt;&gt;0,VLOOKUP(AE1620,ODDS!$A$2:$C$13,3,0),"")</f>
        <v/>
      </c>
      <c r="AH1620" s="906" t="str">
        <f t="shared" si="346"/>
        <v xml:space="preserve"> </v>
      </c>
      <c r="AI1620" s="907" t="str">
        <f t="shared" si="353"/>
        <v xml:space="preserve"> </v>
      </c>
      <c r="AJ1620" s="894"/>
      <c r="AK1620" s="894"/>
    </row>
    <row r="1621" spans="1:37" s="394" customFormat="1" ht="22.5" outlineLevel="2" x14ac:dyDescent="0.3">
      <c r="A1621" s="447">
        <f t="shared" si="354"/>
        <v>132</v>
      </c>
      <c r="B1621" s="893"/>
      <c r="C1621" s="942"/>
      <c r="D1621" s="1032"/>
      <c r="E1621" s="947"/>
      <c r="F1621" s="947"/>
      <c r="G1621" s="922"/>
      <c r="H1621" s="1041"/>
      <c r="I1621" s="882"/>
      <c r="J1621" s="894"/>
      <c r="K1621" s="899" t="str">
        <f>IF(G1621&lt;&gt;0,VLOOKUP(G1621,'gia dat'!$A$1:$F$144,5,0)," ")</f>
        <v xml:space="preserve"> </v>
      </c>
      <c r="L1621" s="899" t="str">
        <f>IF(G1621&lt;&gt;0,VLOOKUP(G1621,'gia dat'!$A$1:$F$144,6,0)," ")</f>
        <v xml:space="preserve"> </v>
      </c>
      <c r="M1621" s="900" t="str">
        <f t="shared" si="355"/>
        <v xml:space="preserve"> </v>
      </c>
      <c r="N1621" s="900" t="str">
        <f t="shared" si="356"/>
        <v xml:space="preserve"> </v>
      </c>
      <c r="O1621" s="908"/>
      <c r="P1621" s="1065"/>
      <c r="Q1621" s="900" t="str">
        <f>IF(O1621&lt;&gt;0,VLOOKUP(O1621,'Cây trong'!$A$2:$C$246,3,0)," ")</f>
        <v xml:space="preserve"> </v>
      </c>
      <c r="R1621" s="900" t="str">
        <f t="shared" si="345"/>
        <v xml:space="preserve"> </v>
      </c>
      <c r="S1621" s="908"/>
      <c r="T1621" s="944"/>
      <c r="U1621" s="1066"/>
      <c r="V1621" s="922"/>
      <c r="W1621" s="900" t="str">
        <f>IF(S1621&lt;&gt;0,VLOOKUP(S1621,VKT!$A$2:$G$415,7,0),"")</f>
        <v/>
      </c>
      <c r="X1621" s="900" t="str">
        <f t="shared" si="351"/>
        <v xml:space="preserve"> </v>
      </c>
      <c r="Y1621" s="985"/>
      <c r="Z1621" s="922"/>
      <c r="AA1621" s="1067"/>
      <c r="AB1621" s="922"/>
      <c r="AC1621" s="922"/>
      <c r="AD1621" s="922"/>
      <c r="AE1621" s="922"/>
      <c r="AF1621" s="1046"/>
      <c r="AG1621" s="906" t="str">
        <f>IF(AE1621&lt;&gt;0,VLOOKUP(AE1621,ODDS!$A$2:$C$13,3,0),"")</f>
        <v/>
      </c>
      <c r="AH1621" s="906" t="str">
        <f t="shared" si="346"/>
        <v xml:space="preserve"> </v>
      </c>
      <c r="AI1621" s="907" t="str">
        <f t="shared" si="353"/>
        <v xml:space="preserve"> </v>
      </c>
      <c r="AJ1621" s="922"/>
      <c r="AK1621" s="922"/>
    </row>
    <row r="1622" spans="1:37" s="396" customFormat="1" ht="43.5" outlineLevel="1" x14ac:dyDescent="0.25">
      <c r="A1622" s="467" t="s">
        <v>2577</v>
      </c>
      <c r="B1622" s="912">
        <v>133</v>
      </c>
      <c r="C1622" s="942" t="s">
        <v>1157</v>
      </c>
      <c r="D1622" s="1038"/>
      <c r="E1622" s="977"/>
      <c r="F1622" s="977"/>
      <c r="G1622" s="914"/>
      <c r="H1622" s="1039">
        <f>SUBTOTAL(9,H1623:H1630)</f>
        <v>14.8</v>
      </c>
      <c r="I1622" s="915">
        <f>SUBTOTAL(9,I1623:I1628)</f>
        <v>0</v>
      </c>
      <c r="J1622" s="916"/>
      <c r="K1622" s="917"/>
      <c r="L1622" s="917"/>
      <c r="M1622" s="907">
        <f>SUBTOTAL(9,M1623:M1630)</f>
        <v>6891000</v>
      </c>
      <c r="N1622" s="907">
        <f>SUBTOTAL(9,N1623:N1630)</f>
        <v>0</v>
      </c>
      <c r="O1622" s="942"/>
      <c r="P1622" s="1063">
        <f>SUBTOTAL(9,P1623:P1630)</f>
        <v>0</v>
      </c>
      <c r="Q1622" s="907"/>
      <c r="R1622" s="907">
        <f>SUBTOTAL(9,R1623:R1630)</f>
        <v>0</v>
      </c>
      <c r="S1622" s="918"/>
      <c r="T1622" s="956"/>
      <c r="U1622" s="1064">
        <f>SUBTOTAL(9,U1623:U1630)</f>
        <v>0</v>
      </c>
      <c r="V1622" s="914"/>
      <c r="W1622" s="907"/>
      <c r="X1622" s="907">
        <f>SUBTOTAL(9,X1623:X1630)</f>
        <v>0</v>
      </c>
      <c r="Y1622" s="985"/>
      <c r="Z1622" s="922"/>
      <c r="AA1622" s="1067"/>
      <c r="AB1622" s="922"/>
      <c r="AC1622" s="922"/>
      <c r="AD1622" s="922"/>
      <c r="AE1622" s="914"/>
      <c r="AF1622" s="1044">
        <f>SUBTOTAL(9,AF1623:AF1630)</f>
        <v>0</v>
      </c>
      <c r="AG1622" s="921"/>
      <c r="AH1622" s="921">
        <f>SUBTOTAL(9,AH1623:AH1630)</f>
        <v>0</v>
      </c>
      <c r="AI1622" s="907">
        <f t="shared" si="353"/>
        <v>6891000</v>
      </c>
      <c r="AJ1622" s="914"/>
      <c r="AK1622" s="914"/>
    </row>
    <row r="1623" spans="1:37" s="396" customFormat="1" ht="135" outlineLevel="2" x14ac:dyDescent="0.3">
      <c r="A1623" s="447">
        <f>IF(B1622&lt;&gt;0,B1622,A1621)</f>
        <v>133</v>
      </c>
      <c r="B1623" s="893"/>
      <c r="C1623" s="908" t="s">
        <v>1159</v>
      </c>
      <c r="D1623" s="1032"/>
      <c r="E1623" s="947">
        <v>86</v>
      </c>
      <c r="F1623" s="947">
        <v>147</v>
      </c>
      <c r="G1623" s="922" t="s">
        <v>2870</v>
      </c>
      <c r="H1623" s="1041">
        <f>14.8</f>
        <v>14.8</v>
      </c>
      <c r="I1623" s="882" t="str">
        <f t="shared" ref="I1623" si="357">IF(N1623&gt;0,H1623,"")</f>
        <v/>
      </c>
      <c r="J1623" s="898"/>
      <c r="K1623" s="899">
        <f>IF(G1623&lt;&gt;0,VLOOKUP(G1623,'gia dat'!$A$1:$F$144,5,0)," ")</f>
        <v>465600</v>
      </c>
      <c r="L1623" s="899">
        <f>IF(G1623&lt;&gt;0,VLOOKUP(G1623,'gia dat'!$A$1:$F$144,6,0)," ")</f>
        <v>0</v>
      </c>
      <c r="M1623" s="900">
        <f t="shared" si="355"/>
        <v>6891000</v>
      </c>
      <c r="N1623" s="900">
        <f t="shared" si="356"/>
        <v>0</v>
      </c>
      <c r="O1623" s="908"/>
      <c r="P1623" s="1065"/>
      <c r="Q1623" s="900" t="str">
        <f>IF(O1623&lt;&gt;0,VLOOKUP(O1623,'Cây trong'!$A$2:$C$246,3,0)," ")</f>
        <v xml:space="preserve"> </v>
      </c>
      <c r="R1623" s="900" t="str">
        <f t="shared" si="345"/>
        <v xml:space="preserve"> </v>
      </c>
      <c r="S1623" s="902"/>
      <c r="T1623" s="944"/>
      <c r="U1623" s="1066"/>
      <c r="V1623" s="922"/>
      <c r="W1623" s="900" t="str">
        <f>IF(S1623&lt;&gt;0,VLOOKUP(S1623,VKT!$A$2:$G$415,7,0),"")</f>
        <v/>
      </c>
      <c r="X1623" s="900" t="str">
        <f t="shared" si="351"/>
        <v xml:space="preserve"> </v>
      </c>
      <c r="Y1623" s="985"/>
      <c r="Z1623" s="922"/>
      <c r="AA1623" s="1067"/>
      <c r="AB1623" s="922"/>
      <c r="AC1623" s="922"/>
      <c r="AD1623" s="922"/>
      <c r="AE1623" s="922"/>
      <c r="AF1623" s="1046"/>
      <c r="AG1623" s="906" t="str">
        <f>IF(AE1623&lt;&gt;0,VLOOKUP(AE1623,ODDS!$A$2:$C$13,3,0),"")</f>
        <v/>
      </c>
      <c r="AH1623" s="906" t="str">
        <f t="shared" si="346"/>
        <v xml:space="preserve"> </v>
      </c>
      <c r="AI1623" s="907" t="str">
        <f t="shared" si="353"/>
        <v xml:space="preserve"> </v>
      </c>
      <c r="AJ1623" s="922" t="s">
        <v>1158</v>
      </c>
      <c r="AK1623" s="922" t="s">
        <v>2771</v>
      </c>
    </row>
    <row r="1624" spans="1:37" s="394" customFormat="1" ht="112.5" outlineLevel="2" x14ac:dyDescent="0.3">
      <c r="A1624" s="447">
        <f t="shared" ref="A1624:A1630" si="358">IF(B1623&lt;&gt;0,B1623,A1623)</f>
        <v>133</v>
      </c>
      <c r="B1624" s="893"/>
      <c r="C1624" s="908" t="s">
        <v>1597</v>
      </c>
      <c r="D1624" s="1032"/>
      <c r="E1624" s="947"/>
      <c r="F1624" s="947"/>
      <c r="G1624" s="922"/>
      <c r="H1624" s="1041"/>
      <c r="I1624" s="882"/>
      <c r="J1624" s="898"/>
      <c r="K1624" s="899" t="str">
        <f>IF(G1624&lt;&gt;0,VLOOKUP(G1624,'gia dat'!$A$1:$F$144,5,0)," ")</f>
        <v xml:space="preserve"> </v>
      </c>
      <c r="L1624" s="899" t="str">
        <f>IF(G1624&lt;&gt;0,VLOOKUP(G1624,'gia dat'!$A$1:$F$144,6,0)," ")</f>
        <v xml:space="preserve"> </v>
      </c>
      <c r="M1624" s="900" t="str">
        <f t="shared" si="355"/>
        <v xml:space="preserve"> </v>
      </c>
      <c r="N1624" s="900" t="str">
        <f t="shared" si="356"/>
        <v xml:space="preserve"> </v>
      </c>
      <c r="O1624" s="908"/>
      <c r="P1624" s="1065"/>
      <c r="Q1624" s="900" t="str">
        <f>IF(O1624&lt;&gt;0,VLOOKUP(O1624,'Cây trong'!$A$2:$C$246,3,0)," ")</f>
        <v xml:space="preserve"> </v>
      </c>
      <c r="R1624" s="900" t="str">
        <f t="shared" si="345"/>
        <v xml:space="preserve"> </v>
      </c>
      <c r="S1624" s="902"/>
      <c r="T1624" s="944"/>
      <c r="U1624" s="1066"/>
      <c r="V1624" s="922"/>
      <c r="W1624" s="900" t="str">
        <f>IF(S1624&lt;&gt;0,VLOOKUP(S1624,VKT!$A$2:$G$415,7,0),"")</f>
        <v/>
      </c>
      <c r="X1624" s="900" t="str">
        <f t="shared" si="351"/>
        <v xml:space="preserve"> </v>
      </c>
      <c r="Y1624" s="985"/>
      <c r="Z1624" s="922"/>
      <c r="AA1624" s="1067"/>
      <c r="AB1624" s="922"/>
      <c r="AC1624" s="922"/>
      <c r="AD1624" s="922"/>
      <c r="AE1624" s="922"/>
      <c r="AF1624" s="1046"/>
      <c r="AG1624" s="906" t="str">
        <f>IF(AE1624&lt;&gt;0,VLOOKUP(AE1624,ODDS!$A$2:$C$13,3,0),"")</f>
        <v/>
      </c>
      <c r="AH1624" s="906" t="str">
        <f t="shared" si="346"/>
        <v xml:space="preserve"> </v>
      </c>
      <c r="AI1624" s="907" t="str">
        <f t="shared" si="353"/>
        <v xml:space="preserve"> </v>
      </c>
      <c r="AJ1624" s="922" t="s">
        <v>1160</v>
      </c>
      <c r="AK1624" s="922"/>
    </row>
    <row r="1625" spans="1:37" s="394" customFormat="1" ht="112.5" outlineLevel="2" x14ac:dyDescent="0.3">
      <c r="A1625" s="447">
        <f t="shared" si="358"/>
        <v>133</v>
      </c>
      <c r="B1625" s="893"/>
      <c r="C1625" s="908"/>
      <c r="D1625" s="1032"/>
      <c r="E1625" s="947"/>
      <c r="F1625" s="947"/>
      <c r="G1625" s="922"/>
      <c r="H1625" s="1041"/>
      <c r="I1625" s="882"/>
      <c r="J1625" s="898"/>
      <c r="K1625" s="899" t="str">
        <f>IF(G1625&lt;&gt;0,VLOOKUP(G1625,'gia dat'!$A$1:$F$144,5,0)," ")</f>
        <v xml:space="preserve"> </v>
      </c>
      <c r="L1625" s="899" t="str">
        <f>IF(G1625&lt;&gt;0,VLOOKUP(G1625,'gia dat'!$A$1:$F$144,6,0)," ")</f>
        <v xml:space="preserve"> </v>
      </c>
      <c r="M1625" s="900" t="str">
        <f t="shared" si="355"/>
        <v xml:space="preserve"> </v>
      </c>
      <c r="N1625" s="900" t="str">
        <f t="shared" si="356"/>
        <v xml:space="preserve"> </v>
      </c>
      <c r="O1625" s="908"/>
      <c r="P1625" s="1065"/>
      <c r="Q1625" s="900" t="str">
        <f>IF(O1625&lt;&gt;0,VLOOKUP(O1625,'Cây trong'!$A$2:$C$246,3,0)," ")</f>
        <v xml:space="preserve"> </v>
      </c>
      <c r="R1625" s="900" t="str">
        <f t="shared" si="345"/>
        <v xml:space="preserve"> </v>
      </c>
      <c r="S1625" s="902"/>
      <c r="T1625" s="944"/>
      <c r="U1625" s="1066"/>
      <c r="V1625" s="922"/>
      <c r="W1625" s="900" t="str">
        <f>IF(S1625&lt;&gt;0,VLOOKUP(S1625,VKT!$A$2:$G$415,7,0),"")</f>
        <v/>
      </c>
      <c r="X1625" s="900" t="str">
        <f t="shared" si="351"/>
        <v xml:space="preserve"> </v>
      </c>
      <c r="Y1625" s="985"/>
      <c r="Z1625" s="922"/>
      <c r="AA1625" s="1067"/>
      <c r="AB1625" s="922"/>
      <c r="AC1625" s="922"/>
      <c r="AD1625" s="922"/>
      <c r="AE1625" s="922"/>
      <c r="AF1625" s="1046"/>
      <c r="AG1625" s="906" t="str">
        <f>IF(AE1625&lt;&gt;0,VLOOKUP(AE1625,ODDS!$A$2:$C$13,3,0),"")</f>
        <v/>
      </c>
      <c r="AH1625" s="906" t="str">
        <f t="shared" si="346"/>
        <v xml:space="preserve"> </v>
      </c>
      <c r="AI1625" s="907" t="str">
        <f t="shared" si="353"/>
        <v xml:space="preserve"> </v>
      </c>
      <c r="AJ1625" s="922" t="s">
        <v>2235</v>
      </c>
      <c r="AK1625" s="894"/>
    </row>
    <row r="1626" spans="1:37" s="394" customFormat="1" ht="22.5" outlineLevel="2" x14ac:dyDescent="0.35">
      <c r="A1626" s="447">
        <f t="shared" si="358"/>
        <v>133</v>
      </c>
      <c r="B1626" s="893"/>
      <c r="C1626" s="908"/>
      <c r="D1626" s="1032"/>
      <c r="E1626" s="947"/>
      <c r="F1626" s="947"/>
      <c r="G1626" s="922"/>
      <c r="H1626" s="1041"/>
      <c r="I1626" s="882"/>
      <c r="J1626" s="894"/>
      <c r="K1626" s="899" t="str">
        <f>IF(G1626&lt;&gt;0,VLOOKUP(G1626,'gia dat'!$A$1:$F$144,5,0)," ")</f>
        <v xml:space="preserve"> </v>
      </c>
      <c r="L1626" s="899" t="str">
        <f>IF(G1626&lt;&gt;0,VLOOKUP(G1626,'gia dat'!$A$1:$F$144,6,0)," ")</f>
        <v xml:space="preserve"> </v>
      </c>
      <c r="M1626" s="900" t="str">
        <f t="shared" si="355"/>
        <v xml:space="preserve"> </v>
      </c>
      <c r="N1626" s="900" t="str">
        <f t="shared" si="356"/>
        <v xml:space="preserve"> </v>
      </c>
      <c r="O1626" s="908"/>
      <c r="P1626" s="1065"/>
      <c r="Q1626" s="900" t="str">
        <f>IF(O1626&lt;&gt;0,VLOOKUP(O1626,'Cây trong'!$A$2:$C$246,3,0)," ")</f>
        <v xml:space="preserve"> </v>
      </c>
      <c r="R1626" s="900" t="str">
        <f t="shared" si="345"/>
        <v xml:space="preserve"> </v>
      </c>
      <c r="S1626" s="908"/>
      <c r="T1626" s="944"/>
      <c r="U1626" s="1066"/>
      <c r="V1626" s="922"/>
      <c r="W1626" s="900" t="str">
        <f>IF(S1626&lt;&gt;0,VLOOKUP(S1626,VKT!$A$2:$G$415,7,0),"")</f>
        <v/>
      </c>
      <c r="X1626" s="900" t="str">
        <f t="shared" si="351"/>
        <v xml:space="preserve"> </v>
      </c>
      <c r="Y1626" s="985"/>
      <c r="Z1626" s="922"/>
      <c r="AA1626" s="1067"/>
      <c r="AB1626" s="922"/>
      <c r="AC1626" s="922"/>
      <c r="AD1626" s="922"/>
      <c r="AE1626" s="922"/>
      <c r="AF1626" s="1046"/>
      <c r="AG1626" s="906" t="str">
        <f>IF(AE1626&lt;&gt;0,VLOOKUP(AE1626,ODDS!$A$2:$C$13,3,0),"")</f>
        <v/>
      </c>
      <c r="AH1626" s="906" t="str">
        <f t="shared" si="346"/>
        <v xml:space="preserve"> </v>
      </c>
      <c r="AI1626" s="907" t="str">
        <f t="shared" si="353"/>
        <v xml:space="preserve"> </v>
      </c>
      <c r="AJ1626" s="1068"/>
      <c r="AK1626" s="922"/>
    </row>
    <row r="1627" spans="1:37" s="394" customFormat="1" ht="22.5" outlineLevel="2" x14ac:dyDescent="0.3">
      <c r="A1627" s="447">
        <f t="shared" si="358"/>
        <v>133</v>
      </c>
      <c r="B1627" s="893"/>
      <c r="C1627" s="908"/>
      <c r="D1627" s="1032"/>
      <c r="E1627" s="947"/>
      <c r="F1627" s="947"/>
      <c r="G1627" s="922"/>
      <c r="H1627" s="1041"/>
      <c r="I1627" s="882"/>
      <c r="J1627" s="894"/>
      <c r="K1627" s="899" t="str">
        <f>IF(G1627&lt;&gt;0,VLOOKUP(G1627,'gia dat'!$A$1:$F$144,5,0)," ")</f>
        <v xml:space="preserve"> </v>
      </c>
      <c r="L1627" s="899" t="str">
        <f>IF(G1627&lt;&gt;0,VLOOKUP(G1627,'gia dat'!$A$1:$F$144,6,0)," ")</f>
        <v xml:space="preserve"> </v>
      </c>
      <c r="M1627" s="900" t="str">
        <f t="shared" si="355"/>
        <v xml:space="preserve"> </v>
      </c>
      <c r="N1627" s="900" t="str">
        <f t="shared" si="356"/>
        <v xml:space="preserve"> </v>
      </c>
      <c r="O1627" s="908"/>
      <c r="P1627" s="1065"/>
      <c r="Q1627" s="900" t="str">
        <f>IF(O1627&lt;&gt;0,VLOOKUP(O1627,'Cây trong'!$A$2:$C$246,3,0)," ")</f>
        <v xml:space="preserve"> </v>
      </c>
      <c r="R1627" s="900" t="str">
        <f t="shared" si="345"/>
        <v xml:space="preserve"> </v>
      </c>
      <c r="S1627" s="908"/>
      <c r="T1627" s="944"/>
      <c r="U1627" s="1066"/>
      <c r="V1627" s="922"/>
      <c r="W1627" s="900" t="str">
        <f>IF(S1627&lt;&gt;0,VLOOKUP(S1627,VKT!$A$2:$G$415,7,0),"")</f>
        <v/>
      </c>
      <c r="X1627" s="900" t="str">
        <f t="shared" si="351"/>
        <v xml:space="preserve"> </v>
      </c>
      <c r="Y1627" s="985"/>
      <c r="Z1627" s="922"/>
      <c r="AA1627" s="1067"/>
      <c r="AB1627" s="922"/>
      <c r="AC1627" s="922"/>
      <c r="AD1627" s="922"/>
      <c r="AE1627" s="922"/>
      <c r="AF1627" s="1046"/>
      <c r="AG1627" s="906" t="str">
        <f>IF(AE1627&lt;&gt;0,VLOOKUP(AE1627,ODDS!$A$2:$C$13,3,0),"")</f>
        <v/>
      </c>
      <c r="AH1627" s="906" t="str">
        <f t="shared" si="346"/>
        <v xml:space="preserve"> </v>
      </c>
      <c r="AI1627" s="907" t="str">
        <f t="shared" si="353"/>
        <v xml:space="preserve"> </v>
      </c>
      <c r="AJ1627" s="908"/>
      <c r="AK1627" s="908"/>
    </row>
    <row r="1628" spans="1:37" s="394" customFormat="1" ht="22.5" outlineLevel="2" x14ac:dyDescent="0.3">
      <c r="A1628" s="447">
        <f t="shared" si="358"/>
        <v>133</v>
      </c>
      <c r="B1628" s="893"/>
      <c r="C1628" s="908"/>
      <c r="D1628" s="1032"/>
      <c r="E1628" s="947"/>
      <c r="F1628" s="947"/>
      <c r="G1628" s="922"/>
      <c r="H1628" s="1041"/>
      <c r="I1628" s="882"/>
      <c r="J1628" s="894"/>
      <c r="K1628" s="899" t="str">
        <f>IF(G1628&lt;&gt;0,VLOOKUP(G1628,'gia dat'!$A$1:$F$144,5,0)," ")</f>
        <v xml:space="preserve"> </v>
      </c>
      <c r="L1628" s="899" t="str">
        <f>IF(G1628&lt;&gt;0,VLOOKUP(G1628,'gia dat'!$A$1:$F$144,6,0)," ")</f>
        <v xml:space="preserve"> </v>
      </c>
      <c r="M1628" s="900" t="str">
        <f t="shared" si="355"/>
        <v xml:space="preserve"> </v>
      </c>
      <c r="N1628" s="900" t="str">
        <f t="shared" si="356"/>
        <v xml:space="preserve"> </v>
      </c>
      <c r="O1628" s="908"/>
      <c r="P1628" s="1065"/>
      <c r="Q1628" s="900" t="str">
        <f>IF(O1628&lt;&gt;0,VLOOKUP(O1628,'Cây trong'!$A$2:$C$246,3,0)," ")</f>
        <v xml:space="preserve"> </v>
      </c>
      <c r="R1628" s="900" t="str">
        <f t="shared" si="345"/>
        <v xml:space="preserve"> </v>
      </c>
      <c r="S1628" s="908"/>
      <c r="T1628" s="944"/>
      <c r="U1628" s="1066"/>
      <c r="V1628" s="922"/>
      <c r="W1628" s="900" t="str">
        <f>IF(S1628&lt;&gt;0,VLOOKUP(S1628,VKT!$A$2:$G$415,7,0),"")</f>
        <v/>
      </c>
      <c r="X1628" s="900" t="str">
        <f t="shared" si="351"/>
        <v xml:space="preserve"> </v>
      </c>
      <c r="Y1628" s="985"/>
      <c r="Z1628" s="922"/>
      <c r="AA1628" s="1067"/>
      <c r="AB1628" s="922"/>
      <c r="AC1628" s="922"/>
      <c r="AD1628" s="922"/>
      <c r="AE1628" s="922"/>
      <c r="AF1628" s="1046"/>
      <c r="AG1628" s="906" t="str">
        <f>IF(AE1628&lt;&gt;0,VLOOKUP(AE1628,ODDS!$A$2:$C$13,3,0),"")</f>
        <v/>
      </c>
      <c r="AH1628" s="906" t="str">
        <f t="shared" si="346"/>
        <v xml:space="preserve"> </v>
      </c>
      <c r="AI1628" s="907" t="str">
        <f t="shared" si="353"/>
        <v xml:space="preserve"> </v>
      </c>
      <c r="AJ1628" s="894"/>
      <c r="AK1628" s="894"/>
    </row>
    <row r="1629" spans="1:37" s="394" customFormat="1" ht="22.5" outlineLevel="2" x14ac:dyDescent="0.3">
      <c r="A1629" s="447">
        <f t="shared" si="358"/>
        <v>133</v>
      </c>
      <c r="B1629" s="893"/>
      <c r="C1629" s="908"/>
      <c r="D1629" s="1032"/>
      <c r="E1629" s="947"/>
      <c r="F1629" s="947"/>
      <c r="G1629" s="922"/>
      <c r="H1629" s="1041"/>
      <c r="I1629" s="882"/>
      <c r="J1629" s="894"/>
      <c r="K1629" s="899" t="str">
        <f>IF(G1629&lt;&gt;0,VLOOKUP(G1629,'gia dat'!$A$1:$F$144,5,0)," ")</f>
        <v xml:space="preserve"> </v>
      </c>
      <c r="L1629" s="899" t="str">
        <f>IF(G1629&lt;&gt;0,VLOOKUP(G1629,'gia dat'!$A$1:$F$144,6,0)," ")</f>
        <v xml:space="preserve"> </v>
      </c>
      <c r="M1629" s="900" t="str">
        <f t="shared" si="355"/>
        <v xml:space="preserve"> </v>
      </c>
      <c r="N1629" s="900" t="str">
        <f t="shared" si="356"/>
        <v xml:space="preserve"> </v>
      </c>
      <c r="O1629" s="908"/>
      <c r="P1629" s="1065"/>
      <c r="Q1629" s="900" t="str">
        <f>IF(O1629&lt;&gt;0,VLOOKUP(O1629,'Cây trong'!$A$2:$C$246,3,0)," ")</f>
        <v xml:space="preserve"> </v>
      </c>
      <c r="R1629" s="900" t="str">
        <f t="shared" si="345"/>
        <v xml:space="preserve"> </v>
      </c>
      <c r="S1629" s="908"/>
      <c r="T1629" s="944"/>
      <c r="U1629" s="1066"/>
      <c r="V1629" s="922"/>
      <c r="W1629" s="900" t="str">
        <f>IF(S1629&lt;&gt;0,VLOOKUP(S1629,VKT!$A$2:$G$415,7,0),"")</f>
        <v/>
      </c>
      <c r="X1629" s="900" t="str">
        <f t="shared" si="351"/>
        <v xml:space="preserve"> </v>
      </c>
      <c r="Y1629" s="985"/>
      <c r="Z1629" s="922"/>
      <c r="AA1629" s="1067"/>
      <c r="AB1629" s="922"/>
      <c r="AC1629" s="922"/>
      <c r="AD1629" s="922"/>
      <c r="AE1629" s="922"/>
      <c r="AF1629" s="1046"/>
      <c r="AG1629" s="906" t="str">
        <f>IF(AE1629&lt;&gt;0,VLOOKUP(AE1629,ODDS!$A$2:$C$13,3,0),"")</f>
        <v/>
      </c>
      <c r="AH1629" s="906" t="str">
        <f t="shared" si="346"/>
        <v xml:space="preserve"> </v>
      </c>
      <c r="AI1629" s="907" t="str">
        <f t="shared" si="353"/>
        <v xml:space="preserve"> </v>
      </c>
      <c r="AJ1629" s="922"/>
      <c r="AK1629" s="922"/>
    </row>
    <row r="1630" spans="1:37" s="394" customFormat="1" ht="22.5" outlineLevel="2" x14ac:dyDescent="0.3">
      <c r="A1630" s="447">
        <f t="shared" si="358"/>
        <v>133</v>
      </c>
      <c r="B1630" s="893"/>
      <c r="C1630" s="942"/>
      <c r="D1630" s="1032"/>
      <c r="E1630" s="947"/>
      <c r="F1630" s="947"/>
      <c r="G1630" s="922"/>
      <c r="H1630" s="1041"/>
      <c r="I1630" s="882"/>
      <c r="J1630" s="894"/>
      <c r="K1630" s="899" t="str">
        <f>IF(G1630&lt;&gt;0,VLOOKUP(G1630,'gia dat'!$A$1:$F$144,5,0)," ")</f>
        <v xml:space="preserve"> </v>
      </c>
      <c r="L1630" s="899" t="str">
        <f>IF(G1630&lt;&gt;0,VLOOKUP(G1630,'gia dat'!$A$1:$F$144,6,0)," ")</f>
        <v xml:space="preserve"> </v>
      </c>
      <c r="M1630" s="900" t="str">
        <f t="shared" si="355"/>
        <v xml:space="preserve"> </v>
      </c>
      <c r="N1630" s="900" t="str">
        <f t="shared" si="356"/>
        <v xml:space="preserve"> </v>
      </c>
      <c r="O1630" s="908"/>
      <c r="P1630" s="1065"/>
      <c r="Q1630" s="900" t="str">
        <f>IF(O1630&lt;&gt;0,VLOOKUP(O1630,'Cây trong'!$A$2:$C$246,3,0)," ")</f>
        <v xml:space="preserve"> </v>
      </c>
      <c r="R1630" s="900" t="str">
        <f t="shared" si="345"/>
        <v xml:space="preserve"> </v>
      </c>
      <c r="S1630" s="908"/>
      <c r="T1630" s="944"/>
      <c r="U1630" s="1066"/>
      <c r="V1630" s="922"/>
      <c r="W1630" s="900" t="str">
        <f>IF(S1630&lt;&gt;0,VLOOKUP(S1630,VKT!$A$2:$G$415,7,0),"")</f>
        <v/>
      </c>
      <c r="X1630" s="900" t="str">
        <f t="shared" si="351"/>
        <v xml:space="preserve"> </v>
      </c>
      <c r="Y1630" s="985"/>
      <c r="Z1630" s="922"/>
      <c r="AA1630" s="1067"/>
      <c r="AB1630" s="922"/>
      <c r="AC1630" s="922"/>
      <c r="AD1630" s="922"/>
      <c r="AE1630" s="922"/>
      <c r="AF1630" s="1046"/>
      <c r="AG1630" s="906" t="str">
        <f>IF(AE1630&lt;&gt;0,VLOOKUP(AE1630,ODDS!$A$2:$C$13,3,0),"")</f>
        <v/>
      </c>
      <c r="AH1630" s="906" t="str">
        <f t="shared" si="346"/>
        <v xml:space="preserve"> </v>
      </c>
      <c r="AI1630" s="907" t="str">
        <f t="shared" si="353"/>
        <v xml:space="preserve"> </v>
      </c>
      <c r="AJ1630" s="922"/>
      <c r="AK1630" s="922"/>
    </row>
    <row r="1631" spans="1:37" s="396" customFormat="1" ht="22.5" outlineLevel="1" x14ac:dyDescent="0.25">
      <c r="A1631" s="467" t="s">
        <v>2576</v>
      </c>
      <c r="B1631" s="912">
        <v>134</v>
      </c>
      <c r="C1631" s="942" t="s">
        <v>1161</v>
      </c>
      <c r="D1631" s="1038"/>
      <c r="E1631" s="977"/>
      <c r="F1631" s="977"/>
      <c r="G1631" s="914"/>
      <c r="H1631" s="1039">
        <f>SUBTOTAL(9,H1632:H1640)</f>
        <v>12.2</v>
      </c>
      <c r="I1631" s="915">
        <f>SUBTOTAL(9,I1632:I1637)</f>
        <v>0</v>
      </c>
      <c r="J1631" s="916"/>
      <c r="K1631" s="917"/>
      <c r="L1631" s="917"/>
      <c r="M1631" s="907">
        <f>SUBTOTAL(9,M1632:M1640)</f>
        <v>5680000</v>
      </c>
      <c r="N1631" s="907">
        <f>SUBTOTAL(9,N1632:N1640)</f>
        <v>0</v>
      </c>
      <c r="O1631" s="934"/>
      <c r="P1631" s="1063">
        <f>SUBTOTAL(9,P1632:P1640)</f>
        <v>9</v>
      </c>
      <c r="Q1631" s="907"/>
      <c r="R1631" s="907">
        <f>SUBTOTAL(9,R1632:R1640)</f>
        <v>108000</v>
      </c>
      <c r="S1631" s="918"/>
      <c r="T1631" s="956"/>
      <c r="U1631" s="1064">
        <f>SUBTOTAL(9,U1632:U1640)</f>
        <v>0</v>
      </c>
      <c r="V1631" s="914"/>
      <c r="W1631" s="907"/>
      <c r="X1631" s="907">
        <f>SUBTOTAL(9,X1632:X1640)</f>
        <v>0</v>
      </c>
      <c r="Y1631" s="985"/>
      <c r="Z1631" s="922"/>
      <c r="AA1631" s="1067"/>
      <c r="AB1631" s="922"/>
      <c r="AC1631" s="922"/>
      <c r="AD1631" s="922"/>
      <c r="AE1631" s="914"/>
      <c r="AF1631" s="1044">
        <f>SUBTOTAL(9,AF1632:AF1640)</f>
        <v>0</v>
      </c>
      <c r="AG1631" s="921"/>
      <c r="AH1631" s="921">
        <f>SUBTOTAL(9,AH1632:AH1640)</f>
        <v>0</v>
      </c>
      <c r="AI1631" s="907">
        <f t="shared" si="353"/>
        <v>5788000</v>
      </c>
      <c r="AJ1631" s="914"/>
      <c r="AK1631" s="914"/>
    </row>
    <row r="1632" spans="1:37" s="396" customFormat="1" ht="135" outlineLevel="2" x14ac:dyDescent="0.3">
      <c r="A1632" s="447">
        <f>IF(B1631&lt;&gt;0,B1631,A1630)</f>
        <v>134</v>
      </c>
      <c r="B1632" s="893"/>
      <c r="C1632" s="908" t="s">
        <v>1163</v>
      </c>
      <c r="D1632" s="1032">
        <v>4</v>
      </c>
      <c r="E1632" s="947">
        <v>86</v>
      </c>
      <c r="F1632" s="947">
        <v>138</v>
      </c>
      <c r="G1632" s="922" t="s">
        <v>2870</v>
      </c>
      <c r="H1632" s="1041">
        <f>12.2-H1633</f>
        <v>12.2</v>
      </c>
      <c r="I1632" s="882" t="str">
        <f t="shared" ref="I1632" si="359">IF(N1632&gt;0,H1632,"")</f>
        <v/>
      </c>
      <c r="J1632" s="898"/>
      <c r="K1632" s="899">
        <f>IF(G1632&lt;&gt;0,VLOOKUP(G1632,'gia dat'!$A$1:$F$144,5,0)," ")</f>
        <v>465600</v>
      </c>
      <c r="L1632" s="899">
        <f>IF(G1632&lt;&gt;0,VLOOKUP(G1632,'gia dat'!$A$1:$F$144,6,0)," ")</f>
        <v>0</v>
      </c>
      <c r="M1632" s="900">
        <f t="shared" si="355"/>
        <v>5680000</v>
      </c>
      <c r="N1632" s="900">
        <f t="shared" si="356"/>
        <v>0</v>
      </c>
      <c r="O1632" s="901" t="s">
        <v>429</v>
      </c>
      <c r="P1632" s="1065">
        <v>9</v>
      </c>
      <c r="Q1632" s="900">
        <f>IF(O1632&lt;&gt;0,VLOOKUP(O1632,'Cây trong'!$A$2:$C$246,3,0)," ")</f>
        <v>12000</v>
      </c>
      <c r="R1632" s="900">
        <f t="shared" si="345"/>
        <v>108000</v>
      </c>
      <c r="S1632" s="902"/>
      <c r="T1632" s="944"/>
      <c r="U1632" s="1066"/>
      <c r="V1632" s="922"/>
      <c r="W1632" s="900" t="str">
        <f>IF(S1632&lt;&gt;0,VLOOKUP(S1632,VKT!$A$2:$G$415,7,0),"")</f>
        <v/>
      </c>
      <c r="X1632" s="900" t="str">
        <f t="shared" si="351"/>
        <v xml:space="preserve"> </v>
      </c>
      <c r="Y1632" s="985"/>
      <c r="Z1632" s="922"/>
      <c r="AA1632" s="1067"/>
      <c r="AB1632" s="922"/>
      <c r="AC1632" s="922"/>
      <c r="AD1632" s="922"/>
      <c r="AE1632" s="922"/>
      <c r="AF1632" s="1046"/>
      <c r="AG1632" s="906" t="str">
        <f>IF(AE1632&lt;&gt;0,VLOOKUP(AE1632,ODDS!$A$2:$C$13,3,0),"")</f>
        <v/>
      </c>
      <c r="AH1632" s="906"/>
      <c r="AI1632" s="907" t="str">
        <f t="shared" si="353"/>
        <v xml:space="preserve"> </v>
      </c>
      <c r="AJ1632" s="922" t="s">
        <v>1162</v>
      </c>
      <c r="AK1632" s="922" t="s">
        <v>2771</v>
      </c>
    </row>
    <row r="1633" spans="1:37" s="394" customFormat="1" ht="112.5" outlineLevel="2" x14ac:dyDescent="0.3">
      <c r="A1633" s="447">
        <f t="shared" ref="A1633:A1640" si="360">IF(B1632&lt;&gt;0,B1632,A1632)</f>
        <v>134</v>
      </c>
      <c r="B1633" s="893"/>
      <c r="C1633" s="908" t="s">
        <v>1598</v>
      </c>
      <c r="D1633" s="1032"/>
      <c r="E1633" s="947"/>
      <c r="F1633" s="947"/>
      <c r="G1633" s="922"/>
      <c r="H1633" s="1041"/>
      <c r="I1633" s="882"/>
      <c r="J1633" s="898"/>
      <c r="K1633" s="899" t="str">
        <f>IF(G1633&lt;&gt;0,VLOOKUP(G1633,'gia dat'!$A$1:$F$144,5,0)," ")</f>
        <v xml:space="preserve"> </v>
      </c>
      <c r="L1633" s="899" t="str">
        <f>IF(G1633&lt;&gt;0,VLOOKUP(G1633,'gia dat'!$A$1:$F$144,6,0)," ")</f>
        <v xml:space="preserve"> </v>
      </c>
      <c r="M1633" s="900" t="str">
        <f t="shared" si="355"/>
        <v xml:space="preserve"> </v>
      </c>
      <c r="N1633" s="900" t="str">
        <f t="shared" si="356"/>
        <v xml:space="preserve"> </v>
      </c>
      <c r="O1633" s="908"/>
      <c r="P1633" s="1065"/>
      <c r="Q1633" s="900" t="str">
        <f>IF(O1633&lt;&gt;0,VLOOKUP(O1633,'Cây trong'!$A$2:$C$246,3,0)," ")</f>
        <v xml:space="preserve"> </v>
      </c>
      <c r="R1633" s="900" t="str">
        <f t="shared" si="345"/>
        <v xml:space="preserve"> </v>
      </c>
      <c r="S1633" s="902"/>
      <c r="T1633" s="944"/>
      <c r="U1633" s="1066"/>
      <c r="V1633" s="922"/>
      <c r="W1633" s="900" t="str">
        <f>IF(S1633&lt;&gt;0,VLOOKUP(S1633,VKT!$A$2:$G$415,7,0),"")</f>
        <v/>
      </c>
      <c r="X1633" s="900" t="str">
        <f t="shared" si="351"/>
        <v xml:space="preserve"> </v>
      </c>
      <c r="Y1633" s="985"/>
      <c r="Z1633" s="922"/>
      <c r="AA1633" s="1067"/>
      <c r="AB1633" s="922"/>
      <c r="AC1633" s="922"/>
      <c r="AD1633" s="922"/>
      <c r="AE1633" s="922"/>
      <c r="AF1633" s="1046"/>
      <c r="AG1633" s="906" t="str">
        <f>IF(AE1633&lt;&gt;0,VLOOKUP(AE1633,ODDS!$A$2:$C$13,3,0),"")</f>
        <v/>
      </c>
      <c r="AH1633" s="906" t="str">
        <f t="shared" si="346"/>
        <v xml:space="preserve"> </v>
      </c>
      <c r="AI1633" s="907" t="str">
        <f t="shared" si="353"/>
        <v xml:space="preserve"> </v>
      </c>
      <c r="AJ1633" s="922" t="s">
        <v>1164</v>
      </c>
      <c r="AK1633" s="894" t="s">
        <v>2449</v>
      </c>
    </row>
    <row r="1634" spans="1:37" s="394" customFormat="1" ht="112.5" outlineLevel="2" x14ac:dyDescent="0.3">
      <c r="A1634" s="447">
        <f t="shared" si="360"/>
        <v>134</v>
      </c>
      <c r="B1634" s="893"/>
      <c r="C1634" s="908"/>
      <c r="D1634" s="1032"/>
      <c r="E1634" s="947"/>
      <c r="F1634" s="947"/>
      <c r="G1634" s="922"/>
      <c r="H1634" s="1041"/>
      <c r="I1634" s="882"/>
      <c r="J1634" s="898"/>
      <c r="K1634" s="899" t="str">
        <f>IF(G1634&lt;&gt;0,VLOOKUP(G1634,'gia dat'!$A$1:$F$144,5,0)," ")</f>
        <v xml:space="preserve"> </v>
      </c>
      <c r="L1634" s="899" t="str">
        <f>IF(G1634&lt;&gt;0,VLOOKUP(G1634,'gia dat'!$A$1:$F$144,6,0)," ")</f>
        <v xml:space="preserve"> </v>
      </c>
      <c r="M1634" s="900" t="str">
        <f t="shared" si="355"/>
        <v xml:space="preserve"> </v>
      </c>
      <c r="N1634" s="900" t="str">
        <f t="shared" si="356"/>
        <v xml:space="preserve"> </v>
      </c>
      <c r="O1634" s="908"/>
      <c r="P1634" s="1065"/>
      <c r="Q1634" s="900" t="str">
        <f>IF(O1634&lt;&gt;0,VLOOKUP(O1634,'Cây trong'!$A$2:$C$246,3,0)," ")</f>
        <v xml:space="preserve"> </v>
      </c>
      <c r="R1634" s="900" t="str">
        <f t="shared" si="345"/>
        <v xml:space="preserve"> </v>
      </c>
      <c r="S1634" s="902"/>
      <c r="T1634" s="944"/>
      <c r="U1634" s="1066"/>
      <c r="V1634" s="922"/>
      <c r="W1634" s="900" t="str">
        <f>IF(S1634&lt;&gt;0,VLOOKUP(S1634,VKT!$A$2:$G$415,7,0),"")</f>
        <v/>
      </c>
      <c r="X1634" s="900" t="str">
        <f t="shared" si="351"/>
        <v xml:space="preserve"> </v>
      </c>
      <c r="Y1634" s="985"/>
      <c r="Z1634" s="922"/>
      <c r="AA1634" s="1067"/>
      <c r="AB1634" s="922"/>
      <c r="AC1634" s="922"/>
      <c r="AD1634" s="922"/>
      <c r="AE1634" s="922"/>
      <c r="AF1634" s="1046"/>
      <c r="AG1634" s="906" t="str">
        <f>IF(AE1634&lt;&gt;0,VLOOKUP(AE1634,ODDS!$A$2:$C$13,3,0),"")</f>
        <v/>
      </c>
      <c r="AH1634" s="906" t="str">
        <f t="shared" si="346"/>
        <v xml:space="preserve"> </v>
      </c>
      <c r="AI1634" s="907" t="str">
        <f t="shared" si="353"/>
        <v xml:space="preserve"> </v>
      </c>
      <c r="AJ1634" s="922" t="s">
        <v>2236</v>
      </c>
      <c r="AK1634" s="894"/>
    </row>
    <row r="1635" spans="1:37" s="394" customFormat="1" ht="22.5" outlineLevel="2" x14ac:dyDescent="0.35">
      <c r="A1635" s="447">
        <f t="shared" si="360"/>
        <v>134</v>
      </c>
      <c r="B1635" s="893"/>
      <c r="C1635" s="908"/>
      <c r="D1635" s="1032"/>
      <c r="E1635" s="947"/>
      <c r="F1635" s="947"/>
      <c r="G1635" s="922"/>
      <c r="H1635" s="1041"/>
      <c r="I1635" s="882"/>
      <c r="J1635" s="894"/>
      <c r="K1635" s="899" t="str">
        <f>IF(G1635&lt;&gt;0,VLOOKUP(G1635,'gia dat'!$A$1:$F$144,5,0)," ")</f>
        <v xml:space="preserve"> </v>
      </c>
      <c r="L1635" s="899" t="str">
        <f>IF(G1635&lt;&gt;0,VLOOKUP(G1635,'gia dat'!$A$1:$F$144,6,0)," ")</f>
        <v xml:space="preserve"> </v>
      </c>
      <c r="M1635" s="900" t="str">
        <f t="shared" si="355"/>
        <v xml:space="preserve"> </v>
      </c>
      <c r="N1635" s="900" t="str">
        <f t="shared" si="356"/>
        <v xml:space="preserve"> </v>
      </c>
      <c r="O1635" s="908"/>
      <c r="P1635" s="1065"/>
      <c r="Q1635" s="900" t="str">
        <f>IF(O1635&lt;&gt;0,VLOOKUP(O1635,'Cây trong'!$A$2:$C$246,3,0)," ")</f>
        <v xml:space="preserve"> </v>
      </c>
      <c r="R1635" s="900" t="str">
        <f t="shared" si="345"/>
        <v xml:space="preserve"> </v>
      </c>
      <c r="S1635" s="908"/>
      <c r="T1635" s="944"/>
      <c r="U1635" s="1066"/>
      <c r="V1635" s="922"/>
      <c r="W1635" s="900" t="str">
        <f>IF(S1635&lt;&gt;0,VLOOKUP(S1635,VKT!$A$2:$G$415,7,0),"")</f>
        <v/>
      </c>
      <c r="X1635" s="900" t="str">
        <f t="shared" si="351"/>
        <v xml:space="preserve"> </v>
      </c>
      <c r="Y1635" s="985"/>
      <c r="Z1635" s="922"/>
      <c r="AA1635" s="1067"/>
      <c r="AB1635" s="922"/>
      <c r="AC1635" s="922"/>
      <c r="AD1635" s="922"/>
      <c r="AE1635" s="922"/>
      <c r="AF1635" s="1046"/>
      <c r="AG1635" s="906" t="str">
        <f>IF(AE1635&lt;&gt;0,VLOOKUP(AE1635,ODDS!$A$2:$C$13,3,0),"")</f>
        <v/>
      </c>
      <c r="AH1635" s="906" t="str">
        <f t="shared" si="346"/>
        <v xml:space="preserve"> </v>
      </c>
      <c r="AI1635" s="907" t="str">
        <f t="shared" si="353"/>
        <v xml:space="preserve"> </v>
      </c>
      <c r="AJ1635" s="1068"/>
      <c r="AK1635" s="922"/>
    </row>
    <row r="1636" spans="1:37" s="394" customFormat="1" ht="22.5" outlineLevel="2" x14ac:dyDescent="0.3">
      <c r="A1636" s="447">
        <f t="shared" si="360"/>
        <v>134</v>
      </c>
      <c r="B1636" s="893"/>
      <c r="C1636" s="922"/>
      <c r="D1636" s="1032"/>
      <c r="E1636" s="947"/>
      <c r="F1636" s="947"/>
      <c r="G1636" s="922"/>
      <c r="H1636" s="1041"/>
      <c r="I1636" s="882"/>
      <c r="J1636" s="894"/>
      <c r="K1636" s="899" t="str">
        <f>IF(G1636&lt;&gt;0,VLOOKUP(G1636,'gia dat'!$A$1:$F$144,5,0)," ")</f>
        <v xml:space="preserve"> </v>
      </c>
      <c r="L1636" s="899" t="str">
        <f>IF(G1636&lt;&gt;0,VLOOKUP(G1636,'gia dat'!$A$1:$F$144,6,0)," ")</f>
        <v xml:space="preserve"> </v>
      </c>
      <c r="M1636" s="900" t="str">
        <f t="shared" si="355"/>
        <v xml:space="preserve"> </v>
      </c>
      <c r="N1636" s="900" t="str">
        <f t="shared" si="356"/>
        <v xml:space="preserve"> </v>
      </c>
      <c r="O1636" s="908"/>
      <c r="P1636" s="1065"/>
      <c r="Q1636" s="900" t="str">
        <f>IF(O1636&lt;&gt;0,VLOOKUP(O1636,'Cây trong'!$A$2:$C$246,3,0)," ")</f>
        <v xml:space="preserve"> </v>
      </c>
      <c r="R1636" s="900" t="str">
        <f t="shared" si="345"/>
        <v xml:space="preserve"> </v>
      </c>
      <c r="S1636" s="908"/>
      <c r="T1636" s="944"/>
      <c r="U1636" s="1066"/>
      <c r="V1636" s="922"/>
      <c r="W1636" s="900" t="str">
        <f>IF(S1636&lt;&gt;0,VLOOKUP(S1636,VKT!$A$2:$G$415,7,0),"")</f>
        <v/>
      </c>
      <c r="X1636" s="900" t="str">
        <f t="shared" si="351"/>
        <v xml:space="preserve"> </v>
      </c>
      <c r="Y1636" s="985"/>
      <c r="Z1636" s="922"/>
      <c r="AA1636" s="1067"/>
      <c r="AB1636" s="922"/>
      <c r="AC1636" s="922"/>
      <c r="AD1636" s="922"/>
      <c r="AE1636" s="922"/>
      <c r="AF1636" s="1046"/>
      <c r="AG1636" s="906" t="str">
        <f>IF(AE1636&lt;&gt;0,VLOOKUP(AE1636,ODDS!$A$2:$C$13,3,0),"")</f>
        <v/>
      </c>
      <c r="AH1636" s="906" t="str">
        <f t="shared" si="346"/>
        <v xml:space="preserve"> </v>
      </c>
      <c r="AI1636" s="907" t="str">
        <f t="shared" si="353"/>
        <v xml:space="preserve"> </v>
      </c>
      <c r="AJ1636" s="922"/>
      <c r="AK1636" s="922"/>
    </row>
    <row r="1637" spans="1:37" s="394" customFormat="1" ht="22.5" outlineLevel="2" x14ac:dyDescent="0.3">
      <c r="A1637" s="447">
        <f t="shared" si="360"/>
        <v>134</v>
      </c>
      <c r="B1637" s="893"/>
      <c r="C1637" s="908"/>
      <c r="D1637" s="1032"/>
      <c r="E1637" s="947"/>
      <c r="F1637" s="947"/>
      <c r="G1637" s="922"/>
      <c r="H1637" s="1041"/>
      <c r="I1637" s="882"/>
      <c r="J1637" s="894"/>
      <c r="K1637" s="899" t="str">
        <f>IF(G1637&lt;&gt;0,VLOOKUP(G1637,'gia dat'!$A$1:$F$144,5,0)," ")</f>
        <v xml:space="preserve"> </v>
      </c>
      <c r="L1637" s="899" t="str">
        <f>IF(G1637&lt;&gt;0,VLOOKUP(G1637,'gia dat'!$A$1:$F$144,6,0)," ")</f>
        <v xml:space="preserve"> </v>
      </c>
      <c r="M1637" s="900" t="str">
        <f t="shared" si="355"/>
        <v xml:space="preserve"> </v>
      </c>
      <c r="N1637" s="900" t="str">
        <f t="shared" si="356"/>
        <v xml:space="preserve"> </v>
      </c>
      <c r="O1637" s="908"/>
      <c r="P1637" s="1065"/>
      <c r="Q1637" s="900" t="str">
        <f>IF(O1637&lt;&gt;0,VLOOKUP(O1637,'Cây trong'!$A$2:$C$246,3,0)," ")</f>
        <v xml:space="preserve"> </v>
      </c>
      <c r="R1637" s="900" t="str">
        <f t="shared" si="345"/>
        <v xml:space="preserve"> </v>
      </c>
      <c r="S1637" s="908"/>
      <c r="T1637" s="944"/>
      <c r="U1637" s="1066"/>
      <c r="V1637" s="922"/>
      <c r="W1637" s="900" t="str">
        <f>IF(S1637&lt;&gt;0,VLOOKUP(S1637,VKT!$A$2:$G$415,7,0),"")</f>
        <v/>
      </c>
      <c r="X1637" s="900" t="str">
        <f t="shared" si="351"/>
        <v xml:space="preserve"> </v>
      </c>
      <c r="Y1637" s="985"/>
      <c r="Z1637" s="922"/>
      <c r="AA1637" s="1067"/>
      <c r="AB1637" s="922"/>
      <c r="AC1637" s="922"/>
      <c r="AD1637" s="922"/>
      <c r="AE1637" s="922"/>
      <c r="AF1637" s="1046"/>
      <c r="AG1637" s="906" t="str">
        <f>IF(AE1637&lt;&gt;0,VLOOKUP(AE1637,ODDS!$A$2:$C$13,3,0),"")</f>
        <v/>
      </c>
      <c r="AH1637" s="906" t="str">
        <f t="shared" si="346"/>
        <v xml:space="preserve"> </v>
      </c>
      <c r="AI1637" s="907" t="str">
        <f t="shared" si="353"/>
        <v xml:space="preserve"> </v>
      </c>
      <c r="AJ1637" s="908"/>
      <c r="AK1637" s="908"/>
    </row>
    <row r="1638" spans="1:37" s="394" customFormat="1" ht="22.5" outlineLevel="2" x14ac:dyDescent="0.3">
      <c r="A1638" s="447">
        <f t="shared" si="360"/>
        <v>134</v>
      </c>
      <c r="B1638" s="893"/>
      <c r="C1638" s="908"/>
      <c r="D1638" s="1032"/>
      <c r="E1638" s="947"/>
      <c r="F1638" s="947"/>
      <c r="G1638" s="922"/>
      <c r="H1638" s="1041"/>
      <c r="I1638" s="882"/>
      <c r="J1638" s="894"/>
      <c r="K1638" s="899" t="str">
        <f>IF(G1638&lt;&gt;0,VLOOKUP(G1638,'gia dat'!$A$1:$F$144,5,0)," ")</f>
        <v xml:space="preserve"> </v>
      </c>
      <c r="L1638" s="899" t="str">
        <f>IF(G1638&lt;&gt;0,VLOOKUP(G1638,'gia dat'!$A$1:$F$144,6,0)," ")</f>
        <v xml:space="preserve"> </v>
      </c>
      <c r="M1638" s="900" t="str">
        <f t="shared" si="355"/>
        <v xml:space="preserve"> </v>
      </c>
      <c r="N1638" s="900" t="str">
        <f t="shared" si="356"/>
        <v xml:space="preserve"> </v>
      </c>
      <c r="O1638" s="908"/>
      <c r="P1638" s="1065"/>
      <c r="Q1638" s="900" t="str">
        <f>IF(O1638&lt;&gt;0,VLOOKUP(O1638,'Cây trong'!$A$2:$C$246,3,0)," ")</f>
        <v xml:space="preserve"> </v>
      </c>
      <c r="R1638" s="900" t="str">
        <f t="shared" si="345"/>
        <v xml:space="preserve"> </v>
      </c>
      <c r="S1638" s="908"/>
      <c r="T1638" s="944"/>
      <c r="U1638" s="1066"/>
      <c r="V1638" s="922"/>
      <c r="W1638" s="900" t="str">
        <f>IF(S1638&lt;&gt;0,VLOOKUP(S1638,VKT!$A$2:$G$415,7,0),"")</f>
        <v/>
      </c>
      <c r="X1638" s="900" t="str">
        <f t="shared" si="351"/>
        <v xml:space="preserve"> </v>
      </c>
      <c r="Y1638" s="985"/>
      <c r="Z1638" s="922"/>
      <c r="AA1638" s="1067"/>
      <c r="AB1638" s="922"/>
      <c r="AC1638" s="922"/>
      <c r="AD1638" s="922"/>
      <c r="AE1638" s="922"/>
      <c r="AF1638" s="1046"/>
      <c r="AG1638" s="906" t="str">
        <f>IF(AE1638&lt;&gt;0,VLOOKUP(AE1638,ODDS!$A$2:$C$13,3,0),"")</f>
        <v/>
      </c>
      <c r="AH1638" s="906" t="str">
        <f t="shared" si="346"/>
        <v xml:space="preserve"> </v>
      </c>
      <c r="AI1638" s="907" t="str">
        <f t="shared" si="353"/>
        <v xml:space="preserve"> </v>
      </c>
      <c r="AJ1638" s="894"/>
      <c r="AK1638" s="894"/>
    </row>
    <row r="1639" spans="1:37" s="394" customFormat="1" ht="22.5" outlineLevel="2" x14ac:dyDescent="0.3">
      <c r="A1639" s="447">
        <f t="shared" si="360"/>
        <v>134</v>
      </c>
      <c r="B1639" s="893"/>
      <c r="C1639" s="908"/>
      <c r="D1639" s="1032"/>
      <c r="E1639" s="947"/>
      <c r="F1639" s="947"/>
      <c r="G1639" s="922"/>
      <c r="H1639" s="1041"/>
      <c r="I1639" s="882"/>
      <c r="J1639" s="894"/>
      <c r="K1639" s="899" t="str">
        <f>IF(G1639&lt;&gt;0,VLOOKUP(G1639,'gia dat'!$A$1:$F$144,5,0)," ")</f>
        <v xml:space="preserve"> </v>
      </c>
      <c r="L1639" s="899" t="str">
        <f>IF(G1639&lt;&gt;0,VLOOKUP(G1639,'gia dat'!$A$1:$F$144,6,0)," ")</f>
        <v xml:space="preserve"> </v>
      </c>
      <c r="M1639" s="900" t="str">
        <f t="shared" si="355"/>
        <v xml:space="preserve"> </v>
      </c>
      <c r="N1639" s="900" t="str">
        <f t="shared" si="356"/>
        <v xml:space="preserve"> </v>
      </c>
      <c r="O1639" s="908"/>
      <c r="P1639" s="1065"/>
      <c r="Q1639" s="900" t="str">
        <f>IF(O1639&lt;&gt;0,VLOOKUP(O1639,'Cây trong'!$A$2:$C$246,3,0)," ")</f>
        <v xml:space="preserve"> </v>
      </c>
      <c r="R1639" s="900" t="str">
        <f t="shared" si="345"/>
        <v xml:space="preserve"> </v>
      </c>
      <c r="S1639" s="908"/>
      <c r="T1639" s="944"/>
      <c r="U1639" s="1066"/>
      <c r="V1639" s="922"/>
      <c r="W1639" s="900" t="str">
        <f>IF(S1639&lt;&gt;0,VLOOKUP(S1639,VKT!$A$2:$G$415,7,0),"")</f>
        <v/>
      </c>
      <c r="X1639" s="900" t="str">
        <f t="shared" si="351"/>
        <v xml:space="preserve"> </v>
      </c>
      <c r="Y1639" s="985"/>
      <c r="Z1639" s="922"/>
      <c r="AA1639" s="1067"/>
      <c r="AB1639" s="922"/>
      <c r="AC1639" s="922"/>
      <c r="AD1639" s="922"/>
      <c r="AE1639" s="922"/>
      <c r="AF1639" s="1046"/>
      <c r="AG1639" s="906" t="str">
        <f>IF(AE1639&lt;&gt;0,VLOOKUP(AE1639,ODDS!$A$2:$C$13,3,0),"")</f>
        <v/>
      </c>
      <c r="AH1639" s="906" t="str">
        <f t="shared" si="346"/>
        <v xml:space="preserve"> </v>
      </c>
      <c r="AI1639" s="907" t="str">
        <f t="shared" si="353"/>
        <v xml:space="preserve"> </v>
      </c>
      <c r="AJ1639" s="922"/>
      <c r="AK1639" s="922"/>
    </row>
    <row r="1640" spans="1:37" s="394" customFormat="1" ht="22.5" outlineLevel="2" x14ac:dyDescent="0.3">
      <c r="A1640" s="447">
        <f t="shared" si="360"/>
        <v>134</v>
      </c>
      <c r="B1640" s="893"/>
      <c r="C1640" s="942"/>
      <c r="D1640" s="1032"/>
      <c r="E1640" s="947"/>
      <c r="F1640" s="947"/>
      <c r="G1640" s="922"/>
      <c r="H1640" s="1041"/>
      <c r="I1640" s="882"/>
      <c r="J1640" s="894"/>
      <c r="K1640" s="899" t="str">
        <f>IF(G1640&lt;&gt;0,VLOOKUP(G1640,'gia dat'!$A$1:$F$144,5,0)," ")</f>
        <v xml:space="preserve"> </v>
      </c>
      <c r="L1640" s="899" t="str">
        <f>IF(G1640&lt;&gt;0,VLOOKUP(G1640,'gia dat'!$A$1:$F$144,6,0)," ")</f>
        <v xml:space="preserve"> </v>
      </c>
      <c r="M1640" s="900" t="str">
        <f t="shared" si="355"/>
        <v xml:space="preserve"> </v>
      </c>
      <c r="N1640" s="900" t="str">
        <f t="shared" si="356"/>
        <v xml:space="preserve"> </v>
      </c>
      <c r="O1640" s="908"/>
      <c r="P1640" s="1065"/>
      <c r="Q1640" s="900" t="str">
        <f>IF(O1640&lt;&gt;0,VLOOKUP(O1640,'Cây trong'!$A$2:$C$246,3,0)," ")</f>
        <v xml:space="preserve"> </v>
      </c>
      <c r="R1640" s="900" t="str">
        <f t="shared" si="345"/>
        <v xml:space="preserve"> </v>
      </c>
      <c r="S1640" s="908"/>
      <c r="T1640" s="944"/>
      <c r="U1640" s="1066"/>
      <c r="V1640" s="922"/>
      <c r="W1640" s="900" t="str">
        <f>IF(S1640&lt;&gt;0,VLOOKUP(S1640,VKT!$A$2:$G$415,7,0),"")</f>
        <v/>
      </c>
      <c r="X1640" s="900" t="str">
        <f t="shared" si="351"/>
        <v xml:space="preserve"> </v>
      </c>
      <c r="Y1640" s="985"/>
      <c r="Z1640" s="922"/>
      <c r="AA1640" s="1067"/>
      <c r="AB1640" s="922"/>
      <c r="AC1640" s="922"/>
      <c r="AD1640" s="922"/>
      <c r="AE1640" s="922"/>
      <c r="AF1640" s="1046"/>
      <c r="AG1640" s="906" t="str">
        <f>IF(AE1640&lt;&gt;0,VLOOKUP(AE1640,ODDS!$A$2:$C$13,3,0),"")</f>
        <v/>
      </c>
      <c r="AH1640" s="906" t="str">
        <f t="shared" si="346"/>
        <v xml:space="preserve"> </v>
      </c>
      <c r="AI1640" s="907" t="str">
        <f t="shared" si="353"/>
        <v xml:space="preserve"> </v>
      </c>
      <c r="AJ1640" s="922"/>
      <c r="AK1640" s="922"/>
    </row>
    <row r="1641" spans="1:37" s="394" customFormat="1" ht="22.5" outlineLevel="1" x14ac:dyDescent="0.25">
      <c r="A1641" s="467" t="s">
        <v>2575</v>
      </c>
      <c r="B1641" s="912">
        <v>135</v>
      </c>
      <c r="C1641" s="942" t="s">
        <v>1161</v>
      </c>
      <c r="D1641" s="1038"/>
      <c r="E1641" s="977"/>
      <c r="F1641" s="977"/>
      <c r="G1641" s="914"/>
      <c r="H1641" s="1039">
        <f>SUBTOTAL(9,H1642:H1648)</f>
        <v>95</v>
      </c>
      <c r="I1641" s="915">
        <f>SUBTOTAL(9,I1642:I1647)</f>
        <v>0</v>
      </c>
      <c r="J1641" s="916"/>
      <c r="K1641" s="917"/>
      <c r="L1641" s="917"/>
      <c r="M1641" s="907">
        <f>SUBTOTAL(9,M1642:M1648)</f>
        <v>44232000</v>
      </c>
      <c r="N1641" s="907">
        <f>SUBTOTAL(9,N1642:N1648)</f>
        <v>0</v>
      </c>
      <c r="O1641" s="942"/>
      <c r="P1641" s="1063">
        <f>SUBTOTAL(9,P1642:P1648)</f>
        <v>0</v>
      </c>
      <c r="Q1641" s="907"/>
      <c r="R1641" s="907">
        <f>SUBTOTAL(9,R1642:R1648)</f>
        <v>0</v>
      </c>
      <c r="S1641" s="918"/>
      <c r="T1641" s="956"/>
      <c r="U1641" s="1064">
        <f>SUBTOTAL(9,U1642:U1648)</f>
        <v>109.97499999999999</v>
      </c>
      <c r="V1641" s="914"/>
      <c r="W1641" s="907"/>
      <c r="X1641" s="907">
        <f>SUBTOTAL(9,X1642:X1648)</f>
        <v>454775000</v>
      </c>
      <c r="Y1641" s="996"/>
      <c r="Z1641" s="1016"/>
      <c r="AA1641" s="1016"/>
      <c r="AB1641" s="1026"/>
      <c r="AC1641" s="1016"/>
      <c r="AD1641" s="922"/>
      <c r="AE1641" s="914"/>
      <c r="AF1641" s="1044">
        <f>SUBTOTAL(9,AF1642:AF1648)</f>
        <v>1</v>
      </c>
      <c r="AG1641" s="921"/>
      <c r="AH1641" s="921">
        <f>SUBTOTAL(9,AH1642:AH1648)</f>
        <v>5000000</v>
      </c>
      <c r="AI1641" s="907">
        <f t="shared" si="353"/>
        <v>504007000</v>
      </c>
      <c r="AJ1641" s="914"/>
      <c r="AK1641" s="914"/>
    </row>
    <row r="1642" spans="1:37" s="394" customFormat="1" ht="135" outlineLevel="2" x14ac:dyDescent="0.3">
      <c r="A1642" s="447">
        <f>IF(B1641&lt;&gt;0,B1641,A1640)</f>
        <v>135</v>
      </c>
      <c r="B1642" s="893"/>
      <c r="C1642" s="908" t="s">
        <v>1163</v>
      </c>
      <c r="D1642" s="1032"/>
      <c r="E1642" s="947">
        <v>86</v>
      </c>
      <c r="F1642" s="947">
        <v>265</v>
      </c>
      <c r="G1642" s="922" t="s">
        <v>2869</v>
      </c>
      <c r="H1642" s="1041">
        <v>95</v>
      </c>
      <c r="I1642" s="882" t="str">
        <f t="shared" ref="I1642" si="361">IF(N1642&gt;0,H1642,"")</f>
        <v/>
      </c>
      <c r="J1642" s="898"/>
      <c r="K1642" s="899">
        <f>IF(G1642&lt;&gt;0,VLOOKUP(G1642,'gia dat'!$A$1:$F$144,5,0)," ")</f>
        <v>465600</v>
      </c>
      <c r="L1642" s="899">
        <f>IF(G1642&lt;&gt;0,VLOOKUP(G1642,'gia dat'!$A$1:$F$144,6,0)," ")</f>
        <v>0</v>
      </c>
      <c r="M1642" s="900">
        <f t="shared" si="355"/>
        <v>44232000</v>
      </c>
      <c r="N1642" s="900">
        <f t="shared" si="356"/>
        <v>0</v>
      </c>
      <c r="O1642" s="908"/>
      <c r="P1642" s="1065"/>
      <c r="Q1642" s="900" t="str">
        <f>IF(O1642&lt;&gt;0,VLOOKUP(O1642,'Cây trong'!$A$2:$C$246,3,0)," ")</f>
        <v xml:space="preserve"> </v>
      </c>
      <c r="R1642" s="900" t="str">
        <f t="shared" si="345"/>
        <v xml:space="preserve"> </v>
      </c>
      <c r="S1642" s="902" t="s">
        <v>1820</v>
      </c>
      <c r="T1642" s="944" t="s">
        <v>1133</v>
      </c>
      <c r="U1642" s="1066">
        <v>68.754999999999995</v>
      </c>
      <c r="V1642" s="922"/>
      <c r="W1642" s="900">
        <f>IF(S1642&lt;&gt;0,VLOOKUP(S1642,VKT!$A$2:$G$415,7,0),"")</f>
        <v>5307665</v>
      </c>
      <c r="X1642" s="900">
        <f t="shared" si="351"/>
        <v>364929000</v>
      </c>
      <c r="Y1642" s="996" t="s">
        <v>1138</v>
      </c>
      <c r="Z1642" s="1016" t="s">
        <v>1139</v>
      </c>
      <c r="AA1642" s="1016" t="s">
        <v>56</v>
      </c>
      <c r="AB1642" s="1026" t="s">
        <v>269</v>
      </c>
      <c r="AC1642" s="1016" t="s">
        <v>1138</v>
      </c>
      <c r="AD1642" s="922"/>
      <c r="AE1642" s="922" t="s">
        <v>2137</v>
      </c>
      <c r="AF1642" s="1046">
        <v>1</v>
      </c>
      <c r="AG1642" s="906">
        <f>IF(AE1642&lt;&gt;0,VLOOKUP(AE1642,ODDS!$A$2:$C$13,3,0),"")</f>
        <v>5000000</v>
      </c>
      <c r="AH1642" s="906">
        <f t="shared" si="346"/>
        <v>5000000</v>
      </c>
      <c r="AI1642" s="907" t="str">
        <f t="shared" si="353"/>
        <v xml:space="preserve"> </v>
      </c>
      <c r="AJ1642" s="922" t="s">
        <v>1165</v>
      </c>
      <c r="AK1642" s="922" t="s">
        <v>2771</v>
      </c>
    </row>
    <row r="1643" spans="1:37" s="394" customFormat="1" ht="135" outlineLevel="2" x14ac:dyDescent="0.3">
      <c r="A1643" s="447">
        <f t="shared" ref="A1643:A1648" si="362">IF(B1642&lt;&gt;0,B1642,A1642)</f>
        <v>135</v>
      </c>
      <c r="B1643" s="893"/>
      <c r="C1643" s="908" t="s">
        <v>1598</v>
      </c>
      <c r="D1643" s="1032"/>
      <c r="E1643" s="947"/>
      <c r="F1643" s="947"/>
      <c r="G1643" s="922"/>
      <c r="H1643" s="1041"/>
      <c r="I1643" s="882"/>
      <c r="J1643" s="898"/>
      <c r="K1643" s="899" t="str">
        <f>IF(G1643&lt;&gt;0,VLOOKUP(G1643,'gia dat'!$A$1:$F$144,5,0)," ")</f>
        <v xml:space="preserve"> </v>
      </c>
      <c r="L1643" s="899" t="str">
        <f>IF(G1643&lt;&gt;0,VLOOKUP(G1643,'gia dat'!$A$1:$F$144,6,0)," ")</f>
        <v xml:space="preserve"> </v>
      </c>
      <c r="M1643" s="900" t="str">
        <f t="shared" si="355"/>
        <v xml:space="preserve"> </v>
      </c>
      <c r="N1643" s="900" t="str">
        <f t="shared" si="356"/>
        <v xml:space="preserve"> </v>
      </c>
      <c r="O1643" s="908"/>
      <c r="P1643" s="1065"/>
      <c r="Q1643" s="900" t="str">
        <f>IF(O1643&lt;&gt;0,VLOOKUP(O1643,'Cây trong'!$A$2:$C$246,3,0)," ")</f>
        <v xml:space="preserve"> </v>
      </c>
      <c r="R1643" s="900" t="str">
        <f t="shared" si="345"/>
        <v xml:space="preserve"> </v>
      </c>
      <c r="S1643" s="902" t="s">
        <v>1911</v>
      </c>
      <c r="T1643" s="944" t="s">
        <v>1133</v>
      </c>
      <c r="U1643" s="1066">
        <v>9.1199999999999992</v>
      </c>
      <c r="V1643" s="922"/>
      <c r="W1643" s="900">
        <f>IF(S1643&lt;&gt;0,VLOOKUP(S1643,VKT!$A$2:$G$415,7,0),"")</f>
        <v>8524607</v>
      </c>
      <c r="X1643" s="900">
        <f t="shared" si="351"/>
        <v>77744000</v>
      </c>
      <c r="Y1643" s="985"/>
      <c r="Z1643" s="922"/>
      <c r="AA1643" s="1067"/>
      <c r="AB1643" s="922"/>
      <c r="AC1643" s="922"/>
      <c r="AD1643" s="922"/>
      <c r="AE1643" s="922"/>
      <c r="AF1643" s="1046"/>
      <c r="AG1643" s="906" t="str">
        <f>IF(AE1643&lt;&gt;0,VLOOKUP(AE1643,ODDS!$A$2:$C$13,3,0),"")</f>
        <v/>
      </c>
      <c r="AH1643" s="906" t="str">
        <f t="shared" si="346"/>
        <v xml:space="preserve"> </v>
      </c>
      <c r="AI1643" s="907" t="str">
        <f t="shared" si="353"/>
        <v xml:space="preserve"> </v>
      </c>
      <c r="AJ1643" s="922" t="s">
        <v>1166</v>
      </c>
      <c r="AK1643" s="894" t="s">
        <v>2450</v>
      </c>
    </row>
    <row r="1644" spans="1:37" s="394" customFormat="1" ht="90" outlineLevel="2" x14ac:dyDescent="0.3">
      <c r="A1644" s="447">
        <f t="shared" si="362"/>
        <v>135</v>
      </c>
      <c r="B1644" s="893"/>
      <c r="C1644" s="908"/>
      <c r="D1644" s="1032"/>
      <c r="E1644" s="947"/>
      <c r="F1644" s="947"/>
      <c r="G1644" s="922"/>
      <c r="H1644" s="1041"/>
      <c r="I1644" s="882"/>
      <c r="J1644" s="898"/>
      <c r="K1644" s="899" t="str">
        <f>IF(G1644&lt;&gt;0,VLOOKUP(G1644,'gia dat'!$A$1:$F$144,5,0)," ")</f>
        <v xml:space="preserve"> </v>
      </c>
      <c r="L1644" s="899" t="str">
        <f>IF(G1644&lt;&gt;0,VLOOKUP(G1644,'gia dat'!$A$1:$F$144,6,0)," ")</f>
        <v xml:space="preserve"> </v>
      </c>
      <c r="M1644" s="900" t="str">
        <f t="shared" si="355"/>
        <v xml:space="preserve"> </v>
      </c>
      <c r="N1644" s="900" t="str">
        <f t="shared" si="356"/>
        <v xml:space="preserve"> </v>
      </c>
      <c r="O1644" s="908"/>
      <c r="P1644" s="1065"/>
      <c r="Q1644" s="900" t="str">
        <f>IF(O1644&lt;&gt;0,VLOOKUP(O1644,'Cây trong'!$A$2:$C$246,3,0)," ")</f>
        <v xml:space="preserve"> </v>
      </c>
      <c r="R1644" s="900" t="str">
        <f t="shared" si="345"/>
        <v xml:space="preserve"> </v>
      </c>
      <c r="S1644" s="908" t="s">
        <v>1912</v>
      </c>
      <c r="T1644" s="944" t="s">
        <v>1133</v>
      </c>
      <c r="U1644" s="1066">
        <v>18.600000000000001</v>
      </c>
      <c r="V1644" s="922"/>
      <c r="W1644" s="900">
        <f>IF(S1644&lt;&gt;0,VLOOKUP(S1644,VKT!$A$2:$G$415,7,0),"")</f>
        <v>265836</v>
      </c>
      <c r="X1644" s="900">
        <f t="shared" si="351"/>
        <v>4945000</v>
      </c>
      <c r="Y1644" s="985"/>
      <c r="Z1644" s="922"/>
      <c r="AA1644" s="1067"/>
      <c r="AB1644" s="922"/>
      <c r="AC1644" s="922"/>
      <c r="AD1644" s="922"/>
      <c r="AE1644" s="922"/>
      <c r="AF1644" s="1046"/>
      <c r="AG1644" s="906" t="str">
        <f>IF(AE1644&lt;&gt;0,VLOOKUP(AE1644,ODDS!$A$2:$C$13,3,0),"")</f>
        <v/>
      </c>
      <c r="AH1644" s="906" t="str">
        <f t="shared" si="346"/>
        <v xml:space="preserve"> </v>
      </c>
      <c r="AI1644" s="907" t="str">
        <f t="shared" si="353"/>
        <v xml:space="preserve"> </v>
      </c>
      <c r="AJ1644" s="922" t="s">
        <v>1146</v>
      </c>
      <c r="AK1644" s="894" t="s">
        <v>2447</v>
      </c>
    </row>
    <row r="1645" spans="1:37" s="394" customFormat="1" ht="112.5" outlineLevel="2" x14ac:dyDescent="0.3">
      <c r="A1645" s="447">
        <f t="shared" si="362"/>
        <v>135</v>
      </c>
      <c r="B1645" s="893"/>
      <c r="C1645" s="908"/>
      <c r="D1645" s="1032"/>
      <c r="E1645" s="947"/>
      <c r="F1645" s="947"/>
      <c r="G1645" s="922"/>
      <c r="H1645" s="1041"/>
      <c r="I1645" s="882"/>
      <c r="J1645" s="894"/>
      <c r="K1645" s="899" t="str">
        <f>IF(G1645&lt;&gt;0,VLOOKUP(G1645,'gia dat'!$A$1:$F$144,5,0)," ")</f>
        <v xml:space="preserve"> </v>
      </c>
      <c r="L1645" s="899" t="str">
        <f>IF(G1645&lt;&gt;0,VLOOKUP(G1645,'gia dat'!$A$1:$F$144,6,0)," ")</f>
        <v xml:space="preserve"> </v>
      </c>
      <c r="M1645" s="900" t="str">
        <f t="shared" si="355"/>
        <v xml:space="preserve"> </v>
      </c>
      <c r="N1645" s="900" t="str">
        <f t="shared" si="356"/>
        <v xml:space="preserve"> </v>
      </c>
      <c r="O1645" s="908"/>
      <c r="P1645" s="1065"/>
      <c r="Q1645" s="900" t="str">
        <f>IF(O1645&lt;&gt;0,VLOOKUP(O1645,'Cây trong'!$A$2:$C$246,3,0)," ")</f>
        <v xml:space="preserve"> </v>
      </c>
      <c r="R1645" s="900" t="str">
        <f t="shared" si="345"/>
        <v xml:space="preserve"> </v>
      </c>
      <c r="S1645" s="908" t="s">
        <v>1913</v>
      </c>
      <c r="T1645" s="944" t="s">
        <v>1133</v>
      </c>
      <c r="U1645" s="1066">
        <v>13.5</v>
      </c>
      <c r="V1645" s="922"/>
      <c r="W1645" s="900">
        <f>IF(S1645&lt;&gt;0,VLOOKUP(S1645,VKT!$A$2:$G$415,7,0),"")</f>
        <v>530132</v>
      </c>
      <c r="X1645" s="900">
        <f t="shared" si="351"/>
        <v>7157000</v>
      </c>
      <c r="Y1645" s="985"/>
      <c r="Z1645" s="922"/>
      <c r="AA1645" s="1067"/>
      <c r="AB1645" s="922"/>
      <c r="AC1645" s="922"/>
      <c r="AD1645" s="922"/>
      <c r="AE1645" s="922"/>
      <c r="AF1645" s="1046"/>
      <c r="AG1645" s="906" t="str">
        <f>IF(AE1645&lt;&gt;0,VLOOKUP(AE1645,ODDS!$A$2:$C$13,3,0),"")</f>
        <v/>
      </c>
      <c r="AH1645" s="906" t="str">
        <f t="shared" si="346"/>
        <v xml:space="preserve"> </v>
      </c>
      <c r="AI1645" s="907" t="str">
        <f t="shared" si="353"/>
        <v xml:space="preserve"> </v>
      </c>
      <c r="AJ1645" s="922"/>
      <c r="AK1645" s="922" t="s">
        <v>2800</v>
      </c>
    </row>
    <row r="1646" spans="1:37" s="394" customFormat="1" ht="22.5" outlineLevel="2" x14ac:dyDescent="0.3">
      <c r="A1646" s="447">
        <f t="shared" si="362"/>
        <v>135</v>
      </c>
      <c r="B1646" s="893"/>
      <c r="C1646" s="922"/>
      <c r="D1646" s="1032"/>
      <c r="E1646" s="947"/>
      <c r="F1646" s="947"/>
      <c r="G1646" s="922"/>
      <c r="H1646" s="1041"/>
      <c r="I1646" s="882"/>
      <c r="J1646" s="894"/>
      <c r="K1646" s="899" t="str">
        <f>IF(G1646&lt;&gt;0,VLOOKUP(G1646,'gia dat'!$A$1:$F$144,5,0)," ")</f>
        <v xml:space="preserve"> </v>
      </c>
      <c r="L1646" s="899" t="str">
        <f>IF(G1646&lt;&gt;0,VLOOKUP(G1646,'gia dat'!$A$1:$F$144,6,0)," ")</f>
        <v xml:space="preserve"> </v>
      </c>
      <c r="M1646" s="900" t="str">
        <f t="shared" si="355"/>
        <v xml:space="preserve"> </v>
      </c>
      <c r="N1646" s="900" t="str">
        <f t="shared" si="356"/>
        <v xml:space="preserve"> </v>
      </c>
      <c r="O1646" s="908"/>
      <c r="P1646" s="1065"/>
      <c r="Q1646" s="900" t="str">
        <f>IF(O1646&lt;&gt;0,VLOOKUP(O1646,'Cây trong'!$A$2:$C$246,3,0)," ")</f>
        <v xml:space="preserve"> </v>
      </c>
      <c r="R1646" s="900" t="str">
        <f t="shared" si="345"/>
        <v xml:space="preserve"> </v>
      </c>
      <c r="S1646" s="908"/>
      <c r="T1646" s="944"/>
      <c r="U1646" s="1066"/>
      <c r="V1646" s="922"/>
      <c r="W1646" s="900" t="str">
        <f>IF(S1646&lt;&gt;0,VLOOKUP(S1646,VKT!$A$2:$G$415,7,0),"")</f>
        <v/>
      </c>
      <c r="X1646" s="900" t="str">
        <f t="shared" si="351"/>
        <v xml:space="preserve"> </v>
      </c>
      <c r="Y1646" s="985"/>
      <c r="Z1646" s="922"/>
      <c r="AA1646" s="1067"/>
      <c r="AB1646" s="922"/>
      <c r="AC1646" s="922"/>
      <c r="AD1646" s="922"/>
      <c r="AE1646" s="922"/>
      <c r="AF1646" s="1046"/>
      <c r="AG1646" s="906" t="str">
        <f>IF(AE1646&lt;&gt;0,VLOOKUP(AE1646,ODDS!$A$2:$C$13,3,0),"")</f>
        <v/>
      </c>
      <c r="AH1646" s="906" t="str">
        <f t="shared" si="346"/>
        <v xml:space="preserve"> </v>
      </c>
      <c r="AI1646" s="907" t="str">
        <f t="shared" si="353"/>
        <v xml:space="preserve"> </v>
      </c>
      <c r="AJ1646" s="908"/>
      <c r="AK1646" s="908"/>
    </row>
    <row r="1647" spans="1:37" s="394" customFormat="1" ht="22.5" outlineLevel="2" x14ac:dyDescent="0.3">
      <c r="A1647" s="447">
        <f t="shared" si="362"/>
        <v>135</v>
      </c>
      <c r="B1647" s="893"/>
      <c r="C1647" s="908"/>
      <c r="D1647" s="1032"/>
      <c r="E1647" s="947"/>
      <c r="F1647" s="947"/>
      <c r="G1647" s="922"/>
      <c r="H1647" s="1041"/>
      <c r="I1647" s="882"/>
      <c r="J1647" s="894"/>
      <c r="K1647" s="899" t="str">
        <f>IF(G1647&lt;&gt;0,VLOOKUP(G1647,'gia dat'!$A$1:$F$144,5,0)," ")</f>
        <v xml:space="preserve"> </v>
      </c>
      <c r="L1647" s="899" t="str">
        <f>IF(G1647&lt;&gt;0,VLOOKUP(G1647,'gia dat'!$A$1:$F$144,6,0)," ")</f>
        <v xml:space="preserve"> </v>
      </c>
      <c r="M1647" s="900" t="str">
        <f t="shared" si="355"/>
        <v xml:space="preserve"> </v>
      </c>
      <c r="N1647" s="900" t="str">
        <f t="shared" si="356"/>
        <v xml:space="preserve"> </v>
      </c>
      <c r="O1647" s="908"/>
      <c r="P1647" s="1065"/>
      <c r="Q1647" s="900" t="str">
        <f>IF(O1647&lt;&gt;0,VLOOKUP(O1647,'Cây trong'!$A$2:$C$246,3,0)," ")</f>
        <v xml:space="preserve"> </v>
      </c>
      <c r="R1647" s="900" t="str">
        <f t="shared" si="345"/>
        <v xml:space="preserve"> </v>
      </c>
      <c r="S1647" s="908"/>
      <c r="T1647" s="944"/>
      <c r="U1647" s="1066"/>
      <c r="V1647" s="922"/>
      <c r="W1647" s="900" t="str">
        <f>IF(S1647&lt;&gt;0,VLOOKUP(S1647,VKT!$A$2:$G$415,7,0),"")</f>
        <v/>
      </c>
      <c r="X1647" s="900" t="str">
        <f t="shared" si="351"/>
        <v xml:space="preserve"> </v>
      </c>
      <c r="Y1647" s="985"/>
      <c r="Z1647" s="922"/>
      <c r="AA1647" s="1067"/>
      <c r="AB1647" s="922"/>
      <c r="AC1647" s="922"/>
      <c r="AD1647" s="922"/>
      <c r="AE1647" s="922"/>
      <c r="AF1647" s="1046"/>
      <c r="AG1647" s="906" t="str">
        <f>IF(AE1647&lt;&gt;0,VLOOKUP(AE1647,ODDS!$A$2:$C$13,3,0),"")</f>
        <v/>
      </c>
      <c r="AH1647" s="906" t="str">
        <f t="shared" si="346"/>
        <v xml:space="preserve"> </v>
      </c>
      <c r="AI1647" s="907" t="str">
        <f t="shared" si="353"/>
        <v xml:space="preserve"> </v>
      </c>
      <c r="AJ1647" s="922"/>
      <c r="AK1647" s="922"/>
    </row>
    <row r="1648" spans="1:37" s="394" customFormat="1" ht="22.5" outlineLevel="2" x14ac:dyDescent="0.3">
      <c r="A1648" s="447">
        <f t="shared" si="362"/>
        <v>135</v>
      </c>
      <c r="B1648" s="893"/>
      <c r="C1648" s="942"/>
      <c r="D1648" s="1032"/>
      <c r="E1648" s="947"/>
      <c r="F1648" s="947"/>
      <c r="G1648" s="922"/>
      <c r="H1648" s="1041"/>
      <c r="I1648" s="882"/>
      <c r="J1648" s="894"/>
      <c r="K1648" s="899" t="str">
        <f>IF(G1648&lt;&gt;0,VLOOKUP(G1648,'gia dat'!$A$1:$F$144,5,0)," ")</f>
        <v xml:space="preserve"> </v>
      </c>
      <c r="L1648" s="899" t="str">
        <f>IF(G1648&lt;&gt;0,VLOOKUP(G1648,'gia dat'!$A$1:$F$144,6,0)," ")</f>
        <v xml:space="preserve"> </v>
      </c>
      <c r="M1648" s="900" t="str">
        <f t="shared" si="355"/>
        <v xml:space="preserve"> </v>
      </c>
      <c r="N1648" s="900" t="str">
        <f t="shared" si="356"/>
        <v xml:space="preserve"> </v>
      </c>
      <c r="O1648" s="908"/>
      <c r="P1648" s="1065"/>
      <c r="Q1648" s="900" t="str">
        <f>IF(O1648&lt;&gt;0,VLOOKUP(O1648,'Cây trong'!$A$2:$C$246,3,0)," ")</f>
        <v xml:space="preserve"> </v>
      </c>
      <c r="R1648" s="900" t="str">
        <f t="shared" ref="R1648:R1742" si="363">IF(O1648&lt;&gt;0,ROUND(P1648*Q1648,-2)," ")</f>
        <v xml:space="preserve"> </v>
      </c>
      <c r="S1648" s="908"/>
      <c r="T1648" s="944"/>
      <c r="U1648" s="1066"/>
      <c r="V1648" s="922"/>
      <c r="W1648" s="900" t="str">
        <f>IF(S1648&lt;&gt;0,VLOOKUP(S1648,VKT!$A$2:$G$415,7,0),"")</f>
        <v/>
      </c>
      <c r="X1648" s="900" t="str">
        <f t="shared" si="351"/>
        <v xml:space="preserve"> </v>
      </c>
      <c r="Y1648" s="985"/>
      <c r="Z1648" s="922"/>
      <c r="AA1648" s="1067"/>
      <c r="AB1648" s="922"/>
      <c r="AC1648" s="922"/>
      <c r="AD1648" s="922"/>
      <c r="AE1648" s="922"/>
      <c r="AF1648" s="1046"/>
      <c r="AG1648" s="906" t="str">
        <f>IF(AE1648&lt;&gt;0,VLOOKUP(AE1648,ODDS!$A$2:$C$13,3,0),"")</f>
        <v/>
      </c>
      <c r="AH1648" s="906" t="str">
        <f t="shared" ref="AH1648:AH1742" si="364">IF(AE1648&lt;&gt;0,ROUND(AF1648*AG1648,-2)," ")</f>
        <v xml:space="preserve"> </v>
      </c>
      <c r="AI1648" s="907" t="str">
        <f t="shared" si="353"/>
        <v xml:space="preserve"> </v>
      </c>
      <c r="AJ1648" s="922"/>
      <c r="AK1648" s="922"/>
    </row>
    <row r="1649" spans="1:37" s="396" customFormat="1" ht="22.5" outlineLevel="1" x14ac:dyDescent="0.25">
      <c r="A1649" s="467" t="s">
        <v>2574</v>
      </c>
      <c r="B1649" s="912">
        <v>136</v>
      </c>
      <c r="C1649" s="942" t="s">
        <v>1169</v>
      </c>
      <c r="D1649" s="1038"/>
      <c r="E1649" s="977"/>
      <c r="F1649" s="977"/>
      <c r="G1649" s="914"/>
      <c r="H1649" s="1039">
        <f>SUBTOTAL(9,H1650:H1657)</f>
        <v>263.5</v>
      </c>
      <c r="I1649" s="915">
        <f>SUBTOTAL(9,I1650:I1655)</f>
        <v>0</v>
      </c>
      <c r="J1649" s="916"/>
      <c r="K1649" s="917"/>
      <c r="L1649" s="917"/>
      <c r="M1649" s="907">
        <f>SUBTOTAL(9,M1650:M1657)</f>
        <v>122686000</v>
      </c>
      <c r="N1649" s="907">
        <f>SUBTOTAL(9,N1650:N1657)</f>
        <v>0</v>
      </c>
      <c r="O1649" s="942"/>
      <c r="P1649" s="1063">
        <f>SUBTOTAL(9,P1650:P1657)</f>
        <v>0</v>
      </c>
      <c r="Q1649" s="907"/>
      <c r="R1649" s="907">
        <f>SUBTOTAL(9,R1650:R1657)</f>
        <v>0</v>
      </c>
      <c r="S1649" s="918"/>
      <c r="T1649" s="956"/>
      <c r="U1649" s="1064">
        <f>SUBTOTAL(9,U1650:U1657)</f>
        <v>0</v>
      </c>
      <c r="V1649" s="914"/>
      <c r="W1649" s="907"/>
      <c r="X1649" s="907">
        <f>SUBTOTAL(9,X1650:X1657)</f>
        <v>0</v>
      </c>
      <c r="Y1649" s="985"/>
      <c r="Z1649" s="922"/>
      <c r="AA1649" s="1067"/>
      <c r="AB1649" s="922"/>
      <c r="AC1649" s="922"/>
      <c r="AD1649" s="922"/>
      <c r="AE1649" s="914"/>
      <c r="AF1649" s="1044">
        <f>SUBTOTAL(9,AF1650:AF1657)</f>
        <v>0</v>
      </c>
      <c r="AG1649" s="921"/>
      <c r="AH1649" s="921">
        <f>SUBTOTAL(9,AH1650:AH1657)</f>
        <v>0</v>
      </c>
      <c r="AI1649" s="907">
        <f t="shared" si="353"/>
        <v>122686000</v>
      </c>
      <c r="AJ1649" s="914"/>
      <c r="AK1649" s="914"/>
    </row>
    <row r="1650" spans="1:37" s="396" customFormat="1" ht="135" outlineLevel="2" x14ac:dyDescent="0.3">
      <c r="A1650" s="447">
        <f>IF(B1649&lt;&gt;0,B1649,A1648)</f>
        <v>136</v>
      </c>
      <c r="B1650" s="893"/>
      <c r="C1650" s="908" t="s">
        <v>1171</v>
      </c>
      <c r="D1650" s="1032">
        <v>4</v>
      </c>
      <c r="E1650" s="947">
        <v>86</v>
      </c>
      <c r="F1650" s="947">
        <v>47</v>
      </c>
      <c r="G1650" s="922" t="s">
        <v>2870</v>
      </c>
      <c r="H1650" s="1041">
        <f>263.5-H1651</f>
        <v>263.5</v>
      </c>
      <c r="I1650" s="882" t="str">
        <f t="shared" ref="I1650" si="365">IF(N1650&gt;0,H1650,"")</f>
        <v/>
      </c>
      <c r="J1650" s="898"/>
      <c r="K1650" s="899">
        <f>IF(G1650&lt;&gt;0,VLOOKUP(G1650,'gia dat'!$A$1:$F$144,5,0)," ")</f>
        <v>465600</v>
      </c>
      <c r="L1650" s="899">
        <f>IF(G1650&lt;&gt;0,VLOOKUP(G1650,'gia dat'!$A$1:$F$144,6,0)," ")</f>
        <v>0</v>
      </c>
      <c r="M1650" s="900">
        <f t="shared" si="355"/>
        <v>122686000</v>
      </c>
      <c r="N1650" s="900">
        <f t="shared" si="356"/>
        <v>0</v>
      </c>
      <c r="O1650" s="908"/>
      <c r="P1650" s="1065"/>
      <c r="Q1650" s="900" t="str">
        <f>IF(O1650&lt;&gt;0,VLOOKUP(O1650,'Cây trong'!$A$2:$C$246,3,0)," ")</f>
        <v xml:space="preserve"> </v>
      </c>
      <c r="R1650" s="900" t="str">
        <f t="shared" si="363"/>
        <v xml:space="preserve"> </v>
      </c>
      <c r="S1650" s="902"/>
      <c r="T1650" s="944"/>
      <c r="U1650" s="1066"/>
      <c r="V1650" s="922"/>
      <c r="W1650" s="900" t="str">
        <f>IF(S1650&lt;&gt;0,VLOOKUP(S1650,VKT!$A$2:$G$415,7,0),"")</f>
        <v/>
      </c>
      <c r="X1650" s="900" t="str">
        <f t="shared" si="351"/>
        <v xml:space="preserve"> </v>
      </c>
      <c r="Y1650" s="985"/>
      <c r="Z1650" s="922"/>
      <c r="AA1650" s="1067"/>
      <c r="AB1650" s="922"/>
      <c r="AC1650" s="922"/>
      <c r="AD1650" s="922"/>
      <c r="AE1650" s="922"/>
      <c r="AF1650" s="1046"/>
      <c r="AG1650" s="906" t="str">
        <f>IF(AE1650&lt;&gt;0,VLOOKUP(AE1650,ODDS!$A$2:$C$13,3,0),"")</f>
        <v/>
      </c>
      <c r="AH1650" s="906"/>
      <c r="AI1650" s="907" t="str">
        <f t="shared" si="353"/>
        <v xml:space="preserve"> </v>
      </c>
      <c r="AJ1650" s="922" t="s">
        <v>1170</v>
      </c>
      <c r="AK1650" s="922" t="s">
        <v>2771</v>
      </c>
    </row>
    <row r="1651" spans="1:37" s="394" customFormat="1" ht="45" outlineLevel="2" x14ac:dyDescent="0.3">
      <c r="A1651" s="447">
        <f t="shared" ref="A1651:A1657" si="366">IF(B1650&lt;&gt;0,B1650,A1650)</f>
        <v>136</v>
      </c>
      <c r="B1651" s="893"/>
      <c r="C1651" s="942" t="s">
        <v>1173</v>
      </c>
      <c r="D1651" s="1032"/>
      <c r="E1651" s="947"/>
      <c r="F1651" s="947"/>
      <c r="G1651" s="922"/>
      <c r="H1651" s="1041"/>
      <c r="I1651" s="882"/>
      <c r="J1651" s="898"/>
      <c r="K1651" s="899" t="str">
        <f>IF(G1651&lt;&gt;0,VLOOKUP(G1651,'gia dat'!$A$1:$F$144,5,0)," ")</f>
        <v xml:space="preserve"> </v>
      </c>
      <c r="L1651" s="899" t="str">
        <f>IF(G1651&lt;&gt;0,VLOOKUP(G1651,'gia dat'!$A$1:$F$144,6,0)," ")</f>
        <v xml:space="preserve"> </v>
      </c>
      <c r="M1651" s="900" t="str">
        <f t="shared" si="355"/>
        <v xml:space="preserve"> </v>
      </c>
      <c r="N1651" s="900" t="str">
        <f t="shared" si="356"/>
        <v xml:space="preserve"> </v>
      </c>
      <c r="O1651" s="908"/>
      <c r="P1651" s="1065"/>
      <c r="Q1651" s="900" t="str">
        <f>IF(O1651&lt;&gt;0,VLOOKUP(O1651,'Cây trong'!$A$2:$C$246,3,0)," ")</f>
        <v xml:space="preserve"> </v>
      </c>
      <c r="R1651" s="900" t="str">
        <f t="shared" si="363"/>
        <v xml:space="preserve"> </v>
      </c>
      <c r="S1651" s="902"/>
      <c r="T1651" s="944"/>
      <c r="U1651" s="1066"/>
      <c r="V1651" s="922"/>
      <c r="W1651" s="900" t="str">
        <f>IF(S1651&lt;&gt;0,VLOOKUP(S1651,VKT!$A$2:$G$415,7,0),"")</f>
        <v/>
      </c>
      <c r="X1651" s="900" t="str">
        <f t="shared" si="351"/>
        <v xml:space="preserve"> </v>
      </c>
      <c r="Y1651" s="985"/>
      <c r="Z1651" s="922"/>
      <c r="AA1651" s="1067"/>
      <c r="AB1651" s="922"/>
      <c r="AC1651" s="922"/>
      <c r="AD1651" s="922"/>
      <c r="AE1651" s="922"/>
      <c r="AF1651" s="1046"/>
      <c r="AG1651" s="906" t="str">
        <f>IF(AE1651&lt;&gt;0,VLOOKUP(AE1651,ODDS!$A$2:$C$13,3,0),"")</f>
        <v/>
      </c>
      <c r="AH1651" s="906" t="str">
        <f t="shared" si="364"/>
        <v xml:space="preserve"> </v>
      </c>
      <c r="AI1651" s="907" t="str">
        <f t="shared" si="353"/>
        <v xml:space="preserve"> </v>
      </c>
      <c r="AJ1651" s="922" t="s">
        <v>1172</v>
      </c>
      <c r="AK1651" s="922"/>
    </row>
    <row r="1652" spans="1:37" s="394" customFormat="1" ht="157.5" outlineLevel="2" x14ac:dyDescent="0.3">
      <c r="A1652" s="447">
        <f t="shared" si="366"/>
        <v>136</v>
      </c>
      <c r="B1652" s="893"/>
      <c r="C1652" s="908" t="s">
        <v>1175</v>
      </c>
      <c r="D1652" s="1032"/>
      <c r="E1652" s="947"/>
      <c r="F1652" s="947"/>
      <c r="G1652" s="922"/>
      <c r="H1652" s="1041"/>
      <c r="I1652" s="882"/>
      <c r="J1652" s="898"/>
      <c r="K1652" s="899" t="str">
        <f>IF(G1652&lt;&gt;0,VLOOKUP(G1652,'gia dat'!$A$1:$F$144,5,0)," ")</f>
        <v xml:space="preserve"> </v>
      </c>
      <c r="L1652" s="899" t="str">
        <f>IF(G1652&lt;&gt;0,VLOOKUP(G1652,'gia dat'!$A$1:$F$144,6,0)," ")</f>
        <v xml:space="preserve"> </v>
      </c>
      <c r="M1652" s="900" t="str">
        <f t="shared" si="355"/>
        <v xml:space="preserve"> </v>
      </c>
      <c r="N1652" s="900" t="str">
        <f t="shared" si="356"/>
        <v xml:space="preserve"> </v>
      </c>
      <c r="O1652" s="908"/>
      <c r="P1652" s="1065"/>
      <c r="Q1652" s="900" t="str">
        <f>IF(O1652&lt;&gt;0,VLOOKUP(O1652,'Cây trong'!$A$2:$C$246,3,0)," ")</f>
        <v xml:space="preserve"> </v>
      </c>
      <c r="R1652" s="900" t="str">
        <f t="shared" si="363"/>
        <v xml:space="preserve"> </v>
      </c>
      <c r="S1652" s="902"/>
      <c r="T1652" s="944"/>
      <c r="U1652" s="1066"/>
      <c r="V1652" s="922"/>
      <c r="W1652" s="900" t="str">
        <f>IF(S1652&lt;&gt;0,VLOOKUP(S1652,VKT!$A$2:$G$415,7,0),"")</f>
        <v/>
      </c>
      <c r="X1652" s="900" t="str">
        <f t="shared" si="351"/>
        <v xml:space="preserve"> </v>
      </c>
      <c r="Y1652" s="985"/>
      <c r="Z1652" s="922"/>
      <c r="AA1652" s="1067"/>
      <c r="AB1652" s="922"/>
      <c r="AC1652" s="922"/>
      <c r="AD1652" s="922"/>
      <c r="AE1652" s="922"/>
      <c r="AF1652" s="1046"/>
      <c r="AG1652" s="906" t="str">
        <f>IF(AE1652&lt;&gt;0,VLOOKUP(AE1652,ODDS!$A$2:$C$13,3,0),"")</f>
        <v/>
      </c>
      <c r="AH1652" s="906" t="str">
        <f t="shared" si="364"/>
        <v xml:space="preserve"> </v>
      </c>
      <c r="AI1652" s="907" t="str">
        <f t="shared" si="353"/>
        <v xml:space="preserve"> </v>
      </c>
      <c r="AJ1652" s="922" t="s">
        <v>2237</v>
      </c>
      <c r="AK1652" s="894"/>
    </row>
    <row r="1653" spans="1:37" s="394" customFormat="1" ht="90" outlineLevel="2" x14ac:dyDescent="0.35">
      <c r="A1653" s="447">
        <f t="shared" si="366"/>
        <v>136</v>
      </c>
      <c r="B1653" s="893"/>
      <c r="C1653" s="908" t="s">
        <v>1599</v>
      </c>
      <c r="D1653" s="1032"/>
      <c r="E1653" s="947"/>
      <c r="F1653" s="947"/>
      <c r="G1653" s="908"/>
      <c r="H1653" s="1041"/>
      <c r="I1653" s="882"/>
      <c r="J1653" s="894"/>
      <c r="K1653" s="899" t="str">
        <f>IF(G1653&lt;&gt;0,VLOOKUP(G1653,'gia dat'!$A$1:$F$144,5,0)," ")</f>
        <v xml:space="preserve"> </v>
      </c>
      <c r="L1653" s="899" t="str">
        <f>IF(G1653&lt;&gt;0,VLOOKUP(G1653,'gia dat'!$A$1:$F$144,6,0)," ")</f>
        <v xml:space="preserve"> </v>
      </c>
      <c r="M1653" s="900" t="str">
        <f t="shared" si="355"/>
        <v xml:space="preserve"> </v>
      </c>
      <c r="N1653" s="900" t="str">
        <f t="shared" si="356"/>
        <v xml:space="preserve"> </v>
      </c>
      <c r="O1653" s="908"/>
      <c r="P1653" s="1065"/>
      <c r="Q1653" s="900" t="str">
        <f>IF(O1653&lt;&gt;0,VLOOKUP(O1653,'Cây trong'!$A$2:$C$246,3,0)," ")</f>
        <v xml:space="preserve"> </v>
      </c>
      <c r="R1653" s="900" t="str">
        <f t="shared" si="363"/>
        <v xml:space="preserve"> </v>
      </c>
      <c r="S1653" s="908"/>
      <c r="T1653" s="944"/>
      <c r="U1653" s="1066"/>
      <c r="V1653" s="922"/>
      <c r="W1653" s="900" t="str">
        <f>IF(S1653&lt;&gt;0,VLOOKUP(S1653,VKT!$A$2:$G$415,7,0),"")</f>
        <v/>
      </c>
      <c r="X1653" s="900" t="str">
        <f t="shared" si="351"/>
        <v xml:space="preserve"> </v>
      </c>
      <c r="Y1653" s="985"/>
      <c r="Z1653" s="922"/>
      <c r="AA1653" s="1067"/>
      <c r="AB1653" s="922"/>
      <c r="AC1653" s="922"/>
      <c r="AD1653" s="922"/>
      <c r="AE1653" s="922"/>
      <c r="AF1653" s="1046"/>
      <c r="AG1653" s="906" t="str">
        <f>IF(AE1653&lt;&gt;0,VLOOKUP(AE1653,ODDS!$A$2:$C$13,3,0),"")</f>
        <v/>
      </c>
      <c r="AH1653" s="906" t="str">
        <f t="shared" si="364"/>
        <v xml:space="preserve"> </v>
      </c>
      <c r="AI1653" s="907" t="str">
        <f t="shared" si="353"/>
        <v xml:space="preserve"> </v>
      </c>
      <c r="AJ1653" s="1068"/>
      <c r="AK1653" s="922"/>
    </row>
    <row r="1654" spans="1:37" s="394" customFormat="1" ht="22.5" outlineLevel="2" x14ac:dyDescent="0.3">
      <c r="A1654" s="447">
        <f t="shared" si="366"/>
        <v>136</v>
      </c>
      <c r="B1654" s="893"/>
      <c r="C1654" s="908"/>
      <c r="D1654" s="1032"/>
      <c r="E1654" s="947"/>
      <c r="F1654" s="947"/>
      <c r="G1654" s="922"/>
      <c r="H1654" s="1041"/>
      <c r="I1654" s="882"/>
      <c r="J1654" s="894"/>
      <c r="K1654" s="899" t="str">
        <f>IF(G1654&lt;&gt;0,VLOOKUP(G1654,'gia dat'!$A$1:$F$144,5,0)," ")</f>
        <v xml:space="preserve"> </v>
      </c>
      <c r="L1654" s="899" t="str">
        <f>IF(G1654&lt;&gt;0,VLOOKUP(G1654,'gia dat'!$A$1:$F$144,6,0)," ")</f>
        <v xml:space="preserve"> </v>
      </c>
      <c r="M1654" s="900" t="str">
        <f t="shared" si="355"/>
        <v xml:space="preserve"> </v>
      </c>
      <c r="N1654" s="900" t="str">
        <f t="shared" si="356"/>
        <v xml:space="preserve"> </v>
      </c>
      <c r="O1654" s="908"/>
      <c r="P1654" s="1065"/>
      <c r="Q1654" s="900" t="str">
        <f>IF(O1654&lt;&gt;0,VLOOKUP(O1654,'Cây trong'!$A$2:$C$246,3,0)," ")</f>
        <v xml:space="preserve"> </v>
      </c>
      <c r="R1654" s="900" t="str">
        <f t="shared" si="363"/>
        <v xml:space="preserve"> </v>
      </c>
      <c r="S1654" s="908"/>
      <c r="T1654" s="944"/>
      <c r="U1654" s="1066"/>
      <c r="V1654" s="922"/>
      <c r="W1654" s="900" t="str">
        <f>IF(S1654&lt;&gt;0,VLOOKUP(S1654,VKT!$A$2:$G$415,7,0),"")</f>
        <v/>
      </c>
      <c r="X1654" s="900" t="str">
        <f t="shared" si="351"/>
        <v xml:space="preserve"> </v>
      </c>
      <c r="Y1654" s="985"/>
      <c r="Z1654" s="922"/>
      <c r="AA1654" s="1067"/>
      <c r="AB1654" s="922"/>
      <c r="AC1654" s="922"/>
      <c r="AD1654" s="922"/>
      <c r="AE1654" s="922"/>
      <c r="AF1654" s="1046"/>
      <c r="AG1654" s="906" t="str">
        <f>IF(AE1654&lt;&gt;0,VLOOKUP(AE1654,ODDS!$A$2:$C$13,3,0),"")</f>
        <v/>
      </c>
      <c r="AH1654" s="906" t="str">
        <f t="shared" si="364"/>
        <v xml:space="preserve"> </v>
      </c>
      <c r="AI1654" s="907" t="str">
        <f t="shared" si="353"/>
        <v xml:space="preserve"> </v>
      </c>
      <c r="AJ1654" s="894"/>
      <c r="AK1654" s="894"/>
    </row>
    <row r="1655" spans="1:37" s="394" customFormat="1" ht="22.5" outlineLevel="2" x14ac:dyDescent="0.3">
      <c r="A1655" s="447">
        <f t="shared" si="366"/>
        <v>136</v>
      </c>
      <c r="B1655" s="893"/>
      <c r="C1655" s="908"/>
      <c r="D1655" s="1032"/>
      <c r="E1655" s="947"/>
      <c r="F1655" s="947"/>
      <c r="G1655" s="922"/>
      <c r="H1655" s="1041"/>
      <c r="I1655" s="882"/>
      <c r="J1655" s="894"/>
      <c r="K1655" s="899" t="str">
        <f>IF(G1655&lt;&gt;0,VLOOKUP(G1655,'gia dat'!$A$1:$F$144,5,0)," ")</f>
        <v xml:space="preserve"> </v>
      </c>
      <c r="L1655" s="899" t="str">
        <f>IF(G1655&lt;&gt;0,VLOOKUP(G1655,'gia dat'!$A$1:$F$144,6,0)," ")</f>
        <v xml:space="preserve"> </v>
      </c>
      <c r="M1655" s="900" t="str">
        <f t="shared" si="355"/>
        <v xml:space="preserve"> </v>
      </c>
      <c r="N1655" s="900" t="str">
        <f t="shared" si="356"/>
        <v xml:space="preserve"> </v>
      </c>
      <c r="O1655" s="908"/>
      <c r="P1655" s="1065"/>
      <c r="Q1655" s="900" t="str">
        <f>IF(O1655&lt;&gt;0,VLOOKUP(O1655,'Cây trong'!$A$2:$C$246,3,0)," ")</f>
        <v xml:space="preserve"> </v>
      </c>
      <c r="R1655" s="900" t="str">
        <f t="shared" si="363"/>
        <v xml:space="preserve"> </v>
      </c>
      <c r="S1655" s="908"/>
      <c r="T1655" s="944"/>
      <c r="U1655" s="1066"/>
      <c r="V1655" s="922"/>
      <c r="W1655" s="900" t="str">
        <f>IF(S1655&lt;&gt;0,VLOOKUP(S1655,VKT!$A$2:$G$415,7,0),"")</f>
        <v/>
      </c>
      <c r="X1655" s="900" t="str">
        <f t="shared" si="351"/>
        <v xml:space="preserve"> </v>
      </c>
      <c r="Y1655" s="985"/>
      <c r="Z1655" s="922"/>
      <c r="AA1655" s="1067"/>
      <c r="AB1655" s="922"/>
      <c r="AC1655" s="922"/>
      <c r="AD1655" s="922"/>
      <c r="AE1655" s="922"/>
      <c r="AF1655" s="1046"/>
      <c r="AG1655" s="906" t="str">
        <f>IF(AE1655&lt;&gt;0,VLOOKUP(AE1655,ODDS!$A$2:$C$13,3,0),"")</f>
        <v/>
      </c>
      <c r="AH1655" s="906" t="str">
        <f t="shared" si="364"/>
        <v xml:space="preserve"> </v>
      </c>
      <c r="AI1655" s="907" t="str">
        <f t="shared" si="353"/>
        <v xml:space="preserve"> </v>
      </c>
      <c r="AJ1655" s="922"/>
      <c r="AK1655" s="922"/>
    </row>
    <row r="1656" spans="1:37" s="394" customFormat="1" ht="22.5" outlineLevel="2" x14ac:dyDescent="0.3">
      <c r="A1656" s="447">
        <f t="shared" si="366"/>
        <v>136</v>
      </c>
      <c r="B1656" s="893"/>
      <c r="C1656" s="908"/>
      <c r="D1656" s="1032"/>
      <c r="E1656" s="947"/>
      <c r="F1656" s="947"/>
      <c r="G1656" s="922"/>
      <c r="H1656" s="1041"/>
      <c r="I1656" s="882"/>
      <c r="J1656" s="894"/>
      <c r="K1656" s="899" t="str">
        <f>IF(G1656&lt;&gt;0,VLOOKUP(G1656,'gia dat'!$A$1:$F$144,5,0)," ")</f>
        <v xml:space="preserve"> </v>
      </c>
      <c r="L1656" s="899" t="str">
        <f>IF(G1656&lt;&gt;0,VLOOKUP(G1656,'gia dat'!$A$1:$F$144,6,0)," ")</f>
        <v xml:space="preserve"> </v>
      </c>
      <c r="M1656" s="900" t="str">
        <f t="shared" si="355"/>
        <v xml:space="preserve"> </v>
      </c>
      <c r="N1656" s="900" t="str">
        <f t="shared" si="356"/>
        <v xml:space="preserve"> </v>
      </c>
      <c r="O1656" s="908"/>
      <c r="P1656" s="1065"/>
      <c r="Q1656" s="900" t="str">
        <f>IF(O1656&lt;&gt;0,VLOOKUP(O1656,'Cây trong'!$A$2:$C$246,3,0)," ")</f>
        <v xml:space="preserve"> </v>
      </c>
      <c r="R1656" s="900" t="str">
        <f t="shared" si="363"/>
        <v xml:space="preserve"> </v>
      </c>
      <c r="S1656" s="908"/>
      <c r="T1656" s="944"/>
      <c r="U1656" s="1066"/>
      <c r="V1656" s="922"/>
      <c r="W1656" s="900" t="str">
        <f>IF(S1656&lt;&gt;0,VLOOKUP(S1656,VKT!$A$2:$G$415,7,0),"")</f>
        <v/>
      </c>
      <c r="X1656" s="900" t="str">
        <f t="shared" si="351"/>
        <v xml:space="preserve"> </v>
      </c>
      <c r="Y1656" s="985"/>
      <c r="Z1656" s="922"/>
      <c r="AA1656" s="1067"/>
      <c r="AB1656" s="922"/>
      <c r="AC1656" s="922"/>
      <c r="AD1656" s="922"/>
      <c r="AE1656" s="922"/>
      <c r="AF1656" s="1046"/>
      <c r="AG1656" s="906" t="str">
        <f>IF(AE1656&lt;&gt;0,VLOOKUP(AE1656,ODDS!$A$2:$C$13,3,0),"")</f>
        <v/>
      </c>
      <c r="AH1656" s="906" t="str">
        <f t="shared" si="364"/>
        <v xml:space="preserve"> </v>
      </c>
      <c r="AI1656" s="907" t="str">
        <f t="shared" si="353"/>
        <v xml:space="preserve"> </v>
      </c>
      <c r="AJ1656" s="922"/>
      <c r="AK1656" s="922"/>
    </row>
    <row r="1657" spans="1:37" s="394" customFormat="1" ht="22.5" outlineLevel="2" x14ac:dyDescent="0.3">
      <c r="A1657" s="447">
        <f t="shared" si="366"/>
        <v>136</v>
      </c>
      <c r="B1657" s="893"/>
      <c r="C1657" s="942"/>
      <c r="D1657" s="1032"/>
      <c r="E1657" s="947"/>
      <c r="F1657" s="947"/>
      <c r="G1657" s="922"/>
      <c r="H1657" s="1041"/>
      <c r="I1657" s="882"/>
      <c r="J1657" s="894"/>
      <c r="K1657" s="899" t="str">
        <f>IF(G1657&lt;&gt;0,VLOOKUP(G1657,'gia dat'!$A$1:$F$144,5,0)," ")</f>
        <v xml:space="preserve"> </v>
      </c>
      <c r="L1657" s="899" t="str">
        <f>IF(G1657&lt;&gt;0,VLOOKUP(G1657,'gia dat'!$A$1:$F$144,6,0)," ")</f>
        <v xml:space="preserve"> </v>
      </c>
      <c r="M1657" s="900" t="str">
        <f t="shared" si="355"/>
        <v xml:space="preserve"> </v>
      </c>
      <c r="N1657" s="900" t="str">
        <f t="shared" si="356"/>
        <v xml:space="preserve"> </v>
      </c>
      <c r="O1657" s="908"/>
      <c r="P1657" s="1065"/>
      <c r="Q1657" s="900" t="str">
        <f>IF(O1657&lt;&gt;0,VLOOKUP(O1657,'Cây trong'!$A$2:$C$246,3,0)," ")</f>
        <v xml:space="preserve"> </v>
      </c>
      <c r="R1657" s="900" t="str">
        <f t="shared" si="363"/>
        <v xml:space="preserve"> </v>
      </c>
      <c r="S1657" s="908"/>
      <c r="T1657" s="944"/>
      <c r="U1657" s="1066"/>
      <c r="V1657" s="922"/>
      <c r="W1657" s="900" t="str">
        <f>IF(S1657&lt;&gt;0,VLOOKUP(S1657,VKT!$A$2:$G$415,7,0),"")</f>
        <v/>
      </c>
      <c r="X1657" s="900" t="str">
        <f t="shared" si="351"/>
        <v xml:space="preserve"> </v>
      </c>
      <c r="Y1657" s="985"/>
      <c r="Z1657" s="922"/>
      <c r="AA1657" s="1067"/>
      <c r="AB1657" s="922"/>
      <c r="AC1657" s="922"/>
      <c r="AD1657" s="922"/>
      <c r="AE1657" s="922"/>
      <c r="AF1657" s="1046"/>
      <c r="AG1657" s="906" t="str">
        <f>IF(AE1657&lt;&gt;0,VLOOKUP(AE1657,ODDS!$A$2:$C$13,3,0),"")</f>
        <v/>
      </c>
      <c r="AH1657" s="906" t="str">
        <f t="shared" si="364"/>
        <v xml:space="preserve"> </v>
      </c>
      <c r="AI1657" s="907" t="str">
        <f t="shared" si="353"/>
        <v xml:space="preserve"> </v>
      </c>
      <c r="AJ1657" s="922"/>
      <c r="AK1657" s="922"/>
    </row>
    <row r="1658" spans="1:37" s="394" customFormat="1" ht="43.5" outlineLevel="1" x14ac:dyDescent="0.25">
      <c r="A1658" s="467" t="s">
        <v>2573</v>
      </c>
      <c r="B1658" s="912">
        <v>137</v>
      </c>
      <c r="C1658" s="942" t="s">
        <v>1176</v>
      </c>
      <c r="D1658" s="1038"/>
      <c r="E1658" s="977"/>
      <c r="F1658" s="977"/>
      <c r="G1658" s="914"/>
      <c r="H1658" s="1039">
        <f>SUBTOTAL(9,H1659:H1665)</f>
        <v>0</v>
      </c>
      <c r="I1658" s="915">
        <f>SUBTOTAL(9,I1659:I1664)</f>
        <v>0</v>
      </c>
      <c r="J1658" s="916"/>
      <c r="K1658" s="917"/>
      <c r="L1658" s="917"/>
      <c r="M1658" s="907">
        <f>SUBTOTAL(9,M1659:M1665)</f>
        <v>0</v>
      </c>
      <c r="N1658" s="907">
        <f>SUBTOTAL(9,N1659:N1665)</f>
        <v>0</v>
      </c>
      <c r="O1658" s="942"/>
      <c r="P1658" s="1063">
        <f>SUBTOTAL(9,P1659:P1665)</f>
        <v>0</v>
      </c>
      <c r="Q1658" s="907"/>
      <c r="R1658" s="907">
        <f>SUBTOTAL(9,R1659:R1665)</f>
        <v>0</v>
      </c>
      <c r="S1658" s="918"/>
      <c r="T1658" s="956"/>
      <c r="U1658" s="1064">
        <f>SUBTOTAL(9,U1659:U1665)</f>
        <v>2</v>
      </c>
      <c r="V1658" s="914"/>
      <c r="W1658" s="907"/>
      <c r="X1658" s="907">
        <f>SUBTOTAL(9,X1659:X1665)</f>
        <v>0</v>
      </c>
      <c r="Y1658" s="985"/>
      <c r="Z1658" s="922"/>
      <c r="AA1658" s="1067"/>
      <c r="AB1658" s="922"/>
      <c r="AC1658" s="922"/>
      <c r="AD1658" s="922"/>
      <c r="AE1658" s="914"/>
      <c r="AF1658" s="1044">
        <f>SUBTOTAL(9,AF1659:AF1665)</f>
        <v>0</v>
      </c>
      <c r="AG1658" s="921"/>
      <c r="AH1658" s="921">
        <f>SUBTOTAL(9,AH1659:AH1665)</f>
        <v>0</v>
      </c>
      <c r="AI1658" s="907">
        <f t="shared" si="353"/>
        <v>0</v>
      </c>
      <c r="AJ1658" s="914"/>
      <c r="AK1658" s="914"/>
    </row>
    <row r="1659" spans="1:37" s="394" customFormat="1" ht="45" outlineLevel="2" x14ac:dyDescent="0.3">
      <c r="A1659" s="447">
        <f>IF(B1658&lt;&gt;0,B1658,A1657)</f>
        <v>137</v>
      </c>
      <c r="B1659" s="893"/>
      <c r="C1659" s="908" t="s">
        <v>1179</v>
      </c>
      <c r="D1659" s="1032"/>
      <c r="E1659" s="947"/>
      <c r="F1659" s="947"/>
      <c r="G1659" s="922"/>
      <c r="H1659" s="1041"/>
      <c r="I1659" s="882"/>
      <c r="J1659" s="898"/>
      <c r="K1659" s="899" t="str">
        <f>IF(G1659&lt;&gt;0,VLOOKUP(G1659,'gia dat'!$A$1:$F$144,5,0)," ")</f>
        <v xml:space="preserve"> </v>
      </c>
      <c r="L1659" s="899" t="str">
        <f>IF(G1659&lt;&gt;0,VLOOKUP(G1659,'gia dat'!$A$1:$F$144,6,0)," ")</f>
        <v xml:space="preserve"> </v>
      </c>
      <c r="M1659" s="900" t="str">
        <f t="shared" si="355"/>
        <v xml:space="preserve"> </v>
      </c>
      <c r="N1659" s="900" t="str">
        <f t="shared" si="356"/>
        <v xml:space="preserve"> </v>
      </c>
      <c r="O1659" s="908"/>
      <c r="P1659" s="1065"/>
      <c r="Q1659" s="900" t="str">
        <f>IF(O1659&lt;&gt;0,VLOOKUP(O1659,'Cây trong'!$A$2:$C$246,3,0)," ")</f>
        <v xml:space="preserve"> </v>
      </c>
      <c r="R1659" s="900" t="str">
        <f t="shared" si="363"/>
        <v xml:space="preserve"> </v>
      </c>
      <c r="S1659" s="902" t="s">
        <v>1177</v>
      </c>
      <c r="T1659" s="944" t="s">
        <v>93</v>
      </c>
      <c r="U1659" s="1066">
        <v>1</v>
      </c>
      <c r="V1659" s="922"/>
      <c r="W1659" s="900">
        <f>IF(S1659&lt;&gt;0,VLOOKUP(S1659,VKT!$A$2:$G$415,7,0),"")</f>
        <v>0</v>
      </c>
      <c r="X1659" s="900">
        <f t="shared" si="351"/>
        <v>0</v>
      </c>
      <c r="Y1659" s="985"/>
      <c r="Z1659" s="922"/>
      <c r="AA1659" s="1067"/>
      <c r="AB1659" s="922"/>
      <c r="AC1659" s="922"/>
      <c r="AD1659" s="922"/>
      <c r="AE1659" s="922"/>
      <c r="AF1659" s="1046"/>
      <c r="AG1659" s="906" t="str">
        <f>IF(AE1659&lt;&gt;0,VLOOKUP(AE1659,ODDS!$A$2:$C$13,3,0),"")</f>
        <v/>
      </c>
      <c r="AH1659" s="906" t="str">
        <f t="shared" si="364"/>
        <v xml:space="preserve"> </v>
      </c>
      <c r="AI1659" s="907" t="str">
        <f t="shared" si="353"/>
        <v xml:space="preserve"> </v>
      </c>
      <c r="AJ1659" s="922" t="s">
        <v>1178</v>
      </c>
      <c r="AK1659" s="922"/>
    </row>
    <row r="1660" spans="1:37" s="394" customFormat="1" ht="112.5" outlineLevel="2" x14ac:dyDescent="0.3">
      <c r="A1660" s="447">
        <f t="shared" ref="A1660:A1665" si="367">IF(B1659&lt;&gt;0,B1659,A1659)</f>
        <v>137</v>
      </c>
      <c r="B1660" s="893"/>
      <c r="C1660" s="908" t="s">
        <v>1600</v>
      </c>
      <c r="D1660" s="1032"/>
      <c r="E1660" s="947"/>
      <c r="F1660" s="947"/>
      <c r="G1660" s="922"/>
      <c r="H1660" s="1041"/>
      <c r="I1660" s="882"/>
      <c r="J1660" s="898"/>
      <c r="K1660" s="899" t="str">
        <f>IF(G1660&lt;&gt;0,VLOOKUP(G1660,'gia dat'!$A$1:$F$144,5,0)," ")</f>
        <v xml:space="preserve"> </v>
      </c>
      <c r="L1660" s="899" t="str">
        <f>IF(G1660&lt;&gt;0,VLOOKUP(G1660,'gia dat'!$A$1:$F$144,6,0)," ")</f>
        <v xml:space="preserve"> </v>
      </c>
      <c r="M1660" s="900" t="str">
        <f t="shared" si="355"/>
        <v xml:space="preserve"> </v>
      </c>
      <c r="N1660" s="900" t="str">
        <f t="shared" si="356"/>
        <v xml:space="preserve"> </v>
      </c>
      <c r="O1660" s="908"/>
      <c r="P1660" s="1065"/>
      <c r="Q1660" s="900" t="str">
        <f>IF(O1660&lt;&gt;0,VLOOKUP(O1660,'Cây trong'!$A$2:$C$246,3,0)," ")</f>
        <v xml:space="preserve"> </v>
      </c>
      <c r="R1660" s="900" t="str">
        <f t="shared" si="363"/>
        <v xml:space="preserve"> </v>
      </c>
      <c r="S1660" s="902" t="s">
        <v>1180</v>
      </c>
      <c r="T1660" s="944" t="s">
        <v>93</v>
      </c>
      <c r="U1660" s="1066">
        <v>1</v>
      </c>
      <c r="V1660" s="922"/>
      <c r="W1660" s="900">
        <f>IF(S1660&lt;&gt;0,VLOOKUP(S1660,VKT!$A$2:$G$415,7,0),"")</f>
        <v>0</v>
      </c>
      <c r="X1660" s="900">
        <f t="shared" si="351"/>
        <v>0</v>
      </c>
      <c r="Y1660" s="985"/>
      <c r="Z1660" s="922"/>
      <c r="AA1660" s="1067"/>
      <c r="AB1660" s="922"/>
      <c r="AC1660" s="922"/>
      <c r="AD1660" s="922"/>
      <c r="AE1660" s="922"/>
      <c r="AF1660" s="1046"/>
      <c r="AG1660" s="906" t="str">
        <f>IF(AE1660&lt;&gt;0,VLOOKUP(AE1660,ODDS!$A$2:$C$13,3,0),"")</f>
        <v/>
      </c>
      <c r="AH1660" s="906" t="str">
        <f t="shared" si="364"/>
        <v xml:space="preserve"> </v>
      </c>
      <c r="AI1660" s="907" t="str">
        <f t="shared" si="353"/>
        <v xml:space="preserve"> </v>
      </c>
      <c r="AJ1660" s="922"/>
      <c r="AK1660" s="922"/>
    </row>
    <row r="1661" spans="1:37" s="394" customFormat="1" ht="22.5" outlineLevel="2" x14ac:dyDescent="0.3">
      <c r="A1661" s="447">
        <f t="shared" si="367"/>
        <v>137</v>
      </c>
      <c r="B1661" s="893"/>
      <c r="C1661" s="908"/>
      <c r="D1661" s="1032"/>
      <c r="E1661" s="947"/>
      <c r="F1661" s="947"/>
      <c r="G1661" s="922"/>
      <c r="H1661" s="1041"/>
      <c r="I1661" s="882"/>
      <c r="J1661" s="898"/>
      <c r="K1661" s="899" t="str">
        <f>IF(G1661&lt;&gt;0,VLOOKUP(G1661,'gia dat'!$A$1:$F$144,5,0)," ")</f>
        <v xml:space="preserve"> </v>
      </c>
      <c r="L1661" s="899" t="str">
        <f>IF(G1661&lt;&gt;0,VLOOKUP(G1661,'gia dat'!$A$1:$F$144,6,0)," ")</f>
        <v xml:space="preserve"> </v>
      </c>
      <c r="M1661" s="900" t="str">
        <f t="shared" si="355"/>
        <v xml:space="preserve"> </v>
      </c>
      <c r="N1661" s="900" t="str">
        <f t="shared" si="356"/>
        <v xml:space="preserve"> </v>
      </c>
      <c r="O1661" s="908"/>
      <c r="P1661" s="1065"/>
      <c r="Q1661" s="900" t="str">
        <f>IF(O1661&lt;&gt;0,VLOOKUP(O1661,'Cây trong'!$A$2:$C$246,3,0)," ")</f>
        <v xml:space="preserve"> </v>
      </c>
      <c r="R1661" s="900" t="str">
        <f t="shared" si="363"/>
        <v xml:space="preserve"> </v>
      </c>
      <c r="S1661" s="902"/>
      <c r="T1661" s="944"/>
      <c r="U1661" s="1066"/>
      <c r="V1661" s="922"/>
      <c r="W1661" s="900" t="str">
        <f>IF(S1661&lt;&gt;0,VLOOKUP(S1661,VKT!$A$2:$G$415,7,0),"")</f>
        <v/>
      </c>
      <c r="X1661" s="900" t="str">
        <f t="shared" si="351"/>
        <v xml:space="preserve"> </v>
      </c>
      <c r="Y1661" s="985"/>
      <c r="Z1661" s="922"/>
      <c r="AA1661" s="1067"/>
      <c r="AB1661" s="922"/>
      <c r="AC1661" s="922"/>
      <c r="AD1661" s="922"/>
      <c r="AE1661" s="922"/>
      <c r="AF1661" s="1046"/>
      <c r="AG1661" s="906" t="str">
        <f>IF(AE1661&lt;&gt;0,VLOOKUP(AE1661,ODDS!$A$2:$C$13,3,0),"")</f>
        <v/>
      </c>
      <c r="AH1661" s="906" t="str">
        <f t="shared" si="364"/>
        <v xml:space="preserve"> </v>
      </c>
      <c r="AI1661" s="907" t="str">
        <f t="shared" si="353"/>
        <v xml:space="preserve"> </v>
      </c>
      <c r="AJ1661" s="922"/>
      <c r="AK1661" s="922"/>
    </row>
    <row r="1662" spans="1:37" s="394" customFormat="1" ht="22.5" outlineLevel="2" x14ac:dyDescent="0.3">
      <c r="A1662" s="447">
        <f t="shared" si="367"/>
        <v>137</v>
      </c>
      <c r="B1662" s="893"/>
      <c r="C1662" s="908"/>
      <c r="D1662" s="1032"/>
      <c r="E1662" s="947"/>
      <c r="F1662" s="947"/>
      <c r="G1662" s="922"/>
      <c r="H1662" s="1041"/>
      <c r="I1662" s="882"/>
      <c r="J1662" s="898"/>
      <c r="K1662" s="899" t="str">
        <f>IF(G1662&lt;&gt;0,VLOOKUP(G1662,'gia dat'!$A$1:$F$144,5,0)," ")</f>
        <v xml:space="preserve"> </v>
      </c>
      <c r="L1662" s="899" t="str">
        <f>IF(G1662&lt;&gt;0,VLOOKUP(G1662,'gia dat'!$A$1:$F$144,6,0)," ")</f>
        <v xml:space="preserve"> </v>
      </c>
      <c r="M1662" s="900" t="str">
        <f t="shared" si="355"/>
        <v xml:space="preserve"> </v>
      </c>
      <c r="N1662" s="900" t="str">
        <f t="shared" si="356"/>
        <v xml:space="preserve"> </v>
      </c>
      <c r="O1662" s="908"/>
      <c r="P1662" s="1065"/>
      <c r="Q1662" s="900" t="str">
        <f>IF(O1662&lt;&gt;0,VLOOKUP(O1662,'Cây trong'!$A$2:$C$246,3,0)," ")</f>
        <v xml:space="preserve"> </v>
      </c>
      <c r="R1662" s="900" t="str">
        <f t="shared" si="363"/>
        <v xml:space="preserve"> </v>
      </c>
      <c r="S1662" s="902"/>
      <c r="T1662" s="944"/>
      <c r="U1662" s="1066"/>
      <c r="V1662" s="922"/>
      <c r="W1662" s="900" t="str">
        <f>IF(S1662&lt;&gt;0,VLOOKUP(S1662,VKT!$A$2:$G$415,7,0),"")</f>
        <v/>
      </c>
      <c r="X1662" s="900" t="str">
        <f t="shared" si="351"/>
        <v xml:space="preserve"> </v>
      </c>
      <c r="Y1662" s="985"/>
      <c r="Z1662" s="922"/>
      <c r="AA1662" s="1067"/>
      <c r="AB1662" s="922"/>
      <c r="AC1662" s="922"/>
      <c r="AD1662" s="922"/>
      <c r="AE1662" s="922"/>
      <c r="AF1662" s="1046"/>
      <c r="AG1662" s="906" t="str">
        <f>IF(AE1662&lt;&gt;0,VLOOKUP(AE1662,ODDS!$A$2:$C$13,3,0),"")</f>
        <v/>
      </c>
      <c r="AH1662" s="906" t="str">
        <f t="shared" si="364"/>
        <v xml:space="preserve"> </v>
      </c>
      <c r="AI1662" s="907" t="str">
        <f t="shared" si="353"/>
        <v xml:space="preserve"> </v>
      </c>
      <c r="AJ1662" s="922"/>
      <c r="AK1662" s="922"/>
    </row>
    <row r="1663" spans="1:37" s="394" customFormat="1" ht="22.5" outlineLevel="2" x14ac:dyDescent="0.3">
      <c r="A1663" s="447">
        <f t="shared" si="367"/>
        <v>137</v>
      </c>
      <c r="B1663" s="893"/>
      <c r="C1663" s="908"/>
      <c r="D1663" s="1032"/>
      <c r="E1663" s="947"/>
      <c r="F1663" s="947"/>
      <c r="G1663" s="922"/>
      <c r="H1663" s="1041"/>
      <c r="I1663" s="882"/>
      <c r="J1663" s="898"/>
      <c r="K1663" s="899" t="str">
        <f>IF(G1663&lt;&gt;0,VLOOKUP(G1663,'gia dat'!$A$1:$F$144,5,0)," ")</f>
        <v xml:space="preserve"> </v>
      </c>
      <c r="L1663" s="899" t="str">
        <f>IF(G1663&lt;&gt;0,VLOOKUP(G1663,'gia dat'!$A$1:$F$144,6,0)," ")</f>
        <v xml:space="preserve"> </v>
      </c>
      <c r="M1663" s="900" t="str">
        <f t="shared" si="355"/>
        <v xml:space="preserve"> </v>
      </c>
      <c r="N1663" s="900" t="str">
        <f t="shared" si="356"/>
        <v xml:space="preserve"> </v>
      </c>
      <c r="O1663" s="908"/>
      <c r="P1663" s="1065"/>
      <c r="Q1663" s="900" t="str">
        <f>IF(O1663&lt;&gt;0,VLOOKUP(O1663,'Cây trong'!$A$2:$C$246,3,0)," ")</f>
        <v xml:space="preserve"> </v>
      </c>
      <c r="R1663" s="900" t="str">
        <f t="shared" si="363"/>
        <v xml:space="preserve"> </v>
      </c>
      <c r="S1663" s="902"/>
      <c r="T1663" s="944"/>
      <c r="U1663" s="1066"/>
      <c r="V1663" s="922"/>
      <c r="W1663" s="900" t="str">
        <f>IF(S1663&lt;&gt;0,VLOOKUP(S1663,VKT!$A$2:$G$415,7,0),"")</f>
        <v/>
      </c>
      <c r="X1663" s="900" t="str">
        <f t="shared" si="351"/>
        <v xml:space="preserve"> </v>
      </c>
      <c r="Y1663" s="985"/>
      <c r="Z1663" s="922"/>
      <c r="AA1663" s="1067"/>
      <c r="AB1663" s="922"/>
      <c r="AC1663" s="922"/>
      <c r="AD1663" s="922"/>
      <c r="AE1663" s="922"/>
      <c r="AF1663" s="1046"/>
      <c r="AG1663" s="906" t="str">
        <f>IF(AE1663&lt;&gt;0,VLOOKUP(AE1663,ODDS!$A$2:$C$13,3,0),"")</f>
        <v/>
      </c>
      <c r="AH1663" s="906" t="str">
        <f t="shared" si="364"/>
        <v xml:space="preserve"> </v>
      </c>
      <c r="AI1663" s="907" t="str">
        <f t="shared" si="353"/>
        <v xml:space="preserve"> </v>
      </c>
      <c r="AJ1663" s="908"/>
      <c r="AK1663" s="908"/>
    </row>
    <row r="1664" spans="1:37" s="394" customFormat="1" ht="22.5" outlineLevel="2" x14ac:dyDescent="0.3">
      <c r="A1664" s="447">
        <f t="shared" si="367"/>
        <v>137</v>
      </c>
      <c r="B1664" s="893"/>
      <c r="C1664" s="908"/>
      <c r="D1664" s="1032"/>
      <c r="E1664" s="947"/>
      <c r="F1664" s="947"/>
      <c r="G1664" s="922"/>
      <c r="H1664" s="1041"/>
      <c r="I1664" s="882"/>
      <c r="J1664" s="898"/>
      <c r="K1664" s="899" t="str">
        <f>IF(G1664&lt;&gt;0,VLOOKUP(G1664,'gia dat'!$A$1:$F$144,5,0)," ")</f>
        <v xml:space="preserve"> </v>
      </c>
      <c r="L1664" s="899" t="str">
        <f>IF(G1664&lt;&gt;0,VLOOKUP(G1664,'gia dat'!$A$1:$F$144,6,0)," ")</f>
        <v xml:space="preserve"> </v>
      </c>
      <c r="M1664" s="900" t="str">
        <f t="shared" si="355"/>
        <v xml:space="preserve"> </v>
      </c>
      <c r="N1664" s="900" t="str">
        <f t="shared" si="356"/>
        <v xml:space="preserve"> </v>
      </c>
      <c r="O1664" s="908"/>
      <c r="P1664" s="1065"/>
      <c r="Q1664" s="900" t="str">
        <f>IF(O1664&lt;&gt;0,VLOOKUP(O1664,'Cây trong'!$A$2:$C$246,3,0)," ")</f>
        <v xml:space="preserve"> </v>
      </c>
      <c r="R1664" s="900" t="str">
        <f t="shared" si="363"/>
        <v xml:space="preserve"> </v>
      </c>
      <c r="S1664" s="902"/>
      <c r="T1664" s="944"/>
      <c r="U1664" s="1066"/>
      <c r="V1664" s="922"/>
      <c r="W1664" s="900" t="str">
        <f>IF(S1664&lt;&gt;0,VLOOKUP(S1664,VKT!$A$2:$G$415,7,0),"")</f>
        <v/>
      </c>
      <c r="X1664" s="900" t="str">
        <f t="shared" si="351"/>
        <v xml:space="preserve"> </v>
      </c>
      <c r="Y1664" s="985"/>
      <c r="Z1664" s="922"/>
      <c r="AA1664" s="1067"/>
      <c r="AB1664" s="922"/>
      <c r="AC1664" s="922"/>
      <c r="AD1664" s="922"/>
      <c r="AE1664" s="922"/>
      <c r="AF1664" s="1046"/>
      <c r="AG1664" s="906" t="str">
        <f>IF(AE1664&lt;&gt;0,VLOOKUP(AE1664,ODDS!$A$2:$C$13,3,0),"")</f>
        <v/>
      </c>
      <c r="AH1664" s="906" t="str">
        <f t="shared" si="364"/>
        <v xml:space="preserve"> </v>
      </c>
      <c r="AI1664" s="907" t="str">
        <f t="shared" si="353"/>
        <v xml:space="preserve"> </v>
      </c>
      <c r="AJ1664" s="922"/>
      <c r="AK1664" s="922"/>
    </row>
    <row r="1665" spans="1:37" s="394" customFormat="1" ht="22.5" outlineLevel="2" x14ac:dyDescent="0.3">
      <c r="A1665" s="447">
        <f t="shared" si="367"/>
        <v>137</v>
      </c>
      <c r="B1665" s="893"/>
      <c r="C1665" s="942"/>
      <c r="D1665" s="1032"/>
      <c r="E1665" s="947"/>
      <c r="F1665" s="947"/>
      <c r="G1665" s="922"/>
      <c r="H1665" s="1041"/>
      <c r="I1665" s="882"/>
      <c r="J1665" s="898"/>
      <c r="K1665" s="899" t="str">
        <f>IF(G1665&lt;&gt;0,VLOOKUP(G1665,'gia dat'!$A$1:$F$144,5,0)," ")</f>
        <v xml:space="preserve"> </v>
      </c>
      <c r="L1665" s="899" t="str">
        <f>IF(G1665&lt;&gt;0,VLOOKUP(G1665,'gia dat'!$A$1:$F$144,6,0)," ")</f>
        <v xml:space="preserve"> </v>
      </c>
      <c r="M1665" s="900" t="str">
        <f t="shared" si="355"/>
        <v xml:space="preserve"> </v>
      </c>
      <c r="N1665" s="900" t="str">
        <f t="shared" si="356"/>
        <v xml:space="preserve"> </v>
      </c>
      <c r="O1665" s="908"/>
      <c r="P1665" s="1065"/>
      <c r="Q1665" s="900" t="str">
        <f>IF(O1665&lt;&gt;0,VLOOKUP(O1665,'Cây trong'!$A$2:$C$246,3,0)," ")</f>
        <v xml:space="preserve"> </v>
      </c>
      <c r="R1665" s="900" t="str">
        <f t="shared" si="363"/>
        <v xml:space="preserve"> </v>
      </c>
      <c r="S1665" s="902"/>
      <c r="T1665" s="944"/>
      <c r="U1665" s="1066"/>
      <c r="V1665" s="922"/>
      <c r="W1665" s="900" t="str">
        <f>IF(S1665&lt;&gt;0,VLOOKUP(S1665,VKT!$A$2:$G$415,7,0),"")</f>
        <v/>
      </c>
      <c r="X1665" s="900" t="str">
        <f t="shared" si="351"/>
        <v xml:space="preserve"> </v>
      </c>
      <c r="Y1665" s="985"/>
      <c r="Z1665" s="922"/>
      <c r="AA1665" s="1067"/>
      <c r="AB1665" s="922"/>
      <c r="AC1665" s="922"/>
      <c r="AD1665" s="922"/>
      <c r="AE1665" s="922"/>
      <c r="AF1665" s="1046"/>
      <c r="AG1665" s="906" t="str">
        <f>IF(AE1665&lt;&gt;0,VLOOKUP(AE1665,ODDS!$A$2:$C$13,3,0),"")</f>
        <v/>
      </c>
      <c r="AH1665" s="906" t="str">
        <f t="shared" si="364"/>
        <v xml:space="preserve"> </v>
      </c>
      <c r="AI1665" s="907" t="str">
        <f t="shared" si="353"/>
        <v xml:space="preserve"> </v>
      </c>
      <c r="AJ1665" s="922"/>
      <c r="AK1665" s="922"/>
    </row>
    <row r="1666" spans="1:37" s="394" customFormat="1" ht="43.5" outlineLevel="1" x14ac:dyDescent="0.25">
      <c r="A1666" s="467" t="s">
        <v>2572</v>
      </c>
      <c r="B1666" s="912">
        <v>138</v>
      </c>
      <c r="C1666" s="942" t="s">
        <v>1448</v>
      </c>
      <c r="D1666" s="1038"/>
      <c r="E1666" s="977"/>
      <c r="F1666" s="977"/>
      <c r="G1666" s="914"/>
      <c r="H1666" s="1039">
        <f>SUBTOTAL(9,H1667:H1674)</f>
        <v>11.9</v>
      </c>
      <c r="I1666" s="915">
        <f>SUBTOTAL(9,I1667:I1672)</f>
        <v>11.9</v>
      </c>
      <c r="J1666" s="916"/>
      <c r="K1666" s="917"/>
      <c r="L1666" s="917"/>
      <c r="M1666" s="907">
        <f>SUBTOTAL(9,M1667:M1674)</f>
        <v>6597000</v>
      </c>
      <c r="N1666" s="907">
        <f>SUBTOTAL(9,N1667:N1674)</f>
        <v>19792000</v>
      </c>
      <c r="O1666" s="942"/>
      <c r="P1666" s="1063">
        <f>SUBTOTAL(9,P1667:P1674)</f>
        <v>0</v>
      </c>
      <c r="Q1666" s="907"/>
      <c r="R1666" s="907">
        <f>SUBTOTAL(9,R1667:R1674)</f>
        <v>0</v>
      </c>
      <c r="S1666" s="918"/>
      <c r="T1666" s="956"/>
      <c r="U1666" s="1064">
        <f>SUBTOTAL(9,U1667:U1674)</f>
        <v>0</v>
      </c>
      <c r="V1666" s="914"/>
      <c r="W1666" s="907"/>
      <c r="X1666" s="907">
        <f>SUBTOTAL(9,X1667:X1674)</f>
        <v>0</v>
      </c>
      <c r="Y1666" s="985"/>
      <c r="Z1666" s="922"/>
      <c r="AA1666" s="1067"/>
      <c r="AB1666" s="922"/>
      <c r="AC1666" s="922"/>
      <c r="AD1666" s="922"/>
      <c r="AE1666" s="914"/>
      <c r="AF1666" s="1044">
        <f>SUBTOTAL(9,AF1667:AF1674)</f>
        <v>0</v>
      </c>
      <c r="AG1666" s="921"/>
      <c r="AH1666" s="921">
        <f>SUBTOTAL(9,AH1667:AH1674)</f>
        <v>0</v>
      </c>
      <c r="AI1666" s="907">
        <f t="shared" si="353"/>
        <v>26389000</v>
      </c>
      <c r="AJ1666" s="914"/>
      <c r="AK1666" s="914"/>
    </row>
    <row r="1667" spans="1:37" s="394" customFormat="1" ht="337.5" outlineLevel="2" x14ac:dyDescent="0.3">
      <c r="A1667" s="447">
        <f>IF(B1666&lt;&gt;0,B1666,A1665)</f>
        <v>138</v>
      </c>
      <c r="B1667" s="893"/>
      <c r="C1667" s="908" t="s">
        <v>1450</v>
      </c>
      <c r="D1667" s="1032"/>
      <c r="E1667" s="947">
        <v>86</v>
      </c>
      <c r="F1667" s="947">
        <v>25</v>
      </c>
      <c r="G1667" s="922" t="s">
        <v>2420</v>
      </c>
      <c r="H1667" s="1041">
        <v>11.9</v>
      </c>
      <c r="I1667" s="882">
        <f t="shared" ref="I1667" si="368">IF(N1667&gt;0,H1667,"")</f>
        <v>11.9</v>
      </c>
      <c r="J1667" s="898"/>
      <c r="K1667" s="899">
        <f>IF(G1667&lt;&gt;0,VLOOKUP(G1667,'gia dat'!$A$1:$F$144,5,0)," ")</f>
        <v>554400</v>
      </c>
      <c r="L1667" s="899">
        <f>IF(G1667&lt;&gt;0,VLOOKUP(G1667,'gia dat'!$A$1:$F$144,6,0)," ")</f>
        <v>1663200</v>
      </c>
      <c r="M1667" s="900">
        <f t="shared" si="355"/>
        <v>6597000</v>
      </c>
      <c r="N1667" s="900">
        <f t="shared" si="356"/>
        <v>19792000</v>
      </c>
      <c r="O1667" s="908"/>
      <c r="P1667" s="1065"/>
      <c r="Q1667" s="900"/>
      <c r="R1667" s="900"/>
      <c r="S1667" s="902"/>
      <c r="T1667" s="944"/>
      <c r="U1667" s="1066"/>
      <c r="V1667" s="922"/>
      <c r="W1667" s="900"/>
      <c r="X1667" s="900"/>
      <c r="Y1667" s="985"/>
      <c r="Z1667" s="922"/>
      <c r="AA1667" s="1067"/>
      <c r="AB1667" s="922"/>
      <c r="AC1667" s="922"/>
      <c r="AD1667" s="922"/>
      <c r="AE1667" s="922"/>
      <c r="AF1667" s="1046"/>
      <c r="AG1667" s="906"/>
      <c r="AH1667" s="906"/>
      <c r="AI1667" s="907" t="str">
        <f t="shared" si="353"/>
        <v xml:space="preserve"> </v>
      </c>
      <c r="AJ1667" s="922" t="s">
        <v>2466</v>
      </c>
      <c r="AK1667" s="922" t="s">
        <v>2771</v>
      </c>
    </row>
    <row r="1668" spans="1:37" s="394" customFormat="1" ht="112.5" outlineLevel="2" x14ac:dyDescent="0.3">
      <c r="A1668" s="447">
        <f t="shared" ref="A1668:A1674" si="369">IF(B1667&lt;&gt;0,B1667,A1667)</f>
        <v>138</v>
      </c>
      <c r="B1668" s="893"/>
      <c r="C1668" s="908" t="s">
        <v>1634</v>
      </c>
      <c r="D1668" s="1032"/>
      <c r="E1668" s="947"/>
      <c r="F1668" s="947"/>
      <c r="G1668" s="922"/>
      <c r="H1668" s="1041"/>
      <c r="I1668" s="882"/>
      <c r="J1668" s="898"/>
      <c r="K1668" s="899" t="str">
        <f>IF(G1668&lt;&gt;0,VLOOKUP(G1668,'gia dat'!$A$1:$F$144,5,0)," ")</f>
        <v xml:space="preserve"> </v>
      </c>
      <c r="L1668" s="899" t="str">
        <f>IF(G1668&lt;&gt;0,VLOOKUP(G1668,'gia dat'!$A$1:$F$144,6,0)," ")</f>
        <v xml:space="preserve"> </v>
      </c>
      <c r="M1668" s="900" t="str">
        <f t="shared" si="355"/>
        <v xml:space="preserve"> </v>
      </c>
      <c r="N1668" s="900" t="str">
        <f t="shared" si="356"/>
        <v xml:space="preserve"> </v>
      </c>
      <c r="O1668" s="908"/>
      <c r="P1668" s="1065"/>
      <c r="Q1668" s="900"/>
      <c r="R1668" s="900"/>
      <c r="S1668" s="902"/>
      <c r="T1668" s="944"/>
      <c r="U1668" s="1066"/>
      <c r="V1668" s="922"/>
      <c r="W1668" s="900"/>
      <c r="X1668" s="900"/>
      <c r="Y1668" s="985"/>
      <c r="Z1668" s="922"/>
      <c r="AA1668" s="1067"/>
      <c r="AB1668" s="922"/>
      <c r="AC1668" s="922"/>
      <c r="AD1668" s="922"/>
      <c r="AE1668" s="922"/>
      <c r="AF1668" s="1046"/>
      <c r="AG1668" s="906"/>
      <c r="AH1668" s="906"/>
      <c r="AI1668" s="907" t="str">
        <f t="shared" si="353"/>
        <v xml:space="preserve"> </v>
      </c>
      <c r="AJ1668" s="922" t="s">
        <v>2074</v>
      </c>
      <c r="AK1668" s="894" t="s">
        <v>2448</v>
      </c>
    </row>
    <row r="1669" spans="1:37" s="394" customFormat="1" ht="22.5" outlineLevel="2" x14ac:dyDescent="0.3">
      <c r="A1669" s="447">
        <f t="shared" si="369"/>
        <v>138</v>
      </c>
      <c r="B1669" s="893"/>
      <c r="C1669" s="908"/>
      <c r="D1669" s="1032"/>
      <c r="E1669" s="947"/>
      <c r="F1669" s="947"/>
      <c r="G1669" s="922"/>
      <c r="H1669" s="1041"/>
      <c r="I1669" s="882"/>
      <c r="J1669" s="898"/>
      <c r="K1669" s="899" t="str">
        <f>IF(G1669&lt;&gt;0,VLOOKUP(G1669,'gia dat'!$A$1:$F$144,5,0)," ")</f>
        <v xml:space="preserve"> </v>
      </c>
      <c r="L1669" s="899" t="str">
        <f>IF(G1669&lt;&gt;0,VLOOKUP(G1669,'gia dat'!$A$1:$F$144,6,0)," ")</f>
        <v xml:space="preserve"> </v>
      </c>
      <c r="M1669" s="900" t="str">
        <f t="shared" si="355"/>
        <v xml:space="preserve"> </v>
      </c>
      <c r="N1669" s="900" t="str">
        <f t="shared" si="356"/>
        <v xml:space="preserve"> </v>
      </c>
      <c r="O1669" s="908"/>
      <c r="P1669" s="1065"/>
      <c r="Q1669" s="900"/>
      <c r="R1669" s="900"/>
      <c r="S1669" s="902"/>
      <c r="T1669" s="944"/>
      <c r="U1669" s="1066"/>
      <c r="V1669" s="922"/>
      <c r="W1669" s="900"/>
      <c r="X1669" s="900"/>
      <c r="Y1669" s="985"/>
      <c r="Z1669" s="922"/>
      <c r="AA1669" s="1067"/>
      <c r="AB1669" s="922"/>
      <c r="AC1669" s="922"/>
      <c r="AD1669" s="922"/>
      <c r="AE1669" s="922"/>
      <c r="AF1669" s="1046"/>
      <c r="AG1669" s="906"/>
      <c r="AH1669" s="906"/>
      <c r="AI1669" s="907" t="str">
        <f t="shared" si="353"/>
        <v xml:space="preserve"> </v>
      </c>
      <c r="AJ1669" s="922"/>
      <c r="AK1669" s="922"/>
    </row>
    <row r="1670" spans="1:37" s="394" customFormat="1" ht="22.5" outlineLevel="2" x14ac:dyDescent="0.3">
      <c r="A1670" s="447">
        <f t="shared" si="369"/>
        <v>138</v>
      </c>
      <c r="B1670" s="893"/>
      <c r="C1670" s="908"/>
      <c r="D1670" s="1032"/>
      <c r="E1670" s="947"/>
      <c r="F1670" s="947"/>
      <c r="G1670" s="922"/>
      <c r="H1670" s="1041"/>
      <c r="I1670" s="882"/>
      <c r="J1670" s="898"/>
      <c r="K1670" s="899" t="str">
        <f>IF(G1670&lt;&gt;0,VLOOKUP(G1670,'gia dat'!$A$1:$F$144,5,0)," ")</f>
        <v xml:space="preserve"> </v>
      </c>
      <c r="L1670" s="899" t="str">
        <f>IF(G1670&lt;&gt;0,VLOOKUP(G1670,'gia dat'!$A$1:$F$144,6,0)," ")</f>
        <v xml:space="preserve"> </v>
      </c>
      <c r="M1670" s="900" t="str">
        <f t="shared" si="355"/>
        <v xml:space="preserve"> </v>
      </c>
      <c r="N1670" s="900" t="str">
        <f t="shared" si="356"/>
        <v xml:space="preserve"> </v>
      </c>
      <c r="O1670" s="908"/>
      <c r="P1670" s="1065"/>
      <c r="Q1670" s="900"/>
      <c r="R1670" s="900"/>
      <c r="S1670" s="902"/>
      <c r="T1670" s="944"/>
      <c r="U1670" s="1066"/>
      <c r="V1670" s="922"/>
      <c r="W1670" s="900"/>
      <c r="X1670" s="900"/>
      <c r="Y1670" s="985"/>
      <c r="Z1670" s="922"/>
      <c r="AA1670" s="1067"/>
      <c r="AB1670" s="922"/>
      <c r="AC1670" s="922"/>
      <c r="AD1670" s="922"/>
      <c r="AE1670" s="922"/>
      <c r="AF1670" s="1046"/>
      <c r="AG1670" s="906"/>
      <c r="AH1670" s="906"/>
      <c r="AI1670" s="907" t="str">
        <f t="shared" si="353"/>
        <v xml:space="preserve"> </v>
      </c>
      <c r="AJ1670" s="922"/>
      <c r="AK1670" s="922"/>
    </row>
    <row r="1671" spans="1:37" s="394" customFormat="1" ht="22.5" outlineLevel="2" x14ac:dyDescent="0.3">
      <c r="A1671" s="447">
        <f t="shared" si="369"/>
        <v>138</v>
      </c>
      <c r="B1671" s="893"/>
      <c r="C1671" s="908"/>
      <c r="D1671" s="1032"/>
      <c r="E1671" s="947"/>
      <c r="F1671" s="947"/>
      <c r="G1671" s="922"/>
      <c r="H1671" s="1041"/>
      <c r="I1671" s="882"/>
      <c r="J1671" s="898"/>
      <c r="K1671" s="899" t="str">
        <f>IF(G1671&lt;&gt;0,VLOOKUP(G1671,'gia dat'!$A$1:$F$144,5,0)," ")</f>
        <v xml:space="preserve"> </v>
      </c>
      <c r="L1671" s="899" t="str">
        <f>IF(G1671&lt;&gt;0,VLOOKUP(G1671,'gia dat'!$A$1:$F$144,6,0)," ")</f>
        <v xml:space="preserve"> </v>
      </c>
      <c r="M1671" s="900" t="str">
        <f t="shared" si="355"/>
        <v xml:space="preserve"> </v>
      </c>
      <c r="N1671" s="900" t="str">
        <f t="shared" si="356"/>
        <v xml:space="preserve"> </v>
      </c>
      <c r="O1671" s="908"/>
      <c r="P1671" s="1065"/>
      <c r="Q1671" s="900"/>
      <c r="R1671" s="900"/>
      <c r="S1671" s="902"/>
      <c r="T1671" s="944"/>
      <c r="U1671" s="1066"/>
      <c r="V1671" s="922"/>
      <c r="W1671" s="900"/>
      <c r="X1671" s="900"/>
      <c r="Y1671" s="985"/>
      <c r="Z1671" s="922"/>
      <c r="AA1671" s="1067"/>
      <c r="AB1671" s="922"/>
      <c r="AC1671" s="922"/>
      <c r="AD1671" s="922"/>
      <c r="AE1671" s="922"/>
      <c r="AF1671" s="1046"/>
      <c r="AG1671" s="906"/>
      <c r="AH1671" s="906"/>
      <c r="AI1671" s="907" t="str">
        <f t="shared" si="353"/>
        <v xml:space="preserve"> </v>
      </c>
      <c r="AJ1671" s="922"/>
      <c r="AK1671" s="922"/>
    </row>
    <row r="1672" spans="1:37" s="394" customFormat="1" ht="22.5" outlineLevel="2" x14ac:dyDescent="0.3">
      <c r="A1672" s="447">
        <f t="shared" si="369"/>
        <v>138</v>
      </c>
      <c r="B1672" s="893"/>
      <c r="C1672" s="908"/>
      <c r="D1672" s="1032"/>
      <c r="E1672" s="947"/>
      <c r="F1672" s="947"/>
      <c r="G1672" s="922"/>
      <c r="H1672" s="1041"/>
      <c r="I1672" s="882"/>
      <c r="J1672" s="898"/>
      <c r="K1672" s="899" t="str">
        <f>IF(G1672&lt;&gt;0,VLOOKUP(G1672,'gia dat'!$A$1:$F$144,5,0)," ")</f>
        <v xml:space="preserve"> </v>
      </c>
      <c r="L1672" s="899" t="str">
        <f>IF(G1672&lt;&gt;0,VLOOKUP(G1672,'gia dat'!$A$1:$F$144,6,0)," ")</f>
        <v xml:space="preserve"> </v>
      </c>
      <c r="M1672" s="900" t="str">
        <f t="shared" si="355"/>
        <v xml:space="preserve"> </v>
      </c>
      <c r="N1672" s="900" t="str">
        <f t="shared" si="356"/>
        <v xml:space="preserve"> </v>
      </c>
      <c r="O1672" s="908"/>
      <c r="P1672" s="1065"/>
      <c r="Q1672" s="900"/>
      <c r="R1672" s="900"/>
      <c r="S1672" s="902"/>
      <c r="T1672" s="944"/>
      <c r="U1672" s="1066"/>
      <c r="V1672" s="922"/>
      <c r="W1672" s="900"/>
      <c r="X1672" s="900"/>
      <c r="Y1672" s="985"/>
      <c r="Z1672" s="922"/>
      <c r="AA1672" s="1067"/>
      <c r="AB1672" s="922"/>
      <c r="AC1672" s="922"/>
      <c r="AD1672" s="922"/>
      <c r="AE1672" s="922"/>
      <c r="AF1672" s="1046"/>
      <c r="AG1672" s="906"/>
      <c r="AH1672" s="906"/>
      <c r="AI1672" s="907" t="str">
        <f t="shared" si="353"/>
        <v xml:space="preserve"> </v>
      </c>
      <c r="AJ1672" s="922"/>
      <c r="AK1672" s="922"/>
    </row>
    <row r="1673" spans="1:37" s="394" customFormat="1" ht="22.5" outlineLevel="2" x14ac:dyDescent="0.3">
      <c r="A1673" s="447">
        <f t="shared" si="369"/>
        <v>138</v>
      </c>
      <c r="B1673" s="893"/>
      <c r="C1673" s="908"/>
      <c r="D1673" s="1032"/>
      <c r="E1673" s="947"/>
      <c r="F1673" s="947"/>
      <c r="G1673" s="922"/>
      <c r="H1673" s="1041"/>
      <c r="I1673" s="882"/>
      <c r="J1673" s="898"/>
      <c r="K1673" s="899" t="str">
        <f>IF(G1673&lt;&gt;0,VLOOKUP(G1673,'gia dat'!$A$1:$F$144,5,0)," ")</f>
        <v xml:space="preserve"> </v>
      </c>
      <c r="L1673" s="899" t="str">
        <f>IF(G1673&lt;&gt;0,VLOOKUP(G1673,'gia dat'!$A$1:$F$144,6,0)," ")</f>
        <v xml:space="preserve"> </v>
      </c>
      <c r="M1673" s="900" t="str">
        <f t="shared" si="355"/>
        <v xml:space="preserve"> </v>
      </c>
      <c r="N1673" s="900" t="str">
        <f t="shared" si="356"/>
        <v xml:space="preserve"> </v>
      </c>
      <c r="O1673" s="908"/>
      <c r="P1673" s="1065"/>
      <c r="Q1673" s="900"/>
      <c r="R1673" s="900"/>
      <c r="S1673" s="902"/>
      <c r="T1673" s="944"/>
      <c r="U1673" s="1066"/>
      <c r="V1673" s="922"/>
      <c r="W1673" s="900"/>
      <c r="X1673" s="900"/>
      <c r="Y1673" s="985"/>
      <c r="Z1673" s="922"/>
      <c r="AA1673" s="1067"/>
      <c r="AB1673" s="922"/>
      <c r="AC1673" s="922"/>
      <c r="AD1673" s="922"/>
      <c r="AE1673" s="922"/>
      <c r="AF1673" s="1046"/>
      <c r="AG1673" s="906"/>
      <c r="AH1673" s="906"/>
      <c r="AI1673" s="907" t="str">
        <f t="shared" ref="AI1673:AI1736" si="370">IF(B1673&lt;&gt;0,M1673+N1673+R1673+X1673+AH1673," ")</f>
        <v xml:space="preserve"> </v>
      </c>
      <c r="AJ1673" s="922"/>
      <c r="AK1673" s="922"/>
    </row>
    <row r="1674" spans="1:37" s="394" customFormat="1" ht="22.5" outlineLevel="2" x14ac:dyDescent="0.3">
      <c r="A1674" s="447">
        <f t="shared" si="369"/>
        <v>138</v>
      </c>
      <c r="B1674" s="893"/>
      <c r="C1674" s="942"/>
      <c r="D1674" s="1032"/>
      <c r="E1674" s="947"/>
      <c r="F1674" s="947"/>
      <c r="G1674" s="922"/>
      <c r="H1674" s="1041"/>
      <c r="I1674" s="882"/>
      <c r="J1674" s="898"/>
      <c r="K1674" s="899" t="str">
        <f>IF(G1674&lt;&gt;0,VLOOKUP(G1674,'gia dat'!$A$1:$F$144,5,0)," ")</f>
        <v xml:space="preserve"> </v>
      </c>
      <c r="L1674" s="899" t="str">
        <f>IF(G1674&lt;&gt;0,VLOOKUP(G1674,'gia dat'!$A$1:$F$144,6,0)," ")</f>
        <v xml:space="preserve"> </v>
      </c>
      <c r="M1674" s="900" t="str">
        <f t="shared" si="355"/>
        <v xml:space="preserve"> </v>
      </c>
      <c r="N1674" s="900" t="str">
        <f t="shared" si="356"/>
        <v xml:space="preserve"> </v>
      </c>
      <c r="O1674" s="908"/>
      <c r="P1674" s="1065"/>
      <c r="Q1674" s="900"/>
      <c r="R1674" s="900"/>
      <c r="S1674" s="902"/>
      <c r="T1674" s="944"/>
      <c r="U1674" s="1066"/>
      <c r="V1674" s="922"/>
      <c r="W1674" s="900"/>
      <c r="X1674" s="900"/>
      <c r="Y1674" s="985"/>
      <c r="Z1674" s="922"/>
      <c r="AA1674" s="1067"/>
      <c r="AB1674" s="922"/>
      <c r="AC1674" s="922"/>
      <c r="AD1674" s="922"/>
      <c r="AE1674" s="922"/>
      <c r="AF1674" s="1046"/>
      <c r="AG1674" s="906"/>
      <c r="AH1674" s="906"/>
      <c r="AI1674" s="907" t="str">
        <f t="shared" si="370"/>
        <v xml:space="preserve"> </v>
      </c>
      <c r="AJ1674" s="922"/>
      <c r="AK1674" s="922"/>
    </row>
    <row r="1675" spans="1:37" s="396" customFormat="1" ht="43.5" outlineLevel="1" x14ac:dyDescent="0.25">
      <c r="A1675" s="467" t="s">
        <v>2571</v>
      </c>
      <c r="B1675" s="912">
        <v>139</v>
      </c>
      <c r="C1675" s="942" t="s">
        <v>1181</v>
      </c>
      <c r="D1675" s="1038"/>
      <c r="E1675" s="977"/>
      <c r="F1675" s="977"/>
      <c r="G1675" s="914"/>
      <c r="H1675" s="1039">
        <f>SUBTOTAL(9,H1676:H1684)</f>
        <v>93.2</v>
      </c>
      <c r="I1675" s="915">
        <f>SUBTOTAL(9,I1676:I1681)</f>
        <v>53.2</v>
      </c>
      <c r="J1675" s="916"/>
      <c r="K1675" s="917"/>
      <c r="L1675" s="917"/>
      <c r="M1675" s="907">
        <f>SUBTOTAL(9,M1676:M1684)</f>
        <v>444387000</v>
      </c>
      <c r="N1675" s="907">
        <f>SUBTOTAL(9,N1676:N1684)</f>
        <v>88482000</v>
      </c>
      <c r="O1675" s="942"/>
      <c r="P1675" s="1063">
        <f>SUBTOTAL(9,P1676:P1684)</f>
        <v>0</v>
      </c>
      <c r="Q1675" s="907"/>
      <c r="R1675" s="907">
        <f>SUBTOTAL(9,R1676:R1684)</f>
        <v>0</v>
      </c>
      <c r="S1675" s="918"/>
      <c r="T1675" s="956"/>
      <c r="U1675" s="1064">
        <f>SUBTOTAL(9,U1676:U1684)</f>
        <v>0</v>
      </c>
      <c r="V1675" s="914"/>
      <c r="W1675" s="907"/>
      <c r="X1675" s="907">
        <f>SUBTOTAL(9,X1676:X1684)</f>
        <v>0</v>
      </c>
      <c r="Y1675" s="985"/>
      <c r="Z1675" s="922"/>
      <c r="AA1675" s="1067"/>
      <c r="AB1675" s="922"/>
      <c r="AC1675" s="922"/>
      <c r="AD1675" s="922"/>
      <c r="AE1675" s="938"/>
      <c r="AF1675" s="917">
        <f>SUBTOTAL(9,AF1676:AF1684)</f>
        <v>0</v>
      </c>
      <c r="AG1675" s="921"/>
      <c r="AH1675" s="921">
        <f>SUBTOTAL(9,AH1676:AH1684)</f>
        <v>0</v>
      </c>
      <c r="AI1675" s="907">
        <f>IF(B1675&lt;&gt;0,M1675+N1675+R1675+X1675+AH1675," ")</f>
        <v>532869000</v>
      </c>
      <c r="AJ1675" s="914"/>
      <c r="AK1675" s="914"/>
    </row>
    <row r="1676" spans="1:37" s="396" customFormat="1" ht="135" outlineLevel="2" x14ac:dyDescent="0.3">
      <c r="A1676" s="447">
        <f>IF(B1675&lt;&gt;0,B1675,A1674)</f>
        <v>139</v>
      </c>
      <c r="B1676" s="893"/>
      <c r="C1676" s="908" t="s">
        <v>1184</v>
      </c>
      <c r="D1676" s="1032">
        <v>4</v>
      </c>
      <c r="E1676" s="947">
        <v>86</v>
      </c>
      <c r="F1676" s="947">
        <v>1514</v>
      </c>
      <c r="G1676" s="922" t="s">
        <v>2420</v>
      </c>
      <c r="H1676" s="1041">
        <v>53.2</v>
      </c>
      <c r="I1676" s="882">
        <f t="shared" ref="I1676:I1677" si="371">IF(N1676&gt;0,H1676,"")</f>
        <v>53.2</v>
      </c>
      <c r="J1676" s="898"/>
      <c r="K1676" s="899">
        <f>IF(G1676&lt;&gt;0,VLOOKUP(G1676,'gia dat'!$A$1:$F$144,5,0)," ")</f>
        <v>554400</v>
      </c>
      <c r="L1676" s="899">
        <f>IF(G1676&lt;&gt;0,VLOOKUP(G1676,'gia dat'!$A$1:$F$144,6,0)," ")</f>
        <v>1663200</v>
      </c>
      <c r="M1676" s="900">
        <f t="shared" si="355"/>
        <v>29494000</v>
      </c>
      <c r="N1676" s="900">
        <f t="shared" si="356"/>
        <v>88482000</v>
      </c>
      <c r="O1676" s="908"/>
      <c r="P1676" s="1065"/>
      <c r="Q1676" s="900" t="str">
        <f>IF(O1676&lt;&gt;0,VLOOKUP(O1676,'Cây trong'!$A$2:$C$246,3,0)," ")</f>
        <v xml:space="preserve"> </v>
      </c>
      <c r="R1676" s="900" t="str">
        <f t="shared" si="363"/>
        <v xml:space="preserve"> </v>
      </c>
      <c r="S1676" s="902"/>
      <c r="T1676" s="944"/>
      <c r="U1676" s="1066"/>
      <c r="V1676" s="922"/>
      <c r="W1676" s="900" t="str">
        <f>IF(S1676&lt;&gt;0,VLOOKUP(S1676,VKT!$A$2:$G$415,7,0),"")</f>
        <v/>
      </c>
      <c r="X1676" s="900" t="str">
        <f t="shared" si="351"/>
        <v xml:space="preserve"> </v>
      </c>
      <c r="Y1676" s="985"/>
      <c r="Z1676" s="922"/>
      <c r="AA1676" s="1067"/>
      <c r="AB1676" s="922"/>
      <c r="AC1676" s="922"/>
      <c r="AD1676" s="922"/>
      <c r="AE1676" s="905"/>
      <c r="AF1676" s="899"/>
      <c r="AG1676" s="906"/>
      <c r="AH1676" s="906"/>
      <c r="AI1676" s="907" t="str">
        <f t="shared" si="370"/>
        <v xml:space="preserve"> </v>
      </c>
      <c r="AJ1676" s="922" t="s">
        <v>1183</v>
      </c>
      <c r="AK1676" s="922" t="s">
        <v>2771</v>
      </c>
    </row>
    <row r="1677" spans="1:37" s="394" customFormat="1" ht="112.5" outlineLevel="2" x14ac:dyDescent="0.3">
      <c r="A1677" s="447">
        <f t="shared" ref="A1677:A1684" si="372">IF(B1676&lt;&gt;0,B1676,A1676)</f>
        <v>139</v>
      </c>
      <c r="B1677" s="893"/>
      <c r="C1677" s="942" t="s">
        <v>1186</v>
      </c>
      <c r="D1677" s="1032"/>
      <c r="E1677" s="947">
        <v>86</v>
      </c>
      <c r="F1677" s="947">
        <v>1514</v>
      </c>
      <c r="G1677" s="922" t="s">
        <v>2905</v>
      </c>
      <c r="H1677" s="1041">
        <v>40</v>
      </c>
      <c r="I1677" s="882" t="str">
        <f t="shared" si="371"/>
        <v/>
      </c>
      <c r="J1677" s="898"/>
      <c r="K1677" s="899">
        <f>IF(G1677&lt;&gt;0,VLOOKUP(G1677,'gia dat'!$A$1:$F$144,5,0)," ")</f>
        <v>10372320</v>
      </c>
      <c r="L1677" s="899">
        <f>IF(G1677&lt;&gt;0,VLOOKUP(G1677,'gia dat'!$A$1:$F$144,6,0)," ")</f>
        <v>0</v>
      </c>
      <c r="M1677" s="900">
        <f t="shared" si="355"/>
        <v>414893000</v>
      </c>
      <c r="N1677" s="900">
        <f>IF(H1677&lt;&gt;0,ROUND(H1677*L1677,-3)," ")</f>
        <v>0</v>
      </c>
      <c r="O1677" s="908"/>
      <c r="P1677" s="1065"/>
      <c r="Q1677" s="900" t="str">
        <f>IF(O1677&lt;&gt;0,VLOOKUP(O1677,'Cây trong'!$A$2:$C$246,3,0)," ")</f>
        <v xml:space="preserve"> </v>
      </c>
      <c r="R1677" s="900" t="str">
        <f t="shared" si="363"/>
        <v xml:space="preserve"> </v>
      </c>
      <c r="S1677" s="902"/>
      <c r="T1677" s="944"/>
      <c r="U1677" s="1066"/>
      <c r="V1677" s="922"/>
      <c r="W1677" s="900" t="str">
        <f>IF(S1677&lt;&gt;0,VLOOKUP(S1677,VKT!$A$2:$G$415,7,0),"")</f>
        <v/>
      </c>
      <c r="X1677" s="900" t="str">
        <f t="shared" si="351"/>
        <v xml:space="preserve"> </v>
      </c>
      <c r="Y1677" s="985"/>
      <c r="Z1677" s="922"/>
      <c r="AA1677" s="1067"/>
      <c r="AB1677" s="922"/>
      <c r="AC1677" s="922"/>
      <c r="AD1677" s="922"/>
      <c r="AE1677" s="905"/>
      <c r="AF1677" s="926"/>
      <c r="AG1677" s="906" t="str">
        <f>IF(AE1677&lt;&gt;0,VLOOKUP(AE1677,ODDS!$A$2:$C$13,3,0),"")</f>
        <v/>
      </c>
      <c r="AH1677" s="906" t="str">
        <f t="shared" si="364"/>
        <v xml:space="preserve"> </v>
      </c>
      <c r="AI1677" s="907" t="str">
        <f t="shared" si="370"/>
        <v xml:space="preserve"> </v>
      </c>
      <c r="AJ1677" s="922" t="s">
        <v>1185</v>
      </c>
      <c r="AK1677" s="894" t="s">
        <v>2448</v>
      </c>
    </row>
    <row r="1678" spans="1:37" s="396" customFormat="1" ht="67.5" outlineLevel="2" x14ac:dyDescent="0.35">
      <c r="A1678" s="447">
        <f t="shared" si="372"/>
        <v>139</v>
      </c>
      <c r="B1678" s="893"/>
      <c r="C1678" s="908" t="s">
        <v>1189</v>
      </c>
      <c r="D1678" s="1032"/>
      <c r="E1678" s="1070"/>
      <c r="F1678" s="1070"/>
      <c r="G1678" s="1068"/>
      <c r="H1678" s="1071"/>
      <c r="I1678" s="882"/>
      <c r="J1678" s="898"/>
      <c r="K1678" s="899" t="str">
        <f>IF(G1678&lt;&gt;0,VLOOKUP(G1678,'gia dat'!$A$1:$F$144,5,0)," ")</f>
        <v xml:space="preserve"> </v>
      </c>
      <c r="L1678" s="899" t="str">
        <f>IF(G1678&lt;&gt;0,VLOOKUP(G1678,'gia dat'!$A$1:$F$144,6,0)," ")</f>
        <v xml:space="preserve"> </v>
      </c>
      <c r="M1678" s="900" t="str">
        <f t="shared" si="355"/>
        <v xml:space="preserve"> </v>
      </c>
      <c r="N1678" s="900" t="str">
        <f t="shared" si="356"/>
        <v xml:space="preserve"> </v>
      </c>
      <c r="O1678" s="908"/>
      <c r="P1678" s="1065"/>
      <c r="Q1678" s="900" t="str">
        <f>IF(O1678&lt;&gt;0,VLOOKUP(O1678,'Cây trong'!$A$2:$C$246,3,0)," ")</f>
        <v xml:space="preserve"> </v>
      </c>
      <c r="R1678" s="900" t="str">
        <f t="shared" si="363"/>
        <v xml:space="preserve"> </v>
      </c>
      <c r="S1678" s="902"/>
      <c r="T1678" s="944"/>
      <c r="U1678" s="1066"/>
      <c r="V1678" s="922"/>
      <c r="W1678" s="900" t="str">
        <f>IF(S1678&lt;&gt;0,VLOOKUP(S1678,VKT!$A$2:$G$415,7,0),"")</f>
        <v/>
      </c>
      <c r="X1678" s="900" t="str">
        <f t="shared" si="351"/>
        <v xml:space="preserve"> </v>
      </c>
      <c r="Y1678" s="985"/>
      <c r="Z1678" s="922"/>
      <c r="AA1678" s="1067"/>
      <c r="AB1678" s="922"/>
      <c r="AC1678" s="922"/>
      <c r="AD1678" s="922"/>
      <c r="AE1678" s="941"/>
      <c r="AF1678" s="926"/>
      <c r="AG1678" s="906" t="str">
        <f>IF(AE1678&lt;&gt;0,VLOOKUP(AE1678,ODDS!$A$2:$C$13,3,0),"")</f>
        <v/>
      </c>
      <c r="AH1678" s="906" t="str">
        <f t="shared" si="364"/>
        <v xml:space="preserve"> </v>
      </c>
      <c r="AI1678" s="907" t="str">
        <f t="shared" si="370"/>
        <v xml:space="preserve"> </v>
      </c>
      <c r="AJ1678" s="908" t="s">
        <v>2074</v>
      </c>
      <c r="AK1678" s="922"/>
    </row>
    <row r="1679" spans="1:37" s="394" customFormat="1" ht="112.5" outlineLevel="2" x14ac:dyDescent="0.35">
      <c r="A1679" s="447">
        <f t="shared" si="372"/>
        <v>139</v>
      </c>
      <c r="B1679" s="893"/>
      <c r="C1679" s="908" t="s">
        <v>1601</v>
      </c>
      <c r="D1679" s="1032"/>
      <c r="E1679" s="947"/>
      <c r="F1679" s="947"/>
      <c r="G1679" s="922"/>
      <c r="H1679" s="1041"/>
      <c r="I1679" s="882"/>
      <c r="J1679" s="898"/>
      <c r="K1679" s="899" t="str">
        <f>IF(G1679&lt;&gt;0,VLOOKUP(G1679,'gia dat'!$A$1:$F$144,5,0)," ")</f>
        <v xml:space="preserve"> </v>
      </c>
      <c r="L1679" s="899" t="str">
        <f>IF(G1679&lt;&gt;0,VLOOKUP(G1679,'gia dat'!$A$1:$F$144,6,0)," ")</f>
        <v xml:space="preserve"> </v>
      </c>
      <c r="M1679" s="900" t="str">
        <f t="shared" si="355"/>
        <v xml:space="preserve"> </v>
      </c>
      <c r="N1679" s="900" t="str">
        <f t="shared" si="356"/>
        <v xml:space="preserve"> </v>
      </c>
      <c r="O1679" s="908"/>
      <c r="P1679" s="1065"/>
      <c r="Q1679" s="900" t="str">
        <f>IF(O1679&lt;&gt;0,VLOOKUP(O1679,'Cây trong'!$A$2:$C$246,3,0)," ")</f>
        <v xml:space="preserve"> </v>
      </c>
      <c r="R1679" s="900" t="str">
        <f t="shared" si="363"/>
        <v xml:space="preserve"> </v>
      </c>
      <c r="S1679" s="902"/>
      <c r="T1679" s="944"/>
      <c r="U1679" s="1066"/>
      <c r="V1679" s="922"/>
      <c r="W1679" s="900" t="str">
        <f>IF(S1679&lt;&gt;0,VLOOKUP(S1679,VKT!$A$2:$G$415,7,0),"")</f>
        <v/>
      </c>
      <c r="X1679" s="900" t="str">
        <f t="shared" si="351"/>
        <v xml:space="preserve"> </v>
      </c>
      <c r="Y1679" s="985"/>
      <c r="Z1679" s="922"/>
      <c r="AA1679" s="1067"/>
      <c r="AB1679" s="922"/>
      <c r="AC1679" s="922"/>
      <c r="AD1679" s="922"/>
      <c r="AE1679" s="922"/>
      <c r="AF1679" s="1046"/>
      <c r="AG1679" s="906" t="str">
        <f>IF(AE1679&lt;&gt;0,VLOOKUP(AE1679,ODDS!$A$2:$C$13,3,0),"")</f>
        <v/>
      </c>
      <c r="AH1679" s="906" t="str">
        <f t="shared" si="364"/>
        <v xml:space="preserve"> </v>
      </c>
      <c r="AI1679" s="907" t="str">
        <f t="shared" si="370"/>
        <v xml:space="preserve"> </v>
      </c>
      <c r="AJ1679" s="1068"/>
      <c r="AK1679" s="922"/>
    </row>
    <row r="1680" spans="1:37" s="394" customFormat="1" ht="22.5" outlineLevel="2" x14ac:dyDescent="0.35">
      <c r="A1680" s="447">
        <f t="shared" si="372"/>
        <v>139</v>
      </c>
      <c r="B1680" s="893"/>
      <c r="C1680" s="908"/>
      <c r="D1680" s="1032"/>
      <c r="E1680" s="947"/>
      <c r="F1680" s="947"/>
      <c r="G1680" s="922"/>
      <c r="H1680" s="1041"/>
      <c r="I1680" s="882"/>
      <c r="J1680" s="898"/>
      <c r="K1680" s="899" t="str">
        <f>IF(G1680&lt;&gt;0,VLOOKUP(G1680,'gia dat'!$A$1:$F$144,5,0)," ")</f>
        <v xml:space="preserve"> </v>
      </c>
      <c r="L1680" s="899" t="str">
        <f>IF(G1680&lt;&gt;0,VLOOKUP(G1680,'gia dat'!$A$1:$F$144,6,0)," ")</f>
        <v xml:space="preserve"> </v>
      </c>
      <c r="M1680" s="900" t="str">
        <f t="shared" si="355"/>
        <v xml:space="preserve"> </v>
      </c>
      <c r="N1680" s="900" t="str">
        <f t="shared" si="356"/>
        <v xml:space="preserve"> </v>
      </c>
      <c r="O1680" s="908"/>
      <c r="P1680" s="1065"/>
      <c r="Q1680" s="900" t="str">
        <f>IF(O1680&lt;&gt;0,VLOOKUP(O1680,'Cây trong'!$A$2:$C$246,3,0)," ")</f>
        <v xml:space="preserve"> </v>
      </c>
      <c r="R1680" s="900" t="str">
        <f t="shared" si="363"/>
        <v xml:space="preserve"> </v>
      </c>
      <c r="S1680" s="902"/>
      <c r="T1680" s="944"/>
      <c r="U1680" s="1066"/>
      <c r="V1680" s="922"/>
      <c r="W1680" s="900" t="str">
        <f>IF(S1680&lt;&gt;0,VLOOKUP(S1680,VKT!$A$2:$G$415,7,0),"")</f>
        <v/>
      </c>
      <c r="X1680" s="900" t="str">
        <f t="shared" si="351"/>
        <v xml:space="preserve"> </v>
      </c>
      <c r="Y1680" s="985"/>
      <c r="Z1680" s="922"/>
      <c r="AA1680" s="1067"/>
      <c r="AB1680" s="922"/>
      <c r="AC1680" s="922"/>
      <c r="AD1680" s="922"/>
      <c r="AE1680" s="922"/>
      <c r="AF1680" s="1046"/>
      <c r="AG1680" s="906" t="str">
        <f>IF(AE1680&lt;&gt;0,VLOOKUP(AE1680,ODDS!$A$2:$C$13,3,0),"")</f>
        <v/>
      </c>
      <c r="AH1680" s="906" t="str">
        <f t="shared" si="364"/>
        <v xml:space="preserve"> </v>
      </c>
      <c r="AI1680" s="907" t="str">
        <f t="shared" si="370"/>
        <v xml:space="preserve"> </v>
      </c>
      <c r="AJ1680" s="1068"/>
      <c r="AK1680" s="908"/>
    </row>
    <row r="1681" spans="1:39" s="394" customFormat="1" ht="22.5" outlineLevel="2" x14ac:dyDescent="0.3">
      <c r="A1681" s="447">
        <f t="shared" si="372"/>
        <v>139</v>
      </c>
      <c r="B1681" s="893"/>
      <c r="C1681" s="908"/>
      <c r="D1681" s="1032"/>
      <c r="E1681" s="947"/>
      <c r="F1681" s="947"/>
      <c r="G1681" s="922"/>
      <c r="H1681" s="1041"/>
      <c r="I1681" s="882"/>
      <c r="J1681" s="898"/>
      <c r="K1681" s="899" t="str">
        <f>IF(G1681&lt;&gt;0,VLOOKUP(G1681,'gia dat'!$A$1:$F$144,5,0)," ")</f>
        <v xml:space="preserve"> </v>
      </c>
      <c r="L1681" s="899" t="str">
        <f>IF(G1681&lt;&gt;0,VLOOKUP(G1681,'gia dat'!$A$1:$F$144,6,0)," ")</f>
        <v xml:space="preserve"> </v>
      </c>
      <c r="M1681" s="900" t="str">
        <f t="shared" si="355"/>
        <v xml:space="preserve"> </v>
      </c>
      <c r="N1681" s="900" t="str">
        <f t="shared" si="356"/>
        <v xml:space="preserve"> </v>
      </c>
      <c r="O1681" s="908"/>
      <c r="P1681" s="1065"/>
      <c r="Q1681" s="900" t="str">
        <f>IF(O1681&lt;&gt;0,VLOOKUP(O1681,'Cây trong'!$A$2:$C$246,3,0)," ")</f>
        <v xml:space="preserve"> </v>
      </c>
      <c r="R1681" s="900" t="str">
        <f t="shared" si="363"/>
        <v xml:space="preserve"> </v>
      </c>
      <c r="S1681" s="902"/>
      <c r="T1681" s="944"/>
      <c r="U1681" s="1066"/>
      <c r="V1681" s="922"/>
      <c r="W1681" s="900" t="str">
        <f>IF(S1681&lt;&gt;0,VLOOKUP(S1681,VKT!$A$2:$G$415,7,0),"")</f>
        <v/>
      </c>
      <c r="X1681" s="900" t="str">
        <f t="shared" ref="X1681:X1764" si="373">IF(S1681&lt;&gt;0,ROUND(U1681*W1681,-3)," ")</f>
        <v xml:space="preserve"> </v>
      </c>
      <c r="Y1681" s="985"/>
      <c r="Z1681" s="922"/>
      <c r="AA1681" s="1067"/>
      <c r="AB1681" s="922"/>
      <c r="AC1681" s="922"/>
      <c r="AD1681" s="922"/>
      <c r="AE1681" s="922"/>
      <c r="AF1681" s="1046"/>
      <c r="AG1681" s="906" t="str">
        <f>IF(AE1681&lt;&gt;0,VLOOKUP(AE1681,ODDS!$A$2:$C$13,3,0),"")</f>
        <v/>
      </c>
      <c r="AH1681" s="906" t="str">
        <f t="shared" si="364"/>
        <v xml:space="preserve"> </v>
      </c>
      <c r="AI1681" s="907" t="str">
        <f t="shared" si="370"/>
        <v xml:space="preserve"> </v>
      </c>
      <c r="AJ1681" s="922"/>
      <c r="AK1681" s="922"/>
    </row>
    <row r="1682" spans="1:39" s="394" customFormat="1" ht="22.5" outlineLevel="2" x14ac:dyDescent="0.3">
      <c r="A1682" s="447">
        <f t="shared" si="372"/>
        <v>139</v>
      </c>
      <c r="B1682" s="893"/>
      <c r="C1682" s="908"/>
      <c r="D1682" s="1032"/>
      <c r="E1682" s="947"/>
      <c r="F1682" s="947"/>
      <c r="G1682" s="922"/>
      <c r="H1682" s="1041"/>
      <c r="I1682" s="882"/>
      <c r="J1682" s="898"/>
      <c r="K1682" s="899" t="str">
        <f>IF(G1682&lt;&gt;0,VLOOKUP(G1682,'gia dat'!$A$1:$F$144,5,0)," ")</f>
        <v xml:space="preserve"> </v>
      </c>
      <c r="L1682" s="899" t="str">
        <f>IF(G1682&lt;&gt;0,VLOOKUP(G1682,'gia dat'!$A$1:$F$144,6,0)," ")</f>
        <v xml:space="preserve"> </v>
      </c>
      <c r="M1682" s="900" t="str">
        <f t="shared" si="355"/>
        <v xml:space="preserve"> </v>
      </c>
      <c r="N1682" s="900" t="str">
        <f t="shared" si="356"/>
        <v xml:space="preserve"> </v>
      </c>
      <c r="O1682" s="908"/>
      <c r="P1682" s="1065"/>
      <c r="Q1682" s="900" t="str">
        <f>IF(O1682&lt;&gt;0,VLOOKUP(O1682,'Cây trong'!$A$2:$C$246,3,0)," ")</f>
        <v xml:space="preserve"> </v>
      </c>
      <c r="R1682" s="900" t="str">
        <f t="shared" si="363"/>
        <v xml:space="preserve"> </v>
      </c>
      <c r="S1682" s="902"/>
      <c r="T1682" s="944"/>
      <c r="U1682" s="1066"/>
      <c r="V1682" s="922"/>
      <c r="W1682" s="900" t="str">
        <f>IF(S1682&lt;&gt;0,VLOOKUP(S1682,VKT!$A$2:$G$415,7,0),"")</f>
        <v/>
      </c>
      <c r="X1682" s="900" t="str">
        <f t="shared" si="373"/>
        <v xml:space="preserve"> </v>
      </c>
      <c r="Y1682" s="985"/>
      <c r="Z1682" s="922"/>
      <c r="AA1682" s="1067"/>
      <c r="AB1682" s="922"/>
      <c r="AC1682" s="922"/>
      <c r="AD1682" s="922"/>
      <c r="AE1682" s="922"/>
      <c r="AF1682" s="1046"/>
      <c r="AG1682" s="906" t="str">
        <f>IF(AE1682&lt;&gt;0,VLOOKUP(AE1682,ODDS!$A$2:$C$13,3,0),"")</f>
        <v/>
      </c>
      <c r="AH1682" s="906" t="str">
        <f t="shared" si="364"/>
        <v xml:space="preserve"> </v>
      </c>
      <c r="AI1682" s="907" t="str">
        <f t="shared" si="370"/>
        <v xml:space="preserve"> </v>
      </c>
      <c r="AJ1682" s="922"/>
      <c r="AK1682" s="922"/>
    </row>
    <row r="1683" spans="1:39" s="394" customFormat="1" ht="22.5" outlineLevel="2" x14ac:dyDescent="0.3">
      <c r="A1683" s="447">
        <f t="shared" si="372"/>
        <v>139</v>
      </c>
      <c r="B1683" s="893"/>
      <c r="C1683" s="908"/>
      <c r="D1683" s="1032"/>
      <c r="E1683" s="947"/>
      <c r="F1683" s="947"/>
      <c r="G1683" s="922"/>
      <c r="H1683" s="1041"/>
      <c r="I1683" s="882"/>
      <c r="J1683" s="894"/>
      <c r="K1683" s="899" t="str">
        <f>IF(G1683&lt;&gt;0,VLOOKUP(G1683,'gia dat'!$A$1:$F$144,5,0)," ")</f>
        <v xml:space="preserve"> </v>
      </c>
      <c r="L1683" s="899" t="str">
        <f>IF(G1683&lt;&gt;0,VLOOKUP(G1683,'gia dat'!$A$1:$F$144,6,0)," ")</f>
        <v xml:space="preserve"> </v>
      </c>
      <c r="M1683" s="900" t="str">
        <f t="shared" si="355"/>
        <v xml:space="preserve"> </v>
      </c>
      <c r="N1683" s="900" t="str">
        <f t="shared" si="356"/>
        <v xml:space="preserve"> </v>
      </c>
      <c r="O1683" s="908"/>
      <c r="P1683" s="1065"/>
      <c r="Q1683" s="900" t="str">
        <f>IF(O1683&lt;&gt;0,VLOOKUP(O1683,'Cây trong'!$A$2:$C$246,3,0)," ")</f>
        <v xml:space="preserve"> </v>
      </c>
      <c r="R1683" s="900" t="str">
        <f t="shared" si="363"/>
        <v xml:space="preserve"> </v>
      </c>
      <c r="S1683" s="908"/>
      <c r="T1683" s="944"/>
      <c r="U1683" s="1066"/>
      <c r="V1683" s="922"/>
      <c r="W1683" s="900" t="str">
        <f>IF(S1683&lt;&gt;0,VLOOKUP(S1683,VKT!$A$2:$G$415,7,0),"")</f>
        <v/>
      </c>
      <c r="X1683" s="900" t="str">
        <f t="shared" si="373"/>
        <v xml:space="preserve"> </v>
      </c>
      <c r="Y1683" s="985"/>
      <c r="Z1683" s="922"/>
      <c r="AA1683" s="1067"/>
      <c r="AB1683" s="922"/>
      <c r="AC1683" s="922"/>
      <c r="AD1683" s="922"/>
      <c r="AE1683" s="922"/>
      <c r="AF1683" s="1046"/>
      <c r="AG1683" s="906" t="str">
        <f>IF(AE1683&lt;&gt;0,VLOOKUP(AE1683,ODDS!$A$2:$C$13,3,0),"")</f>
        <v/>
      </c>
      <c r="AH1683" s="906" t="str">
        <f t="shared" si="364"/>
        <v xml:space="preserve"> </v>
      </c>
      <c r="AI1683" s="907" t="str">
        <f t="shared" si="370"/>
        <v xml:space="preserve"> </v>
      </c>
      <c r="AJ1683" s="922"/>
      <c r="AK1683" s="922"/>
    </row>
    <row r="1684" spans="1:39" s="394" customFormat="1" ht="22.5" outlineLevel="2" x14ac:dyDescent="0.3">
      <c r="A1684" s="447">
        <f t="shared" si="372"/>
        <v>139</v>
      </c>
      <c r="B1684" s="893"/>
      <c r="C1684" s="942"/>
      <c r="D1684" s="1032"/>
      <c r="E1684" s="947"/>
      <c r="F1684" s="947"/>
      <c r="G1684" s="922"/>
      <c r="H1684" s="1041"/>
      <c r="I1684" s="882"/>
      <c r="J1684" s="894"/>
      <c r="K1684" s="899" t="str">
        <f>IF(G1684&lt;&gt;0,VLOOKUP(G1684,'gia dat'!$A$1:$F$144,5,0)," ")</f>
        <v xml:space="preserve"> </v>
      </c>
      <c r="L1684" s="899" t="str">
        <f>IF(G1684&lt;&gt;0,VLOOKUP(G1684,'gia dat'!$A$1:$F$144,6,0)," ")</f>
        <v xml:space="preserve"> </v>
      </c>
      <c r="M1684" s="900" t="str">
        <f t="shared" ref="M1684:M1754" si="374">IF(H1684&lt;&gt;0,ROUND(H1684*K1684,-3)," ")</f>
        <v xml:space="preserve"> </v>
      </c>
      <c r="N1684" s="900" t="str">
        <f t="shared" ref="N1684:N1754" si="375">IF(H1684&lt;&gt;0,ROUND(H1684*L1684,-3)," ")</f>
        <v xml:space="preserve"> </v>
      </c>
      <c r="O1684" s="908"/>
      <c r="P1684" s="1065"/>
      <c r="Q1684" s="900"/>
      <c r="R1684" s="900"/>
      <c r="S1684" s="908"/>
      <c r="T1684" s="944"/>
      <c r="U1684" s="1066"/>
      <c r="V1684" s="922"/>
      <c r="W1684" s="900"/>
      <c r="X1684" s="900"/>
      <c r="Y1684" s="985"/>
      <c r="Z1684" s="922"/>
      <c r="AA1684" s="1067"/>
      <c r="AB1684" s="922"/>
      <c r="AC1684" s="922"/>
      <c r="AD1684" s="922"/>
      <c r="AE1684" s="922"/>
      <c r="AF1684" s="1046"/>
      <c r="AG1684" s="906"/>
      <c r="AH1684" s="906"/>
      <c r="AI1684" s="907" t="str">
        <f t="shared" si="370"/>
        <v xml:space="preserve"> </v>
      </c>
      <c r="AJ1684" s="922"/>
      <c r="AK1684" s="922"/>
    </row>
    <row r="1685" spans="1:39" s="394" customFormat="1" ht="43.5" outlineLevel="1" x14ac:dyDescent="0.25">
      <c r="A1685" s="467" t="s">
        <v>2570</v>
      </c>
      <c r="B1685" s="912">
        <v>140</v>
      </c>
      <c r="C1685" s="942" t="s">
        <v>1448</v>
      </c>
      <c r="D1685" s="1038"/>
      <c r="E1685" s="977"/>
      <c r="F1685" s="977"/>
      <c r="G1685" s="914"/>
      <c r="H1685" s="1039">
        <f>SUBTOTAL(9,H1686:H1692)</f>
        <v>22.5</v>
      </c>
      <c r="I1685" s="915">
        <f>SUBTOTAL(9,I1686:I1691)</f>
        <v>0</v>
      </c>
      <c r="J1685" s="910"/>
      <c r="K1685" s="917"/>
      <c r="L1685" s="917"/>
      <c r="M1685" s="907">
        <f>SUBTOTAL(9,M1686:M1692)</f>
        <v>12474000</v>
      </c>
      <c r="N1685" s="907">
        <f>SUBTOTAL(9,N1686:N1692)</f>
        <v>0</v>
      </c>
      <c r="O1685" s="942"/>
      <c r="P1685" s="1063">
        <f>SUBTOTAL(9,P1686:P1692)</f>
        <v>0</v>
      </c>
      <c r="Q1685" s="907"/>
      <c r="R1685" s="907">
        <f>SUBTOTAL(9,R1686:R1692)</f>
        <v>0</v>
      </c>
      <c r="S1685" s="942"/>
      <c r="T1685" s="956"/>
      <c r="U1685" s="1064">
        <f>SUBTOTAL(9,U1686:U1692)</f>
        <v>0</v>
      </c>
      <c r="V1685" s="914"/>
      <c r="W1685" s="907"/>
      <c r="X1685" s="907">
        <f>SUBTOTAL(9,X1686:X1692)</f>
        <v>0</v>
      </c>
      <c r="Y1685" s="985"/>
      <c r="Z1685" s="922"/>
      <c r="AA1685" s="1067"/>
      <c r="AB1685" s="922"/>
      <c r="AC1685" s="922"/>
      <c r="AD1685" s="922"/>
      <c r="AE1685" s="914"/>
      <c r="AF1685" s="1044">
        <f>SUBTOTAL(9,AF1686:AF1692)</f>
        <v>0</v>
      </c>
      <c r="AG1685" s="921"/>
      <c r="AH1685" s="921">
        <f>SUBTOTAL(9,AH1686:AH1692)</f>
        <v>0</v>
      </c>
      <c r="AI1685" s="907">
        <f t="shared" si="370"/>
        <v>12474000</v>
      </c>
      <c r="AJ1685" s="914"/>
      <c r="AK1685" s="914"/>
    </row>
    <row r="1686" spans="1:39" s="394" customFormat="1" ht="315" outlineLevel="2" x14ac:dyDescent="0.3">
      <c r="A1686" s="447">
        <f>IF(B1685&lt;&gt;0,B1685,A1684)</f>
        <v>140</v>
      </c>
      <c r="B1686" s="893"/>
      <c r="C1686" s="908" t="s">
        <v>1450</v>
      </c>
      <c r="D1686" s="1032"/>
      <c r="E1686" s="947">
        <v>86</v>
      </c>
      <c r="F1686" s="947">
        <v>25</v>
      </c>
      <c r="G1686" s="922" t="s">
        <v>2419</v>
      </c>
      <c r="H1686" s="1041">
        <v>22.5</v>
      </c>
      <c r="I1686" s="882" t="str">
        <f t="shared" ref="I1686" si="376">IF(N1686&gt;0,H1686,"")</f>
        <v/>
      </c>
      <c r="J1686" s="894"/>
      <c r="K1686" s="899">
        <f>IF(G1686&lt;&gt;0,VLOOKUP(G1686,'gia dat'!$A$1:$F$144,5,0)," ")</f>
        <v>554400</v>
      </c>
      <c r="L1686" s="899">
        <f>IF(G1686&lt;&gt;0,VLOOKUP(G1686,'gia dat'!$A$1:$F$144,6,0)," ")</f>
        <v>0</v>
      </c>
      <c r="M1686" s="900">
        <f t="shared" si="374"/>
        <v>12474000</v>
      </c>
      <c r="N1686" s="900">
        <f t="shared" si="375"/>
        <v>0</v>
      </c>
      <c r="O1686" s="908"/>
      <c r="P1686" s="1065"/>
      <c r="Q1686" s="900"/>
      <c r="R1686" s="900"/>
      <c r="S1686" s="908"/>
      <c r="T1686" s="944"/>
      <c r="U1686" s="1066"/>
      <c r="V1686" s="922"/>
      <c r="W1686" s="900"/>
      <c r="X1686" s="900"/>
      <c r="Y1686" s="985"/>
      <c r="Z1686" s="922"/>
      <c r="AA1686" s="1067"/>
      <c r="AB1686" s="922"/>
      <c r="AC1686" s="922"/>
      <c r="AD1686" s="922"/>
      <c r="AE1686" s="922"/>
      <c r="AF1686" s="1046"/>
      <c r="AG1686" s="906"/>
      <c r="AH1686" s="906"/>
      <c r="AI1686" s="907" t="str">
        <f t="shared" si="370"/>
        <v xml:space="preserve"> </v>
      </c>
      <c r="AJ1686" s="922" t="s">
        <v>2463</v>
      </c>
      <c r="AK1686" s="922" t="s">
        <v>2771</v>
      </c>
    </row>
    <row r="1687" spans="1:39" s="394" customFormat="1" ht="112.5" outlineLevel="2" x14ac:dyDescent="0.3">
      <c r="A1687" s="447">
        <f t="shared" ref="A1687:A1692" si="377">IF(B1686&lt;&gt;0,B1686,A1686)</f>
        <v>140</v>
      </c>
      <c r="B1687" s="893"/>
      <c r="C1687" s="908" t="s">
        <v>1634</v>
      </c>
      <c r="D1687" s="1032"/>
      <c r="E1687" s="947"/>
      <c r="F1687" s="947"/>
      <c r="G1687" s="922"/>
      <c r="H1687" s="1041"/>
      <c r="I1687" s="882"/>
      <c r="J1687" s="894"/>
      <c r="K1687" s="899" t="str">
        <f>IF(G1687&lt;&gt;0,VLOOKUP(G1687,'gia dat'!$A$1:$F$144,5,0)," ")</f>
        <v xml:space="preserve"> </v>
      </c>
      <c r="L1687" s="899" t="str">
        <f>IF(G1687&lt;&gt;0,VLOOKUP(G1687,'gia dat'!$A$1:$F$144,6,0)," ")</f>
        <v xml:space="preserve"> </v>
      </c>
      <c r="M1687" s="900" t="str">
        <f t="shared" si="374"/>
        <v xml:space="preserve"> </v>
      </c>
      <c r="N1687" s="900" t="str">
        <f t="shared" si="375"/>
        <v xml:space="preserve"> </v>
      </c>
      <c r="O1687" s="908"/>
      <c r="P1687" s="1065"/>
      <c r="Q1687" s="900"/>
      <c r="R1687" s="900"/>
      <c r="S1687" s="908"/>
      <c r="T1687" s="944"/>
      <c r="U1687" s="1066"/>
      <c r="V1687" s="922"/>
      <c r="W1687" s="900"/>
      <c r="X1687" s="900"/>
      <c r="Y1687" s="985"/>
      <c r="Z1687" s="922"/>
      <c r="AA1687" s="1067"/>
      <c r="AB1687" s="922"/>
      <c r="AC1687" s="922"/>
      <c r="AD1687" s="922"/>
      <c r="AE1687" s="922"/>
      <c r="AF1687" s="1046"/>
      <c r="AG1687" s="906"/>
      <c r="AH1687" s="906"/>
      <c r="AI1687" s="907" t="str">
        <f t="shared" si="370"/>
        <v xml:space="preserve"> </v>
      </c>
      <c r="AJ1687" s="922"/>
      <c r="AK1687" s="922"/>
    </row>
    <row r="1688" spans="1:39" s="394" customFormat="1" ht="22.5" outlineLevel="2" x14ac:dyDescent="0.3">
      <c r="A1688" s="447">
        <f t="shared" si="377"/>
        <v>140</v>
      </c>
      <c r="B1688" s="893"/>
      <c r="C1688" s="908"/>
      <c r="D1688" s="1032"/>
      <c r="E1688" s="947"/>
      <c r="F1688" s="947"/>
      <c r="G1688" s="922"/>
      <c r="H1688" s="1041"/>
      <c r="I1688" s="882"/>
      <c r="J1688" s="894"/>
      <c r="K1688" s="899" t="str">
        <f>IF(G1688&lt;&gt;0,VLOOKUP(G1688,'gia dat'!$A$1:$F$144,5,0)," ")</f>
        <v xml:space="preserve"> </v>
      </c>
      <c r="L1688" s="899" t="str">
        <f>IF(G1688&lt;&gt;0,VLOOKUP(G1688,'gia dat'!$A$1:$F$144,6,0)," ")</f>
        <v xml:space="preserve"> </v>
      </c>
      <c r="M1688" s="900" t="str">
        <f t="shared" si="374"/>
        <v xml:space="preserve"> </v>
      </c>
      <c r="N1688" s="900" t="str">
        <f t="shared" si="375"/>
        <v xml:space="preserve"> </v>
      </c>
      <c r="O1688" s="908"/>
      <c r="P1688" s="1065"/>
      <c r="Q1688" s="900"/>
      <c r="R1688" s="900"/>
      <c r="S1688" s="908"/>
      <c r="T1688" s="944"/>
      <c r="U1688" s="1066"/>
      <c r="V1688" s="922"/>
      <c r="W1688" s="900"/>
      <c r="X1688" s="900"/>
      <c r="Y1688" s="985"/>
      <c r="Z1688" s="922"/>
      <c r="AA1688" s="1067"/>
      <c r="AB1688" s="922"/>
      <c r="AC1688" s="922"/>
      <c r="AD1688" s="922"/>
      <c r="AE1688" s="922"/>
      <c r="AF1688" s="1046"/>
      <c r="AG1688" s="906"/>
      <c r="AH1688" s="906"/>
      <c r="AI1688" s="907" t="str">
        <f t="shared" si="370"/>
        <v xml:space="preserve"> </v>
      </c>
      <c r="AJ1688" s="922"/>
      <c r="AK1688" s="922"/>
    </row>
    <row r="1689" spans="1:39" s="394" customFormat="1" ht="22.5" outlineLevel="2" x14ac:dyDescent="0.3">
      <c r="A1689" s="447">
        <f t="shared" si="377"/>
        <v>140</v>
      </c>
      <c r="B1689" s="893"/>
      <c r="C1689" s="908"/>
      <c r="D1689" s="1032"/>
      <c r="E1689" s="947"/>
      <c r="F1689" s="947"/>
      <c r="G1689" s="922"/>
      <c r="H1689" s="1041"/>
      <c r="I1689" s="882"/>
      <c r="J1689" s="894"/>
      <c r="K1689" s="899" t="str">
        <f>IF(G1689&lt;&gt;0,VLOOKUP(G1689,'gia dat'!$A$1:$F$144,5,0)," ")</f>
        <v xml:space="preserve"> </v>
      </c>
      <c r="L1689" s="899" t="str">
        <f>IF(G1689&lt;&gt;0,VLOOKUP(G1689,'gia dat'!$A$1:$F$144,6,0)," ")</f>
        <v xml:space="preserve"> </v>
      </c>
      <c r="M1689" s="900" t="str">
        <f t="shared" si="374"/>
        <v xml:space="preserve"> </v>
      </c>
      <c r="N1689" s="900" t="str">
        <f t="shared" si="375"/>
        <v xml:space="preserve"> </v>
      </c>
      <c r="O1689" s="908"/>
      <c r="P1689" s="1065"/>
      <c r="Q1689" s="900"/>
      <c r="R1689" s="900"/>
      <c r="S1689" s="908"/>
      <c r="T1689" s="944"/>
      <c r="U1689" s="1066"/>
      <c r="V1689" s="922"/>
      <c r="W1689" s="900"/>
      <c r="X1689" s="900"/>
      <c r="Y1689" s="985"/>
      <c r="Z1689" s="922"/>
      <c r="AA1689" s="1067"/>
      <c r="AB1689" s="922"/>
      <c r="AC1689" s="922"/>
      <c r="AD1689" s="922"/>
      <c r="AE1689" s="922"/>
      <c r="AF1689" s="1046"/>
      <c r="AG1689" s="906"/>
      <c r="AH1689" s="906"/>
      <c r="AI1689" s="907" t="str">
        <f t="shared" si="370"/>
        <v xml:space="preserve"> </v>
      </c>
      <c r="AJ1689" s="922"/>
      <c r="AK1689" s="922"/>
    </row>
    <row r="1690" spans="1:39" s="394" customFormat="1" ht="22.5" outlineLevel="2" x14ac:dyDescent="0.3">
      <c r="A1690" s="447">
        <f t="shared" si="377"/>
        <v>140</v>
      </c>
      <c r="B1690" s="893"/>
      <c r="C1690" s="908"/>
      <c r="D1690" s="1032"/>
      <c r="E1690" s="947"/>
      <c r="F1690" s="947"/>
      <c r="G1690" s="922"/>
      <c r="H1690" s="1041"/>
      <c r="I1690" s="882"/>
      <c r="J1690" s="894"/>
      <c r="K1690" s="899" t="str">
        <f>IF(G1690&lt;&gt;0,VLOOKUP(G1690,'gia dat'!$A$1:$F$144,5,0)," ")</f>
        <v xml:space="preserve"> </v>
      </c>
      <c r="L1690" s="899" t="str">
        <f>IF(G1690&lt;&gt;0,VLOOKUP(G1690,'gia dat'!$A$1:$F$144,6,0)," ")</f>
        <v xml:space="preserve"> </v>
      </c>
      <c r="M1690" s="900" t="str">
        <f t="shared" si="374"/>
        <v xml:space="preserve"> </v>
      </c>
      <c r="N1690" s="900" t="str">
        <f t="shared" si="375"/>
        <v xml:space="preserve"> </v>
      </c>
      <c r="O1690" s="908"/>
      <c r="P1690" s="1065"/>
      <c r="Q1690" s="900"/>
      <c r="R1690" s="900"/>
      <c r="S1690" s="908"/>
      <c r="T1690" s="944"/>
      <c r="U1690" s="1066"/>
      <c r="V1690" s="922"/>
      <c r="W1690" s="900"/>
      <c r="X1690" s="900"/>
      <c r="Y1690" s="985"/>
      <c r="Z1690" s="922"/>
      <c r="AA1690" s="1067"/>
      <c r="AB1690" s="922"/>
      <c r="AC1690" s="922"/>
      <c r="AD1690" s="922"/>
      <c r="AE1690" s="922"/>
      <c r="AF1690" s="1046"/>
      <c r="AG1690" s="906"/>
      <c r="AH1690" s="906"/>
      <c r="AI1690" s="907" t="str">
        <f t="shared" si="370"/>
        <v xml:space="preserve"> </v>
      </c>
      <c r="AJ1690" s="922"/>
      <c r="AK1690" s="922"/>
    </row>
    <row r="1691" spans="1:39" s="394" customFormat="1" ht="22.5" outlineLevel="2" x14ac:dyDescent="0.3">
      <c r="A1691" s="447">
        <f t="shared" si="377"/>
        <v>140</v>
      </c>
      <c r="B1691" s="893"/>
      <c r="C1691" s="908"/>
      <c r="D1691" s="1032"/>
      <c r="E1691" s="947"/>
      <c r="F1691" s="947"/>
      <c r="G1691" s="922"/>
      <c r="H1691" s="1041"/>
      <c r="I1691" s="882"/>
      <c r="J1691" s="894"/>
      <c r="K1691" s="899" t="str">
        <f>IF(G1691&lt;&gt;0,VLOOKUP(G1691,'gia dat'!$A$1:$F$144,5,0)," ")</f>
        <v xml:space="preserve"> </v>
      </c>
      <c r="L1691" s="899" t="str">
        <f>IF(G1691&lt;&gt;0,VLOOKUP(G1691,'gia dat'!$A$1:$F$144,6,0)," ")</f>
        <v xml:space="preserve"> </v>
      </c>
      <c r="M1691" s="900" t="str">
        <f t="shared" si="374"/>
        <v xml:space="preserve"> </v>
      </c>
      <c r="N1691" s="900" t="str">
        <f t="shared" si="375"/>
        <v xml:space="preserve"> </v>
      </c>
      <c r="O1691" s="908"/>
      <c r="P1691" s="1065"/>
      <c r="Q1691" s="900"/>
      <c r="R1691" s="900"/>
      <c r="S1691" s="908"/>
      <c r="T1691" s="944"/>
      <c r="U1691" s="1066"/>
      <c r="V1691" s="922"/>
      <c r="W1691" s="900"/>
      <c r="X1691" s="900"/>
      <c r="Y1691" s="985"/>
      <c r="Z1691" s="922"/>
      <c r="AA1691" s="1067"/>
      <c r="AB1691" s="922"/>
      <c r="AC1691" s="922"/>
      <c r="AD1691" s="922"/>
      <c r="AE1691" s="922"/>
      <c r="AF1691" s="1046"/>
      <c r="AG1691" s="906"/>
      <c r="AH1691" s="906"/>
      <c r="AI1691" s="907" t="str">
        <f t="shared" si="370"/>
        <v xml:space="preserve"> </v>
      </c>
      <c r="AJ1691" s="922"/>
      <c r="AK1691" s="922"/>
    </row>
    <row r="1692" spans="1:39" s="394" customFormat="1" ht="22.5" outlineLevel="2" x14ac:dyDescent="0.3">
      <c r="A1692" s="447">
        <f t="shared" si="377"/>
        <v>140</v>
      </c>
      <c r="B1692" s="893"/>
      <c r="C1692" s="942"/>
      <c r="D1692" s="1032"/>
      <c r="E1692" s="947"/>
      <c r="F1692" s="947"/>
      <c r="G1692" s="922"/>
      <c r="H1692" s="1041"/>
      <c r="I1692" s="882"/>
      <c r="J1692" s="894"/>
      <c r="K1692" s="899" t="str">
        <f>IF(G1692&lt;&gt;0,VLOOKUP(G1692,'gia dat'!$A$1:$F$144,5,0)," ")</f>
        <v xml:space="preserve"> </v>
      </c>
      <c r="L1692" s="899" t="str">
        <f>IF(G1692&lt;&gt;0,VLOOKUP(G1692,'gia dat'!$A$1:$F$144,6,0)," ")</f>
        <v xml:space="preserve"> </v>
      </c>
      <c r="M1692" s="900" t="str">
        <f t="shared" si="374"/>
        <v xml:space="preserve"> </v>
      </c>
      <c r="N1692" s="900" t="str">
        <f t="shared" si="375"/>
        <v xml:space="preserve"> </v>
      </c>
      <c r="O1692" s="908"/>
      <c r="P1692" s="1065"/>
      <c r="Q1692" s="900"/>
      <c r="R1692" s="900"/>
      <c r="S1692" s="908"/>
      <c r="T1692" s="944"/>
      <c r="U1692" s="1066"/>
      <c r="V1692" s="922"/>
      <c r="W1692" s="900"/>
      <c r="X1692" s="900"/>
      <c r="Y1692" s="985"/>
      <c r="Z1692" s="922"/>
      <c r="AA1692" s="1067"/>
      <c r="AB1692" s="922"/>
      <c r="AC1692" s="922"/>
      <c r="AD1692" s="922"/>
      <c r="AE1692" s="922"/>
      <c r="AF1692" s="1046"/>
      <c r="AG1692" s="906"/>
      <c r="AH1692" s="906"/>
      <c r="AI1692" s="907" t="str">
        <f t="shared" si="370"/>
        <v xml:space="preserve"> </v>
      </c>
      <c r="AJ1692" s="922"/>
      <c r="AK1692" s="922"/>
    </row>
    <row r="1693" spans="1:39" s="394" customFormat="1" ht="43.5" outlineLevel="1" x14ac:dyDescent="0.25">
      <c r="A1693" s="467" t="s">
        <v>2569</v>
      </c>
      <c r="B1693" s="912">
        <v>141</v>
      </c>
      <c r="C1693" s="942" t="s">
        <v>1191</v>
      </c>
      <c r="D1693" s="1038"/>
      <c r="E1693" s="977"/>
      <c r="F1693" s="977"/>
      <c r="G1693" s="914"/>
      <c r="H1693" s="1039">
        <f>SUBTOTAL(9,H1694:H1705)</f>
        <v>77.5</v>
      </c>
      <c r="I1693" s="915">
        <f>SUBTOTAL(9,I1694:I1699)</f>
        <v>0</v>
      </c>
      <c r="J1693" s="916"/>
      <c r="K1693" s="917"/>
      <c r="L1693" s="917"/>
      <c r="M1693" s="907">
        <f>SUBTOTAL(9,M1694:M1705)</f>
        <v>42966000</v>
      </c>
      <c r="N1693" s="907">
        <f>SUBTOTAL(9,N1694:N1705)</f>
        <v>0</v>
      </c>
      <c r="O1693" s="942"/>
      <c r="P1693" s="1063">
        <f>SUBTOTAL(9,P1694:P1705)</f>
        <v>2</v>
      </c>
      <c r="Q1693" s="907"/>
      <c r="R1693" s="907">
        <f>SUBTOTAL(9,R1694:R1705)</f>
        <v>4240000</v>
      </c>
      <c r="S1693" s="918"/>
      <c r="T1693" s="956"/>
      <c r="U1693" s="1064">
        <f>SUBTOTAL(9,U1694:U1705)</f>
        <v>158.82000000000002</v>
      </c>
      <c r="V1693" s="914"/>
      <c r="W1693" s="907"/>
      <c r="X1693" s="907">
        <f>SUBTOTAL(9,X1694:X1705)</f>
        <v>203989000</v>
      </c>
      <c r="Y1693" s="996"/>
      <c r="Z1693" s="1016"/>
      <c r="AA1693" s="1016"/>
      <c r="AB1693" s="1026"/>
      <c r="AC1693" s="1016"/>
      <c r="AD1693" s="1016"/>
      <c r="AE1693" s="985"/>
      <c r="AF1693" s="935">
        <f>SUBTOTAL(9,AF1694:AF1705)</f>
        <v>0</v>
      </c>
      <c r="AG1693" s="921"/>
      <c r="AH1693" s="921">
        <f>SUBTOTAL(9,AH1694:AH1705)</f>
        <v>0</v>
      </c>
      <c r="AI1693" s="907">
        <f t="shared" si="370"/>
        <v>251195000</v>
      </c>
      <c r="AJ1693" s="914"/>
      <c r="AK1693" s="914"/>
      <c r="AM1693" s="468"/>
    </row>
    <row r="1694" spans="1:39" s="394" customFormat="1" ht="135" outlineLevel="2" x14ac:dyDescent="0.3">
      <c r="A1694" s="447">
        <f>IF(B1693&lt;&gt;0,B1693,A1692)</f>
        <v>141</v>
      </c>
      <c r="B1694" s="893"/>
      <c r="C1694" s="908" t="s">
        <v>1193</v>
      </c>
      <c r="D1694" s="1032">
        <v>3</v>
      </c>
      <c r="E1694" s="947">
        <v>86</v>
      </c>
      <c r="F1694" s="947">
        <v>366</v>
      </c>
      <c r="G1694" s="922" t="s">
        <v>2419</v>
      </c>
      <c r="H1694" s="1041">
        <v>77.5</v>
      </c>
      <c r="I1694" s="882" t="str">
        <f t="shared" ref="I1694" si="378">IF(N1694&gt;0,H1694,"")</f>
        <v/>
      </c>
      <c r="J1694" s="898"/>
      <c r="K1694" s="899">
        <f>IF(G1694&lt;&gt;0,VLOOKUP(G1694,'gia dat'!$A$1:$F$144,5,0)," ")</f>
        <v>554400</v>
      </c>
      <c r="L1694" s="899">
        <f>IF(G1694&lt;&gt;0,VLOOKUP(G1694,'gia dat'!$A$1:$F$144,6,0)," ")</f>
        <v>0</v>
      </c>
      <c r="M1694" s="900">
        <f t="shared" si="374"/>
        <v>42966000</v>
      </c>
      <c r="N1694" s="900">
        <f t="shared" si="375"/>
        <v>0</v>
      </c>
      <c r="O1694" s="908" t="s">
        <v>145</v>
      </c>
      <c r="P1694" s="1065">
        <v>1</v>
      </c>
      <c r="Q1694" s="900">
        <f>IF(O1694&lt;&gt;0,VLOOKUP(O1694,'Cây trong'!$A$2:$C$246,3,0)," ")</f>
        <v>4240000</v>
      </c>
      <c r="R1694" s="900">
        <f t="shared" si="363"/>
        <v>4240000</v>
      </c>
      <c r="S1694" s="902" t="s">
        <v>2369</v>
      </c>
      <c r="T1694" s="944" t="s">
        <v>1133</v>
      </c>
      <c r="U1694" s="1066">
        <v>29.8</v>
      </c>
      <c r="V1694" s="922"/>
      <c r="W1694" s="900">
        <f>IF(S1694&lt;&gt;0,VLOOKUP(S1694,VKT!$A$2:$G$415,7,0),"")</f>
        <v>4717925</v>
      </c>
      <c r="X1694" s="900">
        <f t="shared" si="373"/>
        <v>140594000</v>
      </c>
      <c r="Y1694" s="996" t="s">
        <v>1138</v>
      </c>
      <c r="Z1694" s="1016" t="s">
        <v>1139</v>
      </c>
      <c r="AA1694" s="1016" t="s">
        <v>56</v>
      </c>
      <c r="AB1694" s="1026" t="s">
        <v>269</v>
      </c>
      <c r="AC1694" s="1016" t="s">
        <v>1138</v>
      </c>
      <c r="AD1694" s="1016"/>
      <c r="AE1694" s="1016"/>
      <c r="AF1694" s="926"/>
      <c r="AG1694" s="906" t="str">
        <f>IF(AE1694&lt;&gt;0,VLOOKUP(AE1694,ODDS!$A$2:$C$13,3,0),"")</f>
        <v/>
      </c>
      <c r="AH1694" s="906"/>
      <c r="AI1694" s="907" t="str">
        <f t="shared" si="370"/>
        <v xml:space="preserve"> </v>
      </c>
      <c r="AJ1694" s="922" t="s">
        <v>1192</v>
      </c>
      <c r="AK1694" s="922" t="s">
        <v>2771</v>
      </c>
      <c r="AM1694" s="380" t="s">
        <v>1923</v>
      </c>
    </row>
    <row r="1695" spans="1:39" s="394" customFormat="1" ht="112.5" outlineLevel="2" x14ac:dyDescent="0.35">
      <c r="A1695" s="447">
        <f t="shared" ref="A1695:A1705" si="379">IF(B1694&lt;&gt;0,B1694,A1694)</f>
        <v>141</v>
      </c>
      <c r="B1695" s="893"/>
      <c r="C1695" s="942" t="s">
        <v>1196</v>
      </c>
      <c r="D1695" s="1032"/>
      <c r="E1695" s="1070"/>
      <c r="F1695" s="1070"/>
      <c r="G1695" s="1068"/>
      <c r="H1695" s="1071"/>
      <c r="I1695" s="882"/>
      <c r="J1695" s="898"/>
      <c r="K1695" s="899" t="str">
        <f>IF(G1695&lt;&gt;0,VLOOKUP(G1695,'gia dat'!$A$1:$F$144,5,0)," ")</f>
        <v xml:space="preserve"> </v>
      </c>
      <c r="L1695" s="899" t="str">
        <f>IF(G1695&lt;&gt;0,VLOOKUP(G1695,'gia dat'!$A$1:$F$144,6,0)," ")</f>
        <v xml:space="preserve"> </v>
      </c>
      <c r="M1695" s="900" t="str">
        <f t="shared" si="374"/>
        <v xml:space="preserve"> </v>
      </c>
      <c r="N1695" s="900" t="str">
        <f t="shared" si="375"/>
        <v xml:space="preserve"> </v>
      </c>
      <c r="O1695" s="908" t="s">
        <v>1194</v>
      </c>
      <c r="P1695" s="1065">
        <v>1</v>
      </c>
      <c r="Q1695" s="900">
        <f>IF(O1695&lt;&gt;0,VLOOKUP(O1695,'Cây trong'!$A$2:$C$246,3,0)," ")</f>
        <v>0</v>
      </c>
      <c r="R1695" s="900">
        <f t="shared" si="363"/>
        <v>0</v>
      </c>
      <c r="S1695" s="902" t="s">
        <v>2370</v>
      </c>
      <c r="T1695" s="944" t="s">
        <v>1133</v>
      </c>
      <c r="U1695" s="1066">
        <v>3.6</v>
      </c>
      <c r="V1695" s="922"/>
      <c r="W1695" s="900">
        <f>IF(S1695&lt;&gt;0,VLOOKUP(S1695,VKT!$A$2:$G$415,7,0),"")</f>
        <v>8308812</v>
      </c>
      <c r="X1695" s="900">
        <f t="shared" si="373"/>
        <v>29912000</v>
      </c>
      <c r="Y1695" s="985"/>
      <c r="Z1695" s="922"/>
      <c r="AA1695" s="1067"/>
      <c r="AB1695" s="922"/>
      <c r="AC1695" s="922"/>
      <c r="AD1695" s="922"/>
      <c r="AE1695" s="922"/>
      <c r="AF1695" s="1046"/>
      <c r="AG1695" s="906" t="str">
        <f>IF(AE1695&lt;&gt;0,VLOOKUP(AE1695,ODDS!$A$2:$C$13,3,0),"")</f>
        <v/>
      </c>
      <c r="AH1695" s="906" t="str">
        <f t="shared" si="364"/>
        <v xml:space="preserve"> </v>
      </c>
      <c r="AI1695" s="907" t="str">
        <f t="shared" si="370"/>
        <v xml:space="preserve"> </v>
      </c>
      <c r="AJ1695" s="922" t="s">
        <v>1195</v>
      </c>
      <c r="AK1695" s="894" t="s">
        <v>2450</v>
      </c>
    </row>
    <row r="1696" spans="1:39" s="394" customFormat="1" ht="112.5" outlineLevel="2" x14ac:dyDescent="0.3">
      <c r="A1696" s="447">
        <f t="shared" si="379"/>
        <v>141</v>
      </c>
      <c r="B1696" s="893"/>
      <c r="C1696" s="908" t="s">
        <v>1198</v>
      </c>
      <c r="D1696" s="1032"/>
      <c r="E1696" s="947"/>
      <c r="F1696" s="947"/>
      <c r="G1696" s="922"/>
      <c r="H1696" s="1041"/>
      <c r="I1696" s="882"/>
      <c r="J1696" s="898"/>
      <c r="K1696" s="899" t="str">
        <f>IF(G1696&lt;&gt;0,VLOOKUP(G1696,'gia dat'!$A$1:$F$144,5,0)," ")</f>
        <v xml:space="preserve"> </v>
      </c>
      <c r="L1696" s="899" t="str">
        <f>IF(G1696&lt;&gt;0,VLOOKUP(G1696,'gia dat'!$A$1:$F$144,6,0)," ")</f>
        <v xml:space="preserve"> </v>
      </c>
      <c r="M1696" s="900" t="str">
        <f t="shared" si="374"/>
        <v xml:space="preserve"> </v>
      </c>
      <c r="N1696" s="900" t="str">
        <f t="shared" si="375"/>
        <v xml:space="preserve"> </v>
      </c>
      <c r="O1696" s="908"/>
      <c r="P1696" s="1065"/>
      <c r="Q1696" s="900" t="str">
        <f>IF(O1696&lt;&gt;0,VLOOKUP(O1696,'Cây trong'!$A$2:$C$246,3,0)," ")</f>
        <v xml:space="preserve"> </v>
      </c>
      <c r="R1696" s="900" t="str">
        <f t="shared" si="363"/>
        <v xml:space="preserve"> </v>
      </c>
      <c r="S1696" s="908" t="s">
        <v>1992</v>
      </c>
      <c r="T1696" s="944" t="s">
        <v>1133</v>
      </c>
      <c r="U1696" s="1066">
        <v>9.4</v>
      </c>
      <c r="V1696" s="922"/>
      <c r="W1696" s="900">
        <f>IF(S1696&lt;&gt;0,VLOOKUP(S1696,VKT!$A$2:$G$415,7,0),"")</f>
        <v>984277</v>
      </c>
      <c r="X1696" s="900">
        <f t="shared" si="373"/>
        <v>9252000</v>
      </c>
      <c r="Y1696" s="985"/>
      <c r="Z1696" s="922"/>
      <c r="AA1696" s="1067"/>
      <c r="AB1696" s="922"/>
      <c r="AC1696" s="922"/>
      <c r="AD1696" s="922"/>
      <c r="AE1696" s="922"/>
      <c r="AF1696" s="1046"/>
      <c r="AG1696" s="906" t="str">
        <f>IF(AE1696&lt;&gt;0,VLOOKUP(AE1696,ODDS!$A$2:$C$13,3,0),"")</f>
        <v/>
      </c>
      <c r="AH1696" s="906" t="str">
        <f t="shared" si="364"/>
        <v xml:space="preserve"> </v>
      </c>
      <c r="AI1696" s="907" t="str">
        <f t="shared" si="370"/>
        <v xml:space="preserve"> </v>
      </c>
      <c r="AJ1696" s="922" t="s">
        <v>1197</v>
      </c>
      <c r="AK1696" s="894" t="s">
        <v>2449</v>
      </c>
    </row>
    <row r="1697" spans="1:37" s="394" customFormat="1" ht="112.5" outlineLevel="2" x14ac:dyDescent="0.3">
      <c r="A1697" s="447">
        <f t="shared" si="379"/>
        <v>141</v>
      </c>
      <c r="B1697" s="893"/>
      <c r="C1697" s="908" t="s">
        <v>1602</v>
      </c>
      <c r="D1697" s="1032"/>
      <c r="E1697" s="947"/>
      <c r="F1697" s="947"/>
      <c r="G1697" s="922"/>
      <c r="H1697" s="1041"/>
      <c r="I1697" s="882"/>
      <c r="J1697" s="898"/>
      <c r="K1697" s="899" t="str">
        <f>IF(G1697&lt;&gt;0,VLOOKUP(G1697,'gia dat'!$A$1:$F$144,5,0)," ")</f>
        <v xml:space="preserve"> </v>
      </c>
      <c r="L1697" s="899" t="str">
        <f>IF(G1697&lt;&gt;0,VLOOKUP(G1697,'gia dat'!$A$1:$F$144,6,0)," ")</f>
        <v xml:space="preserve"> </v>
      </c>
      <c r="M1697" s="900" t="str">
        <f t="shared" si="374"/>
        <v xml:space="preserve"> </v>
      </c>
      <c r="N1697" s="900" t="str">
        <f t="shared" si="375"/>
        <v xml:space="preserve"> </v>
      </c>
      <c r="O1697" s="908"/>
      <c r="P1697" s="1065"/>
      <c r="Q1697" s="900" t="str">
        <f>IF(O1697&lt;&gt;0,VLOOKUP(O1697,'Cây trong'!$A$2:$C$246,3,0)," ")</f>
        <v xml:space="preserve"> </v>
      </c>
      <c r="R1697" s="900" t="str">
        <f t="shared" si="363"/>
        <v xml:space="preserve"> </v>
      </c>
      <c r="S1697" s="902" t="s">
        <v>2371</v>
      </c>
      <c r="T1697" s="944" t="s">
        <v>1133</v>
      </c>
      <c r="U1697" s="1066">
        <v>33.5</v>
      </c>
      <c r="V1697" s="922"/>
      <c r="W1697" s="900">
        <f>IF(S1697&lt;&gt;0,VLOOKUP(S1697,VKT!$A$2:$G$415,7,0),"")</f>
        <v>684506</v>
      </c>
      <c r="X1697" s="900">
        <f t="shared" si="373"/>
        <v>22931000</v>
      </c>
      <c r="Y1697" s="985"/>
      <c r="Z1697" s="922"/>
      <c r="AA1697" s="1067"/>
      <c r="AB1697" s="922"/>
      <c r="AC1697" s="922"/>
      <c r="AD1697" s="922"/>
      <c r="AE1697" s="922"/>
      <c r="AF1697" s="1046"/>
      <c r="AG1697" s="906" t="str">
        <f>IF(AE1697&lt;&gt;0,VLOOKUP(AE1697,ODDS!$A$2:$C$13,3,0),"")</f>
        <v/>
      </c>
      <c r="AH1697" s="906" t="str">
        <f t="shared" si="364"/>
        <v xml:space="preserve"> </v>
      </c>
      <c r="AI1697" s="907" t="str">
        <f t="shared" si="370"/>
        <v xml:space="preserve"> </v>
      </c>
      <c r="AJ1697" s="922" t="s">
        <v>111</v>
      </c>
      <c r="AK1697" s="922" t="s">
        <v>2800</v>
      </c>
    </row>
    <row r="1698" spans="1:37" s="394" customFormat="1" ht="90" outlineLevel="2" x14ac:dyDescent="0.35">
      <c r="A1698" s="447">
        <f t="shared" si="379"/>
        <v>141</v>
      </c>
      <c r="B1698" s="893"/>
      <c r="C1698" s="908"/>
      <c r="D1698" s="1032"/>
      <c r="E1698" s="947"/>
      <c r="F1698" s="947"/>
      <c r="G1698" s="922"/>
      <c r="H1698" s="1041"/>
      <c r="I1698" s="882"/>
      <c r="J1698" s="898"/>
      <c r="K1698" s="899" t="str">
        <f>IF(G1698&lt;&gt;0,VLOOKUP(G1698,'gia dat'!$A$1:$F$144,5,0)," ")</f>
        <v xml:space="preserve"> </v>
      </c>
      <c r="L1698" s="899" t="str">
        <f>IF(G1698&lt;&gt;0,VLOOKUP(G1698,'gia dat'!$A$1:$F$144,6,0)," ")</f>
        <v xml:space="preserve"> </v>
      </c>
      <c r="M1698" s="900" t="str">
        <f t="shared" si="374"/>
        <v xml:space="preserve"> </v>
      </c>
      <c r="N1698" s="900" t="str">
        <f t="shared" si="375"/>
        <v xml:space="preserve"> </v>
      </c>
      <c r="O1698" s="908"/>
      <c r="P1698" s="1065"/>
      <c r="Q1698" s="900" t="str">
        <f>IF(O1698&lt;&gt;0,VLOOKUP(O1698,'Cây trong'!$A$2:$C$246,3,0)," ")</f>
        <v xml:space="preserve"> </v>
      </c>
      <c r="R1698" s="900" t="str">
        <f t="shared" si="363"/>
        <v xml:space="preserve"> </v>
      </c>
      <c r="S1698" s="902" t="s">
        <v>1978</v>
      </c>
      <c r="T1698" s="944" t="s">
        <v>1133</v>
      </c>
      <c r="U1698" s="1066">
        <v>5.5</v>
      </c>
      <c r="V1698" s="922"/>
      <c r="W1698" s="900">
        <f>IF(S1698&lt;&gt;0,VLOOKUP(S1698,VKT!$A$2:$G$415,7,0),"")</f>
        <v>236298</v>
      </c>
      <c r="X1698" s="900">
        <f t="shared" si="373"/>
        <v>1300000</v>
      </c>
      <c r="Y1698" s="985"/>
      <c r="Z1698" s="922"/>
      <c r="AA1698" s="1067"/>
      <c r="AB1698" s="922"/>
      <c r="AC1698" s="922"/>
      <c r="AD1698" s="922"/>
      <c r="AE1698" s="922"/>
      <c r="AF1698" s="1046"/>
      <c r="AG1698" s="906" t="str">
        <f>IF(AE1698&lt;&gt;0,VLOOKUP(AE1698,ODDS!$A$2:$C$13,3,0),"")</f>
        <v/>
      </c>
      <c r="AH1698" s="906" t="str">
        <f t="shared" si="364"/>
        <v xml:space="preserve"> </v>
      </c>
      <c r="AI1698" s="907" t="str">
        <f t="shared" si="370"/>
        <v xml:space="preserve"> </v>
      </c>
      <c r="AJ1698" s="1068" t="s">
        <v>1199</v>
      </c>
      <c r="AK1698" s="922"/>
    </row>
    <row r="1699" spans="1:37" s="394" customFormat="1" ht="67.5" outlineLevel="2" x14ac:dyDescent="0.35">
      <c r="A1699" s="447">
        <f t="shared" si="379"/>
        <v>141</v>
      </c>
      <c r="B1699" s="893"/>
      <c r="C1699" s="908"/>
      <c r="D1699" s="1032"/>
      <c r="E1699" s="947"/>
      <c r="F1699" s="947"/>
      <c r="G1699" s="922"/>
      <c r="H1699" s="1041"/>
      <c r="I1699" s="882"/>
      <c r="J1699" s="898"/>
      <c r="K1699" s="899" t="str">
        <f>IF(G1699&lt;&gt;0,VLOOKUP(G1699,'gia dat'!$A$1:$F$144,5,0)," ")</f>
        <v xml:space="preserve"> </v>
      </c>
      <c r="L1699" s="899" t="str">
        <f>IF(G1699&lt;&gt;0,VLOOKUP(G1699,'gia dat'!$A$1:$F$144,6,0)," ")</f>
        <v xml:space="preserve"> </v>
      </c>
      <c r="M1699" s="900" t="str">
        <f t="shared" si="374"/>
        <v xml:space="preserve"> </v>
      </c>
      <c r="N1699" s="900" t="str">
        <f t="shared" si="375"/>
        <v xml:space="preserve"> </v>
      </c>
      <c r="O1699" s="908"/>
      <c r="P1699" s="1065"/>
      <c r="Q1699" s="900" t="str">
        <f>IF(O1699&lt;&gt;0,VLOOKUP(O1699,'Cây trong'!$A$2:$C$246,3,0)," ")</f>
        <v xml:space="preserve"> </v>
      </c>
      <c r="R1699" s="900" t="str">
        <f t="shared" si="363"/>
        <v xml:space="preserve"> </v>
      </c>
      <c r="S1699" s="902" t="s">
        <v>2372</v>
      </c>
      <c r="T1699" s="944" t="s">
        <v>1133</v>
      </c>
      <c r="U1699" s="1066">
        <v>9.1999999999999993</v>
      </c>
      <c r="V1699" s="922"/>
      <c r="W1699" s="900">
        <f>IF(S1699&lt;&gt;0,VLOOKUP(S1699,VKT!$A$2:$G$415,7,0),"")</f>
        <v>0</v>
      </c>
      <c r="X1699" s="900">
        <f t="shared" si="373"/>
        <v>0</v>
      </c>
      <c r="Y1699" s="985"/>
      <c r="Z1699" s="922"/>
      <c r="AA1699" s="1067"/>
      <c r="AB1699" s="922"/>
      <c r="AC1699" s="922"/>
      <c r="AD1699" s="922"/>
      <c r="AE1699" s="922"/>
      <c r="AF1699" s="1046"/>
      <c r="AG1699" s="906" t="str">
        <f>IF(AE1699&lt;&gt;0,VLOOKUP(AE1699,ODDS!$A$2:$C$13,3,0),"")</f>
        <v/>
      </c>
      <c r="AH1699" s="906" t="str">
        <f t="shared" si="364"/>
        <v xml:space="preserve"> </v>
      </c>
      <c r="AI1699" s="907" t="str">
        <f t="shared" si="370"/>
        <v xml:space="preserve"> </v>
      </c>
      <c r="AJ1699" s="1068"/>
      <c r="AK1699" s="922"/>
    </row>
    <row r="1700" spans="1:37" s="394" customFormat="1" ht="90" outlineLevel="2" x14ac:dyDescent="0.3">
      <c r="A1700" s="447">
        <f t="shared" si="379"/>
        <v>141</v>
      </c>
      <c r="B1700" s="893"/>
      <c r="C1700" s="908"/>
      <c r="D1700" s="1032"/>
      <c r="E1700" s="947"/>
      <c r="F1700" s="947"/>
      <c r="G1700" s="922"/>
      <c r="H1700" s="1041"/>
      <c r="I1700" s="882"/>
      <c r="J1700" s="898"/>
      <c r="K1700" s="899" t="str">
        <f>IF(G1700&lt;&gt;0,VLOOKUP(G1700,'gia dat'!$A$1:$F$144,5,0)," ")</f>
        <v xml:space="preserve"> </v>
      </c>
      <c r="L1700" s="899" t="str">
        <f>IF(G1700&lt;&gt;0,VLOOKUP(G1700,'gia dat'!$A$1:$F$144,6,0)," ")</f>
        <v xml:space="preserve"> </v>
      </c>
      <c r="M1700" s="900" t="str">
        <f t="shared" si="374"/>
        <v xml:space="preserve"> </v>
      </c>
      <c r="N1700" s="900" t="str">
        <f t="shared" si="375"/>
        <v xml:space="preserve"> </v>
      </c>
      <c r="O1700" s="908"/>
      <c r="P1700" s="1065"/>
      <c r="Q1700" s="900" t="str">
        <f>IF(O1700&lt;&gt;0,VLOOKUP(O1700,'Cây trong'!$A$2:$C$246,3,0)," ")</f>
        <v xml:space="preserve"> </v>
      </c>
      <c r="R1700" s="900" t="str">
        <f t="shared" si="363"/>
        <v xml:space="preserve"> </v>
      </c>
      <c r="S1700" s="902" t="s">
        <v>2373</v>
      </c>
      <c r="T1700" s="944" t="s">
        <v>1133</v>
      </c>
      <c r="U1700" s="1066">
        <v>43.3</v>
      </c>
      <c r="V1700" s="922"/>
      <c r="W1700" s="900">
        <f>IF(S1700&lt;&gt;0,VLOOKUP(S1700,VKT!$A$2:$G$415,7,0),"")</f>
        <v>0</v>
      </c>
      <c r="X1700" s="900">
        <f t="shared" si="373"/>
        <v>0</v>
      </c>
      <c r="Y1700" s="985"/>
      <c r="Z1700" s="922"/>
      <c r="AA1700" s="1067"/>
      <c r="AB1700" s="922"/>
      <c r="AC1700" s="922"/>
      <c r="AD1700" s="922"/>
      <c r="AE1700" s="922"/>
      <c r="AF1700" s="1046"/>
      <c r="AG1700" s="906" t="str">
        <f>IF(AE1700&lt;&gt;0,VLOOKUP(AE1700,ODDS!$A$2:$C$13,3,0),"")</f>
        <v/>
      </c>
      <c r="AH1700" s="906" t="str">
        <f t="shared" si="364"/>
        <v xml:space="preserve"> </v>
      </c>
      <c r="AI1700" s="907" t="str">
        <f t="shared" si="370"/>
        <v xml:space="preserve"> </v>
      </c>
      <c r="AJ1700" s="922"/>
      <c r="AK1700" s="922"/>
    </row>
    <row r="1701" spans="1:37" s="394" customFormat="1" ht="90" outlineLevel="2" x14ac:dyDescent="0.3">
      <c r="A1701" s="447">
        <f t="shared" si="379"/>
        <v>141</v>
      </c>
      <c r="B1701" s="893"/>
      <c r="C1701" s="922"/>
      <c r="D1701" s="1032"/>
      <c r="E1701" s="947"/>
      <c r="F1701" s="947"/>
      <c r="G1701" s="922"/>
      <c r="H1701" s="1041"/>
      <c r="I1701" s="882"/>
      <c r="J1701" s="898"/>
      <c r="K1701" s="899" t="str">
        <f>IF(G1701&lt;&gt;0,VLOOKUP(G1701,'gia dat'!$A$1:$F$144,5,0)," ")</f>
        <v xml:space="preserve"> </v>
      </c>
      <c r="L1701" s="899" t="str">
        <f>IF(G1701&lt;&gt;0,VLOOKUP(G1701,'gia dat'!$A$1:$F$144,6,0)," ")</f>
        <v xml:space="preserve"> </v>
      </c>
      <c r="M1701" s="900" t="str">
        <f t="shared" si="374"/>
        <v xml:space="preserve"> </v>
      </c>
      <c r="N1701" s="900" t="str">
        <f t="shared" si="375"/>
        <v xml:space="preserve"> </v>
      </c>
      <c r="O1701" s="908"/>
      <c r="P1701" s="1065"/>
      <c r="Q1701" s="900" t="str">
        <f>IF(O1701&lt;&gt;0,VLOOKUP(O1701,'Cây trong'!$A$2:$C$246,3,0)," ")</f>
        <v xml:space="preserve"> </v>
      </c>
      <c r="R1701" s="900" t="str">
        <f t="shared" si="363"/>
        <v xml:space="preserve"> </v>
      </c>
      <c r="S1701" s="902" t="s">
        <v>2374</v>
      </c>
      <c r="T1701" s="944" t="s">
        <v>1133</v>
      </c>
      <c r="U1701" s="1066">
        <v>1.96</v>
      </c>
      <c r="V1701" s="922"/>
      <c r="W1701" s="900">
        <f>IF(S1701&lt;&gt;0,VLOOKUP(S1701,VKT!$A$2:$G$415,7,0),"")</f>
        <v>0</v>
      </c>
      <c r="X1701" s="900">
        <f t="shared" si="373"/>
        <v>0</v>
      </c>
      <c r="Y1701" s="985"/>
      <c r="Z1701" s="922"/>
      <c r="AA1701" s="1067"/>
      <c r="AB1701" s="922"/>
      <c r="AC1701" s="922"/>
      <c r="AD1701" s="922"/>
      <c r="AE1701" s="922"/>
      <c r="AF1701" s="1046"/>
      <c r="AG1701" s="906" t="str">
        <f>IF(AE1701&lt;&gt;0,VLOOKUP(AE1701,ODDS!$A$2:$C$13,3,0),"")</f>
        <v/>
      </c>
      <c r="AH1701" s="906" t="str">
        <f t="shared" si="364"/>
        <v xml:space="preserve"> </v>
      </c>
      <c r="AI1701" s="907" t="str">
        <f t="shared" si="370"/>
        <v xml:space="preserve"> </v>
      </c>
      <c r="AJ1701" s="922"/>
      <c r="AK1701" s="922"/>
    </row>
    <row r="1702" spans="1:37" s="394" customFormat="1" ht="90" outlineLevel="2" x14ac:dyDescent="0.3">
      <c r="A1702" s="447">
        <f t="shared" si="379"/>
        <v>141</v>
      </c>
      <c r="B1702" s="893"/>
      <c r="C1702" s="908"/>
      <c r="D1702" s="1032"/>
      <c r="E1702" s="947"/>
      <c r="F1702" s="947"/>
      <c r="G1702" s="922"/>
      <c r="H1702" s="1041"/>
      <c r="I1702" s="882"/>
      <c r="J1702" s="898"/>
      <c r="K1702" s="899" t="str">
        <f>IF(G1702&lt;&gt;0,VLOOKUP(G1702,'gia dat'!$A$1:$F$144,5,0)," ")</f>
        <v xml:space="preserve"> </v>
      </c>
      <c r="L1702" s="899" t="str">
        <f>IF(G1702&lt;&gt;0,VLOOKUP(G1702,'gia dat'!$A$1:$F$144,6,0)," ")</f>
        <v xml:space="preserve"> </v>
      </c>
      <c r="M1702" s="900" t="str">
        <f t="shared" si="374"/>
        <v xml:space="preserve"> </v>
      </c>
      <c r="N1702" s="900" t="str">
        <f t="shared" si="375"/>
        <v xml:space="preserve"> </v>
      </c>
      <c r="O1702" s="908"/>
      <c r="P1702" s="1065"/>
      <c r="Q1702" s="900" t="str">
        <f>IF(O1702&lt;&gt;0,VLOOKUP(O1702,'Cây trong'!$A$2:$C$246,3,0)," ")</f>
        <v xml:space="preserve"> </v>
      </c>
      <c r="R1702" s="900" t="str">
        <f t="shared" si="363"/>
        <v xml:space="preserve"> </v>
      </c>
      <c r="S1702" s="902" t="s">
        <v>2010</v>
      </c>
      <c r="T1702" s="944" t="s">
        <v>1133</v>
      </c>
      <c r="U1702" s="1066">
        <v>22.56</v>
      </c>
      <c r="V1702" s="922"/>
      <c r="W1702" s="900">
        <f>IF(S1702&lt;&gt;0,VLOOKUP(S1702,VKT!$A$2:$G$415,7,0),"")</f>
        <v>0</v>
      </c>
      <c r="X1702" s="900">
        <f t="shared" si="373"/>
        <v>0</v>
      </c>
      <c r="Y1702" s="985"/>
      <c r="Z1702" s="922"/>
      <c r="AA1702" s="1067"/>
      <c r="AB1702" s="922"/>
      <c r="AC1702" s="922"/>
      <c r="AD1702" s="922"/>
      <c r="AE1702" s="922"/>
      <c r="AF1702" s="1046"/>
      <c r="AG1702" s="906" t="str">
        <f>IF(AE1702&lt;&gt;0,VLOOKUP(AE1702,ODDS!$A$2:$C$13,3,0),"")</f>
        <v/>
      </c>
      <c r="AH1702" s="906" t="str">
        <f t="shared" si="364"/>
        <v xml:space="preserve"> </v>
      </c>
      <c r="AI1702" s="907" t="str">
        <f t="shared" si="370"/>
        <v xml:space="preserve"> </v>
      </c>
      <c r="AJ1702" s="908"/>
      <c r="AK1702" s="908"/>
    </row>
    <row r="1703" spans="1:37" s="394" customFormat="1" ht="22.5" outlineLevel="2" x14ac:dyDescent="0.3">
      <c r="A1703" s="447">
        <f t="shared" si="379"/>
        <v>141</v>
      </c>
      <c r="B1703" s="893"/>
      <c r="C1703" s="908"/>
      <c r="D1703" s="1032"/>
      <c r="E1703" s="947"/>
      <c r="F1703" s="947"/>
      <c r="G1703" s="922"/>
      <c r="H1703" s="1041"/>
      <c r="I1703" s="882"/>
      <c r="J1703" s="898"/>
      <c r="K1703" s="899" t="str">
        <f>IF(G1703&lt;&gt;0,VLOOKUP(G1703,'gia dat'!$A$1:$F$144,5,0)," ")</f>
        <v xml:space="preserve"> </v>
      </c>
      <c r="L1703" s="899" t="str">
        <f>IF(G1703&lt;&gt;0,VLOOKUP(G1703,'gia dat'!$A$1:$F$144,6,0)," ")</f>
        <v xml:space="preserve"> </v>
      </c>
      <c r="M1703" s="900" t="str">
        <f t="shared" si="374"/>
        <v xml:space="preserve"> </v>
      </c>
      <c r="N1703" s="900" t="str">
        <f t="shared" si="375"/>
        <v xml:space="preserve"> </v>
      </c>
      <c r="O1703" s="908"/>
      <c r="P1703" s="1065"/>
      <c r="Q1703" s="900" t="str">
        <f>IF(O1703&lt;&gt;0,VLOOKUP(O1703,'Cây trong'!$A$2:$C$246,3,0)," ")</f>
        <v xml:space="preserve"> </v>
      </c>
      <c r="R1703" s="900" t="str">
        <f t="shared" si="363"/>
        <v xml:space="preserve"> </v>
      </c>
      <c r="S1703" s="902"/>
      <c r="T1703" s="944"/>
      <c r="U1703" s="1066"/>
      <c r="V1703" s="922"/>
      <c r="W1703" s="900" t="str">
        <f>IF(S1703&lt;&gt;0,VLOOKUP(S1703,VKT!$A$2:$G$415,7,0),"")</f>
        <v/>
      </c>
      <c r="X1703" s="900" t="str">
        <f t="shared" si="373"/>
        <v xml:space="preserve"> </v>
      </c>
      <c r="Y1703" s="985"/>
      <c r="Z1703" s="922"/>
      <c r="AA1703" s="1067"/>
      <c r="AB1703" s="922"/>
      <c r="AC1703" s="922"/>
      <c r="AD1703" s="922"/>
      <c r="AE1703" s="922"/>
      <c r="AF1703" s="1046"/>
      <c r="AG1703" s="906" t="str">
        <f>IF(AE1703&lt;&gt;0,VLOOKUP(AE1703,ODDS!$A$2:$C$13,3,0),"")</f>
        <v/>
      </c>
      <c r="AH1703" s="906" t="str">
        <f t="shared" si="364"/>
        <v xml:space="preserve"> </v>
      </c>
      <c r="AI1703" s="907" t="str">
        <f t="shared" si="370"/>
        <v xml:space="preserve"> </v>
      </c>
      <c r="AJ1703" s="894"/>
      <c r="AK1703" s="894"/>
    </row>
    <row r="1704" spans="1:37" s="394" customFormat="1" ht="22.5" outlineLevel="2" x14ac:dyDescent="0.3">
      <c r="A1704" s="447">
        <f t="shared" si="379"/>
        <v>141</v>
      </c>
      <c r="B1704" s="893"/>
      <c r="C1704" s="908"/>
      <c r="D1704" s="1032"/>
      <c r="E1704" s="947"/>
      <c r="F1704" s="947"/>
      <c r="G1704" s="922"/>
      <c r="H1704" s="1041"/>
      <c r="I1704" s="882"/>
      <c r="J1704" s="898"/>
      <c r="K1704" s="899" t="str">
        <f>IF(G1704&lt;&gt;0,VLOOKUP(G1704,'gia dat'!$A$1:$F$144,5,0)," ")</f>
        <v xml:space="preserve"> </v>
      </c>
      <c r="L1704" s="899" t="str">
        <f>IF(G1704&lt;&gt;0,VLOOKUP(G1704,'gia dat'!$A$1:$F$144,6,0)," ")</f>
        <v xml:space="preserve"> </v>
      </c>
      <c r="M1704" s="900" t="str">
        <f t="shared" si="374"/>
        <v xml:space="preserve"> </v>
      </c>
      <c r="N1704" s="900" t="str">
        <f t="shared" si="375"/>
        <v xml:space="preserve"> </v>
      </c>
      <c r="O1704" s="908"/>
      <c r="P1704" s="1065"/>
      <c r="Q1704" s="900" t="str">
        <f>IF(O1704&lt;&gt;0,VLOOKUP(O1704,'Cây trong'!$A$2:$C$246,3,0)," ")</f>
        <v xml:space="preserve"> </v>
      </c>
      <c r="R1704" s="900" t="str">
        <f t="shared" si="363"/>
        <v xml:space="preserve"> </v>
      </c>
      <c r="S1704" s="902"/>
      <c r="T1704" s="944"/>
      <c r="U1704" s="1066"/>
      <c r="V1704" s="922"/>
      <c r="W1704" s="900" t="str">
        <f>IF(S1704&lt;&gt;0,VLOOKUP(S1704,VKT!$A$2:$G$415,7,0),"")</f>
        <v/>
      </c>
      <c r="X1704" s="900" t="str">
        <f t="shared" si="373"/>
        <v xml:space="preserve"> </v>
      </c>
      <c r="Y1704" s="985"/>
      <c r="Z1704" s="922"/>
      <c r="AA1704" s="1067"/>
      <c r="AB1704" s="922"/>
      <c r="AC1704" s="922"/>
      <c r="AD1704" s="922"/>
      <c r="AE1704" s="922"/>
      <c r="AF1704" s="1046"/>
      <c r="AG1704" s="906" t="str">
        <f>IF(AE1704&lt;&gt;0,VLOOKUP(AE1704,ODDS!$A$2:$C$13,3,0),"")</f>
        <v/>
      </c>
      <c r="AH1704" s="906" t="str">
        <f t="shared" si="364"/>
        <v xml:space="preserve"> </v>
      </c>
      <c r="AI1704" s="907" t="str">
        <f t="shared" si="370"/>
        <v xml:space="preserve"> </v>
      </c>
      <c r="AJ1704" s="922"/>
      <c r="AK1704" s="922"/>
    </row>
    <row r="1705" spans="1:37" s="394" customFormat="1" ht="22.5" outlineLevel="2" x14ac:dyDescent="0.3">
      <c r="A1705" s="447">
        <f t="shared" si="379"/>
        <v>141</v>
      </c>
      <c r="B1705" s="893"/>
      <c r="C1705" s="942"/>
      <c r="D1705" s="1032"/>
      <c r="E1705" s="947"/>
      <c r="F1705" s="947"/>
      <c r="G1705" s="922"/>
      <c r="H1705" s="1041"/>
      <c r="I1705" s="882"/>
      <c r="J1705" s="898"/>
      <c r="K1705" s="899" t="str">
        <f>IF(G1705&lt;&gt;0,VLOOKUP(G1705,'gia dat'!$A$1:$F$144,5,0)," ")</f>
        <v xml:space="preserve"> </v>
      </c>
      <c r="L1705" s="899" t="str">
        <f>IF(G1705&lt;&gt;0,VLOOKUP(G1705,'gia dat'!$A$1:$F$144,6,0)," ")</f>
        <v xml:space="preserve"> </v>
      </c>
      <c r="M1705" s="900" t="str">
        <f t="shared" si="374"/>
        <v xml:space="preserve"> </v>
      </c>
      <c r="N1705" s="900" t="str">
        <f t="shared" si="375"/>
        <v xml:space="preserve"> </v>
      </c>
      <c r="O1705" s="908"/>
      <c r="P1705" s="1065"/>
      <c r="Q1705" s="900" t="str">
        <f>IF(O1705&lt;&gt;0,VLOOKUP(O1705,'Cây trong'!$A$2:$C$246,3,0)," ")</f>
        <v xml:space="preserve"> </v>
      </c>
      <c r="R1705" s="900" t="str">
        <f t="shared" si="363"/>
        <v xml:space="preserve"> </v>
      </c>
      <c r="S1705" s="902"/>
      <c r="T1705" s="944"/>
      <c r="U1705" s="1066"/>
      <c r="V1705" s="922"/>
      <c r="W1705" s="900" t="str">
        <f>IF(S1705&lt;&gt;0,VLOOKUP(S1705,VKT!$A$2:$G$415,7,0),"")</f>
        <v/>
      </c>
      <c r="X1705" s="900" t="str">
        <f t="shared" si="373"/>
        <v xml:space="preserve"> </v>
      </c>
      <c r="Y1705" s="985"/>
      <c r="Z1705" s="922"/>
      <c r="AA1705" s="1067"/>
      <c r="AB1705" s="922"/>
      <c r="AC1705" s="922"/>
      <c r="AD1705" s="922"/>
      <c r="AE1705" s="922"/>
      <c r="AF1705" s="1046"/>
      <c r="AG1705" s="906" t="str">
        <f>IF(AE1705&lt;&gt;0,VLOOKUP(AE1705,ODDS!$A$2:$C$13,3,0),"")</f>
        <v/>
      </c>
      <c r="AH1705" s="906" t="str">
        <f t="shared" si="364"/>
        <v xml:space="preserve"> </v>
      </c>
      <c r="AI1705" s="907" t="str">
        <f t="shared" si="370"/>
        <v xml:space="preserve"> </v>
      </c>
      <c r="AJ1705" s="922"/>
      <c r="AK1705" s="922"/>
    </row>
    <row r="1706" spans="1:37" s="394" customFormat="1" ht="43.5" outlineLevel="1" x14ac:dyDescent="0.25">
      <c r="A1706" s="467" t="s">
        <v>2568</v>
      </c>
      <c r="B1706" s="912">
        <v>142</v>
      </c>
      <c r="C1706" s="942" t="s">
        <v>1448</v>
      </c>
      <c r="D1706" s="1038"/>
      <c r="E1706" s="977"/>
      <c r="F1706" s="977"/>
      <c r="G1706" s="914"/>
      <c r="H1706" s="1039">
        <f>SUBTOTAL(9,H1707:H1710)</f>
        <v>23.8</v>
      </c>
      <c r="I1706" s="915">
        <f>SUBTOTAL(9,I1707:I1712)</f>
        <v>115.6</v>
      </c>
      <c r="J1706" s="916"/>
      <c r="K1706" s="917"/>
      <c r="L1706" s="917"/>
      <c r="M1706" s="907">
        <f>SUBTOTAL(9,M1707:M1710)</f>
        <v>13195000</v>
      </c>
      <c r="N1706" s="907">
        <f>SUBTOTAL(9,N1707:N1710)</f>
        <v>39584000</v>
      </c>
      <c r="O1706" s="942"/>
      <c r="P1706" s="1063">
        <f>SUBTOTAL(9,P1707:P1710)</f>
        <v>0</v>
      </c>
      <c r="Q1706" s="907"/>
      <c r="R1706" s="907">
        <f>SUBTOTAL(9,R1707:R1710)</f>
        <v>0</v>
      </c>
      <c r="S1706" s="918"/>
      <c r="T1706" s="956"/>
      <c r="U1706" s="1064">
        <f>SUBTOTAL(9,U1707:U1710)</f>
        <v>0</v>
      </c>
      <c r="V1706" s="914"/>
      <c r="W1706" s="907"/>
      <c r="X1706" s="907">
        <f>SUBTOTAL(9,X1707:X1710)</f>
        <v>0</v>
      </c>
      <c r="Y1706" s="985"/>
      <c r="Z1706" s="922"/>
      <c r="AA1706" s="1067"/>
      <c r="AB1706" s="922"/>
      <c r="AC1706" s="922"/>
      <c r="AD1706" s="922"/>
      <c r="AE1706" s="914"/>
      <c r="AF1706" s="1044">
        <f>SUBTOTAL(9,AF1707:AF1710)</f>
        <v>0</v>
      </c>
      <c r="AG1706" s="921"/>
      <c r="AH1706" s="921">
        <f>SUBTOTAL(9,AH1707:AH1710)</f>
        <v>0</v>
      </c>
      <c r="AI1706" s="907">
        <f t="shared" si="370"/>
        <v>52779000</v>
      </c>
      <c r="AJ1706" s="914"/>
      <c r="AK1706" s="914"/>
    </row>
    <row r="1707" spans="1:37" s="394" customFormat="1" ht="292.5" outlineLevel="2" x14ac:dyDescent="0.3">
      <c r="A1707" s="447">
        <f>IF(B1706&lt;&gt;0,B1706,A1705)</f>
        <v>142</v>
      </c>
      <c r="B1707" s="893"/>
      <c r="C1707" s="908" t="s">
        <v>1450</v>
      </c>
      <c r="D1707" s="1032"/>
      <c r="E1707" s="947">
        <v>86</v>
      </c>
      <c r="F1707" s="947">
        <v>25</v>
      </c>
      <c r="G1707" s="922" t="s">
        <v>2421</v>
      </c>
      <c r="H1707" s="1041">
        <v>23.8</v>
      </c>
      <c r="I1707" s="882">
        <f t="shared" ref="I1707" si="380">IF(N1707&gt;0,H1707,"")</f>
        <v>23.8</v>
      </c>
      <c r="J1707" s="898"/>
      <c r="K1707" s="899">
        <f>IF(G1707&lt;&gt;0,VLOOKUP(G1707,'gia dat'!$A$1:$F$144,5,0)," ")</f>
        <v>554400</v>
      </c>
      <c r="L1707" s="899">
        <f>IF(G1707&lt;&gt;0,VLOOKUP(G1707,'gia dat'!$A$1:$F$144,6,0)," ")</f>
        <v>1663200</v>
      </c>
      <c r="M1707" s="900">
        <f t="shared" si="374"/>
        <v>13195000</v>
      </c>
      <c r="N1707" s="900">
        <f t="shared" si="375"/>
        <v>39584000</v>
      </c>
      <c r="O1707" s="908"/>
      <c r="P1707" s="1065"/>
      <c r="Q1707" s="900"/>
      <c r="R1707" s="900"/>
      <c r="S1707" s="902"/>
      <c r="T1707" s="944"/>
      <c r="U1707" s="1066"/>
      <c r="V1707" s="922"/>
      <c r="W1707" s="900"/>
      <c r="X1707" s="900"/>
      <c r="Y1707" s="985"/>
      <c r="Z1707" s="922"/>
      <c r="AA1707" s="1067"/>
      <c r="AB1707" s="922"/>
      <c r="AC1707" s="922"/>
      <c r="AD1707" s="922"/>
      <c r="AE1707" s="922"/>
      <c r="AF1707" s="1046"/>
      <c r="AG1707" s="906"/>
      <c r="AH1707" s="906"/>
      <c r="AI1707" s="907" t="str">
        <f t="shared" si="370"/>
        <v xml:space="preserve"> </v>
      </c>
      <c r="AJ1707" s="922" t="s">
        <v>2464</v>
      </c>
      <c r="AK1707" s="922" t="s">
        <v>2771</v>
      </c>
    </row>
    <row r="1708" spans="1:37" s="394" customFormat="1" ht="112.5" outlineLevel="2" x14ac:dyDescent="0.3">
      <c r="A1708" s="447">
        <f>IF(B1707&lt;&gt;0,B1707,A1707)</f>
        <v>142</v>
      </c>
      <c r="B1708" s="893"/>
      <c r="C1708" s="908" t="s">
        <v>1634</v>
      </c>
      <c r="D1708" s="1032"/>
      <c r="E1708" s="947"/>
      <c r="F1708" s="947"/>
      <c r="G1708" s="922"/>
      <c r="H1708" s="1041"/>
      <c r="I1708" s="882"/>
      <c r="J1708" s="898"/>
      <c r="K1708" s="899" t="str">
        <f>IF(G1708&lt;&gt;0,VLOOKUP(G1708,'gia dat'!$A$1:$F$144,5,0)," ")</f>
        <v xml:space="preserve"> </v>
      </c>
      <c r="L1708" s="899" t="str">
        <f>IF(G1708&lt;&gt;0,VLOOKUP(G1708,'gia dat'!$A$1:$F$144,6,0)," ")</f>
        <v xml:space="preserve"> </v>
      </c>
      <c r="M1708" s="900" t="str">
        <f t="shared" si="374"/>
        <v xml:space="preserve"> </v>
      </c>
      <c r="N1708" s="900" t="str">
        <f t="shared" si="375"/>
        <v xml:space="preserve"> </v>
      </c>
      <c r="O1708" s="908"/>
      <c r="P1708" s="1065"/>
      <c r="Q1708" s="900"/>
      <c r="R1708" s="900"/>
      <c r="S1708" s="902"/>
      <c r="T1708" s="944"/>
      <c r="U1708" s="1066"/>
      <c r="V1708" s="922"/>
      <c r="W1708" s="900"/>
      <c r="X1708" s="900"/>
      <c r="Y1708" s="985"/>
      <c r="Z1708" s="922"/>
      <c r="AA1708" s="1067"/>
      <c r="AB1708" s="922"/>
      <c r="AC1708" s="922"/>
      <c r="AD1708" s="922"/>
      <c r="AE1708" s="922"/>
      <c r="AF1708" s="1046"/>
      <c r="AG1708" s="906"/>
      <c r="AH1708" s="906"/>
      <c r="AI1708" s="907" t="str">
        <f t="shared" si="370"/>
        <v xml:space="preserve"> </v>
      </c>
      <c r="AJ1708" s="922" t="s">
        <v>2074</v>
      </c>
      <c r="AK1708" s="894" t="s">
        <v>2448</v>
      </c>
    </row>
    <row r="1709" spans="1:37" s="394" customFormat="1" ht="22.5" outlineLevel="2" x14ac:dyDescent="0.3">
      <c r="A1709" s="447">
        <f>IF(B1708&lt;&gt;0,B1708,A1708)</f>
        <v>142</v>
      </c>
      <c r="B1709" s="893"/>
      <c r="C1709" s="908"/>
      <c r="D1709" s="1032"/>
      <c r="E1709" s="947"/>
      <c r="F1709" s="947"/>
      <c r="G1709" s="922"/>
      <c r="H1709" s="1041"/>
      <c r="I1709" s="882"/>
      <c r="J1709" s="898"/>
      <c r="K1709" s="899" t="str">
        <f>IF(G1709&lt;&gt;0,VLOOKUP(G1709,'gia dat'!$A$1:$F$144,5,0)," ")</f>
        <v xml:space="preserve"> </v>
      </c>
      <c r="L1709" s="899" t="str">
        <f>IF(G1709&lt;&gt;0,VLOOKUP(G1709,'gia dat'!$A$1:$F$144,6,0)," ")</f>
        <v xml:space="preserve"> </v>
      </c>
      <c r="M1709" s="900" t="str">
        <f t="shared" si="374"/>
        <v xml:space="preserve"> </v>
      </c>
      <c r="N1709" s="900" t="str">
        <f t="shared" si="375"/>
        <v xml:space="preserve"> </v>
      </c>
      <c r="O1709" s="908"/>
      <c r="P1709" s="1065"/>
      <c r="Q1709" s="900"/>
      <c r="R1709" s="900"/>
      <c r="S1709" s="902"/>
      <c r="T1709" s="944"/>
      <c r="U1709" s="1066"/>
      <c r="V1709" s="922"/>
      <c r="W1709" s="900"/>
      <c r="X1709" s="900"/>
      <c r="Y1709" s="985"/>
      <c r="Z1709" s="922"/>
      <c r="AA1709" s="1067"/>
      <c r="AB1709" s="922"/>
      <c r="AC1709" s="922"/>
      <c r="AD1709" s="922"/>
      <c r="AE1709" s="922"/>
      <c r="AF1709" s="1046"/>
      <c r="AG1709" s="906"/>
      <c r="AH1709" s="906"/>
      <c r="AI1709" s="907" t="str">
        <f t="shared" si="370"/>
        <v xml:space="preserve"> </v>
      </c>
      <c r="AJ1709" s="922"/>
      <c r="AK1709" s="922"/>
    </row>
    <row r="1710" spans="1:37" s="394" customFormat="1" ht="22.5" outlineLevel="2" x14ac:dyDescent="0.3">
      <c r="A1710" s="447">
        <f>IF(B1709&lt;&gt;0,B1709,A1709)</f>
        <v>142</v>
      </c>
      <c r="B1710" s="893"/>
      <c r="C1710" s="942"/>
      <c r="D1710" s="1032"/>
      <c r="E1710" s="947"/>
      <c r="F1710" s="947"/>
      <c r="G1710" s="922"/>
      <c r="H1710" s="1041"/>
      <c r="I1710" s="882"/>
      <c r="J1710" s="898"/>
      <c r="K1710" s="899" t="str">
        <f>IF(G1710&lt;&gt;0,VLOOKUP(G1710,'gia dat'!$A$1:$F$144,5,0)," ")</f>
        <v xml:space="preserve"> </v>
      </c>
      <c r="L1710" s="899" t="str">
        <f>IF(G1710&lt;&gt;0,VLOOKUP(G1710,'gia dat'!$A$1:$F$144,6,0)," ")</f>
        <v xml:space="preserve"> </v>
      </c>
      <c r="M1710" s="900" t="str">
        <f t="shared" si="374"/>
        <v xml:space="preserve"> </v>
      </c>
      <c r="N1710" s="900" t="str">
        <f t="shared" si="375"/>
        <v xml:space="preserve"> </v>
      </c>
      <c r="O1710" s="908"/>
      <c r="P1710" s="1065"/>
      <c r="Q1710" s="900"/>
      <c r="R1710" s="900"/>
      <c r="S1710" s="902"/>
      <c r="T1710" s="944"/>
      <c r="U1710" s="1066"/>
      <c r="V1710" s="922"/>
      <c r="W1710" s="900"/>
      <c r="X1710" s="900"/>
      <c r="Y1710" s="985"/>
      <c r="Z1710" s="922"/>
      <c r="AA1710" s="1067"/>
      <c r="AB1710" s="922"/>
      <c r="AC1710" s="922"/>
      <c r="AD1710" s="922"/>
      <c r="AE1710" s="922"/>
      <c r="AF1710" s="1046"/>
      <c r="AG1710" s="906"/>
      <c r="AH1710" s="906"/>
      <c r="AI1710" s="907" t="str">
        <f t="shared" si="370"/>
        <v xml:space="preserve"> </v>
      </c>
      <c r="AJ1710" s="922"/>
      <c r="AK1710" s="922"/>
    </row>
    <row r="1711" spans="1:37" s="396" customFormat="1" ht="43.5" outlineLevel="1" x14ac:dyDescent="0.25">
      <c r="A1711" s="467" t="s">
        <v>2567</v>
      </c>
      <c r="B1711" s="912">
        <v>143</v>
      </c>
      <c r="C1711" s="942" t="s">
        <v>1201</v>
      </c>
      <c r="D1711" s="1038"/>
      <c r="E1711" s="977"/>
      <c r="F1711" s="977"/>
      <c r="G1711" s="914"/>
      <c r="H1711" s="1039">
        <f>SUBTOTAL(9,H1712:H1718)</f>
        <v>91.8</v>
      </c>
      <c r="I1711" s="915">
        <f>SUBTOTAL(9,I1712:I1717)</f>
        <v>91.8</v>
      </c>
      <c r="J1711" s="916"/>
      <c r="K1711" s="917"/>
      <c r="L1711" s="917"/>
      <c r="M1711" s="907">
        <f>SUBTOTAL(9,M1712:M1718)</f>
        <v>50894000</v>
      </c>
      <c r="N1711" s="907">
        <f>SUBTOTAL(9,N1712:N1718)</f>
        <v>152682000</v>
      </c>
      <c r="O1711" s="942"/>
      <c r="P1711" s="1063">
        <f>SUBTOTAL(9,P1712:P1718)</f>
        <v>28</v>
      </c>
      <c r="Q1711" s="907"/>
      <c r="R1711" s="907">
        <f>SUBTOTAL(9,R1712:R1718)</f>
        <v>9030000</v>
      </c>
      <c r="S1711" s="918"/>
      <c r="T1711" s="956"/>
      <c r="U1711" s="1064">
        <f>SUBTOTAL(9,U1712:U1718)</f>
        <v>0</v>
      </c>
      <c r="V1711" s="914"/>
      <c r="W1711" s="907"/>
      <c r="X1711" s="907">
        <f>SUBTOTAL(9,X1712:X1718)</f>
        <v>0</v>
      </c>
      <c r="Y1711" s="985"/>
      <c r="Z1711" s="922"/>
      <c r="AA1711" s="1067"/>
      <c r="AB1711" s="922"/>
      <c r="AC1711" s="922"/>
      <c r="AD1711" s="922"/>
      <c r="AE1711" s="914"/>
      <c r="AF1711" s="1044">
        <f>SUBTOTAL(9,AF1712:AF1718)</f>
        <v>0</v>
      </c>
      <c r="AG1711" s="921"/>
      <c r="AH1711" s="921">
        <f>SUBTOTAL(9,AH1712:AH1718)</f>
        <v>0</v>
      </c>
      <c r="AI1711" s="907">
        <f t="shared" si="370"/>
        <v>212606000</v>
      </c>
      <c r="AJ1711" s="914"/>
      <c r="AK1711" s="914"/>
    </row>
    <row r="1712" spans="1:37" s="396" customFormat="1" ht="135" outlineLevel="2" x14ac:dyDescent="0.3">
      <c r="A1712" s="447">
        <f>IF(B1711&lt;&gt;0,B1711,A1710)</f>
        <v>143</v>
      </c>
      <c r="B1712" s="893"/>
      <c r="C1712" s="908" t="s">
        <v>1203</v>
      </c>
      <c r="D1712" s="1032">
        <v>3</v>
      </c>
      <c r="E1712" s="947">
        <v>86</v>
      </c>
      <c r="F1712" s="947">
        <v>397</v>
      </c>
      <c r="G1712" s="922" t="s">
        <v>2420</v>
      </c>
      <c r="H1712" s="1041">
        <v>91.8</v>
      </c>
      <c r="I1712" s="882">
        <f t="shared" ref="I1712" si="381">IF(N1712&gt;0,H1712,"")</f>
        <v>91.8</v>
      </c>
      <c r="J1712" s="898"/>
      <c r="K1712" s="899">
        <f>IF(G1712&lt;&gt;0,VLOOKUP(G1712,'gia dat'!$A$1:$F$144,5,0)," ")</f>
        <v>554400</v>
      </c>
      <c r="L1712" s="899">
        <f>IF(G1712&lt;&gt;0,VLOOKUP(G1712,'gia dat'!$A$1:$F$144,6,0)," ")</f>
        <v>1663200</v>
      </c>
      <c r="M1712" s="900">
        <f t="shared" si="374"/>
        <v>50894000</v>
      </c>
      <c r="N1712" s="900">
        <f t="shared" si="375"/>
        <v>152682000</v>
      </c>
      <c r="O1712" s="908" t="s">
        <v>69</v>
      </c>
      <c r="P1712" s="1065">
        <v>2</v>
      </c>
      <c r="Q1712" s="900">
        <f>IF(O1712&lt;&gt;0,VLOOKUP(O1712,'Cây trong'!$A$2:$C$246,3,0)," ")</f>
        <v>211000</v>
      </c>
      <c r="R1712" s="900">
        <f t="shared" si="363"/>
        <v>422000</v>
      </c>
      <c r="S1712" s="902"/>
      <c r="T1712" s="944"/>
      <c r="U1712" s="1066"/>
      <c r="V1712" s="922"/>
      <c r="W1712" s="900" t="str">
        <f>IF(S1712&lt;&gt;0,VLOOKUP(S1712,VKT!$A$2:$G$415,7,0),"")</f>
        <v/>
      </c>
      <c r="X1712" s="900" t="str">
        <f t="shared" si="373"/>
        <v xml:space="preserve"> </v>
      </c>
      <c r="Y1712" s="985"/>
      <c r="Z1712" s="922"/>
      <c r="AA1712" s="1067"/>
      <c r="AB1712" s="922"/>
      <c r="AC1712" s="922"/>
      <c r="AD1712" s="922"/>
      <c r="AE1712" s="922"/>
      <c r="AF1712" s="1046"/>
      <c r="AG1712" s="906" t="str">
        <f>IF(AE1712&lt;&gt;0,VLOOKUP(AE1712,ODDS!$A$2:$C$13,3,0),"")</f>
        <v/>
      </c>
      <c r="AH1712" s="906"/>
      <c r="AI1712" s="907" t="str">
        <f t="shared" si="370"/>
        <v xml:space="preserve"> </v>
      </c>
      <c r="AJ1712" s="922" t="s">
        <v>1202</v>
      </c>
      <c r="AK1712" s="922" t="s">
        <v>2771</v>
      </c>
    </row>
    <row r="1713" spans="1:37" s="394" customFormat="1" ht="90" outlineLevel="2" x14ac:dyDescent="0.35">
      <c r="A1713" s="447">
        <f t="shared" ref="A1713:A1718" si="382">IF(B1712&lt;&gt;0,B1712,A1712)</f>
        <v>143</v>
      </c>
      <c r="B1713" s="893"/>
      <c r="C1713" s="908" t="s">
        <v>1603</v>
      </c>
      <c r="D1713" s="1032"/>
      <c r="E1713" s="1070"/>
      <c r="F1713" s="1070"/>
      <c r="G1713" s="1068"/>
      <c r="H1713" s="1071"/>
      <c r="I1713" s="882"/>
      <c r="J1713" s="898"/>
      <c r="K1713" s="899" t="str">
        <f>IF(G1713&lt;&gt;0,VLOOKUP(G1713,'gia dat'!$A$1:$F$144,5,0)," ")</f>
        <v xml:space="preserve"> </v>
      </c>
      <c r="L1713" s="899" t="str">
        <f>IF(G1713&lt;&gt;0,VLOOKUP(G1713,'gia dat'!$A$1:$F$144,6,0)," ")</f>
        <v xml:space="preserve"> </v>
      </c>
      <c r="M1713" s="900" t="str">
        <f t="shared" si="374"/>
        <v xml:space="preserve"> </v>
      </c>
      <c r="N1713" s="900" t="str">
        <f t="shared" si="375"/>
        <v xml:space="preserve"> </v>
      </c>
      <c r="O1713" s="908" t="s">
        <v>77</v>
      </c>
      <c r="P1713" s="1065">
        <v>1</v>
      </c>
      <c r="Q1713" s="900">
        <f>IF(O1713&lt;&gt;0,VLOOKUP(O1713,'Cây trong'!$A$2:$C$246,3,0)," ")</f>
        <v>3064000</v>
      </c>
      <c r="R1713" s="900">
        <f t="shared" si="363"/>
        <v>3064000</v>
      </c>
      <c r="S1713" s="902"/>
      <c r="T1713" s="944"/>
      <c r="U1713" s="1066"/>
      <c r="V1713" s="922"/>
      <c r="W1713" s="900" t="str">
        <f>IF(S1713&lt;&gt;0,VLOOKUP(S1713,VKT!$A$2:$G$415,7,0),"")</f>
        <v/>
      </c>
      <c r="X1713" s="900" t="str">
        <f t="shared" si="373"/>
        <v xml:space="preserve"> </v>
      </c>
      <c r="Y1713" s="985"/>
      <c r="Z1713" s="922"/>
      <c r="AA1713" s="1067"/>
      <c r="AB1713" s="922"/>
      <c r="AC1713" s="922"/>
      <c r="AD1713" s="922"/>
      <c r="AE1713" s="922"/>
      <c r="AF1713" s="1046"/>
      <c r="AG1713" s="906" t="str">
        <f>IF(AE1713&lt;&gt;0,VLOOKUP(AE1713,ODDS!$A$2:$C$13,3,0),"")</f>
        <v/>
      </c>
      <c r="AH1713" s="906" t="str">
        <f t="shared" si="364"/>
        <v xml:space="preserve"> </v>
      </c>
      <c r="AI1713" s="907" t="str">
        <f t="shared" si="370"/>
        <v xml:space="preserve"> </v>
      </c>
      <c r="AJ1713" s="922" t="s">
        <v>1204</v>
      </c>
      <c r="AK1713" s="894" t="s">
        <v>2448</v>
      </c>
    </row>
    <row r="1714" spans="1:37" s="394" customFormat="1" ht="112.5" outlineLevel="2" x14ac:dyDescent="0.3">
      <c r="A1714" s="447">
        <f t="shared" si="382"/>
        <v>143</v>
      </c>
      <c r="B1714" s="893"/>
      <c r="C1714" s="908"/>
      <c r="D1714" s="1032"/>
      <c r="E1714" s="947"/>
      <c r="F1714" s="947"/>
      <c r="G1714" s="922"/>
      <c r="H1714" s="1041"/>
      <c r="I1714" s="882"/>
      <c r="J1714" s="898"/>
      <c r="K1714" s="899" t="str">
        <f>IF(G1714&lt;&gt;0,VLOOKUP(G1714,'gia dat'!$A$1:$F$144,5,0)," ")</f>
        <v xml:space="preserve"> </v>
      </c>
      <c r="L1714" s="899" t="str">
        <f>IF(G1714&lt;&gt;0,VLOOKUP(G1714,'gia dat'!$A$1:$F$144,6,0)," ")</f>
        <v xml:space="preserve"> </v>
      </c>
      <c r="M1714" s="900" t="str">
        <f t="shared" si="374"/>
        <v xml:space="preserve"> </v>
      </c>
      <c r="N1714" s="900" t="str">
        <f t="shared" si="375"/>
        <v xml:space="preserve"> </v>
      </c>
      <c r="O1714" s="908" t="s">
        <v>350</v>
      </c>
      <c r="P1714" s="1065">
        <v>1</v>
      </c>
      <c r="Q1714" s="900">
        <f>IF(O1714&lt;&gt;0,VLOOKUP(O1714,'Cây trong'!$A$2:$C$246,3,0)," ")</f>
        <v>72000</v>
      </c>
      <c r="R1714" s="900">
        <f t="shared" si="363"/>
        <v>72000</v>
      </c>
      <c r="S1714" s="902"/>
      <c r="T1714" s="944"/>
      <c r="U1714" s="1066"/>
      <c r="V1714" s="922"/>
      <c r="W1714" s="900" t="str">
        <f>IF(S1714&lt;&gt;0,VLOOKUP(S1714,VKT!$A$2:$G$415,7,0),"")</f>
        <v/>
      </c>
      <c r="X1714" s="900" t="str">
        <f t="shared" si="373"/>
        <v xml:space="preserve"> </v>
      </c>
      <c r="Y1714" s="985"/>
      <c r="Z1714" s="922"/>
      <c r="AA1714" s="1067"/>
      <c r="AB1714" s="922"/>
      <c r="AC1714" s="922"/>
      <c r="AD1714" s="922"/>
      <c r="AE1714" s="922"/>
      <c r="AF1714" s="1046"/>
      <c r="AG1714" s="906" t="str">
        <f>IF(AE1714&lt;&gt;0,VLOOKUP(AE1714,ODDS!$A$2:$C$13,3,0),"")</f>
        <v/>
      </c>
      <c r="AH1714" s="906" t="str">
        <f t="shared" si="364"/>
        <v xml:space="preserve"> </v>
      </c>
      <c r="AI1714" s="907" t="str">
        <f t="shared" si="370"/>
        <v xml:space="preserve"> </v>
      </c>
      <c r="AJ1714" s="908" t="s">
        <v>2074</v>
      </c>
      <c r="AK1714" s="894" t="s">
        <v>2449</v>
      </c>
    </row>
    <row r="1715" spans="1:37" s="394" customFormat="1" ht="45" outlineLevel="2" x14ac:dyDescent="0.35">
      <c r="A1715" s="447">
        <f t="shared" si="382"/>
        <v>143</v>
      </c>
      <c r="B1715" s="893"/>
      <c r="C1715" s="908"/>
      <c r="D1715" s="1032"/>
      <c r="E1715" s="947"/>
      <c r="F1715" s="947"/>
      <c r="G1715" s="922"/>
      <c r="H1715" s="1041"/>
      <c r="I1715" s="882"/>
      <c r="J1715" s="898"/>
      <c r="K1715" s="899" t="str">
        <f>IF(G1715&lt;&gt;0,VLOOKUP(G1715,'gia dat'!$A$1:$F$144,5,0)," ")</f>
        <v xml:space="preserve"> </v>
      </c>
      <c r="L1715" s="899" t="str">
        <f>IF(G1715&lt;&gt;0,VLOOKUP(G1715,'gia dat'!$A$1:$F$144,6,0)," ")</f>
        <v xml:space="preserve"> </v>
      </c>
      <c r="M1715" s="900" t="str">
        <f t="shared" si="374"/>
        <v xml:space="preserve"> </v>
      </c>
      <c r="N1715" s="900" t="str">
        <f t="shared" si="375"/>
        <v xml:space="preserve"> </v>
      </c>
      <c r="O1715" s="908" t="s">
        <v>400</v>
      </c>
      <c r="P1715" s="1065">
        <v>24</v>
      </c>
      <c r="Q1715" s="900">
        <f>IF(O1715&lt;&gt;0,VLOOKUP(O1715,'Cây trong'!$A$2:$C$246,3,0)," ")</f>
        <v>228000</v>
      </c>
      <c r="R1715" s="900">
        <f t="shared" si="363"/>
        <v>5472000</v>
      </c>
      <c r="S1715" s="902"/>
      <c r="T1715" s="944"/>
      <c r="U1715" s="1066"/>
      <c r="V1715" s="922"/>
      <c r="W1715" s="900" t="str">
        <f>IF(S1715&lt;&gt;0,VLOOKUP(S1715,VKT!$A$2:$G$415,7,0),"")</f>
        <v/>
      </c>
      <c r="X1715" s="900" t="str">
        <f t="shared" si="373"/>
        <v xml:space="preserve"> </v>
      </c>
      <c r="Y1715" s="985"/>
      <c r="Z1715" s="922"/>
      <c r="AA1715" s="1067"/>
      <c r="AB1715" s="922"/>
      <c r="AC1715" s="922"/>
      <c r="AD1715" s="922"/>
      <c r="AE1715" s="922"/>
      <c r="AF1715" s="1046"/>
      <c r="AG1715" s="906" t="str">
        <f>IF(AE1715&lt;&gt;0,VLOOKUP(AE1715,ODDS!$A$2:$C$13,3,0),"")</f>
        <v/>
      </c>
      <c r="AH1715" s="906" t="str">
        <f t="shared" si="364"/>
        <v xml:space="preserve"> </v>
      </c>
      <c r="AI1715" s="907" t="str">
        <f t="shared" si="370"/>
        <v xml:space="preserve"> </v>
      </c>
      <c r="AJ1715" s="1068"/>
      <c r="AK1715" s="922"/>
    </row>
    <row r="1716" spans="1:37" s="394" customFormat="1" ht="22.5" outlineLevel="2" x14ac:dyDescent="0.35">
      <c r="A1716" s="447">
        <f t="shared" si="382"/>
        <v>143</v>
      </c>
      <c r="B1716" s="893"/>
      <c r="C1716" s="922"/>
      <c r="D1716" s="1032"/>
      <c r="E1716" s="947"/>
      <c r="F1716" s="947"/>
      <c r="G1716" s="922"/>
      <c r="H1716" s="1041"/>
      <c r="I1716" s="882"/>
      <c r="J1716" s="898"/>
      <c r="K1716" s="899" t="str">
        <f>IF(G1716&lt;&gt;0,VLOOKUP(G1716,'gia dat'!$A$1:$F$144,5,0)," ")</f>
        <v xml:space="preserve"> </v>
      </c>
      <c r="L1716" s="899" t="str">
        <f>IF(G1716&lt;&gt;0,VLOOKUP(G1716,'gia dat'!$A$1:$F$144,6,0)," ")</f>
        <v xml:space="preserve"> </v>
      </c>
      <c r="M1716" s="900" t="str">
        <f t="shared" si="374"/>
        <v xml:space="preserve"> </v>
      </c>
      <c r="N1716" s="900" t="str">
        <f t="shared" si="375"/>
        <v xml:space="preserve"> </v>
      </c>
      <c r="O1716" s="908"/>
      <c r="P1716" s="1065"/>
      <c r="Q1716" s="900" t="str">
        <f>IF(O1716&lt;&gt;0,VLOOKUP(O1716,'Cây trong'!$A$2:$C$246,3,0)," ")</f>
        <v xml:space="preserve"> </v>
      </c>
      <c r="R1716" s="900" t="str">
        <f t="shared" si="363"/>
        <v xml:space="preserve"> </v>
      </c>
      <c r="S1716" s="902"/>
      <c r="T1716" s="944"/>
      <c r="U1716" s="1066"/>
      <c r="V1716" s="922"/>
      <c r="W1716" s="900" t="str">
        <f>IF(S1716&lt;&gt;0,VLOOKUP(S1716,VKT!$A$2:$G$415,7,0),"")</f>
        <v/>
      </c>
      <c r="X1716" s="900" t="str">
        <f t="shared" si="373"/>
        <v xml:space="preserve"> </v>
      </c>
      <c r="Y1716" s="985"/>
      <c r="Z1716" s="922"/>
      <c r="AA1716" s="1067"/>
      <c r="AB1716" s="922"/>
      <c r="AC1716" s="922"/>
      <c r="AD1716" s="922"/>
      <c r="AE1716" s="922"/>
      <c r="AF1716" s="1046"/>
      <c r="AG1716" s="906" t="str">
        <f>IF(AE1716&lt;&gt;0,VLOOKUP(AE1716,ODDS!$A$2:$C$13,3,0),"")</f>
        <v/>
      </c>
      <c r="AH1716" s="906" t="str">
        <f t="shared" si="364"/>
        <v xml:space="preserve"> </v>
      </c>
      <c r="AI1716" s="907" t="str">
        <f t="shared" si="370"/>
        <v xml:space="preserve"> </v>
      </c>
      <c r="AJ1716" s="1068"/>
      <c r="AK1716" s="908"/>
    </row>
    <row r="1717" spans="1:37" s="394" customFormat="1" ht="22.5" outlineLevel="2" x14ac:dyDescent="0.3">
      <c r="A1717" s="447">
        <f t="shared" si="382"/>
        <v>143</v>
      </c>
      <c r="B1717" s="893"/>
      <c r="C1717" s="908"/>
      <c r="D1717" s="1032"/>
      <c r="E1717" s="947"/>
      <c r="F1717" s="947"/>
      <c r="G1717" s="922"/>
      <c r="H1717" s="1041"/>
      <c r="I1717" s="882"/>
      <c r="J1717" s="898"/>
      <c r="K1717" s="899" t="str">
        <f>IF(G1717&lt;&gt;0,VLOOKUP(G1717,'gia dat'!$A$1:$F$144,5,0)," ")</f>
        <v xml:space="preserve"> </v>
      </c>
      <c r="L1717" s="899" t="str">
        <f>IF(G1717&lt;&gt;0,VLOOKUP(G1717,'gia dat'!$A$1:$F$144,6,0)," ")</f>
        <v xml:space="preserve"> </v>
      </c>
      <c r="M1717" s="900" t="str">
        <f t="shared" si="374"/>
        <v xml:space="preserve"> </v>
      </c>
      <c r="N1717" s="900" t="str">
        <f t="shared" si="375"/>
        <v xml:space="preserve"> </v>
      </c>
      <c r="O1717" s="908"/>
      <c r="P1717" s="1065"/>
      <c r="Q1717" s="900" t="str">
        <f>IF(O1717&lt;&gt;0,VLOOKUP(O1717,'Cây trong'!$A$2:$C$246,3,0)," ")</f>
        <v xml:space="preserve"> </v>
      </c>
      <c r="R1717" s="900" t="str">
        <f t="shared" si="363"/>
        <v xml:space="preserve"> </v>
      </c>
      <c r="S1717" s="902"/>
      <c r="T1717" s="944"/>
      <c r="U1717" s="1066"/>
      <c r="V1717" s="922"/>
      <c r="W1717" s="900" t="str">
        <f>IF(S1717&lt;&gt;0,VLOOKUP(S1717,VKT!$A$2:$G$415,7,0),"")</f>
        <v/>
      </c>
      <c r="X1717" s="900" t="str">
        <f t="shared" si="373"/>
        <v xml:space="preserve"> </v>
      </c>
      <c r="Y1717" s="985"/>
      <c r="Z1717" s="922"/>
      <c r="AA1717" s="1067"/>
      <c r="AB1717" s="922"/>
      <c r="AC1717" s="922"/>
      <c r="AD1717" s="922"/>
      <c r="AE1717" s="922"/>
      <c r="AF1717" s="1046"/>
      <c r="AG1717" s="906" t="str">
        <f>IF(AE1717&lt;&gt;0,VLOOKUP(AE1717,ODDS!$A$2:$C$13,3,0),"")</f>
        <v/>
      </c>
      <c r="AH1717" s="906" t="str">
        <f t="shared" si="364"/>
        <v xml:space="preserve"> </v>
      </c>
      <c r="AI1717" s="907" t="str">
        <f t="shared" si="370"/>
        <v xml:space="preserve"> </v>
      </c>
      <c r="AJ1717" s="922"/>
      <c r="AK1717" s="922"/>
    </row>
    <row r="1718" spans="1:37" s="394" customFormat="1" ht="22.5" outlineLevel="2" x14ac:dyDescent="0.3">
      <c r="A1718" s="447">
        <f t="shared" si="382"/>
        <v>143</v>
      </c>
      <c r="B1718" s="893"/>
      <c r="C1718" s="942"/>
      <c r="D1718" s="1032"/>
      <c r="E1718" s="947"/>
      <c r="F1718" s="947"/>
      <c r="G1718" s="922"/>
      <c r="H1718" s="1041"/>
      <c r="I1718" s="882"/>
      <c r="J1718" s="898"/>
      <c r="K1718" s="899" t="str">
        <f>IF(G1718&lt;&gt;0,VLOOKUP(G1718,'gia dat'!$A$1:$F$144,5,0)," ")</f>
        <v xml:space="preserve"> </v>
      </c>
      <c r="L1718" s="899" t="str">
        <f>IF(G1718&lt;&gt;0,VLOOKUP(G1718,'gia dat'!$A$1:$F$144,6,0)," ")</f>
        <v xml:space="preserve"> </v>
      </c>
      <c r="M1718" s="900" t="str">
        <f t="shared" si="374"/>
        <v xml:space="preserve"> </v>
      </c>
      <c r="N1718" s="900" t="str">
        <f t="shared" si="375"/>
        <v xml:space="preserve"> </v>
      </c>
      <c r="O1718" s="908"/>
      <c r="P1718" s="1065"/>
      <c r="Q1718" s="900" t="str">
        <f>IF(O1718&lt;&gt;0,VLOOKUP(O1718,'Cây trong'!$A$2:$C$246,3,0)," ")</f>
        <v xml:space="preserve"> </v>
      </c>
      <c r="R1718" s="900" t="str">
        <f t="shared" si="363"/>
        <v xml:space="preserve"> </v>
      </c>
      <c r="S1718" s="902"/>
      <c r="T1718" s="944"/>
      <c r="U1718" s="1066"/>
      <c r="V1718" s="922"/>
      <c r="W1718" s="900" t="str">
        <f>IF(S1718&lt;&gt;0,VLOOKUP(S1718,VKT!$A$2:$G$415,7,0),"")</f>
        <v/>
      </c>
      <c r="X1718" s="900" t="str">
        <f t="shared" si="373"/>
        <v xml:space="preserve"> </v>
      </c>
      <c r="Y1718" s="985"/>
      <c r="Z1718" s="922"/>
      <c r="AA1718" s="1067"/>
      <c r="AB1718" s="922"/>
      <c r="AC1718" s="922"/>
      <c r="AD1718" s="922"/>
      <c r="AE1718" s="922"/>
      <c r="AF1718" s="1046"/>
      <c r="AG1718" s="906" t="str">
        <f>IF(AE1718&lt;&gt;0,VLOOKUP(AE1718,ODDS!$A$2:$C$13,3,0),"")</f>
        <v/>
      </c>
      <c r="AH1718" s="906" t="str">
        <f t="shared" si="364"/>
        <v xml:space="preserve"> </v>
      </c>
      <c r="AI1718" s="907" t="str">
        <f t="shared" si="370"/>
        <v xml:space="preserve"> </v>
      </c>
      <c r="AJ1718" s="922"/>
      <c r="AK1718" s="922"/>
    </row>
    <row r="1719" spans="1:37" s="394" customFormat="1" ht="43.5" outlineLevel="1" x14ac:dyDescent="0.25">
      <c r="A1719" s="467" t="s">
        <v>2566</v>
      </c>
      <c r="B1719" s="912">
        <v>144</v>
      </c>
      <c r="C1719" s="942" t="s">
        <v>1201</v>
      </c>
      <c r="D1719" s="1038"/>
      <c r="E1719" s="977"/>
      <c r="F1719" s="977"/>
      <c r="G1719" s="914"/>
      <c r="H1719" s="1039">
        <f>SUBTOTAL(9,H1720:H1725)</f>
        <v>92.3</v>
      </c>
      <c r="I1719" s="915">
        <f>SUBTOTAL(9,I1720:I1725)</f>
        <v>92.3</v>
      </c>
      <c r="J1719" s="916"/>
      <c r="K1719" s="917"/>
      <c r="L1719" s="917"/>
      <c r="M1719" s="907">
        <f>SUBTOTAL(9,M1720:M1725)</f>
        <v>51171000</v>
      </c>
      <c r="N1719" s="907">
        <f>SUBTOTAL(9,N1720:N1725)</f>
        <v>153513000</v>
      </c>
      <c r="O1719" s="942"/>
      <c r="P1719" s="1063">
        <f>SUBTOTAL(9,P1720:P1725)</f>
        <v>0</v>
      </c>
      <c r="Q1719" s="907"/>
      <c r="R1719" s="907">
        <f>SUBTOTAL(9,R1720:R1725)</f>
        <v>0</v>
      </c>
      <c r="S1719" s="918"/>
      <c r="T1719" s="956"/>
      <c r="U1719" s="1064">
        <f>SUBTOTAL(9,U1720:U1725)</f>
        <v>0</v>
      </c>
      <c r="V1719" s="914"/>
      <c r="W1719" s="907"/>
      <c r="X1719" s="907">
        <f>SUBTOTAL(9,X1720:X1725)</f>
        <v>0</v>
      </c>
      <c r="Y1719" s="985"/>
      <c r="Z1719" s="922"/>
      <c r="AA1719" s="1067"/>
      <c r="AB1719" s="922"/>
      <c r="AC1719" s="922"/>
      <c r="AD1719" s="922"/>
      <c r="AE1719" s="914"/>
      <c r="AF1719" s="1044">
        <f>SUBTOTAL(9,AF1720:AF1725)</f>
        <v>0</v>
      </c>
      <c r="AG1719" s="921"/>
      <c r="AH1719" s="921">
        <f>SUBTOTAL(9,AH1720:AH1725)</f>
        <v>0</v>
      </c>
      <c r="AI1719" s="907">
        <f t="shared" si="370"/>
        <v>204684000</v>
      </c>
      <c r="AJ1719" s="914"/>
      <c r="AK1719" s="914"/>
    </row>
    <row r="1720" spans="1:37" s="394" customFormat="1" ht="135" outlineLevel="2" x14ac:dyDescent="0.3">
      <c r="A1720" s="447">
        <f>IF(B1719&lt;&gt;0,B1719,A1718)</f>
        <v>144</v>
      </c>
      <c r="B1720" s="893"/>
      <c r="C1720" s="908" t="s">
        <v>1203</v>
      </c>
      <c r="D1720" s="1032"/>
      <c r="E1720" s="947">
        <v>86</v>
      </c>
      <c r="F1720" s="947">
        <v>396</v>
      </c>
      <c r="G1720" s="922" t="s">
        <v>2440</v>
      </c>
      <c r="H1720" s="1041">
        <v>92.3</v>
      </c>
      <c r="I1720" s="882">
        <f t="shared" ref="I1720" si="383">IF(N1720&gt;0,H1720,"")</f>
        <v>92.3</v>
      </c>
      <c r="J1720" s="898"/>
      <c r="K1720" s="899">
        <f>IF(G1720&lt;&gt;0,VLOOKUP(G1720,'gia dat'!$A$1:$F$144,5,0)," ")</f>
        <v>554400</v>
      </c>
      <c r="L1720" s="899">
        <f>IF(G1720&lt;&gt;0,VLOOKUP(G1720,'gia dat'!$A$1:$F$144,6,0)," ")</f>
        <v>1663200</v>
      </c>
      <c r="M1720" s="900">
        <f t="shared" si="374"/>
        <v>51171000</v>
      </c>
      <c r="N1720" s="900">
        <f t="shared" si="375"/>
        <v>153513000</v>
      </c>
      <c r="O1720" s="908"/>
      <c r="P1720" s="1065"/>
      <c r="Q1720" s="900" t="str">
        <f>IF(O1720&lt;&gt;0,VLOOKUP(O1720,'Cây trong'!$A$2:$C$246,3,0)," ")</f>
        <v xml:space="preserve"> </v>
      </c>
      <c r="R1720" s="900" t="str">
        <f t="shared" si="363"/>
        <v xml:space="preserve"> </v>
      </c>
      <c r="S1720" s="902"/>
      <c r="T1720" s="944"/>
      <c r="U1720" s="1066"/>
      <c r="V1720" s="922"/>
      <c r="W1720" s="900" t="str">
        <f>IF(S1720&lt;&gt;0,VLOOKUP(S1720,VKT!$A$2:$G$415,7,0),"")</f>
        <v/>
      </c>
      <c r="X1720" s="900" t="str">
        <f t="shared" si="373"/>
        <v xml:space="preserve"> </v>
      </c>
      <c r="Y1720" s="985"/>
      <c r="Z1720" s="922"/>
      <c r="AA1720" s="1067"/>
      <c r="AB1720" s="922"/>
      <c r="AC1720" s="922"/>
      <c r="AD1720" s="922"/>
      <c r="AE1720" s="922"/>
      <c r="AF1720" s="1046"/>
      <c r="AG1720" s="906" t="str">
        <f>IF(AE1720&lt;&gt;0,VLOOKUP(AE1720,ODDS!$A$2:$C$13,3,0),"")</f>
        <v/>
      </c>
      <c r="AH1720" s="906" t="str">
        <f t="shared" si="364"/>
        <v xml:space="preserve"> </v>
      </c>
      <c r="AI1720" s="907" t="str">
        <f t="shared" si="370"/>
        <v xml:space="preserve"> </v>
      </c>
      <c r="AJ1720" s="922" t="s">
        <v>1207</v>
      </c>
      <c r="AK1720" s="922" t="s">
        <v>2771</v>
      </c>
    </row>
    <row r="1721" spans="1:37" s="394" customFormat="1" ht="90" outlineLevel="2" x14ac:dyDescent="0.3">
      <c r="A1721" s="447">
        <f>IF(B1720&lt;&gt;0,B1720,A1720)</f>
        <v>144</v>
      </c>
      <c r="B1721" s="893"/>
      <c r="C1721" s="908" t="s">
        <v>1603</v>
      </c>
      <c r="D1721" s="1032"/>
      <c r="E1721" s="947"/>
      <c r="F1721" s="947"/>
      <c r="G1721" s="922"/>
      <c r="H1721" s="1041"/>
      <c r="I1721" s="882"/>
      <c r="J1721" s="898"/>
      <c r="K1721" s="899" t="str">
        <f>IF(G1721&lt;&gt;0,VLOOKUP(G1721,'gia dat'!$A$1:$F$144,5,0)," ")</f>
        <v xml:space="preserve"> </v>
      </c>
      <c r="L1721" s="899" t="str">
        <f>IF(G1721&lt;&gt;0,VLOOKUP(G1721,'gia dat'!$A$1:$F$144,6,0)," ")</f>
        <v xml:space="preserve"> </v>
      </c>
      <c r="M1721" s="900" t="str">
        <f t="shared" si="374"/>
        <v xml:space="preserve"> </v>
      </c>
      <c r="N1721" s="900" t="str">
        <f t="shared" si="375"/>
        <v xml:space="preserve"> </v>
      </c>
      <c r="O1721" s="908"/>
      <c r="P1721" s="1065"/>
      <c r="Q1721" s="900" t="str">
        <f>IF(O1721&lt;&gt;0,VLOOKUP(O1721,'Cây trong'!$A$2:$C$246,3,0)," ")</f>
        <v xml:space="preserve"> </v>
      </c>
      <c r="R1721" s="900" t="str">
        <f t="shared" si="363"/>
        <v xml:space="preserve"> </v>
      </c>
      <c r="S1721" s="902"/>
      <c r="T1721" s="944"/>
      <c r="U1721" s="1066"/>
      <c r="V1721" s="922"/>
      <c r="W1721" s="900" t="str">
        <f>IF(S1721&lt;&gt;0,VLOOKUP(S1721,VKT!$A$2:$G$415,7,0),"")</f>
        <v/>
      </c>
      <c r="X1721" s="900" t="str">
        <f t="shared" si="373"/>
        <v xml:space="preserve"> </v>
      </c>
      <c r="Y1721" s="985"/>
      <c r="Z1721" s="922"/>
      <c r="AA1721" s="1067"/>
      <c r="AB1721" s="922"/>
      <c r="AC1721" s="922"/>
      <c r="AD1721" s="922"/>
      <c r="AE1721" s="922"/>
      <c r="AF1721" s="1046"/>
      <c r="AG1721" s="906" t="str">
        <f>IF(AE1721&lt;&gt;0,VLOOKUP(AE1721,ODDS!$A$2:$C$13,3,0),"")</f>
        <v/>
      </c>
      <c r="AH1721" s="906" t="str">
        <f t="shared" si="364"/>
        <v xml:space="preserve"> </v>
      </c>
      <c r="AI1721" s="907" t="str">
        <f t="shared" si="370"/>
        <v xml:space="preserve"> </v>
      </c>
      <c r="AJ1721" s="922" t="s">
        <v>1208</v>
      </c>
      <c r="AK1721" s="894" t="s">
        <v>2448</v>
      </c>
    </row>
    <row r="1722" spans="1:37" s="394" customFormat="1" ht="67.5" outlineLevel="2" x14ac:dyDescent="0.3">
      <c r="A1722" s="447">
        <f>IF(B1721&lt;&gt;0,B1721,A1721)</f>
        <v>144</v>
      </c>
      <c r="B1722" s="893"/>
      <c r="C1722" s="908"/>
      <c r="D1722" s="1032"/>
      <c r="E1722" s="947"/>
      <c r="F1722" s="947"/>
      <c r="G1722" s="922"/>
      <c r="H1722" s="1041"/>
      <c r="I1722" s="882"/>
      <c r="J1722" s="898"/>
      <c r="K1722" s="899" t="str">
        <f>IF(G1722&lt;&gt;0,VLOOKUP(G1722,'gia dat'!$A$1:$F$144,5,0)," ")</f>
        <v xml:space="preserve"> </v>
      </c>
      <c r="L1722" s="899" t="str">
        <f>IF(G1722&lt;&gt;0,VLOOKUP(G1722,'gia dat'!$A$1:$F$144,6,0)," ")</f>
        <v xml:space="preserve"> </v>
      </c>
      <c r="M1722" s="900" t="str">
        <f t="shared" si="374"/>
        <v xml:space="preserve"> </v>
      </c>
      <c r="N1722" s="900" t="str">
        <f t="shared" si="375"/>
        <v xml:space="preserve"> </v>
      </c>
      <c r="O1722" s="908"/>
      <c r="P1722" s="1065"/>
      <c r="Q1722" s="900" t="str">
        <f>IF(O1722&lt;&gt;0,VLOOKUP(O1722,'Cây trong'!$A$2:$C$246,3,0)," ")</f>
        <v xml:space="preserve"> </v>
      </c>
      <c r="R1722" s="900" t="str">
        <f t="shared" si="363"/>
        <v xml:space="preserve"> </v>
      </c>
      <c r="S1722" s="902"/>
      <c r="T1722" s="944"/>
      <c r="U1722" s="1066"/>
      <c r="V1722" s="922"/>
      <c r="W1722" s="900" t="str">
        <f>IF(S1722&lt;&gt;0,VLOOKUP(S1722,VKT!$A$2:$G$415,7,0),"")</f>
        <v/>
      </c>
      <c r="X1722" s="900" t="str">
        <f t="shared" si="373"/>
        <v xml:space="preserve"> </v>
      </c>
      <c r="Y1722" s="985"/>
      <c r="Z1722" s="922"/>
      <c r="AA1722" s="1067"/>
      <c r="AB1722" s="922"/>
      <c r="AC1722" s="922"/>
      <c r="AD1722" s="922"/>
      <c r="AE1722" s="922"/>
      <c r="AF1722" s="1046"/>
      <c r="AG1722" s="906" t="str">
        <f>IF(AE1722&lt;&gt;0,VLOOKUP(AE1722,ODDS!$A$2:$C$13,3,0),"")</f>
        <v/>
      </c>
      <c r="AH1722" s="906" t="str">
        <f t="shared" si="364"/>
        <v xml:space="preserve"> </v>
      </c>
      <c r="AI1722" s="907" t="str">
        <f t="shared" si="370"/>
        <v xml:space="preserve"> </v>
      </c>
      <c r="AJ1722" s="922" t="s">
        <v>2074</v>
      </c>
      <c r="AK1722" s="922"/>
    </row>
    <row r="1723" spans="1:37" s="394" customFormat="1" ht="22.5" outlineLevel="2" x14ac:dyDescent="0.35">
      <c r="A1723" s="447">
        <f>IF(B1722&lt;&gt;0,B1722,A1722)</f>
        <v>144</v>
      </c>
      <c r="B1723" s="893"/>
      <c r="C1723" s="908"/>
      <c r="D1723" s="1032"/>
      <c r="E1723" s="947"/>
      <c r="F1723" s="947"/>
      <c r="G1723" s="922"/>
      <c r="H1723" s="1041"/>
      <c r="I1723" s="882"/>
      <c r="J1723" s="898"/>
      <c r="K1723" s="899" t="str">
        <f>IF(G1723&lt;&gt;0,VLOOKUP(G1723,'gia dat'!$A$1:$F$144,5,0)," ")</f>
        <v xml:space="preserve"> </v>
      </c>
      <c r="L1723" s="899" t="str">
        <f>IF(G1723&lt;&gt;0,VLOOKUP(G1723,'gia dat'!$A$1:$F$144,6,0)," ")</f>
        <v xml:space="preserve"> </v>
      </c>
      <c r="M1723" s="900" t="str">
        <f t="shared" si="374"/>
        <v xml:space="preserve"> </v>
      </c>
      <c r="N1723" s="900" t="str">
        <f t="shared" si="375"/>
        <v xml:space="preserve"> </v>
      </c>
      <c r="O1723" s="908"/>
      <c r="P1723" s="1065"/>
      <c r="Q1723" s="900" t="str">
        <f>IF(O1723&lt;&gt;0,VLOOKUP(O1723,'Cây trong'!$A$2:$C$246,3,0)," ")</f>
        <v xml:space="preserve"> </v>
      </c>
      <c r="R1723" s="900" t="str">
        <f t="shared" si="363"/>
        <v xml:space="preserve"> </v>
      </c>
      <c r="S1723" s="902"/>
      <c r="T1723" s="944"/>
      <c r="U1723" s="1066"/>
      <c r="V1723" s="922"/>
      <c r="W1723" s="900" t="str">
        <f>IF(S1723&lt;&gt;0,VLOOKUP(S1723,VKT!$A$2:$G$415,7,0),"")</f>
        <v/>
      </c>
      <c r="X1723" s="900" t="str">
        <f t="shared" si="373"/>
        <v xml:space="preserve"> </v>
      </c>
      <c r="Y1723" s="985"/>
      <c r="Z1723" s="922"/>
      <c r="AA1723" s="1067"/>
      <c r="AB1723" s="922"/>
      <c r="AC1723" s="922"/>
      <c r="AD1723" s="922"/>
      <c r="AE1723" s="922"/>
      <c r="AF1723" s="1046"/>
      <c r="AG1723" s="906" t="str">
        <f>IF(AE1723&lt;&gt;0,VLOOKUP(AE1723,ODDS!$A$2:$C$13,3,0),"")</f>
        <v/>
      </c>
      <c r="AH1723" s="906" t="str">
        <f t="shared" si="364"/>
        <v xml:space="preserve"> </v>
      </c>
      <c r="AI1723" s="907" t="str">
        <f t="shared" si="370"/>
        <v xml:space="preserve"> </v>
      </c>
      <c r="AJ1723" s="1068"/>
      <c r="AK1723" s="922"/>
    </row>
    <row r="1724" spans="1:37" s="394" customFormat="1" ht="22.5" outlineLevel="2" x14ac:dyDescent="0.3">
      <c r="A1724" s="447">
        <f>IF(B1723&lt;&gt;0,B1723,A1723)</f>
        <v>144</v>
      </c>
      <c r="B1724" s="893"/>
      <c r="C1724" s="908"/>
      <c r="D1724" s="1032"/>
      <c r="E1724" s="947"/>
      <c r="F1724" s="947"/>
      <c r="G1724" s="922"/>
      <c r="H1724" s="1041"/>
      <c r="I1724" s="882"/>
      <c r="J1724" s="898"/>
      <c r="K1724" s="899" t="str">
        <f>IF(G1724&lt;&gt;0,VLOOKUP(G1724,'gia dat'!$A$1:$F$144,5,0)," ")</f>
        <v xml:space="preserve"> </v>
      </c>
      <c r="L1724" s="899" t="str">
        <f>IF(G1724&lt;&gt;0,VLOOKUP(G1724,'gia dat'!$A$1:$F$144,6,0)," ")</f>
        <v xml:space="preserve"> </v>
      </c>
      <c r="M1724" s="900" t="str">
        <f t="shared" si="374"/>
        <v xml:space="preserve"> </v>
      </c>
      <c r="N1724" s="900" t="str">
        <f t="shared" si="375"/>
        <v xml:space="preserve"> </v>
      </c>
      <c r="O1724" s="908"/>
      <c r="P1724" s="1065"/>
      <c r="Q1724" s="900" t="str">
        <f>IF(O1724&lt;&gt;0,VLOOKUP(O1724,'Cây trong'!$A$2:$C$246,3,0)," ")</f>
        <v xml:space="preserve"> </v>
      </c>
      <c r="R1724" s="900" t="str">
        <f t="shared" si="363"/>
        <v xml:space="preserve"> </v>
      </c>
      <c r="S1724" s="902"/>
      <c r="T1724" s="944"/>
      <c r="U1724" s="1066"/>
      <c r="V1724" s="922"/>
      <c r="W1724" s="900" t="str">
        <f>IF(S1724&lt;&gt;0,VLOOKUP(S1724,VKT!$A$2:$G$415,7,0),"")</f>
        <v/>
      </c>
      <c r="X1724" s="900" t="str">
        <f t="shared" si="373"/>
        <v xml:space="preserve"> </v>
      </c>
      <c r="Y1724" s="985"/>
      <c r="Z1724" s="922"/>
      <c r="AA1724" s="1067"/>
      <c r="AB1724" s="922"/>
      <c r="AC1724" s="922"/>
      <c r="AD1724" s="922"/>
      <c r="AE1724" s="922"/>
      <c r="AF1724" s="1046"/>
      <c r="AG1724" s="906" t="str">
        <f>IF(AE1724&lt;&gt;0,VLOOKUP(AE1724,ODDS!$A$2:$C$13,3,0),"")</f>
        <v/>
      </c>
      <c r="AH1724" s="906" t="str">
        <f t="shared" si="364"/>
        <v xml:space="preserve"> </v>
      </c>
      <c r="AI1724" s="907" t="str">
        <f t="shared" si="370"/>
        <v xml:space="preserve"> </v>
      </c>
      <c r="AJ1724" s="908"/>
      <c r="AK1724" s="908"/>
    </row>
    <row r="1725" spans="1:37" s="394" customFormat="1" ht="22.5" outlineLevel="2" x14ac:dyDescent="0.3">
      <c r="A1725" s="447">
        <f>IF(B1724&lt;&gt;0,B1724,A1724)</f>
        <v>144</v>
      </c>
      <c r="B1725" s="893"/>
      <c r="C1725" s="942"/>
      <c r="D1725" s="1032"/>
      <c r="E1725" s="947"/>
      <c r="F1725" s="947"/>
      <c r="G1725" s="922"/>
      <c r="H1725" s="1041"/>
      <c r="I1725" s="882"/>
      <c r="J1725" s="898"/>
      <c r="K1725" s="899" t="str">
        <f>IF(G1725&lt;&gt;0,VLOOKUP(G1725,'gia dat'!$A$1:$F$144,5,0)," ")</f>
        <v xml:space="preserve"> </v>
      </c>
      <c r="L1725" s="899" t="str">
        <f>IF(G1725&lt;&gt;0,VLOOKUP(G1725,'gia dat'!$A$1:$F$144,6,0)," ")</f>
        <v xml:space="preserve"> </v>
      </c>
      <c r="M1725" s="900" t="str">
        <f t="shared" si="374"/>
        <v xml:space="preserve"> </v>
      </c>
      <c r="N1725" s="900" t="str">
        <f t="shared" si="375"/>
        <v xml:space="preserve"> </v>
      </c>
      <c r="O1725" s="908"/>
      <c r="P1725" s="1065"/>
      <c r="Q1725" s="900" t="str">
        <f>IF(O1725&lt;&gt;0,VLOOKUP(O1725,'Cây trong'!$A$2:$C$246,3,0)," ")</f>
        <v xml:space="preserve"> </v>
      </c>
      <c r="R1725" s="900" t="str">
        <f t="shared" si="363"/>
        <v xml:space="preserve"> </v>
      </c>
      <c r="S1725" s="902"/>
      <c r="T1725" s="944"/>
      <c r="U1725" s="1066"/>
      <c r="V1725" s="922"/>
      <c r="W1725" s="900" t="str">
        <f>IF(S1725&lt;&gt;0,VLOOKUP(S1725,VKT!$A$2:$G$415,7,0),"")</f>
        <v/>
      </c>
      <c r="X1725" s="900" t="str">
        <f t="shared" si="373"/>
        <v xml:space="preserve"> </v>
      </c>
      <c r="Y1725" s="985"/>
      <c r="Z1725" s="922"/>
      <c r="AA1725" s="1067"/>
      <c r="AB1725" s="922"/>
      <c r="AC1725" s="922"/>
      <c r="AD1725" s="922"/>
      <c r="AE1725" s="922"/>
      <c r="AF1725" s="1046"/>
      <c r="AG1725" s="906" t="str">
        <f>IF(AE1725&lt;&gt;0,VLOOKUP(AE1725,ODDS!$A$2:$C$13,3,0),"")</f>
        <v/>
      </c>
      <c r="AH1725" s="906" t="str">
        <f t="shared" si="364"/>
        <v xml:space="preserve"> </v>
      </c>
      <c r="AI1725" s="907" t="str">
        <f t="shared" si="370"/>
        <v xml:space="preserve"> </v>
      </c>
      <c r="AJ1725" s="922"/>
      <c r="AK1725" s="922"/>
    </row>
    <row r="1726" spans="1:37" s="396" customFormat="1" ht="43.5" outlineLevel="1" x14ac:dyDescent="0.25">
      <c r="A1726" s="467" t="s">
        <v>2565</v>
      </c>
      <c r="B1726" s="912">
        <v>145</v>
      </c>
      <c r="C1726" s="942" t="s">
        <v>1209</v>
      </c>
      <c r="D1726" s="1038"/>
      <c r="E1726" s="977"/>
      <c r="F1726" s="977"/>
      <c r="G1726" s="914"/>
      <c r="H1726" s="1039">
        <f>SUBTOTAL(9,H1727:H1733)</f>
        <v>37.299999999999997</v>
      </c>
      <c r="I1726" s="915">
        <f>SUBTOTAL(9,I1727:I1732)</f>
        <v>0</v>
      </c>
      <c r="J1726" s="916"/>
      <c r="K1726" s="917"/>
      <c r="L1726" s="917"/>
      <c r="M1726" s="907">
        <f>SUBTOTAL(9,M1727:M1733)</f>
        <v>17367000</v>
      </c>
      <c r="N1726" s="907">
        <f>SUBTOTAL(9,N1727:N1733)</f>
        <v>0</v>
      </c>
      <c r="O1726" s="942"/>
      <c r="P1726" s="1063">
        <f>SUBTOTAL(9,P1727:P1733)</f>
        <v>1</v>
      </c>
      <c r="Q1726" s="907"/>
      <c r="R1726" s="907">
        <f>SUBTOTAL(9,R1727:R1733)</f>
        <v>4240000</v>
      </c>
      <c r="S1726" s="918"/>
      <c r="T1726" s="956"/>
      <c r="U1726" s="1064">
        <f>SUBTOTAL(9,U1727:U1733)</f>
        <v>27.4</v>
      </c>
      <c r="V1726" s="914"/>
      <c r="W1726" s="907"/>
      <c r="X1726" s="907">
        <f>SUBTOTAL(9,X1727:X1733)</f>
        <v>30340000</v>
      </c>
      <c r="Y1726" s="985"/>
      <c r="Z1726" s="922"/>
      <c r="AA1726" s="1067"/>
      <c r="AB1726" s="922"/>
      <c r="AC1726" s="922"/>
      <c r="AD1726" s="922"/>
      <c r="AE1726" s="914"/>
      <c r="AF1726" s="1044">
        <f>SUBTOTAL(9,AF1727:AF1733)</f>
        <v>0</v>
      </c>
      <c r="AG1726" s="921"/>
      <c r="AH1726" s="921">
        <f>SUBTOTAL(9,AH1727:AH1733)</f>
        <v>0</v>
      </c>
      <c r="AI1726" s="907">
        <f t="shared" si="370"/>
        <v>51947000</v>
      </c>
      <c r="AJ1726" s="914"/>
      <c r="AK1726" s="914"/>
    </row>
    <row r="1727" spans="1:37" s="396" customFormat="1" ht="135" outlineLevel="2" x14ac:dyDescent="0.3">
      <c r="A1727" s="447">
        <f>IF(B1726&lt;&gt;0,B1726,A1725)</f>
        <v>145</v>
      </c>
      <c r="B1727" s="893"/>
      <c r="C1727" s="908" t="s">
        <v>1211</v>
      </c>
      <c r="D1727" s="1032">
        <v>5</v>
      </c>
      <c r="E1727" s="947">
        <v>86</v>
      </c>
      <c r="F1727" s="947">
        <v>48</v>
      </c>
      <c r="G1727" s="922" t="s">
        <v>2870</v>
      </c>
      <c r="H1727" s="1041">
        <f>37.3-H1728</f>
        <v>24.699999999999996</v>
      </c>
      <c r="I1727" s="882" t="str">
        <f t="shared" ref="I1727:I1728" si="384">IF(N1727&gt;0,H1727,"")</f>
        <v/>
      </c>
      <c r="J1727" s="898"/>
      <c r="K1727" s="899">
        <f>IF(G1727&lt;&gt;0,VLOOKUP(G1727,'gia dat'!$A$1:$F$144,5,0)," ")</f>
        <v>465600</v>
      </c>
      <c r="L1727" s="899">
        <f>IF(G1727&lt;&gt;0,VLOOKUP(G1727,'gia dat'!$A$1:$F$144,6,0)," ")</f>
        <v>0</v>
      </c>
      <c r="M1727" s="900">
        <f t="shared" si="374"/>
        <v>11500000</v>
      </c>
      <c r="N1727" s="900">
        <f t="shared" si="375"/>
        <v>0</v>
      </c>
      <c r="O1727" s="908" t="s">
        <v>145</v>
      </c>
      <c r="P1727" s="1065">
        <v>1</v>
      </c>
      <c r="Q1727" s="900">
        <f>IF(O1727&lt;&gt;0,VLOOKUP(O1727,'Cây trong'!$A$2:$C$246,3,0)," ")</f>
        <v>4240000</v>
      </c>
      <c r="R1727" s="900">
        <f t="shared" si="363"/>
        <v>4240000</v>
      </c>
      <c r="S1727" s="902" t="s">
        <v>1916</v>
      </c>
      <c r="T1727" s="944" t="s">
        <v>1133</v>
      </c>
      <c r="U1727" s="1066">
        <v>27.4</v>
      </c>
      <c r="V1727" s="922"/>
      <c r="W1727" s="900">
        <f>IF(S1727&lt;&gt;0,VLOOKUP(S1727,VKT!$A$2:$G$415,7,0),"")</f>
        <v>1107311</v>
      </c>
      <c r="X1727" s="900">
        <f t="shared" si="373"/>
        <v>30340000</v>
      </c>
      <c r="Y1727" s="985"/>
      <c r="Z1727" s="922"/>
      <c r="AA1727" s="1067"/>
      <c r="AB1727" s="922"/>
      <c r="AC1727" s="922"/>
      <c r="AD1727" s="922"/>
      <c r="AE1727" s="922"/>
      <c r="AF1727" s="1046"/>
      <c r="AG1727" s="906" t="str">
        <f>IF(AE1727&lt;&gt;0,VLOOKUP(AE1727,ODDS!$A$2:$C$13,3,0),"")</f>
        <v/>
      </c>
      <c r="AH1727" s="906"/>
      <c r="AI1727" s="907" t="str">
        <f t="shared" si="370"/>
        <v xml:space="preserve"> </v>
      </c>
      <c r="AJ1727" s="922" t="s">
        <v>1210</v>
      </c>
      <c r="AK1727" s="922" t="s">
        <v>2771</v>
      </c>
    </row>
    <row r="1728" spans="1:37" s="394" customFormat="1" ht="157.5" outlineLevel="2" x14ac:dyDescent="0.3">
      <c r="A1728" s="447">
        <f t="shared" ref="A1728:A1733" si="385">IF(B1727&lt;&gt;0,B1727,A1727)</f>
        <v>145</v>
      </c>
      <c r="B1728" s="893"/>
      <c r="C1728" s="908" t="s">
        <v>1604</v>
      </c>
      <c r="D1728" s="1032"/>
      <c r="E1728" s="947"/>
      <c r="F1728" s="947"/>
      <c r="G1728" s="922" t="s">
        <v>2874</v>
      </c>
      <c r="H1728" s="1041">
        <v>12.6</v>
      </c>
      <c r="I1728" s="882" t="str">
        <f t="shared" si="384"/>
        <v/>
      </c>
      <c r="J1728" s="898"/>
      <c r="K1728" s="899">
        <f>IF(G1728&lt;&gt;0,VLOOKUP(G1728,'gia dat'!$A$1:$F$144,5,0)," ")</f>
        <v>465600</v>
      </c>
      <c r="L1728" s="899">
        <f>IF(G1728&lt;&gt;0,VLOOKUP(G1728,'gia dat'!$A$1:$F$144,6,0)," ")</f>
        <v>0</v>
      </c>
      <c r="M1728" s="900">
        <f t="shared" si="374"/>
        <v>5867000</v>
      </c>
      <c r="N1728" s="900">
        <f t="shared" si="375"/>
        <v>0</v>
      </c>
      <c r="O1728" s="908"/>
      <c r="P1728" s="1065"/>
      <c r="Q1728" s="900" t="str">
        <f>IF(O1728&lt;&gt;0,VLOOKUP(O1728,'Cây trong'!$A$2:$C$246,3,0)," ")</f>
        <v xml:space="preserve"> </v>
      </c>
      <c r="R1728" s="900" t="str">
        <f t="shared" si="363"/>
        <v xml:space="preserve"> </v>
      </c>
      <c r="S1728" s="902"/>
      <c r="T1728" s="944"/>
      <c r="U1728" s="1066"/>
      <c r="V1728" s="922"/>
      <c r="W1728" s="900" t="str">
        <f>IF(S1728&lt;&gt;0,VLOOKUP(S1728,VKT!$A$2:$G$415,7,0),"")</f>
        <v/>
      </c>
      <c r="X1728" s="900" t="str">
        <f t="shared" si="373"/>
        <v xml:space="preserve"> </v>
      </c>
      <c r="Y1728" s="985"/>
      <c r="Z1728" s="922"/>
      <c r="AA1728" s="1067"/>
      <c r="AB1728" s="922"/>
      <c r="AC1728" s="922"/>
      <c r="AD1728" s="922"/>
      <c r="AE1728" s="922"/>
      <c r="AF1728" s="1046"/>
      <c r="AG1728" s="906" t="str">
        <f>IF(AE1728&lt;&gt;0,VLOOKUP(AE1728,ODDS!$A$2:$C$13,3,0),"")</f>
        <v/>
      </c>
      <c r="AH1728" s="906" t="str">
        <f t="shared" si="364"/>
        <v xml:space="preserve"> </v>
      </c>
      <c r="AI1728" s="907" t="str">
        <f t="shared" si="370"/>
        <v xml:space="preserve"> </v>
      </c>
      <c r="AJ1728" s="922" t="s">
        <v>1212</v>
      </c>
      <c r="AK1728" s="894" t="s">
        <v>2450</v>
      </c>
    </row>
    <row r="1729" spans="1:37" s="394" customFormat="1" ht="112.5" outlineLevel="2" x14ac:dyDescent="0.3">
      <c r="A1729" s="447">
        <f t="shared" si="385"/>
        <v>145</v>
      </c>
      <c r="B1729" s="893"/>
      <c r="C1729" s="908"/>
      <c r="D1729" s="1032"/>
      <c r="E1729" s="947"/>
      <c r="F1729" s="947"/>
      <c r="G1729" s="922"/>
      <c r="H1729" s="1041"/>
      <c r="I1729" s="882"/>
      <c r="J1729" s="898"/>
      <c r="K1729" s="899" t="str">
        <f>IF(G1729&lt;&gt;0,VLOOKUP(G1729,'gia dat'!$A$1:$F$144,5,0)," ")</f>
        <v xml:space="preserve"> </v>
      </c>
      <c r="L1729" s="899" t="str">
        <f>IF(G1729&lt;&gt;0,VLOOKUP(G1729,'gia dat'!$A$1:$F$144,6,0)," ")</f>
        <v xml:space="preserve"> </v>
      </c>
      <c r="M1729" s="900" t="str">
        <f t="shared" si="374"/>
        <v xml:space="preserve"> </v>
      </c>
      <c r="N1729" s="900" t="str">
        <f t="shared" si="375"/>
        <v xml:space="preserve"> </v>
      </c>
      <c r="O1729" s="908"/>
      <c r="P1729" s="1065"/>
      <c r="Q1729" s="900" t="str">
        <f>IF(O1729&lt;&gt;0,VLOOKUP(O1729,'Cây trong'!$A$2:$C$246,3,0)," ")</f>
        <v xml:space="preserve"> </v>
      </c>
      <c r="R1729" s="900" t="str">
        <f t="shared" si="363"/>
        <v xml:space="preserve"> </v>
      </c>
      <c r="S1729" s="902"/>
      <c r="T1729" s="944"/>
      <c r="U1729" s="1066"/>
      <c r="V1729" s="922"/>
      <c r="W1729" s="900" t="str">
        <f>IF(S1729&lt;&gt;0,VLOOKUP(S1729,VKT!$A$2:$G$415,7,0),"")</f>
        <v/>
      </c>
      <c r="X1729" s="900" t="str">
        <f t="shared" si="373"/>
        <v xml:space="preserve"> </v>
      </c>
      <c r="Y1729" s="985"/>
      <c r="Z1729" s="922"/>
      <c r="AA1729" s="1067"/>
      <c r="AB1729" s="922"/>
      <c r="AC1729" s="922"/>
      <c r="AD1729" s="922"/>
      <c r="AE1729" s="922"/>
      <c r="AF1729" s="1046"/>
      <c r="AG1729" s="906" t="str">
        <f>IF(AE1729&lt;&gt;0,VLOOKUP(AE1729,ODDS!$A$2:$C$13,3,0),"")</f>
        <v/>
      </c>
      <c r="AH1729" s="906" t="str">
        <f t="shared" si="364"/>
        <v xml:space="preserve"> </v>
      </c>
      <c r="AI1729" s="907" t="str">
        <f t="shared" si="370"/>
        <v xml:space="preserve"> </v>
      </c>
      <c r="AJ1729" s="922" t="s">
        <v>1146</v>
      </c>
      <c r="AK1729" s="894" t="s">
        <v>2449</v>
      </c>
    </row>
    <row r="1730" spans="1:37" s="394" customFormat="1" ht="112.5" outlineLevel="2" x14ac:dyDescent="0.35">
      <c r="A1730" s="447">
        <f t="shared" si="385"/>
        <v>145</v>
      </c>
      <c r="B1730" s="893"/>
      <c r="C1730" s="908"/>
      <c r="D1730" s="1032"/>
      <c r="E1730" s="947"/>
      <c r="F1730" s="947"/>
      <c r="G1730" s="922"/>
      <c r="H1730" s="1041"/>
      <c r="I1730" s="882"/>
      <c r="J1730" s="898"/>
      <c r="K1730" s="899" t="str">
        <f>IF(G1730&lt;&gt;0,VLOOKUP(G1730,'gia dat'!$A$1:$F$144,5,0)," ")</f>
        <v xml:space="preserve"> </v>
      </c>
      <c r="L1730" s="899" t="str">
        <f>IF(G1730&lt;&gt;0,VLOOKUP(G1730,'gia dat'!$A$1:$F$144,6,0)," ")</f>
        <v xml:space="preserve"> </v>
      </c>
      <c r="M1730" s="900" t="str">
        <f t="shared" si="374"/>
        <v xml:space="preserve"> </v>
      </c>
      <c r="N1730" s="900" t="str">
        <f t="shared" si="375"/>
        <v xml:space="preserve"> </v>
      </c>
      <c r="O1730" s="908"/>
      <c r="P1730" s="1065"/>
      <c r="Q1730" s="900" t="str">
        <f>IF(O1730&lt;&gt;0,VLOOKUP(O1730,'Cây trong'!$A$2:$C$246,3,0)," ")</f>
        <v xml:space="preserve"> </v>
      </c>
      <c r="R1730" s="900" t="str">
        <f t="shared" si="363"/>
        <v xml:space="preserve"> </v>
      </c>
      <c r="S1730" s="902"/>
      <c r="T1730" s="944"/>
      <c r="U1730" s="1066"/>
      <c r="V1730" s="922"/>
      <c r="W1730" s="900" t="str">
        <f>IF(S1730&lt;&gt;0,VLOOKUP(S1730,VKT!$A$2:$G$415,7,0),"")</f>
        <v/>
      </c>
      <c r="X1730" s="900" t="str">
        <f t="shared" si="373"/>
        <v xml:space="preserve"> </v>
      </c>
      <c r="Y1730" s="985"/>
      <c r="Z1730" s="922"/>
      <c r="AA1730" s="1067"/>
      <c r="AB1730" s="922"/>
      <c r="AC1730" s="922"/>
      <c r="AD1730" s="922"/>
      <c r="AE1730" s="922"/>
      <c r="AF1730" s="1046"/>
      <c r="AG1730" s="906" t="str">
        <f>IF(AE1730&lt;&gt;0,VLOOKUP(AE1730,ODDS!$A$2:$C$13,3,0),"")</f>
        <v/>
      </c>
      <c r="AH1730" s="906" t="str">
        <f t="shared" si="364"/>
        <v xml:space="preserve"> </v>
      </c>
      <c r="AI1730" s="907" t="str">
        <f t="shared" si="370"/>
        <v xml:space="preserve"> </v>
      </c>
      <c r="AJ1730" s="1068"/>
      <c r="AK1730" s="922" t="s">
        <v>2800</v>
      </c>
    </row>
    <row r="1731" spans="1:37" s="394" customFormat="1" ht="22.5" outlineLevel="2" x14ac:dyDescent="0.3">
      <c r="A1731" s="447">
        <f t="shared" si="385"/>
        <v>145</v>
      </c>
      <c r="B1731" s="893"/>
      <c r="C1731" s="908"/>
      <c r="D1731" s="1032"/>
      <c r="E1731" s="947"/>
      <c r="F1731" s="947"/>
      <c r="G1731" s="922"/>
      <c r="H1731" s="1041"/>
      <c r="I1731" s="882"/>
      <c r="J1731" s="898"/>
      <c r="K1731" s="899" t="str">
        <f>IF(G1731&lt;&gt;0,VLOOKUP(G1731,'gia dat'!$A$1:$F$144,5,0)," ")</f>
        <v xml:space="preserve"> </v>
      </c>
      <c r="L1731" s="899" t="str">
        <f>IF(G1731&lt;&gt;0,VLOOKUP(G1731,'gia dat'!$A$1:$F$144,6,0)," ")</f>
        <v xml:space="preserve"> </v>
      </c>
      <c r="M1731" s="900" t="str">
        <f t="shared" si="374"/>
        <v xml:space="preserve"> </v>
      </c>
      <c r="N1731" s="900" t="str">
        <f t="shared" si="375"/>
        <v xml:space="preserve"> </v>
      </c>
      <c r="O1731" s="908"/>
      <c r="P1731" s="1065"/>
      <c r="Q1731" s="900" t="str">
        <f>IF(O1731&lt;&gt;0,VLOOKUP(O1731,'Cây trong'!$A$2:$C$246,3,0)," ")</f>
        <v xml:space="preserve"> </v>
      </c>
      <c r="R1731" s="900" t="str">
        <f t="shared" si="363"/>
        <v xml:space="preserve"> </v>
      </c>
      <c r="S1731" s="902"/>
      <c r="T1731" s="944"/>
      <c r="U1731" s="1066"/>
      <c r="V1731" s="922"/>
      <c r="W1731" s="900" t="str">
        <f>IF(S1731&lt;&gt;0,VLOOKUP(S1731,VKT!$A$2:$G$415,7,0),"")</f>
        <v/>
      </c>
      <c r="X1731" s="900" t="str">
        <f t="shared" si="373"/>
        <v xml:space="preserve"> </v>
      </c>
      <c r="Y1731" s="985"/>
      <c r="Z1731" s="922"/>
      <c r="AA1731" s="1067"/>
      <c r="AB1731" s="922"/>
      <c r="AC1731" s="922"/>
      <c r="AD1731" s="922"/>
      <c r="AE1731" s="922"/>
      <c r="AF1731" s="1046"/>
      <c r="AG1731" s="906" t="str">
        <f>IF(AE1731&lt;&gt;0,VLOOKUP(AE1731,ODDS!$A$2:$C$13,3,0),"")</f>
        <v/>
      </c>
      <c r="AH1731" s="906" t="str">
        <f t="shared" si="364"/>
        <v xml:space="preserve"> </v>
      </c>
      <c r="AI1731" s="907" t="str">
        <f t="shared" si="370"/>
        <v xml:space="preserve"> </v>
      </c>
      <c r="AJ1731" s="922"/>
      <c r="AK1731" s="922"/>
    </row>
    <row r="1732" spans="1:37" s="394" customFormat="1" ht="22.5" outlineLevel="2" x14ac:dyDescent="0.3">
      <c r="A1732" s="447">
        <f t="shared" si="385"/>
        <v>145</v>
      </c>
      <c r="B1732" s="893"/>
      <c r="C1732" s="908"/>
      <c r="D1732" s="1032"/>
      <c r="E1732" s="947"/>
      <c r="F1732" s="947"/>
      <c r="G1732" s="922"/>
      <c r="H1732" s="1041"/>
      <c r="I1732" s="882"/>
      <c r="J1732" s="898"/>
      <c r="K1732" s="899" t="str">
        <f>IF(G1732&lt;&gt;0,VLOOKUP(G1732,'gia dat'!$A$1:$F$144,5,0)," ")</f>
        <v xml:space="preserve"> </v>
      </c>
      <c r="L1732" s="899" t="str">
        <f>IF(G1732&lt;&gt;0,VLOOKUP(G1732,'gia dat'!$A$1:$F$144,6,0)," ")</f>
        <v xml:space="preserve"> </v>
      </c>
      <c r="M1732" s="900" t="str">
        <f t="shared" si="374"/>
        <v xml:space="preserve"> </v>
      </c>
      <c r="N1732" s="900" t="str">
        <f t="shared" si="375"/>
        <v xml:space="preserve"> </v>
      </c>
      <c r="O1732" s="908"/>
      <c r="P1732" s="1065"/>
      <c r="Q1732" s="900" t="str">
        <f>IF(O1732&lt;&gt;0,VLOOKUP(O1732,'Cây trong'!$A$2:$C$246,3,0)," ")</f>
        <v xml:space="preserve"> </v>
      </c>
      <c r="R1732" s="900" t="str">
        <f t="shared" si="363"/>
        <v xml:space="preserve"> </v>
      </c>
      <c r="S1732" s="902"/>
      <c r="T1732" s="944"/>
      <c r="U1732" s="1066"/>
      <c r="V1732" s="922"/>
      <c r="W1732" s="900" t="str">
        <f>IF(S1732&lt;&gt;0,VLOOKUP(S1732,VKT!$A$2:$G$415,7,0),"")</f>
        <v/>
      </c>
      <c r="X1732" s="900" t="str">
        <f t="shared" si="373"/>
        <v xml:space="preserve"> </v>
      </c>
      <c r="Y1732" s="985"/>
      <c r="Z1732" s="922"/>
      <c r="AA1732" s="1067"/>
      <c r="AB1732" s="922"/>
      <c r="AC1732" s="922"/>
      <c r="AD1732" s="922"/>
      <c r="AE1732" s="922"/>
      <c r="AF1732" s="1046"/>
      <c r="AG1732" s="906" t="str">
        <f>IF(AE1732&lt;&gt;0,VLOOKUP(AE1732,ODDS!$A$2:$C$13,3,0),"")</f>
        <v/>
      </c>
      <c r="AH1732" s="906" t="str">
        <f t="shared" si="364"/>
        <v xml:space="preserve"> </v>
      </c>
      <c r="AI1732" s="907" t="str">
        <f t="shared" si="370"/>
        <v xml:space="preserve"> </v>
      </c>
      <c r="AJ1732" s="922"/>
      <c r="AK1732" s="922"/>
    </row>
    <row r="1733" spans="1:37" s="394" customFormat="1" ht="22.5" outlineLevel="2" x14ac:dyDescent="0.3">
      <c r="A1733" s="447">
        <f t="shared" si="385"/>
        <v>145</v>
      </c>
      <c r="B1733" s="893"/>
      <c r="C1733" s="942"/>
      <c r="D1733" s="1032"/>
      <c r="E1733" s="947"/>
      <c r="F1733" s="947"/>
      <c r="G1733" s="922"/>
      <c r="H1733" s="1041"/>
      <c r="I1733" s="882"/>
      <c r="J1733" s="898"/>
      <c r="K1733" s="899" t="str">
        <f>IF(G1733&lt;&gt;0,VLOOKUP(G1733,'gia dat'!$A$1:$F$144,5,0)," ")</f>
        <v xml:space="preserve"> </v>
      </c>
      <c r="L1733" s="899" t="str">
        <f>IF(G1733&lt;&gt;0,VLOOKUP(G1733,'gia dat'!$A$1:$F$144,6,0)," ")</f>
        <v xml:space="preserve"> </v>
      </c>
      <c r="M1733" s="900" t="str">
        <f t="shared" si="374"/>
        <v xml:space="preserve"> </v>
      </c>
      <c r="N1733" s="900" t="str">
        <f t="shared" si="375"/>
        <v xml:space="preserve"> </v>
      </c>
      <c r="O1733" s="908"/>
      <c r="P1733" s="1065"/>
      <c r="Q1733" s="900" t="str">
        <f>IF(O1733&lt;&gt;0,VLOOKUP(O1733,'Cây trong'!$A$2:$C$246,3,0)," ")</f>
        <v xml:space="preserve"> </v>
      </c>
      <c r="R1733" s="900" t="str">
        <f t="shared" si="363"/>
        <v xml:space="preserve"> </v>
      </c>
      <c r="S1733" s="902"/>
      <c r="T1733" s="944"/>
      <c r="U1733" s="1066"/>
      <c r="V1733" s="922"/>
      <c r="W1733" s="900" t="str">
        <f>IF(S1733&lt;&gt;0,VLOOKUP(S1733,VKT!$A$2:$G$415,7,0),"")</f>
        <v/>
      </c>
      <c r="X1733" s="900" t="str">
        <f t="shared" si="373"/>
        <v xml:space="preserve"> </v>
      </c>
      <c r="Y1733" s="985"/>
      <c r="Z1733" s="922"/>
      <c r="AA1733" s="1067"/>
      <c r="AB1733" s="922"/>
      <c r="AC1733" s="922"/>
      <c r="AD1733" s="922"/>
      <c r="AE1733" s="922"/>
      <c r="AF1733" s="1046"/>
      <c r="AG1733" s="906" t="str">
        <f>IF(AE1733&lt;&gt;0,VLOOKUP(AE1733,ODDS!$A$2:$C$13,3,0),"")</f>
        <v/>
      </c>
      <c r="AH1733" s="906" t="str">
        <f t="shared" si="364"/>
        <v xml:space="preserve"> </v>
      </c>
      <c r="AI1733" s="907" t="str">
        <f t="shared" si="370"/>
        <v xml:space="preserve"> </v>
      </c>
      <c r="AJ1733" s="922"/>
      <c r="AK1733" s="922"/>
    </row>
    <row r="1734" spans="1:37" s="396" customFormat="1" ht="22.5" outlineLevel="1" x14ac:dyDescent="0.25">
      <c r="A1734" s="467" t="s">
        <v>2564</v>
      </c>
      <c r="B1734" s="912">
        <v>146</v>
      </c>
      <c r="C1734" s="942" t="s">
        <v>1214</v>
      </c>
      <c r="D1734" s="1038"/>
      <c r="E1734" s="977"/>
      <c r="F1734" s="977"/>
      <c r="G1734" s="914"/>
      <c r="H1734" s="1039">
        <f>SUBTOTAL(9,H1735:H1756)</f>
        <v>960.8</v>
      </c>
      <c r="I1734" s="915">
        <f>SUBTOTAL(9,I1735:I1740)</f>
        <v>889.3</v>
      </c>
      <c r="J1734" s="916"/>
      <c r="K1734" s="917"/>
      <c r="L1734" s="917"/>
      <c r="M1734" s="907">
        <f>SUBTOTAL(9,M1735:M1756)</f>
        <v>447348000</v>
      </c>
      <c r="N1734" s="907">
        <f>SUBTOTAL(9,N1735:N1756)</f>
        <v>1242174000</v>
      </c>
      <c r="O1734" s="942"/>
      <c r="P1734" s="1063">
        <f>SUBTOTAL(9,P1735:P1756)</f>
        <v>843</v>
      </c>
      <c r="Q1734" s="907"/>
      <c r="R1734" s="907">
        <f>SUBTOTAL(9,R1735:R1756)</f>
        <v>75185000</v>
      </c>
      <c r="S1734" s="918"/>
      <c r="T1734" s="956"/>
      <c r="U1734" s="1064">
        <f>SUBTOTAL(9,U1735:U1756)</f>
        <v>289</v>
      </c>
      <c r="V1734" s="914"/>
      <c r="W1734" s="907"/>
      <c r="X1734" s="907">
        <f>SUBTOTAL(9,X1735:X1756)</f>
        <v>201146000</v>
      </c>
      <c r="Y1734" s="985"/>
      <c r="Z1734" s="922"/>
      <c r="AA1734" s="1067"/>
      <c r="AB1734" s="922"/>
      <c r="AC1734" s="922"/>
      <c r="AD1734" s="922"/>
      <c r="AE1734" s="914"/>
      <c r="AF1734" s="1044">
        <f>SUBTOTAL(9,AF1735:AF1756)</f>
        <v>0</v>
      </c>
      <c r="AG1734" s="921"/>
      <c r="AH1734" s="921">
        <f>SUBTOTAL(9,AH1735:AH1756)</f>
        <v>0</v>
      </c>
      <c r="AI1734" s="907">
        <f t="shared" si="370"/>
        <v>1965853000</v>
      </c>
      <c r="AJ1734" s="914"/>
      <c r="AK1734" s="914"/>
    </row>
    <row r="1735" spans="1:37" s="396" customFormat="1" ht="135" outlineLevel="2" x14ac:dyDescent="0.3">
      <c r="A1735" s="447">
        <f>IF(B1734&lt;&gt;0,B1734,A1733)</f>
        <v>146</v>
      </c>
      <c r="B1735" s="893"/>
      <c r="C1735" s="908" t="s">
        <v>1217</v>
      </c>
      <c r="D1735" s="1032">
        <v>4</v>
      </c>
      <c r="E1735" s="947">
        <v>86</v>
      </c>
      <c r="F1735" s="947">
        <v>714</v>
      </c>
      <c r="G1735" s="922" t="s">
        <v>2871</v>
      </c>
      <c r="H1735" s="1041">
        <f>960.8-H1736</f>
        <v>889.3</v>
      </c>
      <c r="I1735" s="882">
        <f t="shared" ref="I1735:I1736" si="386">IF(N1735&gt;0,H1735,"")</f>
        <v>889.3</v>
      </c>
      <c r="J1735" s="898"/>
      <c r="K1735" s="899">
        <f>IF(G1735&lt;&gt;0,VLOOKUP(G1735,'gia dat'!$A$1:$F$144,5,0)," ")</f>
        <v>465600</v>
      </c>
      <c r="L1735" s="899">
        <f>IF(G1735&lt;&gt;0,VLOOKUP(G1735,'gia dat'!$A$1:$F$144,6,0)," ")</f>
        <v>1396800</v>
      </c>
      <c r="M1735" s="900">
        <f t="shared" si="374"/>
        <v>414058000</v>
      </c>
      <c r="N1735" s="900">
        <f t="shared" si="375"/>
        <v>1242174000</v>
      </c>
      <c r="O1735" s="908" t="s">
        <v>1215</v>
      </c>
      <c r="P1735" s="1065">
        <v>5</v>
      </c>
      <c r="Q1735" s="900">
        <f>IF(O1735&lt;&gt;0,VLOOKUP(O1735,'Cây trong'!$A$2:$C$246,3,0)," ")</f>
        <v>580000</v>
      </c>
      <c r="R1735" s="900">
        <f t="shared" si="363"/>
        <v>2900000</v>
      </c>
      <c r="S1735" s="902" t="s">
        <v>1980</v>
      </c>
      <c r="T1735" s="944" t="s">
        <v>1133</v>
      </c>
      <c r="U1735" s="1066">
        <v>31.5</v>
      </c>
      <c r="V1735" s="922"/>
      <c r="W1735" s="900">
        <f>IF(S1735&lt;&gt;0,VLOOKUP(S1735,VKT!$A$2:$G$415,7,0),"")</f>
        <v>684506</v>
      </c>
      <c r="X1735" s="900">
        <f t="shared" si="373"/>
        <v>21562000</v>
      </c>
      <c r="Y1735" s="985"/>
      <c r="Z1735" s="922"/>
      <c r="AA1735" s="1067"/>
      <c r="AB1735" s="922"/>
      <c r="AC1735" s="922"/>
      <c r="AD1735" s="922"/>
      <c r="AE1735" s="922"/>
      <c r="AF1735" s="1046"/>
      <c r="AG1735" s="906" t="str">
        <f>IF(AE1735&lt;&gt;0,VLOOKUP(AE1735,ODDS!$A$2:$C$13,3,0),"")</f>
        <v/>
      </c>
      <c r="AH1735" s="906"/>
      <c r="AI1735" s="907" t="str">
        <f t="shared" si="370"/>
        <v xml:space="preserve"> </v>
      </c>
      <c r="AJ1735" s="922" t="s">
        <v>1216</v>
      </c>
      <c r="AK1735" s="922" t="s">
        <v>2771</v>
      </c>
    </row>
    <row r="1736" spans="1:37" s="394" customFormat="1" ht="157.5" outlineLevel="2" x14ac:dyDescent="0.3">
      <c r="A1736" s="447">
        <f t="shared" ref="A1736:A1756" si="387">IF(B1735&lt;&gt;0,B1735,A1735)</f>
        <v>146</v>
      </c>
      <c r="B1736" s="893"/>
      <c r="C1736" s="908" t="s">
        <v>1605</v>
      </c>
      <c r="D1736" s="1032"/>
      <c r="E1736" s="947"/>
      <c r="F1736" s="947"/>
      <c r="G1736" s="922" t="s">
        <v>2874</v>
      </c>
      <c r="H1736" s="1041">
        <v>71.5</v>
      </c>
      <c r="I1736" s="882" t="str">
        <f t="shared" si="386"/>
        <v/>
      </c>
      <c r="J1736" s="898"/>
      <c r="K1736" s="899">
        <f>IF(G1736&lt;&gt;0,VLOOKUP(G1736,'gia dat'!$A$1:$F$144,5,0)," ")</f>
        <v>465600</v>
      </c>
      <c r="L1736" s="899">
        <f>IF(G1736&lt;&gt;0,VLOOKUP(G1736,'gia dat'!$A$1:$F$144,6,0)," ")</f>
        <v>0</v>
      </c>
      <c r="M1736" s="900">
        <f t="shared" si="374"/>
        <v>33290000</v>
      </c>
      <c r="N1736" s="900">
        <f t="shared" si="375"/>
        <v>0</v>
      </c>
      <c r="O1736" s="908" t="s">
        <v>1218</v>
      </c>
      <c r="P1736" s="1065">
        <v>2</v>
      </c>
      <c r="Q1736" s="900">
        <f>IF(O1736&lt;&gt;0,VLOOKUP(O1736,'Cây trong'!$A$2:$C$246,3,0)," ")</f>
        <v>571000</v>
      </c>
      <c r="R1736" s="900">
        <f t="shared" si="363"/>
        <v>1142000</v>
      </c>
      <c r="S1736" s="902" t="s">
        <v>2146</v>
      </c>
      <c r="T1736" s="944" t="s">
        <v>1133</v>
      </c>
      <c r="U1736" s="1066">
        <v>188.3</v>
      </c>
      <c r="V1736" s="922"/>
      <c r="W1736" s="900">
        <f>IF(S1736&lt;&gt;0,VLOOKUP(S1736,VKT!$A$2:$G$415,7,0),"")</f>
        <v>840258</v>
      </c>
      <c r="X1736" s="900">
        <f t="shared" si="373"/>
        <v>158221000</v>
      </c>
      <c r="Y1736" s="985"/>
      <c r="Z1736" s="922"/>
      <c r="AA1736" s="1067"/>
      <c r="AB1736" s="922"/>
      <c r="AC1736" s="922"/>
      <c r="AD1736" s="922"/>
      <c r="AE1736" s="922"/>
      <c r="AF1736" s="1046"/>
      <c r="AG1736" s="906" t="str">
        <f>IF(AE1736&lt;&gt;0,VLOOKUP(AE1736,ODDS!$A$2:$C$13,3,0),"")</f>
        <v/>
      </c>
      <c r="AH1736" s="906" t="str">
        <f t="shared" si="364"/>
        <v xml:space="preserve"> </v>
      </c>
      <c r="AI1736" s="907" t="str">
        <f t="shared" si="370"/>
        <v xml:space="preserve"> </v>
      </c>
      <c r="AJ1736" s="922" t="s">
        <v>1220</v>
      </c>
      <c r="AK1736" s="894" t="s">
        <v>2448</v>
      </c>
    </row>
    <row r="1737" spans="1:37" s="394" customFormat="1" ht="112.5" outlineLevel="2" x14ac:dyDescent="0.3">
      <c r="A1737" s="447">
        <f t="shared" si="387"/>
        <v>146</v>
      </c>
      <c r="B1737" s="893"/>
      <c r="C1737" s="908"/>
      <c r="D1737" s="1032"/>
      <c r="E1737" s="947"/>
      <c r="F1737" s="947"/>
      <c r="G1737" s="922"/>
      <c r="H1737" s="1041"/>
      <c r="I1737" s="882"/>
      <c r="J1737" s="898"/>
      <c r="K1737" s="899" t="str">
        <f>IF(G1737&lt;&gt;0,VLOOKUP(G1737,'gia dat'!$A$1:$F$144,5,0)," ")</f>
        <v xml:space="preserve"> </v>
      </c>
      <c r="L1737" s="899" t="str">
        <f>IF(G1737&lt;&gt;0,VLOOKUP(G1737,'gia dat'!$A$1:$F$144,6,0)," ")</f>
        <v xml:space="preserve"> </v>
      </c>
      <c r="M1737" s="900" t="str">
        <f t="shared" si="374"/>
        <v xml:space="preserve"> </v>
      </c>
      <c r="N1737" s="900" t="str">
        <f t="shared" si="375"/>
        <v xml:space="preserve"> </v>
      </c>
      <c r="O1737" s="908" t="s">
        <v>1221</v>
      </c>
      <c r="P1737" s="1065">
        <v>4</v>
      </c>
      <c r="Q1737" s="900">
        <f>IF(O1737&lt;&gt;0,VLOOKUP(O1737,'Cây trong'!$A$2:$C$246,3,0)," ")</f>
        <v>280000</v>
      </c>
      <c r="R1737" s="900">
        <f t="shared" si="363"/>
        <v>1120000</v>
      </c>
      <c r="S1737" s="902" t="s">
        <v>2147</v>
      </c>
      <c r="T1737" s="944" t="s">
        <v>1133</v>
      </c>
      <c r="U1737" s="1066">
        <v>29.2</v>
      </c>
      <c r="V1737" s="922"/>
      <c r="W1737" s="900">
        <f>IF(S1737&lt;&gt;0,VLOOKUP(S1737,VKT!$A$2:$G$415,7,0),"")</f>
        <v>441467</v>
      </c>
      <c r="X1737" s="900">
        <f t="shared" si="373"/>
        <v>12891000</v>
      </c>
      <c r="Y1737" s="985"/>
      <c r="Z1737" s="922"/>
      <c r="AA1737" s="1067"/>
      <c r="AB1737" s="922"/>
      <c r="AC1737" s="922"/>
      <c r="AD1737" s="922"/>
      <c r="AE1737" s="922"/>
      <c r="AF1737" s="1046"/>
      <c r="AG1737" s="906" t="str">
        <f>IF(AE1737&lt;&gt;0,VLOOKUP(AE1737,ODDS!$A$2:$C$13,3,0),"")</f>
        <v/>
      </c>
      <c r="AH1737" s="906" t="str">
        <f t="shared" si="364"/>
        <v xml:space="preserve"> </v>
      </c>
      <c r="AI1737" s="907" t="str">
        <f t="shared" ref="AI1737:AI1800" si="388">IF(B1737&lt;&gt;0,M1737+N1737+R1737+X1737+AH1737," ")</f>
        <v xml:space="preserve"> </v>
      </c>
      <c r="AJ1737" s="922" t="s">
        <v>1226</v>
      </c>
      <c r="AK1737" s="894" t="s">
        <v>2450</v>
      </c>
    </row>
    <row r="1738" spans="1:37" s="394" customFormat="1" ht="112.5" outlineLevel="2" x14ac:dyDescent="0.3">
      <c r="A1738" s="447">
        <f t="shared" si="387"/>
        <v>146</v>
      </c>
      <c r="B1738" s="893"/>
      <c r="C1738" s="908"/>
      <c r="D1738" s="1032"/>
      <c r="E1738" s="947"/>
      <c r="F1738" s="947"/>
      <c r="G1738" s="922"/>
      <c r="H1738" s="1041"/>
      <c r="I1738" s="882"/>
      <c r="J1738" s="898"/>
      <c r="K1738" s="899" t="str">
        <f>IF(G1738&lt;&gt;0,VLOOKUP(G1738,'gia dat'!$A$1:$F$144,5,0)," ")</f>
        <v xml:space="preserve"> </v>
      </c>
      <c r="L1738" s="899" t="str">
        <f>IF(G1738&lt;&gt;0,VLOOKUP(G1738,'gia dat'!$A$1:$F$144,6,0)," ")</f>
        <v xml:space="preserve"> </v>
      </c>
      <c r="M1738" s="900" t="str">
        <f t="shared" si="374"/>
        <v xml:space="preserve"> </v>
      </c>
      <c r="N1738" s="900" t="str">
        <f t="shared" si="375"/>
        <v xml:space="preserve"> </v>
      </c>
      <c r="O1738" s="908" t="s">
        <v>1224</v>
      </c>
      <c r="P1738" s="1065">
        <v>1</v>
      </c>
      <c r="Q1738" s="900">
        <f>IF(O1738&lt;&gt;0,VLOOKUP(O1738,'Cây trong'!$A$2:$C$246,3,0)," ")</f>
        <v>667000</v>
      </c>
      <c r="R1738" s="900">
        <f t="shared" si="363"/>
        <v>667000</v>
      </c>
      <c r="S1738" s="902" t="s">
        <v>2148</v>
      </c>
      <c r="T1738" s="944" t="s">
        <v>1133</v>
      </c>
      <c r="U1738" s="1066">
        <v>40</v>
      </c>
      <c r="V1738" s="922"/>
      <c r="W1738" s="900">
        <f>IF(S1738&lt;&gt;0,VLOOKUP(S1738,VKT!$A$2:$G$415,7,0),"")</f>
        <v>211811</v>
      </c>
      <c r="X1738" s="900">
        <f t="shared" si="373"/>
        <v>8472000</v>
      </c>
      <c r="Y1738" s="985"/>
      <c r="Z1738" s="922"/>
      <c r="AA1738" s="1067"/>
      <c r="AB1738" s="922"/>
      <c r="AC1738" s="922"/>
      <c r="AD1738" s="922"/>
      <c r="AE1738" s="922"/>
      <c r="AF1738" s="1046"/>
      <c r="AG1738" s="906" t="str">
        <f>IF(AE1738&lt;&gt;0,VLOOKUP(AE1738,ODDS!$A$2:$C$13,3,0),"")</f>
        <v/>
      </c>
      <c r="AH1738" s="906" t="str">
        <f t="shared" si="364"/>
        <v xml:space="preserve"> </v>
      </c>
      <c r="AI1738" s="907" t="str">
        <f t="shared" si="388"/>
        <v xml:space="preserve"> </v>
      </c>
      <c r="AJ1738" s="922" t="s">
        <v>2074</v>
      </c>
      <c r="AK1738" s="894" t="s">
        <v>2449</v>
      </c>
    </row>
    <row r="1739" spans="1:37" s="394" customFormat="1" ht="112.5" outlineLevel="2" x14ac:dyDescent="0.35">
      <c r="A1739" s="447">
        <f t="shared" si="387"/>
        <v>146</v>
      </c>
      <c r="B1739" s="893"/>
      <c r="C1739" s="908"/>
      <c r="D1739" s="1032"/>
      <c r="E1739" s="947"/>
      <c r="F1739" s="947"/>
      <c r="G1739" s="922"/>
      <c r="H1739" s="1041"/>
      <c r="I1739" s="882"/>
      <c r="J1739" s="898"/>
      <c r="K1739" s="899" t="str">
        <f>IF(G1739&lt;&gt;0,VLOOKUP(G1739,'gia dat'!$A$1:$F$144,5,0)," ")</f>
        <v xml:space="preserve"> </v>
      </c>
      <c r="L1739" s="899" t="str">
        <f>IF(G1739&lt;&gt;0,VLOOKUP(G1739,'gia dat'!$A$1:$F$144,6,0)," ")</f>
        <v xml:space="preserve"> </v>
      </c>
      <c r="M1739" s="900" t="str">
        <f t="shared" si="374"/>
        <v xml:space="preserve"> </v>
      </c>
      <c r="N1739" s="900" t="str">
        <f t="shared" si="375"/>
        <v xml:space="preserve"> </v>
      </c>
      <c r="O1739" s="908" t="s">
        <v>1227</v>
      </c>
      <c r="P1739" s="1065">
        <v>1</v>
      </c>
      <c r="Q1739" s="900">
        <f>IF(O1739&lt;&gt;0,VLOOKUP(O1739,'Cây trong'!$A$2:$C$246,3,0)," ")</f>
        <v>800000</v>
      </c>
      <c r="R1739" s="900">
        <f t="shared" si="363"/>
        <v>800000</v>
      </c>
      <c r="S1739" s="902"/>
      <c r="T1739" s="944"/>
      <c r="U1739" s="1066"/>
      <c r="V1739" s="922"/>
      <c r="W1739" s="900" t="str">
        <f>IF(S1739&lt;&gt;0,VLOOKUP(S1739,VKT!$A$2:$G$415,7,0),"")</f>
        <v/>
      </c>
      <c r="X1739" s="900" t="str">
        <f t="shared" si="373"/>
        <v xml:space="preserve"> </v>
      </c>
      <c r="Y1739" s="985"/>
      <c r="Z1739" s="922"/>
      <c r="AA1739" s="1067"/>
      <c r="AB1739" s="922"/>
      <c r="AC1739" s="922"/>
      <c r="AD1739" s="922"/>
      <c r="AE1739" s="922"/>
      <c r="AF1739" s="1046"/>
      <c r="AG1739" s="906" t="str">
        <f>IF(AE1739&lt;&gt;0,VLOOKUP(AE1739,ODDS!$A$2:$C$13,3,0),"")</f>
        <v/>
      </c>
      <c r="AH1739" s="906" t="str">
        <f t="shared" si="364"/>
        <v xml:space="preserve"> </v>
      </c>
      <c r="AI1739" s="907" t="str">
        <f t="shared" si="388"/>
        <v xml:space="preserve"> </v>
      </c>
      <c r="AJ1739" s="1068"/>
      <c r="AK1739" s="922" t="s">
        <v>2800</v>
      </c>
    </row>
    <row r="1740" spans="1:37" s="394" customFormat="1" ht="22.5" outlineLevel="2" x14ac:dyDescent="0.3">
      <c r="A1740" s="447">
        <f t="shared" si="387"/>
        <v>146</v>
      </c>
      <c r="B1740" s="893"/>
      <c r="C1740" s="908"/>
      <c r="D1740" s="1032"/>
      <c r="E1740" s="947"/>
      <c r="F1740" s="947"/>
      <c r="G1740" s="922"/>
      <c r="H1740" s="1041"/>
      <c r="I1740" s="882"/>
      <c r="J1740" s="898"/>
      <c r="K1740" s="899" t="str">
        <f>IF(G1740&lt;&gt;0,VLOOKUP(G1740,'gia dat'!$A$1:$F$144,5,0)," ")</f>
        <v xml:space="preserve"> </v>
      </c>
      <c r="L1740" s="899" t="str">
        <f>IF(G1740&lt;&gt;0,VLOOKUP(G1740,'gia dat'!$A$1:$F$144,6,0)," ")</f>
        <v xml:space="preserve"> </v>
      </c>
      <c r="M1740" s="900" t="str">
        <f t="shared" si="374"/>
        <v xml:space="preserve"> </v>
      </c>
      <c r="N1740" s="900" t="str">
        <f t="shared" si="375"/>
        <v xml:space="preserve"> </v>
      </c>
      <c r="O1740" s="908" t="s">
        <v>154</v>
      </c>
      <c r="P1740" s="1065">
        <v>8</v>
      </c>
      <c r="Q1740" s="900">
        <f>IF(O1740&lt;&gt;0,VLOOKUP(O1740,'Cây trong'!$A$2:$C$246,3,0)," ")</f>
        <v>248000</v>
      </c>
      <c r="R1740" s="900">
        <f t="shared" si="363"/>
        <v>1984000</v>
      </c>
      <c r="S1740" s="902"/>
      <c r="T1740" s="944"/>
      <c r="U1740" s="1066"/>
      <c r="V1740" s="922"/>
      <c r="W1740" s="900" t="str">
        <f>IF(S1740&lt;&gt;0,VLOOKUP(S1740,VKT!$A$2:$G$415,7,0),"")</f>
        <v/>
      </c>
      <c r="X1740" s="900" t="str">
        <f t="shared" si="373"/>
        <v xml:space="preserve"> </v>
      </c>
      <c r="Y1740" s="985"/>
      <c r="Z1740" s="922"/>
      <c r="AA1740" s="1067"/>
      <c r="AB1740" s="922"/>
      <c r="AC1740" s="922"/>
      <c r="AD1740" s="922"/>
      <c r="AE1740" s="922"/>
      <c r="AF1740" s="1046"/>
      <c r="AG1740" s="906" t="str">
        <f>IF(AE1740&lt;&gt;0,VLOOKUP(AE1740,ODDS!$A$2:$C$13,3,0),"")</f>
        <v/>
      </c>
      <c r="AH1740" s="906" t="str">
        <f t="shared" si="364"/>
        <v xml:space="preserve"> </v>
      </c>
      <c r="AI1740" s="907" t="str">
        <f t="shared" si="388"/>
        <v xml:space="preserve"> </v>
      </c>
      <c r="AJ1740" s="922"/>
      <c r="AK1740" s="922"/>
    </row>
    <row r="1741" spans="1:37" s="394" customFormat="1" ht="22.5" outlineLevel="2" x14ac:dyDescent="0.3">
      <c r="A1741" s="447">
        <f t="shared" si="387"/>
        <v>146</v>
      </c>
      <c r="B1741" s="893"/>
      <c r="C1741" s="908"/>
      <c r="D1741" s="1032"/>
      <c r="E1741" s="947"/>
      <c r="F1741" s="947"/>
      <c r="G1741" s="922"/>
      <c r="H1741" s="1041"/>
      <c r="I1741" s="882"/>
      <c r="J1741" s="898"/>
      <c r="K1741" s="899" t="str">
        <f>IF(G1741&lt;&gt;0,VLOOKUP(G1741,'gia dat'!$A$1:$F$144,5,0)," ")</f>
        <v xml:space="preserve"> </v>
      </c>
      <c r="L1741" s="899" t="str">
        <f>IF(G1741&lt;&gt;0,VLOOKUP(G1741,'gia dat'!$A$1:$F$144,6,0)," ")</f>
        <v xml:space="preserve"> </v>
      </c>
      <c r="M1741" s="900" t="str">
        <f t="shared" si="374"/>
        <v xml:space="preserve"> </v>
      </c>
      <c r="N1741" s="900" t="str">
        <f t="shared" si="375"/>
        <v xml:space="preserve"> </v>
      </c>
      <c r="O1741" s="908" t="s">
        <v>1228</v>
      </c>
      <c r="P1741" s="1065">
        <v>2</v>
      </c>
      <c r="Q1741" s="900">
        <f>IF(O1741&lt;&gt;0,VLOOKUP(O1741,'Cây trong'!$A$2:$C$246,3,0)," ")</f>
        <v>979000</v>
      </c>
      <c r="R1741" s="900">
        <f t="shared" si="363"/>
        <v>1958000</v>
      </c>
      <c r="S1741" s="902"/>
      <c r="T1741" s="944"/>
      <c r="U1741" s="1066"/>
      <c r="V1741" s="922"/>
      <c r="W1741" s="900" t="str">
        <f>IF(S1741&lt;&gt;0,VLOOKUP(S1741,VKT!$A$2:$G$415,7,0),"")</f>
        <v/>
      </c>
      <c r="X1741" s="900" t="str">
        <f t="shared" si="373"/>
        <v xml:space="preserve"> </v>
      </c>
      <c r="Y1741" s="985"/>
      <c r="Z1741" s="922"/>
      <c r="AA1741" s="1067"/>
      <c r="AB1741" s="922"/>
      <c r="AC1741" s="922"/>
      <c r="AD1741" s="922"/>
      <c r="AE1741" s="922"/>
      <c r="AF1741" s="1046"/>
      <c r="AG1741" s="906" t="str">
        <f>IF(AE1741&lt;&gt;0,VLOOKUP(AE1741,ODDS!$A$2:$C$13,3,0),"")</f>
        <v/>
      </c>
      <c r="AH1741" s="906" t="str">
        <f t="shared" si="364"/>
        <v xml:space="preserve"> </v>
      </c>
      <c r="AI1741" s="907" t="str">
        <f t="shared" si="388"/>
        <v xml:space="preserve"> </v>
      </c>
      <c r="AJ1741" s="922"/>
      <c r="AK1741" s="922"/>
    </row>
    <row r="1742" spans="1:37" s="394" customFormat="1" ht="22.5" outlineLevel="2" x14ac:dyDescent="0.3">
      <c r="A1742" s="447">
        <f t="shared" si="387"/>
        <v>146</v>
      </c>
      <c r="B1742" s="893"/>
      <c r="C1742" s="908"/>
      <c r="D1742" s="1032"/>
      <c r="E1742" s="947"/>
      <c r="F1742" s="947"/>
      <c r="G1742" s="922"/>
      <c r="H1742" s="1041"/>
      <c r="I1742" s="882"/>
      <c r="J1742" s="898"/>
      <c r="K1742" s="899" t="str">
        <f>IF(G1742&lt;&gt;0,VLOOKUP(G1742,'gia dat'!$A$1:$F$144,5,0)," ")</f>
        <v xml:space="preserve"> </v>
      </c>
      <c r="L1742" s="899" t="str">
        <f>IF(G1742&lt;&gt;0,VLOOKUP(G1742,'gia dat'!$A$1:$F$144,6,0)," ")</f>
        <v xml:space="preserve"> </v>
      </c>
      <c r="M1742" s="900" t="str">
        <f t="shared" si="374"/>
        <v xml:space="preserve"> </v>
      </c>
      <c r="N1742" s="900" t="str">
        <f t="shared" si="375"/>
        <v xml:space="preserve"> </v>
      </c>
      <c r="O1742" s="908" t="s">
        <v>145</v>
      </c>
      <c r="P1742" s="1065">
        <v>1</v>
      </c>
      <c r="Q1742" s="900">
        <f>IF(O1742&lt;&gt;0,VLOOKUP(O1742,'Cây trong'!$A$2:$C$246,3,0)," ")</f>
        <v>4240000</v>
      </c>
      <c r="R1742" s="900">
        <f t="shared" si="363"/>
        <v>4240000</v>
      </c>
      <c r="S1742" s="902"/>
      <c r="T1742" s="944"/>
      <c r="U1742" s="1066"/>
      <c r="V1742" s="922"/>
      <c r="W1742" s="900" t="str">
        <f>IF(S1742&lt;&gt;0,VLOOKUP(S1742,VKT!$A$2:$G$415,7,0),"")</f>
        <v/>
      </c>
      <c r="X1742" s="900" t="str">
        <f t="shared" si="373"/>
        <v xml:space="preserve"> </v>
      </c>
      <c r="Y1742" s="985"/>
      <c r="Z1742" s="922"/>
      <c r="AA1742" s="1067"/>
      <c r="AB1742" s="922"/>
      <c r="AC1742" s="922"/>
      <c r="AD1742" s="922"/>
      <c r="AE1742" s="922"/>
      <c r="AF1742" s="1046"/>
      <c r="AG1742" s="906" t="str">
        <f>IF(AE1742&lt;&gt;0,VLOOKUP(AE1742,ODDS!$A$2:$C$13,3,0),"")</f>
        <v/>
      </c>
      <c r="AH1742" s="906" t="str">
        <f t="shared" si="364"/>
        <v xml:space="preserve"> </v>
      </c>
      <c r="AI1742" s="907" t="str">
        <f t="shared" si="388"/>
        <v xml:space="preserve"> </v>
      </c>
      <c r="AJ1742" s="922"/>
      <c r="AK1742" s="922"/>
    </row>
    <row r="1743" spans="1:37" s="394" customFormat="1" ht="22.5" outlineLevel="2" x14ac:dyDescent="0.3">
      <c r="A1743" s="447">
        <f t="shared" si="387"/>
        <v>146</v>
      </c>
      <c r="B1743" s="893"/>
      <c r="C1743" s="908"/>
      <c r="D1743" s="1032"/>
      <c r="E1743" s="947"/>
      <c r="F1743" s="947"/>
      <c r="G1743" s="922"/>
      <c r="H1743" s="1041"/>
      <c r="I1743" s="882"/>
      <c r="J1743" s="898"/>
      <c r="K1743" s="899" t="str">
        <f>IF(G1743&lt;&gt;0,VLOOKUP(G1743,'gia dat'!$A$1:$F$144,5,0)," ")</f>
        <v xml:space="preserve"> </v>
      </c>
      <c r="L1743" s="899" t="str">
        <f>IF(G1743&lt;&gt;0,VLOOKUP(G1743,'gia dat'!$A$1:$F$144,6,0)," ")</f>
        <v xml:space="preserve"> </v>
      </c>
      <c r="M1743" s="900" t="str">
        <f t="shared" si="374"/>
        <v xml:space="preserve"> </v>
      </c>
      <c r="N1743" s="900" t="str">
        <f t="shared" si="375"/>
        <v xml:space="preserve"> </v>
      </c>
      <c r="O1743" s="908" t="s">
        <v>1229</v>
      </c>
      <c r="P1743" s="1065">
        <v>1</v>
      </c>
      <c r="Q1743" s="900">
        <f>IF(O1743&lt;&gt;0,VLOOKUP(O1743,'Cây trong'!$A$2:$C$246,3,0)," ")</f>
        <v>360000</v>
      </c>
      <c r="R1743" s="900">
        <f t="shared" ref="R1743:R1812" si="389">IF(O1743&lt;&gt;0,ROUND(P1743*Q1743,-2)," ")</f>
        <v>360000</v>
      </c>
      <c r="S1743" s="902"/>
      <c r="T1743" s="944"/>
      <c r="U1743" s="1066"/>
      <c r="V1743" s="922"/>
      <c r="W1743" s="900" t="str">
        <f>IF(S1743&lt;&gt;0,VLOOKUP(S1743,VKT!$A$2:$G$415,7,0),"")</f>
        <v/>
      </c>
      <c r="X1743" s="900" t="str">
        <f t="shared" si="373"/>
        <v xml:space="preserve"> </v>
      </c>
      <c r="Y1743" s="985"/>
      <c r="Z1743" s="922"/>
      <c r="AA1743" s="1067"/>
      <c r="AB1743" s="922"/>
      <c r="AC1743" s="922"/>
      <c r="AD1743" s="922"/>
      <c r="AE1743" s="922"/>
      <c r="AF1743" s="1046"/>
      <c r="AG1743" s="906" t="str">
        <f>IF(AE1743&lt;&gt;0,VLOOKUP(AE1743,ODDS!$A$2:$C$13,3,0),"")</f>
        <v/>
      </c>
      <c r="AH1743" s="906" t="str">
        <f t="shared" ref="AH1743:AH1812" si="390">IF(AE1743&lt;&gt;0,ROUND(AF1743*AG1743,-2)," ")</f>
        <v xml:space="preserve"> </v>
      </c>
      <c r="AI1743" s="907" t="str">
        <f t="shared" si="388"/>
        <v xml:space="preserve"> </v>
      </c>
      <c r="AJ1743" s="922"/>
      <c r="AK1743" s="922"/>
    </row>
    <row r="1744" spans="1:37" s="394" customFormat="1" ht="45" outlineLevel="2" x14ac:dyDescent="0.3">
      <c r="A1744" s="447">
        <f t="shared" si="387"/>
        <v>146</v>
      </c>
      <c r="B1744" s="893"/>
      <c r="C1744" s="908"/>
      <c r="D1744" s="1032"/>
      <c r="E1744" s="947"/>
      <c r="F1744" s="947"/>
      <c r="G1744" s="922"/>
      <c r="H1744" s="1041"/>
      <c r="I1744" s="882"/>
      <c r="J1744" s="898"/>
      <c r="K1744" s="899" t="str">
        <f>IF(G1744&lt;&gt;0,VLOOKUP(G1744,'gia dat'!$A$1:$F$144,5,0)," ")</f>
        <v xml:space="preserve"> </v>
      </c>
      <c r="L1744" s="899" t="str">
        <f>IF(G1744&lt;&gt;0,VLOOKUP(G1744,'gia dat'!$A$1:$F$144,6,0)," ")</f>
        <v xml:space="preserve"> </v>
      </c>
      <c r="M1744" s="900" t="str">
        <f t="shared" si="374"/>
        <v xml:space="preserve"> </v>
      </c>
      <c r="N1744" s="900" t="str">
        <f t="shared" si="375"/>
        <v xml:space="preserve"> </v>
      </c>
      <c r="O1744" s="908" t="s">
        <v>91</v>
      </c>
      <c r="P1744" s="1065">
        <v>2</v>
      </c>
      <c r="Q1744" s="900">
        <f>IF(O1744&lt;&gt;0,VLOOKUP(O1744,'Cây trong'!$A$2:$C$246,3,0)," ")</f>
        <v>93000</v>
      </c>
      <c r="R1744" s="900">
        <f t="shared" si="389"/>
        <v>186000</v>
      </c>
      <c r="S1744" s="902"/>
      <c r="T1744" s="944"/>
      <c r="U1744" s="1066"/>
      <c r="V1744" s="922"/>
      <c r="W1744" s="900" t="str">
        <f>IF(S1744&lt;&gt;0,VLOOKUP(S1744,VKT!$A$2:$G$415,7,0),"")</f>
        <v/>
      </c>
      <c r="X1744" s="900" t="str">
        <f t="shared" si="373"/>
        <v xml:space="preserve"> </v>
      </c>
      <c r="Y1744" s="985"/>
      <c r="Z1744" s="922"/>
      <c r="AA1744" s="1067"/>
      <c r="AB1744" s="922"/>
      <c r="AC1744" s="922"/>
      <c r="AD1744" s="922"/>
      <c r="AE1744" s="922"/>
      <c r="AF1744" s="1046"/>
      <c r="AG1744" s="906" t="str">
        <f>IF(AE1744&lt;&gt;0,VLOOKUP(AE1744,ODDS!$A$2:$C$13,3,0),"")</f>
        <v/>
      </c>
      <c r="AH1744" s="906" t="str">
        <f t="shared" si="390"/>
        <v xml:space="preserve"> </v>
      </c>
      <c r="AI1744" s="907" t="str">
        <f t="shared" si="388"/>
        <v xml:space="preserve"> </v>
      </c>
      <c r="AJ1744" s="922"/>
      <c r="AK1744" s="922"/>
    </row>
    <row r="1745" spans="1:37" s="394" customFormat="1" ht="22.5" outlineLevel="2" x14ac:dyDescent="0.3">
      <c r="A1745" s="447">
        <f t="shared" si="387"/>
        <v>146</v>
      </c>
      <c r="B1745" s="893"/>
      <c r="C1745" s="908"/>
      <c r="D1745" s="1032"/>
      <c r="E1745" s="947"/>
      <c r="F1745" s="947"/>
      <c r="G1745" s="922"/>
      <c r="H1745" s="1041"/>
      <c r="I1745" s="882"/>
      <c r="J1745" s="898"/>
      <c r="K1745" s="899" t="str">
        <f>IF(G1745&lt;&gt;0,VLOOKUP(G1745,'gia dat'!$A$1:$F$144,5,0)," ")</f>
        <v xml:space="preserve"> </v>
      </c>
      <c r="L1745" s="899" t="str">
        <f>IF(G1745&lt;&gt;0,VLOOKUP(G1745,'gia dat'!$A$1:$F$144,6,0)," ")</f>
        <v xml:space="preserve"> </v>
      </c>
      <c r="M1745" s="900" t="str">
        <f t="shared" si="374"/>
        <v xml:space="preserve"> </v>
      </c>
      <c r="N1745" s="900" t="str">
        <f t="shared" si="375"/>
        <v xml:space="preserve"> </v>
      </c>
      <c r="O1745" s="908" t="s">
        <v>193</v>
      </c>
      <c r="P1745" s="1065">
        <v>3</v>
      </c>
      <c r="Q1745" s="900">
        <f>IF(O1745&lt;&gt;0,VLOOKUP(O1745,'Cây trong'!$A$2:$C$246,3,0)," ")</f>
        <v>275000</v>
      </c>
      <c r="R1745" s="900">
        <f t="shared" si="389"/>
        <v>825000</v>
      </c>
      <c r="S1745" s="902"/>
      <c r="T1745" s="944"/>
      <c r="U1745" s="1066"/>
      <c r="V1745" s="922"/>
      <c r="W1745" s="900" t="str">
        <f>IF(S1745&lt;&gt;0,VLOOKUP(S1745,VKT!$A$2:$G$415,7,0),"")</f>
        <v/>
      </c>
      <c r="X1745" s="900" t="str">
        <f t="shared" si="373"/>
        <v xml:space="preserve"> </v>
      </c>
      <c r="Y1745" s="985"/>
      <c r="Z1745" s="922"/>
      <c r="AA1745" s="1067"/>
      <c r="AB1745" s="922"/>
      <c r="AC1745" s="922"/>
      <c r="AD1745" s="922"/>
      <c r="AE1745" s="922"/>
      <c r="AF1745" s="1046"/>
      <c r="AG1745" s="906" t="str">
        <f>IF(AE1745&lt;&gt;0,VLOOKUP(AE1745,ODDS!$A$2:$C$13,3,0),"")</f>
        <v/>
      </c>
      <c r="AH1745" s="906" t="str">
        <f t="shared" si="390"/>
        <v xml:space="preserve"> </v>
      </c>
      <c r="AI1745" s="907" t="str">
        <f t="shared" si="388"/>
        <v xml:space="preserve"> </v>
      </c>
      <c r="AJ1745" s="922"/>
      <c r="AK1745" s="922"/>
    </row>
    <row r="1746" spans="1:37" s="394" customFormat="1" ht="22.5" outlineLevel="2" x14ac:dyDescent="0.3">
      <c r="A1746" s="447">
        <f t="shared" si="387"/>
        <v>146</v>
      </c>
      <c r="B1746" s="893"/>
      <c r="C1746" s="908"/>
      <c r="D1746" s="1032"/>
      <c r="E1746" s="947"/>
      <c r="F1746" s="947"/>
      <c r="G1746" s="922"/>
      <c r="H1746" s="1041"/>
      <c r="I1746" s="882"/>
      <c r="J1746" s="898"/>
      <c r="K1746" s="899" t="str">
        <f>IF(G1746&lt;&gt;0,VLOOKUP(G1746,'gia dat'!$A$1:$F$144,5,0)," ")</f>
        <v xml:space="preserve"> </v>
      </c>
      <c r="L1746" s="899" t="str">
        <f>IF(G1746&lt;&gt;0,VLOOKUP(G1746,'gia dat'!$A$1:$F$144,6,0)," ")</f>
        <v xml:space="preserve"> </v>
      </c>
      <c r="M1746" s="900" t="str">
        <f t="shared" si="374"/>
        <v xml:space="preserve"> </v>
      </c>
      <c r="N1746" s="900" t="str">
        <f t="shared" si="375"/>
        <v xml:space="preserve"> </v>
      </c>
      <c r="O1746" s="908" t="s">
        <v>1230</v>
      </c>
      <c r="P1746" s="1065">
        <v>1</v>
      </c>
      <c r="Q1746" s="900">
        <f>IF(O1746&lt;&gt;0,VLOOKUP(O1746,'Cây trong'!$A$2:$C$246,3,0)," ")</f>
        <v>93000</v>
      </c>
      <c r="R1746" s="900">
        <f t="shared" si="389"/>
        <v>93000</v>
      </c>
      <c r="S1746" s="902"/>
      <c r="T1746" s="944"/>
      <c r="U1746" s="1066"/>
      <c r="V1746" s="922"/>
      <c r="W1746" s="900" t="str">
        <f>IF(S1746&lt;&gt;0,VLOOKUP(S1746,VKT!$A$2:$G$415,7,0),"")</f>
        <v/>
      </c>
      <c r="X1746" s="900" t="str">
        <f t="shared" si="373"/>
        <v xml:space="preserve"> </v>
      </c>
      <c r="Y1746" s="985"/>
      <c r="Z1746" s="922"/>
      <c r="AA1746" s="1067"/>
      <c r="AB1746" s="922"/>
      <c r="AC1746" s="922"/>
      <c r="AD1746" s="922"/>
      <c r="AE1746" s="922"/>
      <c r="AF1746" s="1046"/>
      <c r="AG1746" s="906" t="str">
        <f>IF(AE1746&lt;&gt;0,VLOOKUP(AE1746,ODDS!$A$2:$C$13,3,0),"")</f>
        <v/>
      </c>
      <c r="AH1746" s="906" t="str">
        <f t="shared" si="390"/>
        <v xml:space="preserve"> </v>
      </c>
      <c r="AI1746" s="907" t="str">
        <f t="shared" si="388"/>
        <v xml:space="preserve"> </v>
      </c>
      <c r="AJ1746" s="922"/>
      <c r="AK1746" s="922"/>
    </row>
    <row r="1747" spans="1:37" s="394" customFormat="1" ht="45" outlineLevel="2" x14ac:dyDescent="0.3">
      <c r="A1747" s="447">
        <f t="shared" si="387"/>
        <v>146</v>
      </c>
      <c r="B1747" s="893"/>
      <c r="C1747" s="908"/>
      <c r="D1747" s="1032"/>
      <c r="E1747" s="947"/>
      <c r="F1747" s="947"/>
      <c r="G1747" s="922"/>
      <c r="H1747" s="1041"/>
      <c r="I1747" s="882"/>
      <c r="J1747" s="898"/>
      <c r="K1747" s="899" t="str">
        <f>IF(G1747&lt;&gt;0,VLOOKUP(G1747,'gia dat'!$A$1:$F$144,5,0)," ")</f>
        <v xml:space="preserve"> </v>
      </c>
      <c r="L1747" s="899" t="str">
        <f>IF(G1747&lt;&gt;0,VLOOKUP(G1747,'gia dat'!$A$1:$F$144,6,0)," ")</f>
        <v xml:space="preserve"> </v>
      </c>
      <c r="M1747" s="900" t="str">
        <f t="shared" si="374"/>
        <v xml:space="preserve"> </v>
      </c>
      <c r="N1747" s="900" t="str">
        <f t="shared" si="375"/>
        <v xml:space="preserve"> </v>
      </c>
      <c r="O1747" s="908" t="s">
        <v>405</v>
      </c>
      <c r="P1747" s="1065">
        <v>64</v>
      </c>
      <c r="Q1747" s="900">
        <f>IF(O1747&lt;&gt;0,VLOOKUP(O1747,'Cây trong'!$A$2:$C$246,3,0)," ")</f>
        <v>72000</v>
      </c>
      <c r="R1747" s="900">
        <f t="shared" si="389"/>
        <v>4608000</v>
      </c>
      <c r="S1747" s="902"/>
      <c r="T1747" s="944"/>
      <c r="U1747" s="1066"/>
      <c r="V1747" s="922"/>
      <c r="W1747" s="900" t="str">
        <f>IF(S1747&lt;&gt;0,VLOOKUP(S1747,VKT!$A$2:$G$415,7,0),"")</f>
        <v/>
      </c>
      <c r="X1747" s="900" t="str">
        <f t="shared" si="373"/>
        <v xml:space="preserve"> </v>
      </c>
      <c r="Y1747" s="985"/>
      <c r="Z1747" s="922"/>
      <c r="AA1747" s="1067"/>
      <c r="AB1747" s="922"/>
      <c r="AC1747" s="922"/>
      <c r="AD1747" s="922"/>
      <c r="AE1747" s="922"/>
      <c r="AF1747" s="1046"/>
      <c r="AG1747" s="906" t="str">
        <f>IF(AE1747&lt;&gt;0,VLOOKUP(AE1747,ODDS!$A$2:$C$13,3,0),"")</f>
        <v/>
      </c>
      <c r="AH1747" s="906" t="str">
        <f t="shared" si="390"/>
        <v xml:space="preserve"> </v>
      </c>
      <c r="AI1747" s="907" t="str">
        <f t="shared" si="388"/>
        <v xml:space="preserve"> </v>
      </c>
      <c r="AJ1747" s="922"/>
      <c r="AK1747" s="922"/>
    </row>
    <row r="1748" spans="1:37" s="394" customFormat="1" ht="22.5" outlineLevel="2" x14ac:dyDescent="0.3">
      <c r="A1748" s="447">
        <f t="shared" si="387"/>
        <v>146</v>
      </c>
      <c r="B1748" s="893"/>
      <c r="C1748" s="908"/>
      <c r="D1748" s="1032"/>
      <c r="E1748" s="947"/>
      <c r="F1748" s="947"/>
      <c r="G1748" s="922"/>
      <c r="H1748" s="1041"/>
      <c r="I1748" s="882"/>
      <c r="J1748" s="898"/>
      <c r="K1748" s="899" t="str">
        <f>IF(G1748&lt;&gt;0,VLOOKUP(G1748,'gia dat'!$A$1:$F$144,5,0)," ")</f>
        <v xml:space="preserve"> </v>
      </c>
      <c r="L1748" s="899" t="str">
        <f>IF(G1748&lt;&gt;0,VLOOKUP(G1748,'gia dat'!$A$1:$F$144,6,0)," ")</f>
        <v xml:space="preserve"> </v>
      </c>
      <c r="M1748" s="900" t="str">
        <f t="shared" si="374"/>
        <v xml:space="preserve"> </v>
      </c>
      <c r="N1748" s="900" t="str">
        <f t="shared" si="375"/>
        <v xml:space="preserve"> </v>
      </c>
      <c r="O1748" s="908" t="s">
        <v>736</v>
      </c>
      <c r="P1748" s="1065">
        <v>1</v>
      </c>
      <c r="Q1748" s="900">
        <f>IF(O1748&lt;&gt;0,VLOOKUP(O1748,'Cây trong'!$A$2:$C$246,3,0)," ")</f>
        <v>32000</v>
      </c>
      <c r="R1748" s="900">
        <f t="shared" si="389"/>
        <v>32000</v>
      </c>
      <c r="S1748" s="902"/>
      <c r="T1748" s="944"/>
      <c r="U1748" s="1066"/>
      <c r="V1748" s="922"/>
      <c r="W1748" s="900" t="str">
        <f>IF(S1748&lt;&gt;0,VLOOKUP(S1748,VKT!$A$2:$G$415,7,0),"")</f>
        <v/>
      </c>
      <c r="X1748" s="900" t="str">
        <f t="shared" si="373"/>
        <v xml:space="preserve"> </v>
      </c>
      <c r="Y1748" s="985"/>
      <c r="Z1748" s="922"/>
      <c r="AA1748" s="1067"/>
      <c r="AB1748" s="922"/>
      <c r="AC1748" s="922"/>
      <c r="AD1748" s="922"/>
      <c r="AE1748" s="922"/>
      <c r="AF1748" s="1046"/>
      <c r="AG1748" s="906" t="str">
        <f>IF(AE1748&lt;&gt;0,VLOOKUP(AE1748,ODDS!$A$2:$C$13,3,0),"")</f>
        <v/>
      </c>
      <c r="AH1748" s="906" t="str">
        <f t="shared" si="390"/>
        <v xml:space="preserve"> </v>
      </c>
      <c r="AI1748" s="907" t="str">
        <f t="shared" si="388"/>
        <v xml:space="preserve"> </v>
      </c>
      <c r="AJ1748" s="922"/>
      <c r="AK1748" s="922"/>
    </row>
    <row r="1749" spans="1:37" s="394" customFormat="1" ht="22.5" outlineLevel="2" x14ac:dyDescent="0.3">
      <c r="A1749" s="447">
        <f t="shared" si="387"/>
        <v>146</v>
      </c>
      <c r="B1749" s="893"/>
      <c r="C1749" s="908"/>
      <c r="D1749" s="1032"/>
      <c r="E1749" s="947"/>
      <c r="F1749" s="947"/>
      <c r="G1749" s="922"/>
      <c r="H1749" s="1041"/>
      <c r="I1749" s="882"/>
      <c r="J1749" s="898"/>
      <c r="K1749" s="899" t="str">
        <f>IF(G1749&lt;&gt;0,VLOOKUP(G1749,'gia dat'!$A$1:$F$144,5,0)," ")</f>
        <v xml:space="preserve"> </v>
      </c>
      <c r="L1749" s="899" t="str">
        <f>IF(G1749&lt;&gt;0,VLOOKUP(G1749,'gia dat'!$A$1:$F$144,6,0)," ")</f>
        <v xml:space="preserve"> </v>
      </c>
      <c r="M1749" s="900" t="str">
        <f t="shared" si="374"/>
        <v xml:space="preserve"> </v>
      </c>
      <c r="N1749" s="900" t="str">
        <f t="shared" si="375"/>
        <v xml:space="preserve"> </v>
      </c>
      <c r="O1749" s="908" t="s">
        <v>72</v>
      </c>
      <c r="P1749" s="1065">
        <v>208</v>
      </c>
      <c r="Q1749" s="900">
        <f>IF(O1749&lt;&gt;0,VLOOKUP(O1749,'Cây trong'!$A$2:$C$246,3,0)," ")</f>
        <v>132000</v>
      </c>
      <c r="R1749" s="900">
        <f t="shared" si="389"/>
        <v>27456000</v>
      </c>
      <c r="S1749" s="902"/>
      <c r="T1749" s="944"/>
      <c r="U1749" s="1066"/>
      <c r="V1749" s="922"/>
      <c r="W1749" s="900" t="str">
        <f>IF(S1749&lt;&gt;0,VLOOKUP(S1749,VKT!$A$2:$G$415,7,0),"")</f>
        <v/>
      </c>
      <c r="X1749" s="900" t="str">
        <f t="shared" si="373"/>
        <v xml:space="preserve"> </v>
      </c>
      <c r="Y1749" s="985"/>
      <c r="Z1749" s="922"/>
      <c r="AA1749" s="1067"/>
      <c r="AB1749" s="922"/>
      <c r="AC1749" s="922"/>
      <c r="AD1749" s="922"/>
      <c r="AE1749" s="922"/>
      <c r="AF1749" s="1046"/>
      <c r="AG1749" s="906" t="str">
        <f>IF(AE1749&lt;&gt;0,VLOOKUP(AE1749,ODDS!$A$2:$C$13,3,0),"")</f>
        <v/>
      </c>
      <c r="AH1749" s="906" t="str">
        <f t="shared" si="390"/>
        <v xml:space="preserve"> </v>
      </c>
      <c r="AI1749" s="907" t="str">
        <f t="shared" si="388"/>
        <v xml:space="preserve"> </v>
      </c>
      <c r="AJ1749" s="922"/>
      <c r="AK1749" s="922"/>
    </row>
    <row r="1750" spans="1:37" s="394" customFormat="1" ht="22.5" outlineLevel="2" x14ac:dyDescent="0.3">
      <c r="A1750" s="447">
        <f t="shared" si="387"/>
        <v>146</v>
      </c>
      <c r="B1750" s="893"/>
      <c r="C1750" s="908"/>
      <c r="D1750" s="1032"/>
      <c r="E1750" s="947"/>
      <c r="F1750" s="947"/>
      <c r="G1750" s="922"/>
      <c r="H1750" s="1041"/>
      <c r="I1750" s="882"/>
      <c r="J1750" s="898"/>
      <c r="K1750" s="899" t="str">
        <f>IF(G1750&lt;&gt;0,VLOOKUP(G1750,'gia dat'!$A$1:$F$144,5,0)," ")</f>
        <v xml:space="preserve"> </v>
      </c>
      <c r="L1750" s="899" t="str">
        <f>IF(G1750&lt;&gt;0,VLOOKUP(G1750,'gia dat'!$A$1:$F$144,6,0)," ")</f>
        <v xml:space="preserve"> </v>
      </c>
      <c r="M1750" s="900" t="str">
        <f t="shared" si="374"/>
        <v xml:space="preserve"> </v>
      </c>
      <c r="N1750" s="900" t="str">
        <f t="shared" si="375"/>
        <v xml:space="preserve"> </v>
      </c>
      <c r="O1750" s="908" t="s">
        <v>73</v>
      </c>
      <c r="P1750" s="1065">
        <v>236</v>
      </c>
      <c r="Q1750" s="900">
        <f>IF(O1750&lt;&gt;0,VLOOKUP(O1750,'Cây trong'!$A$2:$C$246,3,0)," ")</f>
        <v>76000</v>
      </c>
      <c r="R1750" s="900">
        <f t="shared" si="389"/>
        <v>17936000</v>
      </c>
      <c r="S1750" s="902"/>
      <c r="T1750" s="944"/>
      <c r="U1750" s="1066"/>
      <c r="V1750" s="922"/>
      <c r="W1750" s="900" t="str">
        <f>IF(S1750&lt;&gt;0,VLOOKUP(S1750,VKT!$A$2:$G$415,7,0),"")</f>
        <v/>
      </c>
      <c r="X1750" s="900" t="str">
        <f t="shared" si="373"/>
        <v xml:space="preserve"> </v>
      </c>
      <c r="Y1750" s="985"/>
      <c r="Z1750" s="922"/>
      <c r="AA1750" s="1067"/>
      <c r="AB1750" s="922"/>
      <c r="AC1750" s="922"/>
      <c r="AD1750" s="922"/>
      <c r="AE1750" s="922"/>
      <c r="AF1750" s="1046"/>
      <c r="AG1750" s="906" t="str">
        <f>IF(AE1750&lt;&gt;0,VLOOKUP(AE1750,ODDS!$A$2:$C$13,3,0),"")</f>
        <v/>
      </c>
      <c r="AH1750" s="906" t="str">
        <f t="shared" si="390"/>
        <v xml:space="preserve"> </v>
      </c>
      <c r="AI1750" s="907" t="str">
        <f t="shared" si="388"/>
        <v xml:space="preserve"> </v>
      </c>
      <c r="AJ1750" s="922"/>
      <c r="AK1750" s="922"/>
    </row>
    <row r="1751" spans="1:37" s="394" customFormat="1" ht="22.5" outlineLevel="2" x14ac:dyDescent="0.3">
      <c r="A1751" s="447">
        <f t="shared" si="387"/>
        <v>146</v>
      </c>
      <c r="B1751" s="893"/>
      <c r="C1751" s="908"/>
      <c r="D1751" s="1032"/>
      <c r="E1751" s="947"/>
      <c r="F1751" s="947"/>
      <c r="G1751" s="922"/>
      <c r="H1751" s="1041"/>
      <c r="I1751" s="882"/>
      <c r="J1751" s="898"/>
      <c r="K1751" s="899" t="str">
        <f>IF(G1751&lt;&gt;0,VLOOKUP(G1751,'gia dat'!$A$1:$F$144,5,0)," ")</f>
        <v xml:space="preserve"> </v>
      </c>
      <c r="L1751" s="899" t="str">
        <f>IF(G1751&lt;&gt;0,VLOOKUP(G1751,'gia dat'!$A$1:$F$144,6,0)," ")</f>
        <v xml:space="preserve"> </v>
      </c>
      <c r="M1751" s="900" t="str">
        <f t="shared" si="374"/>
        <v xml:space="preserve"> </v>
      </c>
      <c r="N1751" s="900" t="str">
        <f t="shared" si="375"/>
        <v xml:space="preserve"> </v>
      </c>
      <c r="O1751" s="908" t="s">
        <v>75</v>
      </c>
      <c r="P1751" s="1065">
        <v>241</v>
      </c>
      <c r="Q1751" s="900">
        <f>IF(O1751&lt;&gt;0,VLOOKUP(O1751,'Cây trong'!$A$2:$C$246,3,0)," ")</f>
        <v>34000</v>
      </c>
      <c r="R1751" s="900">
        <f t="shared" si="389"/>
        <v>8194000</v>
      </c>
      <c r="S1751" s="902"/>
      <c r="T1751" s="944"/>
      <c r="U1751" s="1066"/>
      <c r="V1751" s="922"/>
      <c r="W1751" s="900" t="str">
        <f>IF(S1751&lt;&gt;0,VLOOKUP(S1751,VKT!$A$2:$G$415,7,0),"")</f>
        <v/>
      </c>
      <c r="X1751" s="900" t="str">
        <f t="shared" si="373"/>
        <v xml:space="preserve"> </v>
      </c>
      <c r="Y1751" s="985"/>
      <c r="Z1751" s="922"/>
      <c r="AA1751" s="1067"/>
      <c r="AB1751" s="922"/>
      <c r="AC1751" s="922"/>
      <c r="AD1751" s="922"/>
      <c r="AE1751" s="922"/>
      <c r="AF1751" s="1046"/>
      <c r="AG1751" s="906" t="str">
        <f>IF(AE1751&lt;&gt;0,VLOOKUP(AE1751,ODDS!$A$2:$C$13,3,0),"")</f>
        <v/>
      </c>
      <c r="AH1751" s="906" t="str">
        <f t="shared" si="390"/>
        <v xml:space="preserve"> </v>
      </c>
      <c r="AI1751" s="907" t="str">
        <f t="shared" si="388"/>
        <v xml:space="preserve"> </v>
      </c>
      <c r="AJ1751" s="922"/>
      <c r="AK1751" s="922"/>
    </row>
    <row r="1752" spans="1:37" s="394" customFormat="1" ht="45" outlineLevel="2" x14ac:dyDescent="0.3">
      <c r="A1752" s="447">
        <f t="shared" si="387"/>
        <v>146</v>
      </c>
      <c r="B1752" s="893"/>
      <c r="C1752" s="908"/>
      <c r="D1752" s="1032"/>
      <c r="E1752" s="947"/>
      <c r="F1752" s="947"/>
      <c r="G1752" s="922"/>
      <c r="H1752" s="1041"/>
      <c r="I1752" s="882"/>
      <c r="J1752" s="898"/>
      <c r="K1752" s="899" t="str">
        <f>IF(G1752&lt;&gt;0,VLOOKUP(G1752,'gia dat'!$A$1:$F$144,5,0)," ")</f>
        <v xml:space="preserve"> </v>
      </c>
      <c r="L1752" s="899" t="str">
        <f>IF(G1752&lt;&gt;0,VLOOKUP(G1752,'gia dat'!$A$1:$F$144,6,0)," ")</f>
        <v xml:space="preserve"> </v>
      </c>
      <c r="M1752" s="900" t="str">
        <f t="shared" si="374"/>
        <v xml:space="preserve"> </v>
      </c>
      <c r="N1752" s="900" t="str">
        <f t="shared" si="375"/>
        <v xml:space="preserve"> </v>
      </c>
      <c r="O1752" s="908" t="s">
        <v>785</v>
      </c>
      <c r="P1752" s="1065">
        <v>10</v>
      </c>
      <c r="Q1752" s="900">
        <f>IF(O1752&lt;&gt;0,VLOOKUP(O1752,'Cây trong'!$A$2:$C$246,3,0)," ")</f>
        <v>6000</v>
      </c>
      <c r="R1752" s="900">
        <f t="shared" si="389"/>
        <v>60000</v>
      </c>
      <c r="S1752" s="902"/>
      <c r="T1752" s="944"/>
      <c r="U1752" s="1066"/>
      <c r="V1752" s="922"/>
      <c r="W1752" s="900" t="str">
        <f>IF(S1752&lt;&gt;0,VLOOKUP(S1752,VKT!$A$2:$G$415,7,0),"")</f>
        <v/>
      </c>
      <c r="X1752" s="900" t="str">
        <f t="shared" si="373"/>
        <v xml:space="preserve"> </v>
      </c>
      <c r="Y1752" s="985"/>
      <c r="Z1752" s="922"/>
      <c r="AA1752" s="1067"/>
      <c r="AB1752" s="922"/>
      <c r="AC1752" s="922"/>
      <c r="AD1752" s="922"/>
      <c r="AE1752" s="922"/>
      <c r="AF1752" s="1046"/>
      <c r="AG1752" s="906" t="str">
        <f>IF(AE1752&lt;&gt;0,VLOOKUP(AE1752,ODDS!$A$2:$C$13,3,0),"")</f>
        <v/>
      </c>
      <c r="AH1752" s="906" t="str">
        <f t="shared" si="390"/>
        <v xml:space="preserve"> </v>
      </c>
      <c r="AI1752" s="907" t="str">
        <f t="shared" si="388"/>
        <v xml:space="preserve"> </v>
      </c>
      <c r="AJ1752" s="922"/>
      <c r="AK1752" s="922"/>
    </row>
    <row r="1753" spans="1:37" s="394" customFormat="1" ht="90" outlineLevel="2" x14ac:dyDescent="0.3">
      <c r="A1753" s="447">
        <f t="shared" si="387"/>
        <v>146</v>
      </c>
      <c r="B1753" s="893"/>
      <c r="C1753" s="908"/>
      <c r="D1753" s="1032"/>
      <c r="E1753" s="947"/>
      <c r="F1753" s="947"/>
      <c r="G1753" s="922"/>
      <c r="H1753" s="1041"/>
      <c r="I1753" s="882"/>
      <c r="J1753" s="898"/>
      <c r="K1753" s="899" t="str">
        <f>IF(G1753&lt;&gt;0,VLOOKUP(G1753,'gia dat'!$A$1:$F$144,5,0)," ")</f>
        <v xml:space="preserve"> </v>
      </c>
      <c r="L1753" s="899" t="str">
        <f>IF(G1753&lt;&gt;0,VLOOKUP(G1753,'gia dat'!$A$1:$F$144,6,0)," ")</f>
        <v xml:space="preserve"> </v>
      </c>
      <c r="M1753" s="900" t="str">
        <f t="shared" si="374"/>
        <v xml:space="preserve"> </v>
      </c>
      <c r="N1753" s="900" t="str">
        <f t="shared" si="375"/>
        <v xml:space="preserve"> </v>
      </c>
      <c r="O1753" s="901" t="s">
        <v>429</v>
      </c>
      <c r="P1753" s="1065">
        <v>52</v>
      </c>
      <c r="Q1753" s="900">
        <f>IF(O1753&lt;&gt;0,VLOOKUP(O1753,'Cây trong'!$A$2:$C$246,3,0)," ")</f>
        <v>12000</v>
      </c>
      <c r="R1753" s="900">
        <f t="shared" si="389"/>
        <v>624000</v>
      </c>
      <c r="S1753" s="902"/>
      <c r="T1753" s="944"/>
      <c r="U1753" s="1066"/>
      <c r="V1753" s="922"/>
      <c r="W1753" s="900" t="str">
        <f>IF(S1753&lt;&gt;0,VLOOKUP(S1753,VKT!$A$2:$G$415,7,0),"")</f>
        <v/>
      </c>
      <c r="X1753" s="900" t="str">
        <f t="shared" si="373"/>
        <v xml:space="preserve"> </v>
      </c>
      <c r="Y1753" s="985"/>
      <c r="Z1753" s="922"/>
      <c r="AA1753" s="1067"/>
      <c r="AB1753" s="922"/>
      <c r="AC1753" s="922"/>
      <c r="AD1753" s="922"/>
      <c r="AE1753" s="922"/>
      <c r="AF1753" s="1046"/>
      <c r="AG1753" s="906" t="str">
        <f>IF(AE1753&lt;&gt;0,VLOOKUP(AE1753,ODDS!$A$2:$C$13,3,0),"")</f>
        <v/>
      </c>
      <c r="AH1753" s="906" t="str">
        <f t="shared" si="390"/>
        <v xml:space="preserve"> </v>
      </c>
      <c r="AI1753" s="907" t="str">
        <f t="shared" si="388"/>
        <v xml:space="preserve"> </v>
      </c>
      <c r="AJ1753" s="922"/>
      <c r="AK1753" s="922"/>
    </row>
    <row r="1754" spans="1:37" s="394" customFormat="1" ht="22.5" outlineLevel="2" x14ac:dyDescent="0.3">
      <c r="A1754" s="447">
        <f t="shared" si="387"/>
        <v>146</v>
      </c>
      <c r="B1754" s="893"/>
      <c r="C1754" s="908"/>
      <c r="D1754" s="1032"/>
      <c r="E1754" s="947"/>
      <c r="F1754" s="947"/>
      <c r="G1754" s="922"/>
      <c r="H1754" s="1041"/>
      <c r="I1754" s="882"/>
      <c r="J1754" s="894"/>
      <c r="K1754" s="899" t="str">
        <f>IF(G1754&lt;&gt;0,VLOOKUP(G1754,'gia dat'!$A$1:$F$144,5,0)," ")</f>
        <v xml:space="preserve"> </v>
      </c>
      <c r="L1754" s="899" t="str">
        <f>IF(G1754&lt;&gt;0,VLOOKUP(G1754,'gia dat'!$A$1:$F$144,6,0)," ")</f>
        <v xml:space="preserve"> </v>
      </c>
      <c r="M1754" s="900" t="str">
        <f t="shared" si="374"/>
        <v xml:space="preserve"> </v>
      </c>
      <c r="N1754" s="900" t="str">
        <f t="shared" si="375"/>
        <v xml:space="preserve"> </v>
      </c>
      <c r="O1754" s="908"/>
      <c r="P1754" s="1065"/>
      <c r="Q1754" s="900" t="str">
        <f>IF(O1754&lt;&gt;0,VLOOKUP(O1754,'Cây trong'!$A$2:$C$246,3,0)," ")</f>
        <v xml:space="preserve"> </v>
      </c>
      <c r="R1754" s="900" t="str">
        <f t="shared" si="389"/>
        <v xml:space="preserve"> </v>
      </c>
      <c r="S1754" s="908"/>
      <c r="T1754" s="944"/>
      <c r="U1754" s="1066"/>
      <c r="V1754" s="922"/>
      <c r="W1754" s="900" t="str">
        <f>IF(S1754&lt;&gt;0,VLOOKUP(S1754,VKT!$A$2:$G$415,7,0),"")</f>
        <v/>
      </c>
      <c r="X1754" s="900" t="str">
        <f t="shared" si="373"/>
        <v xml:space="preserve"> </v>
      </c>
      <c r="Y1754" s="985"/>
      <c r="Z1754" s="922"/>
      <c r="AA1754" s="1067"/>
      <c r="AB1754" s="922"/>
      <c r="AC1754" s="922"/>
      <c r="AD1754" s="922"/>
      <c r="AE1754" s="922"/>
      <c r="AF1754" s="1046"/>
      <c r="AG1754" s="906" t="str">
        <f>IF(AE1754&lt;&gt;0,VLOOKUP(AE1754,ODDS!$A$2:$C$13,3,0),"")</f>
        <v/>
      </c>
      <c r="AH1754" s="906" t="str">
        <f t="shared" si="390"/>
        <v xml:space="preserve"> </v>
      </c>
      <c r="AI1754" s="907" t="str">
        <f t="shared" si="388"/>
        <v xml:space="preserve"> </v>
      </c>
      <c r="AJ1754" s="922"/>
      <c r="AK1754" s="922"/>
    </row>
    <row r="1755" spans="1:37" s="394" customFormat="1" ht="22.5" outlineLevel="2" x14ac:dyDescent="0.3">
      <c r="A1755" s="447">
        <f t="shared" si="387"/>
        <v>146</v>
      </c>
      <c r="B1755" s="893"/>
      <c r="C1755" s="908"/>
      <c r="D1755" s="1032"/>
      <c r="E1755" s="947"/>
      <c r="F1755" s="947"/>
      <c r="G1755" s="922"/>
      <c r="H1755" s="1041"/>
      <c r="I1755" s="882"/>
      <c r="J1755" s="894"/>
      <c r="K1755" s="899" t="str">
        <f>IF(G1755&lt;&gt;0,VLOOKUP(G1755,'gia dat'!$A$1:$F$144,5,0)," ")</f>
        <v xml:space="preserve"> </v>
      </c>
      <c r="L1755" s="899" t="str">
        <f>IF(G1755&lt;&gt;0,VLOOKUP(G1755,'gia dat'!$A$1:$F$144,6,0)," ")</f>
        <v xml:space="preserve"> </v>
      </c>
      <c r="M1755" s="900" t="str">
        <f t="shared" ref="M1755:M1825" si="391">IF(H1755&lt;&gt;0,ROUND(H1755*K1755,-3)," ")</f>
        <v xml:space="preserve"> </v>
      </c>
      <c r="N1755" s="900" t="str">
        <f t="shared" ref="N1755:N1825" si="392">IF(H1755&lt;&gt;0,ROUND(H1755*L1755,-3)," ")</f>
        <v xml:space="preserve"> </v>
      </c>
      <c r="O1755" s="908"/>
      <c r="P1755" s="1065"/>
      <c r="Q1755" s="900" t="str">
        <f>IF(O1755&lt;&gt;0,VLOOKUP(O1755,'Cây trong'!$A$2:$C$246,3,0)," ")</f>
        <v xml:space="preserve"> </v>
      </c>
      <c r="R1755" s="900" t="str">
        <f t="shared" si="389"/>
        <v xml:space="preserve"> </v>
      </c>
      <c r="S1755" s="908"/>
      <c r="T1755" s="944"/>
      <c r="U1755" s="1066"/>
      <c r="V1755" s="922"/>
      <c r="W1755" s="900" t="str">
        <f>IF(S1755&lt;&gt;0,VLOOKUP(S1755,VKT!$A$2:$G$415,7,0),"")</f>
        <v/>
      </c>
      <c r="X1755" s="900" t="str">
        <f t="shared" si="373"/>
        <v xml:space="preserve"> </v>
      </c>
      <c r="Y1755" s="985"/>
      <c r="Z1755" s="922"/>
      <c r="AA1755" s="1067"/>
      <c r="AB1755" s="922"/>
      <c r="AC1755" s="922"/>
      <c r="AD1755" s="922"/>
      <c r="AE1755" s="922"/>
      <c r="AF1755" s="1046"/>
      <c r="AG1755" s="906" t="str">
        <f>IF(AE1755&lt;&gt;0,VLOOKUP(AE1755,ODDS!$A$2:$C$13,3,0),"")</f>
        <v/>
      </c>
      <c r="AH1755" s="906" t="str">
        <f t="shared" si="390"/>
        <v xml:space="preserve"> </v>
      </c>
      <c r="AI1755" s="907" t="str">
        <f t="shared" si="388"/>
        <v xml:space="preserve"> </v>
      </c>
      <c r="AJ1755" s="922"/>
      <c r="AK1755" s="922"/>
    </row>
    <row r="1756" spans="1:37" s="394" customFormat="1" ht="22.5" outlineLevel="2" x14ac:dyDescent="0.3">
      <c r="A1756" s="447">
        <f t="shared" si="387"/>
        <v>146</v>
      </c>
      <c r="B1756" s="893"/>
      <c r="C1756" s="942"/>
      <c r="D1756" s="1032"/>
      <c r="E1756" s="947"/>
      <c r="F1756" s="947"/>
      <c r="G1756" s="922"/>
      <c r="H1756" s="1041"/>
      <c r="I1756" s="882"/>
      <c r="J1756" s="894"/>
      <c r="K1756" s="899" t="str">
        <f>IF(G1756&lt;&gt;0,VLOOKUP(G1756,'gia dat'!$A$1:$F$144,5,0)," ")</f>
        <v xml:space="preserve"> </v>
      </c>
      <c r="L1756" s="899" t="str">
        <f>IF(G1756&lt;&gt;0,VLOOKUP(G1756,'gia dat'!$A$1:$F$144,6,0)," ")</f>
        <v xml:space="preserve"> </v>
      </c>
      <c r="M1756" s="900" t="str">
        <f t="shared" si="391"/>
        <v xml:space="preserve"> </v>
      </c>
      <c r="N1756" s="900" t="str">
        <f t="shared" si="392"/>
        <v xml:space="preserve"> </v>
      </c>
      <c r="O1756" s="908"/>
      <c r="P1756" s="1065"/>
      <c r="Q1756" s="900" t="str">
        <f>IF(O1756&lt;&gt;0,VLOOKUP(O1756,'Cây trong'!$A$2:$C$246,3,0)," ")</f>
        <v xml:space="preserve"> </v>
      </c>
      <c r="R1756" s="900" t="str">
        <f t="shared" si="389"/>
        <v xml:space="preserve"> </v>
      </c>
      <c r="S1756" s="908"/>
      <c r="T1756" s="944"/>
      <c r="U1756" s="1066"/>
      <c r="V1756" s="922"/>
      <c r="W1756" s="900" t="str">
        <f>IF(S1756&lt;&gt;0,VLOOKUP(S1756,VKT!$A$2:$G$415,7,0),"")</f>
        <v/>
      </c>
      <c r="X1756" s="900" t="str">
        <f t="shared" si="373"/>
        <v xml:space="preserve"> </v>
      </c>
      <c r="Y1756" s="985"/>
      <c r="Z1756" s="922"/>
      <c r="AA1756" s="1067"/>
      <c r="AB1756" s="922"/>
      <c r="AC1756" s="922"/>
      <c r="AD1756" s="922"/>
      <c r="AE1756" s="922"/>
      <c r="AF1756" s="1046"/>
      <c r="AG1756" s="906" t="str">
        <f>IF(AE1756&lt;&gt;0,VLOOKUP(AE1756,ODDS!$A$2:$C$13,3,0),"")</f>
        <v/>
      </c>
      <c r="AH1756" s="906" t="str">
        <f t="shared" si="390"/>
        <v xml:space="preserve"> </v>
      </c>
      <c r="AI1756" s="907" t="str">
        <f t="shared" si="388"/>
        <v xml:space="preserve"> </v>
      </c>
      <c r="AJ1756" s="922"/>
      <c r="AK1756" s="922"/>
    </row>
    <row r="1757" spans="1:37" s="396" customFormat="1" ht="43.5" outlineLevel="1" x14ac:dyDescent="0.25">
      <c r="A1757" s="467" t="s">
        <v>2563</v>
      </c>
      <c r="B1757" s="912">
        <v>147</v>
      </c>
      <c r="C1757" s="942" t="s">
        <v>1231</v>
      </c>
      <c r="D1757" s="1038"/>
      <c r="E1757" s="977"/>
      <c r="F1757" s="977"/>
      <c r="G1757" s="914"/>
      <c r="H1757" s="1039">
        <f>SUBTOTAL(9,H1758:H1770)</f>
        <v>861.4</v>
      </c>
      <c r="I1757" s="915">
        <f>SUBTOTAL(9,I1758:I1763)</f>
        <v>0</v>
      </c>
      <c r="J1757" s="916"/>
      <c r="K1757" s="917"/>
      <c r="L1757" s="917"/>
      <c r="M1757" s="907">
        <f>SUBTOTAL(9,M1758:M1770)</f>
        <v>401068000</v>
      </c>
      <c r="N1757" s="907">
        <f>SUBTOTAL(9,N1758:N1770)</f>
        <v>0</v>
      </c>
      <c r="O1757" s="942"/>
      <c r="P1757" s="1063">
        <f>SUBTOTAL(9,P1758:P1770)</f>
        <v>416</v>
      </c>
      <c r="Q1757" s="907"/>
      <c r="R1757" s="907">
        <f>SUBTOTAL(9,R1758:R1770)</f>
        <v>11897000</v>
      </c>
      <c r="S1757" s="918"/>
      <c r="T1757" s="956"/>
      <c r="U1757" s="1064">
        <f>SUBTOTAL(9,U1758:U1770)</f>
        <v>0</v>
      </c>
      <c r="V1757" s="914"/>
      <c r="W1757" s="907"/>
      <c r="X1757" s="907">
        <f>SUBTOTAL(9,X1758:X1770)</f>
        <v>0</v>
      </c>
      <c r="Y1757" s="985"/>
      <c r="Z1757" s="922"/>
      <c r="AA1757" s="1067"/>
      <c r="AB1757" s="922"/>
      <c r="AC1757" s="922"/>
      <c r="AD1757" s="922"/>
      <c r="AE1757" s="914"/>
      <c r="AF1757" s="1044">
        <f>SUBTOTAL(9,AF1758:AF1770)</f>
        <v>0</v>
      </c>
      <c r="AG1757" s="921"/>
      <c r="AH1757" s="921">
        <f>SUBTOTAL(9,AH1758:AH1770)</f>
        <v>0</v>
      </c>
      <c r="AI1757" s="907">
        <f t="shared" si="388"/>
        <v>412965000</v>
      </c>
      <c r="AJ1757" s="914"/>
      <c r="AK1757" s="914"/>
    </row>
    <row r="1758" spans="1:37" s="396" customFormat="1" ht="135" outlineLevel="2" x14ac:dyDescent="0.3">
      <c r="A1758" s="447">
        <f>IF(B1757&lt;&gt;0,B1757,A1756)</f>
        <v>147</v>
      </c>
      <c r="B1758" s="893"/>
      <c r="C1758" s="908" t="s">
        <v>1234</v>
      </c>
      <c r="D1758" s="1032">
        <v>6</v>
      </c>
      <c r="E1758" s="947">
        <v>86</v>
      </c>
      <c r="F1758" s="947">
        <v>283</v>
      </c>
      <c r="G1758" s="922" t="s">
        <v>2436</v>
      </c>
      <c r="H1758" s="1041">
        <v>861.4</v>
      </c>
      <c r="I1758" s="882" t="str">
        <f t="shared" ref="I1758" si="393">IF(N1758&gt;0,H1758,"")</f>
        <v/>
      </c>
      <c r="J1758" s="898"/>
      <c r="K1758" s="899">
        <f>IF(G1758&lt;&gt;0,VLOOKUP(G1758,'gia dat'!$A$1:$F$144,5,0)," ")</f>
        <v>465600</v>
      </c>
      <c r="L1758" s="899">
        <f>IF(G1758&lt;&gt;0,VLOOKUP(G1758,'gia dat'!$A$1:$F$144,6,0)," ")</f>
        <v>0</v>
      </c>
      <c r="M1758" s="900">
        <f t="shared" si="391"/>
        <v>401068000</v>
      </c>
      <c r="N1758" s="900">
        <f t="shared" si="392"/>
        <v>0</v>
      </c>
      <c r="O1758" s="908" t="s">
        <v>353</v>
      </c>
      <c r="P1758" s="1065">
        <v>19</v>
      </c>
      <c r="Q1758" s="900">
        <f>IF(O1758&lt;&gt;0,VLOOKUP(O1758,'Cây trong'!$A$2:$C$246,3,0)," ")</f>
        <v>96000</v>
      </c>
      <c r="R1758" s="900">
        <f t="shared" si="389"/>
        <v>1824000</v>
      </c>
      <c r="S1758" s="902"/>
      <c r="T1758" s="944"/>
      <c r="U1758" s="1066"/>
      <c r="V1758" s="922"/>
      <c r="W1758" s="900" t="str">
        <f>IF(S1758&lt;&gt;0,VLOOKUP(S1758,VKT!$A$2:$G$415,7,0),"")</f>
        <v/>
      </c>
      <c r="X1758" s="900" t="str">
        <f t="shared" si="373"/>
        <v xml:space="preserve"> </v>
      </c>
      <c r="Y1758" s="985"/>
      <c r="Z1758" s="922"/>
      <c r="AA1758" s="1067"/>
      <c r="AB1758" s="922"/>
      <c r="AC1758" s="922"/>
      <c r="AD1758" s="922"/>
      <c r="AE1758" s="922"/>
      <c r="AF1758" s="1046"/>
      <c r="AG1758" s="906" t="str">
        <f>IF(AE1758&lt;&gt;0,VLOOKUP(AE1758,ODDS!$A$2:$C$13,3,0),"")</f>
        <v/>
      </c>
      <c r="AH1758" s="906"/>
      <c r="AI1758" s="907" t="str">
        <f t="shared" si="388"/>
        <v xml:space="preserve"> </v>
      </c>
      <c r="AJ1758" s="922" t="s">
        <v>1233</v>
      </c>
      <c r="AK1758" s="922" t="s">
        <v>2771</v>
      </c>
    </row>
    <row r="1759" spans="1:37" s="394" customFormat="1" ht="112.5" outlineLevel="2" x14ac:dyDescent="0.3">
      <c r="A1759" s="447">
        <f t="shared" ref="A1759:A1770" si="394">IF(B1758&lt;&gt;0,B1758,A1758)</f>
        <v>147</v>
      </c>
      <c r="B1759" s="893"/>
      <c r="C1759" s="908" t="s">
        <v>1606</v>
      </c>
      <c r="D1759" s="1032"/>
      <c r="E1759" s="947"/>
      <c r="F1759" s="947"/>
      <c r="G1759" s="922"/>
      <c r="H1759" s="1041"/>
      <c r="I1759" s="882"/>
      <c r="J1759" s="898"/>
      <c r="K1759" s="899" t="str">
        <f>IF(G1759&lt;&gt;0,VLOOKUP(G1759,'gia dat'!$A$1:$F$144,5,0)," ")</f>
        <v xml:space="preserve"> </v>
      </c>
      <c r="L1759" s="899" t="str">
        <f>IF(G1759&lt;&gt;0,VLOOKUP(G1759,'gia dat'!$A$1:$F$144,6,0)," ")</f>
        <v xml:space="preserve"> </v>
      </c>
      <c r="M1759" s="900" t="str">
        <f t="shared" si="391"/>
        <v xml:space="preserve"> </v>
      </c>
      <c r="N1759" s="900" t="str">
        <f t="shared" si="392"/>
        <v xml:space="preserve"> </v>
      </c>
      <c r="O1759" s="908" t="s">
        <v>932</v>
      </c>
      <c r="P1759" s="1065">
        <v>45</v>
      </c>
      <c r="Q1759" s="900">
        <f>IF(O1759&lt;&gt;0,VLOOKUP(O1759,'Cây trong'!$A$2:$C$246,3,0)," ")</f>
        <v>84000</v>
      </c>
      <c r="R1759" s="900">
        <f t="shared" si="389"/>
        <v>3780000</v>
      </c>
      <c r="S1759" s="902"/>
      <c r="T1759" s="944"/>
      <c r="U1759" s="1066"/>
      <c r="V1759" s="922"/>
      <c r="W1759" s="900" t="str">
        <f>IF(S1759&lt;&gt;0,VLOOKUP(S1759,VKT!$A$2:$G$415,7,0),"")</f>
        <v/>
      </c>
      <c r="X1759" s="900" t="str">
        <f t="shared" si="373"/>
        <v xml:space="preserve"> </v>
      </c>
      <c r="Y1759" s="985"/>
      <c r="Z1759" s="922"/>
      <c r="AA1759" s="1067"/>
      <c r="AB1759" s="922"/>
      <c r="AC1759" s="922"/>
      <c r="AD1759" s="922"/>
      <c r="AE1759" s="922"/>
      <c r="AF1759" s="1046"/>
      <c r="AG1759" s="906" t="str">
        <f>IF(AE1759&lt;&gt;0,VLOOKUP(AE1759,ODDS!$A$2:$C$13,3,0),"")</f>
        <v/>
      </c>
      <c r="AH1759" s="906" t="str">
        <f t="shared" si="390"/>
        <v xml:space="preserve"> </v>
      </c>
      <c r="AI1759" s="907" t="str">
        <f t="shared" si="388"/>
        <v xml:space="preserve"> </v>
      </c>
      <c r="AJ1759" s="922" t="s">
        <v>1235</v>
      </c>
      <c r="AK1759" s="894" t="s">
        <v>2449</v>
      </c>
    </row>
    <row r="1760" spans="1:37" s="394" customFormat="1" ht="45" outlineLevel="2" x14ac:dyDescent="0.3">
      <c r="A1760" s="447">
        <f t="shared" si="394"/>
        <v>147</v>
      </c>
      <c r="B1760" s="893"/>
      <c r="C1760" s="908"/>
      <c r="D1760" s="1032"/>
      <c r="E1760" s="947"/>
      <c r="F1760" s="947"/>
      <c r="G1760" s="922"/>
      <c r="H1760" s="1041"/>
      <c r="I1760" s="882"/>
      <c r="J1760" s="898"/>
      <c r="K1760" s="899" t="str">
        <f>IF(G1760&lt;&gt;0,VLOOKUP(G1760,'gia dat'!$A$1:$F$144,5,0)," ")</f>
        <v xml:space="preserve"> </v>
      </c>
      <c r="L1760" s="899" t="str">
        <f>IF(G1760&lt;&gt;0,VLOOKUP(G1760,'gia dat'!$A$1:$F$144,6,0)," ")</f>
        <v xml:space="preserve"> </v>
      </c>
      <c r="M1760" s="900" t="str">
        <f t="shared" si="391"/>
        <v xml:space="preserve"> </v>
      </c>
      <c r="N1760" s="900" t="str">
        <f t="shared" si="392"/>
        <v xml:space="preserve"> </v>
      </c>
      <c r="O1760" s="908" t="s">
        <v>350</v>
      </c>
      <c r="P1760" s="1065">
        <v>21</v>
      </c>
      <c r="Q1760" s="900">
        <f>IF(O1760&lt;&gt;0,VLOOKUP(O1760,'Cây trong'!$A$2:$C$246,3,0)," ")</f>
        <v>72000</v>
      </c>
      <c r="R1760" s="900">
        <f t="shared" si="389"/>
        <v>1512000</v>
      </c>
      <c r="S1760" s="902"/>
      <c r="T1760" s="944"/>
      <c r="U1760" s="1066"/>
      <c r="V1760" s="922"/>
      <c r="W1760" s="900" t="str">
        <f>IF(S1760&lt;&gt;0,VLOOKUP(S1760,VKT!$A$2:$G$415,7,0),"")</f>
        <v/>
      </c>
      <c r="X1760" s="900" t="str">
        <f t="shared" si="373"/>
        <v xml:space="preserve"> </v>
      </c>
      <c r="Y1760" s="985"/>
      <c r="Z1760" s="922"/>
      <c r="AA1760" s="1067"/>
      <c r="AB1760" s="922"/>
      <c r="AC1760" s="922"/>
      <c r="AD1760" s="922"/>
      <c r="AE1760" s="922"/>
      <c r="AF1760" s="1046"/>
      <c r="AG1760" s="906" t="str">
        <f>IF(AE1760&lt;&gt;0,VLOOKUP(AE1760,ODDS!$A$2:$C$13,3,0),"")</f>
        <v/>
      </c>
      <c r="AH1760" s="906" t="str">
        <f t="shared" si="390"/>
        <v xml:space="preserve"> </v>
      </c>
      <c r="AI1760" s="907" t="str">
        <f t="shared" si="388"/>
        <v xml:space="preserve"> </v>
      </c>
      <c r="AJ1760" s="922"/>
      <c r="AK1760" s="922"/>
    </row>
    <row r="1761" spans="1:39" s="394" customFormat="1" ht="45" outlineLevel="2" x14ac:dyDescent="0.3">
      <c r="A1761" s="447">
        <f t="shared" si="394"/>
        <v>147</v>
      </c>
      <c r="B1761" s="893"/>
      <c r="C1761" s="908"/>
      <c r="D1761" s="1032"/>
      <c r="E1761" s="947"/>
      <c r="F1761" s="947"/>
      <c r="G1761" s="922"/>
      <c r="H1761" s="1041"/>
      <c r="I1761" s="882"/>
      <c r="J1761" s="894"/>
      <c r="K1761" s="899" t="str">
        <f>IF(G1761&lt;&gt;0,VLOOKUP(G1761,'gia dat'!$A$1:$F$144,5,0)," ")</f>
        <v xml:space="preserve"> </v>
      </c>
      <c r="L1761" s="899" t="str">
        <f>IF(G1761&lt;&gt;0,VLOOKUP(G1761,'gia dat'!$A$1:$F$144,6,0)," ")</f>
        <v xml:space="preserve"> </v>
      </c>
      <c r="M1761" s="900" t="str">
        <f t="shared" si="391"/>
        <v xml:space="preserve"> </v>
      </c>
      <c r="N1761" s="900" t="str">
        <f t="shared" si="392"/>
        <v xml:space="preserve"> </v>
      </c>
      <c r="O1761" s="908" t="s">
        <v>2104</v>
      </c>
      <c r="P1761" s="1065">
        <v>1</v>
      </c>
      <c r="Q1761" s="900">
        <f>IF(O1761&lt;&gt;0,VLOOKUP(O1761,'Cây trong'!$A$2:$C$246,3,0)," ")</f>
        <v>600000</v>
      </c>
      <c r="R1761" s="900">
        <f t="shared" si="389"/>
        <v>600000</v>
      </c>
      <c r="S1761" s="908"/>
      <c r="T1761" s="944"/>
      <c r="U1761" s="1066"/>
      <c r="V1761" s="922"/>
      <c r="W1761" s="900" t="str">
        <f>IF(S1761&lt;&gt;0,VLOOKUP(S1761,VKT!$A$2:$G$415,7,0),"")</f>
        <v/>
      </c>
      <c r="X1761" s="900" t="str">
        <f t="shared" si="373"/>
        <v xml:space="preserve"> </v>
      </c>
      <c r="Y1761" s="985"/>
      <c r="Z1761" s="922"/>
      <c r="AA1761" s="1067"/>
      <c r="AB1761" s="922"/>
      <c r="AC1761" s="922"/>
      <c r="AD1761" s="922"/>
      <c r="AE1761" s="922"/>
      <c r="AF1761" s="1046"/>
      <c r="AG1761" s="906" t="str">
        <f>IF(AE1761&lt;&gt;0,VLOOKUP(AE1761,ODDS!$A$2:$C$13,3,0),"")</f>
        <v/>
      </c>
      <c r="AH1761" s="906" t="str">
        <f t="shared" si="390"/>
        <v xml:space="preserve"> </v>
      </c>
      <c r="AI1761" s="907" t="str">
        <f t="shared" si="388"/>
        <v xml:space="preserve"> </v>
      </c>
      <c r="AJ1761" s="922"/>
      <c r="AK1761" s="922"/>
    </row>
    <row r="1762" spans="1:39" s="394" customFormat="1" ht="45" outlineLevel="2" x14ac:dyDescent="0.3">
      <c r="A1762" s="447">
        <f t="shared" si="394"/>
        <v>147</v>
      </c>
      <c r="B1762" s="893"/>
      <c r="C1762" s="908"/>
      <c r="D1762" s="1032"/>
      <c r="E1762" s="947"/>
      <c r="F1762" s="947"/>
      <c r="G1762" s="922"/>
      <c r="H1762" s="1041"/>
      <c r="I1762" s="882"/>
      <c r="J1762" s="894"/>
      <c r="K1762" s="899" t="str">
        <f>IF(G1762&lt;&gt;0,VLOOKUP(G1762,'gia dat'!$A$1:$F$144,5,0)," ")</f>
        <v xml:space="preserve"> </v>
      </c>
      <c r="L1762" s="899" t="str">
        <f>IF(G1762&lt;&gt;0,VLOOKUP(G1762,'gia dat'!$A$1:$F$144,6,0)," ")</f>
        <v xml:space="preserve"> </v>
      </c>
      <c r="M1762" s="900" t="str">
        <f t="shared" si="391"/>
        <v xml:space="preserve"> </v>
      </c>
      <c r="N1762" s="900" t="str">
        <f t="shared" si="392"/>
        <v xml:space="preserve"> </v>
      </c>
      <c r="O1762" s="908" t="s">
        <v>2105</v>
      </c>
      <c r="P1762" s="1065">
        <v>1</v>
      </c>
      <c r="Q1762" s="900">
        <f>IF(O1762&lt;&gt;0,VLOOKUP(O1762,'Cây trong'!$A$2:$C$246,3,0)," ")</f>
        <v>165000</v>
      </c>
      <c r="R1762" s="900">
        <f t="shared" si="389"/>
        <v>165000</v>
      </c>
      <c r="S1762" s="908"/>
      <c r="T1762" s="944"/>
      <c r="U1762" s="1066"/>
      <c r="V1762" s="922"/>
      <c r="W1762" s="900" t="str">
        <f>IF(S1762&lt;&gt;0,VLOOKUP(S1762,VKT!$A$2:$G$415,7,0),"")</f>
        <v/>
      </c>
      <c r="X1762" s="900" t="str">
        <f t="shared" si="373"/>
        <v xml:space="preserve"> </v>
      </c>
      <c r="Y1762" s="985"/>
      <c r="Z1762" s="922"/>
      <c r="AA1762" s="1067"/>
      <c r="AB1762" s="922"/>
      <c r="AC1762" s="922"/>
      <c r="AD1762" s="922"/>
      <c r="AE1762" s="922"/>
      <c r="AF1762" s="1046"/>
      <c r="AG1762" s="906" t="str">
        <f>IF(AE1762&lt;&gt;0,VLOOKUP(AE1762,ODDS!$A$2:$C$13,3,0),"")</f>
        <v/>
      </c>
      <c r="AH1762" s="906" t="str">
        <f t="shared" si="390"/>
        <v xml:space="preserve"> </v>
      </c>
      <c r="AI1762" s="907" t="str">
        <f t="shared" si="388"/>
        <v xml:space="preserve"> </v>
      </c>
      <c r="AJ1762" s="922"/>
      <c r="AK1762" s="922"/>
    </row>
    <row r="1763" spans="1:39" s="394" customFormat="1" ht="45" outlineLevel="2" x14ac:dyDescent="0.3">
      <c r="A1763" s="447">
        <f t="shared" si="394"/>
        <v>147</v>
      </c>
      <c r="B1763" s="893"/>
      <c r="C1763" s="908"/>
      <c r="D1763" s="1032"/>
      <c r="E1763" s="947"/>
      <c r="F1763" s="947"/>
      <c r="G1763" s="922"/>
      <c r="H1763" s="1041"/>
      <c r="I1763" s="882"/>
      <c r="J1763" s="894"/>
      <c r="K1763" s="899" t="str">
        <f>IF(G1763&lt;&gt;0,VLOOKUP(G1763,'gia dat'!$A$1:$F$144,5,0)," ")</f>
        <v xml:space="preserve"> </v>
      </c>
      <c r="L1763" s="899" t="str">
        <f>IF(G1763&lt;&gt;0,VLOOKUP(G1763,'gia dat'!$A$1:$F$144,6,0)," ")</f>
        <v xml:space="preserve"> </v>
      </c>
      <c r="M1763" s="900" t="str">
        <f t="shared" si="391"/>
        <v xml:space="preserve"> </v>
      </c>
      <c r="N1763" s="900" t="str">
        <f t="shared" si="392"/>
        <v xml:space="preserve"> </v>
      </c>
      <c r="O1763" s="908" t="s">
        <v>2106</v>
      </c>
      <c r="P1763" s="1065">
        <v>3</v>
      </c>
      <c r="Q1763" s="900">
        <f>IF(O1763&lt;&gt;0,VLOOKUP(O1763,'Cây trong'!$A$2:$C$246,3,0)," ")</f>
        <v>32000</v>
      </c>
      <c r="R1763" s="900">
        <f t="shared" si="389"/>
        <v>96000</v>
      </c>
      <c r="S1763" s="908"/>
      <c r="T1763" s="944"/>
      <c r="U1763" s="1066"/>
      <c r="V1763" s="922"/>
      <c r="W1763" s="900" t="str">
        <f>IF(S1763&lt;&gt;0,VLOOKUP(S1763,VKT!$A$2:$G$415,7,0),"")</f>
        <v/>
      </c>
      <c r="X1763" s="900" t="str">
        <f t="shared" si="373"/>
        <v xml:space="preserve"> </v>
      </c>
      <c r="Y1763" s="985"/>
      <c r="Z1763" s="922"/>
      <c r="AA1763" s="1067"/>
      <c r="AB1763" s="922"/>
      <c r="AC1763" s="922"/>
      <c r="AD1763" s="922"/>
      <c r="AE1763" s="922"/>
      <c r="AF1763" s="1046"/>
      <c r="AG1763" s="906" t="str">
        <f>IF(AE1763&lt;&gt;0,VLOOKUP(AE1763,ODDS!$A$2:$C$13,3,0),"")</f>
        <v/>
      </c>
      <c r="AH1763" s="906" t="str">
        <f t="shared" si="390"/>
        <v xml:space="preserve"> </v>
      </c>
      <c r="AI1763" s="907" t="str">
        <f t="shared" si="388"/>
        <v xml:space="preserve"> </v>
      </c>
      <c r="AJ1763" s="922"/>
      <c r="AK1763" s="922"/>
    </row>
    <row r="1764" spans="1:39" s="394" customFormat="1" ht="22.5" outlineLevel="2" x14ac:dyDescent="0.3">
      <c r="A1764" s="447">
        <f t="shared" si="394"/>
        <v>147</v>
      </c>
      <c r="B1764" s="893"/>
      <c r="C1764" s="908"/>
      <c r="D1764" s="1032"/>
      <c r="E1764" s="947"/>
      <c r="F1764" s="947"/>
      <c r="G1764" s="922"/>
      <c r="H1764" s="1041"/>
      <c r="I1764" s="882"/>
      <c r="J1764" s="894"/>
      <c r="K1764" s="899" t="str">
        <f>IF(G1764&lt;&gt;0,VLOOKUP(G1764,'gia dat'!$A$1:$F$144,5,0)," ")</f>
        <v xml:space="preserve"> </v>
      </c>
      <c r="L1764" s="899" t="str">
        <f>IF(G1764&lt;&gt;0,VLOOKUP(G1764,'gia dat'!$A$1:$F$144,6,0)," ")</f>
        <v xml:space="preserve"> </v>
      </c>
      <c r="M1764" s="900" t="str">
        <f t="shared" si="391"/>
        <v xml:space="preserve"> </v>
      </c>
      <c r="N1764" s="900" t="str">
        <f t="shared" si="392"/>
        <v xml:space="preserve"> </v>
      </c>
      <c r="O1764" s="908" t="s">
        <v>1239</v>
      </c>
      <c r="P1764" s="1065">
        <v>1</v>
      </c>
      <c r="Q1764" s="900">
        <f>IF(O1764&lt;&gt;0,VLOOKUP(O1764,'Cây trong'!$A$2:$C$246,3,0)," ")</f>
        <v>32000</v>
      </c>
      <c r="R1764" s="900">
        <f t="shared" si="389"/>
        <v>32000</v>
      </c>
      <c r="S1764" s="908"/>
      <c r="T1764" s="944"/>
      <c r="U1764" s="1066"/>
      <c r="V1764" s="922"/>
      <c r="W1764" s="900" t="str">
        <f>IF(S1764&lt;&gt;0,VLOOKUP(S1764,VKT!$A$2:$G$415,7,0),"")</f>
        <v/>
      </c>
      <c r="X1764" s="900" t="str">
        <f t="shared" si="373"/>
        <v xml:space="preserve"> </v>
      </c>
      <c r="Y1764" s="985"/>
      <c r="Z1764" s="922"/>
      <c r="AA1764" s="1067"/>
      <c r="AB1764" s="922"/>
      <c r="AC1764" s="922"/>
      <c r="AD1764" s="922"/>
      <c r="AE1764" s="922"/>
      <c r="AF1764" s="1046"/>
      <c r="AG1764" s="906" t="str">
        <f>IF(AE1764&lt;&gt;0,VLOOKUP(AE1764,ODDS!$A$2:$C$13,3,0),"")</f>
        <v/>
      </c>
      <c r="AH1764" s="906" t="str">
        <f t="shared" si="390"/>
        <v xml:space="preserve"> </v>
      </c>
      <c r="AI1764" s="907" t="str">
        <f t="shared" si="388"/>
        <v xml:space="preserve"> </v>
      </c>
      <c r="AJ1764" s="922"/>
      <c r="AK1764" s="922"/>
    </row>
    <row r="1765" spans="1:39" s="394" customFormat="1" ht="22.5" outlineLevel="2" x14ac:dyDescent="0.3">
      <c r="A1765" s="447">
        <f t="shared" si="394"/>
        <v>147</v>
      </c>
      <c r="B1765" s="893"/>
      <c r="C1765" s="908"/>
      <c r="D1765" s="1032"/>
      <c r="E1765" s="947"/>
      <c r="F1765" s="947"/>
      <c r="G1765" s="922"/>
      <c r="H1765" s="1041"/>
      <c r="I1765" s="882"/>
      <c r="J1765" s="894"/>
      <c r="K1765" s="899" t="str">
        <f>IF(G1765&lt;&gt;0,VLOOKUP(G1765,'gia dat'!$A$1:$F$144,5,0)," ")</f>
        <v xml:space="preserve"> </v>
      </c>
      <c r="L1765" s="899" t="str">
        <f>IF(G1765&lt;&gt;0,VLOOKUP(G1765,'gia dat'!$A$1:$F$144,6,0)," ")</f>
        <v xml:space="preserve"> </v>
      </c>
      <c r="M1765" s="900" t="str">
        <f t="shared" si="391"/>
        <v xml:space="preserve"> </v>
      </c>
      <c r="N1765" s="900" t="str">
        <f t="shared" si="392"/>
        <v xml:space="preserve"> </v>
      </c>
      <c r="O1765" s="908" t="s">
        <v>1240</v>
      </c>
      <c r="P1765" s="1065">
        <v>1</v>
      </c>
      <c r="Q1765" s="900">
        <f>IF(O1765&lt;&gt;0,VLOOKUP(O1765,'Cây trong'!$A$2:$C$246,3,0)," ")</f>
        <v>0</v>
      </c>
      <c r="R1765" s="900">
        <f t="shared" si="389"/>
        <v>0</v>
      </c>
      <c r="S1765" s="908"/>
      <c r="T1765" s="944"/>
      <c r="U1765" s="1066"/>
      <c r="V1765" s="922"/>
      <c r="W1765" s="900" t="str">
        <f>IF(S1765&lt;&gt;0,VLOOKUP(S1765,VKT!$A$2:$G$415,7,0),"")</f>
        <v/>
      </c>
      <c r="X1765" s="900" t="str">
        <f t="shared" ref="X1765:X1835" si="395">IF(S1765&lt;&gt;0,ROUND(U1765*W1765,-3)," ")</f>
        <v xml:space="preserve"> </v>
      </c>
      <c r="Y1765" s="985"/>
      <c r="Z1765" s="922"/>
      <c r="AA1765" s="1067"/>
      <c r="AB1765" s="922"/>
      <c r="AC1765" s="922"/>
      <c r="AD1765" s="922"/>
      <c r="AE1765" s="922"/>
      <c r="AF1765" s="1046"/>
      <c r="AG1765" s="906" t="str">
        <f>IF(AE1765&lt;&gt;0,VLOOKUP(AE1765,ODDS!$A$2:$C$13,3,0),"")</f>
        <v/>
      </c>
      <c r="AH1765" s="906" t="str">
        <f t="shared" si="390"/>
        <v xml:space="preserve"> </v>
      </c>
      <c r="AI1765" s="907" t="str">
        <f t="shared" si="388"/>
        <v xml:space="preserve"> </v>
      </c>
      <c r="AJ1765" s="922"/>
      <c r="AK1765" s="922"/>
    </row>
    <row r="1766" spans="1:39" s="394" customFormat="1" ht="67.5" outlineLevel="2" x14ac:dyDescent="0.3">
      <c r="A1766" s="447">
        <f t="shared" si="394"/>
        <v>147</v>
      </c>
      <c r="B1766" s="893"/>
      <c r="C1766" s="908"/>
      <c r="D1766" s="1032"/>
      <c r="E1766" s="947"/>
      <c r="F1766" s="947"/>
      <c r="G1766" s="922"/>
      <c r="H1766" s="1041"/>
      <c r="I1766" s="882"/>
      <c r="J1766" s="894"/>
      <c r="K1766" s="899" t="str">
        <f>IF(G1766&lt;&gt;0,VLOOKUP(G1766,'gia dat'!$A$1:$F$144,5,0)," ")</f>
        <v xml:space="preserve"> </v>
      </c>
      <c r="L1766" s="899" t="str">
        <f>IF(G1766&lt;&gt;0,VLOOKUP(G1766,'gia dat'!$A$1:$F$144,6,0)," ")</f>
        <v xml:space="preserve"> </v>
      </c>
      <c r="M1766" s="900" t="str">
        <f t="shared" si="391"/>
        <v xml:space="preserve"> </v>
      </c>
      <c r="N1766" s="900" t="str">
        <f t="shared" si="392"/>
        <v xml:space="preserve"> </v>
      </c>
      <c r="O1766" s="908" t="s">
        <v>1241</v>
      </c>
      <c r="P1766" s="1065">
        <v>324</v>
      </c>
      <c r="Q1766" s="900">
        <f>IF(O1766&lt;&gt;0,VLOOKUP(O1766,'Cây trong'!$A$2:$C$246,3,0)," ")</f>
        <v>12000</v>
      </c>
      <c r="R1766" s="900">
        <f t="shared" si="389"/>
        <v>3888000</v>
      </c>
      <c r="S1766" s="908"/>
      <c r="T1766" s="944"/>
      <c r="U1766" s="1066"/>
      <c r="V1766" s="922"/>
      <c r="W1766" s="900" t="str">
        <f>IF(S1766&lt;&gt;0,VLOOKUP(S1766,VKT!$A$2:$G$415,7,0),"")</f>
        <v/>
      </c>
      <c r="X1766" s="900" t="str">
        <f t="shared" si="395"/>
        <v xml:space="preserve"> </v>
      </c>
      <c r="Y1766" s="985"/>
      <c r="Z1766" s="922"/>
      <c r="AA1766" s="1067"/>
      <c r="AB1766" s="922"/>
      <c r="AC1766" s="922"/>
      <c r="AD1766" s="922"/>
      <c r="AE1766" s="922"/>
      <c r="AF1766" s="1046"/>
      <c r="AG1766" s="906" t="str">
        <f>IF(AE1766&lt;&gt;0,VLOOKUP(AE1766,ODDS!$A$2:$C$13,3,0),"")</f>
        <v/>
      </c>
      <c r="AH1766" s="906" t="str">
        <f t="shared" si="390"/>
        <v xml:space="preserve"> </v>
      </c>
      <c r="AI1766" s="907" t="str">
        <f t="shared" si="388"/>
        <v xml:space="preserve"> </v>
      </c>
      <c r="AJ1766" s="922"/>
      <c r="AK1766" s="922"/>
    </row>
    <row r="1767" spans="1:39" s="394" customFormat="1" ht="22.5" outlineLevel="2" x14ac:dyDescent="0.3">
      <c r="A1767" s="447">
        <f t="shared" si="394"/>
        <v>147</v>
      </c>
      <c r="B1767" s="893"/>
      <c r="C1767" s="908"/>
      <c r="D1767" s="1032"/>
      <c r="E1767" s="947"/>
      <c r="F1767" s="947"/>
      <c r="G1767" s="922"/>
      <c r="H1767" s="1041"/>
      <c r="I1767" s="882"/>
      <c r="J1767" s="894"/>
      <c r="K1767" s="899" t="str">
        <f>IF(G1767&lt;&gt;0,VLOOKUP(G1767,'gia dat'!$A$1:$F$144,5,0)," ")</f>
        <v xml:space="preserve"> </v>
      </c>
      <c r="L1767" s="899" t="str">
        <f>IF(G1767&lt;&gt;0,VLOOKUP(G1767,'gia dat'!$A$1:$F$144,6,0)," ")</f>
        <v xml:space="preserve"> </v>
      </c>
      <c r="M1767" s="900" t="str">
        <f t="shared" si="391"/>
        <v xml:space="preserve"> </v>
      </c>
      <c r="N1767" s="900" t="str">
        <f t="shared" si="392"/>
        <v xml:space="preserve"> </v>
      </c>
      <c r="O1767" s="908"/>
      <c r="P1767" s="1065"/>
      <c r="Q1767" s="900" t="str">
        <f>IF(O1767&lt;&gt;0,VLOOKUP(O1767,'Cây trong'!$A$2:$C$246,3,0)," ")</f>
        <v xml:space="preserve"> </v>
      </c>
      <c r="R1767" s="900" t="str">
        <f t="shared" si="389"/>
        <v xml:space="preserve"> </v>
      </c>
      <c r="S1767" s="908"/>
      <c r="T1767" s="944"/>
      <c r="U1767" s="1066"/>
      <c r="V1767" s="922"/>
      <c r="W1767" s="900" t="str">
        <f>IF(S1767&lt;&gt;0,VLOOKUP(S1767,VKT!$A$2:$G$415,7,0),"")</f>
        <v/>
      </c>
      <c r="X1767" s="900" t="str">
        <f t="shared" si="395"/>
        <v xml:space="preserve"> </v>
      </c>
      <c r="Y1767" s="985"/>
      <c r="Z1767" s="922"/>
      <c r="AA1767" s="1067"/>
      <c r="AB1767" s="922"/>
      <c r="AC1767" s="922"/>
      <c r="AD1767" s="922"/>
      <c r="AE1767" s="922"/>
      <c r="AF1767" s="1046"/>
      <c r="AG1767" s="906" t="str">
        <f>IF(AE1767&lt;&gt;0,VLOOKUP(AE1767,ODDS!$A$2:$C$13,3,0),"")</f>
        <v/>
      </c>
      <c r="AH1767" s="906" t="str">
        <f t="shared" si="390"/>
        <v xml:space="preserve"> </v>
      </c>
      <c r="AI1767" s="907" t="str">
        <f t="shared" si="388"/>
        <v xml:space="preserve"> </v>
      </c>
      <c r="AJ1767" s="922"/>
      <c r="AK1767" s="922"/>
    </row>
    <row r="1768" spans="1:39" s="394" customFormat="1" ht="22.5" outlineLevel="2" x14ac:dyDescent="0.3">
      <c r="A1768" s="447">
        <f t="shared" si="394"/>
        <v>147</v>
      </c>
      <c r="B1768" s="893"/>
      <c r="C1768" s="908"/>
      <c r="D1768" s="1032"/>
      <c r="E1768" s="947"/>
      <c r="F1768" s="947"/>
      <c r="G1768" s="922"/>
      <c r="H1768" s="1041"/>
      <c r="I1768" s="882"/>
      <c r="J1768" s="894"/>
      <c r="K1768" s="899" t="str">
        <f>IF(G1768&lt;&gt;0,VLOOKUP(G1768,'gia dat'!$A$1:$F$144,5,0)," ")</f>
        <v xml:space="preserve"> </v>
      </c>
      <c r="L1768" s="899" t="str">
        <f>IF(G1768&lt;&gt;0,VLOOKUP(G1768,'gia dat'!$A$1:$F$144,6,0)," ")</f>
        <v xml:space="preserve"> </v>
      </c>
      <c r="M1768" s="900" t="str">
        <f t="shared" si="391"/>
        <v xml:space="preserve"> </v>
      </c>
      <c r="N1768" s="900" t="str">
        <f t="shared" si="392"/>
        <v xml:space="preserve"> </v>
      </c>
      <c r="O1768" s="908"/>
      <c r="P1768" s="1065"/>
      <c r="Q1768" s="900" t="str">
        <f>IF(O1768&lt;&gt;0,VLOOKUP(O1768,'Cây trong'!$A$2:$C$246,3,0)," ")</f>
        <v xml:space="preserve"> </v>
      </c>
      <c r="R1768" s="900" t="str">
        <f t="shared" si="389"/>
        <v xml:space="preserve"> </v>
      </c>
      <c r="S1768" s="908"/>
      <c r="T1768" s="944"/>
      <c r="U1768" s="1066"/>
      <c r="V1768" s="922"/>
      <c r="W1768" s="900" t="str">
        <f>IF(S1768&lt;&gt;0,VLOOKUP(S1768,VKT!$A$2:$G$415,7,0),"")</f>
        <v/>
      </c>
      <c r="X1768" s="900" t="str">
        <f t="shared" si="395"/>
        <v xml:space="preserve"> </v>
      </c>
      <c r="Y1768" s="985"/>
      <c r="Z1768" s="922"/>
      <c r="AA1768" s="1067"/>
      <c r="AB1768" s="922"/>
      <c r="AC1768" s="922"/>
      <c r="AD1768" s="922"/>
      <c r="AE1768" s="922"/>
      <c r="AF1768" s="1046"/>
      <c r="AG1768" s="906" t="str">
        <f>IF(AE1768&lt;&gt;0,VLOOKUP(AE1768,ODDS!$A$2:$C$13,3,0),"")</f>
        <v/>
      </c>
      <c r="AH1768" s="906" t="str">
        <f t="shared" si="390"/>
        <v xml:space="preserve"> </v>
      </c>
      <c r="AI1768" s="907" t="str">
        <f t="shared" si="388"/>
        <v xml:space="preserve"> </v>
      </c>
      <c r="AJ1768" s="908"/>
      <c r="AK1768" s="908"/>
    </row>
    <row r="1769" spans="1:39" s="394" customFormat="1" ht="22.5" outlineLevel="2" x14ac:dyDescent="0.3">
      <c r="A1769" s="447">
        <f t="shared" si="394"/>
        <v>147</v>
      </c>
      <c r="B1769" s="893"/>
      <c r="C1769" s="908"/>
      <c r="D1769" s="1032"/>
      <c r="E1769" s="947"/>
      <c r="F1769" s="947"/>
      <c r="G1769" s="922"/>
      <c r="H1769" s="1041"/>
      <c r="I1769" s="882"/>
      <c r="J1769" s="894"/>
      <c r="K1769" s="899" t="str">
        <f>IF(G1769&lt;&gt;0,VLOOKUP(G1769,'gia dat'!$A$1:$F$144,5,0)," ")</f>
        <v xml:space="preserve"> </v>
      </c>
      <c r="L1769" s="899" t="str">
        <f>IF(G1769&lt;&gt;0,VLOOKUP(G1769,'gia dat'!$A$1:$F$144,6,0)," ")</f>
        <v xml:space="preserve"> </v>
      </c>
      <c r="M1769" s="900" t="str">
        <f t="shared" si="391"/>
        <v xml:space="preserve"> </v>
      </c>
      <c r="N1769" s="900" t="str">
        <f t="shared" si="392"/>
        <v xml:space="preserve"> </v>
      </c>
      <c r="O1769" s="908"/>
      <c r="P1769" s="1065"/>
      <c r="Q1769" s="900" t="str">
        <f>IF(O1769&lt;&gt;0,VLOOKUP(O1769,'Cây trong'!$A$2:$C$246,3,0)," ")</f>
        <v xml:space="preserve"> </v>
      </c>
      <c r="R1769" s="900" t="str">
        <f t="shared" si="389"/>
        <v xml:space="preserve"> </v>
      </c>
      <c r="S1769" s="908"/>
      <c r="T1769" s="944"/>
      <c r="U1769" s="1066"/>
      <c r="V1769" s="922"/>
      <c r="W1769" s="900" t="str">
        <f>IF(S1769&lt;&gt;0,VLOOKUP(S1769,VKT!$A$2:$G$415,7,0),"")</f>
        <v/>
      </c>
      <c r="X1769" s="900" t="str">
        <f t="shared" si="395"/>
        <v xml:space="preserve"> </v>
      </c>
      <c r="Y1769" s="985"/>
      <c r="Z1769" s="922"/>
      <c r="AA1769" s="1067"/>
      <c r="AB1769" s="922"/>
      <c r="AC1769" s="922"/>
      <c r="AD1769" s="922"/>
      <c r="AE1769" s="922"/>
      <c r="AF1769" s="1046"/>
      <c r="AG1769" s="906" t="str">
        <f>IF(AE1769&lt;&gt;0,VLOOKUP(AE1769,ODDS!$A$2:$C$13,3,0),"")</f>
        <v/>
      </c>
      <c r="AH1769" s="906" t="str">
        <f t="shared" si="390"/>
        <v xml:space="preserve"> </v>
      </c>
      <c r="AI1769" s="907" t="str">
        <f t="shared" si="388"/>
        <v xml:space="preserve"> </v>
      </c>
      <c r="AJ1769" s="894"/>
      <c r="AK1769" s="894"/>
    </row>
    <row r="1770" spans="1:39" s="394" customFormat="1" ht="22.5" outlineLevel="2" x14ac:dyDescent="0.3">
      <c r="A1770" s="447">
        <f t="shared" si="394"/>
        <v>147</v>
      </c>
      <c r="B1770" s="893"/>
      <c r="C1770" s="942"/>
      <c r="D1770" s="1032"/>
      <c r="E1770" s="947"/>
      <c r="F1770" s="947"/>
      <c r="G1770" s="922"/>
      <c r="H1770" s="1041"/>
      <c r="I1770" s="882"/>
      <c r="J1770" s="894"/>
      <c r="K1770" s="899" t="str">
        <f>IF(G1770&lt;&gt;0,VLOOKUP(G1770,'gia dat'!$A$1:$F$144,5,0)," ")</f>
        <v xml:space="preserve"> </v>
      </c>
      <c r="L1770" s="899" t="str">
        <f>IF(G1770&lt;&gt;0,VLOOKUP(G1770,'gia dat'!$A$1:$F$144,6,0)," ")</f>
        <v xml:space="preserve"> </v>
      </c>
      <c r="M1770" s="900" t="str">
        <f t="shared" si="391"/>
        <v xml:space="preserve"> </v>
      </c>
      <c r="N1770" s="900" t="str">
        <f t="shared" si="392"/>
        <v xml:space="preserve"> </v>
      </c>
      <c r="O1770" s="908"/>
      <c r="P1770" s="1065"/>
      <c r="Q1770" s="900" t="str">
        <f>IF(O1770&lt;&gt;0,VLOOKUP(O1770,'Cây trong'!$A$2:$C$246,3,0)," ")</f>
        <v xml:space="preserve"> </v>
      </c>
      <c r="R1770" s="900" t="str">
        <f t="shared" si="389"/>
        <v xml:space="preserve"> </v>
      </c>
      <c r="S1770" s="908"/>
      <c r="T1770" s="944"/>
      <c r="U1770" s="1066"/>
      <c r="V1770" s="922"/>
      <c r="W1770" s="900" t="str">
        <f>IF(S1770&lt;&gt;0,VLOOKUP(S1770,VKT!$A$2:$G$415,7,0),"")</f>
        <v/>
      </c>
      <c r="X1770" s="900" t="str">
        <f t="shared" si="395"/>
        <v xml:space="preserve"> </v>
      </c>
      <c r="Y1770" s="985"/>
      <c r="Z1770" s="922"/>
      <c r="AA1770" s="1067"/>
      <c r="AB1770" s="922"/>
      <c r="AC1770" s="922"/>
      <c r="AD1770" s="922"/>
      <c r="AE1770" s="922"/>
      <c r="AF1770" s="1046"/>
      <c r="AG1770" s="906" t="str">
        <f>IF(AE1770&lt;&gt;0,VLOOKUP(AE1770,ODDS!$A$2:$C$13,3,0),"")</f>
        <v/>
      </c>
      <c r="AH1770" s="906" t="str">
        <f t="shared" si="390"/>
        <v xml:space="preserve"> </v>
      </c>
      <c r="AI1770" s="907" t="str">
        <f t="shared" si="388"/>
        <v xml:space="preserve"> </v>
      </c>
      <c r="AJ1770" s="922"/>
      <c r="AK1770" s="922"/>
    </row>
    <row r="1771" spans="1:39" s="396" customFormat="1" ht="43.5" outlineLevel="1" x14ac:dyDescent="0.25">
      <c r="A1771" s="467" t="s">
        <v>2562</v>
      </c>
      <c r="B1771" s="912">
        <v>148</v>
      </c>
      <c r="C1771" s="942" t="s">
        <v>1242</v>
      </c>
      <c r="D1771" s="1038"/>
      <c r="E1771" s="977"/>
      <c r="F1771" s="977"/>
      <c r="G1771" s="914"/>
      <c r="H1771" s="1039">
        <f>SUBTOTAL(9,H1772:H1777)</f>
        <v>14.8</v>
      </c>
      <c r="I1771" s="915">
        <f>SUBTOTAL(9,I1772:I1777)</f>
        <v>0</v>
      </c>
      <c r="J1771" s="916"/>
      <c r="K1771" s="917"/>
      <c r="L1771" s="917"/>
      <c r="M1771" s="907">
        <f>SUBTOTAL(9,M1772:M1777)</f>
        <v>8205000</v>
      </c>
      <c r="N1771" s="907">
        <f>SUBTOTAL(9,N1772:N1777)</f>
        <v>0</v>
      </c>
      <c r="O1771" s="942"/>
      <c r="P1771" s="1063">
        <f>SUBTOTAL(9,P1772:P1777)</f>
        <v>0</v>
      </c>
      <c r="Q1771" s="907"/>
      <c r="R1771" s="907">
        <f>SUBTOTAL(9,R1772:R1777)</f>
        <v>0</v>
      </c>
      <c r="S1771" s="918"/>
      <c r="T1771" s="956"/>
      <c r="U1771" s="1064">
        <f>SUBTOTAL(9,U1772:U1777)</f>
        <v>4.3</v>
      </c>
      <c r="V1771" s="914"/>
      <c r="W1771" s="907"/>
      <c r="X1771" s="907">
        <f>SUBTOTAL(9,X1772:X1777)</f>
        <v>2956000</v>
      </c>
      <c r="Y1771" s="985"/>
      <c r="Z1771" s="922"/>
      <c r="AA1771" s="1067"/>
      <c r="AB1771" s="922"/>
      <c r="AC1771" s="922"/>
      <c r="AD1771" s="922"/>
      <c r="AE1771" s="914"/>
      <c r="AF1771" s="1044">
        <f>SUBTOTAL(9,AF1772:AF1777)</f>
        <v>0</v>
      </c>
      <c r="AG1771" s="921"/>
      <c r="AH1771" s="921">
        <f>SUBTOTAL(9,AH1772:AH1777)</f>
        <v>0</v>
      </c>
      <c r="AI1771" s="907">
        <f t="shared" si="388"/>
        <v>11161000</v>
      </c>
      <c r="AJ1771" s="914"/>
      <c r="AK1771" s="914"/>
      <c r="AM1771" s="468"/>
    </row>
    <row r="1772" spans="1:39" s="396" customFormat="1" ht="135" outlineLevel="2" x14ac:dyDescent="0.3">
      <c r="A1772" s="447">
        <f>IF(B1771&lt;&gt;0,B1771,A1770)</f>
        <v>148</v>
      </c>
      <c r="B1772" s="893"/>
      <c r="C1772" s="908" t="s">
        <v>1244</v>
      </c>
      <c r="D1772" s="1032">
        <v>4</v>
      </c>
      <c r="E1772" s="947">
        <v>86</v>
      </c>
      <c r="F1772" s="947">
        <v>261</v>
      </c>
      <c r="G1772" s="922" t="s">
        <v>2897</v>
      </c>
      <c r="H1772" s="1041">
        <f>14.8</f>
        <v>14.8</v>
      </c>
      <c r="I1772" s="882" t="str">
        <f t="shared" ref="I1772" si="396">IF(N1772&gt;0,H1772,"")</f>
        <v/>
      </c>
      <c r="J1772" s="898"/>
      <c r="K1772" s="899">
        <f>IF(G1772&lt;&gt;0,VLOOKUP(G1772,'gia dat'!$A$1:$F$144,5,0)," ")</f>
        <v>554400</v>
      </c>
      <c r="L1772" s="899">
        <f>IF(G1772&lt;&gt;0,VLOOKUP(G1772,'gia dat'!$A$1:$F$144,6,0)," ")</f>
        <v>0</v>
      </c>
      <c r="M1772" s="900">
        <f t="shared" si="391"/>
        <v>8205000</v>
      </c>
      <c r="N1772" s="900">
        <f t="shared" si="392"/>
        <v>0</v>
      </c>
      <c r="O1772" s="908"/>
      <c r="P1772" s="1065"/>
      <c r="Q1772" s="900" t="str">
        <f>IF(O1772&lt;&gt;0,VLOOKUP(O1772,'Cây trong'!$A$2:$C$246,3,0)," ")</f>
        <v xml:space="preserve"> </v>
      </c>
      <c r="R1772" s="900" t="str">
        <f t="shared" si="389"/>
        <v xml:space="preserve"> </v>
      </c>
      <c r="S1772" s="902" t="s">
        <v>2375</v>
      </c>
      <c r="T1772" s="944" t="s">
        <v>1133</v>
      </c>
      <c r="U1772" s="1066">
        <v>4.3</v>
      </c>
      <c r="V1772" s="922"/>
      <c r="W1772" s="900">
        <f>IF(S1772&lt;&gt;0,VLOOKUP(S1772,VKT!$A$2:$G$415,7,0),"")</f>
        <v>687379</v>
      </c>
      <c r="X1772" s="900">
        <f t="shared" si="395"/>
        <v>2956000</v>
      </c>
      <c r="Y1772" s="985"/>
      <c r="Z1772" s="922"/>
      <c r="AA1772" s="1067"/>
      <c r="AB1772" s="922"/>
      <c r="AC1772" s="922"/>
      <c r="AD1772" s="922"/>
      <c r="AE1772" s="922"/>
      <c r="AF1772" s="1046"/>
      <c r="AG1772" s="906" t="str">
        <f>IF(AE1772&lt;&gt;0,VLOOKUP(AE1772,ODDS!$A$2:$C$13,3,0),"")</f>
        <v/>
      </c>
      <c r="AH1772" s="906"/>
      <c r="AI1772" s="907" t="str">
        <f t="shared" si="388"/>
        <v xml:space="preserve"> </v>
      </c>
      <c r="AJ1772" s="922" t="s">
        <v>1243</v>
      </c>
      <c r="AK1772" s="922" t="s">
        <v>2771</v>
      </c>
      <c r="AM1772" s="380" t="s">
        <v>1924</v>
      </c>
    </row>
    <row r="1773" spans="1:39" s="394" customFormat="1" ht="112.5" outlineLevel="2" x14ac:dyDescent="0.3">
      <c r="A1773" s="447">
        <f>IF(B1772&lt;&gt;0,B1772,A1772)</f>
        <v>148</v>
      </c>
      <c r="B1773" s="893"/>
      <c r="C1773" s="908" t="s">
        <v>1607</v>
      </c>
      <c r="D1773" s="1032"/>
      <c r="E1773" s="947"/>
      <c r="F1773" s="947"/>
      <c r="G1773" s="922"/>
      <c r="H1773" s="1041"/>
      <c r="I1773" s="882"/>
      <c r="J1773" s="898"/>
      <c r="K1773" s="899" t="str">
        <f>IF(G1773&lt;&gt;0,VLOOKUP(G1773,'gia dat'!$A$1:$F$144,5,0)," ")</f>
        <v xml:space="preserve"> </v>
      </c>
      <c r="L1773" s="899" t="str">
        <f>IF(G1773&lt;&gt;0,VLOOKUP(G1773,'gia dat'!$A$1:$F$144,6,0)," ")</f>
        <v xml:space="preserve"> </v>
      </c>
      <c r="M1773" s="900" t="str">
        <f t="shared" si="391"/>
        <v xml:space="preserve"> </v>
      </c>
      <c r="N1773" s="900" t="str">
        <f t="shared" si="392"/>
        <v xml:space="preserve"> </v>
      </c>
      <c r="O1773" s="908"/>
      <c r="P1773" s="1065"/>
      <c r="Q1773" s="900" t="str">
        <f>IF(O1773&lt;&gt;0,VLOOKUP(O1773,'Cây trong'!$A$2:$C$246,3,0)," ")</f>
        <v xml:space="preserve"> </v>
      </c>
      <c r="R1773" s="900" t="str">
        <f t="shared" si="389"/>
        <v xml:space="preserve"> </v>
      </c>
      <c r="S1773" s="902"/>
      <c r="T1773" s="944"/>
      <c r="U1773" s="1066"/>
      <c r="V1773" s="922"/>
      <c r="W1773" s="900" t="str">
        <f>IF(S1773&lt;&gt;0,VLOOKUP(S1773,VKT!$A$2:$G$415,7,0),"")</f>
        <v/>
      </c>
      <c r="X1773" s="900" t="str">
        <f t="shared" si="395"/>
        <v xml:space="preserve"> </v>
      </c>
      <c r="Y1773" s="985"/>
      <c r="Z1773" s="922"/>
      <c r="AA1773" s="1067"/>
      <c r="AB1773" s="922"/>
      <c r="AC1773" s="922"/>
      <c r="AD1773" s="922"/>
      <c r="AE1773" s="922"/>
      <c r="AF1773" s="1046"/>
      <c r="AG1773" s="906" t="str">
        <f>IF(AE1773&lt;&gt;0,VLOOKUP(AE1773,ODDS!$A$2:$C$13,3,0),"")</f>
        <v/>
      </c>
      <c r="AH1773" s="906" t="str">
        <f t="shared" si="390"/>
        <v xml:space="preserve"> </v>
      </c>
      <c r="AI1773" s="907" t="str">
        <f t="shared" si="388"/>
        <v xml:space="preserve"> </v>
      </c>
      <c r="AJ1773" s="922" t="s">
        <v>1245</v>
      </c>
      <c r="AK1773" s="894" t="s">
        <v>2450</v>
      </c>
    </row>
    <row r="1774" spans="1:39" s="394" customFormat="1" ht="22.5" outlineLevel="2" x14ac:dyDescent="0.3">
      <c r="A1774" s="447">
        <f>IF(B1773&lt;&gt;0,B1773,A1773)</f>
        <v>148</v>
      </c>
      <c r="B1774" s="893"/>
      <c r="C1774" s="908"/>
      <c r="D1774" s="1032"/>
      <c r="E1774" s="947"/>
      <c r="F1774" s="947"/>
      <c r="G1774" s="922"/>
      <c r="H1774" s="1041"/>
      <c r="I1774" s="882"/>
      <c r="J1774" s="898"/>
      <c r="K1774" s="899" t="str">
        <f>IF(G1774&lt;&gt;0,VLOOKUP(G1774,'gia dat'!$A$1:$F$144,5,0)," ")</f>
        <v xml:space="preserve"> </v>
      </c>
      <c r="L1774" s="899" t="str">
        <f>IF(G1774&lt;&gt;0,VLOOKUP(G1774,'gia dat'!$A$1:$F$144,6,0)," ")</f>
        <v xml:space="preserve"> </v>
      </c>
      <c r="M1774" s="900" t="str">
        <f t="shared" si="391"/>
        <v xml:space="preserve"> </v>
      </c>
      <c r="N1774" s="900" t="str">
        <f t="shared" si="392"/>
        <v xml:space="preserve"> </v>
      </c>
      <c r="O1774" s="908"/>
      <c r="P1774" s="1065"/>
      <c r="Q1774" s="900" t="str">
        <f>IF(O1774&lt;&gt;0,VLOOKUP(O1774,'Cây trong'!$A$2:$C$246,3,0)," ")</f>
        <v xml:space="preserve"> </v>
      </c>
      <c r="R1774" s="900" t="str">
        <f t="shared" si="389"/>
        <v xml:space="preserve"> </v>
      </c>
      <c r="S1774" s="902"/>
      <c r="T1774" s="944"/>
      <c r="U1774" s="1066"/>
      <c r="V1774" s="922"/>
      <c r="W1774" s="900" t="str">
        <f>IF(S1774&lt;&gt;0,VLOOKUP(S1774,VKT!$A$2:$G$415,7,0),"")</f>
        <v/>
      </c>
      <c r="X1774" s="900" t="str">
        <f t="shared" si="395"/>
        <v xml:space="preserve"> </v>
      </c>
      <c r="Y1774" s="985"/>
      <c r="Z1774" s="922"/>
      <c r="AA1774" s="1067"/>
      <c r="AB1774" s="922"/>
      <c r="AC1774" s="922"/>
      <c r="AD1774" s="922"/>
      <c r="AE1774" s="922"/>
      <c r="AF1774" s="1046"/>
      <c r="AG1774" s="906" t="str">
        <f>IF(AE1774&lt;&gt;0,VLOOKUP(AE1774,ODDS!$A$2:$C$13,3,0),"")</f>
        <v/>
      </c>
      <c r="AH1774" s="906" t="str">
        <f t="shared" si="390"/>
        <v xml:space="preserve"> </v>
      </c>
      <c r="AI1774" s="907" t="str">
        <f t="shared" si="388"/>
        <v xml:space="preserve"> </v>
      </c>
      <c r="AJ1774" s="922" t="s">
        <v>1246</v>
      </c>
      <c r="AK1774" s="922"/>
    </row>
    <row r="1775" spans="1:39" s="394" customFormat="1" ht="45" outlineLevel="2" x14ac:dyDescent="0.35">
      <c r="A1775" s="447">
        <f>IF(B1774&lt;&gt;0,B1774,A1774)</f>
        <v>148</v>
      </c>
      <c r="B1775" s="893"/>
      <c r="C1775" s="908"/>
      <c r="D1775" s="1032"/>
      <c r="E1775" s="947"/>
      <c r="F1775" s="947"/>
      <c r="G1775" s="922"/>
      <c r="H1775" s="1041"/>
      <c r="I1775" s="882"/>
      <c r="J1775" s="894"/>
      <c r="K1775" s="899" t="str">
        <f>IF(G1775&lt;&gt;0,VLOOKUP(G1775,'gia dat'!$A$1:$F$144,5,0)," ")</f>
        <v xml:space="preserve"> </v>
      </c>
      <c r="L1775" s="899" t="str">
        <f>IF(G1775&lt;&gt;0,VLOOKUP(G1775,'gia dat'!$A$1:$F$144,6,0)," ")</f>
        <v xml:space="preserve"> </v>
      </c>
      <c r="M1775" s="900" t="str">
        <f t="shared" si="391"/>
        <v xml:space="preserve"> </v>
      </c>
      <c r="N1775" s="900" t="str">
        <f t="shared" si="392"/>
        <v xml:space="preserve"> </v>
      </c>
      <c r="O1775" s="908"/>
      <c r="P1775" s="1065"/>
      <c r="Q1775" s="900" t="str">
        <f>IF(O1775&lt;&gt;0,VLOOKUP(O1775,'Cây trong'!$A$2:$C$246,3,0)," ")</f>
        <v xml:space="preserve"> </v>
      </c>
      <c r="R1775" s="900" t="str">
        <f t="shared" si="389"/>
        <v xml:space="preserve"> </v>
      </c>
      <c r="S1775" s="908"/>
      <c r="T1775" s="944"/>
      <c r="U1775" s="1066"/>
      <c r="V1775" s="922"/>
      <c r="W1775" s="900" t="str">
        <f>IF(S1775&lt;&gt;0,VLOOKUP(S1775,VKT!$A$2:$G$415,7,0),"")</f>
        <v/>
      </c>
      <c r="X1775" s="900" t="str">
        <f t="shared" si="395"/>
        <v xml:space="preserve"> </v>
      </c>
      <c r="Y1775" s="985"/>
      <c r="Z1775" s="922"/>
      <c r="AA1775" s="1067"/>
      <c r="AB1775" s="922"/>
      <c r="AC1775" s="922"/>
      <c r="AD1775" s="922"/>
      <c r="AE1775" s="922"/>
      <c r="AF1775" s="1046"/>
      <c r="AG1775" s="906" t="str">
        <f>IF(AE1775&lt;&gt;0,VLOOKUP(AE1775,ODDS!$A$2:$C$13,3,0),"")</f>
        <v/>
      </c>
      <c r="AH1775" s="906" t="str">
        <f t="shared" si="390"/>
        <v xml:space="preserve"> </v>
      </c>
      <c r="AI1775" s="907" t="str">
        <f t="shared" si="388"/>
        <v xml:space="preserve"> </v>
      </c>
      <c r="AJ1775" s="1068" t="s">
        <v>2456</v>
      </c>
      <c r="AK1775" s="922"/>
    </row>
    <row r="1776" spans="1:39" s="394" customFormat="1" ht="22.5" outlineLevel="2" x14ac:dyDescent="0.3">
      <c r="A1776" s="447">
        <f>IF(B1775&lt;&gt;0,B1775,A1775)</f>
        <v>148</v>
      </c>
      <c r="B1776" s="893"/>
      <c r="C1776" s="908"/>
      <c r="D1776" s="1032"/>
      <c r="E1776" s="947"/>
      <c r="F1776" s="947"/>
      <c r="G1776" s="922"/>
      <c r="H1776" s="1041"/>
      <c r="I1776" s="882"/>
      <c r="J1776" s="894"/>
      <c r="K1776" s="899" t="str">
        <f>IF(G1776&lt;&gt;0,VLOOKUP(G1776,'gia dat'!$A$1:$F$144,5,0)," ")</f>
        <v xml:space="preserve"> </v>
      </c>
      <c r="L1776" s="899" t="str">
        <f>IF(G1776&lt;&gt;0,VLOOKUP(G1776,'gia dat'!$A$1:$F$144,6,0)," ")</f>
        <v xml:space="preserve"> </v>
      </c>
      <c r="M1776" s="900" t="str">
        <f t="shared" si="391"/>
        <v xml:space="preserve"> </v>
      </c>
      <c r="N1776" s="900" t="str">
        <f t="shared" si="392"/>
        <v xml:space="preserve"> </v>
      </c>
      <c r="O1776" s="908"/>
      <c r="P1776" s="1065"/>
      <c r="Q1776" s="900" t="str">
        <f>IF(O1776&lt;&gt;0,VLOOKUP(O1776,'Cây trong'!$A$2:$C$246,3,0)," ")</f>
        <v xml:space="preserve"> </v>
      </c>
      <c r="R1776" s="900" t="str">
        <f t="shared" si="389"/>
        <v xml:space="preserve"> </v>
      </c>
      <c r="S1776" s="908"/>
      <c r="T1776" s="944"/>
      <c r="U1776" s="1066"/>
      <c r="V1776" s="922"/>
      <c r="W1776" s="900" t="str">
        <f>IF(S1776&lt;&gt;0,VLOOKUP(S1776,VKT!$A$2:$G$415,7,0),"")</f>
        <v/>
      </c>
      <c r="X1776" s="900" t="str">
        <f t="shared" si="395"/>
        <v xml:space="preserve"> </v>
      </c>
      <c r="Y1776" s="985"/>
      <c r="Z1776" s="922"/>
      <c r="AA1776" s="1067"/>
      <c r="AB1776" s="922"/>
      <c r="AC1776" s="922"/>
      <c r="AD1776" s="922"/>
      <c r="AE1776" s="922"/>
      <c r="AF1776" s="1046"/>
      <c r="AG1776" s="906" t="str">
        <f>IF(AE1776&lt;&gt;0,VLOOKUP(AE1776,ODDS!$A$2:$C$13,3,0),"")</f>
        <v/>
      </c>
      <c r="AH1776" s="906" t="str">
        <f t="shared" si="390"/>
        <v xml:space="preserve"> </v>
      </c>
      <c r="AI1776" s="907" t="str">
        <f t="shared" si="388"/>
        <v xml:space="preserve"> </v>
      </c>
      <c r="AJ1776" s="894"/>
      <c r="AK1776" s="894"/>
    </row>
    <row r="1777" spans="1:39" s="394" customFormat="1" ht="22.5" outlineLevel="2" x14ac:dyDescent="0.3">
      <c r="A1777" s="447">
        <f>IF(B1776&lt;&gt;0,B1776,A1776)</f>
        <v>148</v>
      </c>
      <c r="B1777" s="893"/>
      <c r="C1777" s="942"/>
      <c r="D1777" s="1032"/>
      <c r="E1777" s="947"/>
      <c r="F1777" s="947"/>
      <c r="G1777" s="922"/>
      <c r="H1777" s="1041"/>
      <c r="I1777" s="882"/>
      <c r="J1777" s="894"/>
      <c r="K1777" s="899" t="str">
        <f>IF(G1777&lt;&gt;0,VLOOKUP(G1777,'gia dat'!$A$1:$F$144,5,0)," ")</f>
        <v xml:space="preserve"> </v>
      </c>
      <c r="L1777" s="899" t="str">
        <f>IF(G1777&lt;&gt;0,VLOOKUP(G1777,'gia dat'!$A$1:$F$144,6,0)," ")</f>
        <v xml:space="preserve"> </v>
      </c>
      <c r="M1777" s="900" t="str">
        <f t="shared" si="391"/>
        <v xml:space="preserve"> </v>
      </c>
      <c r="N1777" s="900" t="str">
        <f t="shared" si="392"/>
        <v xml:space="preserve"> </v>
      </c>
      <c r="O1777" s="908"/>
      <c r="P1777" s="1065"/>
      <c r="Q1777" s="900" t="str">
        <f>IF(O1777&lt;&gt;0,VLOOKUP(O1777,'Cây trong'!$A$2:$C$246,3,0)," ")</f>
        <v xml:space="preserve"> </v>
      </c>
      <c r="R1777" s="900" t="str">
        <f t="shared" si="389"/>
        <v xml:space="preserve"> </v>
      </c>
      <c r="S1777" s="908"/>
      <c r="T1777" s="944"/>
      <c r="U1777" s="1066"/>
      <c r="V1777" s="922"/>
      <c r="W1777" s="900" t="str">
        <f>IF(S1777&lt;&gt;0,VLOOKUP(S1777,VKT!$A$2:$G$415,7,0),"")</f>
        <v/>
      </c>
      <c r="X1777" s="900" t="str">
        <f t="shared" si="395"/>
        <v xml:space="preserve"> </v>
      </c>
      <c r="Y1777" s="985"/>
      <c r="Z1777" s="922"/>
      <c r="AA1777" s="1067"/>
      <c r="AB1777" s="922"/>
      <c r="AC1777" s="922"/>
      <c r="AD1777" s="922"/>
      <c r="AE1777" s="922"/>
      <c r="AF1777" s="1046"/>
      <c r="AG1777" s="906" t="str">
        <f>IF(AE1777&lt;&gt;0,VLOOKUP(AE1777,ODDS!$A$2:$C$13,3,0),"")</f>
        <v/>
      </c>
      <c r="AH1777" s="906" t="str">
        <f t="shared" si="390"/>
        <v xml:space="preserve"> </v>
      </c>
      <c r="AI1777" s="907" t="str">
        <f t="shared" si="388"/>
        <v xml:space="preserve"> </v>
      </c>
      <c r="AJ1777" s="922"/>
      <c r="AK1777" s="922"/>
    </row>
    <row r="1778" spans="1:39" s="396" customFormat="1" ht="43.5" outlineLevel="1" x14ac:dyDescent="0.25">
      <c r="A1778" s="467" t="s">
        <v>2561</v>
      </c>
      <c r="B1778" s="912">
        <v>149</v>
      </c>
      <c r="C1778" s="942" t="s">
        <v>1247</v>
      </c>
      <c r="D1778" s="1038"/>
      <c r="E1778" s="977"/>
      <c r="F1778" s="977"/>
      <c r="G1778" s="914"/>
      <c r="H1778" s="1039">
        <f>SUBTOTAL(9,H1779:H1789)</f>
        <v>570</v>
      </c>
      <c r="I1778" s="915">
        <f>SUBTOTAL(9,I1779:I1784)</f>
        <v>0</v>
      </c>
      <c r="J1778" s="916"/>
      <c r="K1778" s="917"/>
      <c r="L1778" s="917"/>
      <c r="M1778" s="907">
        <f>SUBTOTAL(9,M1779:M1789)</f>
        <v>265392000</v>
      </c>
      <c r="N1778" s="907">
        <f>SUBTOTAL(9,N1779:N1789)</f>
        <v>0</v>
      </c>
      <c r="O1778" s="942"/>
      <c r="P1778" s="1063">
        <f>SUBTOTAL(9,P1779:P1789)</f>
        <v>70</v>
      </c>
      <c r="Q1778" s="907"/>
      <c r="R1778" s="907">
        <f>SUBTOTAL(9,R1779:R1789)</f>
        <v>52760000</v>
      </c>
      <c r="S1778" s="918"/>
      <c r="T1778" s="956"/>
      <c r="U1778" s="1064">
        <f>SUBTOTAL(9,U1779:U1789)</f>
        <v>31.9</v>
      </c>
      <c r="V1778" s="914"/>
      <c r="W1778" s="907"/>
      <c r="X1778" s="907">
        <f>SUBTOTAL(9,X1779:X1789)</f>
        <v>21927000</v>
      </c>
      <c r="Y1778" s="985"/>
      <c r="Z1778" s="922"/>
      <c r="AA1778" s="1067"/>
      <c r="AB1778" s="922"/>
      <c r="AC1778" s="922"/>
      <c r="AD1778" s="922"/>
      <c r="AE1778" s="914"/>
      <c r="AF1778" s="1044">
        <f>SUBTOTAL(9,AF1779:AF1789)</f>
        <v>0</v>
      </c>
      <c r="AG1778" s="921"/>
      <c r="AH1778" s="921">
        <f>SUBTOTAL(9,AH1779:AH1789)</f>
        <v>0</v>
      </c>
      <c r="AI1778" s="907">
        <f t="shared" si="388"/>
        <v>340079000</v>
      </c>
      <c r="AJ1778" s="914"/>
      <c r="AK1778" s="914"/>
      <c r="AM1778" s="468"/>
    </row>
    <row r="1779" spans="1:39" s="396" customFormat="1" ht="135" outlineLevel="2" x14ac:dyDescent="0.3">
      <c r="A1779" s="447">
        <f>IF(B1778&lt;&gt;0,B1778,A1777)</f>
        <v>149</v>
      </c>
      <c r="B1779" s="893"/>
      <c r="C1779" s="908" t="s">
        <v>1250</v>
      </c>
      <c r="D1779" s="1032">
        <v>5</v>
      </c>
      <c r="E1779" s="947">
        <v>86</v>
      </c>
      <c r="F1779" s="947">
        <v>282</v>
      </c>
      <c r="G1779" s="922" t="s">
        <v>2436</v>
      </c>
      <c r="H1779" s="1041">
        <f>570</f>
        <v>570</v>
      </c>
      <c r="I1779" s="882" t="str">
        <f t="shared" ref="I1779" si="397">IF(N1779&gt;0,H1779,"")</f>
        <v/>
      </c>
      <c r="J1779" s="898"/>
      <c r="K1779" s="899">
        <f>IF(G1779&lt;&gt;0,VLOOKUP(G1779,'gia dat'!$A$1:$F$144,5,0)," ")</f>
        <v>465600</v>
      </c>
      <c r="L1779" s="899">
        <f>IF(G1779&lt;&gt;0,VLOOKUP(G1779,'gia dat'!$A$1:$F$144,6,0)," ")</f>
        <v>0</v>
      </c>
      <c r="M1779" s="900">
        <f t="shared" si="391"/>
        <v>265392000</v>
      </c>
      <c r="N1779" s="900">
        <f t="shared" si="392"/>
        <v>0</v>
      </c>
      <c r="O1779" s="908" t="s">
        <v>1248</v>
      </c>
      <c r="P1779" s="1065">
        <v>1</v>
      </c>
      <c r="Q1779" s="900">
        <f>IF(O1779&lt;&gt;0,VLOOKUP(O1779,'Cây trong'!$A$2:$C$246,3,0)," ")</f>
        <v>0</v>
      </c>
      <c r="R1779" s="900">
        <f t="shared" si="389"/>
        <v>0</v>
      </c>
      <c r="S1779" s="902" t="s">
        <v>2375</v>
      </c>
      <c r="T1779" s="944" t="s">
        <v>1133</v>
      </c>
      <c r="U1779" s="1066">
        <v>31.9</v>
      </c>
      <c r="V1779" s="922"/>
      <c r="W1779" s="900">
        <f>IF(S1779&lt;&gt;0,VLOOKUP(S1779,VKT!$A$2:$G$415,7,0),"")</f>
        <v>687379</v>
      </c>
      <c r="X1779" s="900">
        <f t="shared" si="395"/>
        <v>21927000</v>
      </c>
      <c r="Y1779" s="985"/>
      <c r="Z1779" s="922"/>
      <c r="AA1779" s="1067"/>
      <c r="AB1779" s="922"/>
      <c r="AC1779" s="922"/>
      <c r="AD1779" s="922"/>
      <c r="AE1779" s="922"/>
      <c r="AF1779" s="1046"/>
      <c r="AG1779" s="906" t="str">
        <f>IF(AE1779&lt;&gt;0,VLOOKUP(AE1779,ODDS!$A$2:$C$13,3,0),"")</f>
        <v/>
      </c>
      <c r="AH1779" s="906"/>
      <c r="AI1779" s="907" t="str">
        <f t="shared" si="388"/>
        <v xml:space="preserve"> </v>
      </c>
      <c r="AJ1779" s="922" t="s">
        <v>1249</v>
      </c>
      <c r="AK1779" s="922" t="s">
        <v>2771</v>
      </c>
      <c r="AM1779" s="380" t="s">
        <v>1924</v>
      </c>
    </row>
    <row r="1780" spans="1:39" s="394" customFormat="1" ht="112.5" outlineLevel="2" x14ac:dyDescent="0.3">
      <c r="A1780" s="447">
        <f t="shared" ref="A1780:A1789" si="398">IF(B1779&lt;&gt;0,B1779,A1779)</f>
        <v>149</v>
      </c>
      <c r="B1780" s="893"/>
      <c r="C1780" s="908" t="s">
        <v>1608</v>
      </c>
      <c r="D1780" s="1032"/>
      <c r="E1780" s="947"/>
      <c r="F1780" s="947"/>
      <c r="G1780" s="922"/>
      <c r="H1780" s="1041"/>
      <c r="I1780" s="882"/>
      <c r="J1780" s="898"/>
      <c r="K1780" s="899" t="str">
        <f>IF(G1780&lt;&gt;0,VLOOKUP(G1780,'gia dat'!$A$1:$F$144,5,0)," ")</f>
        <v xml:space="preserve"> </v>
      </c>
      <c r="L1780" s="899" t="str">
        <f>IF(G1780&lt;&gt;0,VLOOKUP(G1780,'gia dat'!$A$1:$F$144,6,0)," ")</f>
        <v xml:space="preserve"> </v>
      </c>
      <c r="M1780" s="900" t="str">
        <f t="shared" si="391"/>
        <v xml:space="preserve"> </v>
      </c>
      <c r="N1780" s="900" t="str">
        <f t="shared" si="392"/>
        <v xml:space="preserve"> </v>
      </c>
      <c r="O1780" s="908" t="s">
        <v>1251</v>
      </c>
      <c r="P1780" s="1065">
        <v>16</v>
      </c>
      <c r="Q1780" s="900">
        <f>IF(O1780&lt;&gt;0,VLOOKUP(O1780,'Cây trong'!$A$2:$C$246,3,0)," ")</f>
        <v>2400000</v>
      </c>
      <c r="R1780" s="900">
        <f t="shared" si="389"/>
        <v>38400000</v>
      </c>
      <c r="S1780" s="902"/>
      <c r="T1780" s="944"/>
      <c r="U1780" s="1066"/>
      <c r="V1780" s="922"/>
      <c r="W1780" s="900" t="str">
        <f>IF(S1780&lt;&gt;0,VLOOKUP(S1780,VKT!$A$2:$G$415,7,0),"")</f>
        <v/>
      </c>
      <c r="X1780" s="900" t="str">
        <f t="shared" si="395"/>
        <v xml:space="preserve"> </v>
      </c>
      <c r="Y1780" s="985"/>
      <c r="Z1780" s="922"/>
      <c r="AA1780" s="1067"/>
      <c r="AB1780" s="922"/>
      <c r="AC1780" s="922"/>
      <c r="AD1780" s="922"/>
      <c r="AE1780" s="922"/>
      <c r="AF1780" s="1046"/>
      <c r="AG1780" s="906" t="str">
        <f>IF(AE1780&lt;&gt;0,VLOOKUP(AE1780,ODDS!$A$2:$C$13,3,0),"")</f>
        <v/>
      </c>
      <c r="AH1780" s="906" t="str">
        <f t="shared" si="390"/>
        <v xml:space="preserve"> </v>
      </c>
      <c r="AI1780" s="907" t="str">
        <f t="shared" si="388"/>
        <v xml:space="preserve"> </v>
      </c>
      <c r="AJ1780" s="922" t="s">
        <v>1252</v>
      </c>
      <c r="AK1780" s="894" t="s">
        <v>2450</v>
      </c>
    </row>
    <row r="1781" spans="1:39" s="394" customFormat="1" ht="112.5" outlineLevel="2" x14ac:dyDescent="0.3">
      <c r="A1781" s="447">
        <f t="shared" si="398"/>
        <v>149</v>
      </c>
      <c r="B1781" s="893"/>
      <c r="C1781" s="908"/>
      <c r="D1781" s="1032"/>
      <c r="E1781" s="947"/>
      <c r="F1781" s="947"/>
      <c r="G1781" s="922"/>
      <c r="H1781" s="1041"/>
      <c r="I1781" s="882"/>
      <c r="J1781" s="898"/>
      <c r="K1781" s="899" t="str">
        <f>IF(G1781&lt;&gt;0,VLOOKUP(G1781,'gia dat'!$A$1:$F$144,5,0)," ")</f>
        <v xml:space="preserve"> </v>
      </c>
      <c r="L1781" s="899" t="str">
        <f>IF(G1781&lt;&gt;0,VLOOKUP(G1781,'gia dat'!$A$1:$F$144,6,0)," ")</f>
        <v xml:space="preserve"> </v>
      </c>
      <c r="M1781" s="900" t="str">
        <f t="shared" si="391"/>
        <v xml:space="preserve"> </v>
      </c>
      <c r="N1781" s="900" t="str">
        <f t="shared" si="392"/>
        <v xml:space="preserve"> </v>
      </c>
      <c r="O1781" s="908" t="s">
        <v>1253</v>
      </c>
      <c r="P1781" s="1065">
        <v>6</v>
      </c>
      <c r="Q1781" s="900">
        <f>IF(O1781&lt;&gt;0,VLOOKUP(O1781,'Cây trong'!$A$2:$C$246,3,0)," ")</f>
        <v>1080000</v>
      </c>
      <c r="R1781" s="900">
        <f t="shared" si="389"/>
        <v>6480000</v>
      </c>
      <c r="S1781" s="902"/>
      <c r="T1781" s="944"/>
      <c r="U1781" s="1066"/>
      <c r="V1781" s="922"/>
      <c r="W1781" s="900" t="str">
        <f>IF(S1781&lt;&gt;0,VLOOKUP(S1781,VKT!$A$2:$G$415,7,0),"")</f>
        <v/>
      </c>
      <c r="X1781" s="900" t="str">
        <f t="shared" si="395"/>
        <v xml:space="preserve"> </v>
      </c>
      <c r="Y1781" s="985"/>
      <c r="Z1781" s="922"/>
      <c r="AA1781" s="1067"/>
      <c r="AB1781" s="922"/>
      <c r="AC1781" s="922"/>
      <c r="AD1781" s="922"/>
      <c r="AE1781" s="922"/>
      <c r="AF1781" s="1046"/>
      <c r="AG1781" s="906" t="str">
        <f>IF(AE1781&lt;&gt;0,VLOOKUP(AE1781,ODDS!$A$2:$C$13,3,0),"")</f>
        <v/>
      </c>
      <c r="AH1781" s="906" t="str">
        <f t="shared" si="390"/>
        <v xml:space="preserve"> </v>
      </c>
      <c r="AI1781" s="907" t="str">
        <f t="shared" si="388"/>
        <v xml:space="preserve"> </v>
      </c>
      <c r="AJ1781" s="922" t="s">
        <v>2457</v>
      </c>
      <c r="AK1781" s="894" t="s">
        <v>2449</v>
      </c>
    </row>
    <row r="1782" spans="1:39" s="394" customFormat="1" ht="67.5" outlineLevel="2" x14ac:dyDescent="0.35">
      <c r="A1782" s="447">
        <f t="shared" si="398"/>
        <v>149</v>
      </c>
      <c r="B1782" s="893"/>
      <c r="C1782" s="908"/>
      <c r="D1782" s="1032"/>
      <c r="E1782" s="947"/>
      <c r="F1782" s="947"/>
      <c r="G1782" s="922"/>
      <c r="H1782" s="1041"/>
      <c r="I1782" s="882"/>
      <c r="J1782" s="898"/>
      <c r="K1782" s="899" t="str">
        <f>IF(G1782&lt;&gt;0,VLOOKUP(G1782,'gia dat'!$A$1:$F$144,5,0)," ")</f>
        <v xml:space="preserve"> </v>
      </c>
      <c r="L1782" s="899" t="str">
        <f>IF(G1782&lt;&gt;0,VLOOKUP(G1782,'gia dat'!$A$1:$F$144,6,0)," ")</f>
        <v xml:space="preserve"> </v>
      </c>
      <c r="M1782" s="900" t="str">
        <f t="shared" si="391"/>
        <v xml:space="preserve"> </v>
      </c>
      <c r="N1782" s="900" t="str">
        <f t="shared" si="392"/>
        <v xml:space="preserve"> </v>
      </c>
      <c r="O1782" s="908" t="s">
        <v>1254</v>
      </c>
      <c r="P1782" s="1065">
        <v>16</v>
      </c>
      <c r="Q1782" s="900">
        <f>IF(O1782&lt;&gt;0,VLOOKUP(O1782,'Cây trong'!$A$2:$C$246,3,0)," ")</f>
        <v>480000</v>
      </c>
      <c r="R1782" s="900">
        <f t="shared" si="389"/>
        <v>7680000</v>
      </c>
      <c r="S1782" s="902"/>
      <c r="T1782" s="944"/>
      <c r="U1782" s="1066"/>
      <c r="V1782" s="922"/>
      <c r="W1782" s="900" t="str">
        <f>IF(S1782&lt;&gt;0,VLOOKUP(S1782,VKT!$A$2:$G$415,7,0),"")</f>
        <v/>
      </c>
      <c r="X1782" s="900" t="str">
        <f t="shared" si="395"/>
        <v xml:space="preserve"> </v>
      </c>
      <c r="Y1782" s="985"/>
      <c r="Z1782" s="922"/>
      <c r="AA1782" s="1067"/>
      <c r="AB1782" s="922"/>
      <c r="AC1782" s="922"/>
      <c r="AD1782" s="922"/>
      <c r="AE1782" s="922"/>
      <c r="AF1782" s="1046"/>
      <c r="AG1782" s="906" t="str">
        <f>IF(AE1782&lt;&gt;0,VLOOKUP(AE1782,ODDS!$A$2:$C$13,3,0),"")</f>
        <v/>
      </c>
      <c r="AH1782" s="906" t="str">
        <f t="shared" si="390"/>
        <v xml:space="preserve"> </v>
      </c>
      <c r="AI1782" s="907" t="str">
        <f t="shared" si="388"/>
        <v xml:space="preserve"> </v>
      </c>
      <c r="AJ1782" s="1068"/>
      <c r="AK1782" s="922"/>
    </row>
    <row r="1783" spans="1:39" s="394" customFormat="1" ht="67.5" outlineLevel="2" x14ac:dyDescent="0.3">
      <c r="A1783" s="447">
        <f t="shared" si="398"/>
        <v>149</v>
      </c>
      <c r="B1783" s="893"/>
      <c r="C1783" s="908"/>
      <c r="D1783" s="1032"/>
      <c r="E1783" s="947"/>
      <c r="F1783" s="947"/>
      <c r="G1783" s="922"/>
      <c r="H1783" s="1041"/>
      <c r="I1783" s="882"/>
      <c r="J1783" s="898"/>
      <c r="K1783" s="899" t="str">
        <f>IF(G1783&lt;&gt;0,VLOOKUP(G1783,'gia dat'!$A$1:$F$144,5,0)," ")</f>
        <v xml:space="preserve"> </v>
      </c>
      <c r="L1783" s="899" t="str">
        <f>IF(G1783&lt;&gt;0,VLOOKUP(G1783,'gia dat'!$A$1:$F$144,6,0)," ")</f>
        <v xml:space="preserve"> </v>
      </c>
      <c r="M1783" s="900" t="str">
        <f t="shared" si="391"/>
        <v xml:space="preserve"> </v>
      </c>
      <c r="N1783" s="900" t="str">
        <f t="shared" si="392"/>
        <v xml:space="preserve"> </v>
      </c>
      <c r="O1783" s="908" t="s">
        <v>1255</v>
      </c>
      <c r="P1783" s="1065">
        <v>28</v>
      </c>
      <c r="Q1783" s="900">
        <f>IF(O1783&lt;&gt;0,VLOOKUP(O1783,'Cây trong'!$A$2:$C$246,3,0)," ")</f>
        <v>6000</v>
      </c>
      <c r="R1783" s="900">
        <f t="shared" si="389"/>
        <v>168000</v>
      </c>
      <c r="S1783" s="902"/>
      <c r="T1783" s="944"/>
      <c r="U1783" s="1066"/>
      <c r="V1783" s="922"/>
      <c r="W1783" s="900" t="str">
        <f>IF(S1783&lt;&gt;0,VLOOKUP(S1783,VKT!$A$2:$G$415,7,0),"")</f>
        <v/>
      </c>
      <c r="X1783" s="900" t="str">
        <f t="shared" si="395"/>
        <v xml:space="preserve"> </v>
      </c>
      <c r="Y1783" s="985"/>
      <c r="Z1783" s="922"/>
      <c r="AA1783" s="1067"/>
      <c r="AB1783" s="922"/>
      <c r="AC1783" s="922"/>
      <c r="AD1783" s="922"/>
      <c r="AE1783" s="922"/>
      <c r="AF1783" s="1046"/>
      <c r="AG1783" s="906" t="str">
        <f>IF(AE1783&lt;&gt;0,VLOOKUP(AE1783,ODDS!$A$2:$C$13,3,0),"")</f>
        <v/>
      </c>
      <c r="AH1783" s="906" t="str">
        <f t="shared" si="390"/>
        <v xml:space="preserve"> </v>
      </c>
      <c r="AI1783" s="907" t="str">
        <f t="shared" si="388"/>
        <v xml:space="preserve"> </v>
      </c>
      <c r="AJ1783" s="922"/>
      <c r="AK1783" s="922"/>
    </row>
    <row r="1784" spans="1:39" s="394" customFormat="1" ht="22.5" outlineLevel="2" x14ac:dyDescent="0.3">
      <c r="A1784" s="447">
        <f t="shared" si="398"/>
        <v>149</v>
      </c>
      <c r="B1784" s="893"/>
      <c r="C1784" s="908"/>
      <c r="D1784" s="1032"/>
      <c r="E1784" s="947"/>
      <c r="F1784" s="947"/>
      <c r="G1784" s="922"/>
      <c r="H1784" s="1041"/>
      <c r="I1784" s="882"/>
      <c r="J1784" s="898"/>
      <c r="K1784" s="899" t="str">
        <f>IF(G1784&lt;&gt;0,VLOOKUP(G1784,'gia dat'!$A$1:$F$144,5,0)," ")</f>
        <v xml:space="preserve"> </v>
      </c>
      <c r="L1784" s="899" t="str">
        <f>IF(G1784&lt;&gt;0,VLOOKUP(G1784,'gia dat'!$A$1:$F$144,6,0)," ")</f>
        <v xml:space="preserve"> </v>
      </c>
      <c r="M1784" s="900" t="str">
        <f t="shared" si="391"/>
        <v xml:space="preserve"> </v>
      </c>
      <c r="N1784" s="900" t="str">
        <f t="shared" si="392"/>
        <v xml:space="preserve"> </v>
      </c>
      <c r="O1784" s="908" t="s">
        <v>1256</v>
      </c>
      <c r="P1784" s="1065">
        <v>1</v>
      </c>
      <c r="Q1784" s="900">
        <f>IF(O1784&lt;&gt;0,VLOOKUP(O1784,'Cây trong'!$A$2:$C$246,3,0)," ")</f>
        <v>0</v>
      </c>
      <c r="R1784" s="900">
        <f t="shared" si="389"/>
        <v>0</v>
      </c>
      <c r="S1784" s="902"/>
      <c r="T1784" s="944"/>
      <c r="U1784" s="1066"/>
      <c r="V1784" s="922"/>
      <c r="W1784" s="900" t="str">
        <f>IF(S1784&lt;&gt;0,VLOOKUP(S1784,VKT!$A$2:$G$415,7,0),"")</f>
        <v/>
      </c>
      <c r="X1784" s="900" t="str">
        <f t="shared" si="395"/>
        <v xml:space="preserve"> </v>
      </c>
      <c r="Y1784" s="985"/>
      <c r="Z1784" s="922"/>
      <c r="AA1784" s="1067"/>
      <c r="AB1784" s="922"/>
      <c r="AC1784" s="922"/>
      <c r="AD1784" s="922"/>
      <c r="AE1784" s="922"/>
      <c r="AF1784" s="1046"/>
      <c r="AG1784" s="906" t="str">
        <f>IF(AE1784&lt;&gt;0,VLOOKUP(AE1784,ODDS!$A$2:$C$13,3,0),"")</f>
        <v/>
      </c>
      <c r="AH1784" s="906" t="str">
        <f t="shared" si="390"/>
        <v xml:space="preserve"> </v>
      </c>
      <c r="AI1784" s="907" t="str">
        <f t="shared" si="388"/>
        <v xml:space="preserve"> </v>
      </c>
      <c r="AJ1784" s="922"/>
      <c r="AK1784" s="922"/>
    </row>
    <row r="1785" spans="1:39" s="394" customFormat="1" ht="45" outlineLevel="2" x14ac:dyDescent="0.3">
      <c r="A1785" s="447">
        <f t="shared" si="398"/>
        <v>149</v>
      </c>
      <c r="B1785" s="893"/>
      <c r="C1785" s="908"/>
      <c r="D1785" s="1032"/>
      <c r="E1785" s="947"/>
      <c r="F1785" s="947"/>
      <c r="G1785" s="922"/>
      <c r="H1785" s="1041"/>
      <c r="I1785" s="882"/>
      <c r="J1785" s="898"/>
      <c r="K1785" s="899" t="str">
        <f>IF(G1785&lt;&gt;0,VLOOKUP(G1785,'gia dat'!$A$1:$F$144,5,0)," ")</f>
        <v xml:space="preserve"> </v>
      </c>
      <c r="L1785" s="899" t="str">
        <f>IF(G1785&lt;&gt;0,VLOOKUP(G1785,'gia dat'!$A$1:$F$144,6,0)," ")</f>
        <v xml:space="preserve"> </v>
      </c>
      <c r="M1785" s="900" t="str">
        <f t="shared" si="391"/>
        <v xml:space="preserve"> </v>
      </c>
      <c r="N1785" s="900" t="str">
        <f t="shared" si="392"/>
        <v xml:space="preserve"> </v>
      </c>
      <c r="O1785" s="908" t="s">
        <v>2106</v>
      </c>
      <c r="P1785" s="1065">
        <v>1</v>
      </c>
      <c r="Q1785" s="900">
        <f>IF(O1785&lt;&gt;0,VLOOKUP(O1785,'Cây trong'!$A$2:$C$246,3,0)," ")</f>
        <v>32000</v>
      </c>
      <c r="R1785" s="900">
        <f t="shared" si="389"/>
        <v>32000</v>
      </c>
      <c r="S1785" s="902"/>
      <c r="T1785" s="944"/>
      <c r="U1785" s="1066"/>
      <c r="V1785" s="922"/>
      <c r="W1785" s="900" t="str">
        <f>IF(S1785&lt;&gt;0,VLOOKUP(S1785,VKT!$A$2:$G$415,7,0),"")</f>
        <v/>
      </c>
      <c r="X1785" s="900" t="str">
        <f t="shared" si="395"/>
        <v xml:space="preserve"> </v>
      </c>
      <c r="Y1785" s="985"/>
      <c r="Z1785" s="922"/>
      <c r="AA1785" s="1067"/>
      <c r="AB1785" s="922"/>
      <c r="AC1785" s="922"/>
      <c r="AD1785" s="922"/>
      <c r="AE1785" s="922"/>
      <c r="AF1785" s="1046"/>
      <c r="AG1785" s="906" t="str">
        <f>IF(AE1785&lt;&gt;0,VLOOKUP(AE1785,ODDS!$A$2:$C$13,3,0),"")</f>
        <v/>
      </c>
      <c r="AH1785" s="906" t="str">
        <f t="shared" si="390"/>
        <v xml:space="preserve"> </v>
      </c>
      <c r="AI1785" s="907" t="str">
        <f t="shared" si="388"/>
        <v xml:space="preserve"> </v>
      </c>
      <c r="AJ1785" s="922"/>
      <c r="AK1785" s="922"/>
    </row>
    <row r="1786" spans="1:39" s="394" customFormat="1" ht="22.5" outlineLevel="2" x14ac:dyDescent="0.3">
      <c r="A1786" s="447">
        <f t="shared" si="398"/>
        <v>149</v>
      </c>
      <c r="B1786" s="893"/>
      <c r="C1786" s="908"/>
      <c r="D1786" s="1032"/>
      <c r="E1786" s="947"/>
      <c r="F1786" s="947"/>
      <c r="G1786" s="922"/>
      <c r="H1786" s="1041"/>
      <c r="I1786" s="882"/>
      <c r="J1786" s="898"/>
      <c r="K1786" s="899" t="str">
        <f>IF(G1786&lt;&gt;0,VLOOKUP(G1786,'gia dat'!$A$1:$F$144,5,0)," ")</f>
        <v xml:space="preserve"> </v>
      </c>
      <c r="L1786" s="899" t="str">
        <f>IF(G1786&lt;&gt;0,VLOOKUP(G1786,'gia dat'!$A$1:$F$144,6,0)," ")</f>
        <v xml:space="preserve"> </v>
      </c>
      <c r="M1786" s="900" t="str">
        <f t="shared" si="391"/>
        <v xml:space="preserve"> </v>
      </c>
      <c r="N1786" s="900" t="str">
        <f t="shared" si="392"/>
        <v xml:space="preserve"> </v>
      </c>
      <c r="O1786" s="908" t="s">
        <v>738</v>
      </c>
      <c r="P1786" s="1065">
        <v>1</v>
      </c>
      <c r="Q1786" s="900">
        <f>IF(O1786&lt;&gt;0,VLOOKUP(O1786,'Cây trong'!$A$2:$C$246,3,0)," ")</f>
        <v>0</v>
      </c>
      <c r="R1786" s="900">
        <f t="shared" si="389"/>
        <v>0</v>
      </c>
      <c r="S1786" s="902"/>
      <c r="T1786" s="944"/>
      <c r="U1786" s="1066"/>
      <c r="V1786" s="922"/>
      <c r="W1786" s="900" t="str">
        <f>IF(S1786&lt;&gt;0,VLOOKUP(S1786,VKT!$A$2:$G$415,7,0),"")</f>
        <v/>
      </c>
      <c r="X1786" s="900" t="str">
        <f t="shared" si="395"/>
        <v xml:space="preserve"> </v>
      </c>
      <c r="Y1786" s="985"/>
      <c r="Z1786" s="922"/>
      <c r="AA1786" s="1067"/>
      <c r="AB1786" s="922"/>
      <c r="AC1786" s="922"/>
      <c r="AD1786" s="922"/>
      <c r="AE1786" s="922"/>
      <c r="AF1786" s="1046"/>
      <c r="AG1786" s="906" t="str">
        <f>IF(AE1786&lt;&gt;0,VLOOKUP(AE1786,ODDS!$A$2:$C$13,3,0),"")</f>
        <v/>
      </c>
      <c r="AH1786" s="906" t="str">
        <f t="shared" si="390"/>
        <v xml:space="preserve"> </v>
      </c>
      <c r="AI1786" s="907" t="str">
        <f t="shared" si="388"/>
        <v xml:space="preserve"> </v>
      </c>
      <c r="AJ1786" s="922"/>
      <c r="AK1786" s="922"/>
    </row>
    <row r="1787" spans="1:39" s="394" customFormat="1" ht="22.5" outlineLevel="2" x14ac:dyDescent="0.3">
      <c r="A1787" s="447">
        <f t="shared" si="398"/>
        <v>149</v>
      </c>
      <c r="B1787" s="893"/>
      <c r="C1787" s="908"/>
      <c r="D1787" s="1032"/>
      <c r="E1787" s="947"/>
      <c r="F1787" s="947"/>
      <c r="G1787" s="922"/>
      <c r="H1787" s="1041"/>
      <c r="I1787" s="882"/>
      <c r="J1787" s="898"/>
      <c r="K1787" s="899" t="str">
        <f>IF(G1787&lt;&gt;0,VLOOKUP(G1787,'gia dat'!$A$1:$F$144,5,0)," ")</f>
        <v xml:space="preserve"> </v>
      </c>
      <c r="L1787" s="899" t="str">
        <f>IF(G1787&lt;&gt;0,VLOOKUP(G1787,'gia dat'!$A$1:$F$144,6,0)," ")</f>
        <v xml:space="preserve"> </v>
      </c>
      <c r="M1787" s="900" t="str">
        <f t="shared" si="391"/>
        <v xml:space="preserve"> </v>
      </c>
      <c r="N1787" s="900" t="str">
        <f t="shared" si="392"/>
        <v xml:space="preserve"> </v>
      </c>
      <c r="O1787" s="908"/>
      <c r="P1787" s="1065"/>
      <c r="Q1787" s="900" t="str">
        <f>IF(O1787&lt;&gt;0,VLOOKUP(O1787,'Cây trong'!$A$2:$C$246,3,0)," ")</f>
        <v xml:space="preserve"> </v>
      </c>
      <c r="R1787" s="900" t="str">
        <f t="shared" si="389"/>
        <v xml:space="preserve"> </v>
      </c>
      <c r="S1787" s="902"/>
      <c r="T1787" s="944"/>
      <c r="U1787" s="1066"/>
      <c r="V1787" s="922"/>
      <c r="W1787" s="900" t="str">
        <f>IF(S1787&lt;&gt;0,VLOOKUP(S1787,VKT!$A$2:$G$415,7,0),"")</f>
        <v/>
      </c>
      <c r="X1787" s="900" t="str">
        <f t="shared" si="395"/>
        <v xml:space="preserve"> </v>
      </c>
      <c r="Y1787" s="985"/>
      <c r="Z1787" s="922"/>
      <c r="AA1787" s="1067"/>
      <c r="AB1787" s="922"/>
      <c r="AC1787" s="922"/>
      <c r="AD1787" s="922"/>
      <c r="AE1787" s="922"/>
      <c r="AF1787" s="1046"/>
      <c r="AG1787" s="906" t="str">
        <f>IF(AE1787&lt;&gt;0,VLOOKUP(AE1787,ODDS!$A$2:$C$13,3,0),"")</f>
        <v/>
      </c>
      <c r="AH1787" s="906" t="str">
        <f t="shared" si="390"/>
        <v xml:space="preserve"> </v>
      </c>
      <c r="AI1787" s="907" t="str">
        <f t="shared" si="388"/>
        <v xml:space="preserve"> </v>
      </c>
      <c r="AJ1787" s="922"/>
      <c r="AK1787" s="922"/>
    </row>
    <row r="1788" spans="1:39" s="394" customFormat="1" ht="22.5" outlineLevel="2" x14ac:dyDescent="0.3">
      <c r="A1788" s="447">
        <f t="shared" si="398"/>
        <v>149</v>
      </c>
      <c r="B1788" s="893"/>
      <c r="C1788" s="908"/>
      <c r="D1788" s="1032"/>
      <c r="E1788" s="947"/>
      <c r="F1788" s="947"/>
      <c r="G1788" s="922"/>
      <c r="H1788" s="1041"/>
      <c r="I1788" s="882"/>
      <c r="J1788" s="894"/>
      <c r="K1788" s="899" t="str">
        <f>IF(G1788&lt;&gt;0,VLOOKUP(G1788,'gia dat'!$A$1:$F$144,5,0)," ")</f>
        <v xml:space="preserve"> </v>
      </c>
      <c r="L1788" s="899" t="str">
        <f>IF(G1788&lt;&gt;0,VLOOKUP(G1788,'gia dat'!$A$1:$F$144,6,0)," ")</f>
        <v xml:space="preserve"> </v>
      </c>
      <c r="M1788" s="900" t="str">
        <f t="shared" si="391"/>
        <v xml:space="preserve"> </v>
      </c>
      <c r="N1788" s="900" t="str">
        <f t="shared" si="392"/>
        <v xml:space="preserve"> </v>
      </c>
      <c r="O1788" s="908"/>
      <c r="P1788" s="1065"/>
      <c r="Q1788" s="900" t="str">
        <f>IF(O1788&lt;&gt;0,VLOOKUP(O1788,'Cây trong'!$A$2:$C$246,3,0)," ")</f>
        <v xml:space="preserve"> </v>
      </c>
      <c r="R1788" s="900" t="str">
        <f t="shared" si="389"/>
        <v xml:space="preserve"> </v>
      </c>
      <c r="S1788" s="908"/>
      <c r="T1788" s="944"/>
      <c r="U1788" s="1066"/>
      <c r="V1788" s="922"/>
      <c r="W1788" s="900" t="str">
        <f>IF(S1788&lt;&gt;0,VLOOKUP(S1788,VKT!$A$2:$G$415,7,0),"")</f>
        <v/>
      </c>
      <c r="X1788" s="900" t="str">
        <f t="shared" si="395"/>
        <v xml:space="preserve"> </v>
      </c>
      <c r="Y1788" s="985"/>
      <c r="Z1788" s="922"/>
      <c r="AA1788" s="1067"/>
      <c r="AB1788" s="922"/>
      <c r="AC1788" s="922"/>
      <c r="AD1788" s="922"/>
      <c r="AE1788" s="922"/>
      <c r="AF1788" s="1046"/>
      <c r="AG1788" s="906" t="str">
        <f>IF(AE1788&lt;&gt;0,VLOOKUP(AE1788,ODDS!$A$2:$C$13,3,0),"")</f>
        <v/>
      </c>
      <c r="AH1788" s="906" t="str">
        <f t="shared" si="390"/>
        <v xml:space="preserve"> </v>
      </c>
      <c r="AI1788" s="907" t="str">
        <f t="shared" si="388"/>
        <v xml:space="preserve"> </v>
      </c>
      <c r="AJ1788" s="894"/>
      <c r="AK1788" s="894"/>
    </row>
    <row r="1789" spans="1:39" s="394" customFormat="1" ht="22.5" outlineLevel="2" x14ac:dyDescent="0.3">
      <c r="A1789" s="447">
        <f t="shared" si="398"/>
        <v>149</v>
      </c>
      <c r="B1789" s="893"/>
      <c r="C1789" s="942"/>
      <c r="D1789" s="1032"/>
      <c r="E1789" s="947"/>
      <c r="F1789" s="947"/>
      <c r="G1789" s="922"/>
      <c r="H1789" s="1041"/>
      <c r="I1789" s="882"/>
      <c r="J1789" s="894"/>
      <c r="K1789" s="899" t="str">
        <f>IF(G1789&lt;&gt;0,VLOOKUP(G1789,'gia dat'!$A$1:$F$144,5,0)," ")</f>
        <v xml:space="preserve"> </v>
      </c>
      <c r="L1789" s="899" t="str">
        <f>IF(G1789&lt;&gt;0,VLOOKUP(G1789,'gia dat'!$A$1:$F$144,6,0)," ")</f>
        <v xml:space="preserve"> </v>
      </c>
      <c r="M1789" s="900" t="str">
        <f t="shared" si="391"/>
        <v xml:space="preserve"> </v>
      </c>
      <c r="N1789" s="900" t="str">
        <f t="shared" si="392"/>
        <v xml:space="preserve"> </v>
      </c>
      <c r="O1789" s="908"/>
      <c r="P1789" s="1065"/>
      <c r="Q1789" s="900" t="str">
        <f>IF(O1789&lt;&gt;0,VLOOKUP(O1789,'Cây trong'!$A$2:$C$246,3,0)," ")</f>
        <v xml:space="preserve"> </v>
      </c>
      <c r="R1789" s="900" t="str">
        <f t="shared" si="389"/>
        <v xml:space="preserve"> </v>
      </c>
      <c r="S1789" s="908"/>
      <c r="T1789" s="944"/>
      <c r="U1789" s="1066"/>
      <c r="V1789" s="922"/>
      <c r="W1789" s="900" t="str">
        <f>IF(S1789&lt;&gt;0,VLOOKUP(S1789,VKT!$A$2:$G$415,7,0),"")</f>
        <v/>
      </c>
      <c r="X1789" s="900" t="str">
        <f t="shared" si="395"/>
        <v xml:space="preserve"> </v>
      </c>
      <c r="Y1789" s="985"/>
      <c r="Z1789" s="922"/>
      <c r="AA1789" s="1067"/>
      <c r="AB1789" s="922"/>
      <c r="AC1789" s="922"/>
      <c r="AD1789" s="922"/>
      <c r="AE1789" s="922"/>
      <c r="AF1789" s="1046"/>
      <c r="AG1789" s="906" t="str">
        <f>IF(AE1789&lt;&gt;0,VLOOKUP(AE1789,ODDS!$A$2:$C$13,3,0),"")</f>
        <v/>
      </c>
      <c r="AH1789" s="906" t="str">
        <f t="shared" si="390"/>
        <v xml:space="preserve"> </v>
      </c>
      <c r="AI1789" s="907" t="str">
        <f t="shared" si="388"/>
        <v xml:space="preserve"> </v>
      </c>
      <c r="AJ1789" s="922"/>
      <c r="AK1789" s="922"/>
    </row>
    <row r="1790" spans="1:39" s="396" customFormat="1" ht="22.5" outlineLevel="1" x14ac:dyDescent="0.25">
      <c r="A1790" s="467" t="s">
        <v>2560</v>
      </c>
      <c r="B1790" s="912">
        <v>150</v>
      </c>
      <c r="C1790" s="942" t="s">
        <v>1257</v>
      </c>
      <c r="D1790" s="1038"/>
      <c r="E1790" s="977"/>
      <c r="F1790" s="977"/>
      <c r="G1790" s="914"/>
      <c r="H1790" s="1039">
        <f>SUBTOTAL(9,H1791:H1796)</f>
        <v>847.3</v>
      </c>
      <c r="I1790" s="915">
        <f>SUBTOTAL(9,I1791:I1796)</f>
        <v>0</v>
      </c>
      <c r="J1790" s="916"/>
      <c r="K1790" s="917"/>
      <c r="L1790" s="917"/>
      <c r="M1790" s="907">
        <f>SUBTOTAL(9,M1791:M1796)</f>
        <v>394503000</v>
      </c>
      <c r="N1790" s="907">
        <f>SUBTOTAL(9,N1791:N1796)</f>
        <v>0</v>
      </c>
      <c r="O1790" s="942"/>
      <c r="P1790" s="1063">
        <f>SUBTOTAL(9,P1791:P1796)</f>
        <v>792</v>
      </c>
      <c r="Q1790" s="907"/>
      <c r="R1790" s="907">
        <f>SUBTOTAL(9,R1791:R1796)</f>
        <v>9504000</v>
      </c>
      <c r="S1790" s="918"/>
      <c r="T1790" s="956"/>
      <c r="U1790" s="1064">
        <f>SUBTOTAL(9,U1791:U1796)</f>
        <v>0</v>
      </c>
      <c r="V1790" s="914"/>
      <c r="W1790" s="907"/>
      <c r="X1790" s="907">
        <f>SUBTOTAL(9,X1791:X1796)</f>
        <v>0</v>
      </c>
      <c r="Y1790" s="985"/>
      <c r="Z1790" s="922"/>
      <c r="AA1790" s="1067"/>
      <c r="AB1790" s="922"/>
      <c r="AC1790" s="922"/>
      <c r="AD1790" s="922"/>
      <c r="AE1790" s="914"/>
      <c r="AF1790" s="1044">
        <f>SUBTOTAL(9,AF1791:AF1796)</f>
        <v>0</v>
      </c>
      <c r="AG1790" s="921"/>
      <c r="AH1790" s="921">
        <f>SUBTOTAL(9,AH1791:AH1796)</f>
        <v>0</v>
      </c>
      <c r="AI1790" s="907">
        <f t="shared" si="388"/>
        <v>404007000</v>
      </c>
      <c r="AJ1790" s="914"/>
      <c r="AK1790" s="914"/>
    </row>
    <row r="1791" spans="1:39" s="396" customFormat="1" ht="135" outlineLevel="2" x14ac:dyDescent="0.3">
      <c r="A1791" s="447">
        <f>IF(B1790&lt;&gt;0,B1790,A1789)</f>
        <v>150</v>
      </c>
      <c r="B1791" s="893"/>
      <c r="C1791" s="908" t="s">
        <v>1259</v>
      </c>
      <c r="D1791" s="1032">
        <v>4</v>
      </c>
      <c r="E1791" s="947">
        <v>86</v>
      </c>
      <c r="F1791" s="947">
        <v>27</v>
      </c>
      <c r="G1791" s="922" t="s">
        <v>2436</v>
      </c>
      <c r="H1791" s="1041">
        <f>847.3-H1792</f>
        <v>847.3</v>
      </c>
      <c r="I1791" s="882" t="str">
        <f t="shared" ref="I1791" si="399">IF(N1791&gt;0,H1791,"")</f>
        <v/>
      </c>
      <c r="J1791" s="898"/>
      <c r="K1791" s="899">
        <f>IF(G1791&lt;&gt;0,VLOOKUP(G1791,'gia dat'!$A$1:$F$144,5,0)," ")</f>
        <v>465600</v>
      </c>
      <c r="L1791" s="899">
        <f>IF(G1791&lt;&gt;0,VLOOKUP(G1791,'gia dat'!$A$1:$F$144,6,0)," ")</f>
        <v>0</v>
      </c>
      <c r="M1791" s="900">
        <f t="shared" si="391"/>
        <v>394503000</v>
      </c>
      <c r="N1791" s="900">
        <f t="shared" si="392"/>
        <v>0</v>
      </c>
      <c r="O1791" s="908" t="s">
        <v>1241</v>
      </c>
      <c r="P1791" s="1065">
        <v>792</v>
      </c>
      <c r="Q1791" s="900">
        <f>IF(O1791&lt;&gt;0,VLOOKUP(O1791,'Cây trong'!$A$2:$C$246,3,0)," ")</f>
        <v>12000</v>
      </c>
      <c r="R1791" s="900">
        <f t="shared" si="389"/>
        <v>9504000</v>
      </c>
      <c r="S1791" s="902"/>
      <c r="T1791" s="944"/>
      <c r="U1791" s="1066"/>
      <c r="V1791" s="922"/>
      <c r="W1791" s="900" t="str">
        <f>IF(S1791&lt;&gt;0,VLOOKUP(S1791,VKT!$A$2:$G$415,7,0),"")</f>
        <v/>
      </c>
      <c r="X1791" s="900" t="str">
        <f t="shared" si="395"/>
        <v xml:space="preserve"> </v>
      </c>
      <c r="Y1791" s="985"/>
      <c r="Z1791" s="922"/>
      <c r="AA1791" s="1067"/>
      <c r="AB1791" s="922"/>
      <c r="AC1791" s="922"/>
      <c r="AD1791" s="922"/>
      <c r="AE1791" s="922"/>
      <c r="AF1791" s="1046"/>
      <c r="AG1791" s="906" t="str">
        <f>IF(AE1791&lt;&gt;0,VLOOKUP(AE1791,ODDS!$A$2:$C$13,3,0),"")</f>
        <v/>
      </c>
      <c r="AH1791" s="906"/>
      <c r="AI1791" s="907" t="str">
        <f t="shared" si="388"/>
        <v xml:space="preserve"> </v>
      </c>
      <c r="AJ1791" s="922" t="s">
        <v>1258</v>
      </c>
      <c r="AK1791" s="922" t="s">
        <v>2771</v>
      </c>
    </row>
    <row r="1792" spans="1:39" s="394" customFormat="1" ht="112.5" outlineLevel="2" x14ac:dyDescent="0.3">
      <c r="A1792" s="447">
        <f>IF(B1791&lt;&gt;0,B1791,A1791)</f>
        <v>150</v>
      </c>
      <c r="B1792" s="893"/>
      <c r="C1792" s="908" t="s">
        <v>1609</v>
      </c>
      <c r="D1792" s="1032"/>
      <c r="E1792" s="947"/>
      <c r="F1792" s="947"/>
      <c r="G1792" s="922"/>
      <c r="H1792" s="1041"/>
      <c r="I1792" s="882"/>
      <c r="J1792" s="898"/>
      <c r="K1792" s="899" t="str">
        <f>IF(G1792&lt;&gt;0,VLOOKUP(G1792,'gia dat'!$A$1:$F$144,5,0)," ")</f>
        <v xml:space="preserve"> </v>
      </c>
      <c r="L1792" s="899" t="str">
        <f>IF(G1792&lt;&gt;0,VLOOKUP(G1792,'gia dat'!$A$1:$F$144,6,0)," ")</f>
        <v xml:space="preserve"> </v>
      </c>
      <c r="M1792" s="900" t="str">
        <f t="shared" si="391"/>
        <v xml:space="preserve"> </v>
      </c>
      <c r="N1792" s="900" t="str">
        <f t="shared" si="392"/>
        <v xml:space="preserve"> </v>
      </c>
      <c r="O1792" s="908"/>
      <c r="P1792" s="1065"/>
      <c r="Q1792" s="900" t="str">
        <f>IF(O1792&lt;&gt;0,VLOOKUP(O1792,'Cây trong'!$A$2:$C$246,3,0)," ")</f>
        <v xml:space="preserve"> </v>
      </c>
      <c r="R1792" s="900" t="str">
        <f t="shared" si="389"/>
        <v xml:space="preserve"> </v>
      </c>
      <c r="S1792" s="902"/>
      <c r="T1792" s="944"/>
      <c r="U1792" s="1066"/>
      <c r="V1792" s="922"/>
      <c r="W1792" s="900" t="str">
        <f>IF(S1792&lt;&gt;0,VLOOKUP(S1792,VKT!$A$2:$G$415,7,0),"")</f>
        <v/>
      </c>
      <c r="X1792" s="900" t="str">
        <f t="shared" si="395"/>
        <v xml:space="preserve"> </v>
      </c>
      <c r="Y1792" s="985"/>
      <c r="Z1792" s="922"/>
      <c r="AA1792" s="1067"/>
      <c r="AB1792" s="922"/>
      <c r="AC1792" s="922"/>
      <c r="AD1792" s="922"/>
      <c r="AE1792" s="922"/>
      <c r="AF1792" s="1046"/>
      <c r="AG1792" s="906" t="str">
        <f>IF(AE1792&lt;&gt;0,VLOOKUP(AE1792,ODDS!$A$2:$C$13,3,0),"")</f>
        <v/>
      </c>
      <c r="AH1792" s="906" t="str">
        <f t="shared" si="390"/>
        <v xml:space="preserve"> </v>
      </c>
      <c r="AI1792" s="907" t="str">
        <f t="shared" si="388"/>
        <v xml:space="preserve"> </v>
      </c>
      <c r="AJ1792" s="922" t="s">
        <v>1260</v>
      </c>
      <c r="AK1792" s="894" t="s">
        <v>2449</v>
      </c>
    </row>
    <row r="1793" spans="1:37" s="394" customFormat="1" ht="22.5" outlineLevel="2" x14ac:dyDescent="0.3">
      <c r="A1793" s="447">
        <f>IF(B1792&lt;&gt;0,B1792,A1792)</f>
        <v>150</v>
      </c>
      <c r="B1793" s="893"/>
      <c r="C1793" s="908"/>
      <c r="D1793" s="1032"/>
      <c r="E1793" s="947"/>
      <c r="F1793" s="947"/>
      <c r="G1793" s="922"/>
      <c r="H1793" s="1041"/>
      <c r="I1793" s="882"/>
      <c r="J1793" s="898"/>
      <c r="K1793" s="899" t="str">
        <f>IF(G1793&lt;&gt;0,VLOOKUP(G1793,'gia dat'!$A$1:$F$144,5,0)," ")</f>
        <v xml:space="preserve"> </v>
      </c>
      <c r="L1793" s="899" t="str">
        <f>IF(G1793&lt;&gt;0,VLOOKUP(G1793,'gia dat'!$A$1:$F$144,6,0)," ")</f>
        <v xml:space="preserve"> </v>
      </c>
      <c r="M1793" s="900" t="str">
        <f t="shared" si="391"/>
        <v xml:space="preserve"> </v>
      </c>
      <c r="N1793" s="900" t="str">
        <f t="shared" si="392"/>
        <v xml:space="preserve"> </v>
      </c>
      <c r="O1793" s="908"/>
      <c r="P1793" s="1065"/>
      <c r="Q1793" s="900" t="str">
        <f>IF(O1793&lt;&gt;0,VLOOKUP(O1793,'Cây trong'!$A$2:$C$246,3,0)," ")</f>
        <v xml:space="preserve"> </v>
      </c>
      <c r="R1793" s="900" t="str">
        <f t="shared" si="389"/>
        <v xml:space="preserve"> </v>
      </c>
      <c r="S1793" s="902"/>
      <c r="T1793" s="944"/>
      <c r="U1793" s="1066"/>
      <c r="V1793" s="922"/>
      <c r="W1793" s="900" t="str">
        <f>IF(S1793&lt;&gt;0,VLOOKUP(S1793,VKT!$A$2:$G$415,7,0),"")</f>
        <v/>
      </c>
      <c r="X1793" s="900" t="str">
        <f t="shared" si="395"/>
        <v xml:space="preserve"> </v>
      </c>
      <c r="Y1793" s="985"/>
      <c r="Z1793" s="922"/>
      <c r="AA1793" s="1067"/>
      <c r="AB1793" s="922"/>
      <c r="AC1793" s="922"/>
      <c r="AD1793" s="922"/>
      <c r="AE1793" s="922"/>
      <c r="AF1793" s="1046"/>
      <c r="AG1793" s="906" t="str">
        <f>IF(AE1793&lt;&gt;0,VLOOKUP(AE1793,ODDS!$A$2:$C$13,3,0),"")</f>
        <v/>
      </c>
      <c r="AH1793" s="906" t="str">
        <f t="shared" si="390"/>
        <v xml:space="preserve"> </v>
      </c>
      <c r="AI1793" s="907" t="str">
        <f t="shared" si="388"/>
        <v xml:space="preserve"> </v>
      </c>
      <c r="AJ1793" s="922" t="s">
        <v>1188</v>
      </c>
      <c r="AK1793" s="922"/>
    </row>
    <row r="1794" spans="1:37" s="394" customFormat="1" ht="22.5" outlineLevel="2" x14ac:dyDescent="0.3">
      <c r="A1794" s="447">
        <f>IF(B1793&lt;&gt;0,B1793,A1793)</f>
        <v>150</v>
      </c>
      <c r="B1794" s="893"/>
      <c r="C1794" s="908"/>
      <c r="D1794" s="1032"/>
      <c r="E1794" s="947"/>
      <c r="F1794" s="947"/>
      <c r="G1794" s="922"/>
      <c r="H1794" s="1041"/>
      <c r="I1794" s="882"/>
      <c r="J1794" s="894"/>
      <c r="K1794" s="899" t="str">
        <f>IF(G1794&lt;&gt;0,VLOOKUP(G1794,'gia dat'!$A$1:$F$144,5,0)," ")</f>
        <v xml:space="preserve"> </v>
      </c>
      <c r="L1794" s="899" t="str">
        <f>IF(G1794&lt;&gt;0,VLOOKUP(G1794,'gia dat'!$A$1:$F$144,6,0)," ")</f>
        <v xml:space="preserve"> </v>
      </c>
      <c r="M1794" s="900" t="str">
        <f t="shared" si="391"/>
        <v xml:space="preserve"> </v>
      </c>
      <c r="N1794" s="900" t="str">
        <f t="shared" si="392"/>
        <v xml:space="preserve"> </v>
      </c>
      <c r="O1794" s="908"/>
      <c r="P1794" s="1065"/>
      <c r="Q1794" s="900" t="str">
        <f>IF(O1794&lt;&gt;0,VLOOKUP(O1794,'Cây trong'!$A$2:$C$246,3,0)," ")</f>
        <v xml:space="preserve"> </v>
      </c>
      <c r="R1794" s="900" t="str">
        <f t="shared" si="389"/>
        <v xml:space="preserve"> </v>
      </c>
      <c r="S1794" s="908"/>
      <c r="T1794" s="944"/>
      <c r="U1794" s="1066"/>
      <c r="V1794" s="922"/>
      <c r="W1794" s="900" t="str">
        <f>IF(S1794&lt;&gt;0,VLOOKUP(S1794,VKT!$A$2:$G$415,7,0),"")</f>
        <v/>
      </c>
      <c r="X1794" s="900" t="str">
        <f t="shared" si="395"/>
        <v xml:space="preserve"> </v>
      </c>
      <c r="Y1794" s="985"/>
      <c r="Z1794" s="922"/>
      <c r="AA1794" s="1067"/>
      <c r="AB1794" s="922"/>
      <c r="AC1794" s="922"/>
      <c r="AD1794" s="922"/>
      <c r="AE1794" s="922"/>
      <c r="AF1794" s="1046"/>
      <c r="AG1794" s="906" t="str">
        <f>IF(AE1794&lt;&gt;0,VLOOKUP(AE1794,ODDS!$A$2:$C$13,3,0),"")</f>
        <v/>
      </c>
      <c r="AH1794" s="906" t="str">
        <f t="shared" si="390"/>
        <v xml:space="preserve"> </v>
      </c>
      <c r="AI1794" s="907" t="str">
        <f t="shared" si="388"/>
        <v xml:space="preserve"> </v>
      </c>
      <c r="AJ1794" s="922"/>
      <c r="AK1794" s="922"/>
    </row>
    <row r="1795" spans="1:37" s="394" customFormat="1" ht="22.5" outlineLevel="2" x14ac:dyDescent="0.3">
      <c r="A1795" s="447">
        <f>IF(B1794&lt;&gt;0,B1794,A1794)</f>
        <v>150</v>
      </c>
      <c r="B1795" s="893"/>
      <c r="C1795" s="908"/>
      <c r="D1795" s="1032"/>
      <c r="E1795" s="947"/>
      <c r="F1795" s="947"/>
      <c r="G1795" s="922"/>
      <c r="H1795" s="1041"/>
      <c r="I1795" s="882"/>
      <c r="J1795" s="894"/>
      <c r="K1795" s="899" t="str">
        <f>IF(G1795&lt;&gt;0,VLOOKUP(G1795,'gia dat'!$A$1:$F$144,5,0)," ")</f>
        <v xml:space="preserve"> </v>
      </c>
      <c r="L1795" s="899" t="str">
        <f>IF(G1795&lt;&gt;0,VLOOKUP(G1795,'gia dat'!$A$1:$F$144,6,0)," ")</f>
        <v xml:space="preserve"> </v>
      </c>
      <c r="M1795" s="900" t="str">
        <f t="shared" si="391"/>
        <v xml:space="preserve"> </v>
      </c>
      <c r="N1795" s="900" t="str">
        <f t="shared" si="392"/>
        <v xml:space="preserve"> </v>
      </c>
      <c r="O1795" s="908"/>
      <c r="P1795" s="1065"/>
      <c r="Q1795" s="900" t="str">
        <f>IF(O1795&lt;&gt;0,VLOOKUP(O1795,'Cây trong'!$A$2:$C$246,3,0)," ")</f>
        <v xml:space="preserve"> </v>
      </c>
      <c r="R1795" s="900" t="str">
        <f t="shared" si="389"/>
        <v xml:space="preserve"> </v>
      </c>
      <c r="S1795" s="908"/>
      <c r="T1795" s="944"/>
      <c r="U1795" s="1066"/>
      <c r="V1795" s="922"/>
      <c r="W1795" s="900" t="str">
        <f>IF(S1795&lt;&gt;0,VLOOKUP(S1795,VKT!$A$2:$G$415,7,0),"")</f>
        <v/>
      </c>
      <c r="X1795" s="900" t="str">
        <f t="shared" si="395"/>
        <v xml:space="preserve"> </v>
      </c>
      <c r="Y1795" s="985"/>
      <c r="Z1795" s="922"/>
      <c r="AA1795" s="1067"/>
      <c r="AB1795" s="922"/>
      <c r="AC1795" s="922"/>
      <c r="AD1795" s="922"/>
      <c r="AE1795" s="922"/>
      <c r="AF1795" s="1046"/>
      <c r="AG1795" s="906" t="str">
        <f>IF(AE1795&lt;&gt;0,VLOOKUP(AE1795,ODDS!$A$2:$C$13,3,0),"")</f>
        <v/>
      </c>
      <c r="AH1795" s="906" t="str">
        <f t="shared" si="390"/>
        <v xml:space="preserve"> </v>
      </c>
      <c r="AI1795" s="907" t="str">
        <f t="shared" si="388"/>
        <v xml:space="preserve"> </v>
      </c>
      <c r="AJ1795" s="908"/>
      <c r="AK1795" s="908"/>
    </row>
    <row r="1796" spans="1:37" s="394" customFormat="1" ht="22.5" outlineLevel="2" x14ac:dyDescent="0.3">
      <c r="A1796" s="447">
        <f>IF(B1795&lt;&gt;0,B1795,A1795)</f>
        <v>150</v>
      </c>
      <c r="B1796" s="893"/>
      <c r="C1796" s="942"/>
      <c r="D1796" s="1032"/>
      <c r="E1796" s="947"/>
      <c r="F1796" s="947"/>
      <c r="G1796" s="922"/>
      <c r="H1796" s="1041"/>
      <c r="I1796" s="882"/>
      <c r="J1796" s="894"/>
      <c r="K1796" s="899" t="str">
        <f>IF(G1796&lt;&gt;0,VLOOKUP(G1796,'gia dat'!$A$1:$F$144,5,0)," ")</f>
        <v xml:space="preserve"> </v>
      </c>
      <c r="L1796" s="899" t="str">
        <f>IF(G1796&lt;&gt;0,VLOOKUP(G1796,'gia dat'!$A$1:$F$144,6,0)," ")</f>
        <v xml:space="preserve"> </v>
      </c>
      <c r="M1796" s="900" t="str">
        <f t="shared" si="391"/>
        <v xml:space="preserve"> </v>
      </c>
      <c r="N1796" s="900" t="str">
        <f t="shared" si="392"/>
        <v xml:space="preserve"> </v>
      </c>
      <c r="O1796" s="908"/>
      <c r="P1796" s="1065"/>
      <c r="Q1796" s="900" t="str">
        <f>IF(O1796&lt;&gt;0,VLOOKUP(O1796,'Cây trong'!$A$2:$C$246,3,0)," ")</f>
        <v xml:space="preserve"> </v>
      </c>
      <c r="R1796" s="900" t="str">
        <f t="shared" si="389"/>
        <v xml:space="preserve"> </v>
      </c>
      <c r="S1796" s="908"/>
      <c r="T1796" s="944"/>
      <c r="U1796" s="1066"/>
      <c r="V1796" s="922"/>
      <c r="W1796" s="900" t="str">
        <f>IF(S1796&lt;&gt;0,VLOOKUP(S1796,VKT!$A$2:$G$415,7,0),"")</f>
        <v/>
      </c>
      <c r="X1796" s="900" t="str">
        <f t="shared" si="395"/>
        <v xml:space="preserve"> </v>
      </c>
      <c r="Y1796" s="985"/>
      <c r="Z1796" s="922"/>
      <c r="AA1796" s="1067"/>
      <c r="AB1796" s="922"/>
      <c r="AC1796" s="922"/>
      <c r="AD1796" s="922"/>
      <c r="AE1796" s="922"/>
      <c r="AF1796" s="1046"/>
      <c r="AG1796" s="906" t="str">
        <f>IF(AE1796&lt;&gt;0,VLOOKUP(AE1796,ODDS!$A$2:$C$13,3,0),"")</f>
        <v/>
      </c>
      <c r="AH1796" s="906" t="str">
        <f t="shared" si="390"/>
        <v xml:space="preserve"> </v>
      </c>
      <c r="AI1796" s="907" t="str">
        <f t="shared" si="388"/>
        <v xml:space="preserve"> </v>
      </c>
      <c r="AJ1796" s="922"/>
      <c r="AK1796" s="922"/>
    </row>
    <row r="1797" spans="1:37" s="394" customFormat="1" ht="43.5" outlineLevel="1" x14ac:dyDescent="0.25">
      <c r="A1797" s="467" t="s">
        <v>2559</v>
      </c>
      <c r="B1797" s="912">
        <v>151</v>
      </c>
      <c r="C1797" s="942" t="s">
        <v>1261</v>
      </c>
      <c r="D1797" s="1038"/>
      <c r="E1797" s="977"/>
      <c r="F1797" s="977"/>
      <c r="G1797" s="914"/>
      <c r="H1797" s="1039">
        <f>SUBTOTAL(9,H1798:H1804)</f>
        <v>0</v>
      </c>
      <c r="I1797" s="915">
        <f>SUBTOTAL(9,I1798:I1803)</f>
        <v>0</v>
      </c>
      <c r="J1797" s="916"/>
      <c r="K1797" s="917"/>
      <c r="L1797" s="917"/>
      <c r="M1797" s="907">
        <f>SUBTOTAL(9,M1798:M1804)</f>
        <v>0</v>
      </c>
      <c r="N1797" s="907">
        <f>SUBTOTAL(9,N1798:N1804)</f>
        <v>0</v>
      </c>
      <c r="O1797" s="942"/>
      <c r="P1797" s="1063">
        <f>SUBTOTAL(9,P1798:P1804)</f>
        <v>0</v>
      </c>
      <c r="Q1797" s="907"/>
      <c r="R1797" s="907">
        <f>SUBTOTAL(9,R1798:R1804)</f>
        <v>0</v>
      </c>
      <c r="S1797" s="918"/>
      <c r="T1797" s="956"/>
      <c r="U1797" s="1064">
        <f>SUBTOTAL(9,U1798:U1804)</f>
        <v>44.92</v>
      </c>
      <c r="V1797" s="914"/>
      <c r="W1797" s="907"/>
      <c r="X1797" s="907">
        <f>SUBTOTAL(9,X1798:X1804)</f>
        <v>69169000</v>
      </c>
      <c r="Y1797" s="922"/>
      <c r="Z1797" s="1026"/>
      <c r="AA1797" s="1026"/>
      <c r="AB1797" s="1026"/>
      <c r="AC1797" s="1026"/>
      <c r="AD1797" s="1026"/>
      <c r="AE1797" s="1027"/>
      <c r="AF1797" s="917">
        <f>SUBTOTAL(9,AF1798:AF1804)</f>
        <v>0</v>
      </c>
      <c r="AG1797" s="921"/>
      <c r="AH1797" s="921">
        <f>SUBTOTAL(9,AH1798:AH1804)</f>
        <v>0</v>
      </c>
      <c r="AI1797" s="907">
        <f t="shared" si="388"/>
        <v>69169000</v>
      </c>
      <c r="AJ1797" s="914"/>
      <c r="AK1797" s="910"/>
    </row>
    <row r="1798" spans="1:37" s="394" customFormat="1" ht="112.5" outlineLevel="2" x14ac:dyDescent="0.3">
      <c r="A1798" s="447">
        <f>IF(B1797&lt;&gt;0,B1797,A1796)</f>
        <v>151</v>
      </c>
      <c r="B1798" s="893"/>
      <c r="C1798" s="908" t="s">
        <v>1266</v>
      </c>
      <c r="D1798" s="1032"/>
      <c r="E1798" s="947"/>
      <c r="F1798" s="947"/>
      <c r="G1798" s="922"/>
      <c r="H1798" s="1041"/>
      <c r="I1798" s="882"/>
      <c r="J1798" s="898"/>
      <c r="K1798" s="899" t="str">
        <f>IF(G1798&lt;&gt;0,VLOOKUP(G1798,'gia dat'!$A$1:$F$144,5,0)," ")</f>
        <v xml:space="preserve"> </v>
      </c>
      <c r="L1798" s="899" t="str">
        <f>IF(G1798&lt;&gt;0,VLOOKUP(G1798,'gia dat'!$A$1:$F$144,6,0)," ")</f>
        <v xml:space="preserve"> </v>
      </c>
      <c r="M1798" s="900" t="str">
        <f t="shared" si="391"/>
        <v xml:space="preserve"> </v>
      </c>
      <c r="N1798" s="900" t="str">
        <f t="shared" si="392"/>
        <v xml:space="preserve"> </v>
      </c>
      <c r="O1798" s="908"/>
      <c r="P1798" s="1065"/>
      <c r="Q1798" s="900" t="str">
        <f>IF(O1798&lt;&gt;0,VLOOKUP(O1798,'Cây trong'!$A$2:$C$246,3,0)," ")</f>
        <v xml:space="preserve"> </v>
      </c>
      <c r="R1798" s="900" t="str">
        <f t="shared" si="389"/>
        <v xml:space="preserve"> </v>
      </c>
      <c r="S1798" s="902" t="s">
        <v>1926</v>
      </c>
      <c r="T1798" s="944" t="s">
        <v>1133</v>
      </c>
      <c r="U1798" s="1066">
        <v>28.8</v>
      </c>
      <c r="V1798" s="922"/>
      <c r="W1798" s="900">
        <f>IF(S1798&lt;&gt;0,VLOOKUP(S1798,VKT!$A$2:$G$415,7,0),"")</f>
        <v>1458856</v>
      </c>
      <c r="X1798" s="900">
        <f t="shared" si="395"/>
        <v>42015000</v>
      </c>
      <c r="Y1798" s="922" t="s">
        <v>139</v>
      </c>
      <c r="Z1798" s="1026" t="s">
        <v>1139</v>
      </c>
      <c r="AA1798" s="1026" t="s">
        <v>1262</v>
      </c>
      <c r="AB1798" s="1026" t="s">
        <v>1263</v>
      </c>
      <c r="AC1798" s="1026" t="s">
        <v>1264</v>
      </c>
      <c r="AD1798" s="1026"/>
      <c r="AE1798" s="1026"/>
      <c r="AF1798" s="899"/>
      <c r="AG1798" s="906" t="str">
        <f>IF(AE1798&lt;&gt;0,VLOOKUP(AE1798,ODDS!$A$2:$C$13,3,0),"")</f>
        <v/>
      </c>
      <c r="AH1798" s="906" t="str">
        <f t="shared" si="390"/>
        <v xml:space="preserve"> </v>
      </c>
      <c r="AI1798" s="907" t="str">
        <f t="shared" si="388"/>
        <v xml:space="preserve"> </v>
      </c>
      <c r="AJ1798" s="922" t="s">
        <v>1265</v>
      </c>
      <c r="AK1798" s="894" t="s">
        <v>2450</v>
      </c>
    </row>
    <row r="1799" spans="1:37" s="394" customFormat="1" ht="112.5" outlineLevel="2" x14ac:dyDescent="0.3">
      <c r="A1799" s="447">
        <f t="shared" ref="A1799:A1804" si="400">IF(B1798&lt;&gt;0,B1798,A1798)</f>
        <v>151</v>
      </c>
      <c r="B1799" s="893"/>
      <c r="C1799" s="908" t="s">
        <v>1610</v>
      </c>
      <c r="D1799" s="1032"/>
      <c r="E1799" s="947"/>
      <c r="F1799" s="947"/>
      <c r="G1799" s="922"/>
      <c r="H1799" s="1041"/>
      <c r="I1799" s="882"/>
      <c r="J1799" s="898"/>
      <c r="K1799" s="899" t="str">
        <f>IF(G1799&lt;&gt;0,VLOOKUP(G1799,'gia dat'!$A$1:$F$144,5,0)," ")</f>
        <v xml:space="preserve"> </v>
      </c>
      <c r="L1799" s="899" t="str">
        <f>IF(G1799&lt;&gt;0,VLOOKUP(G1799,'gia dat'!$A$1:$F$144,6,0)," ")</f>
        <v xml:space="preserve"> </v>
      </c>
      <c r="M1799" s="900" t="str">
        <f t="shared" si="391"/>
        <v xml:space="preserve"> </v>
      </c>
      <c r="N1799" s="900" t="str">
        <f t="shared" si="392"/>
        <v xml:space="preserve"> </v>
      </c>
      <c r="O1799" s="908"/>
      <c r="P1799" s="1065"/>
      <c r="Q1799" s="900" t="str">
        <f>IF(O1799&lt;&gt;0,VLOOKUP(O1799,'Cây trong'!$A$2:$C$246,3,0)," ")</f>
        <v xml:space="preserve"> </v>
      </c>
      <c r="R1799" s="900" t="str">
        <f t="shared" si="389"/>
        <v xml:space="preserve"> </v>
      </c>
      <c r="S1799" s="902" t="s">
        <v>1927</v>
      </c>
      <c r="T1799" s="944" t="s">
        <v>1133</v>
      </c>
      <c r="U1799" s="1066">
        <v>9.52</v>
      </c>
      <c r="V1799" s="922"/>
      <c r="W1799" s="900">
        <f>IF(S1799&lt;&gt;0,VLOOKUP(S1799,VKT!$A$2:$G$415,7,0),"")</f>
        <v>684506</v>
      </c>
      <c r="X1799" s="900">
        <f t="shared" si="395"/>
        <v>6516000</v>
      </c>
      <c r="Y1799" s="985"/>
      <c r="Z1799" s="922"/>
      <c r="AA1799" s="1067"/>
      <c r="AB1799" s="922"/>
      <c r="AC1799" s="922"/>
      <c r="AD1799" s="922"/>
      <c r="AE1799" s="922"/>
      <c r="AF1799" s="1046"/>
      <c r="AG1799" s="906" t="str">
        <f>IF(AE1799&lt;&gt;0,VLOOKUP(AE1799,ODDS!$A$2:$C$13,3,0),"")</f>
        <v/>
      </c>
      <c r="AH1799" s="906" t="str">
        <f t="shared" si="390"/>
        <v xml:space="preserve"> </v>
      </c>
      <c r="AI1799" s="907" t="str">
        <f t="shared" si="388"/>
        <v xml:space="preserve"> </v>
      </c>
      <c r="AJ1799" s="922" t="s">
        <v>1267</v>
      </c>
      <c r="AK1799" s="922" t="s">
        <v>2800</v>
      </c>
    </row>
    <row r="1800" spans="1:37" s="394" customFormat="1" ht="135" outlineLevel="2" x14ac:dyDescent="0.3">
      <c r="A1800" s="447">
        <f t="shared" si="400"/>
        <v>151</v>
      </c>
      <c r="B1800" s="893"/>
      <c r="C1800" s="908"/>
      <c r="D1800" s="1032"/>
      <c r="E1800" s="947"/>
      <c r="F1800" s="947"/>
      <c r="G1800" s="922"/>
      <c r="H1800" s="1041"/>
      <c r="I1800" s="882"/>
      <c r="J1800" s="898"/>
      <c r="K1800" s="899" t="str">
        <f>IF(G1800&lt;&gt;0,VLOOKUP(G1800,'gia dat'!$A$1:$F$144,5,0)," ")</f>
        <v xml:space="preserve"> </v>
      </c>
      <c r="L1800" s="899" t="str">
        <f>IF(G1800&lt;&gt;0,VLOOKUP(G1800,'gia dat'!$A$1:$F$144,6,0)," ")</f>
        <v xml:space="preserve"> </v>
      </c>
      <c r="M1800" s="900" t="str">
        <f t="shared" si="391"/>
        <v xml:space="preserve"> </v>
      </c>
      <c r="N1800" s="900" t="str">
        <f t="shared" si="392"/>
        <v xml:space="preserve"> </v>
      </c>
      <c r="O1800" s="908"/>
      <c r="P1800" s="1065"/>
      <c r="Q1800" s="900" t="str">
        <f>IF(O1800&lt;&gt;0,VLOOKUP(O1800,'Cây trong'!$A$2:$C$246,3,0)," ")</f>
        <v xml:space="preserve"> </v>
      </c>
      <c r="R1800" s="900" t="str">
        <f t="shared" si="389"/>
        <v xml:space="preserve"> </v>
      </c>
      <c r="S1800" s="902" t="s">
        <v>1928</v>
      </c>
      <c r="T1800" s="944" t="s">
        <v>1133</v>
      </c>
      <c r="U1800" s="1066">
        <v>2.52</v>
      </c>
      <c r="V1800" s="922"/>
      <c r="W1800" s="900">
        <f>IF(S1800&lt;&gt;0,VLOOKUP(S1800,VKT!$A$2:$G$415,7,0),"")</f>
        <v>8189638</v>
      </c>
      <c r="X1800" s="900">
        <f t="shared" si="395"/>
        <v>20638000</v>
      </c>
      <c r="Y1800" s="985"/>
      <c r="Z1800" s="922"/>
      <c r="AA1800" s="1067"/>
      <c r="AB1800" s="922"/>
      <c r="AC1800" s="922"/>
      <c r="AD1800" s="922"/>
      <c r="AE1800" s="922"/>
      <c r="AF1800" s="1046"/>
      <c r="AG1800" s="906" t="str">
        <f>IF(AE1800&lt;&gt;0,VLOOKUP(AE1800,ODDS!$A$2:$C$13,3,0),"")</f>
        <v/>
      </c>
      <c r="AH1800" s="906" t="str">
        <f t="shared" si="390"/>
        <v xml:space="preserve"> </v>
      </c>
      <c r="AI1800" s="907" t="str">
        <f t="shared" si="388"/>
        <v xml:space="preserve"> </v>
      </c>
      <c r="AJ1800" s="914"/>
      <c r="AK1800" s="922"/>
    </row>
    <row r="1801" spans="1:37" s="394" customFormat="1" ht="90" outlineLevel="2" x14ac:dyDescent="0.3">
      <c r="A1801" s="447">
        <f t="shared" si="400"/>
        <v>151</v>
      </c>
      <c r="B1801" s="893"/>
      <c r="C1801" s="908"/>
      <c r="D1801" s="1032"/>
      <c r="E1801" s="947"/>
      <c r="F1801" s="947"/>
      <c r="G1801" s="922"/>
      <c r="H1801" s="1041"/>
      <c r="I1801" s="882"/>
      <c r="J1801" s="894"/>
      <c r="K1801" s="899" t="str">
        <f>IF(G1801&lt;&gt;0,VLOOKUP(G1801,'gia dat'!$A$1:$F$144,5,0)," ")</f>
        <v xml:space="preserve"> </v>
      </c>
      <c r="L1801" s="899" t="str">
        <f>IF(G1801&lt;&gt;0,VLOOKUP(G1801,'gia dat'!$A$1:$F$144,6,0)," ")</f>
        <v xml:space="preserve"> </v>
      </c>
      <c r="M1801" s="900" t="str">
        <f t="shared" si="391"/>
        <v xml:space="preserve"> </v>
      </c>
      <c r="N1801" s="900" t="str">
        <f t="shared" si="392"/>
        <v xml:space="preserve"> </v>
      </c>
      <c r="O1801" s="908"/>
      <c r="P1801" s="1065"/>
      <c r="Q1801" s="900" t="str">
        <f>IF(O1801&lt;&gt;0,VLOOKUP(O1801,'Cây trong'!$A$2:$C$246,3,0)," ")</f>
        <v xml:space="preserve"> </v>
      </c>
      <c r="R1801" s="900" t="str">
        <f t="shared" si="389"/>
        <v xml:space="preserve"> </v>
      </c>
      <c r="S1801" s="908" t="s">
        <v>1929</v>
      </c>
      <c r="T1801" s="944" t="s">
        <v>1133</v>
      </c>
      <c r="U1801" s="1066">
        <v>4.08</v>
      </c>
      <c r="V1801" s="922"/>
      <c r="W1801" s="900">
        <f>IF(S1801&lt;&gt;0,VLOOKUP(S1801,VKT!$A$2:$G$415,7,0),"")</f>
        <v>0</v>
      </c>
      <c r="X1801" s="900">
        <f t="shared" si="395"/>
        <v>0</v>
      </c>
      <c r="Y1801" s="985"/>
      <c r="Z1801" s="922"/>
      <c r="AA1801" s="1067"/>
      <c r="AB1801" s="922"/>
      <c r="AC1801" s="922"/>
      <c r="AD1801" s="922"/>
      <c r="AE1801" s="922"/>
      <c r="AF1801" s="1046"/>
      <c r="AG1801" s="906" t="str">
        <f>IF(AE1801&lt;&gt;0,VLOOKUP(AE1801,ODDS!$A$2:$C$13,3,0),"")</f>
        <v/>
      </c>
      <c r="AH1801" s="906" t="str">
        <f t="shared" si="390"/>
        <v xml:space="preserve"> </v>
      </c>
      <c r="AI1801" s="907" t="str">
        <f t="shared" ref="AI1801:AI1864" si="401">IF(B1801&lt;&gt;0,M1801+N1801+R1801+X1801+AH1801," ")</f>
        <v xml:space="preserve"> </v>
      </c>
      <c r="AJ1801" s="922"/>
      <c r="AK1801" s="922"/>
    </row>
    <row r="1802" spans="1:37" s="394" customFormat="1" ht="22.5" outlineLevel="2" x14ac:dyDescent="0.3">
      <c r="A1802" s="447">
        <f t="shared" si="400"/>
        <v>151</v>
      </c>
      <c r="B1802" s="893"/>
      <c r="C1802" s="908"/>
      <c r="D1802" s="1032"/>
      <c r="E1802" s="947"/>
      <c r="F1802" s="947"/>
      <c r="G1802" s="922"/>
      <c r="H1802" s="1041"/>
      <c r="I1802" s="882"/>
      <c r="J1802" s="894"/>
      <c r="K1802" s="899" t="str">
        <f>IF(G1802&lt;&gt;0,VLOOKUP(G1802,'gia dat'!$A$1:$F$144,5,0)," ")</f>
        <v xml:space="preserve"> </v>
      </c>
      <c r="L1802" s="899" t="str">
        <f>IF(G1802&lt;&gt;0,VLOOKUP(G1802,'gia dat'!$A$1:$F$144,6,0)," ")</f>
        <v xml:space="preserve"> </v>
      </c>
      <c r="M1802" s="900" t="str">
        <f t="shared" si="391"/>
        <v xml:space="preserve"> </v>
      </c>
      <c r="N1802" s="900" t="str">
        <f t="shared" si="392"/>
        <v xml:space="preserve"> </v>
      </c>
      <c r="O1802" s="908"/>
      <c r="P1802" s="1065"/>
      <c r="Q1802" s="900" t="str">
        <f>IF(O1802&lt;&gt;0,VLOOKUP(O1802,'Cây trong'!$A$2:$C$246,3,0)," ")</f>
        <v xml:space="preserve"> </v>
      </c>
      <c r="R1802" s="900" t="str">
        <f t="shared" si="389"/>
        <v xml:space="preserve"> </v>
      </c>
      <c r="S1802" s="902"/>
      <c r="T1802" s="944"/>
      <c r="U1802" s="1066"/>
      <c r="V1802" s="922"/>
      <c r="W1802" s="900" t="str">
        <f>IF(S1802&lt;&gt;0,VLOOKUP(S1802,VKT!$A$2:$G$415,7,0),"")</f>
        <v/>
      </c>
      <c r="X1802" s="900" t="str">
        <f t="shared" si="395"/>
        <v xml:space="preserve"> </v>
      </c>
      <c r="Y1802" s="985"/>
      <c r="Z1802" s="922"/>
      <c r="AA1802" s="1067"/>
      <c r="AB1802" s="922"/>
      <c r="AC1802" s="922"/>
      <c r="AD1802" s="922"/>
      <c r="AE1802" s="922"/>
      <c r="AF1802" s="1046"/>
      <c r="AG1802" s="906" t="str">
        <f>IF(AE1802&lt;&gt;0,VLOOKUP(AE1802,ODDS!$A$2:$C$13,3,0),"")</f>
        <v/>
      </c>
      <c r="AH1802" s="906" t="str">
        <f t="shared" si="390"/>
        <v xml:space="preserve"> </v>
      </c>
      <c r="AI1802" s="907" t="str">
        <f t="shared" si="401"/>
        <v xml:space="preserve"> </v>
      </c>
      <c r="AJ1802" s="908"/>
      <c r="AK1802" s="908"/>
    </row>
    <row r="1803" spans="1:37" s="394" customFormat="1" ht="22.5" outlineLevel="2" x14ac:dyDescent="0.3">
      <c r="A1803" s="447">
        <f t="shared" si="400"/>
        <v>151</v>
      </c>
      <c r="B1803" s="893"/>
      <c r="C1803" s="908"/>
      <c r="D1803" s="1032"/>
      <c r="E1803" s="947"/>
      <c r="F1803" s="947"/>
      <c r="G1803" s="922"/>
      <c r="H1803" s="1041"/>
      <c r="I1803" s="882"/>
      <c r="J1803" s="894"/>
      <c r="K1803" s="899" t="str">
        <f>IF(G1803&lt;&gt;0,VLOOKUP(G1803,'gia dat'!$A$1:$F$144,5,0)," ")</f>
        <v xml:space="preserve"> </v>
      </c>
      <c r="L1803" s="899" t="str">
        <f>IF(G1803&lt;&gt;0,VLOOKUP(G1803,'gia dat'!$A$1:$F$144,6,0)," ")</f>
        <v xml:space="preserve"> </v>
      </c>
      <c r="M1803" s="900" t="str">
        <f t="shared" si="391"/>
        <v xml:space="preserve"> </v>
      </c>
      <c r="N1803" s="900" t="str">
        <f t="shared" si="392"/>
        <v xml:space="preserve"> </v>
      </c>
      <c r="O1803" s="908"/>
      <c r="P1803" s="1065"/>
      <c r="Q1803" s="900" t="str">
        <f>IF(O1803&lt;&gt;0,VLOOKUP(O1803,'Cây trong'!$A$2:$C$246,3,0)," ")</f>
        <v xml:space="preserve"> </v>
      </c>
      <c r="R1803" s="900" t="str">
        <f t="shared" si="389"/>
        <v xml:space="preserve"> </v>
      </c>
      <c r="S1803" s="908"/>
      <c r="T1803" s="944"/>
      <c r="U1803" s="1066"/>
      <c r="V1803" s="922"/>
      <c r="W1803" s="900" t="str">
        <f>IF(S1803&lt;&gt;0,VLOOKUP(S1803,VKT!$A$2:$G$415,7,0),"")</f>
        <v/>
      </c>
      <c r="X1803" s="900" t="str">
        <f t="shared" si="395"/>
        <v xml:space="preserve"> </v>
      </c>
      <c r="Y1803" s="985"/>
      <c r="Z1803" s="922"/>
      <c r="AA1803" s="1067"/>
      <c r="AB1803" s="922"/>
      <c r="AC1803" s="922"/>
      <c r="AD1803" s="922"/>
      <c r="AE1803" s="922"/>
      <c r="AF1803" s="1046"/>
      <c r="AG1803" s="906" t="str">
        <f>IF(AE1803&lt;&gt;0,VLOOKUP(AE1803,ODDS!$A$2:$C$13,3,0),"")</f>
        <v/>
      </c>
      <c r="AH1803" s="906" t="str">
        <f t="shared" si="390"/>
        <v xml:space="preserve"> </v>
      </c>
      <c r="AI1803" s="907" t="str">
        <f t="shared" si="401"/>
        <v xml:space="preserve"> </v>
      </c>
      <c r="AJ1803" s="922"/>
      <c r="AK1803" s="922"/>
    </row>
    <row r="1804" spans="1:37" s="394" customFormat="1" ht="22.5" outlineLevel="2" x14ac:dyDescent="0.3">
      <c r="A1804" s="447">
        <f t="shared" si="400"/>
        <v>151</v>
      </c>
      <c r="B1804" s="893"/>
      <c r="C1804" s="942"/>
      <c r="D1804" s="1032"/>
      <c r="E1804" s="947"/>
      <c r="F1804" s="947"/>
      <c r="G1804" s="922"/>
      <c r="H1804" s="1041"/>
      <c r="I1804" s="882"/>
      <c r="J1804" s="894"/>
      <c r="K1804" s="899" t="str">
        <f>IF(G1804&lt;&gt;0,VLOOKUP(G1804,'gia dat'!$A$1:$F$144,5,0)," ")</f>
        <v xml:space="preserve"> </v>
      </c>
      <c r="L1804" s="899" t="str">
        <f>IF(G1804&lt;&gt;0,VLOOKUP(G1804,'gia dat'!$A$1:$F$144,6,0)," ")</f>
        <v xml:space="preserve"> </v>
      </c>
      <c r="M1804" s="900" t="str">
        <f t="shared" si="391"/>
        <v xml:space="preserve"> </v>
      </c>
      <c r="N1804" s="900" t="str">
        <f t="shared" si="392"/>
        <v xml:space="preserve"> </v>
      </c>
      <c r="O1804" s="908"/>
      <c r="P1804" s="1065"/>
      <c r="Q1804" s="900" t="str">
        <f>IF(O1804&lt;&gt;0,VLOOKUP(O1804,'Cây trong'!$A$2:$C$246,3,0)," ")</f>
        <v xml:space="preserve"> </v>
      </c>
      <c r="R1804" s="900" t="str">
        <f t="shared" si="389"/>
        <v xml:space="preserve"> </v>
      </c>
      <c r="S1804" s="908"/>
      <c r="T1804" s="944"/>
      <c r="U1804" s="1066"/>
      <c r="V1804" s="922"/>
      <c r="W1804" s="900" t="str">
        <f>IF(S1804&lt;&gt;0,VLOOKUP(S1804,VKT!$A$2:$G$415,7,0),"")</f>
        <v/>
      </c>
      <c r="X1804" s="900" t="str">
        <f t="shared" si="395"/>
        <v xml:space="preserve"> </v>
      </c>
      <c r="Y1804" s="985"/>
      <c r="Z1804" s="922"/>
      <c r="AA1804" s="1067"/>
      <c r="AB1804" s="922"/>
      <c r="AC1804" s="922"/>
      <c r="AD1804" s="922"/>
      <c r="AE1804" s="922"/>
      <c r="AF1804" s="1046"/>
      <c r="AG1804" s="906" t="str">
        <f>IF(AE1804&lt;&gt;0,VLOOKUP(AE1804,ODDS!$A$2:$C$13,3,0),"")</f>
        <v/>
      </c>
      <c r="AH1804" s="906" t="str">
        <f t="shared" si="390"/>
        <v xml:space="preserve"> </v>
      </c>
      <c r="AI1804" s="907" t="str">
        <f t="shared" si="401"/>
        <v xml:space="preserve"> </v>
      </c>
      <c r="AJ1804" s="922"/>
      <c r="AK1804" s="922"/>
    </row>
    <row r="1805" spans="1:37" s="394" customFormat="1" ht="22.5" outlineLevel="1" x14ac:dyDescent="0.25">
      <c r="A1805" s="467" t="s">
        <v>2558</v>
      </c>
      <c r="B1805" s="912">
        <v>152</v>
      </c>
      <c r="C1805" s="942" t="s">
        <v>1268</v>
      </c>
      <c r="D1805" s="1038"/>
      <c r="E1805" s="977"/>
      <c r="F1805" s="977"/>
      <c r="G1805" s="914"/>
      <c r="H1805" s="1039">
        <f>SUBTOTAL(9,H1806:H1823)</f>
        <v>250.3</v>
      </c>
      <c r="I1805" s="915">
        <f>SUBTOTAL(9,I1806:I1811)</f>
        <v>0</v>
      </c>
      <c r="J1805" s="916"/>
      <c r="K1805" s="917"/>
      <c r="L1805" s="917"/>
      <c r="M1805" s="907">
        <f>SUBTOTAL(9,M1806:M1823)</f>
        <v>1817334000</v>
      </c>
      <c r="N1805" s="907">
        <f>SUBTOTAL(9,N1806:N1823)</f>
        <v>0</v>
      </c>
      <c r="O1805" s="942"/>
      <c r="P1805" s="1063">
        <f>SUBTOTAL(9,P1806:P1823)</f>
        <v>41</v>
      </c>
      <c r="Q1805" s="907"/>
      <c r="R1805" s="907">
        <f>SUBTOTAL(9,R1806:R1823)</f>
        <v>5388000</v>
      </c>
      <c r="S1805" s="918"/>
      <c r="T1805" s="956"/>
      <c r="U1805" s="1064">
        <f>SUBTOTAL(9,U1806:U1823)</f>
        <v>482.52749999999997</v>
      </c>
      <c r="V1805" s="914"/>
      <c r="W1805" s="907"/>
      <c r="X1805" s="907">
        <f>SUBTOTAL(9,X1806:X1823)</f>
        <v>1407724000</v>
      </c>
      <c r="Y1805" s="985"/>
      <c r="Z1805" s="922"/>
      <c r="AA1805" s="1067"/>
      <c r="AB1805" s="922"/>
      <c r="AC1805" s="922"/>
      <c r="AD1805" s="922"/>
      <c r="AE1805" s="914"/>
      <c r="AF1805" s="1044">
        <f>SUBTOTAL(9,AF1806:AF1823)</f>
        <v>2</v>
      </c>
      <c r="AG1805" s="921"/>
      <c r="AH1805" s="921">
        <f>SUBTOTAL(9,AH1806:AH1823)</f>
        <v>22000000</v>
      </c>
      <c r="AI1805" s="907">
        <f t="shared" si="401"/>
        <v>3252446000</v>
      </c>
      <c r="AJ1805" s="914"/>
      <c r="AK1805" s="914"/>
    </row>
    <row r="1806" spans="1:37" s="394" customFormat="1" ht="135" outlineLevel="2" x14ac:dyDescent="0.3">
      <c r="A1806" s="447">
        <f>IF(B1805&lt;&gt;0,B1805,A1804)</f>
        <v>152</v>
      </c>
      <c r="B1806" s="893"/>
      <c r="C1806" s="908" t="s">
        <v>1274</v>
      </c>
      <c r="D1806" s="1032">
        <v>2</v>
      </c>
      <c r="E1806" s="947">
        <v>86</v>
      </c>
      <c r="F1806" s="947" t="s">
        <v>1269</v>
      </c>
      <c r="G1806" s="922" t="s">
        <v>2049</v>
      </c>
      <c r="H1806" s="1041">
        <v>250.3</v>
      </c>
      <c r="I1806" s="882" t="str">
        <f t="shared" ref="I1806" si="402">IF(N1806&gt;0,H1806,"")</f>
        <v/>
      </c>
      <c r="J1806" s="898"/>
      <c r="K1806" s="899">
        <f>IF(G1806&lt;&gt;0,VLOOKUP(G1806,'gia dat'!$A$1:$F$144,5,0)," ")</f>
        <v>7260624</v>
      </c>
      <c r="L1806" s="899">
        <f>IF(G1806&lt;&gt;0,VLOOKUP(G1806,'gia dat'!$A$1:$F$144,6,0)," ")</f>
        <v>0</v>
      </c>
      <c r="M1806" s="900">
        <f t="shared" si="391"/>
        <v>1817334000</v>
      </c>
      <c r="N1806" s="900">
        <f t="shared" si="392"/>
        <v>0</v>
      </c>
      <c r="O1806" s="908" t="s">
        <v>2142</v>
      </c>
      <c r="P1806" s="1065">
        <v>1</v>
      </c>
      <c r="Q1806" s="900">
        <f>IF(O1806&lt;&gt;0,VLOOKUP(O1806,'Cây trong'!$A$2:$C$246,3,0)," ")</f>
        <v>1025000</v>
      </c>
      <c r="R1806" s="900">
        <f t="shared" si="389"/>
        <v>1025000</v>
      </c>
      <c r="S1806" s="902" t="s">
        <v>2376</v>
      </c>
      <c r="T1806" s="944" t="s">
        <v>1133</v>
      </c>
      <c r="U1806" s="1066">
        <v>56.62</v>
      </c>
      <c r="V1806" s="922"/>
      <c r="W1806" s="900">
        <f>IF(S1806&lt;&gt;0,VLOOKUP(S1806,VKT!$A$2:$G$415,7,0),"")</f>
        <v>945291</v>
      </c>
      <c r="X1806" s="900">
        <f t="shared" si="395"/>
        <v>53522000</v>
      </c>
      <c r="Y1806" s="985"/>
      <c r="Z1806" s="922"/>
      <c r="AA1806" s="1067"/>
      <c r="AB1806" s="922"/>
      <c r="AC1806" s="922"/>
      <c r="AD1806" s="922"/>
      <c r="AE1806" s="922" t="s">
        <v>2137</v>
      </c>
      <c r="AF1806" s="1046">
        <v>1</v>
      </c>
      <c r="AG1806" s="906">
        <f>IF(AE1806&lt;&gt;0,VLOOKUP(AE1806,ODDS!$A$2:$C$13,3,0),"")</f>
        <v>5000000</v>
      </c>
      <c r="AH1806" s="906">
        <f t="shared" si="390"/>
        <v>5000000</v>
      </c>
      <c r="AI1806" s="907" t="str">
        <f t="shared" si="401"/>
        <v xml:space="preserve"> </v>
      </c>
      <c r="AJ1806" s="922" t="s">
        <v>1273</v>
      </c>
      <c r="AK1806" s="922" t="s">
        <v>2771</v>
      </c>
    </row>
    <row r="1807" spans="1:37" s="394" customFormat="1" ht="112.5" outlineLevel="2" x14ac:dyDescent="0.3">
      <c r="A1807" s="447">
        <f t="shared" ref="A1807:A1823" si="403">IF(B1806&lt;&gt;0,B1806,A1806)</f>
        <v>152</v>
      </c>
      <c r="B1807" s="893"/>
      <c r="C1807" s="908" t="s">
        <v>1611</v>
      </c>
      <c r="D1807" s="1032"/>
      <c r="E1807" s="947"/>
      <c r="F1807" s="947"/>
      <c r="G1807" s="922"/>
      <c r="H1807" s="1041"/>
      <c r="I1807" s="882"/>
      <c r="J1807" s="898"/>
      <c r="K1807" s="899" t="str">
        <f>IF(G1807&lt;&gt;0,VLOOKUP(G1807,'gia dat'!$A$1:$F$144,5,0)," ")</f>
        <v xml:space="preserve"> </v>
      </c>
      <c r="L1807" s="899" t="str">
        <f>IF(G1807&lt;&gt;0,VLOOKUP(G1807,'gia dat'!$A$1:$F$144,6,0)," ")</f>
        <v xml:space="preserve"> </v>
      </c>
      <c r="M1807" s="900" t="str">
        <f t="shared" si="391"/>
        <v xml:space="preserve"> </v>
      </c>
      <c r="N1807" s="900" t="str">
        <f t="shared" si="392"/>
        <v xml:space="preserve"> </v>
      </c>
      <c r="O1807" s="908" t="s">
        <v>147</v>
      </c>
      <c r="P1807" s="1065">
        <v>2</v>
      </c>
      <c r="Q1807" s="900">
        <f>IF(O1807&lt;&gt;0,VLOOKUP(O1807,'Cây trong'!$A$2:$C$246,3,0)," ")</f>
        <v>979000</v>
      </c>
      <c r="R1807" s="900">
        <f t="shared" si="389"/>
        <v>1958000</v>
      </c>
      <c r="S1807" s="902" t="s">
        <v>2377</v>
      </c>
      <c r="T1807" s="944" t="s">
        <v>1133</v>
      </c>
      <c r="U1807" s="1066">
        <v>105.60000000000001</v>
      </c>
      <c r="V1807" s="922"/>
      <c r="W1807" s="900">
        <f>IF(S1807&lt;&gt;0,VLOOKUP(S1807,VKT!$A$2:$G$415,7,0),"")</f>
        <v>890132</v>
      </c>
      <c r="X1807" s="900">
        <f t="shared" si="395"/>
        <v>93998000</v>
      </c>
      <c r="Y1807" s="985"/>
      <c r="Z1807" s="922"/>
      <c r="AA1807" s="1067"/>
      <c r="AB1807" s="922"/>
      <c r="AC1807" s="922"/>
      <c r="AD1807" s="922"/>
      <c r="AE1807" s="905"/>
      <c r="AF1807" s="899"/>
      <c r="AG1807" s="906"/>
      <c r="AH1807" s="906"/>
      <c r="AI1807" s="907" t="str">
        <f t="shared" si="401"/>
        <v xml:space="preserve"> </v>
      </c>
      <c r="AJ1807" s="922" t="s">
        <v>1276</v>
      </c>
      <c r="AK1807" s="894" t="s">
        <v>2450</v>
      </c>
    </row>
    <row r="1808" spans="1:37" s="394" customFormat="1" ht="112.5" outlineLevel="2" x14ac:dyDescent="0.3">
      <c r="A1808" s="447">
        <f t="shared" si="403"/>
        <v>152</v>
      </c>
      <c r="B1808" s="893"/>
      <c r="C1808" s="908"/>
      <c r="D1808" s="1032"/>
      <c r="E1808" s="947"/>
      <c r="F1808" s="947"/>
      <c r="G1808" s="922"/>
      <c r="H1808" s="1041"/>
      <c r="I1808" s="882"/>
      <c r="J1808" s="898"/>
      <c r="K1808" s="899" t="str">
        <f>IF(G1808&lt;&gt;0,VLOOKUP(G1808,'gia dat'!$A$1:$F$144,5,0)," ")</f>
        <v xml:space="preserve"> </v>
      </c>
      <c r="L1808" s="899" t="str">
        <f>IF(G1808&lt;&gt;0,VLOOKUP(G1808,'gia dat'!$A$1:$F$144,6,0)," ")</f>
        <v xml:space="preserve"> </v>
      </c>
      <c r="M1808" s="900" t="str">
        <f t="shared" si="391"/>
        <v xml:space="preserve"> </v>
      </c>
      <c r="N1808" s="900" t="str">
        <f t="shared" si="392"/>
        <v xml:space="preserve"> </v>
      </c>
      <c r="O1808" s="908" t="s">
        <v>178</v>
      </c>
      <c r="P1808" s="1065">
        <v>1</v>
      </c>
      <c r="Q1808" s="900">
        <f>IF(O1808&lt;&gt;0,VLOOKUP(O1808,'Cây trong'!$A$2:$C$246,3,0)," ")</f>
        <v>554000</v>
      </c>
      <c r="R1808" s="900">
        <f t="shared" si="389"/>
        <v>554000</v>
      </c>
      <c r="S1808" s="902" t="s">
        <v>1827</v>
      </c>
      <c r="T1808" s="944" t="s">
        <v>1133</v>
      </c>
      <c r="U1808" s="1066">
        <v>100.3</v>
      </c>
      <c r="V1808" s="922"/>
      <c r="W1808" s="900">
        <f>IF(S1808&lt;&gt;0,VLOOKUP(S1808,VKT!$A$2:$G$415,7,0),"")</f>
        <v>5469063</v>
      </c>
      <c r="X1808" s="900">
        <f t="shared" si="395"/>
        <v>548547000</v>
      </c>
      <c r="Y1808" s="996" t="s">
        <v>1138</v>
      </c>
      <c r="Z1808" s="1016" t="s">
        <v>1139</v>
      </c>
      <c r="AA1808" s="1016" t="s">
        <v>56</v>
      </c>
      <c r="AB1808" s="1026" t="s">
        <v>269</v>
      </c>
      <c r="AC1808" s="1016" t="s">
        <v>1138</v>
      </c>
      <c r="AD1808" s="1016"/>
      <c r="AE1808" s="905" t="s">
        <v>2791</v>
      </c>
      <c r="AF1808" s="926">
        <v>1</v>
      </c>
      <c r="AG1808" s="906">
        <f>IF(AE1808&lt;&gt;0,VLOOKUP(AE1808,ODDS!$A$2:$C$13,3,0),"")</f>
        <v>17000000</v>
      </c>
      <c r="AH1808" s="906">
        <f t="shared" si="390"/>
        <v>17000000</v>
      </c>
      <c r="AI1808" s="907" t="str">
        <f t="shared" si="401"/>
        <v xml:space="preserve"> </v>
      </c>
      <c r="AJ1808" s="922" t="s">
        <v>1279</v>
      </c>
      <c r="AK1808" s="894" t="s">
        <v>2449</v>
      </c>
    </row>
    <row r="1809" spans="1:37" s="394" customFormat="1" ht="90" outlineLevel="2" x14ac:dyDescent="0.35">
      <c r="A1809" s="447">
        <f t="shared" si="403"/>
        <v>152</v>
      </c>
      <c r="B1809" s="893"/>
      <c r="C1809" s="908"/>
      <c r="D1809" s="1032"/>
      <c r="E1809" s="947"/>
      <c r="F1809" s="947"/>
      <c r="G1809" s="922"/>
      <c r="H1809" s="1041"/>
      <c r="I1809" s="882"/>
      <c r="J1809" s="898"/>
      <c r="K1809" s="899" t="str">
        <f>IF(G1809&lt;&gt;0,VLOOKUP(G1809,'gia dat'!$A$1:$F$144,5,0)," ")</f>
        <v xml:space="preserve"> </v>
      </c>
      <c r="L1809" s="899" t="str">
        <f>IF(G1809&lt;&gt;0,VLOOKUP(G1809,'gia dat'!$A$1:$F$144,6,0)," ")</f>
        <v xml:space="preserve"> </v>
      </c>
      <c r="M1809" s="900" t="str">
        <f t="shared" si="391"/>
        <v xml:space="preserve"> </v>
      </c>
      <c r="N1809" s="900" t="str">
        <f t="shared" si="392"/>
        <v xml:space="preserve"> </v>
      </c>
      <c r="O1809" s="908" t="s">
        <v>1278</v>
      </c>
      <c r="P1809" s="1065">
        <v>3</v>
      </c>
      <c r="Q1809" s="900">
        <f>IF(O1809&lt;&gt;0,VLOOKUP(O1809,'Cây trong'!$A$2:$C$246,3,0)," ")</f>
        <v>360000</v>
      </c>
      <c r="R1809" s="900">
        <f t="shared" si="389"/>
        <v>1080000</v>
      </c>
      <c r="S1809" s="902" t="s">
        <v>2251</v>
      </c>
      <c r="T1809" s="944" t="s">
        <v>1133</v>
      </c>
      <c r="U1809" s="1066">
        <v>49.4</v>
      </c>
      <c r="V1809" s="922"/>
      <c r="W1809" s="900">
        <f>IF(S1809&lt;&gt;0,VLOOKUP(S1809,VKT!$A$2:$G$415,7,0),"")</f>
        <v>5789151</v>
      </c>
      <c r="X1809" s="900">
        <f t="shared" si="395"/>
        <v>285984000</v>
      </c>
      <c r="Y1809" s="996" t="s">
        <v>1138</v>
      </c>
      <c r="Z1809" s="1016" t="s">
        <v>1139</v>
      </c>
      <c r="AA1809" s="1016" t="s">
        <v>56</v>
      </c>
      <c r="AB1809" s="1026" t="s">
        <v>269</v>
      </c>
      <c r="AC1809" s="1016" t="s">
        <v>1138</v>
      </c>
      <c r="AD1809" s="1016"/>
      <c r="AE1809" s="941"/>
      <c r="AF1809" s="926"/>
      <c r="AG1809" s="906" t="str">
        <f>IF(AE1809&lt;&gt;0,VLOOKUP(AE1809,ODDS!$A$2:$C$13,3,0),"")</f>
        <v/>
      </c>
      <c r="AH1809" s="906" t="str">
        <f t="shared" si="390"/>
        <v xml:space="preserve"> </v>
      </c>
      <c r="AI1809" s="907" t="str">
        <f t="shared" si="401"/>
        <v xml:space="preserve"> </v>
      </c>
      <c r="AJ1809" s="1068"/>
      <c r="AK1809" s="894" t="s">
        <v>2447</v>
      </c>
    </row>
    <row r="1810" spans="1:37" s="394" customFormat="1" ht="112.5" outlineLevel="2" x14ac:dyDescent="0.3">
      <c r="A1810" s="447">
        <f t="shared" si="403"/>
        <v>152</v>
      </c>
      <c r="B1810" s="893"/>
      <c r="C1810" s="908"/>
      <c r="D1810" s="1032"/>
      <c r="E1810" s="947"/>
      <c r="F1810" s="947"/>
      <c r="G1810" s="922"/>
      <c r="H1810" s="1041"/>
      <c r="I1810" s="882"/>
      <c r="J1810" s="898"/>
      <c r="K1810" s="899" t="str">
        <f>IF(G1810&lt;&gt;0,VLOOKUP(G1810,'gia dat'!$A$1:$F$144,5,0)," ")</f>
        <v xml:space="preserve"> </v>
      </c>
      <c r="L1810" s="899" t="str">
        <f>IF(G1810&lt;&gt;0,VLOOKUP(G1810,'gia dat'!$A$1:$F$144,6,0)," ")</f>
        <v xml:space="preserve"> </v>
      </c>
      <c r="M1810" s="900" t="str">
        <f t="shared" si="391"/>
        <v xml:space="preserve"> </v>
      </c>
      <c r="N1810" s="900" t="str">
        <f t="shared" si="392"/>
        <v xml:space="preserve"> </v>
      </c>
      <c r="O1810" s="908" t="s">
        <v>76</v>
      </c>
      <c r="P1810" s="1065">
        <v>11</v>
      </c>
      <c r="Q1810" s="900">
        <f>IF(O1810&lt;&gt;0,VLOOKUP(O1810,'Cây trong'!$A$2:$C$246,3,0)," ")</f>
        <v>45000</v>
      </c>
      <c r="R1810" s="900">
        <f t="shared" si="389"/>
        <v>495000</v>
      </c>
      <c r="S1810" s="902" t="s">
        <v>2378</v>
      </c>
      <c r="T1810" s="944" t="s">
        <v>1133</v>
      </c>
      <c r="U1810" s="1066">
        <v>11.7</v>
      </c>
      <c r="V1810" s="922"/>
      <c r="W1810" s="900">
        <f>IF(S1810&lt;&gt;0,VLOOKUP(S1810,VKT!$A$2:$G$415,7,0),"")</f>
        <v>9347414</v>
      </c>
      <c r="X1810" s="900">
        <f t="shared" si="395"/>
        <v>109365000</v>
      </c>
      <c r="Y1810" s="985"/>
      <c r="Z1810" s="922"/>
      <c r="AA1810" s="1067"/>
      <c r="AB1810" s="922"/>
      <c r="AC1810" s="922"/>
      <c r="AD1810" s="922"/>
      <c r="AE1810" s="922"/>
      <c r="AF1810" s="1046"/>
      <c r="AG1810" s="906" t="str">
        <f>IF(AE1810&lt;&gt;0,VLOOKUP(AE1810,ODDS!$A$2:$C$13,3,0),"")</f>
        <v/>
      </c>
      <c r="AH1810" s="906" t="str">
        <f t="shared" si="390"/>
        <v xml:space="preserve"> </v>
      </c>
      <c r="AI1810" s="907" t="str">
        <f t="shared" si="401"/>
        <v xml:space="preserve"> </v>
      </c>
      <c r="AJ1810" s="922"/>
      <c r="AK1810" s="922" t="s">
        <v>2451</v>
      </c>
    </row>
    <row r="1811" spans="1:37" s="394" customFormat="1" ht="135" outlineLevel="2" x14ac:dyDescent="0.3">
      <c r="A1811" s="447">
        <f t="shared" si="403"/>
        <v>152</v>
      </c>
      <c r="B1811" s="893"/>
      <c r="C1811" s="908"/>
      <c r="D1811" s="1032"/>
      <c r="E1811" s="947"/>
      <c r="F1811" s="947"/>
      <c r="G1811" s="922"/>
      <c r="H1811" s="1041"/>
      <c r="I1811" s="882"/>
      <c r="J1811" s="898"/>
      <c r="K1811" s="899" t="str">
        <f>IF(G1811&lt;&gt;0,VLOOKUP(G1811,'gia dat'!$A$1:$F$144,5,0)," ")</f>
        <v xml:space="preserve"> </v>
      </c>
      <c r="L1811" s="899" t="str">
        <f>IF(G1811&lt;&gt;0,VLOOKUP(G1811,'gia dat'!$A$1:$F$144,6,0)," ")</f>
        <v xml:space="preserve"> </v>
      </c>
      <c r="M1811" s="900" t="str">
        <f t="shared" si="391"/>
        <v xml:space="preserve"> </v>
      </c>
      <c r="N1811" s="900" t="str">
        <f t="shared" si="392"/>
        <v xml:space="preserve"> </v>
      </c>
      <c r="O1811" s="901" t="s">
        <v>429</v>
      </c>
      <c r="P1811" s="1065">
        <v>23</v>
      </c>
      <c r="Q1811" s="900">
        <f>IF(O1811&lt;&gt;0,VLOOKUP(O1811,'Cây trong'!$A$2:$C$246,3,0)," ")</f>
        <v>12000</v>
      </c>
      <c r="R1811" s="900">
        <f t="shared" si="389"/>
        <v>276000</v>
      </c>
      <c r="S1811" s="902" t="s">
        <v>2379</v>
      </c>
      <c r="T1811" s="944" t="s">
        <v>1133</v>
      </c>
      <c r="U1811" s="1066">
        <v>7.4</v>
      </c>
      <c r="V1811" s="922"/>
      <c r="W1811" s="900">
        <f>IF(S1811&lt;&gt;0,VLOOKUP(S1811,VKT!$A$2:$G$415,7,0),"")</f>
        <v>9599897</v>
      </c>
      <c r="X1811" s="900">
        <f t="shared" si="395"/>
        <v>71039000</v>
      </c>
      <c r="Y1811" s="985"/>
      <c r="Z1811" s="922"/>
      <c r="AA1811" s="1067"/>
      <c r="AB1811" s="922"/>
      <c r="AC1811" s="922"/>
      <c r="AD1811" s="922"/>
      <c r="AE1811" s="922"/>
      <c r="AF1811" s="1046"/>
      <c r="AG1811" s="906" t="str">
        <f>IF(AE1811&lt;&gt;0,VLOOKUP(AE1811,ODDS!$A$2:$C$13,3,0),"")</f>
        <v/>
      </c>
      <c r="AH1811" s="906" t="str">
        <f t="shared" si="390"/>
        <v xml:space="preserve"> </v>
      </c>
      <c r="AI1811" s="907" t="str">
        <f t="shared" si="401"/>
        <v xml:space="preserve"> </v>
      </c>
      <c r="AJ1811" s="922"/>
      <c r="AK1811" s="922" t="s">
        <v>2800</v>
      </c>
    </row>
    <row r="1812" spans="1:37" s="394" customFormat="1" ht="90" outlineLevel="2" x14ac:dyDescent="0.3">
      <c r="A1812" s="447">
        <f t="shared" si="403"/>
        <v>152</v>
      </c>
      <c r="B1812" s="893"/>
      <c r="C1812" s="908"/>
      <c r="D1812" s="1032"/>
      <c r="E1812" s="947"/>
      <c r="F1812" s="947"/>
      <c r="G1812" s="922"/>
      <c r="H1812" s="1041"/>
      <c r="I1812" s="882"/>
      <c r="J1812" s="898"/>
      <c r="K1812" s="899" t="str">
        <f>IF(G1812&lt;&gt;0,VLOOKUP(G1812,'gia dat'!$A$1:$F$144,5,0)," ")</f>
        <v xml:space="preserve"> </v>
      </c>
      <c r="L1812" s="899" t="str">
        <f>IF(G1812&lt;&gt;0,VLOOKUP(G1812,'gia dat'!$A$1:$F$144,6,0)," ")</f>
        <v xml:space="preserve"> </v>
      </c>
      <c r="M1812" s="900" t="str">
        <f t="shared" si="391"/>
        <v xml:space="preserve"> </v>
      </c>
      <c r="N1812" s="900" t="str">
        <f t="shared" si="392"/>
        <v xml:space="preserve"> </v>
      </c>
      <c r="O1812" s="908"/>
      <c r="P1812" s="1065"/>
      <c r="Q1812" s="900" t="str">
        <f>IF(O1812&lt;&gt;0,VLOOKUP(O1812,'Cây trong'!$A$2:$C$246,3,0)," ")</f>
        <v xml:space="preserve"> </v>
      </c>
      <c r="R1812" s="900" t="str">
        <f t="shared" si="389"/>
        <v xml:space="preserve"> </v>
      </c>
      <c r="S1812" s="902" t="s">
        <v>1945</v>
      </c>
      <c r="T1812" s="944" t="s">
        <v>1133</v>
      </c>
      <c r="U1812" s="1066">
        <v>30.87</v>
      </c>
      <c r="V1812" s="922"/>
      <c r="W1812" s="900">
        <f>IF(S1812&lt;&gt;0,VLOOKUP(S1812,VKT!$A$2:$G$415,7,0),"")</f>
        <v>770070</v>
      </c>
      <c r="X1812" s="900">
        <f t="shared" si="395"/>
        <v>23772000</v>
      </c>
      <c r="Y1812" s="985"/>
      <c r="Z1812" s="922"/>
      <c r="AA1812" s="1067"/>
      <c r="AB1812" s="922"/>
      <c r="AC1812" s="922"/>
      <c r="AD1812" s="922"/>
      <c r="AE1812" s="922"/>
      <c r="AF1812" s="1046"/>
      <c r="AG1812" s="906" t="str">
        <f>IF(AE1812&lt;&gt;0,VLOOKUP(AE1812,ODDS!$A$2:$C$13,3,0),"")</f>
        <v/>
      </c>
      <c r="AH1812" s="906" t="str">
        <f t="shared" si="390"/>
        <v xml:space="preserve"> </v>
      </c>
      <c r="AI1812" s="907" t="str">
        <f t="shared" si="401"/>
        <v xml:space="preserve"> </v>
      </c>
      <c r="AJ1812" s="922"/>
      <c r="AK1812" s="922"/>
    </row>
    <row r="1813" spans="1:37" s="394" customFormat="1" ht="90" outlineLevel="2" x14ac:dyDescent="0.3">
      <c r="A1813" s="447">
        <f t="shared" si="403"/>
        <v>152</v>
      </c>
      <c r="B1813" s="893"/>
      <c r="C1813" s="908"/>
      <c r="D1813" s="1032"/>
      <c r="E1813" s="947"/>
      <c r="F1813" s="947"/>
      <c r="G1813" s="922"/>
      <c r="H1813" s="1041"/>
      <c r="I1813" s="882"/>
      <c r="J1813" s="898"/>
      <c r="K1813" s="899" t="str">
        <f>IF(G1813&lt;&gt;0,VLOOKUP(G1813,'gia dat'!$A$1:$F$144,5,0)," ")</f>
        <v xml:space="preserve"> </v>
      </c>
      <c r="L1813" s="899" t="str">
        <f>IF(G1813&lt;&gt;0,VLOOKUP(G1813,'gia dat'!$A$1:$F$144,6,0)," ")</f>
        <v xml:space="preserve"> </v>
      </c>
      <c r="M1813" s="900" t="str">
        <f t="shared" si="391"/>
        <v xml:space="preserve"> </v>
      </c>
      <c r="N1813" s="900" t="str">
        <f t="shared" si="392"/>
        <v xml:space="preserve"> </v>
      </c>
      <c r="O1813" s="908"/>
      <c r="P1813" s="1065"/>
      <c r="Q1813" s="900" t="str">
        <f>IF(O1813&lt;&gt;0,VLOOKUP(O1813,'Cây trong'!$A$2:$C$246,3,0)," ")</f>
        <v xml:space="preserve"> </v>
      </c>
      <c r="R1813" s="900" t="str">
        <f t="shared" ref="R1813:R1901" si="404">IF(O1813&lt;&gt;0,ROUND(P1813*Q1813,-2)," ")</f>
        <v xml:space="preserve"> </v>
      </c>
      <c r="S1813" s="902" t="s">
        <v>1945</v>
      </c>
      <c r="T1813" s="944" t="s">
        <v>1133</v>
      </c>
      <c r="U1813" s="1066">
        <v>10.199999999999999</v>
      </c>
      <c r="V1813" s="922"/>
      <c r="W1813" s="900">
        <f>IF(S1813&lt;&gt;0,VLOOKUP(S1813,VKT!$A$2:$G$415,7,0),"")</f>
        <v>770070</v>
      </c>
      <c r="X1813" s="900">
        <f t="shared" si="395"/>
        <v>7855000</v>
      </c>
      <c r="Y1813" s="985"/>
      <c r="Z1813" s="922"/>
      <c r="AA1813" s="1067"/>
      <c r="AB1813" s="922"/>
      <c r="AC1813" s="922"/>
      <c r="AD1813" s="922"/>
      <c r="AE1813" s="922"/>
      <c r="AF1813" s="1046"/>
      <c r="AG1813" s="906" t="str">
        <f>IF(AE1813&lt;&gt;0,VLOOKUP(AE1813,ODDS!$A$2:$C$13,3,0),"")</f>
        <v/>
      </c>
      <c r="AH1813" s="906" t="str">
        <f t="shared" ref="AH1813:AH1901" si="405">IF(AE1813&lt;&gt;0,ROUND(AF1813*AG1813,-2)," ")</f>
        <v xml:space="preserve"> </v>
      </c>
      <c r="AI1813" s="907" t="str">
        <f t="shared" si="401"/>
        <v xml:space="preserve"> </v>
      </c>
      <c r="AJ1813" s="922"/>
      <c r="AK1813" s="922"/>
    </row>
    <row r="1814" spans="1:37" s="394" customFormat="1" ht="45" outlineLevel="2" x14ac:dyDescent="0.3">
      <c r="A1814" s="447">
        <f t="shared" si="403"/>
        <v>152</v>
      </c>
      <c r="B1814" s="893"/>
      <c r="C1814" s="908"/>
      <c r="D1814" s="1032"/>
      <c r="E1814" s="947"/>
      <c r="F1814" s="947"/>
      <c r="G1814" s="922"/>
      <c r="H1814" s="1041"/>
      <c r="I1814" s="882"/>
      <c r="J1814" s="898"/>
      <c r="K1814" s="899" t="str">
        <f>IF(G1814&lt;&gt;0,VLOOKUP(G1814,'gia dat'!$A$1:$F$144,5,0)," ")</f>
        <v xml:space="preserve"> </v>
      </c>
      <c r="L1814" s="899" t="str">
        <f>IF(G1814&lt;&gt;0,VLOOKUP(G1814,'gia dat'!$A$1:$F$144,6,0)," ")</f>
        <v xml:space="preserve"> </v>
      </c>
      <c r="M1814" s="900" t="str">
        <f t="shared" si="391"/>
        <v xml:space="preserve"> </v>
      </c>
      <c r="N1814" s="900" t="str">
        <f t="shared" si="392"/>
        <v xml:space="preserve"> </v>
      </c>
      <c r="O1814" s="908"/>
      <c r="P1814" s="1065"/>
      <c r="Q1814" s="900" t="str">
        <f>IF(O1814&lt;&gt;0,VLOOKUP(O1814,'Cây trong'!$A$2:$C$246,3,0)," ")</f>
        <v xml:space="preserve"> </v>
      </c>
      <c r="R1814" s="900" t="str">
        <f t="shared" si="404"/>
        <v xml:space="preserve"> </v>
      </c>
      <c r="S1814" s="902" t="s">
        <v>1820</v>
      </c>
      <c r="T1814" s="944" t="s">
        <v>1133</v>
      </c>
      <c r="U1814" s="1066">
        <v>24.8</v>
      </c>
      <c r="V1814" s="922"/>
      <c r="W1814" s="900">
        <f>IF(S1814&lt;&gt;0,VLOOKUP(S1814,VKT!$A$2:$G$415,7,0),"")</f>
        <v>5307665</v>
      </c>
      <c r="X1814" s="900">
        <f t="shared" si="395"/>
        <v>131630000</v>
      </c>
      <c r="Y1814" s="996" t="s">
        <v>1138</v>
      </c>
      <c r="Z1814" s="1016" t="s">
        <v>1139</v>
      </c>
      <c r="AA1814" s="1016" t="s">
        <v>56</v>
      </c>
      <c r="AB1814" s="1026" t="s">
        <v>269</v>
      </c>
      <c r="AC1814" s="1016" t="s">
        <v>1138</v>
      </c>
      <c r="AD1814" s="1016"/>
      <c r="AE1814" s="1016"/>
      <c r="AF1814" s="926"/>
      <c r="AG1814" s="906" t="str">
        <f>IF(AE1814&lt;&gt;0,VLOOKUP(AE1814,ODDS!$A$2:$C$13,3,0),"")</f>
        <v/>
      </c>
      <c r="AH1814" s="906" t="str">
        <f t="shared" si="405"/>
        <v xml:space="preserve"> </v>
      </c>
      <c r="AI1814" s="907" t="str">
        <f t="shared" si="401"/>
        <v xml:space="preserve"> </v>
      </c>
      <c r="AJ1814" s="922"/>
      <c r="AK1814" s="922"/>
    </row>
    <row r="1815" spans="1:37" s="394" customFormat="1" ht="45" outlineLevel="2" x14ac:dyDescent="0.3">
      <c r="A1815" s="447">
        <f t="shared" si="403"/>
        <v>152</v>
      </c>
      <c r="B1815" s="893"/>
      <c r="C1815" s="908"/>
      <c r="D1815" s="1032"/>
      <c r="E1815" s="947"/>
      <c r="F1815" s="947"/>
      <c r="G1815" s="922"/>
      <c r="H1815" s="1041"/>
      <c r="I1815" s="882"/>
      <c r="J1815" s="898"/>
      <c r="K1815" s="899" t="str">
        <f>IF(G1815&lt;&gt;0,VLOOKUP(G1815,'gia dat'!$A$1:$F$144,5,0)," ")</f>
        <v xml:space="preserve"> </v>
      </c>
      <c r="L1815" s="899" t="str">
        <f>IF(G1815&lt;&gt;0,VLOOKUP(G1815,'gia dat'!$A$1:$F$144,6,0)," ")</f>
        <v xml:space="preserve"> </v>
      </c>
      <c r="M1815" s="900" t="str">
        <f t="shared" si="391"/>
        <v xml:space="preserve"> </v>
      </c>
      <c r="N1815" s="900" t="str">
        <f t="shared" si="392"/>
        <v xml:space="preserve"> </v>
      </c>
      <c r="O1815" s="908"/>
      <c r="P1815" s="1065"/>
      <c r="Q1815" s="900" t="str">
        <f>IF(O1815&lt;&gt;0,VLOOKUP(O1815,'Cây trong'!$A$2:$C$246,3,0)," ")</f>
        <v xml:space="preserve"> </v>
      </c>
      <c r="R1815" s="900" t="str">
        <f t="shared" si="404"/>
        <v xml:space="preserve"> </v>
      </c>
      <c r="S1815" s="902" t="s">
        <v>2380</v>
      </c>
      <c r="T1815" s="944" t="s">
        <v>1133</v>
      </c>
      <c r="U1815" s="1066">
        <v>30.659999999999997</v>
      </c>
      <c r="V1815" s="922"/>
      <c r="W1815" s="900">
        <f>IF(S1815&lt;&gt;0,VLOOKUP(S1815,VKT!$A$2:$G$415,7,0),"")</f>
        <v>121350</v>
      </c>
      <c r="X1815" s="900">
        <f t="shared" si="395"/>
        <v>3721000</v>
      </c>
      <c r="Y1815" s="985"/>
      <c r="Z1815" s="922"/>
      <c r="AA1815" s="1067"/>
      <c r="AB1815" s="922"/>
      <c r="AC1815" s="922"/>
      <c r="AD1815" s="922"/>
      <c r="AE1815" s="922"/>
      <c r="AF1815" s="1046"/>
      <c r="AG1815" s="906" t="str">
        <f>IF(AE1815&lt;&gt;0,VLOOKUP(AE1815,ODDS!$A$2:$C$13,3,0),"")</f>
        <v/>
      </c>
      <c r="AH1815" s="906" t="str">
        <f t="shared" si="405"/>
        <v xml:space="preserve"> </v>
      </c>
      <c r="AI1815" s="907" t="str">
        <f t="shared" si="401"/>
        <v xml:space="preserve"> </v>
      </c>
      <c r="AJ1815" s="922"/>
      <c r="AK1815" s="922"/>
    </row>
    <row r="1816" spans="1:37" s="394" customFormat="1" ht="45" outlineLevel="2" x14ac:dyDescent="0.3">
      <c r="A1816" s="447">
        <f t="shared" si="403"/>
        <v>152</v>
      </c>
      <c r="B1816" s="893"/>
      <c r="C1816" s="908"/>
      <c r="D1816" s="1032"/>
      <c r="E1816" s="947"/>
      <c r="F1816" s="947"/>
      <c r="G1816" s="922"/>
      <c r="H1816" s="1041"/>
      <c r="I1816" s="882"/>
      <c r="J1816" s="898"/>
      <c r="K1816" s="899" t="str">
        <f>IF(G1816&lt;&gt;0,VLOOKUP(G1816,'gia dat'!$A$1:$F$144,5,0)," ")</f>
        <v xml:space="preserve"> </v>
      </c>
      <c r="L1816" s="899" t="str">
        <f>IF(G1816&lt;&gt;0,VLOOKUP(G1816,'gia dat'!$A$1:$F$144,6,0)," ")</f>
        <v xml:space="preserve"> </v>
      </c>
      <c r="M1816" s="900" t="str">
        <f t="shared" si="391"/>
        <v xml:space="preserve"> </v>
      </c>
      <c r="N1816" s="900" t="str">
        <f t="shared" si="392"/>
        <v xml:space="preserve"> </v>
      </c>
      <c r="O1816" s="908"/>
      <c r="P1816" s="1065"/>
      <c r="Q1816" s="900" t="str">
        <f>IF(O1816&lt;&gt;0,VLOOKUP(O1816,'Cây trong'!$A$2:$C$246,3,0)," ")</f>
        <v xml:space="preserve"> </v>
      </c>
      <c r="R1816" s="900" t="str">
        <f t="shared" si="404"/>
        <v xml:space="preserve"> </v>
      </c>
      <c r="S1816" s="902" t="s">
        <v>2381</v>
      </c>
      <c r="T1816" s="944" t="s">
        <v>1133</v>
      </c>
      <c r="U1816" s="1066">
        <v>39.077500000000001</v>
      </c>
      <c r="V1816" s="922"/>
      <c r="W1816" s="900">
        <f>IF(S1816&lt;&gt;0,VLOOKUP(S1816,VKT!$A$2:$G$415,7,0),"")</f>
        <v>275180</v>
      </c>
      <c r="X1816" s="900">
        <f t="shared" si="395"/>
        <v>10753000</v>
      </c>
      <c r="Y1816" s="985"/>
      <c r="Z1816" s="922"/>
      <c r="AA1816" s="1067"/>
      <c r="AB1816" s="922"/>
      <c r="AC1816" s="922"/>
      <c r="AD1816" s="922"/>
      <c r="AE1816" s="922"/>
      <c r="AF1816" s="1046"/>
      <c r="AG1816" s="906" t="str">
        <f>IF(AE1816&lt;&gt;0,VLOOKUP(AE1816,ODDS!$A$2:$C$13,3,0),"")</f>
        <v/>
      </c>
      <c r="AH1816" s="906" t="str">
        <f t="shared" si="405"/>
        <v xml:space="preserve"> </v>
      </c>
      <c r="AI1816" s="907" t="str">
        <f t="shared" si="401"/>
        <v xml:space="preserve"> </v>
      </c>
      <c r="AJ1816" s="922"/>
      <c r="AK1816" s="922"/>
    </row>
    <row r="1817" spans="1:37" s="394" customFormat="1" ht="67.5" outlineLevel="2" x14ac:dyDescent="0.3">
      <c r="A1817" s="447">
        <f t="shared" si="403"/>
        <v>152</v>
      </c>
      <c r="B1817" s="893"/>
      <c r="C1817" s="908"/>
      <c r="D1817" s="1032"/>
      <c r="E1817" s="947"/>
      <c r="F1817" s="947"/>
      <c r="G1817" s="922"/>
      <c r="H1817" s="1041"/>
      <c r="I1817" s="882"/>
      <c r="J1817" s="898"/>
      <c r="K1817" s="899" t="str">
        <f>IF(G1817&lt;&gt;0,VLOOKUP(G1817,'gia dat'!$A$1:$F$144,5,0)," ")</f>
        <v xml:space="preserve"> </v>
      </c>
      <c r="L1817" s="899" t="str">
        <f>IF(G1817&lt;&gt;0,VLOOKUP(G1817,'gia dat'!$A$1:$F$144,6,0)," ")</f>
        <v xml:space="preserve"> </v>
      </c>
      <c r="M1817" s="900" t="str">
        <f t="shared" si="391"/>
        <v xml:space="preserve"> </v>
      </c>
      <c r="N1817" s="900" t="str">
        <f t="shared" si="392"/>
        <v xml:space="preserve"> </v>
      </c>
      <c r="O1817" s="908"/>
      <c r="P1817" s="1065"/>
      <c r="Q1817" s="900" t="str">
        <f>IF(O1817&lt;&gt;0,VLOOKUP(O1817,'Cây trong'!$A$2:$C$246,3,0)," ")</f>
        <v xml:space="preserve"> </v>
      </c>
      <c r="R1817" s="900" t="str">
        <f t="shared" si="404"/>
        <v xml:space="preserve"> </v>
      </c>
      <c r="S1817" s="902" t="s">
        <v>2382</v>
      </c>
      <c r="T1817" s="944" t="s">
        <v>1133</v>
      </c>
      <c r="U1817" s="1066">
        <v>7.8</v>
      </c>
      <c r="V1817" s="922"/>
      <c r="W1817" s="900">
        <f>IF(S1817&lt;&gt;0,VLOOKUP(S1817,VKT!$A$2:$G$415,7,0),"")</f>
        <v>4631321</v>
      </c>
      <c r="X1817" s="900">
        <f t="shared" si="395"/>
        <v>36124000</v>
      </c>
      <c r="Y1817" s="985"/>
      <c r="Z1817" s="922"/>
      <c r="AA1817" s="1067"/>
      <c r="AB1817" s="922"/>
      <c r="AC1817" s="922"/>
      <c r="AD1817" s="922"/>
      <c r="AE1817" s="922"/>
      <c r="AF1817" s="1046"/>
      <c r="AG1817" s="906" t="str">
        <f>IF(AE1817&lt;&gt;0,VLOOKUP(AE1817,ODDS!$A$2:$C$13,3,0),"")</f>
        <v/>
      </c>
      <c r="AH1817" s="906" t="str">
        <f t="shared" si="405"/>
        <v xml:space="preserve"> </v>
      </c>
      <c r="AI1817" s="907" t="str">
        <f t="shared" si="401"/>
        <v xml:space="preserve"> </v>
      </c>
      <c r="AJ1817" s="922"/>
      <c r="AK1817" s="922"/>
    </row>
    <row r="1818" spans="1:37" s="394" customFormat="1" ht="112.5" outlineLevel="2" x14ac:dyDescent="0.3">
      <c r="A1818" s="447">
        <f t="shared" si="403"/>
        <v>152</v>
      </c>
      <c r="B1818" s="893"/>
      <c r="C1818" s="908"/>
      <c r="D1818" s="1032"/>
      <c r="E1818" s="947"/>
      <c r="F1818" s="947"/>
      <c r="G1818" s="922"/>
      <c r="H1818" s="1041"/>
      <c r="I1818" s="882"/>
      <c r="J1818" s="898"/>
      <c r="K1818" s="899" t="str">
        <f>IF(G1818&lt;&gt;0,VLOOKUP(G1818,'gia dat'!$A$1:$F$144,5,0)," ")</f>
        <v xml:space="preserve"> </v>
      </c>
      <c r="L1818" s="899" t="str">
        <f>IF(G1818&lt;&gt;0,VLOOKUP(G1818,'gia dat'!$A$1:$F$144,6,0)," ")</f>
        <v xml:space="preserve"> </v>
      </c>
      <c r="M1818" s="900" t="str">
        <f t="shared" si="391"/>
        <v xml:space="preserve"> </v>
      </c>
      <c r="N1818" s="900" t="str">
        <f t="shared" si="392"/>
        <v xml:space="preserve"> </v>
      </c>
      <c r="O1818" s="908"/>
      <c r="P1818" s="1065"/>
      <c r="Q1818" s="900" t="str">
        <f>IF(O1818&lt;&gt;0,VLOOKUP(O1818,'Cây trong'!$A$2:$C$246,3,0)," ")</f>
        <v xml:space="preserve"> </v>
      </c>
      <c r="R1818" s="900" t="str">
        <f t="shared" si="404"/>
        <v xml:space="preserve"> </v>
      </c>
      <c r="S1818" s="902" t="s">
        <v>2383</v>
      </c>
      <c r="T1818" s="944" t="s">
        <v>1286</v>
      </c>
      <c r="U1818" s="1066">
        <v>8.1</v>
      </c>
      <c r="V1818" s="922"/>
      <c r="W1818" s="900">
        <f>IF(S1818&lt;&gt;0,VLOOKUP(S1818,VKT!$A$2:$G$415,7,0),"")</f>
        <v>3878211</v>
      </c>
      <c r="X1818" s="900">
        <f t="shared" si="395"/>
        <v>31414000</v>
      </c>
      <c r="Y1818" s="985"/>
      <c r="Z1818" s="922"/>
      <c r="AA1818" s="1067"/>
      <c r="AB1818" s="922"/>
      <c r="AC1818" s="922"/>
      <c r="AD1818" s="922"/>
      <c r="AE1818" s="922"/>
      <c r="AF1818" s="1046"/>
      <c r="AG1818" s="906" t="str">
        <f>IF(AE1818&lt;&gt;0,VLOOKUP(AE1818,ODDS!$A$2:$C$13,3,0),"")</f>
        <v/>
      </c>
      <c r="AH1818" s="906" t="str">
        <f t="shared" si="405"/>
        <v xml:space="preserve"> </v>
      </c>
      <c r="AI1818" s="907" t="str">
        <f t="shared" si="401"/>
        <v xml:space="preserve"> </v>
      </c>
      <c r="AJ1818" s="922"/>
      <c r="AK1818" s="922"/>
    </row>
    <row r="1819" spans="1:37" s="394" customFormat="1" ht="22.5" outlineLevel="2" x14ac:dyDescent="0.3">
      <c r="A1819" s="447">
        <f t="shared" si="403"/>
        <v>152</v>
      </c>
      <c r="B1819" s="893"/>
      <c r="C1819" s="908"/>
      <c r="D1819" s="1032"/>
      <c r="E1819" s="947"/>
      <c r="F1819" s="947"/>
      <c r="G1819" s="922"/>
      <c r="H1819" s="1041"/>
      <c r="I1819" s="882"/>
      <c r="J1819" s="898"/>
      <c r="K1819" s="899" t="str">
        <f>IF(G1819&lt;&gt;0,VLOOKUP(G1819,'gia dat'!$A$1:$F$144,5,0)," ")</f>
        <v xml:space="preserve"> </v>
      </c>
      <c r="L1819" s="899" t="str">
        <f>IF(G1819&lt;&gt;0,VLOOKUP(G1819,'gia dat'!$A$1:$F$144,6,0)," ")</f>
        <v xml:space="preserve"> </v>
      </c>
      <c r="M1819" s="900" t="str">
        <f t="shared" si="391"/>
        <v xml:space="preserve"> </v>
      </c>
      <c r="N1819" s="900" t="str">
        <f t="shared" si="392"/>
        <v xml:space="preserve"> </v>
      </c>
      <c r="O1819" s="908"/>
      <c r="P1819" s="1065"/>
      <c r="Q1819" s="900" t="str">
        <f>IF(O1819&lt;&gt;0,VLOOKUP(O1819,'Cây trong'!$A$2:$C$246,3,0)," ")</f>
        <v xml:space="preserve"> </v>
      </c>
      <c r="R1819" s="900" t="str">
        <f t="shared" si="404"/>
        <v xml:space="preserve"> </v>
      </c>
      <c r="S1819" s="902"/>
      <c r="T1819" s="944"/>
      <c r="U1819" s="1066"/>
      <c r="V1819" s="922"/>
      <c r="W1819" s="900" t="str">
        <f>IF(S1819&lt;&gt;0,VLOOKUP(S1819,VKT!$A$2:$G$415,7,0),"")</f>
        <v/>
      </c>
      <c r="X1819" s="900" t="str">
        <f t="shared" si="395"/>
        <v xml:space="preserve"> </v>
      </c>
      <c r="Y1819" s="985"/>
      <c r="Z1819" s="922"/>
      <c r="AA1819" s="1067"/>
      <c r="AB1819" s="922"/>
      <c r="AC1819" s="922"/>
      <c r="AD1819" s="922"/>
      <c r="AE1819" s="922"/>
      <c r="AF1819" s="1046"/>
      <c r="AG1819" s="906" t="str">
        <f>IF(AE1819&lt;&gt;0,VLOOKUP(AE1819,ODDS!$A$2:$C$13,3,0),"")</f>
        <v/>
      </c>
      <c r="AH1819" s="906" t="str">
        <f t="shared" si="405"/>
        <v xml:space="preserve"> </v>
      </c>
      <c r="AI1819" s="907" t="str">
        <f t="shared" si="401"/>
        <v xml:space="preserve"> </v>
      </c>
      <c r="AJ1819" s="922"/>
      <c r="AK1819" s="922"/>
    </row>
    <row r="1820" spans="1:37" s="394" customFormat="1" ht="22.5" outlineLevel="2" x14ac:dyDescent="0.3">
      <c r="A1820" s="447">
        <f t="shared" si="403"/>
        <v>152</v>
      </c>
      <c r="B1820" s="893"/>
      <c r="C1820" s="908"/>
      <c r="D1820" s="1032"/>
      <c r="E1820" s="947"/>
      <c r="F1820" s="947"/>
      <c r="G1820" s="922"/>
      <c r="H1820" s="1041"/>
      <c r="I1820" s="882"/>
      <c r="J1820" s="894"/>
      <c r="K1820" s="899" t="str">
        <f>IF(G1820&lt;&gt;0,VLOOKUP(G1820,'gia dat'!$A$1:$F$144,5,0)," ")</f>
        <v xml:space="preserve"> </v>
      </c>
      <c r="L1820" s="899" t="str">
        <f>IF(G1820&lt;&gt;0,VLOOKUP(G1820,'gia dat'!$A$1:$F$144,6,0)," ")</f>
        <v xml:space="preserve"> </v>
      </c>
      <c r="M1820" s="900" t="str">
        <f t="shared" si="391"/>
        <v xml:space="preserve"> </v>
      </c>
      <c r="N1820" s="900" t="str">
        <f t="shared" si="392"/>
        <v xml:space="preserve"> </v>
      </c>
      <c r="O1820" s="908"/>
      <c r="P1820" s="1065"/>
      <c r="Q1820" s="900" t="str">
        <f>IF(O1820&lt;&gt;0,VLOOKUP(O1820,'Cây trong'!$A$2:$C$246,3,0)," ")</f>
        <v xml:space="preserve"> </v>
      </c>
      <c r="R1820" s="900" t="str">
        <f t="shared" si="404"/>
        <v xml:space="preserve"> </v>
      </c>
      <c r="S1820" s="908"/>
      <c r="T1820" s="944"/>
      <c r="U1820" s="1066"/>
      <c r="V1820" s="922"/>
      <c r="W1820" s="900" t="str">
        <f>IF(S1820&lt;&gt;0,VLOOKUP(S1820,VKT!$A$2:$G$415,7,0),"")</f>
        <v/>
      </c>
      <c r="X1820" s="900" t="str">
        <f t="shared" si="395"/>
        <v xml:space="preserve"> </v>
      </c>
      <c r="Y1820" s="985"/>
      <c r="Z1820" s="922"/>
      <c r="AA1820" s="1067"/>
      <c r="AB1820" s="922"/>
      <c r="AC1820" s="922"/>
      <c r="AD1820" s="922"/>
      <c r="AE1820" s="922"/>
      <c r="AF1820" s="1046"/>
      <c r="AG1820" s="906" t="str">
        <f>IF(AE1820&lt;&gt;0,VLOOKUP(AE1820,ODDS!$A$2:$C$13,3,0),"")</f>
        <v/>
      </c>
      <c r="AH1820" s="906" t="str">
        <f t="shared" si="405"/>
        <v xml:space="preserve"> </v>
      </c>
      <c r="AI1820" s="907" t="str">
        <f t="shared" si="401"/>
        <v xml:space="preserve"> </v>
      </c>
      <c r="AJ1820" s="922"/>
      <c r="AK1820" s="922"/>
    </row>
    <row r="1821" spans="1:37" s="394" customFormat="1" ht="22.5" outlineLevel="2" x14ac:dyDescent="0.3">
      <c r="A1821" s="447">
        <f t="shared" si="403"/>
        <v>152</v>
      </c>
      <c r="B1821" s="893"/>
      <c r="C1821" s="908"/>
      <c r="D1821" s="1032"/>
      <c r="E1821" s="947"/>
      <c r="F1821" s="947"/>
      <c r="G1821" s="922"/>
      <c r="H1821" s="1041"/>
      <c r="I1821" s="882"/>
      <c r="J1821" s="894"/>
      <c r="K1821" s="899" t="str">
        <f>IF(G1821&lt;&gt;0,VLOOKUP(G1821,'gia dat'!$A$1:$F$144,5,0)," ")</f>
        <v xml:space="preserve"> </v>
      </c>
      <c r="L1821" s="899" t="str">
        <f>IF(G1821&lt;&gt;0,VLOOKUP(G1821,'gia dat'!$A$1:$F$144,6,0)," ")</f>
        <v xml:space="preserve"> </v>
      </c>
      <c r="M1821" s="900" t="str">
        <f t="shared" si="391"/>
        <v xml:space="preserve"> </v>
      </c>
      <c r="N1821" s="900" t="str">
        <f t="shared" si="392"/>
        <v xml:space="preserve"> </v>
      </c>
      <c r="O1821" s="908"/>
      <c r="P1821" s="1065"/>
      <c r="Q1821" s="900" t="str">
        <f>IF(O1821&lt;&gt;0,VLOOKUP(O1821,'Cây trong'!$A$2:$C$246,3,0)," ")</f>
        <v xml:space="preserve"> </v>
      </c>
      <c r="R1821" s="900" t="str">
        <f t="shared" si="404"/>
        <v xml:space="preserve"> </v>
      </c>
      <c r="S1821" s="908"/>
      <c r="T1821" s="944"/>
      <c r="U1821" s="1066"/>
      <c r="V1821" s="922"/>
      <c r="W1821" s="900" t="str">
        <f>IF(S1821&lt;&gt;0,VLOOKUP(S1821,VKT!$A$2:$G$415,7,0),"")</f>
        <v/>
      </c>
      <c r="X1821" s="900" t="str">
        <f t="shared" si="395"/>
        <v xml:space="preserve"> </v>
      </c>
      <c r="Y1821" s="985"/>
      <c r="Z1821" s="922"/>
      <c r="AA1821" s="1067"/>
      <c r="AB1821" s="922"/>
      <c r="AC1821" s="922"/>
      <c r="AD1821" s="922"/>
      <c r="AE1821" s="922"/>
      <c r="AF1821" s="1046"/>
      <c r="AG1821" s="906" t="str">
        <f>IF(AE1821&lt;&gt;0,VLOOKUP(AE1821,ODDS!$A$2:$C$13,3,0),"")</f>
        <v/>
      </c>
      <c r="AH1821" s="906" t="str">
        <f t="shared" si="405"/>
        <v xml:space="preserve"> </v>
      </c>
      <c r="AI1821" s="907" t="str">
        <f t="shared" si="401"/>
        <v xml:space="preserve"> </v>
      </c>
      <c r="AJ1821" s="908"/>
      <c r="AK1821" s="908"/>
    </row>
    <row r="1822" spans="1:37" s="394" customFormat="1" ht="22.5" outlineLevel="2" x14ac:dyDescent="0.3">
      <c r="A1822" s="447">
        <f t="shared" si="403"/>
        <v>152</v>
      </c>
      <c r="B1822" s="893"/>
      <c r="C1822" s="908"/>
      <c r="D1822" s="1032"/>
      <c r="E1822" s="947"/>
      <c r="F1822" s="947"/>
      <c r="G1822" s="922"/>
      <c r="H1822" s="1041"/>
      <c r="I1822" s="882"/>
      <c r="J1822" s="894"/>
      <c r="K1822" s="899" t="str">
        <f>IF(G1822&lt;&gt;0,VLOOKUP(G1822,'gia dat'!$A$1:$F$144,5,0)," ")</f>
        <v xml:space="preserve"> </v>
      </c>
      <c r="L1822" s="899" t="str">
        <f>IF(G1822&lt;&gt;0,VLOOKUP(G1822,'gia dat'!$A$1:$F$144,6,0)," ")</f>
        <v xml:space="preserve"> </v>
      </c>
      <c r="M1822" s="900" t="str">
        <f t="shared" si="391"/>
        <v xml:space="preserve"> </v>
      </c>
      <c r="N1822" s="900" t="str">
        <f t="shared" si="392"/>
        <v xml:space="preserve"> </v>
      </c>
      <c r="O1822" s="908"/>
      <c r="P1822" s="1065"/>
      <c r="Q1822" s="900" t="str">
        <f>IF(O1822&lt;&gt;0,VLOOKUP(O1822,'Cây trong'!$A$2:$C$246,3,0)," ")</f>
        <v xml:space="preserve"> </v>
      </c>
      <c r="R1822" s="900" t="str">
        <f t="shared" si="404"/>
        <v xml:space="preserve"> </v>
      </c>
      <c r="S1822" s="908"/>
      <c r="T1822" s="944"/>
      <c r="U1822" s="1066"/>
      <c r="V1822" s="922"/>
      <c r="W1822" s="900" t="str">
        <f>IF(S1822&lt;&gt;0,VLOOKUP(S1822,VKT!$A$2:$G$415,7,0),"")</f>
        <v/>
      </c>
      <c r="X1822" s="900" t="str">
        <f t="shared" si="395"/>
        <v xml:space="preserve"> </v>
      </c>
      <c r="Y1822" s="985"/>
      <c r="Z1822" s="922"/>
      <c r="AA1822" s="1067"/>
      <c r="AB1822" s="922"/>
      <c r="AC1822" s="922"/>
      <c r="AD1822" s="922"/>
      <c r="AE1822" s="922"/>
      <c r="AF1822" s="1046"/>
      <c r="AG1822" s="906" t="str">
        <f>IF(AE1822&lt;&gt;0,VLOOKUP(AE1822,ODDS!$A$2:$C$13,3,0),"")</f>
        <v/>
      </c>
      <c r="AH1822" s="906" t="str">
        <f t="shared" si="405"/>
        <v xml:space="preserve"> </v>
      </c>
      <c r="AI1822" s="907" t="str">
        <f t="shared" si="401"/>
        <v xml:space="preserve"> </v>
      </c>
      <c r="AJ1822" s="894"/>
      <c r="AK1822" s="894"/>
    </row>
    <row r="1823" spans="1:37" s="394" customFormat="1" ht="22.5" outlineLevel="2" x14ac:dyDescent="0.3">
      <c r="A1823" s="447">
        <f t="shared" si="403"/>
        <v>152</v>
      </c>
      <c r="B1823" s="893"/>
      <c r="C1823" s="942"/>
      <c r="D1823" s="1032"/>
      <c r="E1823" s="947"/>
      <c r="F1823" s="947"/>
      <c r="G1823" s="922"/>
      <c r="H1823" s="1041"/>
      <c r="I1823" s="882"/>
      <c r="J1823" s="894"/>
      <c r="K1823" s="899" t="str">
        <f>IF(G1823&lt;&gt;0,VLOOKUP(G1823,'gia dat'!$A$1:$F$144,5,0)," ")</f>
        <v xml:space="preserve"> </v>
      </c>
      <c r="L1823" s="899" t="str">
        <f>IF(G1823&lt;&gt;0,VLOOKUP(G1823,'gia dat'!$A$1:$F$144,6,0)," ")</f>
        <v xml:space="preserve"> </v>
      </c>
      <c r="M1823" s="900" t="str">
        <f t="shared" si="391"/>
        <v xml:space="preserve"> </v>
      </c>
      <c r="N1823" s="900" t="str">
        <f t="shared" si="392"/>
        <v xml:space="preserve"> </v>
      </c>
      <c r="O1823" s="908"/>
      <c r="P1823" s="1065"/>
      <c r="Q1823" s="900" t="str">
        <f>IF(O1823&lt;&gt;0,VLOOKUP(O1823,'Cây trong'!$A$2:$C$246,3,0)," ")</f>
        <v xml:space="preserve"> </v>
      </c>
      <c r="R1823" s="900" t="str">
        <f t="shared" si="404"/>
        <v xml:space="preserve"> </v>
      </c>
      <c r="S1823" s="908"/>
      <c r="T1823" s="944"/>
      <c r="U1823" s="1066"/>
      <c r="V1823" s="922"/>
      <c r="W1823" s="900" t="str">
        <f>IF(S1823&lt;&gt;0,VLOOKUP(S1823,VKT!$A$2:$G$415,7,0),"")</f>
        <v/>
      </c>
      <c r="X1823" s="900" t="str">
        <f t="shared" si="395"/>
        <v xml:space="preserve"> </v>
      </c>
      <c r="Y1823" s="985"/>
      <c r="Z1823" s="922"/>
      <c r="AA1823" s="1067"/>
      <c r="AB1823" s="922"/>
      <c r="AC1823" s="922"/>
      <c r="AD1823" s="922"/>
      <c r="AE1823" s="922"/>
      <c r="AF1823" s="1046"/>
      <c r="AG1823" s="906" t="str">
        <f>IF(AE1823&lt;&gt;0,VLOOKUP(AE1823,ODDS!$A$2:$C$13,3,0),"")</f>
        <v/>
      </c>
      <c r="AH1823" s="906" t="str">
        <f t="shared" si="405"/>
        <v xml:space="preserve"> </v>
      </c>
      <c r="AI1823" s="907" t="str">
        <f t="shared" si="401"/>
        <v xml:space="preserve"> </v>
      </c>
      <c r="AJ1823" s="922"/>
      <c r="AK1823" s="922"/>
    </row>
    <row r="1824" spans="1:37" s="396" customFormat="1" ht="43.5" outlineLevel="1" x14ac:dyDescent="0.25">
      <c r="A1824" s="467" t="s">
        <v>2557</v>
      </c>
      <c r="B1824" s="912">
        <v>153</v>
      </c>
      <c r="C1824" s="942" t="s">
        <v>1287</v>
      </c>
      <c r="D1824" s="1038"/>
      <c r="E1824" s="977"/>
      <c r="F1824" s="977"/>
      <c r="G1824" s="914"/>
      <c r="H1824" s="1039">
        <f>SUBTOTAL(9,H1825:H1830)</f>
        <v>14.1</v>
      </c>
      <c r="I1824" s="915">
        <f>SUBTOTAL(9,I1825:I1830)</f>
        <v>0</v>
      </c>
      <c r="J1824" s="916"/>
      <c r="K1824" s="917"/>
      <c r="L1824" s="917"/>
      <c r="M1824" s="907">
        <f>SUBTOTAL(9,M1825:M1830)</f>
        <v>7817000</v>
      </c>
      <c r="N1824" s="907">
        <f>SUBTOTAL(9,N1825:N1830)</f>
        <v>0</v>
      </c>
      <c r="O1824" s="942"/>
      <c r="P1824" s="1063">
        <f>SUBTOTAL(9,P1825:P1830)</f>
        <v>1</v>
      </c>
      <c r="Q1824" s="907"/>
      <c r="R1824" s="907">
        <f>SUBTOTAL(9,R1825:R1830)</f>
        <v>0</v>
      </c>
      <c r="S1824" s="918"/>
      <c r="T1824" s="956"/>
      <c r="U1824" s="1064">
        <f>SUBTOTAL(9,U1825:U1830)</f>
        <v>0</v>
      </c>
      <c r="V1824" s="914"/>
      <c r="W1824" s="907"/>
      <c r="X1824" s="907">
        <f>SUBTOTAL(9,X1825:X1830)</f>
        <v>0</v>
      </c>
      <c r="Y1824" s="985"/>
      <c r="Z1824" s="922"/>
      <c r="AA1824" s="1067"/>
      <c r="AB1824" s="922"/>
      <c r="AC1824" s="922"/>
      <c r="AD1824" s="922"/>
      <c r="AE1824" s="914"/>
      <c r="AF1824" s="1044">
        <f>SUBTOTAL(9,AF1825:AF1830)</f>
        <v>0</v>
      </c>
      <c r="AG1824" s="921"/>
      <c r="AH1824" s="921">
        <f>SUBTOTAL(9,AH1825:AH1830)</f>
        <v>0</v>
      </c>
      <c r="AI1824" s="907">
        <f t="shared" si="401"/>
        <v>7817000</v>
      </c>
      <c r="AJ1824" s="914"/>
      <c r="AK1824" s="914"/>
    </row>
    <row r="1825" spans="1:39" s="396" customFormat="1" ht="135" outlineLevel="2" x14ac:dyDescent="0.3">
      <c r="A1825" s="447">
        <f>IF(B1824&lt;&gt;0,B1824,A1823)</f>
        <v>153</v>
      </c>
      <c r="B1825" s="893"/>
      <c r="C1825" s="908" t="s">
        <v>1289</v>
      </c>
      <c r="D1825" s="1032">
        <v>4</v>
      </c>
      <c r="E1825" s="947">
        <v>86</v>
      </c>
      <c r="F1825" s="947">
        <v>380</v>
      </c>
      <c r="G1825" s="922" t="s">
        <v>2897</v>
      </c>
      <c r="H1825" s="1041">
        <f>14.1-H1826</f>
        <v>14.1</v>
      </c>
      <c r="I1825" s="882" t="str">
        <f t="shared" ref="I1825" si="406">IF(N1825&gt;0,H1825,"")</f>
        <v/>
      </c>
      <c r="J1825" s="898"/>
      <c r="K1825" s="899">
        <f>IF(G1825&lt;&gt;0,VLOOKUP(G1825,'gia dat'!$A$1:$F$144,5,0)," ")</f>
        <v>554400</v>
      </c>
      <c r="L1825" s="899">
        <f>IF(G1825&lt;&gt;0,VLOOKUP(G1825,'gia dat'!$A$1:$F$144,6,0)," ")</f>
        <v>0</v>
      </c>
      <c r="M1825" s="900">
        <f t="shared" si="391"/>
        <v>7817000</v>
      </c>
      <c r="N1825" s="900">
        <f t="shared" si="392"/>
        <v>0</v>
      </c>
      <c r="O1825" s="908" t="s">
        <v>1240</v>
      </c>
      <c r="P1825" s="1065">
        <v>1</v>
      </c>
      <c r="Q1825" s="900">
        <f>IF(O1825&lt;&gt;0,VLOOKUP(O1825,'Cây trong'!$A$2:$C$246,3,0)," ")</f>
        <v>0</v>
      </c>
      <c r="R1825" s="900">
        <f t="shared" si="404"/>
        <v>0</v>
      </c>
      <c r="S1825" s="902"/>
      <c r="T1825" s="944"/>
      <c r="U1825" s="1066"/>
      <c r="V1825" s="922"/>
      <c r="W1825" s="900" t="str">
        <f>IF(S1825&lt;&gt;0,VLOOKUP(S1825,VKT!$A$2:$G$415,7,0),"")</f>
        <v/>
      </c>
      <c r="X1825" s="900" t="str">
        <f t="shared" si="395"/>
        <v xml:space="preserve"> </v>
      </c>
      <c r="Y1825" s="985"/>
      <c r="Z1825" s="922"/>
      <c r="AA1825" s="1067"/>
      <c r="AB1825" s="922"/>
      <c r="AC1825" s="922"/>
      <c r="AD1825" s="922"/>
      <c r="AE1825" s="922"/>
      <c r="AF1825" s="1046"/>
      <c r="AG1825" s="906" t="str">
        <f>IF(AE1825&lt;&gt;0,VLOOKUP(AE1825,ODDS!$A$2:$C$13,3,0),"")</f>
        <v/>
      </c>
      <c r="AH1825" s="906"/>
      <c r="AI1825" s="907" t="str">
        <f t="shared" si="401"/>
        <v xml:space="preserve"> </v>
      </c>
      <c r="AJ1825" s="922" t="s">
        <v>1288</v>
      </c>
      <c r="AK1825" s="922" t="s">
        <v>2771</v>
      </c>
    </row>
    <row r="1826" spans="1:39" s="394" customFormat="1" ht="112.5" outlineLevel="2" x14ac:dyDescent="0.3">
      <c r="A1826" s="447">
        <f>IF(B1825&lt;&gt;0,B1825,A1825)</f>
        <v>153</v>
      </c>
      <c r="B1826" s="893"/>
      <c r="C1826" s="908" t="s">
        <v>1612</v>
      </c>
      <c r="D1826" s="1032"/>
      <c r="E1826" s="947"/>
      <c r="F1826" s="947"/>
      <c r="G1826" s="922"/>
      <c r="H1826" s="1041"/>
      <c r="I1826" s="882"/>
      <c r="J1826" s="898"/>
      <c r="K1826" s="899" t="str">
        <f>IF(G1826&lt;&gt;0,VLOOKUP(G1826,'gia dat'!$A$1:$F$144,5,0)," ")</f>
        <v xml:space="preserve"> </v>
      </c>
      <c r="L1826" s="899" t="str">
        <f>IF(G1826&lt;&gt;0,VLOOKUP(G1826,'gia dat'!$A$1:$F$144,6,0)," ")</f>
        <v xml:space="preserve"> </v>
      </c>
      <c r="M1826" s="900" t="str">
        <f t="shared" ref="M1826:M1897" si="407">IF(H1826&lt;&gt;0,ROUND(H1826*K1826,-3)," ")</f>
        <v xml:space="preserve"> </v>
      </c>
      <c r="N1826" s="900" t="str">
        <f t="shared" ref="N1826:N1897" si="408">IF(H1826&lt;&gt;0,ROUND(H1826*L1826,-3)," ")</f>
        <v xml:space="preserve"> </v>
      </c>
      <c r="O1826" s="908"/>
      <c r="P1826" s="1065"/>
      <c r="Q1826" s="900" t="str">
        <f>IF(O1826&lt;&gt;0,VLOOKUP(O1826,'Cây trong'!$A$2:$C$246,3,0)," ")</f>
        <v xml:space="preserve"> </v>
      </c>
      <c r="R1826" s="900" t="str">
        <f t="shared" si="404"/>
        <v xml:space="preserve"> </v>
      </c>
      <c r="S1826" s="902"/>
      <c r="T1826" s="944"/>
      <c r="U1826" s="1066"/>
      <c r="V1826" s="922"/>
      <c r="W1826" s="900" t="str">
        <f>IF(S1826&lt;&gt;0,VLOOKUP(S1826,VKT!$A$2:$G$415,7,0),"")</f>
        <v/>
      </c>
      <c r="X1826" s="900" t="str">
        <f t="shared" si="395"/>
        <v xml:space="preserve"> </v>
      </c>
      <c r="Y1826" s="985"/>
      <c r="Z1826" s="922"/>
      <c r="AA1826" s="1067"/>
      <c r="AB1826" s="922"/>
      <c r="AC1826" s="922"/>
      <c r="AD1826" s="922"/>
      <c r="AE1826" s="922"/>
      <c r="AF1826" s="1046"/>
      <c r="AG1826" s="906" t="str">
        <f>IF(AE1826&lt;&gt;0,VLOOKUP(AE1826,ODDS!$A$2:$C$13,3,0),"")</f>
        <v/>
      </c>
      <c r="AH1826" s="906" t="str">
        <f t="shared" si="405"/>
        <v xml:space="preserve"> </v>
      </c>
      <c r="AI1826" s="907" t="str">
        <f t="shared" si="401"/>
        <v xml:space="preserve"> </v>
      </c>
      <c r="AJ1826" s="922" t="s">
        <v>1290</v>
      </c>
      <c r="AK1826" s="894" t="s">
        <v>2449</v>
      </c>
    </row>
    <row r="1827" spans="1:39" s="394" customFormat="1" ht="22.5" outlineLevel="2" x14ac:dyDescent="0.3">
      <c r="A1827" s="447">
        <f>IF(B1826&lt;&gt;0,B1826,A1826)</f>
        <v>153</v>
      </c>
      <c r="B1827" s="893"/>
      <c r="C1827" s="908"/>
      <c r="D1827" s="1032"/>
      <c r="E1827" s="947"/>
      <c r="F1827" s="947"/>
      <c r="G1827" s="922"/>
      <c r="H1827" s="1041"/>
      <c r="I1827" s="882"/>
      <c r="J1827" s="898"/>
      <c r="K1827" s="899" t="str">
        <f>IF(G1827&lt;&gt;0,VLOOKUP(G1827,'gia dat'!$A$1:$F$144,5,0)," ")</f>
        <v xml:space="preserve"> </v>
      </c>
      <c r="L1827" s="899" t="str">
        <f>IF(G1827&lt;&gt;0,VLOOKUP(G1827,'gia dat'!$A$1:$F$144,6,0)," ")</f>
        <v xml:space="preserve"> </v>
      </c>
      <c r="M1827" s="900" t="str">
        <f t="shared" si="407"/>
        <v xml:space="preserve"> </v>
      </c>
      <c r="N1827" s="900" t="str">
        <f t="shared" si="408"/>
        <v xml:space="preserve"> </v>
      </c>
      <c r="O1827" s="908"/>
      <c r="P1827" s="1065"/>
      <c r="Q1827" s="900" t="str">
        <f>IF(O1827&lt;&gt;0,VLOOKUP(O1827,'Cây trong'!$A$2:$C$246,3,0)," ")</f>
        <v xml:space="preserve"> </v>
      </c>
      <c r="R1827" s="900" t="str">
        <f t="shared" si="404"/>
        <v xml:space="preserve"> </v>
      </c>
      <c r="S1827" s="902"/>
      <c r="T1827" s="944"/>
      <c r="U1827" s="1066"/>
      <c r="V1827" s="922"/>
      <c r="W1827" s="900" t="str">
        <f>IF(S1827&lt;&gt;0,VLOOKUP(S1827,VKT!$A$2:$G$415,7,0),"")</f>
        <v/>
      </c>
      <c r="X1827" s="900" t="str">
        <f t="shared" si="395"/>
        <v xml:space="preserve"> </v>
      </c>
      <c r="Y1827" s="985"/>
      <c r="Z1827" s="922"/>
      <c r="AA1827" s="1067"/>
      <c r="AB1827" s="922"/>
      <c r="AC1827" s="922"/>
      <c r="AD1827" s="922"/>
      <c r="AE1827" s="922"/>
      <c r="AF1827" s="1046"/>
      <c r="AG1827" s="906" t="str">
        <f>IF(AE1827&lt;&gt;0,VLOOKUP(AE1827,ODDS!$A$2:$C$13,3,0),"")</f>
        <v/>
      </c>
      <c r="AH1827" s="906" t="str">
        <f t="shared" si="405"/>
        <v xml:space="preserve"> </v>
      </c>
      <c r="AI1827" s="907" t="str">
        <f t="shared" si="401"/>
        <v xml:space="preserve"> </v>
      </c>
      <c r="AJ1827" s="922" t="s">
        <v>1291</v>
      </c>
      <c r="AK1827" s="922"/>
    </row>
    <row r="1828" spans="1:39" s="394" customFormat="1" ht="112.5" outlineLevel="2" x14ac:dyDescent="0.3">
      <c r="A1828" s="447">
        <f>IF(B1827&lt;&gt;0,B1827,A1827)</f>
        <v>153</v>
      </c>
      <c r="B1828" s="893"/>
      <c r="C1828" s="908"/>
      <c r="D1828" s="1032"/>
      <c r="E1828" s="947"/>
      <c r="F1828" s="947"/>
      <c r="G1828" s="922"/>
      <c r="H1828" s="1041"/>
      <c r="I1828" s="882"/>
      <c r="J1828" s="894"/>
      <c r="K1828" s="899" t="str">
        <f>IF(G1828&lt;&gt;0,VLOOKUP(G1828,'gia dat'!$A$1:$F$144,5,0)," ")</f>
        <v xml:space="preserve"> </v>
      </c>
      <c r="L1828" s="899" t="str">
        <f>IF(G1828&lt;&gt;0,VLOOKUP(G1828,'gia dat'!$A$1:$F$144,6,0)," ")</f>
        <v xml:space="preserve"> </v>
      </c>
      <c r="M1828" s="900" t="str">
        <f t="shared" si="407"/>
        <v xml:space="preserve"> </v>
      </c>
      <c r="N1828" s="900" t="str">
        <f t="shared" si="408"/>
        <v xml:space="preserve"> </v>
      </c>
      <c r="O1828" s="908"/>
      <c r="P1828" s="1065"/>
      <c r="Q1828" s="900" t="str">
        <f>IF(O1828&lt;&gt;0,VLOOKUP(O1828,'Cây trong'!$A$2:$C$246,3,0)," ")</f>
        <v xml:space="preserve"> </v>
      </c>
      <c r="R1828" s="900" t="str">
        <f t="shared" si="404"/>
        <v xml:space="preserve"> </v>
      </c>
      <c r="S1828" s="908"/>
      <c r="T1828" s="944"/>
      <c r="U1828" s="1066"/>
      <c r="V1828" s="922"/>
      <c r="W1828" s="900" t="str">
        <f>IF(S1828&lt;&gt;0,VLOOKUP(S1828,VKT!$A$2:$G$415,7,0),"")</f>
        <v/>
      </c>
      <c r="X1828" s="900" t="str">
        <f t="shared" si="395"/>
        <v xml:space="preserve"> </v>
      </c>
      <c r="Y1828" s="985"/>
      <c r="Z1828" s="922"/>
      <c r="AA1828" s="1067"/>
      <c r="AB1828" s="922"/>
      <c r="AC1828" s="922"/>
      <c r="AD1828" s="922"/>
      <c r="AE1828" s="922"/>
      <c r="AF1828" s="1046"/>
      <c r="AG1828" s="906" t="str">
        <f>IF(AE1828&lt;&gt;0,VLOOKUP(AE1828,ODDS!$A$2:$C$13,3,0),"")</f>
        <v/>
      </c>
      <c r="AH1828" s="906" t="str">
        <f t="shared" si="405"/>
        <v xml:space="preserve"> </v>
      </c>
      <c r="AI1828" s="907" t="str">
        <f t="shared" si="401"/>
        <v xml:space="preserve"> </v>
      </c>
      <c r="AJ1828" s="922" t="s">
        <v>2238</v>
      </c>
      <c r="AK1828" s="922"/>
    </row>
    <row r="1829" spans="1:39" s="394" customFormat="1" ht="22.5" outlineLevel="2" x14ac:dyDescent="0.3">
      <c r="A1829" s="447">
        <f>IF(B1828&lt;&gt;0,B1828,A1828)</f>
        <v>153</v>
      </c>
      <c r="B1829" s="893"/>
      <c r="C1829" s="908"/>
      <c r="D1829" s="1032"/>
      <c r="E1829" s="947"/>
      <c r="F1829" s="947"/>
      <c r="G1829" s="922"/>
      <c r="H1829" s="1041"/>
      <c r="I1829" s="882"/>
      <c r="J1829" s="894"/>
      <c r="K1829" s="899" t="str">
        <f>IF(G1829&lt;&gt;0,VLOOKUP(G1829,'gia dat'!$A$1:$F$144,5,0)," ")</f>
        <v xml:space="preserve"> </v>
      </c>
      <c r="L1829" s="899" t="str">
        <f>IF(G1829&lt;&gt;0,VLOOKUP(G1829,'gia dat'!$A$1:$F$144,6,0)," ")</f>
        <v xml:space="preserve"> </v>
      </c>
      <c r="M1829" s="900" t="str">
        <f t="shared" si="407"/>
        <v xml:space="preserve"> </v>
      </c>
      <c r="N1829" s="900" t="str">
        <f t="shared" si="408"/>
        <v xml:space="preserve"> </v>
      </c>
      <c r="O1829" s="908"/>
      <c r="P1829" s="1065"/>
      <c r="Q1829" s="900" t="str">
        <f>IF(O1829&lt;&gt;0,VLOOKUP(O1829,'Cây trong'!$A$2:$C$246,3,0)," ")</f>
        <v xml:space="preserve"> </v>
      </c>
      <c r="R1829" s="900" t="str">
        <f t="shared" si="404"/>
        <v xml:space="preserve"> </v>
      </c>
      <c r="S1829" s="908"/>
      <c r="T1829" s="944"/>
      <c r="U1829" s="1066"/>
      <c r="V1829" s="922"/>
      <c r="W1829" s="900" t="str">
        <f>IF(S1829&lt;&gt;0,VLOOKUP(S1829,VKT!$A$2:$G$415,7,0),"")</f>
        <v/>
      </c>
      <c r="X1829" s="900" t="str">
        <f t="shared" si="395"/>
        <v xml:space="preserve"> </v>
      </c>
      <c r="Y1829" s="985"/>
      <c r="Z1829" s="922"/>
      <c r="AA1829" s="1067"/>
      <c r="AB1829" s="922"/>
      <c r="AC1829" s="922"/>
      <c r="AD1829" s="922"/>
      <c r="AE1829" s="922"/>
      <c r="AF1829" s="1046"/>
      <c r="AG1829" s="906" t="str">
        <f>IF(AE1829&lt;&gt;0,VLOOKUP(AE1829,ODDS!$A$2:$C$13,3,0),"")</f>
        <v/>
      </c>
      <c r="AH1829" s="906" t="str">
        <f t="shared" si="405"/>
        <v xml:space="preserve"> </v>
      </c>
      <c r="AI1829" s="907" t="str">
        <f t="shared" si="401"/>
        <v xml:space="preserve"> </v>
      </c>
      <c r="AJ1829" s="894"/>
      <c r="AK1829" s="894"/>
    </row>
    <row r="1830" spans="1:39" s="394" customFormat="1" ht="22.5" outlineLevel="2" x14ac:dyDescent="0.3">
      <c r="A1830" s="447">
        <f>IF(B1829&lt;&gt;0,B1829,A1829)</f>
        <v>153</v>
      </c>
      <c r="B1830" s="893"/>
      <c r="C1830" s="942"/>
      <c r="D1830" s="1032"/>
      <c r="E1830" s="947"/>
      <c r="F1830" s="947"/>
      <c r="G1830" s="922"/>
      <c r="H1830" s="1041"/>
      <c r="I1830" s="882"/>
      <c r="J1830" s="894"/>
      <c r="K1830" s="899" t="str">
        <f>IF(G1830&lt;&gt;0,VLOOKUP(G1830,'gia dat'!$A$1:$F$144,5,0)," ")</f>
        <v xml:space="preserve"> </v>
      </c>
      <c r="L1830" s="899" t="str">
        <f>IF(G1830&lt;&gt;0,VLOOKUP(G1830,'gia dat'!$A$1:$F$144,6,0)," ")</f>
        <v xml:space="preserve"> </v>
      </c>
      <c r="M1830" s="900" t="str">
        <f t="shared" si="407"/>
        <v xml:space="preserve"> </v>
      </c>
      <c r="N1830" s="900" t="str">
        <f t="shared" si="408"/>
        <v xml:space="preserve"> </v>
      </c>
      <c r="O1830" s="908"/>
      <c r="P1830" s="1065"/>
      <c r="Q1830" s="900" t="str">
        <f>IF(O1830&lt;&gt;0,VLOOKUP(O1830,'Cây trong'!$A$2:$C$246,3,0)," ")</f>
        <v xml:space="preserve"> </v>
      </c>
      <c r="R1830" s="900" t="str">
        <f t="shared" si="404"/>
        <v xml:space="preserve"> </v>
      </c>
      <c r="S1830" s="908"/>
      <c r="T1830" s="944"/>
      <c r="U1830" s="1066"/>
      <c r="V1830" s="922"/>
      <c r="W1830" s="900" t="str">
        <f>IF(S1830&lt;&gt;0,VLOOKUP(S1830,VKT!$A$2:$G$415,7,0),"")</f>
        <v/>
      </c>
      <c r="X1830" s="900" t="str">
        <f t="shared" si="395"/>
        <v xml:space="preserve"> </v>
      </c>
      <c r="Y1830" s="985"/>
      <c r="Z1830" s="922"/>
      <c r="AA1830" s="1067"/>
      <c r="AB1830" s="922"/>
      <c r="AC1830" s="922"/>
      <c r="AD1830" s="922"/>
      <c r="AE1830" s="922"/>
      <c r="AF1830" s="1046"/>
      <c r="AG1830" s="906" t="str">
        <f>IF(AE1830&lt;&gt;0,VLOOKUP(AE1830,ODDS!$A$2:$C$13,3,0),"")</f>
        <v/>
      </c>
      <c r="AH1830" s="906" t="str">
        <f t="shared" si="405"/>
        <v xml:space="preserve"> </v>
      </c>
      <c r="AI1830" s="907" t="str">
        <f t="shared" si="401"/>
        <v xml:space="preserve"> </v>
      </c>
      <c r="AJ1830" s="922"/>
      <c r="AK1830" s="922"/>
    </row>
    <row r="1831" spans="1:39" s="394" customFormat="1" ht="43.5" outlineLevel="1" x14ac:dyDescent="0.25">
      <c r="A1831" s="467" t="s">
        <v>2556</v>
      </c>
      <c r="B1831" s="912">
        <v>154</v>
      </c>
      <c r="C1831" s="942" t="s">
        <v>1292</v>
      </c>
      <c r="D1831" s="1038"/>
      <c r="E1831" s="977"/>
      <c r="F1831" s="977"/>
      <c r="G1831" s="914"/>
      <c r="H1831" s="1039">
        <f>SUBTOTAL(9,H1832:H1838)</f>
        <v>14.3</v>
      </c>
      <c r="I1831" s="915">
        <f>SUBTOTAL(9,I1832:I1837)</f>
        <v>0</v>
      </c>
      <c r="J1831" s="916"/>
      <c r="K1831" s="917"/>
      <c r="L1831" s="917"/>
      <c r="M1831" s="907">
        <f>SUBTOTAL(9,M1832:M1838)</f>
        <v>103827000</v>
      </c>
      <c r="N1831" s="907">
        <f>SUBTOTAL(9,N1832:N1838)</f>
        <v>0</v>
      </c>
      <c r="O1831" s="942"/>
      <c r="P1831" s="1063">
        <f>SUBTOTAL(9,P1832:P1838)</f>
        <v>22</v>
      </c>
      <c r="Q1831" s="907"/>
      <c r="R1831" s="907">
        <f>SUBTOTAL(9,R1832:R1838)</f>
        <v>1424000</v>
      </c>
      <c r="S1831" s="918"/>
      <c r="T1831" s="956"/>
      <c r="U1831" s="1064">
        <f>SUBTOTAL(9,U1832:U1838)</f>
        <v>22</v>
      </c>
      <c r="V1831" s="914"/>
      <c r="W1831" s="907"/>
      <c r="X1831" s="907">
        <f>SUBTOTAL(9,X1832:X1838)</f>
        <v>13762000</v>
      </c>
      <c r="Y1831" s="985"/>
      <c r="Z1831" s="922"/>
      <c r="AA1831" s="1067"/>
      <c r="AB1831" s="922"/>
      <c r="AC1831" s="922"/>
      <c r="AD1831" s="922"/>
      <c r="AE1831" s="914"/>
      <c r="AF1831" s="1044">
        <f>SUBTOTAL(9,AF1832:AF1838)</f>
        <v>0</v>
      </c>
      <c r="AG1831" s="921"/>
      <c r="AH1831" s="921">
        <f>SUBTOTAL(9,AH1832:AH1838)</f>
        <v>0</v>
      </c>
      <c r="AI1831" s="907">
        <f t="shared" si="401"/>
        <v>119013000</v>
      </c>
      <c r="AJ1831" s="914"/>
      <c r="AK1831" s="914"/>
      <c r="AM1831" s="471"/>
    </row>
    <row r="1832" spans="1:39" s="394" customFormat="1" ht="157.5" outlineLevel="2" x14ac:dyDescent="0.3">
      <c r="A1832" s="447">
        <f>IF(B1831&lt;&gt;0,B1831,A1830)</f>
        <v>154</v>
      </c>
      <c r="B1832" s="893"/>
      <c r="C1832" s="908" t="s">
        <v>1295</v>
      </c>
      <c r="D1832" s="1032">
        <v>1</v>
      </c>
      <c r="E1832" s="947">
        <v>86</v>
      </c>
      <c r="F1832" s="947">
        <v>393</v>
      </c>
      <c r="G1832" s="922" t="s">
        <v>2049</v>
      </c>
      <c r="H1832" s="1041">
        <v>14.3</v>
      </c>
      <c r="I1832" s="882" t="str">
        <f t="shared" ref="I1832" si="409">IF(N1832&gt;0,H1832,"")</f>
        <v/>
      </c>
      <c r="J1832" s="898"/>
      <c r="K1832" s="899">
        <f>IF(G1832&lt;&gt;0,VLOOKUP(G1832,'gia dat'!$A$1:$F$144,5,0)," ")</f>
        <v>7260624</v>
      </c>
      <c r="L1832" s="899">
        <f>IF(G1832&lt;&gt;0,VLOOKUP(G1832,'gia dat'!$A$1:$F$144,6,0)," ")</f>
        <v>0</v>
      </c>
      <c r="M1832" s="900">
        <f t="shared" si="407"/>
        <v>103827000</v>
      </c>
      <c r="N1832" s="900">
        <f t="shared" si="408"/>
        <v>0</v>
      </c>
      <c r="O1832" s="908" t="s">
        <v>72</v>
      </c>
      <c r="P1832" s="1065">
        <v>5</v>
      </c>
      <c r="Q1832" s="900">
        <f>IF(O1832&lt;&gt;0,VLOOKUP(O1832,'Cây trong'!$A$2:$C$246,3,0)," ")</f>
        <v>132000</v>
      </c>
      <c r="R1832" s="900">
        <f t="shared" si="404"/>
        <v>660000</v>
      </c>
      <c r="S1832" s="902" t="s">
        <v>2384</v>
      </c>
      <c r="T1832" s="944" t="s">
        <v>1133</v>
      </c>
      <c r="U1832" s="1066">
        <v>22</v>
      </c>
      <c r="V1832" s="922"/>
      <c r="W1832" s="900">
        <f>IF(S1832&lt;&gt;0,VLOOKUP(S1832,VKT!$A$2:$G$415,7,0),"")</f>
        <v>625568</v>
      </c>
      <c r="X1832" s="900">
        <f t="shared" si="395"/>
        <v>13762000</v>
      </c>
      <c r="Y1832" s="985"/>
      <c r="Z1832" s="922"/>
      <c r="AA1832" s="1067"/>
      <c r="AB1832" s="922"/>
      <c r="AC1832" s="922"/>
      <c r="AD1832" s="922"/>
      <c r="AE1832" s="922"/>
      <c r="AF1832" s="1046"/>
      <c r="AG1832" s="906" t="str">
        <f>IF(AE1832&lt;&gt;0,VLOOKUP(AE1832,ODDS!$A$2:$C$13,3,0),"")</f>
        <v/>
      </c>
      <c r="AH1832" s="906"/>
      <c r="AI1832" s="907" t="str">
        <f t="shared" si="401"/>
        <v xml:space="preserve"> </v>
      </c>
      <c r="AJ1832" s="922" t="s">
        <v>1294</v>
      </c>
      <c r="AK1832" s="922" t="s">
        <v>2771</v>
      </c>
      <c r="AM1832" s="182" t="s">
        <v>2162</v>
      </c>
    </row>
    <row r="1833" spans="1:39" s="394" customFormat="1" ht="112.5" outlineLevel="2" x14ac:dyDescent="0.3">
      <c r="A1833" s="447">
        <f t="shared" ref="A1833:A1838" si="410">IF(B1832&lt;&gt;0,B1832,A1832)</f>
        <v>154</v>
      </c>
      <c r="B1833" s="893"/>
      <c r="C1833" s="908" t="s">
        <v>1613</v>
      </c>
      <c r="D1833" s="1032"/>
      <c r="E1833" s="947"/>
      <c r="F1833" s="947"/>
      <c r="G1833" s="922"/>
      <c r="H1833" s="1041"/>
      <c r="I1833" s="882"/>
      <c r="J1833" s="898"/>
      <c r="K1833" s="899" t="str">
        <f>IF(G1833&lt;&gt;0,VLOOKUP(G1833,'gia dat'!$A$1:$F$144,5,0)," ")</f>
        <v xml:space="preserve"> </v>
      </c>
      <c r="L1833" s="899" t="str">
        <f>IF(G1833&lt;&gt;0,VLOOKUP(G1833,'gia dat'!$A$1:$F$144,6,0)," ")</f>
        <v xml:space="preserve"> </v>
      </c>
      <c r="M1833" s="900" t="str">
        <f t="shared" si="407"/>
        <v xml:space="preserve"> </v>
      </c>
      <c r="N1833" s="900" t="str">
        <f t="shared" si="408"/>
        <v xml:space="preserve"> </v>
      </c>
      <c r="O1833" s="908" t="s">
        <v>73</v>
      </c>
      <c r="P1833" s="1065">
        <v>6</v>
      </c>
      <c r="Q1833" s="900">
        <f>IF(O1833&lt;&gt;0,VLOOKUP(O1833,'Cây trong'!$A$2:$C$246,3,0)," ")</f>
        <v>76000</v>
      </c>
      <c r="R1833" s="900">
        <f t="shared" si="404"/>
        <v>456000</v>
      </c>
      <c r="S1833" s="902"/>
      <c r="T1833" s="944"/>
      <c r="U1833" s="1066"/>
      <c r="V1833" s="922"/>
      <c r="W1833" s="900" t="str">
        <f>IF(S1833&lt;&gt;0,VLOOKUP(S1833,VKT!$A$2:$G$415,7,0),"")</f>
        <v/>
      </c>
      <c r="X1833" s="900" t="str">
        <f t="shared" si="395"/>
        <v xml:space="preserve"> </v>
      </c>
      <c r="Y1833" s="985"/>
      <c r="Z1833" s="922"/>
      <c r="AA1833" s="1067"/>
      <c r="AB1833" s="922"/>
      <c r="AC1833" s="922"/>
      <c r="AD1833" s="922"/>
      <c r="AE1833" s="922"/>
      <c r="AF1833" s="1046"/>
      <c r="AG1833" s="906" t="str">
        <f>IF(AE1833&lt;&gt;0,VLOOKUP(AE1833,ODDS!$A$2:$C$13,3,0),"")</f>
        <v/>
      </c>
      <c r="AH1833" s="906" t="str">
        <f t="shared" si="405"/>
        <v xml:space="preserve"> </v>
      </c>
      <c r="AI1833" s="907" t="str">
        <f t="shared" si="401"/>
        <v xml:space="preserve"> </v>
      </c>
      <c r="AJ1833" s="922" t="s">
        <v>1296</v>
      </c>
      <c r="AK1833" s="894" t="s">
        <v>2450</v>
      </c>
    </row>
    <row r="1834" spans="1:39" s="394" customFormat="1" ht="112.5" outlineLevel="2" x14ac:dyDescent="0.3">
      <c r="A1834" s="447">
        <f t="shared" si="410"/>
        <v>154</v>
      </c>
      <c r="B1834" s="893"/>
      <c r="C1834" s="908"/>
      <c r="D1834" s="1032"/>
      <c r="E1834" s="947"/>
      <c r="F1834" s="947"/>
      <c r="G1834" s="922"/>
      <c r="H1834" s="1041"/>
      <c r="I1834" s="882"/>
      <c r="J1834" s="898"/>
      <c r="K1834" s="899" t="str">
        <f>IF(G1834&lt;&gt;0,VLOOKUP(G1834,'gia dat'!$A$1:$F$144,5,0)," ")</f>
        <v xml:space="preserve"> </v>
      </c>
      <c r="L1834" s="899" t="str">
        <f>IF(G1834&lt;&gt;0,VLOOKUP(G1834,'gia dat'!$A$1:$F$144,6,0)," ")</f>
        <v xml:space="preserve"> </v>
      </c>
      <c r="M1834" s="900" t="str">
        <f t="shared" si="407"/>
        <v xml:space="preserve"> </v>
      </c>
      <c r="N1834" s="900" t="str">
        <f t="shared" si="408"/>
        <v xml:space="preserve"> </v>
      </c>
      <c r="O1834" s="908" t="s">
        <v>75</v>
      </c>
      <c r="P1834" s="1065">
        <v>8</v>
      </c>
      <c r="Q1834" s="900">
        <f>IF(O1834&lt;&gt;0,VLOOKUP(O1834,'Cây trong'!$A$2:$C$246,3,0)," ")</f>
        <v>34000</v>
      </c>
      <c r="R1834" s="900">
        <f t="shared" si="404"/>
        <v>272000</v>
      </c>
      <c r="S1834" s="902"/>
      <c r="T1834" s="944"/>
      <c r="U1834" s="1066"/>
      <c r="V1834" s="922"/>
      <c r="W1834" s="900" t="str">
        <f>IF(S1834&lt;&gt;0,VLOOKUP(S1834,VKT!$A$2:$G$415,7,0),"")</f>
        <v/>
      </c>
      <c r="X1834" s="900" t="str">
        <f t="shared" si="395"/>
        <v xml:space="preserve"> </v>
      </c>
      <c r="Y1834" s="985"/>
      <c r="Z1834" s="922"/>
      <c r="AA1834" s="1067"/>
      <c r="AB1834" s="922"/>
      <c r="AC1834" s="922"/>
      <c r="AD1834" s="922"/>
      <c r="AE1834" s="922"/>
      <c r="AF1834" s="1046"/>
      <c r="AG1834" s="906" t="str">
        <f>IF(AE1834&lt;&gt;0,VLOOKUP(AE1834,ODDS!$A$2:$C$13,3,0),"")</f>
        <v/>
      </c>
      <c r="AH1834" s="906" t="str">
        <f t="shared" si="405"/>
        <v xml:space="preserve"> </v>
      </c>
      <c r="AI1834" s="907" t="str">
        <f t="shared" si="401"/>
        <v xml:space="preserve"> </v>
      </c>
      <c r="AJ1834" s="922" t="s">
        <v>1297</v>
      </c>
      <c r="AK1834" s="894" t="s">
        <v>2449</v>
      </c>
    </row>
    <row r="1835" spans="1:39" s="394" customFormat="1" ht="90" outlineLevel="2" x14ac:dyDescent="0.35">
      <c r="A1835" s="447">
        <f t="shared" si="410"/>
        <v>154</v>
      </c>
      <c r="B1835" s="893"/>
      <c r="C1835" s="908"/>
      <c r="D1835" s="1032"/>
      <c r="E1835" s="947"/>
      <c r="F1835" s="947"/>
      <c r="G1835" s="922"/>
      <c r="H1835" s="1041"/>
      <c r="I1835" s="882"/>
      <c r="J1835" s="894"/>
      <c r="K1835" s="899" t="str">
        <f>IF(G1835&lt;&gt;0,VLOOKUP(G1835,'gia dat'!$A$1:$F$144,5,0)," ")</f>
        <v xml:space="preserve"> </v>
      </c>
      <c r="L1835" s="899" t="str">
        <f>IF(G1835&lt;&gt;0,VLOOKUP(G1835,'gia dat'!$A$1:$F$144,6,0)," ")</f>
        <v xml:space="preserve"> </v>
      </c>
      <c r="M1835" s="900" t="str">
        <f t="shared" si="407"/>
        <v xml:space="preserve"> </v>
      </c>
      <c r="N1835" s="900" t="str">
        <f t="shared" si="408"/>
        <v xml:space="preserve"> </v>
      </c>
      <c r="O1835" s="901" t="s">
        <v>429</v>
      </c>
      <c r="P1835" s="1065">
        <v>3</v>
      </c>
      <c r="Q1835" s="900">
        <f>IF(O1835&lt;&gt;0,VLOOKUP(O1835,'Cây trong'!$A$2:$C$246,3,0)," ")</f>
        <v>12000</v>
      </c>
      <c r="R1835" s="900">
        <f t="shared" si="404"/>
        <v>36000</v>
      </c>
      <c r="S1835" s="908"/>
      <c r="T1835" s="944"/>
      <c r="U1835" s="1066"/>
      <c r="V1835" s="922"/>
      <c r="W1835" s="900" t="str">
        <f>IF(S1835&lt;&gt;0,VLOOKUP(S1835,VKT!$A$2:$G$415,7,0),"")</f>
        <v/>
      </c>
      <c r="X1835" s="900" t="str">
        <f t="shared" si="395"/>
        <v xml:space="preserve"> </v>
      </c>
      <c r="Y1835" s="985"/>
      <c r="Z1835" s="922"/>
      <c r="AA1835" s="1067"/>
      <c r="AB1835" s="922"/>
      <c r="AC1835" s="922"/>
      <c r="AD1835" s="922"/>
      <c r="AE1835" s="922"/>
      <c r="AF1835" s="1046"/>
      <c r="AG1835" s="906" t="str">
        <f>IF(AE1835&lt;&gt;0,VLOOKUP(AE1835,ODDS!$A$2:$C$13,3,0),"")</f>
        <v/>
      </c>
      <c r="AH1835" s="906" t="str">
        <f t="shared" si="405"/>
        <v xml:space="preserve"> </v>
      </c>
      <c r="AI1835" s="907" t="str">
        <f t="shared" si="401"/>
        <v xml:space="preserve"> </v>
      </c>
      <c r="AJ1835" s="1068"/>
      <c r="AK1835" s="922"/>
    </row>
    <row r="1836" spans="1:39" s="394" customFormat="1" ht="22.5" outlineLevel="2" x14ac:dyDescent="0.3">
      <c r="A1836" s="447">
        <f t="shared" si="410"/>
        <v>154</v>
      </c>
      <c r="B1836" s="893"/>
      <c r="C1836" s="908"/>
      <c r="D1836" s="1032"/>
      <c r="E1836" s="947"/>
      <c r="F1836" s="947"/>
      <c r="G1836" s="922"/>
      <c r="H1836" s="1041"/>
      <c r="I1836" s="882"/>
      <c r="J1836" s="894"/>
      <c r="K1836" s="899" t="str">
        <f>IF(G1836&lt;&gt;0,VLOOKUP(G1836,'gia dat'!$A$1:$F$144,5,0)," ")</f>
        <v xml:space="preserve"> </v>
      </c>
      <c r="L1836" s="899" t="str">
        <f>IF(G1836&lt;&gt;0,VLOOKUP(G1836,'gia dat'!$A$1:$F$144,6,0)," ")</f>
        <v xml:space="preserve"> </v>
      </c>
      <c r="M1836" s="900" t="str">
        <f t="shared" si="407"/>
        <v xml:space="preserve"> </v>
      </c>
      <c r="N1836" s="900" t="str">
        <f t="shared" si="408"/>
        <v xml:space="preserve"> </v>
      </c>
      <c r="O1836" s="908"/>
      <c r="P1836" s="1065"/>
      <c r="Q1836" s="900" t="str">
        <f>IF(O1836&lt;&gt;0,VLOOKUP(O1836,'Cây trong'!$A$2:$C$246,3,0)," ")</f>
        <v xml:space="preserve"> </v>
      </c>
      <c r="R1836" s="900" t="str">
        <f t="shared" si="404"/>
        <v xml:space="preserve"> </v>
      </c>
      <c r="S1836" s="908"/>
      <c r="T1836" s="944"/>
      <c r="U1836" s="1066"/>
      <c r="V1836" s="922"/>
      <c r="W1836" s="900" t="str">
        <f>IF(S1836&lt;&gt;0,VLOOKUP(S1836,VKT!$A$2:$G$415,7,0),"")</f>
        <v/>
      </c>
      <c r="X1836" s="900" t="str">
        <f t="shared" ref="X1836:X1908" si="411">IF(S1836&lt;&gt;0,ROUND(U1836*W1836,-3)," ")</f>
        <v xml:space="preserve"> </v>
      </c>
      <c r="Y1836" s="985"/>
      <c r="Z1836" s="922"/>
      <c r="AA1836" s="1067"/>
      <c r="AB1836" s="922"/>
      <c r="AC1836" s="922"/>
      <c r="AD1836" s="922"/>
      <c r="AE1836" s="922"/>
      <c r="AF1836" s="1046"/>
      <c r="AG1836" s="906" t="str">
        <f>IF(AE1836&lt;&gt;0,VLOOKUP(AE1836,ODDS!$A$2:$C$13,3,0),"")</f>
        <v/>
      </c>
      <c r="AH1836" s="906" t="str">
        <f t="shared" si="405"/>
        <v xml:space="preserve"> </v>
      </c>
      <c r="AI1836" s="907" t="str">
        <f t="shared" si="401"/>
        <v xml:space="preserve"> </v>
      </c>
      <c r="AJ1836" s="922"/>
      <c r="AK1836" s="922"/>
    </row>
    <row r="1837" spans="1:39" s="394" customFormat="1" ht="22.5" outlineLevel="2" x14ac:dyDescent="0.3">
      <c r="A1837" s="447">
        <f t="shared" si="410"/>
        <v>154</v>
      </c>
      <c r="B1837" s="893"/>
      <c r="C1837" s="908"/>
      <c r="D1837" s="1032"/>
      <c r="E1837" s="947"/>
      <c r="F1837" s="947"/>
      <c r="G1837" s="922"/>
      <c r="H1837" s="1041"/>
      <c r="I1837" s="882"/>
      <c r="J1837" s="894"/>
      <c r="K1837" s="899" t="str">
        <f>IF(G1837&lt;&gt;0,VLOOKUP(G1837,'gia dat'!$A$1:$F$144,5,0)," ")</f>
        <v xml:space="preserve"> </v>
      </c>
      <c r="L1837" s="899" t="str">
        <f>IF(G1837&lt;&gt;0,VLOOKUP(G1837,'gia dat'!$A$1:$F$144,6,0)," ")</f>
        <v xml:space="preserve"> </v>
      </c>
      <c r="M1837" s="900" t="str">
        <f t="shared" si="407"/>
        <v xml:space="preserve"> </v>
      </c>
      <c r="N1837" s="900" t="str">
        <f t="shared" si="408"/>
        <v xml:space="preserve"> </v>
      </c>
      <c r="O1837" s="908"/>
      <c r="P1837" s="1065"/>
      <c r="Q1837" s="900" t="str">
        <f>IF(O1837&lt;&gt;0,VLOOKUP(O1837,'Cây trong'!$A$2:$C$246,3,0)," ")</f>
        <v xml:space="preserve"> </v>
      </c>
      <c r="R1837" s="900" t="str">
        <f t="shared" si="404"/>
        <v xml:space="preserve"> </v>
      </c>
      <c r="S1837" s="908"/>
      <c r="T1837" s="944"/>
      <c r="U1837" s="1066"/>
      <c r="V1837" s="922"/>
      <c r="W1837" s="900" t="str">
        <f>IF(S1837&lt;&gt;0,VLOOKUP(S1837,VKT!$A$2:$G$415,7,0),"")</f>
        <v/>
      </c>
      <c r="X1837" s="900" t="str">
        <f t="shared" si="411"/>
        <v xml:space="preserve"> </v>
      </c>
      <c r="Y1837" s="985"/>
      <c r="Z1837" s="922"/>
      <c r="AA1837" s="1067"/>
      <c r="AB1837" s="922"/>
      <c r="AC1837" s="922"/>
      <c r="AD1837" s="922"/>
      <c r="AE1837" s="922"/>
      <c r="AF1837" s="1046"/>
      <c r="AG1837" s="906" t="str">
        <f>IF(AE1837&lt;&gt;0,VLOOKUP(AE1837,ODDS!$A$2:$C$13,3,0),"")</f>
        <v/>
      </c>
      <c r="AH1837" s="906" t="str">
        <f t="shared" si="405"/>
        <v xml:space="preserve"> </v>
      </c>
      <c r="AI1837" s="907" t="str">
        <f t="shared" si="401"/>
        <v xml:space="preserve"> </v>
      </c>
      <c r="AJ1837" s="922"/>
      <c r="AK1837" s="922"/>
    </row>
    <row r="1838" spans="1:39" s="394" customFormat="1" ht="22.5" outlineLevel="2" x14ac:dyDescent="0.3">
      <c r="A1838" s="447">
        <f t="shared" si="410"/>
        <v>154</v>
      </c>
      <c r="B1838" s="893"/>
      <c r="C1838" s="942"/>
      <c r="D1838" s="1032"/>
      <c r="E1838" s="947"/>
      <c r="F1838" s="947"/>
      <c r="G1838" s="922"/>
      <c r="H1838" s="1041"/>
      <c r="I1838" s="882"/>
      <c r="J1838" s="894"/>
      <c r="K1838" s="899" t="str">
        <f>IF(G1838&lt;&gt;0,VLOOKUP(G1838,'gia dat'!$A$1:$F$144,5,0)," ")</f>
        <v xml:space="preserve"> </v>
      </c>
      <c r="L1838" s="899" t="str">
        <f>IF(G1838&lt;&gt;0,VLOOKUP(G1838,'gia dat'!$A$1:$F$144,6,0)," ")</f>
        <v xml:space="preserve"> </v>
      </c>
      <c r="M1838" s="900" t="str">
        <f t="shared" si="407"/>
        <v xml:space="preserve"> </v>
      </c>
      <c r="N1838" s="900" t="str">
        <f t="shared" si="408"/>
        <v xml:space="preserve"> </v>
      </c>
      <c r="O1838" s="908"/>
      <c r="P1838" s="1065"/>
      <c r="Q1838" s="900" t="str">
        <f>IF(O1838&lt;&gt;0,VLOOKUP(O1838,'Cây trong'!$A$2:$C$246,3,0)," ")</f>
        <v xml:space="preserve"> </v>
      </c>
      <c r="R1838" s="900" t="str">
        <f t="shared" si="404"/>
        <v xml:space="preserve"> </v>
      </c>
      <c r="S1838" s="908"/>
      <c r="T1838" s="944"/>
      <c r="U1838" s="1066"/>
      <c r="V1838" s="922"/>
      <c r="W1838" s="900" t="str">
        <f>IF(S1838&lt;&gt;0,VLOOKUP(S1838,VKT!$A$2:$G$415,7,0),"")</f>
        <v/>
      </c>
      <c r="X1838" s="900" t="str">
        <f t="shared" si="411"/>
        <v xml:space="preserve"> </v>
      </c>
      <c r="Y1838" s="985"/>
      <c r="Z1838" s="922"/>
      <c r="AA1838" s="1067"/>
      <c r="AB1838" s="922"/>
      <c r="AC1838" s="922"/>
      <c r="AD1838" s="922"/>
      <c r="AE1838" s="922"/>
      <c r="AF1838" s="1046"/>
      <c r="AG1838" s="906" t="str">
        <f>IF(AE1838&lt;&gt;0,VLOOKUP(AE1838,ODDS!$A$2:$C$13,3,0),"")</f>
        <v/>
      </c>
      <c r="AH1838" s="906" t="str">
        <f t="shared" si="405"/>
        <v xml:space="preserve"> </v>
      </c>
      <c r="AI1838" s="907" t="str">
        <f t="shared" si="401"/>
        <v xml:space="preserve"> </v>
      </c>
      <c r="AJ1838" s="922"/>
      <c r="AK1838" s="922"/>
    </row>
    <row r="1839" spans="1:39" s="396" customFormat="1" ht="43.5" outlineLevel="1" x14ac:dyDescent="0.25">
      <c r="A1839" s="467" t="s">
        <v>2555</v>
      </c>
      <c r="B1839" s="912">
        <v>155</v>
      </c>
      <c r="C1839" s="942" t="s">
        <v>1298</v>
      </c>
      <c r="D1839" s="1038"/>
      <c r="E1839" s="977"/>
      <c r="F1839" s="977"/>
      <c r="G1839" s="914"/>
      <c r="H1839" s="1039">
        <f>SUBTOTAL(9,H1840:H1847)</f>
        <v>17.899999999999999</v>
      </c>
      <c r="I1839" s="915">
        <f>SUBTOTAL(9,I1840:I1845)</f>
        <v>0</v>
      </c>
      <c r="J1839" s="916"/>
      <c r="K1839" s="917"/>
      <c r="L1839" s="917"/>
      <c r="M1839" s="907">
        <f>SUBTOTAL(9,M1840:M1847)</f>
        <v>9924000</v>
      </c>
      <c r="N1839" s="907">
        <f>SUBTOTAL(9,N1840:N1847)</f>
        <v>0</v>
      </c>
      <c r="O1839" s="942"/>
      <c r="P1839" s="1063">
        <f>SUBTOTAL(9,P1840:P1847)</f>
        <v>0</v>
      </c>
      <c r="Q1839" s="907"/>
      <c r="R1839" s="907">
        <f>SUBTOTAL(9,R1840:R1847)</f>
        <v>0</v>
      </c>
      <c r="S1839" s="918"/>
      <c r="T1839" s="956"/>
      <c r="U1839" s="1064">
        <f>SUBTOTAL(9,U1840:U1847)</f>
        <v>50.8</v>
      </c>
      <c r="V1839" s="914"/>
      <c r="W1839" s="907"/>
      <c r="X1839" s="907">
        <f>SUBTOTAL(9,X1840:X1847)</f>
        <v>103880000</v>
      </c>
      <c r="Y1839" s="996"/>
      <c r="Z1839" s="1016"/>
      <c r="AA1839" s="1016"/>
      <c r="AB1839" s="1026"/>
      <c r="AC1839" s="1016"/>
      <c r="AD1839" s="1016"/>
      <c r="AE1839" s="914"/>
      <c r="AF1839" s="935">
        <f>SUBTOTAL(9,AF1840:AF1847)</f>
        <v>1</v>
      </c>
      <c r="AG1839" s="921"/>
      <c r="AH1839" s="921">
        <f>SUBTOTAL(9,AH1840:AH1847)</f>
        <v>5000000</v>
      </c>
      <c r="AI1839" s="907">
        <f t="shared" si="401"/>
        <v>118804000</v>
      </c>
      <c r="AJ1839" s="914"/>
      <c r="AK1839" s="914"/>
      <c r="AM1839" s="468"/>
    </row>
    <row r="1840" spans="1:39" s="396" customFormat="1" ht="135" outlineLevel="2" x14ac:dyDescent="0.3">
      <c r="A1840" s="447">
        <f>IF(B1839&lt;&gt;0,B1839,A1838)</f>
        <v>155</v>
      </c>
      <c r="B1840" s="893"/>
      <c r="C1840" s="908" t="s">
        <v>1300</v>
      </c>
      <c r="D1840" s="1032"/>
      <c r="E1840" s="947">
        <v>86</v>
      </c>
      <c r="F1840" s="947">
        <v>411</v>
      </c>
      <c r="G1840" s="922" t="s">
        <v>2895</v>
      </c>
      <c r="H1840" s="1041">
        <v>17.899999999999999</v>
      </c>
      <c r="I1840" s="882" t="str">
        <f t="shared" ref="I1840" si="412">IF(N1840&gt;0,H1840,"")</f>
        <v/>
      </c>
      <c r="J1840" s="898"/>
      <c r="K1840" s="899">
        <f>IF(G1840&lt;&gt;0,VLOOKUP(G1840,'gia dat'!$A$1:$F$144,5,0)," ")</f>
        <v>554400</v>
      </c>
      <c r="L1840" s="899">
        <f>IF(G1840&lt;&gt;0,VLOOKUP(G1840,'gia dat'!$A$1:$F$144,6,0)," ")</f>
        <v>0</v>
      </c>
      <c r="M1840" s="900">
        <f t="shared" si="407"/>
        <v>9924000</v>
      </c>
      <c r="N1840" s="900">
        <f t="shared" si="408"/>
        <v>0</v>
      </c>
      <c r="O1840" s="908"/>
      <c r="P1840" s="1065"/>
      <c r="Q1840" s="900" t="str">
        <f>IF(O1840&lt;&gt;0,VLOOKUP(O1840,'Cây trong'!$A$2:$C$246,3,0)," ")</f>
        <v xml:space="preserve"> </v>
      </c>
      <c r="R1840" s="900" t="str">
        <f t="shared" si="404"/>
        <v xml:space="preserve"> </v>
      </c>
      <c r="S1840" s="902" t="s">
        <v>1820</v>
      </c>
      <c r="T1840" s="944" t="s">
        <v>1133</v>
      </c>
      <c r="U1840" s="1066">
        <v>13.5</v>
      </c>
      <c r="V1840" s="922"/>
      <c r="W1840" s="900">
        <f>IF(S1840&lt;&gt;0,VLOOKUP(S1840,VKT!$A$2:$G$415,7,0),"")</f>
        <v>5307665</v>
      </c>
      <c r="X1840" s="900">
        <f t="shared" si="411"/>
        <v>71653000</v>
      </c>
      <c r="Y1840" s="996" t="s">
        <v>1138</v>
      </c>
      <c r="Z1840" s="1016" t="s">
        <v>1139</v>
      </c>
      <c r="AA1840" s="1016" t="s">
        <v>56</v>
      </c>
      <c r="AB1840" s="1026" t="s">
        <v>269</v>
      </c>
      <c r="AC1840" s="1016" t="s">
        <v>1138</v>
      </c>
      <c r="AD1840" s="1016"/>
      <c r="AE1840" s="922" t="s">
        <v>2137</v>
      </c>
      <c r="AF1840" s="926">
        <v>1</v>
      </c>
      <c r="AG1840" s="906">
        <f>IF(AE1840&lt;&gt;0,VLOOKUP(AE1840,ODDS!$A$2:$C$13,3,0),"")</f>
        <v>5000000</v>
      </c>
      <c r="AH1840" s="906">
        <f t="shared" si="405"/>
        <v>5000000</v>
      </c>
      <c r="AI1840" s="907" t="str">
        <f t="shared" si="401"/>
        <v xml:space="preserve"> </v>
      </c>
      <c r="AJ1840" s="922" t="s">
        <v>1299</v>
      </c>
      <c r="AK1840" s="922" t="s">
        <v>2771</v>
      </c>
      <c r="AM1840" s="380"/>
    </row>
    <row r="1841" spans="1:37" s="394" customFormat="1" ht="112.5" outlineLevel="2" x14ac:dyDescent="0.3">
      <c r="A1841" s="447">
        <f t="shared" ref="A1841:A1847" si="413">IF(B1840&lt;&gt;0,B1840,A1840)</f>
        <v>155</v>
      </c>
      <c r="B1841" s="893"/>
      <c r="C1841" s="908" t="s">
        <v>1614</v>
      </c>
      <c r="D1841" s="1032"/>
      <c r="E1841" s="947"/>
      <c r="F1841" s="947"/>
      <c r="G1841" s="922"/>
      <c r="H1841" s="1041"/>
      <c r="I1841" s="882"/>
      <c r="J1841" s="898"/>
      <c r="K1841" s="899" t="str">
        <f>IF(G1841&lt;&gt;0,VLOOKUP(G1841,'gia dat'!$A$1:$F$144,5,0)," ")</f>
        <v xml:space="preserve"> </v>
      </c>
      <c r="L1841" s="899" t="str">
        <f>IF(G1841&lt;&gt;0,VLOOKUP(G1841,'gia dat'!$A$1:$F$144,6,0)," ")</f>
        <v xml:space="preserve"> </v>
      </c>
      <c r="M1841" s="900" t="str">
        <f t="shared" si="407"/>
        <v xml:space="preserve"> </v>
      </c>
      <c r="N1841" s="900" t="str">
        <f t="shared" si="408"/>
        <v xml:space="preserve"> </v>
      </c>
      <c r="O1841" s="908"/>
      <c r="P1841" s="1065"/>
      <c r="Q1841" s="900" t="str">
        <f>IF(O1841&lt;&gt;0,VLOOKUP(O1841,'Cây trong'!$A$2:$C$246,3,0)," ")</f>
        <v xml:space="preserve"> </v>
      </c>
      <c r="R1841" s="900" t="str">
        <f t="shared" si="404"/>
        <v xml:space="preserve"> </v>
      </c>
      <c r="S1841" s="902" t="s">
        <v>1930</v>
      </c>
      <c r="T1841" s="944" t="s">
        <v>1133</v>
      </c>
      <c r="U1841" s="1066">
        <v>2.5</v>
      </c>
      <c r="V1841" s="922"/>
      <c r="W1841" s="900">
        <f>IF(S1841&lt;&gt;0,VLOOKUP(S1841,VKT!$A$2:$G$415,7,0),"")</f>
        <v>9347414</v>
      </c>
      <c r="X1841" s="900">
        <f t="shared" si="411"/>
        <v>23369000</v>
      </c>
      <c r="Y1841" s="985"/>
      <c r="Z1841" s="922"/>
      <c r="AA1841" s="1067"/>
      <c r="AB1841" s="922"/>
      <c r="AC1841" s="922"/>
      <c r="AD1841" s="922"/>
      <c r="AE1841" s="922"/>
      <c r="AF1841" s="1046"/>
      <c r="AG1841" s="906" t="str">
        <f>IF(AE1841&lt;&gt;0,VLOOKUP(AE1841,ODDS!$A$2:$C$13,3,0),"")</f>
        <v/>
      </c>
      <c r="AH1841" s="906"/>
      <c r="AI1841" s="907" t="str">
        <f t="shared" si="401"/>
        <v xml:space="preserve"> </v>
      </c>
      <c r="AJ1841" s="922" t="s">
        <v>1301</v>
      </c>
      <c r="AK1841" s="894" t="s">
        <v>2450</v>
      </c>
    </row>
    <row r="1842" spans="1:37" s="394" customFormat="1" ht="90" outlineLevel="2" x14ac:dyDescent="0.3">
      <c r="A1842" s="447">
        <f t="shared" si="413"/>
        <v>155</v>
      </c>
      <c r="B1842" s="893"/>
      <c r="C1842" s="908"/>
      <c r="D1842" s="1032"/>
      <c r="E1842" s="947"/>
      <c r="F1842" s="947"/>
      <c r="G1842" s="922"/>
      <c r="H1842" s="1041"/>
      <c r="I1842" s="882"/>
      <c r="J1842" s="898"/>
      <c r="K1842" s="899" t="str">
        <f>IF(G1842&lt;&gt;0,VLOOKUP(G1842,'gia dat'!$A$1:$F$144,5,0)," ")</f>
        <v xml:space="preserve"> </v>
      </c>
      <c r="L1842" s="899" t="str">
        <f>IF(G1842&lt;&gt;0,VLOOKUP(G1842,'gia dat'!$A$1:$F$144,6,0)," ")</f>
        <v xml:space="preserve"> </v>
      </c>
      <c r="M1842" s="900" t="str">
        <f t="shared" si="407"/>
        <v xml:space="preserve"> </v>
      </c>
      <c r="N1842" s="900" t="str">
        <f t="shared" si="408"/>
        <v xml:space="preserve"> </v>
      </c>
      <c r="O1842" s="908"/>
      <c r="P1842" s="1065"/>
      <c r="Q1842" s="900" t="str">
        <f>IF(O1842&lt;&gt;0,VLOOKUP(O1842,'Cây trong'!$A$2:$C$246,3,0)," ")</f>
        <v xml:space="preserve"> </v>
      </c>
      <c r="R1842" s="900" t="str">
        <f t="shared" si="404"/>
        <v xml:space="preserve"> </v>
      </c>
      <c r="S1842" s="908" t="s">
        <v>1931</v>
      </c>
      <c r="T1842" s="944" t="s">
        <v>1133</v>
      </c>
      <c r="U1842" s="1066">
        <v>8</v>
      </c>
      <c r="V1842" s="922"/>
      <c r="W1842" s="900">
        <f>IF(S1842&lt;&gt;0,VLOOKUP(S1842,VKT!$A$2:$G$415,7,0),"")</f>
        <v>1107311</v>
      </c>
      <c r="X1842" s="900">
        <f t="shared" si="411"/>
        <v>8858000</v>
      </c>
      <c r="Y1842" s="996" t="s">
        <v>1138</v>
      </c>
      <c r="Z1842" s="1016" t="s">
        <v>1139</v>
      </c>
      <c r="AA1842" s="1016" t="s">
        <v>56</v>
      </c>
      <c r="AB1842" s="1026"/>
      <c r="AC1842" s="1016" t="s">
        <v>1138</v>
      </c>
      <c r="AD1842" s="1016"/>
      <c r="AE1842" s="1016"/>
      <c r="AF1842" s="926"/>
      <c r="AG1842" s="906" t="str">
        <f>IF(AE1842&lt;&gt;0,VLOOKUP(AE1842,ODDS!$A$2:$C$13,3,0),"")</f>
        <v/>
      </c>
      <c r="AH1842" s="906" t="str">
        <f t="shared" si="405"/>
        <v xml:space="preserve"> </v>
      </c>
      <c r="AI1842" s="907" t="str">
        <f t="shared" si="401"/>
        <v xml:space="preserve"> </v>
      </c>
      <c r="AJ1842" s="922" t="s">
        <v>1303</v>
      </c>
      <c r="AK1842" s="894" t="s">
        <v>2447</v>
      </c>
    </row>
    <row r="1843" spans="1:37" s="394" customFormat="1" ht="90" outlineLevel="2" x14ac:dyDescent="0.35">
      <c r="A1843" s="447">
        <f t="shared" si="413"/>
        <v>155</v>
      </c>
      <c r="B1843" s="893"/>
      <c r="C1843" s="908"/>
      <c r="D1843" s="1032"/>
      <c r="E1843" s="947"/>
      <c r="F1843" s="947"/>
      <c r="G1843" s="922"/>
      <c r="H1843" s="1041"/>
      <c r="I1843" s="882"/>
      <c r="J1843" s="894"/>
      <c r="K1843" s="899" t="str">
        <f>IF(G1843&lt;&gt;0,VLOOKUP(G1843,'gia dat'!$A$1:$F$144,5,0)," ")</f>
        <v xml:space="preserve"> </v>
      </c>
      <c r="L1843" s="899" t="str">
        <f>IF(G1843&lt;&gt;0,VLOOKUP(G1843,'gia dat'!$A$1:$F$144,6,0)," ")</f>
        <v xml:space="preserve"> </v>
      </c>
      <c r="M1843" s="900" t="str">
        <f t="shared" si="407"/>
        <v xml:space="preserve"> </v>
      </c>
      <c r="N1843" s="900" t="str">
        <f t="shared" si="408"/>
        <v xml:space="preserve"> </v>
      </c>
      <c r="O1843" s="908"/>
      <c r="P1843" s="1065"/>
      <c r="Q1843" s="900" t="str">
        <f>IF(O1843&lt;&gt;0,VLOOKUP(O1843,'Cây trong'!$A$2:$C$246,3,0)," ")</f>
        <v xml:space="preserve"> </v>
      </c>
      <c r="R1843" s="900" t="str">
        <f t="shared" si="404"/>
        <v xml:space="preserve"> </v>
      </c>
      <c r="S1843" s="902" t="s">
        <v>1932</v>
      </c>
      <c r="T1843" s="944" t="s">
        <v>1133</v>
      </c>
      <c r="U1843" s="1066">
        <v>9.6</v>
      </c>
      <c r="V1843" s="922"/>
      <c r="W1843" s="900">
        <f>IF(S1843&lt;&gt;0,VLOOKUP(S1843,VKT!$A$2:$G$415,7,0),"")</f>
        <v>0</v>
      </c>
      <c r="X1843" s="900">
        <f t="shared" si="411"/>
        <v>0</v>
      </c>
      <c r="Y1843" s="985"/>
      <c r="Z1843" s="922"/>
      <c r="AA1843" s="1067"/>
      <c r="AB1843" s="922"/>
      <c r="AC1843" s="922"/>
      <c r="AD1843" s="922"/>
      <c r="AE1843" s="922"/>
      <c r="AF1843" s="1046"/>
      <c r="AG1843" s="906" t="str">
        <f>IF(AE1843&lt;&gt;0,VLOOKUP(AE1843,ODDS!$A$2:$C$13,3,0),"")</f>
        <v/>
      </c>
      <c r="AH1843" s="906" t="str">
        <f t="shared" si="405"/>
        <v xml:space="preserve"> </v>
      </c>
      <c r="AI1843" s="907" t="str">
        <f t="shared" si="401"/>
        <v xml:space="preserve"> </v>
      </c>
      <c r="AJ1843" s="1068"/>
      <c r="AK1843" s="922"/>
    </row>
    <row r="1844" spans="1:37" s="394" customFormat="1" ht="90" outlineLevel="2" x14ac:dyDescent="0.3">
      <c r="A1844" s="447">
        <f t="shared" si="413"/>
        <v>155</v>
      </c>
      <c r="B1844" s="893"/>
      <c r="C1844" s="908"/>
      <c r="D1844" s="1032"/>
      <c r="E1844" s="947"/>
      <c r="F1844" s="947"/>
      <c r="G1844" s="922"/>
      <c r="H1844" s="1041"/>
      <c r="I1844" s="882"/>
      <c r="J1844" s="894"/>
      <c r="K1844" s="899" t="str">
        <f>IF(G1844&lt;&gt;0,VLOOKUP(G1844,'gia dat'!$A$1:$F$144,5,0)," ")</f>
        <v xml:space="preserve"> </v>
      </c>
      <c r="L1844" s="899" t="str">
        <f>IF(G1844&lt;&gt;0,VLOOKUP(G1844,'gia dat'!$A$1:$F$144,6,0)," ")</f>
        <v xml:space="preserve"> </v>
      </c>
      <c r="M1844" s="900" t="str">
        <f t="shared" si="407"/>
        <v xml:space="preserve"> </v>
      </c>
      <c r="N1844" s="900" t="str">
        <f t="shared" si="408"/>
        <v xml:space="preserve"> </v>
      </c>
      <c r="O1844" s="908"/>
      <c r="P1844" s="1065"/>
      <c r="Q1844" s="900" t="str">
        <f>IF(O1844&lt;&gt;0,VLOOKUP(O1844,'Cây trong'!$A$2:$C$246,3,0)," ")</f>
        <v xml:space="preserve"> </v>
      </c>
      <c r="R1844" s="900" t="str">
        <f t="shared" si="404"/>
        <v xml:space="preserve"> </v>
      </c>
      <c r="S1844" s="908" t="s">
        <v>1933</v>
      </c>
      <c r="T1844" s="944" t="s">
        <v>1133</v>
      </c>
      <c r="U1844" s="1066">
        <v>17.2</v>
      </c>
      <c r="V1844" s="922"/>
      <c r="W1844" s="900">
        <f>IF(S1844&lt;&gt;0,VLOOKUP(S1844,VKT!$A$2:$G$415,7,0),"")</f>
        <v>0</v>
      </c>
      <c r="X1844" s="900">
        <f t="shared" si="411"/>
        <v>0</v>
      </c>
      <c r="Y1844" s="985"/>
      <c r="Z1844" s="922"/>
      <c r="AA1844" s="1067"/>
      <c r="AB1844" s="922"/>
      <c r="AC1844" s="922"/>
      <c r="AD1844" s="922"/>
      <c r="AE1844" s="922"/>
      <c r="AF1844" s="1046"/>
      <c r="AG1844" s="906" t="str">
        <f>IF(AE1844&lt;&gt;0,VLOOKUP(AE1844,ODDS!$A$2:$C$13,3,0),"")</f>
        <v/>
      </c>
      <c r="AH1844" s="906" t="str">
        <f t="shared" si="405"/>
        <v xml:space="preserve"> </v>
      </c>
      <c r="AI1844" s="907" t="str">
        <f t="shared" si="401"/>
        <v xml:space="preserve"> </v>
      </c>
      <c r="AJ1844" s="894"/>
      <c r="AK1844" s="894"/>
    </row>
    <row r="1845" spans="1:37" s="394" customFormat="1" ht="22.5" outlineLevel="2" x14ac:dyDescent="0.3">
      <c r="A1845" s="447">
        <f t="shared" si="413"/>
        <v>155</v>
      </c>
      <c r="B1845" s="893"/>
      <c r="C1845" s="908"/>
      <c r="D1845" s="1032"/>
      <c r="E1845" s="947"/>
      <c r="F1845" s="947"/>
      <c r="G1845" s="922"/>
      <c r="H1845" s="1041"/>
      <c r="I1845" s="882"/>
      <c r="J1845" s="894"/>
      <c r="K1845" s="899" t="str">
        <f>IF(G1845&lt;&gt;0,VLOOKUP(G1845,'gia dat'!$A$1:$F$144,5,0)," ")</f>
        <v xml:space="preserve"> </v>
      </c>
      <c r="L1845" s="899" t="str">
        <f>IF(G1845&lt;&gt;0,VLOOKUP(G1845,'gia dat'!$A$1:$F$144,6,0)," ")</f>
        <v xml:space="preserve"> </v>
      </c>
      <c r="M1845" s="900" t="str">
        <f t="shared" si="407"/>
        <v xml:space="preserve"> </v>
      </c>
      <c r="N1845" s="900" t="str">
        <f t="shared" si="408"/>
        <v xml:space="preserve"> </v>
      </c>
      <c r="O1845" s="908"/>
      <c r="P1845" s="1065"/>
      <c r="Q1845" s="900" t="str">
        <f>IF(O1845&lt;&gt;0,VLOOKUP(O1845,'Cây trong'!$A$2:$C$246,3,0)," ")</f>
        <v xml:space="preserve"> </v>
      </c>
      <c r="R1845" s="900" t="str">
        <f t="shared" si="404"/>
        <v xml:space="preserve"> </v>
      </c>
      <c r="S1845" s="908"/>
      <c r="T1845" s="944"/>
      <c r="U1845" s="1066"/>
      <c r="V1845" s="922"/>
      <c r="W1845" s="900" t="str">
        <f>IF(S1845&lt;&gt;0,VLOOKUP(S1845,VKT!$A$2:$G$415,7,0),"")</f>
        <v/>
      </c>
      <c r="X1845" s="900" t="str">
        <f t="shared" si="411"/>
        <v xml:space="preserve"> </v>
      </c>
      <c r="Y1845" s="985"/>
      <c r="Z1845" s="922"/>
      <c r="AA1845" s="1067"/>
      <c r="AB1845" s="922"/>
      <c r="AC1845" s="922"/>
      <c r="AD1845" s="922"/>
      <c r="AE1845" s="922"/>
      <c r="AF1845" s="1046"/>
      <c r="AG1845" s="906" t="str">
        <f>IF(AE1845&lt;&gt;0,VLOOKUP(AE1845,ODDS!$A$2:$C$13,3,0),"")</f>
        <v/>
      </c>
      <c r="AH1845" s="906" t="str">
        <f t="shared" si="405"/>
        <v xml:space="preserve"> </v>
      </c>
      <c r="AI1845" s="907" t="str">
        <f t="shared" si="401"/>
        <v xml:space="preserve"> </v>
      </c>
      <c r="AJ1845" s="922"/>
      <c r="AK1845" s="922"/>
    </row>
    <row r="1846" spans="1:37" s="394" customFormat="1" ht="22.5" outlineLevel="2" x14ac:dyDescent="0.3">
      <c r="A1846" s="447">
        <f t="shared" si="413"/>
        <v>155</v>
      </c>
      <c r="B1846" s="893"/>
      <c r="C1846" s="908"/>
      <c r="D1846" s="1032"/>
      <c r="E1846" s="947"/>
      <c r="F1846" s="947"/>
      <c r="G1846" s="922"/>
      <c r="H1846" s="1041"/>
      <c r="I1846" s="882"/>
      <c r="J1846" s="894"/>
      <c r="K1846" s="899" t="str">
        <f>IF(G1846&lt;&gt;0,VLOOKUP(G1846,'gia dat'!$A$1:$F$144,5,0)," ")</f>
        <v xml:space="preserve"> </v>
      </c>
      <c r="L1846" s="899" t="str">
        <f>IF(G1846&lt;&gt;0,VLOOKUP(G1846,'gia dat'!$A$1:$F$144,6,0)," ")</f>
        <v xml:space="preserve"> </v>
      </c>
      <c r="M1846" s="900" t="str">
        <f t="shared" si="407"/>
        <v xml:space="preserve"> </v>
      </c>
      <c r="N1846" s="900" t="str">
        <f t="shared" si="408"/>
        <v xml:space="preserve"> </v>
      </c>
      <c r="O1846" s="908"/>
      <c r="P1846" s="1065"/>
      <c r="Q1846" s="900" t="str">
        <f>IF(O1846&lt;&gt;0,VLOOKUP(O1846,'Cây trong'!$A$2:$C$246,3,0)," ")</f>
        <v xml:space="preserve"> </v>
      </c>
      <c r="R1846" s="900" t="str">
        <f t="shared" si="404"/>
        <v xml:space="preserve"> </v>
      </c>
      <c r="S1846" s="908"/>
      <c r="T1846" s="944"/>
      <c r="U1846" s="1066"/>
      <c r="V1846" s="922"/>
      <c r="W1846" s="900" t="str">
        <f>IF(S1846&lt;&gt;0,VLOOKUP(S1846,VKT!$A$2:$G$415,7,0),"")</f>
        <v/>
      </c>
      <c r="X1846" s="900" t="str">
        <f t="shared" si="411"/>
        <v xml:space="preserve"> </v>
      </c>
      <c r="Y1846" s="985"/>
      <c r="Z1846" s="922"/>
      <c r="AA1846" s="1067"/>
      <c r="AB1846" s="922"/>
      <c r="AC1846" s="922"/>
      <c r="AD1846" s="922"/>
      <c r="AE1846" s="922"/>
      <c r="AF1846" s="1046"/>
      <c r="AG1846" s="906" t="str">
        <f>IF(AE1846&lt;&gt;0,VLOOKUP(AE1846,ODDS!$A$2:$C$13,3,0),"")</f>
        <v/>
      </c>
      <c r="AH1846" s="906" t="str">
        <f t="shared" si="405"/>
        <v xml:space="preserve"> </v>
      </c>
      <c r="AI1846" s="907" t="str">
        <f t="shared" si="401"/>
        <v xml:space="preserve"> </v>
      </c>
      <c r="AJ1846" s="922"/>
      <c r="AK1846" s="922"/>
    </row>
    <row r="1847" spans="1:37" s="394" customFormat="1" ht="22.5" outlineLevel="2" x14ac:dyDescent="0.3">
      <c r="A1847" s="447">
        <f t="shared" si="413"/>
        <v>155</v>
      </c>
      <c r="B1847" s="893"/>
      <c r="C1847" s="942"/>
      <c r="D1847" s="1032"/>
      <c r="E1847" s="947"/>
      <c r="F1847" s="947"/>
      <c r="G1847" s="922"/>
      <c r="H1847" s="1041"/>
      <c r="I1847" s="882"/>
      <c r="J1847" s="894"/>
      <c r="K1847" s="899" t="str">
        <f>IF(G1847&lt;&gt;0,VLOOKUP(G1847,'gia dat'!$A$1:$F$144,5,0)," ")</f>
        <v xml:space="preserve"> </v>
      </c>
      <c r="L1847" s="899" t="str">
        <f>IF(G1847&lt;&gt;0,VLOOKUP(G1847,'gia dat'!$A$1:$F$144,6,0)," ")</f>
        <v xml:space="preserve"> </v>
      </c>
      <c r="M1847" s="900" t="str">
        <f t="shared" si="407"/>
        <v xml:space="preserve"> </v>
      </c>
      <c r="N1847" s="900" t="str">
        <f t="shared" si="408"/>
        <v xml:space="preserve"> </v>
      </c>
      <c r="O1847" s="908"/>
      <c r="P1847" s="1065"/>
      <c r="Q1847" s="900" t="str">
        <f>IF(O1847&lt;&gt;0,VLOOKUP(O1847,'Cây trong'!$A$2:$C$246,3,0)," ")</f>
        <v xml:space="preserve"> </v>
      </c>
      <c r="R1847" s="900" t="str">
        <f t="shared" si="404"/>
        <v xml:space="preserve"> </v>
      </c>
      <c r="S1847" s="908"/>
      <c r="T1847" s="944"/>
      <c r="U1847" s="1066"/>
      <c r="V1847" s="922"/>
      <c r="W1847" s="900" t="str">
        <f>IF(S1847&lt;&gt;0,VLOOKUP(S1847,VKT!$A$2:$G$415,7,0),"")</f>
        <v/>
      </c>
      <c r="X1847" s="900" t="str">
        <f t="shared" si="411"/>
        <v xml:space="preserve"> </v>
      </c>
      <c r="Y1847" s="985"/>
      <c r="Z1847" s="922"/>
      <c r="AA1847" s="1067"/>
      <c r="AB1847" s="922"/>
      <c r="AC1847" s="922"/>
      <c r="AD1847" s="922"/>
      <c r="AE1847" s="922"/>
      <c r="AF1847" s="1046"/>
      <c r="AG1847" s="906" t="str">
        <f>IF(AE1847&lt;&gt;0,VLOOKUP(AE1847,ODDS!$A$2:$C$13,3,0),"")</f>
        <v/>
      </c>
      <c r="AH1847" s="906" t="str">
        <f t="shared" si="405"/>
        <v xml:space="preserve"> </v>
      </c>
      <c r="AI1847" s="907" t="str">
        <f t="shared" si="401"/>
        <v xml:space="preserve"> </v>
      </c>
      <c r="AJ1847" s="922"/>
      <c r="AK1847" s="922"/>
    </row>
    <row r="1848" spans="1:37" s="396" customFormat="1" ht="43.5" outlineLevel="1" x14ac:dyDescent="0.25">
      <c r="A1848" s="467" t="s">
        <v>2554</v>
      </c>
      <c r="B1848" s="912">
        <v>156</v>
      </c>
      <c r="C1848" s="942" t="s">
        <v>1304</v>
      </c>
      <c r="D1848" s="913"/>
      <c r="E1848" s="977"/>
      <c r="F1848" s="977"/>
      <c r="G1848" s="914"/>
      <c r="H1848" s="1039">
        <f>SUBTOTAL(9,H1849:H1854)</f>
        <v>29.5</v>
      </c>
      <c r="I1848" s="915">
        <f>SUBTOTAL(9,I1849:I1854)</f>
        <v>0</v>
      </c>
      <c r="J1848" s="916"/>
      <c r="K1848" s="917"/>
      <c r="L1848" s="917"/>
      <c r="M1848" s="907">
        <f>SUBTOTAL(9,M1849:M1854)</f>
        <v>16355000</v>
      </c>
      <c r="N1848" s="907">
        <f>SUBTOTAL(9,N1849:N1854)</f>
        <v>0</v>
      </c>
      <c r="O1848" s="942"/>
      <c r="P1848" s="1063">
        <f>SUBTOTAL(9,P1849:P1854)</f>
        <v>0</v>
      </c>
      <c r="Q1848" s="907"/>
      <c r="R1848" s="907">
        <f>SUBTOTAL(9,R1849:R1854)</f>
        <v>0</v>
      </c>
      <c r="S1848" s="918"/>
      <c r="T1848" s="956"/>
      <c r="U1848" s="1064">
        <f>SUBTOTAL(9,U1849:U1854)</f>
        <v>1</v>
      </c>
      <c r="V1848" s="914"/>
      <c r="W1848" s="907"/>
      <c r="X1848" s="907">
        <f>SUBTOTAL(9,X1849:X1854)</f>
        <v>0</v>
      </c>
      <c r="Y1848" s="985"/>
      <c r="Z1848" s="922"/>
      <c r="AA1848" s="1067"/>
      <c r="AB1848" s="922"/>
      <c r="AC1848" s="922"/>
      <c r="AD1848" s="922"/>
      <c r="AE1848" s="914"/>
      <c r="AF1848" s="1044">
        <f>SUBTOTAL(9,AF1849:AF1854)</f>
        <v>0</v>
      </c>
      <c r="AG1848" s="921"/>
      <c r="AH1848" s="921">
        <f>SUBTOTAL(9,AH1849:AH1854)</f>
        <v>0</v>
      </c>
      <c r="AI1848" s="907">
        <f t="shared" si="401"/>
        <v>16355000</v>
      </c>
      <c r="AJ1848" s="914"/>
      <c r="AK1848" s="914"/>
    </row>
    <row r="1849" spans="1:37" s="396" customFormat="1" ht="135" outlineLevel="2" x14ac:dyDescent="0.3">
      <c r="A1849" s="447">
        <f>IF(B1848&lt;&gt;0,B1848,A1847)</f>
        <v>156</v>
      </c>
      <c r="B1849" s="893"/>
      <c r="C1849" s="908" t="s">
        <v>1307</v>
      </c>
      <c r="D1849" s="896">
        <v>1</v>
      </c>
      <c r="E1849" s="947">
        <v>86</v>
      </c>
      <c r="F1849" s="947">
        <v>413</v>
      </c>
      <c r="G1849" s="922" t="s">
        <v>2897</v>
      </c>
      <c r="H1849" s="1041">
        <f>29.5-H1850</f>
        <v>23.4</v>
      </c>
      <c r="I1849" s="882" t="str">
        <f t="shared" ref="I1849:I1850" si="414">IF(N1849&gt;0,H1849,"")</f>
        <v/>
      </c>
      <c r="J1849" s="898"/>
      <c r="K1849" s="899">
        <f>IF(G1849&lt;&gt;0,VLOOKUP(G1849,'gia dat'!$A$1:$F$144,5,0)," ")</f>
        <v>554400</v>
      </c>
      <c r="L1849" s="899">
        <f>IF(G1849&lt;&gt;0,VLOOKUP(G1849,'gia dat'!$A$1:$F$144,6,0)," ")</f>
        <v>0</v>
      </c>
      <c r="M1849" s="900">
        <f t="shared" si="407"/>
        <v>12973000</v>
      </c>
      <c r="N1849" s="900">
        <f t="shared" si="408"/>
        <v>0</v>
      </c>
      <c r="O1849" s="908"/>
      <c r="P1849" s="1065"/>
      <c r="Q1849" s="900" t="str">
        <f>IF(O1849&lt;&gt;0,VLOOKUP(O1849,'Cây trong'!$A$2:$C$246,3,0)," ")</f>
        <v xml:space="preserve"> </v>
      </c>
      <c r="R1849" s="900" t="str">
        <f t="shared" si="404"/>
        <v xml:space="preserve"> </v>
      </c>
      <c r="S1849" s="902" t="s">
        <v>1305</v>
      </c>
      <c r="T1849" s="944" t="s">
        <v>93</v>
      </c>
      <c r="U1849" s="1066">
        <v>1</v>
      </c>
      <c r="V1849" s="922"/>
      <c r="W1849" s="900">
        <f>IF(S1849&lt;&gt;0,VLOOKUP(S1849,VKT!$A$2:$G$415,7,0),"")</f>
        <v>0</v>
      </c>
      <c r="X1849" s="900">
        <f t="shared" si="411"/>
        <v>0</v>
      </c>
      <c r="Y1849" s="985"/>
      <c r="Z1849" s="922"/>
      <c r="AA1849" s="1067"/>
      <c r="AB1849" s="922"/>
      <c r="AC1849" s="922"/>
      <c r="AD1849" s="922"/>
      <c r="AE1849" s="922"/>
      <c r="AF1849" s="1046"/>
      <c r="AG1849" s="906" t="str">
        <f>IF(AE1849&lt;&gt;0,VLOOKUP(AE1849,ODDS!$A$2:$C$13,3,0),"")</f>
        <v/>
      </c>
      <c r="AH1849" s="906"/>
      <c r="AI1849" s="907" t="str">
        <f t="shared" si="401"/>
        <v xml:space="preserve"> </v>
      </c>
      <c r="AJ1849" s="922" t="s">
        <v>1306</v>
      </c>
      <c r="AK1849" s="922" t="s">
        <v>2771</v>
      </c>
    </row>
    <row r="1850" spans="1:37" s="396" customFormat="1" ht="135" outlineLevel="2" x14ac:dyDescent="0.3">
      <c r="A1850" s="447">
        <f>IF(B1849&lt;&gt;0,B1849,A1849)</f>
        <v>156</v>
      </c>
      <c r="B1850" s="893"/>
      <c r="C1850" s="908" t="s">
        <v>1615</v>
      </c>
      <c r="D1850" s="1032"/>
      <c r="E1850" s="947"/>
      <c r="F1850" s="947"/>
      <c r="G1850" s="922" t="s">
        <v>2895</v>
      </c>
      <c r="H1850" s="1041">
        <v>6.1</v>
      </c>
      <c r="I1850" s="882" t="str">
        <f t="shared" si="414"/>
        <v/>
      </c>
      <c r="J1850" s="898"/>
      <c r="K1850" s="899">
        <f>IF(G1850&lt;&gt;0,VLOOKUP(G1850,'gia dat'!$A$1:$F$144,5,0)," ")</f>
        <v>554400</v>
      </c>
      <c r="L1850" s="899">
        <f>IF(G1850&lt;&gt;0,VLOOKUP(G1850,'gia dat'!$A$1:$F$144,6,0)," ")</f>
        <v>0</v>
      </c>
      <c r="M1850" s="900">
        <f t="shared" si="407"/>
        <v>3382000</v>
      </c>
      <c r="N1850" s="900">
        <f t="shared" si="408"/>
        <v>0</v>
      </c>
      <c r="O1850" s="908"/>
      <c r="P1850" s="1065"/>
      <c r="Q1850" s="900" t="str">
        <f>IF(O1850&lt;&gt;0,VLOOKUP(O1850,'Cây trong'!$A$2:$C$246,3,0)," ")</f>
        <v xml:space="preserve"> </v>
      </c>
      <c r="R1850" s="900" t="str">
        <f t="shared" si="404"/>
        <v xml:space="preserve"> </v>
      </c>
      <c r="S1850" s="902"/>
      <c r="T1850" s="944"/>
      <c r="U1850" s="1066"/>
      <c r="V1850" s="922"/>
      <c r="W1850" s="900" t="str">
        <f>IF(S1850&lt;&gt;0,VLOOKUP(S1850,VKT!$A$2:$G$415,7,0),"")</f>
        <v/>
      </c>
      <c r="X1850" s="900" t="str">
        <f t="shared" si="411"/>
        <v xml:space="preserve"> </v>
      </c>
      <c r="Y1850" s="985"/>
      <c r="Z1850" s="922"/>
      <c r="AA1850" s="1067"/>
      <c r="AB1850" s="922"/>
      <c r="AC1850" s="922"/>
      <c r="AD1850" s="922"/>
      <c r="AE1850" s="922"/>
      <c r="AF1850" s="1046"/>
      <c r="AG1850" s="906" t="str">
        <f>IF(AE1850&lt;&gt;0,VLOOKUP(AE1850,ODDS!$A$2:$C$13,3,0),"")</f>
        <v/>
      </c>
      <c r="AH1850" s="906" t="str">
        <f t="shared" si="405"/>
        <v xml:space="preserve"> </v>
      </c>
      <c r="AI1850" s="907" t="str">
        <f t="shared" si="401"/>
        <v xml:space="preserve"> </v>
      </c>
      <c r="AJ1850" s="922" t="s">
        <v>1308</v>
      </c>
      <c r="AK1850" s="894"/>
    </row>
    <row r="1851" spans="1:37" s="394" customFormat="1" ht="22.5" outlineLevel="2" x14ac:dyDescent="0.3">
      <c r="A1851" s="447">
        <f>IF(B1850&lt;&gt;0,B1850,A1850)</f>
        <v>156</v>
      </c>
      <c r="B1851" s="893"/>
      <c r="C1851" s="908"/>
      <c r="D1851" s="1032"/>
      <c r="E1851" s="947"/>
      <c r="F1851" s="947"/>
      <c r="G1851" s="922"/>
      <c r="H1851" s="1041"/>
      <c r="I1851" s="882"/>
      <c r="J1851" s="898"/>
      <c r="K1851" s="899" t="str">
        <f>IF(G1851&lt;&gt;0,VLOOKUP(G1851,'gia dat'!$A$1:$F$144,5,0)," ")</f>
        <v xml:space="preserve"> </v>
      </c>
      <c r="L1851" s="899" t="str">
        <f>IF(G1851&lt;&gt;0,VLOOKUP(G1851,'gia dat'!$A$1:$F$144,6,0)," ")</f>
        <v xml:space="preserve"> </v>
      </c>
      <c r="M1851" s="900" t="str">
        <f t="shared" si="407"/>
        <v xml:space="preserve"> </v>
      </c>
      <c r="N1851" s="900" t="str">
        <f t="shared" si="408"/>
        <v xml:space="preserve"> </v>
      </c>
      <c r="O1851" s="908"/>
      <c r="P1851" s="1065"/>
      <c r="Q1851" s="900" t="str">
        <f>IF(O1851&lt;&gt;0,VLOOKUP(O1851,'Cây trong'!$A$2:$C$246,3,0)," ")</f>
        <v xml:space="preserve"> </v>
      </c>
      <c r="R1851" s="900" t="str">
        <f t="shared" si="404"/>
        <v xml:space="preserve"> </v>
      </c>
      <c r="S1851" s="902"/>
      <c r="T1851" s="944"/>
      <c r="U1851" s="1066"/>
      <c r="V1851" s="922"/>
      <c r="W1851" s="900" t="str">
        <f>IF(S1851&lt;&gt;0,VLOOKUP(S1851,VKT!$A$2:$G$415,7,0),"")</f>
        <v/>
      </c>
      <c r="X1851" s="900" t="str">
        <f t="shared" si="411"/>
        <v xml:space="preserve"> </v>
      </c>
      <c r="Y1851" s="985"/>
      <c r="Z1851" s="922"/>
      <c r="AA1851" s="1067"/>
      <c r="AB1851" s="922"/>
      <c r="AC1851" s="922"/>
      <c r="AD1851" s="922"/>
      <c r="AE1851" s="922"/>
      <c r="AF1851" s="1046"/>
      <c r="AG1851" s="906" t="str">
        <f>IF(AE1851&lt;&gt;0,VLOOKUP(AE1851,ODDS!$A$2:$C$13,3,0),"")</f>
        <v/>
      </c>
      <c r="AH1851" s="906" t="str">
        <f t="shared" si="405"/>
        <v xml:space="preserve"> </v>
      </c>
      <c r="AI1851" s="907" t="str">
        <f t="shared" si="401"/>
        <v xml:space="preserve"> </v>
      </c>
      <c r="AJ1851" s="922" t="s">
        <v>1309</v>
      </c>
      <c r="AK1851" s="922"/>
    </row>
    <row r="1852" spans="1:37" s="394" customFormat="1" ht="22.5" outlineLevel="2" x14ac:dyDescent="0.3">
      <c r="A1852" s="447">
        <f>IF(B1851&lt;&gt;0,B1851,A1851)</f>
        <v>156</v>
      </c>
      <c r="B1852" s="893"/>
      <c r="C1852" s="908"/>
      <c r="D1852" s="1032"/>
      <c r="E1852" s="947"/>
      <c r="F1852" s="947"/>
      <c r="G1852" s="922"/>
      <c r="H1852" s="1041"/>
      <c r="I1852" s="882"/>
      <c r="J1852" s="894"/>
      <c r="K1852" s="899" t="str">
        <f>IF(G1852&lt;&gt;0,VLOOKUP(G1852,'gia dat'!$A$1:$F$144,5,0)," ")</f>
        <v xml:space="preserve"> </v>
      </c>
      <c r="L1852" s="899" t="str">
        <f>IF(G1852&lt;&gt;0,VLOOKUP(G1852,'gia dat'!$A$1:$F$144,6,0)," ")</f>
        <v xml:space="preserve"> </v>
      </c>
      <c r="M1852" s="900" t="str">
        <f t="shared" si="407"/>
        <v xml:space="preserve"> </v>
      </c>
      <c r="N1852" s="900" t="str">
        <f t="shared" si="408"/>
        <v xml:space="preserve"> </v>
      </c>
      <c r="O1852" s="908"/>
      <c r="P1852" s="1065"/>
      <c r="Q1852" s="900" t="str">
        <f>IF(O1852&lt;&gt;0,VLOOKUP(O1852,'Cây trong'!$A$2:$C$246,3,0)," ")</f>
        <v xml:space="preserve"> </v>
      </c>
      <c r="R1852" s="900" t="str">
        <f t="shared" si="404"/>
        <v xml:space="preserve"> </v>
      </c>
      <c r="S1852" s="908"/>
      <c r="T1852" s="944"/>
      <c r="U1852" s="1066"/>
      <c r="V1852" s="922"/>
      <c r="W1852" s="900" t="str">
        <f>IF(S1852&lt;&gt;0,VLOOKUP(S1852,VKT!$A$2:$G$415,7,0),"")</f>
        <v/>
      </c>
      <c r="X1852" s="900" t="str">
        <f t="shared" si="411"/>
        <v xml:space="preserve"> </v>
      </c>
      <c r="Y1852" s="985"/>
      <c r="Z1852" s="922"/>
      <c r="AA1852" s="1067"/>
      <c r="AB1852" s="922"/>
      <c r="AC1852" s="922"/>
      <c r="AD1852" s="922"/>
      <c r="AE1852" s="922"/>
      <c r="AF1852" s="1046"/>
      <c r="AG1852" s="906" t="str">
        <f>IF(AE1852&lt;&gt;0,VLOOKUP(AE1852,ODDS!$A$2:$C$13,3,0),"")</f>
        <v/>
      </c>
      <c r="AH1852" s="906" t="str">
        <f t="shared" si="405"/>
        <v xml:space="preserve"> </v>
      </c>
      <c r="AI1852" s="907" t="str">
        <f t="shared" si="401"/>
        <v xml:space="preserve"> </v>
      </c>
      <c r="AJ1852" s="998" t="s">
        <v>2072</v>
      </c>
      <c r="AK1852" s="922"/>
    </row>
    <row r="1853" spans="1:37" s="394" customFormat="1" ht="135" outlineLevel="2" x14ac:dyDescent="0.3">
      <c r="A1853" s="447">
        <f>IF(B1852&lt;&gt;0,B1852,A1852)</f>
        <v>156</v>
      </c>
      <c r="B1853" s="893"/>
      <c r="C1853" s="908"/>
      <c r="D1853" s="1032"/>
      <c r="E1853" s="947"/>
      <c r="F1853" s="947"/>
      <c r="G1853" s="922"/>
      <c r="H1853" s="1041"/>
      <c r="I1853" s="882"/>
      <c r="J1853" s="894"/>
      <c r="K1853" s="899" t="str">
        <f>IF(G1853&lt;&gt;0,VLOOKUP(G1853,'gia dat'!$A$1:$F$144,5,0)," ")</f>
        <v xml:space="preserve"> </v>
      </c>
      <c r="L1853" s="899" t="str">
        <f>IF(G1853&lt;&gt;0,VLOOKUP(G1853,'gia dat'!$A$1:$F$144,6,0)," ")</f>
        <v xml:space="preserve"> </v>
      </c>
      <c r="M1853" s="900" t="str">
        <f t="shared" si="407"/>
        <v xml:space="preserve"> </v>
      </c>
      <c r="N1853" s="900" t="str">
        <f t="shared" si="408"/>
        <v xml:space="preserve"> </v>
      </c>
      <c r="O1853" s="908"/>
      <c r="P1853" s="1065"/>
      <c r="Q1853" s="900" t="str">
        <f>IF(O1853&lt;&gt;0,VLOOKUP(O1853,'Cây trong'!$A$2:$C$246,3,0)," ")</f>
        <v xml:space="preserve"> </v>
      </c>
      <c r="R1853" s="900" t="str">
        <f t="shared" si="404"/>
        <v xml:space="preserve"> </v>
      </c>
      <c r="S1853" s="908"/>
      <c r="T1853" s="944"/>
      <c r="U1853" s="1066"/>
      <c r="V1853" s="922"/>
      <c r="W1853" s="900" t="str">
        <f>IF(S1853&lt;&gt;0,VLOOKUP(S1853,VKT!$A$2:$G$415,7,0),"")</f>
        <v/>
      </c>
      <c r="X1853" s="900" t="str">
        <f t="shared" si="411"/>
        <v xml:space="preserve"> </v>
      </c>
      <c r="Y1853" s="985"/>
      <c r="Z1853" s="922"/>
      <c r="AA1853" s="1067"/>
      <c r="AB1853" s="922"/>
      <c r="AC1853" s="922"/>
      <c r="AD1853" s="922"/>
      <c r="AE1853" s="922"/>
      <c r="AF1853" s="1046"/>
      <c r="AG1853" s="906" t="str">
        <f>IF(AE1853&lt;&gt;0,VLOOKUP(AE1853,ODDS!$A$2:$C$13,3,0),"")</f>
        <v/>
      </c>
      <c r="AH1853" s="906" t="str">
        <f t="shared" si="405"/>
        <v xml:space="preserve"> </v>
      </c>
      <c r="AI1853" s="907" t="str">
        <f t="shared" si="401"/>
        <v xml:space="preserve"> </v>
      </c>
      <c r="AJ1853" s="922" t="s">
        <v>2239</v>
      </c>
      <c r="AK1853" s="922"/>
    </row>
    <row r="1854" spans="1:37" s="394" customFormat="1" ht="22.5" outlineLevel="2" x14ac:dyDescent="0.3">
      <c r="A1854" s="447">
        <f>IF(B1853&lt;&gt;0,B1853,A1853)</f>
        <v>156</v>
      </c>
      <c r="B1854" s="893"/>
      <c r="C1854" s="942"/>
      <c r="D1854" s="1032"/>
      <c r="E1854" s="947"/>
      <c r="F1854" s="947"/>
      <c r="G1854" s="922"/>
      <c r="H1854" s="1041"/>
      <c r="I1854" s="882"/>
      <c r="J1854" s="894"/>
      <c r="K1854" s="899" t="str">
        <f>IF(G1854&lt;&gt;0,VLOOKUP(G1854,'gia dat'!$A$1:$F$144,5,0)," ")</f>
        <v xml:space="preserve"> </v>
      </c>
      <c r="L1854" s="899" t="str">
        <f>IF(G1854&lt;&gt;0,VLOOKUP(G1854,'gia dat'!$A$1:$F$144,6,0)," ")</f>
        <v xml:space="preserve"> </v>
      </c>
      <c r="M1854" s="900" t="str">
        <f t="shared" si="407"/>
        <v xml:space="preserve"> </v>
      </c>
      <c r="N1854" s="900" t="str">
        <f t="shared" si="408"/>
        <v xml:space="preserve"> </v>
      </c>
      <c r="O1854" s="908"/>
      <c r="P1854" s="1065"/>
      <c r="Q1854" s="900" t="str">
        <f>IF(O1854&lt;&gt;0,VLOOKUP(O1854,'Cây trong'!$A$2:$C$246,3,0)," ")</f>
        <v xml:space="preserve"> </v>
      </c>
      <c r="R1854" s="900" t="str">
        <f t="shared" si="404"/>
        <v xml:space="preserve"> </v>
      </c>
      <c r="S1854" s="908"/>
      <c r="T1854" s="944"/>
      <c r="U1854" s="1066"/>
      <c r="V1854" s="922"/>
      <c r="W1854" s="900" t="str">
        <f>IF(S1854&lt;&gt;0,VLOOKUP(S1854,VKT!$A$2:$G$415,7,0),"")</f>
        <v/>
      </c>
      <c r="X1854" s="900" t="str">
        <f t="shared" si="411"/>
        <v xml:space="preserve"> </v>
      </c>
      <c r="Y1854" s="985"/>
      <c r="Z1854" s="922"/>
      <c r="AA1854" s="1067"/>
      <c r="AB1854" s="922"/>
      <c r="AC1854" s="922"/>
      <c r="AD1854" s="922"/>
      <c r="AE1854" s="922"/>
      <c r="AF1854" s="1046"/>
      <c r="AG1854" s="906" t="str">
        <f>IF(AE1854&lt;&gt;0,VLOOKUP(AE1854,ODDS!$A$2:$C$13,3,0),"")</f>
        <v/>
      </c>
      <c r="AH1854" s="906" t="str">
        <f t="shared" si="405"/>
        <v xml:space="preserve"> </v>
      </c>
      <c r="AI1854" s="907" t="str">
        <f t="shared" si="401"/>
        <v xml:space="preserve"> </v>
      </c>
      <c r="AJ1854" s="922"/>
      <c r="AK1854" s="922"/>
    </row>
    <row r="1855" spans="1:37" s="396" customFormat="1" ht="43.5" outlineLevel="1" x14ac:dyDescent="0.3">
      <c r="A1855" s="467" t="s">
        <v>2553</v>
      </c>
      <c r="B1855" s="912">
        <v>157</v>
      </c>
      <c r="C1855" s="942" t="s">
        <v>1310</v>
      </c>
      <c r="D1855" s="913"/>
      <c r="E1855" s="977"/>
      <c r="F1855" s="977"/>
      <c r="G1855" s="914"/>
      <c r="H1855" s="1039">
        <f>SUBTOTAL(9,H1856:H1865)</f>
        <v>19.600000000000001</v>
      </c>
      <c r="I1855" s="915">
        <f>SUBTOTAL(9,I1856:I1861)</f>
        <v>9.8000000000000007</v>
      </c>
      <c r="J1855" s="916"/>
      <c r="K1855" s="917"/>
      <c r="L1855" s="917"/>
      <c r="M1855" s="907">
        <f>SUBTOTAL(9,M1856:M1865)</f>
        <v>10866000</v>
      </c>
      <c r="N1855" s="907">
        <f>SUBTOTAL(9,N1856:N1865)</f>
        <v>16299000</v>
      </c>
      <c r="O1855" s="942"/>
      <c r="P1855" s="1063">
        <f>SUBTOTAL(9,P1856:P1865)</f>
        <v>85</v>
      </c>
      <c r="Q1855" s="907"/>
      <c r="R1855" s="907">
        <f>SUBTOTAL(9,R1856:R1865)</f>
        <v>6308000</v>
      </c>
      <c r="S1855" s="918"/>
      <c r="T1855" s="956"/>
      <c r="U1855" s="1064">
        <f>SUBTOTAL(9,U1856:U1865)</f>
        <v>0</v>
      </c>
      <c r="V1855" s="914"/>
      <c r="W1855" s="907"/>
      <c r="X1855" s="907">
        <f>SUBTOTAL(9,X1856:X1865)</f>
        <v>0</v>
      </c>
      <c r="Y1855" s="985"/>
      <c r="Z1855" s="922"/>
      <c r="AA1855" s="1067"/>
      <c r="AB1855" s="922"/>
      <c r="AC1855" s="922"/>
      <c r="AD1855" s="922"/>
      <c r="AE1855" s="1072"/>
      <c r="AF1855" s="1044">
        <f>SUBTOTAL(9,AF1856:AF1865)</f>
        <v>0</v>
      </c>
      <c r="AG1855" s="921"/>
      <c r="AH1855" s="921">
        <f>SUBTOTAL(9,AH1856:AH1865)</f>
        <v>0</v>
      </c>
      <c r="AI1855" s="907">
        <f t="shared" si="401"/>
        <v>33473000</v>
      </c>
      <c r="AJ1855" s="914"/>
      <c r="AK1855" s="914"/>
    </row>
    <row r="1856" spans="1:37" s="396" customFormat="1" ht="135" outlineLevel="2" x14ac:dyDescent="0.35">
      <c r="A1856" s="447">
        <f>IF(B1855&lt;&gt;0,B1855,A1854)</f>
        <v>157</v>
      </c>
      <c r="B1856" s="893"/>
      <c r="C1856" s="908" t="s">
        <v>1312</v>
      </c>
      <c r="D1856" s="896">
        <v>6</v>
      </c>
      <c r="E1856" s="947">
        <v>86</v>
      </c>
      <c r="F1856" s="947">
        <v>483</v>
      </c>
      <c r="G1856" s="922" t="s">
        <v>2897</v>
      </c>
      <c r="H1856" s="1041">
        <f>19.6-H1857</f>
        <v>9.8000000000000007</v>
      </c>
      <c r="I1856" s="882" t="str">
        <f t="shared" ref="I1856:I1857" si="415">IF(N1856&gt;0,H1856,"")</f>
        <v/>
      </c>
      <c r="J1856" s="898"/>
      <c r="K1856" s="899">
        <f>IF(G1856&lt;&gt;0,VLOOKUP(G1856,'gia dat'!$A$1:$F$144,5,0)," ")</f>
        <v>554400</v>
      </c>
      <c r="L1856" s="899">
        <f>IF(G1856&lt;&gt;0,VLOOKUP(G1856,'gia dat'!$A$1:$F$144,6,0)," ")</f>
        <v>0</v>
      </c>
      <c r="M1856" s="900">
        <f t="shared" si="407"/>
        <v>5433000</v>
      </c>
      <c r="N1856" s="900">
        <f t="shared" si="408"/>
        <v>0</v>
      </c>
      <c r="O1856" s="908" t="s">
        <v>738</v>
      </c>
      <c r="P1856" s="1065">
        <v>1</v>
      </c>
      <c r="Q1856" s="900">
        <f>IF(O1856&lt;&gt;0,VLOOKUP(O1856,'Cây trong'!$A$2:$C$246,3,0)," ")</f>
        <v>0</v>
      </c>
      <c r="R1856" s="900">
        <f t="shared" si="404"/>
        <v>0</v>
      </c>
      <c r="S1856" s="902"/>
      <c r="T1856" s="944"/>
      <c r="U1856" s="1066"/>
      <c r="V1856" s="922"/>
      <c r="W1856" s="900" t="str">
        <f>IF(S1856&lt;&gt;0,VLOOKUP(S1856,VKT!$A$2:$G$415,7,0),"")</f>
        <v/>
      </c>
      <c r="X1856" s="900" t="str">
        <f t="shared" si="411"/>
        <v xml:space="preserve"> </v>
      </c>
      <c r="Y1856" s="985"/>
      <c r="Z1856" s="922"/>
      <c r="AA1856" s="1067"/>
      <c r="AB1856" s="922"/>
      <c r="AC1856" s="922"/>
      <c r="AD1856" s="922"/>
      <c r="AE1856" s="1068"/>
      <c r="AF1856" s="1046"/>
      <c r="AG1856" s="906" t="str">
        <f>IF(AE1856&lt;&gt;0,VLOOKUP(AE1856,ODDS!$A$2:$C$13,3,0),"")</f>
        <v/>
      </c>
      <c r="AH1856" s="906"/>
      <c r="AI1856" s="907" t="str">
        <f t="shared" si="401"/>
        <v xml:space="preserve"> </v>
      </c>
      <c r="AJ1856" s="922" t="s">
        <v>1311</v>
      </c>
      <c r="AK1856" s="922" t="s">
        <v>2771</v>
      </c>
    </row>
    <row r="1857" spans="1:37" s="394" customFormat="1" ht="112.5" outlineLevel="2" x14ac:dyDescent="0.3">
      <c r="A1857" s="447">
        <f t="shared" ref="A1857:A1865" si="416">IF(B1856&lt;&gt;0,B1856,A1856)</f>
        <v>157</v>
      </c>
      <c r="B1857" s="893"/>
      <c r="C1857" s="942" t="s">
        <v>1313</v>
      </c>
      <c r="D1857" s="1032"/>
      <c r="E1857" s="947"/>
      <c r="F1857" s="947"/>
      <c r="G1857" s="922" t="s">
        <v>2896</v>
      </c>
      <c r="H1857" s="1041">
        <v>9.8000000000000007</v>
      </c>
      <c r="I1857" s="882">
        <f t="shared" si="415"/>
        <v>9.8000000000000007</v>
      </c>
      <c r="J1857" s="898"/>
      <c r="K1857" s="899">
        <f>IF(G1857&lt;&gt;0,VLOOKUP(G1857,'gia dat'!$A$1:$F$144,5,0)," ")</f>
        <v>554400</v>
      </c>
      <c r="L1857" s="899">
        <f>IF(G1857&lt;&gt;0,VLOOKUP(G1857,'gia dat'!$A$1:$F$144,6,0)," ")</f>
        <v>1663200</v>
      </c>
      <c r="M1857" s="900">
        <f t="shared" si="407"/>
        <v>5433000</v>
      </c>
      <c r="N1857" s="900">
        <f t="shared" si="408"/>
        <v>16299000</v>
      </c>
      <c r="O1857" s="908" t="s">
        <v>1240</v>
      </c>
      <c r="P1857" s="1065">
        <v>1</v>
      </c>
      <c r="Q1857" s="900">
        <f>IF(O1857&lt;&gt;0,VLOOKUP(O1857,'Cây trong'!$A$2:$C$246,3,0)," ")</f>
        <v>0</v>
      </c>
      <c r="R1857" s="900">
        <f t="shared" si="404"/>
        <v>0</v>
      </c>
      <c r="S1857" s="902"/>
      <c r="T1857" s="944"/>
      <c r="U1857" s="1066"/>
      <c r="V1857" s="922"/>
      <c r="W1857" s="900" t="str">
        <f>IF(S1857&lt;&gt;0,VLOOKUP(S1857,VKT!$A$2:$G$415,7,0),"")</f>
        <v/>
      </c>
      <c r="X1857" s="900" t="str">
        <f t="shared" si="411"/>
        <v xml:space="preserve"> </v>
      </c>
      <c r="Y1857" s="985"/>
      <c r="Z1857" s="922"/>
      <c r="AA1857" s="1067"/>
      <c r="AB1857" s="922"/>
      <c r="AC1857" s="922"/>
      <c r="AD1857" s="922"/>
      <c r="AE1857" s="922"/>
      <c r="AF1857" s="1046"/>
      <c r="AG1857" s="906" t="str">
        <f>IF(AE1857&lt;&gt;0,VLOOKUP(AE1857,ODDS!$A$2:$C$13,3,0),"")</f>
        <v/>
      </c>
      <c r="AH1857" s="906" t="str">
        <f t="shared" si="405"/>
        <v xml:space="preserve"> </v>
      </c>
      <c r="AI1857" s="907" t="str">
        <f t="shared" si="401"/>
        <v xml:space="preserve"> </v>
      </c>
      <c r="AJ1857" s="922" t="s">
        <v>1734</v>
      </c>
      <c r="AK1857" s="894" t="s">
        <v>2448</v>
      </c>
    </row>
    <row r="1858" spans="1:37" s="394" customFormat="1" ht="112.5" outlineLevel="2" x14ac:dyDescent="0.3">
      <c r="A1858" s="447">
        <f t="shared" si="416"/>
        <v>157</v>
      </c>
      <c r="B1858" s="893"/>
      <c r="C1858" s="908" t="s">
        <v>1315</v>
      </c>
      <c r="D1858" s="1032"/>
      <c r="E1858" s="947"/>
      <c r="F1858" s="947"/>
      <c r="G1858" s="922"/>
      <c r="H1858" s="1041"/>
      <c r="I1858" s="882"/>
      <c r="J1858" s="898"/>
      <c r="K1858" s="899" t="str">
        <f>IF(G1858&lt;&gt;0,VLOOKUP(G1858,'gia dat'!$A$1:$F$144,5,0)," ")</f>
        <v xml:space="preserve"> </v>
      </c>
      <c r="L1858" s="899" t="str">
        <f>IF(G1858&lt;&gt;0,VLOOKUP(G1858,'gia dat'!$A$1:$F$144,6,0)," ")</f>
        <v xml:space="preserve"> </v>
      </c>
      <c r="M1858" s="900" t="str">
        <f t="shared" si="407"/>
        <v xml:space="preserve"> </v>
      </c>
      <c r="N1858" s="900" t="str">
        <f t="shared" si="408"/>
        <v xml:space="preserve"> </v>
      </c>
      <c r="O1858" s="908" t="s">
        <v>72</v>
      </c>
      <c r="P1858" s="1065">
        <v>24</v>
      </c>
      <c r="Q1858" s="900">
        <f>IF(O1858&lt;&gt;0,VLOOKUP(O1858,'Cây trong'!$A$2:$C$246,3,0)," ")</f>
        <v>132000</v>
      </c>
      <c r="R1858" s="900">
        <f t="shared" si="404"/>
        <v>3168000</v>
      </c>
      <c r="S1858" s="902"/>
      <c r="T1858" s="944"/>
      <c r="U1858" s="1066"/>
      <c r="V1858" s="922"/>
      <c r="W1858" s="900" t="str">
        <f>IF(S1858&lt;&gt;0,VLOOKUP(S1858,VKT!$A$2:$G$415,7,0),"")</f>
        <v/>
      </c>
      <c r="X1858" s="900" t="str">
        <f t="shared" si="411"/>
        <v xml:space="preserve"> </v>
      </c>
      <c r="Y1858" s="985"/>
      <c r="Z1858" s="922"/>
      <c r="AA1858" s="1067"/>
      <c r="AB1858" s="922"/>
      <c r="AC1858" s="922"/>
      <c r="AD1858" s="922"/>
      <c r="AE1858" s="922"/>
      <c r="AF1858" s="1046"/>
      <c r="AG1858" s="906" t="str">
        <f>IF(AE1858&lt;&gt;0,VLOOKUP(AE1858,ODDS!$A$2:$C$13,3,0),"")</f>
        <v/>
      </c>
      <c r="AH1858" s="906" t="str">
        <f t="shared" si="405"/>
        <v xml:space="preserve"> </v>
      </c>
      <c r="AI1858" s="907" t="str">
        <f t="shared" si="401"/>
        <v xml:space="preserve"> </v>
      </c>
      <c r="AJ1858" s="922" t="s">
        <v>1314</v>
      </c>
      <c r="AK1858" s="894" t="s">
        <v>2449</v>
      </c>
    </row>
    <row r="1859" spans="1:37" s="394" customFormat="1" ht="135" outlineLevel="2" x14ac:dyDescent="0.3">
      <c r="A1859" s="447">
        <f t="shared" si="416"/>
        <v>157</v>
      </c>
      <c r="B1859" s="893"/>
      <c r="C1859" s="908" t="s">
        <v>1615</v>
      </c>
      <c r="D1859" s="1032"/>
      <c r="E1859" s="947"/>
      <c r="F1859" s="947"/>
      <c r="G1859" s="922"/>
      <c r="H1859" s="1041"/>
      <c r="I1859" s="882"/>
      <c r="J1859" s="894"/>
      <c r="K1859" s="899" t="str">
        <f>IF(G1859&lt;&gt;0,VLOOKUP(G1859,'gia dat'!$A$1:$F$144,5,0)," ")</f>
        <v xml:space="preserve"> </v>
      </c>
      <c r="L1859" s="899" t="str">
        <f>IF(G1859&lt;&gt;0,VLOOKUP(G1859,'gia dat'!$A$1:$F$144,6,0)," ")</f>
        <v xml:space="preserve"> </v>
      </c>
      <c r="M1859" s="900" t="str">
        <f t="shared" si="407"/>
        <v xml:space="preserve"> </v>
      </c>
      <c r="N1859" s="900" t="str">
        <f t="shared" si="408"/>
        <v xml:space="preserve"> </v>
      </c>
      <c r="O1859" s="908" t="s">
        <v>73</v>
      </c>
      <c r="P1859" s="1065">
        <v>27</v>
      </c>
      <c r="Q1859" s="900">
        <f>IF(O1859&lt;&gt;0,VLOOKUP(O1859,'Cây trong'!$A$2:$C$246,3,0)," ")</f>
        <v>76000</v>
      </c>
      <c r="R1859" s="900">
        <f t="shared" si="404"/>
        <v>2052000</v>
      </c>
      <c r="S1859" s="908"/>
      <c r="T1859" s="944"/>
      <c r="U1859" s="1066"/>
      <c r="V1859" s="922"/>
      <c r="W1859" s="900" t="str">
        <f>IF(S1859&lt;&gt;0,VLOOKUP(S1859,VKT!$A$2:$G$415,7,0),"")</f>
        <v/>
      </c>
      <c r="X1859" s="900" t="str">
        <f t="shared" si="411"/>
        <v xml:space="preserve"> </v>
      </c>
      <c r="Y1859" s="985"/>
      <c r="Z1859" s="922"/>
      <c r="AA1859" s="1067"/>
      <c r="AB1859" s="922"/>
      <c r="AC1859" s="922"/>
      <c r="AD1859" s="922"/>
      <c r="AE1859" s="922"/>
      <c r="AF1859" s="1046"/>
      <c r="AG1859" s="906" t="str">
        <f>IF(AE1859&lt;&gt;0,VLOOKUP(AE1859,ODDS!$A$2:$C$13,3,0),"")</f>
        <v/>
      </c>
      <c r="AH1859" s="906" t="str">
        <f t="shared" si="405"/>
        <v xml:space="preserve"> </v>
      </c>
      <c r="AI1859" s="907" t="str">
        <f t="shared" si="401"/>
        <v xml:space="preserve"> </v>
      </c>
      <c r="AJ1859" s="922" t="s">
        <v>2240</v>
      </c>
      <c r="AK1859" s="922"/>
    </row>
    <row r="1860" spans="1:37" s="394" customFormat="1" ht="22.5" outlineLevel="2" x14ac:dyDescent="0.3">
      <c r="A1860" s="447">
        <f t="shared" si="416"/>
        <v>157</v>
      </c>
      <c r="B1860" s="893"/>
      <c r="C1860" s="908"/>
      <c r="D1860" s="1032"/>
      <c r="E1860" s="947"/>
      <c r="F1860" s="947"/>
      <c r="G1860" s="922"/>
      <c r="H1860" s="1041"/>
      <c r="I1860" s="882"/>
      <c r="J1860" s="894"/>
      <c r="K1860" s="899" t="str">
        <f>IF(G1860&lt;&gt;0,VLOOKUP(G1860,'gia dat'!$A$1:$F$144,5,0)," ")</f>
        <v xml:space="preserve"> </v>
      </c>
      <c r="L1860" s="899" t="str">
        <f>IF(G1860&lt;&gt;0,VLOOKUP(G1860,'gia dat'!$A$1:$F$144,6,0)," ")</f>
        <v xml:space="preserve"> </v>
      </c>
      <c r="M1860" s="900" t="str">
        <f t="shared" si="407"/>
        <v xml:space="preserve"> </v>
      </c>
      <c r="N1860" s="900" t="str">
        <f t="shared" si="408"/>
        <v xml:space="preserve"> </v>
      </c>
      <c r="O1860" s="908" t="s">
        <v>75</v>
      </c>
      <c r="P1860" s="1065">
        <v>32</v>
      </c>
      <c r="Q1860" s="900">
        <f>IF(O1860&lt;&gt;0,VLOOKUP(O1860,'Cây trong'!$A$2:$C$246,3,0)," ")</f>
        <v>34000</v>
      </c>
      <c r="R1860" s="900">
        <f t="shared" si="404"/>
        <v>1088000</v>
      </c>
      <c r="S1860" s="908"/>
      <c r="T1860" s="944"/>
      <c r="U1860" s="1066"/>
      <c r="V1860" s="922"/>
      <c r="W1860" s="900" t="str">
        <f>IF(S1860&lt;&gt;0,VLOOKUP(S1860,VKT!$A$2:$G$415,7,0),"")</f>
        <v/>
      </c>
      <c r="X1860" s="900" t="str">
        <f t="shared" si="411"/>
        <v xml:space="preserve"> </v>
      </c>
      <c r="Y1860" s="985"/>
      <c r="Z1860" s="922"/>
      <c r="AA1860" s="1067"/>
      <c r="AB1860" s="922"/>
      <c r="AC1860" s="922"/>
      <c r="AD1860" s="922"/>
      <c r="AE1860" s="922"/>
      <c r="AF1860" s="1046"/>
      <c r="AG1860" s="906" t="str">
        <f>IF(AE1860&lt;&gt;0,VLOOKUP(AE1860,ODDS!$A$2:$C$13,3,0),"")</f>
        <v/>
      </c>
      <c r="AH1860" s="906" t="str">
        <f t="shared" si="405"/>
        <v xml:space="preserve"> </v>
      </c>
      <c r="AI1860" s="907" t="str">
        <f t="shared" si="401"/>
        <v xml:space="preserve"> </v>
      </c>
      <c r="AJ1860" s="908"/>
      <c r="AK1860" s="908"/>
    </row>
    <row r="1861" spans="1:37" s="394" customFormat="1" ht="22.5" outlineLevel="2" x14ac:dyDescent="0.3">
      <c r="A1861" s="447">
        <f t="shared" si="416"/>
        <v>157</v>
      </c>
      <c r="B1861" s="893"/>
      <c r="C1861" s="908"/>
      <c r="D1861" s="1032"/>
      <c r="E1861" s="947"/>
      <c r="F1861" s="947"/>
      <c r="G1861" s="922"/>
      <c r="H1861" s="1041"/>
      <c r="I1861" s="882"/>
      <c r="J1861" s="894"/>
      <c r="K1861" s="899" t="str">
        <f>IF(G1861&lt;&gt;0,VLOOKUP(G1861,'gia dat'!$A$1:$F$144,5,0)," ")</f>
        <v xml:space="preserve"> </v>
      </c>
      <c r="L1861" s="899" t="str">
        <f>IF(G1861&lt;&gt;0,VLOOKUP(G1861,'gia dat'!$A$1:$F$144,6,0)," ")</f>
        <v xml:space="preserve"> </v>
      </c>
      <c r="M1861" s="900" t="str">
        <f t="shared" si="407"/>
        <v xml:space="preserve"> </v>
      </c>
      <c r="N1861" s="900" t="str">
        <f t="shared" si="408"/>
        <v xml:space="preserve"> </v>
      </c>
      <c r="O1861" s="908"/>
      <c r="P1861" s="1065"/>
      <c r="Q1861" s="900" t="str">
        <f>IF(O1861&lt;&gt;0,VLOOKUP(O1861,'Cây trong'!$A$2:$C$246,3,0)," ")</f>
        <v xml:space="preserve"> </v>
      </c>
      <c r="R1861" s="900" t="str">
        <f t="shared" si="404"/>
        <v xml:space="preserve"> </v>
      </c>
      <c r="S1861" s="908"/>
      <c r="T1861" s="944"/>
      <c r="U1861" s="1066"/>
      <c r="V1861" s="922"/>
      <c r="W1861" s="900" t="str">
        <f>IF(S1861&lt;&gt;0,VLOOKUP(S1861,VKT!$A$2:$G$415,7,0),"")</f>
        <v/>
      </c>
      <c r="X1861" s="900" t="str">
        <f t="shared" si="411"/>
        <v xml:space="preserve"> </v>
      </c>
      <c r="Y1861" s="985"/>
      <c r="Z1861" s="922"/>
      <c r="AA1861" s="1067"/>
      <c r="AB1861" s="922"/>
      <c r="AC1861" s="922"/>
      <c r="AD1861" s="922"/>
      <c r="AE1861" s="922"/>
      <c r="AF1861" s="1046"/>
      <c r="AG1861" s="906" t="str">
        <f>IF(AE1861&lt;&gt;0,VLOOKUP(AE1861,ODDS!$A$2:$C$13,3,0),"")</f>
        <v/>
      </c>
      <c r="AH1861" s="906" t="str">
        <f t="shared" si="405"/>
        <v xml:space="preserve"> </v>
      </c>
      <c r="AI1861" s="907" t="str">
        <f t="shared" si="401"/>
        <v xml:space="preserve"> </v>
      </c>
      <c r="AJ1861" s="894"/>
      <c r="AK1861" s="894"/>
    </row>
    <row r="1862" spans="1:37" s="394" customFormat="1" ht="22.5" outlineLevel="2" x14ac:dyDescent="0.3">
      <c r="A1862" s="447">
        <f t="shared" si="416"/>
        <v>157</v>
      </c>
      <c r="B1862" s="893"/>
      <c r="C1862" s="908"/>
      <c r="D1862" s="1032"/>
      <c r="E1862" s="947"/>
      <c r="F1862" s="947"/>
      <c r="G1862" s="922"/>
      <c r="H1862" s="1041"/>
      <c r="I1862" s="882"/>
      <c r="J1862" s="894"/>
      <c r="K1862" s="899" t="str">
        <f>IF(G1862&lt;&gt;0,VLOOKUP(G1862,'gia dat'!$A$1:$F$144,5,0)," ")</f>
        <v xml:space="preserve"> </v>
      </c>
      <c r="L1862" s="899" t="str">
        <f>IF(G1862&lt;&gt;0,VLOOKUP(G1862,'gia dat'!$A$1:$F$144,6,0)," ")</f>
        <v xml:space="preserve"> </v>
      </c>
      <c r="M1862" s="900" t="str">
        <f t="shared" si="407"/>
        <v xml:space="preserve"> </v>
      </c>
      <c r="N1862" s="900" t="str">
        <f t="shared" si="408"/>
        <v xml:space="preserve"> </v>
      </c>
      <c r="O1862" s="908"/>
      <c r="P1862" s="1065"/>
      <c r="Q1862" s="900" t="str">
        <f>IF(O1862&lt;&gt;0,VLOOKUP(O1862,'Cây trong'!$A$2:$C$246,3,0)," ")</f>
        <v xml:space="preserve"> </v>
      </c>
      <c r="R1862" s="900" t="str">
        <f t="shared" si="404"/>
        <v xml:space="preserve"> </v>
      </c>
      <c r="S1862" s="908"/>
      <c r="T1862" s="944"/>
      <c r="U1862" s="1066"/>
      <c r="V1862" s="922"/>
      <c r="W1862" s="900" t="str">
        <f>IF(S1862&lt;&gt;0,VLOOKUP(S1862,VKT!$A$2:$G$415,7,0),"")</f>
        <v/>
      </c>
      <c r="X1862" s="900" t="str">
        <f t="shared" si="411"/>
        <v xml:space="preserve"> </v>
      </c>
      <c r="Y1862" s="985"/>
      <c r="Z1862" s="922"/>
      <c r="AA1862" s="1067"/>
      <c r="AB1862" s="922"/>
      <c r="AC1862" s="922"/>
      <c r="AD1862" s="922"/>
      <c r="AE1862" s="922"/>
      <c r="AF1862" s="1046"/>
      <c r="AG1862" s="906" t="str">
        <f>IF(AE1862&lt;&gt;0,VLOOKUP(AE1862,ODDS!$A$2:$C$13,3,0),"")</f>
        <v/>
      </c>
      <c r="AH1862" s="906" t="str">
        <f t="shared" si="405"/>
        <v xml:space="preserve"> </v>
      </c>
      <c r="AI1862" s="907" t="str">
        <f t="shared" si="401"/>
        <v xml:space="preserve"> </v>
      </c>
      <c r="AJ1862" s="894"/>
      <c r="AK1862" s="894"/>
    </row>
    <row r="1863" spans="1:37" s="394" customFormat="1" ht="22.5" outlineLevel="2" x14ac:dyDescent="0.3">
      <c r="A1863" s="447">
        <f t="shared" si="416"/>
        <v>157</v>
      </c>
      <c r="B1863" s="893"/>
      <c r="C1863" s="908"/>
      <c r="D1863" s="1032"/>
      <c r="E1863" s="947"/>
      <c r="F1863" s="947"/>
      <c r="G1863" s="922"/>
      <c r="H1863" s="1041"/>
      <c r="I1863" s="882"/>
      <c r="J1863" s="894"/>
      <c r="K1863" s="899" t="str">
        <f>IF(G1863&lt;&gt;0,VLOOKUP(G1863,'gia dat'!$A$1:$F$144,5,0)," ")</f>
        <v xml:space="preserve"> </v>
      </c>
      <c r="L1863" s="899" t="str">
        <f>IF(G1863&lt;&gt;0,VLOOKUP(G1863,'gia dat'!$A$1:$F$144,6,0)," ")</f>
        <v xml:space="preserve"> </v>
      </c>
      <c r="M1863" s="900" t="str">
        <f t="shared" si="407"/>
        <v xml:space="preserve"> </v>
      </c>
      <c r="N1863" s="900" t="str">
        <f t="shared" si="408"/>
        <v xml:space="preserve"> </v>
      </c>
      <c r="O1863" s="908"/>
      <c r="P1863" s="1065"/>
      <c r="Q1863" s="900" t="str">
        <f>IF(O1863&lt;&gt;0,VLOOKUP(O1863,'Cây trong'!$A$2:$C$246,3,0)," ")</f>
        <v xml:space="preserve"> </v>
      </c>
      <c r="R1863" s="900" t="str">
        <f t="shared" si="404"/>
        <v xml:space="preserve"> </v>
      </c>
      <c r="S1863" s="908"/>
      <c r="T1863" s="944"/>
      <c r="U1863" s="1066"/>
      <c r="V1863" s="922"/>
      <c r="W1863" s="900" t="str">
        <f>IF(S1863&lt;&gt;0,VLOOKUP(S1863,VKT!$A$2:$G$415,7,0),"")</f>
        <v/>
      </c>
      <c r="X1863" s="900" t="str">
        <f t="shared" si="411"/>
        <v xml:space="preserve"> </v>
      </c>
      <c r="Y1863" s="985"/>
      <c r="Z1863" s="922"/>
      <c r="AA1863" s="1067"/>
      <c r="AB1863" s="922"/>
      <c r="AC1863" s="922"/>
      <c r="AD1863" s="922"/>
      <c r="AE1863" s="922"/>
      <c r="AF1863" s="1046"/>
      <c r="AG1863" s="906" t="str">
        <f>IF(AE1863&lt;&gt;0,VLOOKUP(AE1863,ODDS!$A$2:$C$13,3,0),"")</f>
        <v/>
      </c>
      <c r="AH1863" s="906" t="str">
        <f t="shared" si="405"/>
        <v xml:space="preserve"> </v>
      </c>
      <c r="AI1863" s="907" t="str">
        <f t="shared" si="401"/>
        <v xml:space="preserve"> </v>
      </c>
      <c r="AJ1863" s="894"/>
      <c r="AK1863" s="894"/>
    </row>
    <row r="1864" spans="1:37" s="394" customFormat="1" ht="22.5" outlineLevel="2" x14ac:dyDescent="0.3">
      <c r="A1864" s="447">
        <f t="shared" si="416"/>
        <v>157</v>
      </c>
      <c r="B1864" s="893"/>
      <c r="C1864" s="908"/>
      <c r="D1864" s="1032"/>
      <c r="E1864" s="947"/>
      <c r="F1864" s="947"/>
      <c r="G1864" s="922"/>
      <c r="H1864" s="1041"/>
      <c r="I1864" s="882"/>
      <c r="J1864" s="894"/>
      <c r="K1864" s="899" t="str">
        <f>IF(G1864&lt;&gt;0,VLOOKUP(G1864,'gia dat'!$A$1:$F$144,5,0)," ")</f>
        <v xml:space="preserve"> </v>
      </c>
      <c r="L1864" s="899" t="str">
        <f>IF(G1864&lt;&gt;0,VLOOKUP(G1864,'gia dat'!$A$1:$F$144,6,0)," ")</f>
        <v xml:space="preserve"> </v>
      </c>
      <c r="M1864" s="900" t="str">
        <f t="shared" si="407"/>
        <v xml:space="preserve"> </v>
      </c>
      <c r="N1864" s="900" t="str">
        <f t="shared" si="408"/>
        <v xml:space="preserve"> </v>
      </c>
      <c r="O1864" s="908"/>
      <c r="P1864" s="1065"/>
      <c r="Q1864" s="900" t="str">
        <f>IF(O1864&lt;&gt;0,VLOOKUP(O1864,'Cây trong'!$A$2:$C$246,3,0)," ")</f>
        <v xml:space="preserve"> </v>
      </c>
      <c r="R1864" s="900" t="str">
        <f t="shared" si="404"/>
        <v xml:space="preserve"> </v>
      </c>
      <c r="S1864" s="908"/>
      <c r="T1864" s="944"/>
      <c r="U1864" s="1066"/>
      <c r="V1864" s="922"/>
      <c r="W1864" s="900" t="str">
        <f>IF(S1864&lt;&gt;0,VLOOKUP(S1864,VKT!$A$2:$G$415,7,0),"")</f>
        <v/>
      </c>
      <c r="X1864" s="900" t="str">
        <f t="shared" si="411"/>
        <v xml:space="preserve"> </v>
      </c>
      <c r="Y1864" s="985"/>
      <c r="Z1864" s="922"/>
      <c r="AA1864" s="1067"/>
      <c r="AB1864" s="922"/>
      <c r="AC1864" s="922"/>
      <c r="AD1864" s="922"/>
      <c r="AE1864" s="922"/>
      <c r="AF1864" s="1046"/>
      <c r="AG1864" s="906" t="str">
        <f>IF(AE1864&lt;&gt;0,VLOOKUP(AE1864,ODDS!$A$2:$C$13,3,0),"")</f>
        <v/>
      </c>
      <c r="AH1864" s="906" t="str">
        <f t="shared" si="405"/>
        <v xml:space="preserve"> </v>
      </c>
      <c r="AI1864" s="907" t="str">
        <f t="shared" si="401"/>
        <v xml:space="preserve"> </v>
      </c>
      <c r="AJ1864" s="894"/>
      <c r="AK1864" s="894"/>
    </row>
    <row r="1865" spans="1:37" s="394" customFormat="1" ht="22.5" outlineLevel="2" x14ac:dyDescent="0.3">
      <c r="A1865" s="447">
        <f t="shared" si="416"/>
        <v>157</v>
      </c>
      <c r="B1865" s="893"/>
      <c r="C1865" s="942"/>
      <c r="D1865" s="1032"/>
      <c r="E1865" s="947"/>
      <c r="F1865" s="947"/>
      <c r="G1865" s="922"/>
      <c r="H1865" s="1041"/>
      <c r="I1865" s="882"/>
      <c r="J1865" s="894"/>
      <c r="K1865" s="899" t="str">
        <f>IF(G1865&lt;&gt;0,VLOOKUP(G1865,'gia dat'!$A$1:$F$144,5,0)," ")</f>
        <v xml:space="preserve"> </v>
      </c>
      <c r="L1865" s="899" t="str">
        <f>IF(G1865&lt;&gt;0,VLOOKUP(G1865,'gia dat'!$A$1:$F$144,6,0)," ")</f>
        <v xml:space="preserve"> </v>
      </c>
      <c r="M1865" s="900" t="str">
        <f t="shared" si="407"/>
        <v xml:space="preserve"> </v>
      </c>
      <c r="N1865" s="900" t="str">
        <f t="shared" si="408"/>
        <v xml:space="preserve"> </v>
      </c>
      <c r="O1865" s="908"/>
      <c r="P1865" s="1065"/>
      <c r="Q1865" s="900" t="str">
        <f>IF(O1865&lt;&gt;0,VLOOKUP(O1865,'Cây trong'!$A$2:$C$246,3,0)," ")</f>
        <v xml:space="preserve"> </v>
      </c>
      <c r="R1865" s="900" t="str">
        <f t="shared" si="404"/>
        <v xml:space="preserve"> </v>
      </c>
      <c r="S1865" s="908"/>
      <c r="T1865" s="944"/>
      <c r="U1865" s="1066"/>
      <c r="V1865" s="922"/>
      <c r="W1865" s="900" t="str">
        <f>IF(S1865&lt;&gt;0,VLOOKUP(S1865,VKT!$A$2:$G$415,7,0),"")</f>
        <v/>
      </c>
      <c r="X1865" s="900" t="str">
        <f t="shared" si="411"/>
        <v xml:space="preserve"> </v>
      </c>
      <c r="Y1865" s="985"/>
      <c r="Z1865" s="922"/>
      <c r="AA1865" s="1067"/>
      <c r="AB1865" s="922"/>
      <c r="AC1865" s="922"/>
      <c r="AD1865" s="922"/>
      <c r="AE1865" s="922"/>
      <c r="AF1865" s="1046"/>
      <c r="AG1865" s="906" t="str">
        <f>IF(AE1865&lt;&gt;0,VLOOKUP(AE1865,ODDS!$A$2:$C$13,3,0),"")</f>
        <v/>
      </c>
      <c r="AH1865" s="906" t="str">
        <f t="shared" si="405"/>
        <v xml:space="preserve"> </v>
      </c>
      <c r="AI1865" s="907" t="str">
        <f t="shared" ref="AI1865:AI1928" si="417">IF(B1865&lt;&gt;0,M1865+N1865+R1865+X1865+AH1865," ")</f>
        <v xml:space="preserve"> </v>
      </c>
      <c r="AJ1865" s="922"/>
      <c r="AK1865" s="922"/>
    </row>
    <row r="1866" spans="1:37" s="394" customFormat="1" ht="43.5" outlineLevel="1" x14ac:dyDescent="0.25">
      <c r="A1866" s="467" t="s">
        <v>2552</v>
      </c>
      <c r="B1866" s="912">
        <v>158</v>
      </c>
      <c r="C1866" s="942" t="s">
        <v>1316</v>
      </c>
      <c r="D1866" s="1038"/>
      <c r="E1866" s="977"/>
      <c r="F1866" s="977"/>
      <c r="G1866" s="914"/>
      <c r="H1866" s="1039">
        <f>SUBTOTAL(9,H1867:H1873)</f>
        <v>2166.5</v>
      </c>
      <c r="I1866" s="915">
        <f>SUBTOTAL(9,I1867:I1872)</f>
        <v>0</v>
      </c>
      <c r="J1866" s="916"/>
      <c r="K1866" s="917"/>
      <c r="L1866" s="917"/>
      <c r="M1866" s="907">
        <f>SUBTOTAL(9,M1867:M1873)</f>
        <v>1151566000</v>
      </c>
      <c r="N1866" s="907">
        <f>SUBTOTAL(9,N1867:N1873)</f>
        <v>0</v>
      </c>
      <c r="O1866" s="942"/>
      <c r="P1866" s="1063">
        <f>SUBTOTAL(9,P1867:P1873)</f>
        <v>1785</v>
      </c>
      <c r="Q1866" s="907"/>
      <c r="R1866" s="907">
        <f>SUBTOTAL(9,R1867:R1873)</f>
        <v>23436000</v>
      </c>
      <c r="S1866" s="918"/>
      <c r="T1866" s="956"/>
      <c r="U1866" s="1064">
        <f>SUBTOTAL(9,U1867:U1873)</f>
        <v>0</v>
      </c>
      <c r="V1866" s="914"/>
      <c r="W1866" s="907"/>
      <c r="X1866" s="907">
        <f>SUBTOTAL(9,X1867:X1873)</f>
        <v>0</v>
      </c>
      <c r="Y1866" s="985"/>
      <c r="Z1866" s="922"/>
      <c r="AA1866" s="1067"/>
      <c r="AB1866" s="922"/>
      <c r="AC1866" s="922"/>
      <c r="AD1866" s="922"/>
      <c r="AE1866" s="914"/>
      <c r="AF1866" s="1044">
        <f>SUBTOTAL(9,AF1867:AF1873)</f>
        <v>0</v>
      </c>
      <c r="AG1866" s="921"/>
      <c r="AH1866" s="921">
        <f>SUBTOTAL(9,AH1867:AH1873)</f>
        <v>0</v>
      </c>
      <c r="AI1866" s="907">
        <f t="shared" si="417"/>
        <v>1175002000</v>
      </c>
      <c r="AJ1866" s="914"/>
      <c r="AK1866" s="914"/>
    </row>
    <row r="1867" spans="1:37" s="394" customFormat="1" ht="157.5" outlineLevel="2" x14ac:dyDescent="0.3">
      <c r="A1867" s="447">
        <f>IF(B1866&lt;&gt;0,B1866,A1865)</f>
        <v>158</v>
      </c>
      <c r="B1867" s="893"/>
      <c r="C1867" s="908" t="s">
        <v>1319</v>
      </c>
      <c r="D1867" s="1032">
        <v>1</v>
      </c>
      <c r="E1867" s="947">
        <v>86</v>
      </c>
      <c r="F1867" s="947">
        <v>50</v>
      </c>
      <c r="G1867" s="922" t="s">
        <v>2423</v>
      </c>
      <c r="H1867" s="1041">
        <v>499</v>
      </c>
      <c r="I1867" s="882" t="str">
        <f t="shared" ref="I1867:I1869" si="418">IF(N1867&gt;0,H1867,"")</f>
        <v/>
      </c>
      <c r="J1867" s="898"/>
      <c r="K1867" s="899">
        <f>IF(G1867&lt;&gt;0,VLOOKUP(G1867,'gia dat'!$A$1:$F$144,5,0)," ")</f>
        <v>465600</v>
      </c>
      <c r="L1867" s="899">
        <f>IF(G1867&lt;&gt;0,VLOOKUP(G1867,'gia dat'!$A$1:$F$144,6,0)," ")</f>
        <v>0</v>
      </c>
      <c r="M1867" s="900">
        <f t="shared" si="407"/>
        <v>232334000</v>
      </c>
      <c r="N1867" s="900">
        <f t="shared" si="408"/>
        <v>0</v>
      </c>
      <c r="O1867" s="908" t="s">
        <v>347</v>
      </c>
      <c r="P1867" s="1065">
        <v>1757</v>
      </c>
      <c r="Q1867" s="900">
        <f>IF(O1867&lt;&gt;0,VLOOKUP(O1867,'Cây trong'!$A$2:$C$246,3,0)," ")</f>
        <v>12000</v>
      </c>
      <c r="R1867" s="900">
        <f t="shared" si="404"/>
        <v>21084000</v>
      </c>
      <c r="S1867" s="902"/>
      <c r="T1867" s="944"/>
      <c r="U1867" s="1066"/>
      <c r="V1867" s="922"/>
      <c r="W1867" s="900" t="str">
        <f>IF(S1867&lt;&gt;0,VLOOKUP(S1867,VKT!$A$2:$G$415,7,0),"")</f>
        <v/>
      </c>
      <c r="X1867" s="900" t="str">
        <f t="shared" si="411"/>
        <v xml:space="preserve"> </v>
      </c>
      <c r="Y1867" s="985"/>
      <c r="Z1867" s="922"/>
      <c r="AA1867" s="1067"/>
      <c r="AB1867" s="922"/>
      <c r="AC1867" s="922"/>
      <c r="AD1867" s="922"/>
      <c r="AE1867" s="922"/>
      <c r="AF1867" s="1046"/>
      <c r="AG1867" s="906" t="str">
        <f>IF(AE1867&lt;&gt;0,VLOOKUP(AE1867,ODDS!$A$2:$C$13,3,0),"")</f>
        <v/>
      </c>
      <c r="AH1867" s="906"/>
      <c r="AI1867" s="907" t="str">
        <f t="shared" si="417"/>
        <v xml:space="preserve"> </v>
      </c>
      <c r="AJ1867" s="922" t="s">
        <v>1318</v>
      </c>
      <c r="AK1867" s="922" t="s">
        <v>2771</v>
      </c>
    </row>
    <row r="1868" spans="1:37" s="394" customFormat="1" ht="135" outlineLevel="2" x14ac:dyDescent="0.3">
      <c r="A1868" s="447">
        <f t="shared" ref="A1868:A1873" si="419">IF(B1867&lt;&gt;0,B1867,A1867)</f>
        <v>158</v>
      </c>
      <c r="B1868" s="893"/>
      <c r="C1868" s="908" t="s">
        <v>1616</v>
      </c>
      <c r="D1868" s="1032"/>
      <c r="E1868" s="947">
        <v>86</v>
      </c>
      <c r="F1868" s="947">
        <v>50</v>
      </c>
      <c r="G1868" s="922" t="s">
        <v>2424</v>
      </c>
      <c r="H1868" s="1041">
        <v>1608.6</v>
      </c>
      <c r="I1868" s="882" t="str">
        <f t="shared" si="418"/>
        <v/>
      </c>
      <c r="J1868" s="898"/>
      <c r="K1868" s="899">
        <f>IF(G1868&lt;&gt;0,VLOOKUP(G1868,'gia dat'!$A$1:$F$144,5,0)," ")</f>
        <v>554400</v>
      </c>
      <c r="L1868" s="899">
        <f>IF(G1868&lt;&gt;0,VLOOKUP(G1868,'gia dat'!$A$1:$F$144,6,0)," ")</f>
        <v>0</v>
      </c>
      <c r="M1868" s="900">
        <f t="shared" si="407"/>
        <v>891808000</v>
      </c>
      <c r="N1868" s="900">
        <f t="shared" si="408"/>
        <v>0</v>
      </c>
      <c r="O1868" s="908" t="s">
        <v>932</v>
      </c>
      <c r="P1868" s="1065">
        <v>28</v>
      </c>
      <c r="Q1868" s="900">
        <f>IF(O1868&lt;&gt;0,VLOOKUP(O1868,'Cây trong'!$A$2:$C$246,3,0)," ")</f>
        <v>84000</v>
      </c>
      <c r="R1868" s="900">
        <f t="shared" si="404"/>
        <v>2352000</v>
      </c>
      <c r="S1868" s="902"/>
      <c r="T1868" s="944"/>
      <c r="U1868" s="1066"/>
      <c r="V1868" s="922"/>
      <c r="W1868" s="900" t="str">
        <f>IF(S1868&lt;&gt;0,VLOOKUP(S1868,VKT!$A$2:$G$415,7,0),"")</f>
        <v/>
      </c>
      <c r="X1868" s="900" t="str">
        <f t="shared" si="411"/>
        <v xml:space="preserve"> </v>
      </c>
      <c r="Y1868" s="985"/>
      <c r="Z1868" s="922"/>
      <c r="AA1868" s="1067"/>
      <c r="AB1868" s="922"/>
      <c r="AC1868" s="922"/>
      <c r="AD1868" s="922"/>
      <c r="AE1868" s="922"/>
      <c r="AF1868" s="1046"/>
      <c r="AG1868" s="906" t="str">
        <f>IF(AE1868&lt;&gt;0,VLOOKUP(AE1868,ODDS!$A$2:$C$13,3,0),"")</f>
        <v/>
      </c>
      <c r="AH1868" s="906" t="str">
        <f t="shared" si="405"/>
        <v xml:space="preserve"> </v>
      </c>
      <c r="AI1868" s="907" t="str">
        <f t="shared" si="417"/>
        <v xml:space="preserve"> </v>
      </c>
      <c r="AJ1868" s="922" t="s">
        <v>2073</v>
      </c>
      <c r="AK1868" s="894" t="s">
        <v>2449</v>
      </c>
    </row>
    <row r="1869" spans="1:37" s="394" customFormat="1" ht="112.5" outlineLevel="2" x14ac:dyDescent="0.3">
      <c r="A1869" s="447">
        <f t="shared" si="419"/>
        <v>158</v>
      </c>
      <c r="B1869" s="893"/>
      <c r="C1869" s="908"/>
      <c r="D1869" s="1032"/>
      <c r="E1869" s="947">
        <v>86</v>
      </c>
      <c r="F1869" s="947" t="s">
        <v>1321</v>
      </c>
      <c r="G1869" s="922" t="s">
        <v>2425</v>
      </c>
      <c r="H1869" s="1041">
        <v>58.9</v>
      </c>
      <c r="I1869" s="882" t="str">
        <f t="shared" si="418"/>
        <v/>
      </c>
      <c r="J1869" s="898"/>
      <c r="K1869" s="899">
        <f>IF(G1869&lt;&gt;0,VLOOKUP(G1869,'gia dat'!$A$1:$F$144,5,0)," ")</f>
        <v>465600</v>
      </c>
      <c r="L1869" s="899">
        <f>IF(G1869&lt;&gt;0,VLOOKUP(G1869,'gia dat'!$A$1:$F$144,6,0)," ")</f>
        <v>0</v>
      </c>
      <c r="M1869" s="900">
        <f t="shared" si="407"/>
        <v>27424000</v>
      </c>
      <c r="N1869" s="900">
        <f t="shared" si="408"/>
        <v>0</v>
      </c>
      <c r="O1869" s="908"/>
      <c r="P1869" s="1065"/>
      <c r="Q1869" s="900" t="str">
        <f>IF(O1869&lt;&gt;0,VLOOKUP(O1869,'Cây trong'!$A$2:$C$246,3,0)," ")</f>
        <v xml:space="preserve"> </v>
      </c>
      <c r="R1869" s="900" t="str">
        <f t="shared" si="404"/>
        <v xml:space="preserve"> </v>
      </c>
      <c r="S1869" s="902"/>
      <c r="T1869" s="944"/>
      <c r="U1869" s="1066"/>
      <c r="V1869" s="922"/>
      <c r="W1869" s="900" t="str">
        <f>IF(S1869&lt;&gt;0,VLOOKUP(S1869,VKT!$A$2:$G$415,7,0),"")</f>
        <v/>
      </c>
      <c r="X1869" s="900" t="str">
        <f t="shared" si="411"/>
        <v xml:space="preserve"> </v>
      </c>
      <c r="Y1869" s="985"/>
      <c r="Z1869" s="922"/>
      <c r="AA1869" s="1067"/>
      <c r="AB1869" s="922"/>
      <c r="AC1869" s="922"/>
      <c r="AD1869" s="922"/>
      <c r="AE1869" s="922"/>
      <c r="AF1869" s="1046"/>
      <c r="AG1869" s="906" t="str">
        <f>IF(AE1869&lt;&gt;0,VLOOKUP(AE1869,ODDS!$A$2:$C$13,3,0),"")</f>
        <v/>
      </c>
      <c r="AH1869" s="906" t="str">
        <f t="shared" si="405"/>
        <v xml:space="preserve"> </v>
      </c>
      <c r="AI1869" s="907" t="str">
        <f t="shared" si="417"/>
        <v xml:space="preserve"> </v>
      </c>
      <c r="AJ1869" s="922" t="s">
        <v>1726</v>
      </c>
      <c r="AK1869" s="922"/>
    </row>
    <row r="1870" spans="1:37" s="394" customFormat="1" ht="22.5" outlineLevel="2" x14ac:dyDescent="0.3">
      <c r="A1870" s="447">
        <f t="shared" si="419"/>
        <v>158</v>
      </c>
      <c r="B1870" s="893"/>
      <c r="C1870" s="908"/>
      <c r="D1870" s="1032"/>
      <c r="E1870" s="947"/>
      <c r="F1870" s="947"/>
      <c r="G1870" s="922"/>
      <c r="H1870" s="1041"/>
      <c r="I1870" s="882"/>
      <c r="J1870" s="898"/>
      <c r="K1870" s="899" t="str">
        <f>IF(G1870&lt;&gt;0,VLOOKUP(G1870,'gia dat'!$A$1:$F$144,5,0)," ")</f>
        <v xml:space="preserve"> </v>
      </c>
      <c r="L1870" s="899" t="str">
        <f>IF(G1870&lt;&gt;0,VLOOKUP(G1870,'gia dat'!$A$1:$F$144,6,0)," ")</f>
        <v xml:space="preserve"> </v>
      </c>
      <c r="M1870" s="900" t="str">
        <f t="shared" si="407"/>
        <v xml:space="preserve"> </v>
      </c>
      <c r="N1870" s="900" t="str">
        <f t="shared" si="408"/>
        <v xml:space="preserve"> </v>
      </c>
      <c r="O1870" s="908"/>
      <c r="P1870" s="1065"/>
      <c r="Q1870" s="900" t="str">
        <f>IF(O1870&lt;&gt;0,VLOOKUP(O1870,'Cây trong'!$A$2:$C$246,3,0)," ")</f>
        <v xml:space="preserve"> </v>
      </c>
      <c r="R1870" s="900" t="str">
        <f t="shared" si="404"/>
        <v xml:space="preserve"> </v>
      </c>
      <c r="S1870" s="902"/>
      <c r="T1870" s="944"/>
      <c r="U1870" s="1066"/>
      <c r="V1870" s="922"/>
      <c r="W1870" s="900" t="str">
        <f>IF(S1870&lt;&gt;0,VLOOKUP(S1870,VKT!$A$2:$G$415,7,0),"")</f>
        <v/>
      </c>
      <c r="X1870" s="900" t="str">
        <f t="shared" si="411"/>
        <v xml:space="preserve"> </v>
      </c>
      <c r="Y1870" s="985"/>
      <c r="Z1870" s="922"/>
      <c r="AA1870" s="1067"/>
      <c r="AB1870" s="922"/>
      <c r="AC1870" s="922"/>
      <c r="AD1870" s="922"/>
      <c r="AE1870" s="922"/>
      <c r="AF1870" s="1046"/>
      <c r="AG1870" s="906" t="str">
        <f>IF(AE1870&lt;&gt;0,VLOOKUP(AE1870,ODDS!$A$2:$C$13,3,0),"")</f>
        <v/>
      </c>
      <c r="AH1870" s="906" t="str">
        <f t="shared" si="405"/>
        <v xml:space="preserve"> </v>
      </c>
      <c r="AI1870" s="907" t="str">
        <f t="shared" si="417"/>
        <v xml:space="preserve"> </v>
      </c>
      <c r="AJ1870" s="922"/>
      <c r="AK1870" s="922"/>
    </row>
    <row r="1871" spans="1:37" s="394" customFormat="1" ht="22.5" outlineLevel="2" x14ac:dyDescent="0.3">
      <c r="A1871" s="447">
        <f t="shared" si="419"/>
        <v>158</v>
      </c>
      <c r="B1871" s="893"/>
      <c r="C1871" s="908"/>
      <c r="D1871" s="1032"/>
      <c r="E1871" s="947"/>
      <c r="F1871" s="947"/>
      <c r="G1871" s="922"/>
      <c r="H1871" s="1041"/>
      <c r="I1871" s="882"/>
      <c r="J1871" s="898"/>
      <c r="K1871" s="899" t="str">
        <f>IF(G1871&lt;&gt;0,VLOOKUP(G1871,'gia dat'!$A$1:$F$144,5,0)," ")</f>
        <v xml:space="preserve"> </v>
      </c>
      <c r="L1871" s="899" t="str">
        <f>IF(G1871&lt;&gt;0,VLOOKUP(G1871,'gia dat'!$A$1:$F$144,6,0)," ")</f>
        <v xml:space="preserve"> </v>
      </c>
      <c r="M1871" s="900" t="str">
        <f t="shared" si="407"/>
        <v xml:space="preserve"> </v>
      </c>
      <c r="N1871" s="900" t="str">
        <f t="shared" si="408"/>
        <v xml:space="preserve"> </v>
      </c>
      <c r="O1871" s="908"/>
      <c r="P1871" s="1065"/>
      <c r="Q1871" s="900" t="str">
        <f>IF(O1871&lt;&gt;0,VLOOKUP(O1871,'Cây trong'!$A$2:$C$246,3,0)," ")</f>
        <v xml:space="preserve"> </v>
      </c>
      <c r="R1871" s="900" t="str">
        <f t="shared" si="404"/>
        <v xml:space="preserve"> </v>
      </c>
      <c r="S1871" s="902"/>
      <c r="T1871" s="944"/>
      <c r="U1871" s="1066"/>
      <c r="V1871" s="922"/>
      <c r="W1871" s="900" t="str">
        <f>IF(S1871&lt;&gt;0,VLOOKUP(S1871,VKT!$A$2:$G$415,7,0),"")</f>
        <v/>
      </c>
      <c r="X1871" s="900" t="str">
        <f t="shared" si="411"/>
        <v xml:space="preserve"> </v>
      </c>
      <c r="Y1871" s="985"/>
      <c r="Z1871" s="922"/>
      <c r="AA1871" s="1067"/>
      <c r="AB1871" s="922"/>
      <c r="AC1871" s="922"/>
      <c r="AD1871" s="922"/>
      <c r="AE1871" s="922"/>
      <c r="AF1871" s="1046"/>
      <c r="AG1871" s="906" t="str">
        <f>IF(AE1871&lt;&gt;0,VLOOKUP(AE1871,ODDS!$A$2:$C$13,3,0),"")</f>
        <v/>
      </c>
      <c r="AH1871" s="906" t="str">
        <f t="shared" si="405"/>
        <v xml:space="preserve"> </v>
      </c>
      <c r="AI1871" s="907" t="str">
        <f t="shared" si="417"/>
        <v xml:space="preserve"> </v>
      </c>
      <c r="AJ1871" s="922"/>
      <c r="AK1871" s="922"/>
    </row>
    <row r="1872" spans="1:37" s="394" customFormat="1" ht="22.5" outlineLevel="2" x14ac:dyDescent="0.3">
      <c r="A1872" s="447">
        <f t="shared" si="419"/>
        <v>158</v>
      </c>
      <c r="B1872" s="893"/>
      <c r="C1872" s="908"/>
      <c r="D1872" s="1032"/>
      <c r="E1872" s="947"/>
      <c r="F1872" s="947"/>
      <c r="G1872" s="922"/>
      <c r="H1872" s="1041"/>
      <c r="I1872" s="882"/>
      <c r="J1872" s="898"/>
      <c r="K1872" s="899" t="str">
        <f>IF(G1872&lt;&gt;0,VLOOKUP(G1872,'gia dat'!$A$1:$F$144,5,0)," ")</f>
        <v xml:space="preserve"> </v>
      </c>
      <c r="L1872" s="899" t="str">
        <f>IF(G1872&lt;&gt;0,VLOOKUP(G1872,'gia dat'!$A$1:$F$144,6,0)," ")</f>
        <v xml:space="preserve"> </v>
      </c>
      <c r="M1872" s="900" t="str">
        <f t="shared" si="407"/>
        <v xml:space="preserve"> </v>
      </c>
      <c r="N1872" s="900" t="str">
        <f t="shared" si="408"/>
        <v xml:space="preserve"> </v>
      </c>
      <c r="O1872" s="908"/>
      <c r="P1872" s="1065"/>
      <c r="Q1872" s="900" t="str">
        <f>IF(O1872&lt;&gt;0,VLOOKUP(O1872,'Cây trong'!$A$2:$C$246,3,0)," ")</f>
        <v xml:space="preserve"> </v>
      </c>
      <c r="R1872" s="900" t="str">
        <f t="shared" si="404"/>
        <v xml:space="preserve"> </v>
      </c>
      <c r="S1872" s="902"/>
      <c r="T1872" s="944"/>
      <c r="U1872" s="1066"/>
      <c r="V1872" s="922"/>
      <c r="W1872" s="900" t="str">
        <f>IF(S1872&lt;&gt;0,VLOOKUP(S1872,VKT!$A$2:$G$415,7,0),"")</f>
        <v/>
      </c>
      <c r="X1872" s="900" t="str">
        <f t="shared" si="411"/>
        <v xml:space="preserve"> </v>
      </c>
      <c r="Y1872" s="985"/>
      <c r="Z1872" s="922"/>
      <c r="AA1872" s="1067"/>
      <c r="AB1872" s="922"/>
      <c r="AC1872" s="922"/>
      <c r="AD1872" s="922"/>
      <c r="AE1872" s="922"/>
      <c r="AF1872" s="1046"/>
      <c r="AG1872" s="906" t="str">
        <f>IF(AE1872&lt;&gt;0,VLOOKUP(AE1872,ODDS!$A$2:$C$13,3,0),"")</f>
        <v/>
      </c>
      <c r="AH1872" s="906" t="str">
        <f t="shared" si="405"/>
        <v xml:space="preserve"> </v>
      </c>
      <c r="AI1872" s="907" t="str">
        <f t="shared" si="417"/>
        <v xml:space="preserve"> </v>
      </c>
      <c r="AJ1872" s="922"/>
      <c r="AK1872" s="922"/>
    </row>
    <row r="1873" spans="1:37" s="394" customFormat="1" ht="22.5" outlineLevel="2" x14ac:dyDescent="0.3">
      <c r="A1873" s="447">
        <f t="shared" si="419"/>
        <v>158</v>
      </c>
      <c r="B1873" s="912"/>
      <c r="C1873" s="942"/>
      <c r="D1873" s="1032"/>
      <c r="E1873" s="947"/>
      <c r="F1873" s="947"/>
      <c r="G1873" s="922"/>
      <c r="H1873" s="1041"/>
      <c r="I1873" s="882"/>
      <c r="J1873" s="894"/>
      <c r="K1873" s="899" t="str">
        <f>IF(G1873&lt;&gt;0,VLOOKUP(G1873,'gia dat'!$A$1:$F$144,5,0)," ")</f>
        <v xml:space="preserve"> </v>
      </c>
      <c r="L1873" s="899" t="str">
        <f>IF(G1873&lt;&gt;0,VLOOKUP(G1873,'gia dat'!$A$1:$F$144,6,0)," ")</f>
        <v xml:space="preserve"> </v>
      </c>
      <c r="M1873" s="900" t="str">
        <f t="shared" si="407"/>
        <v xml:space="preserve"> </v>
      </c>
      <c r="N1873" s="900" t="str">
        <f t="shared" si="408"/>
        <v xml:space="preserve"> </v>
      </c>
      <c r="O1873" s="908"/>
      <c r="P1873" s="1065"/>
      <c r="Q1873" s="900" t="str">
        <f>IF(O1873&lt;&gt;0,VLOOKUP(O1873,'Cây trong'!$A$2:$C$246,3,0)," ")</f>
        <v xml:space="preserve"> </v>
      </c>
      <c r="R1873" s="900" t="str">
        <f t="shared" si="404"/>
        <v xml:space="preserve"> </v>
      </c>
      <c r="S1873" s="908"/>
      <c r="T1873" s="944"/>
      <c r="U1873" s="1066"/>
      <c r="V1873" s="922"/>
      <c r="W1873" s="900" t="str">
        <f>IF(S1873&lt;&gt;0,VLOOKUP(S1873,VKT!$A$2:$G$415,7,0),"")</f>
        <v/>
      </c>
      <c r="X1873" s="900" t="str">
        <f t="shared" si="411"/>
        <v xml:space="preserve"> </v>
      </c>
      <c r="Y1873" s="985"/>
      <c r="Z1873" s="922"/>
      <c r="AA1873" s="1067"/>
      <c r="AB1873" s="922"/>
      <c r="AC1873" s="922"/>
      <c r="AD1873" s="922"/>
      <c r="AE1873" s="922"/>
      <c r="AF1873" s="1046"/>
      <c r="AG1873" s="906" t="str">
        <f>IF(AE1873&lt;&gt;0,VLOOKUP(AE1873,ODDS!$A$2:$C$13,3,0),"")</f>
        <v/>
      </c>
      <c r="AH1873" s="906" t="str">
        <f t="shared" si="405"/>
        <v xml:space="preserve"> </v>
      </c>
      <c r="AI1873" s="907" t="str">
        <f t="shared" si="417"/>
        <v xml:space="preserve"> </v>
      </c>
      <c r="AJ1873" s="922"/>
      <c r="AK1873" s="922"/>
    </row>
    <row r="1874" spans="1:37" s="432" customFormat="1" ht="43.5" outlineLevel="1" x14ac:dyDescent="0.25">
      <c r="A1874" s="467" t="s">
        <v>2551</v>
      </c>
      <c r="B1874" s="912">
        <v>159</v>
      </c>
      <c r="C1874" s="942" t="s">
        <v>2173</v>
      </c>
      <c r="D1874" s="1038"/>
      <c r="E1874" s="977"/>
      <c r="F1874" s="977"/>
      <c r="G1874" s="914"/>
      <c r="H1874" s="1039">
        <f>SUBTOTAL(9,H1875:H1879)</f>
        <v>14</v>
      </c>
      <c r="I1874" s="915">
        <f>SUBTOTAL(9,I1875:I1880)</f>
        <v>0</v>
      </c>
      <c r="J1874" s="910"/>
      <c r="K1874" s="917"/>
      <c r="L1874" s="917"/>
      <c r="M1874" s="907">
        <f>SUBTOTAL(9,M1875:M1879)</f>
        <v>6518000</v>
      </c>
      <c r="N1874" s="907">
        <f>SUBTOTAL(9,N1875:N1879)</f>
        <v>0</v>
      </c>
      <c r="O1874" s="942"/>
      <c r="P1874" s="1063">
        <f>SUBTOTAL(9,P1875:P1879)</f>
        <v>0</v>
      </c>
      <c r="Q1874" s="907"/>
      <c r="R1874" s="907">
        <f>SUBTOTAL(9,R1875:R1879)</f>
        <v>0</v>
      </c>
      <c r="S1874" s="942"/>
      <c r="T1874" s="956"/>
      <c r="U1874" s="1064">
        <f>SUBTOTAL(9,U1875:U1879)</f>
        <v>0</v>
      </c>
      <c r="V1874" s="914"/>
      <c r="W1874" s="907"/>
      <c r="X1874" s="907">
        <f>SUBTOTAL(9,X1875:X1879)</f>
        <v>0</v>
      </c>
      <c r="Y1874" s="985"/>
      <c r="Z1874" s="914"/>
      <c r="AA1874" s="1073"/>
      <c r="AB1874" s="914"/>
      <c r="AC1874" s="914"/>
      <c r="AD1874" s="914"/>
      <c r="AE1874" s="914"/>
      <c r="AF1874" s="1044">
        <f>SUBTOTAL(9,AF1875:AF1879)</f>
        <v>0</v>
      </c>
      <c r="AG1874" s="921"/>
      <c r="AH1874" s="921">
        <f>SUBTOTAL(9,AH1875:AH1879)</f>
        <v>0</v>
      </c>
      <c r="AI1874" s="907">
        <f t="shared" si="417"/>
        <v>6518000</v>
      </c>
      <c r="AJ1874" s="914"/>
      <c r="AK1874" s="914"/>
    </row>
    <row r="1875" spans="1:37" s="432" customFormat="1" ht="202.5" outlineLevel="2" x14ac:dyDescent="0.3">
      <c r="A1875" s="447">
        <f>IF(B1874&lt;&gt;0,B1874,A1873)</f>
        <v>159</v>
      </c>
      <c r="B1875" s="893"/>
      <c r="C1875" s="908" t="s">
        <v>2458</v>
      </c>
      <c r="D1875" s="1038"/>
      <c r="E1875" s="947">
        <v>86</v>
      </c>
      <c r="F1875" s="947">
        <v>52</v>
      </c>
      <c r="G1875" s="922" t="s">
        <v>2874</v>
      </c>
      <c r="H1875" s="1041">
        <v>14</v>
      </c>
      <c r="I1875" s="882" t="str">
        <f t="shared" ref="I1875" si="420">IF(N1875&gt;0,H1875,"")</f>
        <v/>
      </c>
      <c r="J1875" s="910"/>
      <c r="K1875" s="899">
        <f>IF(G1875&lt;&gt;0,VLOOKUP(G1875,'gia dat'!$A$1:$F$144,5,0)," ")</f>
        <v>465600</v>
      </c>
      <c r="L1875" s="899">
        <f>IF(G1875&lt;&gt;0,VLOOKUP(G1875,'gia dat'!$A$1:$F$144,6,0)," ")</f>
        <v>0</v>
      </c>
      <c r="M1875" s="900">
        <f t="shared" si="407"/>
        <v>6518000</v>
      </c>
      <c r="N1875" s="900">
        <f t="shared" si="408"/>
        <v>0</v>
      </c>
      <c r="O1875" s="942"/>
      <c r="P1875" s="1063"/>
      <c r="Q1875" s="907"/>
      <c r="R1875" s="907"/>
      <c r="S1875" s="942"/>
      <c r="T1875" s="956"/>
      <c r="U1875" s="1064"/>
      <c r="V1875" s="914"/>
      <c r="W1875" s="900" t="str">
        <f>IF(S1875&lt;&gt;0,VLOOKUP(S1875,VKT!$A$2:$G$415,7,0),"")</f>
        <v/>
      </c>
      <c r="X1875" s="900" t="str">
        <f t="shared" si="411"/>
        <v xml:space="preserve"> </v>
      </c>
      <c r="Y1875" s="985"/>
      <c r="Z1875" s="914"/>
      <c r="AA1875" s="1073"/>
      <c r="AB1875" s="914"/>
      <c r="AC1875" s="914"/>
      <c r="AD1875" s="914"/>
      <c r="AE1875" s="914"/>
      <c r="AF1875" s="1044"/>
      <c r="AG1875" s="906" t="str">
        <f>IF(AE1875&lt;&gt;0,VLOOKUP(AE1875,ODDS!$A$2:$C$13,3,0),"")</f>
        <v/>
      </c>
      <c r="AH1875" s="921"/>
      <c r="AI1875" s="907" t="str">
        <f t="shared" si="417"/>
        <v xml:space="preserve"> </v>
      </c>
      <c r="AJ1875" s="922" t="s">
        <v>2241</v>
      </c>
      <c r="AK1875" s="922" t="s">
        <v>2771</v>
      </c>
    </row>
    <row r="1876" spans="1:37" s="394" customFormat="1" ht="112.5" outlineLevel="2" x14ac:dyDescent="0.3">
      <c r="A1876" s="447">
        <f>IF(B1875&lt;&gt;0,B1875,A1875)</f>
        <v>159</v>
      </c>
      <c r="B1876" s="893"/>
      <c r="C1876" s="908" t="s">
        <v>1617</v>
      </c>
      <c r="D1876" s="1032"/>
      <c r="E1876" s="947"/>
      <c r="F1876" s="947"/>
      <c r="G1876" s="922"/>
      <c r="H1876" s="1041"/>
      <c r="I1876" s="882"/>
      <c r="J1876" s="894"/>
      <c r="K1876" s="899" t="str">
        <f>IF(G1876&lt;&gt;0,VLOOKUP(G1876,'gia dat'!$A$1:$F$144,5,0)," ")</f>
        <v xml:space="preserve"> </v>
      </c>
      <c r="L1876" s="899" t="str">
        <f>IF(G1876&lt;&gt;0,VLOOKUP(G1876,'gia dat'!$A$1:$F$144,6,0)," ")</f>
        <v xml:space="preserve"> </v>
      </c>
      <c r="M1876" s="900" t="str">
        <f t="shared" si="407"/>
        <v xml:space="preserve"> </v>
      </c>
      <c r="N1876" s="900" t="str">
        <f t="shared" si="408"/>
        <v xml:space="preserve"> </v>
      </c>
      <c r="O1876" s="908"/>
      <c r="P1876" s="1065"/>
      <c r="Q1876" s="900"/>
      <c r="R1876" s="900"/>
      <c r="S1876" s="908"/>
      <c r="T1876" s="944"/>
      <c r="U1876" s="1066"/>
      <c r="V1876" s="922"/>
      <c r="W1876" s="900" t="str">
        <f>IF(S1876&lt;&gt;0,VLOOKUP(S1876,VKT!$A$2:$G$415,7,0),"")</f>
        <v/>
      </c>
      <c r="X1876" s="900" t="str">
        <f t="shared" si="411"/>
        <v xml:space="preserve"> </v>
      </c>
      <c r="Y1876" s="985"/>
      <c r="Z1876" s="922"/>
      <c r="AA1876" s="1067"/>
      <c r="AB1876" s="922"/>
      <c r="AC1876" s="922"/>
      <c r="AD1876" s="922"/>
      <c r="AE1876" s="922"/>
      <c r="AF1876" s="1046"/>
      <c r="AG1876" s="906" t="str">
        <f>IF(AE1876&lt;&gt;0,VLOOKUP(AE1876,ODDS!$A$2:$C$13,3,0),"")</f>
        <v/>
      </c>
      <c r="AH1876" s="906"/>
      <c r="AI1876" s="907" t="str">
        <f t="shared" si="417"/>
        <v xml:space="preserve"> </v>
      </c>
      <c r="AJ1876" s="922"/>
      <c r="AK1876" s="922"/>
    </row>
    <row r="1877" spans="1:37" s="394" customFormat="1" ht="22.5" outlineLevel="2" x14ac:dyDescent="0.3">
      <c r="A1877" s="447">
        <f>IF(B1876&lt;&gt;0,B1876,A1876)</f>
        <v>159</v>
      </c>
      <c r="B1877" s="893"/>
      <c r="C1877" s="908"/>
      <c r="D1877" s="1032"/>
      <c r="E1877" s="947"/>
      <c r="F1877" s="947"/>
      <c r="G1877" s="922"/>
      <c r="H1877" s="1041"/>
      <c r="I1877" s="882"/>
      <c r="J1877" s="894"/>
      <c r="K1877" s="899" t="str">
        <f>IF(G1877&lt;&gt;0,VLOOKUP(G1877,'gia dat'!$A$1:$F$144,5,0)," ")</f>
        <v xml:space="preserve"> </v>
      </c>
      <c r="L1877" s="899" t="str">
        <f>IF(G1877&lt;&gt;0,VLOOKUP(G1877,'gia dat'!$A$1:$F$144,6,0)," ")</f>
        <v xml:space="preserve"> </v>
      </c>
      <c r="M1877" s="900" t="str">
        <f t="shared" si="407"/>
        <v xml:space="preserve"> </v>
      </c>
      <c r="N1877" s="900" t="str">
        <f t="shared" si="408"/>
        <v xml:space="preserve"> </v>
      </c>
      <c r="O1877" s="908"/>
      <c r="P1877" s="1065"/>
      <c r="Q1877" s="900"/>
      <c r="R1877" s="900"/>
      <c r="S1877" s="908"/>
      <c r="T1877" s="944"/>
      <c r="U1877" s="1066"/>
      <c r="V1877" s="922"/>
      <c r="W1877" s="900" t="str">
        <f>IF(S1877&lt;&gt;0,VLOOKUP(S1877,VKT!$A$2:$G$415,7,0),"")</f>
        <v/>
      </c>
      <c r="X1877" s="900" t="str">
        <f t="shared" si="411"/>
        <v xml:space="preserve"> </v>
      </c>
      <c r="Y1877" s="985"/>
      <c r="Z1877" s="922"/>
      <c r="AA1877" s="1067"/>
      <c r="AB1877" s="922"/>
      <c r="AC1877" s="922"/>
      <c r="AD1877" s="922"/>
      <c r="AE1877" s="922"/>
      <c r="AF1877" s="1046"/>
      <c r="AG1877" s="906" t="str">
        <f>IF(AE1877&lt;&gt;0,VLOOKUP(AE1877,ODDS!$A$2:$C$13,3,0),"")</f>
        <v/>
      </c>
      <c r="AH1877" s="906"/>
      <c r="AI1877" s="907" t="str">
        <f t="shared" si="417"/>
        <v xml:space="preserve"> </v>
      </c>
      <c r="AJ1877" s="922"/>
      <c r="AK1877" s="922"/>
    </row>
    <row r="1878" spans="1:37" s="394" customFormat="1" ht="22.5" outlineLevel="2" x14ac:dyDescent="0.3">
      <c r="A1878" s="447">
        <f>IF(B1877&lt;&gt;0,B1877,A1877)</f>
        <v>159</v>
      </c>
      <c r="B1878" s="893"/>
      <c r="C1878" s="908"/>
      <c r="D1878" s="1032"/>
      <c r="E1878" s="947"/>
      <c r="F1878" s="947"/>
      <c r="G1878" s="922"/>
      <c r="H1878" s="1041"/>
      <c r="I1878" s="882"/>
      <c r="J1878" s="894"/>
      <c r="K1878" s="899" t="str">
        <f>IF(G1878&lt;&gt;0,VLOOKUP(G1878,'gia dat'!$A$1:$F$144,5,0)," ")</f>
        <v xml:space="preserve"> </v>
      </c>
      <c r="L1878" s="899" t="str">
        <f>IF(G1878&lt;&gt;0,VLOOKUP(G1878,'gia dat'!$A$1:$F$144,6,0)," ")</f>
        <v xml:space="preserve"> </v>
      </c>
      <c r="M1878" s="900" t="str">
        <f t="shared" si="407"/>
        <v xml:space="preserve"> </v>
      </c>
      <c r="N1878" s="900" t="str">
        <f t="shared" si="408"/>
        <v xml:space="preserve"> </v>
      </c>
      <c r="O1878" s="908"/>
      <c r="P1878" s="1065"/>
      <c r="Q1878" s="900"/>
      <c r="R1878" s="900"/>
      <c r="S1878" s="908"/>
      <c r="T1878" s="944"/>
      <c r="U1878" s="1066"/>
      <c r="V1878" s="922"/>
      <c r="W1878" s="900" t="str">
        <f>IF(S1878&lt;&gt;0,VLOOKUP(S1878,VKT!$A$2:$G$415,7,0),"")</f>
        <v/>
      </c>
      <c r="X1878" s="900" t="str">
        <f t="shared" si="411"/>
        <v xml:space="preserve"> </v>
      </c>
      <c r="Y1878" s="985"/>
      <c r="Z1878" s="922"/>
      <c r="AA1878" s="1067"/>
      <c r="AB1878" s="922"/>
      <c r="AC1878" s="922"/>
      <c r="AD1878" s="922"/>
      <c r="AE1878" s="922"/>
      <c r="AF1878" s="1046"/>
      <c r="AG1878" s="906" t="str">
        <f>IF(AE1878&lt;&gt;0,VLOOKUP(AE1878,ODDS!$A$2:$C$13,3,0),"")</f>
        <v/>
      </c>
      <c r="AH1878" s="906"/>
      <c r="AI1878" s="907" t="str">
        <f t="shared" si="417"/>
        <v xml:space="preserve"> </v>
      </c>
      <c r="AJ1878" s="922"/>
      <c r="AK1878" s="922"/>
    </row>
    <row r="1879" spans="1:37" s="394" customFormat="1" ht="22.5" outlineLevel="2" x14ac:dyDescent="0.3">
      <c r="A1879" s="447">
        <f>IF(B1878&lt;&gt;0,B1878,A1878)</f>
        <v>159</v>
      </c>
      <c r="B1879" s="912"/>
      <c r="C1879" s="942"/>
      <c r="D1879" s="1032"/>
      <c r="E1879" s="947"/>
      <c r="F1879" s="947"/>
      <c r="G1879" s="922"/>
      <c r="H1879" s="1041"/>
      <c r="I1879" s="882"/>
      <c r="J1879" s="894"/>
      <c r="K1879" s="899" t="str">
        <f>IF(G1879&lt;&gt;0,VLOOKUP(G1879,'gia dat'!$A$1:$F$144,5,0)," ")</f>
        <v xml:space="preserve"> </v>
      </c>
      <c r="L1879" s="899" t="str">
        <f>IF(G1879&lt;&gt;0,VLOOKUP(G1879,'gia dat'!$A$1:$F$144,6,0)," ")</f>
        <v xml:space="preserve"> </v>
      </c>
      <c r="M1879" s="900" t="str">
        <f t="shared" si="407"/>
        <v xml:space="preserve"> </v>
      </c>
      <c r="N1879" s="900" t="str">
        <f t="shared" si="408"/>
        <v xml:space="preserve"> </v>
      </c>
      <c r="O1879" s="908"/>
      <c r="P1879" s="1065"/>
      <c r="Q1879" s="900"/>
      <c r="R1879" s="900"/>
      <c r="S1879" s="908"/>
      <c r="T1879" s="944"/>
      <c r="U1879" s="1066"/>
      <c r="V1879" s="922"/>
      <c r="W1879" s="900" t="str">
        <f>IF(S1879&lt;&gt;0,VLOOKUP(S1879,VKT!$A$2:$G$415,7,0),"")</f>
        <v/>
      </c>
      <c r="X1879" s="900" t="str">
        <f t="shared" si="411"/>
        <v xml:space="preserve"> </v>
      </c>
      <c r="Y1879" s="985"/>
      <c r="Z1879" s="922"/>
      <c r="AA1879" s="1067"/>
      <c r="AB1879" s="922"/>
      <c r="AC1879" s="922"/>
      <c r="AD1879" s="922"/>
      <c r="AE1879" s="922"/>
      <c r="AF1879" s="1046"/>
      <c r="AG1879" s="906" t="str">
        <f>IF(AE1879&lt;&gt;0,VLOOKUP(AE1879,ODDS!$A$2:$C$13,3,0),"")</f>
        <v/>
      </c>
      <c r="AH1879" s="906"/>
      <c r="AI1879" s="907" t="str">
        <f t="shared" si="417"/>
        <v xml:space="preserve"> </v>
      </c>
      <c r="AJ1879" s="922"/>
      <c r="AK1879" s="922"/>
    </row>
    <row r="1880" spans="1:37" s="396" customFormat="1" ht="43.5" outlineLevel="1" x14ac:dyDescent="0.25">
      <c r="A1880" s="467" t="s">
        <v>2550</v>
      </c>
      <c r="B1880" s="912">
        <v>160</v>
      </c>
      <c r="C1880" s="942" t="s">
        <v>2173</v>
      </c>
      <c r="D1880" s="1038"/>
      <c r="E1880" s="977"/>
      <c r="F1880" s="977"/>
      <c r="G1880" s="914"/>
      <c r="H1880" s="1039">
        <f>SUBTOTAL(9,H1881:H1890)</f>
        <v>8.1</v>
      </c>
      <c r="I1880" s="915">
        <f>SUBTOTAL(9,I1881:I1886)</f>
        <v>0</v>
      </c>
      <c r="J1880" s="910"/>
      <c r="K1880" s="917"/>
      <c r="L1880" s="917"/>
      <c r="M1880" s="907">
        <f>SUBTOTAL(9,M1881:M1890)</f>
        <v>3772000</v>
      </c>
      <c r="N1880" s="907">
        <f>SUBTOTAL(9,N1881:N1890)</f>
        <v>0</v>
      </c>
      <c r="O1880" s="942"/>
      <c r="P1880" s="1063">
        <f>SUBTOTAL(9,P1881:P1890)</f>
        <v>0</v>
      </c>
      <c r="Q1880" s="907"/>
      <c r="R1880" s="907">
        <f>SUBTOTAL(9,R1881:R1890)</f>
        <v>0</v>
      </c>
      <c r="S1880" s="942"/>
      <c r="T1880" s="956"/>
      <c r="U1880" s="1064">
        <f>SUBTOTAL(9,U1881:U1890)</f>
        <v>0</v>
      </c>
      <c r="V1880" s="914"/>
      <c r="W1880" s="907"/>
      <c r="X1880" s="907">
        <f>SUBTOTAL(9,X1881:X1890)</f>
        <v>0</v>
      </c>
      <c r="Y1880" s="985"/>
      <c r="Z1880" s="922"/>
      <c r="AA1880" s="1067"/>
      <c r="AB1880" s="922"/>
      <c r="AC1880" s="922"/>
      <c r="AD1880" s="922"/>
      <c r="AE1880" s="914"/>
      <c r="AF1880" s="1044">
        <f>SUBTOTAL(9,AF1881:AF1890)</f>
        <v>0</v>
      </c>
      <c r="AG1880" s="921"/>
      <c r="AH1880" s="921">
        <f>SUBTOTAL(9,AH1881:AH1890)</f>
        <v>0</v>
      </c>
      <c r="AI1880" s="907">
        <f t="shared" si="417"/>
        <v>3772000</v>
      </c>
      <c r="AJ1880" s="914"/>
      <c r="AK1880" s="914"/>
    </row>
    <row r="1881" spans="1:37" s="396" customFormat="1" ht="202.5" outlineLevel="2" x14ac:dyDescent="0.3">
      <c r="A1881" s="447">
        <f>IF(B1880&lt;&gt;0,B1880,A1879)</f>
        <v>160</v>
      </c>
      <c r="B1881" s="893"/>
      <c r="C1881" s="908" t="s">
        <v>2458</v>
      </c>
      <c r="D1881" s="1032"/>
      <c r="E1881" s="947">
        <v>86</v>
      </c>
      <c r="F1881" s="947">
        <v>52</v>
      </c>
      <c r="G1881" s="922" t="s">
        <v>2874</v>
      </c>
      <c r="H1881" s="1041">
        <v>7.6</v>
      </c>
      <c r="I1881" s="882" t="str">
        <f t="shared" ref="I1881:I1882" si="421">IF(N1881&gt;0,H1881,"")</f>
        <v/>
      </c>
      <c r="J1881" s="894"/>
      <c r="K1881" s="899">
        <f>IF(G1881&lt;&gt;0,VLOOKUP(G1881,'gia dat'!$A$1:$F$144,5,0)," ")</f>
        <v>465600</v>
      </c>
      <c r="L1881" s="899">
        <f>IF(G1881&lt;&gt;0,VLOOKUP(G1881,'gia dat'!$A$1:$F$144,6,0)," ")</f>
        <v>0</v>
      </c>
      <c r="M1881" s="900">
        <f t="shared" si="407"/>
        <v>3539000</v>
      </c>
      <c r="N1881" s="900">
        <f t="shared" si="408"/>
        <v>0</v>
      </c>
      <c r="O1881" s="908"/>
      <c r="P1881" s="1065"/>
      <c r="Q1881" s="900"/>
      <c r="R1881" s="900"/>
      <c r="S1881" s="908"/>
      <c r="T1881" s="944"/>
      <c r="U1881" s="1066"/>
      <c r="V1881" s="922"/>
      <c r="W1881" s="900" t="str">
        <f>IF(S1881&lt;&gt;0,VLOOKUP(S1881,VKT!$A$2:$G$415,7,0),"")</f>
        <v/>
      </c>
      <c r="X1881" s="900" t="str">
        <f t="shared" si="411"/>
        <v xml:space="preserve"> </v>
      </c>
      <c r="Y1881" s="985"/>
      <c r="Z1881" s="922"/>
      <c r="AA1881" s="1067"/>
      <c r="AB1881" s="922"/>
      <c r="AC1881" s="922"/>
      <c r="AD1881" s="922"/>
      <c r="AE1881" s="922"/>
      <c r="AF1881" s="1046"/>
      <c r="AG1881" s="906" t="str">
        <f>IF(AE1881&lt;&gt;0,VLOOKUP(AE1881,ODDS!$A$2:$C$13,3,0),"")</f>
        <v/>
      </c>
      <c r="AH1881" s="906"/>
      <c r="AI1881" s="907" t="str">
        <f t="shared" si="417"/>
        <v xml:space="preserve"> </v>
      </c>
      <c r="AJ1881" s="922" t="s">
        <v>2242</v>
      </c>
      <c r="AK1881" s="922" t="s">
        <v>2771</v>
      </c>
    </row>
    <row r="1882" spans="1:37" s="394" customFormat="1" ht="157.5" outlineLevel="2" x14ac:dyDescent="0.3">
      <c r="A1882" s="447">
        <f t="shared" ref="A1882:A1890" si="422">IF(B1881&lt;&gt;0,B1881,A1881)</f>
        <v>160</v>
      </c>
      <c r="B1882" s="893"/>
      <c r="C1882" s="908" t="s">
        <v>1617</v>
      </c>
      <c r="D1882" s="1032"/>
      <c r="E1882" s="947">
        <v>86</v>
      </c>
      <c r="F1882" s="947" t="s">
        <v>1329</v>
      </c>
      <c r="G1882" s="922" t="s">
        <v>2877</v>
      </c>
      <c r="H1882" s="1041">
        <v>0.5</v>
      </c>
      <c r="I1882" s="882" t="str">
        <f t="shared" si="421"/>
        <v/>
      </c>
      <c r="J1882" s="894"/>
      <c r="K1882" s="899">
        <f>IF(G1882&lt;&gt;0,VLOOKUP(G1882,'gia dat'!$A$1:$F$144,5,0)," ")</f>
        <v>465600</v>
      </c>
      <c r="L1882" s="899">
        <f>IF(G1882&lt;&gt;0,VLOOKUP(G1882,'gia dat'!$A$1:$F$144,6,0)," ")</f>
        <v>0</v>
      </c>
      <c r="M1882" s="900">
        <f t="shared" si="407"/>
        <v>233000</v>
      </c>
      <c r="N1882" s="900">
        <f t="shared" si="408"/>
        <v>0</v>
      </c>
      <c r="O1882" s="908"/>
      <c r="P1882" s="1065"/>
      <c r="Q1882" s="900"/>
      <c r="R1882" s="900"/>
      <c r="S1882" s="908"/>
      <c r="T1882" s="944"/>
      <c r="U1882" s="1066"/>
      <c r="V1882" s="922"/>
      <c r="W1882" s="900" t="str">
        <f>IF(S1882&lt;&gt;0,VLOOKUP(S1882,VKT!$A$2:$G$415,7,0),"")</f>
        <v/>
      </c>
      <c r="X1882" s="900" t="str">
        <f t="shared" si="411"/>
        <v xml:space="preserve"> </v>
      </c>
      <c r="Y1882" s="985"/>
      <c r="Z1882" s="922"/>
      <c r="AA1882" s="1067"/>
      <c r="AB1882" s="922"/>
      <c r="AC1882" s="922"/>
      <c r="AD1882" s="922"/>
      <c r="AE1882" s="922"/>
      <c r="AF1882" s="1046"/>
      <c r="AG1882" s="906" t="str">
        <f>IF(AE1882&lt;&gt;0,VLOOKUP(AE1882,ODDS!$A$2:$C$13,3,0),"")</f>
        <v/>
      </c>
      <c r="AH1882" s="906"/>
      <c r="AI1882" s="907" t="str">
        <f t="shared" si="417"/>
        <v xml:space="preserve"> </v>
      </c>
      <c r="AJ1882" s="922" t="s">
        <v>1330</v>
      </c>
      <c r="AK1882" s="922"/>
    </row>
    <row r="1883" spans="1:37" s="394" customFormat="1" ht="22.5" outlineLevel="2" x14ac:dyDescent="0.3">
      <c r="A1883" s="447">
        <f t="shared" si="422"/>
        <v>160</v>
      </c>
      <c r="B1883" s="893"/>
      <c r="C1883" s="908"/>
      <c r="D1883" s="1032"/>
      <c r="E1883" s="947"/>
      <c r="F1883" s="947"/>
      <c r="G1883" s="922"/>
      <c r="H1883" s="1041"/>
      <c r="I1883" s="882"/>
      <c r="J1883" s="894"/>
      <c r="K1883" s="899" t="str">
        <f>IF(G1883&lt;&gt;0,VLOOKUP(G1883,'gia dat'!$A$1:$F$144,5,0)," ")</f>
        <v xml:space="preserve"> </v>
      </c>
      <c r="L1883" s="899" t="str">
        <f>IF(G1883&lt;&gt;0,VLOOKUP(G1883,'gia dat'!$A$1:$F$144,6,0)," ")</f>
        <v xml:space="preserve"> </v>
      </c>
      <c r="M1883" s="900" t="str">
        <f t="shared" si="407"/>
        <v xml:space="preserve"> </v>
      </c>
      <c r="N1883" s="900" t="str">
        <f t="shared" si="408"/>
        <v xml:space="preserve"> </v>
      </c>
      <c r="O1883" s="908"/>
      <c r="P1883" s="1065"/>
      <c r="Q1883" s="900"/>
      <c r="R1883" s="900"/>
      <c r="S1883" s="908"/>
      <c r="T1883" s="944"/>
      <c r="U1883" s="1066"/>
      <c r="V1883" s="922"/>
      <c r="W1883" s="900" t="str">
        <f>IF(S1883&lt;&gt;0,VLOOKUP(S1883,VKT!$A$2:$G$415,7,0),"")</f>
        <v/>
      </c>
      <c r="X1883" s="900" t="str">
        <f t="shared" si="411"/>
        <v xml:space="preserve"> </v>
      </c>
      <c r="Y1883" s="985"/>
      <c r="Z1883" s="922"/>
      <c r="AA1883" s="1067"/>
      <c r="AB1883" s="922"/>
      <c r="AC1883" s="922"/>
      <c r="AD1883" s="922"/>
      <c r="AE1883" s="922"/>
      <c r="AF1883" s="1046"/>
      <c r="AG1883" s="906" t="str">
        <f>IF(AE1883&lt;&gt;0,VLOOKUP(AE1883,ODDS!$A$2:$C$13,3,0),"")</f>
        <v/>
      </c>
      <c r="AH1883" s="906"/>
      <c r="AI1883" s="907" t="str">
        <f t="shared" si="417"/>
        <v xml:space="preserve"> </v>
      </c>
      <c r="AJ1883" s="922"/>
      <c r="AK1883" s="922"/>
    </row>
    <row r="1884" spans="1:37" s="394" customFormat="1" ht="22.5" outlineLevel="2" x14ac:dyDescent="0.3">
      <c r="A1884" s="447">
        <f t="shared" si="422"/>
        <v>160</v>
      </c>
      <c r="B1884" s="893"/>
      <c r="C1884" s="908"/>
      <c r="D1884" s="1032"/>
      <c r="E1884" s="947"/>
      <c r="F1884" s="947"/>
      <c r="G1884" s="922"/>
      <c r="H1884" s="1041"/>
      <c r="I1884" s="882"/>
      <c r="J1884" s="894"/>
      <c r="K1884" s="899" t="str">
        <f>IF(G1884&lt;&gt;0,VLOOKUP(G1884,'gia dat'!$A$1:$F$144,5,0)," ")</f>
        <v xml:space="preserve"> </v>
      </c>
      <c r="L1884" s="899" t="str">
        <f>IF(G1884&lt;&gt;0,VLOOKUP(G1884,'gia dat'!$A$1:$F$144,6,0)," ")</f>
        <v xml:space="preserve"> </v>
      </c>
      <c r="M1884" s="900" t="str">
        <f t="shared" si="407"/>
        <v xml:space="preserve"> </v>
      </c>
      <c r="N1884" s="900" t="str">
        <f t="shared" si="408"/>
        <v xml:space="preserve"> </v>
      </c>
      <c r="O1884" s="908"/>
      <c r="P1884" s="1065"/>
      <c r="Q1884" s="900"/>
      <c r="R1884" s="900"/>
      <c r="S1884" s="908"/>
      <c r="T1884" s="944"/>
      <c r="U1884" s="1066"/>
      <c r="V1884" s="922"/>
      <c r="W1884" s="900" t="str">
        <f>IF(S1884&lt;&gt;0,VLOOKUP(S1884,VKT!$A$2:$G$415,7,0),"")</f>
        <v/>
      </c>
      <c r="X1884" s="900" t="str">
        <f t="shared" si="411"/>
        <v xml:space="preserve"> </v>
      </c>
      <c r="Y1884" s="985"/>
      <c r="Z1884" s="922"/>
      <c r="AA1884" s="1067"/>
      <c r="AB1884" s="922"/>
      <c r="AC1884" s="922"/>
      <c r="AD1884" s="922"/>
      <c r="AE1884" s="922"/>
      <c r="AF1884" s="1046"/>
      <c r="AG1884" s="906" t="str">
        <f>IF(AE1884&lt;&gt;0,VLOOKUP(AE1884,ODDS!$A$2:$C$13,3,0),"")</f>
        <v/>
      </c>
      <c r="AH1884" s="906"/>
      <c r="AI1884" s="907" t="str">
        <f t="shared" si="417"/>
        <v xml:space="preserve"> </v>
      </c>
      <c r="AJ1884" s="922"/>
      <c r="AK1884" s="922"/>
    </row>
    <row r="1885" spans="1:37" s="394" customFormat="1" ht="22.5" outlineLevel="2" x14ac:dyDescent="0.3">
      <c r="A1885" s="447">
        <f t="shared" si="422"/>
        <v>160</v>
      </c>
      <c r="B1885" s="893"/>
      <c r="C1885" s="908"/>
      <c r="D1885" s="1032"/>
      <c r="E1885" s="947"/>
      <c r="F1885" s="947"/>
      <c r="G1885" s="922"/>
      <c r="H1885" s="1041"/>
      <c r="I1885" s="882"/>
      <c r="J1885" s="894"/>
      <c r="K1885" s="899" t="str">
        <f>IF(G1885&lt;&gt;0,VLOOKUP(G1885,'gia dat'!$A$1:$F$144,5,0)," ")</f>
        <v xml:space="preserve"> </v>
      </c>
      <c r="L1885" s="899" t="str">
        <f>IF(G1885&lt;&gt;0,VLOOKUP(G1885,'gia dat'!$A$1:$F$144,6,0)," ")</f>
        <v xml:space="preserve"> </v>
      </c>
      <c r="M1885" s="900" t="str">
        <f t="shared" si="407"/>
        <v xml:space="preserve"> </v>
      </c>
      <c r="N1885" s="900" t="str">
        <f t="shared" si="408"/>
        <v xml:space="preserve"> </v>
      </c>
      <c r="O1885" s="908"/>
      <c r="P1885" s="1065"/>
      <c r="Q1885" s="900"/>
      <c r="R1885" s="900"/>
      <c r="S1885" s="908"/>
      <c r="T1885" s="944"/>
      <c r="U1885" s="1066"/>
      <c r="V1885" s="922"/>
      <c r="W1885" s="900" t="str">
        <f>IF(S1885&lt;&gt;0,VLOOKUP(S1885,VKT!$A$2:$G$415,7,0),"")</f>
        <v/>
      </c>
      <c r="X1885" s="900" t="str">
        <f t="shared" si="411"/>
        <v xml:space="preserve"> </v>
      </c>
      <c r="Y1885" s="985"/>
      <c r="Z1885" s="922"/>
      <c r="AA1885" s="1067"/>
      <c r="AB1885" s="922"/>
      <c r="AC1885" s="922"/>
      <c r="AD1885" s="922"/>
      <c r="AE1885" s="922"/>
      <c r="AF1885" s="1046"/>
      <c r="AG1885" s="906" t="str">
        <f>IF(AE1885&lt;&gt;0,VLOOKUP(AE1885,ODDS!$A$2:$C$13,3,0),"")</f>
        <v/>
      </c>
      <c r="AH1885" s="906"/>
      <c r="AI1885" s="907" t="str">
        <f t="shared" si="417"/>
        <v xml:space="preserve"> </v>
      </c>
      <c r="AJ1885" s="922"/>
      <c r="AK1885" s="922"/>
    </row>
    <row r="1886" spans="1:37" s="394" customFormat="1" ht="22.5" outlineLevel="2" x14ac:dyDescent="0.3">
      <c r="A1886" s="447">
        <f t="shared" si="422"/>
        <v>160</v>
      </c>
      <c r="B1886" s="893"/>
      <c r="C1886" s="908"/>
      <c r="D1886" s="1032"/>
      <c r="E1886" s="947"/>
      <c r="F1886" s="947"/>
      <c r="G1886" s="922"/>
      <c r="H1886" s="1041"/>
      <c r="I1886" s="882"/>
      <c r="J1886" s="894"/>
      <c r="K1886" s="899" t="str">
        <f>IF(G1886&lt;&gt;0,VLOOKUP(G1886,'gia dat'!$A$1:$F$144,5,0)," ")</f>
        <v xml:space="preserve"> </v>
      </c>
      <c r="L1886" s="899" t="str">
        <f>IF(G1886&lt;&gt;0,VLOOKUP(G1886,'gia dat'!$A$1:$F$144,6,0)," ")</f>
        <v xml:space="preserve"> </v>
      </c>
      <c r="M1886" s="900" t="str">
        <f t="shared" si="407"/>
        <v xml:space="preserve"> </v>
      </c>
      <c r="N1886" s="900" t="str">
        <f t="shared" si="408"/>
        <v xml:space="preserve"> </v>
      </c>
      <c r="O1886" s="908"/>
      <c r="P1886" s="1065"/>
      <c r="Q1886" s="900"/>
      <c r="R1886" s="900"/>
      <c r="S1886" s="908"/>
      <c r="T1886" s="944"/>
      <c r="U1886" s="1066"/>
      <c r="V1886" s="922"/>
      <c r="W1886" s="900" t="str">
        <f>IF(S1886&lt;&gt;0,VLOOKUP(S1886,VKT!$A$2:$G$415,7,0),"")</f>
        <v/>
      </c>
      <c r="X1886" s="900" t="str">
        <f t="shared" si="411"/>
        <v xml:space="preserve"> </v>
      </c>
      <c r="Y1886" s="985"/>
      <c r="Z1886" s="922"/>
      <c r="AA1886" s="1067"/>
      <c r="AB1886" s="922"/>
      <c r="AC1886" s="922"/>
      <c r="AD1886" s="922"/>
      <c r="AE1886" s="922"/>
      <c r="AF1886" s="1046"/>
      <c r="AG1886" s="906" t="str">
        <f>IF(AE1886&lt;&gt;0,VLOOKUP(AE1886,ODDS!$A$2:$C$13,3,0),"")</f>
        <v/>
      </c>
      <c r="AH1886" s="906"/>
      <c r="AI1886" s="907" t="str">
        <f t="shared" si="417"/>
        <v xml:space="preserve"> </v>
      </c>
      <c r="AJ1886" s="922"/>
      <c r="AK1886" s="922"/>
    </row>
    <row r="1887" spans="1:37" s="394" customFormat="1" ht="22.5" outlineLevel="2" x14ac:dyDescent="0.3">
      <c r="A1887" s="447">
        <f t="shared" si="422"/>
        <v>160</v>
      </c>
      <c r="B1887" s="893"/>
      <c r="C1887" s="908"/>
      <c r="D1887" s="1032"/>
      <c r="E1887" s="947"/>
      <c r="F1887" s="947"/>
      <c r="G1887" s="922"/>
      <c r="H1887" s="1041"/>
      <c r="I1887" s="882"/>
      <c r="J1887" s="894"/>
      <c r="K1887" s="899" t="str">
        <f>IF(G1887&lt;&gt;0,VLOOKUP(G1887,'gia dat'!$A$1:$F$144,5,0)," ")</f>
        <v xml:space="preserve"> </v>
      </c>
      <c r="L1887" s="899" t="str">
        <f>IF(G1887&lt;&gt;0,VLOOKUP(G1887,'gia dat'!$A$1:$F$144,6,0)," ")</f>
        <v xml:space="preserve"> </v>
      </c>
      <c r="M1887" s="900" t="str">
        <f t="shared" si="407"/>
        <v xml:space="preserve"> </v>
      </c>
      <c r="N1887" s="900" t="str">
        <f t="shared" si="408"/>
        <v xml:space="preserve"> </v>
      </c>
      <c r="O1887" s="908"/>
      <c r="P1887" s="1065"/>
      <c r="Q1887" s="900"/>
      <c r="R1887" s="900"/>
      <c r="S1887" s="908"/>
      <c r="T1887" s="944"/>
      <c r="U1887" s="1066"/>
      <c r="V1887" s="922"/>
      <c r="W1887" s="900" t="str">
        <f>IF(S1887&lt;&gt;0,VLOOKUP(S1887,VKT!$A$2:$G$415,7,0),"")</f>
        <v/>
      </c>
      <c r="X1887" s="900" t="str">
        <f t="shared" si="411"/>
        <v xml:space="preserve"> </v>
      </c>
      <c r="Y1887" s="985"/>
      <c r="Z1887" s="922"/>
      <c r="AA1887" s="1067"/>
      <c r="AB1887" s="922"/>
      <c r="AC1887" s="922"/>
      <c r="AD1887" s="922"/>
      <c r="AE1887" s="922"/>
      <c r="AF1887" s="1046"/>
      <c r="AG1887" s="906" t="str">
        <f>IF(AE1887&lt;&gt;0,VLOOKUP(AE1887,ODDS!$A$2:$C$13,3,0),"")</f>
        <v/>
      </c>
      <c r="AH1887" s="906"/>
      <c r="AI1887" s="907" t="str">
        <f t="shared" si="417"/>
        <v xml:space="preserve"> </v>
      </c>
      <c r="AJ1887" s="922"/>
      <c r="AK1887" s="922"/>
    </row>
    <row r="1888" spans="1:37" s="394" customFormat="1" ht="22.5" outlineLevel="2" x14ac:dyDescent="0.3">
      <c r="A1888" s="447">
        <f t="shared" si="422"/>
        <v>160</v>
      </c>
      <c r="B1888" s="893"/>
      <c r="C1888" s="908"/>
      <c r="D1888" s="1032"/>
      <c r="E1888" s="947"/>
      <c r="F1888" s="947"/>
      <c r="G1888" s="922"/>
      <c r="H1888" s="1041"/>
      <c r="I1888" s="882"/>
      <c r="J1888" s="894"/>
      <c r="K1888" s="899" t="str">
        <f>IF(G1888&lt;&gt;0,VLOOKUP(G1888,'gia dat'!$A$1:$F$144,5,0)," ")</f>
        <v xml:space="preserve"> </v>
      </c>
      <c r="L1888" s="899" t="str">
        <f>IF(G1888&lt;&gt;0,VLOOKUP(G1888,'gia dat'!$A$1:$F$144,6,0)," ")</f>
        <v xml:space="preserve"> </v>
      </c>
      <c r="M1888" s="900" t="str">
        <f t="shared" si="407"/>
        <v xml:space="preserve"> </v>
      </c>
      <c r="N1888" s="900" t="str">
        <f t="shared" si="408"/>
        <v xml:space="preserve"> </v>
      </c>
      <c r="O1888" s="908"/>
      <c r="P1888" s="1065"/>
      <c r="Q1888" s="900"/>
      <c r="R1888" s="900"/>
      <c r="S1888" s="908"/>
      <c r="T1888" s="944"/>
      <c r="U1888" s="1066"/>
      <c r="V1888" s="922"/>
      <c r="W1888" s="900" t="str">
        <f>IF(S1888&lt;&gt;0,VLOOKUP(S1888,VKT!$A$2:$G$415,7,0),"")</f>
        <v/>
      </c>
      <c r="X1888" s="900" t="str">
        <f t="shared" si="411"/>
        <v xml:space="preserve"> </v>
      </c>
      <c r="Y1888" s="985"/>
      <c r="Z1888" s="922"/>
      <c r="AA1888" s="1067"/>
      <c r="AB1888" s="922"/>
      <c r="AC1888" s="922"/>
      <c r="AD1888" s="922"/>
      <c r="AE1888" s="922"/>
      <c r="AF1888" s="1046"/>
      <c r="AG1888" s="906" t="str">
        <f>IF(AE1888&lt;&gt;0,VLOOKUP(AE1888,ODDS!$A$2:$C$13,3,0),"")</f>
        <v/>
      </c>
      <c r="AH1888" s="906"/>
      <c r="AI1888" s="907" t="str">
        <f t="shared" si="417"/>
        <v xml:space="preserve"> </v>
      </c>
      <c r="AJ1888" s="922"/>
      <c r="AK1888" s="922"/>
    </row>
    <row r="1889" spans="1:37" s="394" customFormat="1" ht="22.5" outlineLevel="2" x14ac:dyDescent="0.3">
      <c r="A1889" s="447">
        <f t="shared" si="422"/>
        <v>160</v>
      </c>
      <c r="B1889" s="893"/>
      <c r="C1889" s="908"/>
      <c r="D1889" s="1032"/>
      <c r="E1889" s="947"/>
      <c r="F1889" s="947"/>
      <c r="G1889" s="922"/>
      <c r="H1889" s="1041"/>
      <c r="I1889" s="882"/>
      <c r="J1889" s="894"/>
      <c r="K1889" s="899" t="str">
        <f>IF(G1889&lt;&gt;0,VLOOKUP(G1889,'gia dat'!$A$1:$F$144,5,0)," ")</f>
        <v xml:space="preserve"> </v>
      </c>
      <c r="L1889" s="899" t="str">
        <f>IF(G1889&lt;&gt;0,VLOOKUP(G1889,'gia dat'!$A$1:$F$144,6,0)," ")</f>
        <v xml:space="preserve"> </v>
      </c>
      <c r="M1889" s="900" t="str">
        <f t="shared" si="407"/>
        <v xml:space="preserve"> </v>
      </c>
      <c r="N1889" s="900" t="str">
        <f t="shared" si="408"/>
        <v xml:space="preserve"> </v>
      </c>
      <c r="O1889" s="908"/>
      <c r="P1889" s="1065"/>
      <c r="Q1889" s="900"/>
      <c r="R1889" s="900"/>
      <c r="S1889" s="908"/>
      <c r="T1889" s="944"/>
      <c r="U1889" s="1066"/>
      <c r="V1889" s="922"/>
      <c r="W1889" s="900" t="str">
        <f>IF(S1889&lt;&gt;0,VLOOKUP(S1889,VKT!$A$2:$G$415,7,0),"")</f>
        <v/>
      </c>
      <c r="X1889" s="900" t="str">
        <f t="shared" si="411"/>
        <v xml:space="preserve"> </v>
      </c>
      <c r="Y1889" s="985"/>
      <c r="Z1889" s="922"/>
      <c r="AA1889" s="1067"/>
      <c r="AB1889" s="922"/>
      <c r="AC1889" s="922"/>
      <c r="AD1889" s="922"/>
      <c r="AE1889" s="922"/>
      <c r="AF1889" s="1046"/>
      <c r="AG1889" s="906" t="str">
        <f>IF(AE1889&lt;&gt;0,VLOOKUP(AE1889,ODDS!$A$2:$C$13,3,0),"")</f>
        <v/>
      </c>
      <c r="AH1889" s="906"/>
      <c r="AI1889" s="907" t="str">
        <f t="shared" si="417"/>
        <v xml:space="preserve"> </v>
      </c>
      <c r="AJ1889" s="922"/>
      <c r="AK1889" s="922"/>
    </row>
    <row r="1890" spans="1:37" s="394" customFormat="1" ht="22.5" outlineLevel="2" x14ac:dyDescent="0.3">
      <c r="A1890" s="447">
        <f t="shared" si="422"/>
        <v>160</v>
      </c>
      <c r="B1890" s="893"/>
      <c r="C1890" s="942"/>
      <c r="D1890" s="1032"/>
      <c r="E1890" s="947"/>
      <c r="F1890" s="947"/>
      <c r="G1890" s="922"/>
      <c r="H1890" s="1041"/>
      <c r="I1890" s="882"/>
      <c r="J1890" s="894"/>
      <c r="K1890" s="899" t="str">
        <f>IF(G1890&lt;&gt;0,VLOOKUP(G1890,'gia dat'!$A$1:$F$144,5,0)," ")</f>
        <v xml:space="preserve"> </v>
      </c>
      <c r="L1890" s="899" t="str">
        <f>IF(G1890&lt;&gt;0,VLOOKUP(G1890,'gia dat'!$A$1:$F$144,6,0)," ")</f>
        <v xml:space="preserve"> </v>
      </c>
      <c r="M1890" s="900" t="str">
        <f t="shared" si="407"/>
        <v xml:space="preserve"> </v>
      </c>
      <c r="N1890" s="900" t="str">
        <f t="shared" si="408"/>
        <v xml:space="preserve"> </v>
      </c>
      <c r="O1890" s="908"/>
      <c r="P1890" s="1065"/>
      <c r="Q1890" s="900"/>
      <c r="R1890" s="900"/>
      <c r="S1890" s="908"/>
      <c r="T1890" s="944"/>
      <c r="U1890" s="1066"/>
      <c r="V1890" s="922"/>
      <c r="W1890" s="900" t="str">
        <f>IF(S1890&lt;&gt;0,VLOOKUP(S1890,VKT!$A$2:$G$415,7,0),"")</f>
        <v/>
      </c>
      <c r="X1890" s="900" t="str">
        <f t="shared" si="411"/>
        <v xml:space="preserve"> </v>
      </c>
      <c r="Y1890" s="985"/>
      <c r="Z1890" s="922"/>
      <c r="AA1890" s="1067"/>
      <c r="AB1890" s="922"/>
      <c r="AC1890" s="922"/>
      <c r="AD1890" s="922"/>
      <c r="AE1890" s="922"/>
      <c r="AF1890" s="1046"/>
      <c r="AG1890" s="906" t="str">
        <f>IF(AE1890&lt;&gt;0,VLOOKUP(AE1890,ODDS!$A$2:$C$13,3,0),"")</f>
        <v/>
      </c>
      <c r="AH1890" s="906"/>
      <c r="AI1890" s="907" t="str">
        <f t="shared" si="417"/>
        <v xml:space="preserve"> </v>
      </c>
      <c r="AJ1890" s="922"/>
      <c r="AK1890" s="922"/>
    </row>
    <row r="1891" spans="1:37" s="394" customFormat="1" ht="22.5" outlineLevel="1" x14ac:dyDescent="0.3">
      <c r="A1891" s="467" t="s">
        <v>2549</v>
      </c>
      <c r="B1891" s="912">
        <v>161</v>
      </c>
      <c r="C1891" s="942" t="s">
        <v>2174</v>
      </c>
      <c r="D1891" s="1038"/>
      <c r="E1891" s="1074"/>
      <c r="F1891" s="1074"/>
      <c r="G1891" s="1072"/>
      <c r="H1891" s="1075">
        <f>SUBTOTAL(9,H1892:H1898)</f>
        <v>0</v>
      </c>
      <c r="I1891" s="915">
        <f>SUBTOTAL(9,I1892:I1897)</f>
        <v>0</v>
      </c>
      <c r="J1891" s="916"/>
      <c r="K1891" s="917"/>
      <c r="L1891" s="917"/>
      <c r="M1891" s="907">
        <f>SUBTOTAL(9,M1892:M1898)</f>
        <v>0</v>
      </c>
      <c r="N1891" s="907">
        <f>SUBTOTAL(9,N1892:N1898)</f>
        <v>0</v>
      </c>
      <c r="O1891" s="942"/>
      <c r="P1891" s="1063">
        <f>SUBTOTAL(9,P1892:P1898)</f>
        <v>0</v>
      </c>
      <c r="Q1891" s="907"/>
      <c r="R1891" s="907">
        <f>SUBTOTAL(9,R1892:R1898)</f>
        <v>0</v>
      </c>
      <c r="S1891" s="918"/>
      <c r="T1891" s="956"/>
      <c r="U1891" s="1064">
        <f>SUBTOTAL(9,U1892:U1898)</f>
        <v>19.600000000000001</v>
      </c>
      <c r="V1891" s="914"/>
      <c r="W1891" s="907"/>
      <c r="X1891" s="907">
        <f>SUBTOTAL(9,X1892:X1898)</f>
        <v>117426000</v>
      </c>
      <c r="Y1891" s="996"/>
      <c r="Z1891" s="1016"/>
      <c r="AA1891" s="1016"/>
      <c r="AB1891" s="1026"/>
      <c r="AC1891" s="1016"/>
      <c r="AD1891" s="1016"/>
      <c r="AE1891" s="985"/>
      <c r="AF1891" s="935">
        <f>SUBTOTAL(9,AF1892:AF1898)</f>
        <v>0</v>
      </c>
      <c r="AG1891" s="921"/>
      <c r="AH1891" s="921">
        <f>SUBTOTAL(9,AH1892:AH1898)</f>
        <v>0</v>
      </c>
      <c r="AI1891" s="907">
        <f t="shared" si="417"/>
        <v>117426000</v>
      </c>
      <c r="AJ1891" s="914"/>
      <c r="AK1891" s="910"/>
    </row>
    <row r="1892" spans="1:37" s="394" customFormat="1" ht="112.5" outlineLevel="2" x14ac:dyDescent="0.35">
      <c r="A1892" s="447">
        <f>IF(B1891&lt;&gt;0,B1891,A1890)</f>
        <v>161</v>
      </c>
      <c r="B1892" s="893"/>
      <c r="C1892" s="908" t="s">
        <v>1324</v>
      </c>
      <c r="D1892" s="1032">
        <v>1</v>
      </c>
      <c r="E1892" s="1070"/>
      <c r="F1892" s="1070"/>
      <c r="G1892" s="1068"/>
      <c r="H1892" s="1071"/>
      <c r="I1892" s="882"/>
      <c r="J1892" s="898"/>
      <c r="K1892" s="899" t="str">
        <f>IF(G1892&lt;&gt;0,VLOOKUP(G1892,'gia dat'!$A$1:$F$144,5,0)," ")</f>
        <v xml:space="preserve"> </v>
      </c>
      <c r="L1892" s="899" t="str">
        <f>IF(G1892&lt;&gt;0,VLOOKUP(G1892,'gia dat'!$A$1:$F$144,6,0)," ")</f>
        <v xml:space="preserve"> </v>
      </c>
      <c r="M1892" s="900" t="str">
        <f t="shared" si="407"/>
        <v xml:space="preserve"> </v>
      </c>
      <c r="N1892" s="900" t="str">
        <f t="shared" si="408"/>
        <v xml:space="preserve"> </v>
      </c>
      <c r="O1892" s="908"/>
      <c r="P1892" s="1065"/>
      <c r="Q1892" s="900" t="str">
        <f>IF(O1892&lt;&gt;0,VLOOKUP(O1892,'Cây trong'!$A$2:$C$246,3,0)," ")</f>
        <v xml:space="preserve"> </v>
      </c>
      <c r="R1892" s="900" t="str">
        <f t="shared" si="404"/>
        <v xml:space="preserve"> </v>
      </c>
      <c r="S1892" s="902" t="s">
        <v>1934</v>
      </c>
      <c r="T1892" s="944" t="s">
        <v>1133</v>
      </c>
      <c r="U1892" s="1066">
        <v>16</v>
      </c>
      <c r="V1892" s="922"/>
      <c r="W1892" s="900">
        <f>IF(S1892&lt;&gt;0,VLOOKUP(S1892,VKT!$A$2:$G$415,7,0),"")</f>
        <v>5307665</v>
      </c>
      <c r="X1892" s="900">
        <f t="shared" si="411"/>
        <v>84923000</v>
      </c>
      <c r="Y1892" s="996" t="s">
        <v>1138</v>
      </c>
      <c r="Z1892" s="1016" t="s">
        <v>1139</v>
      </c>
      <c r="AA1892" s="1016" t="s">
        <v>56</v>
      </c>
      <c r="AB1892" s="1026" t="s">
        <v>269</v>
      </c>
      <c r="AC1892" s="1016" t="s">
        <v>1138</v>
      </c>
      <c r="AD1892" s="1016"/>
      <c r="AE1892" s="1016"/>
      <c r="AF1892" s="926"/>
      <c r="AG1892" s="906" t="str">
        <f>IF(AE1892&lt;&gt;0,VLOOKUP(AE1892,ODDS!$A$2:$C$13,3,0),"")</f>
        <v/>
      </c>
      <c r="AH1892" s="906" t="str">
        <f t="shared" si="405"/>
        <v xml:space="preserve"> </v>
      </c>
      <c r="AI1892" s="907" t="str">
        <f t="shared" si="417"/>
        <v xml:space="preserve"> </v>
      </c>
      <c r="AJ1892" s="922" t="s">
        <v>1325</v>
      </c>
      <c r="AK1892" s="894" t="s">
        <v>2450</v>
      </c>
    </row>
    <row r="1893" spans="1:37" s="394" customFormat="1" ht="135" outlineLevel="2" x14ac:dyDescent="0.35">
      <c r="A1893" s="447">
        <f t="shared" ref="A1893:A1898" si="423">IF(B1892&lt;&gt;0,B1892,A1892)</f>
        <v>161</v>
      </c>
      <c r="B1893" s="893"/>
      <c r="C1893" s="908" t="s">
        <v>1617</v>
      </c>
      <c r="D1893" s="1032"/>
      <c r="E1893" s="947"/>
      <c r="F1893" s="947"/>
      <c r="G1893" s="922"/>
      <c r="H1893" s="1041"/>
      <c r="I1893" s="882"/>
      <c r="J1893" s="898"/>
      <c r="K1893" s="899" t="str">
        <f>IF(G1893&lt;&gt;0,VLOOKUP(G1893,'gia dat'!$A$1:$F$144,5,0)," ")</f>
        <v xml:space="preserve"> </v>
      </c>
      <c r="L1893" s="899" t="str">
        <f>IF(G1893&lt;&gt;0,VLOOKUP(G1893,'gia dat'!$A$1:$F$144,6,0)," ")</f>
        <v xml:space="preserve"> </v>
      </c>
      <c r="M1893" s="900" t="str">
        <f t="shared" si="407"/>
        <v xml:space="preserve"> </v>
      </c>
      <c r="N1893" s="900" t="str">
        <f t="shared" si="408"/>
        <v xml:space="preserve"> </v>
      </c>
      <c r="O1893" s="908"/>
      <c r="P1893" s="1065"/>
      <c r="Q1893" s="900" t="str">
        <f>IF(O1893&lt;&gt;0,VLOOKUP(O1893,'Cây trong'!$A$2:$C$246,3,0)," ")</f>
        <v xml:space="preserve"> </v>
      </c>
      <c r="R1893" s="900" t="str">
        <f t="shared" si="404"/>
        <v xml:space="preserve"> </v>
      </c>
      <c r="S1893" s="902" t="s">
        <v>1935</v>
      </c>
      <c r="T1893" s="944" t="s">
        <v>1133</v>
      </c>
      <c r="U1893" s="1066">
        <v>3.6</v>
      </c>
      <c r="V1893" s="922"/>
      <c r="W1893" s="900">
        <f>IF(S1893&lt;&gt;0,VLOOKUP(S1893,VKT!$A$2:$G$415,7,0),"")</f>
        <v>9028527</v>
      </c>
      <c r="X1893" s="900">
        <f t="shared" si="411"/>
        <v>32503000</v>
      </c>
      <c r="Y1893" s="985"/>
      <c r="Z1893" s="922"/>
      <c r="AA1893" s="1067"/>
      <c r="AB1893" s="922"/>
      <c r="AC1893" s="922"/>
      <c r="AD1893" s="922"/>
      <c r="AE1893" s="922"/>
      <c r="AF1893" s="1046"/>
      <c r="AG1893" s="906" t="str">
        <f>IF(AE1893&lt;&gt;0,VLOOKUP(AE1893,ODDS!$A$2:$C$13,3,0),"")</f>
        <v/>
      </c>
      <c r="AH1893" s="906" t="str">
        <f t="shared" si="405"/>
        <v xml:space="preserve"> </v>
      </c>
      <c r="AI1893" s="907" t="str">
        <f t="shared" si="417"/>
        <v xml:space="preserve"> </v>
      </c>
      <c r="AJ1893" s="1068"/>
      <c r="AK1893" s="922"/>
    </row>
    <row r="1894" spans="1:37" s="394" customFormat="1" ht="90" outlineLevel="2" x14ac:dyDescent="0.3">
      <c r="A1894" s="447">
        <f t="shared" si="423"/>
        <v>161</v>
      </c>
      <c r="B1894" s="893"/>
      <c r="C1894" s="908"/>
      <c r="D1894" s="1032"/>
      <c r="E1894" s="947"/>
      <c r="F1894" s="947"/>
      <c r="G1894" s="922"/>
      <c r="H1894" s="1041"/>
      <c r="I1894" s="882"/>
      <c r="J1894" s="898"/>
      <c r="K1894" s="899" t="str">
        <f>IF(G1894&lt;&gt;0,VLOOKUP(G1894,'gia dat'!$A$1:$F$144,5,0)," ")</f>
        <v xml:space="preserve"> </v>
      </c>
      <c r="L1894" s="899" t="str">
        <f>IF(G1894&lt;&gt;0,VLOOKUP(G1894,'gia dat'!$A$1:$F$144,6,0)," ")</f>
        <v xml:space="preserve"> </v>
      </c>
      <c r="M1894" s="900" t="str">
        <f t="shared" si="407"/>
        <v xml:space="preserve"> </v>
      </c>
      <c r="N1894" s="900" t="str">
        <f t="shared" si="408"/>
        <v xml:space="preserve"> </v>
      </c>
      <c r="O1894" s="908"/>
      <c r="P1894" s="1065"/>
      <c r="Q1894" s="900" t="str">
        <f>IF(O1894&lt;&gt;0,VLOOKUP(O1894,'Cây trong'!$A$2:$C$246,3,0)," ")</f>
        <v xml:space="preserve"> </v>
      </c>
      <c r="R1894" s="900" t="str">
        <f t="shared" si="404"/>
        <v xml:space="preserve"> </v>
      </c>
      <c r="S1894" s="908" t="s">
        <v>1932</v>
      </c>
      <c r="T1894" s="944" t="s">
        <v>1133</v>
      </c>
      <c r="U1894" s="1066"/>
      <c r="V1894" s="922">
        <v>14.4</v>
      </c>
      <c r="W1894" s="900">
        <f>IF(S1894&lt;&gt;0,VLOOKUP(S1894,VKT!$A$2:$G$415,7,0),"")</f>
        <v>0</v>
      </c>
      <c r="X1894" s="900">
        <f t="shared" si="411"/>
        <v>0</v>
      </c>
      <c r="Y1894" s="985"/>
      <c r="Z1894" s="922"/>
      <c r="AA1894" s="1067"/>
      <c r="AB1894" s="922"/>
      <c r="AC1894" s="922"/>
      <c r="AD1894" s="922"/>
      <c r="AE1894" s="922"/>
      <c r="AF1894" s="1046"/>
      <c r="AG1894" s="906" t="str">
        <f>IF(AE1894&lt;&gt;0,VLOOKUP(AE1894,ODDS!$A$2:$C$13,3,0),"")</f>
        <v/>
      </c>
      <c r="AH1894" s="906" t="str">
        <f t="shared" si="405"/>
        <v xml:space="preserve"> </v>
      </c>
      <c r="AI1894" s="907" t="str">
        <f t="shared" si="417"/>
        <v xml:space="preserve"> </v>
      </c>
      <c r="AJ1894" s="922"/>
      <c r="AK1894" s="922"/>
    </row>
    <row r="1895" spans="1:37" s="394" customFormat="1" ht="67.5" outlineLevel="2" x14ac:dyDescent="0.3">
      <c r="A1895" s="447">
        <f t="shared" si="423"/>
        <v>161</v>
      </c>
      <c r="B1895" s="893"/>
      <c r="C1895" s="908"/>
      <c r="D1895" s="1032"/>
      <c r="E1895" s="947"/>
      <c r="F1895" s="947"/>
      <c r="G1895" s="922"/>
      <c r="H1895" s="1041"/>
      <c r="I1895" s="882"/>
      <c r="J1895" s="898"/>
      <c r="K1895" s="899" t="str">
        <f>IF(G1895&lt;&gt;0,VLOOKUP(G1895,'gia dat'!$A$1:$F$144,5,0)," ")</f>
        <v xml:space="preserve"> </v>
      </c>
      <c r="L1895" s="899" t="str">
        <f>IF(G1895&lt;&gt;0,VLOOKUP(G1895,'gia dat'!$A$1:$F$144,6,0)," ")</f>
        <v xml:space="preserve"> </v>
      </c>
      <c r="M1895" s="900" t="str">
        <f t="shared" si="407"/>
        <v xml:space="preserve"> </v>
      </c>
      <c r="N1895" s="900" t="str">
        <f t="shared" si="408"/>
        <v xml:space="preserve"> </v>
      </c>
      <c r="O1895" s="908"/>
      <c r="P1895" s="1065"/>
      <c r="Q1895" s="900" t="str">
        <f>IF(O1895&lt;&gt;0,VLOOKUP(O1895,'Cây trong'!$A$2:$C$246,3,0)," ")</f>
        <v xml:space="preserve"> </v>
      </c>
      <c r="R1895" s="900" t="str">
        <f t="shared" si="404"/>
        <v xml:space="preserve"> </v>
      </c>
      <c r="S1895" s="902" t="s">
        <v>1936</v>
      </c>
      <c r="T1895" s="944" t="s">
        <v>1133</v>
      </c>
      <c r="U1895" s="1066"/>
      <c r="V1895" s="922">
        <v>14.4</v>
      </c>
      <c r="W1895" s="900">
        <f>IF(S1895&lt;&gt;0,VLOOKUP(S1895,VKT!$A$2:$G$415,7,0),"")</f>
        <v>5307665</v>
      </c>
      <c r="X1895" s="900">
        <f t="shared" si="411"/>
        <v>0</v>
      </c>
      <c r="Y1895" s="996" t="s">
        <v>1138</v>
      </c>
      <c r="Z1895" s="1016" t="s">
        <v>1139</v>
      </c>
      <c r="AA1895" s="1016" t="s">
        <v>56</v>
      </c>
      <c r="AB1895" s="1026" t="s">
        <v>269</v>
      </c>
      <c r="AC1895" s="1016" t="s">
        <v>1138</v>
      </c>
      <c r="AD1895" s="1016"/>
      <c r="AE1895" s="1016"/>
      <c r="AF1895" s="926"/>
      <c r="AG1895" s="906" t="str">
        <f>IF(AE1895&lt;&gt;0,VLOOKUP(AE1895,ODDS!$A$2:$C$13,3,0),"")</f>
        <v/>
      </c>
      <c r="AH1895" s="906" t="str">
        <f t="shared" si="405"/>
        <v xml:space="preserve"> </v>
      </c>
      <c r="AI1895" s="907" t="str">
        <f t="shared" si="417"/>
        <v xml:space="preserve"> </v>
      </c>
      <c r="AJ1895" s="922"/>
      <c r="AK1895" s="922"/>
    </row>
    <row r="1896" spans="1:37" s="394" customFormat="1" ht="22.5" outlineLevel="2" x14ac:dyDescent="0.3">
      <c r="A1896" s="447">
        <f t="shared" si="423"/>
        <v>161</v>
      </c>
      <c r="B1896" s="893"/>
      <c r="C1896" s="908"/>
      <c r="D1896" s="1032"/>
      <c r="E1896" s="947"/>
      <c r="F1896" s="947"/>
      <c r="G1896" s="922"/>
      <c r="H1896" s="1041"/>
      <c r="I1896" s="882"/>
      <c r="J1896" s="898"/>
      <c r="K1896" s="899" t="str">
        <f>IF(G1896&lt;&gt;0,VLOOKUP(G1896,'gia dat'!$A$1:$F$144,5,0)," ")</f>
        <v xml:space="preserve"> </v>
      </c>
      <c r="L1896" s="899" t="str">
        <f>IF(G1896&lt;&gt;0,VLOOKUP(G1896,'gia dat'!$A$1:$F$144,6,0)," ")</f>
        <v xml:space="preserve"> </v>
      </c>
      <c r="M1896" s="900" t="str">
        <f t="shared" si="407"/>
        <v xml:space="preserve"> </v>
      </c>
      <c r="N1896" s="900" t="str">
        <f t="shared" si="408"/>
        <v xml:space="preserve"> </v>
      </c>
      <c r="O1896" s="908"/>
      <c r="P1896" s="1065"/>
      <c r="Q1896" s="900" t="str">
        <f>IF(O1896&lt;&gt;0,VLOOKUP(O1896,'Cây trong'!$A$2:$C$246,3,0)," ")</f>
        <v xml:space="preserve"> </v>
      </c>
      <c r="R1896" s="900" t="str">
        <f t="shared" si="404"/>
        <v xml:space="preserve"> </v>
      </c>
      <c r="S1896" s="902"/>
      <c r="T1896" s="944"/>
      <c r="U1896" s="1066"/>
      <c r="V1896" s="922"/>
      <c r="W1896" s="900" t="str">
        <f>IF(S1896&lt;&gt;0,VLOOKUP(S1896,VKT!$A$2:$G$415,7,0),"")</f>
        <v/>
      </c>
      <c r="X1896" s="900" t="str">
        <f t="shared" si="411"/>
        <v xml:space="preserve"> </v>
      </c>
      <c r="Y1896" s="985"/>
      <c r="Z1896" s="922"/>
      <c r="AA1896" s="1067"/>
      <c r="AB1896" s="922"/>
      <c r="AC1896" s="922"/>
      <c r="AD1896" s="922"/>
      <c r="AE1896" s="922"/>
      <c r="AF1896" s="1046"/>
      <c r="AG1896" s="906" t="str">
        <f>IF(AE1896&lt;&gt;0,VLOOKUP(AE1896,ODDS!$A$2:$C$13,3,0),"")</f>
        <v/>
      </c>
      <c r="AH1896" s="906" t="str">
        <f t="shared" si="405"/>
        <v xml:space="preserve"> </v>
      </c>
      <c r="AI1896" s="907" t="str">
        <f t="shared" si="417"/>
        <v xml:space="preserve"> </v>
      </c>
      <c r="AJ1896" s="922"/>
      <c r="AK1896" s="922"/>
    </row>
    <row r="1897" spans="1:37" s="394" customFormat="1" ht="22.5" outlineLevel="2" x14ac:dyDescent="0.3">
      <c r="A1897" s="447">
        <f t="shared" si="423"/>
        <v>161</v>
      </c>
      <c r="B1897" s="893"/>
      <c r="C1897" s="908"/>
      <c r="D1897" s="1032"/>
      <c r="E1897" s="947"/>
      <c r="F1897" s="947"/>
      <c r="G1897" s="922"/>
      <c r="H1897" s="1041"/>
      <c r="I1897" s="882"/>
      <c r="J1897" s="898"/>
      <c r="K1897" s="899" t="str">
        <f>IF(G1897&lt;&gt;0,VLOOKUP(G1897,'gia dat'!$A$1:$F$144,5,0)," ")</f>
        <v xml:space="preserve"> </v>
      </c>
      <c r="L1897" s="899" t="str">
        <f>IF(G1897&lt;&gt;0,VLOOKUP(G1897,'gia dat'!$A$1:$F$144,6,0)," ")</f>
        <v xml:space="preserve"> </v>
      </c>
      <c r="M1897" s="900" t="str">
        <f t="shared" si="407"/>
        <v xml:space="preserve"> </v>
      </c>
      <c r="N1897" s="900" t="str">
        <f t="shared" si="408"/>
        <v xml:space="preserve"> </v>
      </c>
      <c r="O1897" s="908"/>
      <c r="P1897" s="1065"/>
      <c r="Q1897" s="900" t="str">
        <f>IF(O1897&lt;&gt;0,VLOOKUP(O1897,'Cây trong'!$A$2:$C$246,3,0)," ")</f>
        <v xml:space="preserve"> </v>
      </c>
      <c r="R1897" s="900" t="str">
        <f t="shared" si="404"/>
        <v xml:space="preserve"> </v>
      </c>
      <c r="S1897" s="902"/>
      <c r="T1897" s="944"/>
      <c r="U1897" s="1066"/>
      <c r="V1897" s="922"/>
      <c r="W1897" s="900" t="str">
        <f>IF(S1897&lt;&gt;0,VLOOKUP(S1897,VKT!$A$2:$G$415,7,0),"")</f>
        <v/>
      </c>
      <c r="X1897" s="900" t="str">
        <f t="shared" si="411"/>
        <v xml:space="preserve"> </v>
      </c>
      <c r="Y1897" s="985"/>
      <c r="Z1897" s="922"/>
      <c r="AA1897" s="1067"/>
      <c r="AB1897" s="922"/>
      <c r="AC1897" s="922"/>
      <c r="AD1897" s="922"/>
      <c r="AE1897" s="922"/>
      <c r="AF1897" s="1046"/>
      <c r="AG1897" s="906" t="str">
        <f>IF(AE1897&lt;&gt;0,VLOOKUP(AE1897,ODDS!$A$2:$C$13,3,0),"")</f>
        <v/>
      </c>
      <c r="AH1897" s="906" t="str">
        <f t="shared" si="405"/>
        <v xml:space="preserve"> </v>
      </c>
      <c r="AI1897" s="907" t="str">
        <f t="shared" si="417"/>
        <v xml:space="preserve"> </v>
      </c>
      <c r="AJ1897" s="922"/>
      <c r="AK1897" s="922"/>
    </row>
    <row r="1898" spans="1:37" s="394" customFormat="1" ht="22.5" outlineLevel="2" x14ac:dyDescent="0.3">
      <c r="A1898" s="447">
        <f t="shared" si="423"/>
        <v>161</v>
      </c>
      <c r="B1898" s="893"/>
      <c r="C1898" s="942"/>
      <c r="D1898" s="1032"/>
      <c r="E1898" s="947"/>
      <c r="F1898" s="947"/>
      <c r="G1898" s="922"/>
      <c r="H1898" s="1041"/>
      <c r="I1898" s="882"/>
      <c r="J1898" s="898"/>
      <c r="K1898" s="899" t="str">
        <f>IF(G1898&lt;&gt;0,VLOOKUP(G1898,'gia dat'!$A$1:$F$144,5,0)," ")</f>
        <v xml:space="preserve"> </v>
      </c>
      <c r="L1898" s="899" t="str">
        <f>IF(G1898&lt;&gt;0,VLOOKUP(G1898,'gia dat'!$A$1:$F$144,6,0)," ")</f>
        <v xml:space="preserve"> </v>
      </c>
      <c r="M1898" s="900" t="str">
        <f t="shared" ref="M1898:M1966" si="424">IF(H1898&lt;&gt;0,ROUND(H1898*K1898,-3)," ")</f>
        <v xml:space="preserve"> </v>
      </c>
      <c r="N1898" s="900" t="str">
        <f t="shared" ref="N1898:N1966" si="425">IF(H1898&lt;&gt;0,ROUND(H1898*L1898,-3)," ")</f>
        <v xml:space="preserve"> </v>
      </c>
      <c r="O1898" s="908"/>
      <c r="P1898" s="1065"/>
      <c r="Q1898" s="900" t="str">
        <f>IF(O1898&lt;&gt;0,VLOOKUP(O1898,'Cây trong'!$A$2:$C$246,3,0)," ")</f>
        <v xml:space="preserve"> </v>
      </c>
      <c r="R1898" s="900" t="str">
        <f t="shared" si="404"/>
        <v xml:space="preserve"> </v>
      </c>
      <c r="S1898" s="902"/>
      <c r="T1898" s="944"/>
      <c r="U1898" s="1066"/>
      <c r="V1898" s="922"/>
      <c r="W1898" s="900" t="str">
        <f>IF(S1898&lt;&gt;0,VLOOKUP(S1898,VKT!$A$2:$G$415,7,0),"")</f>
        <v/>
      </c>
      <c r="X1898" s="900" t="str">
        <f t="shared" si="411"/>
        <v xml:space="preserve"> </v>
      </c>
      <c r="Y1898" s="985"/>
      <c r="Z1898" s="922"/>
      <c r="AA1898" s="1067"/>
      <c r="AB1898" s="922"/>
      <c r="AC1898" s="922"/>
      <c r="AD1898" s="922"/>
      <c r="AE1898" s="922"/>
      <c r="AF1898" s="1046"/>
      <c r="AG1898" s="906" t="str">
        <f>IF(AE1898&lt;&gt;0,VLOOKUP(AE1898,ODDS!$A$2:$C$13,3,0),"")</f>
        <v/>
      </c>
      <c r="AH1898" s="906" t="str">
        <f t="shared" si="405"/>
        <v xml:space="preserve"> </v>
      </c>
      <c r="AI1898" s="907" t="str">
        <f t="shared" si="417"/>
        <v xml:space="preserve"> </v>
      </c>
      <c r="AJ1898" s="922"/>
      <c r="AK1898" s="922"/>
    </row>
    <row r="1899" spans="1:37" s="394" customFormat="1" ht="43.5" outlineLevel="1" x14ac:dyDescent="0.3">
      <c r="A1899" s="467" t="s">
        <v>2548</v>
      </c>
      <c r="B1899" s="912">
        <v>162</v>
      </c>
      <c r="C1899" s="942" t="s">
        <v>2175</v>
      </c>
      <c r="D1899" s="1038"/>
      <c r="E1899" s="1074"/>
      <c r="F1899" s="1074"/>
      <c r="G1899" s="1072"/>
      <c r="H1899" s="1075">
        <f>SUBTOTAL(9,H1900:H1906)</f>
        <v>0</v>
      </c>
      <c r="I1899" s="915">
        <f>SUBTOTAL(9,I1900:I1905)</f>
        <v>0</v>
      </c>
      <c r="J1899" s="916"/>
      <c r="K1899" s="917"/>
      <c r="L1899" s="917"/>
      <c r="M1899" s="907">
        <f>SUBTOTAL(9,M1900:M1906)</f>
        <v>0</v>
      </c>
      <c r="N1899" s="907">
        <f>SUBTOTAL(9,N1900:N1906)</f>
        <v>0</v>
      </c>
      <c r="O1899" s="942"/>
      <c r="P1899" s="1063">
        <f>SUBTOTAL(9,P1900:P1906)</f>
        <v>0</v>
      </c>
      <c r="Q1899" s="907"/>
      <c r="R1899" s="907">
        <f>SUBTOTAL(9,R1900:R1906)</f>
        <v>0</v>
      </c>
      <c r="S1899" s="918"/>
      <c r="T1899" s="956"/>
      <c r="U1899" s="1064">
        <f>SUBTOTAL(9,U1900:U1906)</f>
        <v>33.599999999999994</v>
      </c>
      <c r="V1899" s="914"/>
      <c r="W1899" s="907"/>
      <c r="X1899" s="907">
        <f>SUBTOTAL(9,X1900:X1906)</f>
        <v>39566000</v>
      </c>
      <c r="Y1899" s="996"/>
      <c r="Z1899" s="1016"/>
      <c r="AA1899" s="1016"/>
      <c r="AB1899" s="1026"/>
      <c r="AC1899" s="1016"/>
      <c r="AD1899" s="1016"/>
      <c r="AE1899" s="985"/>
      <c r="AF1899" s="935">
        <f>SUBTOTAL(9,AF1900:AF1906)</f>
        <v>0</v>
      </c>
      <c r="AG1899" s="921"/>
      <c r="AH1899" s="921">
        <f>SUBTOTAL(9,AH1900:AH1906)</f>
        <v>0</v>
      </c>
      <c r="AI1899" s="907">
        <f t="shared" si="417"/>
        <v>39566000</v>
      </c>
      <c r="AJ1899" s="914"/>
      <c r="AK1899" s="910"/>
    </row>
    <row r="1900" spans="1:37" s="394" customFormat="1" ht="112.5" outlineLevel="2" x14ac:dyDescent="0.35">
      <c r="A1900" s="447">
        <f>IF(B1899&lt;&gt;0,B1899,A1898)</f>
        <v>162</v>
      </c>
      <c r="B1900" s="893"/>
      <c r="C1900" s="908" t="s">
        <v>1328</v>
      </c>
      <c r="D1900" s="1032">
        <v>1</v>
      </c>
      <c r="E1900" s="1070"/>
      <c r="F1900" s="1070"/>
      <c r="G1900" s="1068"/>
      <c r="H1900" s="1071"/>
      <c r="I1900" s="882"/>
      <c r="J1900" s="898"/>
      <c r="K1900" s="899" t="str">
        <f>IF(G1900&lt;&gt;0,VLOOKUP(G1900,'gia dat'!$A$1:$F$144,5,0)," ")</f>
        <v xml:space="preserve"> </v>
      </c>
      <c r="L1900" s="899" t="str">
        <f>IF(G1900&lt;&gt;0,VLOOKUP(G1900,'gia dat'!$A$1:$F$144,6,0)," ")</f>
        <v xml:space="preserve"> </v>
      </c>
      <c r="M1900" s="900" t="str">
        <f t="shared" si="424"/>
        <v xml:space="preserve"> </v>
      </c>
      <c r="N1900" s="900" t="str">
        <f t="shared" si="425"/>
        <v xml:space="preserve"> </v>
      </c>
      <c r="O1900" s="908"/>
      <c r="P1900" s="1065"/>
      <c r="Q1900" s="900" t="str">
        <f>IF(O1900&lt;&gt;0,VLOOKUP(O1900,'Cây trong'!$A$2:$C$246,3,0)," ")</f>
        <v xml:space="preserve"> </v>
      </c>
      <c r="R1900" s="900" t="str">
        <f t="shared" si="404"/>
        <v xml:space="preserve"> </v>
      </c>
      <c r="S1900" s="902" t="s">
        <v>1852</v>
      </c>
      <c r="T1900" s="944" t="s">
        <v>1133</v>
      </c>
      <c r="U1900" s="1066">
        <v>7.7</v>
      </c>
      <c r="V1900" s="922"/>
      <c r="W1900" s="900">
        <f>IF(S1900&lt;&gt;0,VLOOKUP(S1900,VKT!$A$2:$G$415,7,0),"")</f>
        <v>1490563</v>
      </c>
      <c r="X1900" s="900">
        <f t="shared" si="411"/>
        <v>11477000</v>
      </c>
      <c r="Y1900" s="996" t="s">
        <v>139</v>
      </c>
      <c r="Z1900" s="1016" t="s">
        <v>1139</v>
      </c>
      <c r="AA1900" s="1016" t="s">
        <v>56</v>
      </c>
      <c r="AB1900" s="1026" t="s">
        <v>1263</v>
      </c>
      <c r="AC1900" s="1016" t="s">
        <v>1326</v>
      </c>
      <c r="AD1900" s="1016"/>
      <c r="AE1900" s="1016"/>
      <c r="AF1900" s="926"/>
      <c r="AG1900" s="906" t="str">
        <f>IF(AE1900&lt;&gt;0,VLOOKUP(AE1900,ODDS!$A$2:$C$13,3,0),"")</f>
        <v/>
      </c>
      <c r="AH1900" s="906" t="str">
        <f t="shared" si="405"/>
        <v xml:space="preserve"> </v>
      </c>
      <c r="AI1900" s="907" t="str">
        <f t="shared" si="417"/>
        <v xml:space="preserve"> </v>
      </c>
      <c r="AJ1900" s="922" t="s">
        <v>1267</v>
      </c>
      <c r="AK1900" s="894" t="s">
        <v>2450</v>
      </c>
    </row>
    <row r="1901" spans="1:37" s="394" customFormat="1" ht="135" outlineLevel="2" x14ac:dyDescent="0.35">
      <c r="A1901" s="447">
        <f t="shared" ref="A1901:A1906" si="426">IF(B1900&lt;&gt;0,B1900,A1900)</f>
        <v>162</v>
      </c>
      <c r="B1901" s="893"/>
      <c r="C1901" s="908" t="s">
        <v>1617</v>
      </c>
      <c r="D1901" s="1032"/>
      <c r="E1901" s="1070"/>
      <c r="F1901" s="1070"/>
      <c r="G1901" s="1068"/>
      <c r="H1901" s="1071"/>
      <c r="I1901" s="882"/>
      <c r="J1901" s="898"/>
      <c r="K1901" s="899" t="str">
        <f>IF(G1901&lt;&gt;0,VLOOKUP(G1901,'gia dat'!$A$1:$F$144,5,0)," ")</f>
        <v xml:space="preserve"> </v>
      </c>
      <c r="L1901" s="899" t="str">
        <f>IF(G1901&lt;&gt;0,VLOOKUP(G1901,'gia dat'!$A$1:$F$144,6,0)," ")</f>
        <v xml:space="preserve"> </v>
      </c>
      <c r="M1901" s="900" t="str">
        <f t="shared" si="424"/>
        <v xml:space="preserve"> </v>
      </c>
      <c r="N1901" s="900" t="str">
        <f t="shared" si="425"/>
        <v xml:space="preserve"> </v>
      </c>
      <c r="O1901" s="908"/>
      <c r="P1901" s="1065"/>
      <c r="Q1901" s="900" t="str">
        <f>IF(O1901&lt;&gt;0,VLOOKUP(O1901,'Cây trong'!$A$2:$C$246,3,0)," ")</f>
        <v xml:space="preserve"> </v>
      </c>
      <c r="R1901" s="900" t="str">
        <f t="shared" si="404"/>
        <v xml:space="preserve"> </v>
      </c>
      <c r="S1901" s="902" t="s">
        <v>1937</v>
      </c>
      <c r="T1901" s="944" t="s">
        <v>1133</v>
      </c>
      <c r="U1901" s="1066">
        <v>3.5</v>
      </c>
      <c r="V1901" s="922"/>
      <c r="W1901" s="900">
        <f>IF(S1901&lt;&gt;0,VLOOKUP(S1901,VKT!$A$2:$G$415,7,0),"")</f>
        <v>8025358</v>
      </c>
      <c r="X1901" s="900">
        <f t="shared" si="411"/>
        <v>28089000</v>
      </c>
      <c r="Y1901" s="985"/>
      <c r="Z1901" s="922"/>
      <c r="AA1901" s="1067"/>
      <c r="AB1901" s="922"/>
      <c r="AC1901" s="922"/>
      <c r="AD1901" s="922"/>
      <c r="AE1901" s="922"/>
      <c r="AF1901" s="1046"/>
      <c r="AG1901" s="906" t="str">
        <f>IF(AE1901&lt;&gt;0,VLOOKUP(AE1901,ODDS!$A$2:$C$13,3,0),"")</f>
        <v/>
      </c>
      <c r="AH1901" s="906" t="str">
        <f t="shared" si="405"/>
        <v xml:space="preserve"> </v>
      </c>
      <c r="AI1901" s="907" t="str">
        <f t="shared" si="417"/>
        <v xml:space="preserve"> </v>
      </c>
      <c r="AJ1901" s="1068"/>
      <c r="AK1901" s="922"/>
    </row>
    <row r="1902" spans="1:37" s="394" customFormat="1" ht="90" outlineLevel="2" x14ac:dyDescent="0.35">
      <c r="A1902" s="447">
        <f t="shared" si="426"/>
        <v>162</v>
      </c>
      <c r="B1902" s="893"/>
      <c r="C1902" s="908"/>
      <c r="D1902" s="1032"/>
      <c r="E1902" s="947"/>
      <c r="F1902" s="947"/>
      <c r="G1902" s="922"/>
      <c r="H1902" s="1041"/>
      <c r="I1902" s="882"/>
      <c r="J1902" s="898"/>
      <c r="K1902" s="899" t="str">
        <f>IF(G1902&lt;&gt;0,VLOOKUP(G1902,'gia dat'!$A$1:$F$144,5,0)," ")</f>
        <v xml:space="preserve"> </v>
      </c>
      <c r="L1902" s="899" t="str">
        <f>IF(G1902&lt;&gt;0,VLOOKUP(G1902,'gia dat'!$A$1:$F$144,6,0)," ")</f>
        <v xml:space="preserve"> </v>
      </c>
      <c r="M1902" s="900" t="str">
        <f t="shared" si="424"/>
        <v xml:space="preserve"> </v>
      </c>
      <c r="N1902" s="900" t="str">
        <f t="shared" si="425"/>
        <v xml:space="preserve"> </v>
      </c>
      <c r="O1902" s="908"/>
      <c r="P1902" s="1065"/>
      <c r="Q1902" s="900" t="str">
        <f>IF(O1902&lt;&gt;0,VLOOKUP(O1902,'Cây trong'!$A$2:$C$246,3,0)," ")</f>
        <v xml:space="preserve"> </v>
      </c>
      <c r="R1902" s="900" t="str">
        <f t="shared" ref="R1902:R1993" si="427">IF(O1902&lt;&gt;0,ROUND(P1902*Q1902,-2)," ")</f>
        <v xml:space="preserve"> </v>
      </c>
      <c r="S1902" s="908" t="s">
        <v>1938</v>
      </c>
      <c r="T1902" s="944" t="s">
        <v>1133</v>
      </c>
      <c r="U1902" s="1066">
        <v>22.4</v>
      </c>
      <c r="V1902" s="922"/>
      <c r="W1902" s="900">
        <f>IF(S1902&lt;&gt;0,VLOOKUP(S1902,VKT!$A$2:$G$415,7,0),"")</f>
        <v>0</v>
      </c>
      <c r="X1902" s="900">
        <f t="shared" si="411"/>
        <v>0</v>
      </c>
      <c r="Y1902" s="985"/>
      <c r="Z1902" s="922"/>
      <c r="AA1902" s="1067"/>
      <c r="AB1902" s="922"/>
      <c r="AC1902" s="922"/>
      <c r="AD1902" s="922"/>
      <c r="AE1902" s="922"/>
      <c r="AF1902" s="1046"/>
      <c r="AG1902" s="906" t="str">
        <f>IF(AE1902&lt;&gt;0,VLOOKUP(AE1902,ODDS!$A$2:$C$13,3,0),"")</f>
        <v/>
      </c>
      <c r="AH1902" s="906" t="str">
        <f t="shared" ref="AH1902:AH1993" si="428">IF(AE1902&lt;&gt;0,ROUND(AF1902*AG1902,-2)," ")</f>
        <v xml:space="preserve"> </v>
      </c>
      <c r="AI1902" s="907" t="str">
        <f t="shared" si="417"/>
        <v xml:space="preserve"> </v>
      </c>
      <c r="AJ1902" s="1068"/>
      <c r="AK1902" s="922"/>
    </row>
    <row r="1903" spans="1:37" s="394" customFormat="1" ht="67.5" outlineLevel="2" x14ac:dyDescent="0.3">
      <c r="A1903" s="447">
        <f t="shared" si="426"/>
        <v>162</v>
      </c>
      <c r="B1903" s="893"/>
      <c r="C1903" s="908"/>
      <c r="D1903" s="1032"/>
      <c r="E1903" s="947"/>
      <c r="F1903" s="947"/>
      <c r="G1903" s="922"/>
      <c r="H1903" s="1041"/>
      <c r="I1903" s="882"/>
      <c r="J1903" s="898"/>
      <c r="K1903" s="899" t="str">
        <f>IF(G1903&lt;&gt;0,VLOOKUP(G1903,'gia dat'!$A$1:$F$144,5,0)," ")</f>
        <v xml:space="preserve"> </v>
      </c>
      <c r="L1903" s="899" t="str">
        <f>IF(G1903&lt;&gt;0,VLOOKUP(G1903,'gia dat'!$A$1:$F$144,6,0)," ")</f>
        <v xml:space="preserve"> </v>
      </c>
      <c r="M1903" s="900" t="str">
        <f t="shared" si="424"/>
        <v xml:space="preserve"> </v>
      </c>
      <c r="N1903" s="900" t="str">
        <f t="shared" si="425"/>
        <v xml:space="preserve"> </v>
      </c>
      <c r="O1903" s="908"/>
      <c r="P1903" s="1065"/>
      <c r="Q1903" s="900" t="str">
        <f>IF(O1903&lt;&gt;0,VLOOKUP(O1903,'Cây trong'!$A$2:$C$246,3,0)," ")</f>
        <v xml:space="preserve"> </v>
      </c>
      <c r="R1903" s="900" t="str">
        <f t="shared" si="427"/>
        <v xml:space="preserve"> </v>
      </c>
      <c r="S1903" s="902" t="s">
        <v>1939</v>
      </c>
      <c r="T1903" s="944" t="s">
        <v>1133</v>
      </c>
      <c r="U1903" s="1066"/>
      <c r="V1903" s="922">
        <v>11.2</v>
      </c>
      <c r="W1903" s="900">
        <f>IF(S1903&lt;&gt;0,VLOOKUP(S1903,VKT!$A$2:$G$415,7,0),"")</f>
        <v>1490563</v>
      </c>
      <c r="X1903" s="900">
        <f t="shared" si="411"/>
        <v>0</v>
      </c>
      <c r="Y1903" s="985"/>
      <c r="Z1903" s="922"/>
      <c r="AA1903" s="1067"/>
      <c r="AB1903" s="922"/>
      <c r="AC1903" s="922"/>
      <c r="AD1903" s="922"/>
      <c r="AE1903" s="922"/>
      <c r="AF1903" s="1046"/>
      <c r="AG1903" s="906" t="str">
        <f>IF(AE1903&lt;&gt;0,VLOOKUP(AE1903,ODDS!$A$2:$C$13,3,0),"")</f>
        <v/>
      </c>
      <c r="AH1903" s="906" t="str">
        <f t="shared" si="428"/>
        <v xml:space="preserve"> </v>
      </c>
      <c r="AI1903" s="907" t="str">
        <f t="shared" si="417"/>
        <v xml:space="preserve"> </v>
      </c>
      <c r="AJ1903" s="922"/>
      <c r="AK1903" s="922"/>
    </row>
    <row r="1904" spans="1:37" s="394" customFormat="1" ht="22.5" outlineLevel="2" x14ac:dyDescent="0.3">
      <c r="A1904" s="447">
        <f t="shared" si="426"/>
        <v>162</v>
      </c>
      <c r="B1904" s="893"/>
      <c r="C1904" s="908"/>
      <c r="D1904" s="1032"/>
      <c r="E1904" s="947"/>
      <c r="F1904" s="947"/>
      <c r="G1904" s="922"/>
      <c r="H1904" s="1041"/>
      <c r="I1904" s="882"/>
      <c r="J1904" s="898"/>
      <c r="K1904" s="899" t="str">
        <f>IF(G1904&lt;&gt;0,VLOOKUP(G1904,'gia dat'!$A$1:$F$144,5,0)," ")</f>
        <v xml:space="preserve"> </v>
      </c>
      <c r="L1904" s="899" t="str">
        <f>IF(G1904&lt;&gt;0,VLOOKUP(G1904,'gia dat'!$A$1:$F$144,6,0)," ")</f>
        <v xml:space="preserve"> </v>
      </c>
      <c r="M1904" s="900" t="str">
        <f t="shared" si="424"/>
        <v xml:space="preserve"> </v>
      </c>
      <c r="N1904" s="900" t="str">
        <f t="shared" si="425"/>
        <v xml:space="preserve"> </v>
      </c>
      <c r="O1904" s="908"/>
      <c r="P1904" s="1065"/>
      <c r="Q1904" s="900" t="str">
        <f>IF(O1904&lt;&gt;0,VLOOKUP(O1904,'Cây trong'!$A$2:$C$246,3,0)," ")</f>
        <v xml:space="preserve"> </v>
      </c>
      <c r="R1904" s="900" t="str">
        <f t="shared" si="427"/>
        <v xml:space="preserve"> </v>
      </c>
      <c r="S1904" s="902"/>
      <c r="T1904" s="944"/>
      <c r="U1904" s="1066"/>
      <c r="V1904" s="922"/>
      <c r="W1904" s="900" t="str">
        <f>IF(S1904&lt;&gt;0,VLOOKUP(S1904,VKT!$A$2:$G$415,7,0),"")</f>
        <v/>
      </c>
      <c r="X1904" s="900" t="str">
        <f t="shared" si="411"/>
        <v xml:space="preserve"> </v>
      </c>
      <c r="Y1904" s="985"/>
      <c r="Z1904" s="922"/>
      <c r="AA1904" s="1067"/>
      <c r="AB1904" s="922"/>
      <c r="AC1904" s="922"/>
      <c r="AD1904" s="922"/>
      <c r="AE1904" s="922"/>
      <c r="AF1904" s="1046"/>
      <c r="AG1904" s="906" t="str">
        <f>IF(AE1904&lt;&gt;0,VLOOKUP(AE1904,ODDS!$A$2:$C$13,3,0),"")</f>
        <v/>
      </c>
      <c r="AH1904" s="906" t="str">
        <f t="shared" si="428"/>
        <v xml:space="preserve"> </v>
      </c>
      <c r="AI1904" s="907" t="str">
        <f t="shared" si="417"/>
        <v xml:space="preserve"> </v>
      </c>
      <c r="AJ1904" s="922"/>
      <c r="AK1904" s="922"/>
    </row>
    <row r="1905" spans="1:37" s="394" customFormat="1" ht="22.5" outlineLevel="2" x14ac:dyDescent="0.3">
      <c r="A1905" s="447">
        <f t="shared" si="426"/>
        <v>162</v>
      </c>
      <c r="B1905" s="893"/>
      <c r="C1905" s="908"/>
      <c r="D1905" s="1032"/>
      <c r="E1905" s="947"/>
      <c r="F1905" s="947"/>
      <c r="G1905" s="922"/>
      <c r="H1905" s="1041"/>
      <c r="I1905" s="882"/>
      <c r="J1905" s="898"/>
      <c r="K1905" s="899" t="str">
        <f>IF(G1905&lt;&gt;0,VLOOKUP(G1905,'gia dat'!$A$1:$F$144,5,0)," ")</f>
        <v xml:space="preserve"> </v>
      </c>
      <c r="L1905" s="899" t="str">
        <f>IF(G1905&lt;&gt;0,VLOOKUP(G1905,'gia dat'!$A$1:$F$144,6,0)," ")</f>
        <v xml:space="preserve"> </v>
      </c>
      <c r="M1905" s="900" t="str">
        <f t="shared" si="424"/>
        <v xml:space="preserve"> </v>
      </c>
      <c r="N1905" s="900" t="str">
        <f t="shared" si="425"/>
        <v xml:space="preserve"> </v>
      </c>
      <c r="O1905" s="908"/>
      <c r="P1905" s="1065"/>
      <c r="Q1905" s="900" t="str">
        <f>IF(O1905&lt;&gt;0,VLOOKUP(O1905,'Cây trong'!$A$2:$C$246,3,0)," ")</f>
        <v xml:space="preserve"> </v>
      </c>
      <c r="R1905" s="900" t="str">
        <f t="shared" si="427"/>
        <v xml:space="preserve"> </v>
      </c>
      <c r="S1905" s="902"/>
      <c r="T1905" s="944"/>
      <c r="U1905" s="1066"/>
      <c r="V1905" s="922"/>
      <c r="W1905" s="900" t="str">
        <f>IF(S1905&lt;&gt;0,VLOOKUP(S1905,VKT!$A$2:$G$415,7,0),"")</f>
        <v/>
      </c>
      <c r="X1905" s="900" t="str">
        <f t="shared" si="411"/>
        <v xml:space="preserve"> </v>
      </c>
      <c r="Y1905" s="985"/>
      <c r="Z1905" s="922"/>
      <c r="AA1905" s="1067"/>
      <c r="AB1905" s="922"/>
      <c r="AC1905" s="922"/>
      <c r="AD1905" s="922"/>
      <c r="AE1905" s="922"/>
      <c r="AF1905" s="1046"/>
      <c r="AG1905" s="906" t="str">
        <f>IF(AE1905&lt;&gt;0,VLOOKUP(AE1905,ODDS!$A$2:$C$13,3,0),"")</f>
        <v/>
      </c>
      <c r="AH1905" s="906" t="str">
        <f t="shared" si="428"/>
        <v xml:space="preserve"> </v>
      </c>
      <c r="AI1905" s="907" t="str">
        <f t="shared" si="417"/>
        <v xml:space="preserve"> </v>
      </c>
      <c r="AJ1905" s="922"/>
      <c r="AK1905" s="922"/>
    </row>
    <row r="1906" spans="1:37" s="394" customFormat="1" ht="22.5" outlineLevel="2" x14ac:dyDescent="0.3">
      <c r="A1906" s="447">
        <f t="shared" si="426"/>
        <v>162</v>
      </c>
      <c r="B1906" s="893"/>
      <c r="C1906" s="942"/>
      <c r="D1906" s="1032"/>
      <c r="E1906" s="947"/>
      <c r="F1906" s="947"/>
      <c r="G1906" s="922"/>
      <c r="H1906" s="1041"/>
      <c r="I1906" s="882"/>
      <c r="J1906" s="898"/>
      <c r="K1906" s="899" t="str">
        <f>IF(G1906&lt;&gt;0,VLOOKUP(G1906,'gia dat'!$A$1:$F$144,5,0)," ")</f>
        <v xml:space="preserve"> </v>
      </c>
      <c r="L1906" s="899" t="str">
        <f>IF(G1906&lt;&gt;0,VLOOKUP(G1906,'gia dat'!$A$1:$F$144,6,0)," ")</f>
        <v xml:space="preserve"> </v>
      </c>
      <c r="M1906" s="900" t="str">
        <f t="shared" si="424"/>
        <v xml:space="preserve"> </v>
      </c>
      <c r="N1906" s="900" t="str">
        <f t="shared" si="425"/>
        <v xml:space="preserve"> </v>
      </c>
      <c r="O1906" s="908"/>
      <c r="P1906" s="1065"/>
      <c r="Q1906" s="900" t="str">
        <f>IF(O1906&lt;&gt;0,VLOOKUP(O1906,'Cây trong'!$A$2:$C$246,3,0)," ")</f>
        <v xml:space="preserve"> </v>
      </c>
      <c r="R1906" s="900" t="str">
        <f t="shared" si="427"/>
        <v xml:space="preserve"> </v>
      </c>
      <c r="S1906" s="902"/>
      <c r="T1906" s="944"/>
      <c r="U1906" s="1066"/>
      <c r="V1906" s="922"/>
      <c r="W1906" s="900" t="str">
        <f>IF(S1906&lt;&gt;0,VLOOKUP(S1906,VKT!$A$2:$G$415,7,0),"")</f>
        <v/>
      </c>
      <c r="X1906" s="900" t="str">
        <f t="shared" si="411"/>
        <v xml:space="preserve"> </v>
      </c>
      <c r="Y1906" s="985"/>
      <c r="Z1906" s="922"/>
      <c r="AA1906" s="1067"/>
      <c r="AB1906" s="922"/>
      <c r="AC1906" s="922"/>
      <c r="AD1906" s="922"/>
      <c r="AE1906" s="922"/>
      <c r="AF1906" s="1046"/>
      <c r="AG1906" s="906" t="str">
        <f>IF(AE1906&lt;&gt;0,VLOOKUP(AE1906,ODDS!$A$2:$C$13,3,0),"")</f>
        <v/>
      </c>
      <c r="AH1906" s="906" t="str">
        <f t="shared" si="428"/>
        <v xml:space="preserve"> </v>
      </c>
      <c r="AI1906" s="907" t="str">
        <f t="shared" si="417"/>
        <v xml:space="preserve"> </v>
      </c>
      <c r="AJ1906" s="922"/>
      <c r="AK1906" s="922"/>
    </row>
    <row r="1907" spans="1:37" s="396" customFormat="1" ht="43.5" outlineLevel="1" x14ac:dyDescent="0.25">
      <c r="A1907" s="467" t="s">
        <v>2547</v>
      </c>
      <c r="B1907" s="912">
        <v>163</v>
      </c>
      <c r="C1907" s="942" t="s">
        <v>1331</v>
      </c>
      <c r="D1907" s="1038"/>
      <c r="E1907" s="977"/>
      <c r="F1907" s="977"/>
      <c r="G1907" s="914"/>
      <c r="H1907" s="1039">
        <f>SUBTOTAL(9,H1908:H1914)</f>
        <v>2657.2</v>
      </c>
      <c r="I1907" s="915">
        <f>SUBTOTAL(9,I1908:I1913)</f>
        <v>2457.1999999999998</v>
      </c>
      <c r="J1907" s="916"/>
      <c r="K1907" s="917"/>
      <c r="L1907" s="917"/>
      <c r="M1907" s="907">
        <f>SUBTOTAL(9,M1908:M1914)</f>
        <v>3218536000</v>
      </c>
      <c r="N1907" s="907">
        <f>SUBTOTAL(9,N1908:N1914)</f>
        <v>3432217000</v>
      </c>
      <c r="O1907" s="942"/>
      <c r="P1907" s="1063">
        <f>SUBTOTAL(9,P1908:P1914)</f>
        <v>483</v>
      </c>
      <c r="Q1907" s="907"/>
      <c r="R1907" s="907">
        <f>SUBTOTAL(9,R1908:R1914)</f>
        <v>5796000</v>
      </c>
      <c r="S1907" s="918"/>
      <c r="T1907" s="956"/>
      <c r="U1907" s="1064">
        <f>SUBTOTAL(9,U1908:U1914)</f>
        <v>0</v>
      </c>
      <c r="V1907" s="914"/>
      <c r="W1907" s="907"/>
      <c r="X1907" s="907">
        <f>SUBTOTAL(9,X1908:X1914)</f>
        <v>0</v>
      </c>
      <c r="Y1907" s="985"/>
      <c r="Z1907" s="922"/>
      <c r="AA1907" s="1067"/>
      <c r="AB1907" s="922"/>
      <c r="AC1907" s="922"/>
      <c r="AD1907" s="922"/>
      <c r="AE1907" s="938"/>
      <c r="AF1907" s="917">
        <f>SUBTOTAL(9,AF1908:AF1914)</f>
        <v>0</v>
      </c>
      <c r="AG1907" s="921"/>
      <c r="AH1907" s="921">
        <f>SUBTOTAL(9,AH1908:AH1914)</f>
        <v>0</v>
      </c>
      <c r="AI1907" s="907">
        <f t="shared" si="417"/>
        <v>6656549000</v>
      </c>
      <c r="AJ1907" s="914"/>
      <c r="AK1907" s="914"/>
    </row>
    <row r="1908" spans="1:37" s="396" customFormat="1" ht="135" outlineLevel="2" x14ac:dyDescent="0.3">
      <c r="A1908" s="447">
        <f>IF(B1907&lt;&gt;0,B1907,A1906)</f>
        <v>163</v>
      </c>
      <c r="B1908" s="893"/>
      <c r="C1908" s="908" t="s">
        <v>1334</v>
      </c>
      <c r="D1908" s="1032">
        <v>4</v>
      </c>
      <c r="E1908" s="947">
        <v>86</v>
      </c>
      <c r="F1908" s="947">
        <v>27</v>
      </c>
      <c r="G1908" s="922" t="s">
        <v>2418</v>
      </c>
      <c r="H1908" s="1041">
        <v>2457.1999999999998</v>
      </c>
      <c r="I1908" s="882">
        <f t="shared" ref="I1908:I1909" si="429">IF(N1908&gt;0,H1908,"")</f>
        <v>2457.1999999999998</v>
      </c>
      <c r="J1908" s="898"/>
      <c r="K1908" s="899">
        <f>IF(G1908&lt;&gt;0,VLOOKUP(G1908,'gia dat'!$A$1:$F$144,5,0)," ")</f>
        <v>465600</v>
      </c>
      <c r="L1908" s="899">
        <f>IF(G1908&lt;&gt;0,VLOOKUP(G1908,'gia dat'!$A$1:$F$144,6,0)," ")</f>
        <v>1396800</v>
      </c>
      <c r="M1908" s="900">
        <f t="shared" si="424"/>
        <v>1144072000</v>
      </c>
      <c r="N1908" s="900">
        <f t="shared" si="425"/>
        <v>3432217000</v>
      </c>
      <c r="O1908" s="908" t="s">
        <v>1332</v>
      </c>
      <c r="P1908" s="1065">
        <v>483</v>
      </c>
      <c r="Q1908" s="900">
        <f>IF(O1908&lt;&gt;0,VLOOKUP(O1908,'Cây trong'!$A$2:$C$246,3,0)," ")</f>
        <v>12000</v>
      </c>
      <c r="R1908" s="900">
        <f t="shared" si="427"/>
        <v>5796000</v>
      </c>
      <c r="S1908" s="902"/>
      <c r="T1908" s="944"/>
      <c r="U1908" s="1066"/>
      <c r="V1908" s="922"/>
      <c r="W1908" s="900" t="str">
        <f>IF(S1908&lt;&gt;0,VLOOKUP(S1908,VKT!$A$2:$G$415,7,0),"")</f>
        <v/>
      </c>
      <c r="X1908" s="900" t="str">
        <f t="shared" si="411"/>
        <v xml:space="preserve"> </v>
      </c>
      <c r="Y1908" s="985"/>
      <c r="Z1908" s="922"/>
      <c r="AA1908" s="1067"/>
      <c r="AB1908" s="922"/>
      <c r="AC1908" s="922"/>
      <c r="AD1908" s="922"/>
      <c r="AE1908" s="905"/>
      <c r="AF1908" s="899"/>
      <c r="AG1908" s="906"/>
      <c r="AH1908" s="906"/>
      <c r="AI1908" s="907" t="str">
        <f t="shared" si="417"/>
        <v xml:space="preserve"> </v>
      </c>
      <c r="AJ1908" s="922" t="s">
        <v>1333</v>
      </c>
      <c r="AK1908" s="922" t="s">
        <v>2771</v>
      </c>
    </row>
    <row r="1909" spans="1:37" s="394" customFormat="1" ht="247.5" outlineLevel="2" x14ac:dyDescent="0.3">
      <c r="A1909" s="447">
        <f t="shared" ref="A1909:A1914" si="430">IF(B1908&lt;&gt;0,B1908,A1908)</f>
        <v>163</v>
      </c>
      <c r="B1909" s="893"/>
      <c r="C1909" s="908" t="s">
        <v>1336</v>
      </c>
      <c r="D1909" s="1032"/>
      <c r="E1909" s="947">
        <v>86</v>
      </c>
      <c r="F1909" s="947">
        <v>27</v>
      </c>
      <c r="G1909" s="922" t="s">
        <v>2905</v>
      </c>
      <c r="H1909" s="1041">
        <f>200-H1911</f>
        <v>200</v>
      </c>
      <c r="I1909" s="882" t="str">
        <f t="shared" si="429"/>
        <v/>
      </c>
      <c r="J1909" s="898"/>
      <c r="K1909" s="899">
        <f>IF(G1909&lt;&gt;0,VLOOKUP(G1909,'gia dat'!$A$1:$F$144,5,0)," ")</f>
        <v>10372320</v>
      </c>
      <c r="L1909" s="899">
        <f>IF(G1909&lt;&gt;0,VLOOKUP(G1909,'gia dat'!$A$1:$F$144,6,0)," ")</f>
        <v>0</v>
      </c>
      <c r="M1909" s="900">
        <f t="shared" si="424"/>
        <v>2074464000</v>
      </c>
      <c r="N1909" s="900">
        <f t="shared" si="425"/>
        <v>0</v>
      </c>
      <c r="O1909" s="908"/>
      <c r="P1909" s="1065"/>
      <c r="Q1909" s="900" t="str">
        <f>IF(O1909&lt;&gt;0,VLOOKUP(O1909,'Cây trong'!$A$2:$C$246,3,0)," ")</f>
        <v xml:space="preserve"> </v>
      </c>
      <c r="R1909" s="900" t="str">
        <f t="shared" si="427"/>
        <v xml:space="preserve"> </v>
      </c>
      <c r="S1909" s="902"/>
      <c r="T1909" s="944"/>
      <c r="U1909" s="1066"/>
      <c r="V1909" s="922"/>
      <c r="W1909" s="900" t="str">
        <f>IF(S1909&lt;&gt;0,VLOOKUP(S1909,VKT!$A$2:$G$415,7,0),"")</f>
        <v/>
      </c>
      <c r="X1909" s="900" t="str">
        <f t="shared" ref="X1909:X1977" si="431">IF(S1909&lt;&gt;0,ROUND(U1909*W1909,-3)," ")</f>
        <v xml:space="preserve"> </v>
      </c>
      <c r="Y1909" s="985"/>
      <c r="Z1909" s="922"/>
      <c r="AA1909" s="1067"/>
      <c r="AB1909" s="922"/>
      <c r="AC1909" s="922"/>
      <c r="AD1909" s="922"/>
      <c r="AE1909" s="905"/>
      <c r="AF1909" s="926"/>
      <c r="AG1909" s="906" t="str">
        <f>IF(AE1909&lt;&gt;0,VLOOKUP(AE1909,ODDS!$A$2:$C$13,3,0),"")</f>
        <v/>
      </c>
      <c r="AH1909" s="906" t="str">
        <f t="shared" si="428"/>
        <v xml:space="preserve"> </v>
      </c>
      <c r="AI1909" s="907" t="str">
        <f t="shared" si="417"/>
        <v xml:space="preserve"> </v>
      </c>
      <c r="AJ1909" s="922" t="s">
        <v>1335</v>
      </c>
      <c r="AK1909" s="894" t="s">
        <v>2448</v>
      </c>
    </row>
    <row r="1910" spans="1:37" s="394" customFormat="1" ht="112.5" outlineLevel="2" x14ac:dyDescent="0.3">
      <c r="A1910" s="447">
        <f t="shared" si="430"/>
        <v>163</v>
      </c>
      <c r="B1910" s="893"/>
      <c r="C1910" s="908"/>
      <c r="D1910" s="1032"/>
      <c r="E1910" s="947"/>
      <c r="F1910" s="947"/>
      <c r="G1910" s="922"/>
      <c r="H1910" s="1041"/>
      <c r="I1910" s="882"/>
      <c r="J1910" s="898"/>
      <c r="K1910" s="899" t="str">
        <f>IF(G1910&lt;&gt;0,VLOOKUP(G1910,'gia dat'!$A$1:$F$144,5,0)," ")</f>
        <v xml:space="preserve"> </v>
      </c>
      <c r="L1910" s="899" t="str">
        <f>IF(G1910&lt;&gt;0,VLOOKUP(G1910,'gia dat'!$A$1:$F$144,6,0)," ")</f>
        <v xml:space="preserve"> </v>
      </c>
      <c r="M1910" s="900" t="str">
        <f t="shared" si="424"/>
        <v xml:space="preserve"> </v>
      </c>
      <c r="N1910" s="900" t="str">
        <f t="shared" si="425"/>
        <v xml:space="preserve"> </v>
      </c>
      <c r="O1910" s="908"/>
      <c r="P1910" s="1065"/>
      <c r="Q1910" s="900" t="str">
        <f>IF(O1910&lt;&gt;0,VLOOKUP(O1910,'Cây trong'!$A$2:$C$246,3,0)," ")</f>
        <v xml:space="preserve"> </v>
      </c>
      <c r="R1910" s="900" t="str">
        <f t="shared" si="427"/>
        <v xml:space="preserve"> </v>
      </c>
      <c r="S1910" s="902"/>
      <c r="T1910" s="944"/>
      <c r="U1910" s="1066"/>
      <c r="V1910" s="922"/>
      <c r="W1910" s="900" t="str">
        <f>IF(S1910&lt;&gt;0,VLOOKUP(S1910,VKT!$A$2:$G$415,7,0),"")</f>
        <v/>
      </c>
      <c r="X1910" s="900" t="str">
        <f t="shared" si="431"/>
        <v xml:space="preserve"> </v>
      </c>
      <c r="Y1910" s="985"/>
      <c r="Z1910" s="922"/>
      <c r="AA1910" s="1067"/>
      <c r="AB1910" s="922"/>
      <c r="AC1910" s="922"/>
      <c r="AD1910" s="922"/>
      <c r="AE1910" s="941"/>
      <c r="AF1910" s="926"/>
      <c r="AG1910" s="906" t="str">
        <f>IF(AE1910&lt;&gt;0,VLOOKUP(AE1910,ODDS!$A$2:$C$13,3,0),"")</f>
        <v/>
      </c>
      <c r="AH1910" s="906" t="str">
        <f t="shared" si="428"/>
        <v xml:space="preserve"> </v>
      </c>
      <c r="AI1910" s="907" t="str">
        <f t="shared" si="417"/>
        <v xml:space="preserve"> </v>
      </c>
      <c r="AJ1910" s="922" t="s">
        <v>2074</v>
      </c>
      <c r="AK1910" s="894" t="s">
        <v>2449</v>
      </c>
    </row>
    <row r="1911" spans="1:37" s="394" customFormat="1" ht="22.5" outlineLevel="2" x14ac:dyDescent="0.35">
      <c r="A1911" s="447">
        <f t="shared" si="430"/>
        <v>163</v>
      </c>
      <c r="B1911" s="893"/>
      <c r="C1911" s="908"/>
      <c r="D1911" s="1032"/>
      <c r="E1911" s="947"/>
      <c r="F1911" s="947"/>
      <c r="G1911" s="922"/>
      <c r="H1911" s="1041"/>
      <c r="I1911" s="882"/>
      <c r="J1911" s="898"/>
      <c r="K1911" s="899" t="str">
        <f>IF(G1911&lt;&gt;0,VLOOKUP(G1911,'gia dat'!$A$1:$F$144,5,0)," ")</f>
        <v xml:space="preserve"> </v>
      </c>
      <c r="L1911" s="899" t="str">
        <f>IF(G1911&lt;&gt;0,VLOOKUP(G1911,'gia dat'!$A$1:$F$144,6,0)," ")</f>
        <v xml:space="preserve"> </v>
      </c>
      <c r="M1911" s="900" t="str">
        <f t="shared" si="424"/>
        <v xml:space="preserve"> </v>
      </c>
      <c r="N1911" s="900" t="str">
        <f t="shared" si="425"/>
        <v xml:space="preserve"> </v>
      </c>
      <c r="O1911" s="908"/>
      <c r="P1911" s="1065"/>
      <c r="Q1911" s="900" t="str">
        <f>IF(O1911&lt;&gt;0,VLOOKUP(O1911,'Cây trong'!$A$2:$C$246,3,0)," ")</f>
        <v xml:space="preserve"> </v>
      </c>
      <c r="R1911" s="900" t="str">
        <f t="shared" si="427"/>
        <v xml:space="preserve"> </v>
      </c>
      <c r="S1911" s="902"/>
      <c r="T1911" s="944"/>
      <c r="U1911" s="1066"/>
      <c r="V1911" s="922"/>
      <c r="W1911" s="900" t="str">
        <f>IF(S1911&lt;&gt;0,VLOOKUP(S1911,VKT!$A$2:$G$415,7,0),"")</f>
        <v/>
      </c>
      <c r="X1911" s="900" t="str">
        <f t="shared" si="431"/>
        <v xml:space="preserve"> </v>
      </c>
      <c r="Y1911" s="985"/>
      <c r="Z1911" s="922"/>
      <c r="AA1911" s="1067"/>
      <c r="AB1911" s="922"/>
      <c r="AC1911" s="922"/>
      <c r="AD1911" s="922"/>
      <c r="AE1911" s="922"/>
      <c r="AF1911" s="1046"/>
      <c r="AG1911" s="906" t="str">
        <f>IF(AE1911&lt;&gt;0,VLOOKUP(AE1911,ODDS!$A$2:$C$13,3,0),"")</f>
        <v/>
      </c>
      <c r="AH1911" s="906" t="str">
        <f t="shared" si="428"/>
        <v xml:space="preserve"> </v>
      </c>
      <c r="AI1911" s="907" t="str">
        <f t="shared" si="417"/>
        <v xml:space="preserve"> </v>
      </c>
      <c r="AJ1911" s="1068"/>
      <c r="AK1911" s="922"/>
    </row>
    <row r="1912" spans="1:37" s="394" customFormat="1" ht="22.5" outlineLevel="2" x14ac:dyDescent="0.3">
      <c r="A1912" s="447">
        <f t="shared" si="430"/>
        <v>163</v>
      </c>
      <c r="B1912" s="893"/>
      <c r="C1912" s="908"/>
      <c r="D1912" s="1032"/>
      <c r="E1912" s="947"/>
      <c r="F1912" s="947"/>
      <c r="G1912" s="922"/>
      <c r="H1912" s="1041"/>
      <c r="I1912" s="882"/>
      <c r="J1912" s="898"/>
      <c r="K1912" s="899" t="str">
        <f>IF(G1912&lt;&gt;0,VLOOKUP(G1912,'gia dat'!$A$1:$F$144,5,0)," ")</f>
        <v xml:space="preserve"> </v>
      </c>
      <c r="L1912" s="899" t="str">
        <f>IF(G1912&lt;&gt;0,VLOOKUP(G1912,'gia dat'!$A$1:$F$144,6,0)," ")</f>
        <v xml:space="preserve"> </v>
      </c>
      <c r="M1912" s="900" t="str">
        <f t="shared" si="424"/>
        <v xml:space="preserve"> </v>
      </c>
      <c r="N1912" s="900" t="str">
        <f t="shared" si="425"/>
        <v xml:space="preserve"> </v>
      </c>
      <c r="O1912" s="908"/>
      <c r="P1912" s="1065"/>
      <c r="Q1912" s="900" t="str">
        <f>IF(O1912&lt;&gt;0,VLOOKUP(O1912,'Cây trong'!$A$2:$C$246,3,0)," ")</f>
        <v xml:space="preserve"> </v>
      </c>
      <c r="R1912" s="900" t="str">
        <f t="shared" si="427"/>
        <v xml:space="preserve"> </v>
      </c>
      <c r="S1912" s="902"/>
      <c r="T1912" s="944"/>
      <c r="U1912" s="1066"/>
      <c r="V1912" s="922"/>
      <c r="W1912" s="900" t="str">
        <f>IF(S1912&lt;&gt;0,VLOOKUP(S1912,VKT!$A$2:$G$415,7,0),"")</f>
        <v/>
      </c>
      <c r="X1912" s="900" t="str">
        <f t="shared" si="431"/>
        <v xml:space="preserve"> </v>
      </c>
      <c r="Y1912" s="985"/>
      <c r="Z1912" s="922"/>
      <c r="AA1912" s="1067"/>
      <c r="AB1912" s="922"/>
      <c r="AC1912" s="922"/>
      <c r="AD1912" s="922"/>
      <c r="AE1912" s="922"/>
      <c r="AF1912" s="1046"/>
      <c r="AG1912" s="906" t="str">
        <f>IF(AE1912&lt;&gt;0,VLOOKUP(AE1912,ODDS!$A$2:$C$13,3,0),"")</f>
        <v/>
      </c>
      <c r="AH1912" s="906" t="str">
        <f t="shared" si="428"/>
        <v xml:space="preserve"> </v>
      </c>
      <c r="AI1912" s="907" t="str">
        <f t="shared" si="417"/>
        <v xml:space="preserve"> </v>
      </c>
      <c r="AJ1912" s="908"/>
      <c r="AK1912" s="908"/>
    </row>
    <row r="1913" spans="1:37" s="394" customFormat="1" ht="22.5" outlineLevel="2" x14ac:dyDescent="0.3">
      <c r="A1913" s="447">
        <f t="shared" si="430"/>
        <v>163</v>
      </c>
      <c r="B1913" s="893"/>
      <c r="C1913" s="908"/>
      <c r="D1913" s="1032"/>
      <c r="E1913" s="947"/>
      <c r="F1913" s="947"/>
      <c r="G1913" s="922"/>
      <c r="H1913" s="1041"/>
      <c r="I1913" s="882"/>
      <c r="J1913" s="898"/>
      <c r="K1913" s="899" t="str">
        <f>IF(G1913&lt;&gt;0,VLOOKUP(G1913,'gia dat'!$A$1:$F$144,5,0)," ")</f>
        <v xml:space="preserve"> </v>
      </c>
      <c r="L1913" s="899" t="str">
        <f>IF(G1913&lt;&gt;0,VLOOKUP(G1913,'gia dat'!$A$1:$F$144,6,0)," ")</f>
        <v xml:space="preserve"> </v>
      </c>
      <c r="M1913" s="900" t="str">
        <f t="shared" si="424"/>
        <v xml:space="preserve"> </v>
      </c>
      <c r="N1913" s="900" t="str">
        <f t="shared" si="425"/>
        <v xml:space="preserve"> </v>
      </c>
      <c r="O1913" s="908"/>
      <c r="P1913" s="1065"/>
      <c r="Q1913" s="900" t="str">
        <f>IF(O1913&lt;&gt;0,VLOOKUP(O1913,'Cây trong'!$A$2:$C$246,3,0)," ")</f>
        <v xml:space="preserve"> </v>
      </c>
      <c r="R1913" s="900" t="str">
        <f t="shared" si="427"/>
        <v xml:space="preserve"> </v>
      </c>
      <c r="S1913" s="902"/>
      <c r="T1913" s="944"/>
      <c r="U1913" s="1066"/>
      <c r="V1913" s="922"/>
      <c r="W1913" s="900" t="str">
        <f>IF(S1913&lt;&gt;0,VLOOKUP(S1913,VKT!$A$2:$G$415,7,0),"")</f>
        <v/>
      </c>
      <c r="X1913" s="900" t="str">
        <f t="shared" si="431"/>
        <v xml:space="preserve"> </v>
      </c>
      <c r="Y1913" s="985"/>
      <c r="Z1913" s="922"/>
      <c r="AA1913" s="1067"/>
      <c r="AB1913" s="922"/>
      <c r="AC1913" s="922"/>
      <c r="AD1913" s="922"/>
      <c r="AE1913" s="922"/>
      <c r="AF1913" s="1046"/>
      <c r="AG1913" s="906" t="str">
        <f>IF(AE1913&lt;&gt;0,VLOOKUP(AE1913,ODDS!$A$2:$C$13,3,0),"")</f>
        <v/>
      </c>
      <c r="AH1913" s="906" t="str">
        <f t="shared" si="428"/>
        <v xml:space="preserve"> </v>
      </c>
      <c r="AI1913" s="907" t="str">
        <f t="shared" si="417"/>
        <v xml:space="preserve"> </v>
      </c>
      <c r="AJ1913" s="922"/>
      <c r="AK1913" s="922"/>
    </row>
    <row r="1914" spans="1:37" s="394" customFormat="1" ht="22.5" outlineLevel="2" x14ac:dyDescent="0.3">
      <c r="A1914" s="447">
        <f t="shared" si="430"/>
        <v>163</v>
      </c>
      <c r="B1914" s="893"/>
      <c r="C1914" s="942"/>
      <c r="D1914" s="1032"/>
      <c r="E1914" s="947"/>
      <c r="F1914" s="947"/>
      <c r="G1914" s="922"/>
      <c r="H1914" s="1041"/>
      <c r="I1914" s="882"/>
      <c r="J1914" s="898"/>
      <c r="K1914" s="899" t="str">
        <f>IF(G1914&lt;&gt;0,VLOOKUP(G1914,'gia dat'!$A$1:$F$144,5,0)," ")</f>
        <v xml:space="preserve"> </v>
      </c>
      <c r="L1914" s="899" t="str">
        <f>IF(G1914&lt;&gt;0,VLOOKUP(G1914,'gia dat'!$A$1:$F$144,6,0)," ")</f>
        <v xml:space="preserve"> </v>
      </c>
      <c r="M1914" s="900" t="str">
        <f t="shared" si="424"/>
        <v xml:space="preserve"> </v>
      </c>
      <c r="N1914" s="900" t="str">
        <f t="shared" si="425"/>
        <v xml:space="preserve"> </v>
      </c>
      <c r="O1914" s="908"/>
      <c r="P1914" s="1065"/>
      <c r="Q1914" s="900" t="str">
        <f>IF(O1914&lt;&gt;0,VLOOKUP(O1914,'Cây trong'!$A$2:$C$246,3,0)," ")</f>
        <v xml:space="preserve"> </v>
      </c>
      <c r="R1914" s="900" t="str">
        <f t="shared" si="427"/>
        <v xml:space="preserve"> </v>
      </c>
      <c r="S1914" s="902"/>
      <c r="T1914" s="944"/>
      <c r="U1914" s="1066"/>
      <c r="V1914" s="922"/>
      <c r="W1914" s="900" t="str">
        <f>IF(S1914&lt;&gt;0,VLOOKUP(S1914,VKT!$A$2:$G$415,7,0),"")</f>
        <v/>
      </c>
      <c r="X1914" s="900" t="str">
        <f t="shared" si="431"/>
        <v xml:space="preserve"> </v>
      </c>
      <c r="Y1914" s="985"/>
      <c r="Z1914" s="922"/>
      <c r="AA1914" s="1067"/>
      <c r="AB1914" s="922"/>
      <c r="AC1914" s="922"/>
      <c r="AD1914" s="922"/>
      <c r="AE1914" s="922"/>
      <c r="AF1914" s="1046"/>
      <c r="AG1914" s="906" t="str">
        <f>IF(AE1914&lt;&gt;0,VLOOKUP(AE1914,ODDS!$A$2:$C$13,3,0),"")</f>
        <v/>
      </c>
      <c r="AH1914" s="906" t="str">
        <f t="shared" si="428"/>
        <v xml:space="preserve"> </v>
      </c>
      <c r="AI1914" s="907" t="str">
        <f t="shared" si="417"/>
        <v xml:space="preserve"> </v>
      </c>
      <c r="AJ1914" s="922"/>
      <c r="AK1914" s="922"/>
    </row>
    <row r="1915" spans="1:37" s="396" customFormat="1" ht="22.5" outlineLevel="1" x14ac:dyDescent="0.25">
      <c r="A1915" s="467" t="s">
        <v>2546</v>
      </c>
      <c r="B1915" s="912">
        <v>164</v>
      </c>
      <c r="C1915" s="942" t="s">
        <v>1338</v>
      </c>
      <c r="D1915" s="1038"/>
      <c r="E1915" s="977"/>
      <c r="F1915" s="977"/>
      <c r="G1915" s="914"/>
      <c r="H1915" s="1039">
        <f>SUBTOTAL(9,H1916:H1941)</f>
        <v>1000</v>
      </c>
      <c r="I1915" s="915">
        <f>SUBTOTAL(9,I1916:I1921)</f>
        <v>550</v>
      </c>
      <c r="J1915" s="916"/>
      <c r="K1915" s="917"/>
      <c r="L1915" s="917"/>
      <c r="M1915" s="907">
        <f>SUBTOTAL(9,M1916:M1941)</f>
        <v>465600000</v>
      </c>
      <c r="N1915" s="907">
        <f>SUBTOTAL(9,N1916:N1941)</f>
        <v>768240000</v>
      </c>
      <c r="O1915" s="942"/>
      <c r="P1915" s="1063">
        <f>SUBTOTAL(9,P1916:P1941)</f>
        <v>1092</v>
      </c>
      <c r="Q1915" s="907"/>
      <c r="R1915" s="907">
        <f>SUBTOTAL(9,R1916:R1941)</f>
        <v>375355000</v>
      </c>
      <c r="S1915" s="918"/>
      <c r="T1915" s="956"/>
      <c r="U1915" s="1064">
        <f>SUBTOTAL(9,U1916:U1941)</f>
        <v>505.45499999999993</v>
      </c>
      <c r="V1915" s="914"/>
      <c r="W1915" s="907"/>
      <c r="X1915" s="907">
        <f>SUBTOTAL(9,X1916:X1941)</f>
        <v>635628000</v>
      </c>
      <c r="Y1915" s="996"/>
      <c r="Z1915" s="1016"/>
      <c r="AA1915" s="1016"/>
      <c r="AB1915" s="1026"/>
      <c r="AC1915" s="1016"/>
      <c r="AD1915" s="922"/>
      <c r="AE1915" s="914"/>
      <c r="AF1915" s="1044">
        <f>SUBTOTAL(9,AF1916:AF1941)</f>
        <v>2</v>
      </c>
      <c r="AG1915" s="921"/>
      <c r="AH1915" s="921">
        <f>SUBTOTAL(9,AH1916:AH1941)</f>
        <v>22000000</v>
      </c>
      <c r="AI1915" s="907">
        <f t="shared" si="417"/>
        <v>2266823000</v>
      </c>
      <c r="AJ1915" s="914"/>
      <c r="AK1915" s="914"/>
    </row>
    <row r="1916" spans="1:37" s="396" customFormat="1" ht="135" outlineLevel="2" x14ac:dyDescent="0.3">
      <c r="A1916" s="447">
        <f>IF(B1915&lt;&gt;0,B1915,A1914)</f>
        <v>164</v>
      </c>
      <c r="B1916" s="893"/>
      <c r="C1916" s="908" t="s">
        <v>1341</v>
      </c>
      <c r="D1916" s="1032">
        <v>3</v>
      </c>
      <c r="E1916" s="947">
        <v>86</v>
      </c>
      <c r="F1916" s="947">
        <v>275</v>
      </c>
      <c r="G1916" s="922" t="s">
        <v>2438</v>
      </c>
      <c r="H1916" s="1041">
        <f>1000-H1917</f>
        <v>550</v>
      </c>
      <c r="I1916" s="882">
        <f t="shared" ref="I1916:I1917" si="432">IF(N1916&gt;0,H1916,"")</f>
        <v>550</v>
      </c>
      <c r="J1916" s="898"/>
      <c r="K1916" s="899">
        <f>IF(G1916&lt;&gt;0,VLOOKUP(G1916,'gia dat'!$A$1:$F$144,5,0)," ")</f>
        <v>465600</v>
      </c>
      <c r="L1916" s="899">
        <f>IF(G1916&lt;&gt;0,VLOOKUP(G1916,'gia dat'!$A$1:$F$144,6,0)," ")</f>
        <v>1396800</v>
      </c>
      <c r="M1916" s="900">
        <f t="shared" si="424"/>
        <v>256080000</v>
      </c>
      <c r="N1916" s="900">
        <f t="shared" si="425"/>
        <v>768240000</v>
      </c>
      <c r="O1916" s="908" t="s">
        <v>1339</v>
      </c>
      <c r="P1916" s="1065">
        <v>1</v>
      </c>
      <c r="Q1916" s="900">
        <f>IF(O1916&lt;&gt;0,VLOOKUP(O1916,'Cây trong'!$A$2:$C$246,3,0)," ")</f>
        <v>554000</v>
      </c>
      <c r="R1916" s="900">
        <f t="shared" si="427"/>
        <v>554000</v>
      </c>
      <c r="S1916" s="902" t="s">
        <v>1820</v>
      </c>
      <c r="T1916" s="944" t="s">
        <v>1133</v>
      </c>
      <c r="U1916" s="1066">
        <v>73.44</v>
      </c>
      <c r="V1916" s="922"/>
      <c r="W1916" s="900">
        <f>IF(S1916&lt;&gt;0,VLOOKUP(S1916,VKT!$A$2:$G$415,7,0),"")</f>
        <v>5307665</v>
      </c>
      <c r="X1916" s="900">
        <f t="shared" si="431"/>
        <v>389795000</v>
      </c>
      <c r="Y1916" s="996" t="s">
        <v>1138</v>
      </c>
      <c r="Z1916" s="1016" t="s">
        <v>1139</v>
      </c>
      <c r="AA1916" s="1016" t="s">
        <v>56</v>
      </c>
      <c r="AB1916" s="1026" t="s">
        <v>269</v>
      </c>
      <c r="AC1916" s="1016" t="s">
        <v>1138</v>
      </c>
      <c r="AD1916" s="922"/>
      <c r="AE1916" s="922" t="s">
        <v>2137</v>
      </c>
      <c r="AF1916" s="1046">
        <v>1</v>
      </c>
      <c r="AG1916" s="906">
        <f>IF(AE1916&lt;&gt;0,VLOOKUP(AE1916,ODDS!$A$2:$C$13,3,0),"")</f>
        <v>5000000</v>
      </c>
      <c r="AH1916" s="906">
        <f t="shared" si="428"/>
        <v>5000000</v>
      </c>
      <c r="AI1916" s="907" t="str">
        <f t="shared" si="417"/>
        <v xml:space="preserve"> </v>
      </c>
      <c r="AJ1916" s="922" t="s">
        <v>1340</v>
      </c>
      <c r="AK1916" s="922" t="s">
        <v>2771</v>
      </c>
    </row>
    <row r="1917" spans="1:37" s="394" customFormat="1" ht="112.5" outlineLevel="2" x14ac:dyDescent="0.3">
      <c r="A1917" s="447">
        <f t="shared" ref="A1917:A1941" si="433">IF(B1916&lt;&gt;0,B1916,A1916)</f>
        <v>164</v>
      </c>
      <c r="B1917" s="893"/>
      <c r="C1917" s="908" t="s">
        <v>1618</v>
      </c>
      <c r="D1917" s="1032"/>
      <c r="E1917" s="947"/>
      <c r="F1917" s="947"/>
      <c r="G1917" s="922" t="s">
        <v>2439</v>
      </c>
      <c r="H1917" s="1041">
        <v>450</v>
      </c>
      <c r="I1917" s="882" t="str">
        <f t="shared" si="432"/>
        <v/>
      </c>
      <c r="J1917" s="898"/>
      <c r="K1917" s="899">
        <f>IF(G1917&lt;&gt;0,VLOOKUP(G1917,'gia dat'!$A$1:$F$144,5,0)," ")</f>
        <v>465600</v>
      </c>
      <c r="L1917" s="899">
        <f>IF(G1917&lt;&gt;0,VLOOKUP(G1917,'gia dat'!$A$1:$F$144,6,0)," ")</f>
        <v>0</v>
      </c>
      <c r="M1917" s="900">
        <f t="shared" si="424"/>
        <v>209520000</v>
      </c>
      <c r="N1917" s="900">
        <f t="shared" si="425"/>
        <v>0</v>
      </c>
      <c r="O1917" s="908" t="s">
        <v>61</v>
      </c>
      <c r="P1917" s="1065">
        <v>27</v>
      </c>
      <c r="Q1917" s="900">
        <f>IF(O1917&lt;&gt;0,VLOOKUP(O1917,'Cây trong'!$A$2:$C$246,3,0)," ")</f>
        <v>1708000</v>
      </c>
      <c r="R1917" s="900">
        <f t="shared" si="427"/>
        <v>46116000</v>
      </c>
      <c r="S1917" s="902" t="s">
        <v>1944</v>
      </c>
      <c r="T1917" s="944" t="s">
        <v>1133</v>
      </c>
      <c r="U1917" s="1066">
        <v>10.709999999999999</v>
      </c>
      <c r="V1917" s="922"/>
      <c r="W1917" s="900">
        <f>IF(S1917&lt;&gt;0,VLOOKUP(S1917,VKT!$A$2:$G$415,7,0),"")</f>
        <v>4246132</v>
      </c>
      <c r="X1917" s="900">
        <f t="shared" si="431"/>
        <v>45476000</v>
      </c>
      <c r="Y1917" s="996" t="s">
        <v>1138</v>
      </c>
      <c r="Z1917" s="1016" t="s">
        <v>1139</v>
      </c>
      <c r="AA1917" s="1016" t="s">
        <v>56</v>
      </c>
      <c r="AB1917" s="1026"/>
      <c r="AC1917" s="1016" t="s">
        <v>1138</v>
      </c>
      <c r="AD1917" s="922"/>
      <c r="AE1917" s="905"/>
      <c r="AF1917" s="899"/>
      <c r="AG1917" s="906"/>
      <c r="AH1917" s="906"/>
      <c r="AI1917" s="907" t="str">
        <f t="shared" si="417"/>
        <v xml:space="preserve"> </v>
      </c>
      <c r="AJ1917" s="922" t="s">
        <v>1342</v>
      </c>
      <c r="AK1917" s="922" t="s">
        <v>2448</v>
      </c>
    </row>
    <row r="1918" spans="1:37" s="394" customFormat="1" ht="112.5" outlineLevel="2" x14ac:dyDescent="0.3">
      <c r="A1918" s="447">
        <f t="shared" si="433"/>
        <v>164</v>
      </c>
      <c r="B1918" s="893"/>
      <c r="C1918" s="908"/>
      <c r="D1918" s="1032"/>
      <c r="E1918" s="947"/>
      <c r="F1918" s="947"/>
      <c r="G1918" s="922"/>
      <c r="H1918" s="1041"/>
      <c r="I1918" s="882"/>
      <c r="J1918" s="898"/>
      <c r="K1918" s="899" t="str">
        <f>IF(G1918&lt;&gt;0,VLOOKUP(G1918,'gia dat'!$A$1:$F$144,5,0)," ")</f>
        <v xml:space="preserve"> </v>
      </c>
      <c r="L1918" s="899" t="str">
        <f>IF(G1918&lt;&gt;0,VLOOKUP(G1918,'gia dat'!$A$1:$F$144,6,0)," ")</f>
        <v xml:space="preserve"> </v>
      </c>
      <c r="M1918" s="900" t="str">
        <f t="shared" si="424"/>
        <v xml:space="preserve"> </v>
      </c>
      <c r="N1918" s="900" t="str">
        <f t="shared" si="425"/>
        <v xml:space="preserve"> </v>
      </c>
      <c r="O1918" s="908" t="s">
        <v>64</v>
      </c>
      <c r="P1918" s="1065">
        <v>2</v>
      </c>
      <c r="Q1918" s="900">
        <f>IF(O1918&lt;&gt;0,VLOOKUP(O1918,'Cây trong'!$A$2:$C$246,3,0)," ")</f>
        <v>1122000</v>
      </c>
      <c r="R1918" s="900">
        <f t="shared" si="427"/>
        <v>2244000</v>
      </c>
      <c r="S1918" s="902" t="s">
        <v>1915</v>
      </c>
      <c r="T1918" s="944" t="s">
        <v>1133</v>
      </c>
      <c r="U1918" s="1066">
        <v>6.12</v>
      </c>
      <c r="V1918" s="922"/>
      <c r="W1918" s="900">
        <f>IF(S1918&lt;&gt;0,VLOOKUP(S1918,VKT!$A$2:$G$415,7,0),"")</f>
        <v>9347414</v>
      </c>
      <c r="X1918" s="900">
        <f t="shared" si="431"/>
        <v>57206000</v>
      </c>
      <c r="Y1918" s="985"/>
      <c r="Z1918" s="922"/>
      <c r="AA1918" s="1067"/>
      <c r="AB1918" s="922"/>
      <c r="AC1918" s="922"/>
      <c r="AD1918" s="922"/>
      <c r="AE1918" s="905" t="s">
        <v>2791</v>
      </c>
      <c r="AF1918" s="926">
        <v>1</v>
      </c>
      <c r="AG1918" s="906">
        <f>IF(AE1918&lt;&gt;0,VLOOKUP(AE1918,ODDS!$A$2:$C$13,3,0),"")</f>
        <v>17000000</v>
      </c>
      <c r="AH1918" s="906">
        <f t="shared" si="428"/>
        <v>17000000</v>
      </c>
      <c r="AI1918" s="907" t="str">
        <f t="shared" si="417"/>
        <v xml:space="preserve"> </v>
      </c>
      <c r="AJ1918" s="922" t="s">
        <v>1343</v>
      </c>
      <c r="AK1918" s="894" t="s">
        <v>2450</v>
      </c>
    </row>
    <row r="1919" spans="1:37" s="394" customFormat="1" ht="112.5" outlineLevel="2" x14ac:dyDescent="0.3">
      <c r="A1919" s="447">
        <f t="shared" si="433"/>
        <v>164</v>
      </c>
      <c r="B1919" s="893"/>
      <c r="C1919" s="908"/>
      <c r="D1919" s="1032"/>
      <c r="E1919" s="947"/>
      <c r="F1919" s="947"/>
      <c r="G1919" s="922"/>
      <c r="H1919" s="1041"/>
      <c r="I1919" s="882"/>
      <c r="J1919" s="898"/>
      <c r="K1919" s="899" t="str">
        <f>IF(G1919&lt;&gt;0,VLOOKUP(G1919,'gia dat'!$A$1:$F$144,5,0)," ")</f>
        <v xml:space="preserve"> </v>
      </c>
      <c r="L1919" s="899" t="str">
        <f>IF(G1919&lt;&gt;0,VLOOKUP(G1919,'gia dat'!$A$1:$F$144,6,0)," ")</f>
        <v xml:space="preserve"> </v>
      </c>
      <c r="M1919" s="900" t="str">
        <f t="shared" si="424"/>
        <v xml:space="preserve"> </v>
      </c>
      <c r="N1919" s="900" t="str">
        <f t="shared" si="425"/>
        <v xml:space="preserve"> </v>
      </c>
      <c r="O1919" s="908" t="s">
        <v>67</v>
      </c>
      <c r="P1919" s="1065">
        <v>2</v>
      </c>
      <c r="Q1919" s="900">
        <f>IF(O1919&lt;&gt;0,VLOOKUP(O1919,'Cây trong'!$A$2:$C$246,3,0)," ")</f>
        <v>494000</v>
      </c>
      <c r="R1919" s="900">
        <f t="shared" si="427"/>
        <v>988000</v>
      </c>
      <c r="S1919" s="902" t="s">
        <v>1945</v>
      </c>
      <c r="T1919" s="944" t="s">
        <v>1133</v>
      </c>
      <c r="U1919" s="1066">
        <v>33.840000000000003</v>
      </c>
      <c r="V1919" s="922"/>
      <c r="W1919" s="900">
        <f>IF(S1919&lt;&gt;0,VLOOKUP(S1919,VKT!$A$2:$G$415,7,0),"")</f>
        <v>770070</v>
      </c>
      <c r="X1919" s="900">
        <f t="shared" si="431"/>
        <v>26059000</v>
      </c>
      <c r="Y1919" s="985"/>
      <c r="Z1919" s="922"/>
      <c r="AA1919" s="1067"/>
      <c r="AB1919" s="922"/>
      <c r="AC1919" s="922"/>
      <c r="AD1919" s="922"/>
      <c r="AE1919" s="941"/>
      <c r="AF1919" s="926"/>
      <c r="AG1919" s="906" t="str">
        <f>IF(AE1919&lt;&gt;0,VLOOKUP(AE1919,ODDS!$A$2:$C$13,3,0),"")</f>
        <v/>
      </c>
      <c r="AH1919" s="906" t="str">
        <f t="shared" si="428"/>
        <v xml:space="preserve"> </v>
      </c>
      <c r="AI1919" s="907" t="str">
        <f t="shared" si="417"/>
        <v xml:space="preserve"> </v>
      </c>
      <c r="AJ1919" s="922" t="s">
        <v>2074</v>
      </c>
      <c r="AK1919" s="894" t="s">
        <v>2449</v>
      </c>
    </row>
    <row r="1920" spans="1:37" s="394" customFormat="1" ht="90" outlineLevel="2" x14ac:dyDescent="0.35">
      <c r="A1920" s="447">
        <f t="shared" si="433"/>
        <v>164</v>
      </c>
      <c r="B1920" s="893"/>
      <c r="C1920" s="922"/>
      <c r="D1920" s="1032"/>
      <c r="E1920" s="947"/>
      <c r="F1920" s="947"/>
      <c r="G1920" s="922"/>
      <c r="H1920" s="1041"/>
      <c r="I1920" s="882"/>
      <c r="J1920" s="898"/>
      <c r="K1920" s="899" t="str">
        <f>IF(G1920&lt;&gt;0,VLOOKUP(G1920,'gia dat'!$A$1:$F$144,5,0)," ")</f>
        <v xml:space="preserve"> </v>
      </c>
      <c r="L1920" s="899" t="str">
        <f>IF(G1920&lt;&gt;0,VLOOKUP(G1920,'gia dat'!$A$1:$F$144,6,0)," ")</f>
        <v xml:space="preserve"> </v>
      </c>
      <c r="M1920" s="900" t="str">
        <f t="shared" si="424"/>
        <v xml:space="preserve"> </v>
      </c>
      <c r="N1920" s="900" t="str">
        <f t="shared" si="425"/>
        <v xml:space="preserve"> </v>
      </c>
      <c r="O1920" s="908" t="s">
        <v>69</v>
      </c>
      <c r="P1920" s="1065">
        <v>22</v>
      </c>
      <c r="Q1920" s="900">
        <f>IF(O1920&lt;&gt;0,VLOOKUP(O1920,'Cây trong'!$A$2:$C$246,3,0)," ")</f>
        <v>211000</v>
      </c>
      <c r="R1920" s="900">
        <f t="shared" si="427"/>
        <v>4642000</v>
      </c>
      <c r="S1920" s="902" t="s">
        <v>1946</v>
      </c>
      <c r="T1920" s="944" t="s">
        <v>1133</v>
      </c>
      <c r="U1920" s="1066">
        <v>4.08</v>
      </c>
      <c r="V1920" s="922"/>
      <c r="W1920" s="900">
        <f>IF(S1920&lt;&gt;0,VLOOKUP(S1920,VKT!$A$2:$G$415,7,0),"")</f>
        <v>0</v>
      </c>
      <c r="X1920" s="900">
        <f t="shared" si="431"/>
        <v>0</v>
      </c>
      <c r="Y1920" s="985"/>
      <c r="Z1920" s="922"/>
      <c r="AA1920" s="1067"/>
      <c r="AB1920" s="922"/>
      <c r="AC1920" s="922"/>
      <c r="AD1920" s="922"/>
      <c r="AE1920" s="922"/>
      <c r="AF1920" s="1046"/>
      <c r="AG1920" s="906" t="str">
        <f>IF(AE1920&lt;&gt;0,VLOOKUP(AE1920,ODDS!$A$2:$C$13,3,0),"")</f>
        <v/>
      </c>
      <c r="AH1920" s="906" t="str">
        <f t="shared" si="428"/>
        <v xml:space="preserve"> </v>
      </c>
      <c r="AI1920" s="907" t="str">
        <f t="shared" si="417"/>
        <v xml:space="preserve"> </v>
      </c>
      <c r="AJ1920" s="1068"/>
      <c r="AK1920" s="894" t="s">
        <v>2447</v>
      </c>
    </row>
    <row r="1921" spans="1:37" s="394" customFormat="1" ht="90" outlineLevel="2" x14ac:dyDescent="0.3">
      <c r="A1921" s="447">
        <f t="shared" si="433"/>
        <v>164</v>
      </c>
      <c r="B1921" s="893"/>
      <c r="C1921" s="922"/>
      <c r="D1921" s="1032"/>
      <c r="E1921" s="947"/>
      <c r="F1921" s="947"/>
      <c r="G1921" s="922"/>
      <c r="H1921" s="1041"/>
      <c r="I1921" s="882"/>
      <c r="J1921" s="898"/>
      <c r="K1921" s="899" t="str">
        <f>IF(G1921&lt;&gt;0,VLOOKUP(G1921,'gia dat'!$A$1:$F$144,5,0)," ")</f>
        <v xml:space="preserve"> </v>
      </c>
      <c r="L1921" s="899" t="str">
        <f>IF(G1921&lt;&gt;0,VLOOKUP(G1921,'gia dat'!$A$1:$F$144,6,0)," ")</f>
        <v xml:space="preserve"> </v>
      </c>
      <c r="M1921" s="900" t="str">
        <f t="shared" si="424"/>
        <v xml:space="preserve"> </v>
      </c>
      <c r="N1921" s="900" t="str">
        <f t="shared" si="425"/>
        <v xml:space="preserve"> </v>
      </c>
      <c r="O1921" s="908" t="s">
        <v>145</v>
      </c>
      <c r="P1921" s="1065">
        <v>61</v>
      </c>
      <c r="Q1921" s="900">
        <f>IF(O1921&lt;&gt;0,VLOOKUP(O1921,'Cây trong'!$A$2:$C$246,3,0)," ")</f>
        <v>4240000</v>
      </c>
      <c r="R1921" s="900">
        <f t="shared" si="427"/>
        <v>258640000</v>
      </c>
      <c r="S1921" s="902" t="s">
        <v>1912</v>
      </c>
      <c r="T1921" s="944" t="s">
        <v>1133</v>
      </c>
      <c r="U1921" s="1066">
        <v>50.7</v>
      </c>
      <c r="V1921" s="922"/>
      <c r="W1921" s="900">
        <f>IF(S1921&lt;&gt;0,VLOOKUP(S1921,VKT!$A$2:$G$415,7,0),"")</f>
        <v>265836</v>
      </c>
      <c r="X1921" s="900">
        <f t="shared" si="431"/>
        <v>13478000</v>
      </c>
      <c r="Y1921" s="985"/>
      <c r="Z1921" s="922"/>
      <c r="AA1921" s="1067"/>
      <c r="AB1921" s="922"/>
      <c r="AC1921" s="922"/>
      <c r="AD1921" s="922"/>
      <c r="AE1921" s="922"/>
      <c r="AF1921" s="1046"/>
      <c r="AG1921" s="906" t="str">
        <f>IF(AE1921&lt;&gt;0,VLOOKUP(AE1921,ODDS!$A$2:$C$13,3,0),"")</f>
        <v/>
      </c>
      <c r="AH1921" s="906" t="str">
        <f t="shared" si="428"/>
        <v xml:space="preserve"> </v>
      </c>
      <c r="AI1921" s="907" t="str">
        <f t="shared" si="417"/>
        <v xml:space="preserve"> </v>
      </c>
      <c r="AJ1921" s="908"/>
      <c r="AK1921" s="908" t="s">
        <v>2451</v>
      </c>
    </row>
    <row r="1922" spans="1:37" s="394" customFormat="1" ht="112.5" outlineLevel="2" x14ac:dyDescent="0.3">
      <c r="A1922" s="447">
        <f t="shared" si="433"/>
        <v>164</v>
      </c>
      <c r="B1922" s="893"/>
      <c r="C1922" s="922"/>
      <c r="D1922" s="1032"/>
      <c r="E1922" s="947"/>
      <c r="F1922" s="947"/>
      <c r="G1922" s="922"/>
      <c r="H1922" s="1041"/>
      <c r="I1922" s="882"/>
      <c r="J1922" s="898"/>
      <c r="K1922" s="899" t="str">
        <f>IF(G1922&lt;&gt;0,VLOOKUP(G1922,'gia dat'!$A$1:$F$144,5,0)," ")</f>
        <v xml:space="preserve"> </v>
      </c>
      <c r="L1922" s="899" t="str">
        <f>IF(G1922&lt;&gt;0,VLOOKUP(G1922,'gia dat'!$A$1:$F$144,6,0)," ")</f>
        <v xml:space="preserve"> </v>
      </c>
      <c r="M1922" s="900" t="str">
        <f t="shared" si="424"/>
        <v xml:space="preserve"> </v>
      </c>
      <c r="N1922" s="900" t="str">
        <f t="shared" si="425"/>
        <v xml:space="preserve"> </v>
      </c>
      <c r="O1922" s="908" t="s">
        <v>77</v>
      </c>
      <c r="P1922" s="1065">
        <v>3</v>
      </c>
      <c r="Q1922" s="900">
        <f>IF(O1922&lt;&gt;0,VLOOKUP(O1922,'Cây trong'!$A$2:$C$246,3,0)," ")</f>
        <v>3064000</v>
      </c>
      <c r="R1922" s="900">
        <f t="shared" si="427"/>
        <v>9192000</v>
      </c>
      <c r="S1922" s="902" t="s">
        <v>1799</v>
      </c>
      <c r="T1922" s="944" t="s">
        <v>1133</v>
      </c>
      <c r="U1922" s="1066">
        <v>4.32</v>
      </c>
      <c r="V1922" s="922"/>
      <c r="W1922" s="900">
        <f>IF(S1922&lt;&gt;0,VLOOKUP(S1922,VKT!$A$2:$G$415,7,0),"")</f>
        <v>275180</v>
      </c>
      <c r="X1922" s="900">
        <f t="shared" si="431"/>
        <v>1189000</v>
      </c>
      <c r="Y1922" s="985"/>
      <c r="Z1922" s="922"/>
      <c r="AA1922" s="1067"/>
      <c r="AB1922" s="922"/>
      <c r="AC1922" s="922"/>
      <c r="AD1922" s="922"/>
      <c r="AE1922" s="922"/>
      <c r="AF1922" s="1046"/>
      <c r="AG1922" s="906" t="str">
        <f>IF(AE1922&lt;&gt;0,VLOOKUP(AE1922,ODDS!$A$2:$C$13,3,0),"")</f>
        <v/>
      </c>
      <c r="AH1922" s="906" t="str">
        <f t="shared" si="428"/>
        <v xml:space="preserve"> </v>
      </c>
      <c r="AI1922" s="907" t="str">
        <f t="shared" si="417"/>
        <v xml:space="preserve"> </v>
      </c>
      <c r="AJ1922" s="908"/>
      <c r="AK1922" s="908" t="s">
        <v>2800</v>
      </c>
    </row>
    <row r="1923" spans="1:37" s="394" customFormat="1" ht="112.5" outlineLevel="2" x14ac:dyDescent="0.3">
      <c r="A1923" s="447">
        <f t="shared" si="433"/>
        <v>164</v>
      </c>
      <c r="B1923" s="893"/>
      <c r="C1923" s="922"/>
      <c r="D1923" s="1032"/>
      <c r="E1923" s="947"/>
      <c r="F1923" s="947"/>
      <c r="G1923" s="922"/>
      <c r="H1923" s="1041"/>
      <c r="I1923" s="882"/>
      <c r="J1923" s="898"/>
      <c r="K1923" s="899" t="str">
        <f>IF(G1923&lt;&gt;0,VLOOKUP(G1923,'gia dat'!$A$1:$F$144,5,0)," ")</f>
        <v xml:space="preserve"> </v>
      </c>
      <c r="L1923" s="899" t="str">
        <f>IF(G1923&lt;&gt;0,VLOOKUP(G1923,'gia dat'!$A$1:$F$144,6,0)," ")</f>
        <v xml:space="preserve"> </v>
      </c>
      <c r="M1923" s="900" t="str">
        <f t="shared" si="424"/>
        <v xml:space="preserve"> </v>
      </c>
      <c r="N1923" s="900" t="str">
        <f t="shared" si="425"/>
        <v xml:space="preserve"> </v>
      </c>
      <c r="O1923" s="908" t="s">
        <v>1228</v>
      </c>
      <c r="P1923" s="1065">
        <v>1</v>
      </c>
      <c r="Q1923" s="900">
        <f>IF(O1923&lt;&gt;0,VLOOKUP(O1923,'Cây trong'!$A$2:$C$246,3,0)," ")</f>
        <v>979000</v>
      </c>
      <c r="R1923" s="900">
        <f t="shared" si="427"/>
        <v>979000</v>
      </c>
      <c r="S1923" s="902" t="s">
        <v>1948</v>
      </c>
      <c r="T1923" s="944" t="s">
        <v>1133</v>
      </c>
      <c r="U1923" s="1066">
        <v>20.979999999999997</v>
      </c>
      <c r="V1923" s="922"/>
      <c r="W1923" s="900">
        <f>IF(S1923&lt;&gt;0,VLOOKUP(S1923,VKT!$A$2:$G$415,7,0),"")</f>
        <v>890132</v>
      </c>
      <c r="X1923" s="900">
        <f t="shared" si="431"/>
        <v>18675000</v>
      </c>
      <c r="Y1923" s="985"/>
      <c r="Z1923" s="922"/>
      <c r="AA1923" s="1067"/>
      <c r="AB1923" s="922"/>
      <c r="AC1923" s="922"/>
      <c r="AD1923" s="922"/>
      <c r="AE1923" s="922"/>
      <c r="AF1923" s="1046"/>
      <c r="AG1923" s="906" t="str">
        <f>IF(AE1923&lt;&gt;0,VLOOKUP(AE1923,ODDS!$A$2:$C$13,3,0),"")</f>
        <v/>
      </c>
      <c r="AH1923" s="906" t="str">
        <f t="shared" si="428"/>
        <v xml:space="preserve"> </v>
      </c>
      <c r="AI1923" s="907" t="str">
        <f t="shared" si="417"/>
        <v xml:space="preserve"> </v>
      </c>
      <c r="AJ1923" s="908"/>
      <c r="AK1923" s="908"/>
    </row>
    <row r="1924" spans="1:37" s="394" customFormat="1" ht="67.5" outlineLevel="2" x14ac:dyDescent="0.3">
      <c r="A1924" s="447">
        <f t="shared" si="433"/>
        <v>164</v>
      </c>
      <c r="B1924" s="893"/>
      <c r="C1924" s="922"/>
      <c r="D1924" s="1032"/>
      <c r="E1924" s="947"/>
      <c r="F1924" s="947"/>
      <c r="G1924" s="922"/>
      <c r="H1924" s="1041"/>
      <c r="I1924" s="882"/>
      <c r="J1924" s="898"/>
      <c r="K1924" s="899" t="str">
        <f>IF(G1924&lt;&gt;0,VLOOKUP(G1924,'gia dat'!$A$1:$F$144,5,0)," ")</f>
        <v xml:space="preserve"> </v>
      </c>
      <c r="L1924" s="899" t="str">
        <f>IF(G1924&lt;&gt;0,VLOOKUP(G1924,'gia dat'!$A$1:$F$144,6,0)," ")</f>
        <v xml:space="preserve"> </v>
      </c>
      <c r="M1924" s="900" t="str">
        <f t="shared" si="424"/>
        <v xml:space="preserve"> </v>
      </c>
      <c r="N1924" s="900" t="str">
        <f t="shared" si="425"/>
        <v xml:space="preserve"> </v>
      </c>
      <c r="O1924" s="908" t="s">
        <v>1218</v>
      </c>
      <c r="P1924" s="1065">
        <v>1</v>
      </c>
      <c r="Q1924" s="900">
        <f>IF(O1924&lt;&gt;0,VLOOKUP(O1924,'Cây trong'!$A$2:$C$246,3,0)," ")</f>
        <v>571000</v>
      </c>
      <c r="R1924" s="900">
        <f t="shared" si="427"/>
        <v>571000</v>
      </c>
      <c r="S1924" s="902" t="s">
        <v>1916</v>
      </c>
      <c r="T1924" s="944" t="s">
        <v>1133</v>
      </c>
      <c r="U1924" s="1066">
        <v>31.000000000000004</v>
      </c>
      <c r="V1924" s="922"/>
      <c r="W1924" s="900">
        <f>IF(S1924&lt;&gt;0,VLOOKUP(S1924,VKT!$A$2:$G$415,7,0),"")</f>
        <v>1107311</v>
      </c>
      <c r="X1924" s="900">
        <f t="shared" si="431"/>
        <v>34327000</v>
      </c>
      <c r="Y1924" s="985"/>
      <c r="Z1924" s="922"/>
      <c r="AA1924" s="1067"/>
      <c r="AB1924" s="922"/>
      <c r="AC1924" s="922"/>
      <c r="AD1924" s="922"/>
      <c r="AE1924" s="922"/>
      <c r="AF1924" s="1046"/>
      <c r="AG1924" s="906" t="str">
        <f>IF(AE1924&lt;&gt;0,VLOOKUP(AE1924,ODDS!$A$2:$C$13,3,0),"")</f>
        <v/>
      </c>
      <c r="AH1924" s="906" t="str">
        <f t="shared" si="428"/>
        <v xml:space="preserve"> </v>
      </c>
      <c r="AI1924" s="907" t="str">
        <f t="shared" si="417"/>
        <v xml:space="preserve"> </v>
      </c>
      <c r="AJ1924" s="908"/>
      <c r="AK1924" s="908"/>
    </row>
    <row r="1925" spans="1:37" s="394" customFormat="1" ht="112.5" outlineLevel="2" x14ac:dyDescent="0.3">
      <c r="A1925" s="447">
        <f t="shared" si="433"/>
        <v>164</v>
      </c>
      <c r="B1925" s="893"/>
      <c r="C1925" s="922"/>
      <c r="D1925" s="1032"/>
      <c r="E1925" s="947"/>
      <c r="F1925" s="947"/>
      <c r="G1925" s="922"/>
      <c r="H1925" s="1041"/>
      <c r="I1925" s="882"/>
      <c r="J1925" s="898"/>
      <c r="K1925" s="899" t="str">
        <f>IF(G1925&lt;&gt;0,VLOOKUP(G1925,'gia dat'!$A$1:$F$144,5,0)," ")</f>
        <v xml:space="preserve"> </v>
      </c>
      <c r="L1925" s="899" t="str">
        <f>IF(G1925&lt;&gt;0,VLOOKUP(G1925,'gia dat'!$A$1:$F$144,6,0)," ")</f>
        <v xml:space="preserve"> </v>
      </c>
      <c r="M1925" s="900" t="str">
        <f t="shared" si="424"/>
        <v xml:space="preserve"> </v>
      </c>
      <c r="N1925" s="900" t="str">
        <f t="shared" si="425"/>
        <v xml:space="preserve"> </v>
      </c>
      <c r="O1925" s="908" t="s">
        <v>408</v>
      </c>
      <c r="P1925" s="1065">
        <v>1</v>
      </c>
      <c r="Q1925" s="900">
        <f>IF(O1925&lt;&gt;0,VLOOKUP(O1925,'Cây trong'!$A$2:$C$246,3,0)," ")</f>
        <v>337000</v>
      </c>
      <c r="R1925" s="900">
        <f t="shared" si="427"/>
        <v>337000</v>
      </c>
      <c r="S1925" s="902" t="s">
        <v>1949</v>
      </c>
      <c r="T1925" s="944" t="s">
        <v>1133</v>
      </c>
      <c r="U1925" s="1066">
        <v>3.2</v>
      </c>
      <c r="V1925" s="922"/>
      <c r="W1925" s="900">
        <f>IF(S1925&lt;&gt;0,VLOOKUP(S1925,VKT!$A$2:$G$415,7,0),"")</f>
        <v>9347414</v>
      </c>
      <c r="X1925" s="900">
        <f t="shared" si="431"/>
        <v>29912000</v>
      </c>
      <c r="Y1925" s="985"/>
      <c r="Z1925" s="922"/>
      <c r="AA1925" s="1067"/>
      <c r="AB1925" s="922"/>
      <c r="AC1925" s="922"/>
      <c r="AD1925" s="922"/>
      <c r="AE1925" s="922"/>
      <c r="AF1925" s="1046"/>
      <c r="AG1925" s="906" t="str">
        <f>IF(AE1925&lt;&gt;0,VLOOKUP(AE1925,ODDS!$A$2:$C$13,3,0),"")</f>
        <v/>
      </c>
      <c r="AH1925" s="906" t="str">
        <f t="shared" si="428"/>
        <v xml:space="preserve"> </v>
      </c>
      <c r="AI1925" s="907" t="str">
        <f t="shared" si="417"/>
        <v xml:space="preserve"> </v>
      </c>
      <c r="AJ1925" s="908"/>
      <c r="AK1925" s="908"/>
    </row>
    <row r="1926" spans="1:37" s="394" customFormat="1" ht="45" outlineLevel="2" x14ac:dyDescent="0.3">
      <c r="A1926" s="447">
        <f t="shared" si="433"/>
        <v>164</v>
      </c>
      <c r="B1926" s="893"/>
      <c r="C1926" s="922"/>
      <c r="D1926" s="1032"/>
      <c r="E1926" s="947"/>
      <c r="F1926" s="947"/>
      <c r="G1926" s="922"/>
      <c r="H1926" s="1041"/>
      <c r="I1926" s="882"/>
      <c r="J1926" s="898"/>
      <c r="K1926" s="899" t="str">
        <f>IF(G1926&lt;&gt;0,VLOOKUP(G1926,'gia dat'!$A$1:$F$144,5,0)," ")</f>
        <v xml:space="preserve"> </v>
      </c>
      <c r="L1926" s="899" t="str">
        <f>IF(G1926&lt;&gt;0,VLOOKUP(G1926,'gia dat'!$A$1:$F$144,6,0)," ")</f>
        <v xml:space="preserve"> </v>
      </c>
      <c r="M1926" s="900" t="str">
        <f t="shared" si="424"/>
        <v xml:space="preserve"> </v>
      </c>
      <c r="N1926" s="900" t="str">
        <f t="shared" si="425"/>
        <v xml:space="preserve"> </v>
      </c>
      <c r="O1926" s="908" t="s">
        <v>165</v>
      </c>
      <c r="P1926" s="1065">
        <v>3</v>
      </c>
      <c r="Q1926" s="900">
        <f>IF(O1926&lt;&gt;0,VLOOKUP(O1926,'Cây trong'!$A$2:$C$246,3,0)," ")</f>
        <v>180000</v>
      </c>
      <c r="R1926" s="900">
        <f t="shared" si="427"/>
        <v>540000</v>
      </c>
      <c r="S1926" s="902" t="s">
        <v>1902</v>
      </c>
      <c r="T1926" s="944" t="s">
        <v>1133</v>
      </c>
      <c r="U1926" s="1066">
        <v>127.2</v>
      </c>
      <c r="V1926" s="922"/>
      <c r="W1926" s="900">
        <f>IF(S1926&lt;&gt;0,VLOOKUP(S1926,VKT!$A$2:$G$415,7,0),"")</f>
        <v>0</v>
      </c>
      <c r="X1926" s="900">
        <f t="shared" si="431"/>
        <v>0</v>
      </c>
      <c r="Y1926" s="985"/>
      <c r="Z1926" s="922"/>
      <c r="AA1926" s="1067"/>
      <c r="AB1926" s="922"/>
      <c r="AC1926" s="922"/>
      <c r="AD1926" s="922"/>
      <c r="AE1926" s="922"/>
      <c r="AF1926" s="1046"/>
      <c r="AG1926" s="906" t="str">
        <f>IF(AE1926&lt;&gt;0,VLOOKUP(AE1926,ODDS!$A$2:$C$13,3,0),"")</f>
        <v/>
      </c>
      <c r="AH1926" s="906" t="str">
        <f t="shared" si="428"/>
        <v xml:space="preserve"> </v>
      </c>
      <c r="AI1926" s="907" t="str">
        <f t="shared" si="417"/>
        <v xml:space="preserve"> </v>
      </c>
      <c r="AJ1926" s="908"/>
      <c r="AK1926" s="908"/>
    </row>
    <row r="1927" spans="1:37" s="394" customFormat="1" ht="45" outlineLevel="2" x14ac:dyDescent="0.3">
      <c r="A1927" s="447">
        <f t="shared" si="433"/>
        <v>164</v>
      </c>
      <c r="B1927" s="893"/>
      <c r="C1927" s="922"/>
      <c r="D1927" s="1032"/>
      <c r="E1927" s="947"/>
      <c r="F1927" s="947"/>
      <c r="G1927" s="922"/>
      <c r="H1927" s="1041"/>
      <c r="I1927" s="882"/>
      <c r="J1927" s="898"/>
      <c r="K1927" s="899" t="str">
        <f>IF(G1927&lt;&gt;0,VLOOKUP(G1927,'gia dat'!$A$1:$F$144,5,0)," ")</f>
        <v xml:space="preserve"> </v>
      </c>
      <c r="L1927" s="899" t="str">
        <f>IF(G1927&lt;&gt;0,VLOOKUP(G1927,'gia dat'!$A$1:$F$144,6,0)," ")</f>
        <v xml:space="preserve"> </v>
      </c>
      <c r="M1927" s="900" t="str">
        <f t="shared" si="424"/>
        <v xml:space="preserve"> </v>
      </c>
      <c r="N1927" s="900" t="str">
        <f t="shared" si="425"/>
        <v xml:space="preserve"> </v>
      </c>
      <c r="O1927" s="908" t="s">
        <v>1345</v>
      </c>
      <c r="P1927" s="1065">
        <v>4</v>
      </c>
      <c r="Q1927" s="900">
        <f>IF(O1927&lt;&gt;0,VLOOKUP(O1927,'Cây trong'!$A$2:$C$246,3,0)," ")</f>
        <v>1200000</v>
      </c>
      <c r="R1927" s="900">
        <f t="shared" si="427"/>
        <v>4800000</v>
      </c>
      <c r="S1927" s="902" t="s">
        <v>1950</v>
      </c>
      <c r="T1927" s="944" t="s">
        <v>1286</v>
      </c>
      <c r="U1927" s="1066">
        <v>65.024999999999991</v>
      </c>
      <c r="V1927" s="922"/>
      <c r="W1927" s="900">
        <f>IF(S1927&lt;&gt;0,VLOOKUP(S1927,VKT!$A$2:$G$415,7,0),"")</f>
        <v>0</v>
      </c>
      <c r="X1927" s="900">
        <f t="shared" si="431"/>
        <v>0</v>
      </c>
      <c r="Y1927" s="985"/>
      <c r="Z1927" s="922"/>
      <c r="AA1927" s="1067"/>
      <c r="AB1927" s="922"/>
      <c r="AC1927" s="922"/>
      <c r="AD1927" s="922"/>
      <c r="AE1927" s="922"/>
      <c r="AF1927" s="1046"/>
      <c r="AG1927" s="906" t="str">
        <f>IF(AE1927&lt;&gt;0,VLOOKUP(AE1927,ODDS!$A$2:$C$13,3,0),"")</f>
        <v/>
      </c>
      <c r="AH1927" s="906" t="str">
        <f t="shared" si="428"/>
        <v xml:space="preserve"> </v>
      </c>
      <c r="AI1927" s="907" t="str">
        <f t="shared" si="417"/>
        <v xml:space="preserve"> </v>
      </c>
      <c r="AJ1927" s="908"/>
      <c r="AK1927" s="908"/>
    </row>
    <row r="1928" spans="1:37" s="394" customFormat="1" ht="90" outlineLevel="2" x14ac:dyDescent="0.3">
      <c r="A1928" s="447">
        <f t="shared" si="433"/>
        <v>164</v>
      </c>
      <c r="B1928" s="893"/>
      <c r="C1928" s="922"/>
      <c r="D1928" s="1032"/>
      <c r="E1928" s="947"/>
      <c r="F1928" s="947"/>
      <c r="G1928" s="922"/>
      <c r="H1928" s="1041"/>
      <c r="I1928" s="882"/>
      <c r="J1928" s="898"/>
      <c r="K1928" s="899" t="str">
        <f>IF(G1928&lt;&gt;0,VLOOKUP(G1928,'gia dat'!$A$1:$F$144,5,0)," ")</f>
        <v xml:space="preserve"> </v>
      </c>
      <c r="L1928" s="899" t="str">
        <f>IF(G1928&lt;&gt;0,VLOOKUP(G1928,'gia dat'!$A$1:$F$144,6,0)," ")</f>
        <v xml:space="preserve"> </v>
      </c>
      <c r="M1928" s="900" t="str">
        <f t="shared" si="424"/>
        <v xml:space="preserve"> </v>
      </c>
      <c r="N1928" s="900" t="str">
        <f t="shared" si="425"/>
        <v xml:space="preserve"> </v>
      </c>
      <c r="O1928" s="908" t="s">
        <v>1346</v>
      </c>
      <c r="P1928" s="1065">
        <v>3</v>
      </c>
      <c r="Q1928" s="900">
        <f>IF(O1928&lt;&gt;0,VLOOKUP(O1928,'Cây trong'!$A$2:$C$246,3,0)," ")</f>
        <v>165000</v>
      </c>
      <c r="R1928" s="900">
        <f t="shared" si="427"/>
        <v>495000</v>
      </c>
      <c r="S1928" s="902" t="s">
        <v>1951</v>
      </c>
      <c r="T1928" s="944" t="s">
        <v>93</v>
      </c>
      <c r="U1928" s="1066">
        <v>1</v>
      </c>
      <c r="V1928" s="922"/>
      <c r="W1928" s="900">
        <f>IF(S1928&lt;&gt;0,VLOOKUP(S1928,VKT!$A$2:$G$415,7,0),"")</f>
        <v>0</v>
      </c>
      <c r="X1928" s="900">
        <f t="shared" si="431"/>
        <v>0</v>
      </c>
      <c r="Y1928" s="985"/>
      <c r="Z1928" s="922"/>
      <c r="AA1928" s="1067"/>
      <c r="AB1928" s="922"/>
      <c r="AC1928" s="922"/>
      <c r="AD1928" s="922"/>
      <c r="AE1928" s="922"/>
      <c r="AF1928" s="1046"/>
      <c r="AG1928" s="906" t="str">
        <f>IF(AE1928&lt;&gt;0,VLOOKUP(AE1928,ODDS!$A$2:$C$13,3,0),"")</f>
        <v/>
      </c>
      <c r="AH1928" s="906" t="str">
        <f t="shared" si="428"/>
        <v xml:space="preserve"> </v>
      </c>
      <c r="AI1928" s="907" t="str">
        <f t="shared" si="417"/>
        <v xml:space="preserve"> </v>
      </c>
      <c r="AJ1928" s="908"/>
      <c r="AK1928" s="908"/>
    </row>
    <row r="1929" spans="1:37" s="394" customFormat="1" ht="90" outlineLevel="2" x14ac:dyDescent="0.3">
      <c r="A1929" s="447">
        <f t="shared" si="433"/>
        <v>164</v>
      </c>
      <c r="B1929" s="893"/>
      <c r="C1929" s="922"/>
      <c r="D1929" s="1032"/>
      <c r="E1929" s="947"/>
      <c r="F1929" s="947"/>
      <c r="G1929" s="922"/>
      <c r="H1929" s="1041"/>
      <c r="I1929" s="882"/>
      <c r="J1929" s="898"/>
      <c r="K1929" s="899" t="str">
        <f>IF(G1929&lt;&gt;0,VLOOKUP(G1929,'gia dat'!$A$1:$F$144,5,0)," ")</f>
        <v xml:space="preserve"> </v>
      </c>
      <c r="L1929" s="899" t="str">
        <f>IF(G1929&lt;&gt;0,VLOOKUP(G1929,'gia dat'!$A$1:$F$144,6,0)," ")</f>
        <v xml:space="preserve"> </v>
      </c>
      <c r="M1929" s="900" t="str">
        <f t="shared" si="424"/>
        <v xml:space="preserve"> </v>
      </c>
      <c r="N1929" s="900" t="str">
        <f t="shared" si="425"/>
        <v xml:space="preserve"> </v>
      </c>
      <c r="O1929" s="908" t="s">
        <v>1348</v>
      </c>
      <c r="P1929" s="1065">
        <v>1</v>
      </c>
      <c r="Q1929" s="900">
        <f>IF(O1929&lt;&gt;0,VLOOKUP(O1929,'Cây trong'!$A$2:$C$246,3,0)," ")</f>
        <v>3600000</v>
      </c>
      <c r="R1929" s="900">
        <f t="shared" si="427"/>
        <v>3600000</v>
      </c>
      <c r="S1929" s="902" t="s">
        <v>1952</v>
      </c>
      <c r="T1929" s="944" t="s">
        <v>93</v>
      </c>
      <c r="U1929" s="1066">
        <v>1</v>
      </c>
      <c r="V1929" s="922"/>
      <c r="W1929" s="900">
        <f>IF(S1929&lt;&gt;0,VLOOKUP(S1929,VKT!$A$2:$G$415,7,0),"")</f>
        <v>0</v>
      </c>
      <c r="X1929" s="900">
        <f t="shared" si="431"/>
        <v>0</v>
      </c>
      <c r="Y1929" s="985"/>
      <c r="Z1929" s="922"/>
      <c r="AA1929" s="1067"/>
      <c r="AB1929" s="922"/>
      <c r="AC1929" s="922"/>
      <c r="AD1929" s="922"/>
      <c r="AE1929" s="922"/>
      <c r="AF1929" s="1046"/>
      <c r="AG1929" s="906" t="str">
        <f>IF(AE1929&lt;&gt;0,VLOOKUP(AE1929,ODDS!$A$2:$C$13,3,0),"")</f>
        <v/>
      </c>
      <c r="AH1929" s="906" t="str">
        <f t="shared" si="428"/>
        <v xml:space="preserve"> </v>
      </c>
      <c r="AI1929" s="907" t="str">
        <f t="shared" ref="AI1929:AI1992" si="434">IF(B1929&lt;&gt;0,M1929+N1929+R1929+X1929+AH1929," ")</f>
        <v xml:space="preserve"> </v>
      </c>
      <c r="AJ1929" s="908"/>
      <c r="AK1929" s="908"/>
    </row>
    <row r="1930" spans="1:37" s="394" customFormat="1" ht="90" outlineLevel="2" x14ac:dyDescent="0.3">
      <c r="A1930" s="447">
        <f t="shared" si="433"/>
        <v>164</v>
      </c>
      <c r="B1930" s="893"/>
      <c r="C1930" s="922"/>
      <c r="D1930" s="1032"/>
      <c r="E1930" s="947"/>
      <c r="F1930" s="947"/>
      <c r="G1930" s="922"/>
      <c r="H1930" s="1041"/>
      <c r="I1930" s="882"/>
      <c r="J1930" s="898"/>
      <c r="K1930" s="899" t="str">
        <f>IF(G1930&lt;&gt;0,VLOOKUP(G1930,'gia dat'!$A$1:$F$144,5,0)," ")</f>
        <v xml:space="preserve"> </v>
      </c>
      <c r="L1930" s="899" t="str">
        <f>IF(G1930&lt;&gt;0,VLOOKUP(G1930,'gia dat'!$A$1:$F$144,6,0)," ")</f>
        <v xml:space="preserve"> </v>
      </c>
      <c r="M1930" s="900" t="str">
        <f t="shared" si="424"/>
        <v xml:space="preserve"> </v>
      </c>
      <c r="N1930" s="900" t="str">
        <f t="shared" si="425"/>
        <v xml:space="preserve"> </v>
      </c>
      <c r="O1930" s="908" t="s">
        <v>1349</v>
      </c>
      <c r="P1930" s="1065">
        <v>1</v>
      </c>
      <c r="Q1930" s="900">
        <f>IF(O1930&lt;&gt;0,VLOOKUP(O1930,'Cây trong'!$A$2:$C$246,3,0)," ")</f>
        <v>2400000</v>
      </c>
      <c r="R1930" s="900">
        <f t="shared" si="427"/>
        <v>2400000</v>
      </c>
      <c r="S1930" s="902" t="s">
        <v>1912</v>
      </c>
      <c r="T1930" s="944" t="s">
        <v>1133</v>
      </c>
      <c r="U1930" s="1066">
        <v>25.7</v>
      </c>
      <c r="V1930" s="922"/>
      <c r="W1930" s="900">
        <f>IF(S1930&lt;&gt;0,VLOOKUP(S1930,VKT!$A$2:$G$415,7,0),"")</f>
        <v>265836</v>
      </c>
      <c r="X1930" s="900">
        <f t="shared" si="431"/>
        <v>6832000</v>
      </c>
      <c r="Y1930" s="985"/>
      <c r="Z1930" s="922"/>
      <c r="AA1930" s="1067"/>
      <c r="AB1930" s="922"/>
      <c r="AC1930" s="922"/>
      <c r="AD1930" s="922"/>
      <c r="AE1930" s="922"/>
      <c r="AF1930" s="1046"/>
      <c r="AG1930" s="906" t="str">
        <f>IF(AE1930&lt;&gt;0,VLOOKUP(AE1930,ODDS!$A$2:$C$13,3,0),"")</f>
        <v/>
      </c>
      <c r="AH1930" s="906" t="str">
        <f t="shared" si="428"/>
        <v xml:space="preserve"> </v>
      </c>
      <c r="AI1930" s="907" t="str">
        <f t="shared" si="434"/>
        <v xml:space="preserve"> </v>
      </c>
      <c r="AJ1930" s="908"/>
      <c r="AK1930" s="908"/>
    </row>
    <row r="1931" spans="1:37" s="394" customFormat="1" ht="67.5" outlineLevel="2" x14ac:dyDescent="0.3">
      <c r="A1931" s="447">
        <f t="shared" si="433"/>
        <v>164</v>
      </c>
      <c r="B1931" s="893"/>
      <c r="C1931" s="922"/>
      <c r="D1931" s="1032"/>
      <c r="E1931" s="947"/>
      <c r="F1931" s="947"/>
      <c r="G1931" s="922"/>
      <c r="H1931" s="1041"/>
      <c r="I1931" s="882"/>
      <c r="J1931" s="898"/>
      <c r="K1931" s="899" t="str">
        <f>IF(G1931&lt;&gt;0,VLOOKUP(G1931,'gia dat'!$A$1:$F$144,5,0)," ")</f>
        <v xml:space="preserve"> </v>
      </c>
      <c r="L1931" s="899" t="str">
        <f>IF(G1931&lt;&gt;0,VLOOKUP(G1931,'gia dat'!$A$1:$F$144,6,0)," ")</f>
        <v xml:space="preserve"> </v>
      </c>
      <c r="M1931" s="900" t="str">
        <f t="shared" si="424"/>
        <v xml:space="preserve"> </v>
      </c>
      <c r="N1931" s="900" t="str">
        <f t="shared" si="425"/>
        <v xml:space="preserve"> </v>
      </c>
      <c r="O1931" s="908" t="s">
        <v>1350</v>
      </c>
      <c r="P1931" s="1065">
        <v>6</v>
      </c>
      <c r="Q1931" s="900">
        <f>IF(O1931&lt;&gt;0,VLOOKUP(O1931,'Cây trong'!$A$2:$C$246,3,0)," ")</f>
        <v>1200000</v>
      </c>
      <c r="R1931" s="900">
        <f t="shared" si="427"/>
        <v>7200000</v>
      </c>
      <c r="S1931" s="902" t="s">
        <v>2130</v>
      </c>
      <c r="T1931" s="944" t="s">
        <v>1133</v>
      </c>
      <c r="U1931" s="1066">
        <v>0.52</v>
      </c>
      <c r="V1931" s="922"/>
      <c r="W1931" s="900">
        <f>IF(S1931&lt;&gt;0,VLOOKUP(S1931,VKT!$A$2:$G$415,7,0),"")</f>
        <v>438095</v>
      </c>
      <c r="X1931" s="900">
        <f t="shared" si="431"/>
        <v>228000</v>
      </c>
      <c r="Y1931" s="985"/>
      <c r="Z1931" s="922"/>
      <c r="AA1931" s="1067"/>
      <c r="AB1931" s="922"/>
      <c r="AC1931" s="922"/>
      <c r="AD1931" s="922"/>
      <c r="AE1931" s="922"/>
      <c r="AF1931" s="1046"/>
      <c r="AG1931" s="906" t="str">
        <f>IF(AE1931&lt;&gt;0,VLOOKUP(AE1931,ODDS!$A$2:$C$13,3,0),"")</f>
        <v/>
      </c>
      <c r="AH1931" s="906" t="str">
        <f t="shared" si="428"/>
        <v xml:space="preserve"> </v>
      </c>
      <c r="AI1931" s="907" t="str">
        <f t="shared" si="434"/>
        <v xml:space="preserve"> </v>
      </c>
      <c r="AJ1931" s="908"/>
      <c r="AK1931" s="908"/>
    </row>
    <row r="1932" spans="1:37" s="394" customFormat="1" ht="90" outlineLevel="2" x14ac:dyDescent="0.3">
      <c r="A1932" s="447">
        <f t="shared" si="433"/>
        <v>164</v>
      </c>
      <c r="B1932" s="893"/>
      <c r="C1932" s="922"/>
      <c r="D1932" s="1032"/>
      <c r="E1932" s="947"/>
      <c r="F1932" s="947"/>
      <c r="G1932" s="922"/>
      <c r="H1932" s="1041"/>
      <c r="I1932" s="882"/>
      <c r="J1932" s="898"/>
      <c r="K1932" s="899" t="str">
        <f>IF(G1932&lt;&gt;0,VLOOKUP(G1932,'gia dat'!$A$1:$F$144,5,0)," ")</f>
        <v xml:space="preserve"> </v>
      </c>
      <c r="L1932" s="899" t="str">
        <f>IF(G1932&lt;&gt;0,VLOOKUP(G1932,'gia dat'!$A$1:$F$144,6,0)," ")</f>
        <v xml:space="preserve"> </v>
      </c>
      <c r="M1932" s="900" t="str">
        <f t="shared" si="424"/>
        <v xml:space="preserve"> </v>
      </c>
      <c r="N1932" s="900" t="str">
        <f t="shared" si="425"/>
        <v xml:space="preserve"> </v>
      </c>
      <c r="O1932" s="908" t="s">
        <v>798</v>
      </c>
      <c r="P1932" s="1065">
        <v>13</v>
      </c>
      <c r="Q1932" s="900">
        <f>IF(O1932&lt;&gt;0,VLOOKUP(O1932,'Cây trong'!$A$2:$C$246,3,0)," ")</f>
        <v>32000</v>
      </c>
      <c r="R1932" s="900">
        <f t="shared" si="427"/>
        <v>416000</v>
      </c>
      <c r="S1932" s="902" t="s">
        <v>1954</v>
      </c>
      <c r="T1932" s="944" t="s">
        <v>1133</v>
      </c>
      <c r="U1932" s="1066">
        <v>11.440000000000001</v>
      </c>
      <c r="V1932" s="922"/>
      <c r="W1932" s="900">
        <f>IF(S1932&lt;&gt;0,VLOOKUP(S1932,VKT!$A$2:$G$415,7,0),"")</f>
        <v>0</v>
      </c>
      <c r="X1932" s="900">
        <f t="shared" si="431"/>
        <v>0</v>
      </c>
      <c r="Y1932" s="985"/>
      <c r="Z1932" s="922"/>
      <c r="AA1932" s="1067"/>
      <c r="AB1932" s="922"/>
      <c r="AC1932" s="922"/>
      <c r="AD1932" s="922"/>
      <c r="AE1932" s="922"/>
      <c r="AF1932" s="1046"/>
      <c r="AG1932" s="906" t="str">
        <f>IF(AE1932&lt;&gt;0,VLOOKUP(AE1932,ODDS!$A$2:$C$13,3,0),"")</f>
        <v/>
      </c>
      <c r="AH1932" s="906" t="str">
        <f t="shared" si="428"/>
        <v xml:space="preserve"> </v>
      </c>
      <c r="AI1932" s="907" t="str">
        <f t="shared" si="434"/>
        <v xml:space="preserve"> </v>
      </c>
      <c r="AJ1932" s="908"/>
      <c r="AK1932" s="908"/>
    </row>
    <row r="1933" spans="1:37" s="394" customFormat="1" ht="67.5" outlineLevel="2" x14ac:dyDescent="0.3">
      <c r="A1933" s="447">
        <f t="shared" si="433"/>
        <v>164</v>
      </c>
      <c r="B1933" s="893"/>
      <c r="C1933" s="922"/>
      <c r="D1933" s="1032"/>
      <c r="E1933" s="947"/>
      <c r="F1933" s="947"/>
      <c r="G1933" s="922"/>
      <c r="H1933" s="1041"/>
      <c r="I1933" s="882"/>
      <c r="J1933" s="898"/>
      <c r="K1933" s="899" t="str">
        <f>IF(G1933&lt;&gt;0,VLOOKUP(G1933,'gia dat'!$A$1:$F$144,5,0)," ")</f>
        <v xml:space="preserve"> </v>
      </c>
      <c r="L1933" s="899" t="str">
        <f>IF(G1933&lt;&gt;0,VLOOKUP(G1933,'gia dat'!$A$1:$F$144,6,0)," ")</f>
        <v xml:space="preserve"> </v>
      </c>
      <c r="M1933" s="900" t="str">
        <f t="shared" si="424"/>
        <v xml:space="preserve"> </v>
      </c>
      <c r="N1933" s="900" t="str">
        <f t="shared" si="425"/>
        <v xml:space="preserve"> </v>
      </c>
      <c r="O1933" s="908" t="s">
        <v>1351</v>
      </c>
      <c r="P1933" s="1065">
        <v>5</v>
      </c>
      <c r="Q1933" s="900">
        <f>IF(O1933&lt;&gt;0,VLOOKUP(O1933,'Cây trong'!$A$2:$C$246,3,0)," ")</f>
        <v>2400000</v>
      </c>
      <c r="R1933" s="900">
        <f t="shared" si="427"/>
        <v>12000000</v>
      </c>
      <c r="S1933" s="902" t="s">
        <v>1771</v>
      </c>
      <c r="T1933" s="944" t="s">
        <v>1133</v>
      </c>
      <c r="U1933" s="1066">
        <v>19.8</v>
      </c>
      <c r="V1933" s="922"/>
      <c r="W1933" s="900">
        <f>IF(S1933&lt;&gt;0,VLOOKUP(S1933,VKT!$A$2:$G$415,7,0),"")</f>
        <v>348773</v>
      </c>
      <c r="X1933" s="900">
        <f t="shared" si="431"/>
        <v>6906000</v>
      </c>
      <c r="Y1933" s="985"/>
      <c r="Z1933" s="922"/>
      <c r="AA1933" s="1067"/>
      <c r="AB1933" s="922"/>
      <c r="AC1933" s="922"/>
      <c r="AD1933" s="922"/>
      <c r="AE1933" s="922"/>
      <c r="AF1933" s="1046"/>
      <c r="AG1933" s="906" t="str">
        <f>IF(AE1933&lt;&gt;0,VLOOKUP(AE1933,ODDS!$A$2:$C$13,3,0),"")</f>
        <v/>
      </c>
      <c r="AH1933" s="906" t="str">
        <f t="shared" si="428"/>
        <v xml:space="preserve"> </v>
      </c>
      <c r="AI1933" s="907" t="str">
        <f t="shared" si="434"/>
        <v xml:space="preserve"> </v>
      </c>
      <c r="AJ1933" s="908"/>
      <c r="AK1933" s="908"/>
    </row>
    <row r="1934" spans="1:37" s="394" customFormat="1" ht="67.5" outlineLevel="2" x14ac:dyDescent="0.3">
      <c r="A1934" s="447">
        <f t="shared" si="433"/>
        <v>164</v>
      </c>
      <c r="B1934" s="893"/>
      <c r="C1934" s="922"/>
      <c r="D1934" s="1032"/>
      <c r="E1934" s="947"/>
      <c r="F1934" s="947"/>
      <c r="G1934" s="922"/>
      <c r="H1934" s="1041"/>
      <c r="I1934" s="882"/>
      <c r="J1934" s="898"/>
      <c r="K1934" s="899" t="str">
        <f>IF(G1934&lt;&gt;0,VLOOKUP(G1934,'gia dat'!$A$1:$F$144,5,0)," ")</f>
        <v xml:space="preserve"> </v>
      </c>
      <c r="L1934" s="899" t="str">
        <f>IF(G1934&lt;&gt;0,VLOOKUP(G1934,'gia dat'!$A$1:$F$144,6,0)," ")</f>
        <v xml:space="preserve"> </v>
      </c>
      <c r="M1934" s="900" t="str">
        <f t="shared" si="424"/>
        <v xml:space="preserve"> </v>
      </c>
      <c r="N1934" s="900" t="str">
        <f t="shared" si="425"/>
        <v xml:space="preserve"> </v>
      </c>
      <c r="O1934" s="908" t="s">
        <v>400</v>
      </c>
      <c r="P1934" s="1065">
        <v>26</v>
      </c>
      <c r="Q1934" s="900">
        <f>IF(O1934&lt;&gt;0,VLOOKUP(O1934,'Cây trong'!$A$2:$C$246,3,0)," ")</f>
        <v>228000</v>
      </c>
      <c r="R1934" s="900">
        <f t="shared" si="427"/>
        <v>5928000</v>
      </c>
      <c r="S1934" s="902" t="s">
        <v>1956</v>
      </c>
      <c r="T1934" s="944" t="s">
        <v>1286</v>
      </c>
      <c r="U1934" s="1066">
        <v>0.18000000000000005</v>
      </c>
      <c r="V1934" s="922"/>
      <c r="W1934" s="900">
        <f>IF(S1934&lt;&gt;0,VLOOKUP(S1934,VKT!$A$2:$G$415,7,0),"")</f>
        <v>0</v>
      </c>
      <c r="X1934" s="900">
        <f t="shared" si="431"/>
        <v>0</v>
      </c>
      <c r="Y1934" s="985"/>
      <c r="Z1934" s="922"/>
      <c r="AA1934" s="1067"/>
      <c r="AB1934" s="922"/>
      <c r="AC1934" s="922"/>
      <c r="AD1934" s="922"/>
      <c r="AE1934" s="922"/>
      <c r="AF1934" s="1046"/>
      <c r="AG1934" s="906" t="str">
        <f>IF(AE1934&lt;&gt;0,VLOOKUP(AE1934,ODDS!$A$2:$C$13,3,0),"")</f>
        <v/>
      </c>
      <c r="AH1934" s="906" t="str">
        <f t="shared" si="428"/>
        <v xml:space="preserve"> </v>
      </c>
      <c r="AI1934" s="907" t="str">
        <f t="shared" si="434"/>
        <v xml:space="preserve"> </v>
      </c>
      <c r="AJ1934" s="908"/>
      <c r="AK1934" s="908"/>
    </row>
    <row r="1935" spans="1:37" s="394" customFormat="1" ht="90" outlineLevel="2" x14ac:dyDescent="0.3">
      <c r="A1935" s="447">
        <f t="shared" si="433"/>
        <v>164</v>
      </c>
      <c r="B1935" s="893"/>
      <c r="C1935" s="922"/>
      <c r="D1935" s="1032"/>
      <c r="E1935" s="947"/>
      <c r="F1935" s="947"/>
      <c r="G1935" s="922"/>
      <c r="H1935" s="1041"/>
      <c r="I1935" s="882"/>
      <c r="J1935" s="898"/>
      <c r="K1935" s="899" t="str">
        <f>IF(G1935&lt;&gt;0,VLOOKUP(G1935,'gia dat'!$A$1:$F$144,5,0)," ")</f>
        <v xml:space="preserve"> </v>
      </c>
      <c r="L1935" s="899" t="str">
        <f>IF(G1935&lt;&gt;0,VLOOKUP(G1935,'gia dat'!$A$1:$F$144,6,0)," ")</f>
        <v xml:space="preserve"> </v>
      </c>
      <c r="M1935" s="900" t="str">
        <f t="shared" si="424"/>
        <v xml:space="preserve"> </v>
      </c>
      <c r="N1935" s="900" t="str">
        <f t="shared" si="425"/>
        <v xml:space="preserve"> </v>
      </c>
      <c r="O1935" s="996" t="s">
        <v>1409</v>
      </c>
      <c r="P1935" s="1065">
        <v>5</v>
      </c>
      <c r="Q1935" s="900">
        <f>IF(O1935&lt;&gt;0,VLOOKUP(O1935,'Cây trong'!$A$2:$C$246,3,0)," ")</f>
        <v>2400000</v>
      </c>
      <c r="R1935" s="900">
        <f t="shared" si="427"/>
        <v>12000000</v>
      </c>
      <c r="S1935" s="902" t="s">
        <v>1957</v>
      </c>
      <c r="T1935" s="944" t="s">
        <v>1133</v>
      </c>
      <c r="U1935" s="1066">
        <v>8</v>
      </c>
      <c r="V1935" s="922"/>
      <c r="W1935" s="900">
        <f>IF(S1935&lt;&gt;0,VLOOKUP(S1935,VKT!$A$2:$G$415,7,0),"")</f>
        <v>0</v>
      </c>
      <c r="X1935" s="900">
        <f t="shared" si="431"/>
        <v>0</v>
      </c>
      <c r="Y1935" s="985"/>
      <c r="Z1935" s="922"/>
      <c r="AA1935" s="1067"/>
      <c r="AB1935" s="922"/>
      <c r="AC1935" s="922"/>
      <c r="AD1935" s="922"/>
      <c r="AE1935" s="922"/>
      <c r="AF1935" s="1046"/>
      <c r="AG1935" s="906" t="str">
        <f>IF(AE1935&lt;&gt;0,VLOOKUP(AE1935,ODDS!$A$2:$C$13,3,0),"")</f>
        <v/>
      </c>
      <c r="AH1935" s="906" t="str">
        <f t="shared" si="428"/>
        <v xml:space="preserve"> </v>
      </c>
      <c r="AI1935" s="907" t="str">
        <f t="shared" si="434"/>
        <v xml:space="preserve"> </v>
      </c>
      <c r="AJ1935" s="908"/>
      <c r="AK1935" s="908"/>
    </row>
    <row r="1936" spans="1:37" s="394" customFormat="1" ht="90" outlineLevel="2" x14ac:dyDescent="0.3">
      <c r="A1936" s="447">
        <f t="shared" si="433"/>
        <v>164</v>
      </c>
      <c r="B1936" s="893"/>
      <c r="C1936" s="922"/>
      <c r="D1936" s="1032"/>
      <c r="E1936" s="947"/>
      <c r="F1936" s="947"/>
      <c r="G1936" s="922"/>
      <c r="H1936" s="1041"/>
      <c r="I1936" s="882"/>
      <c r="J1936" s="898"/>
      <c r="K1936" s="899" t="str">
        <f>IF(G1936&lt;&gt;0,VLOOKUP(G1936,'gia dat'!$A$1:$F$144,5,0)," ")</f>
        <v xml:space="preserve"> </v>
      </c>
      <c r="L1936" s="899" t="str">
        <f>IF(G1936&lt;&gt;0,VLOOKUP(G1936,'gia dat'!$A$1:$F$144,6,0)," ")</f>
        <v xml:space="preserve"> </v>
      </c>
      <c r="M1936" s="900" t="str">
        <f t="shared" si="424"/>
        <v xml:space="preserve"> </v>
      </c>
      <c r="N1936" s="900" t="str">
        <f t="shared" si="425"/>
        <v xml:space="preserve"> </v>
      </c>
      <c r="O1936" s="908" t="s">
        <v>1353</v>
      </c>
      <c r="P1936" s="1065">
        <v>1</v>
      </c>
      <c r="Q1936" s="900">
        <f>IF(O1936&lt;&gt;0,VLOOKUP(O1936,'Cây trong'!$A$2:$C$246,3,0)," ")</f>
        <v>1713000</v>
      </c>
      <c r="R1936" s="900">
        <f t="shared" si="427"/>
        <v>1713000</v>
      </c>
      <c r="S1936" s="902" t="s">
        <v>1945</v>
      </c>
      <c r="T1936" s="944" t="s">
        <v>1133</v>
      </c>
      <c r="U1936" s="1066">
        <v>7.2</v>
      </c>
      <c r="V1936" s="922"/>
      <c r="W1936" s="900">
        <f>IF(S1936&lt;&gt;0,VLOOKUP(S1936,VKT!$A$2:$G$415,7,0),"")</f>
        <v>770070</v>
      </c>
      <c r="X1936" s="900">
        <f t="shared" si="431"/>
        <v>5545000</v>
      </c>
      <c r="Y1936" s="985"/>
      <c r="Z1936" s="922"/>
      <c r="AA1936" s="1067"/>
      <c r="AB1936" s="922"/>
      <c r="AC1936" s="922"/>
      <c r="AD1936" s="922"/>
      <c r="AE1936" s="922"/>
      <c r="AF1936" s="1046"/>
      <c r="AG1936" s="906" t="str">
        <f>IF(AE1936&lt;&gt;0,VLOOKUP(AE1936,ODDS!$A$2:$C$13,3,0),"")</f>
        <v/>
      </c>
      <c r="AH1936" s="906" t="str">
        <f t="shared" si="428"/>
        <v xml:space="preserve"> </v>
      </c>
      <c r="AI1936" s="907" t="str">
        <f t="shared" si="434"/>
        <v xml:space="preserve"> </v>
      </c>
      <c r="AJ1936" s="908"/>
      <c r="AK1936" s="908"/>
    </row>
    <row r="1937" spans="1:37" s="394" customFormat="1" ht="112.5" outlineLevel="2" x14ac:dyDescent="0.3">
      <c r="A1937" s="447">
        <f t="shared" si="433"/>
        <v>164</v>
      </c>
      <c r="B1937" s="893"/>
      <c r="C1937" s="922"/>
      <c r="D1937" s="1032"/>
      <c r="E1937" s="947"/>
      <c r="F1937" s="947"/>
      <c r="G1937" s="922"/>
      <c r="H1937" s="1041"/>
      <c r="I1937" s="882"/>
      <c r="J1937" s="898"/>
      <c r="K1937" s="899" t="str">
        <f>IF(G1937&lt;&gt;0,VLOOKUP(G1937,'gia dat'!$A$1:$F$144,5,0)," ")</f>
        <v xml:space="preserve"> </v>
      </c>
      <c r="L1937" s="899" t="str">
        <f>IF(G1937&lt;&gt;0,VLOOKUP(G1937,'gia dat'!$A$1:$F$144,6,0)," ")</f>
        <v xml:space="preserve"> </v>
      </c>
      <c r="M1937" s="900" t="str">
        <f t="shared" si="424"/>
        <v xml:space="preserve"> </v>
      </c>
      <c r="N1937" s="900" t="str">
        <f t="shared" si="425"/>
        <v xml:space="preserve"> </v>
      </c>
      <c r="O1937" s="908" t="s">
        <v>1354</v>
      </c>
      <c r="P1937" s="1065">
        <v>903</v>
      </c>
      <c r="Q1937" s="900">
        <f>IF(O1937&lt;&gt;0,VLOOKUP(O1937,'Cây trong'!$A$2:$C$246,3,0)," ")</f>
        <v>0</v>
      </c>
      <c r="R1937" s="900">
        <f t="shared" si="427"/>
        <v>0</v>
      </c>
      <c r="S1937" s="902"/>
      <c r="T1937" s="944"/>
      <c r="U1937" s="1066"/>
      <c r="V1937" s="922"/>
      <c r="W1937" s="900" t="str">
        <f>IF(S1937&lt;&gt;0,VLOOKUP(S1937,VKT!$A$2:$G$415,7,0),"")</f>
        <v/>
      </c>
      <c r="X1937" s="900" t="str">
        <f t="shared" si="431"/>
        <v xml:space="preserve"> </v>
      </c>
      <c r="Y1937" s="985"/>
      <c r="Z1937" s="922"/>
      <c r="AA1937" s="1067"/>
      <c r="AB1937" s="922"/>
      <c r="AC1937" s="922"/>
      <c r="AD1937" s="922"/>
      <c r="AE1937" s="922"/>
      <c r="AF1937" s="1046"/>
      <c r="AG1937" s="906" t="str">
        <f>IF(AE1937&lt;&gt;0,VLOOKUP(AE1937,ODDS!$A$2:$C$13,3,0),"")</f>
        <v/>
      </c>
      <c r="AH1937" s="906" t="str">
        <f t="shared" si="428"/>
        <v xml:space="preserve"> </v>
      </c>
      <c r="AI1937" s="907" t="str">
        <f t="shared" si="434"/>
        <v xml:space="preserve"> </v>
      </c>
      <c r="AJ1937" s="908"/>
      <c r="AK1937" s="908"/>
    </row>
    <row r="1938" spans="1:37" s="394" customFormat="1" ht="22.5" outlineLevel="2" x14ac:dyDescent="0.3">
      <c r="A1938" s="447">
        <f t="shared" si="433"/>
        <v>164</v>
      </c>
      <c r="B1938" s="893"/>
      <c r="C1938" s="922"/>
      <c r="D1938" s="1032"/>
      <c r="E1938" s="947"/>
      <c r="F1938" s="947"/>
      <c r="G1938" s="922"/>
      <c r="H1938" s="1041"/>
      <c r="I1938" s="882"/>
      <c r="J1938" s="898"/>
      <c r="K1938" s="899" t="str">
        <f>IF(G1938&lt;&gt;0,VLOOKUP(G1938,'gia dat'!$A$1:$F$144,5,0)," ")</f>
        <v xml:space="preserve"> </v>
      </c>
      <c r="L1938" s="899" t="str">
        <f>IF(G1938&lt;&gt;0,VLOOKUP(G1938,'gia dat'!$A$1:$F$144,6,0)," ")</f>
        <v xml:space="preserve"> </v>
      </c>
      <c r="M1938" s="900" t="str">
        <f t="shared" si="424"/>
        <v xml:space="preserve"> </v>
      </c>
      <c r="N1938" s="900" t="str">
        <f t="shared" si="425"/>
        <v xml:space="preserve"> </v>
      </c>
      <c r="O1938" s="908"/>
      <c r="P1938" s="1065"/>
      <c r="Q1938" s="900" t="str">
        <f>IF(O1938&lt;&gt;0,VLOOKUP(O1938,'Cây trong'!$A$2:$C$246,3,0)," ")</f>
        <v xml:space="preserve"> </v>
      </c>
      <c r="R1938" s="900" t="str">
        <f t="shared" si="427"/>
        <v xml:space="preserve"> </v>
      </c>
      <c r="S1938" s="902"/>
      <c r="T1938" s="944"/>
      <c r="U1938" s="1066"/>
      <c r="V1938" s="922"/>
      <c r="W1938" s="900" t="str">
        <f>IF(S1938&lt;&gt;0,VLOOKUP(S1938,VKT!$A$2:$G$415,7,0),"")</f>
        <v/>
      </c>
      <c r="X1938" s="900" t="str">
        <f t="shared" si="431"/>
        <v xml:space="preserve"> </v>
      </c>
      <c r="Y1938" s="985"/>
      <c r="Z1938" s="922"/>
      <c r="AA1938" s="1067"/>
      <c r="AB1938" s="922"/>
      <c r="AC1938" s="922"/>
      <c r="AD1938" s="922"/>
      <c r="AE1938" s="922"/>
      <c r="AF1938" s="1046"/>
      <c r="AG1938" s="906" t="str">
        <f>IF(AE1938&lt;&gt;0,VLOOKUP(AE1938,ODDS!$A$2:$C$13,3,0),"")</f>
        <v/>
      </c>
      <c r="AH1938" s="906" t="str">
        <f t="shared" si="428"/>
        <v xml:space="preserve"> </v>
      </c>
      <c r="AI1938" s="907" t="str">
        <f t="shared" si="434"/>
        <v xml:space="preserve"> </v>
      </c>
      <c r="AJ1938" s="908"/>
      <c r="AK1938" s="908"/>
    </row>
    <row r="1939" spans="1:37" s="394" customFormat="1" ht="22.5" outlineLevel="2" x14ac:dyDescent="0.3">
      <c r="A1939" s="447">
        <f t="shared" si="433"/>
        <v>164</v>
      </c>
      <c r="B1939" s="893"/>
      <c r="C1939" s="908"/>
      <c r="D1939" s="1032"/>
      <c r="E1939" s="947"/>
      <c r="F1939" s="947"/>
      <c r="G1939" s="922"/>
      <c r="H1939" s="1041"/>
      <c r="I1939" s="882"/>
      <c r="J1939" s="898"/>
      <c r="K1939" s="899" t="str">
        <f>IF(G1939&lt;&gt;0,VLOOKUP(G1939,'gia dat'!$A$1:$F$144,5,0)," ")</f>
        <v xml:space="preserve"> </v>
      </c>
      <c r="L1939" s="899" t="str">
        <f>IF(G1939&lt;&gt;0,VLOOKUP(G1939,'gia dat'!$A$1:$F$144,6,0)," ")</f>
        <v xml:space="preserve"> </v>
      </c>
      <c r="M1939" s="900" t="str">
        <f t="shared" si="424"/>
        <v xml:space="preserve"> </v>
      </c>
      <c r="N1939" s="900" t="str">
        <f t="shared" si="425"/>
        <v xml:space="preserve"> </v>
      </c>
      <c r="O1939" s="908"/>
      <c r="P1939" s="1065"/>
      <c r="Q1939" s="900" t="str">
        <f>IF(O1939&lt;&gt;0,VLOOKUP(O1939,'Cây trong'!$A$2:$C$246,3,0)," ")</f>
        <v xml:space="preserve"> </v>
      </c>
      <c r="R1939" s="900" t="str">
        <f t="shared" si="427"/>
        <v xml:space="preserve"> </v>
      </c>
      <c r="S1939" s="902"/>
      <c r="T1939" s="944"/>
      <c r="U1939" s="1066"/>
      <c r="V1939" s="922"/>
      <c r="W1939" s="900" t="str">
        <f>IF(S1939&lt;&gt;0,VLOOKUP(S1939,VKT!$A$2:$G$415,7,0),"")</f>
        <v/>
      </c>
      <c r="X1939" s="900" t="str">
        <f t="shared" si="431"/>
        <v xml:space="preserve"> </v>
      </c>
      <c r="Y1939" s="985"/>
      <c r="Z1939" s="922"/>
      <c r="AA1939" s="1067"/>
      <c r="AB1939" s="922"/>
      <c r="AC1939" s="922"/>
      <c r="AD1939" s="922"/>
      <c r="AE1939" s="922"/>
      <c r="AF1939" s="1046"/>
      <c r="AG1939" s="906" t="str">
        <f>IF(AE1939&lt;&gt;0,VLOOKUP(AE1939,ODDS!$A$2:$C$13,3,0),"")</f>
        <v/>
      </c>
      <c r="AH1939" s="906" t="str">
        <f t="shared" si="428"/>
        <v xml:space="preserve"> </v>
      </c>
      <c r="AI1939" s="907" t="str">
        <f t="shared" si="434"/>
        <v xml:space="preserve"> </v>
      </c>
      <c r="AJ1939" s="894"/>
      <c r="AK1939" s="894"/>
    </row>
    <row r="1940" spans="1:37" s="394" customFormat="1" ht="22.5" outlineLevel="2" x14ac:dyDescent="0.3">
      <c r="A1940" s="447">
        <f t="shared" si="433"/>
        <v>164</v>
      </c>
      <c r="B1940" s="893"/>
      <c r="C1940" s="908"/>
      <c r="D1940" s="1032"/>
      <c r="E1940" s="947"/>
      <c r="F1940" s="947"/>
      <c r="G1940" s="922"/>
      <c r="H1940" s="1041"/>
      <c r="I1940" s="882"/>
      <c r="J1940" s="898"/>
      <c r="K1940" s="899" t="str">
        <f>IF(G1940&lt;&gt;0,VLOOKUP(G1940,'gia dat'!$A$1:$F$144,5,0)," ")</f>
        <v xml:space="preserve"> </v>
      </c>
      <c r="L1940" s="899" t="str">
        <f>IF(G1940&lt;&gt;0,VLOOKUP(G1940,'gia dat'!$A$1:$F$144,6,0)," ")</f>
        <v xml:space="preserve"> </v>
      </c>
      <c r="M1940" s="900" t="str">
        <f t="shared" si="424"/>
        <v xml:space="preserve"> </v>
      </c>
      <c r="N1940" s="900" t="str">
        <f t="shared" si="425"/>
        <v xml:space="preserve"> </v>
      </c>
      <c r="O1940" s="908"/>
      <c r="P1940" s="1065"/>
      <c r="Q1940" s="900" t="str">
        <f>IF(O1940&lt;&gt;0,VLOOKUP(O1940,'Cây trong'!$A$2:$C$246,3,0)," ")</f>
        <v xml:space="preserve"> </v>
      </c>
      <c r="R1940" s="900" t="str">
        <f t="shared" si="427"/>
        <v xml:space="preserve"> </v>
      </c>
      <c r="S1940" s="902"/>
      <c r="T1940" s="944"/>
      <c r="U1940" s="1066"/>
      <c r="V1940" s="922"/>
      <c r="W1940" s="900" t="str">
        <f>IF(S1940&lt;&gt;0,VLOOKUP(S1940,VKT!$A$2:$G$415,7,0),"")</f>
        <v/>
      </c>
      <c r="X1940" s="900" t="str">
        <f t="shared" si="431"/>
        <v xml:space="preserve"> </v>
      </c>
      <c r="Y1940" s="985"/>
      <c r="Z1940" s="922"/>
      <c r="AA1940" s="1067"/>
      <c r="AB1940" s="922"/>
      <c r="AC1940" s="922"/>
      <c r="AD1940" s="922"/>
      <c r="AE1940" s="922"/>
      <c r="AF1940" s="1046"/>
      <c r="AG1940" s="906" t="str">
        <f>IF(AE1940&lt;&gt;0,VLOOKUP(AE1940,ODDS!$A$2:$C$13,3,0),"")</f>
        <v/>
      </c>
      <c r="AH1940" s="906" t="str">
        <f t="shared" si="428"/>
        <v xml:space="preserve"> </v>
      </c>
      <c r="AI1940" s="907" t="str">
        <f t="shared" si="434"/>
        <v xml:space="preserve"> </v>
      </c>
      <c r="AJ1940" s="922"/>
      <c r="AK1940" s="922"/>
    </row>
    <row r="1941" spans="1:37" s="394" customFormat="1" ht="22.5" outlineLevel="2" x14ac:dyDescent="0.3">
      <c r="A1941" s="447">
        <f t="shared" si="433"/>
        <v>164</v>
      </c>
      <c r="B1941" s="893"/>
      <c r="C1941" s="942"/>
      <c r="D1941" s="1032"/>
      <c r="E1941" s="947"/>
      <c r="F1941" s="947"/>
      <c r="G1941" s="922"/>
      <c r="H1941" s="1041"/>
      <c r="I1941" s="882"/>
      <c r="J1941" s="898"/>
      <c r="K1941" s="899" t="str">
        <f>IF(G1941&lt;&gt;0,VLOOKUP(G1941,'gia dat'!$A$1:$F$144,5,0)," ")</f>
        <v xml:space="preserve"> </v>
      </c>
      <c r="L1941" s="899" t="str">
        <f>IF(G1941&lt;&gt;0,VLOOKUP(G1941,'gia dat'!$A$1:$F$144,6,0)," ")</f>
        <v xml:space="preserve"> </v>
      </c>
      <c r="M1941" s="900" t="str">
        <f t="shared" si="424"/>
        <v xml:space="preserve"> </v>
      </c>
      <c r="N1941" s="900" t="str">
        <f t="shared" si="425"/>
        <v xml:space="preserve"> </v>
      </c>
      <c r="O1941" s="908"/>
      <c r="P1941" s="1065"/>
      <c r="Q1941" s="900" t="str">
        <f>IF(O1941&lt;&gt;0,VLOOKUP(O1941,'Cây trong'!$A$2:$C$246,3,0)," ")</f>
        <v xml:space="preserve"> </v>
      </c>
      <c r="R1941" s="900" t="str">
        <f t="shared" si="427"/>
        <v xml:space="preserve"> </v>
      </c>
      <c r="S1941" s="902"/>
      <c r="T1941" s="944"/>
      <c r="U1941" s="1066"/>
      <c r="V1941" s="922"/>
      <c r="W1941" s="900" t="str">
        <f>IF(S1941&lt;&gt;0,VLOOKUP(S1941,VKT!$A$2:$G$415,7,0),"")</f>
        <v/>
      </c>
      <c r="X1941" s="900" t="str">
        <f t="shared" si="431"/>
        <v xml:space="preserve"> </v>
      </c>
      <c r="Y1941" s="985"/>
      <c r="Z1941" s="922"/>
      <c r="AA1941" s="1067"/>
      <c r="AB1941" s="922"/>
      <c r="AC1941" s="922"/>
      <c r="AD1941" s="922"/>
      <c r="AE1941" s="922"/>
      <c r="AF1941" s="1046"/>
      <c r="AG1941" s="906" t="str">
        <f>IF(AE1941&lt;&gt;0,VLOOKUP(AE1941,ODDS!$A$2:$C$13,3,0),"")</f>
        <v/>
      </c>
      <c r="AH1941" s="906" t="str">
        <f t="shared" si="428"/>
        <v xml:space="preserve"> </v>
      </c>
      <c r="AI1941" s="907" t="str">
        <f t="shared" si="434"/>
        <v xml:space="preserve"> </v>
      </c>
      <c r="AJ1941" s="922"/>
      <c r="AK1941" s="922"/>
    </row>
    <row r="1942" spans="1:37" s="394" customFormat="1" ht="43.5" outlineLevel="1" x14ac:dyDescent="0.25">
      <c r="A1942" s="467" t="s">
        <v>2545</v>
      </c>
      <c r="B1942" s="912">
        <v>165</v>
      </c>
      <c r="C1942" s="942" t="s">
        <v>1355</v>
      </c>
      <c r="D1942" s="1038"/>
      <c r="E1942" s="977"/>
      <c r="F1942" s="977"/>
      <c r="G1942" s="914"/>
      <c r="H1942" s="1039">
        <f>SUBTOTAL(9,H1943:H1958)</f>
        <v>0</v>
      </c>
      <c r="I1942" s="915">
        <f>SUBTOTAL(9,I1943:I1948)</f>
        <v>0</v>
      </c>
      <c r="J1942" s="916"/>
      <c r="K1942" s="917"/>
      <c r="L1942" s="917"/>
      <c r="M1942" s="907">
        <f>SUBTOTAL(9,M1943:M1958)</f>
        <v>0</v>
      </c>
      <c r="N1942" s="907">
        <f>SUBTOTAL(9,N1943:N1958)</f>
        <v>0</v>
      </c>
      <c r="O1942" s="942"/>
      <c r="P1942" s="1063">
        <f>SUBTOTAL(9,P1943:P1958)</f>
        <v>0</v>
      </c>
      <c r="Q1942" s="907"/>
      <c r="R1942" s="907">
        <f>SUBTOTAL(9,R1943:R1958)</f>
        <v>0</v>
      </c>
      <c r="S1942" s="918"/>
      <c r="T1942" s="956"/>
      <c r="U1942" s="1064">
        <f>SUBTOTAL(9,U1943:U1958)</f>
        <v>362.01799999999997</v>
      </c>
      <c r="V1942" s="914"/>
      <c r="W1942" s="907"/>
      <c r="X1942" s="907">
        <f>SUBTOTAL(9,X1943:X1958)</f>
        <v>815393000</v>
      </c>
      <c r="Y1942" s="996"/>
      <c r="Z1942" s="1016"/>
      <c r="AA1942" s="1016"/>
      <c r="AB1942" s="1026"/>
      <c r="AC1942" s="1016"/>
      <c r="AD1942" s="1016"/>
      <c r="AE1942" s="985"/>
      <c r="AF1942" s="935">
        <f>SUBTOTAL(9,AF1943:AF1958)</f>
        <v>0</v>
      </c>
      <c r="AG1942" s="921"/>
      <c r="AH1942" s="921">
        <f>SUBTOTAL(9,AH1943:AH1958)</f>
        <v>0</v>
      </c>
      <c r="AI1942" s="907">
        <f t="shared" si="434"/>
        <v>815393000</v>
      </c>
      <c r="AJ1942" s="914"/>
      <c r="AK1942" s="910"/>
    </row>
    <row r="1943" spans="1:37" s="394" customFormat="1" ht="112.5" outlineLevel="2" x14ac:dyDescent="0.3">
      <c r="A1943" s="447">
        <f>IF(B1942&lt;&gt;0,B1942,A1941)</f>
        <v>165</v>
      </c>
      <c r="B1943" s="893"/>
      <c r="C1943" s="908" t="s">
        <v>1357</v>
      </c>
      <c r="D1943" s="1032"/>
      <c r="E1943" s="947"/>
      <c r="F1943" s="947"/>
      <c r="G1943" s="922"/>
      <c r="H1943" s="1041"/>
      <c r="I1943" s="882"/>
      <c r="J1943" s="898"/>
      <c r="K1943" s="899" t="str">
        <f>IF(G1943&lt;&gt;0,VLOOKUP(G1943,'gia dat'!$A$1:$F$144,5,0)," ")</f>
        <v xml:space="preserve"> </v>
      </c>
      <c r="L1943" s="899" t="str">
        <f>IF(G1943&lt;&gt;0,VLOOKUP(G1943,'gia dat'!$A$1:$F$144,6,0)," ")</f>
        <v xml:space="preserve"> </v>
      </c>
      <c r="M1943" s="900" t="str">
        <f t="shared" si="424"/>
        <v xml:space="preserve"> </v>
      </c>
      <c r="N1943" s="900" t="str">
        <f t="shared" si="425"/>
        <v xml:space="preserve"> </v>
      </c>
      <c r="O1943" s="908"/>
      <c r="P1943" s="1065"/>
      <c r="Q1943" s="900" t="str">
        <f>IF(O1943&lt;&gt;0,VLOOKUP(O1943,'Cây trong'!$A$2:$C$246,3,0)," ")</f>
        <v xml:space="preserve"> </v>
      </c>
      <c r="R1943" s="900" t="str">
        <f t="shared" si="427"/>
        <v xml:space="preserve"> </v>
      </c>
      <c r="S1943" s="902" t="s">
        <v>1958</v>
      </c>
      <c r="T1943" s="944" t="s">
        <v>1133</v>
      </c>
      <c r="U1943" s="1066">
        <v>162.57000000000002</v>
      </c>
      <c r="V1943" s="922"/>
      <c r="W1943" s="900">
        <f>IF(S1943&lt;&gt;0,VLOOKUP(S1943,VKT!$A$2:$G$415,7,0),"")</f>
        <v>3550600</v>
      </c>
      <c r="X1943" s="900">
        <f t="shared" si="431"/>
        <v>577221000</v>
      </c>
      <c r="Y1943" s="996" t="s">
        <v>1138</v>
      </c>
      <c r="Z1943" s="1016" t="s">
        <v>1139</v>
      </c>
      <c r="AA1943" s="1016" t="s">
        <v>56</v>
      </c>
      <c r="AB1943" s="1026" t="s">
        <v>269</v>
      </c>
      <c r="AC1943" s="1016" t="s">
        <v>1138</v>
      </c>
      <c r="AD1943" s="1016"/>
      <c r="AE1943" s="1016"/>
      <c r="AF1943" s="926"/>
      <c r="AG1943" s="906" t="str">
        <f>IF(AE1943&lt;&gt;0,VLOOKUP(AE1943,ODDS!$A$2:$C$13,3,0),"")</f>
        <v/>
      </c>
      <c r="AH1943" s="906" t="str">
        <f t="shared" si="428"/>
        <v xml:space="preserve"> </v>
      </c>
      <c r="AI1943" s="907" t="str">
        <f t="shared" si="434"/>
        <v xml:space="preserve"> </v>
      </c>
      <c r="AJ1943" s="922" t="s">
        <v>1356</v>
      </c>
      <c r="AK1943" s="894" t="s">
        <v>2450</v>
      </c>
    </row>
    <row r="1944" spans="1:37" s="394" customFormat="1" ht="112.5" outlineLevel="2" x14ac:dyDescent="0.3">
      <c r="A1944" s="447">
        <f t="shared" ref="A1944:A1958" si="435">IF(B1943&lt;&gt;0,B1943,A1943)</f>
        <v>165</v>
      </c>
      <c r="B1944" s="893"/>
      <c r="C1944" s="908" t="s">
        <v>1619</v>
      </c>
      <c r="D1944" s="1032"/>
      <c r="E1944" s="947"/>
      <c r="F1944" s="947"/>
      <c r="G1944" s="922"/>
      <c r="H1944" s="1041"/>
      <c r="I1944" s="882"/>
      <c r="J1944" s="898"/>
      <c r="K1944" s="899" t="str">
        <f>IF(G1944&lt;&gt;0,VLOOKUP(G1944,'gia dat'!$A$1:$F$144,5,0)," ")</f>
        <v xml:space="preserve"> </v>
      </c>
      <c r="L1944" s="899" t="str">
        <f>IF(G1944&lt;&gt;0,VLOOKUP(G1944,'gia dat'!$A$1:$F$144,6,0)," ")</f>
        <v xml:space="preserve"> </v>
      </c>
      <c r="M1944" s="900" t="str">
        <f t="shared" si="424"/>
        <v xml:space="preserve"> </v>
      </c>
      <c r="N1944" s="900" t="str">
        <f t="shared" si="425"/>
        <v xml:space="preserve"> </v>
      </c>
      <c r="O1944" s="908"/>
      <c r="P1944" s="1065"/>
      <c r="Q1944" s="900" t="str">
        <f>IF(O1944&lt;&gt;0,VLOOKUP(O1944,'Cây trong'!$A$2:$C$246,3,0)," ")</f>
        <v xml:space="preserve"> </v>
      </c>
      <c r="R1944" s="900" t="str">
        <f t="shared" si="427"/>
        <v xml:space="preserve"> </v>
      </c>
      <c r="S1944" s="902" t="s">
        <v>1959</v>
      </c>
      <c r="T1944" s="944" t="s">
        <v>1133</v>
      </c>
      <c r="U1944" s="1066">
        <v>17.849999999999998</v>
      </c>
      <c r="V1944" s="922"/>
      <c r="W1944" s="900">
        <f>IF(S1944&lt;&gt;0,VLOOKUP(S1944,VKT!$A$2:$G$415,7,0),"")</f>
        <v>9347414</v>
      </c>
      <c r="X1944" s="900">
        <f t="shared" si="431"/>
        <v>166851000</v>
      </c>
      <c r="Y1944" s="985"/>
      <c r="Z1944" s="922"/>
      <c r="AA1944" s="1067"/>
      <c r="AB1944" s="922"/>
      <c r="AC1944" s="922"/>
      <c r="AD1944" s="922"/>
      <c r="AE1944" s="922"/>
      <c r="AF1944" s="1046"/>
      <c r="AG1944" s="906" t="str">
        <f>IF(AE1944&lt;&gt;0,VLOOKUP(AE1944,ODDS!$A$2:$C$13,3,0),"")</f>
        <v/>
      </c>
      <c r="AH1944" s="906" t="str">
        <f t="shared" si="428"/>
        <v xml:space="preserve"> </v>
      </c>
      <c r="AI1944" s="907" t="str">
        <f t="shared" si="434"/>
        <v xml:space="preserve"> </v>
      </c>
      <c r="AJ1944" s="922" t="s">
        <v>1146</v>
      </c>
      <c r="AK1944" s="922" t="s">
        <v>2800</v>
      </c>
    </row>
    <row r="1945" spans="1:37" s="394" customFormat="1" ht="67.5" outlineLevel="2" x14ac:dyDescent="0.3">
      <c r="A1945" s="447">
        <f t="shared" si="435"/>
        <v>165</v>
      </c>
      <c r="B1945" s="893"/>
      <c r="C1945" s="908"/>
      <c r="D1945" s="1032"/>
      <c r="E1945" s="947"/>
      <c r="F1945" s="947"/>
      <c r="G1945" s="922"/>
      <c r="H1945" s="1041"/>
      <c r="I1945" s="882"/>
      <c r="J1945" s="898"/>
      <c r="K1945" s="899" t="str">
        <f>IF(G1945&lt;&gt;0,VLOOKUP(G1945,'gia dat'!$A$1:$F$144,5,0)," ")</f>
        <v xml:space="preserve"> </v>
      </c>
      <c r="L1945" s="899" t="str">
        <f>IF(G1945&lt;&gt;0,VLOOKUP(G1945,'gia dat'!$A$1:$F$144,6,0)," ")</f>
        <v xml:space="preserve"> </v>
      </c>
      <c r="M1945" s="900" t="str">
        <f t="shared" si="424"/>
        <v xml:space="preserve"> </v>
      </c>
      <c r="N1945" s="900" t="str">
        <f t="shared" si="425"/>
        <v xml:space="preserve"> </v>
      </c>
      <c r="O1945" s="908"/>
      <c r="P1945" s="1065"/>
      <c r="Q1945" s="900" t="str">
        <f>IF(O1945&lt;&gt;0,VLOOKUP(O1945,'Cây trong'!$A$2:$C$246,3,0)," ")</f>
        <v xml:space="preserve"> </v>
      </c>
      <c r="R1945" s="900" t="str">
        <f t="shared" si="427"/>
        <v xml:space="preserve"> </v>
      </c>
      <c r="S1945" s="902" t="s">
        <v>1347</v>
      </c>
      <c r="T1945" s="944" t="s">
        <v>93</v>
      </c>
      <c r="U1945" s="1066">
        <v>1</v>
      </c>
      <c r="V1945" s="922"/>
      <c r="W1945" s="900">
        <f>IF(S1945&lt;&gt;0,VLOOKUP(S1945,VKT!$A$2:$G$415,7,0),"")</f>
        <v>0</v>
      </c>
      <c r="X1945" s="900">
        <f t="shared" si="431"/>
        <v>0</v>
      </c>
      <c r="Y1945" s="985"/>
      <c r="Z1945" s="922"/>
      <c r="AA1945" s="1067"/>
      <c r="AB1945" s="922"/>
      <c r="AC1945" s="922"/>
      <c r="AD1945" s="922"/>
      <c r="AE1945" s="922"/>
      <c r="AF1945" s="1046"/>
      <c r="AG1945" s="906" t="str">
        <f>IF(AE1945&lt;&gt;0,VLOOKUP(AE1945,ODDS!$A$2:$C$13,3,0),"")</f>
        <v/>
      </c>
      <c r="AH1945" s="906" t="str">
        <f t="shared" si="428"/>
        <v xml:space="preserve"> </v>
      </c>
      <c r="AI1945" s="907" t="str">
        <f t="shared" si="434"/>
        <v xml:space="preserve"> </v>
      </c>
      <c r="AJ1945" s="922"/>
      <c r="AK1945" s="922"/>
    </row>
    <row r="1946" spans="1:37" s="394" customFormat="1" ht="90" outlineLevel="2" x14ac:dyDescent="0.3">
      <c r="A1946" s="447">
        <f t="shared" si="435"/>
        <v>165</v>
      </c>
      <c r="B1946" s="893"/>
      <c r="C1946" s="908"/>
      <c r="D1946" s="1032"/>
      <c r="E1946" s="947"/>
      <c r="F1946" s="947"/>
      <c r="G1946" s="922"/>
      <c r="H1946" s="1041"/>
      <c r="I1946" s="882"/>
      <c r="J1946" s="898"/>
      <c r="K1946" s="899" t="str">
        <f>IF(G1946&lt;&gt;0,VLOOKUP(G1946,'gia dat'!$A$1:$F$144,5,0)," ")</f>
        <v xml:space="preserve"> </v>
      </c>
      <c r="L1946" s="899" t="str">
        <f>IF(G1946&lt;&gt;0,VLOOKUP(G1946,'gia dat'!$A$1:$F$144,6,0)," ")</f>
        <v xml:space="preserve"> </v>
      </c>
      <c r="M1946" s="900" t="str">
        <f t="shared" si="424"/>
        <v xml:space="preserve"> </v>
      </c>
      <c r="N1946" s="900" t="str">
        <f t="shared" si="425"/>
        <v xml:space="preserve"> </v>
      </c>
      <c r="O1946" s="908"/>
      <c r="P1946" s="1065"/>
      <c r="Q1946" s="900" t="str">
        <f>IF(O1946&lt;&gt;0,VLOOKUP(O1946,'Cây trong'!$A$2:$C$246,3,0)," ")</f>
        <v xml:space="preserve"> </v>
      </c>
      <c r="R1946" s="900" t="str">
        <f t="shared" si="427"/>
        <v xml:space="preserve"> </v>
      </c>
      <c r="S1946" s="902" t="s">
        <v>1912</v>
      </c>
      <c r="T1946" s="944" t="s">
        <v>1133</v>
      </c>
      <c r="U1946" s="1066">
        <v>52.3</v>
      </c>
      <c r="V1946" s="922"/>
      <c r="W1946" s="900">
        <f>IF(S1946&lt;&gt;0,VLOOKUP(S1946,VKT!$A$2:$G$415,7,0),"")</f>
        <v>265836</v>
      </c>
      <c r="X1946" s="900">
        <f t="shared" si="431"/>
        <v>13903000</v>
      </c>
      <c r="Y1946" s="985"/>
      <c r="Z1946" s="922"/>
      <c r="AA1946" s="1067"/>
      <c r="AB1946" s="922"/>
      <c r="AC1946" s="922"/>
      <c r="AD1946" s="922"/>
      <c r="AE1946" s="922"/>
      <c r="AF1946" s="1046"/>
      <c r="AG1946" s="906" t="str">
        <f>IF(AE1946&lt;&gt;0,VLOOKUP(AE1946,ODDS!$A$2:$C$13,3,0),"")</f>
        <v/>
      </c>
      <c r="AH1946" s="906" t="str">
        <f t="shared" si="428"/>
        <v xml:space="preserve"> </v>
      </c>
      <c r="AI1946" s="907" t="str">
        <f t="shared" si="434"/>
        <v xml:space="preserve"> </v>
      </c>
      <c r="AJ1946" s="922"/>
      <c r="AK1946" s="922"/>
    </row>
    <row r="1947" spans="1:37" s="394" customFormat="1" ht="90" outlineLevel="2" x14ac:dyDescent="0.3">
      <c r="A1947" s="447">
        <f t="shared" si="435"/>
        <v>165</v>
      </c>
      <c r="B1947" s="893"/>
      <c r="C1947" s="908"/>
      <c r="D1947" s="1032"/>
      <c r="E1947" s="947"/>
      <c r="F1947" s="947"/>
      <c r="G1947" s="922"/>
      <c r="H1947" s="1041"/>
      <c r="I1947" s="882"/>
      <c r="J1947" s="898"/>
      <c r="K1947" s="899" t="str">
        <f>IF(G1947&lt;&gt;0,VLOOKUP(G1947,'gia dat'!$A$1:$F$144,5,0)," ")</f>
        <v xml:space="preserve"> </v>
      </c>
      <c r="L1947" s="899" t="str">
        <f>IF(G1947&lt;&gt;0,VLOOKUP(G1947,'gia dat'!$A$1:$F$144,6,0)," ")</f>
        <v xml:space="preserve"> </v>
      </c>
      <c r="M1947" s="900" t="str">
        <f t="shared" si="424"/>
        <v xml:space="preserve"> </v>
      </c>
      <c r="N1947" s="900" t="str">
        <f t="shared" si="425"/>
        <v xml:space="preserve"> </v>
      </c>
      <c r="O1947" s="908"/>
      <c r="P1947" s="1065"/>
      <c r="Q1947" s="900" t="str">
        <f>IF(O1947&lt;&gt;0,VLOOKUP(O1947,'Cây trong'!$A$2:$C$246,3,0)," ")</f>
        <v xml:space="preserve"> </v>
      </c>
      <c r="R1947" s="900" t="str">
        <f t="shared" si="427"/>
        <v xml:space="preserve"> </v>
      </c>
      <c r="S1947" s="902" t="s">
        <v>1960</v>
      </c>
      <c r="T1947" s="944" t="s">
        <v>1133</v>
      </c>
      <c r="U1947" s="1066">
        <v>34.200000000000003</v>
      </c>
      <c r="V1947" s="922"/>
      <c r="W1947" s="900">
        <f>IF(S1947&lt;&gt;0,VLOOKUP(S1947,VKT!$A$2:$G$415,7,0),"")</f>
        <v>770070</v>
      </c>
      <c r="X1947" s="900">
        <f t="shared" si="431"/>
        <v>26336000</v>
      </c>
      <c r="Y1947" s="985"/>
      <c r="Z1947" s="922"/>
      <c r="AA1947" s="1067"/>
      <c r="AB1947" s="922"/>
      <c r="AC1947" s="922"/>
      <c r="AD1947" s="922"/>
      <c r="AE1947" s="922"/>
      <c r="AF1947" s="1046"/>
      <c r="AG1947" s="906" t="str">
        <f>IF(AE1947&lt;&gt;0,VLOOKUP(AE1947,ODDS!$A$2:$C$13,3,0),"")</f>
        <v/>
      </c>
      <c r="AH1947" s="906" t="str">
        <f t="shared" si="428"/>
        <v xml:space="preserve"> </v>
      </c>
      <c r="AI1947" s="907" t="str">
        <f t="shared" si="434"/>
        <v xml:space="preserve"> </v>
      </c>
      <c r="AJ1947" s="922"/>
      <c r="AK1947" s="922"/>
    </row>
    <row r="1948" spans="1:37" s="394" customFormat="1" ht="112.5" outlineLevel="2" x14ac:dyDescent="0.3">
      <c r="A1948" s="447">
        <f t="shared" si="435"/>
        <v>165</v>
      </c>
      <c r="B1948" s="893"/>
      <c r="C1948" s="908"/>
      <c r="D1948" s="1032"/>
      <c r="E1948" s="947"/>
      <c r="F1948" s="947"/>
      <c r="G1948" s="922"/>
      <c r="H1948" s="1041"/>
      <c r="I1948" s="882"/>
      <c r="J1948" s="898"/>
      <c r="K1948" s="899" t="str">
        <f>IF(G1948&lt;&gt;0,VLOOKUP(G1948,'gia dat'!$A$1:$F$144,5,0)," ")</f>
        <v xml:space="preserve"> </v>
      </c>
      <c r="L1948" s="899" t="str">
        <f>IF(G1948&lt;&gt;0,VLOOKUP(G1948,'gia dat'!$A$1:$F$144,6,0)," ")</f>
        <v xml:space="preserve"> </v>
      </c>
      <c r="M1948" s="900" t="str">
        <f t="shared" si="424"/>
        <v xml:space="preserve"> </v>
      </c>
      <c r="N1948" s="900" t="str">
        <f t="shared" si="425"/>
        <v xml:space="preserve"> </v>
      </c>
      <c r="O1948" s="908"/>
      <c r="P1948" s="1065"/>
      <c r="Q1948" s="900" t="str">
        <f>IF(O1948&lt;&gt;0,VLOOKUP(O1948,'Cây trong'!$A$2:$C$246,3,0)," ")</f>
        <v xml:space="preserve"> </v>
      </c>
      <c r="R1948" s="900" t="str">
        <f t="shared" si="427"/>
        <v xml:space="preserve"> </v>
      </c>
      <c r="S1948" s="902" t="s">
        <v>1961</v>
      </c>
      <c r="T1948" s="944" t="s">
        <v>1133</v>
      </c>
      <c r="U1948" s="1066">
        <v>44.4</v>
      </c>
      <c r="V1948" s="922"/>
      <c r="W1948" s="900">
        <f>IF(S1948&lt;&gt;0,VLOOKUP(S1948,VKT!$A$2:$G$415,7,0),"")</f>
        <v>700040</v>
      </c>
      <c r="X1948" s="900">
        <f t="shared" si="431"/>
        <v>31082000</v>
      </c>
      <c r="Y1948" s="985"/>
      <c r="Z1948" s="922"/>
      <c r="AA1948" s="1067"/>
      <c r="AB1948" s="922"/>
      <c r="AC1948" s="922"/>
      <c r="AD1948" s="922"/>
      <c r="AE1948" s="922"/>
      <c r="AF1948" s="1046"/>
      <c r="AG1948" s="906" t="str">
        <f>IF(AE1948&lt;&gt;0,VLOOKUP(AE1948,ODDS!$A$2:$C$13,3,0),"")</f>
        <v/>
      </c>
      <c r="AH1948" s="906" t="str">
        <f t="shared" si="428"/>
        <v xml:space="preserve"> </v>
      </c>
      <c r="AI1948" s="907" t="str">
        <f t="shared" si="434"/>
        <v xml:space="preserve"> </v>
      </c>
      <c r="AJ1948" s="922"/>
      <c r="AK1948" s="922"/>
    </row>
    <row r="1949" spans="1:37" s="394" customFormat="1" ht="67.5" outlineLevel="2" x14ac:dyDescent="0.3">
      <c r="A1949" s="447">
        <f t="shared" si="435"/>
        <v>165</v>
      </c>
      <c r="B1949" s="893"/>
      <c r="C1949" s="908"/>
      <c r="D1949" s="1032"/>
      <c r="E1949" s="947"/>
      <c r="F1949" s="947"/>
      <c r="G1949" s="922"/>
      <c r="H1949" s="1041"/>
      <c r="I1949" s="882"/>
      <c r="J1949" s="898"/>
      <c r="K1949" s="899" t="str">
        <f>IF(G1949&lt;&gt;0,VLOOKUP(G1949,'gia dat'!$A$1:$F$144,5,0)," ")</f>
        <v xml:space="preserve"> </v>
      </c>
      <c r="L1949" s="899" t="str">
        <f>IF(G1949&lt;&gt;0,VLOOKUP(G1949,'gia dat'!$A$1:$F$144,6,0)," ")</f>
        <v xml:space="preserve"> </v>
      </c>
      <c r="M1949" s="900" t="str">
        <f t="shared" si="424"/>
        <v xml:space="preserve"> </v>
      </c>
      <c r="N1949" s="900" t="str">
        <f t="shared" si="425"/>
        <v xml:space="preserve"> </v>
      </c>
      <c r="O1949" s="908"/>
      <c r="P1949" s="1065"/>
      <c r="Q1949" s="900" t="str">
        <f>IF(O1949&lt;&gt;0,VLOOKUP(O1949,'Cây trong'!$A$2:$C$246,3,0)," ")</f>
        <v xml:space="preserve"> </v>
      </c>
      <c r="R1949" s="900" t="str">
        <f t="shared" si="427"/>
        <v xml:space="preserve"> </v>
      </c>
      <c r="S1949" s="902" t="s">
        <v>1962</v>
      </c>
      <c r="T1949" s="944" t="s">
        <v>1286</v>
      </c>
      <c r="U1949" s="1066">
        <v>0.19800000000000001</v>
      </c>
      <c r="V1949" s="922"/>
      <c r="W1949" s="900">
        <f>IF(S1949&lt;&gt;0,VLOOKUP(S1949,VKT!$A$2:$G$415,7,0),"")</f>
        <v>0</v>
      </c>
      <c r="X1949" s="900">
        <f t="shared" si="431"/>
        <v>0</v>
      </c>
      <c r="Y1949" s="985"/>
      <c r="Z1949" s="922"/>
      <c r="AA1949" s="1067"/>
      <c r="AB1949" s="922"/>
      <c r="AC1949" s="922"/>
      <c r="AD1949" s="922"/>
      <c r="AE1949" s="922"/>
      <c r="AF1949" s="1046"/>
      <c r="AG1949" s="906" t="str">
        <f>IF(AE1949&lt;&gt;0,VLOOKUP(AE1949,ODDS!$A$2:$C$13,3,0),"")</f>
        <v/>
      </c>
      <c r="AH1949" s="906" t="str">
        <f t="shared" si="428"/>
        <v xml:space="preserve"> </v>
      </c>
      <c r="AI1949" s="907" t="str">
        <f t="shared" si="434"/>
        <v xml:space="preserve"> </v>
      </c>
      <c r="AJ1949" s="922"/>
      <c r="AK1949" s="922"/>
    </row>
    <row r="1950" spans="1:37" s="394" customFormat="1" ht="67.5" outlineLevel="2" x14ac:dyDescent="0.3">
      <c r="A1950" s="447">
        <f t="shared" si="435"/>
        <v>165</v>
      </c>
      <c r="B1950" s="893"/>
      <c r="C1950" s="908"/>
      <c r="D1950" s="1032"/>
      <c r="E1950" s="947"/>
      <c r="F1950" s="947"/>
      <c r="G1950" s="922"/>
      <c r="H1950" s="1041"/>
      <c r="I1950" s="882"/>
      <c r="J1950" s="898"/>
      <c r="K1950" s="899" t="str">
        <f>IF(G1950&lt;&gt;0,VLOOKUP(G1950,'gia dat'!$A$1:$F$144,5,0)," ")</f>
        <v xml:space="preserve"> </v>
      </c>
      <c r="L1950" s="899" t="str">
        <f>IF(G1950&lt;&gt;0,VLOOKUP(G1950,'gia dat'!$A$1:$F$144,6,0)," ")</f>
        <v xml:space="preserve"> </v>
      </c>
      <c r="M1950" s="900" t="str">
        <f t="shared" si="424"/>
        <v xml:space="preserve"> </v>
      </c>
      <c r="N1950" s="900" t="str">
        <f t="shared" si="425"/>
        <v xml:space="preserve"> </v>
      </c>
      <c r="O1950" s="908"/>
      <c r="P1950" s="1065"/>
      <c r="Q1950" s="900" t="str">
        <f>IF(O1950&lt;&gt;0,VLOOKUP(O1950,'Cây trong'!$A$2:$C$246,3,0)," ")</f>
        <v xml:space="preserve"> </v>
      </c>
      <c r="R1950" s="900" t="str">
        <f t="shared" si="427"/>
        <v xml:space="preserve"> </v>
      </c>
      <c r="S1950" s="902" t="s">
        <v>1956</v>
      </c>
      <c r="T1950" s="944" t="s">
        <v>1286</v>
      </c>
      <c r="U1950" s="1066">
        <v>0.26999999999999996</v>
      </c>
      <c r="V1950" s="922"/>
      <c r="W1950" s="900">
        <f>IF(S1950&lt;&gt;0,VLOOKUP(S1950,VKT!$A$2:$G$415,7,0),"")</f>
        <v>0</v>
      </c>
      <c r="X1950" s="900">
        <f t="shared" si="431"/>
        <v>0</v>
      </c>
      <c r="Y1950" s="985"/>
      <c r="Z1950" s="922"/>
      <c r="AA1950" s="1067"/>
      <c r="AB1950" s="922"/>
      <c r="AC1950" s="922"/>
      <c r="AD1950" s="922"/>
      <c r="AE1950" s="922"/>
      <c r="AF1950" s="1046"/>
      <c r="AG1950" s="906" t="str">
        <f>IF(AE1950&lt;&gt;0,VLOOKUP(AE1950,ODDS!$A$2:$C$13,3,0),"")</f>
        <v/>
      </c>
      <c r="AH1950" s="906" t="str">
        <f t="shared" si="428"/>
        <v xml:space="preserve"> </v>
      </c>
      <c r="AI1950" s="907" t="str">
        <f t="shared" si="434"/>
        <v xml:space="preserve"> </v>
      </c>
      <c r="AJ1950" s="922"/>
      <c r="AK1950" s="922"/>
    </row>
    <row r="1951" spans="1:37" s="394" customFormat="1" ht="90" outlineLevel="2" x14ac:dyDescent="0.3">
      <c r="A1951" s="447">
        <f t="shared" si="435"/>
        <v>165</v>
      </c>
      <c r="B1951" s="893"/>
      <c r="C1951" s="908"/>
      <c r="D1951" s="1032"/>
      <c r="E1951" s="947"/>
      <c r="F1951" s="947"/>
      <c r="G1951" s="922"/>
      <c r="H1951" s="1041"/>
      <c r="I1951" s="882"/>
      <c r="J1951" s="898"/>
      <c r="K1951" s="899" t="str">
        <f>IF(G1951&lt;&gt;0,VLOOKUP(G1951,'gia dat'!$A$1:$F$144,5,0)," ")</f>
        <v xml:space="preserve"> </v>
      </c>
      <c r="L1951" s="899" t="str">
        <f>IF(G1951&lt;&gt;0,VLOOKUP(G1951,'gia dat'!$A$1:$F$144,6,0)," ")</f>
        <v xml:space="preserve"> </v>
      </c>
      <c r="M1951" s="900" t="str">
        <f t="shared" si="424"/>
        <v xml:space="preserve"> </v>
      </c>
      <c r="N1951" s="900" t="str">
        <f t="shared" si="425"/>
        <v xml:space="preserve"> </v>
      </c>
      <c r="O1951" s="908"/>
      <c r="P1951" s="1065"/>
      <c r="Q1951" s="900" t="str">
        <f>IF(O1951&lt;&gt;0,VLOOKUP(O1951,'Cây trong'!$A$2:$C$246,3,0)," ")</f>
        <v xml:space="preserve"> </v>
      </c>
      <c r="R1951" s="900" t="str">
        <f t="shared" si="427"/>
        <v xml:space="preserve"> </v>
      </c>
      <c r="S1951" s="902" t="s">
        <v>1963</v>
      </c>
      <c r="T1951" s="944" t="s">
        <v>93</v>
      </c>
      <c r="U1951" s="1066">
        <v>1</v>
      </c>
      <c r="V1951" s="922"/>
      <c r="W1951" s="900">
        <f>IF(S1951&lt;&gt;0,VLOOKUP(S1951,VKT!$A$2:$G$415,7,0),"")</f>
        <v>0</v>
      </c>
      <c r="X1951" s="900">
        <f t="shared" si="431"/>
        <v>0</v>
      </c>
      <c r="Y1951" s="985"/>
      <c r="Z1951" s="922"/>
      <c r="AA1951" s="1067"/>
      <c r="AB1951" s="922"/>
      <c r="AC1951" s="922"/>
      <c r="AD1951" s="922"/>
      <c r="AE1951" s="922"/>
      <c r="AF1951" s="1046"/>
      <c r="AG1951" s="906" t="str">
        <f>IF(AE1951&lt;&gt;0,VLOOKUP(AE1951,ODDS!$A$2:$C$13,3,0),"")</f>
        <v/>
      </c>
      <c r="AH1951" s="906" t="str">
        <f t="shared" si="428"/>
        <v xml:space="preserve"> </v>
      </c>
      <c r="AI1951" s="907" t="str">
        <f t="shared" si="434"/>
        <v xml:space="preserve"> </v>
      </c>
      <c r="AJ1951" s="922"/>
      <c r="AK1951" s="922"/>
    </row>
    <row r="1952" spans="1:37" s="394" customFormat="1" ht="67.5" outlineLevel="2" x14ac:dyDescent="0.3">
      <c r="A1952" s="447">
        <f t="shared" si="435"/>
        <v>165</v>
      </c>
      <c r="B1952" s="893"/>
      <c r="C1952" s="908"/>
      <c r="D1952" s="1032"/>
      <c r="E1952" s="947"/>
      <c r="F1952" s="947"/>
      <c r="G1952" s="922"/>
      <c r="H1952" s="1041"/>
      <c r="I1952" s="882"/>
      <c r="J1952" s="898"/>
      <c r="K1952" s="899" t="str">
        <f>IF(G1952&lt;&gt;0,VLOOKUP(G1952,'gia dat'!$A$1:$F$144,5,0)," ")</f>
        <v xml:space="preserve"> </v>
      </c>
      <c r="L1952" s="899" t="str">
        <f>IF(G1952&lt;&gt;0,VLOOKUP(G1952,'gia dat'!$A$1:$F$144,6,0)," ")</f>
        <v xml:space="preserve"> </v>
      </c>
      <c r="M1952" s="900" t="str">
        <f t="shared" si="424"/>
        <v xml:space="preserve"> </v>
      </c>
      <c r="N1952" s="900" t="str">
        <f t="shared" si="425"/>
        <v xml:space="preserve"> </v>
      </c>
      <c r="O1952" s="908"/>
      <c r="P1952" s="1065"/>
      <c r="Q1952" s="900" t="str">
        <f>IF(O1952&lt;&gt;0,VLOOKUP(O1952,'Cây trong'!$A$2:$C$246,3,0)," ")</f>
        <v xml:space="preserve"> </v>
      </c>
      <c r="R1952" s="900" t="str">
        <f t="shared" si="427"/>
        <v xml:space="preserve"> </v>
      </c>
      <c r="S1952" s="902" t="s">
        <v>1964</v>
      </c>
      <c r="T1952" s="944" t="s">
        <v>1133</v>
      </c>
      <c r="U1952" s="1066">
        <v>34.339999999999996</v>
      </c>
      <c r="V1952" s="922"/>
      <c r="W1952" s="900">
        <f>IF(S1952&lt;&gt;0,VLOOKUP(S1952,VKT!$A$2:$G$415,7,0),"")</f>
        <v>0</v>
      </c>
      <c r="X1952" s="900">
        <f t="shared" si="431"/>
        <v>0</v>
      </c>
      <c r="Y1952" s="985"/>
      <c r="Z1952" s="922"/>
      <c r="AA1952" s="1067"/>
      <c r="AB1952" s="922"/>
      <c r="AC1952" s="922"/>
      <c r="AD1952" s="922"/>
      <c r="AE1952" s="922"/>
      <c r="AF1952" s="1046"/>
      <c r="AG1952" s="906" t="str">
        <f>IF(AE1952&lt;&gt;0,VLOOKUP(AE1952,ODDS!$A$2:$C$13,3,0),"")</f>
        <v/>
      </c>
      <c r="AH1952" s="906" t="str">
        <f t="shared" si="428"/>
        <v xml:space="preserve"> </v>
      </c>
      <c r="AI1952" s="907" t="str">
        <f t="shared" si="434"/>
        <v xml:space="preserve"> </v>
      </c>
      <c r="AJ1952" s="922"/>
      <c r="AK1952" s="922"/>
    </row>
    <row r="1953" spans="1:37" s="394" customFormat="1" ht="67.5" outlineLevel="2" x14ac:dyDescent="0.3">
      <c r="A1953" s="447">
        <f t="shared" si="435"/>
        <v>165</v>
      </c>
      <c r="B1953" s="893"/>
      <c r="C1953" s="908"/>
      <c r="D1953" s="1032"/>
      <c r="E1953" s="947"/>
      <c r="F1953" s="947"/>
      <c r="G1953" s="922"/>
      <c r="H1953" s="1041"/>
      <c r="I1953" s="882"/>
      <c r="J1953" s="898"/>
      <c r="K1953" s="899" t="str">
        <f>IF(G1953&lt;&gt;0,VLOOKUP(G1953,'gia dat'!$A$1:$F$144,5,0)," ")</f>
        <v xml:space="preserve"> </v>
      </c>
      <c r="L1953" s="899" t="str">
        <f>IF(G1953&lt;&gt;0,VLOOKUP(G1953,'gia dat'!$A$1:$F$144,6,0)," ")</f>
        <v xml:space="preserve"> </v>
      </c>
      <c r="M1953" s="900" t="str">
        <f t="shared" si="424"/>
        <v xml:space="preserve"> </v>
      </c>
      <c r="N1953" s="900" t="str">
        <f t="shared" si="425"/>
        <v xml:space="preserve"> </v>
      </c>
      <c r="O1953" s="908"/>
      <c r="P1953" s="1065"/>
      <c r="Q1953" s="900" t="str">
        <f>IF(O1953&lt;&gt;0,VLOOKUP(O1953,'Cây trong'!$A$2:$C$246,3,0)," ")</f>
        <v xml:space="preserve"> </v>
      </c>
      <c r="R1953" s="900" t="str">
        <f t="shared" si="427"/>
        <v xml:space="preserve"> </v>
      </c>
      <c r="S1953" s="902" t="s">
        <v>1918</v>
      </c>
      <c r="T1953" s="944" t="s">
        <v>1133</v>
      </c>
      <c r="U1953" s="1066">
        <v>11.729999999999999</v>
      </c>
      <c r="V1953" s="922"/>
      <c r="W1953" s="900">
        <f>IF(S1953&lt;&gt;0,VLOOKUP(S1953,VKT!$A$2:$G$415,7,0),"")</f>
        <v>0</v>
      </c>
      <c r="X1953" s="900">
        <f t="shared" si="431"/>
        <v>0</v>
      </c>
      <c r="Y1953" s="985"/>
      <c r="Z1953" s="922"/>
      <c r="AA1953" s="1067"/>
      <c r="AB1953" s="922"/>
      <c r="AC1953" s="922"/>
      <c r="AD1953" s="922"/>
      <c r="AE1953" s="922"/>
      <c r="AF1953" s="1046"/>
      <c r="AG1953" s="906" t="str">
        <f>IF(AE1953&lt;&gt;0,VLOOKUP(AE1953,ODDS!$A$2:$C$13,3,0),"")</f>
        <v/>
      </c>
      <c r="AH1953" s="906" t="str">
        <f t="shared" si="428"/>
        <v xml:space="preserve"> </v>
      </c>
      <c r="AI1953" s="907" t="str">
        <f t="shared" si="434"/>
        <v xml:space="preserve"> </v>
      </c>
      <c r="AJ1953" s="922"/>
      <c r="AK1953" s="922"/>
    </row>
    <row r="1954" spans="1:37" s="394" customFormat="1" ht="67.5" outlineLevel="2" x14ac:dyDescent="0.3">
      <c r="A1954" s="447">
        <f t="shared" si="435"/>
        <v>165</v>
      </c>
      <c r="B1954" s="893"/>
      <c r="C1954" s="908"/>
      <c r="D1954" s="1032"/>
      <c r="E1954" s="947"/>
      <c r="F1954" s="947"/>
      <c r="G1954" s="922"/>
      <c r="H1954" s="1041"/>
      <c r="I1954" s="882"/>
      <c r="J1954" s="898"/>
      <c r="K1954" s="899" t="str">
        <f>IF(G1954&lt;&gt;0,VLOOKUP(G1954,'gia dat'!$A$1:$F$144,5,0)," ")</f>
        <v xml:space="preserve"> </v>
      </c>
      <c r="L1954" s="899" t="str">
        <f>IF(G1954&lt;&gt;0,VLOOKUP(G1954,'gia dat'!$A$1:$F$144,6,0)," ")</f>
        <v xml:space="preserve"> </v>
      </c>
      <c r="M1954" s="900" t="str">
        <f t="shared" si="424"/>
        <v xml:space="preserve"> </v>
      </c>
      <c r="N1954" s="900" t="str">
        <f t="shared" si="425"/>
        <v xml:space="preserve"> </v>
      </c>
      <c r="O1954" s="908"/>
      <c r="P1954" s="1065"/>
      <c r="Q1954" s="900" t="str">
        <f>IF(O1954&lt;&gt;0,VLOOKUP(O1954,'Cây trong'!$A$2:$C$246,3,0)," ")</f>
        <v xml:space="preserve"> </v>
      </c>
      <c r="R1954" s="900" t="str">
        <f t="shared" si="427"/>
        <v xml:space="preserve"> </v>
      </c>
      <c r="S1954" s="902" t="s">
        <v>1965</v>
      </c>
      <c r="T1954" s="944" t="s">
        <v>1133</v>
      </c>
      <c r="U1954" s="1066">
        <v>2.16</v>
      </c>
      <c r="V1954" s="922"/>
      <c r="W1954" s="900">
        <f>IF(S1954&lt;&gt;0,VLOOKUP(S1954,VKT!$A$2:$G$415,7,0),"")</f>
        <v>0</v>
      </c>
      <c r="X1954" s="900">
        <f t="shared" si="431"/>
        <v>0</v>
      </c>
      <c r="Y1954" s="985"/>
      <c r="Z1954" s="922"/>
      <c r="AA1954" s="1067"/>
      <c r="AB1954" s="922"/>
      <c r="AC1954" s="922"/>
      <c r="AD1954" s="922"/>
      <c r="AE1954" s="922"/>
      <c r="AF1954" s="1046"/>
      <c r="AG1954" s="906" t="str">
        <f>IF(AE1954&lt;&gt;0,VLOOKUP(AE1954,ODDS!$A$2:$C$13,3,0),"")</f>
        <v/>
      </c>
      <c r="AH1954" s="906" t="str">
        <f t="shared" si="428"/>
        <v xml:space="preserve"> </v>
      </c>
      <c r="AI1954" s="907" t="str">
        <f t="shared" si="434"/>
        <v xml:space="preserve"> </v>
      </c>
      <c r="AJ1954" s="922"/>
      <c r="AK1954" s="922"/>
    </row>
    <row r="1955" spans="1:37" s="394" customFormat="1" ht="22.5" outlineLevel="2" x14ac:dyDescent="0.3">
      <c r="A1955" s="447">
        <f t="shared" si="435"/>
        <v>165</v>
      </c>
      <c r="B1955" s="893"/>
      <c r="C1955" s="908"/>
      <c r="D1955" s="1032"/>
      <c r="E1955" s="947"/>
      <c r="F1955" s="947"/>
      <c r="G1955" s="922"/>
      <c r="H1955" s="1041"/>
      <c r="I1955" s="882"/>
      <c r="J1955" s="898"/>
      <c r="K1955" s="899" t="str">
        <f>IF(G1955&lt;&gt;0,VLOOKUP(G1955,'gia dat'!$A$1:$F$144,5,0)," ")</f>
        <v xml:space="preserve"> </v>
      </c>
      <c r="L1955" s="899" t="str">
        <f>IF(G1955&lt;&gt;0,VLOOKUP(G1955,'gia dat'!$A$1:$F$144,6,0)," ")</f>
        <v xml:space="preserve"> </v>
      </c>
      <c r="M1955" s="900" t="str">
        <f t="shared" si="424"/>
        <v xml:space="preserve"> </v>
      </c>
      <c r="N1955" s="900" t="str">
        <f t="shared" si="425"/>
        <v xml:space="preserve"> </v>
      </c>
      <c r="O1955" s="908"/>
      <c r="P1955" s="1065"/>
      <c r="Q1955" s="900" t="str">
        <f>IF(O1955&lt;&gt;0,VLOOKUP(O1955,'Cây trong'!$A$2:$C$246,3,0)," ")</f>
        <v xml:space="preserve"> </v>
      </c>
      <c r="R1955" s="900" t="str">
        <f t="shared" si="427"/>
        <v xml:space="preserve"> </v>
      </c>
      <c r="S1955" s="902"/>
      <c r="T1955" s="944"/>
      <c r="U1955" s="1066"/>
      <c r="V1955" s="922"/>
      <c r="W1955" s="900" t="str">
        <f>IF(S1955&lt;&gt;0,VLOOKUP(S1955,VKT!$A$2:$G$415,7,0),"")</f>
        <v/>
      </c>
      <c r="X1955" s="900" t="str">
        <f t="shared" si="431"/>
        <v xml:space="preserve"> </v>
      </c>
      <c r="Y1955" s="985"/>
      <c r="Z1955" s="922"/>
      <c r="AA1955" s="1067"/>
      <c r="AB1955" s="922"/>
      <c r="AC1955" s="922"/>
      <c r="AD1955" s="922"/>
      <c r="AE1955" s="922"/>
      <c r="AF1955" s="1046"/>
      <c r="AG1955" s="906" t="str">
        <f>IF(AE1955&lt;&gt;0,VLOOKUP(AE1955,ODDS!$A$2:$C$13,3,0),"")</f>
        <v/>
      </c>
      <c r="AH1955" s="906" t="str">
        <f t="shared" si="428"/>
        <v xml:space="preserve"> </v>
      </c>
      <c r="AI1955" s="907" t="str">
        <f t="shared" si="434"/>
        <v xml:space="preserve"> </v>
      </c>
      <c r="AJ1955" s="922"/>
      <c r="AK1955" s="922"/>
    </row>
    <row r="1956" spans="1:37" s="394" customFormat="1" ht="22.5" outlineLevel="2" x14ac:dyDescent="0.3">
      <c r="A1956" s="447">
        <f t="shared" si="435"/>
        <v>165</v>
      </c>
      <c r="B1956" s="893"/>
      <c r="C1956" s="908"/>
      <c r="D1956" s="1032"/>
      <c r="E1956" s="947"/>
      <c r="F1956" s="947"/>
      <c r="G1956" s="922"/>
      <c r="H1956" s="1041"/>
      <c r="I1956" s="882"/>
      <c r="J1956" s="898"/>
      <c r="K1956" s="899" t="str">
        <f>IF(G1956&lt;&gt;0,VLOOKUP(G1956,'gia dat'!$A$1:$F$144,5,0)," ")</f>
        <v xml:space="preserve"> </v>
      </c>
      <c r="L1956" s="899" t="str">
        <f>IF(G1956&lt;&gt;0,VLOOKUP(G1956,'gia dat'!$A$1:$F$144,6,0)," ")</f>
        <v xml:space="preserve"> </v>
      </c>
      <c r="M1956" s="900" t="str">
        <f t="shared" si="424"/>
        <v xml:space="preserve"> </v>
      </c>
      <c r="N1956" s="900" t="str">
        <f t="shared" si="425"/>
        <v xml:space="preserve"> </v>
      </c>
      <c r="O1956" s="908"/>
      <c r="P1956" s="1065"/>
      <c r="Q1956" s="900" t="str">
        <f>IF(O1956&lt;&gt;0,VLOOKUP(O1956,'Cây trong'!$A$2:$C$246,3,0)," ")</f>
        <v xml:space="preserve"> </v>
      </c>
      <c r="R1956" s="900" t="str">
        <f t="shared" si="427"/>
        <v xml:space="preserve"> </v>
      </c>
      <c r="S1956" s="902"/>
      <c r="T1956" s="944"/>
      <c r="U1956" s="1066"/>
      <c r="V1956" s="922"/>
      <c r="W1956" s="900" t="str">
        <f>IF(S1956&lt;&gt;0,VLOOKUP(S1956,VKT!$A$2:$G$415,7,0),"")</f>
        <v/>
      </c>
      <c r="X1956" s="900" t="str">
        <f t="shared" si="431"/>
        <v xml:space="preserve"> </v>
      </c>
      <c r="Y1956" s="985"/>
      <c r="Z1956" s="922"/>
      <c r="AA1956" s="1067"/>
      <c r="AB1956" s="922"/>
      <c r="AC1956" s="922"/>
      <c r="AD1956" s="922"/>
      <c r="AE1956" s="922"/>
      <c r="AF1956" s="1046"/>
      <c r="AG1956" s="906" t="str">
        <f>IF(AE1956&lt;&gt;0,VLOOKUP(AE1956,ODDS!$A$2:$C$13,3,0),"")</f>
        <v/>
      </c>
      <c r="AH1956" s="906" t="str">
        <f t="shared" si="428"/>
        <v xml:space="preserve"> </v>
      </c>
      <c r="AI1956" s="907" t="str">
        <f t="shared" si="434"/>
        <v xml:space="preserve"> </v>
      </c>
      <c r="AJ1956" s="922"/>
      <c r="AK1956" s="922"/>
    </row>
    <row r="1957" spans="1:37" s="394" customFormat="1" ht="22.5" outlineLevel="2" x14ac:dyDescent="0.3">
      <c r="A1957" s="447">
        <f t="shared" si="435"/>
        <v>165</v>
      </c>
      <c r="B1957" s="893"/>
      <c r="C1957" s="908"/>
      <c r="D1957" s="1032"/>
      <c r="E1957" s="947"/>
      <c r="F1957" s="947"/>
      <c r="G1957" s="922"/>
      <c r="H1957" s="1041"/>
      <c r="I1957" s="882"/>
      <c r="J1957" s="898"/>
      <c r="K1957" s="899" t="str">
        <f>IF(G1957&lt;&gt;0,VLOOKUP(G1957,'gia dat'!$A$1:$F$144,5,0)," ")</f>
        <v xml:space="preserve"> </v>
      </c>
      <c r="L1957" s="899" t="str">
        <f>IF(G1957&lt;&gt;0,VLOOKUP(G1957,'gia dat'!$A$1:$F$144,6,0)," ")</f>
        <v xml:space="preserve"> </v>
      </c>
      <c r="M1957" s="900" t="str">
        <f t="shared" si="424"/>
        <v xml:space="preserve"> </v>
      </c>
      <c r="N1957" s="900" t="str">
        <f t="shared" si="425"/>
        <v xml:space="preserve"> </v>
      </c>
      <c r="O1957" s="908"/>
      <c r="P1957" s="1065"/>
      <c r="Q1957" s="900" t="str">
        <f>IF(O1957&lt;&gt;0,VLOOKUP(O1957,'Cây trong'!$A$2:$C$246,3,0)," ")</f>
        <v xml:space="preserve"> </v>
      </c>
      <c r="R1957" s="900" t="str">
        <f t="shared" si="427"/>
        <v xml:space="preserve"> </v>
      </c>
      <c r="S1957" s="902"/>
      <c r="T1957" s="944"/>
      <c r="U1957" s="1066"/>
      <c r="V1957" s="922"/>
      <c r="W1957" s="900" t="str">
        <f>IF(S1957&lt;&gt;0,VLOOKUP(S1957,VKT!$A$2:$G$415,7,0),"")</f>
        <v/>
      </c>
      <c r="X1957" s="900" t="str">
        <f t="shared" si="431"/>
        <v xml:space="preserve"> </v>
      </c>
      <c r="Y1957" s="985"/>
      <c r="Z1957" s="922"/>
      <c r="AA1957" s="1067"/>
      <c r="AB1957" s="922"/>
      <c r="AC1957" s="922"/>
      <c r="AD1957" s="922"/>
      <c r="AE1957" s="922"/>
      <c r="AF1957" s="1046"/>
      <c r="AG1957" s="906" t="str">
        <f>IF(AE1957&lt;&gt;0,VLOOKUP(AE1957,ODDS!$A$2:$C$13,3,0),"")</f>
        <v/>
      </c>
      <c r="AH1957" s="906" t="str">
        <f t="shared" si="428"/>
        <v xml:space="preserve"> </v>
      </c>
      <c r="AI1957" s="907" t="str">
        <f t="shared" si="434"/>
        <v xml:space="preserve"> </v>
      </c>
      <c r="AJ1957" s="922"/>
      <c r="AK1957" s="922"/>
    </row>
    <row r="1958" spans="1:37" s="394" customFormat="1" ht="22.5" outlineLevel="2" x14ac:dyDescent="0.3">
      <c r="A1958" s="447">
        <f t="shared" si="435"/>
        <v>165</v>
      </c>
      <c r="B1958" s="893"/>
      <c r="C1958" s="942"/>
      <c r="D1958" s="1032"/>
      <c r="E1958" s="947"/>
      <c r="F1958" s="947"/>
      <c r="G1958" s="922"/>
      <c r="H1958" s="1041"/>
      <c r="I1958" s="882"/>
      <c r="J1958" s="898"/>
      <c r="K1958" s="899" t="str">
        <f>IF(G1958&lt;&gt;0,VLOOKUP(G1958,'gia dat'!$A$1:$F$144,5,0)," ")</f>
        <v xml:space="preserve"> </v>
      </c>
      <c r="L1958" s="899" t="str">
        <f>IF(G1958&lt;&gt;0,VLOOKUP(G1958,'gia dat'!$A$1:$F$144,6,0)," ")</f>
        <v xml:space="preserve"> </v>
      </c>
      <c r="M1958" s="900" t="str">
        <f t="shared" si="424"/>
        <v xml:space="preserve"> </v>
      </c>
      <c r="N1958" s="900" t="str">
        <f t="shared" si="425"/>
        <v xml:space="preserve"> </v>
      </c>
      <c r="O1958" s="908"/>
      <c r="P1958" s="1065"/>
      <c r="Q1958" s="900" t="str">
        <f>IF(O1958&lt;&gt;0,VLOOKUP(O1958,'Cây trong'!$A$2:$C$246,3,0)," ")</f>
        <v xml:space="preserve"> </v>
      </c>
      <c r="R1958" s="900" t="str">
        <f t="shared" si="427"/>
        <v xml:space="preserve"> </v>
      </c>
      <c r="S1958" s="902"/>
      <c r="T1958" s="944"/>
      <c r="U1958" s="1066"/>
      <c r="V1958" s="922"/>
      <c r="W1958" s="900" t="str">
        <f>IF(S1958&lt;&gt;0,VLOOKUP(S1958,VKT!$A$2:$G$415,7,0),"")</f>
        <v/>
      </c>
      <c r="X1958" s="900" t="str">
        <f t="shared" si="431"/>
        <v xml:space="preserve"> </v>
      </c>
      <c r="Y1958" s="985"/>
      <c r="Z1958" s="922"/>
      <c r="AA1958" s="1067"/>
      <c r="AB1958" s="922"/>
      <c r="AC1958" s="922"/>
      <c r="AD1958" s="922"/>
      <c r="AE1958" s="922"/>
      <c r="AF1958" s="1046"/>
      <c r="AG1958" s="906" t="str">
        <f>IF(AE1958&lt;&gt;0,VLOOKUP(AE1958,ODDS!$A$2:$C$13,3,0),"")</f>
        <v/>
      </c>
      <c r="AH1958" s="906" t="str">
        <f t="shared" si="428"/>
        <v xml:space="preserve"> </v>
      </c>
      <c r="AI1958" s="907" t="str">
        <f t="shared" si="434"/>
        <v xml:space="preserve"> </v>
      </c>
      <c r="AJ1958" s="922"/>
      <c r="AK1958" s="922"/>
    </row>
    <row r="1959" spans="1:37" s="394" customFormat="1" ht="43.5" outlineLevel="1" x14ac:dyDescent="0.25">
      <c r="A1959" s="467" t="s">
        <v>2544</v>
      </c>
      <c r="B1959" s="912">
        <v>166</v>
      </c>
      <c r="C1959" s="942" t="s">
        <v>1358</v>
      </c>
      <c r="D1959" s="1038"/>
      <c r="E1959" s="977"/>
      <c r="F1959" s="977"/>
      <c r="G1959" s="914"/>
      <c r="H1959" s="1039">
        <f>SUBTOTAL(9,H1960:H1966)</f>
        <v>95</v>
      </c>
      <c r="I1959" s="915">
        <f>SUBTOTAL(9,I1960:I1965)</f>
        <v>0</v>
      </c>
      <c r="J1959" s="916"/>
      <c r="K1959" s="917"/>
      <c r="L1959" s="917"/>
      <c r="M1959" s="907">
        <f>SUBTOTAL(9,M1960:M1966)</f>
        <v>689759000</v>
      </c>
      <c r="N1959" s="907">
        <f>SUBTOTAL(9,N1960:N1966)</f>
        <v>0</v>
      </c>
      <c r="O1959" s="942"/>
      <c r="P1959" s="1063">
        <f>SUBTOTAL(9,P1960:P1966)</f>
        <v>0</v>
      </c>
      <c r="Q1959" s="907"/>
      <c r="R1959" s="907">
        <f>SUBTOTAL(9,R1960:R1966)</f>
        <v>0</v>
      </c>
      <c r="S1959" s="918"/>
      <c r="T1959" s="956"/>
      <c r="U1959" s="1064">
        <f>SUBTOTAL(9,U1960:U1966)</f>
        <v>109.8</v>
      </c>
      <c r="V1959" s="914"/>
      <c r="W1959" s="907"/>
      <c r="X1959" s="907">
        <f>SUBTOTAL(9,X1960:X1966)</f>
        <v>360340000</v>
      </c>
      <c r="Y1959" s="996"/>
      <c r="Z1959" s="1016"/>
      <c r="AA1959" s="1016"/>
      <c r="AB1959" s="1026"/>
      <c r="AC1959" s="1016"/>
      <c r="AD1959" s="1016"/>
      <c r="AE1959" s="1027"/>
      <c r="AF1959" s="935">
        <f>SUBTOTAL(9,AF1960:AF1966)</f>
        <v>2</v>
      </c>
      <c r="AG1959" s="921"/>
      <c r="AH1959" s="921">
        <f>SUBTOTAL(9,AH1960:AH1966)</f>
        <v>18000000</v>
      </c>
      <c r="AI1959" s="907">
        <f t="shared" si="434"/>
        <v>1068099000</v>
      </c>
      <c r="AJ1959" s="914"/>
      <c r="AK1959" s="914"/>
    </row>
    <row r="1960" spans="1:37" s="394" customFormat="1" ht="135" outlineLevel="2" x14ac:dyDescent="0.3">
      <c r="A1960" s="447">
        <f>IF(B1959&lt;&gt;0,B1959,A1958)</f>
        <v>166</v>
      </c>
      <c r="B1960" s="893"/>
      <c r="C1960" s="908" t="s">
        <v>1360</v>
      </c>
      <c r="D1960" s="1032">
        <v>6</v>
      </c>
      <c r="E1960" s="947">
        <v>86</v>
      </c>
      <c r="F1960" s="947">
        <v>220</v>
      </c>
      <c r="G1960" s="922" t="s">
        <v>2049</v>
      </c>
      <c r="H1960" s="1041">
        <v>95</v>
      </c>
      <c r="I1960" s="882" t="str">
        <f t="shared" ref="I1960" si="436">IF(N1960&gt;0,H1960,"")</f>
        <v/>
      </c>
      <c r="J1960" s="898"/>
      <c r="K1960" s="899">
        <f>IF(G1960&lt;&gt;0,VLOOKUP(G1960,'gia dat'!$A$1:$F$144,5,0)," ")</f>
        <v>7260624</v>
      </c>
      <c r="L1960" s="899">
        <f>IF(G1960&lt;&gt;0,VLOOKUP(G1960,'gia dat'!$A$1:$F$144,6,0)," ")</f>
        <v>0</v>
      </c>
      <c r="M1960" s="900">
        <f t="shared" si="424"/>
        <v>689759000</v>
      </c>
      <c r="N1960" s="900">
        <f t="shared" si="425"/>
        <v>0</v>
      </c>
      <c r="O1960" s="908"/>
      <c r="P1960" s="1065"/>
      <c r="Q1960" s="900" t="str">
        <f>IF(O1960&lt;&gt;0,VLOOKUP(O1960,'Cây trong'!$A$2:$C$246,3,0)," ")</f>
        <v xml:space="preserve"> </v>
      </c>
      <c r="R1960" s="900" t="str">
        <f t="shared" si="427"/>
        <v xml:space="preserve"> </v>
      </c>
      <c r="S1960" s="902" t="s">
        <v>1838</v>
      </c>
      <c r="T1960" s="944" t="s">
        <v>1133</v>
      </c>
      <c r="U1960" s="1066">
        <v>87.36</v>
      </c>
      <c r="V1960" s="922"/>
      <c r="W1960" s="900">
        <f>IF(S1960&lt;&gt;0,VLOOKUP(S1960,VKT!$A$2:$G$415,7,0),"")</f>
        <v>3156089</v>
      </c>
      <c r="X1960" s="900">
        <f t="shared" si="431"/>
        <v>275716000</v>
      </c>
      <c r="Y1960" s="996" t="s">
        <v>1138</v>
      </c>
      <c r="Z1960" s="1016" t="s">
        <v>1139</v>
      </c>
      <c r="AA1960" s="1016" t="s">
        <v>56</v>
      </c>
      <c r="AB1960" s="1026" t="s">
        <v>269</v>
      </c>
      <c r="AC1960" s="1016" t="s">
        <v>1138</v>
      </c>
      <c r="AD1960" s="1016"/>
      <c r="AE1960" s="1026" t="s">
        <v>2137</v>
      </c>
      <c r="AF1960" s="926">
        <v>1</v>
      </c>
      <c r="AG1960" s="906">
        <f>IF(AE1960&lt;&gt;0,VLOOKUP(AE1960,ODDS!$A$2:$C$13,3,0),"")</f>
        <v>5000000</v>
      </c>
      <c r="AH1960" s="906">
        <f t="shared" si="428"/>
        <v>5000000</v>
      </c>
      <c r="AI1960" s="907" t="str">
        <f t="shared" si="434"/>
        <v xml:space="preserve"> </v>
      </c>
      <c r="AJ1960" s="922" t="s">
        <v>1359</v>
      </c>
      <c r="AK1960" s="922" t="s">
        <v>2771</v>
      </c>
    </row>
    <row r="1961" spans="1:37" s="394" customFormat="1" ht="112.5" outlineLevel="2" x14ac:dyDescent="0.3">
      <c r="A1961" s="447">
        <f t="shared" ref="A1961:A1966" si="437">IF(B1960&lt;&gt;0,B1960,A1960)</f>
        <v>166</v>
      </c>
      <c r="B1961" s="893"/>
      <c r="C1961" s="908" t="s">
        <v>1620</v>
      </c>
      <c r="D1961" s="1032"/>
      <c r="E1961" s="947"/>
      <c r="F1961" s="947"/>
      <c r="G1961" s="922"/>
      <c r="H1961" s="1041"/>
      <c r="I1961" s="882"/>
      <c r="J1961" s="898"/>
      <c r="K1961" s="899" t="str">
        <f>IF(G1961&lt;&gt;0,VLOOKUP(G1961,'gia dat'!$A$1:$F$144,5,0)," ")</f>
        <v xml:space="preserve"> </v>
      </c>
      <c r="L1961" s="899" t="str">
        <f>IF(G1961&lt;&gt;0,VLOOKUP(G1961,'gia dat'!$A$1:$F$144,6,0)," ")</f>
        <v xml:space="preserve"> </v>
      </c>
      <c r="M1961" s="900" t="str">
        <f t="shared" si="424"/>
        <v xml:space="preserve"> </v>
      </c>
      <c r="N1961" s="900" t="str">
        <f t="shared" si="425"/>
        <v xml:space="preserve"> </v>
      </c>
      <c r="O1961" s="908"/>
      <c r="P1961" s="1065"/>
      <c r="Q1961" s="900" t="str">
        <f>IF(O1961&lt;&gt;0,VLOOKUP(O1961,'Cây trong'!$A$2:$C$246,3,0)," ")</f>
        <v xml:space="preserve"> </v>
      </c>
      <c r="R1961" s="900" t="str">
        <f t="shared" si="427"/>
        <v xml:space="preserve"> </v>
      </c>
      <c r="S1961" s="902" t="s">
        <v>2385</v>
      </c>
      <c r="T1961" s="944" t="s">
        <v>1133</v>
      </c>
      <c r="U1961" s="1066">
        <v>8.64</v>
      </c>
      <c r="V1961" s="922"/>
      <c r="W1961" s="900">
        <f>IF(S1961&lt;&gt;0,VLOOKUP(S1961,VKT!$A$2:$G$415,7,0),"")</f>
        <v>9028527</v>
      </c>
      <c r="X1961" s="900">
        <f t="shared" si="431"/>
        <v>78006000</v>
      </c>
      <c r="Y1961" s="985"/>
      <c r="Z1961" s="922"/>
      <c r="AA1961" s="1067"/>
      <c r="AB1961" s="922"/>
      <c r="AC1961" s="922"/>
      <c r="AD1961" s="922"/>
      <c r="AE1961" s="905"/>
      <c r="AF1961" s="899"/>
      <c r="AG1961" s="906"/>
      <c r="AH1961" s="906"/>
      <c r="AI1961" s="907" t="str">
        <f t="shared" si="434"/>
        <v xml:space="preserve"> </v>
      </c>
      <c r="AJ1961" s="922" t="s">
        <v>1362</v>
      </c>
      <c r="AK1961" s="894" t="s">
        <v>2450</v>
      </c>
    </row>
    <row r="1962" spans="1:37" s="394" customFormat="1" ht="135" outlineLevel="2" x14ac:dyDescent="0.3">
      <c r="A1962" s="447">
        <f t="shared" si="437"/>
        <v>166</v>
      </c>
      <c r="B1962" s="893"/>
      <c r="C1962" s="908"/>
      <c r="D1962" s="1032"/>
      <c r="E1962" s="947"/>
      <c r="F1962" s="947"/>
      <c r="G1962" s="922"/>
      <c r="H1962" s="1041"/>
      <c r="I1962" s="882"/>
      <c r="J1962" s="898"/>
      <c r="K1962" s="899" t="str">
        <f>IF(G1962&lt;&gt;0,VLOOKUP(G1962,'gia dat'!$A$1:$F$144,5,0)," ")</f>
        <v xml:space="preserve"> </v>
      </c>
      <c r="L1962" s="899" t="str">
        <f>IF(G1962&lt;&gt;0,VLOOKUP(G1962,'gia dat'!$A$1:$F$144,6,0)," ")</f>
        <v xml:space="preserve"> </v>
      </c>
      <c r="M1962" s="900" t="str">
        <f t="shared" si="424"/>
        <v xml:space="preserve"> </v>
      </c>
      <c r="N1962" s="900" t="str">
        <f t="shared" si="425"/>
        <v xml:space="preserve"> </v>
      </c>
      <c r="O1962" s="908"/>
      <c r="P1962" s="1065"/>
      <c r="Q1962" s="900" t="str">
        <f>IF(O1962&lt;&gt;0,VLOOKUP(O1962,'Cây trong'!$A$2:$C$246,3,0)," ")</f>
        <v xml:space="preserve"> </v>
      </c>
      <c r="R1962" s="900" t="str">
        <f t="shared" si="427"/>
        <v xml:space="preserve"> </v>
      </c>
      <c r="S1962" s="908" t="s">
        <v>1945</v>
      </c>
      <c r="T1962" s="944" t="s">
        <v>1133</v>
      </c>
      <c r="U1962" s="1066">
        <v>5.7</v>
      </c>
      <c r="V1962" s="922"/>
      <c r="W1962" s="900">
        <f>IF(S1962&lt;&gt;0,VLOOKUP(S1962,VKT!$A$2:$G$415,7,0),"")</f>
        <v>770070</v>
      </c>
      <c r="X1962" s="900">
        <f t="shared" si="431"/>
        <v>4389000</v>
      </c>
      <c r="Y1962" s="985"/>
      <c r="Z1962" s="922"/>
      <c r="AA1962" s="1067"/>
      <c r="AB1962" s="922"/>
      <c r="AC1962" s="922"/>
      <c r="AD1962" s="922"/>
      <c r="AE1962" s="905" t="s">
        <v>2789</v>
      </c>
      <c r="AF1962" s="926">
        <v>1</v>
      </c>
      <c r="AG1962" s="906">
        <f>IF(AE1962&lt;&gt;0,VLOOKUP(AE1962,ODDS!$A$2:$C$13,3,0),"")</f>
        <v>13000000</v>
      </c>
      <c r="AH1962" s="906">
        <f t="shared" si="428"/>
        <v>13000000</v>
      </c>
      <c r="AI1962" s="907" t="str">
        <f t="shared" si="434"/>
        <v xml:space="preserve"> </v>
      </c>
      <c r="AJ1962" s="922" t="s">
        <v>1199</v>
      </c>
      <c r="AK1962" s="922" t="s">
        <v>2447</v>
      </c>
    </row>
    <row r="1963" spans="1:37" s="394" customFormat="1" ht="90" outlineLevel="2" x14ac:dyDescent="0.3">
      <c r="A1963" s="447">
        <f t="shared" si="437"/>
        <v>166</v>
      </c>
      <c r="B1963" s="893"/>
      <c r="C1963" s="908"/>
      <c r="D1963" s="1032"/>
      <c r="E1963" s="947"/>
      <c r="F1963" s="947"/>
      <c r="G1963" s="922"/>
      <c r="H1963" s="1041"/>
      <c r="I1963" s="882"/>
      <c r="J1963" s="894"/>
      <c r="K1963" s="899" t="str">
        <f>IF(G1963&lt;&gt;0,VLOOKUP(G1963,'gia dat'!$A$1:$F$144,5,0)," ")</f>
        <v xml:space="preserve"> </v>
      </c>
      <c r="L1963" s="899" t="str">
        <f>IF(G1963&lt;&gt;0,VLOOKUP(G1963,'gia dat'!$A$1:$F$144,6,0)," ")</f>
        <v xml:space="preserve"> </v>
      </c>
      <c r="M1963" s="900" t="str">
        <f t="shared" si="424"/>
        <v xml:space="preserve"> </v>
      </c>
      <c r="N1963" s="900" t="str">
        <f t="shared" si="425"/>
        <v xml:space="preserve"> </v>
      </c>
      <c r="O1963" s="908"/>
      <c r="P1963" s="1065"/>
      <c r="Q1963" s="900" t="str">
        <f>IF(O1963&lt;&gt;0,VLOOKUP(O1963,'Cây trong'!$A$2:$C$246,3,0)," ")</f>
        <v xml:space="preserve"> </v>
      </c>
      <c r="R1963" s="900" t="str">
        <f t="shared" si="427"/>
        <v xml:space="preserve"> </v>
      </c>
      <c r="S1963" s="908" t="s">
        <v>1799</v>
      </c>
      <c r="T1963" s="944" t="s">
        <v>1133</v>
      </c>
      <c r="U1963" s="1066">
        <v>8.1</v>
      </c>
      <c r="V1963" s="922"/>
      <c r="W1963" s="900">
        <f>IF(S1963&lt;&gt;0,VLOOKUP(S1963,VKT!$A$2:$G$415,7,0),"")</f>
        <v>275180</v>
      </c>
      <c r="X1963" s="900">
        <f t="shared" si="431"/>
        <v>2229000</v>
      </c>
      <c r="Y1963" s="985"/>
      <c r="Z1963" s="922"/>
      <c r="AA1963" s="1067"/>
      <c r="AB1963" s="922"/>
      <c r="AC1963" s="922"/>
      <c r="AD1963" s="922"/>
      <c r="AE1963" s="941"/>
      <c r="AF1963" s="926"/>
      <c r="AG1963" s="906" t="str">
        <f>IF(AE1963&lt;&gt;0,VLOOKUP(AE1963,ODDS!$A$2:$C$13,3,0),"")</f>
        <v/>
      </c>
      <c r="AH1963" s="906" t="str">
        <f t="shared" si="428"/>
        <v xml:space="preserve"> </v>
      </c>
      <c r="AI1963" s="907" t="str">
        <f t="shared" si="434"/>
        <v xml:space="preserve"> </v>
      </c>
      <c r="AJ1963" s="922"/>
      <c r="AK1963" s="922" t="s">
        <v>2451</v>
      </c>
    </row>
    <row r="1964" spans="1:37" s="394" customFormat="1" ht="112.5" outlineLevel="2" x14ac:dyDescent="0.3">
      <c r="A1964" s="447">
        <f t="shared" si="437"/>
        <v>166</v>
      </c>
      <c r="B1964" s="893"/>
      <c r="C1964" s="908"/>
      <c r="D1964" s="1032"/>
      <c r="E1964" s="947"/>
      <c r="F1964" s="947"/>
      <c r="G1964" s="922"/>
      <c r="H1964" s="1041"/>
      <c r="I1964" s="882"/>
      <c r="J1964" s="894"/>
      <c r="K1964" s="899" t="str">
        <f>IF(G1964&lt;&gt;0,VLOOKUP(G1964,'gia dat'!$A$1:$F$144,5,0)," ")</f>
        <v xml:space="preserve"> </v>
      </c>
      <c r="L1964" s="899" t="str">
        <f>IF(G1964&lt;&gt;0,VLOOKUP(G1964,'gia dat'!$A$1:$F$144,6,0)," ")</f>
        <v xml:space="preserve"> </v>
      </c>
      <c r="M1964" s="900" t="str">
        <f t="shared" si="424"/>
        <v xml:space="preserve"> </v>
      </c>
      <c r="N1964" s="900" t="str">
        <f t="shared" si="425"/>
        <v xml:space="preserve"> </v>
      </c>
      <c r="O1964" s="908"/>
      <c r="P1964" s="1065"/>
      <c r="Q1964" s="900" t="str">
        <f>IF(O1964&lt;&gt;0,VLOOKUP(O1964,'Cây trong'!$A$2:$C$246,3,0)," ")</f>
        <v xml:space="preserve"> </v>
      </c>
      <c r="R1964" s="900" t="str">
        <f t="shared" si="427"/>
        <v xml:space="preserve"> </v>
      </c>
      <c r="S1964" s="908"/>
      <c r="T1964" s="944"/>
      <c r="U1964" s="1066"/>
      <c r="V1964" s="922"/>
      <c r="W1964" s="900" t="str">
        <f>IF(S1964&lt;&gt;0,VLOOKUP(S1964,VKT!$A$2:$G$415,7,0),"")</f>
        <v/>
      </c>
      <c r="X1964" s="900" t="str">
        <f t="shared" si="431"/>
        <v xml:space="preserve"> </v>
      </c>
      <c r="Y1964" s="985"/>
      <c r="Z1964" s="922"/>
      <c r="AA1964" s="1067"/>
      <c r="AB1964" s="922"/>
      <c r="AC1964" s="922"/>
      <c r="AD1964" s="922"/>
      <c r="AE1964" s="922"/>
      <c r="AF1964" s="1046"/>
      <c r="AG1964" s="906" t="str">
        <f>IF(AE1964&lt;&gt;0,VLOOKUP(AE1964,ODDS!$A$2:$C$13,3,0),"")</f>
        <v/>
      </c>
      <c r="AH1964" s="906" t="str">
        <f t="shared" si="428"/>
        <v xml:space="preserve"> </v>
      </c>
      <c r="AI1964" s="907" t="str">
        <f t="shared" si="434"/>
        <v xml:space="preserve"> </v>
      </c>
      <c r="AJ1964" s="922"/>
      <c r="AK1964" s="922" t="s">
        <v>2800</v>
      </c>
    </row>
    <row r="1965" spans="1:37" s="394" customFormat="1" ht="22.5" outlineLevel="2" x14ac:dyDescent="0.3">
      <c r="A1965" s="447">
        <f t="shared" si="437"/>
        <v>166</v>
      </c>
      <c r="B1965" s="893"/>
      <c r="C1965" s="908"/>
      <c r="D1965" s="1032"/>
      <c r="E1965" s="947"/>
      <c r="F1965" s="947"/>
      <c r="G1965" s="922"/>
      <c r="H1965" s="1041"/>
      <c r="I1965" s="882"/>
      <c r="J1965" s="894"/>
      <c r="K1965" s="899" t="str">
        <f>IF(G1965&lt;&gt;0,VLOOKUP(G1965,'gia dat'!$A$1:$F$144,5,0)," ")</f>
        <v xml:space="preserve"> </v>
      </c>
      <c r="L1965" s="899" t="str">
        <f>IF(G1965&lt;&gt;0,VLOOKUP(G1965,'gia dat'!$A$1:$F$144,6,0)," ")</f>
        <v xml:space="preserve"> </v>
      </c>
      <c r="M1965" s="900" t="str">
        <f t="shared" si="424"/>
        <v xml:space="preserve"> </v>
      </c>
      <c r="N1965" s="900" t="str">
        <f t="shared" si="425"/>
        <v xml:space="preserve"> </v>
      </c>
      <c r="O1965" s="908"/>
      <c r="P1965" s="1065"/>
      <c r="Q1965" s="900" t="str">
        <f>IF(O1965&lt;&gt;0,VLOOKUP(O1965,'Cây trong'!$A$2:$C$246,3,0)," ")</f>
        <v xml:space="preserve"> </v>
      </c>
      <c r="R1965" s="900" t="str">
        <f t="shared" si="427"/>
        <v xml:space="preserve"> </v>
      </c>
      <c r="S1965" s="908"/>
      <c r="T1965" s="944"/>
      <c r="U1965" s="1066"/>
      <c r="V1965" s="922"/>
      <c r="W1965" s="900" t="str">
        <f>IF(S1965&lt;&gt;0,VLOOKUP(S1965,VKT!$A$2:$G$415,7,0),"")</f>
        <v/>
      </c>
      <c r="X1965" s="900" t="str">
        <f t="shared" si="431"/>
        <v xml:space="preserve"> </v>
      </c>
      <c r="Y1965" s="985"/>
      <c r="Z1965" s="922"/>
      <c r="AA1965" s="1067"/>
      <c r="AB1965" s="922"/>
      <c r="AC1965" s="922"/>
      <c r="AD1965" s="922"/>
      <c r="AE1965" s="922"/>
      <c r="AF1965" s="1046"/>
      <c r="AG1965" s="906" t="str">
        <f>IF(AE1965&lt;&gt;0,VLOOKUP(AE1965,ODDS!$A$2:$C$13,3,0),"")</f>
        <v/>
      </c>
      <c r="AH1965" s="906" t="str">
        <f t="shared" si="428"/>
        <v xml:space="preserve"> </v>
      </c>
      <c r="AI1965" s="907" t="str">
        <f t="shared" si="434"/>
        <v xml:space="preserve"> </v>
      </c>
      <c r="AJ1965" s="894"/>
      <c r="AK1965" s="894"/>
    </row>
    <row r="1966" spans="1:37" s="394" customFormat="1" ht="22.5" outlineLevel="2" x14ac:dyDescent="0.3">
      <c r="A1966" s="447">
        <f t="shared" si="437"/>
        <v>166</v>
      </c>
      <c r="B1966" s="893"/>
      <c r="C1966" s="942"/>
      <c r="D1966" s="1032"/>
      <c r="E1966" s="947"/>
      <c r="F1966" s="947"/>
      <c r="G1966" s="922"/>
      <c r="H1966" s="1041"/>
      <c r="I1966" s="882"/>
      <c r="J1966" s="894"/>
      <c r="K1966" s="899" t="str">
        <f>IF(G1966&lt;&gt;0,VLOOKUP(G1966,'gia dat'!$A$1:$F$144,5,0)," ")</f>
        <v xml:space="preserve"> </v>
      </c>
      <c r="L1966" s="899" t="str">
        <f>IF(G1966&lt;&gt;0,VLOOKUP(G1966,'gia dat'!$A$1:$F$144,6,0)," ")</f>
        <v xml:space="preserve"> </v>
      </c>
      <c r="M1966" s="900" t="str">
        <f t="shared" si="424"/>
        <v xml:space="preserve"> </v>
      </c>
      <c r="N1966" s="900" t="str">
        <f t="shared" si="425"/>
        <v xml:space="preserve"> </v>
      </c>
      <c r="O1966" s="908"/>
      <c r="P1966" s="1065"/>
      <c r="Q1966" s="900" t="str">
        <f>IF(O1966&lt;&gt;0,VLOOKUP(O1966,'Cây trong'!$A$2:$C$246,3,0)," ")</f>
        <v xml:space="preserve"> </v>
      </c>
      <c r="R1966" s="900" t="str">
        <f t="shared" si="427"/>
        <v xml:space="preserve"> </v>
      </c>
      <c r="S1966" s="908"/>
      <c r="T1966" s="944"/>
      <c r="U1966" s="1066"/>
      <c r="V1966" s="922"/>
      <c r="W1966" s="900" t="str">
        <f>IF(S1966&lt;&gt;0,VLOOKUP(S1966,VKT!$A$2:$G$415,7,0),"")</f>
        <v/>
      </c>
      <c r="X1966" s="900" t="str">
        <f t="shared" si="431"/>
        <v xml:space="preserve"> </v>
      </c>
      <c r="Y1966" s="985"/>
      <c r="Z1966" s="922"/>
      <c r="AA1966" s="1067"/>
      <c r="AB1966" s="922"/>
      <c r="AC1966" s="922"/>
      <c r="AD1966" s="922"/>
      <c r="AE1966" s="922"/>
      <c r="AF1966" s="1046"/>
      <c r="AG1966" s="906" t="str">
        <f>IF(AE1966&lt;&gt;0,VLOOKUP(AE1966,ODDS!$A$2:$C$13,3,0),"")</f>
        <v/>
      </c>
      <c r="AH1966" s="906" t="str">
        <f t="shared" si="428"/>
        <v xml:space="preserve"> </v>
      </c>
      <c r="AI1966" s="907" t="str">
        <f t="shared" si="434"/>
        <v xml:space="preserve"> </v>
      </c>
      <c r="AJ1966" s="922"/>
      <c r="AK1966" s="922"/>
    </row>
    <row r="1967" spans="1:37" s="396" customFormat="1" ht="43.5" outlineLevel="1" x14ac:dyDescent="0.25">
      <c r="A1967" s="467" t="s">
        <v>2543</v>
      </c>
      <c r="B1967" s="912">
        <v>167</v>
      </c>
      <c r="C1967" s="942" t="s">
        <v>1363</v>
      </c>
      <c r="D1967" s="1038"/>
      <c r="E1967" s="977"/>
      <c r="F1967" s="977"/>
      <c r="G1967" s="914"/>
      <c r="H1967" s="1039">
        <f>SUBTOTAL(9,H1968:H1972)</f>
        <v>89.9</v>
      </c>
      <c r="I1967" s="915">
        <f>SUBTOTAL(9,I1968:I1973)</f>
        <v>45.8</v>
      </c>
      <c r="J1967" s="910"/>
      <c r="K1967" s="917"/>
      <c r="L1967" s="917"/>
      <c r="M1967" s="907">
        <f>SUBTOTAL(9,M1968:M1972)</f>
        <v>41857000</v>
      </c>
      <c r="N1967" s="907">
        <f>SUBTOTAL(9,N1968:N1972)</f>
        <v>63973000</v>
      </c>
      <c r="O1967" s="942"/>
      <c r="P1967" s="1063">
        <f>SUBTOTAL(9,P1968:P1972)</f>
        <v>0</v>
      </c>
      <c r="Q1967" s="907"/>
      <c r="R1967" s="907">
        <f>SUBTOTAL(9,R1968:R1972)</f>
        <v>0</v>
      </c>
      <c r="S1967" s="942"/>
      <c r="T1967" s="956"/>
      <c r="U1967" s="1064">
        <f>SUBTOTAL(9,U1968:U1972)</f>
        <v>0</v>
      </c>
      <c r="V1967" s="914"/>
      <c r="W1967" s="907"/>
      <c r="X1967" s="907">
        <f>SUBTOTAL(9,X1968:X1972)</f>
        <v>0</v>
      </c>
      <c r="Y1967" s="985"/>
      <c r="Z1967" s="922"/>
      <c r="AA1967" s="1067"/>
      <c r="AB1967" s="922"/>
      <c r="AC1967" s="922"/>
      <c r="AD1967" s="922"/>
      <c r="AE1967" s="914"/>
      <c r="AF1967" s="1044">
        <f>SUBTOTAL(9,AF1968:AF1972)</f>
        <v>0</v>
      </c>
      <c r="AG1967" s="921"/>
      <c r="AH1967" s="921">
        <f>SUBTOTAL(9,AH1968:AH1972)</f>
        <v>0</v>
      </c>
      <c r="AI1967" s="907">
        <f t="shared" si="434"/>
        <v>105830000</v>
      </c>
      <c r="AJ1967" s="910"/>
      <c r="AK1967" s="914"/>
    </row>
    <row r="1968" spans="1:37" s="396" customFormat="1" ht="273" outlineLevel="2" x14ac:dyDescent="0.3">
      <c r="A1968" s="447">
        <f>IF(B1967&lt;&gt;0,B1967,A1966)</f>
        <v>167</v>
      </c>
      <c r="B1968" s="893"/>
      <c r="C1968" s="908" t="s">
        <v>1366</v>
      </c>
      <c r="D1968" s="1032"/>
      <c r="E1968" s="947">
        <v>86</v>
      </c>
      <c r="F1968" s="947" t="s">
        <v>2180</v>
      </c>
      <c r="G1968" s="922" t="s">
        <v>2438</v>
      </c>
      <c r="H1968" s="1041">
        <f>45.8</f>
        <v>45.8</v>
      </c>
      <c r="I1968" s="882">
        <f t="shared" ref="I1968:I1969" si="438">IF(N1968&gt;0,H1968,"")</f>
        <v>45.8</v>
      </c>
      <c r="J1968" s="894"/>
      <c r="K1968" s="899">
        <f>IF(G1968&lt;&gt;0,VLOOKUP(G1968,'gia dat'!$A$1:$F$144,5,0)," ")</f>
        <v>465600</v>
      </c>
      <c r="L1968" s="899">
        <f>IF(G1968&lt;&gt;0,VLOOKUP(G1968,'gia dat'!$A$1:$F$144,6,0)," ")</f>
        <v>1396800</v>
      </c>
      <c r="M1968" s="900">
        <f t="shared" ref="M1968:M2038" si="439">IF(H1968&lt;&gt;0,ROUND(H1968*K1968,-3)," ")</f>
        <v>21324000</v>
      </c>
      <c r="N1968" s="900">
        <f t="shared" ref="N1968:N2038" si="440">IF(H1968&lt;&gt;0,ROUND(H1968*L1968,-3)," ")</f>
        <v>63973000</v>
      </c>
      <c r="O1968" s="908"/>
      <c r="P1968" s="1065"/>
      <c r="Q1968" s="900"/>
      <c r="R1968" s="900"/>
      <c r="S1968" s="908"/>
      <c r="T1968" s="944"/>
      <c r="U1968" s="1066"/>
      <c r="V1968" s="922"/>
      <c r="W1968" s="900" t="str">
        <f>IF(S1968&lt;&gt;0,VLOOKUP(S1968,VKT!$A$2:$G$415,7,0),"")</f>
        <v/>
      </c>
      <c r="X1968" s="900" t="str">
        <f t="shared" si="431"/>
        <v xml:space="preserve"> </v>
      </c>
      <c r="Y1968" s="985"/>
      <c r="Z1968" s="922"/>
      <c r="AA1968" s="1067"/>
      <c r="AB1968" s="922"/>
      <c r="AC1968" s="922"/>
      <c r="AD1968" s="922"/>
      <c r="AE1968" s="922"/>
      <c r="AF1968" s="1046"/>
      <c r="AG1968" s="906" t="str">
        <f>IF(AE1968&lt;&gt;0,VLOOKUP(AE1968,ODDS!$A$2:$C$13,3,0),"")</f>
        <v/>
      </c>
      <c r="AH1968" s="906"/>
      <c r="AI1968" s="907" t="str">
        <f t="shared" si="434"/>
        <v xml:space="preserve"> </v>
      </c>
      <c r="AJ1968" s="894" t="s">
        <v>2955</v>
      </c>
      <c r="AK1968" s="922" t="s">
        <v>2771</v>
      </c>
    </row>
    <row r="1969" spans="1:37" s="394" customFormat="1" ht="90" outlineLevel="2" x14ac:dyDescent="0.3">
      <c r="A1969" s="447">
        <f>IF(B1968&lt;&gt;0,B1968,A1968)</f>
        <v>167</v>
      </c>
      <c r="B1969" s="893"/>
      <c r="C1969" s="908" t="s">
        <v>1621</v>
      </c>
      <c r="D1969" s="1032"/>
      <c r="E1969" s="947"/>
      <c r="F1969" s="947"/>
      <c r="G1969" s="922" t="s">
        <v>2434</v>
      </c>
      <c r="H1969" s="1041">
        <v>44.1</v>
      </c>
      <c r="I1969" s="882" t="str">
        <f t="shared" si="438"/>
        <v/>
      </c>
      <c r="J1969" s="894"/>
      <c r="K1969" s="899">
        <f>IF(G1969&lt;&gt;0,VLOOKUP(G1969,'gia dat'!$A$1:$F$144,5,0)," ")</f>
        <v>465600</v>
      </c>
      <c r="L1969" s="899">
        <f>IF(G1969&lt;&gt;0,VLOOKUP(G1969,'gia dat'!$A$1:$F$144,6,0)," ")</f>
        <v>0</v>
      </c>
      <c r="M1969" s="900">
        <f t="shared" si="439"/>
        <v>20533000</v>
      </c>
      <c r="N1969" s="900">
        <f t="shared" si="440"/>
        <v>0</v>
      </c>
      <c r="O1969" s="908"/>
      <c r="P1969" s="1065"/>
      <c r="Q1969" s="900"/>
      <c r="R1969" s="900"/>
      <c r="S1969" s="908"/>
      <c r="T1969" s="944"/>
      <c r="U1969" s="1066"/>
      <c r="V1969" s="922"/>
      <c r="W1969" s="900" t="str">
        <f>IF(S1969&lt;&gt;0,VLOOKUP(S1969,VKT!$A$2:$G$415,7,0),"")</f>
        <v/>
      </c>
      <c r="X1969" s="900" t="str">
        <f t="shared" si="431"/>
        <v xml:space="preserve"> </v>
      </c>
      <c r="Y1969" s="985"/>
      <c r="Z1969" s="922"/>
      <c r="AA1969" s="1067"/>
      <c r="AB1969" s="922"/>
      <c r="AC1969" s="922"/>
      <c r="AD1969" s="922"/>
      <c r="AE1969" s="922"/>
      <c r="AF1969" s="1046"/>
      <c r="AG1969" s="906" t="str">
        <f>IF(AE1969&lt;&gt;0,VLOOKUP(AE1969,ODDS!$A$2:$C$13,3,0),"")</f>
        <v/>
      </c>
      <c r="AH1969" s="906"/>
      <c r="AI1969" s="907" t="str">
        <f t="shared" si="434"/>
        <v xml:space="preserve"> </v>
      </c>
      <c r="AJ1969" s="922" t="s">
        <v>2074</v>
      </c>
      <c r="AK1969" s="894" t="s">
        <v>2448</v>
      </c>
    </row>
    <row r="1970" spans="1:37" s="394" customFormat="1" ht="22.5" outlineLevel="2" x14ac:dyDescent="0.3">
      <c r="A1970" s="447">
        <f>IF(B1969&lt;&gt;0,B1969,A1969)</f>
        <v>167</v>
      </c>
      <c r="B1970" s="893"/>
      <c r="C1970" s="908"/>
      <c r="D1970" s="1032"/>
      <c r="E1970" s="947"/>
      <c r="F1970" s="947"/>
      <c r="G1970" s="922"/>
      <c r="H1970" s="1041"/>
      <c r="I1970" s="882"/>
      <c r="J1970" s="894"/>
      <c r="K1970" s="899" t="str">
        <f>IF(G1970&lt;&gt;0,VLOOKUP(G1970,'gia dat'!$A$1:$F$144,5,0)," ")</f>
        <v xml:space="preserve"> </v>
      </c>
      <c r="L1970" s="899" t="str">
        <f>IF(G1970&lt;&gt;0,VLOOKUP(G1970,'gia dat'!$A$1:$F$144,6,0)," ")</f>
        <v xml:space="preserve"> </v>
      </c>
      <c r="M1970" s="900" t="str">
        <f t="shared" si="439"/>
        <v xml:space="preserve"> </v>
      </c>
      <c r="N1970" s="900" t="str">
        <f t="shared" si="440"/>
        <v xml:space="preserve"> </v>
      </c>
      <c r="O1970" s="908"/>
      <c r="P1970" s="1065"/>
      <c r="Q1970" s="900"/>
      <c r="R1970" s="900"/>
      <c r="S1970" s="908"/>
      <c r="T1970" s="944"/>
      <c r="U1970" s="1066"/>
      <c r="V1970" s="922"/>
      <c r="W1970" s="900" t="str">
        <f>IF(S1970&lt;&gt;0,VLOOKUP(S1970,VKT!$A$2:$G$415,7,0),"")</f>
        <v/>
      </c>
      <c r="X1970" s="900" t="str">
        <f t="shared" si="431"/>
        <v xml:space="preserve"> </v>
      </c>
      <c r="Y1970" s="985"/>
      <c r="Z1970" s="922"/>
      <c r="AA1970" s="1067"/>
      <c r="AB1970" s="922"/>
      <c r="AC1970" s="922"/>
      <c r="AD1970" s="922"/>
      <c r="AE1970" s="922"/>
      <c r="AF1970" s="1046"/>
      <c r="AG1970" s="906" t="str">
        <f>IF(AE1970&lt;&gt;0,VLOOKUP(AE1970,ODDS!$A$2:$C$13,3,0),"")</f>
        <v/>
      </c>
      <c r="AH1970" s="906"/>
      <c r="AI1970" s="907" t="str">
        <f t="shared" si="434"/>
        <v xml:space="preserve"> </v>
      </c>
      <c r="AJ1970" s="922"/>
      <c r="AK1970" s="922"/>
    </row>
    <row r="1971" spans="1:37" s="394" customFormat="1" ht="22.5" outlineLevel="2" x14ac:dyDescent="0.3">
      <c r="A1971" s="447">
        <f>IF(B1970&lt;&gt;0,B1970,A1970)</f>
        <v>167</v>
      </c>
      <c r="B1971" s="893"/>
      <c r="C1971" s="908"/>
      <c r="D1971" s="1032"/>
      <c r="E1971" s="947"/>
      <c r="F1971" s="947"/>
      <c r="G1971" s="922"/>
      <c r="H1971" s="1041"/>
      <c r="I1971" s="882"/>
      <c r="J1971" s="894"/>
      <c r="K1971" s="899" t="str">
        <f>IF(G1971&lt;&gt;0,VLOOKUP(G1971,'gia dat'!$A$1:$F$144,5,0)," ")</f>
        <v xml:space="preserve"> </v>
      </c>
      <c r="L1971" s="899" t="str">
        <f>IF(G1971&lt;&gt;0,VLOOKUP(G1971,'gia dat'!$A$1:$F$144,6,0)," ")</f>
        <v xml:space="preserve"> </v>
      </c>
      <c r="M1971" s="900" t="str">
        <f t="shared" si="439"/>
        <v xml:space="preserve"> </v>
      </c>
      <c r="N1971" s="900" t="str">
        <f t="shared" si="440"/>
        <v xml:space="preserve"> </v>
      </c>
      <c r="O1971" s="908"/>
      <c r="P1971" s="1065"/>
      <c r="Q1971" s="900"/>
      <c r="R1971" s="900"/>
      <c r="S1971" s="908"/>
      <c r="T1971" s="944"/>
      <c r="U1971" s="1066"/>
      <c r="V1971" s="922"/>
      <c r="W1971" s="900" t="str">
        <f>IF(S1971&lt;&gt;0,VLOOKUP(S1971,VKT!$A$2:$G$415,7,0),"")</f>
        <v/>
      </c>
      <c r="X1971" s="900" t="str">
        <f t="shared" si="431"/>
        <v xml:space="preserve"> </v>
      </c>
      <c r="Y1971" s="985"/>
      <c r="Z1971" s="922"/>
      <c r="AA1971" s="1067"/>
      <c r="AB1971" s="922"/>
      <c r="AC1971" s="922"/>
      <c r="AD1971" s="922"/>
      <c r="AE1971" s="922"/>
      <c r="AF1971" s="1046"/>
      <c r="AG1971" s="906" t="str">
        <f>IF(AE1971&lt;&gt;0,VLOOKUP(AE1971,ODDS!$A$2:$C$13,3,0),"")</f>
        <v/>
      </c>
      <c r="AH1971" s="906"/>
      <c r="AI1971" s="907" t="str">
        <f t="shared" si="434"/>
        <v xml:space="preserve"> </v>
      </c>
      <c r="AJ1971" s="922"/>
      <c r="AK1971" s="922"/>
    </row>
    <row r="1972" spans="1:37" s="394" customFormat="1" ht="22.5" outlineLevel="2" x14ac:dyDescent="0.3">
      <c r="A1972" s="447">
        <f>IF(B1971&lt;&gt;0,B1971,A1971)</f>
        <v>167</v>
      </c>
      <c r="B1972" s="893"/>
      <c r="C1972" s="942"/>
      <c r="D1972" s="1032"/>
      <c r="E1972" s="947"/>
      <c r="F1972" s="947"/>
      <c r="G1972" s="922"/>
      <c r="H1972" s="1041"/>
      <c r="I1972" s="882"/>
      <c r="J1972" s="894"/>
      <c r="K1972" s="899" t="str">
        <f>IF(G1972&lt;&gt;0,VLOOKUP(G1972,'gia dat'!$A$1:$F$144,5,0)," ")</f>
        <v xml:space="preserve"> </v>
      </c>
      <c r="L1972" s="899" t="str">
        <f>IF(G1972&lt;&gt;0,VLOOKUP(G1972,'gia dat'!$A$1:$F$144,6,0)," ")</f>
        <v xml:space="preserve"> </v>
      </c>
      <c r="M1972" s="900" t="str">
        <f t="shared" si="439"/>
        <v xml:space="preserve"> </v>
      </c>
      <c r="N1972" s="900" t="str">
        <f t="shared" si="440"/>
        <v xml:space="preserve"> </v>
      </c>
      <c r="O1972" s="908"/>
      <c r="P1972" s="1065"/>
      <c r="Q1972" s="900"/>
      <c r="R1972" s="900"/>
      <c r="S1972" s="908"/>
      <c r="T1972" s="944"/>
      <c r="U1972" s="1066"/>
      <c r="V1972" s="922"/>
      <c r="W1972" s="900" t="str">
        <f>IF(S1972&lt;&gt;0,VLOOKUP(S1972,VKT!$A$2:$G$415,7,0),"")</f>
        <v/>
      </c>
      <c r="X1972" s="900" t="str">
        <f t="shared" si="431"/>
        <v xml:space="preserve"> </v>
      </c>
      <c r="Y1972" s="985"/>
      <c r="Z1972" s="922"/>
      <c r="AA1972" s="1067"/>
      <c r="AB1972" s="922"/>
      <c r="AC1972" s="922"/>
      <c r="AD1972" s="922"/>
      <c r="AE1972" s="922"/>
      <c r="AF1972" s="1046"/>
      <c r="AG1972" s="906" t="str">
        <f>IF(AE1972&lt;&gt;0,VLOOKUP(AE1972,ODDS!$A$2:$C$13,3,0),"")</f>
        <v/>
      </c>
      <c r="AH1972" s="906"/>
      <c r="AI1972" s="907" t="str">
        <f t="shared" si="434"/>
        <v xml:space="preserve"> </v>
      </c>
      <c r="AJ1972" s="922"/>
      <c r="AK1972" s="922"/>
    </row>
    <row r="1973" spans="1:37" s="396" customFormat="1" ht="43.5" outlineLevel="1" x14ac:dyDescent="0.25">
      <c r="A1973" s="467" t="s">
        <v>2542</v>
      </c>
      <c r="B1973" s="912">
        <v>168</v>
      </c>
      <c r="C1973" s="942" t="s">
        <v>1363</v>
      </c>
      <c r="D1973" s="1038"/>
      <c r="E1973" s="977"/>
      <c r="F1973" s="977"/>
      <c r="G1973" s="914"/>
      <c r="H1973" s="1039">
        <f>SUBTOTAL(9,H1974:H1979)</f>
        <v>79.099999999999994</v>
      </c>
      <c r="I1973" s="915">
        <f>SUBTOTAL(9,I1974:I1979)</f>
        <v>29.6</v>
      </c>
      <c r="J1973" s="910"/>
      <c r="K1973" s="917"/>
      <c r="L1973" s="917"/>
      <c r="M1973" s="907">
        <f>SUBTOTAL(9,M1974:M1979)</f>
        <v>36829000</v>
      </c>
      <c r="N1973" s="907">
        <f>SUBTOTAL(9,N1974:N1979)</f>
        <v>41345000</v>
      </c>
      <c r="O1973" s="942"/>
      <c r="P1973" s="1063">
        <f>SUBTOTAL(9,P1974:P1979)</f>
        <v>0</v>
      </c>
      <c r="Q1973" s="907"/>
      <c r="R1973" s="907">
        <f>SUBTOTAL(9,R1974:R1979)</f>
        <v>0</v>
      </c>
      <c r="S1973" s="942"/>
      <c r="T1973" s="956"/>
      <c r="U1973" s="1064">
        <f>SUBTOTAL(9,U1974:U1979)</f>
        <v>0</v>
      </c>
      <c r="V1973" s="914"/>
      <c r="W1973" s="907"/>
      <c r="X1973" s="907">
        <f>SUBTOTAL(9,X1974:X1979)</f>
        <v>0</v>
      </c>
      <c r="Y1973" s="985"/>
      <c r="Z1973" s="922"/>
      <c r="AA1973" s="1067"/>
      <c r="AB1973" s="922"/>
      <c r="AC1973" s="922"/>
      <c r="AD1973" s="922"/>
      <c r="AE1973" s="914"/>
      <c r="AF1973" s="1044">
        <f>SUBTOTAL(9,AF1974:AF1979)</f>
        <v>0</v>
      </c>
      <c r="AG1973" s="921"/>
      <c r="AH1973" s="921">
        <f>SUBTOTAL(9,AH1974:AH1979)</f>
        <v>0</v>
      </c>
      <c r="AI1973" s="907">
        <f t="shared" si="434"/>
        <v>78174000</v>
      </c>
      <c r="AJ1973" s="910"/>
      <c r="AK1973" s="914"/>
    </row>
    <row r="1974" spans="1:37" s="396" customFormat="1" ht="292.5" outlineLevel="2" x14ac:dyDescent="0.3">
      <c r="A1974" s="447">
        <f>IF(B1973&lt;&gt;0,B1973,A1972)</f>
        <v>168</v>
      </c>
      <c r="B1974" s="893"/>
      <c r="C1974" s="908" t="s">
        <v>1366</v>
      </c>
      <c r="D1974" s="1032"/>
      <c r="E1974" s="947">
        <v>86</v>
      </c>
      <c r="F1974" s="947" t="s">
        <v>2180</v>
      </c>
      <c r="G1974" s="922" t="s">
        <v>2435</v>
      </c>
      <c r="H1974" s="1041">
        <v>29.6</v>
      </c>
      <c r="I1974" s="882">
        <f t="shared" ref="I1974:I1975" si="441">IF(N1974&gt;0,H1974,"")</f>
        <v>29.6</v>
      </c>
      <c r="J1974" s="894"/>
      <c r="K1974" s="899">
        <f>IF(G1974&lt;&gt;0,VLOOKUP(G1974,'gia dat'!$A$1:$F$144,5,0)," ")</f>
        <v>465600</v>
      </c>
      <c r="L1974" s="899">
        <f>IF(G1974&lt;&gt;0,VLOOKUP(G1974,'gia dat'!$A$1:$F$144,6,0)," ")</f>
        <v>1396800</v>
      </c>
      <c r="M1974" s="900">
        <f t="shared" si="439"/>
        <v>13782000</v>
      </c>
      <c r="N1974" s="900">
        <f t="shared" si="440"/>
        <v>41345000</v>
      </c>
      <c r="O1974" s="908"/>
      <c r="P1974" s="1065"/>
      <c r="Q1974" s="900"/>
      <c r="R1974" s="900"/>
      <c r="S1974" s="908"/>
      <c r="T1974" s="944"/>
      <c r="U1974" s="1066"/>
      <c r="V1974" s="922"/>
      <c r="W1974" s="900" t="str">
        <f>IF(S1974&lt;&gt;0,VLOOKUP(S1974,VKT!$A$2:$G$415,7,0),"")</f>
        <v/>
      </c>
      <c r="X1974" s="900" t="str">
        <f t="shared" si="431"/>
        <v xml:space="preserve"> </v>
      </c>
      <c r="Y1974" s="985"/>
      <c r="Z1974" s="922"/>
      <c r="AA1974" s="1067"/>
      <c r="AB1974" s="922"/>
      <c r="AC1974" s="922"/>
      <c r="AD1974" s="922"/>
      <c r="AE1974" s="922"/>
      <c r="AF1974" s="1046"/>
      <c r="AG1974" s="906" t="str">
        <f>IF(AE1974&lt;&gt;0,VLOOKUP(AE1974,ODDS!$A$2:$C$13,3,0),"")</f>
        <v/>
      </c>
      <c r="AH1974" s="906"/>
      <c r="AI1974" s="907" t="str">
        <f t="shared" si="434"/>
        <v xml:space="preserve"> </v>
      </c>
      <c r="AJ1974" s="894" t="s">
        <v>2243</v>
      </c>
      <c r="AK1974" s="922" t="s">
        <v>2771</v>
      </c>
    </row>
    <row r="1975" spans="1:37" s="394" customFormat="1" ht="90" outlineLevel="2" x14ac:dyDescent="0.3">
      <c r="A1975" s="447">
        <f>IF(B1974&lt;&gt;0,B1974,A1974)</f>
        <v>168</v>
      </c>
      <c r="B1975" s="893"/>
      <c r="C1975" s="908" t="s">
        <v>1621</v>
      </c>
      <c r="D1975" s="1032"/>
      <c r="E1975" s="947"/>
      <c r="F1975" s="947"/>
      <c r="G1975" s="922" t="s">
        <v>2434</v>
      </c>
      <c r="H1975" s="1041">
        <v>49.5</v>
      </c>
      <c r="I1975" s="882" t="str">
        <f t="shared" si="441"/>
        <v/>
      </c>
      <c r="J1975" s="894"/>
      <c r="K1975" s="899">
        <f>IF(G1975&lt;&gt;0,VLOOKUP(G1975,'gia dat'!$A$1:$F$144,5,0)," ")</f>
        <v>465600</v>
      </c>
      <c r="L1975" s="899">
        <f>IF(G1975&lt;&gt;0,VLOOKUP(G1975,'gia dat'!$A$1:$F$144,6,0)," ")</f>
        <v>0</v>
      </c>
      <c r="M1975" s="900">
        <f t="shared" si="439"/>
        <v>23047000</v>
      </c>
      <c r="N1975" s="900">
        <f t="shared" si="440"/>
        <v>0</v>
      </c>
      <c r="O1975" s="908"/>
      <c r="P1975" s="1065"/>
      <c r="Q1975" s="900"/>
      <c r="R1975" s="900"/>
      <c r="S1975" s="908"/>
      <c r="T1975" s="944"/>
      <c r="U1975" s="1066"/>
      <c r="V1975" s="922"/>
      <c r="W1975" s="900" t="str">
        <f>IF(S1975&lt;&gt;0,VLOOKUP(S1975,VKT!$A$2:$G$415,7,0),"")</f>
        <v/>
      </c>
      <c r="X1975" s="900" t="str">
        <f t="shared" si="431"/>
        <v xml:space="preserve"> </v>
      </c>
      <c r="Y1975" s="985"/>
      <c r="Z1975" s="922"/>
      <c r="AA1975" s="1067"/>
      <c r="AB1975" s="922"/>
      <c r="AC1975" s="922"/>
      <c r="AD1975" s="922"/>
      <c r="AE1975" s="922"/>
      <c r="AF1975" s="1046"/>
      <c r="AG1975" s="906" t="str">
        <f>IF(AE1975&lt;&gt;0,VLOOKUP(AE1975,ODDS!$A$2:$C$13,3,0),"")</f>
        <v/>
      </c>
      <c r="AH1975" s="906"/>
      <c r="AI1975" s="907" t="str">
        <f t="shared" si="434"/>
        <v xml:space="preserve"> </v>
      </c>
      <c r="AJ1975" s="922" t="s">
        <v>2074</v>
      </c>
      <c r="AK1975" s="894" t="s">
        <v>2448</v>
      </c>
    </row>
    <row r="1976" spans="1:37" s="394" customFormat="1" ht="22.5" outlineLevel="2" x14ac:dyDescent="0.3">
      <c r="A1976" s="447">
        <f>IF(B1975&lt;&gt;0,B1975,A1975)</f>
        <v>168</v>
      </c>
      <c r="B1976" s="893"/>
      <c r="C1976" s="908"/>
      <c r="D1976" s="1032"/>
      <c r="E1976" s="947"/>
      <c r="F1976" s="947"/>
      <c r="G1976" s="922"/>
      <c r="H1976" s="1041"/>
      <c r="I1976" s="882"/>
      <c r="J1976" s="894"/>
      <c r="K1976" s="899" t="str">
        <f>IF(G1976&lt;&gt;0,VLOOKUP(G1976,'gia dat'!$A$1:$F$144,5,0)," ")</f>
        <v xml:space="preserve"> </v>
      </c>
      <c r="L1976" s="899" t="str">
        <f>IF(G1976&lt;&gt;0,VLOOKUP(G1976,'gia dat'!$A$1:$F$144,6,0)," ")</f>
        <v xml:space="preserve"> </v>
      </c>
      <c r="M1976" s="900" t="str">
        <f t="shared" si="439"/>
        <v xml:space="preserve"> </v>
      </c>
      <c r="N1976" s="900" t="str">
        <f t="shared" si="440"/>
        <v xml:space="preserve"> </v>
      </c>
      <c r="O1976" s="908"/>
      <c r="P1976" s="1065"/>
      <c r="Q1976" s="900"/>
      <c r="R1976" s="900"/>
      <c r="S1976" s="908"/>
      <c r="T1976" s="944"/>
      <c r="U1976" s="1066"/>
      <c r="V1976" s="922"/>
      <c r="W1976" s="900" t="str">
        <f>IF(S1976&lt;&gt;0,VLOOKUP(S1976,VKT!$A$2:$G$415,7,0),"")</f>
        <v/>
      </c>
      <c r="X1976" s="900" t="str">
        <f t="shared" si="431"/>
        <v xml:space="preserve"> </v>
      </c>
      <c r="Y1976" s="985"/>
      <c r="Z1976" s="922"/>
      <c r="AA1976" s="1067"/>
      <c r="AB1976" s="922"/>
      <c r="AC1976" s="922"/>
      <c r="AD1976" s="922"/>
      <c r="AE1976" s="922"/>
      <c r="AF1976" s="1046"/>
      <c r="AG1976" s="906" t="str">
        <f>IF(AE1976&lt;&gt;0,VLOOKUP(AE1976,ODDS!$A$2:$C$13,3,0),"")</f>
        <v/>
      </c>
      <c r="AH1976" s="906"/>
      <c r="AI1976" s="907" t="str">
        <f t="shared" si="434"/>
        <v xml:space="preserve"> </v>
      </c>
      <c r="AJ1976" s="922"/>
      <c r="AK1976" s="922"/>
    </row>
    <row r="1977" spans="1:37" s="394" customFormat="1" ht="22.5" outlineLevel="2" x14ac:dyDescent="0.3">
      <c r="A1977" s="447">
        <f>IF(B1976&lt;&gt;0,B1976,A1976)</f>
        <v>168</v>
      </c>
      <c r="B1977" s="893"/>
      <c r="C1977" s="908"/>
      <c r="D1977" s="1032"/>
      <c r="E1977" s="947"/>
      <c r="F1977" s="947"/>
      <c r="G1977" s="922"/>
      <c r="H1977" s="1041"/>
      <c r="I1977" s="882"/>
      <c r="J1977" s="894"/>
      <c r="K1977" s="899" t="str">
        <f>IF(G1977&lt;&gt;0,VLOOKUP(G1977,'gia dat'!$A$1:$F$144,5,0)," ")</f>
        <v xml:space="preserve"> </v>
      </c>
      <c r="L1977" s="899" t="str">
        <f>IF(G1977&lt;&gt;0,VLOOKUP(G1977,'gia dat'!$A$1:$F$144,6,0)," ")</f>
        <v xml:space="preserve"> </v>
      </c>
      <c r="M1977" s="900" t="str">
        <f t="shared" si="439"/>
        <v xml:space="preserve"> </v>
      </c>
      <c r="N1977" s="900" t="str">
        <f t="shared" si="440"/>
        <v xml:space="preserve"> </v>
      </c>
      <c r="O1977" s="908"/>
      <c r="P1977" s="1065"/>
      <c r="Q1977" s="900"/>
      <c r="R1977" s="900"/>
      <c r="S1977" s="908"/>
      <c r="T1977" s="944"/>
      <c r="U1977" s="1066"/>
      <c r="V1977" s="922"/>
      <c r="W1977" s="900" t="str">
        <f>IF(S1977&lt;&gt;0,VLOOKUP(S1977,VKT!$A$2:$G$415,7,0),"")</f>
        <v/>
      </c>
      <c r="X1977" s="900" t="str">
        <f t="shared" si="431"/>
        <v xml:space="preserve"> </v>
      </c>
      <c r="Y1977" s="985"/>
      <c r="Z1977" s="922"/>
      <c r="AA1977" s="1067"/>
      <c r="AB1977" s="922"/>
      <c r="AC1977" s="922"/>
      <c r="AD1977" s="922"/>
      <c r="AE1977" s="922"/>
      <c r="AF1977" s="1046"/>
      <c r="AG1977" s="906" t="str">
        <f>IF(AE1977&lt;&gt;0,VLOOKUP(AE1977,ODDS!$A$2:$C$13,3,0),"")</f>
        <v/>
      </c>
      <c r="AH1977" s="906"/>
      <c r="AI1977" s="907" t="str">
        <f t="shared" si="434"/>
        <v xml:space="preserve"> </v>
      </c>
      <c r="AJ1977" s="922"/>
      <c r="AK1977" s="922"/>
    </row>
    <row r="1978" spans="1:37" s="394" customFormat="1" ht="22.5" outlineLevel="2" x14ac:dyDescent="0.3">
      <c r="A1978" s="447">
        <f>IF(B1977&lt;&gt;0,B1977,A1977)</f>
        <v>168</v>
      </c>
      <c r="B1978" s="893"/>
      <c r="C1978" s="908"/>
      <c r="D1978" s="1032"/>
      <c r="E1978" s="947"/>
      <c r="F1978" s="947"/>
      <c r="G1978" s="922"/>
      <c r="H1978" s="1041"/>
      <c r="I1978" s="882"/>
      <c r="J1978" s="894"/>
      <c r="K1978" s="899" t="str">
        <f>IF(G1978&lt;&gt;0,VLOOKUP(G1978,'gia dat'!$A$1:$F$144,5,0)," ")</f>
        <v xml:space="preserve"> </v>
      </c>
      <c r="L1978" s="899" t="str">
        <f>IF(G1978&lt;&gt;0,VLOOKUP(G1978,'gia dat'!$A$1:$F$144,6,0)," ")</f>
        <v xml:space="preserve"> </v>
      </c>
      <c r="M1978" s="900" t="str">
        <f t="shared" si="439"/>
        <v xml:space="preserve"> </v>
      </c>
      <c r="N1978" s="900" t="str">
        <f t="shared" si="440"/>
        <v xml:space="preserve"> </v>
      </c>
      <c r="O1978" s="908"/>
      <c r="P1978" s="1065"/>
      <c r="Q1978" s="900"/>
      <c r="R1978" s="900"/>
      <c r="S1978" s="908"/>
      <c r="T1978" s="944"/>
      <c r="U1978" s="1066"/>
      <c r="V1978" s="922"/>
      <c r="W1978" s="900" t="str">
        <f>IF(S1978&lt;&gt;0,VLOOKUP(S1978,VKT!$A$2:$G$415,7,0),"")</f>
        <v/>
      </c>
      <c r="X1978" s="900" t="str">
        <f t="shared" ref="X1978:X2048" si="442">IF(S1978&lt;&gt;0,ROUND(U1978*W1978,-3)," ")</f>
        <v xml:space="preserve"> </v>
      </c>
      <c r="Y1978" s="985"/>
      <c r="Z1978" s="922"/>
      <c r="AA1978" s="1067"/>
      <c r="AB1978" s="922"/>
      <c r="AC1978" s="922"/>
      <c r="AD1978" s="922"/>
      <c r="AE1978" s="922"/>
      <c r="AF1978" s="1046"/>
      <c r="AG1978" s="906" t="str">
        <f>IF(AE1978&lt;&gt;0,VLOOKUP(AE1978,ODDS!$A$2:$C$13,3,0),"")</f>
        <v/>
      </c>
      <c r="AH1978" s="906"/>
      <c r="AI1978" s="907" t="str">
        <f t="shared" si="434"/>
        <v xml:space="preserve"> </v>
      </c>
      <c r="AJ1978" s="922"/>
      <c r="AK1978" s="922"/>
    </row>
    <row r="1979" spans="1:37" s="394" customFormat="1" ht="22.5" outlineLevel="2" x14ac:dyDescent="0.3">
      <c r="A1979" s="447">
        <f>IF(B1978&lt;&gt;0,B1978,A1978)</f>
        <v>168</v>
      </c>
      <c r="B1979" s="893"/>
      <c r="C1979" s="942"/>
      <c r="D1979" s="1032"/>
      <c r="E1979" s="947"/>
      <c r="F1979" s="947"/>
      <c r="G1979" s="922"/>
      <c r="H1979" s="1041"/>
      <c r="I1979" s="882"/>
      <c r="J1979" s="894"/>
      <c r="K1979" s="899" t="str">
        <f>IF(G1979&lt;&gt;0,VLOOKUP(G1979,'gia dat'!$A$1:$F$144,5,0)," ")</f>
        <v xml:space="preserve"> </v>
      </c>
      <c r="L1979" s="899" t="str">
        <f>IF(G1979&lt;&gt;0,VLOOKUP(G1979,'gia dat'!$A$1:$F$144,6,0)," ")</f>
        <v xml:space="preserve"> </v>
      </c>
      <c r="M1979" s="900" t="str">
        <f t="shared" si="439"/>
        <v xml:space="preserve"> </v>
      </c>
      <c r="N1979" s="900" t="str">
        <f t="shared" si="440"/>
        <v xml:space="preserve"> </v>
      </c>
      <c r="O1979" s="908"/>
      <c r="P1979" s="1065"/>
      <c r="Q1979" s="900"/>
      <c r="R1979" s="900"/>
      <c r="S1979" s="908"/>
      <c r="T1979" s="944"/>
      <c r="U1979" s="1066"/>
      <c r="V1979" s="922"/>
      <c r="W1979" s="900" t="str">
        <f>IF(S1979&lt;&gt;0,VLOOKUP(S1979,VKT!$A$2:$G$415,7,0),"")</f>
        <v/>
      </c>
      <c r="X1979" s="900" t="str">
        <f t="shared" si="442"/>
        <v xml:space="preserve"> </v>
      </c>
      <c r="Y1979" s="985"/>
      <c r="Z1979" s="922"/>
      <c r="AA1979" s="1067"/>
      <c r="AB1979" s="922"/>
      <c r="AC1979" s="922"/>
      <c r="AD1979" s="922"/>
      <c r="AE1979" s="922"/>
      <c r="AF1979" s="1046"/>
      <c r="AG1979" s="906" t="str">
        <f>IF(AE1979&lt;&gt;0,VLOOKUP(AE1979,ODDS!$A$2:$C$13,3,0),"")</f>
        <v/>
      </c>
      <c r="AH1979" s="906"/>
      <c r="AI1979" s="907" t="str">
        <f t="shared" si="434"/>
        <v xml:space="preserve"> </v>
      </c>
      <c r="AJ1979" s="922"/>
      <c r="AK1979" s="922"/>
    </row>
    <row r="1980" spans="1:37" s="396" customFormat="1" ht="43.5" outlineLevel="1" x14ac:dyDescent="0.25">
      <c r="A1980" s="467" t="s">
        <v>2541</v>
      </c>
      <c r="B1980" s="912">
        <v>169</v>
      </c>
      <c r="C1980" s="942" t="s">
        <v>1363</v>
      </c>
      <c r="D1980" s="1038"/>
      <c r="E1980" s="977"/>
      <c r="F1980" s="977"/>
      <c r="G1980" s="914"/>
      <c r="H1980" s="1039">
        <f>SUBTOTAL(9,H1981:H1989)</f>
        <v>112.9</v>
      </c>
      <c r="I1980" s="915">
        <f>SUBTOTAL(9,I1981:I1986)</f>
        <v>0</v>
      </c>
      <c r="J1980" s="910"/>
      <c r="K1980" s="917"/>
      <c r="L1980" s="917"/>
      <c r="M1980" s="907">
        <f>SUBTOTAL(9,M1981:M1989)</f>
        <v>52566000</v>
      </c>
      <c r="N1980" s="907">
        <f>SUBTOTAL(9,N1981:N1989)</f>
        <v>0</v>
      </c>
      <c r="O1980" s="942"/>
      <c r="P1980" s="1063">
        <f>SUBTOTAL(9,P1981:P1989)</f>
        <v>0</v>
      </c>
      <c r="Q1980" s="907"/>
      <c r="R1980" s="907">
        <f>SUBTOTAL(9,R1981:R1989)</f>
        <v>0</v>
      </c>
      <c r="S1980" s="942"/>
      <c r="T1980" s="956"/>
      <c r="U1980" s="1064">
        <f>SUBTOTAL(9,U1981:U1989)</f>
        <v>0</v>
      </c>
      <c r="V1980" s="914"/>
      <c r="W1980" s="907"/>
      <c r="X1980" s="907">
        <f>SUBTOTAL(9,X1981:X1989)</f>
        <v>0</v>
      </c>
      <c r="Y1980" s="985"/>
      <c r="Z1980" s="922"/>
      <c r="AA1980" s="1067"/>
      <c r="AB1980" s="922"/>
      <c r="AC1980" s="922"/>
      <c r="AD1980" s="922"/>
      <c r="AE1980" s="914"/>
      <c r="AF1980" s="1044">
        <f>SUBTOTAL(9,AF1981:AF1989)</f>
        <v>0</v>
      </c>
      <c r="AG1980" s="921"/>
      <c r="AH1980" s="921">
        <f>SUBTOTAL(9,AH1981:AH1989)</f>
        <v>0</v>
      </c>
      <c r="AI1980" s="907">
        <f t="shared" si="434"/>
        <v>52566000</v>
      </c>
      <c r="AJ1980" s="910"/>
      <c r="AK1980" s="914"/>
    </row>
    <row r="1981" spans="1:37" s="396" customFormat="1" ht="295.5" outlineLevel="2" x14ac:dyDescent="0.3">
      <c r="A1981" s="447">
        <f>IF(B1980&lt;&gt;0,B1980,A1979)</f>
        <v>169</v>
      </c>
      <c r="B1981" s="893"/>
      <c r="C1981" s="908" t="s">
        <v>1366</v>
      </c>
      <c r="D1981" s="1032"/>
      <c r="E1981" s="947">
        <v>86</v>
      </c>
      <c r="F1981" s="947" t="s">
        <v>2180</v>
      </c>
      <c r="G1981" s="922" t="s">
        <v>2434</v>
      </c>
      <c r="H1981" s="1041">
        <v>112.9</v>
      </c>
      <c r="I1981" s="882" t="str">
        <f t="shared" ref="I1981" si="443">IF(N1981&gt;0,H1981,"")</f>
        <v/>
      </c>
      <c r="J1981" s="894"/>
      <c r="K1981" s="899">
        <f>IF(G1981&lt;&gt;0,VLOOKUP(G1981,'gia dat'!$A$1:$F$144,5,0)," ")</f>
        <v>465600</v>
      </c>
      <c r="L1981" s="899">
        <f>IF(G1981&lt;&gt;0,VLOOKUP(G1981,'gia dat'!$A$1:$F$144,6,0)," ")</f>
        <v>0</v>
      </c>
      <c r="M1981" s="900">
        <f t="shared" si="439"/>
        <v>52566000</v>
      </c>
      <c r="N1981" s="900">
        <f t="shared" si="440"/>
        <v>0</v>
      </c>
      <c r="O1981" s="908"/>
      <c r="P1981" s="1065"/>
      <c r="Q1981" s="900"/>
      <c r="R1981" s="900"/>
      <c r="S1981" s="908"/>
      <c r="T1981" s="944"/>
      <c r="U1981" s="1066"/>
      <c r="V1981" s="922"/>
      <c r="W1981" s="900" t="str">
        <f>IF(S1981&lt;&gt;0,VLOOKUP(S1981,VKT!$A$2:$G$415,7,0),"")</f>
        <v/>
      </c>
      <c r="X1981" s="900" t="str">
        <f t="shared" si="442"/>
        <v xml:space="preserve"> </v>
      </c>
      <c r="Y1981" s="985"/>
      <c r="Z1981" s="922"/>
      <c r="AA1981" s="1067"/>
      <c r="AB1981" s="922"/>
      <c r="AC1981" s="922"/>
      <c r="AD1981" s="922"/>
      <c r="AE1981" s="922"/>
      <c r="AF1981" s="1046"/>
      <c r="AG1981" s="906" t="str">
        <f>IF(AE1981&lt;&gt;0,VLOOKUP(AE1981,ODDS!$A$2:$C$13,3,0),"")</f>
        <v/>
      </c>
      <c r="AH1981" s="906"/>
      <c r="AI1981" s="907" t="str">
        <f t="shared" si="434"/>
        <v xml:space="preserve"> </v>
      </c>
      <c r="AJ1981" s="894" t="s">
        <v>2956</v>
      </c>
      <c r="AK1981" s="922" t="s">
        <v>2771</v>
      </c>
    </row>
    <row r="1982" spans="1:37" s="394" customFormat="1" ht="90" outlineLevel="2" x14ac:dyDescent="0.35">
      <c r="A1982" s="447">
        <f t="shared" ref="A1982:A1989" si="444">IF(B1981&lt;&gt;0,B1981,A1981)</f>
        <v>169</v>
      </c>
      <c r="B1982" s="893"/>
      <c r="C1982" s="908" t="s">
        <v>1621</v>
      </c>
      <c r="D1982" s="1032"/>
      <c r="E1982" s="947"/>
      <c r="F1982" s="947"/>
      <c r="G1982" s="1068"/>
      <c r="H1982" s="1071"/>
      <c r="I1982" s="882"/>
      <c r="J1982" s="894"/>
      <c r="K1982" s="899" t="str">
        <f>IF(G1982&lt;&gt;0,VLOOKUP(G1982,'gia dat'!$A$1:$F$144,5,0)," ")</f>
        <v xml:space="preserve"> </v>
      </c>
      <c r="L1982" s="899" t="str">
        <f>IF(G1982&lt;&gt;0,VLOOKUP(G1982,'gia dat'!$A$1:$F$144,6,0)," ")</f>
        <v xml:space="preserve"> </v>
      </c>
      <c r="M1982" s="900" t="str">
        <f t="shared" si="439"/>
        <v xml:space="preserve"> </v>
      </c>
      <c r="N1982" s="900" t="str">
        <f t="shared" si="440"/>
        <v xml:space="preserve"> </v>
      </c>
      <c r="O1982" s="908"/>
      <c r="P1982" s="1065"/>
      <c r="Q1982" s="900"/>
      <c r="R1982" s="900"/>
      <c r="S1982" s="908"/>
      <c r="T1982" s="944"/>
      <c r="U1982" s="1066"/>
      <c r="V1982" s="922"/>
      <c r="W1982" s="900" t="str">
        <f>IF(S1982&lt;&gt;0,VLOOKUP(S1982,VKT!$A$2:$G$415,7,0),"")</f>
        <v/>
      </c>
      <c r="X1982" s="900" t="str">
        <f t="shared" si="442"/>
        <v xml:space="preserve"> </v>
      </c>
      <c r="Y1982" s="985"/>
      <c r="Z1982" s="922"/>
      <c r="AA1982" s="1067"/>
      <c r="AB1982" s="922"/>
      <c r="AC1982" s="922"/>
      <c r="AD1982" s="922"/>
      <c r="AE1982" s="922"/>
      <c r="AF1982" s="1046"/>
      <c r="AG1982" s="906" t="str">
        <f>IF(AE1982&lt;&gt;0,VLOOKUP(AE1982,ODDS!$A$2:$C$13,3,0),"")</f>
        <v/>
      </c>
      <c r="AH1982" s="906"/>
      <c r="AI1982" s="907" t="str">
        <f t="shared" si="434"/>
        <v xml:space="preserve"> </v>
      </c>
      <c r="AJ1982" s="922"/>
      <c r="AK1982" s="922"/>
    </row>
    <row r="1983" spans="1:37" s="394" customFormat="1" ht="22.5" outlineLevel="2" x14ac:dyDescent="0.3">
      <c r="A1983" s="447">
        <f t="shared" si="444"/>
        <v>169</v>
      </c>
      <c r="B1983" s="893"/>
      <c r="C1983" s="908"/>
      <c r="D1983" s="1032"/>
      <c r="E1983" s="947"/>
      <c r="F1983" s="947"/>
      <c r="G1983" s="922"/>
      <c r="H1983" s="1041"/>
      <c r="I1983" s="882"/>
      <c r="J1983" s="894"/>
      <c r="K1983" s="899" t="str">
        <f>IF(G1983&lt;&gt;0,VLOOKUP(G1983,'gia dat'!$A$1:$F$144,5,0)," ")</f>
        <v xml:space="preserve"> </v>
      </c>
      <c r="L1983" s="899" t="str">
        <f>IF(G1983&lt;&gt;0,VLOOKUP(G1983,'gia dat'!$A$1:$F$144,6,0)," ")</f>
        <v xml:space="preserve"> </v>
      </c>
      <c r="M1983" s="900" t="str">
        <f t="shared" si="439"/>
        <v xml:space="preserve"> </v>
      </c>
      <c r="N1983" s="900" t="str">
        <f t="shared" si="440"/>
        <v xml:space="preserve"> </v>
      </c>
      <c r="O1983" s="908"/>
      <c r="P1983" s="1065"/>
      <c r="Q1983" s="900"/>
      <c r="R1983" s="900"/>
      <c r="S1983" s="908"/>
      <c r="T1983" s="944"/>
      <c r="U1983" s="1066"/>
      <c r="V1983" s="922"/>
      <c r="W1983" s="900" t="str">
        <f>IF(S1983&lt;&gt;0,VLOOKUP(S1983,VKT!$A$2:$G$415,7,0),"")</f>
        <v/>
      </c>
      <c r="X1983" s="900" t="str">
        <f t="shared" si="442"/>
        <v xml:space="preserve"> </v>
      </c>
      <c r="Y1983" s="985"/>
      <c r="Z1983" s="922"/>
      <c r="AA1983" s="1067"/>
      <c r="AB1983" s="922"/>
      <c r="AC1983" s="922"/>
      <c r="AD1983" s="922"/>
      <c r="AE1983" s="922"/>
      <c r="AF1983" s="1046"/>
      <c r="AG1983" s="906" t="str">
        <f>IF(AE1983&lt;&gt;0,VLOOKUP(AE1983,ODDS!$A$2:$C$13,3,0),"")</f>
        <v/>
      </c>
      <c r="AH1983" s="906"/>
      <c r="AI1983" s="907" t="str">
        <f t="shared" si="434"/>
        <v xml:space="preserve"> </v>
      </c>
      <c r="AJ1983" s="922"/>
      <c r="AK1983" s="922"/>
    </row>
    <row r="1984" spans="1:37" s="394" customFormat="1" ht="22.5" outlineLevel="2" x14ac:dyDescent="0.3">
      <c r="A1984" s="447">
        <f t="shared" si="444"/>
        <v>169</v>
      </c>
      <c r="B1984" s="893"/>
      <c r="C1984" s="908"/>
      <c r="D1984" s="1032"/>
      <c r="E1984" s="947"/>
      <c r="F1984" s="947"/>
      <c r="G1984" s="922"/>
      <c r="H1984" s="1041"/>
      <c r="I1984" s="882"/>
      <c r="J1984" s="894"/>
      <c r="K1984" s="899" t="str">
        <f>IF(G1984&lt;&gt;0,VLOOKUP(G1984,'gia dat'!$A$1:$F$144,5,0)," ")</f>
        <v xml:space="preserve"> </v>
      </c>
      <c r="L1984" s="899" t="str">
        <f>IF(G1984&lt;&gt;0,VLOOKUP(G1984,'gia dat'!$A$1:$F$144,6,0)," ")</f>
        <v xml:space="preserve"> </v>
      </c>
      <c r="M1984" s="900" t="str">
        <f t="shared" si="439"/>
        <v xml:space="preserve"> </v>
      </c>
      <c r="N1984" s="900" t="str">
        <f t="shared" si="440"/>
        <v xml:space="preserve"> </v>
      </c>
      <c r="O1984" s="908"/>
      <c r="P1984" s="1065"/>
      <c r="Q1984" s="900"/>
      <c r="R1984" s="900"/>
      <c r="S1984" s="908"/>
      <c r="T1984" s="944"/>
      <c r="U1984" s="1066"/>
      <c r="V1984" s="922"/>
      <c r="W1984" s="900" t="str">
        <f>IF(S1984&lt;&gt;0,VLOOKUP(S1984,VKT!$A$2:$G$415,7,0),"")</f>
        <v/>
      </c>
      <c r="X1984" s="900" t="str">
        <f t="shared" si="442"/>
        <v xml:space="preserve"> </v>
      </c>
      <c r="Y1984" s="985"/>
      <c r="Z1984" s="922"/>
      <c r="AA1984" s="1067"/>
      <c r="AB1984" s="922"/>
      <c r="AC1984" s="922"/>
      <c r="AD1984" s="922"/>
      <c r="AE1984" s="922"/>
      <c r="AF1984" s="1046"/>
      <c r="AG1984" s="906" t="str">
        <f>IF(AE1984&lt;&gt;0,VLOOKUP(AE1984,ODDS!$A$2:$C$13,3,0),"")</f>
        <v/>
      </c>
      <c r="AH1984" s="906"/>
      <c r="AI1984" s="907" t="str">
        <f t="shared" si="434"/>
        <v xml:space="preserve"> </v>
      </c>
      <c r="AJ1984" s="922"/>
      <c r="AK1984" s="922"/>
    </row>
    <row r="1985" spans="1:37" s="394" customFormat="1" ht="22.5" outlineLevel="2" x14ac:dyDescent="0.3">
      <c r="A1985" s="447">
        <f t="shared" si="444"/>
        <v>169</v>
      </c>
      <c r="B1985" s="893"/>
      <c r="C1985" s="908"/>
      <c r="D1985" s="1032"/>
      <c r="E1985" s="947"/>
      <c r="F1985" s="947"/>
      <c r="G1985" s="922"/>
      <c r="H1985" s="1041"/>
      <c r="I1985" s="882"/>
      <c r="J1985" s="894"/>
      <c r="K1985" s="899" t="str">
        <f>IF(G1985&lt;&gt;0,VLOOKUP(G1985,'gia dat'!$A$1:$F$144,5,0)," ")</f>
        <v xml:space="preserve"> </v>
      </c>
      <c r="L1985" s="899" t="str">
        <f>IF(G1985&lt;&gt;0,VLOOKUP(G1985,'gia dat'!$A$1:$F$144,6,0)," ")</f>
        <v xml:space="preserve"> </v>
      </c>
      <c r="M1985" s="900" t="str">
        <f t="shared" si="439"/>
        <v xml:space="preserve"> </v>
      </c>
      <c r="N1985" s="900" t="str">
        <f t="shared" si="440"/>
        <v xml:space="preserve"> </v>
      </c>
      <c r="O1985" s="908"/>
      <c r="P1985" s="1065"/>
      <c r="Q1985" s="900"/>
      <c r="R1985" s="900"/>
      <c r="S1985" s="908"/>
      <c r="T1985" s="944"/>
      <c r="U1985" s="1066"/>
      <c r="V1985" s="922"/>
      <c r="W1985" s="900" t="str">
        <f>IF(S1985&lt;&gt;0,VLOOKUP(S1985,VKT!$A$2:$G$415,7,0),"")</f>
        <v/>
      </c>
      <c r="X1985" s="900" t="str">
        <f t="shared" si="442"/>
        <v xml:space="preserve"> </v>
      </c>
      <c r="Y1985" s="985"/>
      <c r="Z1985" s="922"/>
      <c r="AA1985" s="1067"/>
      <c r="AB1985" s="922"/>
      <c r="AC1985" s="922"/>
      <c r="AD1985" s="922"/>
      <c r="AE1985" s="922"/>
      <c r="AF1985" s="1046"/>
      <c r="AG1985" s="906" t="str">
        <f>IF(AE1985&lt;&gt;0,VLOOKUP(AE1985,ODDS!$A$2:$C$13,3,0),"")</f>
        <v/>
      </c>
      <c r="AH1985" s="906"/>
      <c r="AI1985" s="907" t="str">
        <f t="shared" si="434"/>
        <v xml:space="preserve"> </v>
      </c>
      <c r="AJ1985" s="922"/>
      <c r="AK1985" s="922"/>
    </row>
    <row r="1986" spans="1:37" s="394" customFormat="1" ht="22.5" outlineLevel="2" x14ac:dyDescent="0.3">
      <c r="A1986" s="447">
        <f t="shared" si="444"/>
        <v>169</v>
      </c>
      <c r="B1986" s="893"/>
      <c r="C1986" s="908"/>
      <c r="D1986" s="1032"/>
      <c r="E1986" s="947"/>
      <c r="F1986" s="947"/>
      <c r="G1986" s="922"/>
      <c r="H1986" s="1041"/>
      <c r="I1986" s="882"/>
      <c r="J1986" s="894"/>
      <c r="K1986" s="899" t="str">
        <f>IF(G1986&lt;&gt;0,VLOOKUP(G1986,'gia dat'!$A$1:$F$144,5,0)," ")</f>
        <v xml:space="preserve"> </v>
      </c>
      <c r="L1986" s="899" t="str">
        <f>IF(G1986&lt;&gt;0,VLOOKUP(G1986,'gia dat'!$A$1:$F$144,6,0)," ")</f>
        <v xml:space="preserve"> </v>
      </c>
      <c r="M1986" s="900" t="str">
        <f t="shared" si="439"/>
        <v xml:space="preserve"> </v>
      </c>
      <c r="N1986" s="900" t="str">
        <f t="shared" si="440"/>
        <v xml:space="preserve"> </v>
      </c>
      <c r="O1986" s="908"/>
      <c r="P1986" s="1065"/>
      <c r="Q1986" s="900"/>
      <c r="R1986" s="900"/>
      <c r="S1986" s="908"/>
      <c r="T1986" s="944"/>
      <c r="U1986" s="1066"/>
      <c r="V1986" s="922"/>
      <c r="W1986" s="900" t="str">
        <f>IF(S1986&lt;&gt;0,VLOOKUP(S1986,VKT!$A$2:$G$415,7,0),"")</f>
        <v/>
      </c>
      <c r="X1986" s="900" t="str">
        <f t="shared" si="442"/>
        <v xml:space="preserve"> </v>
      </c>
      <c r="Y1986" s="985"/>
      <c r="Z1986" s="922"/>
      <c r="AA1986" s="1067"/>
      <c r="AB1986" s="922"/>
      <c r="AC1986" s="922"/>
      <c r="AD1986" s="922"/>
      <c r="AE1986" s="922"/>
      <c r="AF1986" s="1046"/>
      <c r="AG1986" s="906" t="str">
        <f>IF(AE1986&lt;&gt;0,VLOOKUP(AE1986,ODDS!$A$2:$C$13,3,0),"")</f>
        <v/>
      </c>
      <c r="AH1986" s="906"/>
      <c r="AI1986" s="907" t="str">
        <f t="shared" si="434"/>
        <v xml:space="preserve"> </v>
      </c>
      <c r="AJ1986" s="922"/>
      <c r="AK1986" s="922"/>
    </row>
    <row r="1987" spans="1:37" s="394" customFormat="1" ht="22.5" outlineLevel="2" x14ac:dyDescent="0.3">
      <c r="A1987" s="447">
        <f t="shared" si="444"/>
        <v>169</v>
      </c>
      <c r="B1987" s="893"/>
      <c r="C1987" s="908"/>
      <c r="D1987" s="1032"/>
      <c r="E1987" s="947"/>
      <c r="F1987" s="947"/>
      <c r="G1987" s="922"/>
      <c r="H1987" s="1041"/>
      <c r="I1987" s="882"/>
      <c r="J1987" s="894"/>
      <c r="K1987" s="899" t="str">
        <f>IF(G1987&lt;&gt;0,VLOOKUP(G1987,'gia dat'!$A$1:$F$144,5,0)," ")</f>
        <v xml:space="preserve"> </v>
      </c>
      <c r="L1987" s="899" t="str">
        <f>IF(G1987&lt;&gt;0,VLOOKUP(G1987,'gia dat'!$A$1:$F$144,6,0)," ")</f>
        <v xml:space="preserve"> </v>
      </c>
      <c r="M1987" s="900" t="str">
        <f t="shared" si="439"/>
        <v xml:space="preserve"> </v>
      </c>
      <c r="N1987" s="900" t="str">
        <f t="shared" si="440"/>
        <v xml:space="preserve"> </v>
      </c>
      <c r="O1987" s="908"/>
      <c r="P1987" s="1065"/>
      <c r="Q1987" s="900"/>
      <c r="R1987" s="900"/>
      <c r="S1987" s="908"/>
      <c r="T1987" s="944"/>
      <c r="U1987" s="1066"/>
      <c r="V1987" s="922"/>
      <c r="W1987" s="900" t="str">
        <f>IF(S1987&lt;&gt;0,VLOOKUP(S1987,VKT!$A$2:$G$415,7,0),"")</f>
        <v/>
      </c>
      <c r="X1987" s="900" t="str">
        <f t="shared" si="442"/>
        <v xml:space="preserve"> </v>
      </c>
      <c r="Y1987" s="985"/>
      <c r="Z1987" s="922"/>
      <c r="AA1987" s="1067"/>
      <c r="AB1987" s="922"/>
      <c r="AC1987" s="922"/>
      <c r="AD1987" s="922"/>
      <c r="AE1987" s="922"/>
      <c r="AF1987" s="1046"/>
      <c r="AG1987" s="906" t="str">
        <f>IF(AE1987&lt;&gt;0,VLOOKUP(AE1987,ODDS!$A$2:$C$13,3,0),"")</f>
        <v/>
      </c>
      <c r="AH1987" s="906"/>
      <c r="AI1987" s="907" t="str">
        <f t="shared" si="434"/>
        <v xml:space="preserve"> </v>
      </c>
      <c r="AJ1987" s="922"/>
      <c r="AK1987" s="922"/>
    </row>
    <row r="1988" spans="1:37" s="394" customFormat="1" ht="22.5" outlineLevel="2" x14ac:dyDescent="0.3">
      <c r="A1988" s="447">
        <f t="shared" si="444"/>
        <v>169</v>
      </c>
      <c r="B1988" s="893"/>
      <c r="C1988" s="908"/>
      <c r="D1988" s="1032"/>
      <c r="E1988" s="947"/>
      <c r="F1988" s="947"/>
      <c r="G1988" s="922"/>
      <c r="H1988" s="1041"/>
      <c r="I1988" s="882"/>
      <c r="J1988" s="894"/>
      <c r="K1988" s="899" t="str">
        <f>IF(G1988&lt;&gt;0,VLOOKUP(G1988,'gia dat'!$A$1:$F$144,5,0)," ")</f>
        <v xml:space="preserve"> </v>
      </c>
      <c r="L1988" s="899" t="str">
        <f>IF(G1988&lt;&gt;0,VLOOKUP(G1988,'gia dat'!$A$1:$F$144,6,0)," ")</f>
        <v xml:space="preserve"> </v>
      </c>
      <c r="M1988" s="900" t="str">
        <f t="shared" si="439"/>
        <v xml:space="preserve"> </v>
      </c>
      <c r="N1988" s="900" t="str">
        <f t="shared" si="440"/>
        <v xml:space="preserve"> </v>
      </c>
      <c r="O1988" s="908"/>
      <c r="P1988" s="1065"/>
      <c r="Q1988" s="900"/>
      <c r="R1988" s="900"/>
      <c r="S1988" s="908"/>
      <c r="T1988" s="944"/>
      <c r="U1988" s="1066"/>
      <c r="V1988" s="922"/>
      <c r="W1988" s="900" t="str">
        <f>IF(S1988&lt;&gt;0,VLOOKUP(S1988,VKT!$A$2:$G$415,7,0),"")</f>
        <v/>
      </c>
      <c r="X1988" s="900" t="str">
        <f t="shared" si="442"/>
        <v xml:space="preserve"> </v>
      </c>
      <c r="Y1988" s="985"/>
      <c r="Z1988" s="922"/>
      <c r="AA1988" s="1067"/>
      <c r="AB1988" s="922"/>
      <c r="AC1988" s="922"/>
      <c r="AD1988" s="922"/>
      <c r="AE1988" s="922"/>
      <c r="AF1988" s="1046"/>
      <c r="AG1988" s="906" t="str">
        <f>IF(AE1988&lt;&gt;0,VLOOKUP(AE1988,ODDS!$A$2:$C$13,3,0),"")</f>
        <v/>
      </c>
      <c r="AH1988" s="906"/>
      <c r="AI1988" s="907" t="str">
        <f t="shared" si="434"/>
        <v xml:space="preserve"> </v>
      </c>
      <c r="AJ1988" s="922"/>
      <c r="AK1988" s="922"/>
    </row>
    <row r="1989" spans="1:37" s="394" customFormat="1" ht="22.5" outlineLevel="2" x14ac:dyDescent="0.3">
      <c r="A1989" s="447">
        <f t="shared" si="444"/>
        <v>169</v>
      </c>
      <c r="B1989" s="893"/>
      <c r="C1989" s="942"/>
      <c r="D1989" s="1032"/>
      <c r="E1989" s="947"/>
      <c r="F1989" s="947"/>
      <c r="G1989" s="922"/>
      <c r="H1989" s="1041"/>
      <c r="I1989" s="882"/>
      <c r="J1989" s="894"/>
      <c r="K1989" s="899" t="str">
        <f>IF(G1989&lt;&gt;0,VLOOKUP(G1989,'gia dat'!$A$1:$F$144,5,0)," ")</f>
        <v xml:space="preserve"> </v>
      </c>
      <c r="L1989" s="899" t="str">
        <f>IF(G1989&lt;&gt;0,VLOOKUP(G1989,'gia dat'!$A$1:$F$144,6,0)," ")</f>
        <v xml:space="preserve"> </v>
      </c>
      <c r="M1989" s="900" t="str">
        <f t="shared" si="439"/>
        <v xml:space="preserve"> </v>
      </c>
      <c r="N1989" s="900" t="str">
        <f t="shared" si="440"/>
        <v xml:space="preserve"> </v>
      </c>
      <c r="O1989" s="908"/>
      <c r="P1989" s="1065"/>
      <c r="Q1989" s="900"/>
      <c r="R1989" s="900"/>
      <c r="S1989" s="908"/>
      <c r="T1989" s="944"/>
      <c r="U1989" s="1066"/>
      <c r="V1989" s="922"/>
      <c r="W1989" s="900" t="str">
        <f>IF(S1989&lt;&gt;0,VLOOKUP(S1989,VKT!$A$2:$G$415,7,0),"")</f>
        <v/>
      </c>
      <c r="X1989" s="900" t="str">
        <f t="shared" si="442"/>
        <v xml:space="preserve"> </v>
      </c>
      <c r="Y1989" s="985"/>
      <c r="Z1989" s="922"/>
      <c r="AA1989" s="1067"/>
      <c r="AB1989" s="922"/>
      <c r="AC1989" s="922"/>
      <c r="AD1989" s="922"/>
      <c r="AE1989" s="922"/>
      <c r="AF1989" s="1046"/>
      <c r="AG1989" s="906" t="str">
        <f>IF(AE1989&lt;&gt;0,VLOOKUP(AE1989,ODDS!$A$2:$C$13,3,0),"")</f>
        <v/>
      </c>
      <c r="AH1989" s="906"/>
      <c r="AI1989" s="907" t="str">
        <f t="shared" si="434"/>
        <v xml:space="preserve"> </v>
      </c>
      <c r="AJ1989" s="922"/>
      <c r="AK1989" s="922"/>
    </row>
    <row r="1990" spans="1:37" s="396" customFormat="1" ht="43.5" outlineLevel="1" x14ac:dyDescent="0.25">
      <c r="A1990" s="467" t="s">
        <v>2540</v>
      </c>
      <c r="B1990" s="912">
        <v>170</v>
      </c>
      <c r="C1990" s="942" t="s">
        <v>1363</v>
      </c>
      <c r="D1990" s="1038"/>
      <c r="E1990" s="977"/>
      <c r="F1990" s="977"/>
      <c r="G1990" s="914"/>
      <c r="H1990" s="1039">
        <f>SUBTOTAL(9,H1991:H2011)</f>
        <v>2591.6</v>
      </c>
      <c r="I1990" s="915">
        <f>SUBTOTAL(9,I1991:I1996)</f>
        <v>1878.7</v>
      </c>
      <c r="J1990" s="916"/>
      <c r="K1990" s="917"/>
      <c r="L1990" s="917"/>
      <c r="M1990" s="907">
        <f>SUBTOTAL(9,M1991:M2011)</f>
        <v>1206649000</v>
      </c>
      <c r="N1990" s="907">
        <f>SUBTOTAL(9,N1991:N2011)</f>
        <v>2624168000</v>
      </c>
      <c r="O1990" s="942"/>
      <c r="P1990" s="1063">
        <f>SUBTOTAL(9,P1991:P2011)</f>
        <v>6</v>
      </c>
      <c r="Q1990" s="907"/>
      <c r="R1990" s="907">
        <f>SUBTOTAL(9,R1991:R2011)</f>
        <v>4199000</v>
      </c>
      <c r="S1990" s="918"/>
      <c r="T1990" s="956"/>
      <c r="U1990" s="1064">
        <f>SUBTOTAL(9,U1991:U2011)</f>
        <v>511.77</v>
      </c>
      <c r="V1990" s="914"/>
      <c r="W1990" s="907"/>
      <c r="X1990" s="907">
        <f>SUBTOTAL(9,X1991:X2011)</f>
        <v>419115000</v>
      </c>
      <c r="Y1990" s="985"/>
      <c r="Z1990" s="922"/>
      <c r="AA1990" s="1067"/>
      <c r="AB1990" s="922"/>
      <c r="AC1990" s="922"/>
      <c r="AD1990" s="922"/>
      <c r="AE1990" s="914"/>
      <c r="AF1990" s="1044">
        <f>SUBTOTAL(9,AF1991:AF2011)</f>
        <v>0</v>
      </c>
      <c r="AG1990" s="921"/>
      <c r="AH1990" s="921">
        <f>SUBTOTAL(9,AH1991:AH2011)</f>
        <v>0</v>
      </c>
      <c r="AI1990" s="907">
        <f t="shared" si="434"/>
        <v>4254131000</v>
      </c>
      <c r="AJ1990" s="914"/>
      <c r="AK1990" s="914"/>
    </row>
    <row r="1991" spans="1:37" s="396" customFormat="1" ht="135" outlineLevel="2" x14ac:dyDescent="0.3">
      <c r="A1991" s="447">
        <f>IF(B1990&lt;&gt;0,B1990,A1989)</f>
        <v>170</v>
      </c>
      <c r="B1991" s="893"/>
      <c r="C1991" s="908" t="s">
        <v>1366</v>
      </c>
      <c r="D1991" s="1032">
        <v>4</v>
      </c>
      <c r="E1991" s="947">
        <v>86</v>
      </c>
      <c r="F1991" s="947" t="s">
        <v>1364</v>
      </c>
      <c r="G1991" s="922" t="s">
        <v>2438</v>
      </c>
      <c r="H1991" s="1041">
        <f>1954.1-H1968-H1974</f>
        <v>1878.7</v>
      </c>
      <c r="I1991" s="882">
        <f t="shared" ref="I1991:I1992" si="445">IF(N1991&gt;0,H1991,"")</f>
        <v>1878.7</v>
      </c>
      <c r="J1991" s="898"/>
      <c r="K1991" s="899">
        <f>IF(G1991&lt;&gt;0,VLOOKUP(G1991,'gia dat'!$A$1:$F$144,5,0)," ")</f>
        <v>465600</v>
      </c>
      <c r="L1991" s="899">
        <f>IF(G1991&lt;&gt;0,VLOOKUP(G1991,'gia dat'!$A$1:$F$144,6,0)," ")</f>
        <v>1396800</v>
      </c>
      <c r="M1991" s="900">
        <f t="shared" si="439"/>
        <v>874723000</v>
      </c>
      <c r="N1991" s="900">
        <f t="shared" si="440"/>
        <v>2624168000</v>
      </c>
      <c r="O1991" s="908" t="s">
        <v>1218</v>
      </c>
      <c r="P1991" s="1065">
        <v>1</v>
      </c>
      <c r="Q1991" s="900">
        <f>IF(O1991&lt;&gt;0,VLOOKUP(O1991,'Cây trong'!$A$2:$C$246,3,0)," ")</f>
        <v>571000</v>
      </c>
      <c r="R1991" s="900">
        <f t="shared" si="427"/>
        <v>571000</v>
      </c>
      <c r="S1991" s="902" t="s">
        <v>1966</v>
      </c>
      <c r="T1991" s="944" t="s">
        <v>1133</v>
      </c>
      <c r="U1991" s="1066">
        <v>83.6</v>
      </c>
      <c r="V1991" s="922"/>
      <c r="W1991" s="900">
        <f>IF(S1991&lt;&gt;0,VLOOKUP(S1991,VKT!$A$2:$G$415,7,0),"")</f>
        <v>945291</v>
      </c>
      <c r="X1991" s="900">
        <f t="shared" si="442"/>
        <v>79026000</v>
      </c>
      <c r="Y1991" s="985"/>
      <c r="Z1991" s="922"/>
      <c r="AA1991" s="1067"/>
      <c r="AB1991" s="922"/>
      <c r="AC1991" s="922"/>
      <c r="AD1991" s="922"/>
      <c r="AE1991" s="922"/>
      <c r="AF1991" s="1046"/>
      <c r="AG1991" s="906" t="str">
        <f>IF(AE1991&lt;&gt;0,VLOOKUP(AE1991,ODDS!$A$2:$C$13,3,0),"")</f>
        <v/>
      </c>
      <c r="AH1991" s="906"/>
      <c r="AI1991" s="907" t="str">
        <f t="shared" si="434"/>
        <v xml:space="preserve"> </v>
      </c>
      <c r="AJ1991" s="922" t="s">
        <v>1365</v>
      </c>
      <c r="AK1991" s="922" t="s">
        <v>2771</v>
      </c>
    </row>
    <row r="1992" spans="1:37" s="394" customFormat="1" ht="90" outlineLevel="2" x14ac:dyDescent="0.3">
      <c r="A1992" s="447">
        <f t="shared" ref="A1992:A2011" si="446">IF(B1991&lt;&gt;0,B1991,A1991)</f>
        <v>170</v>
      </c>
      <c r="B1992" s="893"/>
      <c r="C1992" s="908" t="s">
        <v>1621</v>
      </c>
      <c r="D1992" s="1032"/>
      <c r="E1992" s="947"/>
      <c r="F1992" s="947"/>
      <c r="G1992" s="922" t="s">
        <v>2439</v>
      </c>
      <c r="H1992" s="1041">
        <f>919.4-H1981-H1975-H1969</f>
        <v>712.9</v>
      </c>
      <c r="I1992" s="882" t="str">
        <f t="shared" si="445"/>
        <v/>
      </c>
      <c r="J1992" s="898"/>
      <c r="K1992" s="899">
        <f>IF(G1992&lt;&gt;0,VLOOKUP(G1992,'gia dat'!$A$1:$F$144,5,0)," ")</f>
        <v>465600</v>
      </c>
      <c r="L1992" s="899">
        <f>IF(G1992&lt;&gt;0,VLOOKUP(G1992,'gia dat'!$A$1:$F$144,6,0)," ")</f>
        <v>0</v>
      </c>
      <c r="M1992" s="900">
        <f t="shared" si="439"/>
        <v>331926000</v>
      </c>
      <c r="N1992" s="900">
        <f t="shared" si="440"/>
        <v>0</v>
      </c>
      <c r="O1992" s="908" t="s">
        <v>408</v>
      </c>
      <c r="P1992" s="1065">
        <v>2</v>
      </c>
      <c r="Q1992" s="900">
        <f>IF(O1992&lt;&gt;0,VLOOKUP(O1992,'Cây trong'!$A$2:$C$246,3,0)," ")</f>
        <v>337000</v>
      </c>
      <c r="R1992" s="900">
        <f t="shared" si="427"/>
        <v>674000</v>
      </c>
      <c r="S1992" s="902" t="s">
        <v>1763</v>
      </c>
      <c r="T1992" s="944" t="s">
        <v>1133</v>
      </c>
      <c r="U1992" s="1066">
        <v>31.079999999999995</v>
      </c>
      <c r="V1992" s="922"/>
      <c r="W1992" s="900">
        <f>IF(S1992&lt;&gt;0,VLOOKUP(S1992,VKT!$A$2:$G$415,7,0),"")</f>
        <v>3550600</v>
      </c>
      <c r="X1992" s="900">
        <f t="shared" si="442"/>
        <v>110353000</v>
      </c>
      <c r="Y1992" s="996" t="s">
        <v>1138</v>
      </c>
      <c r="Z1992" s="1016" t="s">
        <v>1139</v>
      </c>
      <c r="AA1992" s="1016" t="s">
        <v>56</v>
      </c>
      <c r="AB1992" s="1026" t="s">
        <v>269</v>
      </c>
      <c r="AC1992" s="1016" t="s">
        <v>1138</v>
      </c>
      <c r="AD1992" s="1016"/>
      <c r="AE1992" s="1016"/>
      <c r="AF1992" s="926"/>
      <c r="AG1992" s="906" t="str">
        <f>IF(AE1992&lt;&gt;0,VLOOKUP(AE1992,ODDS!$A$2:$C$13,3,0),"")</f>
        <v/>
      </c>
      <c r="AH1992" s="906" t="str">
        <f t="shared" si="428"/>
        <v xml:space="preserve"> </v>
      </c>
      <c r="AI1992" s="907" t="str">
        <f t="shared" si="434"/>
        <v xml:space="preserve"> </v>
      </c>
      <c r="AJ1992" s="922" t="s">
        <v>1367</v>
      </c>
      <c r="AK1992" s="894" t="s">
        <v>2448</v>
      </c>
    </row>
    <row r="1993" spans="1:37" s="394" customFormat="1" ht="112.5" outlineLevel="2" x14ac:dyDescent="0.3">
      <c r="A1993" s="447">
        <f t="shared" si="446"/>
        <v>170</v>
      </c>
      <c r="B1993" s="893"/>
      <c r="C1993" s="908"/>
      <c r="D1993" s="1032"/>
      <c r="E1993" s="947"/>
      <c r="F1993" s="947"/>
      <c r="G1993" s="922"/>
      <c r="H1993" s="1041"/>
      <c r="I1993" s="882"/>
      <c r="J1993" s="898"/>
      <c r="K1993" s="899" t="str">
        <f>IF(G1993&lt;&gt;0,VLOOKUP(G1993,'gia dat'!$A$1:$F$144,5,0)," ")</f>
        <v xml:space="preserve"> </v>
      </c>
      <c r="L1993" s="899" t="str">
        <f>IF(G1993&lt;&gt;0,VLOOKUP(G1993,'gia dat'!$A$1:$F$144,6,0)," ")</f>
        <v xml:space="preserve"> </v>
      </c>
      <c r="M1993" s="900" t="str">
        <f t="shared" si="439"/>
        <v xml:space="preserve"> </v>
      </c>
      <c r="N1993" s="900" t="str">
        <f t="shared" si="440"/>
        <v xml:space="preserve"> </v>
      </c>
      <c r="O1993" s="908" t="s">
        <v>1368</v>
      </c>
      <c r="P1993" s="1065">
        <v>1</v>
      </c>
      <c r="Q1993" s="900">
        <f>IF(O1993&lt;&gt;0,VLOOKUP(O1993,'Cây trong'!$A$2:$C$246,3,0)," ")</f>
        <v>554000</v>
      </c>
      <c r="R1993" s="900">
        <f t="shared" si="427"/>
        <v>554000</v>
      </c>
      <c r="S1993" s="902" t="s">
        <v>1959</v>
      </c>
      <c r="T1993" s="944" t="s">
        <v>1133</v>
      </c>
      <c r="U1993" s="1066">
        <v>2.52</v>
      </c>
      <c r="V1993" s="922"/>
      <c r="W1993" s="900">
        <f>IF(S1993&lt;&gt;0,VLOOKUP(S1993,VKT!$A$2:$G$415,7,0),"")</f>
        <v>9347414</v>
      </c>
      <c r="X1993" s="900">
        <f t="shared" si="442"/>
        <v>23555000</v>
      </c>
      <c r="Y1993" s="985"/>
      <c r="Z1993" s="922"/>
      <c r="AA1993" s="1067"/>
      <c r="AB1993" s="922"/>
      <c r="AC1993" s="922"/>
      <c r="AD1993" s="922"/>
      <c r="AE1993" s="922"/>
      <c r="AF1993" s="1046"/>
      <c r="AG1993" s="906" t="str">
        <f>IF(AE1993&lt;&gt;0,VLOOKUP(AE1993,ODDS!$A$2:$C$13,3,0),"")</f>
        <v/>
      </c>
      <c r="AH1993" s="906" t="str">
        <f t="shared" si="428"/>
        <v xml:space="preserve"> </v>
      </c>
      <c r="AI1993" s="907" t="str">
        <f t="shared" ref="AI1993:AI2056" si="447">IF(B1993&lt;&gt;0,M1993+N1993+R1993+X1993+AH1993," ")</f>
        <v xml:space="preserve"> </v>
      </c>
      <c r="AJ1993" s="922" t="s">
        <v>1303</v>
      </c>
      <c r="AK1993" s="894" t="s">
        <v>2450</v>
      </c>
    </row>
    <row r="1994" spans="1:37" s="394" customFormat="1" ht="112.5" outlineLevel="2" x14ac:dyDescent="0.3">
      <c r="A1994" s="447">
        <f t="shared" si="446"/>
        <v>170</v>
      </c>
      <c r="B1994" s="893"/>
      <c r="C1994" s="908"/>
      <c r="D1994" s="1032"/>
      <c r="E1994" s="947"/>
      <c r="F1994" s="947"/>
      <c r="G1994" s="922"/>
      <c r="H1994" s="1041"/>
      <c r="I1994" s="882"/>
      <c r="J1994" s="898"/>
      <c r="K1994" s="899" t="str">
        <f>IF(G1994&lt;&gt;0,VLOOKUP(G1994,'gia dat'!$A$1:$F$144,5,0)," ")</f>
        <v xml:space="preserve"> </v>
      </c>
      <c r="L1994" s="899" t="str">
        <f>IF(G1994&lt;&gt;0,VLOOKUP(G1994,'gia dat'!$A$1:$F$144,6,0)," ")</f>
        <v xml:space="preserve"> </v>
      </c>
      <c r="M1994" s="900" t="str">
        <f t="shared" si="439"/>
        <v xml:space="preserve"> </v>
      </c>
      <c r="N1994" s="900" t="str">
        <f t="shared" si="440"/>
        <v xml:space="preserve"> </v>
      </c>
      <c r="O1994" s="908" t="s">
        <v>1351</v>
      </c>
      <c r="P1994" s="1065">
        <v>1</v>
      </c>
      <c r="Q1994" s="900">
        <f>IF(O1994&lt;&gt;0,VLOOKUP(O1994,'Cây trong'!$A$2:$C$246,3,0)," ")</f>
        <v>2400000</v>
      </c>
      <c r="R1994" s="900">
        <f t="shared" ref="R1994:R2063" si="448">IF(O1994&lt;&gt;0,ROUND(P1994*Q1994,-2)," ")</f>
        <v>2400000</v>
      </c>
      <c r="S1994" s="902" t="s">
        <v>1960</v>
      </c>
      <c r="T1994" s="944" t="s">
        <v>1133</v>
      </c>
      <c r="U1994" s="1066">
        <v>24</v>
      </c>
      <c r="V1994" s="922"/>
      <c r="W1994" s="900">
        <f>IF(S1994&lt;&gt;0,VLOOKUP(S1994,VKT!$A$2:$G$415,7,0),"")</f>
        <v>770070</v>
      </c>
      <c r="X1994" s="900">
        <f t="shared" si="442"/>
        <v>18482000</v>
      </c>
      <c r="Y1994" s="985"/>
      <c r="Z1994" s="922"/>
      <c r="AA1994" s="1067"/>
      <c r="AB1994" s="922"/>
      <c r="AC1994" s="922"/>
      <c r="AD1994" s="922"/>
      <c r="AE1994" s="922"/>
      <c r="AF1994" s="1046"/>
      <c r="AG1994" s="906" t="str">
        <f>IF(AE1994&lt;&gt;0,VLOOKUP(AE1994,ODDS!$A$2:$C$13,3,0),"")</f>
        <v/>
      </c>
      <c r="AH1994" s="906" t="str">
        <f t="shared" ref="AH1994:AH2063" si="449">IF(AE1994&lt;&gt;0,ROUND(AF1994*AG1994,-2)," ")</f>
        <v xml:space="preserve"> </v>
      </c>
      <c r="AI1994" s="907" t="str">
        <f t="shared" si="447"/>
        <v xml:space="preserve"> </v>
      </c>
      <c r="AJ1994" s="922" t="s">
        <v>2074</v>
      </c>
      <c r="AK1994" s="894" t="s">
        <v>2449</v>
      </c>
    </row>
    <row r="1995" spans="1:37" s="394" customFormat="1" ht="112.5" outlineLevel="2" x14ac:dyDescent="0.35">
      <c r="A1995" s="447">
        <f t="shared" si="446"/>
        <v>170</v>
      </c>
      <c r="B1995" s="893"/>
      <c r="C1995" s="908"/>
      <c r="D1995" s="1032"/>
      <c r="E1995" s="947"/>
      <c r="F1995" s="947"/>
      <c r="G1995" s="922"/>
      <c r="H1995" s="1041"/>
      <c r="I1995" s="882"/>
      <c r="J1995" s="898"/>
      <c r="K1995" s="899" t="str">
        <f>IF(G1995&lt;&gt;0,VLOOKUP(G1995,'gia dat'!$A$1:$F$144,5,0)," ")</f>
        <v xml:space="preserve"> </v>
      </c>
      <c r="L1995" s="899" t="str">
        <f>IF(G1995&lt;&gt;0,VLOOKUP(G1995,'gia dat'!$A$1:$F$144,6,0)," ")</f>
        <v xml:space="preserve"> </v>
      </c>
      <c r="M1995" s="900" t="str">
        <f t="shared" si="439"/>
        <v xml:space="preserve"> </v>
      </c>
      <c r="N1995" s="900" t="str">
        <f t="shared" si="440"/>
        <v xml:space="preserve"> </v>
      </c>
      <c r="O1995" s="908" t="s">
        <v>1369</v>
      </c>
      <c r="P1995" s="1065">
        <v>1</v>
      </c>
      <c r="Q1995" s="900">
        <f>IF(O1995&lt;&gt;0,VLOOKUP(O1995,'Cây trong'!$A$2:$C$246,3,0)," ")</f>
        <v>0</v>
      </c>
      <c r="R1995" s="900">
        <f t="shared" si="448"/>
        <v>0</v>
      </c>
      <c r="S1995" s="902" t="s">
        <v>1961</v>
      </c>
      <c r="T1995" s="944" t="s">
        <v>1133</v>
      </c>
      <c r="U1995" s="1066">
        <v>63.5</v>
      </c>
      <c r="V1995" s="922"/>
      <c r="W1995" s="900">
        <f>IF(S1995&lt;&gt;0,VLOOKUP(S1995,VKT!$A$2:$G$415,7,0),"")</f>
        <v>700040</v>
      </c>
      <c r="X1995" s="900">
        <f t="shared" si="442"/>
        <v>44453000</v>
      </c>
      <c r="Y1995" s="985"/>
      <c r="Z1995" s="922"/>
      <c r="AA1995" s="1067"/>
      <c r="AB1995" s="922"/>
      <c r="AC1995" s="922"/>
      <c r="AD1995" s="922"/>
      <c r="AE1995" s="922"/>
      <c r="AF1995" s="1046"/>
      <c r="AG1995" s="906" t="str">
        <f>IF(AE1995&lt;&gt;0,VLOOKUP(AE1995,ODDS!$A$2:$C$13,3,0),"")</f>
        <v/>
      </c>
      <c r="AH1995" s="906" t="str">
        <f t="shared" si="449"/>
        <v xml:space="preserve"> </v>
      </c>
      <c r="AI1995" s="907" t="str">
        <f t="shared" si="447"/>
        <v xml:space="preserve"> </v>
      </c>
      <c r="AJ1995" s="1076"/>
      <c r="AK1995" s="922" t="s">
        <v>2800</v>
      </c>
    </row>
    <row r="1996" spans="1:37" s="394" customFormat="1" ht="67.5" outlineLevel="2" x14ac:dyDescent="0.3">
      <c r="A1996" s="447">
        <f t="shared" si="446"/>
        <v>170</v>
      </c>
      <c r="B1996" s="893"/>
      <c r="C1996" s="908"/>
      <c r="D1996" s="1032"/>
      <c r="E1996" s="947"/>
      <c r="F1996" s="947"/>
      <c r="G1996" s="922"/>
      <c r="H1996" s="1041"/>
      <c r="I1996" s="882"/>
      <c r="J1996" s="898"/>
      <c r="K1996" s="899" t="str">
        <f>IF(G1996&lt;&gt;0,VLOOKUP(G1996,'gia dat'!$A$1:$F$144,5,0)," ")</f>
        <v xml:space="preserve"> </v>
      </c>
      <c r="L1996" s="899" t="str">
        <f>IF(G1996&lt;&gt;0,VLOOKUP(G1996,'gia dat'!$A$1:$F$144,6,0)," ")</f>
        <v xml:space="preserve"> </v>
      </c>
      <c r="M1996" s="900" t="str">
        <f t="shared" si="439"/>
        <v xml:space="preserve"> </v>
      </c>
      <c r="N1996" s="900" t="str">
        <f t="shared" si="440"/>
        <v xml:space="preserve"> </v>
      </c>
      <c r="O1996" s="908"/>
      <c r="P1996" s="1065"/>
      <c r="Q1996" s="900" t="str">
        <f>IF(O1996&lt;&gt;0,VLOOKUP(O1996,'Cây trong'!$A$2:$C$246,3,0)," ")</f>
        <v xml:space="preserve"> </v>
      </c>
      <c r="R1996" s="900" t="str">
        <f t="shared" si="448"/>
        <v xml:space="preserve"> </v>
      </c>
      <c r="S1996" s="902" t="s">
        <v>2131</v>
      </c>
      <c r="T1996" s="944" t="s">
        <v>1133</v>
      </c>
      <c r="U1996" s="1066">
        <v>0.95</v>
      </c>
      <c r="V1996" s="922"/>
      <c r="W1996" s="900">
        <f>IF(S1996&lt;&gt;0,VLOOKUP(S1996,VKT!$A$2:$G$415,7,0),"")</f>
        <v>532230</v>
      </c>
      <c r="X1996" s="900">
        <f t="shared" si="442"/>
        <v>506000</v>
      </c>
      <c r="Y1996" s="985"/>
      <c r="Z1996" s="922"/>
      <c r="AA1996" s="1067"/>
      <c r="AB1996" s="922"/>
      <c r="AC1996" s="922"/>
      <c r="AD1996" s="922"/>
      <c r="AE1996" s="922"/>
      <c r="AF1996" s="1046"/>
      <c r="AG1996" s="906" t="str">
        <f>IF(AE1996&lt;&gt;0,VLOOKUP(AE1996,ODDS!$A$2:$C$13,3,0),"")</f>
        <v/>
      </c>
      <c r="AH1996" s="906" t="str">
        <f t="shared" si="449"/>
        <v xml:space="preserve"> </v>
      </c>
      <c r="AI1996" s="907" t="str">
        <f t="shared" si="447"/>
        <v xml:space="preserve"> </v>
      </c>
      <c r="AJ1996" s="908"/>
      <c r="AK1996" s="908"/>
    </row>
    <row r="1997" spans="1:37" s="394" customFormat="1" ht="45" outlineLevel="2" x14ac:dyDescent="0.3">
      <c r="A1997" s="447">
        <f t="shared" si="446"/>
        <v>170</v>
      </c>
      <c r="B1997" s="893"/>
      <c r="C1997" s="908"/>
      <c r="D1997" s="1032"/>
      <c r="E1997" s="947"/>
      <c r="F1997" s="947"/>
      <c r="G1997" s="922"/>
      <c r="H1997" s="1041"/>
      <c r="I1997" s="882"/>
      <c r="J1997" s="898"/>
      <c r="K1997" s="899" t="str">
        <f>IF(G1997&lt;&gt;0,VLOOKUP(G1997,'gia dat'!$A$1:$F$144,5,0)," ")</f>
        <v xml:space="preserve"> </v>
      </c>
      <c r="L1997" s="899" t="str">
        <f>IF(G1997&lt;&gt;0,VLOOKUP(G1997,'gia dat'!$A$1:$F$144,6,0)," ")</f>
        <v xml:space="preserve"> </v>
      </c>
      <c r="M1997" s="900" t="str">
        <f t="shared" si="439"/>
        <v xml:space="preserve"> </v>
      </c>
      <c r="N1997" s="900" t="str">
        <f t="shared" si="440"/>
        <v xml:space="preserve"> </v>
      </c>
      <c r="O1997" s="908"/>
      <c r="P1997" s="1065"/>
      <c r="Q1997" s="900" t="str">
        <f>IF(O1997&lt;&gt;0,VLOOKUP(O1997,'Cây trong'!$A$2:$C$246,3,0)," ")</f>
        <v xml:space="preserve"> </v>
      </c>
      <c r="R1997" s="900" t="str">
        <f t="shared" si="448"/>
        <v xml:space="preserve"> </v>
      </c>
      <c r="S1997" s="902" t="s">
        <v>2129</v>
      </c>
      <c r="T1997" s="944" t="s">
        <v>1133</v>
      </c>
      <c r="U1997" s="1066">
        <v>2.2799999999999998</v>
      </c>
      <c r="V1997" s="922"/>
      <c r="W1997" s="900">
        <f>IF(S1997&lt;&gt;0,VLOOKUP(S1997,VKT!$A$2:$G$415,7,0),"")</f>
        <v>1842140</v>
      </c>
      <c r="X1997" s="900">
        <f t="shared" si="442"/>
        <v>4200000</v>
      </c>
      <c r="Y1997" s="985"/>
      <c r="Z1997" s="922"/>
      <c r="AA1997" s="1067"/>
      <c r="AB1997" s="922"/>
      <c r="AC1997" s="922"/>
      <c r="AD1997" s="922"/>
      <c r="AE1997" s="922"/>
      <c r="AF1997" s="1046"/>
      <c r="AG1997" s="906" t="str">
        <f>IF(AE1997&lt;&gt;0,VLOOKUP(AE1997,ODDS!$A$2:$C$13,3,0),"")</f>
        <v/>
      </c>
      <c r="AH1997" s="906" t="str">
        <f t="shared" si="449"/>
        <v xml:space="preserve"> </v>
      </c>
      <c r="AI1997" s="907" t="str">
        <f t="shared" si="447"/>
        <v xml:space="preserve"> </v>
      </c>
      <c r="AJ1997" s="908"/>
      <c r="AK1997" s="908"/>
    </row>
    <row r="1998" spans="1:37" s="394" customFormat="1" ht="67.5" outlineLevel="2" x14ac:dyDescent="0.3">
      <c r="A1998" s="447">
        <f t="shared" si="446"/>
        <v>170</v>
      </c>
      <c r="B1998" s="893"/>
      <c r="C1998" s="908"/>
      <c r="D1998" s="1032"/>
      <c r="E1998" s="947"/>
      <c r="F1998" s="947"/>
      <c r="G1998" s="922"/>
      <c r="H1998" s="1041"/>
      <c r="I1998" s="882"/>
      <c r="J1998" s="898"/>
      <c r="K1998" s="899" t="str">
        <f>IF(G1998&lt;&gt;0,VLOOKUP(G1998,'gia dat'!$A$1:$F$144,5,0)," ")</f>
        <v xml:space="preserve"> </v>
      </c>
      <c r="L1998" s="899" t="str">
        <f>IF(G1998&lt;&gt;0,VLOOKUP(G1998,'gia dat'!$A$1:$F$144,6,0)," ")</f>
        <v xml:space="preserve"> </v>
      </c>
      <c r="M1998" s="900" t="str">
        <f t="shared" si="439"/>
        <v xml:space="preserve"> </v>
      </c>
      <c r="N1998" s="900" t="str">
        <f t="shared" si="440"/>
        <v xml:space="preserve"> </v>
      </c>
      <c r="O1998" s="908"/>
      <c r="P1998" s="1065"/>
      <c r="Q1998" s="900" t="str">
        <f>IF(O1998&lt;&gt;0,VLOOKUP(O1998,'Cây trong'!$A$2:$C$246,3,0)," ")</f>
        <v xml:space="preserve"> </v>
      </c>
      <c r="R1998" s="900" t="str">
        <f t="shared" si="448"/>
        <v xml:space="preserve"> </v>
      </c>
      <c r="S1998" s="902" t="s">
        <v>1969</v>
      </c>
      <c r="T1998" s="944" t="s">
        <v>1133</v>
      </c>
      <c r="U1998" s="1066">
        <v>50.61</v>
      </c>
      <c r="V1998" s="922"/>
      <c r="W1998" s="900">
        <f>IF(S1998&lt;&gt;0,VLOOKUP(S1998,VKT!$A$2:$G$415,7,0),"")</f>
        <v>0</v>
      </c>
      <c r="X1998" s="900">
        <f t="shared" si="442"/>
        <v>0</v>
      </c>
      <c r="Y1998" s="985"/>
      <c r="Z1998" s="922"/>
      <c r="AA1998" s="1067"/>
      <c r="AB1998" s="922"/>
      <c r="AC1998" s="922"/>
      <c r="AD1998" s="922"/>
      <c r="AE1998" s="922"/>
      <c r="AF1998" s="1046"/>
      <c r="AG1998" s="906" t="str">
        <f>IF(AE1998&lt;&gt;0,VLOOKUP(AE1998,ODDS!$A$2:$C$13,3,0),"")</f>
        <v/>
      </c>
      <c r="AH1998" s="906" t="str">
        <f t="shared" si="449"/>
        <v xml:space="preserve"> </v>
      </c>
      <c r="AI1998" s="907" t="str">
        <f t="shared" si="447"/>
        <v xml:space="preserve"> </v>
      </c>
      <c r="AJ1998" s="908"/>
      <c r="AK1998" s="908"/>
    </row>
    <row r="1999" spans="1:37" s="394" customFormat="1" ht="67.5" outlineLevel="2" x14ac:dyDescent="0.3">
      <c r="A1999" s="447">
        <f t="shared" si="446"/>
        <v>170</v>
      </c>
      <c r="B1999" s="893"/>
      <c r="C1999" s="908"/>
      <c r="D1999" s="1032"/>
      <c r="E1999" s="947"/>
      <c r="F1999" s="947"/>
      <c r="G1999" s="922"/>
      <c r="H1999" s="1041"/>
      <c r="I1999" s="882"/>
      <c r="J1999" s="898"/>
      <c r="K1999" s="899" t="str">
        <f>IF(G1999&lt;&gt;0,VLOOKUP(G1999,'gia dat'!$A$1:$F$144,5,0)," ")</f>
        <v xml:space="preserve"> </v>
      </c>
      <c r="L1999" s="899" t="str">
        <f>IF(G1999&lt;&gt;0,VLOOKUP(G1999,'gia dat'!$A$1:$F$144,6,0)," ")</f>
        <v xml:space="preserve"> </v>
      </c>
      <c r="M1999" s="900" t="str">
        <f t="shared" si="439"/>
        <v xml:space="preserve"> </v>
      </c>
      <c r="N1999" s="900" t="str">
        <f t="shared" si="440"/>
        <v xml:space="preserve"> </v>
      </c>
      <c r="O1999" s="908"/>
      <c r="P1999" s="1065"/>
      <c r="Q1999" s="900" t="str">
        <f>IF(O1999&lt;&gt;0,VLOOKUP(O1999,'Cây trong'!$A$2:$C$246,3,0)," ")</f>
        <v xml:space="preserve"> </v>
      </c>
      <c r="R1999" s="900" t="str">
        <f t="shared" si="448"/>
        <v xml:space="preserve"> </v>
      </c>
      <c r="S1999" s="902" t="s">
        <v>1956</v>
      </c>
      <c r="T1999" s="944" t="s">
        <v>1286</v>
      </c>
      <c r="U1999" s="1066">
        <v>0.05</v>
      </c>
      <c r="V1999" s="922"/>
      <c r="W1999" s="900">
        <f>IF(S1999&lt;&gt;0,VLOOKUP(S1999,VKT!$A$2:$G$415,7,0),"")</f>
        <v>0</v>
      </c>
      <c r="X1999" s="900">
        <f t="shared" si="442"/>
        <v>0</v>
      </c>
      <c r="Y1999" s="985"/>
      <c r="Z1999" s="922"/>
      <c r="AA1999" s="1067"/>
      <c r="AB1999" s="922"/>
      <c r="AC1999" s="922"/>
      <c r="AD1999" s="922"/>
      <c r="AE1999" s="922"/>
      <c r="AF1999" s="1046"/>
      <c r="AG1999" s="906" t="str">
        <f>IF(AE1999&lt;&gt;0,VLOOKUP(AE1999,ODDS!$A$2:$C$13,3,0),"")</f>
        <v/>
      </c>
      <c r="AH1999" s="906" t="str">
        <f t="shared" si="449"/>
        <v xml:space="preserve"> </v>
      </c>
      <c r="AI1999" s="907" t="str">
        <f t="shared" si="447"/>
        <v xml:space="preserve"> </v>
      </c>
      <c r="AJ1999" s="908"/>
      <c r="AK1999" s="908"/>
    </row>
    <row r="2000" spans="1:37" s="394" customFormat="1" ht="90" outlineLevel="2" x14ac:dyDescent="0.3">
      <c r="A2000" s="447">
        <f t="shared" si="446"/>
        <v>170</v>
      </c>
      <c r="B2000" s="893"/>
      <c r="C2000" s="908"/>
      <c r="D2000" s="1032"/>
      <c r="E2000" s="947"/>
      <c r="F2000" s="947"/>
      <c r="G2000" s="922"/>
      <c r="H2000" s="1041"/>
      <c r="I2000" s="882"/>
      <c r="J2000" s="898"/>
      <c r="K2000" s="899" t="str">
        <f>IF(G2000&lt;&gt;0,VLOOKUP(G2000,'gia dat'!$A$1:$F$144,5,0)," ")</f>
        <v xml:space="preserve"> </v>
      </c>
      <c r="L2000" s="899" t="str">
        <f>IF(G2000&lt;&gt;0,VLOOKUP(G2000,'gia dat'!$A$1:$F$144,6,0)," ")</f>
        <v xml:space="preserve"> </v>
      </c>
      <c r="M2000" s="900" t="str">
        <f t="shared" si="439"/>
        <v xml:space="preserve"> </v>
      </c>
      <c r="N2000" s="900" t="str">
        <f t="shared" si="440"/>
        <v xml:space="preserve"> </v>
      </c>
      <c r="O2000" s="908"/>
      <c r="P2000" s="1065"/>
      <c r="Q2000" s="900" t="str">
        <f>IF(O2000&lt;&gt;0,VLOOKUP(O2000,'Cây trong'!$A$2:$C$246,3,0)," ")</f>
        <v xml:space="preserve"> </v>
      </c>
      <c r="R2000" s="900" t="str">
        <f t="shared" si="448"/>
        <v xml:space="preserve"> </v>
      </c>
      <c r="S2000" s="902" t="s">
        <v>1970</v>
      </c>
      <c r="T2000" s="944" t="s">
        <v>1133</v>
      </c>
      <c r="U2000" s="1066">
        <v>7.8</v>
      </c>
      <c r="V2000" s="922"/>
      <c r="W2000" s="900">
        <f>IF(S2000&lt;&gt;0,VLOOKUP(S2000,VKT!$A$2:$G$415,7,0),"")</f>
        <v>0</v>
      </c>
      <c r="X2000" s="900">
        <f t="shared" si="442"/>
        <v>0</v>
      </c>
      <c r="Y2000" s="985"/>
      <c r="Z2000" s="922"/>
      <c r="AA2000" s="1067"/>
      <c r="AB2000" s="922"/>
      <c r="AC2000" s="922"/>
      <c r="AD2000" s="922"/>
      <c r="AE2000" s="922"/>
      <c r="AF2000" s="1046"/>
      <c r="AG2000" s="906" t="str">
        <f>IF(AE2000&lt;&gt;0,VLOOKUP(AE2000,ODDS!$A$2:$C$13,3,0),"")</f>
        <v/>
      </c>
      <c r="AH2000" s="906" t="str">
        <f t="shared" si="449"/>
        <v xml:space="preserve"> </v>
      </c>
      <c r="AI2000" s="907" t="str">
        <f t="shared" si="447"/>
        <v xml:space="preserve"> </v>
      </c>
      <c r="AJ2000" s="908"/>
      <c r="AK2000" s="908"/>
    </row>
    <row r="2001" spans="1:37" s="394" customFormat="1" ht="67.5" outlineLevel="2" x14ac:dyDescent="0.3">
      <c r="A2001" s="447">
        <f t="shared" si="446"/>
        <v>170</v>
      </c>
      <c r="B2001" s="893"/>
      <c r="C2001" s="908"/>
      <c r="D2001" s="1032"/>
      <c r="E2001" s="947"/>
      <c r="F2001" s="947"/>
      <c r="G2001" s="922"/>
      <c r="H2001" s="1041"/>
      <c r="I2001" s="882"/>
      <c r="J2001" s="898"/>
      <c r="K2001" s="899" t="str">
        <f>IF(G2001&lt;&gt;0,VLOOKUP(G2001,'gia dat'!$A$1:$F$144,5,0)," ")</f>
        <v xml:space="preserve"> </v>
      </c>
      <c r="L2001" s="899" t="str">
        <f>IF(G2001&lt;&gt;0,VLOOKUP(G2001,'gia dat'!$A$1:$F$144,6,0)," ")</f>
        <v xml:space="preserve"> </v>
      </c>
      <c r="M2001" s="900" t="str">
        <f t="shared" si="439"/>
        <v xml:space="preserve"> </v>
      </c>
      <c r="N2001" s="900" t="str">
        <f t="shared" si="440"/>
        <v xml:space="preserve"> </v>
      </c>
      <c r="O2001" s="908"/>
      <c r="P2001" s="1065"/>
      <c r="Q2001" s="900" t="str">
        <f>IF(O2001&lt;&gt;0,VLOOKUP(O2001,'Cây trong'!$A$2:$C$246,3,0)," ")</f>
        <v xml:space="preserve"> </v>
      </c>
      <c r="R2001" s="900" t="str">
        <f t="shared" si="448"/>
        <v xml:space="preserve"> </v>
      </c>
      <c r="S2001" s="902" t="s">
        <v>1971</v>
      </c>
      <c r="T2001" s="925" t="s">
        <v>2911</v>
      </c>
      <c r="U2001" s="927">
        <v>2.48</v>
      </c>
      <c r="V2001" s="922"/>
      <c r="W2001" s="900">
        <f>IF(S2001&lt;&gt;0,VLOOKUP(S2001,VKT!$A$2:$G$415,7,0),"")</f>
        <v>160256</v>
      </c>
      <c r="X2001" s="900">
        <f t="shared" si="442"/>
        <v>397000</v>
      </c>
      <c r="Y2001" s="985"/>
      <c r="Z2001" s="922"/>
      <c r="AA2001" s="1067"/>
      <c r="AB2001" s="922"/>
      <c r="AC2001" s="922"/>
      <c r="AD2001" s="922"/>
      <c r="AE2001" s="922"/>
      <c r="AF2001" s="1046"/>
      <c r="AG2001" s="906" t="str">
        <f>IF(AE2001&lt;&gt;0,VLOOKUP(AE2001,ODDS!$A$2:$C$13,3,0),"")</f>
        <v/>
      </c>
      <c r="AH2001" s="906" t="str">
        <f t="shared" si="449"/>
        <v xml:space="preserve"> </v>
      </c>
      <c r="AI2001" s="907" t="str">
        <f t="shared" si="447"/>
        <v xml:space="preserve"> </v>
      </c>
      <c r="AJ2001" s="908"/>
      <c r="AK2001" s="908"/>
    </row>
    <row r="2002" spans="1:37" s="394" customFormat="1" ht="45" outlineLevel="2" x14ac:dyDescent="0.3">
      <c r="A2002" s="447">
        <f t="shared" si="446"/>
        <v>170</v>
      </c>
      <c r="B2002" s="893"/>
      <c r="C2002" s="908"/>
      <c r="D2002" s="1032"/>
      <c r="E2002" s="947"/>
      <c r="F2002" s="947"/>
      <c r="G2002" s="922"/>
      <c r="H2002" s="1041"/>
      <c r="I2002" s="882"/>
      <c r="J2002" s="898"/>
      <c r="K2002" s="899" t="str">
        <f>IF(G2002&lt;&gt;0,VLOOKUP(G2002,'gia dat'!$A$1:$F$144,5,0)," ")</f>
        <v xml:space="preserve"> </v>
      </c>
      <c r="L2002" s="899" t="str">
        <f>IF(G2002&lt;&gt;0,VLOOKUP(G2002,'gia dat'!$A$1:$F$144,6,0)," ")</f>
        <v xml:space="preserve"> </v>
      </c>
      <c r="M2002" s="900" t="str">
        <f t="shared" si="439"/>
        <v xml:space="preserve"> </v>
      </c>
      <c r="N2002" s="900" t="str">
        <f t="shared" si="440"/>
        <v xml:space="preserve"> </v>
      </c>
      <c r="O2002" s="908"/>
      <c r="P2002" s="1065"/>
      <c r="Q2002" s="900" t="str">
        <f>IF(O2002&lt;&gt;0,VLOOKUP(O2002,'Cây trong'!$A$2:$C$246,3,0)," ")</f>
        <v xml:space="preserve"> </v>
      </c>
      <c r="R2002" s="900" t="str">
        <f t="shared" si="448"/>
        <v xml:space="preserve"> </v>
      </c>
      <c r="S2002" s="902" t="s">
        <v>1972</v>
      </c>
      <c r="T2002" s="925" t="s">
        <v>2934</v>
      </c>
      <c r="U2002" s="927">
        <v>4</v>
      </c>
      <c r="V2002" s="922"/>
      <c r="W2002" s="900">
        <f>IF(S2002&lt;&gt;0,VLOOKUP(S2002,VKT!$A$2:$G$415,7,0),"")</f>
        <v>757794</v>
      </c>
      <c r="X2002" s="900">
        <f t="shared" si="442"/>
        <v>3031000</v>
      </c>
      <c r="Y2002" s="985"/>
      <c r="Z2002" s="922"/>
      <c r="AA2002" s="1067"/>
      <c r="AB2002" s="922"/>
      <c r="AC2002" s="922"/>
      <c r="AD2002" s="922"/>
      <c r="AE2002" s="922"/>
      <c r="AF2002" s="1046"/>
      <c r="AG2002" s="906" t="str">
        <f>IF(AE2002&lt;&gt;0,VLOOKUP(AE2002,ODDS!$A$2:$C$13,3,0),"")</f>
        <v/>
      </c>
      <c r="AH2002" s="906" t="str">
        <f t="shared" si="449"/>
        <v xml:space="preserve"> </v>
      </c>
      <c r="AI2002" s="907" t="str">
        <f t="shared" si="447"/>
        <v xml:space="preserve"> </v>
      </c>
      <c r="AJ2002" s="908"/>
      <c r="AK2002" s="908"/>
    </row>
    <row r="2003" spans="1:37" s="394" customFormat="1" ht="90" outlineLevel="2" x14ac:dyDescent="0.3">
      <c r="A2003" s="447">
        <f t="shared" si="446"/>
        <v>170</v>
      </c>
      <c r="B2003" s="893"/>
      <c r="C2003" s="908"/>
      <c r="D2003" s="1032"/>
      <c r="E2003" s="947"/>
      <c r="F2003" s="947"/>
      <c r="G2003" s="922"/>
      <c r="H2003" s="1041"/>
      <c r="I2003" s="882"/>
      <c r="J2003" s="898"/>
      <c r="K2003" s="899" t="str">
        <f>IF(G2003&lt;&gt;0,VLOOKUP(G2003,'gia dat'!$A$1:$F$144,5,0)," ")</f>
        <v xml:space="preserve"> </v>
      </c>
      <c r="L2003" s="899" t="str">
        <f>IF(G2003&lt;&gt;0,VLOOKUP(G2003,'gia dat'!$A$1:$F$144,6,0)," ")</f>
        <v xml:space="preserve"> </v>
      </c>
      <c r="M2003" s="900" t="str">
        <f t="shared" si="439"/>
        <v xml:space="preserve"> </v>
      </c>
      <c r="N2003" s="900" t="str">
        <f t="shared" si="440"/>
        <v xml:space="preserve"> </v>
      </c>
      <c r="O2003" s="908"/>
      <c r="P2003" s="1065"/>
      <c r="Q2003" s="900" t="str">
        <f>IF(O2003&lt;&gt;0,VLOOKUP(O2003,'Cây trong'!$A$2:$C$246,3,0)," ")</f>
        <v xml:space="preserve"> </v>
      </c>
      <c r="R2003" s="900" t="str">
        <f t="shared" si="448"/>
        <v xml:space="preserve"> </v>
      </c>
      <c r="S2003" s="902" t="s">
        <v>1973</v>
      </c>
      <c r="T2003" s="925" t="s">
        <v>2911</v>
      </c>
      <c r="U2003" s="927">
        <v>64.3</v>
      </c>
      <c r="V2003" s="922"/>
      <c r="W2003" s="900">
        <f>IF(S2003&lt;&gt;0,VLOOKUP(S2003,VKT!$A$2:$G$415,7,0),"")</f>
        <v>700040</v>
      </c>
      <c r="X2003" s="900">
        <f t="shared" si="442"/>
        <v>45013000</v>
      </c>
      <c r="Y2003" s="985"/>
      <c r="Z2003" s="922"/>
      <c r="AA2003" s="1067"/>
      <c r="AB2003" s="922"/>
      <c r="AC2003" s="922"/>
      <c r="AD2003" s="922"/>
      <c r="AE2003" s="922"/>
      <c r="AF2003" s="1046"/>
      <c r="AG2003" s="906" t="str">
        <f>IF(AE2003&lt;&gt;0,VLOOKUP(AE2003,ODDS!$A$2:$C$13,3,0),"")</f>
        <v/>
      </c>
      <c r="AH2003" s="906" t="str">
        <f t="shared" si="449"/>
        <v xml:space="preserve"> </v>
      </c>
      <c r="AI2003" s="907" t="str">
        <f t="shared" si="447"/>
        <v xml:space="preserve"> </v>
      </c>
      <c r="AJ2003" s="908"/>
      <c r="AK2003" s="908"/>
    </row>
    <row r="2004" spans="1:37" s="394" customFormat="1" ht="90" outlineLevel="2" x14ac:dyDescent="0.3">
      <c r="A2004" s="447">
        <f t="shared" si="446"/>
        <v>170</v>
      </c>
      <c r="B2004" s="893"/>
      <c r="C2004" s="908"/>
      <c r="D2004" s="1032"/>
      <c r="E2004" s="947"/>
      <c r="F2004" s="947"/>
      <c r="G2004" s="922"/>
      <c r="H2004" s="1041"/>
      <c r="I2004" s="882"/>
      <c r="J2004" s="898"/>
      <c r="K2004" s="899" t="str">
        <f>IF(G2004&lt;&gt;0,VLOOKUP(G2004,'gia dat'!$A$1:$F$144,5,0)," ")</f>
        <v xml:space="preserve"> </v>
      </c>
      <c r="L2004" s="899" t="str">
        <f>IF(G2004&lt;&gt;0,VLOOKUP(G2004,'gia dat'!$A$1:$F$144,6,0)," ")</f>
        <v xml:space="preserve"> </v>
      </c>
      <c r="M2004" s="900" t="str">
        <f t="shared" si="439"/>
        <v xml:space="preserve"> </v>
      </c>
      <c r="N2004" s="900" t="str">
        <f t="shared" si="440"/>
        <v xml:space="preserve"> </v>
      </c>
      <c r="O2004" s="908"/>
      <c r="P2004" s="1065"/>
      <c r="Q2004" s="900" t="str">
        <f>IF(O2004&lt;&gt;0,VLOOKUP(O2004,'Cây trong'!$A$2:$C$246,3,0)," ")</f>
        <v xml:space="preserve"> </v>
      </c>
      <c r="R2004" s="900" t="str">
        <f t="shared" si="448"/>
        <v xml:space="preserve"> </v>
      </c>
      <c r="S2004" s="902" t="s">
        <v>1973</v>
      </c>
      <c r="T2004" s="925" t="s">
        <v>2911</v>
      </c>
      <c r="U2004" s="927">
        <v>38.700000000000003</v>
      </c>
      <c r="V2004" s="922"/>
      <c r="W2004" s="900">
        <f>IF(S2004&lt;&gt;0,VLOOKUP(S2004,VKT!$A$2:$G$415,7,0),"")</f>
        <v>700040</v>
      </c>
      <c r="X2004" s="900">
        <f t="shared" si="442"/>
        <v>27092000</v>
      </c>
      <c r="Y2004" s="985"/>
      <c r="Z2004" s="922"/>
      <c r="AA2004" s="1067"/>
      <c r="AB2004" s="922"/>
      <c r="AC2004" s="922"/>
      <c r="AD2004" s="922"/>
      <c r="AE2004" s="922"/>
      <c r="AF2004" s="1046"/>
      <c r="AG2004" s="906" t="str">
        <f>IF(AE2004&lt;&gt;0,VLOOKUP(AE2004,ODDS!$A$2:$C$13,3,0),"")</f>
        <v/>
      </c>
      <c r="AH2004" s="906" t="str">
        <f t="shared" si="449"/>
        <v xml:space="preserve"> </v>
      </c>
      <c r="AI2004" s="907" t="str">
        <f t="shared" si="447"/>
        <v xml:space="preserve"> </v>
      </c>
      <c r="AJ2004" s="908"/>
      <c r="AK2004" s="908"/>
    </row>
    <row r="2005" spans="1:37" s="394" customFormat="1" ht="67.5" outlineLevel="2" x14ac:dyDescent="0.3">
      <c r="A2005" s="447">
        <f t="shared" si="446"/>
        <v>170</v>
      </c>
      <c r="B2005" s="893"/>
      <c r="C2005" s="908"/>
      <c r="D2005" s="1032"/>
      <c r="E2005" s="947"/>
      <c r="F2005" s="947"/>
      <c r="G2005" s="922"/>
      <c r="H2005" s="1041"/>
      <c r="I2005" s="882"/>
      <c r="J2005" s="898"/>
      <c r="K2005" s="899" t="str">
        <f>IF(G2005&lt;&gt;0,VLOOKUP(G2005,'gia dat'!$A$1:$F$144,5,0)," ")</f>
        <v xml:space="preserve"> </v>
      </c>
      <c r="L2005" s="899" t="str">
        <f>IF(G2005&lt;&gt;0,VLOOKUP(G2005,'gia dat'!$A$1:$F$144,6,0)," ")</f>
        <v xml:space="preserve"> </v>
      </c>
      <c r="M2005" s="900" t="str">
        <f t="shared" si="439"/>
        <v xml:space="preserve"> </v>
      </c>
      <c r="N2005" s="900" t="str">
        <f t="shared" si="440"/>
        <v xml:space="preserve"> </v>
      </c>
      <c r="O2005" s="908"/>
      <c r="P2005" s="1065"/>
      <c r="Q2005" s="900" t="str">
        <f>IF(O2005&lt;&gt;0,VLOOKUP(O2005,'Cây trong'!$A$2:$C$246,3,0)," ")</f>
        <v xml:space="preserve"> </v>
      </c>
      <c r="R2005" s="900" t="str">
        <f t="shared" si="448"/>
        <v xml:space="preserve"> </v>
      </c>
      <c r="S2005" s="902" t="s">
        <v>1846</v>
      </c>
      <c r="T2005" s="925" t="s">
        <v>2911</v>
      </c>
      <c r="U2005" s="927">
        <v>10</v>
      </c>
      <c r="V2005" s="922"/>
      <c r="W2005" s="900">
        <f>IF(S2005&lt;&gt;0,VLOOKUP(S2005,VKT!$A$2:$G$415,7,0),"")</f>
        <v>238288</v>
      </c>
      <c r="X2005" s="900">
        <f t="shared" si="442"/>
        <v>2383000</v>
      </c>
      <c r="Y2005" s="985"/>
      <c r="Z2005" s="922"/>
      <c r="AA2005" s="1067"/>
      <c r="AB2005" s="922"/>
      <c r="AC2005" s="922"/>
      <c r="AD2005" s="922"/>
      <c r="AE2005" s="922"/>
      <c r="AF2005" s="1046"/>
      <c r="AG2005" s="906" t="str">
        <f>IF(AE2005&lt;&gt;0,VLOOKUP(AE2005,ODDS!$A$2:$C$13,3,0),"")</f>
        <v/>
      </c>
      <c r="AH2005" s="906" t="str">
        <f t="shared" si="449"/>
        <v xml:space="preserve"> </v>
      </c>
      <c r="AI2005" s="907" t="str">
        <f t="shared" si="447"/>
        <v xml:space="preserve"> </v>
      </c>
      <c r="AJ2005" s="908"/>
      <c r="AK2005" s="908"/>
    </row>
    <row r="2006" spans="1:37" s="394" customFormat="1" ht="45" outlineLevel="2" x14ac:dyDescent="0.3">
      <c r="A2006" s="447">
        <f t="shared" si="446"/>
        <v>170</v>
      </c>
      <c r="B2006" s="893"/>
      <c r="C2006" s="908"/>
      <c r="D2006" s="1032"/>
      <c r="E2006" s="947"/>
      <c r="F2006" s="947"/>
      <c r="G2006" s="922"/>
      <c r="H2006" s="1041"/>
      <c r="I2006" s="882"/>
      <c r="J2006" s="898"/>
      <c r="K2006" s="899" t="str">
        <f>IF(G2006&lt;&gt;0,VLOOKUP(G2006,'gia dat'!$A$1:$F$144,5,0)," ")</f>
        <v xml:space="preserve"> </v>
      </c>
      <c r="L2006" s="899" t="str">
        <f>IF(G2006&lt;&gt;0,VLOOKUP(G2006,'gia dat'!$A$1:$F$144,6,0)," ")</f>
        <v xml:space="preserve"> </v>
      </c>
      <c r="M2006" s="900" t="str">
        <f t="shared" si="439"/>
        <v xml:space="preserve"> </v>
      </c>
      <c r="N2006" s="900" t="str">
        <f t="shared" si="440"/>
        <v xml:space="preserve"> </v>
      </c>
      <c r="O2006" s="908"/>
      <c r="P2006" s="1065"/>
      <c r="Q2006" s="900" t="str">
        <f>IF(O2006&lt;&gt;0,VLOOKUP(O2006,'Cây trong'!$A$2:$C$246,3,0)," ")</f>
        <v xml:space="preserve"> </v>
      </c>
      <c r="R2006" s="900" t="str">
        <f t="shared" si="448"/>
        <v xml:space="preserve"> </v>
      </c>
      <c r="S2006" s="902" t="s">
        <v>1974</v>
      </c>
      <c r="T2006" s="925" t="s">
        <v>2934</v>
      </c>
      <c r="U2006" s="927">
        <v>80</v>
      </c>
      <c r="V2006" s="922"/>
      <c r="W2006" s="900">
        <f>IF(S2006&lt;&gt;0,VLOOKUP(S2006,VKT!$A$2:$G$415,7,0),"")</f>
        <v>757794</v>
      </c>
      <c r="X2006" s="900">
        <f t="shared" si="442"/>
        <v>60624000</v>
      </c>
      <c r="Y2006" s="985"/>
      <c r="Z2006" s="922"/>
      <c r="AA2006" s="1067"/>
      <c r="AB2006" s="922"/>
      <c r="AC2006" s="922"/>
      <c r="AD2006" s="922"/>
      <c r="AE2006" s="922"/>
      <c r="AF2006" s="1046"/>
      <c r="AG2006" s="906" t="str">
        <f>IF(AE2006&lt;&gt;0,VLOOKUP(AE2006,ODDS!$A$2:$C$13,3,0),"")</f>
        <v/>
      </c>
      <c r="AH2006" s="906" t="str">
        <f t="shared" si="449"/>
        <v xml:space="preserve"> </v>
      </c>
      <c r="AI2006" s="907" t="str">
        <f t="shared" si="447"/>
        <v xml:space="preserve"> </v>
      </c>
      <c r="AJ2006" s="908"/>
      <c r="AK2006" s="908"/>
    </row>
    <row r="2007" spans="1:37" s="394" customFormat="1" ht="67.5" outlineLevel="2" x14ac:dyDescent="0.3">
      <c r="A2007" s="447">
        <f t="shared" si="446"/>
        <v>170</v>
      </c>
      <c r="B2007" s="893"/>
      <c r="C2007" s="908"/>
      <c r="D2007" s="1032"/>
      <c r="E2007" s="947"/>
      <c r="F2007" s="947"/>
      <c r="G2007" s="922"/>
      <c r="H2007" s="1041"/>
      <c r="I2007" s="882"/>
      <c r="J2007" s="898"/>
      <c r="K2007" s="899" t="str">
        <f>IF(G2007&lt;&gt;0,VLOOKUP(G2007,'gia dat'!$A$1:$F$144,5,0)," ")</f>
        <v xml:space="preserve"> </v>
      </c>
      <c r="L2007" s="899" t="str">
        <f>IF(G2007&lt;&gt;0,VLOOKUP(G2007,'gia dat'!$A$1:$F$144,6,0)," ")</f>
        <v xml:space="preserve"> </v>
      </c>
      <c r="M2007" s="900" t="str">
        <f t="shared" si="439"/>
        <v xml:space="preserve"> </v>
      </c>
      <c r="N2007" s="900" t="str">
        <f t="shared" si="440"/>
        <v xml:space="preserve"> </v>
      </c>
      <c r="O2007" s="908"/>
      <c r="P2007" s="1065"/>
      <c r="Q2007" s="900" t="str">
        <f>IF(O2007&lt;&gt;0,VLOOKUP(O2007,'Cây trong'!$A$2:$C$246,3,0)," ")</f>
        <v xml:space="preserve"> </v>
      </c>
      <c r="R2007" s="900" t="str">
        <f t="shared" si="448"/>
        <v xml:space="preserve"> </v>
      </c>
      <c r="S2007" s="902" t="s">
        <v>1975</v>
      </c>
      <c r="T2007" s="925" t="s">
        <v>2911</v>
      </c>
      <c r="U2007" s="927">
        <v>45.9</v>
      </c>
      <c r="V2007" s="922"/>
      <c r="W2007" s="900">
        <f>IF(S2007&lt;&gt;0,VLOOKUP(S2007,VKT!$A$2:$G$415,7,0),"")</f>
        <v>0</v>
      </c>
      <c r="X2007" s="900">
        <f t="shared" si="442"/>
        <v>0</v>
      </c>
      <c r="Y2007" s="985"/>
      <c r="Z2007" s="922"/>
      <c r="AA2007" s="1067"/>
      <c r="AB2007" s="922"/>
      <c r="AC2007" s="922"/>
      <c r="AD2007" s="922"/>
      <c r="AE2007" s="922"/>
      <c r="AF2007" s="1046"/>
      <c r="AG2007" s="906" t="str">
        <f>IF(AE2007&lt;&gt;0,VLOOKUP(AE2007,ODDS!$A$2:$C$13,3,0),"")</f>
        <v/>
      </c>
      <c r="AH2007" s="906" t="str">
        <f t="shared" si="449"/>
        <v xml:space="preserve"> </v>
      </c>
      <c r="AI2007" s="907" t="str">
        <f t="shared" si="447"/>
        <v xml:space="preserve"> </v>
      </c>
      <c r="AJ2007" s="908"/>
      <c r="AK2007" s="908"/>
    </row>
    <row r="2008" spans="1:37" s="394" customFormat="1" ht="22.5" outlineLevel="2" x14ac:dyDescent="0.3">
      <c r="A2008" s="447">
        <f t="shared" si="446"/>
        <v>170</v>
      </c>
      <c r="B2008" s="893"/>
      <c r="C2008" s="908"/>
      <c r="D2008" s="1032"/>
      <c r="E2008" s="947"/>
      <c r="F2008" s="947"/>
      <c r="G2008" s="922"/>
      <c r="H2008" s="1041"/>
      <c r="I2008" s="882"/>
      <c r="J2008" s="898"/>
      <c r="K2008" s="899" t="str">
        <f>IF(G2008&lt;&gt;0,VLOOKUP(G2008,'gia dat'!$A$1:$F$144,5,0)," ")</f>
        <v xml:space="preserve"> </v>
      </c>
      <c r="L2008" s="899" t="str">
        <f>IF(G2008&lt;&gt;0,VLOOKUP(G2008,'gia dat'!$A$1:$F$144,6,0)," ")</f>
        <v xml:space="preserve"> </v>
      </c>
      <c r="M2008" s="900" t="str">
        <f t="shared" si="439"/>
        <v xml:space="preserve"> </v>
      </c>
      <c r="N2008" s="900" t="str">
        <f t="shared" si="440"/>
        <v xml:space="preserve"> </v>
      </c>
      <c r="O2008" s="908"/>
      <c r="P2008" s="1065"/>
      <c r="Q2008" s="900" t="str">
        <f>IF(O2008&lt;&gt;0,VLOOKUP(O2008,'Cây trong'!$A$2:$C$246,3,0)," ")</f>
        <v xml:space="preserve"> </v>
      </c>
      <c r="R2008" s="900" t="str">
        <f t="shared" si="448"/>
        <v xml:space="preserve"> </v>
      </c>
      <c r="S2008" s="902"/>
      <c r="T2008" s="944"/>
      <c r="U2008" s="1066"/>
      <c r="V2008" s="922"/>
      <c r="W2008" s="900" t="str">
        <f>IF(S2008&lt;&gt;0,VLOOKUP(S2008,VKT!$A$2:$G$415,7,0),"")</f>
        <v/>
      </c>
      <c r="X2008" s="900" t="str">
        <f t="shared" si="442"/>
        <v xml:space="preserve"> </v>
      </c>
      <c r="Y2008" s="985"/>
      <c r="Z2008" s="922"/>
      <c r="AA2008" s="1067"/>
      <c r="AB2008" s="922"/>
      <c r="AC2008" s="922"/>
      <c r="AD2008" s="922"/>
      <c r="AE2008" s="922"/>
      <c r="AF2008" s="1046"/>
      <c r="AG2008" s="906" t="str">
        <f>IF(AE2008&lt;&gt;0,VLOOKUP(AE2008,ODDS!$A$2:$C$13,3,0),"")</f>
        <v/>
      </c>
      <c r="AH2008" s="906" t="str">
        <f t="shared" si="449"/>
        <v xml:space="preserve"> </v>
      </c>
      <c r="AI2008" s="907" t="str">
        <f t="shared" si="447"/>
        <v xml:space="preserve"> </v>
      </c>
      <c r="AJ2008" s="908"/>
      <c r="AK2008" s="908"/>
    </row>
    <row r="2009" spans="1:37" s="394" customFormat="1" ht="22.5" outlineLevel="2" x14ac:dyDescent="0.3">
      <c r="A2009" s="447">
        <f t="shared" si="446"/>
        <v>170</v>
      </c>
      <c r="B2009" s="893"/>
      <c r="C2009" s="908"/>
      <c r="D2009" s="1032"/>
      <c r="E2009" s="947"/>
      <c r="F2009" s="947"/>
      <c r="G2009" s="922"/>
      <c r="H2009" s="1041"/>
      <c r="I2009" s="882"/>
      <c r="J2009" s="898"/>
      <c r="K2009" s="899" t="str">
        <f>IF(G2009&lt;&gt;0,VLOOKUP(G2009,'gia dat'!$A$1:$F$144,5,0)," ")</f>
        <v xml:space="preserve"> </v>
      </c>
      <c r="L2009" s="899" t="str">
        <f>IF(G2009&lt;&gt;0,VLOOKUP(G2009,'gia dat'!$A$1:$F$144,6,0)," ")</f>
        <v xml:space="preserve"> </v>
      </c>
      <c r="M2009" s="900" t="str">
        <f t="shared" si="439"/>
        <v xml:space="preserve"> </v>
      </c>
      <c r="N2009" s="900" t="str">
        <f t="shared" si="440"/>
        <v xml:space="preserve"> </v>
      </c>
      <c r="O2009" s="908"/>
      <c r="P2009" s="1065"/>
      <c r="Q2009" s="900" t="str">
        <f>IF(O2009&lt;&gt;0,VLOOKUP(O2009,'Cây trong'!$A$2:$C$246,3,0)," ")</f>
        <v xml:space="preserve"> </v>
      </c>
      <c r="R2009" s="900" t="str">
        <f t="shared" si="448"/>
        <v xml:space="preserve"> </v>
      </c>
      <c r="S2009" s="902"/>
      <c r="T2009" s="944"/>
      <c r="U2009" s="1066"/>
      <c r="V2009" s="922"/>
      <c r="W2009" s="900" t="str">
        <f>IF(S2009&lt;&gt;0,VLOOKUP(S2009,VKT!$A$2:$G$415,7,0),"")</f>
        <v/>
      </c>
      <c r="X2009" s="900" t="str">
        <f t="shared" si="442"/>
        <v xml:space="preserve"> </v>
      </c>
      <c r="Y2009" s="985"/>
      <c r="Z2009" s="922"/>
      <c r="AA2009" s="1067"/>
      <c r="AB2009" s="922"/>
      <c r="AC2009" s="922"/>
      <c r="AD2009" s="922"/>
      <c r="AE2009" s="922"/>
      <c r="AF2009" s="1046"/>
      <c r="AG2009" s="906" t="str">
        <f>IF(AE2009&lt;&gt;0,VLOOKUP(AE2009,ODDS!$A$2:$C$13,3,0),"")</f>
        <v/>
      </c>
      <c r="AH2009" s="906" t="str">
        <f t="shared" si="449"/>
        <v xml:space="preserve"> </v>
      </c>
      <c r="AI2009" s="907" t="str">
        <f t="shared" si="447"/>
        <v xml:space="preserve"> </v>
      </c>
      <c r="AJ2009" s="908"/>
      <c r="AK2009" s="908"/>
    </row>
    <row r="2010" spans="1:37" s="394" customFormat="1" ht="22.5" outlineLevel="2" x14ac:dyDescent="0.3">
      <c r="A2010" s="447">
        <f t="shared" si="446"/>
        <v>170</v>
      </c>
      <c r="B2010" s="893"/>
      <c r="C2010" s="908"/>
      <c r="D2010" s="1032"/>
      <c r="E2010" s="947"/>
      <c r="F2010" s="947"/>
      <c r="G2010" s="922"/>
      <c r="H2010" s="1041"/>
      <c r="I2010" s="882"/>
      <c r="J2010" s="898"/>
      <c r="K2010" s="899" t="str">
        <f>IF(G2010&lt;&gt;0,VLOOKUP(G2010,'gia dat'!$A$1:$F$144,5,0)," ")</f>
        <v xml:space="preserve"> </v>
      </c>
      <c r="L2010" s="899" t="str">
        <f>IF(G2010&lt;&gt;0,VLOOKUP(G2010,'gia dat'!$A$1:$F$144,6,0)," ")</f>
        <v xml:space="preserve"> </v>
      </c>
      <c r="M2010" s="900" t="str">
        <f t="shared" si="439"/>
        <v xml:space="preserve"> </v>
      </c>
      <c r="N2010" s="900" t="str">
        <f t="shared" si="440"/>
        <v xml:space="preserve"> </v>
      </c>
      <c r="O2010" s="908"/>
      <c r="P2010" s="1065"/>
      <c r="Q2010" s="900" t="str">
        <f>IF(O2010&lt;&gt;0,VLOOKUP(O2010,'Cây trong'!$A$2:$C$246,3,0)," ")</f>
        <v xml:space="preserve"> </v>
      </c>
      <c r="R2010" s="900" t="str">
        <f t="shared" si="448"/>
        <v xml:space="preserve"> </v>
      </c>
      <c r="S2010" s="902"/>
      <c r="T2010" s="944"/>
      <c r="U2010" s="1066"/>
      <c r="V2010" s="922"/>
      <c r="W2010" s="900" t="str">
        <f>IF(S2010&lt;&gt;0,VLOOKUP(S2010,VKT!$A$2:$G$415,7,0),"")</f>
        <v/>
      </c>
      <c r="X2010" s="900" t="str">
        <f t="shared" si="442"/>
        <v xml:space="preserve"> </v>
      </c>
      <c r="Y2010" s="985"/>
      <c r="Z2010" s="922"/>
      <c r="AA2010" s="1067"/>
      <c r="AB2010" s="922"/>
      <c r="AC2010" s="922"/>
      <c r="AD2010" s="922"/>
      <c r="AE2010" s="922"/>
      <c r="AF2010" s="1046"/>
      <c r="AG2010" s="906" t="str">
        <f>IF(AE2010&lt;&gt;0,VLOOKUP(AE2010,ODDS!$A$2:$C$13,3,0),"")</f>
        <v/>
      </c>
      <c r="AH2010" s="906" t="str">
        <f t="shared" si="449"/>
        <v xml:space="preserve"> </v>
      </c>
      <c r="AI2010" s="907" t="str">
        <f t="shared" si="447"/>
        <v xml:space="preserve"> </v>
      </c>
      <c r="AJ2010" s="922"/>
      <c r="AK2010" s="922"/>
    </row>
    <row r="2011" spans="1:37" s="394" customFormat="1" ht="22.5" outlineLevel="2" x14ac:dyDescent="0.3">
      <c r="A2011" s="447">
        <f t="shared" si="446"/>
        <v>170</v>
      </c>
      <c r="B2011" s="893"/>
      <c r="C2011" s="942"/>
      <c r="D2011" s="1032"/>
      <c r="E2011" s="947"/>
      <c r="F2011" s="947"/>
      <c r="G2011" s="922"/>
      <c r="H2011" s="1041"/>
      <c r="I2011" s="882"/>
      <c r="J2011" s="898"/>
      <c r="K2011" s="899" t="str">
        <f>IF(G2011&lt;&gt;0,VLOOKUP(G2011,'gia dat'!$A$1:$F$144,5,0)," ")</f>
        <v xml:space="preserve"> </v>
      </c>
      <c r="L2011" s="899" t="str">
        <f>IF(G2011&lt;&gt;0,VLOOKUP(G2011,'gia dat'!$A$1:$F$144,6,0)," ")</f>
        <v xml:space="preserve"> </v>
      </c>
      <c r="M2011" s="900" t="str">
        <f t="shared" si="439"/>
        <v xml:space="preserve"> </v>
      </c>
      <c r="N2011" s="900" t="str">
        <f t="shared" si="440"/>
        <v xml:space="preserve"> </v>
      </c>
      <c r="O2011" s="908"/>
      <c r="P2011" s="1065"/>
      <c r="Q2011" s="900" t="str">
        <f>IF(O2011&lt;&gt;0,VLOOKUP(O2011,'Cây trong'!$A$2:$C$246,3,0)," ")</f>
        <v xml:space="preserve"> </v>
      </c>
      <c r="R2011" s="900" t="str">
        <f t="shared" si="448"/>
        <v xml:space="preserve"> </v>
      </c>
      <c r="S2011" s="902"/>
      <c r="T2011" s="944"/>
      <c r="U2011" s="1066"/>
      <c r="V2011" s="922"/>
      <c r="W2011" s="900" t="str">
        <f>IF(S2011&lt;&gt;0,VLOOKUP(S2011,VKT!$A$2:$G$415,7,0),"")</f>
        <v/>
      </c>
      <c r="X2011" s="900" t="str">
        <f t="shared" si="442"/>
        <v xml:space="preserve"> </v>
      </c>
      <c r="Y2011" s="985"/>
      <c r="Z2011" s="922"/>
      <c r="AA2011" s="1067"/>
      <c r="AB2011" s="922"/>
      <c r="AC2011" s="922"/>
      <c r="AD2011" s="922"/>
      <c r="AE2011" s="922"/>
      <c r="AF2011" s="1046"/>
      <c r="AG2011" s="906" t="str">
        <f>IF(AE2011&lt;&gt;0,VLOOKUP(AE2011,ODDS!$A$2:$C$13,3,0),"")</f>
        <v/>
      </c>
      <c r="AH2011" s="906" t="str">
        <f t="shared" si="449"/>
        <v xml:space="preserve"> </v>
      </c>
      <c r="AI2011" s="907" t="str">
        <f t="shared" si="447"/>
        <v xml:space="preserve"> </v>
      </c>
      <c r="AJ2011" s="922"/>
      <c r="AK2011" s="922"/>
    </row>
    <row r="2012" spans="1:37" s="396" customFormat="1" ht="43.5" outlineLevel="1" x14ac:dyDescent="0.25">
      <c r="A2012" s="467" t="s">
        <v>2539</v>
      </c>
      <c r="B2012" s="912">
        <v>171</v>
      </c>
      <c r="C2012" s="942" t="s">
        <v>1363</v>
      </c>
      <c r="D2012" s="1038"/>
      <c r="E2012" s="977"/>
      <c r="F2012" s="977"/>
      <c r="G2012" s="914"/>
      <c r="H2012" s="1039">
        <f>SUBTOTAL(9,H2013:H2019)</f>
        <v>95</v>
      </c>
      <c r="I2012" s="915">
        <f>SUBTOTAL(9,I2013:I2018)</f>
        <v>95</v>
      </c>
      <c r="J2012" s="916"/>
      <c r="K2012" s="917"/>
      <c r="L2012" s="917"/>
      <c r="M2012" s="907">
        <f>SUBTOTAL(9,M2013:M2019)</f>
        <v>35796000</v>
      </c>
      <c r="N2012" s="907">
        <f>SUBTOTAL(9,N2013:N2019)</f>
        <v>107388000</v>
      </c>
      <c r="O2012" s="942"/>
      <c r="P2012" s="1063">
        <f>SUBTOTAL(9,P2013:P2019)</f>
        <v>0</v>
      </c>
      <c r="Q2012" s="907"/>
      <c r="R2012" s="907">
        <f>SUBTOTAL(9,R2013:R2019)</f>
        <v>0</v>
      </c>
      <c r="S2012" s="918"/>
      <c r="T2012" s="956"/>
      <c r="U2012" s="1064">
        <f>SUBTOTAL(9,U2013:U2019)</f>
        <v>0</v>
      </c>
      <c r="V2012" s="914"/>
      <c r="W2012" s="907"/>
      <c r="X2012" s="907">
        <f>SUBTOTAL(9,X2013:X2019)</f>
        <v>0</v>
      </c>
      <c r="Y2012" s="985"/>
      <c r="Z2012" s="922"/>
      <c r="AA2012" s="1067"/>
      <c r="AB2012" s="922"/>
      <c r="AC2012" s="922"/>
      <c r="AD2012" s="922"/>
      <c r="AE2012" s="914"/>
      <c r="AF2012" s="1044">
        <f>SUBTOTAL(9,AF2013:AF2019)</f>
        <v>0</v>
      </c>
      <c r="AG2012" s="921"/>
      <c r="AH2012" s="921">
        <f>SUBTOTAL(9,AH2013:AH2019)</f>
        <v>0</v>
      </c>
      <c r="AI2012" s="907">
        <f t="shared" si="447"/>
        <v>143184000</v>
      </c>
      <c r="AJ2012" s="914"/>
      <c r="AK2012" s="914"/>
    </row>
    <row r="2013" spans="1:37" s="396" customFormat="1" ht="135" outlineLevel="2" x14ac:dyDescent="0.3">
      <c r="A2013" s="447">
        <f>IF(B2012&lt;&gt;0,B2012,A2011)</f>
        <v>171</v>
      </c>
      <c r="B2013" s="893"/>
      <c r="C2013" s="908" t="s">
        <v>1366</v>
      </c>
      <c r="D2013" s="1032"/>
      <c r="E2013" s="947">
        <v>86</v>
      </c>
      <c r="F2013" s="947">
        <v>222</v>
      </c>
      <c r="G2013" s="922" t="s">
        <v>2433</v>
      </c>
      <c r="H2013" s="1041">
        <v>95</v>
      </c>
      <c r="I2013" s="882">
        <f t="shared" ref="I2013" si="450">IF(N2013&gt;0,H2013,"")</f>
        <v>95</v>
      </c>
      <c r="J2013" s="898"/>
      <c r="K2013" s="899">
        <f>IF(G2013&lt;&gt;0,VLOOKUP(G2013,'gia dat'!$A$1:$F$144,5,0)," ")</f>
        <v>376800</v>
      </c>
      <c r="L2013" s="899">
        <f>IF(G2013&lt;&gt;0,VLOOKUP(G2013,'gia dat'!$A$1:$F$144,6,0)," ")</f>
        <v>1130400</v>
      </c>
      <c r="M2013" s="900">
        <f t="shared" si="439"/>
        <v>35796000</v>
      </c>
      <c r="N2013" s="900">
        <f t="shared" si="440"/>
        <v>107388000</v>
      </c>
      <c r="O2013" s="908"/>
      <c r="P2013" s="1065"/>
      <c r="Q2013" s="900" t="str">
        <f>IF(O2013&lt;&gt;0,VLOOKUP(O2013,'Cây trong'!$A$2:$C$246,3,0)," ")</f>
        <v xml:space="preserve"> </v>
      </c>
      <c r="R2013" s="900" t="str">
        <f t="shared" si="448"/>
        <v xml:space="preserve"> </v>
      </c>
      <c r="S2013" s="902"/>
      <c r="T2013" s="944"/>
      <c r="U2013" s="1066"/>
      <c r="V2013" s="922"/>
      <c r="W2013" s="900" t="str">
        <f>IF(S2013&lt;&gt;0,VLOOKUP(S2013,VKT!$A$2:$G$415,7,0),"")</f>
        <v/>
      </c>
      <c r="X2013" s="900" t="str">
        <f t="shared" si="442"/>
        <v xml:space="preserve"> </v>
      </c>
      <c r="Y2013" s="985"/>
      <c r="Z2013" s="922"/>
      <c r="AA2013" s="1067"/>
      <c r="AB2013" s="922"/>
      <c r="AC2013" s="922"/>
      <c r="AD2013" s="922"/>
      <c r="AE2013" s="922"/>
      <c r="AF2013" s="1046"/>
      <c r="AG2013" s="906" t="str">
        <f>IF(AE2013&lt;&gt;0,VLOOKUP(AE2013,ODDS!$A$2:$C$13,3,0),"")</f>
        <v/>
      </c>
      <c r="AH2013" s="906" t="str">
        <f t="shared" si="449"/>
        <v xml:space="preserve"> </v>
      </c>
      <c r="AI2013" s="907" t="str">
        <f t="shared" si="447"/>
        <v xml:space="preserve"> </v>
      </c>
      <c r="AJ2013" s="922" t="s">
        <v>1371</v>
      </c>
      <c r="AK2013" s="922" t="s">
        <v>2771</v>
      </c>
    </row>
    <row r="2014" spans="1:37" s="394" customFormat="1" ht="90" outlineLevel="2" x14ac:dyDescent="0.3">
      <c r="A2014" s="447">
        <f t="shared" ref="A2014:A2019" si="451">IF(B2013&lt;&gt;0,B2013,A2013)</f>
        <v>171</v>
      </c>
      <c r="B2014" s="893"/>
      <c r="C2014" s="908" t="s">
        <v>1621</v>
      </c>
      <c r="D2014" s="1032"/>
      <c r="E2014" s="947"/>
      <c r="F2014" s="947"/>
      <c r="G2014" s="922"/>
      <c r="H2014" s="1041"/>
      <c r="I2014" s="882"/>
      <c r="J2014" s="898"/>
      <c r="K2014" s="899" t="str">
        <f>IF(G2014&lt;&gt;0,VLOOKUP(G2014,'gia dat'!$A$1:$F$144,5,0)," ")</f>
        <v xml:space="preserve"> </v>
      </c>
      <c r="L2014" s="899" t="str">
        <f>IF(G2014&lt;&gt;0,VLOOKUP(G2014,'gia dat'!$A$1:$F$144,6,0)," ")</f>
        <v xml:space="preserve"> </v>
      </c>
      <c r="M2014" s="900" t="str">
        <f t="shared" si="439"/>
        <v xml:space="preserve"> </v>
      </c>
      <c r="N2014" s="900" t="str">
        <f t="shared" si="440"/>
        <v xml:space="preserve"> </v>
      </c>
      <c r="O2014" s="908"/>
      <c r="P2014" s="1065"/>
      <c r="Q2014" s="900" t="str">
        <f>IF(O2014&lt;&gt;0,VLOOKUP(O2014,'Cây trong'!$A$2:$C$246,3,0)," ")</f>
        <v xml:space="preserve"> </v>
      </c>
      <c r="R2014" s="900" t="str">
        <f t="shared" si="448"/>
        <v xml:space="preserve"> </v>
      </c>
      <c r="S2014" s="902"/>
      <c r="T2014" s="944"/>
      <c r="U2014" s="1066"/>
      <c r="V2014" s="922"/>
      <c r="W2014" s="900" t="str">
        <f>IF(S2014&lt;&gt;0,VLOOKUP(S2014,VKT!$A$2:$G$415,7,0),"")</f>
        <v/>
      </c>
      <c r="X2014" s="900" t="str">
        <f t="shared" si="442"/>
        <v xml:space="preserve"> </v>
      </c>
      <c r="Y2014" s="985"/>
      <c r="Z2014" s="922"/>
      <c r="AA2014" s="1067"/>
      <c r="AB2014" s="922"/>
      <c r="AC2014" s="922"/>
      <c r="AD2014" s="922"/>
      <c r="AE2014" s="922"/>
      <c r="AF2014" s="1046"/>
      <c r="AG2014" s="906" t="str">
        <f>IF(AE2014&lt;&gt;0,VLOOKUP(AE2014,ODDS!$A$2:$C$13,3,0),"")</f>
        <v/>
      </c>
      <c r="AH2014" s="906" t="str">
        <f t="shared" si="449"/>
        <v xml:space="preserve"> </v>
      </c>
      <c r="AI2014" s="907" t="str">
        <f t="shared" si="447"/>
        <v xml:space="preserve"> </v>
      </c>
      <c r="AJ2014" s="922" t="s">
        <v>1736</v>
      </c>
      <c r="AK2014" s="894" t="s">
        <v>2448</v>
      </c>
    </row>
    <row r="2015" spans="1:37" s="394" customFormat="1" ht="67.5" outlineLevel="2" x14ac:dyDescent="0.3">
      <c r="A2015" s="447">
        <f t="shared" si="451"/>
        <v>171</v>
      </c>
      <c r="B2015" s="893"/>
      <c r="C2015" s="908"/>
      <c r="D2015" s="1032"/>
      <c r="E2015" s="947"/>
      <c r="F2015" s="947"/>
      <c r="G2015" s="922"/>
      <c r="H2015" s="1041"/>
      <c r="I2015" s="882"/>
      <c r="J2015" s="898"/>
      <c r="K2015" s="899" t="str">
        <f>IF(G2015&lt;&gt;0,VLOOKUP(G2015,'gia dat'!$A$1:$F$144,5,0)," ")</f>
        <v xml:space="preserve"> </v>
      </c>
      <c r="L2015" s="899" t="str">
        <f>IF(G2015&lt;&gt;0,VLOOKUP(G2015,'gia dat'!$A$1:$F$144,6,0)," ")</f>
        <v xml:space="preserve"> </v>
      </c>
      <c r="M2015" s="900" t="str">
        <f t="shared" si="439"/>
        <v xml:space="preserve"> </v>
      </c>
      <c r="N2015" s="900" t="str">
        <f t="shared" si="440"/>
        <v xml:space="preserve"> </v>
      </c>
      <c r="O2015" s="908"/>
      <c r="P2015" s="1065"/>
      <c r="Q2015" s="900" t="str">
        <f>IF(O2015&lt;&gt;0,VLOOKUP(O2015,'Cây trong'!$A$2:$C$246,3,0)," ")</f>
        <v xml:space="preserve"> </v>
      </c>
      <c r="R2015" s="900" t="str">
        <f t="shared" si="448"/>
        <v xml:space="preserve"> </v>
      </c>
      <c r="S2015" s="902"/>
      <c r="T2015" s="944"/>
      <c r="U2015" s="1066"/>
      <c r="V2015" s="922"/>
      <c r="W2015" s="900" t="str">
        <f>IF(S2015&lt;&gt;0,VLOOKUP(S2015,VKT!$A$2:$G$415,7,0),"")</f>
        <v/>
      </c>
      <c r="X2015" s="900" t="str">
        <f t="shared" si="442"/>
        <v xml:space="preserve"> </v>
      </c>
      <c r="Y2015" s="985"/>
      <c r="Z2015" s="922"/>
      <c r="AA2015" s="1067"/>
      <c r="AB2015" s="922"/>
      <c r="AC2015" s="922"/>
      <c r="AD2015" s="922"/>
      <c r="AE2015" s="922"/>
      <c r="AF2015" s="1046"/>
      <c r="AG2015" s="906" t="str">
        <f>IF(AE2015&lt;&gt;0,VLOOKUP(AE2015,ODDS!$A$2:$C$13,3,0),"")</f>
        <v/>
      </c>
      <c r="AH2015" s="906" t="str">
        <f t="shared" si="449"/>
        <v xml:space="preserve"> </v>
      </c>
      <c r="AI2015" s="907" t="str">
        <f t="shared" si="447"/>
        <v xml:space="preserve"> </v>
      </c>
      <c r="AJ2015" s="922" t="s">
        <v>2074</v>
      </c>
      <c r="AK2015" s="922"/>
    </row>
    <row r="2016" spans="1:37" s="394" customFormat="1" ht="22.5" outlineLevel="2" x14ac:dyDescent="0.35">
      <c r="A2016" s="447">
        <f t="shared" si="451"/>
        <v>171</v>
      </c>
      <c r="B2016" s="893"/>
      <c r="C2016" s="908"/>
      <c r="D2016" s="1032"/>
      <c r="E2016" s="947"/>
      <c r="F2016" s="947"/>
      <c r="G2016" s="922"/>
      <c r="H2016" s="1041"/>
      <c r="I2016" s="882"/>
      <c r="J2016" s="898"/>
      <c r="K2016" s="899" t="str">
        <f>IF(G2016&lt;&gt;0,VLOOKUP(G2016,'gia dat'!$A$1:$F$144,5,0)," ")</f>
        <v xml:space="preserve"> </v>
      </c>
      <c r="L2016" s="899" t="str">
        <f>IF(G2016&lt;&gt;0,VLOOKUP(G2016,'gia dat'!$A$1:$F$144,6,0)," ")</f>
        <v xml:space="preserve"> </v>
      </c>
      <c r="M2016" s="900" t="str">
        <f t="shared" si="439"/>
        <v xml:space="preserve"> </v>
      </c>
      <c r="N2016" s="900" t="str">
        <f t="shared" si="440"/>
        <v xml:space="preserve"> </v>
      </c>
      <c r="O2016" s="908"/>
      <c r="P2016" s="1065"/>
      <c r="Q2016" s="900" t="str">
        <f>IF(O2016&lt;&gt;0,VLOOKUP(O2016,'Cây trong'!$A$2:$C$246,3,0)," ")</f>
        <v xml:space="preserve"> </v>
      </c>
      <c r="R2016" s="900" t="str">
        <f t="shared" si="448"/>
        <v xml:space="preserve"> </v>
      </c>
      <c r="S2016" s="902"/>
      <c r="T2016" s="944"/>
      <c r="U2016" s="1066"/>
      <c r="V2016" s="922"/>
      <c r="W2016" s="900" t="str">
        <f>IF(S2016&lt;&gt;0,VLOOKUP(S2016,VKT!$A$2:$G$415,7,0),"")</f>
        <v/>
      </c>
      <c r="X2016" s="900" t="str">
        <f t="shared" si="442"/>
        <v xml:space="preserve"> </v>
      </c>
      <c r="Y2016" s="985"/>
      <c r="Z2016" s="922"/>
      <c r="AA2016" s="1067"/>
      <c r="AB2016" s="922"/>
      <c r="AC2016" s="922"/>
      <c r="AD2016" s="922"/>
      <c r="AE2016" s="922"/>
      <c r="AF2016" s="1046"/>
      <c r="AG2016" s="906" t="str">
        <f>IF(AE2016&lt;&gt;0,VLOOKUP(AE2016,ODDS!$A$2:$C$13,3,0),"")</f>
        <v/>
      </c>
      <c r="AH2016" s="906" t="str">
        <f t="shared" si="449"/>
        <v xml:space="preserve"> </v>
      </c>
      <c r="AI2016" s="907" t="str">
        <f t="shared" si="447"/>
        <v xml:space="preserve"> </v>
      </c>
      <c r="AJ2016" s="1068"/>
      <c r="AK2016" s="922"/>
    </row>
    <row r="2017" spans="1:37" s="394" customFormat="1" ht="22.5" outlineLevel="2" x14ac:dyDescent="0.3">
      <c r="A2017" s="447">
        <f t="shared" si="451"/>
        <v>171</v>
      </c>
      <c r="B2017" s="893"/>
      <c r="C2017" s="908"/>
      <c r="D2017" s="1032"/>
      <c r="E2017" s="947"/>
      <c r="F2017" s="947"/>
      <c r="G2017" s="922"/>
      <c r="H2017" s="1041"/>
      <c r="I2017" s="882"/>
      <c r="J2017" s="898"/>
      <c r="K2017" s="899" t="str">
        <f>IF(G2017&lt;&gt;0,VLOOKUP(G2017,'gia dat'!$A$1:$F$144,5,0)," ")</f>
        <v xml:space="preserve"> </v>
      </c>
      <c r="L2017" s="899" t="str">
        <f>IF(G2017&lt;&gt;0,VLOOKUP(G2017,'gia dat'!$A$1:$F$144,6,0)," ")</f>
        <v xml:space="preserve"> </v>
      </c>
      <c r="M2017" s="900" t="str">
        <f t="shared" si="439"/>
        <v xml:space="preserve"> </v>
      </c>
      <c r="N2017" s="900" t="str">
        <f t="shared" si="440"/>
        <v xml:space="preserve"> </v>
      </c>
      <c r="O2017" s="908"/>
      <c r="P2017" s="1065"/>
      <c r="Q2017" s="900" t="str">
        <f>IF(O2017&lt;&gt;0,VLOOKUP(O2017,'Cây trong'!$A$2:$C$246,3,0)," ")</f>
        <v xml:space="preserve"> </v>
      </c>
      <c r="R2017" s="900" t="str">
        <f t="shared" si="448"/>
        <v xml:space="preserve"> </v>
      </c>
      <c r="S2017" s="902"/>
      <c r="T2017" s="944"/>
      <c r="U2017" s="1066"/>
      <c r="V2017" s="922"/>
      <c r="W2017" s="900" t="str">
        <f>IF(S2017&lt;&gt;0,VLOOKUP(S2017,VKT!$A$2:$G$415,7,0),"")</f>
        <v/>
      </c>
      <c r="X2017" s="900" t="str">
        <f t="shared" si="442"/>
        <v xml:space="preserve"> </v>
      </c>
      <c r="Y2017" s="985"/>
      <c r="Z2017" s="922"/>
      <c r="AA2017" s="1067"/>
      <c r="AB2017" s="922"/>
      <c r="AC2017" s="922"/>
      <c r="AD2017" s="922"/>
      <c r="AE2017" s="922"/>
      <c r="AF2017" s="1046"/>
      <c r="AG2017" s="906" t="str">
        <f>IF(AE2017&lt;&gt;0,VLOOKUP(AE2017,ODDS!$A$2:$C$13,3,0),"")</f>
        <v/>
      </c>
      <c r="AH2017" s="906" t="str">
        <f t="shared" si="449"/>
        <v xml:space="preserve"> </v>
      </c>
      <c r="AI2017" s="907" t="str">
        <f t="shared" si="447"/>
        <v xml:space="preserve"> </v>
      </c>
      <c r="AJ2017" s="922"/>
      <c r="AK2017" s="922"/>
    </row>
    <row r="2018" spans="1:37" s="394" customFormat="1" ht="22.5" outlineLevel="2" x14ac:dyDescent="0.3">
      <c r="A2018" s="447">
        <f t="shared" si="451"/>
        <v>171</v>
      </c>
      <c r="B2018" s="893"/>
      <c r="C2018" s="908"/>
      <c r="D2018" s="1032"/>
      <c r="E2018" s="947"/>
      <c r="F2018" s="947"/>
      <c r="G2018" s="922"/>
      <c r="H2018" s="1041"/>
      <c r="I2018" s="882"/>
      <c r="J2018" s="898"/>
      <c r="K2018" s="899" t="str">
        <f>IF(G2018&lt;&gt;0,VLOOKUP(G2018,'gia dat'!$A$1:$F$144,5,0)," ")</f>
        <v xml:space="preserve"> </v>
      </c>
      <c r="L2018" s="899" t="str">
        <f>IF(G2018&lt;&gt;0,VLOOKUP(G2018,'gia dat'!$A$1:$F$144,6,0)," ")</f>
        <v xml:space="preserve"> </v>
      </c>
      <c r="M2018" s="900" t="str">
        <f t="shared" si="439"/>
        <v xml:space="preserve"> </v>
      </c>
      <c r="N2018" s="900" t="str">
        <f t="shared" si="440"/>
        <v xml:space="preserve"> </v>
      </c>
      <c r="O2018" s="908"/>
      <c r="P2018" s="1065"/>
      <c r="Q2018" s="900" t="str">
        <f>IF(O2018&lt;&gt;0,VLOOKUP(O2018,'Cây trong'!$A$2:$C$246,3,0)," ")</f>
        <v xml:space="preserve"> </v>
      </c>
      <c r="R2018" s="900" t="str">
        <f t="shared" si="448"/>
        <v xml:space="preserve"> </v>
      </c>
      <c r="S2018" s="902"/>
      <c r="T2018" s="944"/>
      <c r="U2018" s="1066"/>
      <c r="V2018" s="922"/>
      <c r="W2018" s="900" t="str">
        <f>IF(S2018&lt;&gt;0,VLOOKUP(S2018,VKT!$A$2:$G$415,7,0),"")</f>
        <v/>
      </c>
      <c r="X2018" s="900" t="str">
        <f t="shared" si="442"/>
        <v xml:space="preserve"> </v>
      </c>
      <c r="Y2018" s="985"/>
      <c r="Z2018" s="922"/>
      <c r="AA2018" s="1067"/>
      <c r="AB2018" s="922"/>
      <c r="AC2018" s="922"/>
      <c r="AD2018" s="922"/>
      <c r="AE2018" s="922"/>
      <c r="AF2018" s="1046"/>
      <c r="AG2018" s="906" t="str">
        <f>IF(AE2018&lt;&gt;0,VLOOKUP(AE2018,ODDS!$A$2:$C$13,3,0),"")</f>
        <v/>
      </c>
      <c r="AH2018" s="906" t="str">
        <f t="shared" si="449"/>
        <v xml:space="preserve"> </v>
      </c>
      <c r="AI2018" s="907" t="str">
        <f t="shared" si="447"/>
        <v xml:space="preserve"> </v>
      </c>
      <c r="AJ2018" s="922"/>
      <c r="AK2018" s="922"/>
    </row>
    <row r="2019" spans="1:37" s="394" customFormat="1" ht="22.5" outlineLevel="2" x14ac:dyDescent="0.3">
      <c r="A2019" s="447">
        <f t="shared" si="451"/>
        <v>171</v>
      </c>
      <c r="B2019" s="893"/>
      <c r="C2019" s="942"/>
      <c r="D2019" s="1032"/>
      <c r="E2019" s="947"/>
      <c r="F2019" s="947"/>
      <c r="G2019" s="922"/>
      <c r="H2019" s="1041"/>
      <c r="I2019" s="882"/>
      <c r="J2019" s="898"/>
      <c r="K2019" s="899" t="str">
        <f>IF(G2019&lt;&gt;0,VLOOKUP(G2019,'gia dat'!$A$1:$F$144,5,0)," ")</f>
        <v xml:space="preserve"> </v>
      </c>
      <c r="L2019" s="899" t="str">
        <f>IF(G2019&lt;&gt;0,VLOOKUP(G2019,'gia dat'!$A$1:$F$144,6,0)," ")</f>
        <v xml:space="preserve"> </v>
      </c>
      <c r="M2019" s="900" t="str">
        <f t="shared" si="439"/>
        <v xml:space="preserve"> </v>
      </c>
      <c r="N2019" s="900" t="str">
        <f t="shared" si="440"/>
        <v xml:space="preserve"> </v>
      </c>
      <c r="O2019" s="908"/>
      <c r="P2019" s="1065"/>
      <c r="Q2019" s="900" t="str">
        <f>IF(O2019&lt;&gt;0,VLOOKUP(O2019,'Cây trong'!$A$2:$C$246,3,0)," ")</f>
        <v xml:space="preserve"> </v>
      </c>
      <c r="R2019" s="900" t="str">
        <f t="shared" si="448"/>
        <v xml:space="preserve"> </v>
      </c>
      <c r="S2019" s="902"/>
      <c r="T2019" s="944"/>
      <c r="U2019" s="1066"/>
      <c r="V2019" s="922"/>
      <c r="W2019" s="900" t="str">
        <f>IF(S2019&lt;&gt;0,VLOOKUP(S2019,VKT!$A$2:$G$415,7,0),"")</f>
        <v/>
      </c>
      <c r="X2019" s="900" t="str">
        <f t="shared" si="442"/>
        <v xml:space="preserve"> </v>
      </c>
      <c r="Y2019" s="985"/>
      <c r="Z2019" s="922"/>
      <c r="AA2019" s="1067"/>
      <c r="AB2019" s="922"/>
      <c r="AC2019" s="922"/>
      <c r="AD2019" s="922"/>
      <c r="AE2019" s="922"/>
      <c r="AF2019" s="1046"/>
      <c r="AG2019" s="906" t="str">
        <f>IF(AE2019&lt;&gt;0,VLOOKUP(AE2019,ODDS!$A$2:$C$13,3,0),"")</f>
        <v/>
      </c>
      <c r="AH2019" s="906" t="str">
        <f t="shared" si="449"/>
        <v xml:space="preserve"> </v>
      </c>
      <c r="AI2019" s="907" t="str">
        <f t="shared" si="447"/>
        <v xml:space="preserve"> </v>
      </c>
      <c r="AJ2019" s="922"/>
      <c r="AK2019" s="922"/>
    </row>
    <row r="2020" spans="1:37" s="394" customFormat="1" ht="43.5" outlineLevel="1" x14ac:dyDescent="0.25">
      <c r="A2020" s="467" t="s">
        <v>2538</v>
      </c>
      <c r="B2020" s="912">
        <v>172</v>
      </c>
      <c r="C2020" s="942" t="s">
        <v>1373</v>
      </c>
      <c r="D2020" s="1038"/>
      <c r="E2020" s="977"/>
      <c r="F2020" s="977"/>
      <c r="G2020" s="914"/>
      <c r="H2020" s="1039">
        <f>SUBTOTAL(9,H2021:H2027)</f>
        <v>0</v>
      </c>
      <c r="I2020" s="915">
        <f>SUBTOTAL(9,I2021:I2026)</f>
        <v>0</v>
      </c>
      <c r="J2020" s="916"/>
      <c r="K2020" s="917"/>
      <c r="L2020" s="917"/>
      <c r="M2020" s="907">
        <f>SUBTOTAL(9,M2021:M2027)</f>
        <v>0</v>
      </c>
      <c r="N2020" s="907">
        <f>SUBTOTAL(9,N2021:N2027)</f>
        <v>0</v>
      </c>
      <c r="O2020" s="942"/>
      <c r="P2020" s="1063">
        <f>SUBTOTAL(9,P2021:P2027)</f>
        <v>0</v>
      </c>
      <c r="Q2020" s="907"/>
      <c r="R2020" s="907">
        <f>SUBTOTAL(9,R2021:R2027)</f>
        <v>0</v>
      </c>
      <c r="S2020" s="918"/>
      <c r="T2020" s="956"/>
      <c r="U2020" s="1064">
        <f>SUBTOTAL(9,U2021:U2027)</f>
        <v>51.870000000000005</v>
      </c>
      <c r="V2020" s="914"/>
      <c r="W2020" s="907"/>
      <c r="X2020" s="907">
        <f>SUBTOTAL(9,X2021:X2027)</f>
        <v>101345000</v>
      </c>
      <c r="Y2020" s="996"/>
      <c r="Z2020" s="1016"/>
      <c r="AA2020" s="1016"/>
      <c r="AB2020" s="1026"/>
      <c r="AC2020" s="1016"/>
      <c r="AD2020" s="1016"/>
      <c r="AE2020" s="985"/>
      <c r="AF2020" s="935">
        <f>SUBTOTAL(9,AF2021:AF2027)</f>
        <v>0</v>
      </c>
      <c r="AG2020" s="921"/>
      <c r="AH2020" s="921">
        <f>SUBTOTAL(9,AH2021:AH2027)</f>
        <v>0</v>
      </c>
      <c r="AI2020" s="907">
        <f t="shared" si="447"/>
        <v>101345000</v>
      </c>
      <c r="AJ2020" s="914"/>
      <c r="AK2020" s="910"/>
    </row>
    <row r="2021" spans="1:37" s="394" customFormat="1" ht="112.5" outlineLevel="2" x14ac:dyDescent="0.3">
      <c r="A2021" s="447">
        <f>IF(B2020&lt;&gt;0,B2020,A2019)</f>
        <v>172</v>
      </c>
      <c r="B2021" s="893"/>
      <c r="C2021" s="908" t="s">
        <v>1375</v>
      </c>
      <c r="D2021" s="1032"/>
      <c r="E2021" s="947"/>
      <c r="F2021" s="947"/>
      <c r="G2021" s="922"/>
      <c r="H2021" s="1041"/>
      <c r="I2021" s="882"/>
      <c r="J2021" s="898"/>
      <c r="K2021" s="899" t="str">
        <f>IF(G2021&lt;&gt;0,VLOOKUP(G2021,'gia dat'!$A$1:$F$144,5,0)," ")</f>
        <v xml:space="preserve"> </v>
      </c>
      <c r="L2021" s="899" t="str">
        <f>IF(G2021&lt;&gt;0,VLOOKUP(G2021,'gia dat'!$A$1:$F$144,6,0)," ")</f>
        <v xml:space="preserve"> </v>
      </c>
      <c r="M2021" s="900" t="str">
        <f t="shared" si="439"/>
        <v xml:space="preserve"> </v>
      </c>
      <c r="N2021" s="900" t="str">
        <f t="shared" si="440"/>
        <v xml:space="preserve"> </v>
      </c>
      <c r="O2021" s="908"/>
      <c r="P2021" s="1065"/>
      <c r="Q2021" s="900" t="str">
        <f>IF(O2021&lt;&gt;0,VLOOKUP(O2021,'Cây trong'!$A$2:$C$246,3,0)," ")</f>
        <v xml:space="preserve"> </v>
      </c>
      <c r="R2021" s="900" t="str">
        <f t="shared" si="448"/>
        <v xml:space="preserve"> </v>
      </c>
      <c r="S2021" s="902" t="s">
        <v>1838</v>
      </c>
      <c r="T2021" s="944" t="s">
        <v>1133</v>
      </c>
      <c r="U2021" s="1066">
        <v>19.73</v>
      </c>
      <c r="V2021" s="922"/>
      <c r="W2021" s="900">
        <f>IF(S2021&lt;&gt;0,VLOOKUP(S2021,VKT!$A$2:$G$415,7,0),"")</f>
        <v>3156089</v>
      </c>
      <c r="X2021" s="900">
        <f t="shared" si="442"/>
        <v>62270000</v>
      </c>
      <c r="Y2021" s="996" t="s">
        <v>1138</v>
      </c>
      <c r="Z2021" s="1016" t="s">
        <v>1139</v>
      </c>
      <c r="AA2021" s="1016" t="s">
        <v>56</v>
      </c>
      <c r="AB2021" s="1026" t="s">
        <v>269</v>
      </c>
      <c r="AC2021" s="1016" t="s">
        <v>1138</v>
      </c>
      <c r="AD2021" s="1016"/>
      <c r="AE2021" s="1016"/>
      <c r="AF2021" s="926"/>
      <c r="AG2021" s="906" t="str">
        <f>IF(AE2021&lt;&gt;0,VLOOKUP(AE2021,ODDS!$A$2:$C$13,3,0),"")</f>
        <v/>
      </c>
      <c r="AH2021" s="906" t="str">
        <f t="shared" si="449"/>
        <v xml:space="preserve"> </v>
      </c>
      <c r="AI2021" s="907" t="str">
        <f t="shared" si="447"/>
        <v xml:space="preserve"> </v>
      </c>
      <c r="AJ2021" s="922" t="s">
        <v>1374</v>
      </c>
      <c r="AK2021" s="894" t="s">
        <v>2450</v>
      </c>
    </row>
    <row r="2022" spans="1:37" s="394" customFormat="1" ht="112.5" outlineLevel="2" x14ac:dyDescent="0.3">
      <c r="A2022" s="447">
        <f t="shared" ref="A2022:A2027" si="452">IF(B2021&lt;&gt;0,B2021,A2021)</f>
        <v>172</v>
      </c>
      <c r="B2022" s="893"/>
      <c r="C2022" s="908" t="s">
        <v>1622</v>
      </c>
      <c r="D2022" s="1032"/>
      <c r="E2022" s="947"/>
      <c r="F2022" s="947"/>
      <c r="G2022" s="922"/>
      <c r="H2022" s="1041"/>
      <c r="I2022" s="882"/>
      <c r="J2022" s="898"/>
      <c r="K2022" s="899" t="str">
        <f>IF(G2022&lt;&gt;0,VLOOKUP(G2022,'gia dat'!$A$1:$F$144,5,0)," ")</f>
        <v xml:space="preserve"> </v>
      </c>
      <c r="L2022" s="899" t="str">
        <f>IF(G2022&lt;&gt;0,VLOOKUP(G2022,'gia dat'!$A$1:$F$144,6,0)," ")</f>
        <v xml:space="preserve"> </v>
      </c>
      <c r="M2022" s="900" t="str">
        <f t="shared" si="439"/>
        <v xml:space="preserve"> </v>
      </c>
      <c r="N2022" s="900" t="str">
        <f t="shared" si="440"/>
        <v xml:space="preserve"> </v>
      </c>
      <c r="O2022" s="908"/>
      <c r="P2022" s="1065"/>
      <c r="Q2022" s="900" t="str">
        <f>IF(O2022&lt;&gt;0,VLOOKUP(O2022,'Cây trong'!$A$2:$C$246,3,0)," ")</f>
        <v xml:space="preserve"> </v>
      </c>
      <c r="R2022" s="900" t="str">
        <f t="shared" si="448"/>
        <v xml:space="preserve"> </v>
      </c>
      <c r="S2022" s="902" t="s">
        <v>2386</v>
      </c>
      <c r="T2022" s="944" t="s">
        <v>1133</v>
      </c>
      <c r="U2022" s="1066">
        <v>3.2199999999999998</v>
      </c>
      <c r="V2022" s="922"/>
      <c r="W2022" s="900">
        <f>IF(S2022&lt;&gt;0,VLOOKUP(S2022,VKT!$A$2:$G$415,7,0),"")</f>
        <v>8308812</v>
      </c>
      <c r="X2022" s="900">
        <f t="shared" si="442"/>
        <v>26754000</v>
      </c>
      <c r="Y2022" s="985"/>
      <c r="Z2022" s="922"/>
      <c r="AA2022" s="1067"/>
      <c r="AB2022" s="922"/>
      <c r="AC2022" s="922"/>
      <c r="AD2022" s="922"/>
      <c r="AE2022" s="922"/>
      <c r="AF2022" s="1046"/>
      <c r="AG2022" s="906" t="str">
        <f>IF(AE2022&lt;&gt;0,VLOOKUP(AE2022,ODDS!$A$2:$C$13,3,0),"")</f>
        <v/>
      </c>
      <c r="AH2022" s="906" t="str">
        <f t="shared" si="449"/>
        <v xml:space="preserve"> </v>
      </c>
      <c r="AI2022" s="907" t="str">
        <f t="shared" si="447"/>
        <v xml:space="preserve"> </v>
      </c>
      <c r="AJ2022" s="922" t="s">
        <v>169</v>
      </c>
      <c r="AK2022" s="922" t="s">
        <v>2800</v>
      </c>
    </row>
    <row r="2023" spans="1:37" s="394" customFormat="1" ht="90" outlineLevel="2" x14ac:dyDescent="0.3">
      <c r="A2023" s="447">
        <f t="shared" si="452"/>
        <v>172</v>
      </c>
      <c r="B2023" s="893"/>
      <c r="C2023" s="908"/>
      <c r="D2023" s="1032"/>
      <c r="E2023" s="947"/>
      <c r="F2023" s="947"/>
      <c r="G2023" s="922"/>
      <c r="H2023" s="1041"/>
      <c r="I2023" s="882"/>
      <c r="J2023" s="898"/>
      <c r="K2023" s="899" t="str">
        <f>IF(G2023&lt;&gt;0,VLOOKUP(G2023,'gia dat'!$A$1:$F$144,5,0)," ")</f>
        <v xml:space="preserve"> </v>
      </c>
      <c r="L2023" s="899" t="str">
        <f>IF(G2023&lt;&gt;0,VLOOKUP(G2023,'gia dat'!$A$1:$F$144,6,0)," ")</f>
        <v xml:space="preserve"> </v>
      </c>
      <c r="M2023" s="900" t="str">
        <f t="shared" si="439"/>
        <v xml:space="preserve"> </v>
      </c>
      <c r="N2023" s="900" t="str">
        <f t="shared" si="440"/>
        <v xml:space="preserve"> </v>
      </c>
      <c r="O2023" s="908"/>
      <c r="P2023" s="1065"/>
      <c r="Q2023" s="900" t="str">
        <f>IF(O2023&lt;&gt;0,VLOOKUP(O2023,'Cây trong'!$A$2:$C$246,3,0)," ")</f>
        <v xml:space="preserve"> </v>
      </c>
      <c r="R2023" s="900" t="str">
        <f t="shared" si="448"/>
        <v xml:space="preserve"> </v>
      </c>
      <c r="S2023" s="902" t="s">
        <v>1927</v>
      </c>
      <c r="T2023" s="944" t="s">
        <v>1133</v>
      </c>
      <c r="U2023" s="1066">
        <v>18</v>
      </c>
      <c r="V2023" s="922"/>
      <c r="W2023" s="900">
        <f>IF(S2023&lt;&gt;0,VLOOKUP(S2023,VKT!$A$2:$G$415,7,0),"")</f>
        <v>684506</v>
      </c>
      <c r="X2023" s="900">
        <f t="shared" si="442"/>
        <v>12321000</v>
      </c>
      <c r="Y2023" s="985"/>
      <c r="Z2023" s="922"/>
      <c r="AA2023" s="1067"/>
      <c r="AB2023" s="922"/>
      <c r="AC2023" s="922"/>
      <c r="AD2023" s="922"/>
      <c r="AE2023" s="922"/>
      <c r="AF2023" s="1046"/>
      <c r="AG2023" s="906" t="str">
        <f>IF(AE2023&lt;&gt;0,VLOOKUP(AE2023,ODDS!$A$2:$C$13,3,0),"")</f>
        <v/>
      </c>
      <c r="AH2023" s="906" t="str">
        <f t="shared" si="449"/>
        <v xml:space="preserve"> </v>
      </c>
      <c r="AI2023" s="907" t="str">
        <f t="shared" si="447"/>
        <v xml:space="preserve"> </v>
      </c>
      <c r="AJ2023" s="922"/>
      <c r="AK2023" s="922"/>
    </row>
    <row r="2024" spans="1:37" s="394" customFormat="1" ht="67.5" outlineLevel="2" x14ac:dyDescent="0.3">
      <c r="A2024" s="447">
        <f t="shared" si="452"/>
        <v>172</v>
      </c>
      <c r="B2024" s="893"/>
      <c r="C2024" s="908"/>
      <c r="D2024" s="1032"/>
      <c r="E2024" s="947"/>
      <c r="F2024" s="947"/>
      <c r="G2024" s="922"/>
      <c r="H2024" s="1041"/>
      <c r="I2024" s="882"/>
      <c r="J2024" s="894"/>
      <c r="K2024" s="899" t="str">
        <f>IF(G2024&lt;&gt;0,VLOOKUP(G2024,'gia dat'!$A$1:$F$144,5,0)," ")</f>
        <v xml:space="preserve"> </v>
      </c>
      <c r="L2024" s="899" t="str">
        <f>IF(G2024&lt;&gt;0,VLOOKUP(G2024,'gia dat'!$A$1:$F$144,6,0)," ")</f>
        <v xml:space="preserve"> </v>
      </c>
      <c r="M2024" s="900" t="str">
        <f t="shared" si="439"/>
        <v xml:space="preserve"> </v>
      </c>
      <c r="N2024" s="900" t="str">
        <f t="shared" si="440"/>
        <v xml:space="preserve"> </v>
      </c>
      <c r="O2024" s="908"/>
      <c r="P2024" s="1065"/>
      <c r="Q2024" s="900" t="str">
        <f>IF(O2024&lt;&gt;0,VLOOKUP(O2024,'Cây trong'!$A$2:$C$246,3,0)," ")</f>
        <v xml:space="preserve"> </v>
      </c>
      <c r="R2024" s="900" t="str">
        <f t="shared" si="448"/>
        <v xml:space="preserve"> </v>
      </c>
      <c r="S2024" s="902" t="s">
        <v>2387</v>
      </c>
      <c r="T2024" s="944" t="s">
        <v>1133</v>
      </c>
      <c r="U2024" s="1066">
        <v>10.920000000000002</v>
      </c>
      <c r="V2024" s="922"/>
      <c r="W2024" s="900">
        <f>IF(S2024&lt;&gt;0,VLOOKUP(S2024,VKT!$A$2:$G$415,7,0),"")</f>
        <v>0</v>
      </c>
      <c r="X2024" s="900">
        <f t="shared" si="442"/>
        <v>0</v>
      </c>
      <c r="Y2024" s="985"/>
      <c r="Z2024" s="922"/>
      <c r="AA2024" s="1067"/>
      <c r="AB2024" s="922"/>
      <c r="AC2024" s="922"/>
      <c r="AD2024" s="922"/>
      <c r="AE2024" s="922"/>
      <c r="AF2024" s="1046"/>
      <c r="AG2024" s="906" t="str">
        <f>IF(AE2024&lt;&gt;0,VLOOKUP(AE2024,ODDS!$A$2:$C$13,3,0),"")</f>
        <v/>
      </c>
      <c r="AH2024" s="906" t="str">
        <f t="shared" si="449"/>
        <v xml:space="preserve"> </v>
      </c>
      <c r="AI2024" s="907" t="str">
        <f t="shared" si="447"/>
        <v xml:space="preserve"> </v>
      </c>
      <c r="AJ2024" s="922"/>
      <c r="AK2024" s="922"/>
    </row>
    <row r="2025" spans="1:37" s="394" customFormat="1" ht="22.5" outlineLevel="2" x14ac:dyDescent="0.3">
      <c r="A2025" s="447">
        <f t="shared" si="452"/>
        <v>172</v>
      </c>
      <c r="B2025" s="893"/>
      <c r="C2025" s="908"/>
      <c r="D2025" s="1032"/>
      <c r="E2025" s="947"/>
      <c r="F2025" s="947"/>
      <c r="G2025" s="922"/>
      <c r="H2025" s="1041"/>
      <c r="I2025" s="882"/>
      <c r="J2025" s="894"/>
      <c r="K2025" s="899" t="str">
        <f>IF(G2025&lt;&gt;0,VLOOKUP(G2025,'gia dat'!$A$1:$F$144,5,0)," ")</f>
        <v xml:space="preserve"> </v>
      </c>
      <c r="L2025" s="899" t="str">
        <f>IF(G2025&lt;&gt;0,VLOOKUP(G2025,'gia dat'!$A$1:$F$144,6,0)," ")</f>
        <v xml:space="preserve"> </v>
      </c>
      <c r="M2025" s="900" t="str">
        <f t="shared" si="439"/>
        <v xml:space="preserve"> </v>
      </c>
      <c r="N2025" s="900" t="str">
        <f t="shared" si="440"/>
        <v xml:space="preserve"> </v>
      </c>
      <c r="O2025" s="908"/>
      <c r="P2025" s="1065"/>
      <c r="Q2025" s="900" t="str">
        <f>IF(O2025&lt;&gt;0,VLOOKUP(O2025,'Cây trong'!$A$2:$C$246,3,0)," ")</f>
        <v xml:space="preserve"> </v>
      </c>
      <c r="R2025" s="900" t="str">
        <f t="shared" si="448"/>
        <v xml:space="preserve"> </v>
      </c>
      <c r="S2025" s="902"/>
      <c r="T2025" s="944"/>
      <c r="U2025" s="1066"/>
      <c r="V2025" s="922"/>
      <c r="W2025" s="900" t="str">
        <f>IF(S2025&lt;&gt;0,VLOOKUP(S2025,VKT!$A$2:$G$415,7,0),"")</f>
        <v/>
      </c>
      <c r="X2025" s="900" t="str">
        <f t="shared" si="442"/>
        <v xml:space="preserve"> </v>
      </c>
      <c r="Y2025" s="985"/>
      <c r="Z2025" s="922"/>
      <c r="AA2025" s="1067"/>
      <c r="AB2025" s="922"/>
      <c r="AC2025" s="922"/>
      <c r="AD2025" s="922"/>
      <c r="AE2025" s="922"/>
      <c r="AF2025" s="1046"/>
      <c r="AG2025" s="906" t="str">
        <f>IF(AE2025&lt;&gt;0,VLOOKUP(AE2025,ODDS!$A$2:$C$13,3,0),"")</f>
        <v/>
      </c>
      <c r="AH2025" s="906" t="str">
        <f t="shared" si="449"/>
        <v xml:space="preserve"> </v>
      </c>
      <c r="AI2025" s="907" t="str">
        <f t="shared" si="447"/>
        <v xml:space="preserve"> </v>
      </c>
      <c r="AJ2025" s="922"/>
      <c r="AK2025" s="922"/>
    </row>
    <row r="2026" spans="1:37" s="394" customFormat="1" ht="22.5" outlineLevel="2" x14ac:dyDescent="0.3">
      <c r="A2026" s="447">
        <f t="shared" si="452"/>
        <v>172</v>
      </c>
      <c r="B2026" s="893"/>
      <c r="C2026" s="908"/>
      <c r="D2026" s="1032"/>
      <c r="E2026" s="947"/>
      <c r="F2026" s="947"/>
      <c r="G2026" s="922"/>
      <c r="H2026" s="1041"/>
      <c r="I2026" s="882"/>
      <c r="J2026" s="894"/>
      <c r="K2026" s="899" t="str">
        <f>IF(G2026&lt;&gt;0,VLOOKUP(G2026,'gia dat'!$A$1:$F$144,5,0)," ")</f>
        <v xml:space="preserve"> </v>
      </c>
      <c r="L2026" s="899" t="str">
        <f>IF(G2026&lt;&gt;0,VLOOKUP(G2026,'gia dat'!$A$1:$F$144,6,0)," ")</f>
        <v xml:space="preserve"> </v>
      </c>
      <c r="M2026" s="900" t="str">
        <f t="shared" si="439"/>
        <v xml:space="preserve"> </v>
      </c>
      <c r="N2026" s="900" t="str">
        <f t="shared" si="440"/>
        <v xml:space="preserve"> </v>
      </c>
      <c r="O2026" s="908"/>
      <c r="P2026" s="1065"/>
      <c r="Q2026" s="900" t="str">
        <f>IF(O2026&lt;&gt;0,VLOOKUP(O2026,'Cây trong'!$A$2:$C$246,3,0)," ")</f>
        <v xml:space="preserve"> </v>
      </c>
      <c r="R2026" s="900" t="str">
        <f t="shared" si="448"/>
        <v xml:space="preserve"> </v>
      </c>
      <c r="S2026" s="908"/>
      <c r="T2026" s="944"/>
      <c r="U2026" s="1066"/>
      <c r="V2026" s="922"/>
      <c r="W2026" s="900" t="str">
        <f>IF(S2026&lt;&gt;0,VLOOKUP(S2026,VKT!$A$2:$G$415,7,0),"")</f>
        <v/>
      </c>
      <c r="X2026" s="900" t="str">
        <f t="shared" si="442"/>
        <v xml:space="preserve"> </v>
      </c>
      <c r="Y2026" s="985"/>
      <c r="Z2026" s="922"/>
      <c r="AA2026" s="1067"/>
      <c r="AB2026" s="922"/>
      <c r="AC2026" s="922"/>
      <c r="AD2026" s="922"/>
      <c r="AE2026" s="922"/>
      <c r="AF2026" s="1046"/>
      <c r="AG2026" s="906" t="str">
        <f>IF(AE2026&lt;&gt;0,VLOOKUP(AE2026,ODDS!$A$2:$C$13,3,0),"")</f>
        <v/>
      </c>
      <c r="AH2026" s="906" t="str">
        <f t="shared" si="449"/>
        <v xml:space="preserve"> </v>
      </c>
      <c r="AI2026" s="907" t="str">
        <f t="shared" si="447"/>
        <v xml:space="preserve"> </v>
      </c>
      <c r="AJ2026" s="908"/>
      <c r="AK2026" s="908"/>
    </row>
    <row r="2027" spans="1:37" s="394" customFormat="1" ht="22.5" outlineLevel="2" x14ac:dyDescent="0.3">
      <c r="A2027" s="447">
        <f t="shared" si="452"/>
        <v>172</v>
      </c>
      <c r="B2027" s="893"/>
      <c r="C2027" s="942"/>
      <c r="D2027" s="1032"/>
      <c r="E2027" s="947"/>
      <c r="F2027" s="947"/>
      <c r="G2027" s="922"/>
      <c r="H2027" s="1041"/>
      <c r="I2027" s="882"/>
      <c r="J2027" s="894"/>
      <c r="K2027" s="899" t="str">
        <f>IF(G2027&lt;&gt;0,VLOOKUP(G2027,'gia dat'!$A$1:$F$144,5,0)," ")</f>
        <v xml:space="preserve"> </v>
      </c>
      <c r="L2027" s="899" t="str">
        <f>IF(G2027&lt;&gt;0,VLOOKUP(G2027,'gia dat'!$A$1:$F$144,6,0)," ")</f>
        <v xml:space="preserve"> </v>
      </c>
      <c r="M2027" s="900" t="str">
        <f t="shared" si="439"/>
        <v xml:space="preserve"> </v>
      </c>
      <c r="N2027" s="900" t="str">
        <f t="shared" si="440"/>
        <v xml:space="preserve"> </v>
      </c>
      <c r="O2027" s="908"/>
      <c r="P2027" s="1065"/>
      <c r="Q2027" s="900" t="str">
        <f>IF(O2027&lt;&gt;0,VLOOKUP(O2027,'Cây trong'!$A$2:$C$246,3,0)," ")</f>
        <v xml:space="preserve"> </v>
      </c>
      <c r="R2027" s="900" t="str">
        <f t="shared" si="448"/>
        <v xml:space="preserve"> </v>
      </c>
      <c r="S2027" s="908"/>
      <c r="T2027" s="944"/>
      <c r="U2027" s="1066"/>
      <c r="V2027" s="922"/>
      <c r="W2027" s="900" t="str">
        <f>IF(S2027&lt;&gt;0,VLOOKUP(S2027,VKT!$A$2:$G$415,7,0),"")</f>
        <v/>
      </c>
      <c r="X2027" s="900" t="str">
        <f t="shared" si="442"/>
        <v xml:space="preserve"> </v>
      </c>
      <c r="Y2027" s="985"/>
      <c r="Z2027" s="922"/>
      <c r="AA2027" s="1067"/>
      <c r="AB2027" s="922"/>
      <c r="AC2027" s="922"/>
      <c r="AD2027" s="922"/>
      <c r="AE2027" s="922"/>
      <c r="AF2027" s="1046"/>
      <c r="AG2027" s="906" t="str">
        <f>IF(AE2027&lt;&gt;0,VLOOKUP(AE2027,ODDS!$A$2:$C$13,3,0),"")</f>
        <v/>
      </c>
      <c r="AH2027" s="906" t="str">
        <f t="shared" si="449"/>
        <v xml:space="preserve"> </v>
      </c>
      <c r="AI2027" s="907" t="str">
        <f t="shared" si="447"/>
        <v xml:space="preserve"> </v>
      </c>
      <c r="AJ2027" s="908"/>
      <c r="AK2027" s="908"/>
    </row>
    <row r="2028" spans="1:37" s="394" customFormat="1" ht="43.5" outlineLevel="1" x14ac:dyDescent="0.25">
      <c r="A2028" s="467" t="s">
        <v>2537</v>
      </c>
      <c r="B2028" s="912">
        <v>173</v>
      </c>
      <c r="C2028" s="942" t="s">
        <v>1376</v>
      </c>
      <c r="D2028" s="1038"/>
      <c r="E2028" s="977"/>
      <c r="F2028" s="977"/>
      <c r="G2028" s="914"/>
      <c r="H2028" s="1039">
        <f>SUBTOTAL(9,H2029:H2035)</f>
        <v>0</v>
      </c>
      <c r="I2028" s="915">
        <f>SUBTOTAL(9,I2029:I2034)</f>
        <v>0</v>
      </c>
      <c r="J2028" s="916"/>
      <c r="K2028" s="917"/>
      <c r="L2028" s="917"/>
      <c r="M2028" s="907">
        <f>SUBTOTAL(9,M2029:M2035)</f>
        <v>0</v>
      </c>
      <c r="N2028" s="907">
        <f>SUBTOTAL(9,N2029:N2035)</f>
        <v>0</v>
      </c>
      <c r="O2028" s="942"/>
      <c r="P2028" s="1063">
        <f>SUBTOTAL(9,P2029:P2035)</f>
        <v>0</v>
      </c>
      <c r="Q2028" s="907"/>
      <c r="R2028" s="907">
        <f>SUBTOTAL(9,R2029:R2035)</f>
        <v>0</v>
      </c>
      <c r="S2028" s="918"/>
      <c r="T2028" s="956"/>
      <c r="U2028" s="1064">
        <f>SUBTOTAL(9,U2029:U2035)</f>
        <v>52.44</v>
      </c>
      <c r="V2028" s="914"/>
      <c r="W2028" s="907"/>
      <c r="X2028" s="907">
        <f>SUBTOTAL(9,X2029:X2035)</f>
        <v>125745000</v>
      </c>
      <c r="Y2028" s="996"/>
      <c r="Z2028" s="1016"/>
      <c r="AA2028" s="1016"/>
      <c r="AB2028" s="1026"/>
      <c r="AC2028" s="1016"/>
      <c r="AD2028" s="1016"/>
      <c r="AE2028" s="985"/>
      <c r="AF2028" s="935">
        <f>SUBTOTAL(9,AF2029:AF2035)</f>
        <v>0</v>
      </c>
      <c r="AG2028" s="921"/>
      <c r="AH2028" s="921">
        <f>SUBTOTAL(9,AH2029:AH2035)</f>
        <v>0</v>
      </c>
      <c r="AI2028" s="907">
        <f t="shared" si="447"/>
        <v>125745000</v>
      </c>
      <c r="AJ2028" s="914"/>
      <c r="AK2028" s="910"/>
    </row>
    <row r="2029" spans="1:37" s="394" customFormat="1" ht="112.5" outlineLevel="2" x14ac:dyDescent="0.3">
      <c r="A2029" s="447">
        <f>IF(B2028&lt;&gt;0,B2028,A2027)</f>
        <v>173</v>
      </c>
      <c r="B2029" s="893"/>
      <c r="C2029" s="908" t="s">
        <v>1378</v>
      </c>
      <c r="D2029" s="1032"/>
      <c r="E2029" s="947"/>
      <c r="F2029" s="947"/>
      <c r="G2029" s="922"/>
      <c r="H2029" s="1041"/>
      <c r="I2029" s="882"/>
      <c r="J2029" s="898"/>
      <c r="K2029" s="899" t="str">
        <f>IF(G2029&lt;&gt;0,VLOOKUP(G2029,'gia dat'!$A$1:$F$144,5,0)," ")</f>
        <v xml:space="preserve"> </v>
      </c>
      <c r="L2029" s="899" t="str">
        <f>IF(G2029&lt;&gt;0,VLOOKUP(G2029,'gia dat'!$A$1:$F$144,6,0)," ")</f>
        <v xml:space="preserve"> </v>
      </c>
      <c r="M2029" s="900" t="str">
        <f t="shared" si="439"/>
        <v xml:space="preserve"> </v>
      </c>
      <c r="N2029" s="900" t="str">
        <f t="shared" si="440"/>
        <v xml:space="preserve"> </v>
      </c>
      <c r="O2029" s="908"/>
      <c r="P2029" s="1065"/>
      <c r="Q2029" s="900" t="str">
        <f>IF(O2029&lt;&gt;0,VLOOKUP(O2029,'Cây trong'!$A$2:$C$246,3,0)," ")</f>
        <v xml:space="preserve"> </v>
      </c>
      <c r="R2029" s="900" t="str">
        <f t="shared" si="448"/>
        <v xml:space="preserve"> </v>
      </c>
      <c r="S2029" s="902" t="s">
        <v>1838</v>
      </c>
      <c r="T2029" s="944" t="s">
        <v>1133</v>
      </c>
      <c r="U2029" s="1066">
        <v>26.42</v>
      </c>
      <c r="V2029" s="922"/>
      <c r="W2029" s="900">
        <f>IF(S2029&lt;&gt;0,VLOOKUP(S2029,VKT!$A$2:$G$415,7,0),"")</f>
        <v>3156089</v>
      </c>
      <c r="X2029" s="900">
        <f t="shared" si="442"/>
        <v>83384000</v>
      </c>
      <c r="Y2029" s="996" t="s">
        <v>1138</v>
      </c>
      <c r="Z2029" s="1016" t="s">
        <v>1139</v>
      </c>
      <c r="AA2029" s="1016" t="s">
        <v>56</v>
      </c>
      <c r="AB2029" s="1026" t="s">
        <v>269</v>
      </c>
      <c r="AC2029" s="1016" t="s">
        <v>1138</v>
      </c>
      <c r="AD2029" s="1016"/>
      <c r="AE2029" s="1016"/>
      <c r="AF2029" s="926"/>
      <c r="AG2029" s="906" t="str">
        <f>IF(AE2029&lt;&gt;0,VLOOKUP(AE2029,ODDS!$A$2:$C$13,3,0),"")</f>
        <v/>
      </c>
      <c r="AH2029" s="906" t="str">
        <f t="shared" si="449"/>
        <v xml:space="preserve"> </v>
      </c>
      <c r="AI2029" s="907" t="str">
        <f t="shared" si="447"/>
        <v xml:space="preserve"> </v>
      </c>
      <c r="AJ2029" s="922" t="s">
        <v>1377</v>
      </c>
      <c r="AK2029" s="894" t="s">
        <v>2450</v>
      </c>
    </row>
    <row r="2030" spans="1:37" s="394" customFormat="1" ht="112.5" outlineLevel="2" x14ac:dyDescent="0.3">
      <c r="A2030" s="447">
        <f t="shared" ref="A2030:A2035" si="453">IF(B2029&lt;&gt;0,B2029,A2029)</f>
        <v>173</v>
      </c>
      <c r="B2030" s="893"/>
      <c r="C2030" s="908" t="s">
        <v>1623</v>
      </c>
      <c r="D2030" s="1032"/>
      <c r="E2030" s="947"/>
      <c r="F2030" s="947"/>
      <c r="G2030" s="922"/>
      <c r="H2030" s="1041"/>
      <c r="I2030" s="882"/>
      <c r="J2030" s="898"/>
      <c r="K2030" s="899" t="str">
        <f>IF(G2030&lt;&gt;0,VLOOKUP(G2030,'gia dat'!$A$1:$F$144,5,0)," ")</f>
        <v xml:space="preserve"> </v>
      </c>
      <c r="L2030" s="899" t="str">
        <f>IF(G2030&lt;&gt;0,VLOOKUP(G2030,'gia dat'!$A$1:$F$144,6,0)," ")</f>
        <v xml:space="preserve"> </v>
      </c>
      <c r="M2030" s="900" t="str">
        <f t="shared" si="439"/>
        <v xml:space="preserve"> </v>
      </c>
      <c r="N2030" s="900" t="str">
        <f t="shared" si="440"/>
        <v xml:space="preserve"> </v>
      </c>
      <c r="O2030" s="908"/>
      <c r="P2030" s="1065"/>
      <c r="Q2030" s="900" t="str">
        <f>IF(O2030&lt;&gt;0,VLOOKUP(O2030,'Cây trong'!$A$2:$C$246,3,0)," ")</f>
        <v xml:space="preserve"> </v>
      </c>
      <c r="R2030" s="900" t="str">
        <f t="shared" si="448"/>
        <v xml:space="preserve"> </v>
      </c>
      <c r="S2030" s="902" t="s">
        <v>2386</v>
      </c>
      <c r="T2030" s="944" t="s">
        <v>1133</v>
      </c>
      <c r="U2030" s="1066">
        <v>3.2199999999999998</v>
      </c>
      <c r="V2030" s="922"/>
      <c r="W2030" s="900">
        <f>IF(S2030&lt;&gt;0,VLOOKUP(S2030,VKT!$A$2:$G$415,7,0),"")</f>
        <v>8308812</v>
      </c>
      <c r="X2030" s="900">
        <f t="shared" si="442"/>
        <v>26754000</v>
      </c>
      <c r="Y2030" s="985"/>
      <c r="Z2030" s="922"/>
      <c r="AA2030" s="1067"/>
      <c r="AB2030" s="922"/>
      <c r="AC2030" s="922"/>
      <c r="AD2030" s="922"/>
      <c r="AE2030" s="922"/>
      <c r="AF2030" s="1046"/>
      <c r="AG2030" s="906" t="str">
        <f>IF(AE2030&lt;&gt;0,VLOOKUP(AE2030,ODDS!$A$2:$C$13,3,0),"")</f>
        <v/>
      </c>
      <c r="AH2030" s="906" t="str">
        <f t="shared" si="449"/>
        <v xml:space="preserve"> </v>
      </c>
      <c r="AI2030" s="907" t="str">
        <f t="shared" si="447"/>
        <v xml:space="preserve"> </v>
      </c>
      <c r="AJ2030" s="922" t="s">
        <v>169</v>
      </c>
      <c r="AK2030" s="922" t="s">
        <v>2800</v>
      </c>
    </row>
    <row r="2031" spans="1:37" s="394" customFormat="1" ht="90" outlineLevel="2" x14ac:dyDescent="0.3">
      <c r="A2031" s="447">
        <f t="shared" si="453"/>
        <v>173</v>
      </c>
      <c r="B2031" s="893"/>
      <c r="C2031" s="908"/>
      <c r="D2031" s="1032"/>
      <c r="E2031" s="947"/>
      <c r="F2031" s="947"/>
      <c r="G2031" s="922"/>
      <c r="H2031" s="1041"/>
      <c r="I2031" s="882"/>
      <c r="J2031" s="898"/>
      <c r="K2031" s="899" t="str">
        <f>IF(G2031&lt;&gt;0,VLOOKUP(G2031,'gia dat'!$A$1:$F$144,5,0)," ")</f>
        <v xml:space="preserve"> </v>
      </c>
      <c r="L2031" s="899" t="str">
        <f>IF(G2031&lt;&gt;0,VLOOKUP(G2031,'gia dat'!$A$1:$F$144,6,0)," ")</f>
        <v xml:space="preserve"> </v>
      </c>
      <c r="M2031" s="900" t="str">
        <f t="shared" si="439"/>
        <v xml:space="preserve"> </v>
      </c>
      <c r="N2031" s="900" t="str">
        <f t="shared" si="440"/>
        <v xml:space="preserve"> </v>
      </c>
      <c r="O2031" s="908"/>
      <c r="P2031" s="1065"/>
      <c r="Q2031" s="900" t="str">
        <f>IF(O2031&lt;&gt;0,VLOOKUP(O2031,'Cây trong'!$A$2:$C$246,3,0)," ")</f>
        <v xml:space="preserve"> </v>
      </c>
      <c r="R2031" s="900" t="str">
        <f t="shared" si="448"/>
        <v xml:space="preserve"> </v>
      </c>
      <c r="S2031" s="902" t="s">
        <v>1927</v>
      </c>
      <c r="T2031" s="944" t="s">
        <v>1133</v>
      </c>
      <c r="U2031" s="1066">
        <v>22.8</v>
      </c>
      <c r="V2031" s="922"/>
      <c r="W2031" s="900">
        <f>IF(S2031&lt;&gt;0,VLOOKUP(S2031,VKT!$A$2:$G$415,7,0),"")</f>
        <v>684506</v>
      </c>
      <c r="X2031" s="900">
        <f t="shared" si="442"/>
        <v>15607000</v>
      </c>
      <c r="Y2031" s="985"/>
      <c r="Z2031" s="922"/>
      <c r="AA2031" s="1067"/>
      <c r="AB2031" s="922"/>
      <c r="AC2031" s="922"/>
      <c r="AD2031" s="922"/>
      <c r="AE2031" s="922"/>
      <c r="AF2031" s="1046"/>
      <c r="AG2031" s="906" t="str">
        <f>IF(AE2031&lt;&gt;0,VLOOKUP(AE2031,ODDS!$A$2:$C$13,3,0),"")</f>
        <v/>
      </c>
      <c r="AH2031" s="906" t="str">
        <f t="shared" si="449"/>
        <v xml:space="preserve"> </v>
      </c>
      <c r="AI2031" s="907" t="str">
        <f t="shared" si="447"/>
        <v xml:space="preserve"> </v>
      </c>
      <c r="AJ2031" s="922"/>
      <c r="AK2031" s="922"/>
    </row>
    <row r="2032" spans="1:37" s="394" customFormat="1" ht="22.5" outlineLevel="2" x14ac:dyDescent="0.3">
      <c r="A2032" s="447">
        <f t="shared" si="453"/>
        <v>173</v>
      </c>
      <c r="B2032" s="893"/>
      <c r="C2032" s="908"/>
      <c r="D2032" s="1032"/>
      <c r="E2032" s="947"/>
      <c r="F2032" s="947"/>
      <c r="G2032" s="922"/>
      <c r="H2032" s="1041"/>
      <c r="I2032" s="882"/>
      <c r="J2032" s="894"/>
      <c r="K2032" s="899" t="str">
        <f>IF(G2032&lt;&gt;0,VLOOKUP(G2032,'gia dat'!$A$1:$F$144,5,0)," ")</f>
        <v xml:space="preserve"> </v>
      </c>
      <c r="L2032" s="899" t="str">
        <f>IF(G2032&lt;&gt;0,VLOOKUP(G2032,'gia dat'!$A$1:$F$144,6,0)," ")</f>
        <v xml:space="preserve"> </v>
      </c>
      <c r="M2032" s="900" t="str">
        <f t="shared" si="439"/>
        <v xml:space="preserve"> </v>
      </c>
      <c r="N2032" s="900" t="str">
        <f t="shared" si="440"/>
        <v xml:space="preserve"> </v>
      </c>
      <c r="O2032" s="908"/>
      <c r="P2032" s="1065"/>
      <c r="Q2032" s="900" t="str">
        <f>IF(O2032&lt;&gt;0,VLOOKUP(O2032,'Cây trong'!$A$2:$C$246,3,0)," ")</f>
        <v xml:space="preserve"> </v>
      </c>
      <c r="R2032" s="900" t="str">
        <f t="shared" si="448"/>
        <v xml:space="preserve"> </v>
      </c>
      <c r="S2032" s="902"/>
      <c r="T2032" s="944"/>
      <c r="U2032" s="1066"/>
      <c r="V2032" s="922"/>
      <c r="W2032" s="900" t="str">
        <f>IF(S2032&lt;&gt;0,VLOOKUP(S2032,VKT!$A$2:$G$415,7,0),"")</f>
        <v/>
      </c>
      <c r="X2032" s="900" t="str">
        <f t="shared" si="442"/>
        <v xml:space="preserve"> </v>
      </c>
      <c r="Y2032" s="985"/>
      <c r="Z2032" s="922"/>
      <c r="AA2032" s="1067"/>
      <c r="AB2032" s="922"/>
      <c r="AC2032" s="922"/>
      <c r="AD2032" s="922"/>
      <c r="AE2032" s="922"/>
      <c r="AF2032" s="1046"/>
      <c r="AG2032" s="906" t="str">
        <f>IF(AE2032&lt;&gt;0,VLOOKUP(AE2032,ODDS!$A$2:$C$13,3,0),"")</f>
        <v/>
      </c>
      <c r="AH2032" s="906" t="str">
        <f t="shared" si="449"/>
        <v xml:space="preserve"> </v>
      </c>
      <c r="AI2032" s="907" t="str">
        <f t="shared" si="447"/>
        <v xml:space="preserve"> </v>
      </c>
      <c r="AJ2032" s="922"/>
      <c r="AK2032" s="922"/>
    </row>
    <row r="2033" spans="1:38" s="394" customFormat="1" ht="22.5" outlineLevel="2" x14ac:dyDescent="0.3">
      <c r="A2033" s="447">
        <f t="shared" si="453"/>
        <v>173</v>
      </c>
      <c r="B2033" s="893"/>
      <c r="C2033" s="908"/>
      <c r="D2033" s="1032"/>
      <c r="E2033" s="947"/>
      <c r="F2033" s="947"/>
      <c r="G2033" s="922"/>
      <c r="H2033" s="1041"/>
      <c r="I2033" s="882"/>
      <c r="J2033" s="894"/>
      <c r="K2033" s="899" t="str">
        <f>IF(G2033&lt;&gt;0,VLOOKUP(G2033,'gia dat'!$A$1:$F$144,5,0)," ")</f>
        <v xml:space="preserve"> </v>
      </c>
      <c r="L2033" s="899" t="str">
        <f>IF(G2033&lt;&gt;0,VLOOKUP(G2033,'gia dat'!$A$1:$F$144,6,0)," ")</f>
        <v xml:space="preserve"> </v>
      </c>
      <c r="M2033" s="900" t="str">
        <f t="shared" si="439"/>
        <v xml:space="preserve"> </v>
      </c>
      <c r="N2033" s="900" t="str">
        <f t="shared" si="440"/>
        <v xml:space="preserve"> </v>
      </c>
      <c r="O2033" s="908"/>
      <c r="P2033" s="1065"/>
      <c r="Q2033" s="900" t="str">
        <f>IF(O2033&lt;&gt;0,VLOOKUP(O2033,'Cây trong'!$A$2:$C$246,3,0)," ")</f>
        <v xml:space="preserve"> </v>
      </c>
      <c r="R2033" s="900" t="str">
        <f t="shared" si="448"/>
        <v xml:space="preserve"> </v>
      </c>
      <c r="S2033" s="902"/>
      <c r="T2033" s="944"/>
      <c r="U2033" s="1066"/>
      <c r="V2033" s="922"/>
      <c r="W2033" s="900" t="str">
        <f>IF(S2033&lt;&gt;0,VLOOKUP(S2033,VKT!$A$2:$G$415,7,0),"")</f>
        <v/>
      </c>
      <c r="X2033" s="900" t="str">
        <f t="shared" si="442"/>
        <v xml:space="preserve"> </v>
      </c>
      <c r="Y2033" s="985"/>
      <c r="Z2033" s="922"/>
      <c r="AA2033" s="1067"/>
      <c r="AB2033" s="922"/>
      <c r="AC2033" s="922"/>
      <c r="AD2033" s="922"/>
      <c r="AE2033" s="922"/>
      <c r="AF2033" s="1046"/>
      <c r="AG2033" s="906" t="str">
        <f>IF(AE2033&lt;&gt;0,VLOOKUP(AE2033,ODDS!$A$2:$C$13,3,0),"")</f>
        <v/>
      </c>
      <c r="AH2033" s="906" t="str">
        <f t="shared" si="449"/>
        <v xml:space="preserve"> </v>
      </c>
      <c r="AI2033" s="907" t="str">
        <f t="shared" si="447"/>
        <v xml:space="preserve"> </v>
      </c>
      <c r="AJ2033" s="922"/>
      <c r="AK2033" s="922"/>
    </row>
    <row r="2034" spans="1:38" s="394" customFormat="1" ht="22.5" outlineLevel="2" x14ac:dyDescent="0.3">
      <c r="A2034" s="447">
        <f t="shared" si="453"/>
        <v>173</v>
      </c>
      <c r="B2034" s="893"/>
      <c r="C2034" s="922"/>
      <c r="D2034" s="1032"/>
      <c r="E2034" s="947"/>
      <c r="F2034" s="947"/>
      <c r="G2034" s="922"/>
      <c r="H2034" s="1041"/>
      <c r="I2034" s="882"/>
      <c r="J2034" s="894"/>
      <c r="K2034" s="899" t="str">
        <f>IF(G2034&lt;&gt;0,VLOOKUP(G2034,'gia dat'!$A$1:$F$144,5,0)," ")</f>
        <v xml:space="preserve"> </v>
      </c>
      <c r="L2034" s="899" t="str">
        <f>IF(G2034&lt;&gt;0,VLOOKUP(G2034,'gia dat'!$A$1:$F$144,6,0)," ")</f>
        <v xml:space="preserve"> </v>
      </c>
      <c r="M2034" s="900" t="str">
        <f t="shared" si="439"/>
        <v xml:space="preserve"> </v>
      </c>
      <c r="N2034" s="900" t="str">
        <f t="shared" si="440"/>
        <v xml:space="preserve"> </v>
      </c>
      <c r="O2034" s="908"/>
      <c r="P2034" s="1065"/>
      <c r="Q2034" s="900" t="str">
        <f>IF(O2034&lt;&gt;0,VLOOKUP(O2034,'Cây trong'!$A$2:$C$246,3,0)," ")</f>
        <v xml:space="preserve"> </v>
      </c>
      <c r="R2034" s="900" t="str">
        <f t="shared" si="448"/>
        <v xml:space="preserve"> </v>
      </c>
      <c r="S2034" s="908"/>
      <c r="T2034" s="944"/>
      <c r="U2034" s="1066"/>
      <c r="V2034" s="922"/>
      <c r="W2034" s="900" t="str">
        <f>IF(S2034&lt;&gt;0,VLOOKUP(S2034,VKT!$A$2:$G$415,7,0),"")</f>
        <v/>
      </c>
      <c r="X2034" s="900" t="str">
        <f t="shared" si="442"/>
        <v xml:space="preserve"> </v>
      </c>
      <c r="Y2034" s="985"/>
      <c r="Z2034" s="922"/>
      <c r="AA2034" s="1067"/>
      <c r="AB2034" s="922"/>
      <c r="AC2034" s="922"/>
      <c r="AD2034" s="922"/>
      <c r="AE2034" s="922"/>
      <c r="AF2034" s="1046"/>
      <c r="AG2034" s="906" t="str">
        <f>IF(AE2034&lt;&gt;0,VLOOKUP(AE2034,ODDS!$A$2:$C$13,3,0),"")</f>
        <v/>
      </c>
      <c r="AH2034" s="906" t="str">
        <f t="shared" si="449"/>
        <v xml:space="preserve"> </v>
      </c>
      <c r="AI2034" s="907" t="str">
        <f t="shared" si="447"/>
        <v xml:space="preserve"> </v>
      </c>
      <c r="AJ2034" s="922"/>
      <c r="AK2034" s="922"/>
    </row>
    <row r="2035" spans="1:38" s="394" customFormat="1" ht="22.5" outlineLevel="2" x14ac:dyDescent="0.3">
      <c r="A2035" s="447">
        <f t="shared" si="453"/>
        <v>173</v>
      </c>
      <c r="B2035" s="893"/>
      <c r="C2035" s="942"/>
      <c r="D2035" s="1032"/>
      <c r="E2035" s="947"/>
      <c r="F2035" s="947"/>
      <c r="G2035" s="922"/>
      <c r="H2035" s="1041"/>
      <c r="I2035" s="882"/>
      <c r="J2035" s="894"/>
      <c r="K2035" s="899" t="str">
        <f>IF(G2035&lt;&gt;0,VLOOKUP(G2035,'gia dat'!$A$1:$F$144,5,0)," ")</f>
        <v xml:space="preserve"> </v>
      </c>
      <c r="L2035" s="899" t="str">
        <f>IF(G2035&lt;&gt;0,VLOOKUP(G2035,'gia dat'!$A$1:$F$144,6,0)," ")</f>
        <v xml:space="preserve"> </v>
      </c>
      <c r="M2035" s="900" t="str">
        <f t="shared" si="439"/>
        <v xml:space="preserve"> </v>
      </c>
      <c r="N2035" s="900" t="str">
        <f t="shared" si="440"/>
        <v xml:space="preserve"> </v>
      </c>
      <c r="O2035" s="908"/>
      <c r="P2035" s="1065"/>
      <c r="Q2035" s="900" t="str">
        <f>IF(O2035&lt;&gt;0,VLOOKUP(O2035,'Cây trong'!$A$2:$C$246,3,0)," ")</f>
        <v xml:space="preserve"> </v>
      </c>
      <c r="R2035" s="900" t="str">
        <f t="shared" si="448"/>
        <v xml:space="preserve"> </v>
      </c>
      <c r="S2035" s="908"/>
      <c r="T2035" s="944"/>
      <c r="U2035" s="1066"/>
      <c r="V2035" s="922"/>
      <c r="W2035" s="900" t="str">
        <f>IF(S2035&lt;&gt;0,VLOOKUP(S2035,VKT!$A$2:$G$415,7,0),"")</f>
        <v/>
      </c>
      <c r="X2035" s="900" t="str">
        <f t="shared" si="442"/>
        <v xml:space="preserve"> </v>
      </c>
      <c r="Y2035" s="985"/>
      <c r="Z2035" s="922"/>
      <c r="AA2035" s="1067"/>
      <c r="AB2035" s="922"/>
      <c r="AC2035" s="922"/>
      <c r="AD2035" s="922"/>
      <c r="AE2035" s="922"/>
      <c r="AF2035" s="1046"/>
      <c r="AG2035" s="906" t="str">
        <f>IF(AE2035&lt;&gt;0,VLOOKUP(AE2035,ODDS!$A$2:$C$13,3,0),"")</f>
        <v/>
      </c>
      <c r="AH2035" s="906" t="str">
        <f t="shared" si="449"/>
        <v xml:space="preserve"> </v>
      </c>
      <c r="AI2035" s="907" t="str">
        <f t="shared" si="447"/>
        <v xml:space="preserve"> </v>
      </c>
      <c r="AJ2035" s="908"/>
      <c r="AK2035" s="908"/>
    </row>
    <row r="2036" spans="1:38" s="394" customFormat="1" ht="22.5" outlineLevel="1" x14ac:dyDescent="0.25">
      <c r="A2036" s="467" t="s">
        <v>2536</v>
      </c>
      <c r="B2036" s="912">
        <v>174</v>
      </c>
      <c r="C2036" s="942" t="s">
        <v>1379</v>
      </c>
      <c r="D2036" s="1038"/>
      <c r="E2036" s="977"/>
      <c r="F2036" s="977"/>
      <c r="G2036" s="914"/>
      <c r="H2036" s="1039">
        <f>SUBTOTAL(9,H2037:H2043)</f>
        <v>0</v>
      </c>
      <c r="I2036" s="915">
        <f>SUBTOTAL(9,I2037:I2042)</f>
        <v>0</v>
      </c>
      <c r="J2036" s="916"/>
      <c r="K2036" s="917"/>
      <c r="L2036" s="917"/>
      <c r="M2036" s="907">
        <f>SUBTOTAL(9,M2037:M2043)</f>
        <v>0</v>
      </c>
      <c r="N2036" s="907">
        <f>SUBTOTAL(9,N2037:N2043)</f>
        <v>0</v>
      </c>
      <c r="O2036" s="942"/>
      <c r="P2036" s="1063">
        <f>SUBTOTAL(9,P2037:P2043)</f>
        <v>0</v>
      </c>
      <c r="Q2036" s="907"/>
      <c r="R2036" s="907">
        <f>SUBTOTAL(9,R2037:R2043)</f>
        <v>0</v>
      </c>
      <c r="S2036" s="918"/>
      <c r="T2036" s="956"/>
      <c r="U2036" s="1064">
        <f>SUBTOTAL(9,U2037:U2043)</f>
        <v>51.870000000000005</v>
      </c>
      <c r="V2036" s="914"/>
      <c r="W2036" s="907"/>
      <c r="X2036" s="907">
        <f>SUBTOTAL(9,X2037:X2043)</f>
        <v>100211000</v>
      </c>
      <c r="Y2036" s="996"/>
      <c r="Z2036" s="1016"/>
      <c r="AA2036" s="1016"/>
      <c r="AB2036" s="1026"/>
      <c r="AC2036" s="1016"/>
      <c r="AD2036" s="1016"/>
      <c r="AE2036" s="985"/>
      <c r="AF2036" s="935">
        <f>SUBTOTAL(9,AF2037:AF2043)</f>
        <v>0</v>
      </c>
      <c r="AG2036" s="921"/>
      <c r="AH2036" s="921">
        <f>SUBTOTAL(9,AH2037:AH2043)</f>
        <v>0</v>
      </c>
      <c r="AI2036" s="907">
        <f t="shared" si="447"/>
        <v>100211000</v>
      </c>
      <c r="AJ2036" s="914"/>
      <c r="AK2036" s="910"/>
    </row>
    <row r="2037" spans="1:38" s="394" customFormat="1" ht="112.5" outlineLevel="2" x14ac:dyDescent="0.3">
      <c r="A2037" s="447">
        <f>IF(B2036&lt;&gt;0,B2036,A2035)</f>
        <v>174</v>
      </c>
      <c r="B2037" s="893"/>
      <c r="C2037" s="908" t="s">
        <v>1381</v>
      </c>
      <c r="D2037" s="1032"/>
      <c r="E2037" s="947"/>
      <c r="F2037" s="947"/>
      <c r="G2037" s="922"/>
      <c r="H2037" s="1041"/>
      <c r="I2037" s="882"/>
      <c r="J2037" s="898"/>
      <c r="K2037" s="899" t="str">
        <f>IF(G2037&lt;&gt;0,VLOOKUP(G2037,'gia dat'!$A$1:$F$144,5,0)," ")</f>
        <v xml:space="preserve"> </v>
      </c>
      <c r="L2037" s="899" t="str">
        <f>IF(G2037&lt;&gt;0,VLOOKUP(G2037,'gia dat'!$A$1:$F$144,6,0)," ")</f>
        <v xml:space="preserve"> </v>
      </c>
      <c r="M2037" s="900" t="str">
        <f t="shared" si="439"/>
        <v xml:space="preserve"> </v>
      </c>
      <c r="N2037" s="900" t="str">
        <f t="shared" si="440"/>
        <v xml:space="preserve"> </v>
      </c>
      <c r="O2037" s="908"/>
      <c r="P2037" s="1065"/>
      <c r="Q2037" s="900" t="str">
        <f>IF(O2037&lt;&gt;0,VLOOKUP(O2037,'Cây trong'!$A$2:$C$246,3,0)," ")</f>
        <v xml:space="preserve"> </v>
      </c>
      <c r="R2037" s="900" t="str">
        <f t="shared" si="448"/>
        <v xml:space="preserve"> </v>
      </c>
      <c r="S2037" s="902" t="s">
        <v>1838</v>
      </c>
      <c r="T2037" s="944" t="s">
        <v>1133</v>
      </c>
      <c r="U2037" s="1066">
        <v>19.95</v>
      </c>
      <c r="V2037" s="922"/>
      <c r="W2037" s="900">
        <f>IF(S2037&lt;&gt;0,VLOOKUP(S2037,VKT!$A$2:$G$415,7,0),"")</f>
        <v>3156089</v>
      </c>
      <c r="X2037" s="900">
        <f t="shared" si="442"/>
        <v>62964000</v>
      </c>
      <c r="Y2037" s="996" t="s">
        <v>1138</v>
      </c>
      <c r="Z2037" s="1016" t="s">
        <v>1139</v>
      </c>
      <c r="AA2037" s="1016" t="s">
        <v>56</v>
      </c>
      <c r="AB2037" s="1026" t="s">
        <v>269</v>
      </c>
      <c r="AC2037" s="1016" t="s">
        <v>1138</v>
      </c>
      <c r="AD2037" s="1016"/>
      <c r="AE2037" s="1016"/>
      <c r="AF2037" s="926"/>
      <c r="AG2037" s="906" t="str">
        <f>IF(AE2037&lt;&gt;0,VLOOKUP(AE2037,ODDS!$A$2:$C$13,3,0),"")</f>
        <v/>
      </c>
      <c r="AH2037" s="906" t="str">
        <f t="shared" si="449"/>
        <v xml:space="preserve"> </v>
      </c>
      <c r="AI2037" s="907" t="str">
        <f t="shared" si="447"/>
        <v xml:space="preserve"> </v>
      </c>
      <c r="AJ2037" s="922" t="s">
        <v>1380</v>
      </c>
      <c r="AK2037" s="894" t="s">
        <v>2450</v>
      </c>
    </row>
    <row r="2038" spans="1:38" s="394" customFormat="1" ht="112.5" outlineLevel="2" x14ac:dyDescent="0.3">
      <c r="A2038" s="447">
        <f t="shared" ref="A2038:A2043" si="454">IF(B2037&lt;&gt;0,B2037,A2037)</f>
        <v>174</v>
      </c>
      <c r="B2038" s="893"/>
      <c r="C2038" s="908" t="s">
        <v>1624</v>
      </c>
      <c r="D2038" s="1032"/>
      <c r="E2038" s="947"/>
      <c r="F2038" s="947"/>
      <c r="G2038" s="922"/>
      <c r="H2038" s="1041"/>
      <c r="I2038" s="882"/>
      <c r="J2038" s="898"/>
      <c r="K2038" s="899" t="str">
        <f>IF(G2038&lt;&gt;0,VLOOKUP(G2038,'gia dat'!$A$1:$F$144,5,0)," ")</f>
        <v xml:space="preserve"> </v>
      </c>
      <c r="L2038" s="899" t="str">
        <f>IF(G2038&lt;&gt;0,VLOOKUP(G2038,'gia dat'!$A$1:$F$144,6,0)," ")</f>
        <v xml:space="preserve"> </v>
      </c>
      <c r="M2038" s="900" t="str">
        <f t="shared" si="439"/>
        <v xml:space="preserve"> </v>
      </c>
      <c r="N2038" s="900" t="str">
        <f t="shared" si="440"/>
        <v xml:space="preserve"> </v>
      </c>
      <c r="O2038" s="908"/>
      <c r="P2038" s="1065"/>
      <c r="Q2038" s="900" t="str">
        <f>IF(O2038&lt;&gt;0,VLOOKUP(O2038,'Cây trong'!$A$2:$C$246,3,0)," ")</f>
        <v xml:space="preserve"> </v>
      </c>
      <c r="R2038" s="900" t="str">
        <f t="shared" si="448"/>
        <v xml:space="preserve"> </v>
      </c>
      <c r="S2038" s="902" t="s">
        <v>2386</v>
      </c>
      <c r="T2038" s="944" t="s">
        <v>1133</v>
      </c>
      <c r="U2038" s="1066">
        <v>3</v>
      </c>
      <c r="V2038" s="922"/>
      <c r="W2038" s="900">
        <f>IF(S2038&lt;&gt;0,VLOOKUP(S2038,VKT!$A$2:$G$415,7,0),"")</f>
        <v>8308812</v>
      </c>
      <c r="X2038" s="900">
        <f t="shared" si="442"/>
        <v>24926000</v>
      </c>
      <c r="Y2038" s="985"/>
      <c r="Z2038" s="922"/>
      <c r="AA2038" s="1067"/>
      <c r="AB2038" s="922"/>
      <c r="AC2038" s="922"/>
      <c r="AD2038" s="922"/>
      <c r="AE2038" s="922"/>
      <c r="AF2038" s="1046"/>
      <c r="AG2038" s="906" t="str">
        <f>IF(AE2038&lt;&gt;0,VLOOKUP(AE2038,ODDS!$A$2:$C$13,3,0),"")</f>
        <v/>
      </c>
      <c r="AH2038" s="906" t="str">
        <f t="shared" si="449"/>
        <v xml:space="preserve"> </v>
      </c>
      <c r="AI2038" s="907" t="str">
        <f t="shared" si="447"/>
        <v xml:space="preserve"> </v>
      </c>
      <c r="AJ2038" s="922" t="s">
        <v>169</v>
      </c>
      <c r="AK2038" s="922" t="s">
        <v>2800</v>
      </c>
    </row>
    <row r="2039" spans="1:38" s="394" customFormat="1" ht="90" outlineLevel="2" x14ac:dyDescent="0.3">
      <c r="A2039" s="447">
        <f t="shared" si="454"/>
        <v>174</v>
      </c>
      <c r="B2039" s="893"/>
      <c r="C2039" s="908"/>
      <c r="D2039" s="1032"/>
      <c r="E2039" s="947"/>
      <c r="F2039" s="947"/>
      <c r="G2039" s="922"/>
      <c r="H2039" s="1041"/>
      <c r="I2039" s="882"/>
      <c r="J2039" s="898"/>
      <c r="K2039" s="899" t="str">
        <f>IF(G2039&lt;&gt;0,VLOOKUP(G2039,'gia dat'!$A$1:$F$144,5,0)," ")</f>
        <v xml:space="preserve"> </v>
      </c>
      <c r="L2039" s="899" t="str">
        <f>IF(G2039&lt;&gt;0,VLOOKUP(G2039,'gia dat'!$A$1:$F$144,6,0)," ")</f>
        <v xml:space="preserve"> </v>
      </c>
      <c r="M2039" s="900" t="str">
        <f t="shared" ref="M2039:M2106" si="455">IF(H2039&lt;&gt;0,ROUND(H2039*K2039,-3)," ")</f>
        <v xml:space="preserve"> </v>
      </c>
      <c r="N2039" s="900" t="str">
        <f t="shared" ref="N2039:N2106" si="456">IF(H2039&lt;&gt;0,ROUND(H2039*L2039,-3)," ")</f>
        <v xml:space="preserve"> </v>
      </c>
      <c r="O2039" s="908"/>
      <c r="P2039" s="1065"/>
      <c r="Q2039" s="900" t="str">
        <f>IF(O2039&lt;&gt;0,VLOOKUP(O2039,'Cây trong'!$A$2:$C$246,3,0)," ")</f>
        <v xml:space="preserve"> </v>
      </c>
      <c r="R2039" s="900" t="str">
        <f t="shared" si="448"/>
        <v xml:space="preserve"> </v>
      </c>
      <c r="S2039" s="902" t="s">
        <v>1927</v>
      </c>
      <c r="T2039" s="944" t="s">
        <v>1133</v>
      </c>
      <c r="U2039" s="1066">
        <v>18</v>
      </c>
      <c r="V2039" s="922"/>
      <c r="W2039" s="900">
        <f>IF(S2039&lt;&gt;0,VLOOKUP(S2039,VKT!$A$2:$G$415,7,0),"")</f>
        <v>684506</v>
      </c>
      <c r="X2039" s="900">
        <f t="shared" si="442"/>
        <v>12321000</v>
      </c>
      <c r="Y2039" s="985"/>
      <c r="Z2039" s="922"/>
      <c r="AA2039" s="1067"/>
      <c r="AB2039" s="922"/>
      <c r="AC2039" s="922"/>
      <c r="AD2039" s="922"/>
      <c r="AE2039" s="922"/>
      <c r="AF2039" s="1046"/>
      <c r="AG2039" s="906" t="str">
        <f>IF(AE2039&lt;&gt;0,VLOOKUP(AE2039,ODDS!$A$2:$C$13,3,0),"")</f>
        <v/>
      </c>
      <c r="AH2039" s="906" t="str">
        <f t="shared" si="449"/>
        <v xml:space="preserve"> </v>
      </c>
      <c r="AI2039" s="907" t="str">
        <f t="shared" si="447"/>
        <v xml:space="preserve"> </v>
      </c>
      <c r="AJ2039" s="922"/>
      <c r="AK2039" s="922"/>
    </row>
    <row r="2040" spans="1:38" s="394" customFormat="1" ht="67.5" outlineLevel="2" x14ac:dyDescent="0.3">
      <c r="A2040" s="447">
        <f t="shared" si="454"/>
        <v>174</v>
      </c>
      <c r="B2040" s="893"/>
      <c r="C2040" s="908"/>
      <c r="D2040" s="1032"/>
      <c r="E2040" s="947"/>
      <c r="F2040" s="947"/>
      <c r="G2040" s="922"/>
      <c r="H2040" s="1041"/>
      <c r="I2040" s="882"/>
      <c r="J2040" s="894"/>
      <c r="K2040" s="899" t="str">
        <f>IF(G2040&lt;&gt;0,VLOOKUP(G2040,'gia dat'!$A$1:$F$144,5,0)," ")</f>
        <v xml:space="preserve"> </v>
      </c>
      <c r="L2040" s="899" t="str">
        <f>IF(G2040&lt;&gt;0,VLOOKUP(G2040,'gia dat'!$A$1:$F$144,6,0)," ")</f>
        <v xml:space="preserve"> </v>
      </c>
      <c r="M2040" s="900" t="str">
        <f t="shared" si="455"/>
        <v xml:space="preserve"> </v>
      </c>
      <c r="N2040" s="900" t="str">
        <f t="shared" si="456"/>
        <v xml:space="preserve"> </v>
      </c>
      <c r="O2040" s="908"/>
      <c r="P2040" s="1065"/>
      <c r="Q2040" s="900" t="str">
        <f>IF(O2040&lt;&gt;0,VLOOKUP(O2040,'Cây trong'!$A$2:$C$246,3,0)," ")</f>
        <v xml:space="preserve"> </v>
      </c>
      <c r="R2040" s="900" t="str">
        <f t="shared" si="448"/>
        <v xml:space="preserve"> </v>
      </c>
      <c r="S2040" s="902" t="s">
        <v>2387</v>
      </c>
      <c r="T2040" s="944" t="s">
        <v>1133</v>
      </c>
      <c r="U2040" s="1066">
        <v>10.920000000000002</v>
      </c>
      <c r="V2040" s="922"/>
      <c r="W2040" s="900">
        <f>IF(S2040&lt;&gt;0,VLOOKUP(S2040,VKT!$A$2:$G$415,7,0),"")</f>
        <v>0</v>
      </c>
      <c r="X2040" s="900">
        <f t="shared" si="442"/>
        <v>0</v>
      </c>
      <c r="Y2040" s="985"/>
      <c r="Z2040" s="922"/>
      <c r="AA2040" s="1067"/>
      <c r="AB2040" s="922"/>
      <c r="AC2040" s="922"/>
      <c r="AD2040" s="922"/>
      <c r="AE2040" s="922"/>
      <c r="AF2040" s="1046"/>
      <c r="AG2040" s="906" t="str">
        <f>IF(AE2040&lt;&gt;0,VLOOKUP(AE2040,ODDS!$A$2:$C$13,3,0),"")</f>
        <v/>
      </c>
      <c r="AH2040" s="906" t="str">
        <f t="shared" si="449"/>
        <v xml:space="preserve"> </v>
      </c>
      <c r="AI2040" s="907" t="str">
        <f t="shared" si="447"/>
        <v xml:space="preserve"> </v>
      </c>
      <c r="AJ2040" s="922"/>
      <c r="AK2040" s="922"/>
    </row>
    <row r="2041" spans="1:38" s="394" customFormat="1" ht="22.5" outlineLevel="2" x14ac:dyDescent="0.3">
      <c r="A2041" s="447">
        <f t="shared" si="454"/>
        <v>174</v>
      </c>
      <c r="B2041" s="893"/>
      <c r="C2041" s="908"/>
      <c r="D2041" s="1032"/>
      <c r="E2041" s="947"/>
      <c r="F2041" s="947"/>
      <c r="G2041" s="922"/>
      <c r="H2041" s="1041"/>
      <c r="I2041" s="882"/>
      <c r="J2041" s="894"/>
      <c r="K2041" s="899" t="str">
        <f>IF(G2041&lt;&gt;0,VLOOKUP(G2041,'gia dat'!$A$1:$F$144,5,0)," ")</f>
        <v xml:space="preserve"> </v>
      </c>
      <c r="L2041" s="899" t="str">
        <f>IF(G2041&lt;&gt;0,VLOOKUP(G2041,'gia dat'!$A$1:$F$144,6,0)," ")</f>
        <v xml:space="preserve"> </v>
      </c>
      <c r="M2041" s="900" t="str">
        <f t="shared" si="455"/>
        <v xml:space="preserve"> </v>
      </c>
      <c r="N2041" s="900" t="str">
        <f t="shared" si="456"/>
        <v xml:space="preserve"> </v>
      </c>
      <c r="O2041" s="908"/>
      <c r="P2041" s="1065"/>
      <c r="Q2041" s="900" t="str">
        <f>IF(O2041&lt;&gt;0,VLOOKUP(O2041,'Cây trong'!$A$2:$C$246,3,0)," ")</f>
        <v xml:space="preserve"> </v>
      </c>
      <c r="R2041" s="900" t="str">
        <f t="shared" si="448"/>
        <v xml:space="preserve"> </v>
      </c>
      <c r="S2041" s="902"/>
      <c r="T2041" s="944"/>
      <c r="U2041" s="1066"/>
      <c r="V2041" s="922"/>
      <c r="W2041" s="900" t="str">
        <f>IF(S2041&lt;&gt;0,VLOOKUP(S2041,VKT!$A$2:$G$415,7,0),"")</f>
        <v/>
      </c>
      <c r="X2041" s="900" t="str">
        <f t="shared" si="442"/>
        <v xml:space="preserve"> </v>
      </c>
      <c r="Y2041" s="985"/>
      <c r="Z2041" s="922"/>
      <c r="AA2041" s="1067"/>
      <c r="AB2041" s="922"/>
      <c r="AC2041" s="922"/>
      <c r="AD2041" s="922"/>
      <c r="AE2041" s="922"/>
      <c r="AF2041" s="1046"/>
      <c r="AG2041" s="906" t="str">
        <f>IF(AE2041&lt;&gt;0,VLOOKUP(AE2041,ODDS!$A$2:$C$13,3,0),"")</f>
        <v/>
      </c>
      <c r="AH2041" s="906" t="str">
        <f t="shared" si="449"/>
        <v xml:space="preserve"> </v>
      </c>
      <c r="AI2041" s="907" t="str">
        <f t="shared" si="447"/>
        <v xml:space="preserve"> </v>
      </c>
      <c r="AJ2041" s="922"/>
      <c r="AK2041" s="922"/>
    </row>
    <row r="2042" spans="1:38" s="394" customFormat="1" ht="22.5" outlineLevel="2" x14ac:dyDescent="0.3">
      <c r="A2042" s="447">
        <f t="shared" si="454"/>
        <v>174</v>
      </c>
      <c r="B2042" s="893"/>
      <c r="C2042" s="922"/>
      <c r="D2042" s="1032"/>
      <c r="E2042" s="947"/>
      <c r="F2042" s="947"/>
      <c r="G2042" s="922"/>
      <c r="H2042" s="1041"/>
      <c r="I2042" s="882"/>
      <c r="J2042" s="894"/>
      <c r="K2042" s="899" t="str">
        <f>IF(G2042&lt;&gt;0,VLOOKUP(G2042,'gia dat'!$A$1:$F$144,5,0)," ")</f>
        <v xml:space="preserve"> </v>
      </c>
      <c r="L2042" s="899" t="str">
        <f>IF(G2042&lt;&gt;0,VLOOKUP(G2042,'gia dat'!$A$1:$F$144,6,0)," ")</f>
        <v xml:space="preserve"> </v>
      </c>
      <c r="M2042" s="900" t="str">
        <f t="shared" si="455"/>
        <v xml:space="preserve"> </v>
      </c>
      <c r="N2042" s="900" t="str">
        <f t="shared" si="456"/>
        <v xml:space="preserve"> </v>
      </c>
      <c r="O2042" s="908"/>
      <c r="P2042" s="1065"/>
      <c r="Q2042" s="900" t="str">
        <f>IF(O2042&lt;&gt;0,VLOOKUP(O2042,'Cây trong'!$A$2:$C$246,3,0)," ")</f>
        <v xml:space="preserve"> </v>
      </c>
      <c r="R2042" s="900" t="str">
        <f t="shared" si="448"/>
        <v xml:space="preserve"> </v>
      </c>
      <c r="S2042" s="908"/>
      <c r="T2042" s="944"/>
      <c r="U2042" s="1066"/>
      <c r="V2042" s="922"/>
      <c r="W2042" s="900" t="str">
        <f>IF(S2042&lt;&gt;0,VLOOKUP(S2042,VKT!$A$2:$G$415,7,0),"")</f>
        <v/>
      </c>
      <c r="X2042" s="900" t="str">
        <f t="shared" si="442"/>
        <v xml:space="preserve"> </v>
      </c>
      <c r="Y2042" s="985"/>
      <c r="Z2042" s="922"/>
      <c r="AA2042" s="1067"/>
      <c r="AB2042" s="922"/>
      <c r="AC2042" s="922"/>
      <c r="AD2042" s="922"/>
      <c r="AE2042" s="922"/>
      <c r="AF2042" s="1046"/>
      <c r="AG2042" s="906" t="str">
        <f>IF(AE2042&lt;&gt;0,VLOOKUP(AE2042,ODDS!$A$2:$C$13,3,0),"")</f>
        <v/>
      </c>
      <c r="AH2042" s="906" t="str">
        <f t="shared" si="449"/>
        <v xml:space="preserve"> </v>
      </c>
      <c r="AI2042" s="907" t="str">
        <f t="shared" si="447"/>
        <v xml:space="preserve"> </v>
      </c>
      <c r="AJ2042" s="922"/>
      <c r="AK2042" s="922"/>
    </row>
    <row r="2043" spans="1:38" s="394" customFormat="1" ht="22.5" outlineLevel="2" x14ac:dyDescent="0.3">
      <c r="A2043" s="447">
        <f t="shared" si="454"/>
        <v>174</v>
      </c>
      <c r="B2043" s="893"/>
      <c r="C2043" s="942"/>
      <c r="D2043" s="1032"/>
      <c r="E2043" s="947"/>
      <c r="F2043" s="947"/>
      <c r="G2043" s="922"/>
      <c r="H2043" s="1041"/>
      <c r="I2043" s="882"/>
      <c r="J2043" s="894"/>
      <c r="K2043" s="899" t="str">
        <f>IF(G2043&lt;&gt;0,VLOOKUP(G2043,'gia dat'!$A$1:$F$144,5,0)," ")</f>
        <v xml:space="preserve"> </v>
      </c>
      <c r="L2043" s="899" t="str">
        <f>IF(G2043&lt;&gt;0,VLOOKUP(G2043,'gia dat'!$A$1:$F$144,6,0)," ")</f>
        <v xml:space="preserve"> </v>
      </c>
      <c r="M2043" s="900" t="str">
        <f t="shared" si="455"/>
        <v xml:space="preserve"> </v>
      </c>
      <c r="N2043" s="900" t="str">
        <f t="shared" si="456"/>
        <v xml:space="preserve"> </v>
      </c>
      <c r="O2043" s="908"/>
      <c r="P2043" s="1065"/>
      <c r="Q2043" s="900" t="str">
        <f>IF(O2043&lt;&gt;0,VLOOKUP(O2043,'Cây trong'!$A$2:$C$246,3,0)," ")</f>
        <v xml:space="preserve"> </v>
      </c>
      <c r="R2043" s="900" t="str">
        <f t="shared" si="448"/>
        <v xml:space="preserve"> </v>
      </c>
      <c r="S2043" s="908"/>
      <c r="T2043" s="944"/>
      <c r="U2043" s="1066"/>
      <c r="V2043" s="922"/>
      <c r="W2043" s="900" t="str">
        <f>IF(S2043&lt;&gt;0,VLOOKUP(S2043,VKT!$A$2:$G$415,7,0),"")</f>
        <v/>
      </c>
      <c r="X2043" s="900" t="str">
        <f t="shared" si="442"/>
        <v xml:space="preserve"> </v>
      </c>
      <c r="Y2043" s="985"/>
      <c r="Z2043" s="922"/>
      <c r="AA2043" s="1067"/>
      <c r="AB2043" s="922"/>
      <c r="AC2043" s="922"/>
      <c r="AD2043" s="922"/>
      <c r="AE2043" s="922"/>
      <c r="AF2043" s="1046"/>
      <c r="AG2043" s="906" t="str">
        <f>IF(AE2043&lt;&gt;0,VLOOKUP(AE2043,ODDS!$A$2:$C$13,3,0),"")</f>
        <v/>
      </c>
      <c r="AH2043" s="906" t="str">
        <f t="shared" si="449"/>
        <v xml:space="preserve"> </v>
      </c>
      <c r="AI2043" s="907" t="str">
        <f t="shared" si="447"/>
        <v xml:space="preserve"> </v>
      </c>
      <c r="AJ2043" s="908"/>
      <c r="AK2043" s="908"/>
    </row>
    <row r="2044" spans="1:38" s="394" customFormat="1" ht="43.5" outlineLevel="1" x14ac:dyDescent="0.25">
      <c r="A2044" s="467" t="s">
        <v>2535</v>
      </c>
      <c r="B2044" s="912">
        <v>175</v>
      </c>
      <c r="C2044" s="942" t="s">
        <v>1382</v>
      </c>
      <c r="D2044" s="1038"/>
      <c r="E2044" s="977"/>
      <c r="F2044" s="977"/>
      <c r="G2044" s="914"/>
      <c r="H2044" s="1039">
        <f>SUBTOTAL(9,H2045:H2053)</f>
        <v>166.79999999999998</v>
      </c>
      <c r="I2044" s="915">
        <f>SUBTOTAL(9,I2045:I2050)</f>
        <v>71.699999999999989</v>
      </c>
      <c r="J2044" s="916"/>
      <c r="K2044" s="917"/>
      <c r="L2044" s="917"/>
      <c r="M2044" s="907">
        <f>SUBTOTAL(9,M2045:M2053)</f>
        <v>417414000</v>
      </c>
      <c r="N2044" s="907">
        <f>SUBTOTAL(9,N2045:N2053)</f>
        <v>100151000</v>
      </c>
      <c r="O2044" s="942"/>
      <c r="P2044" s="1063">
        <f>SUBTOTAL(9,P2045:P2053)</f>
        <v>64</v>
      </c>
      <c r="Q2044" s="907"/>
      <c r="R2044" s="907">
        <f>SUBTOTAL(9,R2045:R2053)</f>
        <v>2556000</v>
      </c>
      <c r="S2044" s="918"/>
      <c r="T2044" s="956"/>
      <c r="U2044" s="1064">
        <f>SUBTOTAL(9,U2045:U2053)</f>
        <v>141.66</v>
      </c>
      <c r="V2044" s="914"/>
      <c r="W2044" s="907"/>
      <c r="X2044" s="907">
        <f>SUBTOTAL(9,X2045:X2053)</f>
        <v>131706000</v>
      </c>
      <c r="Y2044" s="996"/>
      <c r="Z2044" s="1016"/>
      <c r="AA2044" s="1016"/>
      <c r="AB2044" s="1026"/>
      <c r="AC2044" s="1016"/>
      <c r="AD2044" s="1016"/>
      <c r="AE2044" s="1027"/>
      <c r="AF2044" s="935">
        <f>SUBTOTAL(9,AF2045:AF2053)</f>
        <v>2</v>
      </c>
      <c r="AG2044" s="921"/>
      <c r="AH2044" s="921">
        <f>SUBTOTAL(9,AH2045:AH2053)</f>
        <v>18000000</v>
      </c>
      <c r="AI2044" s="907">
        <f t="shared" si="447"/>
        <v>669827000</v>
      </c>
      <c r="AJ2044" s="914"/>
      <c r="AK2044" s="914"/>
      <c r="AL2044" s="466"/>
    </row>
    <row r="2045" spans="1:38" s="394" customFormat="1" ht="135" outlineLevel="2" x14ac:dyDescent="0.3">
      <c r="A2045" s="447">
        <f>IF(B2044&lt;&gt;0,B2044,A2043)</f>
        <v>175</v>
      </c>
      <c r="B2045" s="893"/>
      <c r="C2045" s="908" t="s">
        <v>1385</v>
      </c>
      <c r="D2045" s="1032">
        <v>1</v>
      </c>
      <c r="E2045" s="947">
        <v>86</v>
      </c>
      <c r="F2045" s="947">
        <v>293</v>
      </c>
      <c r="G2045" s="922" t="s">
        <v>2860</v>
      </c>
      <c r="H2045" s="1041">
        <f>116.8-H2047</f>
        <v>71.699999999999989</v>
      </c>
      <c r="I2045" s="882">
        <f t="shared" ref="I2045:I2047" si="457">IF(N2045&gt;0,H2045,"")</f>
        <v>71.699999999999989</v>
      </c>
      <c r="J2045" s="898"/>
      <c r="K2045" s="899">
        <f>IF(G2045&lt;&gt;0,VLOOKUP(G2045,'gia dat'!$A$1:$F$144,5,0)," ")</f>
        <v>465600</v>
      </c>
      <c r="L2045" s="899">
        <f>IF(G2045&lt;&gt;0,VLOOKUP(G2045,'gia dat'!$A$1:$F$144,6,0)," ")</f>
        <v>1396800</v>
      </c>
      <c r="M2045" s="900">
        <f t="shared" si="455"/>
        <v>33384000</v>
      </c>
      <c r="N2045" s="900">
        <f t="shared" si="456"/>
        <v>100151000</v>
      </c>
      <c r="O2045" s="908" t="s">
        <v>1383</v>
      </c>
      <c r="P2045" s="1065">
        <v>1</v>
      </c>
      <c r="Q2045" s="900">
        <f>IF(O2045&lt;&gt;0,VLOOKUP(O2045,'Cây trong'!$A$2:$C$246,3,0)," ")</f>
        <v>1800000</v>
      </c>
      <c r="R2045" s="900">
        <f t="shared" si="448"/>
        <v>1800000</v>
      </c>
      <c r="S2045" s="902" t="s">
        <v>1779</v>
      </c>
      <c r="T2045" s="944" t="s">
        <v>1133</v>
      </c>
      <c r="U2045" s="1066">
        <v>50.9</v>
      </c>
      <c r="V2045" s="922"/>
      <c r="W2045" s="900">
        <f>IF(S2045&lt;&gt;0,VLOOKUP(S2045,VKT!$A$2:$G$415,7,0),"")</f>
        <v>1399121</v>
      </c>
      <c r="X2045" s="900">
        <f t="shared" si="442"/>
        <v>71215000</v>
      </c>
      <c r="Y2045" s="996" t="s">
        <v>139</v>
      </c>
      <c r="Z2045" s="1016" t="s">
        <v>1139</v>
      </c>
      <c r="AA2045" s="1016" t="s">
        <v>1262</v>
      </c>
      <c r="AB2045" s="1026" t="s">
        <v>1263</v>
      </c>
      <c r="AC2045" s="1016" t="s">
        <v>1326</v>
      </c>
      <c r="AD2045" s="1016"/>
      <c r="AE2045" s="1026" t="s">
        <v>2137</v>
      </c>
      <c r="AF2045" s="926">
        <v>1</v>
      </c>
      <c r="AG2045" s="906">
        <f>IF(AE2045&lt;&gt;0,VLOOKUP(AE2045,ODDS!$A$2:$C$13,3,0),"")</f>
        <v>5000000</v>
      </c>
      <c r="AH2045" s="906">
        <f t="shared" si="449"/>
        <v>5000000</v>
      </c>
      <c r="AI2045" s="907" t="str">
        <f t="shared" si="447"/>
        <v xml:space="preserve"> </v>
      </c>
      <c r="AJ2045" s="922" t="s">
        <v>1384</v>
      </c>
      <c r="AK2045" s="922" t="s">
        <v>2771</v>
      </c>
      <c r="AL2045" s="466" t="s">
        <v>2462</v>
      </c>
    </row>
    <row r="2046" spans="1:38" s="394" customFormat="1" ht="135" outlineLevel="2" x14ac:dyDescent="0.3">
      <c r="A2046" s="447">
        <f t="shared" ref="A2046:A2053" si="458">IF(B2045&lt;&gt;0,B2045,A2045)</f>
        <v>175</v>
      </c>
      <c r="B2046" s="893"/>
      <c r="C2046" s="908" t="s">
        <v>1625</v>
      </c>
      <c r="D2046" s="1032"/>
      <c r="E2046" s="947">
        <v>86</v>
      </c>
      <c r="F2046" s="947">
        <v>293</v>
      </c>
      <c r="G2046" s="922" t="s">
        <v>2049</v>
      </c>
      <c r="H2046" s="1041">
        <v>50</v>
      </c>
      <c r="I2046" s="882" t="str">
        <f t="shared" si="457"/>
        <v/>
      </c>
      <c r="J2046" s="898"/>
      <c r="K2046" s="899">
        <f>IF(G2046&lt;&gt;0,VLOOKUP(G2046,'gia dat'!$A$1:$F$144,5,0)," ")</f>
        <v>7260624</v>
      </c>
      <c r="L2046" s="899">
        <f>IF(G2046&lt;&gt;0,VLOOKUP(G2046,'gia dat'!$A$1:$F$144,6,0)," ")</f>
        <v>0</v>
      </c>
      <c r="M2046" s="900">
        <f t="shared" si="455"/>
        <v>363031000</v>
      </c>
      <c r="N2046" s="900">
        <f t="shared" si="456"/>
        <v>0</v>
      </c>
      <c r="O2046" s="908" t="s">
        <v>1332</v>
      </c>
      <c r="P2046" s="1065">
        <v>63</v>
      </c>
      <c r="Q2046" s="900">
        <f>IF(O2046&lt;&gt;0,VLOOKUP(O2046,'Cây trong'!$A$2:$C$246,3,0)," ")</f>
        <v>12000</v>
      </c>
      <c r="R2046" s="900">
        <f t="shared" si="448"/>
        <v>756000</v>
      </c>
      <c r="S2046" s="902" t="s">
        <v>2388</v>
      </c>
      <c r="T2046" s="944" t="s">
        <v>1133</v>
      </c>
      <c r="U2046" s="1066">
        <v>3.8</v>
      </c>
      <c r="V2046" s="922"/>
      <c r="W2046" s="900">
        <f>IF(S2046&lt;&gt;0,VLOOKUP(S2046,VKT!$A$2:$G$415,7,0),"")</f>
        <v>8533242</v>
      </c>
      <c r="X2046" s="900">
        <f t="shared" si="442"/>
        <v>32426000</v>
      </c>
      <c r="Y2046" s="985"/>
      <c r="Z2046" s="922"/>
      <c r="AA2046" s="1067"/>
      <c r="AB2046" s="922"/>
      <c r="AC2046" s="922"/>
      <c r="AD2046" s="922"/>
      <c r="AE2046" s="905"/>
      <c r="AF2046" s="899"/>
      <c r="AG2046" s="906"/>
      <c r="AH2046" s="906"/>
      <c r="AI2046" s="907" t="str">
        <f t="shared" si="447"/>
        <v xml:space="preserve"> </v>
      </c>
      <c r="AJ2046" s="922" t="s">
        <v>1387</v>
      </c>
      <c r="AK2046" s="894" t="s">
        <v>2448</v>
      </c>
      <c r="AL2046" s="394">
        <f>140-116.8</f>
        <v>23.200000000000003</v>
      </c>
    </row>
    <row r="2047" spans="1:38" s="394" customFormat="1" ht="135" outlineLevel="2" x14ac:dyDescent="0.3">
      <c r="A2047" s="447">
        <f t="shared" si="458"/>
        <v>175</v>
      </c>
      <c r="B2047" s="893"/>
      <c r="C2047" s="908"/>
      <c r="D2047" s="1032"/>
      <c r="E2047" s="947"/>
      <c r="F2047" s="947"/>
      <c r="G2047" s="922" t="s">
        <v>2861</v>
      </c>
      <c r="H2047" s="1041">
        <v>45.1</v>
      </c>
      <c r="I2047" s="882" t="str">
        <f t="shared" si="457"/>
        <v/>
      </c>
      <c r="J2047" s="898"/>
      <c r="K2047" s="899">
        <f>IF(G2047&lt;&gt;0,VLOOKUP(G2047,'gia dat'!$A$1:$F$144,5,0)," ")</f>
        <v>465600</v>
      </c>
      <c r="L2047" s="899">
        <f>IF(G2047&lt;&gt;0,VLOOKUP(G2047,'gia dat'!$A$1:$F$144,6,0)," ")</f>
        <v>0</v>
      </c>
      <c r="M2047" s="900">
        <f t="shared" si="455"/>
        <v>20999000</v>
      </c>
      <c r="N2047" s="900">
        <f t="shared" si="456"/>
        <v>0</v>
      </c>
      <c r="O2047" s="908"/>
      <c r="P2047" s="1065"/>
      <c r="Q2047" s="900" t="str">
        <f>IF(O2047&lt;&gt;0,VLOOKUP(O2047,'Cây trong'!$A$2:$C$246,3,0)," ")</f>
        <v xml:space="preserve"> </v>
      </c>
      <c r="R2047" s="900" t="str">
        <f t="shared" si="448"/>
        <v xml:space="preserve"> </v>
      </c>
      <c r="S2047" s="902" t="s">
        <v>1978</v>
      </c>
      <c r="T2047" s="944" t="s">
        <v>1133</v>
      </c>
      <c r="U2047" s="1066">
        <v>22.8</v>
      </c>
      <c r="V2047" s="922"/>
      <c r="W2047" s="900">
        <f>IF(S2047&lt;&gt;0,VLOOKUP(S2047,VKT!$A$2:$G$415,7,0),"")</f>
        <v>236298</v>
      </c>
      <c r="X2047" s="900">
        <f t="shared" si="442"/>
        <v>5388000</v>
      </c>
      <c r="Y2047" s="985"/>
      <c r="Z2047" s="922"/>
      <c r="AA2047" s="1067"/>
      <c r="AB2047" s="922"/>
      <c r="AC2047" s="922"/>
      <c r="AD2047" s="922"/>
      <c r="AE2047" s="905" t="s">
        <v>2789</v>
      </c>
      <c r="AF2047" s="926">
        <v>1</v>
      </c>
      <c r="AG2047" s="906">
        <f>IF(AE2047&lt;&gt;0,VLOOKUP(AE2047,ODDS!$A$2:$C$13,3,0),"")</f>
        <v>13000000</v>
      </c>
      <c r="AH2047" s="906">
        <f t="shared" si="449"/>
        <v>13000000</v>
      </c>
      <c r="AI2047" s="907" t="str">
        <f t="shared" si="447"/>
        <v xml:space="preserve"> </v>
      </c>
      <c r="AJ2047" s="922" t="s">
        <v>2141</v>
      </c>
      <c r="AK2047" s="894" t="s">
        <v>2450</v>
      </c>
    </row>
    <row r="2048" spans="1:38" s="394" customFormat="1" ht="112.5" outlineLevel="2" x14ac:dyDescent="0.3">
      <c r="A2048" s="447">
        <f t="shared" si="458"/>
        <v>175</v>
      </c>
      <c r="B2048" s="893"/>
      <c r="C2048" s="908"/>
      <c r="D2048" s="1032"/>
      <c r="E2048" s="947"/>
      <c r="F2048" s="947"/>
      <c r="G2048" s="922"/>
      <c r="H2048" s="1041"/>
      <c r="I2048" s="882"/>
      <c r="J2048" s="894"/>
      <c r="K2048" s="899" t="str">
        <f>IF(G2048&lt;&gt;0,VLOOKUP(G2048,'gia dat'!$A$1:$F$144,5,0)," ")</f>
        <v xml:space="preserve"> </v>
      </c>
      <c r="L2048" s="899" t="str">
        <f>IF(G2048&lt;&gt;0,VLOOKUP(G2048,'gia dat'!$A$1:$F$144,6,0)," ")</f>
        <v xml:space="preserve"> </v>
      </c>
      <c r="M2048" s="900" t="str">
        <f t="shared" si="455"/>
        <v xml:space="preserve"> </v>
      </c>
      <c r="N2048" s="900" t="str">
        <f t="shared" si="456"/>
        <v xml:space="preserve"> </v>
      </c>
      <c r="O2048" s="908"/>
      <c r="P2048" s="1065"/>
      <c r="Q2048" s="900" t="str">
        <f>IF(O2048&lt;&gt;0,VLOOKUP(O2048,'Cây trong'!$A$2:$C$246,3,0)," ")</f>
        <v xml:space="preserve"> </v>
      </c>
      <c r="R2048" s="900" t="str">
        <f t="shared" si="448"/>
        <v xml:space="preserve"> </v>
      </c>
      <c r="S2048" s="908" t="s">
        <v>2389</v>
      </c>
      <c r="T2048" s="944" t="s">
        <v>1133</v>
      </c>
      <c r="U2048" s="1066">
        <v>27.7</v>
      </c>
      <c r="V2048" s="922">
        <v>4.2</v>
      </c>
      <c r="W2048" s="900">
        <f>IF(S2048&lt;&gt;0,VLOOKUP(S2048,VKT!$A$2:$G$415,7,0),"")</f>
        <v>471229</v>
      </c>
      <c r="X2048" s="900">
        <f t="shared" si="442"/>
        <v>13053000</v>
      </c>
      <c r="Y2048" s="985"/>
      <c r="Z2048" s="922"/>
      <c r="AA2048" s="1067"/>
      <c r="AB2048" s="922"/>
      <c r="AC2048" s="922"/>
      <c r="AD2048" s="922"/>
      <c r="AE2048" s="941"/>
      <c r="AF2048" s="926"/>
      <c r="AG2048" s="906" t="str">
        <f>IF(AE2048&lt;&gt;0,VLOOKUP(AE2048,ODDS!$A$2:$C$13,3,0),"")</f>
        <v/>
      </c>
      <c r="AH2048" s="906" t="str">
        <f t="shared" si="449"/>
        <v xml:space="preserve"> </v>
      </c>
      <c r="AI2048" s="907" t="str">
        <f t="shared" si="447"/>
        <v xml:space="preserve"> </v>
      </c>
      <c r="AJ2048" s="922" t="s">
        <v>1388</v>
      </c>
      <c r="AK2048" s="894" t="s">
        <v>2449</v>
      </c>
    </row>
    <row r="2049" spans="1:37" s="394" customFormat="1" ht="90" outlineLevel="2" x14ac:dyDescent="0.3">
      <c r="A2049" s="447">
        <f t="shared" si="458"/>
        <v>175</v>
      </c>
      <c r="B2049" s="893"/>
      <c r="C2049" s="908"/>
      <c r="D2049" s="1032"/>
      <c r="E2049" s="947"/>
      <c r="F2049" s="947"/>
      <c r="G2049" s="922"/>
      <c r="H2049" s="1041"/>
      <c r="I2049" s="882"/>
      <c r="J2049" s="894"/>
      <c r="K2049" s="899" t="str">
        <f>IF(G2049&lt;&gt;0,VLOOKUP(G2049,'gia dat'!$A$1:$F$144,5,0)," ")</f>
        <v xml:space="preserve"> </v>
      </c>
      <c r="L2049" s="899" t="str">
        <f>IF(G2049&lt;&gt;0,VLOOKUP(G2049,'gia dat'!$A$1:$F$144,6,0)," ")</f>
        <v xml:space="preserve"> </v>
      </c>
      <c r="M2049" s="900" t="str">
        <f t="shared" si="455"/>
        <v xml:space="preserve"> </v>
      </c>
      <c r="N2049" s="900" t="str">
        <f t="shared" si="456"/>
        <v xml:space="preserve"> </v>
      </c>
      <c r="O2049" s="908"/>
      <c r="P2049" s="1065"/>
      <c r="Q2049" s="900" t="str">
        <f>IF(O2049&lt;&gt;0,VLOOKUP(O2049,'Cây trong'!$A$2:$C$246,3,0)," ")</f>
        <v xml:space="preserve"> </v>
      </c>
      <c r="R2049" s="900" t="str">
        <f t="shared" si="448"/>
        <v xml:space="preserve"> </v>
      </c>
      <c r="S2049" s="908" t="s">
        <v>1980</v>
      </c>
      <c r="T2049" s="944" t="s">
        <v>1133</v>
      </c>
      <c r="U2049" s="1066">
        <v>14.06</v>
      </c>
      <c r="V2049" s="922"/>
      <c r="W2049" s="900">
        <f>IF(S2049&lt;&gt;0,VLOOKUP(S2049,VKT!$A$2:$G$415,7,0),"")</f>
        <v>684506</v>
      </c>
      <c r="X2049" s="900">
        <f t="shared" ref="X2049:X2115" si="459">IF(S2049&lt;&gt;0,ROUND(U2049*W2049,-3)," ")</f>
        <v>9624000</v>
      </c>
      <c r="Y2049" s="985"/>
      <c r="Z2049" s="922"/>
      <c r="AA2049" s="1067"/>
      <c r="AB2049" s="922"/>
      <c r="AC2049" s="922"/>
      <c r="AD2049" s="922"/>
      <c r="AE2049" s="922"/>
      <c r="AF2049" s="1046"/>
      <c r="AG2049" s="906" t="str">
        <f>IF(AE2049&lt;&gt;0,VLOOKUP(AE2049,ODDS!$A$2:$C$13,3,0),"")</f>
        <v/>
      </c>
      <c r="AH2049" s="906" t="str">
        <f t="shared" si="449"/>
        <v xml:space="preserve"> </v>
      </c>
      <c r="AI2049" s="907" t="str">
        <f t="shared" si="447"/>
        <v xml:space="preserve"> </v>
      </c>
      <c r="AJ2049" s="908" t="s">
        <v>1389</v>
      </c>
      <c r="AK2049" s="908" t="s">
        <v>2447</v>
      </c>
    </row>
    <row r="2050" spans="1:37" s="394" customFormat="1" ht="90" outlineLevel="2" x14ac:dyDescent="0.3">
      <c r="A2050" s="447">
        <f t="shared" si="458"/>
        <v>175</v>
      </c>
      <c r="B2050" s="893"/>
      <c r="C2050" s="908"/>
      <c r="D2050" s="1032"/>
      <c r="E2050" s="947"/>
      <c r="F2050" s="947"/>
      <c r="G2050" s="922"/>
      <c r="H2050" s="1041"/>
      <c r="I2050" s="882"/>
      <c r="J2050" s="894"/>
      <c r="K2050" s="899" t="str">
        <f>IF(G2050&lt;&gt;0,VLOOKUP(G2050,'gia dat'!$A$1:$F$144,5,0)," ")</f>
        <v xml:space="preserve"> </v>
      </c>
      <c r="L2050" s="899" t="str">
        <f>IF(G2050&lt;&gt;0,VLOOKUP(G2050,'gia dat'!$A$1:$F$144,6,0)," ")</f>
        <v xml:space="preserve"> </v>
      </c>
      <c r="M2050" s="900" t="str">
        <f t="shared" si="455"/>
        <v xml:space="preserve"> </v>
      </c>
      <c r="N2050" s="900" t="str">
        <f t="shared" si="456"/>
        <v xml:space="preserve"> </v>
      </c>
      <c r="O2050" s="908"/>
      <c r="P2050" s="1065"/>
      <c r="Q2050" s="900" t="str">
        <f>IF(O2050&lt;&gt;0,VLOOKUP(O2050,'Cây trong'!$A$2:$C$246,3,0)," ")</f>
        <v xml:space="preserve"> </v>
      </c>
      <c r="R2050" s="900" t="str">
        <f t="shared" si="448"/>
        <v xml:space="preserve"> </v>
      </c>
      <c r="S2050" s="908" t="s">
        <v>2390</v>
      </c>
      <c r="T2050" s="944" t="s">
        <v>1133</v>
      </c>
      <c r="U2050" s="1066">
        <v>22.4</v>
      </c>
      <c r="V2050" s="922"/>
      <c r="W2050" s="900">
        <f>IF(S2050&lt;&gt;0,VLOOKUP(S2050,VKT!$A$2:$G$415,7,0),"")</f>
        <v>0</v>
      </c>
      <c r="X2050" s="900">
        <f t="shared" si="459"/>
        <v>0</v>
      </c>
      <c r="Y2050" s="985"/>
      <c r="Z2050" s="922"/>
      <c r="AA2050" s="1067"/>
      <c r="AB2050" s="922"/>
      <c r="AC2050" s="922"/>
      <c r="AD2050" s="922"/>
      <c r="AE2050" s="922"/>
      <c r="AF2050" s="1046"/>
      <c r="AG2050" s="906" t="str">
        <f>IF(AE2050&lt;&gt;0,VLOOKUP(AE2050,ODDS!$A$2:$C$13,3,0),"")</f>
        <v/>
      </c>
      <c r="AH2050" s="906" t="str">
        <f t="shared" si="449"/>
        <v xml:space="preserve"> </v>
      </c>
      <c r="AI2050" s="907" t="str">
        <f t="shared" si="447"/>
        <v xml:space="preserve"> </v>
      </c>
      <c r="AJ2050" s="894" t="s">
        <v>2074</v>
      </c>
      <c r="AK2050" s="894" t="s">
        <v>2451</v>
      </c>
    </row>
    <row r="2051" spans="1:37" s="394" customFormat="1" ht="112.5" outlineLevel="2" x14ac:dyDescent="0.3">
      <c r="A2051" s="447">
        <f t="shared" si="458"/>
        <v>175</v>
      </c>
      <c r="B2051" s="893"/>
      <c r="C2051" s="908"/>
      <c r="D2051" s="1032"/>
      <c r="E2051" s="947"/>
      <c r="F2051" s="947"/>
      <c r="G2051" s="922"/>
      <c r="H2051" s="1041"/>
      <c r="I2051" s="882"/>
      <c r="J2051" s="894"/>
      <c r="K2051" s="899" t="str">
        <f>IF(G2051&lt;&gt;0,VLOOKUP(G2051,'gia dat'!$A$1:$F$144,5,0)," ")</f>
        <v xml:space="preserve"> </v>
      </c>
      <c r="L2051" s="899" t="str">
        <f>IF(G2051&lt;&gt;0,VLOOKUP(G2051,'gia dat'!$A$1:$F$144,6,0)," ")</f>
        <v xml:space="preserve"> </v>
      </c>
      <c r="M2051" s="900" t="str">
        <f t="shared" si="455"/>
        <v xml:space="preserve"> </v>
      </c>
      <c r="N2051" s="900" t="str">
        <f t="shared" si="456"/>
        <v xml:space="preserve"> </v>
      </c>
      <c r="O2051" s="908"/>
      <c r="P2051" s="1065"/>
      <c r="Q2051" s="900" t="str">
        <f>IF(O2051&lt;&gt;0,VLOOKUP(O2051,'Cây trong'!$A$2:$C$246,3,0)," ")</f>
        <v xml:space="preserve"> </v>
      </c>
      <c r="R2051" s="900" t="str">
        <f t="shared" si="448"/>
        <v xml:space="preserve"> </v>
      </c>
      <c r="S2051" s="908"/>
      <c r="T2051" s="944"/>
      <c r="U2051" s="1066"/>
      <c r="V2051" s="922"/>
      <c r="W2051" s="900" t="str">
        <f>IF(S2051&lt;&gt;0,VLOOKUP(S2051,VKT!$A$2:$G$415,7,0),"")</f>
        <v/>
      </c>
      <c r="X2051" s="900" t="str">
        <f t="shared" si="459"/>
        <v xml:space="preserve"> </v>
      </c>
      <c r="Y2051" s="985"/>
      <c r="Z2051" s="922"/>
      <c r="AA2051" s="1067"/>
      <c r="AB2051" s="922"/>
      <c r="AC2051" s="922"/>
      <c r="AD2051" s="922"/>
      <c r="AE2051" s="922"/>
      <c r="AF2051" s="1046"/>
      <c r="AG2051" s="906" t="str">
        <f>IF(AE2051&lt;&gt;0,VLOOKUP(AE2051,ODDS!$A$2:$C$13,3,0),"")</f>
        <v/>
      </c>
      <c r="AH2051" s="906" t="str">
        <f t="shared" si="449"/>
        <v xml:space="preserve"> </v>
      </c>
      <c r="AI2051" s="907" t="str">
        <f t="shared" si="447"/>
        <v xml:space="preserve"> </v>
      </c>
      <c r="AJ2051" s="894"/>
      <c r="AK2051" s="894" t="s">
        <v>2800</v>
      </c>
    </row>
    <row r="2052" spans="1:37" s="394" customFormat="1" ht="22.5" outlineLevel="2" x14ac:dyDescent="0.3">
      <c r="A2052" s="447">
        <f t="shared" si="458"/>
        <v>175</v>
      </c>
      <c r="B2052" s="893"/>
      <c r="C2052" s="908"/>
      <c r="D2052" s="1032"/>
      <c r="E2052" s="947"/>
      <c r="F2052" s="947"/>
      <c r="G2052" s="922"/>
      <c r="H2052" s="1041"/>
      <c r="I2052" s="882"/>
      <c r="J2052" s="894"/>
      <c r="K2052" s="899" t="str">
        <f>IF(G2052&lt;&gt;0,VLOOKUP(G2052,'gia dat'!$A$1:$F$144,5,0)," ")</f>
        <v xml:space="preserve"> </v>
      </c>
      <c r="L2052" s="899" t="str">
        <f>IF(G2052&lt;&gt;0,VLOOKUP(G2052,'gia dat'!$A$1:$F$144,6,0)," ")</f>
        <v xml:space="preserve"> </v>
      </c>
      <c r="M2052" s="900" t="str">
        <f t="shared" si="455"/>
        <v xml:space="preserve"> </v>
      </c>
      <c r="N2052" s="900" t="str">
        <f t="shared" si="456"/>
        <v xml:space="preserve"> </v>
      </c>
      <c r="O2052" s="908"/>
      <c r="P2052" s="1065"/>
      <c r="Q2052" s="900" t="str">
        <f>IF(O2052&lt;&gt;0,VLOOKUP(O2052,'Cây trong'!$A$2:$C$246,3,0)," ")</f>
        <v xml:space="preserve"> </v>
      </c>
      <c r="R2052" s="900" t="str">
        <f t="shared" si="448"/>
        <v xml:space="preserve"> </v>
      </c>
      <c r="S2052" s="908"/>
      <c r="T2052" s="944"/>
      <c r="U2052" s="1066"/>
      <c r="V2052" s="922"/>
      <c r="W2052" s="900" t="str">
        <f>IF(S2052&lt;&gt;0,VLOOKUP(S2052,VKT!$A$2:$G$415,7,0),"")</f>
        <v/>
      </c>
      <c r="X2052" s="900" t="str">
        <f t="shared" si="459"/>
        <v xml:space="preserve"> </v>
      </c>
      <c r="Y2052" s="985"/>
      <c r="Z2052" s="922"/>
      <c r="AA2052" s="1067"/>
      <c r="AB2052" s="922"/>
      <c r="AC2052" s="922"/>
      <c r="AD2052" s="922"/>
      <c r="AE2052" s="922"/>
      <c r="AF2052" s="1046"/>
      <c r="AG2052" s="906" t="str">
        <f>IF(AE2052&lt;&gt;0,VLOOKUP(AE2052,ODDS!$A$2:$C$13,3,0),"")</f>
        <v/>
      </c>
      <c r="AH2052" s="906" t="str">
        <f t="shared" si="449"/>
        <v xml:space="preserve"> </v>
      </c>
      <c r="AI2052" s="907" t="str">
        <f t="shared" si="447"/>
        <v xml:space="preserve"> </v>
      </c>
      <c r="AJ2052" s="894"/>
      <c r="AK2052" s="894"/>
    </row>
    <row r="2053" spans="1:37" s="394" customFormat="1" ht="22.5" outlineLevel="2" x14ac:dyDescent="0.3">
      <c r="A2053" s="447">
        <f t="shared" si="458"/>
        <v>175</v>
      </c>
      <c r="B2053" s="893"/>
      <c r="C2053" s="942"/>
      <c r="D2053" s="1032"/>
      <c r="E2053" s="947"/>
      <c r="F2053" s="947"/>
      <c r="G2053" s="922"/>
      <c r="H2053" s="1041"/>
      <c r="I2053" s="882"/>
      <c r="J2053" s="894"/>
      <c r="K2053" s="899" t="str">
        <f>IF(G2053&lt;&gt;0,VLOOKUP(G2053,'gia dat'!$A$1:$F$144,5,0)," ")</f>
        <v xml:space="preserve"> </v>
      </c>
      <c r="L2053" s="899" t="str">
        <f>IF(G2053&lt;&gt;0,VLOOKUP(G2053,'gia dat'!$A$1:$F$144,6,0)," ")</f>
        <v xml:space="preserve"> </v>
      </c>
      <c r="M2053" s="900" t="str">
        <f t="shared" si="455"/>
        <v xml:space="preserve"> </v>
      </c>
      <c r="N2053" s="900" t="str">
        <f t="shared" si="456"/>
        <v xml:space="preserve"> </v>
      </c>
      <c r="O2053" s="908"/>
      <c r="P2053" s="1065"/>
      <c r="Q2053" s="900" t="str">
        <f>IF(O2053&lt;&gt;0,VLOOKUP(O2053,'Cây trong'!$A$2:$C$246,3,0)," ")</f>
        <v xml:space="preserve"> </v>
      </c>
      <c r="R2053" s="900" t="str">
        <f t="shared" si="448"/>
        <v xml:space="preserve"> </v>
      </c>
      <c r="S2053" s="908"/>
      <c r="T2053" s="944"/>
      <c r="U2053" s="1066"/>
      <c r="V2053" s="922"/>
      <c r="W2053" s="900" t="str">
        <f>IF(S2053&lt;&gt;0,VLOOKUP(S2053,VKT!$A$2:$G$415,7,0),"")</f>
        <v/>
      </c>
      <c r="X2053" s="900" t="str">
        <f t="shared" si="459"/>
        <v xml:space="preserve"> </v>
      </c>
      <c r="Y2053" s="985"/>
      <c r="Z2053" s="922"/>
      <c r="AA2053" s="1067"/>
      <c r="AB2053" s="922"/>
      <c r="AC2053" s="922"/>
      <c r="AD2053" s="922"/>
      <c r="AE2053" s="922"/>
      <c r="AF2053" s="1046"/>
      <c r="AG2053" s="906" t="str">
        <f>IF(AE2053&lt;&gt;0,VLOOKUP(AE2053,ODDS!$A$2:$C$13,3,0),"")</f>
        <v/>
      </c>
      <c r="AH2053" s="906" t="str">
        <f t="shared" si="449"/>
        <v xml:space="preserve"> </v>
      </c>
      <c r="AI2053" s="907" t="str">
        <f t="shared" si="447"/>
        <v xml:space="preserve"> </v>
      </c>
      <c r="AJ2053" s="922"/>
      <c r="AK2053" s="922"/>
    </row>
    <row r="2054" spans="1:37" s="394" customFormat="1" ht="22.5" outlineLevel="1" x14ac:dyDescent="0.25">
      <c r="A2054" s="467" t="s">
        <v>2534</v>
      </c>
      <c r="B2054" s="912">
        <v>176</v>
      </c>
      <c r="C2054" s="942" t="s">
        <v>1391</v>
      </c>
      <c r="D2054" s="1038"/>
      <c r="E2054" s="977"/>
      <c r="F2054" s="977"/>
      <c r="G2054" s="914"/>
      <c r="H2054" s="1039">
        <f>SUBTOTAL(9,H2055:H2063)</f>
        <v>153.1</v>
      </c>
      <c r="I2054" s="915">
        <f>SUBTOTAL(9,I2055:I2060)</f>
        <v>0</v>
      </c>
      <c r="J2054" s="916"/>
      <c r="K2054" s="917"/>
      <c r="L2054" s="917"/>
      <c r="M2054" s="907">
        <f>SUBTOTAL(9,M2055:M2063)</f>
        <v>57688000</v>
      </c>
      <c r="N2054" s="907">
        <f>SUBTOTAL(9,N2055:N2063)</f>
        <v>0</v>
      </c>
      <c r="O2054" s="942"/>
      <c r="P2054" s="1063">
        <f>SUBTOTAL(9,P2055:P2063)</f>
        <v>92.6</v>
      </c>
      <c r="Q2054" s="907"/>
      <c r="R2054" s="907">
        <f>SUBTOTAL(9,R2055:R2063)</f>
        <v>1111200</v>
      </c>
      <c r="S2054" s="918"/>
      <c r="T2054" s="956"/>
      <c r="U2054" s="1064">
        <f>SUBTOTAL(9,U2055:U2063)</f>
        <v>0</v>
      </c>
      <c r="V2054" s="914"/>
      <c r="W2054" s="907"/>
      <c r="X2054" s="907">
        <f>SUBTOTAL(9,X2055:X2063)</f>
        <v>0</v>
      </c>
      <c r="Y2054" s="985"/>
      <c r="Z2054" s="922"/>
      <c r="AA2054" s="1067"/>
      <c r="AB2054" s="922"/>
      <c r="AC2054" s="922"/>
      <c r="AD2054" s="922"/>
      <c r="AE2054" s="914"/>
      <c r="AF2054" s="1044">
        <f>SUBTOTAL(9,AF2055:AF2063)</f>
        <v>0</v>
      </c>
      <c r="AG2054" s="921"/>
      <c r="AH2054" s="921">
        <f>SUBTOTAL(9,AH2055:AH2063)</f>
        <v>0</v>
      </c>
      <c r="AI2054" s="907">
        <f t="shared" si="447"/>
        <v>58799200</v>
      </c>
      <c r="AJ2054" s="914"/>
      <c r="AK2054" s="914"/>
    </row>
    <row r="2055" spans="1:37" s="394" customFormat="1" ht="135" outlineLevel="2" x14ac:dyDescent="0.3">
      <c r="A2055" s="447">
        <f>IF(B2054&lt;&gt;0,B2054,A2053)</f>
        <v>176</v>
      </c>
      <c r="B2055" s="893"/>
      <c r="C2055" s="908" t="s">
        <v>1393</v>
      </c>
      <c r="D2055" s="1032">
        <v>3</v>
      </c>
      <c r="E2055" s="947">
        <v>86</v>
      </c>
      <c r="F2055" s="947">
        <v>406</v>
      </c>
      <c r="G2055" s="922" t="s">
        <v>2432</v>
      </c>
      <c r="H2055" s="1041">
        <f>144.1-H2057</f>
        <v>144.1</v>
      </c>
      <c r="I2055" s="882" t="str">
        <f t="shared" ref="I2055:I2056" si="460">IF(N2055&gt;0,H2055,"")</f>
        <v/>
      </c>
      <c r="J2055" s="898"/>
      <c r="K2055" s="899">
        <f>IF(G2055&lt;&gt;0,VLOOKUP(G2055,'gia dat'!$A$1:$F$144,5,0)," ")</f>
        <v>376800</v>
      </c>
      <c r="L2055" s="899">
        <f>IF(G2055&lt;&gt;0,VLOOKUP(G2055,'gia dat'!$A$1:$F$144,6,0)," ")</f>
        <v>0</v>
      </c>
      <c r="M2055" s="900">
        <f t="shared" si="455"/>
        <v>54297000</v>
      </c>
      <c r="N2055" s="900">
        <f t="shared" si="456"/>
        <v>0</v>
      </c>
      <c r="O2055" s="908" t="s">
        <v>347</v>
      </c>
      <c r="P2055" s="1065">
        <v>92.6</v>
      </c>
      <c r="Q2055" s="900">
        <f>IF(O2055&lt;&gt;0,VLOOKUP(O2055,'Cây trong'!$A$2:$C$246,3,0)," ")</f>
        <v>12000</v>
      </c>
      <c r="R2055" s="900">
        <f t="shared" si="448"/>
        <v>1111200</v>
      </c>
      <c r="S2055" s="902"/>
      <c r="T2055" s="944"/>
      <c r="U2055" s="1066"/>
      <c r="V2055" s="922"/>
      <c r="W2055" s="900" t="str">
        <f>IF(S2055&lt;&gt;0,VLOOKUP(S2055,VKT!$A$2:$G$415,7,0),"")</f>
        <v/>
      </c>
      <c r="X2055" s="900" t="str">
        <f t="shared" si="459"/>
        <v xml:space="preserve"> </v>
      </c>
      <c r="Y2055" s="985"/>
      <c r="Z2055" s="922"/>
      <c r="AA2055" s="1067"/>
      <c r="AB2055" s="922"/>
      <c r="AC2055" s="922"/>
      <c r="AD2055" s="922"/>
      <c r="AE2055" s="922"/>
      <c r="AF2055" s="1046"/>
      <c r="AG2055" s="906" t="str">
        <f>IF(AE2055&lt;&gt;0,VLOOKUP(AE2055,ODDS!$A$2:$C$13,3,0),"")</f>
        <v/>
      </c>
      <c r="AH2055" s="906"/>
      <c r="AI2055" s="907" t="str">
        <f t="shared" si="447"/>
        <v xml:space="preserve"> </v>
      </c>
      <c r="AJ2055" s="922" t="s">
        <v>1392</v>
      </c>
      <c r="AK2055" s="922" t="s">
        <v>2771</v>
      </c>
    </row>
    <row r="2056" spans="1:37" s="394" customFormat="1" ht="112.5" outlineLevel="2" x14ac:dyDescent="0.3">
      <c r="A2056" s="447">
        <f t="shared" ref="A2056:A2063" si="461">IF(B2055&lt;&gt;0,B2055,A2055)</f>
        <v>176</v>
      </c>
      <c r="B2056" s="893"/>
      <c r="C2056" s="942" t="s">
        <v>1396</v>
      </c>
      <c r="D2056" s="1032"/>
      <c r="E2056" s="947">
        <v>86</v>
      </c>
      <c r="F2056" s="947" t="s">
        <v>1394</v>
      </c>
      <c r="G2056" s="922" t="s">
        <v>2429</v>
      </c>
      <c r="H2056" s="1041">
        <v>9</v>
      </c>
      <c r="I2056" s="882" t="str">
        <f t="shared" si="460"/>
        <v/>
      </c>
      <c r="J2056" s="898"/>
      <c r="K2056" s="899">
        <f>IF(G2056&lt;&gt;0,VLOOKUP(G2056,'gia dat'!$A$1:$F$144,5,0)," ")</f>
        <v>376800</v>
      </c>
      <c r="L2056" s="899">
        <f>IF(G2056&lt;&gt;0,VLOOKUP(G2056,'gia dat'!$A$1:$F$144,6,0)," ")</f>
        <v>0</v>
      </c>
      <c r="M2056" s="900">
        <f t="shared" si="455"/>
        <v>3391000</v>
      </c>
      <c r="N2056" s="900">
        <f t="shared" si="456"/>
        <v>0</v>
      </c>
      <c r="O2056" s="908"/>
      <c r="P2056" s="1065"/>
      <c r="Q2056" s="900" t="str">
        <f>IF(O2056&lt;&gt;0,VLOOKUP(O2056,'Cây trong'!$A$2:$C$246,3,0)," ")</f>
        <v xml:space="preserve"> </v>
      </c>
      <c r="R2056" s="900" t="str">
        <f t="shared" si="448"/>
        <v xml:space="preserve"> </v>
      </c>
      <c r="S2056" s="902"/>
      <c r="T2056" s="944"/>
      <c r="U2056" s="1066"/>
      <c r="V2056" s="922"/>
      <c r="W2056" s="900" t="str">
        <f>IF(S2056&lt;&gt;0,VLOOKUP(S2056,VKT!$A$2:$G$415,7,0),"")</f>
        <v/>
      </c>
      <c r="X2056" s="900" t="str">
        <f t="shared" si="459"/>
        <v xml:space="preserve"> </v>
      </c>
      <c r="Y2056" s="985"/>
      <c r="Z2056" s="922"/>
      <c r="AA2056" s="1067"/>
      <c r="AB2056" s="922"/>
      <c r="AC2056" s="922"/>
      <c r="AD2056" s="922"/>
      <c r="AE2056" s="922"/>
      <c r="AF2056" s="1046"/>
      <c r="AG2056" s="906" t="str">
        <f>IF(AE2056&lt;&gt;0,VLOOKUP(AE2056,ODDS!$A$2:$C$13,3,0),"")</f>
        <v/>
      </c>
      <c r="AH2056" s="906" t="str">
        <f t="shared" si="449"/>
        <v xml:space="preserve"> </v>
      </c>
      <c r="AI2056" s="907" t="str">
        <f t="shared" si="447"/>
        <v xml:space="preserve"> </v>
      </c>
      <c r="AJ2056" s="922" t="s">
        <v>1395</v>
      </c>
      <c r="AK2056" s="894" t="s">
        <v>2449</v>
      </c>
    </row>
    <row r="2057" spans="1:37" s="394" customFormat="1" ht="45" outlineLevel="2" x14ac:dyDescent="0.3">
      <c r="A2057" s="447">
        <f t="shared" si="461"/>
        <v>176</v>
      </c>
      <c r="B2057" s="893"/>
      <c r="C2057" s="908" t="s">
        <v>1397</v>
      </c>
      <c r="D2057" s="1032"/>
      <c r="E2057" s="947"/>
      <c r="F2057" s="947"/>
      <c r="G2057" s="922"/>
      <c r="H2057" s="1041"/>
      <c r="I2057" s="882"/>
      <c r="J2057" s="898"/>
      <c r="K2057" s="899" t="str">
        <f>IF(G2057&lt;&gt;0,VLOOKUP(G2057,'gia dat'!$A$1:$F$144,5,0)," ")</f>
        <v xml:space="preserve"> </v>
      </c>
      <c r="L2057" s="899" t="str">
        <f>IF(G2057&lt;&gt;0,VLOOKUP(G2057,'gia dat'!$A$1:$F$144,6,0)," ")</f>
        <v xml:space="preserve"> </v>
      </c>
      <c r="M2057" s="900" t="str">
        <f t="shared" si="455"/>
        <v xml:space="preserve"> </v>
      </c>
      <c r="N2057" s="900" t="str">
        <f t="shared" si="456"/>
        <v xml:space="preserve"> </v>
      </c>
      <c r="O2057" s="908"/>
      <c r="P2057" s="1065"/>
      <c r="Q2057" s="900" t="str">
        <f>IF(O2057&lt;&gt;0,VLOOKUP(O2057,'Cây trong'!$A$2:$C$246,3,0)," ")</f>
        <v xml:space="preserve"> </v>
      </c>
      <c r="R2057" s="900" t="str">
        <f t="shared" si="448"/>
        <v xml:space="preserve"> </v>
      </c>
      <c r="S2057" s="902"/>
      <c r="T2057" s="944"/>
      <c r="U2057" s="1066"/>
      <c r="V2057" s="922"/>
      <c r="W2057" s="900" t="str">
        <f>IF(S2057&lt;&gt;0,VLOOKUP(S2057,VKT!$A$2:$G$415,7,0),"")</f>
        <v/>
      </c>
      <c r="X2057" s="900" t="str">
        <f t="shared" si="459"/>
        <v xml:space="preserve"> </v>
      </c>
      <c r="Y2057" s="985"/>
      <c r="Z2057" s="922"/>
      <c r="AA2057" s="1067"/>
      <c r="AB2057" s="922"/>
      <c r="AC2057" s="922"/>
      <c r="AD2057" s="922"/>
      <c r="AE2057" s="922"/>
      <c r="AF2057" s="1046"/>
      <c r="AG2057" s="906" t="str">
        <f>IF(AE2057&lt;&gt;0,VLOOKUP(AE2057,ODDS!$A$2:$C$13,3,0),"")</f>
        <v/>
      </c>
      <c r="AH2057" s="906" t="str">
        <f t="shared" si="449"/>
        <v xml:space="preserve"> </v>
      </c>
      <c r="AI2057" s="907" t="str">
        <f t="shared" ref="AI2057:AI2120" si="462">IF(B2057&lt;&gt;0,M2057+N2057+R2057+X2057+AH2057," ")</f>
        <v xml:space="preserve"> </v>
      </c>
      <c r="AJ2057" s="922" t="s">
        <v>1188</v>
      </c>
      <c r="AK2057" s="922"/>
    </row>
    <row r="2058" spans="1:37" s="394" customFormat="1" ht="135" outlineLevel="2" x14ac:dyDescent="0.3">
      <c r="A2058" s="447">
        <f t="shared" si="461"/>
        <v>176</v>
      </c>
      <c r="B2058" s="893"/>
      <c r="C2058" s="908" t="s">
        <v>1626</v>
      </c>
      <c r="D2058" s="1032"/>
      <c r="E2058" s="947"/>
      <c r="F2058" s="947"/>
      <c r="G2058" s="922"/>
      <c r="H2058" s="1041"/>
      <c r="I2058" s="882"/>
      <c r="J2058" s="894"/>
      <c r="K2058" s="899" t="str">
        <f>IF(G2058&lt;&gt;0,VLOOKUP(G2058,'gia dat'!$A$1:$F$144,5,0)," ")</f>
        <v xml:space="preserve"> </v>
      </c>
      <c r="L2058" s="899" t="str">
        <f>IF(G2058&lt;&gt;0,VLOOKUP(G2058,'gia dat'!$A$1:$F$144,6,0)," ")</f>
        <v xml:space="preserve"> </v>
      </c>
      <c r="M2058" s="900" t="str">
        <f t="shared" si="455"/>
        <v xml:space="preserve"> </v>
      </c>
      <c r="N2058" s="900" t="str">
        <f t="shared" si="456"/>
        <v xml:space="preserve"> </v>
      </c>
      <c r="O2058" s="908"/>
      <c r="P2058" s="1065"/>
      <c r="Q2058" s="900" t="str">
        <f>IF(O2058&lt;&gt;0,VLOOKUP(O2058,'Cây trong'!$A$2:$C$246,3,0)," ")</f>
        <v xml:space="preserve"> </v>
      </c>
      <c r="R2058" s="900" t="str">
        <f t="shared" si="448"/>
        <v xml:space="preserve"> </v>
      </c>
      <c r="S2058" s="908"/>
      <c r="T2058" s="944"/>
      <c r="U2058" s="1066"/>
      <c r="V2058" s="922"/>
      <c r="W2058" s="900" t="str">
        <f>IF(S2058&lt;&gt;0,VLOOKUP(S2058,VKT!$A$2:$G$415,7,0),"")</f>
        <v/>
      </c>
      <c r="X2058" s="900" t="str">
        <f t="shared" si="459"/>
        <v xml:space="preserve"> </v>
      </c>
      <c r="Y2058" s="985"/>
      <c r="Z2058" s="922"/>
      <c r="AA2058" s="1067"/>
      <c r="AB2058" s="922"/>
      <c r="AC2058" s="922"/>
      <c r="AD2058" s="922"/>
      <c r="AE2058" s="922"/>
      <c r="AF2058" s="1046"/>
      <c r="AG2058" s="906" t="str">
        <f>IF(AE2058&lt;&gt;0,VLOOKUP(AE2058,ODDS!$A$2:$C$13,3,0),"")</f>
        <v/>
      </c>
      <c r="AH2058" s="906" t="str">
        <f t="shared" si="449"/>
        <v xml:space="preserve"> </v>
      </c>
      <c r="AI2058" s="907" t="str">
        <f t="shared" si="462"/>
        <v xml:space="preserve"> </v>
      </c>
      <c r="AJ2058" s="922" t="s">
        <v>1398</v>
      </c>
      <c r="AK2058" s="922"/>
    </row>
    <row r="2059" spans="1:37" s="394" customFormat="1" ht="135" outlineLevel="2" x14ac:dyDescent="0.3">
      <c r="A2059" s="447">
        <f t="shared" si="461"/>
        <v>176</v>
      </c>
      <c r="B2059" s="893"/>
      <c r="C2059" s="908"/>
      <c r="D2059" s="1032"/>
      <c r="E2059" s="947"/>
      <c r="F2059" s="947"/>
      <c r="G2059" s="922"/>
      <c r="H2059" s="1041"/>
      <c r="I2059" s="882"/>
      <c r="J2059" s="894"/>
      <c r="K2059" s="899" t="str">
        <f>IF(G2059&lt;&gt;0,VLOOKUP(G2059,'gia dat'!$A$1:$F$144,5,0)," ")</f>
        <v xml:space="preserve"> </v>
      </c>
      <c r="L2059" s="899" t="str">
        <f>IF(G2059&lt;&gt;0,VLOOKUP(G2059,'gia dat'!$A$1:$F$144,6,0)," ")</f>
        <v xml:space="preserve"> </v>
      </c>
      <c r="M2059" s="900" t="str">
        <f t="shared" si="455"/>
        <v xml:space="preserve"> </v>
      </c>
      <c r="N2059" s="900" t="str">
        <f t="shared" si="456"/>
        <v xml:space="preserve"> </v>
      </c>
      <c r="O2059" s="908"/>
      <c r="P2059" s="1065"/>
      <c r="Q2059" s="900" t="str">
        <f>IF(O2059&lt;&gt;0,VLOOKUP(O2059,'Cây trong'!$A$2:$C$246,3,0)," ")</f>
        <v xml:space="preserve"> </v>
      </c>
      <c r="R2059" s="900" t="str">
        <f t="shared" si="448"/>
        <v xml:space="preserve"> </v>
      </c>
      <c r="S2059" s="908"/>
      <c r="T2059" s="944"/>
      <c r="U2059" s="1066"/>
      <c r="V2059" s="922"/>
      <c r="W2059" s="900" t="str">
        <f>IF(S2059&lt;&gt;0,VLOOKUP(S2059,VKT!$A$2:$G$415,7,0),"")</f>
        <v/>
      </c>
      <c r="X2059" s="900" t="str">
        <f t="shared" si="459"/>
        <v xml:space="preserve"> </v>
      </c>
      <c r="Y2059" s="985"/>
      <c r="Z2059" s="922"/>
      <c r="AA2059" s="1067"/>
      <c r="AB2059" s="922"/>
      <c r="AC2059" s="922"/>
      <c r="AD2059" s="922"/>
      <c r="AE2059" s="922"/>
      <c r="AF2059" s="1046"/>
      <c r="AG2059" s="906" t="str">
        <f>IF(AE2059&lt;&gt;0,VLOOKUP(AE2059,ODDS!$A$2:$C$13,3,0),"")</f>
        <v/>
      </c>
      <c r="AH2059" s="906" t="str">
        <f t="shared" si="449"/>
        <v xml:space="preserve"> </v>
      </c>
      <c r="AI2059" s="907" t="str">
        <f t="shared" si="462"/>
        <v xml:space="preserve"> </v>
      </c>
      <c r="AJ2059" s="908" t="s">
        <v>2446</v>
      </c>
      <c r="AK2059" s="908"/>
    </row>
    <row r="2060" spans="1:37" s="394" customFormat="1" ht="22.5" outlineLevel="2" x14ac:dyDescent="0.3">
      <c r="A2060" s="447">
        <f t="shared" si="461"/>
        <v>176</v>
      </c>
      <c r="B2060" s="893"/>
      <c r="C2060" s="908"/>
      <c r="D2060" s="1032"/>
      <c r="E2060" s="947"/>
      <c r="F2060" s="947"/>
      <c r="G2060" s="922"/>
      <c r="H2060" s="1041"/>
      <c r="I2060" s="882"/>
      <c r="J2060" s="894"/>
      <c r="K2060" s="899" t="str">
        <f>IF(G2060&lt;&gt;0,VLOOKUP(G2060,'gia dat'!$A$1:$F$144,5,0)," ")</f>
        <v xml:space="preserve"> </v>
      </c>
      <c r="L2060" s="899" t="str">
        <f>IF(G2060&lt;&gt;0,VLOOKUP(G2060,'gia dat'!$A$1:$F$144,6,0)," ")</f>
        <v xml:space="preserve"> </v>
      </c>
      <c r="M2060" s="900" t="str">
        <f t="shared" si="455"/>
        <v xml:space="preserve"> </v>
      </c>
      <c r="N2060" s="900" t="str">
        <f t="shared" si="456"/>
        <v xml:space="preserve"> </v>
      </c>
      <c r="O2060" s="908"/>
      <c r="P2060" s="1065"/>
      <c r="Q2060" s="900" t="str">
        <f>IF(O2060&lt;&gt;0,VLOOKUP(O2060,'Cây trong'!$A$2:$C$246,3,0)," ")</f>
        <v xml:space="preserve"> </v>
      </c>
      <c r="R2060" s="900" t="str">
        <f t="shared" si="448"/>
        <v xml:space="preserve"> </v>
      </c>
      <c r="S2060" s="908"/>
      <c r="T2060" s="944"/>
      <c r="U2060" s="1066"/>
      <c r="V2060" s="922"/>
      <c r="W2060" s="900" t="str">
        <f>IF(S2060&lt;&gt;0,VLOOKUP(S2060,VKT!$A$2:$G$415,7,0),"")</f>
        <v/>
      </c>
      <c r="X2060" s="900" t="str">
        <f t="shared" si="459"/>
        <v xml:space="preserve"> </v>
      </c>
      <c r="Y2060" s="985"/>
      <c r="Z2060" s="922"/>
      <c r="AA2060" s="1067"/>
      <c r="AB2060" s="922"/>
      <c r="AC2060" s="922"/>
      <c r="AD2060" s="922"/>
      <c r="AE2060" s="922"/>
      <c r="AF2060" s="1046"/>
      <c r="AG2060" s="906" t="str">
        <f>IF(AE2060&lt;&gt;0,VLOOKUP(AE2060,ODDS!$A$2:$C$13,3,0),"")</f>
        <v/>
      </c>
      <c r="AH2060" s="906" t="str">
        <f t="shared" si="449"/>
        <v xml:space="preserve"> </v>
      </c>
      <c r="AI2060" s="907" t="str">
        <f t="shared" si="462"/>
        <v xml:space="preserve"> </v>
      </c>
      <c r="AJ2060" s="908"/>
      <c r="AK2060" s="908"/>
    </row>
    <row r="2061" spans="1:37" s="394" customFormat="1" ht="22.5" outlineLevel="2" x14ac:dyDescent="0.3">
      <c r="A2061" s="447">
        <f t="shared" si="461"/>
        <v>176</v>
      </c>
      <c r="B2061" s="893"/>
      <c r="C2061" s="908"/>
      <c r="D2061" s="1032"/>
      <c r="E2061" s="947"/>
      <c r="F2061" s="947"/>
      <c r="G2061" s="922"/>
      <c r="H2061" s="1041"/>
      <c r="I2061" s="882"/>
      <c r="J2061" s="894"/>
      <c r="K2061" s="899" t="str">
        <f>IF(G2061&lt;&gt;0,VLOOKUP(G2061,'gia dat'!$A$1:$F$144,5,0)," ")</f>
        <v xml:space="preserve"> </v>
      </c>
      <c r="L2061" s="899" t="str">
        <f>IF(G2061&lt;&gt;0,VLOOKUP(G2061,'gia dat'!$A$1:$F$144,6,0)," ")</f>
        <v xml:space="preserve"> </v>
      </c>
      <c r="M2061" s="900" t="str">
        <f t="shared" si="455"/>
        <v xml:space="preserve"> </v>
      </c>
      <c r="N2061" s="900" t="str">
        <f t="shared" si="456"/>
        <v xml:space="preserve"> </v>
      </c>
      <c r="O2061" s="908"/>
      <c r="P2061" s="1065"/>
      <c r="Q2061" s="900" t="str">
        <f>IF(O2061&lt;&gt;0,VLOOKUP(O2061,'Cây trong'!$A$2:$C$246,3,0)," ")</f>
        <v xml:space="preserve"> </v>
      </c>
      <c r="R2061" s="900" t="str">
        <f t="shared" si="448"/>
        <v xml:space="preserve"> </v>
      </c>
      <c r="S2061" s="908"/>
      <c r="T2061" s="944"/>
      <c r="U2061" s="1066"/>
      <c r="V2061" s="922"/>
      <c r="W2061" s="900" t="str">
        <f>IF(S2061&lt;&gt;0,VLOOKUP(S2061,VKT!$A$2:$G$415,7,0),"")</f>
        <v/>
      </c>
      <c r="X2061" s="900" t="str">
        <f t="shared" si="459"/>
        <v xml:space="preserve"> </v>
      </c>
      <c r="Y2061" s="985"/>
      <c r="Z2061" s="922"/>
      <c r="AA2061" s="1067"/>
      <c r="AB2061" s="922"/>
      <c r="AC2061" s="922"/>
      <c r="AD2061" s="922"/>
      <c r="AE2061" s="922"/>
      <c r="AF2061" s="1046"/>
      <c r="AG2061" s="906" t="str">
        <f>IF(AE2061&lt;&gt;0,VLOOKUP(AE2061,ODDS!$A$2:$C$13,3,0),"")</f>
        <v/>
      </c>
      <c r="AH2061" s="906" t="str">
        <f t="shared" si="449"/>
        <v xml:space="preserve"> </v>
      </c>
      <c r="AI2061" s="907" t="str">
        <f t="shared" si="462"/>
        <v xml:space="preserve"> </v>
      </c>
      <c r="AJ2061" s="908"/>
      <c r="AK2061" s="908"/>
    </row>
    <row r="2062" spans="1:37" s="394" customFormat="1" ht="22.5" outlineLevel="2" x14ac:dyDescent="0.3">
      <c r="A2062" s="447">
        <f t="shared" si="461"/>
        <v>176</v>
      </c>
      <c r="B2062" s="893"/>
      <c r="C2062" s="908"/>
      <c r="D2062" s="1032"/>
      <c r="E2062" s="947"/>
      <c r="F2062" s="947"/>
      <c r="G2062" s="922"/>
      <c r="H2062" s="1041"/>
      <c r="I2062" s="882"/>
      <c r="J2062" s="894"/>
      <c r="K2062" s="899" t="str">
        <f>IF(G2062&lt;&gt;0,VLOOKUP(G2062,'gia dat'!$A$1:$F$144,5,0)," ")</f>
        <v xml:space="preserve"> </v>
      </c>
      <c r="L2062" s="899" t="str">
        <f>IF(G2062&lt;&gt;0,VLOOKUP(G2062,'gia dat'!$A$1:$F$144,6,0)," ")</f>
        <v xml:space="preserve"> </v>
      </c>
      <c r="M2062" s="900" t="str">
        <f t="shared" si="455"/>
        <v xml:space="preserve"> </v>
      </c>
      <c r="N2062" s="900" t="str">
        <f t="shared" si="456"/>
        <v xml:space="preserve"> </v>
      </c>
      <c r="O2062" s="908"/>
      <c r="P2062" s="1065"/>
      <c r="Q2062" s="900" t="str">
        <f>IF(O2062&lt;&gt;0,VLOOKUP(O2062,'Cây trong'!$A$2:$C$246,3,0)," ")</f>
        <v xml:space="preserve"> </v>
      </c>
      <c r="R2062" s="900" t="str">
        <f t="shared" si="448"/>
        <v xml:space="preserve"> </v>
      </c>
      <c r="S2062" s="908"/>
      <c r="T2062" s="944"/>
      <c r="U2062" s="1066"/>
      <c r="V2062" s="922"/>
      <c r="W2062" s="900" t="str">
        <f>IF(S2062&lt;&gt;0,VLOOKUP(S2062,VKT!$A$2:$G$415,7,0),"")</f>
        <v/>
      </c>
      <c r="X2062" s="900" t="str">
        <f t="shared" si="459"/>
        <v xml:space="preserve"> </v>
      </c>
      <c r="Y2062" s="985"/>
      <c r="Z2062" s="922"/>
      <c r="AA2062" s="1067"/>
      <c r="AB2062" s="922"/>
      <c r="AC2062" s="922"/>
      <c r="AD2062" s="922"/>
      <c r="AE2062" s="922"/>
      <c r="AF2062" s="1046"/>
      <c r="AG2062" s="906" t="str">
        <f>IF(AE2062&lt;&gt;0,VLOOKUP(AE2062,ODDS!$A$2:$C$13,3,0),"")</f>
        <v/>
      </c>
      <c r="AH2062" s="906" t="str">
        <f t="shared" si="449"/>
        <v xml:space="preserve"> </v>
      </c>
      <c r="AI2062" s="907" t="str">
        <f t="shared" si="462"/>
        <v xml:space="preserve"> </v>
      </c>
      <c r="AJ2062" s="894"/>
      <c r="AK2062" s="894"/>
    </row>
    <row r="2063" spans="1:37" s="394" customFormat="1" ht="22.5" outlineLevel="2" x14ac:dyDescent="0.3">
      <c r="A2063" s="447">
        <f t="shared" si="461"/>
        <v>176</v>
      </c>
      <c r="B2063" s="893"/>
      <c r="C2063" s="942"/>
      <c r="D2063" s="1032"/>
      <c r="E2063" s="947"/>
      <c r="F2063" s="947"/>
      <c r="G2063" s="922"/>
      <c r="H2063" s="1041"/>
      <c r="I2063" s="882"/>
      <c r="J2063" s="894"/>
      <c r="K2063" s="899" t="str">
        <f>IF(G2063&lt;&gt;0,VLOOKUP(G2063,'gia dat'!$A$1:$F$144,5,0)," ")</f>
        <v xml:space="preserve"> </v>
      </c>
      <c r="L2063" s="899" t="str">
        <f>IF(G2063&lt;&gt;0,VLOOKUP(G2063,'gia dat'!$A$1:$F$144,6,0)," ")</f>
        <v xml:space="preserve"> </v>
      </c>
      <c r="M2063" s="900" t="str">
        <f t="shared" si="455"/>
        <v xml:space="preserve"> </v>
      </c>
      <c r="N2063" s="900" t="str">
        <f t="shared" si="456"/>
        <v xml:space="preserve"> </v>
      </c>
      <c r="O2063" s="908"/>
      <c r="P2063" s="1065"/>
      <c r="Q2063" s="900" t="str">
        <f>IF(O2063&lt;&gt;0,VLOOKUP(O2063,'Cây trong'!$A$2:$C$246,3,0)," ")</f>
        <v xml:space="preserve"> </v>
      </c>
      <c r="R2063" s="900" t="str">
        <f t="shared" si="448"/>
        <v xml:space="preserve"> </v>
      </c>
      <c r="S2063" s="908"/>
      <c r="T2063" s="944"/>
      <c r="U2063" s="1066"/>
      <c r="V2063" s="922"/>
      <c r="W2063" s="900" t="str">
        <f>IF(S2063&lt;&gt;0,VLOOKUP(S2063,VKT!$A$2:$G$415,7,0),"")</f>
        <v/>
      </c>
      <c r="X2063" s="900" t="str">
        <f t="shared" si="459"/>
        <v xml:space="preserve"> </v>
      </c>
      <c r="Y2063" s="985"/>
      <c r="Z2063" s="922"/>
      <c r="AA2063" s="1067"/>
      <c r="AB2063" s="922"/>
      <c r="AC2063" s="922"/>
      <c r="AD2063" s="922"/>
      <c r="AE2063" s="922"/>
      <c r="AF2063" s="1046"/>
      <c r="AG2063" s="906" t="str">
        <f>IF(AE2063&lt;&gt;0,VLOOKUP(AE2063,ODDS!$A$2:$C$13,3,0),"")</f>
        <v/>
      </c>
      <c r="AH2063" s="906" t="str">
        <f t="shared" si="449"/>
        <v xml:space="preserve"> </v>
      </c>
      <c r="AI2063" s="907" t="str">
        <f t="shared" si="462"/>
        <v xml:space="preserve"> </v>
      </c>
      <c r="AJ2063" s="922"/>
      <c r="AK2063" s="922"/>
    </row>
    <row r="2064" spans="1:37" s="394" customFormat="1" ht="22.5" outlineLevel="1" x14ac:dyDescent="0.25">
      <c r="A2064" s="467" t="s">
        <v>2533</v>
      </c>
      <c r="B2064" s="912">
        <v>177</v>
      </c>
      <c r="C2064" s="942" t="s">
        <v>1399</v>
      </c>
      <c r="D2064" s="1038"/>
      <c r="E2064" s="977"/>
      <c r="F2064" s="977"/>
      <c r="G2064" s="914"/>
      <c r="H2064" s="1039">
        <f>SUBTOTAL(9,H2065:H2074)</f>
        <v>153.5</v>
      </c>
      <c r="I2064" s="915">
        <f>SUBTOTAL(9,I2065:I2070)</f>
        <v>0</v>
      </c>
      <c r="J2064" s="916"/>
      <c r="K2064" s="917"/>
      <c r="L2064" s="917"/>
      <c r="M2064" s="907">
        <f>SUBTOTAL(9,M2065:M2074)</f>
        <v>57839000</v>
      </c>
      <c r="N2064" s="907">
        <f>SUBTOTAL(9,N2065:N2074)</f>
        <v>0</v>
      </c>
      <c r="O2064" s="942"/>
      <c r="P2064" s="1063">
        <f>SUBTOTAL(9,P2065:P2074)</f>
        <v>93.4</v>
      </c>
      <c r="Q2064" s="907"/>
      <c r="R2064" s="907">
        <f>SUBTOTAL(9,R2065:R2074)</f>
        <v>1120800</v>
      </c>
      <c r="S2064" s="918"/>
      <c r="T2064" s="956"/>
      <c r="U2064" s="1064">
        <f>SUBTOTAL(9,U2065:U2074)</f>
        <v>0</v>
      </c>
      <c r="V2064" s="914"/>
      <c r="W2064" s="907"/>
      <c r="X2064" s="907">
        <f>SUBTOTAL(9,X2065:X2074)</f>
        <v>0</v>
      </c>
      <c r="Y2064" s="985"/>
      <c r="Z2064" s="922"/>
      <c r="AA2064" s="1067"/>
      <c r="AB2064" s="922"/>
      <c r="AC2064" s="922"/>
      <c r="AD2064" s="922"/>
      <c r="AE2064" s="914"/>
      <c r="AF2064" s="1044">
        <f>SUBTOTAL(9,AF2065:AF2074)</f>
        <v>0</v>
      </c>
      <c r="AG2064" s="921"/>
      <c r="AH2064" s="921">
        <f>SUBTOTAL(9,AH2065:AH2074)</f>
        <v>0</v>
      </c>
      <c r="AI2064" s="907">
        <f t="shared" si="462"/>
        <v>58959800</v>
      </c>
      <c r="AJ2064" s="914"/>
      <c r="AK2064" s="914"/>
    </row>
    <row r="2065" spans="1:37" s="394" customFormat="1" ht="135" outlineLevel="2" x14ac:dyDescent="0.3">
      <c r="A2065" s="447">
        <f>IF(B2064&lt;&gt;0,B2064,A2063)</f>
        <v>177</v>
      </c>
      <c r="B2065" s="893"/>
      <c r="C2065" s="908" t="s">
        <v>1401</v>
      </c>
      <c r="D2065" s="1032"/>
      <c r="E2065" s="947">
        <v>86</v>
      </c>
      <c r="F2065" s="947">
        <v>405</v>
      </c>
      <c r="G2065" s="922" t="s">
        <v>2432</v>
      </c>
      <c r="H2065" s="1041">
        <v>142.9</v>
      </c>
      <c r="I2065" s="882" t="str">
        <f t="shared" ref="I2065:I2066" si="463">IF(N2065&gt;0,H2065,"")</f>
        <v/>
      </c>
      <c r="J2065" s="898"/>
      <c r="K2065" s="899">
        <f>IF(G2065&lt;&gt;0,VLOOKUP(G2065,'gia dat'!$A$1:$F$144,5,0)," ")</f>
        <v>376800</v>
      </c>
      <c r="L2065" s="899">
        <f>IF(G2065&lt;&gt;0,VLOOKUP(G2065,'gia dat'!$A$1:$F$144,6,0)," ")</f>
        <v>0</v>
      </c>
      <c r="M2065" s="900">
        <f t="shared" si="455"/>
        <v>53845000</v>
      </c>
      <c r="N2065" s="900">
        <f t="shared" si="456"/>
        <v>0</v>
      </c>
      <c r="O2065" s="908" t="s">
        <v>347</v>
      </c>
      <c r="P2065" s="1065">
        <v>93.4</v>
      </c>
      <c r="Q2065" s="900">
        <f>IF(O2065&lt;&gt;0,VLOOKUP(O2065,'Cây trong'!$A$2:$C$246,3,0)," ")</f>
        <v>12000</v>
      </c>
      <c r="R2065" s="900">
        <f t="shared" ref="R2065:R2129" si="464">IF(O2065&lt;&gt;0,ROUND(P2065*Q2065,-2)," ")</f>
        <v>1120800</v>
      </c>
      <c r="S2065" s="902"/>
      <c r="T2065" s="944"/>
      <c r="U2065" s="1066"/>
      <c r="V2065" s="922"/>
      <c r="W2065" s="900" t="str">
        <f>IF(S2065&lt;&gt;0,VLOOKUP(S2065,VKT!$A$2:$G$415,7,0),"")</f>
        <v/>
      </c>
      <c r="X2065" s="900" t="str">
        <f t="shared" si="459"/>
        <v xml:space="preserve"> </v>
      </c>
      <c r="Y2065" s="985"/>
      <c r="Z2065" s="922"/>
      <c r="AA2065" s="1067"/>
      <c r="AB2065" s="922"/>
      <c r="AC2065" s="922"/>
      <c r="AD2065" s="922"/>
      <c r="AE2065" s="922"/>
      <c r="AF2065" s="1046"/>
      <c r="AG2065" s="906" t="str">
        <f>IF(AE2065&lt;&gt;0,VLOOKUP(AE2065,ODDS!$A$2:$C$13,3,0),"")</f>
        <v/>
      </c>
      <c r="AH2065" s="906"/>
      <c r="AI2065" s="907" t="str">
        <f t="shared" si="462"/>
        <v xml:space="preserve"> </v>
      </c>
      <c r="AJ2065" s="922" t="s">
        <v>1400</v>
      </c>
      <c r="AK2065" s="922" t="s">
        <v>2771</v>
      </c>
    </row>
    <row r="2066" spans="1:37" s="394" customFormat="1" ht="112.5" outlineLevel="2" x14ac:dyDescent="0.3">
      <c r="A2066" s="447">
        <f t="shared" ref="A2066:A2074" si="465">IF(B2065&lt;&gt;0,B2065,A2065)</f>
        <v>177</v>
      </c>
      <c r="B2066" s="893"/>
      <c r="C2066" s="908" t="s">
        <v>1627</v>
      </c>
      <c r="D2066" s="1032"/>
      <c r="E2066" s="947">
        <v>86</v>
      </c>
      <c r="F2066" s="947" t="s">
        <v>1402</v>
      </c>
      <c r="G2066" s="922" t="s">
        <v>2429</v>
      </c>
      <c r="H2066" s="1041">
        <v>10.6</v>
      </c>
      <c r="I2066" s="882" t="str">
        <f t="shared" si="463"/>
        <v/>
      </c>
      <c r="J2066" s="898"/>
      <c r="K2066" s="899">
        <f>IF(G2066&lt;&gt;0,VLOOKUP(G2066,'gia dat'!$A$1:$F$144,5,0)," ")</f>
        <v>376800</v>
      </c>
      <c r="L2066" s="899">
        <f>IF(G2066&lt;&gt;0,VLOOKUP(G2066,'gia dat'!$A$1:$F$144,6,0)," ")</f>
        <v>0</v>
      </c>
      <c r="M2066" s="900">
        <f t="shared" si="455"/>
        <v>3994000</v>
      </c>
      <c r="N2066" s="900">
        <f t="shared" si="456"/>
        <v>0</v>
      </c>
      <c r="O2066" s="908"/>
      <c r="P2066" s="1065"/>
      <c r="Q2066" s="900" t="str">
        <f>IF(O2066&lt;&gt;0,VLOOKUP(O2066,'Cây trong'!$A$2:$C$246,3,0)," ")</f>
        <v xml:space="preserve"> </v>
      </c>
      <c r="R2066" s="900" t="str">
        <f t="shared" si="464"/>
        <v xml:space="preserve"> </v>
      </c>
      <c r="S2066" s="902"/>
      <c r="T2066" s="944"/>
      <c r="U2066" s="1066"/>
      <c r="V2066" s="922"/>
      <c r="W2066" s="900" t="str">
        <f>IF(S2066&lt;&gt;0,VLOOKUP(S2066,VKT!$A$2:$G$415,7,0),"")</f>
        <v/>
      </c>
      <c r="X2066" s="900" t="str">
        <f t="shared" si="459"/>
        <v xml:space="preserve"> </v>
      </c>
      <c r="Y2066" s="985"/>
      <c r="Z2066" s="922"/>
      <c r="AA2066" s="1067"/>
      <c r="AB2066" s="922"/>
      <c r="AC2066" s="922"/>
      <c r="AD2066" s="922"/>
      <c r="AE2066" s="922"/>
      <c r="AF2066" s="1046"/>
      <c r="AG2066" s="906" t="str">
        <f>IF(AE2066&lt;&gt;0,VLOOKUP(AE2066,ODDS!$A$2:$C$13,3,0),"")</f>
        <v/>
      </c>
      <c r="AH2066" s="906" t="str">
        <f t="shared" ref="AH2066:AH2129" si="466">IF(AE2066&lt;&gt;0,ROUND(AF2066*AG2066,-2)," ")</f>
        <v xml:space="preserve"> </v>
      </c>
      <c r="AI2066" s="907" t="str">
        <f t="shared" si="462"/>
        <v xml:space="preserve"> </v>
      </c>
      <c r="AJ2066" s="922" t="s">
        <v>1403</v>
      </c>
      <c r="AK2066" s="894" t="s">
        <v>2449</v>
      </c>
    </row>
    <row r="2067" spans="1:37" s="394" customFormat="1" ht="43.5" outlineLevel="2" x14ac:dyDescent="0.3">
      <c r="A2067" s="447">
        <f t="shared" si="465"/>
        <v>177</v>
      </c>
      <c r="B2067" s="893"/>
      <c r="C2067" s="942" t="s">
        <v>1404</v>
      </c>
      <c r="D2067" s="1032"/>
      <c r="E2067" s="947"/>
      <c r="F2067" s="947"/>
      <c r="G2067" s="922"/>
      <c r="H2067" s="1041"/>
      <c r="I2067" s="882"/>
      <c r="J2067" s="898"/>
      <c r="K2067" s="899" t="str">
        <f>IF(G2067&lt;&gt;0,VLOOKUP(G2067,'gia dat'!$A$1:$F$144,5,0)," ")</f>
        <v xml:space="preserve"> </v>
      </c>
      <c r="L2067" s="899" t="str">
        <f>IF(G2067&lt;&gt;0,VLOOKUP(G2067,'gia dat'!$A$1:$F$144,6,0)," ")</f>
        <v xml:space="preserve"> </v>
      </c>
      <c r="M2067" s="900" t="str">
        <f t="shared" si="455"/>
        <v xml:space="preserve"> </v>
      </c>
      <c r="N2067" s="900" t="str">
        <f t="shared" si="456"/>
        <v xml:space="preserve"> </v>
      </c>
      <c r="O2067" s="908"/>
      <c r="P2067" s="1065"/>
      <c r="Q2067" s="900" t="str">
        <f>IF(O2067&lt;&gt;0,VLOOKUP(O2067,'Cây trong'!$A$2:$C$246,3,0)," ")</f>
        <v xml:space="preserve"> </v>
      </c>
      <c r="R2067" s="900" t="str">
        <f t="shared" si="464"/>
        <v xml:space="preserve"> </v>
      </c>
      <c r="S2067" s="902"/>
      <c r="T2067" s="944"/>
      <c r="U2067" s="1066"/>
      <c r="V2067" s="922"/>
      <c r="W2067" s="900" t="str">
        <f>IF(S2067&lt;&gt;0,VLOOKUP(S2067,VKT!$A$2:$G$415,7,0),"")</f>
        <v/>
      </c>
      <c r="X2067" s="900" t="str">
        <f t="shared" si="459"/>
        <v xml:space="preserve"> </v>
      </c>
      <c r="Y2067" s="985"/>
      <c r="Z2067" s="922"/>
      <c r="AA2067" s="1067"/>
      <c r="AB2067" s="922"/>
      <c r="AC2067" s="922"/>
      <c r="AD2067" s="922"/>
      <c r="AE2067" s="922"/>
      <c r="AF2067" s="1046"/>
      <c r="AG2067" s="906" t="str">
        <f>IF(AE2067&lt;&gt;0,VLOOKUP(AE2067,ODDS!$A$2:$C$13,3,0),"")</f>
        <v/>
      </c>
      <c r="AH2067" s="906" t="str">
        <f t="shared" si="466"/>
        <v xml:space="preserve"> </v>
      </c>
      <c r="AI2067" s="907" t="str">
        <f t="shared" si="462"/>
        <v xml:space="preserve"> </v>
      </c>
      <c r="AJ2067" s="922" t="s">
        <v>404</v>
      </c>
      <c r="AK2067" s="922"/>
    </row>
    <row r="2068" spans="1:37" s="394" customFormat="1" ht="135" outlineLevel="2" x14ac:dyDescent="0.3">
      <c r="A2068" s="447">
        <f t="shared" si="465"/>
        <v>177</v>
      </c>
      <c r="B2068" s="893"/>
      <c r="C2068" s="908" t="s">
        <v>1406</v>
      </c>
      <c r="D2068" s="1032"/>
      <c r="E2068" s="947"/>
      <c r="F2068" s="947"/>
      <c r="G2068" s="922"/>
      <c r="H2068" s="1041"/>
      <c r="I2068" s="882"/>
      <c r="J2068" s="894"/>
      <c r="K2068" s="899" t="str">
        <f>IF(G2068&lt;&gt;0,VLOOKUP(G2068,'gia dat'!$A$1:$F$144,5,0)," ")</f>
        <v xml:space="preserve"> </v>
      </c>
      <c r="L2068" s="899" t="str">
        <f>IF(G2068&lt;&gt;0,VLOOKUP(G2068,'gia dat'!$A$1:$F$144,6,0)," ")</f>
        <v xml:space="preserve"> </v>
      </c>
      <c r="M2068" s="900" t="str">
        <f t="shared" si="455"/>
        <v xml:space="preserve"> </v>
      </c>
      <c r="N2068" s="900" t="str">
        <f t="shared" si="456"/>
        <v xml:space="preserve"> </v>
      </c>
      <c r="O2068" s="908"/>
      <c r="P2068" s="1065"/>
      <c r="Q2068" s="900" t="str">
        <f>IF(O2068&lt;&gt;0,VLOOKUP(O2068,'Cây trong'!$A$2:$C$246,3,0)," ")</f>
        <v xml:space="preserve"> </v>
      </c>
      <c r="R2068" s="900" t="str">
        <f t="shared" si="464"/>
        <v xml:space="preserve"> </v>
      </c>
      <c r="S2068" s="908"/>
      <c r="T2068" s="944"/>
      <c r="U2068" s="1066"/>
      <c r="V2068" s="922"/>
      <c r="W2068" s="900" t="str">
        <f>IF(S2068&lt;&gt;0,VLOOKUP(S2068,VKT!$A$2:$G$415,7,0),"")</f>
        <v/>
      </c>
      <c r="X2068" s="900" t="str">
        <f t="shared" si="459"/>
        <v xml:space="preserve"> </v>
      </c>
      <c r="Y2068" s="985"/>
      <c r="Z2068" s="922"/>
      <c r="AA2068" s="1067"/>
      <c r="AB2068" s="922"/>
      <c r="AC2068" s="922"/>
      <c r="AD2068" s="922"/>
      <c r="AE2068" s="922"/>
      <c r="AF2068" s="1046"/>
      <c r="AG2068" s="906" t="str">
        <f>IF(AE2068&lt;&gt;0,VLOOKUP(AE2068,ODDS!$A$2:$C$13,3,0),"")</f>
        <v/>
      </c>
      <c r="AH2068" s="906" t="str">
        <f t="shared" si="466"/>
        <v xml:space="preserve"> </v>
      </c>
      <c r="AI2068" s="907" t="str">
        <f t="shared" si="462"/>
        <v xml:space="preserve"> </v>
      </c>
      <c r="AJ2068" s="922" t="s">
        <v>1405</v>
      </c>
      <c r="AK2068" s="922"/>
    </row>
    <row r="2069" spans="1:37" s="394" customFormat="1" ht="90" outlineLevel="2" x14ac:dyDescent="0.3">
      <c r="A2069" s="447">
        <f t="shared" si="465"/>
        <v>177</v>
      </c>
      <c r="B2069" s="893"/>
      <c r="C2069" s="908" t="s">
        <v>1628</v>
      </c>
      <c r="D2069" s="1032"/>
      <c r="E2069" s="947"/>
      <c r="F2069" s="947"/>
      <c r="G2069" s="922"/>
      <c r="H2069" s="1041"/>
      <c r="I2069" s="882"/>
      <c r="J2069" s="894"/>
      <c r="K2069" s="899" t="str">
        <f>IF(G2069&lt;&gt;0,VLOOKUP(G2069,'gia dat'!$A$1:$F$144,5,0)," ")</f>
        <v xml:space="preserve"> </v>
      </c>
      <c r="L2069" s="899" t="str">
        <f>IF(G2069&lt;&gt;0,VLOOKUP(G2069,'gia dat'!$A$1:$F$144,6,0)," ")</f>
        <v xml:space="preserve"> </v>
      </c>
      <c r="M2069" s="900" t="str">
        <f t="shared" si="455"/>
        <v xml:space="preserve"> </v>
      </c>
      <c r="N2069" s="900" t="str">
        <f t="shared" si="456"/>
        <v xml:space="preserve"> </v>
      </c>
      <c r="O2069" s="908"/>
      <c r="P2069" s="1065"/>
      <c r="Q2069" s="900" t="str">
        <f>IF(O2069&lt;&gt;0,VLOOKUP(O2069,'Cây trong'!$A$2:$C$246,3,0)," ")</f>
        <v xml:space="preserve"> </v>
      </c>
      <c r="R2069" s="900" t="str">
        <f t="shared" si="464"/>
        <v xml:space="preserve"> </v>
      </c>
      <c r="S2069" s="908"/>
      <c r="T2069" s="944"/>
      <c r="U2069" s="1066"/>
      <c r="V2069" s="922"/>
      <c r="W2069" s="900" t="str">
        <f>IF(S2069&lt;&gt;0,VLOOKUP(S2069,VKT!$A$2:$G$415,7,0),"")</f>
        <v/>
      </c>
      <c r="X2069" s="900" t="str">
        <f t="shared" si="459"/>
        <v xml:space="preserve"> </v>
      </c>
      <c r="Y2069" s="985"/>
      <c r="Z2069" s="922"/>
      <c r="AA2069" s="1067"/>
      <c r="AB2069" s="922"/>
      <c r="AC2069" s="922"/>
      <c r="AD2069" s="922"/>
      <c r="AE2069" s="922"/>
      <c r="AF2069" s="1046"/>
      <c r="AG2069" s="906" t="str">
        <f>IF(AE2069&lt;&gt;0,VLOOKUP(AE2069,ODDS!$A$2:$C$13,3,0),"")</f>
        <v/>
      </c>
      <c r="AH2069" s="906" t="str">
        <f t="shared" si="466"/>
        <v xml:space="preserve"> </v>
      </c>
      <c r="AI2069" s="907" t="str">
        <f t="shared" si="462"/>
        <v xml:space="preserve"> </v>
      </c>
      <c r="AJ2069" s="922"/>
      <c r="AK2069" s="922"/>
    </row>
    <row r="2070" spans="1:37" s="394" customFormat="1" ht="22.5" outlineLevel="2" x14ac:dyDescent="0.3">
      <c r="A2070" s="447">
        <f t="shared" si="465"/>
        <v>177</v>
      </c>
      <c r="B2070" s="893"/>
      <c r="C2070" s="908"/>
      <c r="D2070" s="1032"/>
      <c r="E2070" s="947"/>
      <c r="F2070" s="947"/>
      <c r="G2070" s="922"/>
      <c r="H2070" s="1041"/>
      <c r="I2070" s="882"/>
      <c r="J2070" s="894"/>
      <c r="K2070" s="899" t="str">
        <f>IF(G2070&lt;&gt;0,VLOOKUP(G2070,'gia dat'!$A$1:$F$144,5,0)," ")</f>
        <v xml:space="preserve"> </v>
      </c>
      <c r="L2070" s="899" t="str">
        <f>IF(G2070&lt;&gt;0,VLOOKUP(G2070,'gia dat'!$A$1:$F$144,6,0)," ")</f>
        <v xml:space="preserve"> </v>
      </c>
      <c r="M2070" s="900" t="str">
        <f t="shared" si="455"/>
        <v xml:space="preserve"> </v>
      </c>
      <c r="N2070" s="900" t="str">
        <f t="shared" si="456"/>
        <v xml:space="preserve"> </v>
      </c>
      <c r="O2070" s="908"/>
      <c r="P2070" s="1065"/>
      <c r="Q2070" s="900" t="str">
        <f>IF(O2070&lt;&gt;0,VLOOKUP(O2070,'Cây trong'!$A$2:$C$246,3,0)," ")</f>
        <v xml:space="preserve"> </v>
      </c>
      <c r="R2070" s="900" t="str">
        <f t="shared" si="464"/>
        <v xml:space="preserve"> </v>
      </c>
      <c r="S2070" s="908"/>
      <c r="T2070" s="944"/>
      <c r="U2070" s="1066"/>
      <c r="V2070" s="922"/>
      <c r="W2070" s="900" t="str">
        <f>IF(S2070&lt;&gt;0,VLOOKUP(S2070,VKT!$A$2:$G$415,7,0),"")</f>
        <v/>
      </c>
      <c r="X2070" s="900" t="str">
        <f t="shared" si="459"/>
        <v xml:space="preserve"> </v>
      </c>
      <c r="Y2070" s="985"/>
      <c r="Z2070" s="922"/>
      <c r="AA2070" s="1067"/>
      <c r="AB2070" s="922"/>
      <c r="AC2070" s="922"/>
      <c r="AD2070" s="922"/>
      <c r="AE2070" s="922"/>
      <c r="AF2070" s="1046"/>
      <c r="AG2070" s="906" t="str">
        <f>IF(AE2070&lt;&gt;0,VLOOKUP(AE2070,ODDS!$A$2:$C$13,3,0),"")</f>
        <v/>
      </c>
      <c r="AH2070" s="906" t="str">
        <f t="shared" si="466"/>
        <v xml:space="preserve"> </v>
      </c>
      <c r="AI2070" s="907" t="str">
        <f t="shared" si="462"/>
        <v xml:space="preserve"> </v>
      </c>
      <c r="AJ2070" s="922"/>
      <c r="AK2070" s="922"/>
    </row>
    <row r="2071" spans="1:37" s="394" customFormat="1" ht="22.5" outlineLevel="2" x14ac:dyDescent="0.3">
      <c r="A2071" s="447">
        <f t="shared" si="465"/>
        <v>177</v>
      </c>
      <c r="B2071" s="893"/>
      <c r="C2071" s="908"/>
      <c r="D2071" s="1032"/>
      <c r="E2071" s="947"/>
      <c r="F2071" s="947"/>
      <c r="G2071" s="922"/>
      <c r="H2071" s="1041"/>
      <c r="I2071" s="882"/>
      <c r="J2071" s="894"/>
      <c r="K2071" s="899" t="str">
        <f>IF(G2071&lt;&gt;0,VLOOKUP(G2071,'gia dat'!$A$1:$F$144,5,0)," ")</f>
        <v xml:space="preserve"> </v>
      </c>
      <c r="L2071" s="899" t="str">
        <f>IF(G2071&lt;&gt;0,VLOOKUP(G2071,'gia dat'!$A$1:$F$144,6,0)," ")</f>
        <v xml:space="preserve"> </v>
      </c>
      <c r="M2071" s="900" t="str">
        <f t="shared" si="455"/>
        <v xml:space="preserve"> </v>
      </c>
      <c r="N2071" s="900" t="str">
        <f t="shared" si="456"/>
        <v xml:space="preserve"> </v>
      </c>
      <c r="O2071" s="908"/>
      <c r="P2071" s="1065"/>
      <c r="Q2071" s="900" t="str">
        <f>IF(O2071&lt;&gt;0,VLOOKUP(O2071,'Cây trong'!$A$2:$C$246,3,0)," ")</f>
        <v xml:space="preserve"> </v>
      </c>
      <c r="R2071" s="900" t="str">
        <f t="shared" si="464"/>
        <v xml:space="preserve"> </v>
      </c>
      <c r="S2071" s="908"/>
      <c r="T2071" s="944"/>
      <c r="U2071" s="1066"/>
      <c r="V2071" s="922"/>
      <c r="W2071" s="900" t="str">
        <f>IF(S2071&lt;&gt;0,VLOOKUP(S2071,VKT!$A$2:$G$415,7,0),"")</f>
        <v/>
      </c>
      <c r="X2071" s="900" t="str">
        <f t="shared" si="459"/>
        <v xml:space="preserve"> </v>
      </c>
      <c r="Y2071" s="985"/>
      <c r="Z2071" s="922"/>
      <c r="AA2071" s="1067"/>
      <c r="AB2071" s="922"/>
      <c r="AC2071" s="922"/>
      <c r="AD2071" s="922"/>
      <c r="AE2071" s="922"/>
      <c r="AF2071" s="1046"/>
      <c r="AG2071" s="906" t="str">
        <f>IF(AE2071&lt;&gt;0,VLOOKUP(AE2071,ODDS!$A$2:$C$13,3,0),"")</f>
        <v/>
      </c>
      <c r="AH2071" s="906" t="str">
        <f t="shared" si="466"/>
        <v xml:space="preserve"> </v>
      </c>
      <c r="AI2071" s="907" t="str">
        <f t="shared" si="462"/>
        <v xml:space="preserve"> </v>
      </c>
      <c r="AJ2071" s="922"/>
      <c r="AK2071" s="922"/>
    </row>
    <row r="2072" spans="1:37" s="394" customFormat="1" ht="22.5" outlineLevel="2" x14ac:dyDescent="0.3">
      <c r="A2072" s="447">
        <f t="shared" si="465"/>
        <v>177</v>
      </c>
      <c r="B2072" s="893"/>
      <c r="C2072" s="908"/>
      <c r="D2072" s="1032"/>
      <c r="E2072" s="947"/>
      <c r="F2072" s="947"/>
      <c r="G2072" s="922"/>
      <c r="H2072" s="1041"/>
      <c r="I2072" s="882"/>
      <c r="J2072" s="894"/>
      <c r="K2072" s="899" t="str">
        <f>IF(G2072&lt;&gt;0,VLOOKUP(G2072,'gia dat'!$A$1:$F$144,5,0)," ")</f>
        <v xml:space="preserve"> </v>
      </c>
      <c r="L2072" s="899" t="str">
        <f>IF(G2072&lt;&gt;0,VLOOKUP(G2072,'gia dat'!$A$1:$F$144,6,0)," ")</f>
        <v xml:space="preserve"> </v>
      </c>
      <c r="M2072" s="900" t="str">
        <f t="shared" si="455"/>
        <v xml:space="preserve"> </v>
      </c>
      <c r="N2072" s="900" t="str">
        <f t="shared" si="456"/>
        <v xml:space="preserve"> </v>
      </c>
      <c r="O2072" s="908"/>
      <c r="P2072" s="1065"/>
      <c r="Q2072" s="900" t="str">
        <f>IF(O2072&lt;&gt;0,VLOOKUP(O2072,'Cây trong'!$A$2:$C$246,3,0)," ")</f>
        <v xml:space="preserve"> </v>
      </c>
      <c r="R2072" s="900" t="str">
        <f t="shared" si="464"/>
        <v xml:space="preserve"> </v>
      </c>
      <c r="S2072" s="908"/>
      <c r="T2072" s="944"/>
      <c r="U2072" s="1066"/>
      <c r="V2072" s="922"/>
      <c r="W2072" s="900" t="str">
        <f>IF(S2072&lt;&gt;0,VLOOKUP(S2072,VKT!$A$2:$G$415,7,0),"")</f>
        <v/>
      </c>
      <c r="X2072" s="900" t="str">
        <f t="shared" si="459"/>
        <v xml:space="preserve"> </v>
      </c>
      <c r="Y2072" s="985"/>
      <c r="Z2072" s="922"/>
      <c r="AA2072" s="1067"/>
      <c r="AB2072" s="922"/>
      <c r="AC2072" s="922"/>
      <c r="AD2072" s="922"/>
      <c r="AE2072" s="922"/>
      <c r="AF2072" s="1046"/>
      <c r="AG2072" s="906" t="str">
        <f>IF(AE2072&lt;&gt;0,VLOOKUP(AE2072,ODDS!$A$2:$C$13,3,0),"")</f>
        <v/>
      </c>
      <c r="AH2072" s="906" t="str">
        <f t="shared" si="466"/>
        <v xml:space="preserve"> </v>
      </c>
      <c r="AI2072" s="907" t="str">
        <f t="shared" si="462"/>
        <v xml:space="preserve"> </v>
      </c>
      <c r="AJ2072" s="908"/>
      <c r="AK2072" s="908"/>
    </row>
    <row r="2073" spans="1:37" s="394" customFormat="1" ht="22.5" outlineLevel="2" x14ac:dyDescent="0.3">
      <c r="A2073" s="447">
        <f t="shared" si="465"/>
        <v>177</v>
      </c>
      <c r="B2073" s="893"/>
      <c r="C2073" s="908"/>
      <c r="D2073" s="1032"/>
      <c r="E2073" s="947"/>
      <c r="F2073" s="947"/>
      <c r="G2073" s="922"/>
      <c r="H2073" s="1041"/>
      <c r="I2073" s="882"/>
      <c r="J2073" s="894"/>
      <c r="K2073" s="899" t="str">
        <f>IF(G2073&lt;&gt;0,VLOOKUP(G2073,'gia dat'!$A$1:$F$144,5,0)," ")</f>
        <v xml:space="preserve"> </v>
      </c>
      <c r="L2073" s="899" t="str">
        <f>IF(G2073&lt;&gt;0,VLOOKUP(G2073,'gia dat'!$A$1:$F$144,6,0)," ")</f>
        <v xml:space="preserve"> </v>
      </c>
      <c r="M2073" s="900" t="str">
        <f t="shared" si="455"/>
        <v xml:space="preserve"> </v>
      </c>
      <c r="N2073" s="900" t="str">
        <f t="shared" si="456"/>
        <v xml:space="preserve"> </v>
      </c>
      <c r="O2073" s="908"/>
      <c r="P2073" s="1065"/>
      <c r="Q2073" s="900" t="str">
        <f>IF(O2073&lt;&gt;0,VLOOKUP(O2073,'Cây trong'!$A$2:$C$246,3,0)," ")</f>
        <v xml:space="preserve"> </v>
      </c>
      <c r="R2073" s="900" t="str">
        <f t="shared" si="464"/>
        <v xml:space="preserve"> </v>
      </c>
      <c r="S2073" s="908"/>
      <c r="T2073" s="944"/>
      <c r="U2073" s="1066"/>
      <c r="V2073" s="922"/>
      <c r="W2073" s="900" t="str">
        <f>IF(S2073&lt;&gt;0,VLOOKUP(S2073,VKT!$A$2:$G$415,7,0),"")</f>
        <v/>
      </c>
      <c r="X2073" s="900" t="str">
        <f t="shared" si="459"/>
        <v xml:space="preserve"> </v>
      </c>
      <c r="Y2073" s="985"/>
      <c r="Z2073" s="922"/>
      <c r="AA2073" s="1067"/>
      <c r="AB2073" s="922"/>
      <c r="AC2073" s="922"/>
      <c r="AD2073" s="922"/>
      <c r="AE2073" s="922"/>
      <c r="AF2073" s="1046"/>
      <c r="AG2073" s="906" t="str">
        <f>IF(AE2073&lt;&gt;0,VLOOKUP(AE2073,ODDS!$A$2:$C$13,3,0),"")</f>
        <v/>
      </c>
      <c r="AH2073" s="906" t="str">
        <f t="shared" si="466"/>
        <v xml:space="preserve"> </v>
      </c>
      <c r="AI2073" s="907" t="str">
        <f t="shared" si="462"/>
        <v xml:space="preserve"> </v>
      </c>
      <c r="AJ2073" s="894"/>
      <c r="AK2073" s="894"/>
    </row>
    <row r="2074" spans="1:37" s="394" customFormat="1" ht="22.5" outlineLevel="2" x14ac:dyDescent="0.3">
      <c r="A2074" s="447">
        <f t="shared" si="465"/>
        <v>177</v>
      </c>
      <c r="B2074" s="893"/>
      <c r="C2074" s="942"/>
      <c r="D2074" s="1032"/>
      <c r="E2074" s="947"/>
      <c r="F2074" s="947"/>
      <c r="G2074" s="922"/>
      <c r="H2074" s="1041"/>
      <c r="I2074" s="882"/>
      <c r="J2074" s="894"/>
      <c r="K2074" s="899" t="str">
        <f>IF(G2074&lt;&gt;0,VLOOKUP(G2074,'gia dat'!$A$1:$F$144,5,0)," ")</f>
        <v xml:space="preserve"> </v>
      </c>
      <c r="L2074" s="899" t="str">
        <f>IF(G2074&lt;&gt;0,VLOOKUP(G2074,'gia dat'!$A$1:$F$144,6,0)," ")</f>
        <v xml:space="preserve"> </v>
      </c>
      <c r="M2074" s="900" t="str">
        <f t="shared" si="455"/>
        <v xml:space="preserve"> </v>
      </c>
      <c r="N2074" s="900" t="str">
        <f t="shared" si="456"/>
        <v xml:space="preserve"> </v>
      </c>
      <c r="O2074" s="908"/>
      <c r="P2074" s="1065"/>
      <c r="Q2074" s="900" t="str">
        <f>IF(O2074&lt;&gt;0,VLOOKUP(O2074,'Cây trong'!$A$2:$C$246,3,0)," ")</f>
        <v xml:space="preserve"> </v>
      </c>
      <c r="R2074" s="900" t="str">
        <f t="shared" si="464"/>
        <v xml:space="preserve"> </v>
      </c>
      <c r="S2074" s="908"/>
      <c r="T2074" s="944"/>
      <c r="U2074" s="1066"/>
      <c r="V2074" s="922"/>
      <c r="W2074" s="900" t="str">
        <f>IF(S2074&lt;&gt;0,VLOOKUP(S2074,VKT!$A$2:$G$415,7,0),"")</f>
        <v/>
      </c>
      <c r="X2074" s="900" t="str">
        <f t="shared" si="459"/>
        <v xml:space="preserve"> </v>
      </c>
      <c r="Y2074" s="985"/>
      <c r="Z2074" s="922"/>
      <c r="AA2074" s="1067"/>
      <c r="AB2074" s="922"/>
      <c r="AC2074" s="922"/>
      <c r="AD2074" s="922"/>
      <c r="AE2074" s="922"/>
      <c r="AF2074" s="1046"/>
      <c r="AG2074" s="906" t="str">
        <f>IF(AE2074&lt;&gt;0,VLOOKUP(AE2074,ODDS!$A$2:$C$13,3,0),"")</f>
        <v/>
      </c>
      <c r="AH2074" s="906" t="str">
        <f t="shared" si="466"/>
        <v xml:space="preserve"> </v>
      </c>
      <c r="AI2074" s="907" t="str">
        <f t="shared" si="462"/>
        <v xml:space="preserve"> </v>
      </c>
      <c r="AJ2074" s="922"/>
      <c r="AK2074" s="922"/>
    </row>
    <row r="2075" spans="1:37" s="394" customFormat="1" ht="43.5" outlineLevel="1" x14ac:dyDescent="0.25">
      <c r="A2075" s="467" t="s">
        <v>2532</v>
      </c>
      <c r="B2075" s="912">
        <v>178</v>
      </c>
      <c r="C2075" s="942" t="s">
        <v>1407</v>
      </c>
      <c r="D2075" s="1038"/>
      <c r="E2075" s="977"/>
      <c r="F2075" s="977"/>
      <c r="G2075" s="914"/>
      <c r="H2075" s="1039">
        <f>SUBTOTAL(9,H2076:H2129)</f>
        <v>1745.8000000000004</v>
      </c>
      <c r="I2075" s="915">
        <f>SUBTOTAL(9,I2076:I2081)</f>
        <v>1553.4000000000003</v>
      </c>
      <c r="J2075" s="916"/>
      <c r="K2075" s="917"/>
      <c r="L2075" s="917"/>
      <c r="M2075" s="907">
        <f>SUBTOTAL(9,M2076:M2129)</f>
        <v>785353000</v>
      </c>
      <c r="N2075" s="907">
        <f>SUBTOTAL(9,N2076:N2129)</f>
        <v>2087312000</v>
      </c>
      <c r="O2075" s="998"/>
      <c r="P2075" s="1063">
        <f>SUBTOTAL(9,P2076:P2129)</f>
        <v>1022</v>
      </c>
      <c r="Q2075" s="907"/>
      <c r="R2075" s="907">
        <f>SUBTOTAL(9,R2076:R2129)</f>
        <v>194302000</v>
      </c>
      <c r="S2075" s="918"/>
      <c r="T2075" s="956"/>
      <c r="U2075" s="1064">
        <f>SUBTOTAL(9,U2076:U2129)</f>
        <v>798.48000000000013</v>
      </c>
      <c r="V2075" s="914"/>
      <c r="W2075" s="907"/>
      <c r="X2075" s="907">
        <f>SUBTOTAL(9,X2076:X2129)</f>
        <v>612264000</v>
      </c>
      <c r="Y2075" s="985"/>
      <c r="Z2075" s="922"/>
      <c r="AA2075" s="1067"/>
      <c r="AB2075" s="922"/>
      <c r="AC2075" s="922"/>
      <c r="AD2075" s="922"/>
      <c r="AE2075" s="914"/>
      <c r="AF2075" s="1044">
        <f>SUBTOTAL(9,AF2076:AF2129)</f>
        <v>1</v>
      </c>
      <c r="AG2075" s="921"/>
      <c r="AH2075" s="921">
        <f>SUBTOTAL(9,AH2076:AH2129)</f>
        <v>5000000</v>
      </c>
      <c r="AI2075" s="907">
        <f t="shared" si="462"/>
        <v>3684231000</v>
      </c>
      <c r="AJ2075" s="914"/>
      <c r="AK2075" s="914"/>
    </row>
    <row r="2076" spans="1:37" s="394" customFormat="1" ht="135" outlineLevel="2" x14ac:dyDescent="0.3">
      <c r="A2076" s="447">
        <f>IF(B2075&lt;&gt;0,B2075,A2074)</f>
        <v>178</v>
      </c>
      <c r="B2076" s="893"/>
      <c r="C2076" s="908" t="s">
        <v>1411</v>
      </c>
      <c r="D2076" s="1032">
        <v>2</v>
      </c>
      <c r="E2076" s="947">
        <v>86</v>
      </c>
      <c r="F2076" s="947" t="s">
        <v>1408</v>
      </c>
      <c r="G2076" s="922" t="s">
        <v>2442</v>
      </c>
      <c r="H2076" s="1041">
        <f>1145.4-H2080</f>
        <v>953.00000000000011</v>
      </c>
      <c r="I2076" s="882">
        <f t="shared" ref="I2076:I2081" si="467">IF(N2076&gt;0,H2076,"")</f>
        <v>953.00000000000011</v>
      </c>
      <c r="J2076" s="898"/>
      <c r="K2076" s="899">
        <f>IF(G2076&lt;&gt;0,VLOOKUP(G2076,'gia dat'!$A$1:$F$144,5,0)," ")</f>
        <v>465600</v>
      </c>
      <c r="L2076" s="899">
        <f>IF(G2076&lt;&gt;0,VLOOKUP(G2076,'gia dat'!$A$1:$F$144,6,0)," ")</f>
        <v>1396800</v>
      </c>
      <c r="M2076" s="900">
        <f t="shared" si="455"/>
        <v>443717000</v>
      </c>
      <c r="N2076" s="900">
        <f t="shared" si="456"/>
        <v>1331150000</v>
      </c>
      <c r="O2076" s="996" t="s">
        <v>1409</v>
      </c>
      <c r="P2076" s="1065">
        <v>1</v>
      </c>
      <c r="Q2076" s="900">
        <f>IF(O2076&lt;&gt;0,VLOOKUP(O2076,'Cây trong'!$A$2:$C$246,3,0)," ")</f>
        <v>2400000</v>
      </c>
      <c r="R2076" s="900">
        <f t="shared" si="464"/>
        <v>2400000</v>
      </c>
      <c r="S2076" s="902" t="s">
        <v>1978</v>
      </c>
      <c r="T2076" s="944" t="s">
        <v>1133</v>
      </c>
      <c r="U2076" s="1066">
        <v>2.16</v>
      </c>
      <c r="V2076" s="922"/>
      <c r="W2076" s="900">
        <f>IF(S2076&lt;&gt;0,VLOOKUP(S2076,VKT!$A$2:$G$415,7,0),"")</f>
        <v>236298</v>
      </c>
      <c r="X2076" s="900">
        <f t="shared" si="459"/>
        <v>510000</v>
      </c>
      <c r="Y2076" s="985"/>
      <c r="Z2076" s="922"/>
      <c r="AA2076" s="1067"/>
      <c r="AB2076" s="922"/>
      <c r="AC2076" s="922"/>
      <c r="AD2076" s="922"/>
      <c r="AE2076" s="922" t="s">
        <v>2137</v>
      </c>
      <c r="AF2076" s="1046">
        <v>1</v>
      </c>
      <c r="AG2076" s="906">
        <f>IF(AE2076&lt;&gt;0,VLOOKUP(AE2076,ODDS!$A$2:$C$13,3,0),"")</f>
        <v>5000000</v>
      </c>
      <c r="AH2076" s="906">
        <f t="shared" si="466"/>
        <v>5000000</v>
      </c>
      <c r="AI2076" s="907" t="str">
        <f t="shared" si="462"/>
        <v xml:space="preserve"> </v>
      </c>
      <c r="AJ2076" s="922" t="s">
        <v>1410</v>
      </c>
      <c r="AK2076" s="922" t="s">
        <v>2771</v>
      </c>
    </row>
    <row r="2077" spans="1:37" s="394" customFormat="1" ht="135" outlineLevel="2" x14ac:dyDescent="0.3">
      <c r="A2077" s="447">
        <f t="shared" ref="A2077:A2108" si="468">IF(B2076&lt;&gt;0,B2076,A2076)</f>
        <v>178</v>
      </c>
      <c r="B2077" s="893"/>
      <c r="C2077" s="908" t="s">
        <v>1629</v>
      </c>
      <c r="D2077" s="1032"/>
      <c r="E2077" s="947">
        <v>86</v>
      </c>
      <c r="F2077" s="947" t="s">
        <v>1569</v>
      </c>
      <c r="G2077" s="922" t="s">
        <v>2443</v>
      </c>
      <c r="H2077" s="1041">
        <v>38.5</v>
      </c>
      <c r="I2077" s="882">
        <f t="shared" si="467"/>
        <v>38.5</v>
      </c>
      <c r="J2077" s="898"/>
      <c r="K2077" s="899">
        <f>IF(G2077&lt;&gt;0,VLOOKUP(G2077,'gia dat'!$A$1:$F$144,5,0)," ")</f>
        <v>465600</v>
      </c>
      <c r="L2077" s="899">
        <f>IF(G2077&lt;&gt;0,VLOOKUP(G2077,'gia dat'!$A$1:$F$144,6,0)," ")</f>
        <v>1396800</v>
      </c>
      <c r="M2077" s="900">
        <f t="shared" si="455"/>
        <v>17926000</v>
      </c>
      <c r="N2077" s="900">
        <f t="shared" si="456"/>
        <v>53777000</v>
      </c>
      <c r="O2077" s="996" t="s">
        <v>1412</v>
      </c>
      <c r="P2077" s="1065">
        <v>4</v>
      </c>
      <c r="Q2077" s="900">
        <f>IF(O2077&lt;&gt;0,VLOOKUP(O2077,'Cây trong'!$A$2:$C$246,3,0)," ")</f>
        <v>1200000</v>
      </c>
      <c r="R2077" s="900">
        <f t="shared" si="464"/>
        <v>4800000</v>
      </c>
      <c r="S2077" s="902" t="s">
        <v>1839</v>
      </c>
      <c r="T2077" s="944" t="s">
        <v>1133</v>
      </c>
      <c r="U2077" s="1066">
        <v>8.6999999999999993</v>
      </c>
      <c r="V2077" s="922"/>
      <c r="W2077" s="900">
        <f>IF(S2077&lt;&gt;0,VLOOKUP(S2077,VKT!$A$2:$G$415,7,0),"")</f>
        <v>244604</v>
      </c>
      <c r="X2077" s="900">
        <f t="shared" si="459"/>
        <v>2128000</v>
      </c>
      <c r="Y2077" s="985"/>
      <c r="Z2077" s="922"/>
      <c r="AA2077" s="1067"/>
      <c r="AB2077" s="922"/>
      <c r="AC2077" s="922"/>
      <c r="AD2077" s="922"/>
      <c r="AE2077" s="922"/>
      <c r="AF2077" s="1046"/>
      <c r="AG2077" s="906" t="str">
        <f>IF(AE2077&lt;&gt;0,VLOOKUP(AE2077,ODDS!$A$2:$C$13,3,0),"")</f>
        <v/>
      </c>
      <c r="AH2077" s="906"/>
      <c r="AI2077" s="907" t="str">
        <f t="shared" si="462"/>
        <v xml:space="preserve"> </v>
      </c>
      <c r="AJ2077" s="922" t="s">
        <v>1566</v>
      </c>
      <c r="AK2077" s="908" t="s">
        <v>2448</v>
      </c>
    </row>
    <row r="2078" spans="1:37" s="394" customFormat="1" ht="157.5" outlineLevel="2" x14ac:dyDescent="0.3">
      <c r="A2078" s="447">
        <f t="shared" si="468"/>
        <v>178</v>
      </c>
      <c r="B2078" s="893"/>
      <c r="C2078" s="942" t="s">
        <v>1414</v>
      </c>
      <c r="D2078" s="1032"/>
      <c r="E2078" s="947">
        <v>86</v>
      </c>
      <c r="F2078" s="947" t="s">
        <v>1563</v>
      </c>
      <c r="G2078" s="922" t="s">
        <v>2444</v>
      </c>
      <c r="H2078" s="1041">
        <v>252.3</v>
      </c>
      <c r="I2078" s="882">
        <f t="shared" si="467"/>
        <v>252.3</v>
      </c>
      <c r="J2078" s="898"/>
      <c r="K2078" s="899">
        <f>IF(G2078&lt;&gt;0,VLOOKUP(G2078,'gia dat'!$A$1:$F$144,5,0)," ")</f>
        <v>465600</v>
      </c>
      <c r="L2078" s="899">
        <f>IF(G2078&lt;&gt;0,VLOOKUP(G2078,'gia dat'!$A$1:$F$144,6,0)," ")</f>
        <v>1396800</v>
      </c>
      <c r="M2078" s="900">
        <f t="shared" si="455"/>
        <v>117471000</v>
      </c>
      <c r="N2078" s="900">
        <f t="shared" si="456"/>
        <v>352413000</v>
      </c>
      <c r="O2078" s="996" t="s">
        <v>1413</v>
      </c>
      <c r="P2078" s="1065">
        <v>4</v>
      </c>
      <c r="Q2078" s="900">
        <f>IF(O2078&lt;&gt;0,VLOOKUP(O2078,'Cây trong'!$A$2:$C$246,3,0)," ")</f>
        <v>600000</v>
      </c>
      <c r="R2078" s="900">
        <f t="shared" si="464"/>
        <v>2400000</v>
      </c>
      <c r="S2078" s="902" t="s">
        <v>1980</v>
      </c>
      <c r="T2078" s="944" t="s">
        <v>1133</v>
      </c>
      <c r="U2078" s="1066">
        <v>14.4</v>
      </c>
      <c r="V2078" s="922"/>
      <c r="W2078" s="900">
        <f>IF(S2078&lt;&gt;0,VLOOKUP(S2078,VKT!$A$2:$G$415,7,0),"")</f>
        <v>684506</v>
      </c>
      <c r="X2078" s="900">
        <f t="shared" si="459"/>
        <v>9857000</v>
      </c>
      <c r="Y2078" s="985"/>
      <c r="Z2078" s="922"/>
      <c r="AA2078" s="1067"/>
      <c r="AB2078" s="922"/>
      <c r="AC2078" s="922"/>
      <c r="AD2078" s="922"/>
      <c r="AE2078" s="922"/>
      <c r="AF2078" s="1046"/>
      <c r="AG2078" s="906" t="str">
        <f>IF(AE2078&lt;&gt;0,VLOOKUP(AE2078,ODDS!$A$2:$C$13,3,0),"")</f>
        <v/>
      </c>
      <c r="AH2078" s="906" t="str">
        <f t="shared" si="466"/>
        <v xml:space="preserve"> </v>
      </c>
      <c r="AI2078" s="907" t="str">
        <f t="shared" si="462"/>
        <v xml:space="preserve"> </v>
      </c>
      <c r="AJ2078" s="922" t="s">
        <v>1416</v>
      </c>
      <c r="AK2078" s="894" t="s">
        <v>2450</v>
      </c>
    </row>
    <row r="2079" spans="1:37" s="394" customFormat="1" ht="112.5" outlineLevel="2" x14ac:dyDescent="0.3">
      <c r="A2079" s="447">
        <f t="shared" si="468"/>
        <v>178</v>
      </c>
      <c r="B2079" s="893"/>
      <c r="C2079" s="908" t="s">
        <v>1417</v>
      </c>
      <c r="D2079" s="1032"/>
      <c r="E2079" s="947">
        <v>86</v>
      </c>
      <c r="F2079" s="947" t="s">
        <v>1565</v>
      </c>
      <c r="G2079" s="922" t="s">
        <v>2445</v>
      </c>
      <c r="H2079" s="1041">
        <v>170.4</v>
      </c>
      <c r="I2079" s="882">
        <f t="shared" si="467"/>
        <v>170.4</v>
      </c>
      <c r="J2079" s="894"/>
      <c r="K2079" s="899">
        <f>IF(G2079&lt;&gt;0,VLOOKUP(G2079,'gia dat'!$A$1:$F$144,5,0)," ")</f>
        <v>376800</v>
      </c>
      <c r="L2079" s="899">
        <f>IF(G2079&lt;&gt;0,VLOOKUP(G2079,'gia dat'!$A$1:$F$144,6,0)," ")</f>
        <v>1130400</v>
      </c>
      <c r="M2079" s="900">
        <f t="shared" si="455"/>
        <v>64207000</v>
      </c>
      <c r="N2079" s="900">
        <f t="shared" si="456"/>
        <v>192620000</v>
      </c>
      <c r="O2079" s="996" t="s">
        <v>1415</v>
      </c>
      <c r="P2079" s="1065">
        <v>1</v>
      </c>
      <c r="Q2079" s="900">
        <f>IF(O2079&lt;&gt;0,VLOOKUP(O2079,'Cây trong'!$A$2:$C$246,3,0)," ")</f>
        <v>180000</v>
      </c>
      <c r="R2079" s="900">
        <f t="shared" si="464"/>
        <v>180000</v>
      </c>
      <c r="S2079" s="902" t="s">
        <v>1838</v>
      </c>
      <c r="T2079" s="944" t="s">
        <v>1133</v>
      </c>
      <c r="U2079" s="1066">
        <v>55.52</v>
      </c>
      <c r="V2079" s="922"/>
      <c r="W2079" s="900">
        <f>IF(S2079&lt;&gt;0,VLOOKUP(S2079,VKT!$A$2:$G$415,7,0),"")</f>
        <v>3156089</v>
      </c>
      <c r="X2079" s="900">
        <f t="shared" si="459"/>
        <v>175226000</v>
      </c>
      <c r="Y2079" s="996" t="s">
        <v>1138</v>
      </c>
      <c r="Z2079" s="1016" t="s">
        <v>1139</v>
      </c>
      <c r="AA2079" s="1016" t="s">
        <v>56</v>
      </c>
      <c r="AB2079" s="1026" t="s">
        <v>269</v>
      </c>
      <c r="AC2079" s="1016" t="s">
        <v>1138</v>
      </c>
      <c r="AD2079" s="922"/>
      <c r="AE2079" s="922"/>
      <c r="AF2079" s="1046"/>
      <c r="AG2079" s="906" t="str">
        <f>IF(AE2079&lt;&gt;0,VLOOKUP(AE2079,ODDS!$A$2:$C$13,3,0),"")</f>
        <v/>
      </c>
      <c r="AH2079" s="906" t="str">
        <f t="shared" si="466"/>
        <v xml:space="preserve"> </v>
      </c>
      <c r="AI2079" s="907" t="str">
        <f t="shared" si="462"/>
        <v xml:space="preserve"> </v>
      </c>
      <c r="AJ2079" s="922" t="s">
        <v>1567</v>
      </c>
      <c r="AK2079" s="894" t="s">
        <v>2449</v>
      </c>
    </row>
    <row r="2080" spans="1:37" s="394" customFormat="1" ht="157.5" outlineLevel="2" x14ac:dyDescent="0.3">
      <c r="A2080" s="447">
        <f t="shared" si="468"/>
        <v>178</v>
      </c>
      <c r="B2080" s="893"/>
      <c r="C2080" s="908" t="s">
        <v>1630</v>
      </c>
      <c r="D2080" s="1032"/>
      <c r="E2080" s="947"/>
      <c r="F2080" s="947"/>
      <c r="G2080" s="922" t="s">
        <v>2459</v>
      </c>
      <c r="H2080" s="1041">
        <v>192.4</v>
      </c>
      <c r="I2080" s="882" t="str">
        <f t="shared" si="467"/>
        <v/>
      </c>
      <c r="J2080" s="894"/>
      <c r="K2080" s="899">
        <f>IF(G2080&lt;&gt;0,VLOOKUP(G2080,'gia dat'!$A$1:$F$144,5,0)," ")</f>
        <v>465600</v>
      </c>
      <c r="L2080" s="899">
        <f>IF(G2080&lt;&gt;0,VLOOKUP(G2080,'gia dat'!$A$1:$F$144,6,0)," ")</f>
        <v>0</v>
      </c>
      <c r="M2080" s="900">
        <f t="shared" si="455"/>
        <v>89581000</v>
      </c>
      <c r="N2080" s="900">
        <f t="shared" si="456"/>
        <v>0</v>
      </c>
      <c r="O2080" s="908" t="s">
        <v>1418</v>
      </c>
      <c r="P2080" s="1065">
        <v>1</v>
      </c>
      <c r="Q2080" s="900">
        <f>IF(O2080&lt;&gt;0,VLOOKUP(O2080,'Cây trong'!$A$2:$C$246,3,0)," ")</f>
        <v>1950000</v>
      </c>
      <c r="R2080" s="900">
        <f t="shared" si="464"/>
        <v>1950000</v>
      </c>
      <c r="S2080" s="902" t="s">
        <v>1981</v>
      </c>
      <c r="T2080" s="944" t="s">
        <v>1133</v>
      </c>
      <c r="U2080" s="1066">
        <v>2.8</v>
      </c>
      <c r="V2080" s="922"/>
      <c r="W2080" s="900">
        <f>IF(S2080&lt;&gt;0,VLOOKUP(S2080,VKT!$A$2:$G$415,7,0),"")</f>
        <v>8308812</v>
      </c>
      <c r="X2080" s="900">
        <f t="shared" si="459"/>
        <v>23265000</v>
      </c>
      <c r="Y2080" s="985"/>
      <c r="Z2080" s="922"/>
      <c r="AA2080" s="1067"/>
      <c r="AB2080" s="922"/>
      <c r="AC2080" s="922"/>
      <c r="AD2080" s="922"/>
      <c r="AE2080" s="922"/>
      <c r="AF2080" s="1046"/>
      <c r="AG2080" s="906" t="str">
        <f>IF(AE2080&lt;&gt;0,VLOOKUP(AE2080,ODDS!$A$2:$C$13,3,0),"")</f>
        <v/>
      </c>
      <c r="AH2080" s="906" t="str">
        <f t="shared" si="466"/>
        <v xml:space="preserve"> </v>
      </c>
      <c r="AI2080" s="907" t="str">
        <f t="shared" si="462"/>
        <v xml:space="preserve"> </v>
      </c>
      <c r="AJ2080" s="922" t="s">
        <v>1568</v>
      </c>
      <c r="AK2080" s="908" t="s">
        <v>2447</v>
      </c>
    </row>
    <row r="2081" spans="1:37" s="394" customFormat="1" ht="135" outlineLevel="2" x14ac:dyDescent="0.3">
      <c r="A2081" s="447">
        <f t="shared" si="468"/>
        <v>178</v>
      </c>
      <c r="B2081" s="893"/>
      <c r="C2081" s="908"/>
      <c r="D2081" s="1032"/>
      <c r="E2081" s="947">
        <v>86</v>
      </c>
      <c r="F2081" s="947" t="s">
        <v>1408</v>
      </c>
      <c r="G2081" s="922" t="s">
        <v>2493</v>
      </c>
      <c r="H2081" s="1041">
        <v>139.19999999999999</v>
      </c>
      <c r="I2081" s="882">
        <f t="shared" si="467"/>
        <v>139.19999999999999</v>
      </c>
      <c r="J2081" s="894"/>
      <c r="K2081" s="899">
        <f>IF(G2081&lt;&gt;0,VLOOKUP(G2081,'gia dat'!$A$1:$F$144,5,0)," ")</f>
        <v>376800</v>
      </c>
      <c r="L2081" s="899">
        <f>IF(G2081&lt;&gt;0,VLOOKUP(G2081,'gia dat'!$A$1:$F$144,6,0)," ")</f>
        <v>1130400</v>
      </c>
      <c r="M2081" s="900">
        <f t="shared" si="455"/>
        <v>52451000</v>
      </c>
      <c r="N2081" s="900">
        <f t="shared" si="456"/>
        <v>157352000</v>
      </c>
      <c r="O2081" s="908" t="s">
        <v>1419</v>
      </c>
      <c r="P2081" s="1065">
        <v>1</v>
      </c>
      <c r="Q2081" s="900">
        <f>IF(O2081&lt;&gt;0,VLOOKUP(O2081,'Cây trong'!$A$2:$C$246,3,0)," ")</f>
        <v>4000</v>
      </c>
      <c r="R2081" s="900">
        <f t="shared" si="464"/>
        <v>4000</v>
      </c>
      <c r="S2081" s="908" t="s">
        <v>1938</v>
      </c>
      <c r="T2081" s="944" t="s">
        <v>1133</v>
      </c>
      <c r="U2081" s="1066">
        <v>13.32</v>
      </c>
      <c r="V2081" s="922"/>
      <c r="W2081" s="900">
        <f>IF(S2081&lt;&gt;0,VLOOKUP(S2081,VKT!$A$2:$G$415,7,0),"")</f>
        <v>0</v>
      </c>
      <c r="X2081" s="900">
        <f t="shared" si="459"/>
        <v>0</v>
      </c>
      <c r="Y2081" s="985"/>
      <c r="Z2081" s="922"/>
      <c r="AA2081" s="1067"/>
      <c r="AB2081" s="922"/>
      <c r="AC2081" s="922"/>
      <c r="AD2081" s="922"/>
      <c r="AE2081" s="922"/>
      <c r="AF2081" s="1046"/>
      <c r="AG2081" s="906" t="str">
        <f>IF(AE2081&lt;&gt;0,VLOOKUP(AE2081,ODDS!$A$2:$C$13,3,0),"")</f>
        <v/>
      </c>
      <c r="AH2081" s="906" t="str">
        <f t="shared" si="466"/>
        <v xml:space="preserve"> </v>
      </c>
      <c r="AI2081" s="907" t="str">
        <f t="shared" si="462"/>
        <v xml:space="preserve"> </v>
      </c>
      <c r="AJ2081" s="894" t="s">
        <v>2074</v>
      </c>
      <c r="AK2081" s="894" t="s">
        <v>2800</v>
      </c>
    </row>
    <row r="2082" spans="1:37" s="394" customFormat="1" ht="90" outlineLevel="2" x14ac:dyDescent="0.35">
      <c r="A2082" s="447">
        <f t="shared" si="468"/>
        <v>178</v>
      </c>
      <c r="B2082" s="893"/>
      <c r="C2082" s="908"/>
      <c r="D2082" s="1032"/>
      <c r="E2082" s="947"/>
      <c r="F2082" s="947"/>
      <c r="G2082" s="922"/>
      <c r="H2082" s="1041"/>
      <c r="I2082" s="882"/>
      <c r="J2082" s="894"/>
      <c r="K2082" s="899" t="str">
        <f>IF(G2082&lt;&gt;0,VLOOKUP(G2082,'gia dat'!$A$1:$F$144,5,0)," ")</f>
        <v xml:space="preserve"> </v>
      </c>
      <c r="L2082" s="899" t="str">
        <f>IF(G2082&lt;&gt;0,VLOOKUP(G2082,'gia dat'!$A$1:$F$144,6,0)," ")</f>
        <v xml:space="preserve"> </v>
      </c>
      <c r="M2082" s="900" t="str">
        <f t="shared" si="455"/>
        <v xml:space="preserve"> </v>
      </c>
      <c r="N2082" s="900" t="str">
        <f t="shared" si="456"/>
        <v xml:space="preserve"> </v>
      </c>
      <c r="O2082" s="901" t="s">
        <v>429</v>
      </c>
      <c r="P2082" s="1065">
        <v>22</v>
      </c>
      <c r="Q2082" s="900">
        <f>IF(O2082&lt;&gt;0,VLOOKUP(O2082,'Cây trong'!$A$2:$C$246,3,0)," ")</f>
        <v>12000</v>
      </c>
      <c r="R2082" s="900">
        <f t="shared" si="464"/>
        <v>264000</v>
      </c>
      <c r="S2082" s="902" t="s">
        <v>1980</v>
      </c>
      <c r="T2082" s="944" t="s">
        <v>1133</v>
      </c>
      <c r="U2082" s="1066">
        <v>76.400000000000006</v>
      </c>
      <c r="V2082" s="922"/>
      <c r="W2082" s="900">
        <f>IF(S2082&lt;&gt;0,VLOOKUP(S2082,VKT!$A$2:$G$415,7,0),"")</f>
        <v>684506</v>
      </c>
      <c r="X2082" s="900">
        <f t="shared" si="459"/>
        <v>52296000</v>
      </c>
      <c r="Y2082" s="985"/>
      <c r="Z2082" s="922"/>
      <c r="AA2082" s="1067"/>
      <c r="AB2082" s="922"/>
      <c r="AC2082" s="922"/>
      <c r="AD2082" s="922"/>
      <c r="AE2082" s="922"/>
      <c r="AF2082" s="1046"/>
      <c r="AG2082" s="906" t="str">
        <f>IF(AE2082&lt;&gt;0,VLOOKUP(AE2082,ODDS!$A$2:$C$13,3,0),"")</f>
        <v/>
      </c>
      <c r="AH2082" s="906" t="str">
        <f t="shared" si="466"/>
        <v xml:space="preserve"> </v>
      </c>
      <c r="AI2082" s="907" t="str">
        <f t="shared" si="462"/>
        <v xml:space="preserve"> </v>
      </c>
      <c r="AJ2082" s="1068"/>
      <c r="AK2082" s="894"/>
    </row>
    <row r="2083" spans="1:37" s="394" customFormat="1" ht="45" outlineLevel="2" x14ac:dyDescent="0.3">
      <c r="A2083" s="447">
        <f t="shared" si="468"/>
        <v>178</v>
      </c>
      <c r="B2083" s="893"/>
      <c r="C2083" s="908"/>
      <c r="D2083" s="1032"/>
      <c r="E2083" s="947"/>
      <c r="F2083" s="947"/>
      <c r="G2083" s="922"/>
      <c r="H2083" s="1041"/>
      <c r="I2083" s="882"/>
      <c r="J2083" s="894"/>
      <c r="K2083" s="899" t="str">
        <f>IF(G2083&lt;&gt;0,VLOOKUP(G2083,'gia dat'!$A$1:$F$144,5,0)," ")</f>
        <v xml:space="preserve"> </v>
      </c>
      <c r="L2083" s="899" t="str">
        <f>IF(G2083&lt;&gt;0,VLOOKUP(G2083,'gia dat'!$A$1:$F$144,6,0)," ")</f>
        <v xml:space="preserve"> </v>
      </c>
      <c r="M2083" s="900" t="str">
        <f t="shared" si="455"/>
        <v xml:space="preserve"> </v>
      </c>
      <c r="N2083" s="900" t="str">
        <f t="shared" si="456"/>
        <v xml:space="preserve"> </v>
      </c>
      <c r="O2083" s="908" t="s">
        <v>145</v>
      </c>
      <c r="P2083" s="1065">
        <v>6</v>
      </c>
      <c r="Q2083" s="900">
        <f>IF(O2083&lt;&gt;0,VLOOKUP(O2083,'Cây trong'!$A$2:$C$246,3,0)," ")</f>
        <v>4240000</v>
      </c>
      <c r="R2083" s="900">
        <f t="shared" si="464"/>
        <v>25440000</v>
      </c>
      <c r="S2083" s="902" t="s">
        <v>1838</v>
      </c>
      <c r="T2083" s="944" t="s">
        <v>1133</v>
      </c>
      <c r="U2083" s="1066">
        <v>15.12</v>
      </c>
      <c r="V2083" s="922"/>
      <c r="W2083" s="900">
        <f>IF(S2083&lt;&gt;0,VLOOKUP(S2083,VKT!$A$2:$G$415,7,0),"")</f>
        <v>3156089</v>
      </c>
      <c r="X2083" s="900">
        <f t="shared" si="459"/>
        <v>47720000</v>
      </c>
      <c r="Y2083" s="985"/>
      <c r="Z2083" s="922"/>
      <c r="AA2083" s="1067"/>
      <c r="AB2083" s="922"/>
      <c r="AC2083" s="922"/>
      <c r="AD2083" s="922"/>
      <c r="AE2083" s="922"/>
      <c r="AF2083" s="1046"/>
      <c r="AG2083" s="906" t="str">
        <f>IF(AE2083&lt;&gt;0,VLOOKUP(AE2083,ODDS!$A$2:$C$13,3,0),"")</f>
        <v/>
      </c>
      <c r="AH2083" s="906" t="str">
        <f t="shared" si="466"/>
        <v xml:space="preserve"> </v>
      </c>
      <c r="AI2083" s="907" t="str">
        <f t="shared" si="462"/>
        <v xml:space="preserve"> </v>
      </c>
      <c r="AJ2083" s="894"/>
      <c r="AK2083" s="894"/>
    </row>
    <row r="2084" spans="1:37" s="394" customFormat="1" ht="90" outlineLevel="2" x14ac:dyDescent="0.3">
      <c r="A2084" s="447">
        <f t="shared" si="468"/>
        <v>178</v>
      </c>
      <c r="B2084" s="893"/>
      <c r="C2084" s="908"/>
      <c r="D2084" s="1032"/>
      <c r="E2084" s="947"/>
      <c r="F2084" s="947"/>
      <c r="G2084" s="922"/>
      <c r="H2084" s="1041"/>
      <c r="I2084" s="882"/>
      <c r="J2084" s="894"/>
      <c r="K2084" s="899" t="str">
        <f>IF(G2084&lt;&gt;0,VLOOKUP(G2084,'gia dat'!$A$1:$F$144,5,0)," ")</f>
        <v xml:space="preserve"> </v>
      </c>
      <c r="L2084" s="899" t="str">
        <f>IF(G2084&lt;&gt;0,VLOOKUP(G2084,'gia dat'!$A$1:$F$144,6,0)," ")</f>
        <v xml:space="preserve"> </v>
      </c>
      <c r="M2084" s="900" t="str">
        <f t="shared" si="455"/>
        <v xml:space="preserve"> </v>
      </c>
      <c r="N2084" s="900" t="str">
        <f t="shared" si="456"/>
        <v xml:space="preserve"> </v>
      </c>
      <c r="O2084" s="908" t="s">
        <v>80</v>
      </c>
      <c r="P2084" s="1065">
        <v>1</v>
      </c>
      <c r="Q2084" s="900">
        <f>IF(O2084&lt;&gt;0,VLOOKUP(O2084,'Cây trong'!$A$2:$C$246,3,0)," ")</f>
        <v>400000</v>
      </c>
      <c r="R2084" s="900">
        <f t="shared" si="464"/>
        <v>400000</v>
      </c>
      <c r="S2084" s="908" t="s">
        <v>1980</v>
      </c>
      <c r="T2084" s="944" t="s">
        <v>1133</v>
      </c>
      <c r="U2084" s="1066">
        <v>152</v>
      </c>
      <c r="V2084" s="922"/>
      <c r="W2084" s="900">
        <f>IF(S2084&lt;&gt;0,VLOOKUP(S2084,VKT!$A$2:$G$415,7,0),"")</f>
        <v>684506</v>
      </c>
      <c r="X2084" s="900">
        <f t="shared" si="459"/>
        <v>104045000</v>
      </c>
      <c r="Y2084" s="985"/>
      <c r="Z2084" s="922"/>
      <c r="AA2084" s="1067"/>
      <c r="AB2084" s="922"/>
      <c r="AC2084" s="922"/>
      <c r="AD2084" s="922"/>
      <c r="AE2084" s="922"/>
      <c r="AF2084" s="1046"/>
      <c r="AG2084" s="906" t="str">
        <f>IF(AE2084&lt;&gt;0,VLOOKUP(AE2084,ODDS!$A$2:$C$13,3,0),"")</f>
        <v/>
      </c>
      <c r="AH2084" s="906" t="str">
        <f t="shared" si="466"/>
        <v xml:space="preserve"> </v>
      </c>
      <c r="AI2084" s="907" t="str">
        <f t="shared" si="462"/>
        <v xml:space="preserve"> </v>
      </c>
      <c r="AJ2084" s="894"/>
      <c r="AK2084" s="894"/>
    </row>
    <row r="2085" spans="1:37" s="394" customFormat="1" ht="112.5" outlineLevel="2" x14ac:dyDescent="0.3">
      <c r="A2085" s="447">
        <f t="shared" si="468"/>
        <v>178</v>
      </c>
      <c r="B2085" s="893"/>
      <c r="C2085" s="908"/>
      <c r="D2085" s="1032"/>
      <c r="E2085" s="947"/>
      <c r="F2085" s="947"/>
      <c r="G2085" s="922"/>
      <c r="H2085" s="1041"/>
      <c r="I2085" s="882"/>
      <c r="J2085" s="894"/>
      <c r="K2085" s="899" t="str">
        <f>IF(G2085&lt;&gt;0,VLOOKUP(G2085,'gia dat'!$A$1:$F$144,5,0)," ")</f>
        <v xml:space="preserve"> </v>
      </c>
      <c r="L2085" s="899" t="str">
        <f>IF(G2085&lt;&gt;0,VLOOKUP(G2085,'gia dat'!$A$1:$F$144,6,0)," ")</f>
        <v xml:space="preserve"> </v>
      </c>
      <c r="M2085" s="900" t="str">
        <f t="shared" si="455"/>
        <v xml:space="preserve"> </v>
      </c>
      <c r="N2085" s="900" t="str">
        <f t="shared" si="456"/>
        <v xml:space="preserve"> </v>
      </c>
      <c r="O2085" s="908" t="s">
        <v>61</v>
      </c>
      <c r="P2085" s="1065">
        <v>25</v>
      </c>
      <c r="Q2085" s="900">
        <f>IF(O2085&lt;&gt;0,VLOOKUP(O2085,'Cây trong'!$A$2:$C$246,3,0)," ")</f>
        <v>1708000</v>
      </c>
      <c r="R2085" s="900">
        <f t="shared" si="464"/>
        <v>42700000</v>
      </c>
      <c r="S2085" s="908" t="s">
        <v>1981</v>
      </c>
      <c r="T2085" s="944" t="s">
        <v>1133</v>
      </c>
      <c r="U2085" s="1066">
        <v>4</v>
      </c>
      <c r="V2085" s="922"/>
      <c r="W2085" s="900">
        <f>IF(S2085&lt;&gt;0,VLOOKUP(S2085,VKT!$A$2:$G$415,7,0),"")</f>
        <v>8308812</v>
      </c>
      <c r="X2085" s="900">
        <f t="shared" si="459"/>
        <v>33235000</v>
      </c>
      <c r="Y2085" s="985"/>
      <c r="Z2085" s="922"/>
      <c r="AA2085" s="1067"/>
      <c r="AB2085" s="922"/>
      <c r="AC2085" s="922"/>
      <c r="AD2085" s="922"/>
      <c r="AE2085" s="922"/>
      <c r="AF2085" s="1046"/>
      <c r="AG2085" s="906" t="str">
        <f>IF(AE2085&lt;&gt;0,VLOOKUP(AE2085,ODDS!$A$2:$C$13,3,0),"")</f>
        <v/>
      </c>
      <c r="AH2085" s="906" t="str">
        <f t="shared" si="466"/>
        <v xml:space="preserve"> </v>
      </c>
      <c r="AI2085" s="907" t="str">
        <f t="shared" si="462"/>
        <v xml:space="preserve"> </v>
      </c>
      <c r="AJ2085" s="894"/>
      <c r="AK2085" s="894"/>
    </row>
    <row r="2086" spans="1:37" s="394" customFormat="1" ht="90" outlineLevel="2" x14ac:dyDescent="0.3">
      <c r="A2086" s="447">
        <f t="shared" si="468"/>
        <v>178</v>
      </c>
      <c r="B2086" s="893"/>
      <c r="C2086" s="908"/>
      <c r="D2086" s="1032"/>
      <c r="E2086" s="947"/>
      <c r="F2086" s="947"/>
      <c r="G2086" s="922"/>
      <c r="H2086" s="1041"/>
      <c r="I2086" s="882"/>
      <c r="J2086" s="894"/>
      <c r="K2086" s="899" t="str">
        <f>IF(G2086&lt;&gt;0,VLOOKUP(G2086,'gia dat'!$A$1:$F$144,5,0)," ")</f>
        <v xml:space="preserve"> </v>
      </c>
      <c r="L2086" s="899" t="str">
        <f>IF(G2086&lt;&gt;0,VLOOKUP(G2086,'gia dat'!$A$1:$F$144,6,0)," ")</f>
        <v xml:space="preserve"> </v>
      </c>
      <c r="M2086" s="900" t="str">
        <f t="shared" si="455"/>
        <v xml:space="preserve"> </v>
      </c>
      <c r="N2086" s="900" t="str">
        <f t="shared" si="456"/>
        <v xml:space="preserve"> </v>
      </c>
      <c r="O2086" s="908" t="s">
        <v>64</v>
      </c>
      <c r="P2086" s="1065">
        <v>18</v>
      </c>
      <c r="Q2086" s="900">
        <f>IF(O2086&lt;&gt;0,VLOOKUP(O2086,'Cây trong'!$A$2:$C$246,3,0)," ")</f>
        <v>1122000</v>
      </c>
      <c r="R2086" s="900">
        <f t="shared" si="464"/>
        <v>20196000</v>
      </c>
      <c r="S2086" s="908" t="s">
        <v>1938</v>
      </c>
      <c r="T2086" s="944" t="s">
        <v>1133</v>
      </c>
      <c r="U2086" s="1066">
        <v>15.120000000000001</v>
      </c>
      <c r="V2086" s="922"/>
      <c r="W2086" s="900">
        <f>IF(S2086&lt;&gt;0,VLOOKUP(S2086,VKT!$A$2:$G$415,7,0),"")</f>
        <v>0</v>
      </c>
      <c r="X2086" s="900">
        <f t="shared" si="459"/>
        <v>0</v>
      </c>
      <c r="Y2086" s="985"/>
      <c r="Z2086" s="922"/>
      <c r="AA2086" s="1067"/>
      <c r="AB2086" s="922"/>
      <c r="AC2086" s="922"/>
      <c r="AD2086" s="922"/>
      <c r="AE2086" s="922"/>
      <c r="AF2086" s="1046"/>
      <c r="AG2086" s="906" t="str">
        <f>IF(AE2086&lt;&gt;0,VLOOKUP(AE2086,ODDS!$A$2:$C$13,3,0),"")</f>
        <v/>
      </c>
      <c r="AH2086" s="906" t="str">
        <f t="shared" si="466"/>
        <v xml:space="preserve"> </v>
      </c>
      <c r="AI2086" s="907" t="str">
        <f t="shared" si="462"/>
        <v xml:space="preserve"> </v>
      </c>
      <c r="AJ2086" s="894"/>
      <c r="AK2086" s="894"/>
    </row>
    <row r="2087" spans="1:37" s="394" customFormat="1" ht="90" outlineLevel="2" x14ac:dyDescent="0.3">
      <c r="A2087" s="447">
        <f t="shared" si="468"/>
        <v>178</v>
      </c>
      <c r="B2087" s="893"/>
      <c r="C2087" s="908"/>
      <c r="D2087" s="1032"/>
      <c r="E2087" s="947"/>
      <c r="F2087" s="947"/>
      <c r="G2087" s="922"/>
      <c r="H2087" s="1041"/>
      <c r="I2087" s="882"/>
      <c r="J2087" s="894"/>
      <c r="K2087" s="899" t="str">
        <f>IF(G2087&lt;&gt;0,VLOOKUP(G2087,'gia dat'!$A$1:$F$144,5,0)," ")</f>
        <v xml:space="preserve"> </v>
      </c>
      <c r="L2087" s="899" t="str">
        <f>IF(G2087&lt;&gt;0,VLOOKUP(G2087,'gia dat'!$A$1:$F$144,6,0)," ")</f>
        <v xml:space="preserve"> </v>
      </c>
      <c r="M2087" s="900" t="str">
        <f t="shared" si="455"/>
        <v xml:space="preserve"> </v>
      </c>
      <c r="N2087" s="900" t="str">
        <f t="shared" si="456"/>
        <v xml:space="preserve"> </v>
      </c>
      <c r="O2087" s="908" t="s">
        <v>67</v>
      </c>
      <c r="P2087" s="1065">
        <v>25</v>
      </c>
      <c r="Q2087" s="900">
        <f>IF(O2087&lt;&gt;0,VLOOKUP(O2087,'Cây trong'!$A$2:$C$246,3,0)," ")</f>
        <v>494000</v>
      </c>
      <c r="R2087" s="900">
        <f t="shared" si="464"/>
        <v>12350000</v>
      </c>
      <c r="S2087" s="908" t="s">
        <v>1978</v>
      </c>
      <c r="T2087" s="944" t="s">
        <v>1133</v>
      </c>
      <c r="U2087" s="1066">
        <v>81.900000000000006</v>
      </c>
      <c r="V2087" s="922">
        <v>6.4</v>
      </c>
      <c r="W2087" s="900">
        <f>IF(S2087&lt;&gt;0,VLOOKUP(S2087,VKT!$A$2:$G$415,7,0),"")</f>
        <v>236298</v>
      </c>
      <c r="X2087" s="900">
        <f t="shared" si="459"/>
        <v>19353000</v>
      </c>
      <c r="Y2087" s="985"/>
      <c r="Z2087" s="922"/>
      <c r="AA2087" s="1067"/>
      <c r="AB2087" s="922"/>
      <c r="AC2087" s="922"/>
      <c r="AD2087" s="922"/>
      <c r="AE2087" s="922"/>
      <c r="AF2087" s="1046"/>
      <c r="AG2087" s="906" t="str">
        <f>IF(AE2087&lt;&gt;0,VLOOKUP(AE2087,ODDS!$A$2:$C$13,3,0),"")</f>
        <v/>
      </c>
      <c r="AH2087" s="906" t="str">
        <f t="shared" si="466"/>
        <v xml:space="preserve"> </v>
      </c>
      <c r="AI2087" s="907" t="str">
        <f t="shared" si="462"/>
        <v xml:space="preserve"> </v>
      </c>
      <c r="AJ2087" s="894"/>
      <c r="AK2087" s="894"/>
    </row>
    <row r="2088" spans="1:37" s="394" customFormat="1" ht="90" outlineLevel="2" x14ac:dyDescent="0.3">
      <c r="A2088" s="447">
        <f t="shared" si="468"/>
        <v>178</v>
      </c>
      <c r="B2088" s="893"/>
      <c r="C2088" s="908"/>
      <c r="D2088" s="1032"/>
      <c r="E2088" s="947"/>
      <c r="F2088" s="947"/>
      <c r="G2088" s="922"/>
      <c r="H2088" s="1041"/>
      <c r="I2088" s="882"/>
      <c r="J2088" s="894"/>
      <c r="K2088" s="899" t="str">
        <f>IF(G2088&lt;&gt;0,VLOOKUP(G2088,'gia dat'!$A$1:$F$144,5,0)," ")</f>
        <v xml:space="preserve"> </v>
      </c>
      <c r="L2088" s="899" t="str">
        <f>IF(G2088&lt;&gt;0,VLOOKUP(G2088,'gia dat'!$A$1:$F$144,6,0)," ")</f>
        <v xml:space="preserve"> </v>
      </c>
      <c r="M2088" s="900" t="str">
        <f t="shared" si="455"/>
        <v xml:space="preserve"> </v>
      </c>
      <c r="N2088" s="900" t="str">
        <f t="shared" si="456"/>
        <v xml:space="preserve"> </v>
      </c>
      <c r="O2088" s="908" t="s">
        <v>69</v>
      </c>
      <c r="P2088" s="1065">
        <v>15</v>
      </c>
      <c r="Q2088" s="900">
        <f>IF(O2088&lt;&gt;0,VLOOKUP(O2088,'Cây trong'!$A$2:$C$246,3,0)," ")</f>
        <v>211000</v>
      </c>
      <c r="R2088" s="900">
        <f t="shared" si="464"/>
        <v>3165000</v>
      </c>
      <c r="S2088" s="902" t="s">
        <v>1982</v>
      </c>
      <c r="T2088" s="944" t="s">
        <v>1420</v>
      </c>
      <c r="U2088" s="1066">
        <v>1</v>
      </c>
      <c r="V2088" s="922"/>
      <c r="W2088" s="900">
        <f>IF(S2088&lt;&gt;0,VLOOKUP(S2088,VKT!$A$2:$G$415,7,0),"")</f>
        <v>0</v>
      </c>
      <c r="X2088" s="900">
        <f t="shared" si="459"/>
        <v>0</v>
      </c>
      <c r="Y2088" s="985"/>
      <c r="Z2088" s="922"/>
      <c r="AA2088" s="1067"/>
      <c r="AB2088" s="922"/>
      <c r="AC2088" s="922"/>
      <c r="AD2088" s="922"/>
      <c r="AE2088" s="922"/>
      <c r="AF2088" s="1046"/>
      <c r="AG2088" s="906" t="str">
        <f>IF(AE2088&lt;&gt;0,VLOOKUP(AE2088,ODDS!$A$2:$C$13,3,0),"")</f>
        <v/>
      </c>
      <c r="AH2088" s="906" t="str">
        <f t="shared" si="466"/>
        <v xml:space="preserve"> </v>
      </c>
      <c r="AI2088" s="907" t="str">
        <f t="shared" si="462"/>
        <v xml:space="preserve"> </v>
      </c>
      <c r="AJ2088" s="894"/>
      <c r="AK2088" s="894"/>
    </row>
    <row r="2089" spans="1:37" s="394" customFormat="1" ht="45" outlineLevel="2" x14ac:dyDescent="0.3">
      <c r="A2089" s="447">
        <f t="shared" si="468"/>
        <v>178</v>
      </c>
      <c r="B2089" s="893"/>
      <c r="C2089" s="908"/>
      <c r="D2089" s="1032"/>
      <c r="E2089" s="947"/>
      <c r="F2089" s="947"/>
      <c r="G2089" s="922"/>
      <c r="H2089" s="1041"/>
      <c r="I2089" s="882"/>
      <c r="J2089" s="894"/>
      <c r="K2089" s="899" t="str">
        <f>IF(G2089&lt;&gt;0,VLOOKUP(G2089,'gia dat'!$A$1:$F$144,5,0)," ")</f>
        <v xml:space="preserve"> </v>
      </c>
      <c r="L2089" s="899" t="str">
        <f>IF(G2089&lt;&gt;0,VLOOKUP(G2089,'gia dat'!$A$1:$F$144,6,0)," ")</f>
        <v xml:space="preserve"> </v>
      </c>
      <c r="M2089" s="900" t="str">
        <f t="shared" si="455"/>
        <v xml:space="preserve"> </v>
      </c>
      <c r="N2089" s="900" t="str">
        <f t="shared" si="456"/>
        <v xml:space="preserve"> </v>
      </c>
      <c r="O2089" s="908" t="s">
        <v>76</v>
      </c>
      <c r="P2089" s="1065">
        <v>29</v>
      </c>
      <c r="Q2089" s="900">
        <f>IF(O2089&lt;&gt;0,VLOOKUP(O2089,'Cây trong'!$A$2:$C$246,3,0)," ")</f>
        <v>45000</v>
      </c>
      <c r="R2089" s="900">
        <f t="shared" si="464"/>
        <v>1305000</v>
      </c>
      <c r="S2089" s="908" t="s">
        <v>1839</v>
      </c>
      <c r="T2089" s="944" t="s">
        <v>1133</v>
      </c>
      <c r="U2089" s="1066">
        <v>12.48</v>
      </c>
      <c r="V2089" s="922"/>
      <c r="W2089" s="900">
        <f>IF(S2089&lt;&gt;0,VLOOKUP(S2089,VKT!$A$2:$G$415,7,0),"")</f>
        <v>244604</v>
      </c>
      <c r="X2089" s="900">
        <f t="shared" si="459"/>
        <v>3053000</v>
      </c>
      <c r="Y2089" s="985"/>
      <c r="Z2089" s="922"/>
      <c r="AA2089" s="1067"/>
      <c r="AB2089" s="922"/>
      <c r="AC2089" s="922"/>
      <c r="AD2089" s="922"/>
      <c r="AE2089" s="922"/>
      <c r="AF2089" s="1046"/>
      <c r="AG2089" s="906" t="str">
        <f>IF(AE2089&lt;&gt;0,VLOOKUP(AE2089,ODDS!$A$2:$C$13,3,0),"")</f>
        <v/>
      </c>
      <c r="AH2089" s="906" t="str">
        <f t="shared" si="466"/>
        <v xml:space="preserve"> </v>
      </c>
      <c r="AI2089" s="907" t="str">
        <f t="shared" si="462"/>
        <v xml:space="preserve"> </v>
      </c>
      <c r="AJ2089" s="894"/>
      <c r="AK2089" s="894"/>
    </row>
    <row r="2090" spans="1:37" s="394" customFormat="1" ht="90" outlineLevel="2" x14ac:dyDescent="0.3">
      <c r="A2090" s="447">
        <f t="shared" si="468"/>
        <v>178</v>
      </c>
      <c r="B2090" s="893"/>
      <c r="C2090" s="908"/>
      <c r="D2090" s="1032"/>
      <c r="E2090" s="947"/>
      <c r="F2090" s="947"/>
      <c r="G2090" s="922"/>
      <c r="H2090" s="1041"/>
      <c r="I2090" s="882"/>
      <c r="J2090" s="894"/>
      <c r="K2090" s="899" t="str">
        <f>IF(G2090&lt;&gt;0,VLOOKUP(G2090,'gia dat'!$A$1:$F$144,5,0)," ")</f>
        <v xml:space="preserve"> </v>
      </c>
      <c r="L2090" s="899" t="str">
        <f>IF(G2090&lt;&gt;0,VLOOKUP(G2090,'gia dat'!$A$1:$F$144,6,0)," ")</f>
        <v xml:space="preserve"> </v>
      </c>
      <c r="M2090" s="900" t="str">
        <f t="shared" si="455"/>
        <v xml:space="preserve"> </v>
      </c>
      <c r="N2090" s="900" t="str">
        <f t="shared" si="456"/>
        <v xml:space="preserve"> </v>
      </c>
      <c r="O2090" s="908" t="s">
        <v>156</v>
      </c>
      <c r="P2090" s="1065">
        <v>3</v>
      </c>
      <c r="Q2090" s="900">
        <f>IF(O2090&lt;&gt;0,VLOOKUP(O2090,'Cây trong'!$A$2:$C$246,3,0)," ")</f>
        <v>288000</v>
      </c>
      <c r="R2090" s="900">
        <f t="shared" si="464"/>
        <v>864000</v>
      </c>
      <c r="S2090" s="908" t="s">
        <v>1978</v>
      </c>
      <c r="T2090" s="944" t="s">
        <v>1133</v>
      </c>
      <c r="U2090" s="1066">
        <v>16.100000000000001</v>
      </c>
      <c r="V2090" s="922"/>
      <c r="W2090" s="900">
        <f>IF(S2090&lt;&gt;0,VLOOKUP(S2090,VKT!$A$2:$G$415,7,0),"")</f>
        <v>236298</v>
      </c>
      <c r="X2090" s="900">
        <f t="shared" si="459"/>
        <v>3804000</v>
      </c>
      <c r="Y2090" s="985"/>
      <c r="Z2090" s="922"/>
      <c r="AA2090" s="1067"/>
      <c r="AB2090" s="922"/>
      <c r="AC2090" s="922"/>
      <c r="AD2090" s="922"/>
      <c r="AE2090" s="922"/>
      <c r="AF2090" s="1046"/>
      <c r="AG2090" s="906" t="str">
        <f>IF(AE2090&lt;&gt;0,VLOOKUP(AE2090,ODDS!$A$2:$C$13,3,0),"")</f>
        <v/>
      </c>
      <c r="AH2090" s="906" t="str">
        <f t="shared" si="466"/>
        <v xml:space="preserve"> </v>
      </c>
      <c r="AI2090" s="907" t="str">
        <f t="shared" si="462"/>
        <v xml:space="preserve"> </v>
      </c>
      <c r="AJ2090" s="894"/>
      <c r="AK2090" s="894"/>
    </row>
    <row r="2091" spans="1:37" s="394" customFormat="1" ht="90" outlineLevel="2" x14ac:dyDescent="0.3">
      <c r="A2091" s="447">
        <f t="shared" si="468"/>
        <v>178</v>
      </c>
      <c r="B2091" s="893"/>
      <c r="C2091" s="908"/>
      <c r="D2091" s="1032"/>
      <c r="E2091" s="947"/>
      <c r="F2091" s="947"/>
      <c r="G2091" s="922"/>
      <c r="H2091" s="1041"/>
      <c r="I2091" s="882"/>
      <c r="J2091" s="894"/>
      <c r="K2091" s="899" t="str">
        <f>IF(G2091&lt;&gt;0,VLOOKUP(G2091,'gia dat'!$A$1:$F$144,5,0)," ")</f>
        <v xml:space="preserve"> </v>
      </c>
      <c r="L2091" s="899" t="str">
        <f>IF(G2091&lt;&gt;0,VLOOKUP(G2091,'gia dat'!$A$1:$F$144,6,0)," ")</f>
        <v xml:space="preserve"> </v>
      </c>
      <c r="M2091" s="900" t="str">
        <f t="shared" si="455"/>
        <v xml:space="preserve"> </v>
      </c>
      <c r="N2091" s="900" t="str">
        <f t="shared" si="456"/>
        <v xml:space="preserve"> </v>
      </c>
      <c r="O2091" s="908" t="s">
        <v>405</v>
      </c>
      <c r="P2091" s="1065">
        <v>15</v>
      </c>
      <c r="Q2091" s="900">
        <f>IF(O2091&lt;&gt;0,VLOOKUP(O2091,'Cây trong'!$A$2:$C$246,3,0)," ")</f>
        <v>72000</v>
      </c>
      <c r="R2091" s="900">
        <f t="shared" si="464"/>
        <v>1080000</v>
      </c>
      <c r="S2091" s="908" t="s">
        <v>1978</v>
      </c>
      <c r="T2091" s="944" t="s">
        <v>1133</v>
      </c>
      <c r="U2091" s="1066">
        <v>25.9</v>
      </c>
      <c r="V2091" s="922"/>
      <c r="W2091" s="900">
        <f>IF(S2091&lt;&gt;0,VLOOKUP(S2091,VKT!$A$2:$G$415,7,0),"")</f>
        <v>236298</v>
      </c>
      <c r="X2091" s="900">
        <f t="shared" si="459"/>
        <v>6120000</v>
      </c>
      <c r="Y2091" s="985"/>
      <c r="Z2091" s="922"/>
      <c r="AA2091" s="1067"/>
      <c r="AB2091" s="922"/>
      <c r="AC2091" s="922"/>
      <c r="AD2091" s="922"/>
      <c r="AE2091" s="922"/>
      <c r="AF2091" s="1046"/>
      <c r="AG2091" s="906" t="str">
        <f>IF(AE2091&lt;&gt;0,VLOOKUP(AE2091,ODDS!$A$2:$C$13,3,0),"")</f>
        <v/>
      </c>
      <c r="AH2091" s="906" t="str">
        <f t="shared" si="466"/>
        <v xml:space="preserve"> </v>
      </c>
      <c r="AI2091" s="907" t="str">
        <f t="shared" si="462"/>
        <v xml:space="preserve"> </v>
      </c>
      <c r="AJ2091" s="894"/>
      <c r="AK2091" s="894"/>
    </row>
    <row r="2092" spans="1:37" s="394" customFormat="1" ht="90" outlineLevel="2" x14ac:dyDescent="0.3">
      <c r="A2092" s="447">
        <f t="shared" si="468"/>
        <v>178</v>
      </c>
      <c r="B2092" s="893"/>
      <c r="C2092" s="908"/>
      <c r="D2092" s="1032"/>
      <c r="E2092" s="947"/>
      <c r="F2092" s="947"/>
      <c r="G2092" s="922"/>
      <c r="H2092" s="1041"/>
      <c r="I2092" s="882"/>
      <c r="J2092" s="894"/>
      <c r="K2092" s="899" t="str">
        <f>IF(G2092&lt;&gt;0,VLOOKUP(G2092,'gia dat'!$A$1:$F$144,5,0)," ")</f>
        <v xml:space="preserve"> </v>
      </c>
      <c r="L2092" s="899" t="str">
        <f>IF(G2092&lt;&gt;0,VLOOKUP(G2092,'gia dat'!$A$1:$F$144,6,0)," ")</f>
        <v xml:space="preserve"> </v>
      </c>
      <c r="M2092" s="900" t="str">
        <f t="shared" si="455"/>
        <v xml:space="preserve"> </v>
      </c>
      <c r="N2092" s="900" t="str">
        <f t="shared" si="456"/>
        <v xml:space="preserve"> </v>
      </c>
      <c r="O2092" s="908" t="s">
        <v>72</v>
      </c>
      <c r="P2092" s="1065">
        <v>31</v>
      </c>
      <c r="Q2092" s="900">
        <f>IF(O2092&lt;&gt;0,VLOOKUP(O2092,'Cây trong'!$A$2:$C$246,3,0)," ")</f>
        <v>132000</v>
      </c>
      <c r="R2092" s="900">
        <f t="shared" si="464"/>
        <v>4092000</v>
      </c>
      <c r="S2092" s="908" t="s">
        <v>1983</v>
      </c>
      <c r="T2092" s="944" t="s">
        <v>1133</v>
      </c>
      <c r="U2092" s="1066">
        <v>13.2</v>
      </c>
      <c r="V2092" s="922"/>
      <c r="W2092" s="900">
        <f>IF(S2092&lt;&gt;0,VLOOKUP(S2092,VKT!$A$2:$G$415,7,0),"")</f>
        <v>625568</v>
      </c>
      <c r="X2092" s="900">
        <f t="shared" si="459"/>
        <v>8257000</v>
      </c>
      <c r="Y2092" s="985"/>
      <c r="Z2092" s="922"/>
      <c r="AA2092" s="1067"/>
      <c r="AB2092" s="922"/>
      <c r="AC2092" s="922"/>
      <c r="AD2092" s="922"/>
      <c r="AE2092" s="922"/>
      <c r="AF2092" s="1046"/>
      <c r="AG2092" s="906" t="str">
        <f>IF(AE2092&lt;&gt;0,VLOOKUP(AE2092,ODDS!$A$2:$C$13,3,0),"")</f>
        <v/>
      </c>
      <c r="AH2092" s="906" t="str">
        <f t="shared" si="466"/>
        <v xml:space="preserve"> </v>
      </c>
      <c r="AI2092" s="907" t="str">
        <f t="shared" si="462"/>
        <v xml:space="preserve"> </v>
      </c>
      <c r="AJ2092" s="894"/>
      <c r="AK2092" s="894"/>
    </row>
    <row r="2093" spans="1:37" s="394" customFormat="1" ht="90" outlineLevel="2" x14ac:dyDescent="0.3">
      <c r="A2093" s="447">
        <f t="shared" si="468"/>
        <v>178</v>
      </c>
      <c r="B2093" s="893"/>
      <c r="C2093" s="908"/>
      <c r="D2093" s="1032"/>
      <c r="E2093" s="947"/>
      <c r="F2093" s="947"/>
      <c r="G2093" s="922"/>
      <c r="H2093" s="1041"/>
      <c r="I2093" s="882"/>
      <c r="J2093" s="894"/>
      <c r="K2093" s="899" t="str">
        <f>IF(G2093&lt;&gt;0,VLOOKUP(G2093,'gia dat'!$A$1:$F$144,5,0)," ")</f>
        <v xml:space="preserve"> </v>
      </c>
      <c r="L2093" s="899" t="str">
        <f>IF(G2093&lt;&gt;0,VLOOKUP(G2093,'gia dat'!$A$1:$F$144,6,0)," ")</f>
        <v xml:space="preserve"> </v>
      </c>
      <c r="M2093" s="900" t="str">
        <f t="shared" si="455"/>
        <v xml:space="preserve"> </v>
      </c>
      <c r="N2093" s="900" t="str">
        <f t="shared" si="456"/>
        <v xml:space="preserve"> </v>
      </c>
      <c r="O2093" s="908" t="s">
        <v>73</v>
      </c>
      <c r="P2093" s="1065">
        <v>27</v>
      </c>
      <c r="Q2093" s="900">
        <f>IF(O2093&lt;&gt;0,VLOOKUP(O2093,'Cây trong'!$A$2:$C$246,3,0)," ")</f>
        <v>76000</v>
      </c>
      <c r="R2093" s="900">
        <f t="shared" si="464"/>
        <v>2052000</v>
      </c>
      <c r="S2093" s="908" t="s">
        <v>1983</v>
      </c>
      <c r="T2093" s="944" t="s">
        <v>1133</v>
      </c>
      <c r="U2093" s="1066">
        <v>14.04</v>
      </c>
      <c r="V2093" s="922"/>
      <c r="W2093" s="900">
        <f>IF(S2093&lt;&gt;0,VLOOKUP(S2093,VKT!$A$2:$G$415,7,0),"")</f>
        <v>625568</v>
      </c>
      <c r="X2093" s="900">
        <f t="shared" si="459"/>
        <v>8783000</v>
      </c>
      <c r="Y2093" s="985"/>
      <c r="Z2093" s="922"/>
      <c r="AA2093" s="1067"/>
      <c r="AB2093" s="922"/>
      <c r="AC2093" s="922"/>
      <c r="AD2093" s="922"/>
      <c r="AE2093" s="922"/>
      <c r="AF2093" s="1046"/>
      <c r="AG2093" s="906" t="str">
        <f>IF(AE2093&lt;&gt;0,VLOOKUP(AE2093,ODDS!$A$2:$C$13,3,0),"")</f>
        <v/>
      </c>
      <c r="AH2093" s="906" t="str">
        <f t="shared" si="466"/>
        <v xml:space="preserve"> </v>
      </c>
      <c r="AI2093" s="907" t="str">
        <f t="shared" si="462"/>
        <v xml:space="preserve"> </v>
      </c>
      <c r="AJ2093" s="894"/>
      <c r="AK2093" s="894"/>
    </row>
    <row r="2094" spans="1:37" s="394" customFormat="1" ht="90" outlineLevel="2" x14ac:dyDescent="0.3">
      <c r="A2094" s="447">
        <f t="shared" si="468"/>
        <v>178</v>
      </c>
      <c r="B2094" s="893"/>
      <c r="C2094" s="908"/>
      <c r="D2094" s="1032"/>
      <c r="E2094" s="947"/>
      <c r="F2094" s="947"/>
      <c r="G2094" s="922"/>
      <c r="H2094" s="1041"/>
      <c r="I2094" s="882"/>
      <c r="J2094" s="894"/>
      <c r="K2094" s="899" t="str">
        <f>IF(G2094&lt;&gt;0,VLOOKUP(G2094,'gia dat'!$A$1:$F$144,5,0)," ")</f>
        <v xml:space="preserve"> </v>
      </c>
      <c r="L2094" s="899" t="str">
        <f>IF(G2094&lt;&gt;0,VLOOKUP(G2094,'gia dat'!$A$1:$F$144,6,0)," ")</f>
        <v xml:space="preserve"> </v>
      </c>
      <c r="M2094" s="900" t="str">
        <f t="shared" si="455"/>
        <v xml:space="preserve"> </v>
      </c>
      <c r="N2094" s="900" t="str">
        <f t="shared" si="456"/>
        <v xml:space="preserve"> </v>
      </c>
      <c r="O2094" s="908" t="s">
        <v>75</v>
      </c>
      <c r="P2094" s="1065">
        <v>38</v>
      </c>
      <c r="Q2094" s="900">
        <f>IF(O2094&lt;&gt;0,VLOOKUP(O2094,'Cây trong'!$A$2:$C$246,3,0)," ")</f>
        <v>34000</v>
      </c>
      <c r="R2094" s="900">
        <f t="shared" si="464"/>
        <v>1292000</v>
      </c>
      <c r="S2094" s="908" t="s">
        <v>1984</v>
      </c>
      <c r="T2094" s="944" t="s">
        <v>1133</v>
      </c>
      <c r="U2094" s="1066">
        <v>25.92</v>
      </c>
      <c r="V2094" s="922"/>
      <c r="W2094" s="900">
        <f>IF(S2094&lt;&gt;0,VLOOKUP(S2094,VKT!$A$2:$G$415,7,0),"")</f>
        <v>791229</v>
      </c>
      <c r="X2094" s="900">
        <f t="shared" si="459"/>
        <v>20509000</v>
      </c>
      <c r="Y2094" s="985"/>
      <c r="Z2094" s="922"/>
      <c r="AA2094" s="1067"/>
      <c r="AB2094" s="922"/>
      <c r="AC2094" s="922"/>
      <c r="AD2094" s="922"/>
      <c r="AE2094" s="922"/>
      <c r="AF2094" s="1046"/>
      <c r="AG2094" s="906" t="str">
        <f>IF(AE2094&lt;&gt;0,VLOOKUP(AE2094,ODDS!$A$2:$C$13,3,0),"")</f>
        <v/>
      </c>
      <c r="AH2094" s="906" t="str">
        <f t="shared" si="466"/>
        <v xml:space="preserve"> </v>
      </c>
      <c r="AI2094" s="907" t="str">
        <f t="shared" si="462"/>
        <v xml:space="preserve"> </v>
      </c>
      <c r="AJ2094" s="894"/>
      <c r="AK2094" s="894"/>
    </row>
    <row r="2095" spans="1:37" s="394" customFormat="1" ht="90" outlineLevel="2" x14ac:dyDescent="0.3">
      <c r="A2095" s="447">
        <f t="shared" si="468"/>
        <v>178</v>
      </c>
      <c r="B2095" s="893"/>
      <c r="C2095" s="908"/>
      <c r="D2095" s="1032"/>
      <c r="E2095" s="947"/>
      <c r="F2095" s="947"/>
      <c r="G2095" s="922"/>
      <c r="H2095" s="1041"/>
      <c r="I2095" s="882"/>
      <c r="J2095" s="894"/>
      <c r="K2095" s="899" t="str">
        <f>IF(G2095&lt;&gt;0,VLOOKUP(G2095,'gia dat'!$A$1:$F$144,5,0)," ")</f>
        <v xml:space="preserve"> </v>
      </c>
      <c r="L2095" s="899" t="str">
        <f>IF(G2095&lt;&gt;0,VLOOKUP(G2095,'gia dat'!$A$1:$F$144,6,0)," ")</f>
        <v xml:space="preserve"> </v>
      </c>
      <c r="M2095" s="900" t="str">
        <f t="shared" si="455"/>
        <v xml:space="preserve"> </v>
      </c>
      <c r="N2095" s="900" t="str">
        <f t="shared" si="456"/>
        <v xml:space="preserve"> </v>
      </c>
      <c r="O2095" s="908" t="s">
        <v>1353</v>
      </c>
      <c r="P2095" s="1065">
        <v>1</v>
      </c>
      <c r="Q2095" s="900">
        <f>IF(O2095&lt;&gt;0,VLOOKUP(O2095,'Cây trong'!$A$2:$C$246,3,0)," ")</f>
        <v>1713000</v>
      </c>
      <c r="R2095" s="900">
        <f t="shared" si="464"/>
        <v>1713000</v>
      </c>
      <c r="S2095" s="908" t="s">
        <v>1985</v>
      </c>
      <c r="T2095" s="944" t="s">
        <v>1133</v>
      </c>
      <c r="U2095" s="1066">
        <v>144</v>
      </c>
      <c r="V2095" s="922"/>
      <c r="W2095" s="900">
        <f>IF(S2095&lt;&gt;0,VLOOKUP(S2095,VKT!$A$2:$G$415,7,0),"")</f>
        <v>625568</v>
      </c>
      <c r="X2095" s="900">
        <f t="shared" si="459"/>
        <v>90082000</v>
      </c>
      <c r="Y2095" s="985"/>
      <c r="Z2095" s="922"/>
      <c r="AA2095" s="1067"/>
      <c r="AB2095" s="922"/>
      <c r="AC2095" s="922"/>
      <c r="AD2095" s="922"/>
      <c r="AE2095" s="922"/>
      <c r="AF2095" s="1046"/>
      <c r="AG2095" s="906" t="str">
        <f>IF(AE2095&lt;&gt;0,VLOOKUP(AE2095,ODDS!$A$2:$C$13,3,0),"")</f>
        <v/>
      </c>
      <c r="AH2095" s="906" t="str">
        <f t="shared" si="466"/>
        <v xml:space="preserve"> </v>
      </c>
      <c r="AI2095" s="907" t="str">
        <f t="shared" si="462"/>
        <v xml:space="preserve"> </v>
      </c>
      <c r="AJ2095" s="894"/>
      <c r="AK2095" s="894"/>
    </row>
    <row r="2096" spans="1:37" s="394" customFormat="1" ht="67.5" outlineLevel="2" x14ac:dyDescent="0.3">
      <c r="A2096" s="447">
        <f t="shared" si="468"/>
        <v>178</v>
      </c>
      <c r="B2096" s="893"/>
      <c r="C2096" s="908"/>
      <c r="D2096" s="1032"/>
      <c r="E2096" s="947"/>
      <c r="F2096" s="947"/>
      <c r="G2096" s="922"/>
      <c r="H2096" s="1041"/>
      <c r="I2096" s="882"/>
      <c r="J2096" s="894"/>
      <c r="K2096" s="899" t="str">
        <f>IF(G2096&lt;&gt;0,VLOOKUP(G2096,'gia dat'!$A$1:$F$144,5,0)," ")</f>
        <v xml:space="preserve"> </v>
      </c>
      <c r="L2096" s="899" t="str">
        <f>IF(G2096&lt;&gt;0,VLOOKUP(G2096,'gia dat'!$A$1:$F$144,6,0)," ")</f>
        <v xml:space="preserve"> </v>
      </c>
      <c r="M2096" s="900" t="str">
        <f t="shared" si="455"/>
        <v xml:space="preserve"> </v>
      </c>
      <c r="N2096" s="900" t="str">
        <f t="shared" si="456"/>
        <v xml:space="preserve"> </v>
      </c>
      <c r="O2096" s="908" t="s">
        <v>132</v>
      </c>
      <c r="P2096" s="1065">
        <v>1</v>
      </c>
      <c r="Q2096" s="900">
        <f>IF(O2096&lt;&gt;0,VLOOKUP(O2096,'Cây trong'!$A$2:$C$246,3,0)," ")</f>
        <v>473000</v>
      </c>
      <c r="R2096" s="900">
        <f t="shared" si="464"/>
        <v>473000</v>
      </c>
      <c r="S2096" s="908" t="s">
        <v>1986</v>
      </c>
      <c r="T2096" s="944" t="s">
        <v>1286</v>
      </c>
      <c r="U2096" s="1066">
        <v>0.2</v>
      </c>
      <c r="V2096" s="922"/>
      <c r="W2096" s="900">
        <f>IF(S2096&lt;&gt;0,VLOOKUP(S2096,VKT!$A$2:$G$415,7,0),"")</f>
        <v>0</v>
      </c>
      <c r="X2096" s="900">
        <f t="shared" si="459"/>
        <v>0</v>
      </c>
      <c r="Y2096" s="985"/>
      <c r="Z2096" s="922"/>
      <c r="AA2096" s="1067"/>
      <c r="AB2096" s="922"/>
      <c r="AC2096" s="922"/>
      <c r="AD2096" s="922"/>
      <c r="AE2096" s="922"/>
      <c r="AF2096" s="1046"/>
      <c r="AG2096" s="906" t="str">
        <f>IF(AE2096&lt;&gt;0,VLOOKUP(AE2096,ODDS!$A$2:$C$13,3,0),"")</f>
        <v/>
      </c>
      <c r="AH2096" s="906" t="str">
        <f t="shared" si="466"/>
        <v xml:space="preserve"> </v>
      </c>
      <c r="AI2096" s="907" t="str">
        <f t="shared" si="462"/>
        <v xml:space="preserve"> </v>
      </c>
      <c r="AJ2096" s="894"/>
      <c r="AK2096" s="894"/>
    </row>
    <row r="2097" spans="1:37" s="394" customFormat="1" ht="67.5" outlineLevel="2" x14ac:dyDescent="0.3">
      <c r="A2097" s="447">
        <f t="shared" si="468"/>
        <v>178</v>
      </c>
      <c r="B2097" s="893"/>
      <c r="C2097" s="908"/>
      <c r="D2097" s="1032"/>
      <c r="E2097" s="947"/>
      <c r="F2097" s="947"/>
      <c r="G2097" s="922"/>
      <c r="H2097" s="1041"/>
      <c r="I2097" s="882"/>
      <c r="J2097" s="894"/>
      <c r="K2097" s="899" t="str">
        <f>IF(G2097&lt;&gt;0,VLOOKUP(G2097,'gia dat'!$A$1:$F$144,5,0)," ")</f>
        <v xml:space="preserve"> </v>
      </c>
      <c r="L2097" s="899" t="str">
        <f>IF(G2097&lt;&gt;0,VLOOKUP(G2097,'gia dat'!$A$1:$F$144,6,0)," ")</f>
        <v xml:space="preserve"> </v>
      </c>
      <c r="M2097" s="900" t="str">
        <f t="shared" si="455"/>
        <v xml:space="preserve"> </v>
      </c>
      <c r="N2097" s="900" t="str">
        <f t="shared" si="456"/>
        <v xml:space="preserve"> </v>
      </c>
      <c r="O2097" s="908" t="s">
        <v>1421</v>
      </c>
      <c r="P2097" s="1065">
        <v>5</v>
      </c>
      <c r="Q2097" s="900">
        <f>IF(O2097&lt;&gt;0,VLOOKUP(O2097,'Cây trong'!$A$2:$C$246,3,0)," ")</f>
        <v>4800000</v>
      </c>
      <c r="R2097" s="900">
        <f t="shared" si="464"/>
        <v>24000000</v>
      </c>
      <c r="S2097" s="908" t="s">
        <v>1987</v>
      </c>
      <c r="T2097" s="944" t="s">
        <v>101</v>
      </c>
      <c r="U2097" s="1066">
        <v>5</v>
      </c>
      <c r="V2097" s="922"/>
      <c r="W2097" s="900">
        <f>IF(S2097&lt;&gt;0,VLOOKUP(S2097,VKT!$A$2:$G$415,7,0),"")</f>
        <v>674018</v>
      </c>
      <c r="X2097" s="900">
        <f t="shared" si="459"/>
        <v>3370000</v>
      </c>
      <c r="Y2097" s="985"/>
      <c r="Z2097" s="922"/>
      <c r="AA2097" s="1067"/>
      <c r="AB2097" s="922"/>
      <c r="AC2097" s="922"/>
      <c r="AD2097" s="922"/>
      <c r="AE2097" s="922"/>
      <c r="AF2097" s="1046"/>
      <c r="AG2097" s="906" t="str">
        <f>IF(AE2097&lt;&gt;0,VLOOKUP(AE2097,ODDS!$A$2:$C$13,3,0),"")</f>
        <v/>
      </c>
      <c r="AH2097" s="906" t="str">
        <f t="shared" si="466"/>
        <v xml:space="preserve"> </v>
      </c>
      <c r="AI2097" s="907" t="str">
        <f t="shared" si="462"/>
        <v xml:space="preserve"> </v>
      </c>
      <c r="AJ2097" s="894"/>
      <c r="AK2097" s="894"/>
    </row>
    <row r="2098" spans="1:37" s="394" customFormat="1" ht="67.5" outlineLevel="2" x14ac:dyDescent="0.3">
      <c r="A2098" s="447">
        <f t="shared" si="468"/>
        <v>178</v>
      </c>
      <c r="B2098" s="893"/>
      <c r="C2098" s="908"/>
      <c r="D2098" s="1032"/>
      <c r="E2098" s="947"/>
      <c r="F2098" s="947"/>
      <c r="G2098" s="922"/>
      <c r="H2098" s="1041"/>
      <c r="I2098" s="882"/>
      <c r="J2098" s="894"/>
      <c r="K2098" s="899" t="str">
        <f>IF(G2098&lt;&gt;0,VLOOKUP(G2098,'gia dat'!$A$1:$F$144,5,0)," ")</f>
        <v xml:space="preserve"> </v>
      </c>
      <c r="L2098" s="899" t="str">
        <f>IF(G2098&lt;&gt;0,VLOOKUP(G2098,'gia dat'!$A$1:$F$144,6,0)," ")</f>
        <v xml:space="preserve"> </v>
      </c>
      <c r="M2098" s="900" t="str">
        <f t="shared" si="455"/>
        <v xml:space="preserve"> </v>
      </c>
      <c r="N2098" s="900" t="str">
        <f t="shared" si="456"/>
        <v xml:space="preserve"> </v>
      </c>
      <c r="O2098" s="908" t="s">
        <v>1253</v>
      </c>
      <c r="P2098" s="1065">
        <v>1</v>
      </c>
      <c r="Q2098" s="900">
        <f>IF(O2098&lt;&gt;0,VLOOKUP(O2098,'Cây trong'!$A$2:$C$246,3,0)," ")</f>
        <v>1080000</v>
      </c>
      <c r="R2098" s="900">
        <f t="shared" si="464"/>
        <v>1080000</v>
      </c>
      <c r="S2098" s="908" t="s">
        <v>1988</v>
      </c>
      <c r="T2098" s="944" t="s">
        <v>1133</v>
      </c>
      <c r="U2098" s="1066">
        <v>96</v>
      </c>
      <c r="V2098" s="922"/>
      <c r="W2098" s="900">
        <f>IF(S2098&lt;&gt;0,VLOOKUP(S2098,VKT!$A$2:$G$415,7,0),"")</f>
        <v>0</v>
      </c>
      <c r="X2098" s="900">
        <f t="shared" si="459"/>
        <v>0</v>
      </c>
      <c r="Y2098" s="985"/>
      <c r="Z2098" s="922"/>
      <c r="AA2098" s="1067"/>
      <c r="AB2098" s="922"/>
      <c r="AC2098" s="922"/>
      <c r="AD2098" s="922"/>
      <c r="AE2098" s="922"/>
      <c r="AF2098" s="1046"/>
      <c r="AG2098" s="906" t="str">
        <f>IF(AE2098&lt;&gt;0,VLOOKUP(AE2098,ODDS!$A$2:$C$13,3,0),"")</f>
        <v/>
      </c>
      <c r="AH2098" s="906" t="str">
        <f t="shared" si="466"/>
        <v xml:space="preserve"> </v>
      </c>
      <c r="AI2098" s="907" t="str">
        <f t="shared" si="462"/>
        <v xml:space="preserve"> </v>
      </c>
      <c r="AJ2098" s="894"/>
      <c r="AK2098" s="894"/>
    </row>
    <row r="2099" spans="1:37" s="394" customFormat="1" ht="67.5" outlineLevel="2" x14ac:dyDescent="0.3">
      <c r="A2099" s="447">
        <f t="shared" si="468"/>
        <v>178</v>
      </c>
      <c r="B2099" s="893"/>
      <c r="C2099" s="908"/>
      <c r="D2099" s="1032"/>
      <c r="E2099" s="947"/>
      <c r="F2099" s="947"/>
      <c r="G2099" s="922"/>
      <c r="H2099" s="1041"/>
      <c r="I2099" s="882"/>
      <c r="J2099" s="894"/>
      <c r="K2099" s="899" t="str">
        <f>IF(G2099&lt;&gt;0,VLOOKUP(G2099,'gia dat'!$A$1:$F$144,5,0)," ")</f>
        <v xml:space="preserve"> </v>
      </c>
      <c r="L2099" s="899" t="str">
        <f>IF(G2099&lt;&gt;0,VLOOKUP(G2099,'gia dat'!$A$1:$F$144,6,0)," ")</f>
        <v xml:space="preserve"> </v>
      </c>
      <c r="M2099" s="900" t="str">
        <f t="shared" si="455"/>
        <v xml:space="preserve"> </v>
      </c>
      <c r="N2099" s="900" t="str">
        <f t="shared" si="456"/>
        <v xml:space="preserve"> </v>
      </c>
      <c r="O2099" s="908" t="s">
        <v>1254</v>
      </c>
      <c r="P2099" s="1065">
        <v>1</v>
      </c>
      <c r="Q2099" s="900">
        <f>IF(O2099&lt;&gt;0,VLOOKUP(O2099,'Cây trong'!$A$2:$C$246,3,0)," ")</f>
        <v>480000</v>
      </c>
      <c r="R2099" s="900">
        <f t="shared" si="464"/>
        <v>480000</v>
      </c>
      <c r="S2099" s="908" t="s">
        <v>1989</v>
      </c>
      <c r="T2099" s="944" t="s">
        <v>1133</v>
      </c>
      <c r="U2099" s="1066">
        <v>2.1</v>
      </c>
      <c r="V2099" s="922"/>
      <c r="W2099" s="900">
        <f>IF(S2099&lt;&gt;0,VLOOKUP(S2099,VKT!$A$2:$G$415,7,0),"")</f>
        <v>310020</v>
      </c>
      <c r="X2099" s="900">
        <f t="shared" si="459"/>
        <v>651000</v>
      </c>
      <c r="Y2099" s="985"/>
      <c r="Z2099" s="922"/>
      <c r="AA2099" s="1067"/>
      <c r="AB2099" s="922"/>
      <c r="AC2099" s="922"/>
      <c r="AD2099" s="922"/>
      <c r="AE2099" s="922"/>
      <c r="AF2099" s="1046"/>
      <c r="AG2099" s="906" t="str">
        <f>IF(AE2099&lt;&gt;0,VLOOKUP(AE2099,ODDS!$A$2:$C$13,3,0),"")</f>
        <v/>
      </c>
      <c r="AH2099" s="906" t="str">
        <f t="shared" si="466"/>
        <v xml:space="preserve"> </v>
      </c>
      <c r="AI2099" s="907" t="str">
        <f t="shared" si="462"/>
        <v xml:space="preserve"> </v>
      </c>
      <c r="AJ2099" s="894"/>
      <c r="AK2099" s="894"/>
    </row>
    <row r="2100" spans="1:37" s="394" customFormat="1" ht="67.5" outlineLevel="2" x14ac:dyDescent="0.3">
      <c r="A2100" s="447">
        <f t="shared" si="468"/>
        <v>178</v>
      </c>
      <c r="B2100" s="893"/>
      <c r="C2100" s="908"/>
      <c r="D2100" s="1032"/>
      <c r="E2100" s="947"/>
      <c r="F2100" s="947"/>
      <c r="G2100" s="922"/>
      <c r="H2100" s="1041"/>
      <c r="I2100" s="882"/>
      <c r="J2100" s="894"/>
      <c r="K2100" s="899" t="str">
        <f>IF(G2100&lt;&gt;0,VLOOKUP(G2100,'gia dat'!$A$1:$F$144,5,0)," ")</f>
        <v xml:space="preserve"> </v>
      </c>
      <c r="L2100" s="899" t="str">
        <f>IF(G2100&lt;&gt;0,VLOOKUP(G2100,'gia dat'!$A$1:$F$144,6,0)," ")</f>
        <v xml:space="preserve"> </v>
      </c>
      <c r="M2100" s="900" t="str">
        <f t="shared" si="455"/>
        <v xml:space="preserve"> </v>
      </c>
      <c r="N2100" s="900" t="str">
        <f t="shared" si="456"/>
        <v xml:space="preserve"> </v>
      </c>
      <c r="O2100" s="908" t="s">
        <v>1424</v>
      </c>
      <c r="P2100" s="1065">
        <v>16</v>
      </c>
      <c r="Q2100" s="900">
        <f>IF(O2100&lt;&gt;0,VLOOKUP(O2100,'Cây trong'!$A$2:$C$246,3,0)," ")</f>
        <v>120000</v>
      </c>
      <c r="R2100" s="900">
        <f t="shared" si="464"/>
        <v>1920000</v>
      </c>
      <c r="S2100" s="908" t="s">
        <v>1990</v>
      </c>
      <c r="T2100" s="944" t="s">
        <v>1133</v>
      </c>
      <c r="U2100" s="1066">
        <v>1.1000000000000001</v>
      </c>
      <c r="V2100" s="922"/>
      <c r="W2100" s="900">
        <f>IF(S2100&lt;&gt;0,VLOOKUP(S2100,VKT!$A$2:$G$415,7,0),"")</f>
        <v>0</v>
      </c>
      <c r="X2100" s="900">
        <f t="shared" si="459"/>
        <v>0</v>
      </c>
      <c r="Y2100" s="985"/>
      <c r="Z2100" s="922"/>
      <c r="AA2100" s="1067"/>
      <c r="AB2100" s="922"/>
      <c r="AC2100" s="922"/>
      <c r="AD2100" s="922"/>
      <c r="AE2100" s="922"/>
      <c r="AF2100" s="1046"/>
      <c r="AG2100" s="906" t="str">
        <f>IF(AE2100&lt;&gt;0,VLOOKUP(AE2100,ODDS!$A$2:$C$13,3,0),"")</f>
        <v/>
      </c>
      <c r="AH2100" s="906" t="str">
        <f t="shared" si="466"/>
        <v xml:space="preserve"> </v>
      </c>
      <c r="AI2100" s="907" t="str">
        <f t="shared" si="462"/>
        <v xml:space="preserve"> </v>
      </c>
      <c r="AJ2100" s="894"/>
      <c r="AK2100" s="894"/>
    </row>
    <row r="2101" spans="1:37" s="394" customFormat="1" ht="45" outlineLevel="2" x14ac:dyDescent="0.3">
      <c r="A2101" s="447">
        <f t="shared" si="468"/>
        <v>178</v>
      </c>
      <c r="B2101" s="893"/>
      <c r="C2101" s="908"/>
      <c r="D2101" s="1032"/>
      <c r="E2101" s="947"/>
      <c r="F2101" s="947"/>
      <c r="G2101" s="922"/>
      <c r="H2101" s="1041"/>
      <c r="I2101" s="882"/>
      <c r="J2101" s="894"/>
      <c r="K2101" s="899" t="str">
        <f>IF(G2101&lt;&gt;0,VLOOKUP(G2101,'gia dat'!$A$1:$F$144,5,0)," ")</f>
        <v xml:space="preserve"> </v>
      </c>
      <c r="L2101" s="899" t="str">
        <f>IF(G2101&lt;&gt;0,VLOOKUP(G2101,'gia dat'!$A$1:$F$144,6,0)," ")</f>
        <v xml:space="preserve"> </v>
      </c>
      <c r="M2101" s="900" t="str">
        <f t="shared" si="455"/>
        <v xml:space="preserve"> </v>
      </c>
      <c r="N2101" s="900" t="str">
        <f t="shared" si="456"/>
        <v xml:space="preserve"> </v>
      </c>
      <c r="O2101" s="908" t="s">
        <v>2090</v>
      </c>
      <c r="P2101" s="1065">
        <v>3</v>
      </c>
      <c r="Q2101" s="900">
        <f>IF(O2101&lt;&gt;0,VLOOKUP(O2101,'Cây trong'!$A$2:$C$246,3,0)," ")</f>
        <v>24000</v>
      </c>
      <c r="R2101" s="900">
        <f t="shared" si="464"/>
        <v>72000</v>
      </c>
      <c r="S2101" s="908"/>
      <c r="T2101" s="944"/>
      <c r="U2101" s="1066"/>
      <c r="V2101" s="922"/>
      <c r="W2101" s="900" t="str">
        <f>IF(S2101&lt;&gt;0,VLOOKUP(S2101,VKT!$A$2:$G$415,7,0),"")</f>
        <v/>
      </c>
      <c r="X2101" s="900" t="str">
        <f t="shared" si="459"/>
        <v xml:space="preserve"> </v>
      </c>
      <c r="Y2101" s="985"/>
      <c r="Z2101" s="922"/>
      <c r="AA2101" s="1067"/>
      <c r="AB2101" s="922"/>
      <c r="AC2101" s="922"/>
      <c r="AD2101" s="922"/>
      <c r="AE2101" s="922"/>
      <c r="AF2101" s="1046"/>
      <c r="AG2101" s="906" t="str">
        <f>IF(AE2101&lt;&gt;0,VLOOKUP(AE2101,ODDS!$A$2:$C$13,3,0),"")</f>
        <v/>
      </c>
      <c r="AH2101" s="906" t="str">
        <f t="shared" si="466"/>
        <v xml:space="preserve"> </v>
      </c>
      <c r="AI2101" s="907" t="str">
        <f t="shared" si="462"/>
        <v xml:space="preserve"> </v>
      </c>
      <c r="AJ2101" s="894"/>
      <c r="AK2101" s="894"/>
    </row>
    <row r="2102" spans="1:37" s="394" customFormat="1" ht="45" outlineLevel="2" x14ac:dyDescent="0.3">
      <c r="A2102" s="447">
        <f t="shared" si="468"/>
        <v>178</v>
      </c>
      <c r="B2102" s="893"/>
      <c r="C2102" s="908"/>
      <c r="D2102" s="1032"/>
      <c r="E2102" s="947"/>
      <c r="F2102" s="947"/>
      <c r="G2102" s="922"/>
      <c r="H2102" s="1041"/>
      <c r="I2102" s="882"/>
      <c r="J2102" s="894"/>
      <c r="K2102" s="899" t="str">
        <f>IF(G2102&lt;&gt;0,VLOOKUP(G2102,'gia dat'!$A$1:$F$144,5,0)," ")</f>
        <v xml:space="preserve"> </v>
      </c>
      <c r="L2102" s="899" t="str">
        <f>IF(G2102&lt;&gt;0,VLOOKUP(G2102,'gia dat'!$A$1:$F$144,6,0)," ")</f>
        <v xml:space="preserve"> </v>
      </c>
      <c r="M2102" s="900" t="str">
        <f t="shared" si="455"/>
        <v xml:space="preserve"> </v>
      </c>
      <c r="N2102" s="900" t="str">
        <f t="shared" si="456"/>
        <v xml:space="preserve"> </v>
      </c>
      <c r="O2102" s="908" t="s">
        <v>1424</v>
      </c>
      <c r="P2102" s="1065">
        <v>1</v>
      </c>
      <c r="Q2102" s="900">
        <f>IF(O2102&lt;&gt;0,VLOOKUP(O2102,'Cây trong'!$A$2:$C$246,3,0)," ")</f>
        <v>120000</v>
      </c>
      <c r="R2102" s="900">
        <f t="shared" si="464"/>
        <v>120000</v>
      </c>
      <c r="S2102" s="908"/>
      <c r="T2102" s="944"/>
      <c r="U2102" s="1066"/>
      <c r="V2102" s="922"/>
      <c r="W2102" s="900" t="str">
        <f>IF(S2102&lt;&gt;0,VLOOKUP(S2102,VKT!$A$2:$G$415,7,0),"")</f>
        <v/>
      </c>
      <c r="X2102" s="900" t="str">
        <f t="shared" si="459"/>
        <v xml:space="preserve"> </v>
      </c>
      <c r="Y2102" s="985"/>
      <c r="Z2102" s="922"/>
      <c r="AA2102" s="1067"/>
      <c r="AB2102" s="922"/>
      <c r="AC2102" s="922"/>
      <c r="AD2102" s="922"/>
      <c r="AE2102" s="922"/>
      <c r="AF2102" s="1046"/>
      <c r="AG2102" s="906" t="str">
        <f>IF(AE2102&lt;&gt;0,VLOOKUP(AE2102,ODDS!$A$2:$C$13,3,0),"")</f>
        <v/>
      </c>
      <c r="AH2102" s="906" t="str">
        <f t="shared" si="466"/>
        <v xml:space="preserve"> </v>
      </c>
      <c r="AI2102" s="907" t="str">
        <f t="shared" si="462"/>
        <v xml:space="preserve"> </v>
      </c>
      <c r="AJ2102" s="894"/>
      <c r="AK2102" s="894"/>
    </row>
    <row r="2103" spans="1:37" s="394" customFormat="1" ht="22.5" outlineLevel="2" x14ac:dyDescent="0.3">
      <c r="A2103" s="447">
        <f t="shared" si="468"/>
        <v>178</v>
      </c>
      <c r="B2103" s="893"/>
      <c r="C2103" s="908"/>
      <c r="D2103" s="1032"/>
      <c r="E2103" s="947"/>
      <c r="F2103" s="947"/>
      <c r="G2103" s="922"/>
      <c r="H2103" s="1041"/>
      <c r="I2103" s="882"/>
      <c r="J2103" s="894"/>
      <c r="K2103" s="899" t="str">
        <f>IF(G2103&lt;&gt;0,VLOOKUP(G2103,'gia dat'!$A$1:$F$144,5,0)," ")</f>
        <v xml:space="preserve"> </v>
      </c>
      <c r="L2103" s="899" t="str">
        <f>IF(G2103&lt;&gt;0,VLOOKUP(G2103,'gia dat'!$A$1:$F$144,6,0)," ")</f>
        <v xml:space="preserve"> </v>
      </c>
      <c r="M2103" s="900" t="str">
        <f t="shared" si="455"/>
        <v xml:space="preserve"> </v>
      </c>
      <c r="N2103" s="900" t="str">
        <f t="shared" si="456"/>
        <v xml:space="preserve"> </v>
      </c>
      <c r="O2103" s="908" t="s">
        <v>1425</v>
      </c>
      <c r="P2103" s="1065">
        <v>1</v>
      </c>
      <c r="Q2103" s="900">
        <f>IF(O2103&lt;&gt;0,VLOOKUP(O2103,'Cây trong'!$A$2:$C$246,3,0)," ")</f>
        <v>1007000</v>
      </c>
      <c r="R2103" s="900">
        <f t="shared" si="464"/>
        <v>1007000</v>
      </c>
      <c r="S2103" s="908"/>
      <c r="T2103" s="944"/>
      <c r="U2103" s="1066"/>
      <c r="V2103" s="922"/>
      <c r="W2103" s="900" t="str">
        <f>IF(S2103&lt;&gt;0,VLOOKUP(S2103,VKT!$A$2:$G$415,7,0),"")</f>
        <v/>
      </c>
      <c r="X2103" s="900" t="str">
        <f t="shared" si="459"/>
        <v xml:space="preserve"> </v>
      </c>
      <c r="Y2103" s="985"/>
      <c r="Z2103" s="922"/>
      <c r="AA2103" s="1067"/>
      <c r="AB2103" s="922"/>
      <c r="AC2103" s="922"/>
      <c r="AD2103" s="922"/>
      <c r="AE2103" s="922"/>
      <c r="AF2103" s="1046"/>
      <c r="AG2103" s="906" t="str">
        <f>IF(AE2103&lt;&gt;0,VLOOKUP(AE2103,ODDS!$A$2:$C$13,3,0),"")</f>
        <v/>
      </c>
      <c r="AH2103" s="906" t="str">
        <f t="shared" si="466"/>
        <v xml:space="preserve"> </v>
      </c>
      <c r="AI2103" s="907" t="str">
        <f t="shared" si="462"/>
        <v xml:space="preserve"> </v>
      </c>
      <c r="AJ2103" s="894"/>
      <c r="AK2103" s="894"/>
    </row>
    <row r="2104" spans="1:37" s="394" customFormat="1" ht="22.5" outlineLevel="2" x14ac:dyDescent="0.3">
      <c r="A2104" s="447">
        <f t="shared" si="468"/>
        <v>178</v>
      </c>
      <c r="B2104" s="893"/>
      <c r="C2104" s="908"/>
      <c r="D2104" s="1032"/>
      <c r="E2104" s="947"/>
      <c r="F2104" s="947"/>
      <c r="G2104" s="922"/>
      <c r="H2104" s="1041"/>
      <c r="I2104" s="882"/>
      <c r="J2104" s="894"/>
      <c r="K2104" s="899" t="str">
        <f>IF(G2104&lt;&gt;0,VLOOKUP(G2104,'gia dat'!$A$1:$F$144,5,0)," ")</f>
        <v xml:space="preserve"> </v>
      </c>
      <c r="L2104" s="899" t="str">
        <f>IF(G2104&lt;&gt;0,VLOOKUP(G2104,'gia dat'!$A$1:$F$144,6,0)," ")</f>
        <v xml:space="preserve"> </v>
      </c>
      <c r="M2104" s="900" t="str">
        <f t="shared" si="455"/>
        <v xml:space="preserve"> </v>
      </c>
      <c r="N2104" s="900" t="str">
        <f t="shared" si="456"/>
        <v xml:space="preserve"> </v>
      </c>
      <c r="O2104" s="908" t="s">
        <v>1224</v>
      </c>
      <c r="P2104" s="1065">
        <v>1</v>
      </c>
      <c r="Q2104" s="900">
        <f>IF(O2104&lt;&gt;0,VLOOKUP(O2104,'Cây trong'!$A$2:$C$246,3,0)," ")</f>
        <v>667000</v>
      </c>
      <c r="R2104" s="900">
        <f t="shared" si="464"/>
        <v>667000</v>
      </c>
      <c r="S2104" s="908"/>
      <c r="T2104" s="944"/>
      <c r="U2104" s="1066"/>
      <c r="V2104" s="922"/>
      <c r="W2104" s="900" t="str">
        <f>IF(S2104&lt;&gt;0,VLOOKUP(S2104,VKT!$A$2:$G$415,7,0),"")</f>
        <v/>
      </c>
      <c r="X2104" s="900" t="str">
        <f t="shared" si="459"/>
        <v xml:space="preserve"> </v>
      </c>
      <c r="Y2104" s="985"/>
      <c r="Z2104" s="922"/>
      <c r="AA2104" s="1067"/>
      <c r="AB2104" s="922"/>
      <c r="AC2104" s="922"/>
      <c r="AD2104" s="922"/>
      <c r="AE2104" s="922"/>
      <c r="AF2104" s="1046"/>
      <c r="AG2104" s="906" t="str">
        <f>IF(AE2104&lt;&gt;0,VLOOKUP(AE2104,ODDS!$A$2:$C$13,3,0),"")</f>
        <v/>
      </c>
      <c r="AH2104" s="906" t="str">
        <f t="shared" si="466"/>
        <v xml:space="preserve"> </v>
      </c>
      <c r="AI2104" s="907" t="str">
        <f t="shared" si="462"/>
        <v xml:space="preserve"> </v>
      </c>
      <c r="AJ2104" s="894"/>
      <c r="AK2104" s="894"/>
    </row>
    <row r="2105" spans="1:37" s="394" customFormat="1" ht="22.5" outlineLevel="2" x14ac:dyDescent="0.3">
      <c r="A2105" s="447">
        <f t="shared" si="468"/>
        <v>178</v>
      </c>
      <c r="B2105" s="893"/>
      <c r="C2105" s="908"/>
      <c r="D2105" s="1032"/>
      <c r="E2105" s="947"/>
      <c r="F2105" s="947"/>
      <c r="G2105" s="922"/>
      <c r="H2105" s="1041"/>
      <c r="I2105" s="882"/>
      <c r="J2105" s="894"/>
      <c r="K2105" s="899" t="str">
        <f>IF(G2105&lt;&gt;0,VLOOKUP(G2105,'gia dat'!$A$1:$F$144,5,0)," ")</f>
        <v xml:space="preserve"> </v>
      </c>
      <c r="L2105" s="899" t="str">
        <f>IF(G2105&lt;&gt;0,VLOOKUP(G2105,'gia dat'!$A$1:$F$144,6,0)," ")</f>
        <v xml:space="preserve"> </v>
      </c>
      <c r="M2105" s="900" t="str">
        <f t="shared" si="455"/>
        <v xml:space="preserve"> </v>
      </c>
      <c r="N2105" s="900" t="str">
        <f t="shared" si="456"/>
        <v xml:space="preserve"> </v>
      </c>
      <c r="O2105" s="908" t="s">
        <v>1278</v>
      </c>
      <c r="P2105" s="1065">
        <v>1</v>
      </c>
      <c r="Q2105" s="900">
        <f>IF(O2105&lt;&gt;0,VLOOKUP(O2105,'Cây trong'!$A$2:$C$246,3,0)," ")</f>
        <v>360000</v>
      </c>
      <c r="R2105" s="900">
        <f t="shared" si="464"/>
        <v>360000</v>
      </c>
      <c r="S2105" s="908"/>
      <c r="T2105" s="944"/>
      <c r="U2105" s="1066"/>
      <c r="V2105" s="922"/>
      <c r="W2105" s="900" t="str">
        <f>IF(S2105&lt;&gt;0,VLOOKUP(S2105,VKT!$A$2:$G$415,7,0),"")</f>
        <v/>
      </c>
      <c r="X2105" s="900" t="str">
        <f t="shared" si="459"/>
        <v xml:space="preserve"> </v>
      </c>
      <c r="Y2105" s="985"/>
      <c r="Z2105" s="922"/>
      <c r="AA2105" s="1067"/>
      <c r="AB2105" s="922"/>
      <c r="AC2105" s="922"/>
      <c r="AD2105" s="922"/>
      <c r="AE2105" s="922"/>
      <c r="AF2105" s="1046"/>
      <c r="AG2105" s="906" t="str">
        <f>IF(AE2105&lt;&gt;0,VLOOKUP(AE2105,ODDS!$A$2:$C$13,3,0),"")</f>
        <v/>
      </c>
      <c r="AH2105" s="906" t="str">
        <f t="shared" si="466"/>
        <v xml:space="preserve"> </v>
      </c>
      <c r="AI2105" s="907" t="str">
        <f t="shared" si="462"/>
        <v xml:space="preserve"> </v>
      </c>
      <c r="AJ2105" s="894"/>
      <c r="AK2105" s="894"/>
    </row>
    <row r="2106" spans="1:37" s="394" customFormat="1" ht="45" outlineLevel="2" x14ac:dyDescent="0.3">
      <c r="A2106" s="447">
        <f t="shared" si="468"/>
        <v>178</v>
      </c>
      <c r="B2106" s="893"/>
      <c r="C2106" s="908"/>
      <c r="D2106" s="1032"/>
      <c r="E2106" s="947"/>
      <c r="F2106" s="947"/>
      <c r="G2106" s="922"/>
      <c r="H2106" s="1041"/>
      <c r="I2106" s="882"/>
      <c r="J2106" s="894"/>
      <c r="K2106" s="899" t="str">
        <f>IF(G2106&lt;&gt;0,VLOOKUP(G2106,'gia dat'!$A$1:$F$144,5,0)," ")</f>
        <v xml:space="preserve"> </v>
      </c>
      <c r="L2106" s="899" t="str">
        <f>IF(G2106&lt;&gt;0,VLOOKUP(G2106,'gia dat'!$A$1:$F$144,6,0)," ")</f>
        <v xml:space="preserve"> </v>
      </c>
      <c r="M2106" s="900" t="str">
        <f t="shared" si="455"/>
        <v xml:space="preserve"> </v>
      </c>
      <c r="N2106" s="900" t="str">
        <f t="shared" si="456"/>
        <v xml:space="preserve"> </v>
      </c>
      <c r="O2106" s="908" t="s">
        <v>409</v>
      </c>
      <c r="P2106" s="1065">
        <v>1</v>
      </c>
      <c r="Q2106" s="900">
        <f>IF(O2106&lt;&gt;0,VLOOKUP(O2106,'Cây trong'!$A$2:$C$246,3,0)," ")</f>
        <v>72000</v>
      </c>
      <c r="R2106" s="900">
        <f t="shared" si="464"/>
        <v>72000</v>
      </c>
      <c r="S2106" s="908"/>
      <c r="T2106" s="944"/>
      <c r="U2106" s="1066"/>
      <c r="V2106" s="922"/>
      <c r="W2106" s="900" t="str">
        <f>IF(S2106&lt;&gt;0,VLOOKUP(S2106,VKT!$A$2:$G$415,7,0),"")</f>
        <v/>
      </c>
      <c r="X2106" s="900" t="str">
        <f t="shared" si="459"/>
        <v xml:space="preserve"> </v>
      </c>
      <c r="Y2106" s="985"/>
      <c r="Z2106" s="922"/>
      <c r="AA2106" s="1067"/>
      <c r="AB2106" s="922"/>
      <c r="AC2106" s="922"/>
      <c r="AD2106" s="922"/>
      <c r="AE2106" s="922"/>
      <c r="AF2106" s="1046"/>
      <c r="AG2106" s="906" t="str">
        <f>IF(AE2106&lt;&gt;0,VLOOKUP(AE2106,ODDS!$A$2:$C$13,3,0),"")</f>
        <v/>
      </c>
      <c r="AH2106" s="906" t="str">
        <f t="shared" si="466"/>
        <v xml:space="preserve"> </v>
      </c>
      <c r="AI2106" s="907" t="str">
        <f t="shared" si="462"/>
        <v xml:space="preserve"> </v>
      </c>
      <c r="AJ2106" s="894"/>
      <c r="AK2106" s="894"/>
    </row>
    <row r="2107" spans="1:37" s="394" customFormat="1" ht="45" outlineLevel="2" x14ac:dyDescent="0.3">
      <c r="A2107" s="447">
        <f t="shared" si="468"/>
        <v>178</v>
      </c>
      <c r="B2107" s="893"/>
      <c r="C2107" s="908"/>
      <c r="D2107" s="1032"/>
      <c r="E2107" s="947"/>
      <c r="F2107" s="947"/>
      <c r="G2107" s="922"/>
      <c r="H2107" s="1041"/>
      <c r="I2107" s="882"/>
      <c r="J2107" s="894"/>
      <c r="K2107" s="899" t="str">
        <f>IF(G2107&lt;&gt;0,VLOOKUP(G2107,'gia dat'!$A$1:$F$144,5,0)," ")</f>
        <v xml:space="preserve"> </v>
      </c>
      <c r="L2107" s="899" t="str">
        <f>IF(G2107&lt;&gt;0,VLOOKUP(G2107,'gia dat'!$A$1:$F$144,6,0)," ")</f>
        <v xml:space="preserve"> </v>
      </c>
      <c r="M2107" s="900" t="str">
        <f t="shared" ref="M2107:M2174" si="469">IF(H2107&lt;&gt;0,ROUND(H2107*K2107,-3)," ")</f>
        <v xml:space="preserve"> </v>
      </c>
      <c r="N2107" s="900" t="str">
        <f t="shared" ref="N2107:N2174" si="470">IF(H2107&lt;&gt;0,ROUND(H2107*L2107,-3)," ")</f>
        <v xml:space="preserve"> </v>
      </c>
      <c r="O2107" s="908" t="s">
        <v>1426</v>
      </c>
      <c r="P2107" s="1065">
        <v>1</v>
      </c>
      <c r="Q2107" s="900">
        <f>IF(O2107&lt;&gt;0,VLOOKUP(O2107,'Cây trong'!$A$2:$C$246,3,0)," ")</f>
        <v>0</v>
      </c>
      <c r="R2107" s="900">
        <f t="shared" si="464"/>
        <v>0</v>
      </c>
      <c r="S2107" s="908"/>
      <c r="T2107" s="944"/>
      <c r="U2107" s="1066"/>
      <c r="V2107" s="922"/>
      <c r="W2107" s="900" t="str">
        <f>IF(S2107&lt;&gt;0,VLOOKUP(S2107,VKT!$A$2:$G$415,7,0),"")</f>
        <v/>
      </c>
      <c r="X2107" s="900" t="str">
        <f t="shared" si="459"/>
        <v xml:space="preserve"> </v>
      </c>
      <c r="Y2107" s="985"/>
      <c r="Z2107" s="922"/>
      <c r="AA2107" s="1067"/>
      <c r="AB2107" s="922"/>
      <c r="AC2107" s="922"/>
      <c r="AD2107" s="922"/>
      <c r="AE2107" s="922"/>
      <c r="AF2107" s="1046"/>
      <c r="AG2107" s="906" t="str">
        <f>IF(AE2107&lt;&gt;0,VLOOKUP(AE2107,ODDS!$A$2:$C$13,3,0),"")</f>
        <v/>
      </c>
      <c r="AH2107" s="906" t="str">
        <f t="shared" si="466"/>
        <v xml:space="preserve"> </v>
      </c>
      <c r="AI2107" s="907" t="str">
        <f t="shared" si="462"/>
        <v xml:space="preserve"> </v>
      </c>
      <c r="AJ2107" s="894"/>
      <c r="AK2107" s="894"/>
    </row>
    <row r="2108" spans="1:37" s="394" customFormat="1" ht="45" outlineLevel="2" x14ac:dyDescent="0.3">
      <c r="A2108" s="447">
        <f t="shared" si="468"/>
        <v>178</v>
      </c>
      <c r="B2108" s="893"/>
      <c r="C2108" s="908"/>
      <c r="D2108" s="1032"/>
      <c r="E2108" s="947"/>
      <c r="F2108" s="947"/>
      <c r="G2108" s="922"/>
      <c r="H2108" s="1041"/>
      <c r="I2108" s="882"/>
      <c r="J2108" s="894"/>
      <c r="K2108" s="899" t="str">
        <f>IF(G2108&lt;&gt;0,VLOOKUP(G2108,'gia dat'!$A$1:$F$144,5,0)," ")</f>
        <v xml:space="preserve"> </v>
      </c>
      <c r="L2108" s="899" t="str">
        <f>IF(G2108&lt;&gt;0,VLOOKUP(G2108,'gia dat'!$A$1:$F$144,6,0)," ")</f>
        <v xml:space="preserve"> </v>
      </c>
      <c r="M2108" s="900" t="str">
        <f t="shared" si="469"/>
        <v xml:space="preserve"> </v>
      </c>
      <c r="N2108" s="900" t="str">
        <f t="shared" si="470"/>
        <v xml:space="preserve"> </v>
      </c>
      <c r="O2108" s="908" t="s">
        <v>1427</v>
      </c>
      <c r="P2108" s="1065">
        <v>2</v>
      </c>
      <c r="Q2108" s="900">
        <f>IF(O2108&lt;&gt;0,VLOOKUP(O2108,'Cây trong'!$A$2:$C$246,3,0)," ")</f>
        <v>360000</v>
      </c>
      <c r="R2108" s="900">
        <f t="shared" si="464"/>
        <v>720000</v>
      </c>
      <c r="S2108" s="908"/>
      <c r="T2108" s="944"/>
      <c r="U2108" s="1066"/>
      <c r="V2108" s="922"/>
      <c r="W2108" s="900" t="str">
        <f>IF(S2108&lt;&gt;0,VLOOKUP(S2108,VKT!$A$2:$G$415,7,0),"")</f>
        <v/>
      </c>
      <c r="X2108" s="900" t="str">
        <f t="shared" si="459"/>
        <v xml:space="preserve"> </v>
      </c>
      <c r="Y2108" s="985"/>
      <c r="Z2108" s="922"/>
      <c r="AA2108" s="1067"/>
      <c r="AB2108" s="922"/>
      <c r="AC2108" s="922"/>
      <c r="AD2108" s="922"/>
      <c r="AE2108" s="922"/>
      <c r="AF2108" s="1046"/>
      <c r="AG2108" s="906" t="str">
        <f>IF(AE2108&lt;&gt;0,VLOOKUP(AE2108,ODDS!$A$2:$C$13,3,0),"")</f>
        <v/>
      </c>
      <c r="AH2108" s="906" t="str">
        <f t="shared" si="466"/>
        <v xml:space="preserve"> </v>
      </c>
      <c r="AI2108" s="907" t="str">
        <f t="shared" si="462"/>
        <v xml:space="preserve"> </v>
      </c>
      <c r="AJ2108" s="894"/>
      <c r="AK2108" s="894"/>
    </row>
    <row r="2109" spans="1:37" s="394" customFormat="1" ht="45" outlineLevel="2" x14ac:dyDescent="0.3">
      <c r="A2109" s="447">
        <f t="shared" ref="A2109:A2129" si="471">IF(B2108&lt;&gt;0,B2108,A2108)</f>
        <v>178</v>
      </c>
      <c r="B2109" s="893"/>
      <c r="C2109" s="908"/>
      <c r="D2109" s="1032"/>
      <c r="E2109" s="947"/>
      <c r="F2109" s="947"/>
      <c r="G2109" s="922"/>
      <c r="H2109" s="1041"/>
      <c r="I2109" s="882"/>
      <c r="J2109" s="894"/>
      <c r="K2109" s="899" t="str">
        <f>IF(G2109&lt;&gt;0,VLOOKUP(G2109,'gia dat'!$A$1:$F$144,5,0)," ")</f>
        <v xml:space="preserve"> </v>
      </c>
      <c r="L2109" s="899" t="str">
        <f>IF(G2109&lt;&gt;0,VLOOKUP(G2109,'gia dat'!$A$1:$F$144,6,0)," ")</f>
        <v xml:space="preserve"> </v>
      </c>
      <c r="M2109" s="900" t="str">
        <f t="shared" si="469"/>
        <v xml:space="preserve"> </v>
      </c>
      <c r="N2109" s="900" t="str">
        <f t="shared" si="470"/>
        <v xml:space="preserve"> </v>
      </c>
      <c r="O2109" s="908" t="s">
        <v>401</v>
      </c>
      <c r="P2109" s="1065">
        <v>95</v>
      </c>
      <c r="Q2109" s="900">
        <f>IF(O2109&lt;&gt;0,VLOOKUP(O2109,'Cây trong'!$A$2:$C$246,3,0)," ")</f>
        <v>80000</v>
      </c>
      <c r="R2109" s="900">
        <f t="shared" si="464"/>
        <v>7600000</v>
      </c>
      <c r="S2109" s="908"/>
      <c r="T2109" s="944"/>
      <c r="U2109" s="1066"/>
      <c r="V2109" s="922"/>
      <c r="W2109" s="900" t="str">
        <f>IF(S2109&lt;&gt;0,VLOOKUP(S2109,VKT!$A$2:$G$415,7,0),"")</f>
        <v/>
      </c>
      <c r="X2109" s="900" t="str">
        <f t="shared" si="459"/>
        <v xml:space="preserve"> </v>
      </c>
      <c r="Y2109" s="985"/>
      <c r="Z2109" s="922"/>
      <c r="AA2109" s="1067"/>
      <c r="AB2109" s="922"/>
      <c r="AC2109" s="922"/>
      <c r="AD2109" s="922"/>
      <c r="AE2109" s="922"/>
      <c r="AF2109" s="1046"/>
      <c r="AG2109" s="906" t="str">
        <f>IF(AE2109&lt;&gt;0,VLOOKUP(AE2109,ODDS!$A$2:$C$13,3,0),"")</f>
        <v/>
      </c>
      <c r="AH2109" s="906" t="str">
        <f t="shared" si="466"/>
        <v xml:space="preserve"> </v>
      </c>
      <c r="AI2109" s="907" t="str">
        <f t="shared" si="462"/>
        <v xml:space="preserve"> </v>
      </c>
      <c r="AJ2109" s="894"/>
      <c r="AK2109" s="894"/>
    </row>
    <row r="2110" spans="1:37" s="394" customFormat="1" ht="22.5" outlineLevel="2" x14ac:dyDescent="0.3">
      <c r="A2110" s="447">
        <f t="shared" si="471"/>
        <v>178</v>
      </c>
      <c r="B2110" s="893"/>
      <c r="C2110" s="908"/>
      <c r="D2110" s="1032"/>
      <c r="E2110" s="947"/>
      <c r="F2110" s="947"/>
      <c r="G2110" s="922"/>
      <c r="H2110" s="1041"/>
      <c r="I2110" s="882"/>
      <c r="J2110" s="894"/>
      <c r="K2110" s="899" t="str">
        <f>IF(G2110&lt;&gt;0,VLOOKUP(G2110,'gia dat'!$A$1:$F$144,5,0)," ")</f>
        <v xml:space="preserve"> </v>
      </c>
      <c r="L2110" s="899" t="str">
        <f>IF(G2110&lt;&gt;0,VLOOKUP(G2110,'gia dat'!$A$1:$F$144,6,0)," ")</f>
        <v xml:space="preserve"> </v>
      </c>
      <c r="M2110" s="900" t="str">
        <f t="shared" si="469"/>
        <v xml:space="preserve"> </v>
      </c>
      <c r="N2110" s="900" t="str">
        <f t="shared" si="470"/>
        <v xml:space="preserve"> </v>
      </c>
      <c r="O2110" s="908" t="s">
        <v>1383</v>
      </c>
      <c r="P2110" s="1065">
        <v>2</v>
      </c>
      <c r="Q2110" s="900">
        <f>IF(O2110&lt;&gt;0,VLOOKUP(O2110,'Cây trong'!$A$2:$C$246,3,0)," ")</f>
        <v>1800000</v>
      </c>
      <c r="R2110" s="900">
        <f t="shared" si="464"/>
        <v>3600000</v>
      </c>
      <c r="S2110" s="908"/>
      <c r="T2110" s="944"/>
      <c r="U2110" s="1066"/>
      <c r="V2110" s="922"/>
      <c r="W2110" s="900" t="str">
        <f>IF(S2110&lt;&gt;0,VLOOKUP(S2110,VKT!$A$2:$G$415,7,0),"")</f>
        <v/>
      </c>
      <c r="X2110" s="900" t="str">
        <f t="shared" si="459"/>
        <v xml:space="preserve"> </v>
      </c>
      <c r="Y2110" s="985"/>
      <c r="Z2110" s="922"/>
      <c r="AA2110" s="1067"/>
      <c r="AB2110" s="922"/>
      <c r="AC2110" s="922"/>
      <c r="AD2110" s="922"/>
      <c r="AE2110" s="922"/>
      <c r="AF2110" s="1046"/>
      <c r="AG2110" s="906" t="str">
        <f>IF(AE2110&lt;&gt;0,VLOOKUP(AE2110,ODDS!$A$2:$C$13,3,0),"")</f>
        <v/>
      </c>
      <c r="AH2110" s="906" t="str">
        <f t="shared" si="466"/>
        <v xml:space="preserve"> </v>
      </c>
      <c r="AI2110" s="907" t="str">
        <f t="shared" si="462"/>
        <v xml:space="preserve"> </v>
      </c>
      <c r="AJ2110" s="894"/>
      <c r="AK2110" s="894"/>
    </row>
    <row r="2111" spans="1:37" s="394" customFormat="1" ht="22.5" outlineLevel="2" x14ac:dyDescent="0.3">
      <c r="A2111" s="447">
        <f t="shared" si="471"/>
        <v>178</v>
      </c>
      <c r="B2111" s="893"/>
      <c r="C2111" s="908"/>
      <c r="D2111" s="1032"/>
      <c r="E2111" s="947"/>
      <c r="F2111" s="947"/>
      <c r="G2111" s="922"/>
      <c r="H2111" s="1041"/>
      <c r="I2111" s="882"/>
      <c r="J2111" s="894"/>
      <c r="K2111" s="899" t="str">
        <f>IF(G2111&lt;&gt;0,VLOOKUP(G2111,'gia dat'!$A$1:$F$144,5,0)," ")</f>
        <v xml:space="preserve"> </v>
      </c>
      <c r="L2111" s="899" t="str">
        <f>IF(G2111&lt;&gt;0,VLOOKUP(G2111,'gia dat'!$A$1:$F$144,6,0)," ")</f>
        <v xml:space="preserve"> </v>
      </c>
      <c r="M2111" s="900" t="str">
        <f t="shared" si="469"/>
        <v xml:space="preserve"> </v>
      </c>
      <c r="N2111" s="900" t="str">
        <f t="shared" si="470"/>
        <v xml:space="preserve"> </v>
      </c>
      <c r="O2111" s="908" t="s">
        <v>352</v>
      </c>
      <c r="P2111" s="1065">
        <v>3</v>
      </c>
      <c r="Q2111" s="900">
        <f>IF(O2111&lt;&gt;0,VLOOKUP(O2111,'Cây trong'!$A$2:$C$246,3,0)," ")</f>
        <v>60000</v>
      </c>
      <c r="R2111" s="900">
        <f t="shared" si="464"/>
        <v>180000</v>
      </c>
      <c r="S2111" s="908"/>
      <c r="T2111" s="944"/>
      <c r="U2111" s="1066"/>
      <c r="V2111" s="922"/>
      <c r="W2111" s="900" t="str">
        <f>IF(S2111&lt;&gt;0,VLOOKUP(S2111,VKT!$A$2:$G$415,7,0),"")</f>
        <v/>
      </c>
      <c r="X2111" s="900" t="str">
        <f t="shared" si="459"/>
        <v xml:space="preserve"> </v>
      </c>
      <c r="Y2111" s="985"/>
      <c r="Z2111" s="922"/>
      <c r="AA2111" s="1067"/>
      <c r="AB2111" s="922"/>
      <c r="AC2111" s="922"/>
      <c r="AD2111" s="922"/>
      <c r="AE2111" s="922"/>
      <c r="AF2111" s="1046"/>
      <c r="AG2111" s="906" t="str">
        <f>IF(AE2111&lt;&gt;0,VLOOKUP(AE2111,ODDS!$A$2:$C$13,3,0),"")</f>
        <v/>
      </c>
      <c r="AH2111" s="906" t="str">
        <f t="shared" si="466"/>
        <v xml:space="preserve"> </v>
      </c>
      <c r="AI2111" s="907" t="str">
        <f t="shared" si="462"/>
        <v xml:space="preserve"> </v>
      </c>
      <c r="AJ2111" s="894"/>
      <c r="AK2111" s="894"/>
    </row>
    <row r="2112" spans="1:37" s="394" customFormat="1" ht="67.5" outlineLevel="2" x14ac:dyDescent="0.3">
      <c r="A2112" s="447">
        <f t="shared" si="471"/>
        <v>178</v>
      </c>
      <c r="B2112" s="893"/>
      <c r="C2112" s="908"/>
      <c r="D2112" s="1032"/>
      <c r="E2112" s="947"/>
      <c r="F2112" s="947"/>
      <c r="G2112" s="922"/>
      <c r="H2112" s="1041"/>
      <c r="I2112" s="882"/>
      <c r="J2112" s="894"/>
      <c r="K2112" s="899" t="str">
        <f>IF(G2112&lt;&gt;0,VLOOKUP(G2112,'gia dat'!$A$1:$F$144,5,0)," ")</f>
        <v xml:space="preserve"> </v>
      </c>
      <c r="L2112" s="899" t="str">
        <f>IF(G2112&lt;&gt;0,VLOOKUP(G2112,'gia dat'!$A$1:$F$144,6,0)," ")</f>
        <v xml:space="preserve"> </v>
      </c>
      <c r="M2112" s="900" t="str">
        <f t="shared" si="469"/>
        <v xml:space="preserve"> </v>
      </c>
      <c r="N2112" s="900" t="str">
        <f t="shared" si="470"/>
        <v xml:space="preserve"> </v>
      </c>
      <c r="O2112" s="908" t="s">
        <v>1428</v>
      </c>
      <c r="P2112" s="1065">
        <v>1</v>
      </c>
      <c r="Q2112" s="900">
        <f>IF(O2112&lt;&gt;0,VLOOKUP(O2112,'Cây trong'!$A$2:$C$246,3,0)," ")</f>
        <v>450000</v>
      </c>
      <c r="R2112" s="900">
        <f t="shared" si="464"/>
        <v>450000</v>
      </c>
      <c r="S2112" s="908"/>
      <c r="T2112" s="944"/>
      <c r="U2112" s="1066"/>
      <c r="V2112" s="922"/>
      <c r="W2112" s="900" t="str">
        <f>IF(S2112&lt;&gt;0,VLOOKUP(S2112,VKT!$A$2:$G$415,7,0),"")</f>
        <v/>
      </c>
      <c r="X2112" s="900" t="str">
        <f t="shared" si="459"/>
        <v xml:space="preserve"> </v>
      </c>
      <c r="Y2112" s="985"/>
      <c r="Z2112" s="922"/>
      <c r="AA2112" s="1067"/>
      <c r="AB2112" s="922"/>
      <c r="AC2112" s="922"/>
      <c r="AD2112" s="922"/>
      <c r="AE2112" s="922"/>
      <c r="AF2112" s="1046"/>
      <c r="AG2112" s="906" t="str">
        <f>IF(AE2112&lt;&gt;0,VLOOKUP(AE2112,ODDS!$A$2:$C$13,3,0),"")</f>
        <v/>
      </c>
      <c r="AH2112" s="906" t="str">
        <f t="shared" si="466"/>
        <v xml:space="preserve"> </v>
      </c>
      <c r="AI2112" s="907" t="str">
        <f t="shared" si="462"/>
        <v xml:space="preserve"> </v>
      </c>
      <c r="AJ2112" s="894"/>
      <c r="AK2112" s="894"/>
    </row>
    <row r="2113" spans="1:37" s="394" customFormat="1" ht="22.5" outlineLevel="2" x14ac:dyDescent="0.3">
      <c r="A2113" s="447">
        <f t="shared" si="471"/>
        <v>178</v>
      </c>
      <c r="B2113" s="893"/>
      <c r="C2113" s="908"/>
      <c r="D2113" s="1032"/>
      <c r="E2113" s="947"/>
      <c r="F2113" s="947"/>
      <c r="G2113" s="922"/>
      <c r="H2113" s="1041"/>
      <c r="I2113" s="882"/>
      <c r="J2113" s="894"/>
      <c r="K2113" s="899" t="str">
        <f>IF(G2113&lt;&gt;0,VLOOKUP(G2113,'gia dat'!$A$1:$F$144,5,0)," ")</f>
        <v xml:space="preserve"> </v>
      </c>
      <c r="L2113" s="899" t="str">
        <f>IF(G2113&lt;&gt;0,VLOOKUP(G2113,'gia dat'!$A$1:$F$144,6,0)," ")</f>
        <v xml:space="preserve"> </v>
      </c>
      <c r="M2113" s="900" t="str">
        <f t="shared" si="469"/>
        <v xml:space="preserve"> </v>
      </c>
      <c r="N2113" s="900" t="str">
        <f t="shared" si="470"/>
        <v xml:space="preserve"> </v>
      </c>
      <c r="O2113" s="908" t="s">
        <v>1351</v>
      </c>
      <c r="P2113" s="1065">
        <v>1</v>
      </c>
      <c r="Q2113" s="900">
        <f>IF(O2113&lt;&gt;0,VLOOKUP(O2113,'Cây trong'!$A$2:$C$246,3,0)," ")</f>
        <v>2400000</v>
      </c>
      <c r="R2113" s="900">
        <f t="shared" si="464"/>
        <v>2400000</v>
      </c>
      <c r="S2113" s="908"/>
      <c r="T2113" s="944"/>
      <c r="U2113" s="1066"/>
      <c r="V2113" s="922"/>
      <c r="W2113" s="900" t="str">
        <f>IF(S2113&lt;&gt;0,VLOOKUP(S2113,VKT!$A$2:$G$415,7,0),"")</f>
        <v/>
      </c>
      <c r="X2113" s="900" t="str">
        <f t="shared" si="459"/>
        <v xml:space="preserve"> </v>
      </c>
      <c r="Y2113" s="985"/>
      <c r="Z2113" s="922"/>
      <c r="AA2113" s="1067"/>
      <c r="AB2113" s="922"/>
      <c r="AC2113" s="922"/>
      <c r="AD2113" s="922"/>
      <c r="AE2113" s="922"/>
      <c r="AF2113" s="1046"/>
      <c r="AG2113" s="906" t="str">
        <f>IF(AE2113&lt;&gt;0,VLOOKUP(AE2113,ODDS!$A$2:$C$13,3,0),"")</f>
        <v/>
      </c>
      <c r="AH2113" s="906" t="str">
        <f t="shared" si="466"/>
        <v xml:space="preserve"> </v>
      </c>
      <c r="AI2113" s="907" t="str">
        <f t="shared" si="462"/>
        <v xml:space="preserve"> </v>
      </c>
      <c r="AJ2113" s="894"/>
      <c r="AK2113" s="894"/>
    </row>
    <row r="2114" spans="1:37" s="394" customFormat="1" ht="22.5" outlineLevel="2" x14ac:dyDescent="0.3">
      <c r="A2114" s="447">
        <f t="shared" si="471"/>
        <v>178</v>
      </c>
      <c r="B2114" s="893"/>
      <c r="C2114" s="908"/>
      <c r="D2114" s="1032"/>
      <c r="E2114" s="947"/>
      <c r="F2114" s="947"/>
      <c r="G2114" s="922"/>
      <c r="H2114" s="1041"/>
      <c r="I2114" s="882"/>
      <c r="J2114" s="894"/>
      <c r="K2114" s="899" t="str">
        <f>IF(G2114&lt;&gt;0,VLOOKUP(G2114,'gia dat'!$A$1:$F$144,5,0)," ")</f>
        <v xml:space="preserve"> </v>
      </c>
      <c r="L2114" s="899" t="str">
        <f>IF(G2114&lt;&gt;0,VLOOKUP(G2114,'gia dat'!$A$1:$F$144,6,0)," ")</f>
        <v xml:space="preserve"> </v>
      </c>
      <c r="M2114" s="900" t="str">
        <f t="shared" si="469"/>
        <v xml:space="preserve"> </v>
      </c>
      <c r="N2114" s="900" t="str">
        <f t="shared" si="470"/>
        <v xml:space="preserve"> </v>
      </c>
      <c r="O2114" s="908" t="s">
        <v>1429</v>
      </c>
      <c r="P2114" s="1065">
        <v>3</v>
      </c>
      <c r="Q2114" s="900">
        <f>IF(O2114&lt;&gt;0,VLOOKUP(O2114,'Cây trong'!$A$2:$C$246,3,0)," ")</f>
        <v>1200000</v>
      </c>
      <c r="R2114" s="900">
        <f t="shared" si="464"/>
        <v>3600000</v>
      </c>
      <c r="S2114" s="908"/>
      <c r="T2114" s="944"/>
      <c r="U2114" s="1066"/>
      <c r="V2114" s="922"/>
      <c r="W2114" s="900" t="str">
        <f>IF(S2114&lt;&gt;0,VLOOKUP(S2114,VKT!$A$2:$G$415,7,0),"")</f>
        <v/>
      </c>
      <c r="X2114" s="900" t="str">
        <f t="shared" si="459"/>
        <v xml:space="preserve"> </v>
      </c>
      <c r="Y2114" s="985"/>
      <c r="Z2114" s="922"/>
      <c r="AA2114" s="1067"/>
      <c r="AB2114" s="922"/>
      <c r="AC2114" s="922"/>
      <c r="AD2114" s="922"/>
      <c r="AE2114" s="922"/>
      <c r="AF2114" s="1046"/>
      <c r="AG2114" s="906" t="str">
        <f>IF(AE2114&lt;&gt;0,VLOOKUP(AE2114,ODDS!$A$2:$C$13,3,0),"")</f>
        <v/>
      </c>
      <c r="AH2114" s="906" t="str">
        <f t="shared" si="466"/>
        <v xml:space="preserve"> </v>
      </c>
      <c r="AI2114" s="907" t="str">
        <f t="shared" si="462"/>
        <v xml:space="preserve"> </v>
      </c>
      <c r="AJ2114" s="894"/>
      <c r="AK2114" s="894"/>
    </row>
    <row r="2115" spans="1:37" s="394" customFormat="1" ht="22.5" outlineLevel="2" x14ac:dyDescent="0.3">
      <c r="A2115" s="447">
        <f t="shared" si="471"/>
        <v>178</v>
      </c>
      <c r="B2115" s="893"/>
      <c r="C2115" s="908"/>
      <c r="D2115" s="1032"/>
      <c r="E2115" s="947"/>
      <c r="F2115" s="947"/>
      <c r="G2115" s="922"/>
      <c r="H2115" s="1041"/>
      <c r="I2115" s="882"/>
      <c r="J2115" s="894"/>
      <c r="K2115" s="899" t="str">
        <f>IF(G2115&lt;&gt;0,VLOOKUP(G2115,'gia dat'!$A$1:$F$144,5,0)," ")</f>
        <v xml:space="preserve"> </v>
      </c>
      <c r="L2115" s="899" t="str">
        <f>IF(G2115&lt;&gt;0,VLOOKUP(G2115,'gia dat'!$A$1:$F$144,6,0)," ")</f>
        <v xml:space="preserve"> </v>
      </c>
      <c r="M2115" s="900" t="str">
        <f t="shared" si="469"/>
        <v xml:space="preserve"> </v>
      </c>
      <c r="N2115" s="900" t="str">
        <f t="shared" si="470"/>
        <v xml:space="preserve"> </v>
      </c>
      <c r="O2115" s="908" t="s">
        <v>1430</v>
      </c>
      <c r="P2115" s="1065">
        <v>1</v>
      </c>
      <c r="Q2115" s="900">
        <f>IF(O2115&lt;&gt;0,VLOOKUP(O2115,'Cây trong'!$A$2:$C$246,3,0)," ")</f>
        <v>600000</v>
      </c>
      <c r="R2115" s="900">
        <f t="shared" si="464"/>
        <v>600000</v>
      </c>
      <c r="S2115" s="908"/>
      <c r="T2115" s="944"/>
      <c r="U2115" s="1066"/>
      <c r="V2115" s="922"/>
      <c r="W2115" s="900" t="str">
        <f>IF(S2115&lt;&gt;0,VLOOKUP(S2115,VKT!$A$2:$G$415,7,0),"")</f>
        <v/>
      </c>
      <c r="X2115" s="900" t="str">
        <f t="shared" si="459"/>
        <v xml:space="preserve"> </v>
      </c>
      <c r="Y2115" s="985"/>
      <c r="Z2115" s="922"/>
      <c r="AA2115" s="1067"/>
      <c r="AB2115" s="922"/>
      <c r="AC2115" s="922"/>
      <c r="AD2115" s="922"/>
      <c r="AE2115" s="922"/>
      <c r="AF2115" s="1046"/>
      <c r="AG2115" s="906" t="str">
        <f>IF(AE2115&lt;&gt;0,VLOOKUP(AE2115,ODDS!$A$2:$C$13,3,0),"")</f>
        <v/>
      </c>
      <c r="AH2115" s="906" t="str">
        <f t="shared" si="466"/>
        <v xml:space="preserve"> </v>
      </c>
      <c r="AI2115" s="907" t="str">
        <f t="shared" si="462"/>
        <v xml:space="preserve"> </v>
      </c>
      <c r="AJ2115" s="894"/>
      <c r="AK2115" s="894"/>
    </row>
    <row r="2116" spans="1:37" s="394" customFormat="1" ht="22.5" outlineLevel="2" x14ac:dyDescent="0.3">
      <c r="A2116" s="447">
        <f t="shared" si="471"/>
        <v>178</v>
      </c>
      <c r="B2116" s="893"/>
      <c r="C2116" s="908"/>
      <c r="D2116" s="1032"/>
      <c r="E2116" s="947"/>
      <c r="F2116" s="947"/>
      <c r="G2116" s="922"/>
      <c r="H2116" s="1041"/>
      <c r="I2116" s="882"/>
      <c r="J2116" s="894"/>
      <c r="K2116" s="899" t="str">
        <f>IF(G2116&lt;&gt;0,VLOOKUP(G2116,'gia dat'!$A$1:$F$144,5,0)," ")</f>
        <v xml:space="preserve"> </v>
      </c>
      <c r="L2116" s="899" t="str">
        <f>IF(G2116&lt;&gt;0,VLOOKUP(G2116,'gia dat'!$A$1:$F$144,6,0)," ")</f>
        <v xml:space="preserve"> </v>
      </c>
      <c r="M2116" s="900" t="str">
        <f t="shared" si="469"/>
        <v xml:space="preserve"> </v>
      </c>
      <c r="N2116" s="900" t="str">
        <f t="shared" si="470"/>
        <v xml:space="preserve"> </v>
      </c>
      <c r="O2116" s="908" t="s">
        <v>1431</v>
      </c>
      <c r="P2116" s="1065">
        <v>1</v>
      </c>
      <c r="Q2116" s="900">
        <f>IF(O2116&lt;&gt;0,VLOOKUP(O2116,'Cây trong'!$A$2:$C$246,3,0)," ")</f>
        <v>165000</v>
      </c>
      <c r="R2116" s="900">
        <f t="shared" si="464"/>
        <v>165000</v>
      </c>
      <c r="S2116" s="908"/>
      <c r="T2116" s="944"/>
      <c r="U2116" s="1066"/>
      <c r="V2116" s="922"/>
      <c r="W2116" s="900" t="str">
        <f>IF(S2116&lt;&gt;0,VLOOKUP(S2116,VKT!$A$2:$G$415,7,0),"")</f>
        <v/>
      </c>
      <c r="X2116" s="900" t="str">
        <f t="shared" ref="X2116:X2184" si="472">IF(S2116&lt;&gt;0,ROUND(U2116*W2116,-3)," ")</f>
        <v xml:space="preserve"> </v>
      </c>
      <c r="Y2116" s="985"/>
      <c r="Z2116" s="922"/>
      <c r="AA2116" s="1067"/>
      <c r="AB2116" s="922"/>
      <c r="AC2116" s="922"/>
      <c r="AD2116" s="922"/>
      <c r="AE2116" s="922"/>
      <c r="AF2116" s="1046"/>
      <c r="AG2116" s="906" t="str">
        <f>IF(AE2116&lt;&gt;0,VLOOKUP(AE2116,ODDS!$A$2:$C$13,3,0),"")</f>
        <v/>
      </c>
      <c r="AH2116" s="906" t="str">
        <f t="shared" si="466"/>
        <v xml:space="preserve"> </v>
      </c>
      <c r="AI2116" s="907" t="str">
        <f t="shared" si="462"/>
        <v xml:space="preserve"> </v>
      </c>
      <c r="AJ2116" s="894"/>
      <c r="AK2116" s="894"/>
    </row>
    <row r="2117" spans="1:37" s="394" customFormat="1" ht="45" outlineLevel="2" x14ac:dyDescent="0.3">
      <c r="A2117" s="447">
        <f t="shared" si="471"/>
        <v>178</v>
      </c>
      <c r="B2117" s="893"/>
      <c r="C2117" s="908"/>
      <c r="D2117" s="1032"/>
      <c r="E2117" s="947"/>
      <c r="F2117" s="947"/>
      <c r="G2117" s="922"/>
      <c r="H2117" s="1041"/>
      <c r="I2117" s="882"/>
      <c r="J2117" s="894"/>
      <c r="K2117" s="899" t="str">
        <f>IF(G2117&lt;&gt;0,VLOOKUP(G2117,'gia dat'!$A$1:$F$144,5,0)," ")</f>
        <v xml:space="preserve"> </v>
      </c>
      <c r="L2117" s="899" t="str">
        <f>IF(G2117&lt;&gt;0,VLOOKUP(G2117,'gia dat'!$A$1:$F$144,6,0)," ")</f>
        <v xml:space="preserve"> </v>
      </c>
      <c r="M2117" s="900" t="str">
        <f t="shared" si="469"/>
        <v xml:space="preserve"> </v>
      </c>
      <c r="N2117" s="900" t="str">
        <f t="shared" si="470"/>
        <v xml:space="preserve"> </v>
      </c>
      <c r="O2117" s="908" t="s">
        <v>1432</v>
      </c>
      <c r="P2117" s="1065">
        <v>9</v>
      </c>
      <c r="Q2117" s="900">
        <f>IF(O2117&lt;&gt;0,VLOOKUP(O2117,'Cây trong'!$A$2:$C$246,3,0)," ")</f>
        <v>165000</v>
      </c>
      <c r="R2117" s="900">
        <f t="shared" si="464"/>
        <v>1485000</v>
      </c>
      <c r="S2117" s="908"/>
      <c r="T2117" s="944"/>
      <c r="U2117" s="1066"/>
      <c r="V2117" s="922"/>
      <c r="W2117" s="900" t="str">
        <f>IF(S2117&lt;&gt;0,VLOOKUP(S2117,VKT!$A$2:$G$415,7,0),"")</f>
        <v/>
      </c>
      <c r="X2117" s="900" t="str">
        <f t="shared" si="472"/>
        <v xml:space="preserve"> </v>
      </c>
      <c r="Y2117" s="985"/>
      <c r="Z2117" s="922"/>
      <c r="AA2117" s="1067"/>
      <c r="AB2117" s="922"/>
      <c r="AC2117" s="922"/>
      <c r="AD2117" s="922"/>
      <c r="AE2117" s="922"/>
      <c r="AF2117" s="1046"/>
      <c r="AG2117" s="906" t="str">
        <f>IF(AE2117&lt;&gt;0,VLOOKUP(AE2117,ODDS!$A$2:$C$13,3,0),"")</f>
        <v/>
      </c>
      <c r="AH2117" s="906" t="str">
        <f t="shared" si="466"/>
        <v xml:space="preserve"> </v>
      </c>
      <c r="AI2117" s="907" t="str">
        <f t="shared" si="462"/>
        <v xml:space="preserve"> </v>
      </c>
      <c r="AJ2117" s="894"/>
      <c r="AK2117" s="894"/>
    </row>
    <row r="2118" spans="1:37" s="394" customFormat="1" ht="22.5" outlineLevel="2" x14ac:dyDescent="0.3">
      <c r="A2118" s="447">
        <f t="shared" si="471"/>
        <v>178</v>
      </c>
      <c r="B2118" s="893"/>
      <c r="C2118" s="908"/>
      <c r="D2118" s="1032"/>
      <c r="E2118" s="947"/>
      <c r="F2118" s="947"/>
      <c r="G2118" s="922"/>
      <c r="H2118" s="1041"/>
      <c r="I2118" s="882"/>
      <c r="J2118" s="894"/>
      <c r="K2118" s="899" t="str">
        <f>IF(G2118&lt;&gt;0,VLOOKUP(G2118,'gia dat'!$A$1:$F$144,5,0)," ")</f>
        <v xml:space="preserve"> </v>
      </c>
      <c r="L2118" s="899" t="str">
        <f>IF(G2118&lt;&gt;0,VLOOKUP(G2118,'gia dat'!$A$1:$F$144,6,0)," ")</f>
        <v xml:space="preserve"> </v>
      </c>
      <c r="M2118" s="900" t="str">
        <f t="shared" si="469"/>
        <v xml:space="preserve"> </v>
      </c>
      <c r="N2118" s="900" t="str">
        <f t="shared" si="470"/>
        <v xml:space="preserve"> </v>
      </c>
      <c r="O2118" s="908" t="s">
        <v>1433</v>
      </c>
      <c r="P2118" s="1065">
        <v>1</v>
      </c>
      <c r="Q2118" s="900">
        <f>IF(O2118&lt;&gt;0,VLOOKUP(O2118,'Cây trong'!$A$2:$C$246,3,0)," ")</f>
        <v>2200000</v>
      </c>
      <c r="R2118" s="900">
        <f t="shared" si="464"/>
        <v>2200000</v>
      </c>
      <c r="S2118" s="908"/>
      <c r="T2118" s="944"/>
      <c r="U2118" s="1066"/>
      <c r="V2118" s="922"/>
      <c r="W2118" s="900" t="str">
        <f>IF(S2118&lt;&gt;0,VLOOKUP(S2118,VKT!$A$2:$G$415,7,0),"")</f>
        <v/>
      </c>
      <c r="X2118" s="900" t="str">
        <f t="shared" si="472"/>
        <v xml:space="preserve"> </v>
      </c>
      <c r="Y2118" s="985"/>
      <c r="Z2118" s="922"/>
      <c r="AA2118" s="1067"/>
      <c r="AB2118" s="922"/>
      <c r="AC2118" s="922"/>
      <c r="AD2118" s="922"/>
      <c r="AE2118" s="922"/>
      <c r="AF2118" s="1046"/>
      <c r="AG2118" s="906" t="str">
        <f>IF(AE2118&lt;&gt;0,VLOOKUP(AE2118,ODDS!$A$2:$C$13,3,0),"")</f>
        <v/>
      </c>
      <c r="AH2118" s="906" t="str">
        <f t="shared" si="466"/>
        <v xml:space="preserve"> </v>
      </c>
      <c r="AI2118" s="907" t="str">
        <f t="shared" si="462"/>
        <v xml:space="preserve"> </v>
      </c>
      <c r="AJ2118" s="894"/>
      <c r="AK2118" s="894"/>
    </row>
    <row r="2119" spans="1:37" s="394" customFormat="1" ht="22.5" outlineLevel="2" x14ac:dyDescent="0.3">
      <c r="A2119" s="447">
        <f t="shared" si="471"/>
        <v>178</v>
      </c>
      <c r="B2119" s="893"/>
      <c r="C2119" s="908"/>
      <c r="D2119" s="1032"/>
      <c r="E2119" s="947"/>
      <c r="F2119" s="947"/>
      <c r="G2119" s="922"/>
      <c r="H2119" s="1041"/>
      <c r="I2119" s="882"/>
      <c r="J2119" s="894"/>
      <c r="K2119" s="899" t="str">
        <f>IF(G2119&lt;&gt;0,VLOOKUP(G2119,'gia dat'!$A$1:$F$144,5,0)," ")</f>
        <v xml:space="preserve"> </v>
      </c>
      <c r="L2119" s="899" t="str">
        <f>IF(G2119&lt;&gt;0,VLOOKUP(G2119,'gia dat'!$A$1:$F$144,6,0)," ")</f>
        <v xml:space="preserve"> </v>
      </c>
      <c r="M2119" s="900" t="str">
        <f t="shared" si="469"/>
        <v xml:space="preserve"> </v>
      </c>
      <c r="N2119" s="900" t="str">
        <f t="shared" si="470"/>
        <v xml:space="preserve"> </v>
      </c>
      <c r="O2119" s="908" t="s">
        <v>1434</v>
      </c>
      <c r="P2119" s="1065">
        <v>1</v>
      </c>
      <c r="Q2119" s="900">
        <f>IF(O2119&lt;&gt;0,VLOOKUP(O2119,'Cây trong'!$A$2:$C$246,3,0)," ")</f>
        <v>1280000</v>
      </c>
      <c r="R2119" s="900">
        <f t="shared" si="464"/>
        <v>1280000</v>
      </c>
      <c r="S2119" s="908"/>
      <c r="T2119" s="944"/>
      <c r="U2119" s="1066"/>
      <c r="V2119" s="922"/>
      <c r="W2119" s="900" t="str">
        <f>IF(S2119&lt;&gt;0,VLOOKUP(S2119,VKT!$A$2:$G$415,7,0),"")</f>
        <v/>
      </c>
      <c r="X2119" s="900" t="str">
        <f t="shared" si="472"/>
        <v xml:space="preserve"> </v>
      </c>
      <c r="Y2119" s="985"/>
      <c r="Z2119" s="922"/>
      <c r="AA2119" s="1067"/>
      <c r="AB2119" s="922"/>
      <c r="AC2119" s="922"/>
      <c r="AD2119" s="922"/>
      <c r="AE2119" s="922"/>
      <c r="AF2119" s="1046"/>
      <c r="AG2119" s="906" t="str">
        <f>IF(AE2119&lt;&gt;0,VLOOKUP(AE2119,ODDS!$A$2:$C$13,3,0),"")</f>
        <v/>
      </c>
      <c r="AH2119" s="906" t="str">
        <f t="shared" si="466"/>
        <v xml:space="preserve"> </v>
      </c>
      <c r="AI2119" s="907" t="str">
        <f t="shared" si="462"/>
        <v xml:space="preserve"> </v>
      </c>
      <c r="AJ2119" s="894"/>
      <c r="AK2119" s="894"/>
    </row>
    <row r="2120" spans="1:37" s="394" customFormat="1" ht="22.5" outlineLevel="2" x14ac:dyDescent="0.3">
      <c r="A2120" s="447">
        <f t="shared" si="471"/>
        <v>178</v>
      </c>
      <c r="B2120" s="893"/>
      <c r="C2120" s="908"/>
      <c r="D2120" s="1032"/>
      <c r="E2120" s="947"/>
      <c r="F2120" s="947"/>
      <c r="G2120" s="922"/>
      <c r="H2120" s="1041"/>
      <c r="I2120" s="882"/>
      <c r="J2120" s="894"/>
      <c r="K2120" s="899" t="str">
        <f>IF(G2120&lt;&gt;0,VLOOKUP(G2120,'gia dat'!$A$1:$F$144,5,0)," ")</f>
        <v xml:space="preserve"> </v>
      </c>
      <c r="L2120" s="899" t="str">
        <f>IF(G2120&lt;&gt;0,VLOOKUP(G2120,'gia dat'!$A$1:$F$144,6,0)," ")</f>
        <v xml:space="preserve"> </v>
      </c>
      <c r="M2120" s="900" t="str">
        <f t="shared" si="469"/>
        <v xml:space="preserve"> </v>
      </c>
      <c r="N2120" s="900" t="str">
        <f t="shared" si="470"/>
        <v xml:space="preserve"> </v>
      </c>
      <c r="O2120" s="908" t="s">
        <v>1435</v>
      </c>
      <c r="P2120" s="1065">
        <v>3</v>
      </c>
      <c r="Q2120" s="900">
        <f>IF(O2120&lt;&gt;0,VLOOKUP(O2120,'Cây trong'!$A$2:$C$246,3,0)," ")</f>
        <v>550000</v>
      </c>
      <c r="R2120" s="900">
        <f t="shared" si="464"/>
        <v>1650000</v>
      </c>
      <c r="S2120" s="908"/>
      <c r="T2120" s="944"/>
      <c r="U2120" s="1066"/>
      <c r="V2120" s="922"/>
      <c r="W2120" s="900" t="str">
        <f>IF(S2120&lt;&gt;0,VLOOKUP(S2120,VKT!$A$2:$G$415,7,0),"")</f>
        <v/>
      </c>
      <c r="X2120" s="900" t="str">
        <f t="shared" si="472"/>
        <v xml:space="preserve"> </v>
      </c>
      <c r="Y2120" s="985"/>
      <c r="Z2120" s="922"/>
      <c r="AA2120" s="1067"/>
      <c r="AB2120" s="922"/>
      <c r="AC2120" s="922"/>
      <c r="AD2120" s="922"/>
      <c r="AE2120" s="922"/>
      <c r="AF2120" s="1046"/>
      <c r="AG2120" s="906" t="str">
        <f>IF(AE2120&lt;&gt;0,VLOOKUP(AE2120,ODDS!$A$2:$C$13,3,0),"")</f>
        <v/>
      </c>
      <c r="AH2120" s="906" t="str">
        <f t="shared" si="466"/>
        <v xml:space="preserve"> </v>
      </c>
      <c r="AI2120" s="907" t="str">
        <f t="shared" si="462"/>
        <v xml:space="preserve"> </v>
      </c>
      <c r="AJ2120" s="894"/>
      <c r="AK2120" s="894"/>
    </row>
    <row r="2121" spans="1:37" s="394" customFormat="1" ht="22.5" outlineLevel="2" x14ac:dyDescent="0.3">
      <c r="A2121" s="447">
        <f t="shared" si="471"/>
        <v>178</v>
      </c>
      <c r="B2121" s="893"/>
      <c r="C2121" s="908"/>
      <c r="D2121" s="1032"/>
      <c r="E2121" s="947"/>
      <c r="F2121" s="947"/>
      <c r="G2121" s="922"/>
      <c r="H2121" s="1041"/>
      <c r="I2121" s="882"/>
      <c r="J2121" s="894"/>
      <c r="K2121" s="899" t="str">
        <f>IF(G2121&lt;&gt;0,VLOOKUP(G2121,'gia dat'!$A$1:$F$144,5,0)," ")</f>
        <v xml:space="preserve"> </v>
      </c>
      <c r="L2121" s="899" t="str">
        <f>IF(G2121&lt;&gt;0,VLOOKUP(G2121,'gia dat'!$A$1:$F$144,6,0)," ")</f>
        <v xml:space="preserve"> </v>
      </c>
      <c r="M2121" s="900" t="str">
        <f t="shared" si="469"/>
        <v xml:space="preserve"> </v>
      </c>
      <c r="N2121" s="900" t="str">
        <f t="shared" si="470"/>
        <v xml:space="preserve"> </v>
      </c>
      <c r="O2121" s="908" t="s">
        <v>193</v>
      </c>
      <c r="P2121" s="1065">
        <v>2</v>
      </c>
      <c r="Q2121" s="900">
        <f>IF(O2121&lt;&gt;0,VLOOKUP(O2121,'Cây trong'!$A$2:$C$246,3,0)," ")</f>
        <v>275000</v>
      </c>
      <c r="R2121" s="900">
        <f t="shared" si="464"/>
        <v>550000</v>
      </c>
      <c r="S2121" s="908"/>
      <c r="T2121" s="944"/>
      <c r="U2121" s="1066"/>
      <c r="V2121" s="922"/>
      <c r="W2121" s="900" t="str">
        <f>IF(S2121&lt;&gt;0,VLOOKUP(S2121,VKT!$A$2:$G$415,7,0),"")</f>
        <v/>
      </c>
      <c r="X2121" s="900" t="str">
        <f t="shared" si="472"/>
        <v xml:space="preserve"> </v>
      </c>
      <c r="Y2121" s="985"/>
      <c r="Z2121" s="922"/>
      <c r="AA2121" s="1067"/>
      <c r="AB2121" s="922"/>
      <c r="AC2121" s="922"/>
      <c r="AD2121" s="922"/>
      <c r="AE2121" s="922"/>
      <c r="AF2121" s="1046"/>
      <c r="AG2121" s="906" t="str">
        <f>IF(AE2121&lt;&gt;0,VLOOKUP(AE2121,ODDS!$A$2:$C$13,3,0),"")</f>
        <v/>
      </c>
      <c r="AH2121" s="906" t="str">
        <f t="shared" si="466"/>
        <v xml:space="preserve"> </v>
      </c>
      <c r="AI2121" s="907" t="str">
        <f t="shared" ref="AI2121:AI2184" si="473">IF(B2121&lt;&gt;0,M2121+N2121+R2121+X2121+AH2121," ")</f>
        <v xml:space="preserve"> </v>
      </c>
      <c r="AJ2121" s="894"/>
      <c r="AK2121" s="894"/>
    </row>
    <row r="2122" spans="1:37" s="394" customFormat="1" ht="22.5" outlineLevel="2" x14ac:dyDescent="0.3">
      <c r="A2122" s="447">
        <f t="shared" si="471"/>
        <v>178</v>
      </c>
      <c r="B2122" s="893"/>
      <c r="C2122" s="908"/>
      <c r="D2122" s="1032"/>
      <c r="E2122" s="947"/>
      <c r="F2122" s="947"/>
      <c r="G2122" s="922"/>
      <c r="H2122" s="1041"/>
      <c r="I2122" s="882"/>
      <c r="J2122" s="894"/>
      <c r="K2122" s="899" t="str">
        <f>IF(G2122&lt;&gt;0,VLOOKUP(G2122,'gia dat'!$A$1:$F$144,5,0)," ")</f>
        <v xml:space="preserve"> </v>
      </c>
      <c r="L2122" s="899" t="str">
        <f>IF(G2122&lt;&gt;0,VLOOKUP(G2122,'gia dat'!$A$1:$F$144,6,0)," ")</f>
        <v xml:space="preserve"> </v>
      </c>
      <c r="M2122" s="900" t="str">
        <f t="shared" si="469"/>
        <v xml:space="preserve"> </v>
      </c>
      <c r="N2122" s="900" t="str">
        <f t="shared" si="470"/>
        <v xml:space="preserve"> </v>
      </c>
      <c r="O2122" s="908" t="s">
        <v>1436</v>
      </c>
      <c r="P2122" s="1065">
        <v>3</v>
      </c>
      <c r="Q2122" s="900">
        <f>IF(O2122&lt;&gt;0,VLOOKUP(O2122,'Cây trong'!$A$2:$C$246,3,0)," ")</f>
        <v>600000</v>
      </c>
      <c r="R2122" s="900">
        <f t="shared" si="464"/>
        <v>1800000</v>
      </c>
      <c r="S2122" s="908"/>
      <c r="T2122" s="944"/>
      <c r="U2122" s="1066"/>
      <c r="V2122" s="922"/>
      <c r="W2122" s="900" t="str">
        <f>IF(S2122&lt;&gt;0,VLOOKUP(S2122,VKT!$A$2:$G$415,7,0),"")</f>
        <v/>
      </c>
      <c r="X2122" s="900" t="str">
        <f t="shared" si="472"/>
        <v xml:space="preserve"> </v>
      </c>
      <c r="Y2122" s="985"/>
      <c r="Z2122" s="922"/>
      <c r="AA2122" s="1067"/>
      <c r="AB2122" s="922"/>
      <c r="AC2122" s="922"/>
      <c r="AD2122" s="922"/>
      <c r="AE2122" s="922"/>
      <c r="AF2122" s="1046"/>
      <c r="AG2122" s="906" t="str">
        <f>IF(AE2122&lt;&gt;0,VLOOKUP(AE2122,ODDS!$A$2:$C$13,3,0),"")</f>
        <v/>
      </c>
      <c r="AH2122" s="906" t="str">
        <f t="shared" si="466"/>
        <v xml:space="preserve"> </v>
      </c>
      <c r="AI2122" s="907" t="str">
        <f t="shared" si="473"/>
        <v xml:space="preserve"> </v>
      </c>
      <c r="AJ2122" s="894"/>
      <c r="AK2122" s="894"/>
    </row>
    <row r="2123" spans="1:37" s="394" customFormat="1" ht="22.5" outlineLevel="2" x14ac:dyDescent="0.3">
      <c r="A2123" s="447">
        <f t="shared" si="471"/>
        <v>178</v>
      </c>
      <c r="B2123" s="893"/>
      <c r="C2123" s="908"/>
      <c r="D2123" s="1032"/>
      <c r="E2123" s="947"/>
      <c r="F2123" s="947"/>
      <c r="G2123" s="922"/>
      <c r="H2123" s="1041"/>
      <c r="I2123" s="882"/>
      <c r="J2123" s="894"/>
      <c r="K2123" s="899" t="str">
        <f>IF(G2123&lt;&gt;0,VLOOKUP(G2123,'gia dat'!$A$1:$F$144,5,0)," ")</f>
        <v xml:space="preserve"> </v>
      </c>
      <c r="L2123" s="899" t="str">
        <f>IF(G2123&lt;&gt;0,VLOOKUP(G2123,'gia dat'!$A$1:$F$144,6,0)," ")</f>
        <v xml:space="preserve"> </v>
      </c>
      <c r="M2123" s="900" t="str">
        <f t="shared" si="469"/>
        <v xml:space="preserve"> </v>
      </c>
      <c r="N2123" s="900" t="str">
        <f t="shared" si="470"/>
        <v xml:space="preserve"> </v>
      </c>
      <c r="O2123" s="908" t="s">
        <v>736</v>
      </c>
      <c r="P2123" s="1065">
        <v>1</v>
      </c>
      <c r="Q2123" s="900">
        <f>IF(O2123&lt;&gt;0,VLOOKUP(O2123,'Cây trong'!$A$2:$C$246,3,0)," ")</f>
        <v>32000</v>
      </c>
      <c r="R2123" s="900">
        <f t="shared" si="464"/>
        <v>32000</v>
      </c>
      <c r="S2123" s="908"/>
      <c r="T2123" s="944"/>
      <c r="U2123" s="1066"/>
      <c r="V2123" s="922"/>
      <c r="W2123" s="900" t="str">
        <f>IF(S2123&lt;&gt;0,VLOOKUP(S2123,VKT!$A$2:$G$415,7,0),"")</f>
        <v/>
      </c>
      <c r="X2123" s="900" t="str">
        <f t="shared" si="472"/>
        <v xml:space="preserve"> </v>
      </c>
      <c r="Y2123" s="985"/>
      <c r="Z2123" s="922"/>
      <c r="AA2123" s="1067"/>
      <c r="AB2123" s="922"/>
      <c r="AC2123" s="922"/>
      <c r="AD2123" s="922"/>
      <c r="AE2123" s="922"/>
      <c r="AF2123" s="1046"/>
      <c r="AG2123" s="906" t="str">
        <f>IF(AE2123&lt;&gt;0,VLOOKUP(AE2123,ODDS!$A$2:$C$13,3,0),"")</f>
        <v/>
      </c>
      <c r="AH2123" s="906" t="str">
        <f t="shared" si="466"/>
        <v xml:space="preserve"> </v>
      </c>
      <c r="AI2123" s="907" t="str">
        <f t="shared" si="473"/>
        <v xml:space="preserve"> </v>
      </c>
      <c r="AJ2123" s="894"/>
      <c r="AK2123" s="894"/>
    </row>
    <row r="2124" spans="1:37" s="394" customFormat="1" ht="22.5" outlineLevel="2" x14ac:dyDescent="0.3">
      <c r="A2124" s="447">
        <f t="shared" si="471"/>
        <v>178</v>
      </c>
      <c r="B2124" s="893"/>
      <c r="C2124" s="908"/>
      <c r="D2124" s="1032"/>
      <c r="E2124" s="947"/>
      <c r="F2124" s="947"/>
      <c r="G2124" s="922"/>
      <c r="H2124" s="1041"/>
      <c r="I2124" s="882"/>
      <c r="J2124" s="894"/>
      <c r="K2124" s="899" t="str">
        <f>IF(G2124&lt;&gt;0,VLOOKUP(G2124,'gia dat'!$A$1:$F$144,5,0)," ")</f>
        <v xml:space="preserve"> </v>
      </c>
      <c r="L2124" s="899" t="str">
        <f>IF(G2124&lt;&gt;0,VLOOKUP(G2124,'gia dat'!$A$1:$F$144,6,0)," ")</f>
        <v xml:space="preserve"> </v>
      </c>
      <c r="M2124" s="900" t="str">
        <f t="shared" si="469"/>
        <v xml:space="preserve"> </v>
      </c>
      <c r="N2124" s="900" t="str">
        <f t="shared" si="470"/>
        <v xml:space="preserve"> </v>
      </c>
      <c r="O2124" s="908" t="s">
        <v>1437</v>
      </c>
      <c r="P2124" s="1065">
        <v>1</v>
      </c>
      <c r="Q2124" s="900">
        <f>IF(O2124&lt;&gt;0,VLOOKUP(O2124,'Cây trong'!$A$2:$C$246,3,0)," ")</f>
        <v>0</v>
      </c>
      <c r="R2124" s="900">
        <f t="shared" si="464"/>
        <v>0</v>
      </c>
      <c r="S2124" s="908"/>
      <c r="T2124" s="944"/>
      <c r="U2124" s="1066"/>
      <c r="V2124" s="922"/>
      <c r="W2124" s="900" t="str">
        <f>IF(S2124&lt;&gt;0,VLOOKUP(S2124,VKT!$A$2:$G$415,7,0),"")</f>
        <v/>
      </c>
      <c r="X2124" s="900" t="str">
        <f t="shared" si="472"/>
        <v xml:space="preserve"> </v>
      </c>
      <c r="Y2124" s="985"/>
      <c r="Z2124" s="922"/>
      <c r="AA2124" s="1067"/>
      <c r="AB2124" s="922"/>
      <c r="AC2124" s="922"/>
      <c r="AD2124" s="922"/>
      <c r="AE2124" s="922"/>
      <c r="AF2124" s="1046"/>
      <c r="AG2124" s="906" t="str">
        <f>IF(AE2124&lt;&gt;0,VLOOKUP(AE2124,ODDS!$A$2:$C$13,3,0),"")</f>
        <v/>
      </c>
      <c r="AH2124" s="906" t="str">
        <f t="shared" si="466"/>
        <v xml:space="preserve"> </v>
      </c>
      <c r="AI2124" s="907" t="str">
        <f t="shared" si="473"/>
        <v xml:space="preserve"> </v>
      </c>
      <c r="AJ2124" s="894"/>
      <c r="AK2124" s="894"/>
    </row>
    <row r="2125" spans="1:37" s="394" customFormat="1" ht="67.5" outlineLevel="2" x14ac:dyDescent="0.3">
      <c r="A2125" s="447">
        <f t="shared" si="471"/>
        <v>178</v>
      </c>
      <c r="B2125" s="893"/>
      <c r="C2125" s="908"/>
      <c r="D2125" s="1032"/>
      <c r="E2125" s="947"/>
      <c r="F2125" s="947"/>
      <c r="G2125" s="922"/>
      <c r="H2125" s="1041"/>
      <c r="I2125" s="882"/>
      <c r="J2125" s="894"/>
      <c r="K2125" s="899" t="str">
        <f>IF(G2125&lt;&gt;0,VLOOKUP(G2125,'gia dat'!$A$1:$F$144,5,0)," ")</f>
        <v xml:space="preserve"> </v>
      </c>
      <c r="L2125" s="899" t="str">
        <f>IF(G2125&lt;&gt;0,VLOOKUP(G2125,'gia dat'!$A$1:$F$144,6,0)," ")</f>
        <v xml:space="preserve"> </v>
      </c>
      <c r="M2125" s="900" t="str">
        <f t="shared" si="469"/>
        <v xml:space="preserve"> </v>
      </c>
      <c r="N2125" s="900" t="str">
        <f t="shared" si="470"/>
        <v xml:space="preserve"> </v>
      </c>
      <c r="O2125" s="908" t="s">
        <v>347</v>
      </c>
      <c r="P2125" s="1065">
        <v>591</v>
      </c>
      <c r="Q2125" s="900">
        <f>IF(O2125&lt;&gt;0,VLOOKUP(O2125,'Cây trong'!$A$2:$C$246,3,0)," ")</f>
        <v>12000</v>
      </c>
      <c r="R2125" s="900">
        <f t="shared" si="464"/>
        <v>7092000</v>
      </c>
      <c r="S2125" s="908"/>
      <c r="T2125" s="944"/>
      <c r="U2125" s="1066"/>
      <c r="V2125" s="922"/>
      <c r="W2125" s="900" t="str">
        <f>IF(S2125&lt;&gt;0,VLOOKUP(S2125,VKT!$A$2:$G$415,7,0),"")</f>
        <v/>
      </c>
      <c r="X2125" s="900" t="str">
        <f t="shared" si="472"/>
        <v xml:space="preserve"> </v>
      </c>
      <c r="Y2125" s="985"/>
      <c r="Z2125" s="922"/>
      <c r="AA2125" s="1067"/>
      <c r="AB2125" s="922"/>
      <c r="AC2125" s="922"/>
      <c r="AD2125" s="922"/>
      <c r="AE2125" s="922"/>
      <c r="AF2125" s="1046"/>
      <c r="AG2125" s="906" t="str">
        <f>IF(AE2125&lt;&gt;0,VLOOKUP(AE2125,ODDS!$A$2:$C$13,3,0),"")</f>
        <v/>
      </c>
      <c r="AH2125" s="906" t="str">
        <f t="shared" si="466"/>
        <v xml:space="preserve"> </v>
      </c>
      <c r="AI2125" s="907" t="str">
        <f t="shared" si="473"/>
        <v xml:space="preserve"> </v>
      </c>
      <c r="AJ2125" s="894"/>
      <c r="AK2125" s="894"/>
    </row>
    <row r="2126" spans="1:37" s="394" customFormat="1" ht="22.5" outlineLevel="2" x14ac:dyDescent="0.3">
      <c r="A2126" s="447">
        <f t="shared" si="471"/>
        <v>178</v>
      </c>
      <c r="B2126" s="893"/>
      <c r="C2126" s="908"/>
      <c r="D2126" s="1032"/>
      <c r="E2126" s="947"/>
      <c r="F2126" s="947"/>
      <c r="G2126" s="922"/>
      <c r="H2126" s="1041"/>
      <c r="I2126" s="882"/>
      <c r="J2126" s="894"/>
      <c r="K2126" s="899" t="str">
        <f>IF(G2126&lt;&gt;0,VLOOKUP(G2126,'gia dat'!$A$1:$F$144,5,0)," ")</f>
        <v xml:space="preserve"> </v>
      </c>
      <c r="L2126" s="899" t="str">
        <f>IF(G2126&lt;&gt;0,VLOOKUP(G2126,'gia dat'!$A$1:$F$144,6,0)," ")</f>
        <v xml:space="preserve"> </v>
      </c>
      <c r="M2126" s="900" t="str">
        <f t="shared" si="469"/>
        <v xml:space="preserve"> </v>
      </c>
      <c r="N2126" s="900" t="str">
        <f t="shared" si="470"/>
        <v xml:space="preserve"> </v>
      </c>
      <c r="O2126" s="908"/>
      <c r="P2126" s="1065"/>
      <c r="Q2126" s="900" t="str">
        <f>IF(O2126&lt;&gt;0,VLOOKUP(O2126,'Cây trong'!$A$2:$C$246,3,0)," ")</f>
        <v xml:space="preserve"> </v>
      </c>
      <c r="R2126" s="900" t="str">
        <f t="shared" si="464"/>
        <v xml:space="preserve"> </v>
      </c>
      <c r="S2126" s="908"/>
      <c r="T2126" s="944"/>
      <c r="U2126" s="1066"/>
      <c r="V2126" s="922"/>
      <c r="W2126" s="900" t="str">
        <f>IF(S2126&lt;&gt;0,VLOOKUP(S2126,VKT!$A$2:$G$415,7,0),"")</f>
        <v/>
      </c>
      <c r="X2126" s="900" t="str">
        <f t="shared" si="472"/>
        <v xml:space="preserve"> </v>
      </c>
      <c r="Y2126" s="985"/>
      <c r="Z2126" s="922"/>
      <c r="AA2126" s="1067"/>
      <c r="AB2126" s="922"/>
      <c r="AC2126" s="922"/>
      <c r="AD2126" s="922"/>
      <c r="AE2126" s="922"/>
      <c r="AF2126" s="1046"/>
      <c r="AG2126" s="906" t="str">
        <f>IF(AE2126&lt;&gt;0,VLOOKUP(AE2126,ODDS!$A$2:$C$13,3,0),"")</f>
        <v/>
      </c>
      <c r="AH2126" s="906" t="str">
        <f t="shared" si="466"/>
        <v xml:space="preserve"> </v>
      </c>
      <c r="AI2126" s="907" t="str">
        <f t="shared" si="473"/>
        <v xml:space="preserve"> </v>
      </c>
      <c r="AJ2126" s="894"/>
      <c r="AK2126" s="894"/>
    </row>
    <row r="2127" spans="1:37" s="394" customFormat="1" ht="22.5" outlineLevel="2" x14ac:dyDescent="0.3">
      <c r="A2127" s="447">
        <f t="shared" si="471"/>
        <v>178</v>
      </c>
      <c r="B2127" s="893"/>
      <c r="C2127" s="908"/>
      <c r="D2127" s="1032"/>
      <c r="E2127" s="947"/>
      <c r="F2127" s="947"/>
      <c r="G2127" s="922"/>
      <c r="H2127" s="1041"/>
      <c r="I2127" s="882"/>
      <c r="J2127" s="894"/>
      <c r="K2127" s="899" t="str">
        <f>IF(G2127&lt;&gt;0,VLOOKUP(G2127,'gia dat'!$A$1:$F$144,5,0)," ")</f>
        <v xml:space="preserve"> </v>
      </c>
      <c r="L2127" s="899" t="str">
        <f>IF(G2127&lt;&gt;0,VLOOKUP(G2127,'gia dat'!$A$1:$F$144,6,0)," ")</f>
        <v xml:space="preserve"> </v>
      </c>
      <c r="M2127" s="900" t="str">
        <f t="shared" si="469"/>
        <v xml:space="preserve"> </v>
      </c>
      <c r="N2127" s="900" t="str">
        <f t="shared" si="470"/>
        <v xml:space="preserve"> </v>
      </c>
      <c r="O2127" s="908"/>
      <c r="P2127" s="1065"/>
      <c r="Q2127" s="900" t="str">
        <f>IF(O2127&lt;&gt;0,VLOOKUP(O2127,'Cây trong'!$A$2:$C$246,3,0)," ")</f>
        <v xml:space="preserve"> </v>
      </c>
      <c r="R2127" s="900" t="str">
        <f t="shared" si="464"/>
        <v xml:space="preserve"> </v>
      </c>
      <c r="S2127" s="908"/>
      <c r="T2127" s="944"/>
      <c r="U2127" s="1066"/>
      <c r="V2127" s="922"/>
      <c r="W2127" s="900" t="str">
        <f>IF(S2127&lt;&gt;0,VLOOKUP(S2127,VKT!$A$2:$G$415,7,0),"")</f>
        <v/>
      </c>
      <c r="X2127" s="900" t="str">
        <f t="shared" si="472"/>
        <v xml:space="preserve"> </v>
      </c>
      <c r="Y2127" s="985"/>
      <c r="Z2127" s="922"/>
      <c r="AA2127" s="1067"/>
      <c r="AB2127" s="922"/>
      <c r="AC2127" s="922"/>
      <c r="AD2127" s="922"/>
      <c r="AE2127" s="922"/>
      <c r="AF2127" s="1046"/>
      <c r="AG2127" s="906" t="str">
        <f>IF(AE2127&lt;&gt;0,VLOOKUP(AE2127,ODDS!$A$2:$C$13,3,0),"")</f>
        <v/>
      </c>
      <c r="AH2127" s="906" t="str">
        <f t="shared" si="466"/>
        <v xml:space="preserve"> </v>
      </c>
      <c r="AI2127" s="907" t="str">
        <f t="shared" si="473"/>
        <v xml:space="preserve"> </v>
      </c>
      <c r="AJ2127" s="894"/>
      <c r="AK2127" s="894"/>
    </row>
    <row r="2128" spans="1:37" s="394" customFormat="1" ht="22.5" outlineLevel="2" x14ac:dyDescent="0.3">
      <c r="A2128" s="447">
        <f t="shared" si="471"/>
        <v>178</v>
      </c>
      <c r="B2128" s="893"/>
      <c r="C2128" s="908"/>
      <c r="D2128" s="1032"/>
      <c r="E2128" s="947"/>
      <c r="F2128" s="947"/>
      <c r="G2128" s="922"/>
      <c r="H2128" s="1041"/>
      <c r="I2128" s="882"/>
      <c r="J2128" s="894"/>
      <c r="K2128" s="899" t="str">
        <f>IF(G2128&lt;&gt;0,VLOOKUP(G2128,'gia dat'!$A$1:$F$144,5,0)," ")</f>
        <v xml:space="preserve"> </v>
      </c>
      <c r="L2128" s="899" t="str">
        <f>IF(G2128&lt;&gt;0,VLOOKUP(G2128,'gia dat'!$A$1:$F$144,6,0)," ")</f>
        <v xml:space="preserve"> </v>
      </c>
      <c r="M2128" s="900" t="str">
        <f t="shared" si="469"/>
        <v xml:space="preserve"> </v>
      </c>
      <c r="N2128" s="900" t="str">
        <f t="shared" si="470"/>
        <v xml:space="preserve"> </v>
      </c>
      <c r="O2128" s="908"/>
      <c r="P2128" s="1065"/>
      <c r="Q2128" s="900" t="str">
        <f>IF(O2128&lt;&gt;0,VLOOKUP(O2128,'Cây trong'!$A$2:$C$246,3,0)," ")</f>
        <v xml:space="preserve"> </v>
      </c>
      <c r="R2128" s="900" t="str">
        <f t="shared" si="464"/>
        <v xml:space="preserve"> </v>
      </c>
      <c r="S2128" s="908"/>
      <c r="T2128" s="944"/>
      <c r="U2128" s="1066"/>
      <c r="V2128" s="922"/>
      <c r="W2128" s="900" t="str">
        <f>IF(S2128&lt;&gt;0,VLOOKUP(S2128,VKT!$A$2:$G$415,7,0),"")</f>
        <v/>
      </c>
      <c r="X2128" s="900" t="str">
        <f t="shared" si="472"/>
        <v xml:space="preserve"> </v>
      </c>
      <c r="Y2128" s="985"/>
      <c r="Z2128" s="922"/>
      <c r="AA2128" s="1067"/>
      <c r="AB2128" s="922"/>
      <c r="AC2128" s="922"/>
      <c r="AD2128" s="922"/>
      <c r="AE2128" s="922"/>
      <c r="AF2128" s="1046"/>
      <c r="AG2128" s="906" t="str">
        <f>IF(AE2128&lt;&gt;0,VLOOKUP(AE2128,ODDS!$A$2:$C$13,3,0),"")</f>
        <v/>
      </c>
      <c r="AH2128" s="906" t="str">
        <f t="shared" si="466"/>
        <v xml:space="preserve"> </v>
      </c>
      <c r="AI2128" s="907" t="str">
        <f t="shared" si="473"/>
        <v xml:space="preserve"> </v>
      </c>
      <c r="AJ2128" s="894"/>
      <c r="AK2128" s="894"/>
    </row>
    <row r="2129" spans="1:37" s="394" customFormat="1" ht="22.5" outlineLevel="2" x14ac:dyDescent="0.3">
      <c r="A2129" s="447">
        <f t="shared" si="471"/>
        <v>178</v>
      </c>
      <c r="B2129" s="893"/>
      <c r="C2129" s="942"/>
      <c r="D2129" s="1032"/>
      <c r="E2129" s="947"/>
      <c r="F2129" s="947"/>
      <c r="G2129" s="922"/>
      <c r="H2129" s="1041"/>
      <c r="I2129" s="882"/>
      <c r="J2129" s="894"/>
      <c r="K2129" s="899" t="str">
        <f>IF(G2129&lt;&gt;0,VLOOKUP(G2129,'gia dat'!$A$1:$F$144,5,0)," ")</f>
        <v xml:space="preserve"> </v>
      </c>
      <c r="L2129" s="899" t="str">
        <f>IF(G2129&lt;&gt;0,VLOOKUP(G2129,'gia dat'!$A$1:$F$144,6,0)," ")</f>
        <v xml:space="preserve"> </v>
      </c>
      <c r="M2129" s="900" t="str">
        <f t="shared" si="469"/>
        <v xml:space="preserve"> </v>
      </c>
      <c r="N2129" s="900" t="str">
        <f t="shared" si="470"/>
        <v xml:space="preserve"> </v>
      </c>
      <c r="O2129" s="908"/>
      <c r="P2129" s="1065"/>
      <c r="Q2129" s="900" t="str">
        <f>IF(O2129&lt;&gt;0,VLOOKUP(O2129,'Cây trong'!$A$2:$C$246,3,0)," ")</f>
        <v xml:space="preserve"> </v>
      </c>
      <c r="R2129" s="900" t="str">
        <f t="shared" si="464"/>
        <v xml:space="preserve"> </v>
      </c>
      <c r="S2129" s="908"/>
      <c r="T2129" s="944"/>
      <c r="U2129" s="1066"/>
      <c r="V2129" s="922"/>
      <c r="W2129" s="900" t="str">
        <f>IF(S2129&lt;&gt;0,VLOOKUP(S2129,VKT!$A$2:$G$415,7,0),"")</f>
        <v/>
      </c>
      <c r="X2129" s="900" t="str">
        <f t="shared" si="472"/>
        <v xml:space="preserve"> </v>
      </c>
      <c r="Y2129" s="985"/>
      <c r="Z2129" s="922"/>
      <c r="AA2129" s="1067"/>
      <c r="AB2129" s="922"/>
      <c r="AC2129" s="922"/>
      <c r="AD2129" s="922"/>
      <c r="AE2129" s="922"/>
      <c r="AF2129" s="1046"/>
      <c r="AG2129" s="906" t="str">
        <f>IF(AE2129&lt;&gt;0,VLOOKUP(AE2129,ODDS!$A$2:$C$13,3,0),"")</f>
        <v/>
      </c>
      <c r="AH2129" s="906" t="str">
        <f t="shared" si="466"/>
        <v xml:space="preserve"> </v>
      </c>
      <c r="AI2129" s="907" t="str">
        <f t="shared" si="473"/>
        <v xml:space="preserve"> </v>
      </c>
      <c r="AJ2129" s="894"/>
      <c r="AK2129" s="894"/>
    </row>
    <row r="2130" spans="1:37" s="394" customFormat="1" ht="43.5" outlineLevel="1" x14ac:dyDescent="0.25">
      <c r="A2130" s="467" t="s">
        <v>2531</v>
      </c>
      <c r="B2130" s="912">
        <v>179</v>
      </c>
      <c r="C2130" s="942" t="s">
        <v>1438</v>
      </c>
      <c r="D2130" s="1038"/>
      <c r="E2130" s="977"/>
      <c r="F2130" s="977"/>
      <c r="G2130" s="914"/>
      <c r="H2130" s="1039">
        <f>SUBTOTAL(9,H2131:H2136)</f>
        <v>0</v>
      </c>
      <c r="I2130" s="915">
        <f>SUBTOTAL(9,I2131:I2136)</f>
        <v>0</v>
      </c>
      <c r="J2130" s="916"/>
      <c r="K2130" s="917"/>
      <c r="L2130" s="917"/>
      <c r="M2130" s="907">
        <f>SUBTOTAL(9,M2131:M2136)</f>
        <v>0</v>
      </c>
      <c r="N2130" s="907">
        <f>SUBTOTAL(9,N2131:N2136)</f>
        <v>0</v>
      </c>
      <c r="O2130" s="942"/>
      <c r="P2130" s="1063">
        <f>SUBTOTAL(9,P2131:P2136)</f>
        <v>0</v>
      </c>
      <c r="Q2130" s="907"/>
      <c r="R2130" s="907">
        <f>SUBTOTAL(9,R2131:R2136)</f>
        <v>0</v>
      </c>
      <c r="S2130" s="918"/>
      <c r="T2130" s="956"/>
      <c r="U2130" s="1064">
        <f>SUBTOTAL(9,U2131:U2136)</f>
        <v>30.849999999999998</v>
      </c>
      <c r="V2130" s="914"/>
      <c r="W2130" s="907"/>
      <c r="X2130" s="907">
        <f>SUBTOTAL(9,X2131:X2136)</f>
        <v>56937000</v>
      </c>
      <c r="Y2130" s="922"/>
      <c r="Z2130" s="1026"/>
      <c r="AA2130" s="1026"/>
      <c r="AB2130" s="1026"/>
      <c r="AC2130" s="1026"/>
      <c r="AD2130" s="1026"/>
      <c r="AE2130" s="1027"/>
      <c r="AF2130" s="917">
        <f>SUBTOTAL(9,AF2131:AF2136)</f>
        <v>0</v>
      </c>
      <c r="AG2130" s="921"/>
      <c r="AH2130" s="921">
        <f>SUBTOTAL(9,AH2131:AH2136)</f>
        <v>0</v>
      </c>
      <c r="AI2130" s="907">
        <f t="shared" si="473"/>
        <v>56937000</v>
      </c>
      <c r="AJ2130" s="914"/>
      <c r="AK2130" s="910"/>
    </row>
    <row r="2131" spans="1:37" s="394" customFormat="1" ht="112.5" outlineLevel="2" x14ac:dyDescent="0.3">
      <c r="A2131" s="447">
        <f>IF(B2130&lt;&gt;0,B2130,A2129)</f>
        <v>179</v>
      </c>
      <c r="B2131" s="893"/>
      <c r="C2131" s="908" t="s">
        <v>1440</v>
      </c>
      <c r="D2131" s="1032"/>
      <c r="E2131" s="947"/>
      <c r="F2131" s="947"/>
      <c r="G2131" s="922"/>
      <c r="H2131" s="1041"/>
      <c r="I2131" s="882"/>
      <c r="J2131" s="898"/>
      <c r="K2131" s="899" t="str">
        <f>IF(G2131&lt;&gt;0,VLOOKUP(G2131,'gia dat'!$A$1:$F$144,5,0)," ")</f>
        <v xml:space="preserve"> </v>
      </c>
      <c r="L2131" s="899" t="str">
        <f>IF(G2131&lt;&gt;0,VLOOKUP(G2131,'gia dat'!$A$1:$F$144,6,0)," ")</f>
        <v xml:space="preserve"> </v>
      </c>
      <c r="M2131" s="900" t="str">
        <f t="shared" si="469"/>
        <v xml:space="preserve"> </v>
      </c>
      <c r="N2131" s="900" t="str">
        <f t="shared" si="470"/>
        <v xml:space="preserve"> </v>
      </c>
      <c r="O2131" s="908"/>
      <c r="P2131" s="1065"/>
      <c r="Q2131" s="900" t="str">
        <f>IF(O2131&lt;&gt;0,VLOOKUP(O2131,'Cây trong'!$A$2:$C$246,3,0)," ")</f>
        <v xml:space="preserve"> </v>
      </c>
      <c r="R2131" s="900" t="str">
        <f t="shared" ref="R2131:R2198" si="474">IF(O2131&lt;&gt;0,ROUND(P2131*Q2131,-2)," ")</f>
        <v xml:space="preserve"> </v>
      </c>
      <c r="S2131" s="902" t="s">
        <v>1926</v>
      </c>
      <c r="T2131" s="944" t="s">
        <v>1133</v>
      </c>
      <c r="U2131" s="1066">
        <v>28.9</v>
      </c>
      <c r="V2131" s="922"/>
      <c r="W2131" s="900">
        <f>IF(S2131&lt;&gt;0,VLOOKUP(S2131,VKT!$A$2:$G$415,7,0),"")</f>
        <v>1458856</v>
      </c>
      <c r="X2131" s="900">
        <f t="shared" si="472"/>
        <v>42161000</v>
      </c>
      <c r="Y2131" s="922" t="s">
        <v>139</v>
      </c>
      <c r="Z2131" s="1026" t="s">
        <v>1139</v>
      </c>
      <c r="AA2131" s="1026" t="s">
        <v>1262</v>
      </c>
      <c r="AB2131" s="1026" t="s">
        <v>1263</v>
      </c>
      <c r="AC2131" s="1026" t="s">
        <v>1264</v>
      </c>
      <c r="AD2131" s="1026"/>
      <c r="AE2131" s="1026"/>
      <c r="AF2131" s="899"/>
      <c r="AG2131" s="906" t="str">
        <f>IF(AE2131&lt;&gt;0,VLOOKUP(AE2131,ODDS!$A$2:$C$13,3,0),"")</f>
        <v/>
      </c>
      <c r="AH2131" s="906" t="str">
        <f t="shared" ref="AH2131:AH2198" si="475">IF(AE2131&lt;&gt;0,ROUND(AF2131*AG2131,-2)," ")</f>
        <v xml:space="preserve"> </v>
      </c>
      <c r="AI2131" s="907" t="str">
        <f t="shared" si="473"/>
        <v xml:space="preserve"> </v>
      </c>
      <c r="AJ2131" s="922" t="s">
        <v>1439</v>
      </c>
      <c r="AK2131" s="894" t="s">
        <v>2450</v>
      </c>
    </row>
    <row r="2132" spans="1:37" s="394" customFormat="1" ht="135" outlineLevel="2" x14ac:dyDescent="0.3">
      <c r="A2132" s="447">
        <f>IF(B2131&lt;&gt;0,B2131,A2131)</f>
        <v>179</v>
      </c>
      <c r="B2132" s="893"/>
      <c r="C2132" s="908" t="s">
        <v>1631</v>
      </c>
      <c r="D2132" s="1032"/>
      <c r="E2132" s="947"/>
      <c r="F2132" s="947"/>
      <c r="G2132" s="922"/>
      <c r="H2132" s="1041"/>
      <c r="I2132" s="882"/>
      <c r="J2132" s="898"/>
      <c r="K2132" s="899" t="str">
        <f>IF(G2132&lt;&gt;0,VLOOKUP(G2132,'gia dat'!$A$1:$F$144,5,0)," ")</f>
        <v xml:space="preserve"> </v>
      </c>
      <c r="L2132" s="899" t="str">
        <f>IF(G2132&lt;&gt;0,VLOOKUP(G2132,'gia dat'!$A$1:$F$144,6,0)," ")</f>
        <v xml:space="preserve"> </v>
      </c>
      <c r="M2132" s="900" t="str">
        <f t="shared" si="469"/>
        <v xml:space="preserve"> </v>
      </c>
      <c r="N2132" s="900" t="str">
        <f t="shared" si="470"/>
        <v xml:space="preserve"> </v>
      </c>
      <c r="O2132" s="908"/>
      <c r="P2132" s="1065"/>
      <c r="Q2132" s="900" t="str">
        <f>IF(O2132&lt;&gt;0,VLOOKUP(O2132,'Cây trong'!$A$2:$C$246,3,0)," ")</f>
        <v xml:space="preserve"> </v>
      </c>
      <c r="R2132" s="900" t="str">
        <f t="shared" si="474"/>
        <v xml:space="preserve"> </v>
      </c>
      <c r="S2132" s="902" t="s">
        <v>1991</v>
      </c>
      <c r="T2132" s="944" t="s">
        <v>1133</v>
      </c>
      <c r="U2132" s="1066">
        <v>1.95</v>
      </c>
      <c r="V2132" s="922"/>
      <c r="W2132" s="900">
        <f>IF(S2132&lt;&gt;0,VLOOKUP(S2132,VKT!$A$2:$G$415,7,0),"")</f>
        <v>7577429</v>
      </c>
      <c r="X2132" s="900">
        <f t="shared" si="472"/>
        <v>14776000</v>
      </c>
      <c r="Y2132" s="985"/>
      <c r="Z2132" s="922"/>
      <c r="AA2132" s="1067"/>
      <c r="AB2132" s="922"/>
      <c r="AC2132" s="922"/>
      <c r="AD2132" s="922"/>
      <c r="AE2132" s="922"/>
      <c r="AF2132" s="1046"/>
      <c r="AG2132" s="906" t="str">
        <f>IF(AE2132&lt;&gt;0,VLOOKUP(AE2132,ODDS!$A$2:$C$13,3,0),"")</f>
        <v/>
      </c>
      <c r="AH2132" s="906" t="str">
        <f t="shared" si="475"/>
        <v xml:space="preserve"> </v>
      </c>
      <c r="AI2132" s="907" t="str">
        <f t="shared" si="473"/>
        <v xml:space="preserve"> </v>
      </c>
      <c r="AJ2132" s="922" t="s">
        <v>1416</v>
      </c>
      <c r="AK2132" s="922" t="s">
        <v>2800</v>
      </c>
    </row>
    <row r="2133" spans="1:37" s="394" customFormat="1" ht="22.5" outlineLevel="2" x14ac:dyDescent="0.3">
      <c r="A2133" s="447">
        <f>IF(B2132&lt;&gt;0,B2132,A2132)</f>
        <v>179</v>
      </c>
      <c r="B2133" s="893"/>
      <c r="C2133" s="908"/>
      <c r="D2133" s="1032"/>
      <c r="E2133" s="947"/>
      <c r="F2133" s="947"/>
      <c r="G2133" s="922"/>
      <c r="H2133" s="1041"/>
      <c r="I2133" s="882"/>
      <c r="J2133" s="898"/>
      <c r="K2133" s="899" t="str">
        <f>IF(G2133&lt;&gt;0,VLOOKUP(G2133,'gia dat'!$A$1:$F$144,5,0)," ")</f>
        <v xml:space="preserve"> </v>
      </c>
      <c r="L2133" s="899" t="str">
        <f>IF(G2133&lt;&gt;0,VLOOKUP(G2133,'gia dat'!$A$1:$F$144,6,0)," ")</f>
        <v xml:space="preserve"> </v>
      </c>
      <c r="M2133" s="900" t="str">
        <f t="shared" si="469"/>
        <v xml:space="preserve"> </v>
      </c>
      <c r="N2133" s="900" t="str">
        <f t="shared" si="470"/>
        <v xml:space="preserve"> </v>
      </c>
      <c r="O2133" s="908"/>
      <c r="P2133" s="1065"/>
      <c r="Q2133" s="900" t="str">
        <f>IF(O2133&lt;&gt;0,VLOOKUP(O2133,'Cây trong'!$A$2:$C$246,3,0)," ")</f>
        <v xml:space="preserve"> </v>
      </c>
      <c r="R2133" s="900" t="str">
        <f t="shared" si="474"/>
        <v xml:space="preserve"> </v>
      </c>
      <c r="S2133" s="902"/>
      <c r="T2133" s="944"/>
      <c r="U2133" s="1066"/>
      <c r="V2133" s="922"/>
      <c r="W2133" s="900" t="str">
        <f>IF(S2133&lt;&gt;0,VLOOKUP(S2133,VKT!$A$2:$G$415,7,0),"")</f>
        <v/>
      </c>
      <c r="X2133" s="900" t="str">
        <f t="shared" si="472"/>
        <v xml:space="preserve"> </v>
      </c>
      <c r="Y2133" s="985"/>
      <c r="Z2133" s="922"/>
      <c r="AA2133" s="1067"/>
      <c r="AB2133" s="922"/>
      <c r="AC2133" s="922"/>
      <c r="AD2133" s="922"/>
      <c r="AE2133" s="922"/>
      <c r="AF2133" s="1046"/>
      <c r="AG2133" s="906" t="str">
        <f>IF(AE2133&lt;&gt;0,VLOOKUP(AE2133,ODDS!$A$2:$C$13,3,0),"")</f>
        <v/>
      </c>
      <c r="AH2133" s="906" t="str">
        <f t="shared" si="475"/>
        <v xml:space="preserve"> </v>
      </c>
      <c r="AI2133" s="907" t="str">
        <f t="shared" si="473"/>
        <v xml:space="preserve"> </v>
      </c>
      <c r="AJ2133" s="922"/>
      <c r="AK2133" s="922"/>
    </row>
    <row r="2134" spans="1:37" s="394" customFormat="1" ht="22.5" outlineLevel="2" x14ac:dyDescent="0.3">
      <c r="A2134" s="447">
        <f>IF(B2133&lt;&gt;0,B2133,A2133)</f>
        <v>179</v>
      </c>
      <c r="B2134" s="893"/>
      <c r="C2134" s="908"/>
      <c r="D2134" s="1032"/>
      <c r="E2134" s="947"/>
      <c r="F2134" s="947"/>
      <c r="G2134" s="922"/>
      <c r="H2134" s="1041"/>
      <c r="I2134" s="882"/>
      <c r="J2134" s="898"/>
      <c r="K2134" s="899" t="str">
        <f>IF(G2134&lt;&gt;0,VLOOKUP(G2134,'gia dat'!$A$1:$F$144,5,0)," ")</f>
        <v xml:space="preserve"> </v>
      </c>
      <c r="L2134" s="899" t="str">
        <f>IF(G2134&lt;&gt;0,VLOOKUP(G2134,'gia dat'!$A$1:$F$144,6,0)," ")</f>
        <v xml:space="preserve"> </v>
      </c>
      <c r="M2134" s="900" t="str">
        <f t="shared" si="469"/>
        <v xml:space="preserve"> </v>
      </c>
      <c r="N2134" s="900" t="str">
        <f t="shared" si="470"/>
        <v xml:space="preserve"> </v>
      </c>
      <c r="O2134" s="908"/>
      <c r="P2134" s="1065"/>
      <c r="Q2134" s="900" t="str">
        <f>IF(O2134&lt;&gt;0,VLOOKUP(O2134,'Cây trong'!$A$2:$C$246,3,0)," ")</f>
        <v xml:space="preserve"> </v>
      </c>
      <c r="R2134" s="900" t="str">
        <f t="shared" si="474"/>
        <v xml:space="preserve"> </v>
      </c>
      <c r="S2134" s="902"/>
      <c r="T2134" s="944"/>
      <c r="U2134" s="1066"/>
      <c r="V2134" s="922"/>
      <c r="W2134" s="900" t="str">
        <f>IF(S2134&lt;&gt;0,VLOOKUP(S2134,VKT!$A$2:$G$415,7,0),"")</f>
        <v/>
      </c>
      <c r="X2134" s="900" t="str">
        <f t="shared" si="472"/>
        <v xml:space="preserve"> </v>
      </c>
      <c r="Y2134" s="985"/>
      <c r="Z2134" s="922"/>
      <c r="AA2134" s="1067"/>
      <c r="AB2134" s="922"/>
      <c r="AC2134" s="922"/>
      <c r="AD2134" s="922"/>
      <c r="AE2134" s="922"/>
      <c r="AF2134" s="1046"/>
      <c r="AG2134" s="906" t="str">
        <f>IF(AE2134&lt;&gt;0,VLOOKUP(AE2134,ODDS!$A$2:$C$13,3,0),"")</f>
        <v/>
      </c>
      <c r="AH2134" s="906" t="str">
        <f t="shared" si="475"/>
        <v xml:space="preserve"> </v>
      </c>
      <c r="AI2134" s="907" t="str">
        <f t="shared" si="473"/>
        <v xml:space="preserve"> </v>
      </c>
      <c r="AJ2134" s="922"/>
      <c r="AK2134" s="922"/>
    </row>
    <row r="2135" spans="1:37" s="394" customFormat="1" ht="22.5" outlineLevel="2" x14ac:dyDescent="0.3">
      <c r="A2135" s="447">
        <f>IF(B2134&lt;&gt;0,B2134,A2134)</f>
        <v>179</v>
      </c>
      <c r="B2135" s="893"/>
      <c r="C2135" s="908"/>
      <c r="D2135" s="1032"/>
      <c r="E2135" s="947"/>
      <c r="F2135" s="947"/>
      <c r="G2135" s="922"/>
      <c r="H2135" s="1041"/>
      <c r="I2135" s="882"/>
      <c r="J2135" s="898"/>
      <c r="K2135" s="899" t="str">
        <f>IF(G2135&lt;&gt;0,VLOOKUP(G2135,'gia dat'!$A$1:$F$144,5,0)," ")</f>
        <v xml:space="preserve"> </v>
      </c>
      <c r="L2135" s="899" t="str">
        <f>IF(G2135&lt;&gt;0,VLOOKUP(G2135,'gia dat'!$A$1:$F$144,6,0)," ")</f>
        <v xml:space="preserve"> </v>
      </c>
      <c r="M2135" s="900" t="str">
        <f t="shared" si="469"/>
        <v xml:space="preserve"> </v>
      </c>
      <c r="N2135" s="900" t="str">
        <f t="shared" si="470"/>
        <v xml:space="preserve"> </v>
      </c>
      <c r="O2135" s="908"/>
      <c r="P2135" s="1065"/>
      <c r="Q2135" s="900" t="str">
        <f>IF(O2135&lt;&gt;0,VLOOKUP(O2135,'Cây trong'!$A$2:$C$246,3,0)," ")</f>
        <v xml:space="preserve"> </v>
      </c>
      <c r="R2135" s="900" t="str">
        <f t="shared" si="474"/>
        <v xml:space="preserve"> </v>
      </c>
      <c r="S2135" s="902"/>
      <c r="T2135" s="944"/>
      <c r="U2135" s="1066"/>
      <c r="V2135" s="922"/>
      <c r="W2135" s="900" t="str">
        <f>IF(S2135&lt;&gt;0,VLOOKUP(S2135,VKT!$A$2:$G$415,7,0),"")</f>
        <v/>
      </c>
      <c r="X2135" s="900" t="str">
        <f t="shared" si="472"/>
        <v xml:space="preserve"> </v>
      </c>
      <c r="Y2135" s="985"/>
      <c r="Z2135" s="922"/>
      <c r="AA2135" s="1067"/>
      <c r="AB2135" s="922"/>
      <c r="AC2135" s="922"/>
      <c r="AD2135" s="922"/>
      <c r="AE2135" s="922"/>
      <c r="AF2135" s="1046"/>
      <c r="AG2135" s="906" t="str">
        <f>IF(AE2135&lt;&gt;0,VLOOKUP(AE2135,ODDS!$A$2:$C$13,3,0),"")</f>
        <v/>
      </c>
      <c r="AH2135" s="906" t="str">
        <f t="shared" si="475"/>
        <v xml:space="preserve"> </v>
      </c>
      <c r="AI2135" s="907" t="str">
        <f t="shared" si="473"/>
        <v xml:space="preserve"> </v>
      </c>
      <c r="AJ2135" s="922"/>
      <c r="AK2135" s="922"/>
    </row>
    <row r="2136" spans="1:37" s="394" customFormat="1" ht="22.5" outlineLevel="2" x14ac:dyDescent="0.3">
      <c r="A2136" s="447">
        <f>IF(B2135&lt;&gt;0,B2135,A2135)</f>
        <v>179</v>
      </c>
      <c r="B2136" s="893"/>
      <c r="C2136" s="942"/>
      <c r="D2136" s="1032"/>
      <c r="E2136" s="947"/>
      <c r="F2136" s="947"/>
      <c r="G2136" s="922"/>
      <c r="H2136" s="1041"/>
      <c r="I2136" s="882"/>
      <c r="J2136" s="898"/>
      <c r="K2136" s="899" t="str">
        <f>IF(G2136&lt;&gt;0,VLOOKUP(G2136,'gia dat'!$A$1:$F$144,5,0)," ")</f>
        <v xml:space="preserve"> </v>
      </c>
      <c r="L2136" s="899" t="str">
        <f>IF(G2136&lt;&gt;0,VLOOKUP(G2136,'gia dat'!$A$1:$F$144,6,0)," ")</f>
        <v xml:space="preserve"> </v>
      </c>
      <c r="M2136" s="900" t="str">
        <f t="shared" si="469"/>
        <v xml:space="preserve"> </v>
      </c>
      <c r="N2136" s="900" t="str">
        <f t="shared" si="470"/>
        <v xml:space="preserve"> </v>
      </c>
      <c r="O2136" s="908"/>
      <c r="P2136" s="1065"/>
      <c r="Q2136" s="900" t="str">
        <f>IF(O2136&lt;&gt;0,VLOOKUP(O2136,'Cây trong'!$A$2:$C$246,3,0)," ")</f>
        <v xml:space="preserve"> </v>
      </c>
      <c r="R2136" s="900" t="str">
        <f t="shared" si="474"/>
        <v xml:space="preserve"> </v>
      </c>
      <c r="S2136" s="902"/>
      <c r="T2136" s="944"/>
      <c r="U2136" s="1066"/>
      <c r="V2136" s="922"/>
      <c r="W2136" s="900" t="str">
        <f>IF(S2136&lt;&gt;0,VLOOKUP(S2136,VKT!$A$2:$G$415,7,0),"")</f>
        <v/>
      </c>
      <c r="X2136" s="900" t="str">
        <f t="shared" si="472"/>
        <v xml:space="preserve"> </v>
      </c>
      <c r="Y2136" s="985"/>
      <c r="Z2136" s="922"/>
      <c r="AA2136" s="1067"/>
      <c r="AB2136" s="922"/>
      <c r="AC2136" s="922"/>
      <c r="AD2136" s="922"/>
      <c r="AE2136" s="922"/>
      <c r="AF2136" s="1046"/>
      <c r="AG2136" s="906" t="str">
        <f>IF(AE2136&lt;&gt;0,VLOOKUP(AE2136,ODDS!$A$2:$C$13,3,0),"")</f>
        <v/>
      </c>
      <c r="AH2136" s="906" t="str">
        <f t="shared" si="475"/>
        <v xml:space="preserve"> </v>
      </c>
      <c r="AI2136" s="907" t="str">
        <f t="shared" si="473"/>
        <v xml:space="preserve"> </v>
      </c>
      <c r="AJ2136" s="922"/>
      <c r="AK2136" s="922"/>
    </row>
    <row r="2137" spans="1:37" s="394" customFormat="1" ht="43.5" outlineLevel="1" x14ac:dyDescent="0.25">
      <c r="A2137" s="467" t="s">
        <v>2530</v>
      </c>
      <c r="B2137" s="912">
        <v>180</v>
      </c>
      <c r="C2137" s="942" t="s">
        <v>1441</v>
      </c>
      <c r="D2137" s="1038"/>
      <c r="E2137" s="977"/>
      <c r="F2137" s="977"/>
      <c r="G2137" s="914"/>
      <c r="H2137" s="1039">
        <f>SUBTOTAL(9,H2138:H2144)</f>
        <v>0</v>
      </c>
      <c r="I2137" s="915">
        <f>SUBTOTAL(9,I2138:I2143)</f>
        <v>0</v>
      </c>
      <c r="J2137" s="916"/>
      <c r="K2137" s="917"/>
      <c r="L2137" s="917"/>
      <c r="M2137" s="907">
        <f>SUBTOTAL(9,M2138:M2144)</f>
        <v>0</v>
      </c>
      <c r="N2137" s="907">
        <f>SUBTOTAL(9,N2138:N2144)</f>
        <v>0</v>
      </c>
      <c r="O2137" s="942"/>
      <c r="P2137" s="1063">
        <f>SUBTOTAL(9,P2138:P2144)</f>
        <v>0</v>
      </c>
      <c r="Q2137" s="907"/>
      <c r="R2137" s="907">
        <f>SUBTOTAL(9,R2138:R2144)</f>
        <v>0</v>
      </c>
      <c r="S2137" s="918"/>
      <c r="T2137" s="956"/>
      <c r="U2137" s="1064">
        <f>SUBTOTAL(9,U2138:U2144)</f>
        <v>25.2</v>
      </c>
      <c r="V2137" s="914"/>
      <c r="W2137" s="907"/>
      <c r="X2137" s="907">
        <f>SUBTOTAL(9,X2138:X2144)</f>
        <v>36763000</v>
      </c>
      <c r="Y2137" s="922"/>
      <c r="Z2137" s="1026"/>
      <c r="AA2137" s="1026"/>
      <c r="AB2137" s="1026"/>
      <c r="AC2137" s="1026"/>
      <c r="AD2137" s="1026"/>
      <c r="AE2137" s="1027"/>
      <c r="AF2137" s="917">
        <f>SUBTOTAL(9,AF2138:AF2144)</f>
        <v>0</v>
      </c>
      <c r="AG2137" s="921"/>
      <c r="AH2137" s="921">
        <f>SUBTOTAL(9,AH2138:AH2144)</f>
        <v>0</v>
      </c>
      <c r="AI2137" s="907">
        <f t="shared" si="473"/>
        <v>36763000</v>
      </c>
      <c r="AJ2137" s="914"/>
      <c r="AK2137" s="910"/>
    </row>
    <row r="2138" spans="1:37" s="394" customFormat="1" ht="112.5" outlineLevel="2" x14ac:dyDescent="0.3">
      <c r="A2138" s="447">
        <f>IF(B2137&lt;&gt;0,B2137,A2136)</f>
        <v>180</v>
      </c>
      <c r="B2138" s="893"/>
      <c r="C2138" s="908" t="s">
        <v>1443</v>
      </c>
      <c r="D2138" s="1032"/>
      <c r="E2138" s="947"/>
      <c r="F2138" s="947"/>
      <c r="G2138" s="922"/>
      <c r="H2138" s="1041"/>
      <c r="I2138" s="882"/>
      <c r="J2138" s="898"/>
      <c r="K2138" s="899" t="str">
        <f>IF(G2138&lt;&gt;0,VLOOKUP(G2138,'gia dat'!$A$1:$F$144,5,0)," ")</f>
        <v xml:space="preserve"> </v>
      </c>
      <c r="L2138" s="899" t="str">
        <f>IF(G2138&lt;&gt;0,VLOOKUP(G2138,'gia dat'!$A$1:$F$144,6,0)," ")</f>
        <v xml:space="preserve"> </v>
      </c>
      <c r="M2138" s="900" t="str">
        <f t="shared" si="469"/>
        <v xml:space="preserve"> </v>
      </c>
      <c r="N2138" s="900" t="str">
        <f t="shared" si="470"/>
        <v xml:space="preserve"> </v>
      </c>
      <c r="O2138" s="908"/>
      <c r="P2138" s="1065"/>
      <c r="Q2138" s="900" t="str">
        <f>IF(O2138&lt;&gt;0,VLOOKUP(O2138,'Cây trong'!$A$2:$C$246,3,0)," ")</f>
        <v xml:space="preserve"> </v>
      </c>
      <c r="R2138" s="900" t="str">
        <f t="shared" si="474"/>
        <v xml:space="preserve"> </v>
      </c>
      <c r="S2138" s="902" t="s">
        <v>1926</v>
      </c>
      <c r="T2138" s="944" t="s">
        <v>1133</v>
      </c>
      <c r="U2138" s="1066">
        <v>25.2</v>
      </c>
      <c r="V2138" s="922"/>
      <c r="W2138" s="900">
        <f>IF(S2138&lt;&gt;0,VLOOKUP(S2138,VKT!$A$2:$G$415,7,0),"")</f>
        <v>1458856</v>
      </c>
      <c r="X2138" s="900">
        <f t="shared" si="472"/>
        <v>36763000</v>
      </c>
      <c r="Y2138" s="922" t="s">
        <v>139</v>
      </c>
      <c r="Z2138" s="1026" t="s">
        <v>1139</v>
      </c>
      <c r="AA2138" s="1026" t="s">
        <v>1262</v>
      </c>
      <c r="AB2138" s="1026" t="s">
        <v>1263</v>
      </c>
      <c r="AC2138" s="1026" t="s">
        <v>1264</v>
      </c>
      <c r="AD2138" s="1026"/>
      <c r="AE2138" s="1026"/>
      <c r="AF2138" s="899"/>
      <c r="AG2138" s="906" t="str">
        <f>IF(AE2138&lt;&gt;0,VLOOKUP(AE2138,ODDS!$A$2:$C$13,3,0),"")</f>
        <v/>
      </c>
      <c r="AH2138" s="906" t="str">
        <f t="shared" si="475"/>
        <v xml:space="preserve"> </v>
      </c>
      <c r="AI2138" s="907" t="str">
        <f t="shared" si="473"/>
        <v xml:space="preserve"> </v>
      </c>
      <c r="AJ2138" s="922" t="s">
        <v>1442</v>
      </c>
      <c r="AK2138" s="894" t="s">
        <v>2450</v>
      </c>
    </row>
    <row r="2139" spans="1:37" s="394" customFormat="1" ht="112.5" outlineLevel="2" x14ac:dyDescent="0.3">
      <c r="A2139" s="447">
        <f t="shared" ref="A2139:A2144" si="476">IF(B2138&lt;&gt;0,B2138,A2138)</f>
        <v>180</v>
      </c>
      <c r="B2139" s="893"/>
      <c r="C2139" s="908" t="s">
        <v>1632</v>
      </c>
      <c r="D2139" s="1032"/>
      <c r="E2139" s="947"/>
      <c r="F2139" s="947"/>
      <c r="G2139" s="922"/>
      <c r="H2139" s="1041"/>
      <c r="I2139" s="882"/>
      <c r="J2139" s="898"/>
      <c r="K2139" s="899" t="str">
        <f>IF(G2139&lt;&gt;0,VLOOKUP(G2139,'gia dat'!$A$1:$F$144,5,0)," ")</f>
        <v xml:space="preserve"> </v>
      </c>
      <c r="L2139" s="899" t="str">
        <f>IF(G2139&lt;&gt;0,VLOOKUP(G2139,'gia dat'!$A$1:$F$144,6,0)," ")</f>
        <v xml:space="preserve"> </v>
      </c>
      <c r="M2139" s="900" t="str">
        <f t="shared" si="469"/>
        <v xml:space="preserve"> </v>
      </c>
      <c r="N2139" s="900" t="str">
        <f t="shared" si="470"/>
        <v xml:space="preserve"> </v>
      </c>
      <c r="O2139" s="908"/>
      <c r="P2139" s="1065"/>
      <c r="Q2139" s="900" t="str">
        <f>IF(O2139&lt;&gt;0,VLOOKUP(O2139,'Cây trong'!$A$2:$C$246,3,0)," ")</f>
        <v xml:space="preserve"> </v>
      </c>
      <c r="R2139" s="900" t="str">
        <f t="shared" si="474"/>
        <v xml:space="preserve"> </v>
      </c>
      <c r="S2139" s="902"/>
      <c r="T2139" s="944"/>
      <c r="U2139" s="1066"/>
      <c r="V2139" s="922"/>
      <c r="W2139" s="900" t="str">
        <f>IF(S2139&lt;&gt;0,VLOOKUP(S2139,VKT!$A$2:$G$415,7,0),"")</f>
        <v/>
      </c>
      <c r="X2139" s="900" t="str">
        <f t="shared" si="472"/>
        <v xml:space="preserve"> </v>
      </c>
      <c r="Y2139" s="985"/>
      <c r="Z2139" s="922"/>
      <c r="AA2139" s="1067"/>
      <c r="AB2139" s="922"/>
      <c r="AC2139" s="922"/>
      <c r="AD2139" s="922"/>
      <c r="AE2139" s="922"/>
      <c r="AF2139" s="1046"/>
      <c r="AG2139" s="906" t="str">
        <f>IF(AE2139&lt;&gt;0,VLOOKUP(AE2139,ODDS!$A$2:$C$13,3,0),"")</f>
        <v/>
      </c>
      <c r="AH2139" s="906" t="str">
        <f t="shared" si="475"/>
        <v xml:space="preserve"> </v>
      </c>
      <c r="AI2139" s="907" t="str">
        <f t="shared" si="473"/>
        <v xml:space="preserve"> </v>
      </c>
      <c r="AJ2139" s="922" t="s">
        <v>1416</v>
      </c>
      <c r="AK2139" s="922" t="s">
        <v>2800</v>
      </c>
    </row>
    <row r="2140" spans="1:37" s="394" customFormat="1" ht="22.5" outlineLevel="2" x14ac:dyDescent="0.3">
      <c r="A2140" s="447">
        <f t="shared" si="476"/>
        <v>180</v>
      </c>
      <c r="B2140" s="893"/>
      <c r="C2140" s="908"/>
      <c r="D2140" s="1032"/>
      <c r="E2140" s="947"/>
      <c r="F2140" s="947"/>
      <c r="G2140" s="922"/>
      <c r="H2140" s="1041"/>
      <c r="I2140" s="882"/>
      <c r="J2140" s="898"/>
      <c r="K2140" s="899" t="str">
        <f>IF(G2140&lt;&gt;0,VLOOKUP(G2140,'gia dat'!$A$1:$F$144,5,0)," ")</f>
        <v xml:space="preserve"> </v>
      </c>
      <c r="L2140" s="899" t="str">
        <f>IF(G2140&lt;&gt;0,VLOOKUP(G2140,'gia dat'!$A$1:$F$144,6,0)," ")</f>
        <v xml:space="preserve"> </v>
      </c>
      <c r="M2140" s="900" t="str">
        <f t="shared" si="469"/>
        <v xml:space="preserve"> </v>
      </c>
      <c r="N2140" s="900" t="str">
        <f t="shared" si="470"/>
        <v xml:space="preserve"> </v>
      </c>
      <c r="O2140" s="908"/>
      <c r="P2140" s="1065"/>
      <c r="Q2140" s="900" t="str">
        <f>IF(O2140&lt;&gt;0,VLOOKUP(O2140,'Cây trong'!$A$2:$C$246,3,0)," ")</f>
        <v xml:space="preserve"> </v>
      </c>
      <c r="R2140" s="900" t="str">
        <f t="shared" si="474"/>
        <v xml:space="preserve"> </v>
      </c>
      <c r="S2140" s="902"/>
      <c r="T2140" s="944"/>
      <c r="U2140" s="1066"/>
      <c r="V2140" s="922"/>
      <c r="W2140" s="900" t="str">
        <f>IF(S2140&lt;&gt;0,VLOOKUP(S2140,VKT!$A$2:$G$415,7,0),"")</f>
        <v/>
      </c>
      <c r="X2140" s="900" t="str">
        <f t="shared" si="472"/>
        <v xml:space="preserve"> </v>
      </c>
      <c r="Y2140" s="985"/>
      <c r="Z2140" s="922"/>
      <c r="AA2140" s="1067"/>
      <c r="AB2140" s="922"/>
      <c r="AC2140" s="922"/>
      <c r="AD2140" s="922"/>
      <c r="AE2140" s="922"/>
      <c r="AF2140" s="1046"/>
      <c r="AG2140" s="906" t="str">
        <f>IF(AE2140&lt;&gt;0,VLOOKUP(AE2140,ODDS!$A$2:$C$13,3,0),"")</f>
        <v/>
      </c>
      <c r="AH2140" s="906" t="str">
        <f t="shared" si="475"/>
        <v xml:space="preserve"> </v>
      </c>
      <c r="AI2140" s="907" t="str">
        <f t="shared" si="473"/>
        <v xml:space="preserve"> </v>
      </c>
      <c r="AJ2140" s="922"/>
      <c r="AK2140" s="922"/>
    </row>
    <row r="2141" spans="1:37" s="394" customFormat="1" ht="22.5" outlineLevel="2" x14ac:dyDescent="0.3">
      <c r="A2141" s="447">
        <f t="shared" si="476"/>
        <v>180</v>
      </c>
      <c r="B2141" s="893"/>
      <c r="C2141" s="908"/>
      <c r="D2141" s="1032"/>
      <c r="E2141" s="947"/>
      <c r="F2141" s="947"/>
      <c r="G2141" s="922"/>
      <c r="H2141" s="1041"/>
      <c r="I2141" s="882"/>
      <c r="J2141" s="898"/>
      <c r="K2141" s="899" t="str">
        <f>IF(G2141&lt;&gt;0,VLOOKUP(G2141,'gia dat'!$A$1:$F$144,5,0)," ")</f>
        <v xml:space="preserve"> </v>
      </c>
      <c r="L2141" s="899" t="str">
        <f>IF(G2141&lt;&gt;0,VLOOKUP(G2141,'gia dat'!$A$1:$F$144,6,0)," ")</f>
        <v xml:space="preserve"> </v>
      </c>
      <c r="M2141" s="900" t="str">
        <f t="shared" si="469"/>
        <v xml:space="preserve"> </v>
      </c>
      <c r="N2141" s="900" t="str">
        <f t="shared" si="470"/>
        <v xml:space="preserve"> </v>
      </c>
      <c r="O2141" s="908"/>
      <c r="P2141" s="1065"/>
      <c r="Q2141" s="900" t="str">
        <f>IF(O2141&lt;&gt;0,VLOOKUP(O2141,'Cây trong'!$A$2:$C$246,3,0)," ")</f>
        <v xml:space="preserve"> </v>
      </c>
      <c r="R2141" s="900" t="str">
        <f t="shared" si="474"/>
        <v xml:space="preserve"> </v>
      </c>
      <c r="S2141" s="902"/>
      <c r="T2141" s="944"/>
      <c r="U2141" s="1066"/>
      <c r="V2141" s="922"/>
      <c r="W2141" s="900" t="str">
        <f>IF(S2141&lt;&gt;0,VLOOKUP(S2141,VKT!$A$2:$G$415,7,0),"")</f>
        <v/>
      </c>
      <c r="X2141" s="900" t="str">
        <f t="shared" si="472"/>
        <v xml:space="preserve"> </v>
      </c>
      <c r="Y2141" s="985"/>
      <c r="Z2141" s="922"/>
      <c r="AA2141" s="1067"/>
      <c r="AB2141" s="922"/>
      <c r="AC2141" s="922"/>
      <c r="AD2141" s="922"/>
      <c r="AE2141" s="922"/>
      <c r="AF2141" s="1046"/>
      <c r="AG2141" s="906" t="str">
        <f>IF(AE2141&lt;&gt;0,VLOOKUP(AE2141,ODDS!$A$2:$C$13,3,0),"")</f>
        <v/>
      </c>
      <c r="AH2141" s="906" t="str">
        <f t="shared" si="475"/>
        <v xml:space="preserve"> </v>
      </c>
      <c r="AI2141" s="907" t="str">
        <f t="shared" si="473"/>
        <v xml:space="preserve"> </v>
      </c>
      <c r="AJ2141" s="922"/>
      <c r="AK2141" s="922"/>
    </row>
    <row r="2142" spans="1:37" s="394" customFormat="1" ht="22.5" outlineLevel="2" x14ac:dyDescent="0.3">
      <c r="A2142" s="447">
        <f t="shared" si="476"/>
        <v>180</v>
      </c>
      <c r="B2142" s="893"/>
      <c r="C2142" s="908"/>
      <c r="D2142" s="1032"/>
      <c r="E2142" s="947"/>
      <c r="F2142" s="947"/>
      <c r="G2142" s="922"/>
      <c r="H2142" s="1041"/>
      <c r="I2142" s="882"/>
      <c r="J2142" s="894"/>
      <c r="K2142" s="899" t="str">
        <f>IF(G2142&lt;&gt;0,VLOOKUP(G2142,'gia dat'!$A$1:$F$144,5,0)," ")</f>
        <v xml:space="preserve"> </v>
      </c>
      <c r="L2142" s="899" t="str">
        <f>IF(G2142&lt;&gt;0,VLOOKUP(G2142,'gia dat'!$A$1:$F$144,6,0)," ")</f>
        <v xml:space="preserve"> </v>
      </c>
      <c r="M2142" s="900" t="str">
        <f t="shared" si="469"/>
        <v xml:space="preserve"> </v>
      </c>
      <c r="N2142" s="900" t="str">
        <f t="shared" si="470"/>
        <v xml:space="preserve"> </v>
      </c>
      <c r="O2142" s="908"/>
      <c r="P2142" s="1065"/>
      <c r="Q2142" s="900" t="str">
        <f>IF(O2142&lt;&gt;0,VLOOKUP(O2142,'Cây trong'!$A$2:$C$246,3,0)," ")</f>
        <v xml:space="preserve"> </v>
      </c>
      <c r="R2142" s="900" t="str">
        <f t="shared" si="474"/>
        <v xml:space="preserve"> </v>
      </c>
      <c r="S2142" s="908"/>
      <c r="T2142" s="944"/>
      <c r="U2142" s="1066"/>
      <c r="V2142" s="922"/>
      <c r="W2142" s="900" t="str">
        <f>IF(S2142&lt;&gt;0,VLOOKUP(S2142,VKT!$A$2:$G$415,7,0),"")</f>
        <v/>
      </c>
      <c r="X2142" s="900" t="str">
        <f t="shared" si="472"/>
        <v xml:space="preserve"> </v>
      </c>
      <c r="Y2142" s="985"/>
      <c r="Z2142" s="922"/>
      <c r="AA2142" s="1067"/>
      <c r="AB2142" s="922"/>
      <c r="AC2142" s="922"/>
      <c r="AD2142" s="922"/>
      <c r="AE2142" s="922"/>
      <c r="AF2142" s="1046"/>
      <c r="AG2142" s="906" t="str">
        <f>IF(AE2142&lt;&gt;0,VLOOKUP(AE2142,ODDS!$A$2:$C$13,3,0),"")</f>
        <v/>
      </c>
      <c r="AH2142" s="906" t="str">
        <f t="shared" si="475"/>
        <v xml:space="preserve"> </v>
      </c>
      <c r="AI2142" s="907" t="str">
        <f t="shared" si="473"/>
        <v xml:space="preserve"> </v>
      </c>
      <c r="AJ2142" s="922"/>
      <c r="AK2142" s="922"/>
    </row>
    <row r="2143" spans="1:37" s="394" customFormat="1" ht="22.5" outlineLevel="2" x14ac:dyDescent="0.3">
      <c r="A2143" s="447">
        <f t="shared" si="476"/>
        <v>180</v>
      </c>
      <c r="B2143" s="893"/>
      <c r="C2143" s="908"/>
      <c r="D2143" s="1032"/>
      <c r="E2143" s="947"/>
      <c r="F2143" s="947"/>
      <c r="G2143" s="922"/>
      <c r="H2143" s="1041"/>
      <c r="I2143" s="882"/>
      <c r="J2143" s="894"/>
      <c r="K2143" s="899" t="str">
        <f>IF(G2143&lt;&gt;0,VLOOKUP(G2143,'gia dat'!$A$1:$F$144,5,0)," ")</f>
        <v xml:space="preserve"> </v>
      </c>
      <c r="L2143" s="899" t="str">
        <f>IF(G2143&lt;&gt;0,VLOOKUP(G2143,'gia dat'!$A$1:$F$144,6,0)," ")</f>
        <v xml:space="preserve"> </v>
      </c>
      <c r="M2143" s="900" t="str">
        <f t="shared" si="469"/>
        <v xml:space="preserve"> </v>
      </c>
      <c r="N2143" s="900" t="str">
        <f t="shared" si="470"/>
        <v xml:space="preserve"> </v>
      </c>
      <c r="O2143" s="908"/>
      <c r="P2143" s="1065"/>
      <c r="Q2143" s="900" t="str">
        <f>IF(O2143&lt;&gt;0,VLOOKUP(O2143,'Cây trong'!$A$2:$C$246,3,0)," ")</f>
        <v xml:space="preserve"> </v>
      </c>
      <c r="R2143" s="900" t="str">
        <f t="shared" si="474"/>
        <v xml:space="preserve"> </v>
      </c>
      <c r="S2143" s="908"/>
      <c r="T2143" s="944"/>
      <c r="U2143" s="1066"/>
      <c r="V2143" s="922"/>
      <c r="W2143" s="900" t="str">
        <f>IF(S2143&lt;&gt;0,VLOOKUP(S2143,VKT!$A$2:$G$415,7,0),"")</f>
        <v/>
      </c>
      <c r="X2143" s="900" t="str">
        <f t="shared" si="472"/>
        <v xml:space="preserve"> </v>
      </c>
      <c r="Y2143" s="985"/>
      <c r="Z2143" s="922"/>
      <c r="AA2143" s="1067"/>
      <c r="AB2143" s="922"/>
      <c r="AC2143" s="922"/>
      <c r="AD2143" s="922"/>
      <c r="AE2143" s="922"/>
      <c r="AF2143" s="1046"/>
      <c r="AG2143" s="906" t="str">
        <f>IF(AE2143&lt;&gt;0,VLOOKUP(AE2143,ODDS!$A$2:$C$13,3,0),"")</f>
        <v/>
      </c>
      <c r="AH2143" s="906" t="str">
        <f t="shared" si="475"/>
        <v xml:space="preserve"> </v>
      </c>
      <c r="AI2143" s="907" t="str">
        <f t="shared" si="473"/>
        <v xml:space="preserve"> </v>
      </c>
      <c r="AJ2143" s="922"/>
      <c r="AK2143" s="922"/>
    </row>
    <row r="2144" spans="1:37" s="394" customFormat="1" ht="22.5" outlineLevel="2" x14ac:dyDescent="0.3">
      <c r="A2144" s="447">
        <f t="shared" si="476"/>
        <v>180</v>
      </c>
      <c r="B2144" s="893"/>
      <c r="C2144" s="942"/>
      <c r="D2144" s="1032"/>
      <c r="E2144" s="947"/>
      <c r="F2144" s="947"/>
      <c r="G2144" s="922"/>
      <c r="H2144" s="1041"/>
      <c r="I2144" s="882"/>
      <c r="J2144" s="894"/>
      <c r="K2144" s="899" t="str">
        <f>IF(G2144&lt;&gt;0,VLOOKUP(G2144,'gia dat'!$A$1:$F$144,5,0)," ")</f>
        <v xml:space="preserve"> </v>
      </c>
      <c r="L2144" s="899" t="str">
        <f>IF(G2144&lt;&gt;0,VLOOKUP(G2144,'gia dat'!$A$1:$F$144,6,0)," ")</f>
        <v xml:space="preserve"> </v>
      </c>
      <c r="M2144" s="900" t="str">
        <f t="shared" si="469"/>
        <v xml:space="preserve"> </v>
      </c>
      <c r="N2144" s="900" t="str">
        <f t="shared" si="470"/>
        <v xml:space="preserve"> </v>
      </c>
      <c r="O2144" s="908"/>
      <c r="P2144" s="1065"/>
      <c r="Q2144" s="900" t="str">
        <f>IF(O2144&lt;&gt;0,VLOOKUP(O2144,'Cây trong'!$A$2:$C$246,3,0)," ")</f>
        <v xml:space="preserve"> </v>
      </c>
      <c r="R2144" s="900" t="str">
        <f t="shared" si="474"/>
        <v xml:space="preserve"> </v>
      </c>
      <c r="S2144" s="908"/>
      <c r="T2144" s="944"/>
      <c r="U2144" s="1066"/>
      <c r="V2144" s="922"/>
      <c r="W2144" s="900" t="str">
        <f>IF(S2144&lt;&gt;0,VLOOKUP(S2144,VKT!$A$2:$G$415,7,0),"")</f>
        <v/>
      </c>
      <c r="X2144" s="900" t="str">
        <f t="shared" si="472"/>
        <v xml:space="preserve"> </v>
      </c>
      <c r="Y2144" s="985"/>
      <c r="Z2144" s="922"/>
      <c r="AA2144" s="1067"/>
      <c r="AB2144" s="922"/>
      <c r="AC2144" s="922"/>
      <c r="AD2144" s="922"/>
      <c r="AE2144" s="922"/>
      <c r="AF2144" s="1046"/>
      <c r="AG2144" s="906" t="str">
        <f>IF(AE2144&lt;&gt;0,VLOOKUP(AE2144,ODDS!$A$2:$C$13,3,0),"")</f>
        <v/>
      </c>
      <c r="AH2144" s="906" t="str">
        <f t="shared" si="475"/>
        <v xml:space="preserve"> </v>
      </c>
      <c r="AI2144" s="907" t="str">
        <f t="shared" si="473"/>
        <v xml:space="preserve"> </v>
      </c>
      <c r="AJ2144" s="922"/>
      <c r="AK2144" s="922"/>
    </row>
    <row r="2145" spans="1:37" s="394" customFormat="1" ht="22.5" outlineLevel="1" x14ac:dyDescent="0.25">
      <c r="A2145" s="467" t="s">
        <v>2529</v>
      </c>
      <c r="B2145" s="912">
        <v>181</v>
      </c>
      <c r="C2145" s="942" t="s">
        <v>2801</v>
      </c>
      <c r="D2145" s="1038"/>
      <c r="E2145" s="977"/>
      <c r="F2145" s="977"/>
      <c r="G2145" s="914"/>
      <c r="H2145" s="1039">
        <f>SUBTOTAL(9,H2146:H2158)</f>
        <v>596</v>
      </c>
      <c r="I2145" s="915">
        <f>SUBTOTAL(9,I2146:I2151)</f>
        <v>164</v>
      </c>
      <c r="J2145" s="916"/>
      <c r="K2145" s="917"/>
      <c r="L2145" s="917"/>
      <c r="M2145" s="907">
        <f>SUBTOTAL(9,M2146:M2158)</f>
        <v>277497000</v>
      </c>
      <c r="N2145" s="907">
        <f>SUBTOTAL(9,N2146:N2158)</f>
        <v>229075000</v>
      </c>
      <c r="O2145" s="942"/>
      <c r="P2145" s="1063">
        <f>SUBTOTAL(9,P2146:P2158)</f>
        <v>0</v>
      </c>
      <c r="Q2145" s="907"/>
      <c r="R2145" s="907">
        <f>SUBTOTAL(9,R2146:R2158)</f>
        <v>0</v>
      </c>
      <c r="S2145" s="918"/>
      <c r="T2145" s="956"/>
      <c r="U2145" s="1064">
        <f>SUBTOTAL(9,U2146:U2158)</f>
        <v>149.30000000000001</v>
      </c>
      <c r="V2145" s="914"/>
      <c r="W2145" s="907"/>
      <c r="X2145" s="907">
        <f>SUBTOTAL(9,X2146:X2158)</f>
        <v>393578000</v>
      </c>
      <c r="Y2145" s="985"/>
      <c r="Z2145" s="922"/>
      <c r="AA2145" s="1067"/>
      <c r="AB2145" s="922"/>
      <c r="AC2145" s="922"/>
      <c r="AD2145" s="922"/>
      <c r="AE2145" s="938"/>
      <c r="AF2145" s="917">
        <f>SUBTOTAL(9,AF2146:AF2158)</f>
        <v>1</v>
      </c>
      <c r="AG2145" s="921"/>
      <c r="AH2145" s="921">
        <f>SUBTOTAL(9,AH2146:AH2158)</f>
        <v>17000000</v>
      </c>
      <c r="AI2145" s="907">
        <f t="shared" si="473"/>
        <v>917150000</v>
      </c>
      <c r="AJ2145" s="914"/>
      <c r="AK2145" s="914"/>
    </row>
    <row r="2146" spans="1:37" s="394" customFormat="1" ht="135" outlineLevel="2" x14ac:dyDescent="0.3">
      <c r="A2146" s="447">
        <f>IF(B2145&lt;&gt;0,B2145,A2144)</f>
        <v>181</v>
      </c>
      <c r="B2146" s="893"/>
      <c r="C2146" s="908" t="s">
        <v>1446</v>
      </c>
      <c r="D2146" s="1032">
        <v>4</v>
      </c>
      <c r="E2146" s="947">
        <v>86</v>
      </c>
      <c r="F2146" s="947">
        <v>351</v>
      </c>
      <c r="G2146" s="922" t="s">
        <v>2080</v>
      </c>
      <c r="H2146" s="1041">
        <f>596-H2147</f>
        <v>164</v>
      </c>
      <c r="I2146" s="882">
        <f t="shared" ref="I2146:I2147" si="477">IF(N2146&gt;0,H2146,"")</f>
        <v>164</v>
      </c>
      <c r="J2146" s="898"/>
      <c r="K2146" s="899">
        <f>IF(G2146&lt;&gt;0,VLOOKUP(G2146,'gia dat'!$A$1:$F$144,5,0)," ")</f>
        <v>465600</v>
      </c>
      <c r="L2146" s="899">
        <f>IF(G2146&lt;&gt;0,VLOOKUP(G2146,'gia dat'!$A$1:$F$144,6,0)," ")</f>
        <v>1396800</v>
      </c>
      <c r="M2146" s="900">
        <f t="shared" si="469"/>
        <v>76358000</v>
      </c>
      <c r="N2146" s="900">
        <f t="shared" si="470"/>
        <v>229075000</v>
      </c>
      <c r="O2146" s="908"/>
      <c r="P2146" s="1065"/>
      <c r="Q2146" s="900" t="str">
        <f>IF(O2146&lt;&gt;0,VLOOKUP(O2146,'Cây trong'!$A$2:$C$246,3,0)," ")</f>
        <v xml:space="preserve"> </v>
      </c>
      <c r="R2146" s="900" t="str">
        <f t="shared" si="474"/>
        <v xml:space="preserve"> </v>
      </c>
      <c r="S2146" s="902" t="s">
        <v>1978</v>
      </c>
      <c r="T2146" s="944" t="s">
        <v>1133</v>
      </c>
      <c r="U2146" s="1066">
        <v>2.9</v>
      </c>
      <c r="V2146" s="922"/>
      <c r="W2146" s="900">
        <f>IF(S2146&lt;&gt;0,VLOOKUP(S2146,VKT!$A$2:$G$415,7,0),"")</f>
        <v>236298</v>
      </c>
      <c r="X2146" s="900">
        <f t="shared" si="472"/>
        <v>685000</v>
      </c>
      <c r="Y2146" s="985"/>
      <c r="Z2146" s="922"/>
      <c r="AA2146" s="1067"/>
      <c r="AB2146" s="922"/>
      <c r="AC2146" s="922"/>
      <c r="AD2146" s="922"/>
      <c r="AE2146" s="905"/>
      <c r="AF2146" s="899"/>
      <c r="AG2146" s="906"/>
      <c r="AH2146" s="906"/>
      <c r="AI2146" s="907" t="str">
        <f t="shared" si="473"/>
        <v xml:space="preserve"> </v>
      </c>
      <c r="AJ2146" s="922" t="s">
        <v>1445</v>
      </c>
      <c r="AK2146" s="922" t="s">
        <v>2771</v>
      </c>
    </row>
    <row r="2147" spans="1:37" s="394" customFormat="1" ht="135" outlineLevel="2" x14ac:dyDescent="0.3">
      <c r="A2147" s="447">
        <f t="shared" ref="A2147:A2158" si="478">IF(B2146&lt;&gt;0,B2146,A2146)</f>
        <v>181</v>
      </c>
      <c r="B2147" s="893"/>
      <c r="C2147" s="908" t="s">
        <v>1633</v>
      </c>
      <c r="D2147" s="1032"/>
      <c r="E2147" s="947"/>
      <c r="F2147" s="947"/>
      <c r="G2147" s="922" t="s">
        <v>2065</v>
      </c>
      <c r="H2147" s="1041">
        <v>432</v>
      </c>
      <c r="I2147" s="882" t="str">
        <f t="shared" si="477"/>
        <v/>
      </c>
      <c r="J2147" s="898"/>
      <c r="K2147" s="899">
        <f>IF(G2147&lt;&gt;0,VLOOKUP(G2147,'gia dat'!$A$1:$F$144,5,0)," ")</f>
        <v>465600</v>
      </c>
      <c r="L2147" s="899">
        <f>IF(G2147&lt;&gt;0,VLOOKUP(G2147,'gia dat'!$A$1:$F$144,6,0)," ")</f>
        <v>0</v>
      </c>
      <c r="M2147" s="900">
        <f t="shared" si="469"/>
        <v>201139000</v>
      </c>
      <c r="N2147" s="900">
        <f t="shared" si="470"/>
        <v>0</v>
      </c>
      <c r="O2147" s="908"/>
      <c r="P2147" s="1065"/>
      <c r="Q2147" s="900" t="str">
        <f>IF(O2147&lt;&gt;0,VLOOKUP(O2147,'Cây trong'!$A$2:$C$246,3,0)," ")</f>
        <v xml:space="preserve"> </v>
      </c>
      <c r="R2147" s="900" t="str">
        <f t="shared" si="474"/>
        <v xml:space="preserve"> </v>
      </c>
      <c r="S2147" s="902" t="s">
        <v>1839</v>
      </c>
      <c r="T2147" s="944" t="s">
        <v>1133</v>
      </c>
      <c r="U2147" s="1066">
        <v>12</v>
      </c>
      <c r="V2147" s="922"/>
      <c r="W2147" s="900">
        <f>IF(S2147&lt;&gt;0,VLOOKUP(S2147,VKT!$A$2:$G$415,7,0),"")</f>
        <v>244604</v>
      </c>
      <c r="X2147" s="900">
        <f t="shared" si="472"/>
        <v>2935000</v>
      </c>
      <c r="Y2147" s="985"/>
      <c r="Z2147" s="922"/>
      <c r="AA2147" s="1067"/>
      <c r="AB2147" s="922"/>
      <c r="AC2147" s="922"/>
      <c r="AD2147" s="922"/>
      <c r="AE2147" s="905" t="s">
        <v>2791</v>
      </c>
      <c r="AF2147" s="926">
        <v>1</v>
      </c>
      <c r="AG2147" s="906">
        <f>IF(AE2147&lt;&gt;0,VLOOKUP(AE2147,ODDS!$A$2:$C$13,3,0),"")</f>
        <v>17000000</v>
      </c>
      <c r="AH2147" s="906">
        <f t="shared" si="475"/>
        <v>17000000</v>
      </c>
      <c r="AI2147" s="907" t="str">
        <f t="shared" si="473"/>
        <v xml:space="preserve"> </v>
      </c>
      <c r="AJ2147" s="922" t="s">
        <v>1447</v>
      </c>
      <c r="AK2147" s="894" t="s">
        <v>2448</v>
      </c>
    </row>
    <row r="2148" spans="1:37" s="394" customFormat="1" ht="112.5" outlineLevel="2" x14ac:dyDescent="0.3">
      <c r="A2148" s="447">
        <f t="shared" si="478"/>
        <v>181</v>
      </c>
      <c r="B2148" s="893"/>
      <c r="C2148" s="908"/>
      <c r="D2148" s="1032"/>
      <c r="E2148" s="947"/>
      <c r="F2148" s="947"/>
      <c r="G2148" s="922"/>
      <c r="H2148" s="1041"/>
      <c r="I2148" s="882"/>
      <c r="J2148" s="898"/>
      <c r="K2148" s="899" t="str">
        <f>IF(G2148&lt;&gt;0,VLOOKUP(G2148,'gia dat'!$A$1:$F$144,5,0)," ")</f>
        <v xml:space="preserve"> </v>
      </c>
      <c r="L2148" s="899" t="str">
        <f>IF(G2148&lt;&gt;0,VLOOKUP(G2148,'gia dat'!$A$1:$F$144,6,0)," ")</f>
        <v xml:space="preserve"> </v>
      </c>
      <c r="M2148" s="900" t="str">
        <f t="shared" si="469"/>
        <v xml:space="preserve"> </v>
      </c>
      <c r="N2148" s="900" t="str">
        <f t="shared" si="470"/>
        <v xml:space="preserve"> </v>
      </c>
      <c r="O2148" s="908"/>
      <c r="P2148" s="1065"/>
      <c r="Q2148" s="900" t="str">
        <f>IF(O2148&lt;&gt;0,VLOOKUP(O2148,'Cây trong'!$A$2:$C$246,3,0)," ")</f>
        <v xml:space="preserve"> </v>
      </c>
      <c r="R2148" s="900" t="str">
        <f t="shared" si="474"/>
        <v xml:space="preserve"> </v>
      </c>
      <c r="S2148" s="902" t="s">
        <v>1992</v>
      </c>
      <c r="T2148" s="944" t="s">
        <v>1133</v>
      </c>
      <c r="U2148" s="1066">
        <v>22.4</v>
      </c>
      <c r="V2148" s="922"/>
      <c r="W2148" s="900">
        <f>IF(S2148&lt;&gt;0,VLOOKUP(S2148,VKT!$A$2:$G$415,7,0),"")</f>
        <v>984277</v>
      </c>
      <c r="X2148" s="900">
        <f t="shared" si="472"/>
        <v>22048000</v>
      </c>
      <c r="Y2148" s="1016" t="s">
        <v>1139</v>
      </c>
      <c r="Z2148" s="1016" t="s">
        <v>56</v>
      </c>
      <c r="AA2148" s="1016"/>
      <c r="AB2148" s="1026" t="s">
        <v>1138</v>
      </c>
      <c r="AC2148" s="922"/>
      <c r="AD2148" s="922"/>
      <c r="AE2148" s="941"/>
      <c r="AF2148" s="926"/>
      <c r="AG2148" s="906" t="str">
        <f>IF(AE2148&lt;&gt;0,VLOOKUP(AE2148,ODDS!$A$2:$C$13,3,0),"")</f>
        <v/>
      </c>
      <c r="AH2148" s="906" t="str">
        <f t="shared" si="475"/>
        <v xml:space="preserve"> </v>
      </c>
      <c r="AI2148" s="907" t="str">
        <f t="shared" si="473"/>
        <v xml:space="preserve"> </v>
      </c>
      <c r="AJ2148" s="922" t="s">
        <v>1416</v>
      </c>
      <c r="AK2148" s="894" t="s">
        <v>2450</v>
      </c>
    </row>
    <row r="2149" spans="1:37" s="394" customFormat="1" ht="90" outlineLevel="2" x14ac:dyDescent="0.3">
      <c r="A2149" s="447">
        <f t="shared" si="478"/>
        <v>181</v>
      </c>
      <c r="B2149" s="893"/>
      <c r="C2149" s="908"/>
      <c r="D2149" s="1032"/>
      <c r="E2149" s="947"/>
      <c r="F2149" s="947"/>
      <c r="G2149" s="922"/>
      <c r="H2149" s="1041"/>
      <c r="I2149" s="882"/>
      <c r="J2149" s="898"/>
      <c r="K2149" s="899" t="str">
        <f>IF(G2149&lt;&gt;0,VLOOKUP(G2149,'gia dat'!$A$1:$F$144,5,0)," ")</f>
        <v xml:space="preserve"> </v>
      </c>
      <c r="L2149" s="899" t="str">
        <f>IF(G2149&lt;&gt;0,VLOOKUP(G2149,'gia dat'!$A$1:$F$144,6,0)," ")</f>
        <v xml:space="preserve"> </v>
      </c>
      <c r="M2149" s="900" t="str">
        <f t="shared" si="469"/>
        <v xml:space="preserve"> </v>
      </c>
      <c r="N2149" s="900" t="str">
        <f t="shared" si="470"/>
        <v xml:space="preserve"> </v>
      </c>
      <c r="O2149" s="908"/>
      <c r="P2149" s="1065"/>
      <c r="Q2149" s="900" t="str">
        <f>IF(O2149&lt;&gt;0,VLOOKUP(O2149,'Cây trong'!$A$2:$C$246,3,0)," ")</f>
        <v xml:space="preserve"> </v>
      </c>
      <c r="R2149" s="900" t="str">
        <f t="shared" si="474"/>
        <v xml:space="preserve"> </v>
      </c>
      <c r="S2149" s="902" t="s">
        <v>1838</v>
      </c>
      <c r="T2149" s="944" t="s">
        <v>1133</v>
      </c>
      <c r="U2149" s="1066">
        <v>87.9</v>
      </c>
      <c r="V2149" s="922"/>
      <c r="W2149" s="900">
        <f>IF(S2149&lt;&gt;0,VLOOKUP(S2149,VKT!$A$2:$G$415,7,0),"")</f>
        <v>3156089</v>
      </c>
      <c r="X2149" s="900">
        <f t="shared" si="472"/>
        <v>277420000</v>
      </c>
      <c r="Y2149" s="1016" t="s">
        <v>1139</v>
      </c>
      <c r="Z2149" s="1016" t="s">
        <v>56</v>
      </c>
      <c r="AA2149" s="1016" t="s">
        <v>269</v>
      </c>
      <c r="AB2149" s="1026" t="s">
        <v>1138</v>
      </c>
      <c r="AC2149" s="922"/>
      <c r="AD2149" s="922"/>
      <c r="AE2149" s="922"/>
      <c r="AF2149" s="1046"/>
      <c r="AG2149" s="906" t="str">
        <f>IF(AE2149&lt;&gt;0,VLOOKUP(AE2149,ODDS!$A$2:$C$13,3,0),"")</f>
        <v/>
      </c>
      <c r="AH2149" s="906" t="str">
        <f t="shared" si="475"/>
        <v xml:space="preserve"> </v>
      </c>
      <c r="AI2149" s="907" t="str">
        <f t="shared" si="473"/>
        <v xml:space="preserve"> </v>
      </c>
      <c r="AJ2149" s="922" t="s">
        <v>2074</v>
      </c>
      <c r="AK2149" s="922" t="s">
        <v>2451</v>
      </c>
    </row>
    <row r="2150" spans="1:37" s="394" customFormat="1" ht="112.5" outlineLevel="2" x14ac:dyDescent="0.35">
      <c r="A2150" s="447">
        <f t="shared" si="478"/>
        <v>181</v>
      </c>
      <c r="B2150" s="893"/>
      <c r="C2150" s="908"/>
      <c r="D2150" s="1032"/>
      <c r="E2150" s="947"/>
      <c r="F2150" s="947"/>
      <c r="G2150" s="922"/>
      <c r="H2150" s="1041"/>
      <c r="I2150" s="882"/>
      <c r="J2150" s="898"/>
      <c r="K2150" s="899" t="str">
        <f>IF(G2150&lt;&gt;0,VLOOKUP(G2150,'gia dat'!$A$1:$F$144,5,0)," ")</f>
        <v xml:space="preserve"> </v>
      </c>
      <c r="L2150" s="899" t="str">
        <f>IF(G2150&lt;&gt;0,VLOOKUP(G2150,'gia dat'!$A$1:$F$144,6,0)," ")</f>
        <v xml:space="preserve"> </v>
      </c>
      <c r="M2150" s="900" t="str">
        <f t="shared" si="469"/>
        <v xml:space="preserve"> </v>
      </c>
      <c r="N2150" s="900" t="str">
        <f t="shared" si="470"/>
        <v xml:space="preserve"> </v>
      </c>
      <c r="O2150" s="908"/>
      <c r="P2150" s="1065"/>
      <c r="Q2150" s="900" t="str">
        <f>IF(O2150&lt;&gt;0,VLOOKUP(O2150,'Cây trong'!$A$2:$C$246,3,0)," ")</f>
        <v xml:space="preserve"> </v>
      </c>
      <c r="R2150" s="900" t="str">
        <f t="shared" si="474"/>
        <v xml:space="preserve"> </v>
      </c>
      <c r="S2150" s="902" t="s">
        <v>1981</v>
      </c>
      <c r="T2150" s="944" t="s">
        <v>1133</v>
      </c>
      <c r="U2150" s="1066">
        <v>2.8</v>
      </c>
      <c r="V2150" s="922"/>
      <c r="W2150" s="900">
        <f>IF(S2150&lt;&gt;0,VLOOKUP(S2150,VKT!$A$2:$G$415,7,0),"")</f>
        <v>8308812</v>
      </c>
      <c r="X2150" s="900">
        <f t="shared" si="472"/>
        <v>23265000</v>
      </c>
      <c r="Y2150" s="1016"/>
      <c r="Z2150" s="1016"/>
      <c r="AA2150" s="1016"/>
      <c r="AB2150" s="1026"/>
      <c r="AC2150" s="922"/>
      <c r="AD2150" s="922"/>
      <c r="AE2150" s="922"/>
      <c r="AF2150" s="1046"/>
      <c r="AG2150" s="906" t="str">
        <f>IF(AE2150&lt;&gt;0,VLOOKUP(AE2150,ODDS!$A$2:$C$13,3,0),"")</f>
        <v/>
      </c>
      <c r="AH2150" s="906" t="str">
        <f t="shared" si="475"/>
        <v xml:space="preserve"> </v>
      </c>
      <c r="AI2150" s="907" t="str">
        <f t="shared" si="473"/>
        <v xml:space="preserve"> </v>
      </c>
      <c r="AJ2150" s="1068"/>
      <c r="AK2150" s="922" t="s">
        <v>2800</v>
      </c>
    </row>
    <row r="2151" spans="1:37" s="394" customFormat="1" ht="45" outlineLevel="2" x14ac:dyDescent="0.3">
      <c r="A2151" s="447">
        <f t="shared" si="478"/>
        <v>181</v>
      </c>
      <c r="B2151" s="893"/>
      <c r="C2151" s="908"/>
      <c r="D2151" s="1032"/>
      <c r="E2151" s="947"/>
      <c r="F2151" s="947"/>
      <c r="G2151" s="922"/>
      <c r="H2151" s="1041"/>
      <c r="I2151" s="882"/>
      <c r="J2151" s="898"/>
      <c r="K2151" s="899" t="str">
        <f>IF(G2151&lt;&gt;0,VLOOKUP(G2151,'gia dat'!$A$1:$F$144,5,0)," ")</f>
        <v xml:space="preserve"> </v>
      </c>
      <c r="L2151" s="899" t="str">
        <f>IF(G2151&lt;&gt;0,VLOOKUP(G2151,'gia dat'!$A$1:$F$144,6,0)," ")</f>
        <v xml:space="preserve"> </v>
      </c>
      <c r="M2151" s="900" t="str">
        <f t="shared" si="469"/>
        <v xml:space="preserve"> </v>
      </c>
      <c r="N2151" s="900" t="str">
        <f t="shared" si="470"/>
        <v xml:space="preserve"> </v>
      </c>
      <c r="O2151" s="908"/>
      <c r="P2151" s="1065"/>
      <c r="Q2151" s="900" t="str">
        <f>IF(O2151&lt;&gt;0,VLOOKUP(O2151,'Cây trong'!$A$2:$C$246,3,0)," ")</f>
        <v xml:space="preserve"> </v>
      </c>
      <c r="R2151" s="900" t="str">
        <f t="shared" si="474"/>
        <v xml:space="preserve"> </v>
      </c>
      <c r="S2151" s="908" t="s">
        <v>1838</v>
      </c>
      <c r="T2151" s="944" t="s">
        <v>1133</v>
      </c>
      <c r="U2151" s="1066">
        <v>21.3</v>
      </c>
      <c r="V2151" s="922"/>
      <c r="W2151" s="900">
        <f>IF(S2151&lt;&gt;0,VLOOKUP(S2151,VKT!$A$2:$G$415,7,0),"")</f>
        <v>3156089</v>
      </c>
      <c r="X2151" s="900">
        <f t="shared" si="472"/>
        <v>67225000</v>
      </c>
      <c r="Y2151" s="1016" t="s">
        <v>1139</v>
      </c>
      <c r="Z2151" s="1016" t="s">
        <v>56</v>
      </c>
      <c r="AA2151" s="1016" t="s">
        <v>269</v>
      </c>
      <c r="AB2151" s="1026" t="s">
        <v>139</v>
      </c>
      <c r="AC2151" s="922"/>
      <c r="AD2151" s="922"/>
      <c r="AE2151" s="922"/>
      <c r="AF2151" s="1046"/>
      <c r="AG2151" s="906" t="str">
        <f>IF(AE2151&lt;&gt;0,VLOOKUP(AE2151,ODDS!$A$2:$C$13,3,0),"")</f>
        <v/>
      </c>
      <c r="AH2151" s="906" t="str">
        <f t="shared" si="475"/>
        <v xml:space="preserve"> </v>
      </c>
      <c r="AI2151" s="907" t="str">
        <f t="shared" si="473"/>
        <v xml:space="preserve"> </v>
      </c>
      <c r="AJ2151" s="922"/>
      <c r="AK2151" s="922"/>
    </row>
    <row r="2152" spans="1:37" s="394" customFormat="1" ht="22.5" outlineLevel="2" x14ac:dyDescent="0.3">
      <c r="A2152" s="447">
        <f t="shared" si="478"/>
        <v>181</v>
      </c>
      <c r="B2152" s="893"/>
      <c r="C2152" s="908"/>
      <c r="D2152" s="1032"/>
      <c r="E2152" s="947"/>
      <c r="F2152" s="947"/>
      <c r="G2152" s="922"/>
      <c r="H2152" s="1041"/>
      <c r="I2152" s="882"/>
      <c r="J2152" s="898"/>
      <c r="K2152" s="899" t="str">
        <f>IF(G2152&lt;&gt;0,VLOOKUP(G2152,'gia dat'!$A$1:$F$144,5,0)," ")</f>
        <v xml:space="preserve"> </v>
      </c>
      <c r="L2152" s="899" t="str">
        <f>IF(G2152&lt;&gt;0,VLOOKUP(G2152,'gia dat'!$A$1:$F$144,6,0)," ")</f>
        <v xml:space="preserve"> </v>
      </c>
      <c r="M2152" s="900" t="str">
        <f t="shared" si="469"/>
        <v xml:space="preserve"> </v>
      </c>
      <c r="N2152" s="900" t="str">
        <f t="shared" si="470"/>
        <v xml:space="preserve"> </v>
      </c>
      <c r="O2152" s="908"/>
      <c r="P2152" s="1065"/>
      <c r="Q2152" s="900" t="str">
        <f>IF(O2152&lt;&gt;0,VLOOKUP(O2152,'Cây trong'!$A$2:$C$246,3,0)," ")</f>
        <v xml:space="preserve"> </v>
      </c>
      <c r="R2152" s="900" t="str">
        <f t="shared" si="474"/>
        <v xml:space="preserve"> </v>
      </c>
      <c r="S2152" s="902"/>
      <c r="T2152" s="944"/>
      <c r="U2152" s="1066"/>
      <c r="V2152" s="922"/>
      <c r="W2152" s="900" t="str">
        <f>IF(S2152&lt;&gt;0,VLOOKUP(S2152,VKT!$A$2:$G$415,7,0),"")</f>
        <v/>
      </c>
      <c r="X2152" s="900" t="str">
        <f t="shared" si="472"/>
        <v xml:space="preserve"> </v>
      </c>
      <c r="Y2152" s="985"/>
      <c r="Z2152" s="922"/>
      <c r="AA2152" s="1067"/>
      <c r="AB2152" s="922"/>
      <c r="AC2152" s="922"/>
      <c r="AD2152" s="922"/>
      <c r="AE2152" s="922"/>
      <c r="AF2152" s="1046"/>
      <c r="AG2152" s="906" t="str">
        <f>IF(AE2152&lt;&gt;0,VLOOKUP(AE2152,ODDS!$A$2:$C$13,3,0),"")</f>
        <v/>
      </c>
      <c r="AH2152" s="906" t="str">
        <f t="shared" si="475"/>
        <v xml:space="preserve"> </v>
      </c>
      <c r="AI2152" s="907" t="str">
        <f t="shared" si="473"/>
        <v xml:space="preserve"> </v>
      </c>
      <c r="AJ2152" s="922"/>
      <c r="AK2152" s="922"/>
    </row>
    <row r="2153" spans="1:37" s="394" customFormat="1" ht="22.5" outlineLevel="2" x14ac:dyDescent="0.3">
      <c r="A2153" s="447">
        <f t="shared" si="478"/>
        <v>181</v>
      </c>
      <c r="B2153" s="893"/>
      <c r="C2153" s="908"/>
      <c r="D2153" s="1032"/>
      <c r="E2153" s="947"/>
      <c r="F2153" s="947"/>
      <c r="G2153" s="922"/>
      <c r="H2153" s="1041"/>
      <c r="I2153" s="882"/>
      <c r="J2153" s="898"/>
      <c r="K2153" s="899" t="str">
        <f>IF(G2153&lt;&gt;0,VLOOKUP(G2153,'gia dat'!$A$1:$F$144,5,0)," ")</f>
        <v xml:space="preserve"> </v>
      </c>
      <c r="L2153" s="899" t="str">
        <f>IF(G2153&lt;&gt;0,VLOOKUP(G2153,'gia dat'!$A$1:$F$144,6,0)," ")</f>
        <v xml:space="preserve"> </v>
      </c>
      <c r="M2153" s="900" t="str">
        <f t="shared" si="469"/>
        <v xml:space="preserve"> </v>
      </c>
      <c r="N2153" s="900" t="str">
        <f t="shared" si="470"/>
        <v xml:space="preserve"> </v>
      </c>
      <c r="O2153" s="908"/>
      <c r="P2153" s="1065"/>
      <c r="Q2153" s="900" t="str">
        <f>IF(O2153&lt;&gt;0,VLOOKUP(O2153,'Cây trong'!$A$2:$C$246,3,0)," ")</f>
        <v xml:space="preserve"> </v>
      </c>
      <c r="R2153" s="900" t="str">
        <f t="shared" si="474"/>
        <v xml:space="preserve"> </v>
      </c>
      <c r="S2153" s="902"/>
      <c r="T2153" s="944"/>
      <c r="U2153" s="1066"/>
      <c r="V2153" s="922"/>
      <c r="W2153" s="900" t="str">
        <f>IF(S2153&lt;&gt;0,VLOOKUP(S2153,VKT!$A$2:$G$415,7,0),"")</f>
        <v/>
      </c>
      <c r="X2153" s="900" t="str">
        <f t="shared" si="472"/>
        <v xml:space="preserve"> </v>
      </c>
      <c r="Y2153" s="985"/>
      <c r="Z2153" s="922"/>
      <c r="AA2153" s="1067"/>
      <c r="AB2153" s="922"/>
      <c r="AC2153" s="922"/>
      <c r="AD2153" s="922"/>
      <c r="AE2153" s="922"/>
      <c r="AF2153" s="1046"/>
      <c r="AG2153" s="906" t="str">
        <f>IF(AE2153&lt;&gt;0,VLOOKUP(AE2153,ODDS!$A$2:$C$13,3,0),"")</f>
        <v/>
      </c>
      <c r="AH2153" s="906" t="str">
        <f t="shared" si="475"/>
        <v xml:space="preserve"> </v>
      </c>
      <c r="AI2153" s="907" t="str">
        <f t="shared" si="473"/>
        <v xml:space="preserve"> </v>
      </c>
      <c r="AJ2153" s="922"/>
      <c r="AK2153" s="922"/>
    </row>
    <row r="2154" spans="1:37" s="394" customFormat="1" ht="22.5" outlineLevel="2" x14ac:dyDescent="0.3">
      <c r="A2154" s="447">
        <f t="shared" si="478"/>
        <v>181</v>
      </c>
      <c r="B2154" s="893"/>
      <c r="C2154" s="908"/>
      <c r="D2154" s="1032"/>
      <c r="E2154" s="947"/>
      <c r="F2154" s="947"/>
      <c r="G2154" s="922"/>
      <c r="H2154" s="1041"/>
      <c r="I2154" s="882"/>
      <c r="J2154" s="898"/>
      <c r="K2154" s="899" t="str">
        <f>IF(G2154&lt;&gt;0,VLOOKUP(G2154,'gia dat'!$A$1:$F$144,5,0)," ")</f>
        <v xml:space="preserve"> </v>
      </c>
      <c r="L2154" s="899" t="str">
        <f>IF(G2154&lt;&gt;0,VLOOKUP(G2154,'gia dat'!$A$1:$F$144,6,0)," ")</f>
        <v xml:space="preserve"> </v>
      </c>
      <c r="M2154" s="900" t="str">
        <f t="shared" si="469"/>
        <v xml:space="preserve"> </v>
      </c>
      <c r="N2154" s="900" t="str">
        <f t="shared" si="470"/>
        <v xml:space="preserve"> </v>
      </c>
      <c r="O2154" s="908"/>
      <c r="P2154" s="1065"/>
      <c r="Q2154" s="900" t="str">
        <f>IF(O2154&lt;&gt;0,VLOOKUP(O2154,'Cây trong'!$A$2:$C$246,3,0)," ")</f>
        <v xml:space="preserve"> </v>
      </c>
      <c r="R2154" s="900" t="str">
        <f t="shared" si="474"/>
        <v xml:space="preserve"> </v>
      </c>
      <c r="S2154" s="902"/>
      <c r="T2154" s="944"/>
      <c r="U2154" s="1066"/>
      <c r="V2154" s="922"/>
      <c r="W2154" s="900" t="str">
        <f>IF(S2154&lt;&gt;0,VLOOKUP(S2154,VKT!$A$2:$G$415,7,0),"")</f>
        <v/>
      </c>
      <c r="X2154" s="900" t="str">
        <f t="shared" si="472"/>
        <v xml:space="preserve"> </v>
      </c>
      <c r="Y2154" s="985"/>
      <c r="Z2154" s="922"/>
      <c r="AA2154" s="1067"/>
      <c r="AB2154" s="922"/>
      <c r="AC2154" s="922"/>
      <c r="AD2154" s="922"/>
      <c r="AE2154" s="922"/>
      <c r="AF2154" s="1046"/>
      <c r="AG2154" s="906" t="str">
        <f>IF(AE2154&lt;&gt;0,VLOOKUP(AE2154,ODDS!$A$2:$C$13,3,0),"")</f>
        <v/>
      </c>
      <c r="AH2154" s="906" t="str">
        <f t="shared" si="475"/>
        <v xml:space="preserve"> </v>
      </c>
      <c r="AI2154" s="907" t="str">
        <f t="shared" si="473"/>
        <v xml:space="preserve"> </v>
      </c>
      <c r="AJ2154" s="922"/>
      <c r="AK2154" s="922"/>
    </row>
    <row r="2155" spans="1:37" s="394" customFormat="1" ht="22.5" outlineLevel="2" x14ac:dyDescent="0.3">
      <c r="A2155" s="447">
        <f t="shared" si="478"/>
        <v>181</v>
      </c>
      <c r="B2155" s="893"/>
      <c r="C2155" s="908"/>
      <c r="D2155" s="1032"/>
      <c r="E2155" s="947"/>
      <c r="F2155" s="947"/>
      <c r="G2155" s="922"/>
      <c r="H2155" s="1041"/>
      <c r="I2155" s="882"/>
      <c r="J2155" s="898"/>
      <c r="K2155" s="899" t="str">
        <f>IF(G2155&lt;&gt;0,VLOOKUP(G2155,'gia dat'!$A$1:$F$144,5,0)," ")</f>
        <v xml:space="preserve"> </v>
      </c>
      <c r="L2155" s="899" t="str">
        <f>IF(G2155&lt;&gt;0,VLOOKUP(G2155,'gia dat'!$A$1:$F$144,6,0)," ")</f>
        <v xml:space="preserve"> </v>
      </c>
      <c r="M2155" s="900" t="str">
        <f t="shared" si="469"/>
        <v xml:space="preserve"> </v>
      </c>
      <c r="N2155" s="900" t="str">
        <f t="shared" si="470"/>
        <v xml:space="preserve"> </v>
      </c>
      <c r="O2155" s="908"/>
      <c r="P2155" s="1065"/>
      <c r="Q2155" s="900" t="str">
        <f>IF(O2155&lt;&gt;0,VLOOKUP(O2155,'Cây trong'!$A$2:$C$246,3,0)," ")</f>
        <v xml:space="preserve"> </v>
      </c>
      <c r="R2155" s="900" t="str">
        <f t="shared" si="474"/>
        <v xml:space="preserve"> </v>
      </c>
      <c r="S2155" s="902"/>
      <c r="T2155" s="944"/>
      <c r="U2155" s="1066"/>
      <c r="V2155" s="922"/>
      <c r="W2155" s="900" t="str">
        <f>IF(S2155&lt;&gt;0,VLOOKUP(S2155,VKT!$A$2:$G$415,7,0),"")</f>
        <v/>
      </c>
      <c r="X2155" s="900" t="str">
        <f t="shared" si="472"/>
        <v xml:space="preserve"> </v>
      </c>
      <c r="Y2155" s="985"/>
      <c r="Z2155" s="922"/>
      <c r="AA2155" s="1067"/>
      <c r="AB2155" s="922"/>
      <c r="AC2155" s="922"/>
      <c r="AD2155" s="922"/>
      <c r="AE2155" s="922"/>
      <c r="AF2155" s="1046"/>
      <c r="AG2155" s="906" t="str">
        <f>IF(AE2155&lt;&gt;0,VLOOKUP(AE2155,ODDS!$A$2:$C$13,3,0),"")</f>
        <v/>
      </c>
      <c r="AH2155" s="906" t="str">
        <f t="shared" si="475"/>
        <v xml:space="preserve"> </v>
      </c>
      <c r="AI2155" s="907" t="str">
        <f t="shared" si="473"/>
        <v xml:space="preserve"> </v>
      </c>
      <c r="AJ2155" s="922"/>
      <c r="AK2155" s="922"/>
    </row>
    <row r="2156" spans="1:37" s="394" customFormat="1" ht="22.5" outlineLevel="2" x14ac:dyDescent="0.3">
      <c r="A2156" s="447">
        <f t="shared" si="478"/>
        <v>181</v>
      </c>
      <c r="B2156" s="893"/>
      <c r="C2156" s="908"/>
      <c r="D2156" s="1032"/>
      <c r="E2156" s="947"/>
      <c r="F2156" s="947"/>
      <c r="G2156" s="922"/>
      <c r="H2156" s="1041"/>
      <c r="I2156" s="882"/>
      <c r="J2156" s="898"/>
      <c r="K2156" s="899" t="str">
        <f>IF(G2156&lt;&gt;0,VLOOKUP(G2156,'gia dat'!$A$1:$F$144,5,0)," ")</f>
        <v xml:space="preserve"> </v>
      </c>
      <c r="L2156" s="899" t="str">
        <f>IF(G2156&lt;&gt;0,VLOOKUP(G2156,'gia dat'!$A$1:$F$144,6,0)," ")</f>
        <v xml:space="preserve"> </v>
      </c>
      <c r="M2156" s="900" t="str">
        <f t="shared" si="469"/>
        <v xml:space="preserve"> </v>
      </c>
      <c r="N2156" s="900" t="str">
        <f t="shared" si="470"/>
        <v xml:space="preserve"> </v>
      </c>
      <c r="O2156" s="908"/>
      <c r="P2156" s="1065"/>
      <c r="Q2156" s="900" t="str">
        <f>IF(O2156&lt;&gt;0,VLOOKUP(O2156,'Cây trong'!$A$2:$C$246,3,0)," ")</f>
        <v xml:space="preserve"> </v>
      </c>
      <c r="R2156" s="900" t="str">
        <f t="shared" si="474"/>
        <v xml:space="preserve"> </v>
      </c>
      <c r="S2156" s="902"/>
      <c r="T2156" s="944"/>
      <c r="U2156" s="1066"/>
      <c r="V2156" s="922"/>
      <c r="W2156" s="900" t="str">
        <f>IF(S2156&lt;&gt;0,VLOOKUP(S2156,VKT!$A$2:$G$415,7,0),"")</f>
        <v/>
      </c>
      <c r="X2156" s="900" t="str">
        <f t="shared" si="472"/>
        <v xml:space="preserve"> </v>
      </c>
      <c r="Y2156" s="985"/>
      <c r="Z2156" s="922"/>
      <c r="AA2156" s="1067"/>
      <c r="AB2156" s="922"/>
      <c r="AC2156" s="922"/>
      <c r="AD2156" s="922"/>
      <c r="AE2156" s="922"/>
      <c r="AF2156" s="1046"/>
      <c r="AG2156" s="906" t="str">
        <f>IF(AE2156&lt;&gt;0,VLOOKUP(AE2156,ODDS!$A$2:$C$13,3,0),"")</f>
        <v/>
      </c>
      <c r="AH2156" s="906" t="str">
        <f t="shared" si="475"/>
        <v xml:space="preserve"> </v>
      </c>
      <c r="AI2156" s="907" t="str">
        <f t="shared" si="473"/>
        <v xml:space="preserve"> </v>
      </c>
      <c r="AJ2156" s="908"/>
      <c r="AK2156" s="908"/>
    </row>
    <row r="2157" spans="1:37" s="394" customFormat="1" ht="22.5" outlineLevel="2" x14ac:dyDescent="0.3">
      <c r="A2157" s="447">
        <f t="shared" si="478"/>
        <v>181</v>
      </c>
      <c r="B2157" s="893"/>
      <c r="C2157" s="908"/>
      <c r="D2157" s="1032"/>
      <c r="E2157" s="947"/>
      <c r="F2157" s="947"/>
      <c r="G2157" s="922"/>
      <c r="H2157" s="1041"/>
      <c r="I2157" s="882"/>
      <c r="J2157" s="898"/>
      <c r="K2157" s="899" t="str">
        <f>IF(G2157&lt;&gt;0,VLOOKUP(G2157,'gia dat'!$A$1:$F$144,5,0)," ")</f>
        <v xml:space="preserve"> </v>
      </c>
      <c r="L2157" s="899" t="str">
        <f>IF(G2157&lt;&gt;0,VLOOKUP(G2157,'gia dat'!$A$1:$F$144,6,0)," ")</f>
        <v xml:space="preserve"> </v>
      </c>
      <c r="M2157" s="900" t="str">
        <f t="shared" si="469"/>
        <v xml:space="preserve"> </v>
      </c>
      <c r="N2157" s="900" t="str">
        <f t="shared" si="470"/>
        <v xml:space="preserve"> </v>
      </c>
      <c r="O2157" s="908"/>
      <c r="P2157" s="1065"/>
      <c r="Q2157" s="900" t="str">
        <f>IF(O2157&lt;&gt;0,VLOOKUP(O2157,'Cây trong'!$A$2:$C$246,3,0)," ")</f>
        <v xml:space="preserve"> </v>
      </c>
      <c r="R2157" s="900" t="str">
        <f t="shared" si="474"/>
        <v xml:space="preserve"> </v>
      </c>
      <c r="S2157" s="902"/>
      <c r="T2157" s="944"/>
      <c r="U2157" s="1066"/>
      <c r="V2157" s="922"/>
      <c r="W2157" s="900" t="str">
        <f>IF(S2157&lt;&gt;0,VLOOKUP(S2157,VKT!$A$2:$G$415,7,0),"")</f>
        <v/>
      </c>
      <c r="X2157" s="900" t="str">
        <f t="shared" si="472"/>
        <v xml:space="preserve"> </v>
      </c>
      <c r="Y2157" s="985"/>
      <c r="Z2157" s="922"/>
      <c r="AA2157" s="1067"/>
      <c r="AB2157" s="922"/>
      <c r="AC2157" s="922"/>
      <c r="AD2157" s="922"/>
      <c r="AE2157" s="922"/>
      <c r="AF2157" s="1046"/>
      <c r="AG2157" s="906" t="str">
        <f>IF(AE2157&lt;&gt;0,VLOOKUP(AE2157,ODDS!$A$2:$C$13,3,0),"")</f>
        <v/>
      </c>
      <c r="AH2157" s="906" t="str">
        <f t="shared" si="475"/>
        <v xml:space="preserve"> </v>
      </c>
      <c r="AI2157" s="907" t="str">
        <f t="shared" si="473"/>
        <v xml:space="preserve"> </v>
      </c>
      <c r="AJ2157" s="894"/>
      <c r="AK2157" s="894"/>
    </row>
    <row r="2158" spans="1:37" s="394" customFormat="1" ht="22.5" outlineLevel="2" x14ac:dyDescent="0.3">
      <c r="A2158" s="447">
        <f t="shared" si="478"/>
        <v>181</v>
      </c>
      <c r="B2158" s="893"/>
      <c r="C2158" s="942"/>
      <c r="D2158" s="1032"/>
      <c r="E2158" s="947"/>
      <c r="F2158" s="947"/>
      <c r="G2158" s="922"/>
      <c r="H2158" s="1041"/>
      <c r="I2158" s="882"/>
      <c r="J2158" s="898"/>
      <c r="K2158" s="899" t="str">
        <f>IF(G2158&lt;&gt;0,VLOOKUP(G2158,'gia dat'!$A$1:$F$144,5,0)," ")</f>
        <v xml:space="preserve"> </v>
      </c>
      <c r="L2158" s="899" t="str">
        <f>IF(G2158&lt;&gt;0,VLOOKUP(G2158,'gia dat'!$A$1:$F$144,6,0)," ")</f>
        <v xml:space="preserve"> </v>
      </c>
      <c r="M2158" s="900" t="str">
        <f t="shared" si="469"/>
        <v xml:space="preserve"> </v>
      </c>
      <c r="N2158" s="900" t="str">
        <f t="shared" si="470"/>
        <v xml:space="preserve"> </v>
      </c>
      <c r="O2158" s="908"/>
      <c r="P2158" s="1065"/>
      <c r="Q2158" s="900" t="str">
        <f>IF(O2158&lt;&gt;0,VLOOKUP(O2158,'Cây trong'!$A$2:$C$246,3,0)," ")</f>
        <v xml:space="preserve"> </v>
      </c>
      <c r="R2158" s="900" t="str">
        <f t="shared" si="474"/>
        <v xml:space="preserve"> </v>
      </c>
      <c r="S2158" s="902"/>
      <c r="T2158" s="944"/>
      <c r="U2158" s="1066"/>
      <c r="V2158" s="922"/>
      <c r="W2158" s="900" t="str">
        <f>IF(S2158&lt;&gt;0,VLOOKUP(S2158,VKT!$A$2:$G$415,7,0),"")</f>
        <v/>
      </c>
      <c r="X2158" s="900" t="str">
        <f t="shared" si="472"/>
        <v xml:space="preserve"> </v>
      </c>
      <c r="Y2158" s="985"/>
      <c r="Z2158" s="922"/>
      <c r="AA2158" s="1067"/>
      <c r="AB2158" s="922"/>
      <c r="AC2158" s="922"/>
      <c r="AD2158" s="922"/>
      <c r="AE2158" s="922"/>
      <c r="AF2158" s="1046"/>
      <c r="AG2158" s="906" t="str">
        <f>IF(AE2158&lt;&gt;0,VLOOKUP(AE2158,ODDS!$A$2:$C$13,3,0),"")</f>
        <v/>
      </c>
      <c r="AH2158" s="906" t="str">
        <f t="shared" si="475"/>
        <v xml:space="preserve"> </v>
      </c>
      <c r="AI2158" s="907" t="str">
        <f t="shared" si="473"/>
        <v xml:space="preserve"> </v>
      </c>
      <c r="AJ2158" s="922"/>
      <c r="AK2158" s="922"/>
    </row>
    <row r="2159" spans="1:37" s="394" customFormat="1" ht="43.5" outlineLevel="1" x14ac:dyDescent="0.25">
      <c r="A2159" s="467" t="s">
        <v>2528</v>
      </c>
      <c r="B2159" s="912">
        <v>182</v>
      </c>
      <c r="C2159" s="942" t="s">
        <v>1448</v>
      </c>
      <c r="D2159" s="1038"/>
      <c r="E2159" s="977"/>
      <c r="F2159" s="977"/>
      <c r="G2159" s="914"/>
      <c r="H2159" s="1039">
        <f>SUBTOTAL(9,H2160:H2175)</f>
        <v>1145.4000000000001</v>
      </c>
      <c r="I2159" s="915">
        <f>SUBTOTAL(9,I2160:I2165)</f>
        <v>996.50000000000011</v>
      </c>
      <c r="J2159" s="916"/>
      <c r="K2159" s="917"/>
      <c r="L2159" s="917"/>
      <c r="M2159" s="907">
        <f>SUBTOTAL(9,M2160:M2175)</f>
        <v>635010000</v>
      </c>
      <c r="N2159" s="907">
        <f>SUBTOTAL(9,N2160:N2175)</f>
        <v>1657379000</v>
      </c>
      <c r="O2159" s="942"/>
      <c r="P2159" s="1063">
        <f>SUBTOTAL(9,P2160:P2175)</f>
        <v>269</v>
      </c>
      <c r="Q2159" s="907"/>
      <c r="R2159" s="907">
        <f>SUBTOTAL(9,R2160:R2175)</f>
        <v>78597000</v>
      </c>
      <c r="S2159" s="918"/>
      <c r="T2159" s="956"/>
      <c r="U2159" s="1064">
        <f>SUBTOTAL(9,U2160:U2175)</f>
        <v>241.36</v>
      </c>
      <c r="V2159" s="914"/>
      <c r="W2159" s="907"/>
      <c r="X2159" s="907">
        <f>SUBTOTAL(9,X2160:X2175)</f>
        <v>155092000</v>
      </c>
      <c r="Y2159" s="985"/>
      <c r="Z2159" s="922"/>
      <c r="AA2159" s="1067"/>
      <c r="AB2159" s="922"/>
      <c r="AC2159" s="922"/>
      <c r="AD2159" s="922"/>
      <c r="AE2159" s="914"/>
      <c r="AF2159" s="1044">
        <f>SUBTOTAL(9,AF2160:AF2175)</f>
        <v>0</v>
      </c>
      <c r="AG2159" s="921"/>
      <c r="AH2159" s="921">
        <f>SUBTOTAL(9,AH2160:AH2175)</f>
        <v>0</v>
      </c>
      <c r="AI2159" s="907">
        <f t="shared" si="473"/>
        <v>2526078000</v>
      </c>
      <c r="AJ2159" s="914"/>
      <c r="AK2159" s="914"/>
    </row>
    <row r="2160" spans="1:37" s="394" customFormat="1" ht="135" outlineLevel="2" x14ac:dyDescent="0.3">
      <c r="A2160" s="447">
        <f>IF(B2159&lt;&gt;0,B2159,A2158)</f>
        <v>182</v>
      </c>
      <c r="B2160" s="893"/>
      <c r="C2160" s="908" t="s">
        <v>1450</v>
      </c>
      <c r="D2160" s="1032">
        <v>8</v>
      </c>
      <c r="E2160" s="947">
        <v>86</v>
      </c>
      <c r="F2160" s="947">
        <v>25</v>
      </c>
      <c r="G2160" s="922" t="s">
        <v>2494</v>
      </c>
      <c r="H2160" s="1041">
        <f>1145.4-H2161</f>
        <v>996.50000000000011</v>
      </c>
      <c r="I2160" s="882">
        <f t="shared" ref="I2160:I2161" si="479">IF(N2160&gt;0,H2160,"")</f>
        <v>996.50000000000011</v>
      </c>
      <c r="J2160" s="898"/>
      <c r="K2160" s="899">
        <f>IF(G2160&lt;&gt;0,VLOOKUP(G2160,'gia dat'!$A$1:$F$144,5,0)," ")</f>
        <v>554400</v>
      </c>
      <c r="L2160" s="899">
        <f>IF(G2160&lt;&gt;0,VLOOKUP(G2160,'gia dat'!$A$1:$F$144,6,0)," ")</f>
        <v>1663200</v>
      </c>
      <c r="M2160" s="900">
        <f t="shared" si="469"/>
        <v>552460000</v>
      </c>
      <c r="N2160" s="900">
        <f t="shared" si="470"/>
        <v>1657379000</v>
      </c>
      <c r="O2160" s="908" t="s">
        <v>145</v>
      </c>
      <c r="P2160" s="1065">
        <v>1</v>
      </c>
      <c r="Q2160" s="900">
        <f>IF(O2160&lt;&gt;0,VLOOKUP(O2160,'Cây trong'!$A$2:$C$246,3,0)," ")</f>
        <v>4240000</v>
      </c>
      <c r="R2160" s="900">
        <f t="shared" si="474"/>
        <v>4240000</v>
      </c>
      <c r="S2160" s="902" t="s">
        <v>1993</v>
      </c>
      <c r="T2160" s="944" t="s">
        <v>1133</v>
      </c>
      <c r="U2160" s="1066">
        <v>104.4</v>
      </c>
      <c r="V2160" s="922"/>
      <c r="W2160" s="900">
        <f>IF(S2160&lt;&gt;0,VLOOKUP(S2160,VKT!$A$2:$G$415,7,0),"")</f>
        <v>625568</v>
      </c>
      <c r="X2160" s="900">
        <f t="shared" si="472"/>
        <v>65309000</v>
      </c>
      <c r="Y2160" s="985"/>
      <c r="Z2160" s="922"/>
      <c r="AA2160" s="1067"/>
      <c r="AB2160" s="922"/>
      <c r="AC2160" s="922"/>
      <c r="AD2160" s="922"/>
      <c r="AE2160" s="922"/>
      <c r="AF2160" s="1046"/>
      <c r="AG2160" s="906" t="str">
        <f>IF(AE2160&lt;&gt;0,VLOOKUP(AE2160,ODDS!$A$2:$C$13,3,0),"")</f>
        <v/>
      </c>
      <c r="AH2160" s="906"/>
      <c r="AI2160" s="907" t="str">
        <f t="shared" si="473"/>
        <v xml:space="preserve"> </v>
      </c>
      <c r="AJ2160" s="922" t="s">
        <v>1449</v>
      </c>
      <c r="AK2160" s="922" t="s">
        <v>2771</v>
      </c>
    </row>
    <row r="2161" spans="1:38" s="394" customFormat="1" ht="112.5" outlineLevel="2" x14ac:dyDescent="0.3">
      <c r="A2161" s="447">
        <f t="shared" ref="A2161:A2175" si="480">IF(B2160&lt;&gt;0,B2160,A2160)</f>
        <v>182</v>
      </c>
      <c r="B2161" s="893"/>
      <c r="C2161" s="908" t="s">
        <v>1634</v>
      </c>
      <c r="D2161" s="1032"/>
      <c r="E2161" s="947"/>
      <c r="F2161" s="947"/>
      <c r="G2161" s="922" t="s">
        <v>2495</v>
      </c>
      <c r="H2161" s="1041">
        <v>148.9</v>
      </c>
      <c r="I2161" s="882" t="str">
        <f t="shared" si="479"/>
        <v/>
      </c>
      <c r="J2161" s="898"/>
      <c r="K2161" s="899">
        <f>IF(G2161&lt;&gt;0,VLOOKUP(G2161,'gia dat'!$A$1:$F$144,5,0)," ")</f>
        <v>554400</v>
      </c>
      <c r="L2161" s="899">
        <f>IF(G2161&lt;&gt;0,VLOOKUP(G2161,'gia dat'!$A$1:$F$144,6,0)," ")</f>
        <v>0</v>
      </c>
      <c r="M2161" s="900">
        <f t="shared" si="469"/>
        <v>82550000</v>
      </c>
      <c r="N2161" s="900">
        <f t="shared" si="470"/>
        <v>0</v>
      </c>
      <c r="O2161" s="908" t="s">
        <v>77</v>
      </c>
      <c r="P2161" s="1065">
        <v>1</v>
      </c>
      <c r="Q2161" s="900">
        <f>IF(O2161&lt;&gt;0,VLOOKUP(O2161,'Cây trong'!$A$2:$C$246,3,0)," ")</f>
        <v>3064000</v>
      </c>
      <c r="R2161" s="900">
        <f t="shared" si="474"/>
        <v>3064000</v>
      </c>
      <c r="S2161" s="902" t="s">
        <v>1980</v>
      </c>
      <c r="T2161" s="944" t="s">
        <v>1133</v>
      </c>
      <c r="U2161" s="1066">
        <v>8.4</v>
      </c>
      <c r="V2161" s="922"/>
      <c r="W2161" s="900">
        <f>IF(S2161&lt;&gt;0,VLOOKUP(S2161,VKT!$A$2:$G$415,7,0),"")</f>
        <v>684506</v>
      </c>
      <c r="X2161" s="900">
        <f t="shared" si="472"/>
        <v>5750000</v>
      </c>
      <c r="Y2161" s="985"/>
      <c r="Z2161" s="922"/>
      <c r="AA2161" s="1067"/>
      <c r="AB2161" s="922"/>
      <c r="AC2161" s="922"/>
      <c r="AD2161" s="922"/>
      <c r="AE2161" s="922"/>
      <c r="AF2161" s="1046"/>
      <c r="AG2161" s="906" t="str">
        <f>IF(AE2161&lt;&gt;0,VLOOKUP(AE2161,ODDS!$A$2:$C$13,3,0),"")</f>
        <v/>
      </c>
      <c r="AH2161" s="906" t="str">
        <f t="shared" si="475"/>
        <v xml:space="preserve"> </v>
      </c>
      <c r="AI2161" s="907" t="str">
        <f t="shared" si="473"/>
        <v xml:space="preserve"> </v>
      </c>
      <c r="AJ2161" s="922" t="s">
        <v>1451</v>
      </c>
      <c r="AK2161" s="894" t="s">
        <v>2448</v>
      </c>
    </row>
    <row r="2162" spans="1:38" s="394" customFormat="1" ht="135" outlineLevel="2" x14ac:dyDescent="0.35">
      <c r="A2162" s="447">
        <f t="shared" si="480"/>
        <v>182</v>
      </c>
      <c r="B2162" s="893"/>
      <c r="C2162" s="908"/>
      <c r="D2162" s="1032"/>
      <c r="E2162" s="1070"/>
      <c r="F2162" s="1070"/>
      <c r="G2162" s="1068"/>
      <c r="H2162" s="1071"/>
      <c r="I2162" s="882"/>
      <c r="J2162" s="898"/>
      <c r="K2162" s="899" t="str">
        <f>IF(G2162&lt;&gt;0,VLOOKUP(G2162,'gia dat'!$A$1:$F$144,5,0)," ")</f>
        <v xml:space="preserve"> </v>
      </c>
      <c r="L2162" s="899" t="str">
        <f>IF(G2162&lt;&gt;0,VLOOKUP(G2162,'gia dat'!$A$1:$F$144,6,0)," ")</f>
        <v xml:space="preserve"> </v>
      </c>
      <c r="M2162" s="900" t="str">
        <f t="shared" si="469"/>
        <v xml:space="preserve"> </v>
      </c>
      <c r="N2162" s="900" t="str">
        <f t="shared" si="470"/>
        <v xml:space="preserve"> </v>
      </c>
      <c r="O2162" s="908" t="s">
        <v>61</v>
      </c>
      <c r="P2162" s="1065">
        <v>31</v>
      </c>
      <c r="Q2162" s="900">
        <f>IF(O2162&lt;&gt;0,VLOOKUP(O2162,'Cây trong'!$A$2:$C$246,3,0)," ")</f>
        <v>1708000</v>
      </c>
      <c r="R2162" s="900">
        <f t="shared" si="474"/>
        <v>52948000</v>
      </c>
      <c r="S2162" s="902" t="s">
        <v>1994</v>
      </c>
      <c r="T2162" s="944" t="s">
        <v>1133</v>
      </c>
      <c r="U2162" s="1066">
        <v>3.61</v>
      </c>
      <c r="V2162" s="922"/>
      <c r="W2162" s="900">
        <f>IF(S2162&lt;&gt;0,VLOOKUP(S2162,VKT!$A$2:$G$415,7,0),"")</f>
        <v>7741709</v>
      </c>
      <c r="X2162" s="900">
        <f t="shared" si="472"/>
        <v>27948000</v>
      </c>
      <c r="Y2162" s="985"/>
      <c r="Z2162" s="922"/>
      <c r="AA2162" s="1067"/>
      <c r="AB2162" s="922"/>
      <c r="AC2162" s="922"/>
      <c r="AD2162" s="922"/>
      <c r="AE2162" s="922"/>
      <c r="AF2162" s="1046"/>
      <c r="AG2162" s="906" t="str">
        <f>IF(AE2162&lt;&gt;0,VLOOKUP(AE2162,ODDS!$A$2:$C$13,3,0),"")</f>
        <v/>
      </c>
      <c r="AH2162" s="906" t="str">
        <f t="shared" si="475"/>
        <v xml:space="preserve"> </v>
      </c>
      <c r="AI2162" s="907" t="str">
        <f t="shared" si="473"/>
        <v xml:space="preserve"> </v>
      </c>
      <c r="AJ2162" s="922" t="s">
        <v>2074</v>
      </c>
      <c r="AK2162" s="894" t="s">
        <v>2450</v>
      </c>
    </row>
    <row r="2163" spans="1:38" s="394" customFormat="1" ht="112.5" outlineLevel="2" x14ac:dyDescent="0.35">
      <c r="A2163" s="447">
        <f t="shared" si="480"/>
        <v>182</v>
      </c>
      <c r="B2163" s="893"/>
      <c r="C2163" s="908"/>
      <c r="D2163" s="1032"/>
      <c r="E2163" s="1070"/>
      <c r="F2163" s="1070"/>
      <c r="G2163" s="1068"/>
      <c r="H2163" s="1071"/>
      <c r="I2163" s="882"/>
      <c r="J2163" s="898"/>
      <c r="K2163" s="899" t="str">
        <f>IF(G2163&lt;&gt;0,VLOOKUP(G2163,'gia dat'!$A$1:$F$144,5,0)," ")</f>
        <v xml:space="preserve"> </v>
      </c>
      <c r="L2163" s="899" t="str">
        <f>IF(G2163&lt;&gt;0,VLOOKUP(G2163,'gia dat'!$A$1:$F$144,6,0)," ")</f>
        <v xml:space="preserve"> </v>
      </c>
      <c r="M2163" s="900" t="str">
        <f t="shared" si="469"/>
        <v xml:space="preserve"> </v>
      </c>
      <c r="N2163" s="900" t="str">
        <f t="shared" si="470"/>
        <v xml:space="preserve"> </v>
      </c>
      <c r="O2163" s="908" t="s">
        <v>69</v>
      </c>
      <c r="P2163" s="1065">
        <v>9</v>
      </c>
      <c r="Q2163" s="900">
        <f>IF(O2163&lt;&gt;0,VLOOKUP(O2163,'Cây trong'!$A$2:$C$246,3,0)," ")</f>
        <v>211000</v>
      </c>
      <c r="R2163" s="900">
        <f t="shared" si="474"/>
        <v>1899000</v>
      </c>
      <c r="S2163" s="902" t="s">
        <v>1995</v>
      </c>
      <c r="T2163" s="944" t="s">
        <v>1133</v>
      </c>
      <c r="U2163" s="1066">
        <v>4.75</v>
      </c>
      <c r="V2163" s="922"/>
      <c r="W2163" s="900">
        <f>IF(S2163&lt;&gt;0,VLOOKUP(S2163,VKT!$A$2:$G$415,7,0),"")</f>
        <v>3075567</v>
      </c>
      <c r="X2163" s="900">
        <f t="shared" si="472"/>
        <v>14609000</v>
      </c>
      <c r="Y2163" s="996" t="s">
        <v>139</v>
      </c>
      <c r="Z2163" s="1016" t="s">
        <v>1139</v>
      </c>
      <c r="AA2163" s="1016" t="s">
        <v>1262</v>
      </c>
      <c r="AB2163" s="1026" t="s">
        <v>269</v>
      </c>
      <c r="AC2163" s="1016" t="s">
        <v>139</v>
      </c>
      <c r="AD2163" s="922"/>
      <c r="AE2163" s="922"/>
      <c r="AF2163" s="1046"/>
      <c r="AG2163" s="906" t="str">
        <f>IF(AE2163&lt;&gt;0,VLOOKUP(AE2163,ODDS!$A$2:$C$13,3,0),"")</f>
        <v/>
      </c>
      <c r="AH2163" s="906" t="str">
        <f t="shared" si="475"/>
        <v xml:space="preserve"> </v>
      </c>
      <c r="AI2163" s="907" t="str">
        <f t="shared" si="473"/>
        <v xml:space="preserve"> </v>
      </c>
      <c r="AJ2163" s="1068" t="s">
        <v>1226</v>
      </c>
      <c r="AK2163" s="894" t="s">
        <v>2449</v>
      </c>
    </row>
    <row r="2164" spans="1:38" s="394" customFormat="1" ht="112.5" outlineLevel="2" x14ac:dyDescent="0.3">
      <c r="A2164" s="447">
        <f t="shared" si="480"/>
        <v>182</v>
      </c>
      <c r="B2164" s="893"/>
      <c r="C2164" s="908"/>
      <c r="D2164" s="1032"/>
      <c r="E2164" s="947"/>
      <c r="F2164" s="947"/>
      <c r="G2164" s="922"/>
      <c r="H2164" s="1041"/>
      <c r="I2164" s="882"/>
      <c r="J2164" s="898"/>
      <c r="K2164" s="899" t="str">
        <f>IF(G2164&lt;&gt;0,VLOOKUP(G2164,'gia dat'!$A$1:$F$144,5,0)," ")</f>
        <v xml:space="preserve"> </v>
      </c>
      <c r="L2164" s="899" t="str">
        <f>IF(G2164&lt;&gt;0,VLOOKUP(G2164,'gia dat'!$A$1:$F$144,6,0)," ")</f>
        <v xml:space="preserve"> </v>
      </c>
      <c r="M2164" s="900" t="str">
        <f t="shared" si="469"/>
        <v xml:space="preserve"> </v>
      </c>
      <c r="N2164" s="900" t="str">
        <f t="shared" si="470"/>
        <v xml:space="preserve"> </v>
      </c>
      <c r="O2164" s="908" t="s">
        <v>72</v>
      </c>
      <c r="P2164" s="1065">
        <v>42</v>
      </c>
      <c r="Q2164" s="900">
        <f>IF(O2164&lt;&gt;0,VLOOKUP(O2164,'Cây trong'!$A$2:$C$246,3,0)," ")</f>
        <v>132000</v>
      </c>
      <c r="R2164" s="900">
        <f t="shared" si="474"/>
        <v>5544000</v>
      </c>
      <c r="S2164" s="902" t="s">
        <v>1996</v>
      </c>
      <c r="T2164" s="944" t="s">
        <v>1133</v>
      </c>
      <c r="U2164" s="1066">
        <v>9</v>
      </c>
      <c r="V2164" s="922"/>
      <c r="W2164" s="900">
        <f>IF(S2164&lt;&gt;0,VLOOKUP(S2164,VKT!$A$2:$G$415,7,0),"")</f>
        <v>1524322</v>
      </c>
      <c r="X2164" s="900">
        <f t="shared" si="472"/>
        <v>13719000</v>
      </c>
      <c r="Y2164" s="996" t="s">
        <v>139</v>
      </c>
      <c r="Z2164" s="1026" t="s">
        <v>1453</v>
      </c>
      <c r="AA2164" s="1016" t="s">
        <v>56</v>
      </c>
      <c r="AB2164" s="1026" t="s">
        <v>1263</v>
      </c>
      <c r="AC2164" s="1016" t="s">
        <v>267</v>
      </c>
      <c r="AD2164" s="922"/>
      <c r="AE2164" s="922"/>
      <c r="AF2164" s="1046"/>
      <c r="AG2164" s="906" t="str">
        <f>IF(AE2164&lt;&gt;0,VLOOKUP(AE2164,ODDS!$A$2:$C$13,3,0),"")</f>
        <v/>
      </c>
      <c r="AH2164" s="906" t="str">
        <f t="shared" si="475"/>
        <v xml:space="preserve"> </v>
      </c>
      <c r="AI2164" s="907" t="str">
        <f t="shared" si="473"/>
        <v xml:space="preserve"> </v>
      </c>
      <c r="AJ2164" s="922"/>
      <c r="AK2164" s="908" t="s">
        <v>2800</v>
      </c>
    </row>
    <row r="2165" spans="1:38" s="394" customFormat="1" ht="45" outlineLevel="2" x14ac:dyDescent="0.3">
      <c r="A2165" s="447">
        <f t="shared" si="480"/>
        <v>182</v>
      </c>
      <c r="B2165" s="893"/>
      <c r="C2165" s="908"/>
      <c r="D2165" s="1032"/>
      <c r="E2165" s="947"/>
      <c r="F2165" s="947"/>
      <c r="G2165" s="922"/>
      <c r="H2165" s="1041"/>
      <c r="I2165" s="882"/>
      <c r="J2165" s="898"/>
      <c r="K2165" s="899" t="str">
        <f>IF(G2165&lt;&gt;0,VLOOKUP(G2165,'gia dat'!$A$1:$F$144,5,0)," ")</f>
        <v xml:space="preserve"> </v>
      </c>
      <c r="L2165" s="899" t="str">
        <f>IF(G2165&lt;&gt;0,VLOOKUP(G2165,'gia dat'!$A$1:$F$144,6,0)," ")</f>
        <v xml:space="preserve"> </v>
      </c>
      <c r="M2165" s="900" t="str">
        <f t="shared" si="469"/>
        <v xml:space="preserve"> </v>
      </c>
      <c r="N2165" s="900" t="str">
        <f t="shared" si="470"/>
        <v xml:space="preserve"> </v>
      </c>
      <c r="O2165" s="908" t="s">
        <v>73</v>
      </c>
      <c r="P2165" s="1065">
        <v>46</v>
      </c>
      <c r="Q2165" s="900">
        <f>IF(O2165&lt;&gt;0,VLOOKUP(O2165,'Cây trong'!$A$2:$C$246,3,0)," ")</f>
        <v>76000</v>
      </c>
      <c r="R2165" s="900">
        <f t="shared" si="474"/>
        <v>3496000</v>
      </c>
      <c r="S2165" s="902" t="s">
        <v>1997</v>
      </c>
      <c r="T2165" s="944" t="s">
        <v>1133</v>
      </c>
      <c r="U2165" s="1066">
        <v>9</v>
      </c>
      <c r="V2165" s="922"/>
      <c r="W2165" s="900">
        <f>IF(S2165&lt;&gt;0,VLOOKUP(S2165,VKT!$A$2:$G$415,7,0),"")</f>
        <v>1180501</v>
      </c>
      <c r="X2165" s="900">
        <f t="shared" si="472"/>
        <v>10625000</v>
      </c>
      <c r="Y2165" s="996"/>
      <c r="Z2165" s="1026" t="s">
        <v>1453</v>
      </c>
      <c r="AA2165" s="1026" t="s">
        <v>1454</v>
      </c>
      <c r="AB2165" s="1026" t="s">
        <v>1263</v>
      </c>
      <c r="AC2165" s="1016" t="s">
        <v>267</v>
      </c>
      <c r="AD2165" s="922"/>
      <c r="AE2165" s="922"/>
      <c r="AF2165" s="1046"/>
      <c r="AG2165" s="906" t="str">
        <f>IF(AE2165&lt;&gt;0,VLOOKUP(AE2165,ODDS!$A$2:$C$13,3,0),"")</f>
        <v/>
      </c>
      <c r="AH2165" s="906" t="str">
        <f t="shared" si="475"/>
        <v xml:space="preserve"> </v>
      </c>
      <c r="AI2165" s="907" t="str">
        <f t="shared" si="473"/>
        <v xml:space="preserve"> </v>
      </c>
      <c r="AJ2165" s="922"/>
      <c r="AK2165" s="908"/>
    </row>
    <row r="2166" spans="1:38" s="394" customFormat="1" ht="90" outlineLevel="2" x14ac:dyDescent="0.3">
      <c r="A2166" s="447">
        <f t="shared" si="480"/>
        <v>182</v>
      </c>
      <c r="B2166" s="893"/>
      <c r="C2166" s="908"/>
      <c r="D2166" s="1032"/>
      <c r="E2166" s="947"/>
      <c r="F2166" s="947"/>
      <c r="G2166" s="922"/>
      <c r="H2166" s="1041"/>
      <c r="I2166" s="882"/>
      <c r="J2166" s="898"/>
      <c r="K2166" s="899" t="str">
        <f>IF(G2166&lt;&gt;0,VLOOKUP(G2166,'gia dat'!$A$1:$F$144,5,0)," ")</f>
        <v xml:space="preserve"> </v>
      </c>
      <c r="L2166" s="899" t="str">
        <f>IF(G2166&lt;&gt;0,VLOOKUP(G2166,'gia dat'!$A$1:$F$144,6,0)," ")</f>
        <v xml:space="preserve"> </v>
      </c>
      <c r="M2166" s="900" t="str">
        <f t="shared" si="469"/>
        <v xml:space="preserve"> </v>
      </c>
      <c r="N2166" s="900" t="str">
        <f t="shared" si="470"/>
        <v xml:space="preserve"> </v>
      </c>
      <c r="O2166" s="908" t="s">
        <v>75</v>
      </c>
      <c r="P2166" s="1065">
        <v>53</v>
      </c>
      <c r="Q2166" s="900">
        <f>IF(O2166&lt;&gt;0,VLOOKUP(O2166,'Cây trong'!$A$2:$C$246,3,0)," ")</f>
        <v>34000</v>
      </c>
      <c r="R2166" s="900">
        <f t="shared" si="474"/>
        <v>1802000</v>
      </c>
      <c r="S2166" s="902" t="s">
        <v>1978</v>
      </c>
      <c r="T2166" s="944" t="s">
        <v>1133</v>
      </c>
      <c r="U2166" s="1066">
        <v>72.5</v>
      </c>
      <c r="V2166" s="922"/>
      <c r="W2166" s="900">
        <f>IF(S2166&lt;&gt;0,VLOOKUP(S2166,VKT!$A$2:$G$415,7,0),"")</f>
        <v>236298</v>
      </c>
      <c r="X2166" s="900">
        <f t="shared" si="472"/>
        <v>17132000</v>
      </c>
      <c r="Y2166" s="985"/>
      <c r="Z2166" s="922"/>
      <c r="AA2166" s="1067"/>
      <c r="AB2166" s="922"/>
      <c r="AC2166" s="922"/>
      <c r="AD2166" s="922"/>
      <c r="AE2166" s="922"/>
      <c r="AF2166" s="1046"/>
      <c r="AG2166" s="906" t="str">
        <f>IF(AE2166&lt;&gt;0,VLOOKUP(AE2166,ODDS!$A$2:$C$13,3,0),"")</f>
        <v/>
      </c>
      <c r="AH2166" s="906" t="str">
        <f t="shared" si="475"/>
        <v xml:space="preserve"> </v>
      </c>
      <c r="AI2166" s="907" t="str">
        <f t="shared" si="473"/>
        <v xml:space="preserve"> </v>
      </c>
      <c r="AJ2166" s="908"/>
      <c r="AK2166" s="908"/>
    </row>
    <row r="2167" spans="1:38" s="394" customFormat="1" ht="112.5" outlineLevel="2" x14ac:dyDescent="0.3">
      <c r="A2167" s="447">
        <f t="shared" si="480"/>
        <v>182</v>
      </c>
      <c r="B2167" s="893"/>
      <c r="C2167" s="908"/>
      <c r="D2167" s="1032"/>
      <c r="E2167" s="947"/>
      <c r="F2167" s="947"/>
      <c r="G2167" s="922"/>
      <c r="H2167" s="1041"/>
      <c r="I2167" s="882"/>
      <c r="J2167" s="898"/>
      <c r="K2167" s="899" t="str">
        <f>IF(G2167&lt;&gt;0,VLOOKUP(G2167,'gia dat'!$A$1:$F$144,5,0)," ")</f>
        <v xml:space="preserve"> </v>
      </c>
      <c r="L2167" s="899" t="str">
        <f>IF(G2167&lt;&gt;0,VLOOKUP(G2167,'gia dat'!$A$1:$F$144,6,0)," ")</f>
        <v xml:space="preserve"> </v>
      </c>
      <c r="M2167" s="900" t="str">
        <f t="shared" si="469"/>
        <v xml:space="preserve"> </v>
      </c>
      <c r="N2167" s="900" t="str">
        <f t="shared" si="470"/>
        <v xml:space="preserve"> </v>
      </c>
      <c r="O2167" s="908" t="s">
        <v>400</v>
      </c>
      <c r="P2167" s="1065">
        <v>8</v>
      </c>
      <c r="Q2167" s="900">
        <f>IF(O2167&lt;&gt;0,VLOOKUP(O2167,'Cây trong'!$A$2:$C$246,3,0)," ")</f>
        <v>228000</v>
      </c>
      <c r="R2167" s="900">
        <f t="shared" si="474"/>
        <v>1824000</v>
      </c>
      <c r="S2167" s="902" t="s">
        <v>1998</v>
      </c>
      <c r="T2167" s="944" t="s">
        <v>1133</v>
      </c>
      <c r="U2167" s="1066">
        <v>9</v>
      </c>
      <c r="V2167" s="922"/>
      <c r="W2167" s="900">
        <f>IF(S2167&lt;&gt;0,VLOOKUP(S2167,VKT!$A$2:$G$415,7,0),"")</f>
        <v>0</v>
      </c>
      <c r="X2167" s="900">
        <f t="shared" si="472"/>
        <v>0</v>
      </c>
      <c r="Y2167" s="985"/>
      <c r="Z2167" s="922"/>
      <c r="AA2167" s="1067"/>
      <c r="AB2167" s="922"/>
      <c r="AC2167" s="922"/>
      <c r="AD2167" s="922"/>
      <c r="AE2167" s="922"/>
      <c r="AF2167" s="1046"/>
      <c r="AG2167" s="906" t="str">
        <f>IF(AE2167&lt;&gt;0,VLOOKUP(AE2167,ODDS!$A$2:$C$13,3,0),"")</f>
        <v/>
      </c>
      <c r="AH2167" s="906" t="str">
        <f t="shared" si="475"/>
        <v xml:space="preserve"> </v>
      </c>
      <c r="AI2167" s="907" t="str">
        <f t="shared" si="473"/>
        <v xml:space="preserve"> </v>
      </c>
      <c r="AJ2167" s="908"/>
      <c r="AK2167" s="908"/>
    </row>
    <row r="2168" spans="1:38" s="394" customFormat="1" ht="112.5" outlineLevel="2" x14ac:dyDescent="0.3">
      <c r="A2168" s="447">
        <f t="shared" si="480"/>
        <v>182</v>
      </c>
      <c r="B2168" s="893"/>
      <c r="C2168" s="908"/>
      <c r="D2168" s="1032"/>
      <c r="E2168" s="947"/>
      <c r="F2168" s="947"/>
      <c r="G2168" s="922"/>
      <c r="H2168" s="1041"/>
      <c r="I2168" s="882"/>
      <c r="J2168" s="898"/>
      <c r="K2168" s="899" t="str">
        <f>IF(G2168&lt;&gt;0,VLOOKUP(G2168,'gia dat'!$A$1:$F$144,5,0)," ")</f>
        <v xml:space="preserve"> </v>
      </c>
      <c r="L2168" s="899" t="str">
        <f>IF(G2168&lt;&gt;0,VLOOKUP(G2168,'gia dat'!$A$1:$F$144,6,0)," ")</f>
        <v xml:space="preserve"> </v>
      </c>
      <c r="M2168" s="900" t="str">
        <f t="shared" si="469"/>
        <v xml:space="preserve"> </v>
      </c>
      <c r="N2168" s="900" t="str">
        <f t="shared" si="470"/>
        <v xml:space="preserve"> </v>
      </c>
      <c r="O2168" s="908" t="s">
        <v>401</v>
      </c>
      <c r="P2168" s="1065">
        <v>38</v>
      </c>
      <c r="Q2168" s="900">
        <f>IF(O2168&lt;&gt;0,VLOOKUP(O2168,'Cây trong'!$A$2:$C$246,3,0)," ")</f>
        <v>80000</v>
      </c>
      <c r="R2168" s="900">
        <f t="shared" si="474"/>
        <v>3040000</v>
      </c>
      <c r="S2168" s="902" t="s">
        <v>1998</v>
      </c>
      <c r="T2168" s="944" t="s">
        <v>1133</v>
      </c>
      <c r="U2168" s="1066">
        <v>18</v>
      </c>
      <c r="V2168" s="922"/>
      <c r="W2168" s="900">
        <f>IF(S2168&lt;&gt;0,VLOOKUP(S2168,VKT!$A$2:$G$415,7,0),"")</f>
        <v>0</v>
      </c>
      <c r="X2168" s="900">
        <f t="shared" si="472"/>
        <v>0</v>
      </c>
      <c r="Y2168" s="985"/>
      <c r="Z2168" s="922"/>
      <c r="AA2168" s="1067"/>
      <c r="AB2168" s="922"/>
      <c r="AC2168" s="922"/>
      <c r="AD2168" s="922"/>
      <c r="AE2168" s="922"/>
      <c r="AF2168" s="1046"/>
      <c r="AG2168" s="906" t="str">
        <f>IF(AE2168&lt;&gt;0,VLOOKUP(AE2168,ODDS!$A$2:$C$13,3,0),"")</f>
        <v/>
      </c>
      <c r="AH2168" s="906" t="str">
        <f t="shared" si="475"/>
        <v xml:space="preserve"> </v>
      </c>
      <c r="AI2168" s="907" t="str">
        <f t="shared" si="473"/>
        <v xml:space="preserve"> </v>
      </c>
      <c r="AJ2168" s="908"/>
      <c r="AK2168" s="908"/>
    </row>
    <row r="2169" spans="1:38" s="394" customFormat="1" ht="90" outlineLevel="2" x14ac:dyDescent="0.3">
      <c r="A2169" s="447">
        <f t="shared" si="480"/>
        <v>182</v>
      </c>
      <c r="B2169" s="893"/>
      <c r="C2169" s="908"/>
      <c r="D2169" s="1032"/>
      <c r="E2169" s="947"/>
      <c r="F2169" s="947"/>
      <c r="G2169" s="922"/>
      <c r="H2169" s="1041"/>
      <c r="I2169" s="882"/>
      <c r="J2169" s="898"/>
      <c r="K2169" s="899" t="str">
        <f>IF(G2169&lt;&gt;0,VLOOKUP(G2169,'gia dat'!$A$1:$F$144,5,0)," ")</f>
        <v xml:space="preserve"> </v>
      </c>
      <c r="L2169" s="899" t="str">
        <f>IF(G2169&lt;&gt;0,VLOOKUP(G2169,'gia dat'!$A$1:$F$144,6,0)," ")</f>
        <v xml:space="preserve"> </v>
      </c>
      <c r="M2169" s="900" t="str">
        <f t="shared" si="469"/>
        <v xml:space="preserve"> </v>
      </c>
      <c r="N2169" s="900" t="str">
        <f t="shared" si="470"/>
        <v xml:space="preserve"> </v>
      </c>
      <c r="O2169" s="908" t="s">
        <v>1455</v>
      </c>
      <c r="P2169" s="1065">
        <v>20</v>
      </c>
      <c r="Q2169" s="900">
        <f>IF(O2169&lt;&gt;0,VLOOKUP(O2169,'Cây trong'!$A$2:$C$246,3,0)," ")</f>
        <v>25000</v>
      </c>
      <c r="R2169" s="900">
        <f t="shared" si="474"/>
        <v>500000</v>
      </c>
      <c r="S2169" s="902" t="s">
        <v>1999</v>
      </c>
      <c r="T2169" s="944" t="s">
        <v>93</v>
      </c>
      <c r="U2169" s="1066">
        <v>1</v>
      </c>
      <c r="V2169" s="922"/>
      <c r="W2169" s="900">
        <f>IF(S2169&lt;&gt;0,VLOOKUP(S2169,VKT!$A$2:$G$415,7,0),"")</f>
        <v>0</v>
      </c>
      <c r="X2169" s="900">
        <f t="shared" si="472"/>
        <v>0</v>
      </c>
      <c r="Y2169" s="985"/>
      <c r="Z2169" s="922"/>
      <c r="AA2169" s="1067"/>
      <c r="AB2169" s="922"/>
      <c r="AC2169" s="922"/>
      <c r="AD2169" s="922"/>
      <c r="AE2169" s="922"/>
      <c r="AF2169" s="1046"/>
      <c r="AG2169" s="906" t="str">
        <f>IF(AE2169&lt;&gt;0,VLOOKUP(AE2169,ODDS!$A$2:$C$13,3,0),"")</f>
        <v/>
      </c>
      <c r="AH2169" s="906" t="str">
        <f t="shared" si="475"/>
        <v xml:space="preserve"> </v>
      </c>
      <c r="AI2169" s="907" t="str">
        <f t="shared" si="473"/>
        <v xml:space="preserve"> </v>
      </c>
      <c r="AJ2169" s="908"/>
      <c r="AK2169" s="908"/>
    </row>
    <row r="2170" spans="1:38" s="394" customFormat="1" ht="67.5" outlineLevel="2" x14ac:dyDescent="0.3">
      <c r="A2170" s="447">
        <f t="shared" si="480"/>
        <v>182</v>
      </c>
      <c r="B2170" s="893"/>
      <c r="C2170" s="908"/>
      <c r="D2170" s="1032"/>
      <c r="E2170" s="947"/>
      <c r="F2170" s="947"/>
      <c r="G2170" s="922"/>
      <c r="H2170" s="1041"/>
      <c r="I2170" s="882"/>
      <c r="J2170" s="898"/>
      <c r="K2170" s="899" t="str">
        <f>IF(G2170&lt;&gt;0,VLOOKUP(G2170,'gia dat'!$A$1:$F$144,5,0)," ")</f>
        <v xml:space="preserve"> </v>
      </c>
      <c r="L2170" s="899" t="str">
        <f>IF(G2170&lt;&gt;0,VLOOKUP(G2170,'gia dat'!$A$1:$F$144,6,0)," ")</f>
        <v xml:space="preserve"> </v>
      </c>
      <c r="M2170" s="900" t="str">
        <f t="shared" si="469"/>
        <v xml:space="preserve"> </v>
      </c>
      <c r="N2170" s="900" t="str">
        <f t="shared" si="470"/>
        <v xml:space="preserve"> </v>
      </c>
      <c r="O2170" s="908" t="s">
        <v>1332</v>
      </c>
      <c r="P2170" s="1065">
        <v>12</v>
      </c>
      <c r="Q2170" s="900">
        <f>IF(O2170&lt;&gt;0,VLOOKUP(O2170,'Cây trong'!$A$2:$C$246,3,0)," ")</f>
        <v>12000</v>
      </c>
      <c r="R2170" s="900">
        <f t="shared" si="474"/>
        <v>144000</v>
      </c>
      <c r="S2170" s="902" t="s">
        <v>2000</v>
      </c>
      <c r="T2170" s="944" t="s">
        <v>1286</v>
      </c>
      <c r="U2170" s="1066">
        <v>1.7</v>
      </c>
      <c r="V2170" s="922"/>
      <c r="W2170" s="900">
        <f>IF(S2170&lt;&gt;0,VLOOKUP(S2170,VKT!$A$2:$G$415,7,0),"")</f>
        <v>0</v>
      </c>
      <c r="X2170" s="900">
        <f t="shared" si="472"/>
        <v>0</v>
      </c>
      <c r="Y2170" s="985"/>
      <c r="Z2170" s="922"/>
      <c r="AA2170" s="1067"/>
      <c r="AB2170" s="922"/>
      <c r="AC2170" s="922"/>
      <c r="AD2170" s="922"/>
      <c r="AE2170" s="922"/>
      <c r="AF2170" s="1046"/>
      <c r="AG2170" s="906" t="str">
        <f>IF(AE2170&lt;&gt;0,VLOOKUP(AE2170,ODDS!$A$2:$C$13,3,0),"")</f>
        <v/>
      </c>
      <c r="AH2170" s="906" t="str">
        <f t="shared" si="475"/>
        <v xml:space="preserve"> </v>
      </c>
      <c r="AI2170" s="907" t="str">
        <f t="shared" si="473"/>
        <v xml:space="preserve"> </v>
      </c>
      <c r="AJ2170" s="908"/>
      <c r="AK2170" s="908"/>
    </row>
    <row r="2171" spans="1:38" s="394" customFormat="1" ht="67.5" outlineLevel="2" x14ac:dyDescent="0.35">
      <c r="A2171" s="447">
        <f t="shared" si="480"/>
        <v>182</v>
      </c>
      <c r="B2171" s="893"/>
      <c r="C2171" s="908"/>
      <c r="D2171" s="1032"/>
      <c r="E2171" s="947"/>
      <c r="F2171" s="947"/>
      <c r="G2171" s="922"/>
      <c r="H2171" s="1041"/>
      <c r="I2171" s="882"/>
      <c r="J2171" s="898"/>
      <c r="K2171" s="899" t="str">
        <f>IF(G2171&lt;&gt;0,VLOOKUP(G2171,'gia dat'!$A$1:$F$144,5,0)," ")</f>
        <v xml:space="preserve"> </v>
      </c>
      <c r="L2171" s="899" t="str">
        <f>IF(G2171&lt;&gt;0,VLOOKUP(G2171,'gia dat'!$A$1:$F$144,6,0)," ")</f>
        <v xml:space="preserve"> </v>
      </c>
      <c r="M2171" s="900" t="str">
        <f t="shared" si="469"/>
        <v xml:space="preserve"> </v>
      </c>
      <c r="N2171" s="900" t="str">
        <f t="shared" si="470"/>
        <v xml:space="preserve"> </v>
      </c>
      <c r="O2171" s="908" t="s">
        <v>1456</v>
      </c>
      <c r="P2171" s="1065">
        <v>8</v>
      </c>
      <c r="Q2171" s="900">
        <f>IF(O2171&lt;&gt;0,VLOOKUP(O2171,'Cây trong'!$A$2:$C$246,3,0)," ")</f>
        <v>12000</v>
      </c>
      <c r="R2171" s="900">
        <f t="shared" si="474"/>
        <v>96000</v>
      </c>
      <c r="S2171" s="902"/>
      <c r="T2171" s="944"/>
      <c r="U2171" s="1066"/>
      <c r="V2171" s="922"/>
      <c r="W2171" s="900" t="str">
        <f>IF(S2171&lt;&gt;0,VLOOKUP(S2171,VKT!$A$2:$G$415,7,0),"")</f>
        <v/>
      </c>
      <c r="X2171" s="900" t="str">
        <f t="shared" si="472"/>
        <v xml:space="preserve"> </v>
      </c>
      <c r="Y2171" s="985"/>
      <c r="Z2171" s="922"/>
      <c r="AA2171" s="1067"/>
      <c r="AB2171" s="922"/>
      <c r="AC2171" s="922"/>
      <c r="AD2171" s="922"/>
      <c r="AE2171" s="922"/>
      <c r="AF2171" s="1046"/>
      <c r="AG2171" s="906" t="str">
        <f>IF(AE2171&lt;&gt;0,VLOOKUP(AE2171,ODDS!$A$2:$C$13,3,0),"")</f>
        <v/>
      </c>
      <c r="AH2171" s="906" t="str">
        <f t="shared" si="475"/>
        <v xml:space="preserve"> </v>
      </c>
      <c r="AI2171" s="907" t="str">
        <f t="shared" si="473"/>
        <v xml:space="preserve"> </v>
      </c>
      <c r="AJ2171" s="1068"/>
      <c r="AK2171" s="908"/>
    </row>
    <row r="2172" spans="1:38" s="394" customFormat="1" ht="22.5" outlineLevel="2" x14ac:dyDescent="0.35">
      <c r="A2172" s="447">
        <f t="shared" si="480"/>
        <v>182</v>
      </c>
      <c r="B2172" s="893"/>
      <c r="C2172" s="908"/>
      <c r="D2172" s="1032"/>
      <c r="E2172" s="947"/>
      <c r="F2172" s="947"/>
      <c r="G2172" s="922"/>
      <c r="H2172" s="1041"/>
      <c r="I2172" s="882"/>
      <c r="J2172" s="898"/>
      <c r="K2172" s="899" t="str">
        <f>IF(G2172&lt;&gt;0,VLOOKUP(G2172,'gia dat'!$A$1:$F$144,5,0)," ")</f>
        <v xml:space="preserve"> </v>
      </c>
      <c r="L2172" s="899" t="str">
        <f>IF(G2172&lt;&gt;0,VLOOKUP(G2172,'gia dat'!$A$1:$F$144,6,0)," ")</f>
        <v xml:space="preserve"> </v>
      </c>
      <c r="M2172" s="900" t="str">
        <f t="shared" si="469"/>
        <v xml:space="preserve"> </v>
      </c>
      <c r="N2172" s="900" t="str">
        <f t="shared" si="470"/>
        <v xml:space="preserve"> </v>
      </c>
      <c r="O2172" s="908"/>
      <c r="P2172" s="1065"/>
      <c r="Q2172" s="900" t="str">
        <f>IF(O2172&lt;&gt;0,VLOOKUP(O2172,'Cây trong'!$A$2:$C$246,3,0)," ")</f>
        <v xml:space="preserve"> </v>
      </c>
      <c r="R2172" s="900" t="str">
        <f t="shared" si="474"/>
        <v xml:space="preserve"> </v>
      </c>
      <c r="S2172" s="902"/>
      <c r="T2172" s="944"/>
      <c r="U2172" s="1066"/>
      <c r="V2172" s="922"/>
      <c r="W2172" s="900" t="str">
        <f>IF(S2172&lt;&gt;0,VLOOKUP(S2172,VKT!$A$2:$G$415,7,0),"")</f>
        <v/>
      </c>
      <c r="X2172" s="900" t="str">
        <f t="shared" si="472"/>
        <v xml:space="preserve"> </v>
      </c>
      <c r="Y2172" s="985"/>
      <c r="Z2172" s="922"/>
      <c r="AA2172" s="1067"/>
      <c r="AB2172" s="922"/>
      <c r="AC2172" s="922"/>
      <c r="AD2172" s="922"/>
      <c r="AE2172" s="922"/>
      <c r="AF2172" s="1046"/>
      <c r="AG2172" s="906" t="str">
        <f>IF(AE2172&lt;&gt;0,VLOOKUP(AE2172,ODDS!$A$2:$C$13,3,0),"")</f>
        <v/>
      </c>
      <c r="AH2172" s="906" t="str">
        <f t="shared" si="475"/>
        <v xml:space="preserve"> </v>
      </c>
      <c r="AI2172" s="907" t="str">
        <f t="shared" si="473"/>
        <v xml:space="preserve"> </v>
      </c>
      <c r="AJ2172" s="1068"/>
      <c r="AK2172" s="908"/>
    </row>
    <row r="2173" spans="1:38" s="394" customFormat="1" ht="22.5" outlineLevel="2" x14ac:dyDescent="0.35">
      <c r="A2173" s="447">
        <f t="shared" si="480"/>
        <v>182</v>
      </c>
      <c r="B2173" s="893"/>
      <c r="C2173" s="908"/>
      <c r="D2173" s="1032"/>
      <c r="E2173" s="947"/>
      <c r="F2173" s="947"/>
      <c r="G2173" s="922"/>
      <c r="H2173" s="1041"/>
      <c r="I2173" s="882"/>
      <c r="J2173" s="898"/>
      <c r="K2173" s="899" t="str">
        <f>IF(G2173&lt;&gt;0,VLOOKUP(G2173,'gia dat'!$A$1:$F$144,5,0)," ")</f>
        <v xml:space="preserve"> </v>
      </c>
      <c r="L2173" s="899" t="str">
        <f>IF(G2173&lt;&gt;0,VLOOKUP(G2173,'gia dat'!$A$1:$F$144,6,0)," ")</f>
        <v xml:space="preserve"> </v>
      </c>
      <c r="M2173" s="900" t="str">
        <f t="shared" si="469"/>
        <v xml:space="preserve"> </v>
      </c>
      <c r="N2173" s="900" t="str">
        <f t="shared" si="470"/>
        <v xml:space="preserve"> </v>
      </c>
      <c r="O2173" s="908"/>
      <c r="P2173" s="1065"/>
      <c r="Q2173" s="900" t="str">
        <f>IF(O2173&lt;&gt;0,VLOOKUP(O2173,'Cây trong'!$A$2:$C$246,3,0)," ")</f>
        <v xml:space="preserve"> </v>
      </c>
      <c r="R2173" s="900" t="str">
        <f t="shared" si="474"/>
        <v xml:space="preserve"> </v>
      </c>
      <c r="S2173" s="902"/>
      <c r="T2173" s="944"/>
      <c r="U2173" s="1066"/>
      <c r="V2173" s="922"/>
      <c r="W2173" s="900" t="str">
        <f>IF(S2173&lt;&gt;0,VLOOKUP(S2173,VKT!$A$2:$G$415,7,0),"")</f>
        <v/>
      </c>
      <c r="X2173" s="900" t="str">
        <f t="shared" si="472"/>
        <v xml:space="preserve"> </v>
      </c>
      <c r="Y2173" s="985"/>
      <c r="Z2173" s="922"/>
      <c r="AA2173" s="1067"/>
      <c r="AB2173" s="922"/>
      <c r="AC2173" s="922"/>
      <c r="AD2173" s="922"/>
      <c r="AE2173" s="922"/>
      <c r="AF2173" s="1046"/>
      <c r="AG2173" s="906" t="str">
        <f>IF(AE2173&lt;&gt;0,VLOOKUP(AE2173,ODDS!$A$2:$C$13,3,0),"")</f>
        <v/>
      </c>
      <c r="AH2173" s="906" t="str">
        <f t="shared" si="475"/>
        <v xml:space="preserve"> </v>
      </c>
      <c r="AI2173" s="907" t="str">
        <f t="shared" si="473"/>
        <v xml:space="preserve"> </v>
      </c>
      <c r="AJ2173" s="1068"/>
      <c r="AK2173" s="908"/>
    </row>
    <row r="2174" spans="1:38" s="394" customFormat="1" ht="22.5" outlineLevel="2" x14ac:dyDescent="0.3">
      <c r="A2174" s="447">
        <f t="shared" si="480"/>
        <v>182</v>
      </c>
      <c r="B2174" s="893"/>
      <c r="C2174" s="908"/>
      <c r="D2174" s="1032"/>
      <c r="E2174" s="947"/>
      <c r="F2174" s="947"/>
      <c r="G2174" s="922"/>
      <c r="H2174" s="1041"/>
      <c r="I2174" s="882"/>
      <c r="J2174" s="898"/>
      <c r="K2174" s="899" t="str">
        <f>IF(G2174&lt;&gt;0,VLOOKUP(G2174,'gia dat'!$A$1:$F$144,5,0)," ")</f>
        <v xml:space="preserve"> </v>
      </c>
      <c r="L2174" s="899" t="str">
        <f>IF(G2174&lt;&gt;0,VLOOKUP(G2174,'gia dat'!$A$1:$F$144,6,0)," ")</f>
        <v xml:space="preserve"> </v>
      </c>
      <c r="M2174" s="900" t="str">
        <f t="shared" si="469"/>
        <v xml:space="preserve"> </v>
      </c>
      <c r="N2174" s="900" t="str">
        <f t="shared" si="470"/>
        <v xml:space="preserve"> </v>
      </c>
      <c r="O2174" s="908"/>
      <c r="P2174" s="1065"/>
      <c r="Q2174" s="900" t="str">
        <f>IF(O2174&lt;&gt;0,VLOOKUP(O2174,'Cây trong'!$A$2:$C$246,3,0)," ")</f>
        <v xml:space="preserve"> </v>
      </c>
      <c r="R2174" s="900" t="str">
        <f t="shared" si="474"/>
        <v xml:space="preserve"> </v>
      </c>
      <c r="S2174" s="902"/>
      <c r="T2174" s="944"/>
      <c r="U2174" s="1066"/>
      <c r="V2174" s="922"/>
      <c r="W2174" s="900" t="str">
        <f>IF(S2174&lt;&gt;0,VLOOKUP(S2174,VKT!$A$2:$G$415,7,0),"")</f>
        <v/>
      </c>
      <c r="X2174" s="900" t="str">
        <f t="shared" si="472"/>
        <v xml:space="preserve"> </v>
      </c>
      <c r="Y2174" s="985"/>
      <c r="Z2174" s="922"/>
      <c r="AA2174" s="1067"/>
      <c r="AB2174" s="922"/>
      <c r="AC2174" s="922"/>
      <c r="AD2174" s="922"/>
      <c r="AE2174" s="922"/>
      <c r="AF2174" s="1046"/>
      <c r="AG2174" s="906" t="str">
        <f>IF(AE2174&lt;&gt;0,VLOOKUP(AE2174,ODDS!$A$2:$C$13,3,0),"")</f>
        <v/>
      </c>
      <c r="AH2174" s="906" t="str">
        <f t="shared" si="475"/>
        <v xml:space="preserve"> </v>
      </c>
      <c r="AI2174" s="907" t="str">
        <f t="shared" si="473"/>
        <v xml:space="preserve"> </v>
      </c>
      <c r="AJ2174" s="908"/>
      <c r="AK2174" s="908"/>
    </row>
    <row r="2175" spans="1:38" s="394" customFormat="1" ht="22.5" outlineLevel="2" x14ac:dyDescent="0.3">
      <c r="A2175" s="447">
        <f t="shared" si="480"/>
        <v>182</v>
      </c>
      <c r="B2175" s="893"/>
      <c r="C2175" s="942"/>
      <c r="D2175" s="1032"/>
      <c r="E2175" s="947"/>
      <c r="F2175" s="947"/>
      <c r="G2175" s="922"/>
      <c r="H2175" s="1041"/>
      <c r="I2175" s="882"/>
      <c r="J2175" s="898"/>
      <c r="K2175" s="899" t="str">
        <f>IF(G2175&lt;&gt;0,VLOOKUP(G2175,'gia dat'!$A$1:$F$144,5,0)," ")</f>
        <v xml:space="preserve"> </v>
      </c>
      <c r="L2175" s="899" t="str">
        <f>IF(G2175&lt;&gt;0,VLOOKUP(G2175,'gia dat'!$A$1:$F$144,6,0)," ")</f>
        <v xml:space="preserve"> </v>
      </c>
      <c r="M2175" s="900" t="str">
        <f t="shared" ref="M2175:M2243" si="481">IF(H2175&lt;&gt;0,ROUND(H2175*K2175,-3)," ")</f>
        <v xml:space="preserve"> </v>
      </c>
      <c r="N2175" s="900" t="str">
        <f t="shared" ref="N2175:N2243" si="482">IF(H2175&lt;&gt;0,ROUND(H2175*L2175,-3)," ")</f>
        <v xml:space="preserve"> </v>
      </c>
      <c r="O2175" s="908"/>
      <c r="P2175" s="1065"/>
      <c r="Q2175" s="900" t="str">
        <f>IF(O2175&lt;&gt;0,VLOOKUP(O2175,'Cây trong'!$A$2:$C$246,3,0)," ")</f>
        <v xml:space="preserve"> </v>
      </c>
      <c r="R2175" s="900" t="str">
        <f t="shared" si="474"/>
        <v xml:space="preserve"> </v>
      </c>
      <c r="S2175" s="902"/>
      <c r="T2175" s="944"/>
      <c r="U2175" s="1066"/>
      <c r="V2175" s="922"/>
      <c r="W2175" s="900" t="str">
        <f>IF(S2175&lt;&gt;0,VLOOKUP(S2175,VKT!$A$2:$G$415,7,0),"")</f>
        <v/>
      </c>
      <c r="X2175" s="900" t="str">
        <f t="shared" si="472"/>
        <v xml:space="preserve"> </v>
      </c>
      <c r="Y2175" s="985"/>
      <c r="Z2175" s="922"/>
      <c r="AA2175" s="1067"/>
      <c r="AB2175" s="922"/>
      <c r="AC2175" s="922"/>
      <c r="AD2175" s="922"/>
      <c r="AE2175" s="922"/>
      <c r="AF2175" s="1046"/>
      <c r="AG2175" s="906" t="str">
        <f>IF(AE2175&lt;&gt;0,VLOOKUP(AE2175,ODDS!$A$2:$C$13,3,0),"")</f>
        <v/>
      </c>
      <c r="AH2175" s="906" t="str">
        <f t="shared" si="475"/>
        <v xml:space="preserve"> </v>
      </c>
      <c r="AI2175" s="907" t="str">
        <f t="shared" si="473"/>
        <v xml:space="preserve"> </v>
      </c>
      <c r="AJ2175" s="908"/>
      <c r="AK2175" s="908"/>
    </row>
    <row r="2176" spans="1:38" s="396" customFormat="1" ht="43.5" outlineLevel="1" x14ac:dyDescent="0.25">
      <c r="A2176" s="467" t="s">
        <v>2527</v>
      </c>
      <c r="B2176" s="912">
        <v>183</v>
      </c>
      <c r="C2176" s="942" t="s">
        <v>1457</v>
      </c>
      <c r="D2176" s="1038"/>
      <c r="E2176" s="977"/>
      <c r="F2176" s="977"/>
      <c r="G2176" s="914"/>
      <c r="H2176" s="1039">
        <f>SUBTOTAL(9,H2177:H2199)</f>
        <v>1320.4</v>
      </c>
      <c r="I2176" s="915">
        <f>SUBTOTAL(9,I2177:I2182)</f>
        <v>1185.7</v>
      </c>
      <c r="J2176" s="916"/>
      <c r="K2176" s="917"/>
      <c r="L2176" s="917"/>
      <c r="M2176" s="907">
        <f>SUBTOTAL(9,M2177:M2199)</f>
        <v>497527000</v>
      </c>
      <c r="N2176" s="907">
        <f>SUBTOTAL(9,N2177:N2199)</f>
        <v>1340315000</v>
      </c>
      <c r="O2176" s="942"/>
      <c r="P2176" s="1063">
        <f>SUBTOTAL(9,P2177:P2199)</f>
        <v>935</v>
      </c>
      <c r="Q2176" s="907"/>
      <c r="R2176" s="907">
        <f>SUBTOTAL(9,R2177:R2199)</f>
        <v>65281000</v>
      </c>
      <c r="S2176" s="918"/>
      <c r="T2176" s="956"/>
      <c r="U2176" s="1064">
        <f>SUBTOTAL(9,U2177:U2199)</f>
        <v>422.85</v>
      </c>
      <c r="V2176" s="914"/>
      <c r="W2176" s="907"/>
      <c r="X2176" s="907">
        <f>SUBTOTAL(9,X2177:X2199)</f>
        <v>327418000</v>
      </c>
      <c r="Y2176" s="1016"/>
      <c r="Z2176" s="1016"/>
      <c r="AA2176" s="1016"/>
      <c r="AB2176" s="1026"/>
      <c r="AC2176" s="922"/>
      <c r="AD2176" s="922"/>
      <c r="AE2176" s="914"/>
      <c r="AF2176" s="1044">
        <f>SUBTOTAL(9,AF2177:AF2199)</f>
        <v>0</v>
      </c>
      <c r="AG2176" s="921"/>
      <c r="AH2176" s="921">
        <f>SUBTOTAL(9,AH2177:AH2199)</f>
        <v>0</v>
      </c>
      <c r="AI2176" s="907">
        <f t="shared" si="473"/>
        <v>2230541000</v>
      </c>
      <c r="AJ2176" s="914"/>
      <c r="AK2176" s="914"/>
      <c r="AL2176" s="430"/>
    </row>
    <row r="2177" spans="1:38" s="396" customFormat="1" ht="135" outlineLevel="2" x14ac:dyDescent="0.3">
      <c r="A2177" s="447">
        <f>IF(B2176&lt;&gt;0,B2176,A2175)</f>
        <v>183</v>
      </c>
      <c r="B2177" s="893"/>
      <c r="C2177" s="908" t="s">
        <v>1460</v>
      </c>
      <c r="D2177" s="1032">
        <v>6</v>
      </c>
      <c r="E2177" s="947">
        <v>86</v>
      </c>
      <c r="F2177" s="947">
        <v>51</v>
      </c>
      <c r="G2177" s="922" t="s">
        <v>2433</v>
      </c>
      <c r="H2177" s="1041">
        <f>1320.4-H2178</f>
        <v>1185.7</v>
      </c>
      <c r="I2177" s="882">
        <f t="shared" ref="I2177:I2178" si="483">IF(N2177&gt;0,H2177,"")</f>
        <v>1185.7</v>
      </c>
      <c r="J2177" s="898"/>
      <c r="K2177" s="899">
        <f>IF(G2177&lt;&gt;0,VLOOKUP(G2177,'gia dat'!$A$1:$F$144,5,0)," ")</f>
        <v>376800</v>
      </c>
      <c r="L2177" s="899">
        <f>IF(G2177&lt;&gt;0,VLOOKUP(G2177,'gia dat'!$A$1:$F$144,6,0)," ")</f>
        <v>1130400</v>
      </c>
      <c r="M2177" s="900">
        <f t="shared" si="481"/>
        <v>446772000</v>
      </c>
      <c r="N2177" s="900">
        <f t="shared" si="482"/>
        <v>1340315000</v>
      </c>
      <c r="O2177" s="908" t="s">
        <v>61</v>
      </c>
      <c r="P2177" s="1065">
        <v>22</v>
      </c>
      <c r="Q2177" s="900">
        <f>IF(O2177&lt;&gt;0,VLOOKUP(O2177,'Cây trong'!$A$2:$C$246,3,0)," ")</f>
        <v>1708000</v>
      </c>
      <c r="R2177" s="900">
        <f t="shared" si="474"/>
        <v>37576000</v>
      </c>
      <c r="S2177" s="902" t="s">
        <v>2391</v>
      </c>
      <c r="T2177" s="944" t="s">
        <v>1133</v>
      </c>
      <c r="U2177" s="1066">
        <v>30</v>
      </c>
      <c r="V2177" s="922"/>
      <c r="W2177" s="900">
        <f>IF(S2177&lt;&gt;0,VLOOKUP(S2177,VKT!$A$2:$G$415,7,0),"")</f>
        <v>1044880</v>
      </c>
      <c r="X2177" s="900">
        <f t="shared" si="472"/>
        <v>31346000</v>
      </c>
      <c r="Y2177" s="1016" t="s">
        <v>1263</v>
      </c>
      <c r="Z2177" s="1016" t="s">
        <v>82</v>
      </c>
      <c r="AA2177" s="1016" t="s">
        <v>1263</v>
      </c>
      <c r="AB2177" s="1026" t="s">
        <v>143</v>
      </c>
      <c r="AC2177" s="922"/>
      <c r="AD2177" s="922"/>
      <c r="AE2177" s="922"/>
      <c r="AF2177" s="1046"/>
      <c r="AG2177" s="906" t="str">
        <f>IF(AE2177&lt;&gt;0,VLOOKUP(AE2177,ODDS!$A$2:$C$13,3,0),"")</f>
        <v/>
      </c>
      <c r="AH2177" s="906"/>
      <c r="AI2177" s="907" t="str">
        <f t="shared" si="473"/>
        <v xml:space="preserve"> </v>
      </c>
      <c r="AJ2177" s="922" t="s">
        <v>2398</v>
      </c>
      <c r="AK2177" s="922" t="s">
        <v>2771</v>
      </c>
      <c r="AL2177" s="430"/>
    </row>
    <row r="2178" spans="1:38" s="394" customFormat="1" ht="112.5" outlineLevel="2" x14ac:dyDescent="0.3">
      <c r="A2178" s="447">
        <f t="shared" ref="A2178:A2199" si="484">IF(B2177&lt;&gt;0,B2177,A2177)</f>
        <v>183</v>
      </c>
      <c r="B2178" s="893"/>
      <c r="C2178" s="908" t="s">
        <v>1635</v>
      </c>
      <c r="D2178" s="1032"/>
      <c r="E2178" s="947"/>
      <c r="F2178" s="947"/>
      <c r="G2178" s="922" t="s">
        <v>2431</v>
      </c>
      <c r="H2178" s="1041">
        <v>134.69999999999999</v>
      </c>
      <c r="I2178" s="882" t="str">
        <f t="shared" si="483"/>
        <v/>
      </c>
      <c r="J2178" s="898"/>
      <c r="K2178" s="899">
        <f>IF(G2178&lt;&gt;0,VLOOKUP(G2178,'gia dat'!$A$1:$F$144,5,0)," ")</f>
        <v>376800</v>
      </c>
      <c r="L2178" s="899">
        <f>IF(G2178&lt;&gt;0,VLOOKUP(G2178,'gia dat'!$A$1:$F$144,6,0)," ")</f>
        <v>0</v>
      </c>
      <c r="M2178" s="900">
        <f t="shared" si="481"/>
        <v>50755000</v>
      </c>
      <c r="N2178" s="900">
        <f t="shared" si="482"/>
        <v>0</v>
      </c>
      <c r="O2178" s="908" t="s">
        <v>64</v>
      </c>
      <c r="P2178" s="1065">
        <v>2</v>
      </c>
      <c r="Q2178" s="900">
        <f>IF(O2178&lt;&gt;0,VLOOKUP(O2178,'Cây trong'!$A$2:$C$246,3,0)," ")</f>
        <v>1122000</v>
      </c>
      <c r="R2178" s="900">
        <f t="shared" si="474"/>
        <v>2244000</v>
      </c>
      <c r="S2178" s="902" t="s">
        <v>1945</v>
      </c>
      <c r="T2178" s="944" t="s">
        <v>1133</v>
      </c>
      <c r="U2178" s="1066">
        <v>6.16</v>
      </c>
      <c r="V2178" s="922"/>
      <c r="W2178" s="900">
        <f>IF(S2178&lt;&gt;0,VLOOKUP(S2178,VKT!$A$2:$G$415,7,0),"")</f>
        <v>770070</v>
      </c>
      <c r="X2178" s="900">
        <f t="shared" si="472"/>
        <v>4744000</v>
      </c>
      <c r="Y2178" s="1016" t="s">
        <v>1263</v>
      </c>
      <c r="Z2178" s="1016" t="s">
        <v>82</v>
      </c>
      <c r="AA2178" s="1016" t="s">
        <v>1263</v>
      </c>
      <c r="AB2178" s="1026" t="s">
        <v>143</v>
      </c>
      <c r="AC2178" s="922"/>
      <c r="AD2178" s="922"/>
      <c r="AE2178" s="922"/>
      <c r="AF2178" s="1046"/>
      <c r="AG2178" s="906" t="str">
        <f>IF(AE2178&lt;&gt;0,VLOOKUP(AE2178,ODDS!$A$2:$C$13,3,0),"")</f>
        <v/>
      </c>
      <c r="AH2178" s="906" t="str">
        <f t="shared" si="475"/>
        <v xml:space="preserve"> </v>
      </c>
      <c r="AI2178" s="907" t="str">
        <f t="shared" si="473"/>
        <v xml:space="preserve"> </v>
      </c>
      <c r="AJ2178" s="922" t="s">
        <v>1465</v>
      </c>
      <c r="AK2178" s="894" t="s">
        <v>2450</v>
      </c>
    </row>
    <row r="2179" spans="1:38" s="394" customFormat="1" ht="112.5" outlineLevel="2" x14ac:dyDescent="0.3">
      <c r="A2179" s="447">
        <f t="shared" si="484"/>
        <v>183</v>
      </c>
      <c r="B2179" s="893"/>
      <c r="C2179" s="908"/>
      <c r="D2179" s="1032"/>
      <c r="E2179" s="947"/>
      <c r="F2179" s="947"/>
      <c r="G2179" s="922"/>
      <c r="H2179" s="1041"/>
      <c r="I2179" s="882"/>
      <c r="J2179" s="898"/>
      <c r="K2179" s="899" t="str">
        <f>IF(G2179&lt;&gt;0,VLOOKUP(G2179,'gia dat'!$A$1:$F$144,5,0)," ")</f>
        <v xml:space="preserve"> </v>
      </c>
      <c r="L2179" s="899" t="str">
        <f>IF(G2179&lt;&gt;0,VLOOKUP(G2179,'gia dat'!$A$1:$F$144,6,0)," ")</f>
        <v xml:space="preserve"> </v>
      </c>
      <c r="M2179" s="900" t="str">
        <f t="shared" si="481"/>
        <v xml:space="preserve"> </v>
      </c>
      <c r="N2179" s="900" t="str">
        <f t="shared" si="482"/>
        <v xml:space="preserve"> </v>
      </c>
      <c r="O2179" s="908" t="s">
        <v>932</v>
      </c>
      <c r="P2179" s="1065">
        <v>4</v>
      </c>
      <c r="Q2179" s="900">
        <f>IF(O2179&lt;&gt;0,VLOOKUP(O2179,'Cây trong'!$A$2:$C$246,3,0)," ")</f>
        <v>84000</v>
      </c>
      <c r="R2179" s="900">
        <f t="shared" si="474"/>
        <v>336000</v>
      </c>
      <c r="S2179" s="902" t="s">
        <v>2391</v>
      </c>
      <c r="T2179" s="944" t="s">
        <v>1133</v>
      </c>
      <c r="U2179" s="1066">
        <v>17.64</v>
      </c>
      <c r="V2179" s="922"/>
      <c r="W2179" s="900">
        <f>IF(S2179&lt;&gt;0,VLOOKUP(S2179,VKT!$A$2:$G$415,7,0),"")</f>
        <v>1044880</v>
      </c>
      <c r="X2179" s="900">
        <f t="shared" si="472"/>
        <v>18432000</v>
      </c>
      <c r="Y2179" s="1016" t="s">
        <v>1263</v>
      </c>
      <c r="Z2179" s="1016" t="s">
        <v>82</v>
      </c>
      <c r="AA2179" s="1016" t="s">
        <v>1263</v>
      </c>
      <c r="AB2179" s="1026" t="s">
        <v>143</v>
      </c>
      <c r="AC2179" s="922"/>
      <c r="AD2179" s="922"/>
      <c r="AE2179" s="922"/>
      <c r="AF2179" s="1046"/>
      <c r="AG2179" s="906" t="str">
        <f>IF(AE2179&lt;&gt;0,VLOOKUP(AE2179,ODDS!$A$2:$C$13,3,0),"")</f>
        <v/>
      </c>
      <c r="AH2179" s="906" t="str">
        <f t="shared" si="475"/>
        <v xml:space="preserve"> </v>
      </c>
      <c r="AI2179" s="907" t="str">
        <f t="shared" si="473"/>
        <v xml:space="preserve"> </v>
      </c>
      <c r="AJ2179" s="922" t="s">
        <v>1267</v>
      </c>
      <c r="AK2179" s="894" t="s">
        <v>2449</v>
      </c>
    </row>
    <row r="2180" spans="1:38" s="394" customFormat="1" ht="112.5" outlineLevel="2" x14ac:dyDescent="0.35">
      <c r="A2180" s="447">
        <f t="shared" si="484"/>
        <v>183</v>
      </c>
      <c r="B2180" s="893"/>
      <c r="C2180" s="908"/>
      <c r="D2180" s="1032"/>
      <c r="E2180" s="947"/>
      <c r="F2180" s="947"/>
      <c r="G2180" s="922"/>
      <c r="H2180" s="1041"/>
      <c r="I2180" s="882"/>
      <c r="J2180" s="894"/>
      <c r="K2180" s="899" t="str">
        <f>IF(G2180&lt;&gt;0,VLOOKUP(G2180,'gia dat'!$A$1:$F$144,5,0)," ")</f>
        <v xml:space="preserve"> </v>
      </c>
      <c r="L2180" s="899" t="str">
        <f>IF(G2180&lt;&gt;0,VLOOKUP(G2180,'gia dat'!$A$1:$F$144,6,0)," ")</f>
        <v xml:space="preserve"> </v>
      </c>
      <c r="M2180" s="900" t="str">
        <f t="shared" si="481"/>
        <v xml:space="preserve"> </v>
      </c>
      <c r="N2180" s="900" t="str">
        <f t="shared" si="482"/>
        <v xml:space="preserve"> </v>
      </c>
      <c r="O2180" s="908" t="s">
        <v>355</v>
      </c>
      <c r="P2180" s="1065">
        <v>1</v>
      </c>
      <c r="Q2180" s="900">
        <f>IF(O2180&lt;&gt;0,VLOOKUP(O2180,'Cây trong'!$A$2:$C$246,3,0)," ")</f>
        <v>979000</v>
      </c>
      <c r="R2180" s="900">
        <f t="shared" si="474"/>
        <v>979000</v>
      </c>
      <c r="S2180" s="902" t="s">
        <v>2391</v>
      </c>
      <c r="T2180" s="944" t="s">
        <v>1133</v>
      </c>
      <c r="U2180" s="1066">
        <v>11.2</v>
      </c>
      <c r="V2180" s="922"/>
      <c r="W2180" s="900">
        <f>IF(S2180&lt;&gt;0,VLOOKUP(S2180,VKT!$A$2:$G$415,7,0),"")</f>
        <v>1044880</v>
      </c>
      <c r="X2180" s="900">
        <f t="shared" si="472"/>
        <v>11703000</v>
      </c>
      <c r="Y2180" s="1016" t="s">
        <v>1263</v>
      </c>
      <c r="Z2180" s="1016" t="s">
        <v>82</v>
      </c>
      <c r="AA2180" s="1016" t="s">
        <v>1263</v>
      </c>
      <c r="AB2180" s="1026" t="s">
        <v>143</v>
      </c>
      <c r="AC2180" s="922"/>
      <c r="AD2180" s="922"/>
      <c r="AE2180" s="922"/>
      <c r="AF2180" s="1046"/>
      <c r="AG2180" s="906" t="str">
        <f>IF(AE2180&lt;&gt;0,VLOOKUP(AE2180,ODDS!$A$2:$C$13,3,0),"")</f>
        <v/>
      </c>
      <c r="AH2180" s="906" t="str">
        <f t="shared" si="475"/>
        <v xml:space="preserve"> </v>
      </c>
      <c r="AI2180" s="907" t="str">
        <f t="shared" si="473"/>
        <v xml:space="preserve"> </v>
      </c>
      <c r="AJ2180" s="1068" t="s">
        <v>2074</v>
      </c>
      <c r="AK2180" s="922" t="s">
        <v>2800</v>
      </c>
    </row>
    <row r="2181" spans="1:38" s="394" customFormat="1" ht="45" outlineLevel="2" x14ac:dyDescent="0.35">
      <c r="A2181" s="447">
        <f t="shared" si="484"/>
        <v>183</v>
      </c>
      <c r="B2181" s="893"/>
      <c r="C2181" s="908"/>
      <c r="D2181" s="1032"/>
      <c r="E2181" s="947"/>
      <c r="F2181" s="947"/>
      <c r="G2181" s="922"/>
      <c r="H2181" s="1041"/>
      <c r="I2181" s="882"/>
      <c r="J2181" s="894"/>
      <c r="K2181" s="899" t="str">
        <f>IF(G2181&lt;&gt;0,VLOOKUP(G2181,'gia dat'!$A$1:$F$144,5,0)," ")</f>
        <v xml:space="preserve"> </v>
      </c>
      <c r="L2181" s="899" t="str">
        <f>IF(G2181&lt;&gt;0,VLOOKUP(G2181,'gia dat'!$A$1:$F$144,6,0)," ")</f>
        <v xml:space="preserve"> </v>
      </c>
      <c r="M2181" s="900" t="str">
        <f t="shared" si="481"/>
        <v xml:space="preserve"> </v>
      </c>
      <c r="N2181" s="900" t="str">
        <f t="shared" si="482"/>
        <v xml:space="preserve"> </v>
      </c>
      <c r="O2181" s="908" t="s">
        <v>145</v>
      </c>
      <c r="P2181" s="1065">
        <v>3</v>
      </c>
      <c r="Q2181" s="900">
        <f>IF(O2181&lt;&gt;0,VLOOKUP(O2181,'Cây trong'!$A$2:$C$246,3,0)," ")</f>
        <v>4240000</v>
      </c>
      <c r="R2181" s="900">
        <f t="shared" si="474"/>
        <v>12720000</v>
      </c>
      <c r="S2181" s="902" t="s">
        <v>2391</v>
      </c>
      <c r="T2181" s="944" t="s">
        <v>1133</v>
      </c>
      <c r="U2181" s="1066">
        <v>38.03</v>
      </c>
      <c r="V2181" s="922"/>
      <c r="W2181" s="900">
        <f>IF(S2181&lt;&gt;0,VLOOKUP(S2181,VKT!$A$2:$G$415,7,0),"")</f>
        <v>1044880</v>
      </c>
      <c r="X2181" s="900">
        <f t="shared" si="472"/>
        <v>39737000</v>
      </c>
      <c r="Y2181" s="1016" t="s">
        <v>1263</v>
      </c>
      <c r="Z2181" s="1016" t="s">
        <v>82</v>
      </c>
      <c r="AA2181" s="1016" t="s">
        <v>1263</v>
      </c>
      <c r="AB2181" s="1026" t="s">
        <v>143</v>
      </c>
      <c r="AC2181" s="922"/>
      <c r="AD2181" s="922"/>
      <c r="AE2181" s="922"/>
      <c r="AF2181" s="1046"/>
      <c r="AG2181" s="906" t="str">
        <f>IF(AE2181&lt;&gt;0,VLOOKUP(AE2181,ODDS!$A$2:$C$13,3,0),"")</f>
        <v/>
      </c>
      <c r="AH2181" s="906" t="str">
        <f t="shared" si="475"/>
        <v xml:space="preserve"> </v>
      </c>
      <c r="AI2181" s="907" t="str">
        <f t="shared" si="473"/>
        <v xml:space="preserve"> </v>
      </c>
      <c r="AJ2181" s="1068"/>
      <c r="AK2181" s="922"/>
    </row>
    <row r="2182" spans="1:38" s="394" customFormat="1" ht="45" outlineLevel="2" x14ac:dyDescent="0.3">
      <c r="A2182" s="447">
        <f t="shared" si="484"/>
        <v>183</v>
      </c>
      <c r="B2182" s="893"/>
      <c r="C2182" s="908"/>
      <c r="D2182" s="1032"/>
      <c r="E2182" s="947"/>
      <c r="F2182" s="947"/>
      <c r="G2182" s="922"/>
      <c r="H2182" s="1041"/>
      <c r="I2182" s="882"/>
      <c r="J2182" s="894"/>
      <c r="K2182" s="899" t="str">
        <f>IF(G2182&lt;&gt;0,VLOOKUP(G2182,'gia dat'!$A$1:$F$144,5,0)," ")</f>
        <v xml:space="preserve"> </v>
      </c>
      <c r="L2182" s="899" t="str">
        <f>IF(G2182&lt;&gt;0,VLOOKUP(G2182,'gia dat'!$A$1:$F$144,6,0)," ")</f>
        <v xml:space="preserve"> </v>
      </c>
      <c r="M2182" s="900" t="str">
        <f t="shared" si="481"/>
        <v xml:space="preserve"> </v>
      </c>
      <c r="N2182" s="900" t="str">
        <f t="shared" si="482"/>
        <v xml:space="preserve"> </v>
      </c>
      <c r="O2182" s="908" t="s">
        <v>1463</v>
      </c>
      <c r="P2182" s="1065">
        <v>1</v>
      </c>
      <c r="Q2182" s="900">
        <f>IF(O2182&lt;&gt;0,VLOOKUP(O2182,'Cây trong'!$A$2:$C$246,3,0)," ")</f>
        <v>1200000</v>
      </c>
      <c r="R2182" s="900">
        <f t="shared" si="474"/>
        <v>1200000</v>
      </c>
      <c r="S2182" s="902" t="s">
        <v>2391</v>
      </c>
      <c r="T2182" s="944" t="s">
        <v>1133</v>
      </c>
      <c r="U2182" s="1066">
        <v>37.019999999999996</v>
      </c>
      <c r="V2182" s="922"/>
      <c r="W2182" s="900">
        <f>IF(S2182&lt;&gt;0,VLOOKUP(S2182,VKT!$A$2:$G$415,7,0),"")</f>
        <v>1044880</v>
      </c>
      <c r="X2182" s="900">
        <f t="shared" si="472"/>
        <v>38681000</v>
      </c>
      <c r="Y2182" s="1016" t="s">
        <v>1263</v>
      </c>
      <c r="Z2182" s="1016" t="s">
        <v>82</v>
      </c>
      <c r="AA2182" s="1016" t="s">
        <v>1263</v>
      </c>
      <c r="AB2182" s="1026" t="s">
        <v>143</v>
      </c>
      <c r="AC2182" s="922"/>
      <c r="AD2182" s="922"/>
      <c r="AE2182" s="922"/>
      <c r="AF2182" s="1046"/>
      <c r="AG2182" s="906" t="str">
        <f>IF(AE2182&lt;&gt;0,VLOOKUP(AE2182,ODDS!$A$2:$C$13,3,0),"")</f>
        <v/>
      </c>
      <c r="AH2182" s="906" t="str">
        <f t="shared" si="475"/>
        <v xml:space="preserve"> </v>
      </c>
      <c r="AI2182" s="907" t="str">
        <f t="shared" si="473"/>
        <v xml:space="preserve"> </v>
      </c>
      <c r="AJ2182" s="922"/>
      <c r="AK2182" s="922"/>
    </row>
    <row r="2183" spans="1:38" s="394" customFormat="1" ht="67.5" outlineLevel="2" x14ac:dyDescent="0.35">
      <c r="A2183" s="447">
        <f t="shared" si="484"/>
        <v>183</v>
      </c>
      <c r="B2183" s="893"/>
      <c r="C2183" s="908"/>
      <c r="D2183" s="1032"/>
      <c r="E2183" s="947"/>
      <c r="F2183" s="947"/>
      <c r="G2183" s="922"/>
      <c r="H2183" s="1041"/>
      <c r="I2183" s="882"/>
      <c r="J2183" s="894"/>
      <c r="K2183" s="899" t="str">
        <f>IF(G2183&lt;&gt;0,VLOOKUP(G2183,'gia dat'!$A$1:$F$144,5,0)," ")</f>
        <v xml:space="preserve"> </v>
      </c>
      <c r="L2183" s="899" t="str">
        <f>IF(G2183&lt;&gt;0,VLOOKUP(G2183,'gia dat'!$A$1:$F$144,6,0)," ")</f>
        <v xml:space="preserve"> </v>
      </c>
      <c r="M2183" s="900" t="str">
        <f t="shared" si="481"/>
        <v xml:space="preserve"> </v>
      </c>
      <c r="N2183" s="900" t="str">
        <f t="shared" si="482"/>
        <v xml:space="preserve"> </v>
      </c>
      <c r="O2183" s="908" t="s">
        <v>1464</v>
      </c>
      <c r="P2183" s="1065">
        <v>1</v>
      </c>
      <c r="Q2183" s="900">
        <f>IF(O2183&lt;&gt;0,VLOOKUP(O2183,'Cây trong'!$A$2:$C$246,3,0)," ")</f>
        <v>920000</v>
      </c>
      <c r="R2183" s="900">
        <f t="shared" si="474"/>
        <v>920000</v>
      </c>
      <c r="S2183" s="902" t="s">
        <v>2392</v>
      </c>
      <c r="T2183" s="944" t="s">
        <v>1133</v>
      </c>
      <c r="U2183" s="1066">
        <v>10.54</v>
      </c>
      <c r="V2183" s="922"/>
      <c r="W2183" s="900">
        <f>IF(S2183&lt;&gt;0,VLOOKUP(S2183,VKT!$A$2:$G$415,7,0),"")</f>
        <v>0</v>
      </c>
      <c r="X2183" s="900">
        <f t="shared" si="472"/>
        <v>0</v>
      </c>
      <c r="Y2183" s="985"/>
      <c r="Z2183" s="922"/>
      <c r="AA2183" s="1067"/>
      <c r="AB2183" s="922"/>
      <c r="AC2183" s="922"/>
      <c r="AD2183" s="922"/>
      <c r="AE2183" s="922"/>
      <c r="AF2183" s="1046"/>
      <c r="AG2183" s="906" t="str">
        <f>IF(AE2183&lt;&gt;0,VLOOKUP(AE2183,ODDS!$A$2:$C$13,3,0),"")</f>
        <v/>
      </c>
      <c r="AH2183" s="906" t="str">
        <f t="shared" si="475"/>
        <v xml:space="preserve"> </v>
      </c>
      <c r="AI2183" s="907" t="str">
        <f t="shared" si="473"/>
        <v xml:space="preserve"> </v>
      </c>
      <c r="AJ2183" s="1068"/>
      <c r="AK2183" s="922"/>
    </row>
    <row r="2184" spans="1:38" s="394" customFormat="1" ht="135" outlineLevel="2" x14ac:dyDescent="0.3">
      <c r="A2184" s="447">
        <f t="shared" si="484"/>
        <v>183</v>
      </c>
      <c r="B2184" s="893"/>
      <c r="C2184" s="908"/>
      <c r="D2184" s="1032"/>
      <c r="E2184" s="947"/>
      <c r="F2184" s="947"/>
      <c r="G2184" s="922"/>
      <c r="H2184" s="1041"/>
      <c r="I2184" s="882"/>
      <c r="J2184" s="894"/>
      <c r="K2184" s="899" t="str">
        <f>IF(G2184&lt;&gt;0,VLOOKUP(G2184,'gia dat'!$A$1:$F$144,5,0)," ")</f>
        <v xml:space="preserve"> </v>
      </c>
      <c r="L2184" s="899" t="str">
        <f>IF(G2184&lt;&gt;0,VLOOKUP(G2184,'gia dat'!$A$1:$F$144,6,0)," ")</f>
        <v xml:space="preserve"> </v>
      </c>
      <c r="M2184" s="900" t="str">
        <f t="shared" si="481"/>
        <v xml:space="preserve"> </v>
      </c>
      <c r="N2184" s="900" t="str">
        <f t="shared" si="482"/>
        <v xml:space="preserve"> </v>
      </c>
      <c r="O2184" s="908" t="s">
        <v>1466</v>
      </c>
      <c r="P2184" s="1065">
        <v>1</v>
      </c>
      <c r="Q2184" s="900">
        <f>IF(O2184&lt;&gt;0,VLOOKUP(O2184,'Cây trong'!$A$2:$C$246,3,0)," ")</f>
        <v>605000</v>
      </c>
      <c r="R2184" s="900">
        <f t="shared" si="474"/>
        <v>605000</v>
      </c>
      <c r="S2184" s="908" t="s">
        <v>2393</v>
      </c>
      <c r="T2184" s="944" t="s">
        <v>1133</v>
      </c>
      <c r="U2184" s="1066">
        <v>2.21</v>
      </c>
      <c r="V2184" s="922"/>
      <c r="W2184" s="900">
        <f>IF(S2184&lt;&gt;0,VLOOKUP(S2184,VKT!$A$2:$G$415,7,0),"")</f>
        <v>7741709</v>
      </c>
      <c r="X2184" s="900">
        <f t="shared" si="472"/>
        <v>17109000</v>
      </c>
      <c r="Y2184" s="985"/>
      <c r="Z2184" s="922"/>
      <c r="AA2184" s="1067"/>
      <c r="AB2184" s="922"/>
      <c r="AC2184" s="922"/>
      <c r="AD2184" s="922"/>
      <c r="AE2184" s="922"/>
      <c r="AF2184" s="1046"/>
      <c r="AG2184" s="906" t="str">
        <f>IF(AE2184&lt;&gt;0,VLOOKUP(AE2184,ODDS!$A$2:$C$13,3,0),"")</f>
        <v/>
      </c>
      <c r="AH2184" s="906" t="str">
        <f t="shared" si="475"/>
        <v xml:space="preserve"> </v>
      </c>
      <c r="AI2184" s="907" t="str">
        <f t="shared" si="473"/>
        <v xml:space="preserve"> </v>
      </c>
      <c r="AJ2184" s="922"/>
      <c r="AK2184" s="922"/>
    </row>
    <row r="2185" spans="1:38" s="394" customFormat="1" ht="157.5" outlineLevel="2" x14ac:dyDescent="0.3">
      <c r="A2185" s="447">
        <f t="shared" si="484"/>
        <v>183</v>
      </c>
      <c r="B2185" s="893"/>
      <c r="C2185" s="908"/>
      <c r="D2185" s="1032"/>
      <c r="E2185" s="947"/>
      <c r="F2185" s="947"/>
      <c r="G2185" s="922"/>
      <c r="H2185" s="1041"/>
      <c r="I2185" s="882"/>
      <c r="J2185" s="894"/>
      <c r="K2185" s="899" t="str">
        <f>IF(G2185&lt;&gt;0,VLOOKUP(G2185,'gia dat'!$A$1:$F$144,5,0)," ")</f>
        <v xml:space="preserve"> </v>
      </c>
      <c r="L2185" s="899" t="str">
        <f>IF(G2185&lt;&gt;0,VLOOKUP(G2185,'gia dat'!$A$1:$F$144,6,0)," ")</f>
        <v xml:space="preserve"> </v>
      </c>
      <c r="M2185" s="900" t="str">
        <f t="shared" si="481"/>
        <v xml:space="preserve"> </v>
      </c>
      <c r="N2185" s="900" t="str">
        <f t="shared" si="482"/>
        <v xml:space="preserve"> </v>
      </c>
      <c r="O2185" s="908" t="s">
        <v>1467</v>
      </c>
      <c r="P2185" s="1065">
        <v>1</v>
      </c>
      <c r="Q2185" s="900">
        <f>IF(O2185&lt;&gt;0,VLOOKUP(O2185,'Cây trong'!$A$2:$C$246,3,0)," ")</f>
        <v>294000</v>
      </c>
      <c r="R2185" s="900">
        <f t="shared" si="474"/>
        <v>294000</v>
      </c>
      <c r="S2185" s="908" t="s">
        <v>2394</v>
      </c>
      <c r="T2185" s="944" t="s">
        <v>1133</v>
      </c>
      <c r="U2185" s="1066">
        <v>2.8499999999999996</v>
      </c>
      <c r="V2185" s="922"/>
      <c r="W2185" s="900">
        <f>IF(S2185&lt;&gt;0,VLOOKUP(S2185,VKT!$A$2:$G$415,7,0),"")</f>
        <v>2093161</v>
      </c>
      <c r="X2185" s="900">
        <f t="shared" ref="X2185:X2253" si="485">IF(S2185&lt;&gt;0,ROUND(U2185*W2185,-3)," ")</f>
        <v>5966000</v>
      </c>
      <c r="Y2185" s="985"/>
      <c r="Z2185" s="922"/>
      <c r="AA2185" s="1067"/>
      <c r="AB2185" s="922"/>
      <c r="AC2185" s="922"/>
      <c r="AD2185" s="922"/>
      <c r="AE2185" s="922"/>
      <c r="AF2185" s="1046"/>
      <c r="AG2185" s="906" t="str">
        <f>IF(AE2185&lt;&gt;0,VLOOKUP(AE2185,ODDS!$A$2:$C$13,3,0),"")</f>
        <v/>
      </c>
      <c r="AH2185" s="906" t="str">
        <f t="shared" si="475"/>
        <v xml:space="preserve"> </v>
      </c>
      <c r="AI2185" s="907" t="str">
        <f t="shared" ref="AI2185:AI2248" si="486">IF(B2185&lt;&gt;0,M2185+N2185+R2185+X2185+AH2185," ")</f>
        <v xml:space="preserve"> </v>
      </c>
      <c r="AJ2185" s="922"/>
      <c r="AK2185" s="922"/>
    </row>
    <row r="2186" spans="1:38" s="394" customFormat="1" ht="135" outlineLevel="2" x14ac:dyDescent="0.3">
      <c r="A2186" s="447">
        <f t="shared" si="484"/>
        <v>183</v>
      </c>
      <c r="B2186" s="893"/>
      <c r="C2186" s="908"/>
      <c r="D2186" s="1032"/>
      <c r="E2186" s="947"/>
      <c r="F2186" s="947"/>
      <c r="G2186" s="922"/>
      <c r="H2186" s="1041"/>
      <c r="I2186" s="882"/>
      <c r="J2186" s="894"/>
      <c r="K2186" s="899" t="str">
        <f>IF(G2186&lt;&gt;0,VLOOKUP(G2186,'gia dat'!$A$1:$F$144,5,0)," ")</f>
        <v xml:space="preserve"> </v>
      </c>
      <c r="L2186" s="899" t="str">
        <f>IF(G2186&lt;&gt;0,VLOOKUP(G2186,'gia dat'!$A$1:$F$144,6,0)," ")</f>
        <v xml:space="preserve"> </v>
      </c>
      <c r="M2186" s="900" t="str">
        <f t="shared" si="481"/>
        <v xml:space="preserve"> </v>
      </c>
      <c r="N2186" s="900" t="str">
        <f t="shared" si="482"/>
        <v xml:space="preserve"> </v>
      </c>
      <c r="O2186" s="908" t="s">
        <v>1353</v>
      </c>
      <c r="P2186" s="1065">
        <v>2</v>
      </c>
      <c r="Q2186" s="900">
        <f>IF(O2186&lt;&gt;0,VLOOKUP(O2186,'Cây trong'!$A$2:$C$246,3,0)," ")</f>
        <v>1713000</v>
      </c>
      <c r="R2186" s="900">
        <f t="shared" si="474"/>
        <v>3426000</v>
      </c>
      <c r="S2186" s="908" t="s">
        <v>2395</v>
      </c>
      <c r="T2186" s="944" t="s">
        <v>1133</v>
      </c>
      <c r="U2186" s="1066">
        <v>133.19999999999999</v>
      </c>
      <c r="V2186" s="922"/>
      <c r="W2186" s="900">
        <f>IF(S2186&lt;&gt;0,VLOOKUP(S2186,VKT!$A$2:$G$415,7,0),"")</f>
        <v>738254</v>
      </c>
      <c r="X2186" s="900">
        <f t="shared" si="485"/>
        <v>98335000</v>
      </c>
      <c r="Y2186" s="985"/>
      <c r="Z2186" s="922"/>
      <c r="AA2186" s="1067"/>
      <c r="AB2186" s="922"/>
      <c r="AC2186" s="922"/>
      <c r="AD2186" s="922"/>
      <c r="AE2186" s="922"/>
      <c r="AF2186" s="1046"/>
      <c r="AG2186" s="906" t="str">
        <f>IF(AE2186&lt;&gt;0,VLOOKUP(AE2186,ODDS!$A$2:$C$13,3,0),"")</f>
        <v/>
      </c>
      <c r="AH2186" s="906" t="str">
        <f t="shared" si="475"/>
        <v xml:space="preserve"> </v>
      </c>
      <c r="AI2186" s="907" t="str">
        <f t="shared" si="486"/>
        <v xml:space="preserve"> </v>
      </c>
      <c r="AJ2186" s="922"/>
      <c r="AK2186" s="922"/>
    </row>
    <row r="2187" spans="1:38" s="394" customFormat="1" ht="112.5" outlineLevel="2" x14ac:dyDescent="0.3">
      <c r="A2187" s="447">
        <f t="shared" si="484"/>
        <v>183</v>
      </c>
      <c r="B2187" s="893"/>
      <c r="C2187" s="908"/>
      <c r="D2187" s="1032"/>
      <c r="E2187" s="947"/>
      <c r="F2187" s="947"/>
      <c r="G2187" s="922"/>
      <c r="H2187" s="1041"/>
      <c r="I2187" s="882"/>
      <c r="J2187" s="894"/>
      <c r="K2187" s="899" t="str">
        <f>IF(G2187&lt;&gt;0,VLOOKUP(G2187,'gia dat'!$A$1:$F$144,5,0)," ")</f>
        <v xml:space="preserve"> </v>
      </c>
      <c r="L2187" s="899" t="str">
        <f>IF(G2187&lt;&gt;0,VLOOKUP(G2187,'gia dat'!$A$1:$F$144,6,0)," ")</f>
        <v xml:space="preserve"> </v>
      </c>
      <c r="M2187" s="900" t="str">
        <f t="shared" si="481"/>
        <v xml:space="preserve"> </v>
      </c>
      <c r="N2187" s="900" t="str">
        <f t="shared" si="482"/>
        <v xml:space="preserve"> </v>
      </c>
      <c r="O2187" s="908" t="s">
        <v>1431</v>
      </c>
      <c r="P2187" s="1065">
        <v>1</v>
      </c>
      <c r="Q2187" s="900">
        <f>IF(O2187&lt;&gt;0,VLOOKUP(O2187,'Cây trong'!$A$2:$C$246,3,0)," ")</f>
        <v>165000</v>
      </c>
      <c r="R2187" s="900">
        <f t="shared" si="474"/>
        <v>165000</v>
      </c>
      <c r="S2187" s="908" t="s">
        <v>2396</v>
      </c>
      <c r="T2187" s="944" t="s">
        <v>1133</v>
      </c>
      <c r="U2187" s="1066">
        <v>11</v>
      </c>
      <c r="V2187" s="922"/>
      <c r="W2187" s="900">
        <f>IF(S2187&lt;&gt;0,VLOOKUP(S2187,VKT!$A$2:$G$415,7,0),"")</f>
        <v>642264</v>
      </c>
      <c r="X2187" s="900">
        <f t="shared" si="485"/>
        <v>7065000</v>
      </c>
      <c r="Y2187" s="985"/>
      <c r="Z2187" s="922"/>
      <c r="AA2187" s="1067"/>
      <c r="AB2187" s="922"/>
      <c r="AC2187" s="922"/>
      <c r="AD2187" s="922"/>
      <c r="AE2187" s="922"/>
      <c r="AF2187" s="1046"/>
      <c r="AG2187" s="906" t="str">
        <f>IF(AE2187&lt;&gt;0,VLOOKUP(AE2187,ODDS!$A$2:$C$13,3,0),"")</f>
        <v/>
      </c>
      <c r="AH2187" s="906" t="str">
        <f t="shared" si="475"/>
        <v xml:space="preserve"> </v>
      </c>
      <c r="AI2187" s="907" t="str">
        <f t="shared" si="486"/>
        <v xml:space="preserve"> </v>
      </c>
      <c r="AJ2187" s="922"/>
      <c r="AK2187" s="922"/>
    </row>
    <row r="2188" spans="1:38" s="394" customFormat="1" ht="112.5" outlineLevel="2" x14ac:dyDescent="0.3">
      <c r="A2188" s="447">
        <f t="shared" si="484"/>
        <v>183</v>
      </c>
      <c r="B2188" s="893"/>
      <c r="C2188" s="908"/>
      <c r="D2188" s="1032"/>
      <c r="E2188" s="947"/>
      <c r="F2188" s="947"/>
      <c r="G2188" s="922"/>
      <c r="H2188" s="1041"/>
      <c r="I2188" s="882"/>
      <c r="J2188" s="894"/>
      <c r="K2188" s="899" t="str">
        <f>IF(G2188&lt;&gt;0,VLOOKUP(G2188,'gia dat'!$A$1:$F$144,5,0)," ")</f>
        <v xml:space="preserve"> </v>
      </c>
      <c r="L2188" s="899" t="str">
        <f>IF(G2188&lt;&gt;0,VLOOKUP(G2188,'gia dat'!$A$1:$F$144,6,0)," ")</f>
        <v xml:space="preserve"> </v>
      </c>
      <c r="M2188" s="900" t="str">
        <f t="shared" si="481"/>
        <v xml:space="preserve"> </v>
      </c>
      <c r="N2188" s="900" t="str">
        <f t="shared" si="482"/>
        <v xml:space="preserve"> </v>
      </c>
      <c r="O2188" s="908" t="s">
        <v>727</v>
      </c>
      <c r="P2188" s="1065">
        <v>1</v>
      </c>
      <c r="Q2188" s="900">
        <f>IF(O2188&lt;&gt;0,VLOOKUP(O2188,'Cây trong'!$A$2:$C$246,3,0)," ")</f>
        <v>32000</v>
      </c>
      <c r="R2188" s="900">
        <f t="shared" si="474"/>
        <v>32000</v>
      </c>
      <c r="S2188" s="908" t="s">
        <v>2397</v>
      </c>
      <c r="T2188" s="944" t="s">
        <v>1133</v>
      </c>
      <c r="U2188" s="1066">
        <v>123</v>
      </c>
      <c r="V2188" s="922"/>
      <c r="W2188" s="900">
        <f>IF(S2188&lt;&gt;0,VLOOKUP(S2188,VKT!$A$2:$G$415,7,0),"")</f>
        <v>441467</v>
      </c>
      <c r="X2188" s="900">
        <f t="shared" si="485"/>
        <v>54300000</v>
      </c>
      <c r="Y2188" s="985"/>
      <c r="Z2188" s="922"/>
      <c r="AA2188" s="1067"/>
      <c r="AB2188" s="922"/>
      <c r="AC2188" s="922"/>
      <c r="AD2188" s="922"/>
      <c r="AE2188" s="922"/>
      <c r="AF2188" s="1046"/>
      <c r="AG2188" s="906" t="str">
        <f>IF(AE2188&lt;&gt;0,VLOOKUP(AE2188,ODDS!$A$2:$C$13,3,0),"")</f>
        <v/>
      </c>
      <c r="AH2188" s="906" t="str">
        <f t="shared" si="475"/>
        <v xml:space="preserve"> </v>
      </c>
      <c r="AI2188" s="907" t="str">
        <f t="shared" si="486"/>
        <v xml:space="preserve"> </v>
      </c>
      <c r="AJ2188" s="922"/>
      <c r="AK2188" s="922"/>
    </row>
    <row r="2189" spans="1:38" s="394" customFormat="1" ht="22.5" outlineLevel="2" x14ac:dyDescent="0.3">
      <c r="A2189" s="447">
        <f t="shared" si="484"/>
        <v>183</v>
      </c>
      <c r="B2189" s="893"/>
      <c r="C2189" s="908"/>
      <c r="D2189" s="1032"/>
      <c r="E2189" s="947"/>
      <c r="F2189" s="947"/>
      <c r="G2189" s="922"/>
      <c r="H2189" s="1041"/>
      <c r="I2189" s="882"/>
      <c r="J2189" s="894"/>
      <c r="K2189" s="899" t="str">
        <f>IF(G2189&lt;&gt;0,VLOOKUP(G2189,'gia dat'!$A$1:$F$144,5,0)," ")</f>
        <v xml:space="preserve"> </v>
      </c>
      <c r="L2189" s="899" t="str">
        <f>IF(G2189&lt;&gt;0,VLOOKUP(G2189,'gia dat'!$A$1:$F$144,6,0)," ")</f>
        <v xml:space="preserve"> </v>
      </c>
      <c r="M2189" s="900" t="str">
        <f t="shared" si="481"/>
        <v xml:space="preserve"> </v>
      </c>
      <c r="N2189" s="900" t="str">
        <f t="shared" si="482"/>
        <v xml:space="preserve"> </v>
      </c>
      <c r="O2189" s="908" t="s">
        <v>754</v>
      </c>
      <c r="P2189" s="1065">
        <v>6</v>
      </c>
      <c r="Q2189" s="900">
        <f>IF(O2189&lt;&gt;0,VLOOKUP(O2189,'Cây trong'!$A$2:$C$246,3,0)," ")</f>
        <v>0</v>
      </c>
      <c r="R2189" s="900">
        <f t="shared" si="474"/>
        <v>0</v>
      </c>
      <c r="S2189" s="908"/>
      <c r="T2189" s="944"/>
      <c r="U2189" s="1066"/>
      <c r="V2189" s="922"/>
      <c r="W2189" s="900" t="str">
        <f>IF(S2189&lt;&gt;0,VLOOKUP(S2189,VKT!$A$2:$G$415,7,0),"")</f>
        <v/>
      </c>
      <c r="X2189" s="900" t="str">
        <f t="shared" si="485"/>
        <v xml:space="preserve"> </v>
      </c>
      <c r="Y2189" s="985"/>
      <c r="Z2189" s="922"/>
      <c r="AA2189" s="1067"/>
      <c r="AB2189" s="922"/>
      <c r="AC2189" s="922"/>
      <c r="AD2189" s="922"/>
      <c r="AE2189" s="922"/>
      <c r="AF2189" s="1046"/>
      <c r="AG2189" s="906" t="str">
        <f>IF(AE2189&lt;&gt;0,VLOOKUP(AE2189,ODDS!$A$2:$C$13,3,0),"")</f>
        <v/>
      </c>
      <c r="AH2189" s="906" t="str">
        <f t="shared" si="475"/>
        <v xml:space="preserve"> </v>
      </c>
      <c r="AI2189" s="907" t="str">
        <f t="shared" si="486"/>
        <v xml:space="preserve"> </v>
      </c>
      <c r="AJ2189" s="922"/>
      <c r="AK2189" s="922"/>
    </row>
    <row r="2190" spans="1:38" s="394" customFormat="1" ht="22.5" outlineLevel="2" x14ac:dyDescent="0.3">
      <c r="A2190" s="447">
        <f t="shared" si="484"/>
        <v>183</v>
      </c>
      <c r="B2190" s="893"/>
      <c r="C2190" s="908"/>
      <c r="D2190" s="1032"/>
      <c r="E2190" s="947"/>
      <c r="F2190" s="947"/>
      <c r="G2190" s="922"/>
      <c r="H2190" s="1041"/>
      <c r="I2190" s="882"/>
      <c r="J2190" s="894"/>
      <c r="K2190" s="899" t="str">
        <f>IF(G2190&lt;&gt;0,VLOOKUP(G2190,'gia dat'!$A$1:$F$144,5,0)," ")</f>
        <v xml:space="preserve"> </v>
      </c>
      <c r="L2190" s="899" t="str">
        <f>IF(G2190&lt;&gt;0,VLOOKUP(G2190,'gia dat'!$A$1:$F$144,6,0)," ")</f>
        <v xml:space="preserve"> </v>
      </c>
      <c r="M2190" s="900" t="str">
        <f t="shared" si="481"/>
        <v xml:space="preserve"> </v>
      </c>
      <c r="N2190" s="900" t="str">
        <f t="shared" si="482"/>
        <v xml:space="preserve"> </v>
      </c>
      <c r="O2190" s="908" t="s">
        <v>744</v>
      </c>
      <c r="P2190" s="1065">
        <v>1</v>
      </c>
      <c r="Q2190" s="900">
        <f>IF(O2190&lt;&gt;0,VLOOKUP(O2190,'Cây trong'!$A$2:$C$246,3,0)," ")</f>
        <v>0</v>
      </c>
      <c r="R2190" s="900">
        <f t="shared" si="474"/>
        <v>0</v>
      </c>
      <c r="S2190" s="908"/>
      <c r="T2190" s="944"/>
      <c r="U2190" s="1066"/>
      <c r="V2190" s="922"/>
      <c r="W2190" s="900" t="str">
        <f>IF(S2190&lt;&gt;0,VLOOKUP(S2190,VKT!$A$2:$G$415,7,0),"")</f>
        <v/>
      </c>
      <c r="X2190" s="900" t="str">
        <f t="shared" si="485"/>
        <v xml:space="preserve"> </v>
      </c>
      <c r="Y2190" s="985"/>
      <c r="Z2190" s="922"/>
      <c r="AA2190" s="1067"/>
      <c r="AB2190" s="922"/>
      <c r="AC2190" s="922"/>
      <c r="AD2190" s="922"/>
      <c r="AE2190" s="922"/>
      <c r="AF2190" s="1046"/>
      <c r="AG2190" s="906" t="str">
        <f>IF(AE2190&lt;&gt;0,VLOOKUP(AE2190,ODDS!$A$2:$C$13,3,0),"")</f>
        <v/>
      </c>
      <c r="AH2190" s="906" t="str">
        <f t="shared" si="475"/>
        <v xml:space="preserve"> </v>
      </c>
      <c r="AI2190" s="907" t="str">
        <f t="shared" si="486"/>
        <v xml:space="preserve"> </v>
      </c>
      <c r="AJ2190" s="922"/>
      <c r="AK2190" s="922"/>
    </row>
    <row r="2191" spans="1:38" s="394" customFormat="1" ht="90" outlineLevel="2" x14ac:dyDescent="0.3">
      <c r="A2191" s="447">
        <f t="shared" si="484"/>
        <v>183</v>
      </c>
      <c r="B2191" s="893"/>
      <c r="C2191" s="908"/>
      <c r="D2191" s="1032"/>
      <c r="E2191" s="947"/>
      <c r="F2191" s="947"/>
      <c r="G2191" s="922"/>
      <c r="H2191" s="1041"/>
      <c r="I2191" s="882"/>
      <c r="J2191" s="894"/>
      <c r="K2191" s="899" t="str">
        <f>IF(G2191&lt;&gt;0,VLOOKUP(G2191,'gia dat'!$A$1:$F$144,5,0)," ")</f>
        <v xml:space="preserve"> </v>
      </c>
      <c r="L2191" s="899" t="str">
        <f>IF(G2191&lt;&gt;0,VLOOKUP(G2191,'gia dat'!$A$1:$F$144,6,0)," ")</f>
        <v xml:space="preserve"> </v>
      </c>
      <c r="M2191" s="900" t="str">
        <f t="shared" si="481"/>
        <v xml:space="preserve"> </v>
      </c>
      <c r="N2191" s="900" t="str">
        <f t="shared" si="482"/>
        <v xml:space="preserve"> </v>
      </c>
      <c r="O2191" s="901" t="s">
        <v>429</v>
      </c>
      <c r="P2191" s="1065">
        <v>32</v>
      </c>
      <c r="Q2191" s="900">
        <f>IF(O2191&lt;&gt;0,VLOOKUP(O2191,'Cây trong'!$A$2:$C$246,3,0)," ")</f>
        <v>12000</v>
      </c>
      <c r="R2191" s="900">
        <f t="shared" si="474"/>
        <v>384000</v>
      </c>
      <c r="S2191" s="908"/>
      <c r="T2191" s="944"/>
      <c r="U2191" s="1066"/>
      <c r="V2191" s="922"/>
      <c r="W2191" s="900" t="str">
        <f>IF(S2191&lt;&gt;0,VLOOKUP(S2191,VKT!$A$2:$G$415,7,0),"")</f>
        <v/>
      </c>
      <c r="X2191" s="900" t="str">
        <f t="shared" si="485"/>
        <v xml:space="preserve"> </v>
      </c>
      <c r="Y2191" s="985"/>
      <c r="Z2191" s="922"/>
      <c r="AA2191" s="1067"/>
      <c r="AB2191" s="922"/>
      <c r="AC2191" s="922"/>
      <c r="AD2191" s="922"/>
      <c r="AE2191" s="922"/>
      <c r="AF2191" s="1046"/>
      <c r="AG2191" s="906" t="str">
        <f>IF(AE2191&lt;&gt;0,VLOOKUP(AE2191,ODDS!$A$2:$C$13,3,0),"")</f>
        <v/>
      </c>
      <c r="AH2191" s="906" t="str">
        <f t="shared" si="475"/>
        <v xml:space="preserve"> </v>
      </c>
      <c r="AI2191" s="907" t="str">
        <f t="shared" si="486"/>
        <v xml:space="preserve"> </v>
      </c>
      <c r="AJ2191" s="922"/>
      <c r="AK2191" s="922"/>
    </row>
    <row r="2192" spans="1:38" s="394" customFormat="1" ht="45" outlineLevel="2" x14ac:dyDescent="0.3">
      <c r="A2192" s="447">
        <f t="shared" si="484"/>
        <v>183</v>
      </c>
      <c r="B2192" s="893"/>
      <c r="C2192" s="908"/>
      <c r="D2192" s="1032"/>
      <c r="E2192" s="947"/>
      <c r="F2192" s="947"/>
      <c r="G2192" s="922"/>
      <c r="H2192" s="1041"/>
      <c r="I2192" s="882"/>
      <c r="J2192" s="894"/>
      <c r="K2192" s="899" t="str">
        <f>IF(G2192&lt;&gt;0,VLOOKUP(G2192,'gia dat'!$A$1:$F$144,5,0)," ")</f>
        <v xml:space="preserve"> </v>
      </c>
      <c r="L2192" s="899" t="str">
        <f>IF(G2192&lt;&gt;0,VLOOKUP(G2192,'gia dat'!$A$1:$F$144,6,0)," ")</f>
        <v xml:space="preserve"> </v>
      </c>
      <c r="M2192" s="900" t="str">
        <f t="shared" si="481"/>
        <v xml:space="preserve"> </v>
      </c>
      <c r="N2192" s="900" t="str">
        <f t="shared" si="482"/>
        <v xml:space="preserve"> </v>
      </c>
      <c r="O2192" s="908" t="s">
        <v>1427</v>
      </c>
      <c r="P2192" s="1065">
        <v>2</v>
      </c>
      <c r="Q2192" s="900">
        <f>IF(O2192&lt;&gt;0,VLOOKUP(O2192,'Cây trong'!$A$2:$C$246,3,0)," ")</f>
        <v>360000</v>
      </c>
      <c r="R2192" s="900">
        <f t="shared" si="474"/>
        <v>720000</v>
      </c>
      <c r="S2192" s="908"/>
      <c r="T2192" s="944"/>
      <c r="U2192" s="1066"/>
      <c r="V2192" s="922"/>
      <c r="W2192" s="900" t="str">
        <f>IF(S2192&lt;&gt;0,VLOOKUP(S2192,VKT!$A$2:$G$415,7,0),"")</f>
        <v/>
      </c>
      <c r="X2192" s="900" t="str">
        <f t="shared" si="485"/>
        <v xml:space="preserve"> </v>
      </c>
      <c r="Y2192" s="985"/>
      <c r="Z2192" s="922"/>
      <c r="AA2192" s="1067"/>
      <c r="AB2192" s="922"/>
      <c r="AC2192" s="922"/>
      <c r="AD2192" s="922"/>
      <c r="AE2192" s="922"/>
      <c r="AF2192" s="1046"/>
      <c r="AG2192" s="906" t="str">
        <f>IF(AE2192&lt;&gt;0,VLOOKUP(AE2192,ODDS!$A$2:$C$13,3,0),"")</f>
        <v/>
      </c>
      <c r="AH2192" s="906" t="str">
        <f t="shared" si="475"/>
        <v xml:space="preserve"> </v>
      </c>
      <c r="AI2192" s="907" t="str">
        <f t="shared" si="486"/>
        <v xml:space="preserve"> </v>
      </c>
      <c r="AJ2192" s="922"/>
      <c r="AK2192" s="922"/>
    </row>
    <row r="2193" spans="1:37" s="394" customFormat="1" ht="45" outlineLevel="2" x14ac:dyDescent="0.3">
      <c r="A2193" s="447">
        <f t="shared" si="484"/>
        <v>183</v>
      </c>
      <c r="B2193" s="893"/>
      <c r="C2193" s="908"/>
      <c r="D2193" s="1032"/>
      <c r="E2193" s="947"/>
      <c r="F2193" s="947"/>
      <c r="G2193" s="922"/>
      <c r="H2193" s="1041"/>
      <c r="I2193" s="882"/>
      <c r="J2193" s="894"/>
      <c r="K2193" s="899" t="str">
        <f>IF(G2193&lt;&gt;0,VLOOKUP(G2193,'gia dat'!$A$1:$F$144,5,0)," ")</f>
        <v xml:space="preserve"> </v>
      </c>
      <c r="L2193" s="899" t="str">
        <f>IF(G2193&lt;&gt;0,VLOOKUP(G2193,'gia dat'!$A$1:$F$144,6,0)," ")</f>
        <v xml:space="preserve"> </v>
      </c>
      <c r="M2193" s="900" t="str">
        <f t="shared" si="481"/>
        <v xml:space="preserve"> </v>
      </c>
      <c r="N2193" s="900" t="str">
        <f t="shared" si="482"/>
        <v xml:space="preserve"> </v>
      </c>
      <c r="O2193" s="908" t="s">
        <v>401</v>
      </c>
      <c r="P2193" s="1065">
        <v>46</v>
      </c>
      <c r="Q2193" s="900">
        <f>IF(O2193&lt;&gt;0,VLOOKUP(O2193,'Cây trong'!$A$2:$C$246,3,0)," ")</f>
        <v>80000</v>
      </c>
      <c r="R2193" s="900">
        <f t="shared" si="474"/>
        <v>3680000</v>
      </c>
      <c r="S2193" s="908"/>
      <c r="T2193" s="944"/>
      <c r="U2193" s="1066"/>
      <c r="V2193" s="922"/>
      <c r="W2193" s="900" t="str">
        <f>IF(S2193&lt;&gt;0,VLOOKUP(S2193,VKT!$A$2:$G$415,7,0),"")</f>
        <v/>
      </c>
      <c r="X2193" s="900" t="str">
        <f t="shared" si="485"/>
        <v xml:space="preserve"> </v>
      </c>
      <c r="Y2193" s="985"/>
      <c r="Z2193" s="922"/>
      <c r="AA2193" s="1067"/>
      <c r="AB2193" s="922"/>
      <c r="AC2193" s="922"/>
      <c r="AD2193" s="922"/>
      <c r="AE2193" s="922"/>
      <c r="AF2193" s="1046"/>
      <c r="AG2193" s="906" t="str">
        <f>IF(AE2193&lt;&gt;0,VLOOKUP(AE2193,ODDS!$A$2:$C$13,3,0),"")</f>
        <v/>
      </c>
      <c r="AH2193" s="906" t="str">
        <f t="shared" si="475"/>
        <v xml:space="preserve"> </v>
      </c>
      <c r="AI2193" s="907" t="str">
        <f t="shared" si="486"/>
        <v xml:space="preserve"> </v>
      </c>
      <c r="AJ2193" s="922"/>
      <c r="AK2193" s="922"/>
    </row>
    <row r="2194" spans="1:37" s="394" customFormat="1" ht="112.5" outlineLevel="2" x14ac:dyDescent="0.3">
      <c r="A2194" s="447">
        <f t="shared" si="484"/>
        <v>183</v>
      </c>
      <c r="B2194" s="893"/>
      <c r="C2194" s="908"/>
      <c r="D2194" s="1032"/>
      <c r="E2194" s="947"/>
      <c r="F2194" s="947"/>
      <c r="G2194" s="922"/>
      <c r="H2194" s="1041"/>
      <c r="I2194" s="882"/>
      <c r="J2194" s="894"/>
      <c r="K2194" s="899" t="str">
        <f>IF(G2194&lt;&gt;0,VLOOKUP(G2194,'gia dat'!$A$1:$F$144,5,0)," ")</f>
        <v xml:space="preserve"> </v>
      </c>
      <c r="L2194" s="899" t="str">
        <f>IF(G2194&lt;&gt;0,VLOOKUP(G2194,'gia dat'!$A$1:$F$144,6,0)," ")</f>
        <v xml:space="preserve"> </v>
      </c>
      <c r="M2194" s="900" t="str">
        <f t="shared" si="481"/>
        <v xml:space="preserve"> </v>
      </c>
      <c r="N2194" s="900" t="str">
        <f t="shared" si="482"/>
        <v xml:space="preserve"> </v>
      </c>
      <c r="O2194" s="908" t="s">
        <v>1468</v>
      </c>
      <c r="P2194" s="1065">
        <v>808</v>
      </c>
      <c r="Q2194" s="900">
        <f>IF(O2194&lt;&gt;0,VLOOKUP(O2194,'Cây trong'!$A$2:$C$246,3,0)," ")</f>
        <v>0</v>
      </c>
      <c r="R2194" s="900">
        <f t="shared" si="474"/>
        <v>0</v>
      </c>
      <c r="S2194" s="908"/>
      <c r="T2194" s="944"/>
      <c r="U2194" s="1066"/>
      <c r="V2194" s="922"/>
      <c r="W2194" s="900" t="str">
        <f>IF(S2194&lt;&gt;0,VLOOKUP(S2194,VKT!$A$2:$G$415,7,0),"")</f>
        <v/>
      </c>
      <c r="X2194" s="900" t="str">
        <f t="shared" si="485"/>
        <v xml:space="preserve"> </v>
      </c>
      <c r="Y2194" s="985"/>
      <c r="Z2194" s="922"/>
      <c r="AA2194" s="1067"/>
      <c r="AB2194" s="922"/>
      <c r="AC2194" s="922"/>
      <c r="AD2194" s="922"/>
      <c r="AE2194" s="922"/>
      <c r="AF2194" s="1046"/>
      <c r="AG2194" s="906" t="str">
        <f>IF(AE2194&lt;&gt;0,VLOOKUP(AE2194,ODDS!$A$2:$C$13,3,0),"")</f>
        <v/>
      </c>
      <c r="AH2194" s="906" t="str">
        <f t="shared" si="475"/>
        <v xml:space="preserve"> </v>
      </c>
      <c r="AI2194" s="907" t="str">
        <f t="shared" si="486"/>
        <v xml:space="preserve"> </v>
      </c>
      <c r="AJ2194" s="922"/>
      <c r="AK2194" s="922"/>
    </row>
    <row r="2195" spans="1:37" s="394" customFormat="1" ht="22.5" outlineLevel="2" x14ac:dyDescent="0.3">
      <c r="A2195" s="447">
        <f t="shared" si="484"/>
        <v>183</v>
      </c>
      <c r="B2195" s="893"/>
      <c r="C2195" s="908"/>
      <c r="D2195" s="1032"/>
      <c r="E2195" s="947"/>
      <c r="F2195" s="947"/>
      <c r="G2195" s="922"/>
      <c r="H2195" s="1041"/>
      <c r="I2195" s="882"/>
      <c r="J2195" s="894"/>
      <c r="K2195" s="899" t="str">
        <f>IF(G2195&lt;&gt;0,VLOOKUP(G2195,'gia dat'!$A$1:$F$144,5,0)," ")</f>
        <v xml:space="preserve"> </v>
      </c>
      <c r="L2195" s="899" t="str">
        <f>IF(G2195&lt;&gt;0,VLOOKUP(G2195,'gia dat'!$A$1:$F$144,6,0)," ")</f>
        <v xml:space="preserve"> </v>
      </c>
      <c r="M2195" s="900" t="str">
        <f t="shared" si="481"/>
        <v xml:space="preserve"> </v>
      </c>
      <c r="N2195" s="900" t="str">
        <f t="shared" si="482"/>
        <v xml:space="preserve"> </v>
      </c>
      <c r="O2195" s="908"/>
      <c r="P2195" s="1065"/>
      <c r="Q2195" s="900" t="str">
        <f>IF(O2195&lt;&gt;0,VLOOKUP(O2195,'Cây trong'!$A$2:$C$246,3,0)," ")</f>
        <v xml:space="preserve"> </v>
      </c>
      <c r="R2195" s="900" t="str">
        <f t="shared" si="474"/>
        <v xml:space="preserve"> </v>
      </c>
      <c r="S2195" s="908"/>
      <c r="T2195" s="944"/>
      <c r="U2195" s="1066"/>
      <c r="V2195" s="922"/>
      <c r="W2195" s="900" t="str">
        <f>IF(S2195&lt;&gt;0,VLOOKUP(S2195,VKT!$A$2:$G$415,7,0),"")</f>
        <v/>
      </c>
      <c r="X2195" s="900" t="str">
        <f t="shared" si="485"/>
        <v xml:space="preserve"> </v>
      </c>
      <c r="Y2195" s="985"/>
      <c r="Z2195" s="922"/>
      <c r="AA2195" s="1067"/>
      <c r="AB2195" s="922"/>
      <c r="AC2195" s="922"/>
      <c r="AD2195" s="922"/>
      <c r="AE2195" s="922"/>
      <c r="AF2195" s="1046"/>
      <c r="AG2195" s="906" t="str">
        <f>IF(AE2195&lt;&gt;0,VLOOKUP(AE2195,ODDS!$A$2:$C$13,3,0),"")</f>
        <v/>
      </c>
      <c r="AH2195" s="906" t="str">
        <f t="shared" si="475"/>
        <v xml:space="preserve"> </v>
      </c>
      <c r="AI2195" s="907" t="str">
        <f t="shared" si="486"/>
        <v xml:space="preserve"> </v>
      </c>
      <c r="AJ2195" s="922"/>
      <c r="AK2195" s="922"/>
    </row>
    <row r="2196" spans="1:37" s="394" customFormat="1" ht="22.5" outlineLevel="2" x14ac:dyDescent="0.3">
      <c r="A2196" s="447">
        <f t="shared" si="484"/>
        <v>183</v>
      </c>
      <c r="B2196" s="893"/>
      <c r="C2196" s="908"/>
      <c r="D2196" s="1032"/>
      <c r="E2196" s="947"/>
      <c r="F2196" s="947"/>
      <c r="G2196" s="922"/>
      <c r="H2196" s="1041"/>
      <c r="I2196" s="882"/>
      <c r="J2196" s="894"/>
      <c r="K2196" s="899" t="str">
        <f>IF(G2196&lt;&gt;0,VLOOKUP(G2196,'gia dat'!$A$1:$F$144,5,0)," ")</f>
        <v xml:space="preserve"> </v>
      </c>
      <c r="L2196" s="899" t="str">
        <f>IF(G2196&lt;&gt;0,VLOOKUP(G2196,'gia dat'!$A$1:$F$144,6,0)," ")</f>
        <v xml:space="preserve"> </v>
      </c>
      <c r="M2196" s="900" t="str">
        <f t="shared" si="481"/>
        <v xml:space="preserve"> </v>
      </c>
      <c r="N2196" s="900" t="str">
        <f t="shared" si="482"/>
        <v xml:space="preserve"> </v>
      </c>
      <c r="O2196" s="908"/>
      <c r="P2196" s="1065"/>
      <c r="Q2196" s="900" t="str">
        <f>IF(O2196&lt;&gt;0,VLOOKUP(O2196,'Cây trong'!$A$2:$C$246,3,0)," ")</f>
        <v xml:space="preserve"> </v>
      </c>
      <c r="R2196" s="900" t="str">
        <f t="shared" si="474"/>
        <v xml:space="preserve"> </v>
      </c>
      <c r="S2196" s="908"/>
      <c r="T2196" s="944"/>
      <c r="U2196" s="1066"/>
      <c r="V2196" s="922"/>
      <c r="W2196" s="900" t="str">
        <f>IF(S2196&lt;&gt;0,VLOOKUP(S2196,VKT!$A$2:$G$415,7,0),"")</f>
        <v/>
      </c>
      <c r="X2196" s="900" t="str">
        <f t="shared" si="485"/>
        <v xml:space="preserve"> </v>
      </c>
      <c r="Y2196" s="985"/>
      <c r="Z2196" s="922"/>
      <c r="AA2196" s="1067"/>
      <c r="AB2196" s="922"/>
      <c r="AC2196" s="922"/>
      <c r="AD2196" s="922"/>
      <c r="AE2196" s="922"/>
      <c r="AF2196" s="1046"/>
      <c r="AG2196" s="906" t="str">
        <f>IF(AE2196&lt;&gt;0,VLOOKUP(AE2196,ODDS!$A$2:$C$13,3,0),"")</f>
        <v/>
      </c>
      <c r="AH2196" s="906" t="str">
        <f t="shared" si="475"/>
        <v xml:space="preserve"> </v>
      </c>
      <c r="AI2196" s="907" t="str">
        <f t="shared" si="486"/>
        <v xml:space="preserve"> </v>
      </c>
      <c r="AJ2196" s="894"/>
      <c r="AK2196" s="894"/>
    </row>
    <row r="2197" spans="1:37" s="394" customFormat="1" ht="22.5" outlineLevel="2" x14ac:dyDescent="0.3">
      <c r="A2197" s="447">
        <f t="shared" si="484"/>
        <v>183</v>
      </c>
      <c r="B2197" s="893"/>
      <c r="C2197" s="908"/>
      <c r="D2197" s="1032"/>
      <c r="E2197" s="947"/>
      <c r="F2197" s="947"/>
      <c r="G2197" s="922"/>
      <c r="H2197" s="1041"/>
      <c r="I2197" s="882"/>
      <c r="J2197" s="894"/>
      <c r="K2197" s="899" t="str">
        <f>IF(G2197&lt;&gt;0,VLOOKUP(G2197,'gia dat'!$A$1:$F$144,5,0)," ")</f>
        <v xml:space="preserve"> </v>
      </c>
      <c r="L2197" s="899" t="str">
        <f>IF(G2197&lt;&gt;0,VLOOKUP(G2197,'gia dat'!$A$1:$F$144,6,0)," ")</f>
        <v xml:space="preserve"> </v>
      </c>
      <c r="M2197" s="900" t="str">
        <f t="shared" si="481"/>
        <v xml:space="preserve"> </v>
      </c>
      <c r="N2197" s="900" t="str">
        <f t="shared" si="482"/>
        <v xml:space="preserve"> </v>
      </c>
      <c r="O2197" s="908"/>
      <c r="P2197" s="1065"/>
      <c r="Q2197" s="900" t="str">
        <f>IF(O2197&lt;&gt;0,VLOOKUP(O2197,'Cây trong'!$A$2:$C$246,3,0)," ")</f>
        <v xml:space="preserve"> </v>
      </c>
      <c r="R2197" s="900" t="str">
        <f t="shared" si="474"/>
        <v xml:space="preserve"> </v>
      </c>
      <c r="S2197" s="908"/>
      <c r="T2197" s="944"/>
      <c r="U2197" s="1066"/>
      <c r="V2197" s="922"/>
      <c r="W2197" s="900" t="str">
        <f>IF(S2197&lt;&gt;0,VLOOKUP(S2197,VKT!$A$2:$G$415,7,0),"")</f>
        <v/>
      </c>
      <c r="X2197" s="900" t="str">
        <f t="shared" si="485"/>
        <v xml:space="preserve"> </v>
      </c>
      <c r="Y2197" s="985"/>
      <c r="Z2197" s="922"/>
      <c r="AA2197" s="1067"/>
      <c r="AB2197" s="922"/>
      <c r="AC2197" s="922"/>
      <c r="AD2197" s="922"/>
      <c r="AE2197" s="922"/>
      <c r="AF2197" s="1046"/>
      <c r="AG2197" s="906" t="str">
        <f>IF(AE2197&lt;&gt;0,VLOOKUP(AE2197,ODDS!$A$2:$C$13,3,0),"")</f>
        <v/>
      </c>
      <c r="AH2197" s="906" t="str">
        <f t="shared" si="475"/>
        <v xml:space="preserve"> </v>
      </c>
      <c r="AI2197" s="907" t="str">
        <f t="shared" si="486"/>
        <v xml:space="preserve"> </v>
      </c>
      <c r="AJ2197" s="922"/>
      <c r="AK2197" s="922"/>
    </row>
    <row r="2198" spans="1:37" s="394" customFormat="1" ht="22.5" outlineLevel="2" x14ac:dyDescent="0.3">
      <c r="A2198" s="447">
        <f t="shared" si="484"/>
        <v>183</v>
      </c>
      <c r="B2198" s="893"/>
      <c r="C2198" s="908"/>
      <c r="D2198" s="1032"/>
      <c r="E2198" s="947"/>
      <c r="F2198" s="947"/>
      <c r="G2198" s="922"/>
      <c r="H2198" s="1041"/>
      <c r="I2198" s="882"/>
      <c r="J2198" s="894"/>
      <c r="K2198" s="899" t="str">
        <f>IF(G2198&lt;&gt;0,VLOOKUP(G2198,'gia dat'!$A$1:$F$144,5,0)," ")</f>
        <v xml:space="preserve"> </v>
      </c>
      <c r="L2198" s="899" t="str">
        <f>IF(G2198&lt;&gt;0,VLOOKUP(G2198,'gia dat'!$A$1:$F$144,6,0)," ")</f>
        <v xml:space="preserve"> </v>
      </c>
      <c r="M2198" s="900" t="str">
        <f t="shared" si="481"/>
        <v xml:space="preserve"> </v>
      </c>
      <c r="N2198" s="900" t="str">
        <f t="shared" si="482"/>
        <v xml:space="preserve"> </v>
      </c>
      <c r="O2198" s="908"/>
      <c r="P2198" s="1065"/>
      <c r="Q2198" s="900" t="str">
        <f>IF(O2198&lt;&gt;0,VLOOKUP(O2198,'Cây trong'!$A$2:$C$246,3,0)," ")</f>
        <v xml:space="preserve"> </v>
      </c>
      <c r="R2198" s="900" t="str">
        <f t="shared" si="474"/>
        <v xml:space="preserve"> </v>
      </c>
      <c r="S2198" s="908"/>
      <c r="T2198" s="944"/>
      <c r="U2198" s="1066"/>
      <c r="V2198" s="922"/>
      <c r="W2198" s="900" t="str">
        <f>IF(S2198&lt;&gt;0,VLOOKUP(S2198,VKT!$A$2:$G$415,7,0),"")</f>
        <v/>
      </c>
      <c r="X2198" s="900" t="str">
        <f t="shared" si="485"/>
        <v xml:space="preserve"> </v>
      </c>
      <c r="Y2198" s="985"/>
      <c r="Z2198" s="922"/>
      <c r="AA2198" s="1067"/>
      <c r="AB2198" s="922"/>
      <c r="AC2198" s="922"/>
      <c r="AD2198" s="922"/>
      <c r="AE2198" s="922"/>
      <c r="AF2198" s="1046"/>
      <c r="AG2198" s="906" t="str">
        <f>IF(AE2198&lt;&gt;0,VLOOKUP(AE2198,ODDS!$A$2:$C$13,3,0),"")</f>
        <v/>
      </c>
      <c r="AH2198" s="906" t="str">
        <f t="shared" si="475"/>
        <v xml:space="preserve"> </v>
      </c>
      <c r="AI2198" s="907" t="str">
        <f t="shared" si="486"/>
        <v xml:space="preserve"> </v>
      </c>
      <c r="AJ2198" s="922"/>
      <c r="AK2198" s="922"/>
    </row>
    <row r="2199" spans="1:37" s="394" customFormat="1" ht="22.5" outlineLevel="2" x14ac:dyDescent="0.3">
      <c r="A2199" s="447">
        <f t="shared" si="484"/>
        <v>183</v>
      </c>
      <c r="B2199" s="893"/>
      <c r="C2199" s="942"/>
      <c r="D2199" s="1032"/>
      <c r="E2199" s="947"/>
      <c r="F2199" s="947"/>
      <c r="G2199" s="922"/>
      <c r="H2199" s="1041"/>
      <c r="I2199" s="882"/>
      <c r="J2199" s="894"/>
      <c r="K2199" s="899" t="str">
        <f>IF(G2199&lt;&gt;0,VLOOKUP(G2199,'gia dat'!$A$1:$F$144,5,0)," ")</f>
        <v xml:space="preserve"> </v>
      </c>
      <c r="L2199" s="899" t="str">
        <f>IF(G2199&lt;&gt;0,VLOOKUP(G2199,'gia dat'!$A$1:$F$144,6,0)," ")</f>
        <v xml:space="preserve"> </v>
      </c>
      <c r="M2199" s="900" t="str">
        <f t="shared" si="481"/>
        <v xml:space="preserve"> </v>
      </c>
      <c r="N2199" s="900" t="str">
        <f t="shared" si="482"/>
        <v xml:space="preserve"> </v>
      </c>
      <c r="O2199" s="908"/>
      <c r="P2199" s="1065"/>
      <c r="Q2199" s="900" t="str">
        <f>IF(O2199&lt;&gt;0,VLOOKUP(O2199,'Cây trong'!$A$2:$C$246,3,0)," ")</f>
        <v xml:space="preserve"> </v>
      </c>
      <c r="R2199" s="900" t="str">
        <f t="shared" ref="R2199:R2268" si="487">IF(O2199&lt;&gt;0,ROUND(P2199*Q2199,-2)," ")</f>
        <v xml:space="preserve"> </v>
      </c>
      <c r="S2199" s="908"/>
      <c r="T2199" s="944"/>
      <c r="U2199" s="1066"/>
      <c r="V2199" s="922"/>
      <c r="W2199" s="900" t="str">
        <f>IF(S2199&lt;&gt;0,VLOOKUP(S2199,VKT!$A$2:$G$415,7,0),"")</f>
        <v/>
      </c>
      <c r="X2199" s="900" t="str">
        <f t="shared" si="485"/>
        <v xml:space="preserve"> </v>
      </c>
      <c r="Y2199" s="985"/>
      <c r="Z2199" s="922"/>
      <c r="AA2199" s="1067"/>
      <c r="AB2199" s="922"/>
      <c r="AC2199" s="922"/>
      <c r="AD2199" s="922"/>
      <c r="AE2199" s="922"/>
      <c r="AF2199" s="1046"/>
      <c r="AG2199" s="906" t="str">
        <f>IF(AE2199&lt;&gt;0,VLOOKUP(AE2199,ODDS!$A$2:$C$13,3,0),"")</f>
        <v/>
      </c>
      <c r="AH2199" s="906" t="str">
        <f t="shared" ref="AH2199:AH2268" si="488">IF(AE2199&lt;&gt;0,ROUND(AF2199*AG2199,-2)," ")</f>
        <v xml:space="preserve"> </v>
      </c>
      <c r="AI2199" s="907" t="str">
        <f t="shared" si="486"/>
        <v xml:space="preserve"> </v>
      </c>
      <c r="AJ2199" s="922"/>
      <c r="AK2199" s="922"/>
    </row>
    <row r="2200" spans="1:37" s="396" customFormat="1" ht="22.5" outlineLevel="1" x14ac:dyDescent="0.25">
      <c r="A2200" s="467" t="s">
        <v>2526</v>
      </c>
      <c r="B2200" s="912">
        <v>184</v>
      </c>
      <c r="C2200" s="942" t="s">
        <v>1469</v>
      </c>
      <c r="D2200" s="1038"/>
      <c r="E2200" s="977"/>
      <c r="F2200" s="977"/>
      <c r="G2200" s="914"/>
      <c r="H2200" s="1039">
        <f>SUBTOTAL(9,H2201:H2213)</f>
        <v>85.8</v>
      </c>
      <c r="I2200" s="915">
        <f>SUBTOTAL(9,I2201:I2206)</f>
        <v>29.199999999999996</v>
      </c>
      <c r="J2200" s="916"/>
      <c r="K2200" s="917"/>
      <c r="L2200" s="917"/>
      <c r="M2200" s="907">
        <f>SUBTOTAL(9,M2201:M2213)</f>
        <v>47567000</v>
      </c>
      <c r="N2200" s="907">
        <f>SUBTOTAL(9,N2201:N2213)</f>
        <v>48565000</v>
      </c>
      <c r="O2200" s="942"/>
      <c r="P2200" s="1063">
        <f>SUBTOTAL(9,P2201:P2213)</f>
        <v>36</v>
      </c>
      <c r="Q2200" s="907"/>
      <c r="R2200" s="907">
        <f>SUBTOTAL(9,R2201:R2213)</f>
        <v>9741000</v>
      </c>
      <c r="S2200" s="918"/>
      <c r="T2200" s="956"/>
      <c r="U2200" s="1064">
        <f>SUBTOTAL(9,U2201:U2213)</f>
        <v>79.8</v>
      </c>
      <c r="V2200" s="914"/>
      <c r="W2200" s="907"/>
      <c r="X2200" s="907">
        <f>SUBTOTAL(9,X2201:X2213)</f>
        <v>128301000</v>
      </c>
      <c r="Y2200" s="922"/>
      <c r="Z2200" s="1026"/>
      <c r="AA2200" s="1026"/>
      <c r="AB2200" s="1026"/>
      <c r="AC2200" s="1026"/>
      <c r="AD2200" s="922"/>
      <c r="AE2200" s="914"/>
      <c r="AF2200" s="1044">
        <f>SUBTOTAL(9,AF2201:AF2213)</f>
        <v>0</v>
      </c>
      <c r="AG2200" s="921"/>
      <c r="AH2200" s="921">
        <f>SUBTOTAL(9,AH2201:AH2213)</f>
        <v>0</v>
      </c>
      <c r="AI2200" s="907">
        <f t="shared" si="486"/>
        <v>234174000</v>
      </c>
      <c r="AJ2200" s="914"/>
      <c r="AK2200" s="914"/>
    </row>
    <row r="2201" spans="1:37" s="396" customFormat="1" ht="135" outlineLevel="2" x14ac:dyDescent="0.3">
      <c r="A2201" s="447">
        <f>IF(B2200&lt;&gt;0,B2200,A2199)</f>
        <v>184</v>
      </c>
      <c r="B2201" s="893"/>
      <c r="C2201" s="908" t="s">
        <v>1471</v>
      </c>
      <c r="D2201" s="1032">
        <v>2</v>
      </c>
      <c r="E2201" s="947">
        <v>86</v>
      </c>
      <c r="F2201" s="947">
        <v>716</v>
      </c>
      <c r="G2201" s="922" t="s">
        <v>2497</v>
      </c>
      <c r="H2201" s="1041">
        <f>85.8-H2202</f>
        <v>29.199999999999996</v>
      </c>
      <c r="I2201" s="882">
        <f t="shared" ref="I2201:I2202" si="489">IF(N2201&gt;0,H2201,"")</f>
        <v>29.199999999999996</v>
      </c>
      <c r="J2201" s="898"/>
      <c r="K2201" s="899">
        <f>IF(G2201&lt;&gt;0,VLOOKUP(G2201,'gia dat'!$A$1:$F$144,5,0)," ")</f>
        <v>554400</v>
      </c>
      <c r="L2201" s="899">
        <f>IF(G2201&lt;&gt;0,VLOOKUP(G2201,'gia dat'!$A$1:$F$144,6,0)," ")</f>
        <v>1663200</v>
      </c>
      <c r="M2201" s="900">
        <f t="shared" si="481"/>
        <v>16188000</v>
      </c>
      <c r="N2201" s="900">
        <f t="shared" si="482"/>
        <v>48565000</v>
      </c>
      <c r="O2201" s="908" t="s">
        <v>61</v>
      </c>
      <c r="P2201" s="1065">
        <v>3</v>
      </c>
      <c r="Q2201" s="900">
        <f>IF(O2201&lt;&gt;0,VLOOKUP(O2201,'Cây trong'!$A$2:$C$246,3,0)," ")</f>
        <v>1708000</v>
      </c>
      <c r="R2201" s="900">
        <f t="shared" si="487"/>
        <v>5124000</v>
      </c>
      <c r="S2201" s="902" t="s">
        <v>1763</v>
      </c>
      <c r="T2201" s="944" t="s">
        <v>1133</v>
      </c>
      <c r="U2201" s="1066">
        <v>26.5</v>
      </c>
      <c r="V2201" s="922"/>
      <c r="W2201" s="900">
        <f>IF(S2201&lt;&gt;0,VLOOKUP(S2201,VKT!$A$2:$G$415,7,0),"")</f>
        <v>3550600</v>
      </c>
      <c r="X2201" s="900">
        <f t="shared" si="485"/>
        <v>94091000</v>
      </c>
      <c r="Y2201" s="922" t="s">
        <v>1138</v>
      </c>
      <c r="Z2201" s="1026" t="s">
        <v>1139</v>
      </c>
      <c r="AA2201" s="1026" t="s">
        <v>56</v>
      </c>
      <c r="AB2201" s="1026" t="s">
        <v>269</v>
      </c>
      <c r="AC2201" s="1026" t="s">
        <v>1138</v>
      </c>
      <c r="AD2201" s="922"/>
      <c r="AE2201" s="922"/>
      <c r="AF2201" s="1046"/>
      <c r="AG2201" s="906" t="str">
        <f>IF(AE2201&lt;&gt;0,VLOOKUP(AE2201,ODDS!$A$2:$C$13,3,0),"")</f>
        <v/>
      </c>
      <c r="AH2201" s="906"/>
      <c r="AI2201" s="907" t="str">
        <f t="shared" si="486"/>
        <v xml:space="preserve"> </v>
      </c>
      <c r="AJ2201" s="922" t="s">
        <v>1470</v>
      </c>
      <c r="AK2201" s="922" t="s">
        <v>2771</v>
      </c>
    </row>
    <row r="2202" spans="1:37" s="394" customFormat="1" ht="112.5" outlineLevel="2" x14ac:dyDescent="0.3">
      <c r="A2202" s="447">
        <f t="shared" ref="A2202:A2213" si="490">IF(B2201&lt;&gt;0,B2201,A2201)</f>
        <v>184</v>
      </c>
      <c r="B2202" s="893"/>
      <c r="C2202" s="908" t="s">
        <v>1636</v>
      </c>
      <c r="D2202" s="1032"/>
      <c r="E2202" s="947"/>
      <c r="F2202" s="947"/>
      <c r="G2202" s="922" t="s">
        <v>2496</v>
      </c>
      <c r="H2202" s="1041">
        <v>56.6</v>
      </c>
      <c r="I2202" s="882" t="str">
        <f t="shared" si="489"/>
        <v/>
      </c>
      <c r="J2202" s="898"/>
      <c r="K2202" s="899">
        <f>IF(G2202&lt;&gt;0,VLOOKUP(G2202,'gia dat'!$A$1:$F$144,5,0)," ")</f>
        <v>554400</v>
      </c>
      <c r="L2202" s="899">
        <f>IF(G2202&lt;&gt;0,VLOOKUP(G2202,'gia dat'!$A$1:$F$144,6,0)," ")</f>
        <v>0</v>
      </c>
      <c r="M2202" s="900">
        <f t="shared" si="481"/>
        <v>31379000</v>
      </c>
      <c r="N2202" s="900">
        <f t="shared" si="482"/>
        <v>0</v>
      </c>
      <c r="O2202" s="908" t="s">
        <v>69</v>
      </c>
      <c r="P2202" s="1065">
        <v>1</v>
      </c>
      <c r="Q2202" s="900">
        <f>IF(O2202&lt;&gt;0,VLOOKUP(O2202,'Cây trong'!$A$2:$C$246,3,0)," ")</f>
        <v>211000</v>
      </c>
      <c r="R2202" s="900">
        <f t="shared" si="487"/>
        <v>211000</v>
      </c>
      <c r="S2202" s="902" t="s">
        <v>2007</v>
      </c>
      <c r="T2202" s="944" t="s">
        <v>1133</v>
      </c>
      <c r="U2202" s="1066">
        <v>8.19</v>
      </c>
      <c r="V2202" s="922"/>
      <c r="W2202" s="900">
        <f>IF(S2202&lt;&gt;0,VLOOKUP(S2202,VKT!$A$2:$G$415,7,0),"")</f>
        <v>1641213</v>
      </c>
      <c r="X2202" s="900">
        <f t="shared" si="485"/>
        <v>13442000</v>
      </c>
      <c r="Y2202" s="1026"/>
      <c r="Z2202" s="1026" t="s">
        <v>1263</v>
      </c>
      <c r="AA2202" s="1026" t="s">
        <v>1262</v>
      </c>
      <c r="AB2202" s="1026" t="s">
        <v>269</v>
      </c>
      <c r="AC2202" s="1026" t="s">
        <v>1264</v>
      </c>
      <c r="AD2202" s="922"/>
      <c r="AE2202" s="922"/>
      <c r="AF2202" s="1046"/>
      <c r="AG2202" s="906" t="str">
        <f>IF(AE2202&lt;&gt;0,VLOOKUP(AE2202,ODDS!$A$2:$C$13,3,0),"")</f>
        <v/>
      </c>
      <c r="AH2202" s="906" t="str">
        <f t="shared" si="488"/>
        <v xml:space="preserve"> </v>
      </c>
      <c r="AI2202" s="907" t="str">
        <f t="shared" si="486"/>
        <v xml:space="preserve"> </v>
      </c>
      <c r="AJ2202" s="922" t="s">
        <v>1472</v>
      </c>
      <c r="AK2202" s="894" t="s">
        <v>2448</v>
      </c>
    </row>
    <row r="2203" spans="1:37" s="394" customFormat="1" ht="112.5" outlineLevel="2" x14ac:dyDescent="0.3">
      <c r="A2203" s="447">
        <f t="shared" si="490"/>
        <v>184</v>
      </c>
      <c r="B2203" s="893"/>
      <c r="C2203" s="908"/>
      <c r="D2203" s="1032"/>
      <c r="E2203" s="947"/>
      <c r="F2203" s="947"/>
      <c r="G2203" s="922"/>
      <c r="H2203" s="1041"/>
      <c r="I2203" s="882"/>
      <c r="J2203" s="898"/>
      <c r="K2203" s="899" t="str">
        <f>IF(G2203&lt;&gt;0,VLOOKUP(G2203,'gia dat'!$A$1:$F$144,5,0)," ")</f>
        <v xml:space="preserve"> </v>
      </c>
      <c r="L2203" s="899" t="str">
        <f>IF(G2203&lt;&gt;0,VLOOKUP(G2203,'gia dat'!$A$1:$F$144,6,0)," ")</f>
        <v xml:space="preserve"> </v>
      </c>
      <c r="M2203" s="900" t="str">
        <f t="shared" si="481"/>
        <v xml:space="preserve"> </v>
      </c>
      <c r="N2203" s="900" t="str">
        <f t="shared" si="482"/>
        <v xml:space="preserve"> </v>
      </c>
      <c r="O2203" s="908" t="s">
        <v>77</v>
      </c>
      <c r="P2203" s="1065">
        <v>1</v>
      </c>
      <c r="Q2203" s="900">
        <f>IF(O2203&lt;&gt;0,VLOOKUP(O2203,'Cây trong'!$A$2:$C$246,3,0)," ")</f>
        <v>3064000</v>
      </c>
      <c r="R2203" s="900">
        <f t="shared" si="487"/>
        <v>3064000</v>
      </c>
      <c r="S2203" s="902" t="s">
        <v>2008</v>
      </c>
      <c r="T2203" s="944" t="s">
        <v>1133</v>
      </c>
      <c r="U2203" s="1066">
        <v>29.51</v>
      </c>
      <c r="V2203" s="922"/>
      <c r="W2203" s="900">
        <f>IF(S2203&lt;&gt;0,VLOOKUP(S2203,VKT!$A$2:$G$415,7,0),"")</f>
        <v>703764</v>
      </c>
      <c r="X2203" s="900">
        <f t="shared" si="485"/>
        <v>20768000</v>
      </c>
      <c r="Y2203" s="985"/>
      <c r="Z2203" s="922"/>
      <c r="AA2203" s="1067"/>
      <c r="AB2203" s="922"/>
      <c r="AC2203" s="922"/>
      <c r="AD2203" s="922"/>
      <c r="AE2203" s="922"/>
      <c r="AF2203" s="1046"/>
      <c r="AG2203" s="906" t="str">
        <f>IF(AE2203&lt;&gt;0,VLOOKUP(AE2203,ODDS!$A$2:$C$13,3,0),"")</f>
        <v/>
      </c>
      <c r="AH2203" s="906" t="str">
        <f t="shared" si="488"/>
        <v xml:space="preserve"> </v>
      </c>
      <c r="AI2203" s="907" t="str">
        <f t="shared" si="486"/>
        <v xml:space="preserve"> </v>
      </c>
      <c r="AJ2203" s="922" t="s">
        <v>1465</v>
      </c>
      <c r="AK2203" s="894" t="s">
        <v>2450</v>
      </c>
    </row>
    <row r="2204" spans="1:37" s="394" customFormat="1" ht="112.5" outlineLevel="2" x14ac:dyDescent="0.3">
      <c r="A2204" s="447">
        <f t="shared" si="490"/>
        <v>184</v>
      </c>
      <c r="B2204" s="893"/>
      <c r="C2204" s="908"/>
      <c r="D2204" s="1032"/>
      <c r="E2204" s="947"/>
      <c r="F2204" s="947"/>
      <c r="G2204" s="922"/>
      <c r="H2204" s="1041"/>
      <c r="I2204" s="882"/>
      <c r="J2204" s="898"/>
      <c r="K2204" s="899" t="str">
        <f>IF(G2204&lt;&gt;0,VLOOKUP(G2204,'gia dat'!$A$1:$F$144,5,0)," ")</f>
        <v xml:space="preserve"> </v>
      </c>
      <c r="L2204" s="899" t="str">
        <f>IF(G2204&lt;&gt;0,VLOOKUP(G2204,'gia dat'!$A$1:$F$144,6,0)," ")</f>
        <v xml:space="preserve"> </v>
      </c>
      <c r="M2204" s="900" t="str">
        <f t="shared" si="481"/>
        <v xml:space="preserve"> </v>
      </c>
      <c r="N2204" s="900" t="str">
        <f t="shared" si="482"/>
        <v xml:space="preserve"> </v>
      </c>
      <c r="O2204" s="908" t="s">
        <v>72</v>
      </c>
      <c r="P2204" s="1065">
        <v>4</v>
      </c>
      <c r="Q2204" s="900">
        <f>IF(O2204&lt;&gt;0,VLOOKUP(O2204,'Cây trong'!$A$2:$C$246,3,0)," ")</f>
        <v>132000</v>
      </c>
      <c r="R2204" s="900">
        <f t="shared" si="487"/>
        <v>528000</v>
      </c>
      <c r="S2204" s="902" t="s">
        <v>1921</v>
      </c>
      <c r="T2204" s="944" t="s">
        <v>1133</v>
      </c>
      <c r="U2204" s="1066">
        <v>15.6</v>
      </c>
      <c r="V2204" s="922"/>
      <c r="W2204" s="900">
        <f>IF(S2204&lt;&gt;0,VLOOKUP(S2204,VKT!$A$2:$G$415,7,0),"")</f>
        <v>0</v>
      </c>
      <c r="X2204" s="900">
        <f t="shared" si="485"/>
        <v>0</v>
      </c>
      <c r="Y2204" s="985"/>
      <c r="Z2204" s="922"/>
      <c r="AA2204" s="1067"/>
      <c r="AB2204" s="922"/>
      <c r="AC2204" s="922"/>
      <c r="AD2204" s="922"/>
      <c r="AE2204" s="922"/>
      <c r="AF2204" s="1046"/>
      <c r="AG2204" s="906" t="str">
        <f>IF(AE2204&lt;&gt;0,VLOOKUP(AE2204,ODDS!$A$2:$C$13,3,0),"")</f>
        <v/>
      </c>
      <c r="AH2204" s="906" t="str">
        <f t="shared" si="488"/>
        <v xml:space="preserve"> </v>
      </c>
      <c r="AI2204" s="907" t="str">
        <f t="shared" si="486"/>
        <v xml:space="preserve"> </v>
      </c>
      <c r="AJ2204" s="922" t="s">
        <v>2074</v>
      </c>
      <c r="AK2204" s="894" t="s">
        <v>2449</v>
      </c>
    </row>
    <row r="2205" spans="1:37" s="394" customFormat="1" ht="112.5" outlineLevel="2" x14ac:dyDescent="0.35">
      <c r="A2205" s="447">
        <f t="shared" si="490"/>
        <v>184</v>
      </c>
      <c r="B2205" s="893"/>
      <c r="C2205" s="908"/>
      <c r="D2205" s="1032"/>
      <c r="E2205" s="947"/>
      <c r="F2205" s="947"/>
      <c r="G2205" s="922"/>
      <c r="H2205" s="1041"/>
      <c r="I2205" s="882"/>
      <c r="J2205" s="898"/>
      <c r="K2205" s="899" t="str">
        <f>IF(G2205&lt;&gt;0,VLOOKUP(G2205,'gia dat'!$A$1:$F$144,5,0)," ")</f>
        <v xml:space="preserve"> </v>
      </c>
      <c r="L2205" s="899" t="str">
        <f>IF(G2205&lt;&gt;0,VLOOKUP(G2205,'gia dat'!$A$1:$F$144,6,0)," ")</f>
        <v xml:space="preserve"> </v>
      </c>
      <c r="M2205" s="900" t="str">
        <f t="shared" si="481"/>
        <v xml:space="preserve"> </v>
      </c>
      <c r="N2205" s="900" t="str">
        <f t="shared" si="482"/>
        <v xml:space="preserve"> </v>
      </c>
      <c r="O2205" s="908" t="s">
        <v>73</v>
      </c>
      <c r="P2205" s="1065">
        <v>6</v>
      </c>
      <c r="Q2205" s="900">
        <f>IF(O2205&lt;&gt;0,VLOOKUP(O2205,'Cây trong'!$A$2:$C$246,3,0)," ")</f>
        <v>76000</v>
      </c>
      <c r="R2205" s="900">
        <f t="shared" si="487"/>
        <v>456000</v>
      </c>
      <c r="S2205" s="902"/>
      <c r="T2205" s="944"/>
      <c r="U2205" s="1066"/>
      <c r="V2205" s="922"/>
      <c r="W2205" s="900" t="str">
        <f>IF(S2205&lt;&gt;0,VLOOKUP(S2205,VKT!$A$2:$G$415,7,0),"")</f>
        <v/>
      </c>
      <c r="X2205" s="900" t="str">
        <f t="shared" si="485"/>
        <v xml:space="preserve"> </v>
      </c>
      <c r="Y2205" s="985"/>
      <c r="Z2205" s="922"/>
      <c r="AA2205" s="1067"/>
      <c r="AB2205" s="922"/>
      <c r="AC2205" s="922"/>
      <c r="AD2205" s="922"/>
      <c r="AE2205" s="922"/>
      <c r="AF2205" s="1046"/>
      <c r="AG2205" s="906" t="str">
        <f>IF(AE2205&lt;&gt;0,VLOOKUP(AE2205,ODDS!$A$2:$C$13,3,0),"")</f>
        <v/>
      </c>
      <c r="AH2205" s="906" t="str">
        <f t="shared" si="488"/>
        <v xml:space="preserve"> </v>
      </c>
      <c r="AI2205" s="907" t="str">
        <f t="shared" si="486"/>
        <v xml:space="preserve"> </v>
      </c>
      <c r="AJ2205" s="1068"/>
      <c r="AK2205" s="922" t="s">
        <v>2800</v>
      </c>
    </row>
    <row r="2206" spans="1:37" s="394" customFormat="1" ht="22.5" outlineLevel="2" x14ac:dyDescent="0.3">
      <c r="A2206" s="447">
        <f t="shared" si="490"/>
        <v>184</v>
      </c>
      <c r="B2206" s="893"/>
      <c r="C2206" s="908"/>
      <c r="D2206" s="1032"/>
      <c r="E2206" s="947"/>
      <c r="F2206" s="947"/>
      <c r="G2206" s="922"/>
      <c r="H2206" s="1041"/>
      <c r="I2206" s="882"/>
      <c r="J2206" s="898"/>
      <c r="K2206" s="899" t="str">
        <f>IF(G2206&lt;&gt;0,VLOOKUP(G2206,'gia dat'!$A$1:$F$144,5,0)," ")</f>
        <v xml:space="preserve"> </v>
      </c>
      <c r="L2206" s="899" t="str">
        <f>IF(G2206&lt;&gt;0,VLOOKUP(G2206,'gia dat'!$A$1:$F$144,6,0)," ")</f>
        <v xml:space="preserve"> </v>
      </c>
      <c r="M2206" s="900" t="str">
        <f t="shared" si="481"/>
        <v xml:space="preserve"> </v>
      </c>
      <c r="N2206" s="900" t="str">
        <f t="shared" si="482"/>
        <v xml:space="preserve"> </v>
      </c>
      <c r="O2206" s="908" t="s">
        <v>75</v>
      </c>
      <c r="P2206" s="1065">
        <v>7</v>
      </c>
      <c r="Q2206" s="900">
        <f>IF(O2206&lt;&gt;0,VLOOKUP(O2206,'Cây trong'!$A$2:$C$246,3,0)," ")</f>
        <v>34000</v>
      </c>
      <c r="R2206" s="900">
        <f t="shared" si="487"/>
        <v>238000</v>
      </c>
      <c r="S2206" s="902"/>
      <c r="T2206" s="944"/>
      <c r="U2206" s="1066"/>
      <c r="V2206" s="922"/>
      <c r="W2206" s="900" t="str">
        <f>IF(S2206&lt;&gt;0,VLOOKUP(S2206,VKT!$A$2:$G$415,7,0),"")</f>
        <v/>
      </c>
      <c r="X2206" s="900" t="str">
        <f t="shared" si="485"/>
        <v xml:space="preserve"> </v>
      </c>
      <c r="Y2206" s="985"/>
      <c r="Z2206" s="922"/>
      <c r="AA2206" s="1067"/>
      <c r="AB2206" s="922"/>
      <c r="AC2206" s="922"/>
      <c r="AD2206" s="922"/>
      <c r="AE2206" s="922"/>
      <c r="AF2206" s="1046"/>
      <c r="AG2206" s="906" t="str">
        <f>IF(AE2206&lt;&gt;0,VLOOKUP(AE2206,ODDS!$A$2:$C$13,3,0),"")</f>
        <v/>
      </c>
      <c r="AH2206" s="906" t="str">
        <f t="shared" si="488"/>
        <v xml:space="preserve"> </v>
      </c>
      <c r="AI2206" s="907" t="str">
        <f t="shared" si="486"/>
        <v xml:space="preserve"> </v>
      </c>
      <c r="AJ2206" s="922"/>
      <c r="AK2206" s="922"/>
    </row>
    <row r="2207" spans="1:37" s="394" customFormat="1" ht="22.5" outlineLevel="2" x14ac:dyDescent="0.3">
      <c r="A2207" s="447">
        <f t="shared" si="490"/>
        <v>184</v>
      </c>
      <c r="B2207" s="893"/>
      <c r="C2207" s="908"/>
      <c r="D2207" s="1032"/>
      <c r="E2207" s="947"/>
      <c r="F2207" s="947"/>
      <c r="G2207" s="922"/>
      <c r="H2207" s="1041"/>
      <c r="I2207" s="882"/>
      <c r="J2207" s="898"/>
      <c r="K2207" s="899" t="str">
        <f>IF(G2207&lt;&gt;0,VLOOKUP(G2207,'gia dat'!$A$1:$F$144,5,0)," ")</f>
        <v xml:space="preserve"> </v>
      </c>
      <c r="L2207" s="899" t="str">
        <f>IF(G2207&lt;&gt;0,VLOOKUP(G2207,'gia dat'!$A$1:$F$144,6,0)," ")</f>
        <v xml:space="preserve"> </v>
      </c>
      <c r="M2207" s="900" t="str">
        <f t="shared" si="481"/>
        <v xml:space="preserve"> </v>
      </c>
      <c r="N2207" s="900" t="str">
        <f t="shared" si="482"/>
        <v xml:space="preserve"> </v>
      </c>
      <c r="O2207" s="908" t="s">
        <v>754</v>
      </c>
      <c r="P2207" s="1065">
        <v>4</v>
      </c>
      <c r="Q2207" s="900">
        <f>IF(O2207&lt;&gt;0,VLOOKUP(O2207,'Cây trong'!$A$2:$C$246,3,0)," ")</f>
        <v>0</v>
      </c>
      <c r="R2207" s="900">
        <f t="shared" si="487"/>
        <v>0</v>
      </c>
      <c r="S2207" s="902"/>
      <c r="T2207" s="944"/>
      <c r="U2207" s="1066"/>
      <c r="V2207" s="922"/>
      <c r="W2207" s="900" t="str">
        <f>IF(S2207&lt;&gt;0,VLOOKUP(S2207,VKT!$A$2:$G$415,7,0),"")</f>
        <v/>
      </c>
      <c r="X2207" s="900" t="str">
        <f t="shared" si="485"/>
        <v xml:space="preserve"> </v>
      </c>
      <c r="Y2207" s="985"/>
      <c r="Z2207" s="922"/>
      <c r="AA2207" s="1067"/>
      <c r="AB2207" s="922"/>
      <c r="AC2207" s="922"/>
      <c r="AD2207" s="922"/>
      <c r="AE2207" s="922"/>
      <c r="AF2207" s="1046"/>
      <c r="AG2207" s="906" t="str">
        <f>IF(AE2207&lt;&gt;0,VLOOKUP(AE2207,ODDS!$A$2:$C$13,3,0),"")</f>
        <v/>
      </c>
      <c r="AH2207" s="906" t="str">
        <f t="shared" si="488"/>
        <v xml:space="preserve"> </v>
      </c>
      <c r="AI2207" s="907" t="str">
        <f t="shared" si="486"/>
        <v xml:space="preserve"> </v>
      </c>
      <c r="AJ2207" s="922"/>
      <c r="AK2207" s="922"/>
    </row>
    <row r="2208" spans="1:37" s="394" customFormat="1" ht="90" outlineLevel="2" x14ac:dyDescent="0.3">
      <c r="A2208" s="447">
        <f t="shared" si="490"/>
        <v>184</v>
      </c>
      <c r="B2208" s="893"/>
      <c r="C2208" s="908"/>
      <c r="D2208" s="1032"/>
      <c r="E2208" s="947"/>
      <c r="F2208" s="947"/>
      <c r="G2208" s="922"/>
      <c r="H2208" s="1041"/>
      <c r="I2208" s="882"/>
      <c r="J2208" s="898"/>
      <c r="K2208" s="899" t="str">
        <f>IF(G2208&lt;&gt;0,VLOOKUP(G2208,'gia dat'!$A$1:$F$144,5,0)," ")</f>
        <v xml:space="preserve"> </v>
      </c>
      <c r="L2208" s="899" t="str">
        <f>IF(G2208&lt;&gt;0,VLOOKUP(G2208,'gia dat'!$A$1:$F$144,6,0)," ")</f>
        <v xml:space="preserve"> </v>
      </c>
      <c r="M2208" s="900" t="str">
        <f t="shared" si="481"/>
        <v xml:space="preserve"> </v>
      </c>
      <c r="N2208" s="900" t="str">
        <f t="shared" si="482"/>
        <v xml:space="preserve"> </v>
      </c>
      <c r="O2208" s="901" t="s">
        <v>429</v>
      </c>
      <c r="P2208" s="1065">
        <v>10</v>
      </c>
      <c r="Q2208" s="900">
        <f>IF(O2208&lt;&gt;0,VLOOKUP(O2208,'Cây trong'!$A$2:$C$246,3,0)," ")</f>
        <v>12000</v>
      </c>
      <c r="R2208" s="900">
        <f t="shared" si="487"/>
        <v>120000</v>
      </c>
      <c r="S2208" s="902"/>
      <c r="T2208" s="944"/>
      <c r="U2208" s="1066"/>
      <c r="V2208" s="922"/>
      <c r="W2208" s="900" t="str">
        <f>IF(S2208&lt;&gt;0,VLOOKUP(S2208,VKT!$A$2:$G$415,7,0),"")</f>
        <v/>
      </c>
      <c r="X2208" s="900" t="str">
        <f t="shared" si="485"/>
        <v xml:space="preserve"> </v>
      </c>
      <c r="Y2208" s="985"/>
      <c r="Z2208" s="922"/>
      <c r="AA2208" s="1067"/>
      <c r="AB2208" s="922"/>
      <c r="AC2208" s="922"/>
      <c r="AD2208" s="922"/>
      <c r="AE2208" s="922"/>
      <c r="AF2208" s="1046"/>
      <c r="AG2208" s="906" t="str">
        <f>IF(AE2208&lt;&gt;0,VLOOKUP(AE2208,ODDS!$A$2:$C$13,3,0),"")</f>
        <v/>
      </c>
      <c r="AH2208" s="906" t="str">
        <f t="shared" si="488"/>
        <v xml:space="preserve"> </v>
      </c>
      <c r="AI2208" s="907" t="str">
        <f t="shared" si="486"/>
        <v xml:space="preserve"> </v>
      </c>
      <c r="AJ2208" s="922"/>
      <c r="AK2208" s="922"/>
    </row>
    <row r="2209" spans="1:39" s="394" customFormat="1" ht="22.5" outlineLevel="2" x14ac:dyDescent="0.3">
      <c r="A2209" s="447">
        <f t="shared" si="490"/>
        <v>184</v>
      </c>
      <c r="B2209" s="893"/>
      <c r="C2209" s="908"/>
      <c r="D2209" s="1032"/>
      <c r="E2209" s="947"/>
      <c r="F2209" s="947"/>
      <c r="G2209" s="922"/>
      <c r="H2209" s="1041"/>
      <c r="I2209" s="882"/>
      <c r="J2209" s="898"/>
      <c r="K2209" s="899" t="str">
        <f>IF(G2209&lt;&gt;0,VLOOKUP(G2209,'gia dat'!$A$1:$F$144,5,0)," ")</f>
        <v xml:space="preserve"> </v>
      </c>
      <c r="L2209" s="899" t="str">
        <f>IF(G2209&lt;&gt;0,VLOOKUP(G2209,'gia dat'!$A$1:$F$144,6,0)," ")</f>
        <v xml:space="preserve"> </v>
      </c>
      <c r="M2209" s="900" t="str">
        <f t="shared" si="481"/>
        <v xml:space="preserve"> </v>
      </c>
      <c r="N2209" s="900" t="str">
        <f t="shared" si="482"/>
        <v xml:space="preserve"> </v>
      </c>
      <c r="O2209" s="908"/>
      <c r="P2209" s="1065"/>
      <c r="Q2209" s="900" t="str">
        <f>IF(O2209&lt;&gt;0,VLOOKUP(O2209,'Cây trong'!$A$2:$C$246,3,0)," ")</f>
        <v xml:space="preserve"> </v>
      </c>
      <c r="R2209" s="900" t="str">
        <f t="shared" si="487"/>
        <v xml:space="preserve"> </v>
      </c>
      <c r="S2209" s="902"/>
      <c r="T2209" s="944"/>
      <c r="U2209" s="1066"/>
      <c r="V2209" s="922"/>
      <c r="W2209" s="900" t="str">
        <f>IF(S2209&lt;&gt;0,VLOOKUP(S2209,VKT!$A$2:$G$415,7,0),"")</f>
        <v/>
      </c>
      <c r="X2209" s="900" t="str">
        <f t="shared" si="485"/>
        <v xml:space="preserve"> </v>
      </c>
      <c r="Y2209" s="985"/>
      <c r="Z2209" s="922"/>
      <c r="AA2209" s="1067"/>
      <c r="AB2209" s="922"/>
      <c r="AC2209" s="922"/>
      <c r="AD2209" s="922"/>
      <c r="AE2209" s="922"/>
      <c r="AF2209" s="1046"/>
      <c r="AG2209" s="906" t="str">
        <f>IF(AE2209&lt;&gt;0,VLOOKUP(AE2209,ODDS!$A$2:$C$13,3,0),"")</f>
        <v/>
      </c>
      <c r="AH2209" s="906" t="str">
        <f t="shared" si="488"/>
        <v xml:space="preserve"> </v>
      </c>
      <c r="AI2209" s="907" t="str">
        <f t="shared" si="486"/>
        <v xml:space="preserve"> </v>
      </c>
      <c r="AJ2209" s="922"/>
      <c r="AK2209" s="922"/>
    </row>
    <row r="2210" spans="1:39" s="394" customFormat="1" ht="22.5" outlineLevel="2" x14ac:dyDescent="0.3">
      <c r="A2210" s="447">
        <f t="shared" si="490"/>
        <v>184</v>
      </c>
      <c r="B2210" s="893"/>
      <c r="C2210" s="908"/>
      <c r="D2210" s="1032"/>
      <c r="E2210" s="947"/>
      <c r="F2210" s="947"/>
      <c r="G2210" s="922"/>
      <c r="H2210" s="1041"/>
      <c r="I2210" s="882"/>
      <c r="J2210" s="898"/>
      <c r="K2210" s="899" t="str">
        <f>IF(G2210&lt;&gt;0,VLOOKUP(G2210,'gia dat'!$A$1:$F$144,5,0)," ")</f>
        <v xml:space="preserve"> </v>
      </c>
      <c r="L2210" s="899" t="str">
        <f>IF(G2210&lt;&gt;0,VLOOKUP(G2210,'gia dat'!$A$1:$F$144,6,0)," ")</f>
        <v xml:space="preserve"> </v>
      </c>
      <c r="M2210" s="900" t="str">
        <f t="shared" si="481"/>
        <v xml:space="preserve"> </v>
      </c>
      <c r="N2210" s="900" t="str">
        <f t="shared" si="482"/>
        <v xml:space="preserve"> </v>
      </c>
      <c r="O2210" s="908"/>
      <c r="P2210" s="1065"/>
      <c r="Q2210" s="900" t="str">
        <f>IF(O2210&lt;&gt;0,VLOOKUP(O2210,'Cây trong'!$A$2:$C$246,3,0)," ")</f>
        <v xml:space="preserve"> </v>
      </c>
      <c r="R2210" s="900" t="str">
        <f t="shared" si="487"/>
        <v xml:space="preserve"> </v>
      </c>
      <c r="S2210" s="902"/>
      <c r="T2210" s="944"/>
      <c r="U2210" s="1066"/>
      <c r="V2210" s="922"/>
      <c r="W2210" s="900" t="str">
        <f>IF(S2210&lt;&gt;0,VLOOKUP(S2210,VKT!$A$2:$G$415,7,0),"")</f>
        <v/>
      </c>
      <c r="X2210" s="900" t="str">
        <f t="shared" si="485"/>
        <v xml:space="preserve"> </v>
      </c>
      <c r="Y2210" s="985"/>
      <c r="Z2210" s="922"/>
      <c r="AA2210" s="1067"/>
      <c r="AB2210" s="922"/>
      <c r="AC2210" s="922"/>
      <c r="AD2210" s="922"/>
      <c r="AE2210" s="922"/>
      <c r="AF2210" s="1046"/>
      <c r="AG2210" s="906" t="str">
        <f>IF(AE2210&lt;&gt;0,VLOOKUP(AE2210,ODDS!$A$2:$C$13,3,0),"")</f>
        <v/>
      </c>
      <c r="AH2210" s="906" t="str">
        <f t="shared" si="488"/>
        <v xml:space="preserve"> </v>
      </c>
      <c r="AI2210" s="907" t="str">
        <f t="shared" si="486"/>
        <v xml:space="preserve"> </v>
      </c>
      <c r="AJ2210" s="922"/>
      <c r="AK2210" s="922"/>
    </row>
    <row r="2211" spans="1:39" s="394" customFormat="1" ht="22.5" outlineLevel="2" x14ac:dyDescent="0.3">
      <c r="A2211" s="447">
        <f t="shared" si="490"/>
        <v>184</v>
      </c>
      <c r="B2211" s="893"/>
      <c r="C2211" s="908"/>
      <c r="D2211" s="1032"/>
      <c r="E2211" s="947"/>
      <c r="F2211" s="947"/>
      <c r="G2211" s="922"/>
      <c r="H2211" s="1041"/>
      <c r="I2211" s="882"/>
      <c r="J2211" s="898"/>
      <c r="K2211" s="899" t="str">
        <f>IF(G2211&lt;&gt;0,VLOOKUP(G2211,'gia dat'!$A$1:$F$144,5,0)," ")</f>
        <v xml:space="preserve"> </v>
      </c>
      <c r="L2211" s="899" t="str">
        <f>IF(G2211&lt;&gt;0,VLOOKUP(G2211,'gia dat'!$A$1:$F$144,6,0)," ")</f>
        <v xml:space="preserve"> </v>
      </c>
      <c r="M2211" s="900" t="str">
        <f t="shared" si="481"/>
        <v xml:space="preserve"> </v>
      </c>
      <c r="N2211" s="900" t="str">
        <f t="shared" si="482"/>
        <v xml:space="preserve"> </v>
      </c>
      <c r="O2211" s="908"/>
      <c r="P2211" s="1065"/>
      <c r="Q2211" s="900" t="str">
        <f>IF(O2211&lt;&gt;0,VLOOKUP(O2211,'Cây trong'!$A$2:$C$246,3,0)," ")</f>
        <v xml:space="preserve"> </v>
      </c>
      <c r="R2211" s="900" t="str">
        <f t="shared" si="487"/>
        <v xml:space="preserve"> </v>
      </c>
      <c r="S2211" s="902"/>
      <c r="T2211" s="944"/>
      <c r="U2211" s="1066"/>
      <c r="V2211" s="922"/>
      <c r="W2211" s="900" t="str">
        <f>IF(S2211&lt;&gt;0,VLOOKUP(S2211,VKT!$A$2:$G$415,7,0),"")</f>
        <v/>
      </c>
      <c r="X2211" s="900" t="str">
        <f t="shared" si="485"/>
        <v xml:space="preserve"> </v>
      </c>
      <c r="Y2211" s="985"/>
      <c r="Z2211" s="922"/>
      <c r="AA2211" s="1067"/>
      <c r="AB2211" s="922"/>
      <c r="AC2211" s="922"/>
      <c r="AD2211" s="922"/>
      <c r="AE2211" s="922"/>
      <c r="AF2211" s="1046"/>
      <c r="AG2211" s="906" t="str">
        <f>IF(AE2211&lt;&gt;0,VLOOKUP(AE2211,ODDS!$A$2:$C$13,3,0),"")</f>
        <v/>
      </c>
      <c r="AH2211" s="906" t="str">
        <f t="shared" si="488"/>
        <v xml:space="preserve"> </v>
      </c>
      <c r="AI2211" s="907" t="str">
        <f t="shared" si="486"/>
        <v xml:space="preserve"> </v>
      </c>
      <c r="AJ2211" s="922"/>
      <c r="AK2211" s="922"/>
    </row>
    <row r="2212" spans="1:39" s="394" customFormat="1" ht="22.5" outlineLevel="2" x14ac:dyDescent="0.3">
      <c r="A2212" s="447">
        <f t="shared" si="490"/>
        <v>184</v>
      </c>
      <c r="B2212" s="893"/>
      <c r="C2212" s="908"/>
      <c r="D2212" s="1032"/>
      <c r="E2212" s="947"/>
      <c r="F2212" s="947"/>
      <c r="G2212" s="922"/>
      <c r="H2212" s="1041"/>
      <c r="I2212" s="882"/>
      <c r="J2212" s="898"/>
      <c r="K2212" s="899" t="str">
        <f>IF(G2212&lt;&gt;0,VLOOKUP(G2212,'gia dat'!$A$1:$F$144,5,0)," ")</f>
        <v xml:space="preserve"> </v>
      </c>
      <c r="L2212" s="899" t="str">
        <f>IF(G2212&lt;&gt;0,VLOOKUP(G2212,'gia dat'!$A$1:$F$144,6,0)," ")</f>
        <v xml:space="preserve"> </v>
      </c>
      <c r="M2212" s="900" t="str">
        <f t="shared" si="481"/>
        <v xml:space="preserve"> </v>
      </c>
      <c r="N2212" s="900" t="str">
        <f t="shared" si="482"/>
        <v xml:space="preserve"> </v>
      </c>
      <c r="O2212" s="908"/>
      <c r="P2212" s="1065"/>
      <c r="Q2212" s="900" t="str">
        <f>IF(O2212&lt;&gt;0,VLOOKUP(O2212,'Cây trong'!$A$2:$C$246,3,0)," ")</f>
        <v xml:space="preserve"> </v>
      </c>
      <c r="R2212" s="900" t="str">
        <f t="shared" si="487"/>
        <v xml:space="preserve"> </v>
      </c>
      <c r="S2212" s="902"/>
      <c r="T2212" s="944"/>
      <c r="U2212" s="1066"/>
      <c r="V2212" s="922"/>
      <c r="W2212" s="900" t="str">
        <f>IF(S2212&lt;&gt;0,VLOOKUP(S2212,VKT!$A$2:$G$415,7,0),"")</f>
        <v/>
      </c>
      <c r="X2212" s="900" t="str">
        <f t="shared" si="485"/>
        <v xml:space="preserve"> </v>
      </c>
      <c r="Y2212" s="985"/>
      <c r="Z2212" s="922"/>
      <c r="AA2212" s="1067"/>
      <c r="AB2212" s="922"/>
      <c r="AC2212" s="922"/>
      <c r="AD2212" s="922"/>
      <c r="AE2212" s="922"/>
      <c r="AF2212" s="1046"/>
      <c r="AG2212" s="906" t="str">
        <f>IF(AE2212&lt;&gt;0,VLOOKUP(AE2212,ODDS!$A$2:$C$13,3,0),"")</f>
        <v/>
      </c>
      <c r="AH2212" s="906" t="str">
        <f t="shared" si="488"/>
        <v xml:space="preserve"> </v>
      </c>
      <c r="AI2212" s="907" t="str">
        <f t="shared" si="486"/>
        <v xml:space="preserve"> </v>
      </c>
      <c r="AJ2212" s="922"/>
      <c r="AK2212" s="922"/>
    </row>
    <row r="2213" spans="1:39" s="394" customFormat="1" ht="22.5" outlineLevel="2" x14ac:dyDescent="0.3">
      <c r="A2213" s="447">
        <f t="shared" si="490"/>
        <v>184</v>
      </c>
      <c r="B2213" s="893"/>
      <c r="C2213" s="942"/>
      <c r="D2213" s="1032"/>
      <c r="E2213" s="947"/>
      <c r="F2213" s="947"/>
      <c r="G2213" s="922"/>
      <c r="H2213" s="1041"/>
      <c r="I2213" s="882"/>
      <c r="J2213" s="894"/>
      <c r="K2213" s="899" t="str">
        <f>IF(G2213&lt;&gt;0,VLOOKUP(G2213,'gia dat'!$A$1:$F$144,5,0)," ")</f>
        <v xml:space="preserve"> </v>
      </c>
      <c r="L2213" s="899" t="str">
        <f>IF(G2213&lt;&gt;0,VLOOKUP(G2213,'gia dat'!$A$1:$F$144,6,0)," ")</f>
        <v xml:space="preserve"> </v>
      </c>
      <c r="M2213" s="900" t="str">
        <f t="shared" si="481"/>
        <v xml:space="preserve"> </v>
      </c>
      <c r="N2213" s="900" t="str">
        <f t="shared" si="482"/>
        <v xml:space="preserve"> </v>
      </c>
      <c r="O2213" s="908"/>
      <c r="P2213" s="1065"/>
      <c r="Q2213" s="900" t="str">
        <f>IF(O2213&lt;&gt;0,VLOOKUP(O2213,'Cây trong'!$A$2:$C$246,3,0)," ")</f>
        <v xml:space="preserve"> </v>
      </c>
      <c r="R2213" s="900" t="str">
        <f t="shared" si="487"/>
        <v xml:space="preserve"> </v>
      </c>
      <c r="S2213" s="908"/>
      <c r="T2213" s="944"/>
      <c r="U2213" s="1066"/>
      <c r="V2213" s="922"/>
      <c r="W2213" s="900" t="str">
        <f>IF(S2213&lt;&gt;0,VLOOKUP(S2213,VKT!$A$2:$G$415,7,0),"")</f>
        <v/>
      </c>
      <c r="X2213" s="900" t="str">
        <f t="shared" si="485"/>
        <v xml:space="preserve"> </v>
      </c>
      <c r="Y2213" s="985"/>
      <c r="Z2213" s="922"/>
      <c r="AA2213" s="1067"/>
      <c r="AB2213" s="922"/>
      <c r="AC2213" s="922"/>
      <c r="AD2213" s="922"/>
      <c r="AE2213" s="922"/>
      <c r="AF2213" s="1046"/>
      <c r="AG2213" s="906" t="str">
        <f>IF(AE2213&lt;&gt;0,VLOOKUP(AE2213,ODDS!$A$2:$C$13,3,0),"")</f>
        <v/>
      </c>
      <c r="AH2213" s="906" t="str">
        <f t="shared" si="488"/>
        <v xml:space="preserve"> </v>
      </c>
      <c r="AI2213" s="907" t="str">
        <f t="shared" si="486"/>
        <v xml:space="preserve"> </v>
      </c>
      <c r="AJ2213" s="922"/>
      <c r="AK2213" s="922"/>
    </row>
    <row r="2214" spans="1:39" s="394" customFormat="1" ht="43.5" outlineLevel="1" x14ac:dyDescent="0.25">
      <c r="A2214" s="467" t="s">
        <v>2525</v>
      </c>
      <c r="B2214" s="912">
        <v>185</v>
      </c>
      <c r="C2214" s="942" t="s">
        <v>1474</v>
      </c>
      <c r="D2214" s="1038"/>
      <c r="E2214" s="977"/>
      <c r="F2214" s="977"/>
      <c r="G2214" s="914"/>
      <c r="H2214" s="1039">
        <f>SUBTOTAL(9,H2215:H2223)</f>
        <v>0</v>
      </c>
      <c r="I2214" s="915">
        <f>SUBTOTAL(9,I2215:I2220)</f>
        <v>0</v>
      </c>
      <c r="J2214" s="916"/>
      <c r="K2214" s="917"/>
      <c r="L2214" s="917"/>
      <c r="M2214" s="907">
        <f>SUBTOTAL(9,M2215:M2223)</f>
        <v>0</v>
      </c>
      <c r="N2214" s="907">
        <f>SUBTOTAL(9,N2215:N2223)</f>
        <v>0</v>
      </c>
      <c r="O2214" s="942"/>
      <c r="P2214" s="1063">
        <f>SUBTOTAL(9,P2215:P2223)</f>
        <v>0</v>
      </c>
      <c r="Q2214" s="907"/>
      <c r="R2214" s="907">
        <f>SUBTOTAL(9,R2215:R2223)</f>
        <v>0</v>
      </c>
      <c r="S2214" s="918"/>
      <c r="T2214" s="956"/>
      <c r="U2214" s="1064">
        <f>SUBTOTAL(9,U2215:U2223)</f>
        <v>46.2</v>
      </c>
      <c r="V2214" s="914"/>
      <c r="W2214" s="907"/>
      <c r="X2214" s="907">
        <f>SUBTOTAL(9,X2215:X2223)</f>
        <v>62132000</v>
      </c>
      <c r="Y2214" s="996"/>
      <c r="Z2214" s="1016"/>
      <c r="AA2214" s="1016"/>
      <c r="AB2214" s="1026"/>
      <c r="AC2214" s="1016"/>
      <c r="AD2214" s="922"/>
      <c r="AE2214" s="914"/>
      <c r="AF2214" s="1044">
        <f>SUBTOTAL(9,AF2215:AF2223)</f>
        <v>0</v>
      </c>
      <c r="AG2214" s="921"/>
      <c r="AH2214" s="921">
        <f>SUBTOTAL(9,AH2215:AH2223)</f>
        <v>0</v>
      </c>
      <c r="AI2214" s="907">
        <f t="shared" si="486"/>
        <v>62132000</v>
      </c>
      <c r="AJ2214" s="914"/>
      <c r="AK2214" s="910"/>
    </row>
    <row r="2215" spans="1:39" s="394" customFormat="1" ht="112.5" outlineLevel="2" x14ac:dyDescent="0.3">
      <c r="A2215" s="447">
        <f>IF(B2214&lt;&gt;0,B2214,A2213)</f>
        <v>185</v>
      </c>
      <c r="B2215" s="893"/>
      <c r="C2215" s="908" t="s">
        <v>1476</v>
      </c>
      <c r="D2215" s="1032"/>
      <c r="E2215" s="947"/>
      <c r="F2215" s="947"/>
      <c r="G2215" s="922"/>
      <c r="H2215" s="1041"/>
      <c r="I2215" s="882"/>
      <c r="J2215" s="898"/>
      <c r="K2215" s="899" t="str">
        <f>IF(G2215&lt;&gt;0,VLOOKUP(G2215,'gia dat'!$A$1:$F$144,5,0)," ")</f>
        <v xml:space="preserve"> </v>
      </c>
      <c r="L2215" s="899" t="str">
        <f>IF(G2215&lt;&gt;0,VLOOKUP(G2215,'gia dat'!$A$1:$F$144,6,0)," ")</f>
        <v xml:space="preserve"> </v>
      </c>
      <c r="M2215" s="900" t="str">
        <f t="shared" si="481"/>
        <v xml:space="preserve"> </v>
      </c>
      <c r="N2215" s="900" t="str">
        <f t="shared" si="482"/>
        <v xml:space="preserve"> </v>
      </c>
      <c r="O2215" s="908"/>
      <c r="P2215" s="1065"/>
      <c r="Q2215" s="900" t="str">
        <f>IF(O2215&lt;&gt;0,VLOOKUP(O2215,'Cây trong'!$A$2:$C$246,3,0)," ")</f>
        <v xml:space="preserve"> </v>
      </c>
      <c r="R2215" s="900" t="str">
        <f t="shared" si="487"/>
        <v xml:space="preserve"> </v>
      </c>
      <c r="S2215" s="902" t="s">
        <v>1838</v>
      </c>
      <c r="T2215" s="944" t="s">
        <v>1133</v>
      </c>
      <c r="U2215" s="1066">
        <v>10.199999999999999</v>
      </c>
      <c r="V2215" s="922"/>
      <c r="W2215" s="900">
        <f>IF(S2215&lt;&gt;0,VLOOKUP(S2215,VKT!$A$2:$G$415,7,0),"")</f>
        <v>3156089</v>
      </c>
      <c r="X2215" s="900">
        <f t="shared" si="485"/>
        <v>32192000</v>
      </c>
      <c r="Y2215" s="996" t="s">
        <v>139</v>
      </c>
      <c r="Z2215" s="1016" t="s">
        <v>1139</v>
      </c>
      <c r="AA2215" s="1016" t="s">
        <v>56</v>
      </c>
      <c r="AB2215" s="1026" t="s">
        <v>269</v>
      </c>
      <c r="AC2215" s="1016" t="s">
        <v>139</v>
      </c>
      <c r="AD2215" s="922"/>
      <c r="AE2215" s="922"/>
      <c r="AF2215" s="1046"/>
      <c r="AG2215" s="906" t="str">
        <f>IF(AE2215&lt;&gt;0,VLOOKUP(AE2215,ODDS!$A$2:$C$13,3,0),"")</f>
        <v/>
      </c>
      <c r="AH2215" s="906" t="str">
        <f t="shared" si="488"/>
        <v xml:space="preserve"> </v>
      </c>
      <c r="AI2215" s="907" t="str">
        <f t="shared" si="486"/>
        <v xml:space="preserve"> </v>
      </c>
      <c r="AJ2215" s="922" t="s">
        <v>1475</v>
      </c>
      <c r="AK2215" s="894" t="s">
        <v>2450</v>
      </c>
    </row>
    <row r="2216" spans="1:39" s="394" customFormat="1" ht="112.5" outlineLevel="2" x14ac:dyDescent="0.3">
      <c r="A2216" s="447">
        <f t="shared" ref="A2216:A2223" si="491">IF(B2215&lt;&gt;0,B2215,A2215)</f>
        <v>185</v>
      </c>
      <c r="B2216" s="893"/>
      <c r="C2216" s="908" t="s">
        <v>1637</v>
      </c>
      <c r="D2216" s="1032"/>
      <c r="E2216" s="947"/>
      <c r="F2216" s="947"/>
      <c r="G2216" s="922"/>
      <c r="H2216" s="1041"/>
      <c r="I2216" s="882"/>
      <c r="J2216" s="898"/>
      <c r="K2216" s="899" t="str">
        <f>IF(G2216&lt;&gt;0,VLOOKUP(G2216,'gia dat'!$A$1:$F$144,5,0)," ")</f>
        <v xml:space="preserve"> </v>
      </c>
      <c r="L2216" s="899" t="str">
        <f>IF(G2216&lt;&gt;0,VLOOKUP(G2216,'gia dat'!$A$1:$F$144,6,0)," ")</f>
        <v xml:space="preserve"> </v>
      </c>
      <c r="M2216" s="900" t="str">
        <f t="shared" si="481"/>
        <v xml:space="preserve"> </v>
      </c>
      <c r="N2216" s="900" t="str">
        <f t="shared" si="482"/>
        <v xml:space="preserve"> </v>
      </c>
      <c r="O2216" s="908"/>
      <c r="P2216" s="1065"/>
      <c r="Q2216" s="900" t="str">
        <f>IF(O2216&lt;&gt;0,VLOOKUP(O2216,'Cây trong'!$A$2:$C$246,3,0)," ")</f>
        <v xml:space="preserve"> </v>
      </c>
      <c r="R2216" s="900" t="str">
        <f t="shared" si="487"/>
        <v xml:space="preserve"> </v>
      </c>
      <c r="S2216" s="902" t="s">
        <v>2009</v>
      </c>
      <c r="T2216" s="944" t="s">
        <v>1133</v>
      </c>
      <c r="U2216" s="1042">
        <v>2.4</v>
      </c>
      <c r="V2216" s="922"/>
      <c r="W2216" s="900">
        <f>IF(S2216&lt;&gt;0,VLOOKUP(S2216,VKT!$A$2:$G$415,7,0),"")</f>
        <v>8308812</v>
      </c>
      <c r="X2216" s="900">
        <f t="shared" si="485"/>
        <v>19941000</v>
      </c>
      <c r="Y2216" s="985"/>
      <c r="Z2216" s="922"/>
      <c r="AA2216" s="1067"/>
      <c r="AB2216" s="922"/>
      <c r="AC2216" s="922"/>
      <c r="AD2216" s="922"/>
      <c r="AE2216" s="922"/>
      <c r="AF2216" s="1046"/>
      <c r="AG2216" s="906" t="str">
        <f>IF(AE2216&lt;&gt;0,VLOOKUP(AE2216,ODDS!$A$2:$C$13,3,0),"")</f>
        <v/>
      </c>
      <c r="AH2216" s="906" t="str">
        <f t="shared" si="488"/>
        <v xml:space="preserve"> </v>
      </c>
      <c r="AI2216" s="907" t="str">
        <f t="shared" si="486"/>
        <v xml:space="preserve"> </v>
      </c>
      <c r="AJ2216" s="922" t="s">
        <v>1477</v>
      </c>
      <c r="AK2216" s="922" t="s">
        <v>2800</v>
      </c>
    </row>
    <row r="2217" spans="1:39" s="394" customFormat="1" ht="90" outlineLevel="2" x14ac:dyDescent="0.3">
      <c r="A2217" s="447">
        <f t="shared" si="491"/>
        <v>185</v>
      </c>
      <c r="B2217" s="893"/>
      <c r="C2217" s="908"/>
      <c r="D2217" s="1032"/>
      <c r="E2217" s="947"/>
      <c r="F2217" s="947"/>
      <c r="G2217" s="922"/>
      <c r="H2217" s="1041"/>
      <c r="I2217" s="882"/>
      <c r="J2217" s="898"/>
      <c r="K2217" s="899" t="str">
        <f>IF(G2217&lt;&gt;0,VLOOKUP(G2217,'gia dat'!$A$1:$F$144,5,0)," ")</f>
        <v xml:space="preserve"> </v>
      </c>
      <c r="L2217" s="899" t="str">
        <f>IF(G2217&lt;&gt;0,VLOOKUP(G2217,'gia dat'!$A$1:$F$144,6,0)," ")</f>
        <v xml:space="preserve"> </v>
      </c>
      <c r="M2217" s="900" t="str">
        <f t="shared" si="481"/>
        <v xml:space="preserve"> </v>
      </c>
      <c r="N2217" s="900" t="str">
        <f t="shared" si="482"/>
        <v xml:space="preserve"> </v>
      </c>
      <c r="O2217" s="908"/>
      <c r="P2217" s="1065"/>
      <c r="Q2217" s="900" t="str">
        <f>IF(O2217&lt;&gt;0,VLOOKUP(O2217,'Cây trong'!$A$2:$C$246,3,0)," ")</f>
        <v xml:space="preserve"> </v>
      </c>
      <c r="R2217" s="900" t="str">
        <f t="shared" si="487"/>
        <v xml:space="preserve"> </v>
      </c>
      <c r="S2217" s="902" t="s">
        <v>1980</v>
      </c>
      <c r="T2217" s="944" t="s">
        <v>1133</v>
      </c>
      <c r="U2217" s="1066">
        <v>10.5</v>
      </c>
      <c r="V2217" s="922"/>
      <c r="W2217" s="900">
        <f>IF(S2217&lt;&gt;0,VLOOKUP(S2217,VKT!$A$2:$G$415,7,0),"")</f>
        <v>684506</v>
      </c>
      <c r="X2217" s="900">
        <f t="shared" si="485"/>
        <v>7187000</v>
      </c>
      <c r="Y2217" s="985"/>
      <c r="Z2217" s="922"/>
      <c r="AA2217" s="1067"/>
      <c r="AB2217" s="922"/>
      <c r="AC2217" s="922"/>
      <c r="AD2217" s="922"/>
      <c r="AE2217" s="922"/>
      <c r="AF2217" s="1046"/>
      <c r="AG2217" s="906" t="str">
        <f>IF(AE2217&lt;&gt;0,VLOOKUP(AE2217,ODDS!$A$2:$C$13,3,0),"")</f>
        <v/>
      </c>
      <c r="AH2217" s="906" t="str">
        <f t="shared" si="488"/>
        <v xml:space="preserve"> </v>
      </c>
      <c r="AI2217" s="907" t="str">
        <f t="shared" si="486"/>
        <v xml:space="preserve"> </v>
      </c>
      <c r="AJ2217" s="922"/>
      <c r="AK2217" s="922"/>
    </row>
    <row r="2218" spans="1:39" s="394" customFormat="1" ht="90" outlineLevel="2" x14ac:dyDescent="0.3">
      <c r="A2218" s="447">
        <f t="shared" si="491"/>
        <v>185</v>
      </c>
      <c r="B2218" s="893"/>
      <c r="C2218" s="908"/>
      <c r="D2218" s="1032"/>
      <c r="E2218" s="947"/>
      <c r="F2218" s="947"/>
      <c r="G2218" s="922"/>
      <c r="H2218" s="1041"/>
      <c r="I2218" s="882"/>
      <c r="J2218" s="894"/>
      <c r="K2218" s="899" t="str">
        <f>IF(G2218&lt;&gt;0,VLOOKUP(G2218,'gia dat'!$A$1:$F$144,5,0)," ")</f>
        <v xml:space="preserve"> </v>
      </c>
      <c r="L2218" s="899" t="str">
        <f>IF(G2218&lt;&gt;0,VLOOKUP(G2218,'gia dat'!$A$1:$F$144,6,0)," ")</f>
        <v xml:space="preserve"> </v>
      </c>
      <c r="M2218" s="900" t="str">
        <f t="shared" si="481"/>
        <v xml:space="preserve"> </v>
      </c>
      <c r="N2218" s="900" t="str">
        <f t="shared" si="482"/>
        <v xml:space="preserve"> </v>
      </c>
      <c r="O2218" s="908"/>
      <c r="P2218" s="1065"/>
      <c r="Q2218" s="900" t="str">
        <f>IF(O2218&lt;&gt;0,VLOOKUP(O2218,'Cây trong'!$A$2:$C$246,3,0)," ")</f>
        <v xml:space="preserve"> </v>
      </c>
      <c r="R2218" s="900" t="str">
        <f t="shared" si="487"/>
        <v xml:space="preserve"> </v>
      </c>
      <c r="S2218" s="908" t="s">
        <v>1978</v>
      </c>
      <c r="T2218" s="944" t="s">
        <v>1133</v>
      </c>
      <c r="U2218" s="1066">
        <v>11.9</v>
      </c>
      <c r="V2218" s="922"/>
      <c r="W2218" s="900">
        <f>IF(S2218&lt;&gt;0,VLOOKUP(S2218,VKT!$A$2:$G$415,7,0),"")</f>
        <v>236298</v>
      </c>
      <c r="X2218" s="900">
        <f t="shared" si="485"/>
        <v>2812000</v>
      </c>
      <c r="Y2218" s="985"/>
      <c r="Z2218" s="922"/>
      <c r="AA2218" s="1067"/>
      <c r="AB2218" s="922"/>
      <c r="AC2218" s="922"/>
      <c r="AD2218" s="922"/>
      <c r="AE2218" s="922"/>
      <c r="AF2218" s="1046"/>
      <c r="AG2218" s="906" t="str">
        <f>IF(AE2218&lt;&gt;0,VLOOKUP(AE2218,ODDS!$A$2:$C$13,3,0),"")</f>
        <v/>
      </c>
      <c r="AH2218" s="906" t="str">
        <f t="shared" si="488"/>
        <v xml:space="preserve"> </v>
      </c>
      <c r="AI2218" s="907" t="str">
        <f t="shared" si="486"/>
        <v xml:space="preserve"> </v>
      </c>
      <c r="AJ2218" s="922"/>
      <c r="AK2218" s="922"/>
    </row>
    <row r="2219" spans="1:39" s="394" customFormat="1" ht="90" outlineLevel="2" x14ac:dyDescent="0.3">
      <c r="A2219" s="447">
        <f t="shared" si="491"/>
        <v>185</v>
      </c>
      <c r="B2219" s="893"/>
      <c r="C2219" s="908"/>
      <c r="D2219" s="1032"/>
      <c r="E2219" s="947"/>
      <c r="F2219" s="947"/>
      <c r="G2219" s="922"/>
      <c r="H2219" s="1041"/>
      <c r="I2219" s="882"/>
      <c r="J2219" s="894"/>
      <c r="K2219" s="899" t="str">
        <f>IF(G2219&lt;&gt;0,VLOOKUP(G2219,'gia dat'!$A$1:$F$144,5,0)," ")</f>
        <v xml:space="preserve"> </v>
      </c>
      <c r="L2219" s="899" t="str">
        <f>IF(G2219&lt;&gt;0,VLOOKUP(G2219,'gia dat'!$A$1:$F$144,6,0)," ")</f>
        <v xml:space="preserve"> </v>
      </c>
      <c r="M2219" s="900" t="str">
        <f t="shared" si="481"/>
        <v xml:space="preserve"> </v>
      </c>
      <c r="N2219" s="900" t="str">
        <f t="shared" si="482"/>
        <v xml:space="preserve"> </v>
      </c>
      <c r="O2219" s="908"/>
      <c r="P2219" s="1065"/>
      <c r="Q2219" s="900" t="str">
        <f>IF(O2219&lt;&gt;0,VLOOKUP(O2219,'Cây trong'!$A$2:$C$246,3,0)," ")</f>
        <v xml:space="preserve"> </v>
      </c>
      <c r="R2219" s="900" t="str">
        <f t="shared" si="487"/>
        <v xml:space="preserve"> </v>
      </c>
      <c r="S2219" s="908" t="s">
        <v>2010</v>
      </c>
      <c r="T2219" s="944" t="s">
        <v>1133</v>
      </c>
      <c r="U2219" s="1066">
        <v>11.200000000000001</v>
      </c>
      <c r="V2219" s="922"/>
      <c r="W2219" s="900">
        <f>IF(S2219&lt;&gt;0,VLOOKUP(S2219,VKT!$A$2:$G$415,7,0),"")</f>
        <v>0</v>
      </c>
      <c r="X2219" s="900">
        <f t="shared" si="485"/>
        <v>0</v>
      </c>
      <c r="Y2219" s="985"/>
      <c r="Z2219" s="922"/>
      <c r="AA2219" s="1067"/>
      <c r="AB2219" s="922"/>
      <c r="AC2219" s="922"/>
      <c r="AD2219" s="922"/>
      <c r="AE2219" s="922"/>
      <c r="AF2219" s="1046"/>
      <c r="AG2219" s="906" t="str">
        <f>IF(AE2219&lt;&gt;0,VLOOKUP(AE2219,ODDS!$A$2:$C$13,3,0),"")</f>
        <v/>
      </c>
      <c r="AH2219" s="906" t="str">
        <f t="shared" si="488"/>
        <v xml:space="preserve"> </v>
      </c>
      <c r="AI2219" s="907" t="str">
        <f t="shared" si="486"/>
        <v xml:space="preserve"> </v>
      </c>
      <c r="AJ2219" s="922"/>
      <c r="AK2219" s="922"/>
    </row>
    <row r="2220" spans="1:39" s="394" customFormat="1" ht="22.5" outlineLevel="2" x14ac:dyDescent="0.3">
      <c r="A2220" s="447">
        <f t="shared" si="491"/>
        <v>185</v>
      </c>
      <c r="B2220" s="893"/>
      <c r="C2220" s="908"/>
      <c r="D2220" s="1032"/>
      <c r="E2220" s="947"/>
      <c r="F2220" s="947"/>
      <c r="G2220" s="922"/>
      <c r="H2220" s="1041"/>
      <c r="I2220" s="882"/>
      <c r="J2220" s="894"/>
      <c r="K2220" s="899" t="str">
        <f>IF(G2220&lt;&gt;0,VLOOKUP(G2220,'gia dat'!$A$1:$F$144,5,0)," ")</f>
        <v xml:space="preserve"> </v>
      </c>
      <c r="L2220" s="899" t="str">
        <f>IF(G2220&lt;&gt;0,VLOOKUP(G2220,'gia dat'!$A$1:$F$144,6,0)," ")</f>
        <v xml:space="preserve"> </v>
      </c>
      <c r="M2220" s="900" t="str">
        <f t="shared" si="481"/>
        <v xml:space="preserve"> </v>
      </c>
      <c r="N2220" s="900" t="str">
        <f t="shared" si="482"/>
        <v xml:space="preserve"> </v>
      </c>
      <c r="O2220" s="908"/>
      <c r="P2220" s="1065"/>
      <c r="Q2220" s="900" t="str">
        <f>IF(O2220&lt;&gt;0,VLOOKUP(O2220,'Cây trong'!$A$2:$C$246,3,0)," ")</f>
        <v xml:space="preserve"> </v>
      </c>
      <c r="R2220" s="900" t="str">
        <f t="shared" si="487"/>
        <v xml:space="preserve"> </v>
      </c>
      <c r="S2220" s="902"/>
      <c r="T2220" s="944"/>
      <c r="U2220" s="1066"/>
      <c r="V2220" s="922"/>
      <c r="W2220" s="900" t="str">
        <f>IF(S2220&lt;&gt;0,VLOOKUP(S2220,VKT!$A$2:$G$415,7,0),"")</f>
        <v/>
      </c>
      <c r="X2220" s="900" t="str">
        <f t="shared" si="485"/>
        <v xml:space="preserve"> </v>
      </c>
      <c r="Y2220" s="985"/>
      <c r="Z2220" s="922"/>
      <c r="AA2220" s="1067"/>
      <c r="AB2220" s="922"/>
      <c r="AC2220" s="922"/>
      <c r="AD2220" s="922"/>
      <c r="AE2220" s="922"/>
      <c r="AF2220" s="1046"/>
      <c r="AG2220" s="906" t="str">
        <f>IF(AE2220&lt;&gt;0,VLOOKUP(AE2220,ODDS!$A$2:$C$13,3,0),"")</f>
        <v/>
      </c>
      <c r="AH2220" s="906" t="str">
        <f t="shared" si="488"/>
        <v xml:space="preserve"> </v>
      </c>
      <c r="AI2220" s="907" t="str">
        <f t="shared" si="486"/>
        <v xml:space="preserve"> </v>
      </c>
      <c r="AJ2220" s="908"/>
      <c r="AK2220" s="908"/>
    </row>
    <row r="2221" spans="1:39" s="394" customFormat="1" ht="22.5" outlineLevel="2" x14ac:dyDescent="0.3">
      <c r="A2221" s="447">
        <f t="shared" si="491"/>
        <v>185</v>
      </c>
      <c r="B2221" s="893"/>
      <c r="C2221" s="908"/>
      <c r="D2221" s="1032"/>
      <c r="E2221" s="947"/>
      <c r="F2221" s="947"/>
      <c r="G2221" s="922"/>
      <c r="H2221" s="1041"/>
      <c r="I2221" s="882"/>
      <c r="J2221" s="894"/>
      <c r="K2221" s="899" t="str">
        <f>IF(G2221&lt;&gt;0,VLOOKUP(G2221,'gia dat'!$A$1:$F$144,5,0)," ")</f>
        <v xml:space="preserve"> </v>
      </c>
      <c r="L2221" s="899" t="str">
        <f>IF(G2221&lt;&gt;0,VLOOKUP(G2221,'gia dat'!$A$1:$F$144,6,0)," ")</f>
        <v xml:space="preserve"> </v>
      </c>
      <c r="M2221" s="900" t="str">
        <f t="shared" si="481"/>
        <v xml:space="preserve"> </v>
      </c>
      <c r="N2221" s="900" t="str">
        <f t="shared" si="482"/>
        <v xml:space="preserve"> </v>
      </c>
      <c r="O2221" s="908"/>
      <c r="P2221" s="1065"/>
      <c r="Q2221" s="900" t="str">
        <f>IF(O2221&lt;&gt;0,VLOOKUP(O2221,'Cây trong'!$A$2:$C$246,3,0)," ")</f>
        <v xml:space="preserve"> </v>
      </c>
      <c r="R2221" s="900" t="str">
        <f t="shared" si="487"/>
        <v xml:space="preserve"> </v>
      </c>
      <c r="S2221" s="908"/>
      <c r="T2221" s="944"/>
      <c r="U2221" s="1066"/>
      <c r="V2221" s="922"/>
      <c r="W2221" s="900" t="str">
        <f>IF(S2221&lt;&gt;0,VLOOKUP(S2221,VKT!$A$2:$G$415,7,0),"")</f>
        <v/>
      </c>
      <c r="X2221" s="900" t="str">
        <f t="shared" si="485"/>
        <v xml:space="preserve"> </v>
      </c>
      <c r="Y2221" s="985"/>
      <c r="Z2221" s="922"/>
      <c r="AA2221" s="1067"/>
      <c r="AB2221" s="922"/>
      <c r="AC2221" s="922"/>
      <c r="AD2221" s="922"/>
      <c r="AE2221" s="922"/>
      <c r="AF2221" s="1046"/>
      <c r="AG2221" s="906" t="str">
        <f>IF(AE2221&lt;&gt;0,VLOOKUP(AE2221,ODDS!$A$2:$C$13,3,0),"")</f>
        <v/>
      </c>
      <c r="AH2221" s="906" t="str">
        <f t="shared" si="488"/>
        <v xml:space="preserve"> </v>
      </c>
      <c r="AI2221" s="907" t="str">
        <f t="shared" si="486"/>
        <v xml:space="preserve"> </v>
      </c>
      <c r="AJ2221" s="894"/>
      <c r="AK2221" s="894"/>
    </row>
    <row r="2222" spans="1:39" s="394" customFormat="1" ht="22.5" outlineLevel="2" x14ac:dyDescent="0.3">
      <c r="A2222" s="447">
        <f t="shared" si="491"/>
        <v>185</v>
      </c>
      <c r="B2222" s="893"/>
      <c r="C2222" s="908"/>
      <c r="D2222" s="1032"/>
      <c r="E2222" s="947"/>
      <c r="F2222" s="947"/>
      <c r="G2222" s="922"/>
      <c r="H2222" s="1041"/>
      <c r="I2222" s="882"/>
      <c r="J2222" s="894"/>
      <c r="K2222" s="899" t="str">
        <f>IF(G2222&lt;&gt;0,VLOOKUP(G2222,'gia dat'!$A$1:$F$144,5,0)," ")</f>
        <v xml:space="preserve"> </v>
      </c>
      <c r="L2222" s="899" t="str">
        <f>IF(G2222&lt;&gt;0,VLOOKUP(G2222,'gia dat'!$A$1:$F$144,6,0)," ")</f>
        <v xml:space="preserve"> </v>
      </c>
      <c r="M2222" s="900" t="str">
        <f t="shared" si="481"/>
        <v xml:space="preserve"> </v>
      </c>
      <c r="N2222" s="900" t="str">
        <f t="shared" si="482"/>
        <v xml:space="preserve"> </v>
      </c>
      <c r="O2222" s="908"/>
      <c r="P2222" s="1065"/>
      <c r="Q2222" s="900" t="str">
        <f>IF(O2222&lt;&gt;0,VLOOKUP(O2222,'Cây trong'!$A$2:$C$246,3,0)," ")</f>
        <v xml:space="preserve"> </v>
      </c>
      <c r="R2222" s="900" t="str">
        <f t="shared" si="487"/>
        <v xml:space="preserve"> </v>
      </c>
      <c r="S2222" s="908"/>
      <c r="T2222" s="944"/>
      <c r="U2222" s="1066"/>
      <c r="V2222" s="922"/>
      <c r="W2222" s="900" t="str">
        <f>IF(S2222&lt;&gt;0,VLOOKUP(S2222,VKT!$A$2:$G$415,7,0),"")</f>
        <v/>
      </c>
      <c r="X2222" s="900" t="str">
        <f t="shared" si="485"/>
        <v xml:space="preserve"> </v>
      </c>
      <c r="Y2222" s="985"/>
      <c r="Z2222" s="922"/>
      <c r="AA2222" s="1067"/>
      <c r="AB2222" s="922"/>
      <c r="AC2222" s="922"/>
      <c r="AD2222" s="922"/>
      <c r="AE2222" s="922"/>
      <c r="AF2222" s="1046"/>
      <c r="AG2222" s="906" t="str">
        <f>IF(AE2222&lt;&gt;0,VLOOKUP(AE2222,ODDS!$A$2:$C$13,3,0),"")</f>
        <v/>
      </c>
      <c r="AH2222" s="906" t="str">
        <f t="shared" si="488"/>
        <v xml:space="preserve"> </v>
      </c>
      <c r="AI2222" s="907" t="str">
        <f t="shared" si="486"/>
        <v xml:space="preserve"> </v>
      </c>
      <c r="AJ2222" s="922"/>
      <c r="AK2222" s="922"/>
    </row>
    <row r="2223" spans="1:39" s="394" customFormat="1" ht="22.5" outlineLevel="2" x14ac:dyDescent="0.3">
      <c r="A2223" s="447">
        <f t="shared" si="491"/>
        <v>185</v>
      </c>
      <c r="B2223" s="893"/>
      <c r="C2223" s="942"/>
      <c r="D2223" s="1032"/>
      <c r="E2223" s="947"/>
      <c r="F2223" s="947"/>
      <c r="G2223" s="922"/>
      <c r="H2223" s="1041"/>
      <c r="I2223" s="882"/>
      <c r="J2223" s="894"/>
      <c r="K2223" s="899" t="str">
        <f>IF(G2223&lt;&gt;0,VLOOKUP(G2223,'gia dat'!$A$1:$F$144,5,0)," ")</f>
        <v xml:space="preserve"> </v>
      </c>
      <c r="L2223" s="899" t="str">
        <f>IF(G2223&lt;&gt;0,VLOOKUP(G2223,'gia dat'!$A$1:$F$144,6,0)," ")</f>
        <v xml:space="preserve"> </v>
      </c>
      <c r="M2223" s="900" t="str">
        <f t="shared" si="481"/>
        <v xml:space="preserve"> </v>
      </c>
      <c r="N2223" s="900" t="str">
        <f t="shared" si="482"/>
        <v xml:space="preserve"> </v>
      </c>
      <c r="O2223" s="908"/>
      <c r="P2223" s="1065"/>
      <c r="Q2223" s="900" t="str">
        <f>IF(O2223&lt;&gt;0,VLOOKUP(O2223,'Cây trong'!$A$2:$C$246,3,0)," ")</f>
        <v xml:space="preserve"> </v>
      </c>
      <c r="R2223" s="900" t="str">
        <f t="shared" si="487"/>
        <v xml:space="preserve"> </v>
      </c>
      <c r="S2223" s="908"/>
      <c r="T2223" s="944"/>
      <c r="U2223" s="1066"/>
      <c r="V2223" s="922"/>
      <c r="W2223" s="900" t="str">
        <f>IF(S2223&lt;&gt;0,VLOOKUP(S2223,VKT!$A$2:$G$415,7,0),"")</f>
        <v/>
      </c>
      <c r="X2223" s="900" t="str">
        <f t="shared" si="485"/>
        <v xml:space="preserve"> </v>
      </c>
      <c r="Y2223" s="985"/>
      <c r="Z2223" s="922"/>
      <c r="AA2223" s="1067"/>
      <c r="AB2223" s="922"/>
      <c r="AC2223" s="922"/>
      <c r="AD2223" s="922"/>
      <c r="AE2223" s="922"/>
      <c r="AF2223" s="1046"/>
      <c r="AG2223" s="906" t="str">
        <f>IF(AE2223&lt;&gt;0,VLOOKUP(AE2223,ODDS!$A$2:$C$13,3,0),"")</f>
        <v/>
      </c>
      <c r="AH2223" s="906" t="str">
        <f t="shared" si="488"/>
        <v xml:space="preserve"> </v>
      </c>
      <c r="AI2223" s="907" t="str">
        <f t="shared" si="486"/>
        <v xml:space="preserve"> </v>
      </c>
      <c r="AJ2223" s="922"/>
      <c r="AK2223" s="922"/>
    </row>
    <row r="2224" spans="1:39" s="396" customFormat="1" ht="43.5" outlineLevel="1" x14ac:dyDescent="0.25">
      <c r="A2224" s="467" t="s">
        <v>2524</v>
      </c>
      <c r="B2224" s="912">
        <v>186</v>
      </c>
      <c r="C2224" s="942" t="s">
        <v>1478</v>
      </c>
      <c r="D2224" s="1038"/>
      <c r="E2224" s="977"/>
      <c r="F2224" s="977"/>
      <c r="G2224" s="914"/>
      <c r="H2224" s="1039">
        <f>SUBTOTAL(9,H2225:H2239)</f>
        <v>33.1</v>
      </c>
      <c r="I2224" s="915">
        <f>SUBTOTAL(9,I2225:I2230)</f>
        <v>0</v>
      </c>
      <c r="J2224" s="916"/>
      <c r="K2224" s="917"/>
      <c r="L2224" s="917"/>
      <c r="M2224" s="907">
        <f>SUBTOTAL(9,M2225:M2239)</f>
        <v>153146000</v>
      </c>
      <c r="N2224" s="907">
        <f>SUBTOTAL(9,N2225:N2239)</f>
        <v>0</v>
      </c>
      <c r="O2224" s="942"/>
      <c r="P2224" s="1063">
        <f>SUBTOTAL(9,P2225:P2239)</f>
        <v>37</v>
      </c>
      <c r="Q2224" s="907"/>
      <c r="R2224" s="907">
        <f>SUBTOTAL(9,R2225:R2239)</f>
        <v>12984000</v>
      </c>
      <c r="S2224" s="918"/>
      <c r="T2224" s="956"/>
      <c r="U2224" s="1064">
        <f>SUBTOTAL(9,U2225:U2239)</f>
        <v>55.6</v>
      </c>
      <c r="V2224" s="914"/>
      <c r="W2224" s="907"/>
      <c r="X2224" s="907">
        <f>SUBTOTAL(9,X2225:X2239)</f>
        <v>45878000</v>
      </c>
      <c r="Y2224" s="985"/>
      <c r="Z2224" s="922"/>
      <c r="AA2224" s="1067"/>
      <c r="AB2224" s="922"/>
      <c r="AC2224" s="922"/>
      <c r="AD2224" s="922"/>
      <c r="AE2224" s="914"/>
      <c r="AF2224" s="1044">
        <f>SUBTOTAL(9,AF2225:AF2239)</f>
        <v>0</v>
      </c>
      <c r="AG2224" s="921"/>
      <c r="AH2224" s="921">
        <f>SUBTOTAL(9,AH2225:AH2239)</f>
        <v>0</v>
      </c>
      <c r="AI2224" s="907">
        <f t="shared" si="486"/>
        <v>212008000</v>
      </c>
      <c r="AJ2224" s="914"/>
      <c r="AK2224" s="914"/>
      <c r="AM2224" s="470"/>
    </row>
    <row r="2225" spans="1:39" s="396" customFormat="1" ht="180" outlineLevel="2" x14ac:dyDescent="0.3">
      <c r="A2225" s="447">
        <f>IF(B2224&lt;&gt;0,B2224,A2223)</f>
        <v>186</v>
      </c>
      <c r="B2225" s="893"/>
      <c r="C2225" s="908" t="s">
        <v>1481</v>
      </c>
      <c r="D2225" s="1032">
        <v>4</v>
      </c>
      <c r="E2225" s="947">
        <v>86</v>
      </c>
      <c r="F2225" s="947">
        <v>412</v>
      </c>
      <c r="G2225" s="922" t="s">
        <v>2897</v>
      </c>
      <c r="H2225" s="1041">
        <f>13-H2227</f>
        <v>13</v>
      </c>
      <c r="I2225" s="882" t="str">
        <f t="shared" ref="I2225:I2226" si="492">IF(N2225&gt;0,H2225,"")</f>
        <v/>
      </c>
      <c r="J2225" s="898"/>
      <c r="K2225" s="899">
        <f>IF(G2225&lt;&gt;0,VLOOKUP(G2225,'gia dat'!$A$1:$F$144,5,0)," ")</f>
        <v>554400</v>
      </c>
      <c r="L2225" s="899">
        <f>IF(G2225&lt;&gt;0,VLOOKUP(G2225,'gia dat'!$A$1:$F$144,6,0)," ")</f>
        <v>0</v>
      </c>
      <c r="M2225" s="900">
        <f t="shared" si="481"/>
        <v>7207000</v>
      </c>
      <c r="N2225" s="900">
        <f t="shared" si="482"/>
        <v>0</v>
      </c>
      <c r="O2225" s="908" t="s">
        <v>145</v>
      </c>
      <c r="P2225" s="1065">
        <v>1</v>
      </c>
      <c r="Q2225" s="900">
        <f>IF(O2225&lt;&gt;0,VLOOKUP(O2225,'Cây trong'!$A$2:$C$246,3,0)," ")</f>
        <v>4240000</v>
      </c>
      <c r="R2225" s="900">
        <f t="shared" si="487"/>
        <v>4240000</v>
      </c>
      <c r="S2225" s="902" t="s">
        <v>2399</v>
      </c>
      <c r="T2225" s="944" t="s">
        <v>1133</v>
      </c>
      <c r="U2225" s="1066">
        <v>54.6</v>
      </c>
      <c r="V2225" s="922"/>
      <c r="W2225" s="900">
        <f>IF(S2225&lt;&gt;0,VLOOKUP(S2225,VKT!$A$2:$G$415,7,0),"")</f>
        <v>840258</v>
      </c>
      <c r="X2225" s="900">
        <f t="shared" si="485"/>
        <v>45878000</v>
      </c>
      <c r="Y2225" s="985"/>
      <c r="Z2225" s="922"/>
      <c r="AA2225" s="1067"/>
      <c r="AB2225" s="922"/>
      <c r="AC2225" s="922"/>
      <c r="AD2225" s="922"/>
      <c r="AE2225" s="922"/>
      <c r="AF2225" s="1046"/>
      <c r="AG2225" s="906" t="str">
        <f>IF(AE2225&lt;&gt;0,VLOOKUP(AE2225,ODDS!$A$2:$C$13,3,0),"")</f>
        <v/>
      </c>
      <c r="AH2225" s="906"/>
      <c r="AI2225" s="907" t="str">
        <f t="shared" si="486"/>
        <v xml:space="preserve"> </v>
      </c>
      <c r="AJ2225" s="922" t="s">
        <v>1480</v>
      </c>
      <c r="AK2225" s="922" t="s">
        <v>2771</v>
      </c>
      <c r="AM2225" s="395" t="s">
        <v>2161</v>
      </c>
    </row>
    <row r="2226" spans="1:39" s="394" customFormat="1" ht="112.5" outlineLevel="2" x14ac:dyDescent="0.3">
      <c r="A2226" s="447">
        <f t="shared" ref="A2226:A2239" si="493">IF(B2225&lt;&gt;0,B2225,A2225)</f>
        <v>186</v>
      </c>
      <c r="B2226" s="893"/>
      <c r="C2226" s="908" t="s">
        <v>1638</v>
      </c>
      <c r="D2226" s="1032"/>
      <c r="E2226" s="947">
        <v>86</v>
      </c>
      <c r="F2226" s="947">
        <v>412</v>
      </c>
      <c r="G2226" s="922" t="s">
        <v>2049</v>
      </c>
      <c r="H2226" s="1041">
        <v>20.100000000000001</v>
      </c>
      <c r="I2226" s="882" t="str">
        <f t="shared" si="492"/>
        <v/>
      </c>
      <c r="J2226" s="898"/>
      <c r="K2226" s="899">
        <f>IF(G2226&lt;&gt;0,VLOOKUP(G2226,'gia dat'!$A$1:$F$144,5,0)," ")</f>
        <v>7260624</v>
      </c>
      <c r="L2226" s="899">
        <f>IF(G2226&lt;&gt;0,VLOOKUP(G2226,'gia dat'!$A$1:$F$144,6,0)," ")</f>
        <v>0</v>
      </c>
      <c r="M2226" s="900">
        <f t="shared" si="481"/>
        <v>145939000</v>
      </c>
      <c r="N2226" s="900">
        <f t="shared" si="482"/>
        <v>0</v>
      </c>
      <c r="O2226" s="908" t="s">
        <v>1482</v>
      </c>
      <c r="P2226" s="1065">
        <v>5</v>
      </c>
      <c r="Q2226" s="900">
        <f>IF(O2226&lt;&gt;0,VLOOKUP(O2226,'Cây trong'!$A$2:$C$246,3,0)," ")</f>
        <v>202000</v>
      </c>
      <c r="R2226" s="900">
        <f t="shared" si="487"/>
        <v>1010000</v>
      </c>
      <c r="S2226" s="902" t="s">
        <v>2400</v>
      </c>
      <c r="T2226" s="944" t="s">
        <v>93</v>
      </c>
      <c r="U2226" s="1066">
        <v>1</v>
      </c>
      <c r="V2226" s="922"/>
      <c r="W2226" s="900">
        <f>IF(S2226&lt;&gt;0,VLOOKUP(S2226,VKT!$A$2:$G$415,7,0),"")</f>
        <v>0</v>
      </c>
      <c r="X2226" s="900">
        <f t="shared" si="485"/>
        <v>0</v>
      </c>
      <c r="Y2226" s="985"/>
      <c r="Z2226" s="922"/>
      <c r="AA2226" s="1067"/>
      <c r="AB2226" s="922"/>
      <c r="AC2226" s="922"/>
      <c r="AD2226" s="922"/>
      <c r="AE2226" s="922"/>
      <c r="AF2226" s="1046"/>
      <c r="AG2226" s="906" t="str">
        <f>IF(AE2226&lt;&gt;0,VLOOKUP(AE2226,ODDS!$A$2:$C$13,3,0),"")</f>
        <v/>
      </c>
      <c r="AH2226" s="906" t="str">
        <f t="shared" si="488"/>
        <v xml:space="preserve"> </v>
      </c>
      <c r="AI2226" s="907" t="str">
        <f t="shared" si="486"/>
        <v xml:space="preserve"> </v>
      </c>
      <c r="AJ2226" s="922" t="s">
        <v>1484</v>
      </c>
      <c r="AK2226" s="894" t="s">
        <v>2450</v>
      </c>
    </row>
    <row r="2227" spans="1:39" s="394" customFormat="1" ht="112.5" outlineLevel="2" x14ac:dyDescent="0.3">
      <c r="A2227" s="447">
        <f t="shared" si="493"/>
        <v>186</v>
      </c>
      <c r="B2227" s="893"/>
      <c r="C2227" s="908"/>
      <c r="D2227" s="1032"/>
      <c r="E2227" s="947"/>
      <c r="F2227" s="947"/>
      <c r="G2227" s="922"/>
      <c r="H2227" s="1041"/>
      <c r="I2227" s="882"/>
      <c r="J2227" s="898"/>
      <c r="K2227" s="899" t="str">
        <f>IF(G2227&lt;&gt;0,VLOOKUP(G2227,'gia dat'!$A$1:$F$144,5,0)," ")</f>
        <v xml:space="preserve"> </v>
      </c>
      <c r="L2227" s="899" t="str">
        <f>IF(G2227&lt;&gt;0,VLOOKUP(G2227,'gia dat'!$A$1:$F$144,6,0)," ")</f>
        <v xml:space="preserve"> </v>
      </c>
      <c r="M2227" s="900" t="str">
        <f t="shared" si="481"/>
        <v xml:space="preserve"> </v>
      </c>
      <c r="N2227" s="900" t="str">
        <f t="shared" si="482"/>
        <v xml:space="preserve"> </v>
      </c>
      <c r="O2227" s="908" t="s">
        <v>156</v>
      </c>
      <c r="P2227" s="1065">
        <v>3</v>
      </c>
      <c r="Q2227" s="900">
        <f>IF(O2227&lt;&gt;0,VLOOKUP(O2227,'Cây trong'!$A$2:$C$246,3,0)," ")</f>
        <v>288000</v>
      </c>
      <c r="R2227" s="900">
        <f t="shared" si="487"/>
        <v>864000</v>
      </c>
      <c r="S2227" s="902"/>
      <c r="T2227" s="944"/>
      <c r="U2227" s="1066"/>
      <c r="V2227" s="922"/>
      <c r="W2227" s="900" t="str">
        <f>IF(S2227&lt;&gt;0,VLOOKUP(S2227,VKT!$A$2:$G$415,7,0),"")</f>
        <v/>
      </c>
      <c r="X2227" s="900" t="str">
        <f t="shared" si="485"/>
        <v xml:space="preserve"> </v>
      </c>
      <c r="Y2227" s="985"/>
      <c r="Z2227" s="922"/>
      <c r="AA2227" s="1067"/>
      <c r="AB2227" s="922"/>
      <c r="AC2227" s="922"/>
      <c r="AD2227" s="922"/>
      <c r="AE2227" s="922"/>
      <c r="AF2227" s="1046"/>
      <c r="AG2227" s="906" t="str">
        <f>IF(AE2227&lt;&gt;0,VLOOKUP(AE2227,ODDS!$A$2:$C$13,3,0),"")</f>
        <v/>
      </c>
      <c r="AH2227" s="906" t="str">
        <f t="shared" si="488"/>
        <v xml:space="preserve"> </v>
      </c>
      <c r="AI2227" s="907" t="str">
        <f t="shared" si="486"/>
        <v xml:space="preserve"> </v>
      </c>
      <c r="AJ2227" s="922" t="s">
        <v>2244</v>
      </c>
      <c r="AK2227" s="894" t="s">
        <v>2449</v>
      </c>
    </row>
    <row r="2228" spans="1:39" s="394" customFormat="1" ht="22.5" outlineLevel="2" x14ac:dyDescent="0.35">
      <c r="A2228" s="447">
        <f t="shared" si="493"/>
        <v>186</v>
      </c>
      <c r="B2228" s="893"/>
      <c r="C2228" s="908"/>
      <c r="D2228" s="1032"/>
      <c r="E2228" s="947"/>
      <c r="F2228" s="947"/>
      <c r="G2228" s="922"/>
      <c r="H2228" s="1041"/>
      <c r="I2228" s="882"/>
      <c r="J2228" s="898"/>
      <c r="K2228" s="899" t="str">
        <f>IF(G2228&lt;&gt;0,VLOOKUP(G2228,'gia dat'!$A$1:$F$144,5,0)," ")</f>
        <v xml:space="preserve"> </v>
      </c>
      <c r="L2228" s="899" t="str">
        <f>IF(G2228&lt;&gt;0,VLOOKUP(G2228,'gia dat'!$A$1:$F$144,6,0)," ")</f>
        <v xml:space="preserve"> </v>
      </c>
      <c r="M2228" s="900" t="str">
        <f t="shared" si="481"/>
        <v xml:space="preserve"> </v>
      </c>
      <c r="N2228" s="900" t="str">
        <f t="shared" si="482"/>
        <v xml:space="preserve"> </v>
      </c>
      <c r="O2228" s="908" t="s">
        <v>1218</v>
      </c>
      <c r="P2228" s="1065">
        <v>1</v>
      </c>
      <c r="Q2228" s="900">
        <f>IF(O2228&lt;&gt;0,VLOOKUP(O2228,'Cây trong'!$A$2:$C$246,3,0)," ")</f>
        <v>571000</v>
      </c>
      <c r="R2228" s="900">
        <f t="shared" si="487"/>
        <v>571000</v>
      </c>
      <c r="S2228" s="902"/>
      <c r="T2228" s="944"/>
      <c r="U2228" s="1066"/>
      <c r="V2228" s="922"/>
      <c r="W2228" s="900" t="str">
        <f>IF(S2228&lt;&gt;0,VLOOKUP(S2228,VKT!$A$2:$G$415,7,0),"")</f>
        <v/>
      </c>
      <c r="X2228" s="900" t="str">
        <f t="shared" si="485"/>
        <v xml:space="preserve"> </v>
      </c>
      <c r="Y2228" s="985"/>
      <c r="Z2228" s="922"/>
      <c r="AA2228" s="1067"/>
      <c r="AB2228" s="922"/>
      <c r="AC2228" s="922"/>
      <c r="AD2228" s="922"/>
      <c r="AE2228" s="922"/>
      <c r="AF2228" s="1046"/>
      <c r="AG2228" s="906" t="str">
        <f>IF(AE2228&lt;&gt;0,VLOOKUP(AE2228,ODDS!$A$2:$C$13,3,0),"")</f>
        <v/>
      </c>
      <c r="AH2228" s="906" t="str">
        <f t="shared" si="488"/>
        <v xml:space="preserve"> </v>
      </c>
      <c r="AI2228" s="907" t="str">
        <f t="shared" si="486"/>
        <v xml:space="preserve"> </v>
      </c>
      <c r="AJ2228" s="1068"/>
      <c r="AK2228" s="922"/>
    </row>
    <row r="2229" spans="1:39" s="394" customFormat="1" ht="45" outlineLevel="2" x14ac:dyDescent="0.35">
      <c r="A2229" s="447">
        <f t="shared" si="493"/>
        <v>186</v>
      </c>
      <c r="B2229" s="893"/>
      <c r="C2229" s="908"/>
      <c r="D2229" s="1032"/>
      <c r="E2229" s="947"/>
      <c r="F2229" s="947"/>
      <c r="G2229" s="922"/>
      <c r="H2229" s="1041"/>
      <c r="I2229" s="882"/>
      <c r="J2229" s="898"/>
      <c r="K2229" s="899" t="str">
        <f>IF(G2229&lt;&gt;0,VLOOKUP(G2229,'gia dat'!$A$1:$F$144,5,0)," ")</f>
        <v xml:space="preserve"> </v>
      </c>
      <c r="L2229" s="899" t="str">
        <f>IF(G2229&lt;&gt;0,VLOOKUP(G2229,'gia dat'!$A$1:$F$144,6,0)," ")</f>
        <v xml:space="preserve"> </v>
      </c>
      <c r="M2229" s="900" t="str">
        <f t="shared" si="481"/>
        <v xml:space="preserve"> </v>
      </c>
      <c r="N2229" s="900" t="str">
        <f t="shared" si="482"/>
        <v xml:space="preserve"> </v>
      </c>
      <c r="O2229" s="908" t="s">
        <v>1486</v>
      </c>
      <c r="P2229" s="1065">
        <v>2</v>
      </c>
      <c r="Q2229" s="900">
        <f>IF(O2229&lt;&gt;0,VLOOKUP(O2229,'Cây trong'!$A$2:$C$246,3,0)," ")</f>
        <v>293000</v>
      </c>
      <c r="R2229" s="900">
        <f t="shared" si="487"/>
        <v>586000</v>
      </c>
      <c r="S2229" s="902"/>
      <c r="T2229" s="944"/>
      <c r="U2229" s="1066"/>
      <c r="V2229" s="922"/>
      <c r="W2229" s="900" t="str">
        <f>IF(S2229&lt;&gt;0,VLOOKUP(S2229,VKT!$A$2:$G$415,7,0),"")</f>
        <v/>
      </c>
      <c r="X2229" s="900" t="str">
        <f t="shared" si="485"/>
        <v xml:space="preserve"> </v>
      </c>
      <c r="Y2229" s="985"/>
      <c r="Z2229" s="922"/>
      <c r="AA2229" s="1067"/>
      <c r="AB2229" s="922"/>
      <c r="AC2229" s="922"/>
      <c r="AD2229" s="922"/>
      <c r="AE2229" s="922"/>
      <c r="AF2229" s="1046"/>
      <c r="AG2229" s="906" t="str">
        <f>IF(AE2229&lt;&gt;0,VLOOKUP(AE2229,ODDS!$A$2:$C$13,3,0),"")</f>
        <v/>
      </c>
      <c r="AH2229" s="906" t="str">
        <f t="shared" si="488"/>
        <v xml:space="preserve"> </v>
      </c>
      <c r="AI2229" s="907" t="str">
        <f t="shared" si="486"/>
        <v xml:space="preserve"> </v>
      </c>
      <c r="AJ2229" s="1068"/>
      <c r="AK2229" s="908"/>
    </row>
    <row r="2230" spans="1:39" s="394" customFormat="1" ht="22.5" outlineLevel="2" x14ac:dyDescent="0.3">
      <c r="A2230" s="447">
        <f t="shared" si="493"/>
        <v>186</v>
      </c>
      <c r="B2230" s="893"/>
      <c r="C2230" s="908"/>
      <c r="D2230" s="1032"/>
      <c r="E2230" s="947"/>
      <c r="F2230" s="947"/>
      <c r="G2230" s="922"/>
      <c r="H2230" s="1041"/>
      <c r="I2230" s="882"/>
      <c r="J2230" s="898"/>
      <c r="K2230" s="899" t="str">
        <f>IF(G2230&lt;&gt;0,VLOOKUP(G2230,'gia dat'!$A$1:$F$144,5,0)," ")</f>
        <v xml:space="preserve"> </v>
      </c>
      <c r="L2230" s="899" t="str">
        <f>IF(G2230&lt;&gt;0,VLOOKUP(G2230,'gia dat'!$A$1:$F$144,6,0)," ")</f>
        <v xml:space="preserve"> </v>
      </c>
      <c r="M2230" s="900" t="str">
        <f t="shared" si="481"/>
        <v xml:space="preserve"> </v>
      </c>
      <c r="N2230" s="900" t="str">
        <f t="shared" si="482"/>
        <v xml:space="preserve"> </v>
      </c>
      <c r="O2230" s="908" t="s">
        <v>76</v>
      </c>
      <c r="P2230" s="1065">
        <v>3</v>
      </c>
      <c r="Q2230" s="900">
        <f>IF(O2230&lt;&gt;0,VLOOKUP(O2230,'Cây trong'!$A$2:$C$246,3,0)," ")</f>
        <v>45000</v>
      </c>
      <c r="R2230" s="900">
        <f t="shared" si="487"/>
        <v>135000</v>
      </c>
      <c r="S2230" s="902"/>
      <c r="T2230" s="944"/>
      <c r="U2230" s="1066"/>
      <c r="V2230" s="922"/>
      <c r="W2230" s="900" t="str">
        <f>IF(S2230&lt;&gt;0,VLOOKUP(S2230,VKT!$A$2:$G$415,7,0),"")</f>
        <v/>
      </c>
      <c r="X2230" s="900" t="str">
        <f t="shared" si="485"/>
        <v xml:space="preserve"> </v>
      </c>
      <c r="Y2230" s="985"/>
      <c r="Z2230" s="922"/>
      <c r="AA2230" s="1067"/>
      <c r="AB2230" s="922"/>
      <c r="AC2230" s="922"/>
      <c r="AD2230" s="922"/>
      <c r="AE2230" s="922"/>
      <c r="AF2230" s="1046"/>
      <c r="AG2230" s="906" t="str">
        <f>IF(AE2230&lt;&gt;0,VLOOKUP(AE2230,ODDS!$A$2:$C$13,3,0),"")</f>
        <v/>
      </c>
      <c r="AH2230" s="906" t="str">
        <f t="shared" si="488"/>
        <v xml:space="preserve"> </v>
      </c>
      <c r="AI2230" s="907" t="str">
        <f t="shared" si="486"/>
        <v xml:space="preserve"> </v>
      </c>
      <c r="AJ2230" s="894"/>
      <c r="AK2230" s="894"/>
    </row>
    <row r="2231" spans="1:39" s="394" customFormat="1" ht="45" outlineLevel="2" x14ac:dyDescent="0.3">
      <c r="A2231" s="447">
        <f t="shared" si="493"/>
        <v>186</v>
      </c>
      <c r="B2231" s="893"/>
      <c r="C2231" s="908"/>
      <c r="D2231" s="1032"/>
      <c r="E2231" s="947"/>
      <c r="F2231" s="947"/>
      <c r="G2231" s="922"/>
      <c r="H2231" s="1041"/>
      <c r="I2231" s="882"/>
      <c r="J2231" s="898"/>
      <c r="K2231" s="899" t="str">
        <f>IF(G2231&lt;&gt;0,VLOOKUP(G2231,'gia dat'!$A$1:$F$144,5,0)," ")</f>
        <v xml:space="preserve"> </v>
      </c>
      <c r="L2231" s="899" t="str">
        <f>IF(G2231&lt;&gt;0,VLOOKUP(G2231,'gia dat'!$A$1:$F$144,6,0)," ")</f>
        <v xml:space="preserve"> </v>
      </c>
      <c r="M2231" s="900" t="str">
        <f t="shared" si="481"/>
        <v xml:space="preserve"> </v>
      </c>
      <c r="N2231" s="900" t="str">
        <f t="shared" si="482"/>
        <v xml:space="preserve"> </v>
      </c>
      <c r="O2231" s="908" t="s">
        <v>147</v>
      </c>
      <c r="P2231" s="1065">
        <v>2</v>
      </c>
      <c r="Q2231" s="900">
        <f>IF(O2231&lt;&gt;0,VLOOKUP(O2231,'Cây trong'!$A$2:$C$246,3,0)," ")</f>
        <v>979000</v>
      </c>
      <c r="R2231" s="900">
        <f t="shared" si="487"/>
        <v>1958000</v>
      </c>
      <c r="S2231" s="902"/>
      <c r="T2231" s="944"/>
      <c r="U2231" s="1066"/>
      <c r="V2231" s="922"/>
      <c r="W2231" s="900" t="str">
        <f>IF(S2231&lt;&gt;0,VLOOKUP(S2231,VKT!$A$2:$G$415,7,0),"")</f>
        <v/>
      </c>
      <c r="X2231" s="900" t="str">
        <f t="shared" si="485"/>
        <v xml:space="preserve"> </v>
      </c>
      <c r="Y2231" s="985"/>
      <c r="Z2231" s="922"/>
      <c r="AA2231" s="1067"/>
      <c r="AB2231" s="922"/>
      <c r="AC2231" s="922"/>
      <c r="AD2231" s="922"/>
      <c r="AE2231" s="922"/>
      <c r="AF2231" s="1046"/>
      <c r="AG2231" s="906" t="str">
        <f>IF(AE2231&lt;&gt;0,VLOOKUP(AE2231,ODDS!$A$2:$C$13,3,0),"")</f>
        <v/>
      </c>
      <c r="AH2231" s="906" t="str">
        <f t="shared" si="488"/>
        <v xml:space="preserve"> </v>
      </c>
      <c r="AI2231" s="907" t="str">
        <f t="shared" si="486"/>
        <v xml:space="preserve"> </v>
      </c>
      <c r="AJ2231" s="922"/>
      <c r="AK2231" s="922"/>
    </row>
    <row r="2232" spans="1:39" s="394" customFormat="1" ht="22.5" outlineLevel="2" x14ac:dyDescent="0.3">
      <c r="A2232" s="447">
        <f t="shared" si="493"/>
        <v>186</v>
      </c>
      <c r="B2232" s="893"/>
      <c r="C2232" s="908"/>
      <c r="D2232" s="1032"/>
      <c r="E2232" s="947"/>
      <c r="F2232" s="947"/>
      <c r="G2232" s="922"/>
      <c r="H2232" s="1041"/>
      <c r="I2232" s="882"/>
      <c r="J2232" s="898"/>
      <c r="K2232" s="899" t="str">
        <f>IF(G2232&lt;&gt;0,VLOOKUP(G2232,'gia dat'!$A$1:$F$144,5,0)," ")</f>
        <v xml:space="preserve"> </v>
      </c>
      <c r="L2232" s="899" t="str">
        <f>IF(G2232&lt;&gt;0,VLOOKUP(G2232,'gia dat'!$A$1:$F$144,6,0)," ")</f>
        <v xml:space="preserve"> </v>
      </c>
      <c r="M2232" s="900" t="str">
        <f t="shared" si="481"/>
        <v xml:space="preserve"> </v>
      </c>
      <c r="N2232" s="900" t="str">
        <f t="shared" si="482"/>
        <v xml:space="preserve"> </v>
      </c>
      <c r="O2232" s="908" t="s">
        <v>165</v>
      </c>
      <c r="P2232" s="1065">
        <v>1</v>
      </c>
      <c r="Q2232" s="900">
        <f>IF(O2232&lt;&gt;0,VLOOKUP(O2232,'Cây trong'!$A$2:$C$246,3,0)," ")</f>
        <v>180000</v>
      </c>
      <c r="R2232" s="900">
        <f t="shared" si="487"/>
        <v>180000</v>
      </c>
      <c r="S2232" s="902"/>
      <c r="T2232" s="944"/>
      <c r="U2232" s="1066"/>
      <c r="V2232" s="922"/>
      <c r="W2232" s="900" t="str">
        <f>IF(S2232&lt;&gt;0,VLOOKUP(S2232,VKT!$A$2:$G$415,7,0),"")</f>
        <v/>
      </c>
      <c r="X2232" s="900" t="str">
        <f t="shared" si="485"/>
        <v xml:space="preserve"> </v>
      </c>
      <c r="Y2232" s="985"/>
      <c r="Z2232" s="922"/>
      <c r="AA2232" s="1067"/>
      <c r="AB2232" s="922"/>
      <c r="AC2232" s="922"/>
      <c r="AD2232" s="922"/>
      <c r="AE2232" s="922"/>
      <c r="AF2232" s="1046"/>
      <c r="AG2232" s="906" t="str">
        <f>IF(AE2232&lt;&gt;0,VLOOKUP(AE2232,ODDS!$A$2:$C$13,3,0),"")</f>
        <v/>
      </c>
      <c r="AH2232" s="906" t="str">
        <f t="shared" si="488"/>
        <v xml:space="preserve"> </v>
      </c>
      <c r="AI2232" s="907" t="str">
        <f t="shared" si="486"/>
        <v xml:space="preserve"> </v>
      </c>
      <c r="AJ2232" s="922"/>
      <c r="AK2232" s="922"/>
    </row>
    <row r="2233" spans="1:39" s="394" customFormat="1" ht="45" outlineLevel="2" x14ac:dyDescent="0.3">
      <c r="A2233" s="447">
        <f t="shared" si="493"/>
        <v>186</v>
      </c>
      <c r="B2233" s="893"/>
      <c r="C2233" s="908"/>
      <c r="D2233" s="1032"/>
      <c r="E2233" s="947"/>
      <c r="F2233" s="947"/>
      <c r="G2233" s="922"/>
      <c r="H2233" s="1041"/>
      <c r="I2233" s="882"/>
      <c r="J2233" s="898"/>
      <c r="K2233" s="899" t="str">
        <f>IF(G2233&lt;&gt;0,VLOOKUP(G2233,'gia dat'!$A$1:$F$144,5,0)," ")</f>
        <v xml:space="preserve"> </v>
      </c>
      <c r="L2233" s="899" t="str">
        <f>IF(G2233&lt;&gt;0,VLOOKUP(G2233,'gia dat'!$A$1:$F$144,6,0)," ")</f>
        <v xml:space="preserve"> </v>
      </c>
      <c r="M2233" s="900" t="str">
        <f t="shared" si="481"/>
        <v xml:space="preserve"> </v>
      </c>
      <c r="N2233" s="900" t="str">
        <f t="shared" si="482"/>
        <v xml:space="preserve"> </v>
      </c>
      <c r="O2233" s="908" t="s">
        <v>1487</v>
      </c>
      <c r="P2233" s="1065">
        <v>1</v>
      </c>
      <c r="Q2233" s="900">
        <f>IF(O2233&lt;&gt;0,VLOOKUP(O2233,'Cây trong'!$A$2:$C$246,3,0)," ")</f>
        <v>80000</v>
      </c>
      <c r="R2233" s="900">
        <f t="shared" si="487"/>
        <v>80000</v>
      </c>
      <c r="S2233" s="902"/>
      <c r="T2233" s="944"/>
      <c r="U2233" s="1066"/>
      <c r="V2233" s="922"/>
      <c r="W2233" s="900" t="str">
        <f>IF(S2233&lt;&gt;0,VLOOKUP(S2233,VKT!$A$2:$G$415,7,0),"")</f>
        <v/>
      </c>
      <c r="X2233" s="900" t="str">
        <f t="shared" si="485"/>
        <v xml:space="preserve"> </v>
      </c>
      <c r="Y2233" s="985"/>
      <c r="Z2233" s="922"/>
      <c r="AA2233" s="1067"/>
      <c r="AB2233" s="922"/>
      <c r="AC2233" s="922"/>
      <c r="AD2233" s="922"/>
      <c r="AE2233" s="922"/>
      <c r="AF2233" s="1046"/>
      <c r="AG2233" s="906" t="str">
        <f>IF(AE2233&lt;&gt;0,VLOOKUP(AE2233,ODDS!$A$2:$C$13,3,0),"")</f>
        <v/>
      </c>
      <c r="AH2233" s="906" t="str">
        <f t="shared" si="488"/>
        <v xml:space="preserve"> </v>
      </c>
      <c r="AI2233" s="907" t="str">
        <f t="shared" si="486"/>
        <v xml:space="preserve"> </v>
      </c>
      <c r="AJ2233" s="922"/>
      <c r="AK2233" s="922"/>
    </row>
    <row r="2234" spans="1:39" s="394" customFormat="1" ht="45" outlineLevel="2" x14ac:dyDescent="0.3">
      <c r="A2234" s="447">
        <f t="shared" si="493"/>
        <v>186</v>
      </c>
      <c r="B2234" s="893"/>
      <c r="C2234" s="908"/>
      <c r="D2234" s="1032"/>
      <c r="E2234" s="947"/>
      <c r="F2234" s="947"/>
      <c r="G2234" s="922"/>
      <c r="H2234" s="1041"/>
      <c r="I2234" s="882"/>
      <c r="J2234" s="898"/>
      <c r="K2234" s="899" t="str">
        <f>IF(G2234&lt;&gt;0,VLOOKUP(G2234,'gia dat'!$A$1:$F$144,5,0)," ")</f>
        <v xml:space="preserve"> </v>
      </c>
      <c r="L2234" s="899" t="str">
        <f>IF(G2234&lt;&gt;0,VLOOKUP(G2234,'gia dat'!$A$1:$F$144,6,0)," ")</f>
        <v xml:space="preserve"> </v>
      </c>
      <c r="M2234" s="900" t="str">
        <f t="shared" si="481"/>
        <v xml:space="preserve"> </v>
      </c>
      <c r="N2234" s="900" t="str">
        <f t="shared" si="482"/>
        <v xml:space="preserve"> </v>
      </c>
      <c r="O2234" s="908" t="s">
        <v>1488</v>
      </c>
      <c r="P2234" s="1065">
        <v>2</v>
      </c>
      <c r="Q2234" s="900">
        <f>IF(O2234&lt;&gt;0,VLOOKUP(O2234,'Cây trong'!$A$2:$C$246,3,0)," ")</f>
        <v>390000</v>
      </c>
      <c r="R2234" s="900">
        <f t="shared" si="487"/>
        <v>780000</v>
      </c>
      <c r="S2234" s="902"/>
      <c r="T2234" s="944"/>
      <c r="U2234" s="1066"/>
      <c r="V2234" s="922"/>
      <c r="W2234" s="900" t="str">
        <f>IF(S2234&lt;&gt;0,VLOOKUP(S2234,VKT!$A$2:$G$415,7,0),"")</f>
        <v/>
      </c>
      <c r="X2234" s="900" t="str">
        <f t="shared" si="485"/>
        <v xml:space="preserve"> </v>
      </c>
      <c r="Y2234" s="985"/>
      <c r="Z2234" s="922"/>
      <c r="AA2234" s="1067"/>
      <c r="AB2234" s="922"/>
      <c r="AC2234" s="922"/>
      <c r="AD2234" s="922"/>
      <c r="AE2234" s="922"/>
      <c r="AF2234" s="1046"/>
      <c r="AG2234" s="906" t="str">
        <f>IF(AE2234&lt;&gt;0,VLOOKUP(AE2234,ODDS!$A$2:$C$13,3,0),"")</f>
        <v/>
      </c>
      <c r="AH2234" s="906" t="str">
        <f t="shared" si="488"/>
        <v xml:space="preserve"> </v>
      </c>
      <c r="AI2234" s="907" t="str">
        <f t="shared" si="486"/>
        <v xml:space="preserve"> </v>
      </c>
      <c r="AJ2234" s="922"/>
      <c r="AK2234" s="922"/>
    </row>
    <row r="2235" spans="1:39" s="394" customFormat="1" ht="22.5" outlineLevel="2" x14ac:dyDescent="0.3">
      <c r="A2235" s="447">
        <f t="shared" si="493"/>
        <v>186</v>
      </c>
      <c r="B2235" s="893"/>
      <c r="C2235" s="908"/>
      <c r="D2235" s="1032"/>
      <c r="E2235" s="947"/>
      <c r="F2235" s="947"/>
      <c r="G2235" s="922"/>
      <c r="H2235" s="1041"/>
      <c r="I2235" s="882"/>
      <c r="J2235" s="898"/>
      <c r="K2235" s="899" t="str">
        <f>IF(G2235&lt;&gt;0,VLOOKUP(G2235,'gia dat'!$A$1:$F$144,5,0)," ")</f>
        <v xml:space="preserve"> </v>
      </c>
      <c r="L2235" s="899" t="str">
        <f>IF(G2235&lt;&gt;0,VLOOKUP(G2235,'gia dat'!$A$1:$F$144,6,0)," ")</f>
        <v xml:space="preserve"> </v>
      </c>
      <c r="M2235" s="900" t="str">
        <f t="shared" si="481"/>
        <v xml:space="preserve"> </v>
      </c>
      <c r="N2235" s="900" t="str">
        <f t="shared" si="482"/>
        <v xml:space="preserve"> </v>
      </c>
      <c r="O2235" s="908" t="s">
        <v>1489</v>
      </c>
      <c r="P2235" s="1065">
        <v>1</v>
      </c>
      <c r="Q2235" s="900">
        <f>IF(O2235&lt;&gt;0,VLOOKUP(O2235,'Cây trong'!$A$2:$C$246,3,0)," ")</f>
        <v>2400000</v>
      </c>
      <c r="R2235" s="900">
        <f t="shared" si="487"/>
        <v>2400000</v>
      </c>
      <c r="S2235" s="902"/>
      <c r="T2235" s="944"/>
      <c r="U2235" s="1066"/>
      <c r="V2235" s="922"/>
      <c r="W2235" s="900" t="str">
        <f>IF(S2235&lt;&gt;0,VLOOKUP(S2235,VKT!$A$2:$G$415,7,0),"")</f>
        <v/>
      </c>
      <c r="X2235" s="900" t="str">
        <f t="shared" si="485"/>
        <v xml:space="preserve"> </v>
      </c>
      <c r="Y2235" s="985"/>
      <c r="Z2235" s="922"/>
      <c r="AA2235" s="1067"/>
      <c r="AB2235" s="922"/>
      <c r="AC2235" s="922"/>
      <c r="AD2235" s="922"/>
      <c r="AE2235" s="922"/>
      <c r="AF2235" s="1046"/>
      <c r="AG2235" s="906" t="str">
        <f>IF(AE2235&lt;&gt;0,VLOOKUP(AE2235,ODDS!$A$2:$C$13,3,0),"")</f>
        <v/>
      </c>
      <c r="AH2235" s="906" t="str">
        <f t="shared" si="488"/>
        <v xml:space="preserve"> </v>
      </c>
      <c r="AI2235" s="907" t="str">
        <f t="shared" si="486"/>
        <v xml:space="preserve"> </v>
      </c>
      <c r="AJ2235" s="922"/>
      <c r="AK2235" s="922"/>
    </row>
    <row r="2236" spans="1:39" s="394" customFormat="1" ht="90" outlineLevel="2" x14ac:dyDescent="0.3">
      <c r="A2236" s="447">
        <f t="shared" si="493"/>
        <v>186</v>
      </c>
      <c r="B2236" s="893"/>
      <c r="C2236" s="908"/>
      <c r="D2236" s="1032"/>
      <c r="E2236" s="947"/>
      <c r="F2236" s="947"/>
      <c r="G2236" s="922"/>
      <c r="H2236" s="1041"/>
      <c r="I2236" s="882"/>
      <c r="J2236" s="894"/>
      <c r="K2236" s="899" t="str">
        <f>IF(G2236&lt;&gt;0,VLOOKUP(G2236,'gia dat'!$A$1:$F$144,5,0)," ")</f>
        <v xml:space="preserve"> </v>
      </c>
      <c r="L2236" s="899" t="str">
        <f>IF(G2236&lt;&gt;0,VLOOKUP(G2236,'gia dat'!$A$1:$F$144,6,0)," ")</f>
        <v xml:space="preserve"> </v>
      </c>
      <c r="M2236" s="900" t="str">
        <f t="shared" si="481"/>
        <v xml:space="preserve"> </v>
      </c>
      <c r="N2236" s="900" t="str">
        <f t="shared" si="482"/>
        <v xml:space="preserve"> </v>
      </c>
      <c r="O2236" s="901" t="s">
        <v>429</v>
      </c>
      <c r="P2236" s="1065">
        <v>15</v>
      </c>
      <c r="Q2236" s="900">
        <f>IF(O2236&lt;&gt;0,VLOOKUP(O2236,'Cây trong'!$A$2:$C$246,3,0)," ")</f>
        <v>12000</v>
      </c>
      <c r="R2236" s="900">
        <f t="shared" si="487"/>
        <v>180000</v>
      </c>
      <c r="S2236" s="908"/>
      <c r="T2236" s="944"/>
      <c r="U2236" s="1066"/>
      <c r="V2236" s="922"/>
      <c r="W2236" s="900" t="str">
        <f>IF(S2236&lt;&gt;0,VLOOKUP(S2236,VKT!$A$2:$G$415,7,0),"")</f>
        <v/>
      </c>
      <c r="X2236" s="900" t="str">
        <f t="shared" si="485"/>
        <v xml:space="preserve"> </v>
      </c>
      <c r="Y2236" s="985"/>
      <c r="Z2236" s="922"/>
      <c r="AA2236" s="1067"/>
      <c r="AB2236" s="922"/>
      <c r="AC2236" s="922"/>
      <c r="AD2236" s="922"/>
      <c r="AE2236" s="922"/>
      <c r="AF2236" s="1046"/>
      <c r="AG2236" s="906" t="str">
        <f>IF(AE2236&lt;&gt;0,VLOOKUP(AE2236,ODDS!$A$2:$C$13,3,0),"")</f>
        <v/>
      </c>
      <c r="AH2236" s="906" t="str">
        <f t="shared" si="488"/>
        <v xml:space="preserve"> </v>
      </c>
      <c r="AI2236" s="907" t="str">
        <f t="shared" si="486"/>
        <v xml:space="preserve"> </v>
      </c>
      <c r="AJ2236" s="922"/>
      <c r="AK2236" s="922"/>
    </row>
    <row r="2237" spans="1:39" s="394" customFormat="1" ht="22.5" outlineLevel="2" x14ac:dyDescent="0.3">
      <c r="A2237" s="447">
        <f t="shared" si="493"/>
        <v>186</v>
      </c>
      <c r="B2237" s="893"/>
      <c r="C2237" s="908"/>
      <c r="D2237" s="1032"/>
      <c r="E2237" s="947"/>
      <c r="F2237" s="947"/>
      <c r="G2237" s="922"/>
      <c r="H2237" s="1041"/>
      <c r="I2237" s="882"/>
      <c r="J2237" s="894"/>
      <c r="K2237" s="899" t="str">
        <f>IF(G2237&lt;&gt;0,VLOOKUP(G2237,'gia dat'!$A$1:$F$144,5,0)," ")</f>
        <v xml:space="preserve"> </v>
      </c>
      <c r="L2237" s="899" t="str">
        <f>IF(G2237&lt;&gt;0,VLOOKUP(G2237,'gia dat'!$A$1:$F$144,6,0)," ")</f>
        <v xml:space="preserve"> </v>
      </c>
      <c r="M2237" s="900" t="str">
        <f t="shared" si="481"/>
        <v xml:space="preserve"> </v>
      </c>
      <c r="N2237" s="900" t="str">
        <f t="shared" si="482"/>
        <v xml:space="preserve"> </v>
      </c>
      <c r="O2237" s="908"/>
      <c r="P2237" s="1065"/>
      <c r="Q2237" s="900" t="str">
        <f>IF(O2237&lt;&gt;0,VLOOKUP(O2237,'Cây trong'!$A$2:$C$246,3,0)," ")</f>
        <v xml:space="preserve"> </v>
      </c>
      <c r="R2237" s="900" t="str">
        <f t="shared" si="487"/>
        <v xml:space="preserve"> </v>
      </c>
      <c r="S2237" s="908"/>
      <c r="T2237" s="944"/>
      <c r="U2237" s="1066"/>
      <c r="V2237" s="922"/>
      <c r="W2237" s="900" t="str">
        <f>IF(S2237&lt;&gt;0,VLOOKUP(S2237,VKT!$A$2:$G$415,7,0),"")</f>
        <v/>
      </c>
      <c r="X2237" s="900" t="str">
        <f t="shared" si="485"/>
        <v xml:space="preserve"> </v>
      </c>
      <c r="Y2237" s="985"/>
      <c r="Z2237" s="922"/>
      <c r="AA2237" s="1067"/>
      <c r="AB2237" s="922"/>
      <c r="AC2237" s="922"/>
      <c r="AD2237" s="922"/>
      <c r="AE2237" s="922"/>
      <c r="AF2237" s="1046"/>
      <c r="AG2237" s="906" t="str">
        <f>IF(AE2237&lt;&gt;0,VLOOKUP(AE2237,ODDS!$A$2:$C$13,3,0),"")</f>
        <v/>
      </c>
      <c r="AH2237" s="906" t="str">
        <f t="shared" si="488"/>
        <v xml:space="preserve"> </v>
      </c>
      <c r="AI2237" s="907" t="str">
        <f t="shared" si="486"/>
        <v xml:space="preserve"> </v>
      </c>
      <c r="AJ2237" s="922"/>
      <c r="AK2237" s="922"/>
    </row>
    <row r="2238" spans="1:39" s="394" customFormat="1" ht="22.5" outlineLevel="2" x14ac:dyDescent="0.3">
      <c r="A2238" s="447">
        <f t="shared" si="493"/>
        <v>186</v>
      </c>
      <c r="B2238" s="893"/>
      <c r="C2238" s="908"/>
      <c r="D2238" s="1032"/>
      <c r="E2238" s="947"/>
      <c r="F2238" s="947"/>
      <c r="G2238" s="922"/>
      <c r="H2238" s="1041"/>
      <c r="I2238" s="882"/>
      <c r="J2238" s="894"/>
      <c r="K2238" s="899" t="str">
        <f>IF(G2238&lt;&gt;0,VLOOKUP(G2238,'gia dat'!$A$1:$F$144,5,0)," ")</f>
        <v xml:space="preserve"> </v>
      </c>
      <c r="L2238" s="899" t="str">
        <f>IF(G2238&lt;&gt;0,VLOOKUP(G2238,'gia dat'!$A$1:$F$144,6,0)," ")</f>
        <v xml:space="preserve"> </v>
      </c>
      <c r="M2238" s="900" t="str">
        <f t="shared" si="481"/>
        <v xml:space="preserve"> </v>
      </c>
      <c r="N2238" s="900" t="str">
        <f t="shared" si="482"/>
        <v xml:space="preserve"> </v>
      </c>
      <c r="O2238" s="908"/>
      <c r="P2238" s="1065"/>
      <c r="Q2238" s="900" t="str">
        <f>IF(O2238&lt;&gt;0,VLOOKUP(O2238,'Cây trong'!$A$2:$C$246,3,0)," ")</f>
        <v xml:space="preserve"> </v>
      </c>
      <c r="R2238" s="900" t="str">
        <f t="shared" si="487"/>
        <v xml:space="preserve"> </v>
      </c>
      <c r="S2238" s="908"/>
      <c r="T2238" s="944"/>
      <c r="U2238" s="1066"/>
      <c r="V2238" s="922"/>
      <c r="W2238" s="900" t="str">
        <f>IF(S2238&lt;&gt;0,VLOOKUP(S2238,VKT!$A$2:$G$415,7,0),"")</f>
        <v/>
      </c>
      <c r="X2238" s="900" t="str">
        <f t="shared" si="485"/>
        <v xml:space="preserve"> </v>
      </c>
      <c r="Y2238" s="985"/>
      <c r="Z2238" s="922"/>
      <c r="AA2238" s="1067"/>
      <c r="AB2238" s="922"/>
      <c r="AC2238" s="922"/>
      <c r="AD2238" s="922"/>
      <c r="AE2238" s="922"/>
      <c r="AF2238" s="1046"/>
      <c r="AG2238" s="906" t="str">
        <f>IF(AE2238&lt;&gt;0,VLOOKUP(AE2238,ODDS!$A$2:$C$13,3,0),"")</f>
        <v/>
      </c>
      <c r="AH2238" s="906" t="str">
        <f t="shared" si="488"/>
        <v xml:space="preserve"> </v>
      </c>
      <c r="AI2238" s="907" t="str">
        <f t="shared" si="486"/>
        <v xml:space="preserve"> </v>
      </c>
      <c r="AJ2238" s="922"/>
      <c r="AK2238" s="922"/>
    </row>
    <row r="2239" spans="1:39" s="394" customFormat="1" ht="22.5" outlineLevel="2" x14ac:dyDescent="0.3">
      <c r="A2239" s="447">
        <f t="shared" si="493"/>
        <v>186</v>
      </c>
      <c r="B2239" s="893"/>
      <c r="C2239" s="942"/>
      <c r="D2239" s="1032"/>
      <c r="E2239" s="947"/>
      <c r="F2239" s="947"/>
      <c r="G2239" s="922"/>
      <c r="H2239" s="1041"/>
      <c r="I2239" s="882"/>
      <c r="J2239" s="894"/>
      <c r="K2239" s="899" t="str">
        <f>IF(G2239&lt;&gt;0,VLOOKUP(G2239,'gia dat'!$A$1:$F$144,5,0)," ")</f>
        <v xml:space="preserve"> </v>
      </c>
      <c r="L2239" s="899" t="str">
        <f>IF(G2239&lt;&gt;0,VLOOKUP(G2239,'gia dat'!$A$1:$F$144,6,0)," ")</f>
        <v xml:space="preserve"> </v>
      </c>
      <c r="M2239" s="900" t="str">
        <f t="shared" si="481"/>
        <v xml:space="preserve"> </v>
      </c>
      <c r="N2239" s="900" t="str">
        <f t="shared" si="482"/>
        <v xml:space="preserve"> </v>
      </c>
      <c r="O2239" s="908"/>
      <c r="P2239" s="1065"/>
      <c r="Q2239" s="900" t="str">
        <f>IF(O2239&lt;&gt;0,VLOOKUP(O2239,'Cây trong'!$A$2:$C$246,3,0)," ")</f>
        <v xml:space="preserve"> </v>
      </c>
      <c r="R2239" s="900" t="str">
        <f t="shared" si="487"/>
        <v xml:space="preserve"> </v>
      </c>
      <c r="S2239" s="908"/>
      <c r="T2239" s="944"/>
      <c r="U2239" s="1066"/>
      <c r="V2239" s="922"/>
      <c r="W2239" s="900" t="str">
        <f>IF(S2239&lt;&gt;0,VLOOKUP(S2239,VKT!$A$2:$G$415,7,0),"")</f>
        <v/>
      </c>
      <c r="X2239" s="900" t="str">
        <f t="shared" si="485"/>
        <v xml:space="preserve"> </v>
      </c>
      <c r="Y2239" s="985"/>
      <c r="Z2239" s="922"/>
      <c r="AA2239" s="1067"/>
      <c r="AB2239" s="922"/>
      <c r="AC2239" s="922"/>
      <c r="AD2239" s="922"/>
      <c r="AE2239" s="922"/>
      <c r="AF2239" s="1046"/>
      <c r="AG2239" s="906" t="str">
        <f>IF(AE2239&lt;&gt;0,VLOOKUP(AE2239,ODDS!$A$2:$C$13,3,0),"")</f>
        <v/>
      </c>
      <c r="AH2239" s="906" t="str">
        <f t="shared" si="488"/>
        <v xml:space="preserve"> </v>
      </c>
      <c r="AI2239" s="907" t="str">
        <f t="shared" si="486"/>
        <v xml:space="preserve"> </v>
      </c>
      <c r="AJ2239" s="922"/>
      <c r="AK2239" s="922"/>
    </row>
    <row r="2240" spans="1:39" s="396" customFormat="1" ht="43.5" outlineLevel="1" x14ac:dyDescent="0.25">
      <c r="A2240" s="467" t="s">
        <v>2523</v>
      </c>
      <c r="B2240" s="912">
        <v>187</v>
      </c>
      <c r="C2240" s="942" t="s">
        <v>1490</v>
      </c>
      <c r="D2240" s="1038"/>
      <c r="E2240" s="977"/>
      <c r="F2240" s="977"/>
      <c r="G2240" s="914"/>
      <c r="H2240" s="1039">
        <f>SUBTOTAL(9,H2241:H2249)</f>
        <v>9.6</v>
      </c>
      <c r="I2240" s="915">
        <f>SUBTOTAL(9,I2241:I2246)</f>
        <v>9.6</v>
      </c>
      <c r="J2240" s="916"/>
      <c r="K2240" s="917"/>
      <c r="L2240" s="917"/>
      <c r="M2240" s="907">
        <f>SUBTOTAL(9,M2241:M2249)</f>
        <v>5322000</v>
      </c>
      <c r="N2240" s="907">
        <f>SUBTOTAL(9,N2241:N2249)</f>
        <v>15967000</v>
      </c>
      <c r="O2240" s="942"/>
      <c r="P2240" s="1063">
        <f>SUBTOTAL(9,P2241:P2249)</f>
        <v>0</v>
      </c>
      <c r="Q2240" s="907"/>
      <c r="R2240" s="907">
        <f>SUBTOTAL(9,R2241:R2249)</f>
        <v>0</v>
      </c>
      <c r="S2240" s="918"/>
      <c r="T2240" s="956"/>
      <c r="U2240" s="1064">
        <f>SUBTOTAL(9,U2241:U2249)</f>
        <v>0</v>
      </c>
      <c r="V2240" s="914"/>
      <c r="W2240" s="907"/>
      <c r="X2240" s="907">
        <f>SUBTOTAL(9,X2241:X2249)</f>
        <v>0</v>
      </c>
      <c r="Y2240" s="985"/>
      <c r="Z2240" s="922"/>
      <c r="AA2240" s="1067"/>
      <c r="AB2240" s="922"/>
      <c r="AC2240" s="922"/>
      <c r="AD2240" s="922"/>
      <c r="AE2240" s="914"/>
      <c r="AF2240" s="1044">
        <f>SUBTOTAL(9,AF2241:AF2249)</f>
        <v>0</v>
      </c>
      <c r="AG2240" s="921"/>
      <c r="AH2240" s="921">
        <f>SUBTOTAL(9,AH2241:AH2249)</f>
        <v>0</v>
      </c>
      <c r="AI2240" s="907">
        <f t="shared" si="486"/>
        <v>21289000</v>
      </c>
      <c r="AJ2240" s="914"/>
      <c r="AK2240" s="914"/>
    </row>
    <row r="2241" spans="1:38" s="396" customFormat="1" ht="135" outlineLevel="2" x14ac:dyDescent="0.3">
      <c r="A2241" s="447">
        <f>IF(B2240&lt;&gt;0,B2240,A2239)</f>
        <v>187</v>
      </c>
      <c r="B2241" s="893"/>
      <c r="C2241" s="908" t="s">
        <v>1492</v>
      </c>
      <c r="D2241" s="1032">
        <v>4</v>
      </c>
      <c r="E2241" s="947">
        <v>86</v>
      </c>
      <c r="F2241" s="947">
        <v>260</v>
      </c>
      <c r="G2241" s="922" t="s">
        <v>2896</v>
      </c>
      <c r="H2241" s="1041">
        <v>9.6</v>
      </c>
      <c r="I2241" s="882">
        <f t="shared" ref="I2241" si="494">IF(N2241&gt;0,H2241,"")</f>
        <v>9.6</v>
      </c>
      <c r="J2241" s="898"/>
      <c r="K2241" s="899">
        <f>IF(G2241&lt;&gt;0,VLOOKUP(G2241,'gia dat'!$A$1:$F$144,5,0)," ")</f>
        <v>554400</v>
      </c>
      <c r="L2241" s="899">
        <f>IF(G2241&lt;&gt;0,VLOOKUP(G2241,'gia dat'!$A$1:$F$144,6,0)," ")</f>
        <v>1663200</v>
      </c>
      <c r="M2241" s="900">
        <f t="shared" si="481"/>
        <v>5322000</v>
      </c>
      <c r="N2241" s="900">
        <f t="shared" si="482"/>
        <v>15967000</v>
      </c>
      <c r="O2241" s="908"/>
      <c r="P2241" s="1065"/>
      <c r="Q2241" s="900" t="str">
        <f>IF(O2241&lt;&gt;0,VLOOKUP(O2241,'Cây trong'!$A$2:$C$246,3,0)," ")</f>
        <v xml:space="preserve"> </v>
      </c>
      <c r="R2241" s="900" t="str">
        <f t="shared" si="487"/>
        <v xml:space="preserve"> </v>
      </c>
      <c r="S2241" s="902"/>
      <c r="T2241" s="944"/>
      <c r="U2241" s="1066"/>
      <c r="V2241" s="922"/>
      <c r="W2241" s="900" t="str">
        <f>IF(S2241&lt;&gt;0,VLOOKUP(S2241,VKT!$A$2:$G$415,7,0),"")</f>
        <v/>
      </c>
      <c r="X2241" s="900" t="str">
        <f t="shared" si="485"/>
        <v xml:space="preserve"> </v>
      </c>
      <c r="Y2241" s="985"/>
      <c r="Z2241" s="922"/>
      <c r="AA2241" s="1067"/>
      <c r="AB2241" s="922"/>
      <c r="AC2241" s="922"/>
      <c r="AD2241" s="922"/>
      <c r="AE2241" s="922"/>
      <c r="AF2241" s="1046"/>
      <c r="AG2241" s="906" t="str">
        <f>IF(AE2241&lt;&gt;0,VLOOKUP(AE2241,ODDS!$A$2:$C$13,3,0),"")</f>
        <v/>
      </c>
      <c r="AH2241" s="906"/>
      <c r="AI2241" s="907" t="str">
        <f t="shared" si="486"/>
        <v xml:space="preserve"> </v>
      </c>
      <c r="AJ2241" s="922" t="s">
        <v>1491</v>
      </c>
      <c r="AK2241" s="922" t="s">
        <v>2771</v>
      </c>
    </row>
    <row r="2242" spans="1:38" s="394" customFormat="1" ht="112.5" outlineLevel="2" x14ac:dyDescent="0.3">
      <c r="A2242" s="447">
        <f t="shared" ref="A2242:A2249" si="495">IF(B2241&lt;&gt;0,B2241,A2241)</f>
        <v>187</v>
      </c>
      <c r="B2242" s="893"/>
      <c r="C2242" s="908" t="s">
        <v>1639</v>
      </c>
      <c r="D2242" s="1032"/>
      <c r="E2242" s="947"/>
      <c r="F2242" s="947"/>
      <c r="G2242" s="922"/>
      <c r="H2242" s="1041"/>
      <c r="I2242" s="882"/>
      <c r="J2242" s="898"/>
      <c r="K2242" s="899" t="str">
        <f>IF(G2242&lt;&gt;0,VLOOKUP(G2242,'gia dat'!$A$1:$F$144,5,0)," ")</f>
        <v xml:space="preserve"> </v>
      </c>
      <c r="L2242" s="899" t="str">
        <f>IF(G2242&lt;&gt;0,VLOOKUP(G2242,'gia dat'!$A$1:$F$144,6,0)," ")</f>
        <v xml:space="preserve"> </v>
      </c>
      <c r="M2242" s="900" t="str">
        <f t="shared" si="481"/>
        <v xml:space="preserve"> </v>
      </c>
      <c r="N2242" s="900" t="str">
        <f t="shared" si="482"/>
        <v xml:space="preserve"> </v>
      </c>
      <c r="O2242" s="908"/>
      <c r="P2242" s="1065"/>
      <c r="Q2242" s="900" t="str">
        <f>IF(O2242&lt;&gt;0,VLOOKUP(O2242,'Cây trong'!$A$2:$C$246,3,0)," ")</f>
        <v xml:space="preserve"> </v>
      </c>
      <c r="R2242" s="900" t="str">
        <f t="shared" si="487"/>
        <v xml:space="preserve"> </v>
      </c>
      <c r="S2242" s="902"/>
      <c r="T2242" s="944"/>
      <c r="U2242" s="1066"/>
      <c r="V2242" s="922"/>
      <c r="W2242" s="900" t="str">
        <f>IF(S2242&lt;&gt;0,VLOOKUP(S2242,VKT!$A$2:$G$415,7,0),"")</f>
        <v/>
      </c>
      <c r="X2242" s="900" t="str">
        <f t="shared" si="485"/>
        <v xml:space="preserve"> </v>
      </c>
      <c r="Y2242" s="985"/>
      <c r="Z2242" s="922"/>
      <c r="AA2242" s="1067"/>
      <c r="AB2242" s="922"/>
      <c r="AC2242" s="922"/>
      <c r="AD2242" s="922"/>
      <c r="AE2242" s="922"/>
      <c r="AF2242" s="1046"/>
      <c r="AG2242" s="906" t="str">
        <f>IF(AE2242&lt;&gt;0,VLOOKUP(AE2242,ODDS!$A$2:$C$13,3,0),"")</f>
        <v/>
      </c>
      <c r="AH2242" s="906" t="str">
        <f t="shared" si="488"/>
        <v xml:space="preserve"> </v>
      </c>
      <c r="AI2242" s="907" t="str">
        <f t="shared" si="486"/>
        <v xml:space="preserve"> </v>
      </c>
      <c r="AJ2242" s="922" t="s">
        <v>1493</v>
      </c>
      <c r="AK2242" s="894" t="s">
        <v>2448</v>
      </c>
    </row>
    <row r="2243" spans="1:38" s="394" customFormat="1" ht="67.5" outlineLevel="2" x14ac:dyDescent="0.3">
      <c r="A2243" s="447">
        <f t="shared" si="495"/>
        <v>187</v>
      </c>
      <c r="B2243" s="893"/>
      <c r="C2243" s="908"/>
      <c r="D2243" s="1032"/>
      <c r="E2243" s="947"/>
      <c r="F2243" s="947"/>
      <c r="G2243" s="922"/>
      <c r="H2243" s="1041"/>
      <c r="I2243" s="882"/>
      <c r="J2243" s="898"/>
      <c r="K2243" s="899" t="str">
        <f>IF(G2243&lt;&gt;0,VLOOKUP(G2243,'gia dat'!$A$1:$F$144,5,0)," ")</f>
        <v xml:space="preserve"> </v>
      </c>
      <c r="L2243" s="899" t="str">
        <f>IF(G2243&lt;&gt;0,VLOOKUP(G2243,'gia dat'!$A$1:$F$144,6,0)," ")</f>
        <v xml:space="preserve"> </v>
      </c>
      <c r="M2243" s="900" t="str">
        <f t="shared" si="481"/>
        <v xml:space="preserve"> </v>
      </c>
      <c r="N2243" s="900" t="str">
        <f t="shared" si="482"/>
        <v xml:space="preserve"> </v>
      </c>
      <c r="O2243" s="908"/>
      <c r="P2243" s="1065"/>
      <c r="Q2243" s="900" t="str">
        <f>IF(O2243&lt;&gt;0,VLOOKUP(O2243,'Cây trong'!$A$2:$C$246,3,0)," ")</f>
        <v xml:space="preserve"> </v>
      </c>
      <c r="R2243" s="900" t="str">
        <f t="shared" si="487"/>
        <v xml:space="preserve"> </v>
      </c>
      <c r="S2243" s="902"/>
      <c r="T2243" s="944"/>
      <c r="U2243" s="1066"/>
      <c r="V2243" s="922"/>
      <c r="W2243" s="900" t="str">
        <f>IF(S2243&lt;&gt;0,VLOOKUP(S2243,VKT!$A$2:$G$415,7,0),"")</f>
        <v/>
      </c>
      <c r="X2243" s="900" t="str">
        <f t="shared" si="485"/>
        <v xml:space="preserve"> </v>
      </c>
      <c r="Y2243" s="985"/>
      <c r="Z2243" s="922"/>
      <c r="AA2243" s="1067"/>
      <c r="AB2243" s="922"/>
      <c r="AC2243" s="922"/>
      <c r="AD2243" s="922"/>
      <c r="AE2243" s="922"/>
      <c r="AF2243" s="1046"/>
      <c r="AG2243" s="906" t="str">
        <f>IF(AE2243&lt;&gt;0,VLOOKUP(AE2243,ODDS!$A$2:$C$13,3,0),"")</f>
        <v/>
      </c>
      <c r="AH2243" s="906" t="str">
        <f t="shared" si="488"/>
        <v xml:space="preserve"> </v>
      </c>
      <c r="AI2243" s="907" t="str">
        <f t="shared" si="486"/>
        <v xml:space="preserve"> </v>
      </c>
      <c r="AJ2243" s="922" t="s">
        <v>2074</v>
      </c>
      <c r="AK2243" s="922"/>
    </row>
    <row r="2244" spans="1:38" s="394" customFormat="1" ht="22.5" outlineLevel="2" x14ac:dyDescent="0.35">
      <c r="A2244" s="447">
        <f t="shared" si="495"/>
        <v>187</v>
      </c>
      <c r="B2244" s="893"/>
      <c r="C2244" s="908"/>
      <c r="D2244" s="1032"/>
      <c r="E2244" s="947"/>
      <c r="F2244" s="947"/>
      <c r="G2244" s="922"/>
      <c r="H2244" s="1041"/>
      <c r="I2244" s="882"/>
      <c r="J2244" s="894"/>
      <c r="K2244" s="899" t="str">
        <f>IF(G2244&lt;&gt;0,VLOOKUP(G2244,'gia dat'!$A$1:$F$144,5,0)," ")</f>
        <v xml:space="preserve"> </v>
      </c>
      <c r="L2244" s="899" t="str">
        <f>IF(G2244&lt;&gt;0,VLOOKUP(G2244,'gia dat'!$A$1:$F$144,6,0)," ")</f>
        <v xml:space="preserve"> </v>
      </c>
      <c r="M2244" s="900" t="str">
        <f t="shared" ref="M2244:M2314" si="496">IF(H2244&lt;&gt;0,ROUND(H2244*K2244,-3)," ")</f>
        <v xml:space="preserve"> </v>
      </c>
      <c r="N2244" s="900" t="str">
        <f t="shared" ref="N2244:N2314" si="497">IF(H2244&lt;&gt;0,ROUND(H2244*L2244,-3)," ")</f>
        <v xml:space="preserve"> </v>
      </c>
      <c r="O2244" s="908"/>
      <c r="P2244" s="1065"/>
      <c r="Q2244" s="900" t="str">
        <f>IF(O2244&lt;&gt;0,VLOOKUP(O2244,'Cây trong'!$A$2:$C$246,3,0)," ")</f>
        <v xml:space="preserve"> </v>
      </c>
      <c r="R2244" s="900" t="str">
        <f t="shared" si="487"/>
        <v xml:space="preserve"> </v>
      </c>
      <c r="S2244" s="908"/>
      <c r="T2244" s="944"/>
      <c r="U2244" s="1066"/>
      <c r="V2244" s="922"/>
      <c r="W2244" s="900" t="str">
        <f>IF(S2244&lt;&gt;0,VLOOKUP(S2244,VKT!$A$2:$G$415,7,0),"")</f>
        <v/>
      </c>
      <c r="X2244" s="900" t="str">
        <f t="shared" si="485"/>
        <v xml:space="preserve"> </v>
      </c>
      <c r="Y2244" s="985"/>
      <c r="Z2244" s="922"/>
      <c r="AA2244" s="1067"/>
      <c r="AB2244" s="922"/>
      <c r="AC2244" s="922"/>
      <c r="AD2244" s="922"/>
      <c r="AE2244" s="922"/>
      <c r="AF2244" s="1046"/>
      <c r="AG2244" s="906" t="str">
        <f>IF(AE2244&lt;&gt;0,VLOOKUP(AE2244,ODDS!$A$2:$C$13,3,0),"")</f>
        <v/>
      </c>
      <c r="AH2244" s="906" t="str">
        <f t="shared" si="488"/>
        <v xml:space="preserve"> </v>
      </c>
      <c r="AI2244" s="907" t="str">
        <f t="shared" si="486"/>
        <v xml:space="preserve"> </v>
      </c>
      <c r="AJ2244" s="1068"/>
      <c r="AK2244" s="922"/>
    </row>
    <row r="2245" spans="1:38" s="394" customFormat="1" ht="22.5" outlineLevel="2" x14ac:dyDescent="0.3">
      <c r="A2245" s="447">
        <f t="shared" si="495"/>
        <v>187</v>
      </c>
      <c r="B2245" s="893"/>
      <c r="C2245" s="908"/>
      <c r="D2245" s="1032"/>
      <c r="E2245" s="947"/>
      <c r="F2245" s="947"/>
      <c r="G2245" s="922"/>
      <c r="H2245" s="1041"/>
      <c r="I2245" s="882"/>
      <c r="J2245" s="894"/>
      <c r="K2245" s="899" t="str">
        <f>IF(G2245&lt;&gt;0,VLOOKUP(G2245,'gia dat'!$A$1:$F$144,5,0)," ")</f>
        <v xml:space="preserve"> </v>
      </c>
      <c r="L2245" s="899" t="str">
        <f>IF(G2245&lt;&gt;0,VLOOKUP(G2245,'gia dat'!$A$1:$F$144,6,0)," ")</f>
        <v xml:space="preserve"> </v>
      </c>
      <c r="M2245" s="900" t="str">
        <f t="shared" si="496"/>
        <v xml:space="preserve"> </v>
      </c>
      <c r="N2245" s="900" t="str">
        <f t="shared" si="497"/>
        <v xml:space="preserve"> </v>
      </c>
      <c r="O2245" s="908"/>
      <c r="P2245" s="1065"/>
      <c r="Q2245" s="900" t="str">
        <f>IF(O2245&lt;&gt;0,VLOOKUP(O2245,'Cây trong'!$A$2:$C$246,3,0)," ")</f>
        <v xml:space="preserve"> </v>
      </c>
      <c r="R2245" s="900" t="str">
        <f t="shared" si="487"/>
        <v xml:space="preserve"> </v>
      </c>
      <c r="S2245" s="908"/>
      <c r="T2245" s="944"/>
      <c r="U2245" s="1066"/>
      <c r="V2245" s="922"/>
      <c r="W2245" s="900" t="str">
        <f>IF(S2245&lt;&gt;0,VLOOKUP(S2245,VKT!$A$2:$G$415,7,0),"")</f>
        <v/>
      </c>
      <c r="X2245" s="900" t="str">
        <f t="shared" si="485"/>
        <v xml:space="preserve"> </v>
      </c>
      <c r="Y2245" s="985"/>
      <c r="Z2245" s="922"/>
      <c r="AA2245" s="1067"/>
      <c r="AB2245" s="922"/>
      <c r="AC2245" s="922"/>
      <c r="AD2245" s="922"/>
      <c r="AE2245" s="922"/>
      <c r="AF2245" s="1046"/>
      <c r="AG2245" s="906" t="str">
        <f>IF(AE2245&lt;&gt;0,VLOOKUP(AE2245,ODDS!$A$2:$C$13,3,0),"")</f>
        <v/>
      </c>
      <c r="AH2245" s="906" t="str">
        <f t="shared" si="488"/>
        <v xml:space="preserve"> </v>
      </c>
      <c r="AI2245" s="907" t="str">
        <f t="shared" si="486"/>
        <v xml:space="preserve"> </v>
      </c>
      <c r="AJ2245" s="922"/>
      <c r="AK2245" s="922"/>
    </row>
    <row r="2246" spans="1:38" s="394" customFormat="1" ht="22.5" outlineLevel="2" x14ac:dyDescent="0.3">
      <c r="A2246" s="447">
        <f t="shared" si="495"/>
        <v>187</v>
      </c>
      <c r="B2246" s="893"/>
      <c r="C2246" s="908"/>
      <c r="D2246" s="1032"/>
      <c r="E2246" s="947"/>
      <c r="F2246" s="947"/>
      <c r="G2246" s="922"/>
      <c r="H2246" s="1041"/>
      <c r="I2246" s="882"/>
      <c r="J2246" s="894"/>
      <c r="K2246" s="899" t="str">
        <f>IF(G2246&lt;&gt;0,VLOOKUP(G2246,'gia dat'!$A$1:$F$144,5,0)," ")</f>
        <v xml:space="preserve"> </v>
      </c>
      <c r="L2246" s="899" t="str">
        <f>IF(G2246&lt;&gt;0,VLOOKUP(G2246,'gia dat'!$A$1:$F$144,6,0)," ")</f>
        <v xml:space="preserve"> </v>
      </c>
      <c r="M2246" s="900" t="str">
        <f t="shared" si="496"/>
        <v xml:space="preserve"> </v>
      </c>
      <c r="N2246" s="900" t="str">
        <f t="shared" si="497"/>
        <v xml:space="preserve"> </v>
      </c>
      <c r="O2246" s="908"/>
      <c r="P2246" s="1065"/>
      <c r="Q2246" s="900" t="str">
        <f>IF(O2246&lt;&gt;0,VLOOKUP(O2246,'Cây trong'!$A$2:$C$246,3,0)," ")</f>
        <v xml:space="preserve"> </v>
      </c>
      <c r="R2246" s="900" t="str">
        <f t="shared" si="487"/>
        <v xml:space="preserve"> </v>
      </c>
      <c r="S2246" s="908"/>
      <c r="T2246" s="944"/>
      <c r="U2246" s="1066"/>
      <c r="V2246" s="922"/>
      <c r="W2246" s="900" t="str">
        <f>IF(S2246&lt;&gt;0,VLOOKUP(S2246,VKT!$A$2:$G$415,7,0),"")</f>
        <v/>
      </c>
      <c r="X2246" s="900" t="str">
        <f t="shared" si="485"/>
        <v xml:space="preserve"> </v>
      </c>
      <c r="Y2246" s="985"/>
      <c r="Z2246" s="922"/>
      <c r="AA2246" s="1067"/>
      <c r="AB2246" s="922"/>
      <c r="AC2246" s="922"/>
      <c r="AD2246" s="922"/>
      <c r="AE2246" s="922"/>
      <c r="AF2246" s="1046"/>
      <c r="AG2246" s="906" t="str">
        <f>IF(AE2246&lt;&gt;0,VLOOKUP(AE2246,ODDS!$A$2:$C$13,3,0),"")</f>
        <v/>
      </c>
      <c r="AH2246" s="906" t="str">
        <f t="shared" si="488"/>
        <v xml:space="preserve"> </v>
      </c>
      <c r="AI2246" s="907" t="str">
        <f t="shared" si="486"/>
        <v xml:space="preserve"> </v>
      </c>
      <c r="AJ2246" s="922"/>
      <c r="AK2246" s="922"/>
    </row>
    <row r="2247" spans="1:38" s="394" customFormat="1" ht="22.5" outlineLevel="2" x14ac:dyDescent="0.3">
      <c r="A2247" s="447">
        <f t="shared" si="495"/>
        <v>187</v>
      </c>
      <c r="B2247" s="893"/>
      <c r="C2247" s="908"/>
      <c r="D2247" s="1032"/>
      <c r="E2247" s="947"/>
      <c r="F2247" s="947"/>
      <c r="G2247" s="922"/>
      <c r="H2247" s="1041"/>
      <c r="I2247" s="882"/>
      <c r="J2247" s="894"/>
      <c r="K2247" s="899" t="str">
        <f>IF(G2247&lt;&gt;0,VLOOKUP(G2247,'gia dat'!$A$1:$F$144,5,0)," ")</f>
        <v xml:space="preserve"> </v>
      </c>
      <c r="L2247" s="899" t="str">
        <f>IF(G2247&lt;&gt;0,VLOOKUP(G2247,'gia dat'!$A$1:$F$144,6,0)," ")</f>
        <v xml:space="preserve"> </v>
      </c>
      <c r="M2247" s="900" t="str">
        <f t="shared" si="496"/>
        <v xml:space="preserve"> </v>
      </c>
      <c r="N2247" s="900" t="str">
        <f t="shared" si="497"/>
        <v xml:space="preserve"> </v>
      </c>
      <c r="O2247" s="908"/>
      <c r="P2247" s="1065"/>
      <c r="Q2247" s="900" t="str">
        <f>IF(O2247&lt;&gt;0,VLOOKUP(O2247,'Cây trong'!$A$2:$C$246,3,0)," ")</f>
        <v xml:space="preserve"> </v>
      </c>
      <c r="R2247" s="900" t="str">
        <f t="shared" si="487"/>
        <v xml:space="preserve"> </v>
      </c>
      <c r="S2247" s="908"/>
      <c r="T2247" s="944"/>
      <c r="U2247" s="1066"/>
      <c r="V2247" s="922"/>
      <c r="W2247" s="900" t="str">
        <f>IF(S2247&lt;&gt;0,VLOOKUP(S2247,VKT!$A$2:$G$415,7,0),"")</f>
        <v/>
      </c>
      <c r="X2247" s="900" t="str">
        <f t="shared" si="485"/>
        <v xml:space="preserve"> </v>
      </c>
      <c r="Y2247" s="985"/>
      <c r="Z2247" s="922"/>
      <c r="AA2247" s="1067"/>
      <c r="AB2247" s="922"/>
      <c r="AC2247" s="922"/>
      <c r="AD2247" s="922"/>
      <c r="AE2247" s="922"/>
      <c r="AF2247" s="1046"/>
      <c r="AG2247" s="906" t="str">
        <f>IF(AE2247&lt;&gt;0,VLOOKUP(AE2247,ODDS!$A$2:$C$13,3,0),"")</f>
        <v/>
      </c>
      <c r="AH2247" s="906" t="str">
        <f t="shared" si="488"/>
        <v xml:space="preserve"> </v>
      </c>
      <c r="AI2247" s="907" t="str">
        <f t="shared" si="486"/>
        <v xml:space="preserve"> </v>
      </c>
      <c r="AJ2247" s="908"/>
      <c r="AK2247" s="908"/>
    </row>
    <row r="2248" spans="1:38" s="394" customFormat="1" ht="22.5" outlineLevel="2" x14ac:dyDescent="0.3">
      <c r="A2248" s="447">
        <f t="shared" si="495"/>
        <v>187</v>
      </c>
      <c r="B2248" s="893"/>
      <c r="C2248" s="908"/>
      <c r="D2248" s="1032"/>
      <c r="E2248" s="947"/>
      <c r="F2248" s="947"/>
      <c r="G2248" s="922"/>
      <c r="H2248" s="1041"/>
      <c r="I2248" s="882"/>
      <c r="J2248" s="894"/>
      <c r="K2248" s="899" t="str">
        <f>IF(G2248&lt;&gt;0,VLOOKUP(G2248,'gia dat'!$A$1:$F$144,5,0)," ")</f>
        <v xml:space="preserve"> </v>
      </c>
      <c r="L2248" s="899" t="str">
        <f>IF(G2248&lt;&gt;0,VLOOKUP(G2248,'gia dat'!$A$1:$F$144,6,0)," ")</f>
        <v xml:space="preserve"> </v>
      </c>
      <c r="M2248" s="900" t="str">
        <f t="shared" si="496"/>
        <v xml:space="preserve"> </v>
      </c>
      <c r="N2248" s="900" t="str">
        <f t="shared" si="497"/>
        <v xml:space="preserve"> </v>
      </c>
      <c r="O2248" s="908"/>
      <c r="P2248" s="1065"/>
      <c r="Q2248" s="900" t="str">
        <f>IF(O2248&lt;&gt;0,VLOOKUP(O2248,'Cây trong'!$A$2:$C$246,3,0)," ")</f>
        <v xml:space="preserve"> </v>
      </c>
      <c r="R2248" s="900" t="str">
        <f t="shared" si="487"/>
        <v xml:space="preserve"> </v>
      </c>
      <c r="S2248" s="908"/>
      <c r="T2248" s="944"/>
      <c r="U2248" s="1066"/>
      <c r="V2248" s="922"/>
      <c r="W2248" s="900" t="str">
        <f>IF(S2248&lt;&gt;0,VLOOKUP(S2248,VKT!$A$2:$G$415,7,0),"")</f>
        <v/>
      </c>
      <c r="X2248" s="900" t="str">
        <f t="shared" si="485"/>
        <v xml:space="preserve"> </v>
      </c>
      <c r="Y2248" s="985"/>
      <c r="Z2248" s="922"/>
      <c r="AA2248" s="1067"/>
      <c r="AB2248" s="922"/>
      <c r="AC2248" s="922"/>
      <c r="AD2248" s="922"/>
      <c r="AE2248" s="922"/>
      <c r="AF2248" s="1046"/>
      <c r="AG2248" s="906" t="str">
        <f>IF(AE2248&lt;&gt;0,VLOOKUP(AE2248,ODDS!$A$2:$C$13,3,0),"")</f>
        <v/>
      </c>
      <c r="AH2248" s="906" t="str">
        <f t="shared" si="488"/>
        <v xml:space="preserve"> </v>
      </c>
      <c r="AI2248" s="907" t="str">
        <f t="shared" si="486"/>
        <v xml:space="preserve"> </v>
      </c>
      <c r="AJ2248" s="894"/>
      <c r="AK2248" s="894"/>
    </row>
    <row r="2249" spans="1:38" s="394" customFormat="1" ht="22.5" outlineLevel="2" x14ac:dyDescent="0.3">
      <c r="A2249" s="447">
        <f t="shared" si="495"/>
        <v>187</v>
      </c>
      <c r="B2249" s="893"/>
      <c r="C2249" s="942"/>
      <c r="D2249" s="1032"/>
      <c r="E2249" s="947"/>
      <c r="F2249" s="947"/>
      <c r="G2249" s="922"/>
      <c r="H2249" s="1041"/>
      <c r="I2249" s="882"/>
      <c r="J2249" s="894"/>
      <c r="K2249" s="899" t="str">
        <f>IF(G2249&lt;&gt;0,VLOOKUP(G2249,'gia dat'!$A$1:$F$144,5,0)," ")</f>
        <v xml:space="preserve"> </v>
      </c>
      <c r="L2249" s="899" t="str">
        <f>IF(G2249&lt;&gt;0,VLOOKUP(G2249,'gia dat'!$A$1:$F$144,6,0)," ")</f>
        <v xml:space="preserve"> </v>
      </c>
      <c r="M2249" s="900" t="str">
        <f t="shared" si="496"/>
        <v xml:space="preserve"> </v>
      </c>
      <c r="N2249" s="900" t="str">
        <f t="shared" si="497"/>
        <v xml:space="preserve"> </v>
      </c>
      <c r="O2249" s="908"/>
      <c r="P2249" s="1065"/>
      <c r="Q2249" s="900" t="str">
        <f>IF(O2249&lt;&gt;0,VLOOKUP(O2249,'Cây trong'!$A$2:$C$246,3,0)," ")</f>
        <v xml:space="preserve"> </v>
      </c>
      <c r="R2249" s="900" t="str">
        <f t="shared" si="487"/>
        <v xml:space="preserve"> </v>
      </c>
      <c r="S2249" s="908"/>
      <c r="T2249" s="944"/>
      <c r="U2249" s="1066"/>
      <c r="V2249" s="922"/>
      <c r="W2249" s="900" t="str">
        <f>IF(S2249&lt;&gt;0,VLOOKUP(S2249,VKT!$A$2:$G$415,7,0),"")</f>
        <v/>
      </c>
      <c r="X2249" s="900" t="str">
        <f t="shared" si="485"/>
        <v xml:space="preserve"> </v>
      </c>
      <c r="Y2249" s="985"/>
      <c r="Z2249" s="922"/>
      <c r="AA2249" s="1067"/>
      <c r="AB2249" s="922"/>
      <c r="AC2249" s="922"/>
      <c r="AD2249" s="922"/>
      <c r="AE2249" s="922"/>
      <c r="AF2249" s="1046"/>
      <c r="AG2249" s="906" t="str">
        <f>IF(AE2249&lt;&gt;0,VLOOKUP(AE2249,ODDS!$A$2:$C$13,3,0),"")</f>
        <v/>
      </c>
      <c r="AH2249" s="906" t="str">
        <f t="shared" si="488"/>
        <v xml:space="preserve"> </v>
      </c>
      <c r="AI2249" s="907" t="str">
        <f t="shared" ref="AI2249:AI2312" si="498">IF(B2249&lt;&gt;0,M2249+N2249+R2249+X2249+AH2249," ")</f>
        <v xml:space="preserve"> </v>
      </c>
      <c r="AJ2249" s="922"/>
      <c r="AK2249" s="922"/>
    </row>
    <row r="2250" spans="1:38" s="396" customFormat="1" ht="87" outlineLevel="1" x14ac:dyDescent="0.25">
      <c r="A2250" s="467" t="s">
        <v>2522</v>
      </c>
      <c r="B2250" s="912">
        <v>188</v>
      </c>
      <c r="C2250" s="942" t="s">
        <v>2245</v>
      </c>
      <c r="D2250" s="1038"/>
      <c r="E2250" s="977"/>
      <c r="F2250" s="977"/>
      <c r="G2250" s="914"/>
      <c r="H2250" s="1039">
        <f>SUBTOTAL(9,H2251:H2259)</f>
        <v>2.5</v>
      </c>
      <c r="I2250" s="915">
        <f>SUBTOTAL(9,I2251:I2256)</f>
        <v>2.5</v>
      </c>
      <c r="J2250" s="916"/>
      <c r="K2250" s="917"/>
      <c r="L2250" s="917"/>
      <c r="M2250" s="907">
        <f>SUBTOTAL(9,M2251:M2259)</f>
        <v>1386000</v>
      </c>
      <c r="N2250" s="907">
        <f>SUBTOTAL(9,N2251:N2259)</f>
        <v>4158000</v>
      </c>
      <c r="O2250" s="942"/>
      <c r="P2250" s="1063">
        <f>SUBTOTAL(9,P2251:P2259)</f>
        <v>0</v>
      </c>
      <c r="Q2250" s="907"/>
      <c r="R2250" s="907">
        <f>SUBTOTAL(9,R2251:R2259)</f>
        <v>0</v>
      </c>
      <c r="S2250" s="918"/>
      <c r="T2250" s="956"/>
      <c r="U2250" s="1064">
        <f>SUBTOTAL(9,U2251:U2259)</f>
        <v>0</v>
      </c>
      <c r="V2250" s="914"/>
      <c r="W2250" s="907"/>
      <c r="X2250" s="907">
        <f>SUBTOTAL(9,X2251:X2259)</f>
        <v>0</v>
      </c>
      <c r="Y2250" s="985"/>
      <c r="Z2250" s="922"/>
      <c r="AA2250" s="1067"/>
      <c r="AB2250" s="922"/>
      <c r="AC2250" s="922"/>
      <c r="AD2250" s="922"/>
      <c r="AE2250" s="914"/>
      <c r="AF2250" s="1044">
        <f>SUBTOTAL(9,AF2251:AF2259)</f>
        <v>0</v>
      </c>
      <c r="AG2250" s="921"/>
      <c r="AH2250" s="921">
        <f>SUBTOTAL(9,AH2251:AH2259)</f>
        <v>0</v>
      </c>
      <c r="AI2250" s="907">
        <f t="shared" si="498"/>
        <v>5544000</v>
      </c>
      <c r="AJ2250" s="914"/>
      <c r="AK2250" s="914"/>
      <c r="AL2250" s="469"/>
    </row>
    <row r="2251" spans="1:38" s="396" customFormat="1" ht="270" outlineLevel="2" x14ac:dyDescent="0.3">
      <c r="A2251" s="447">
        <f>IF(B2250&lt;&gt;0,B2250,A2249)</f>
        <v>188</v>
      </c>
      <c r="B2251" s="893"/>
      <c r="C2251" s="908"/>
      <c r="D2251" s="1032"/>
      <c r="E2251" s="947">
        <v>86</v>
      </c>
      <c r="F2251" s="947">
        <v>399</v>
      </c>
      <c r="G2251" s="922" t="s">
        <v>2896</v>
      </c>
      <c r="H2251" s="1041">
        <v>2.5</v>
      </c>
      <c r="I2251" s="882">
        <f t="shared" ref="I2251" si="499">IF(N2251&gt;0,H2251,"")</f>
        <v>2.5</v>
      </c>
      <c r="J2251" s="898"/>
      <c r="K2251" s="899">
        <f>IF(G2251&lt;&gt;0,VLOOKUP(G2251,'gia dat'!$A$1:$F$144,5,0)," ")</f>
        <v>554400</v>
      </c>
      <c r="L2251" s="899">
        <f>IF(G2251&lt;&gt;0,VLOOKUP(G2251,'gia dat'!$A$1:$F$144,6,0)," ")</f>
        <v>1663200</v>
      </c>
      <c r="M2251" s="900">
        <f t="shared" si="496"/>
        <v>1386000</v>
      </c>
      <c r="N2251" s="900">
        <f t="shared" si="497"/>
        <v>4158000</v>
      </c>
      <c r="O2251" s="908"/>
      <c r="P2251" s="1065"/>
      <c r="Q2251" s="900" t="str">
        <f>IF(O2251&lt;&gt;0,VLOOKUP(O2251,'Cây trong'!$A$2:$C$246,3,0)," ")</f>
        <v xml:space="preserve"> </v>
      </c>
      <c r="R2251" s="900" t="str">
        <f t="shared" si="487"/>
        <v xml:space="preserve"> </v>
      </c>
      <c r="S2251" s="902"/>
      <c r="T2251" s="944"/>
      <c r="U2251" s="1066"/>
      <c r="V2251" s="922"/>
      <c r="W2251" s="900" t="str">
        <f>IF(S2251&lt;&gt;0,VLOOKUP(S2251,VKT!$A$2:$G$415,7,0),"")</f>
        <v/>
      </c>
      <c r="X2251" s="900" t="str">
        <f t="shared" si="485"/>
        <v xml:space="preserve"> </v>
      </c>
      <c r="Y2251" s="985"/>
      <c r="Z2251" s="922"/>
      <c r="AA2251" s="1067"/>
      <c r="AB2251" s="922"/>
      <c r="AC2251" s="922"/>
      <c r="AD2251" s="922"/>
      <c r="AE2251" s="922"/>
      <c r="AF2251" s="1046"/>
      <c r="AG2251" s="906" t="str">
        <f>IF(AE2251&lt;&gt;0,VLOOKUP(AE2251,ODDS!$A$2:$C$13,3,0),"")</f>
        <v/>
      </c>
      <c r="AH2251" s="906" t="str">
        <f t="shared" si="488"/>
        <v xml:space="preserve"> </v>
      </c>
      <c r="AI2251" s="907" t="str">
        <f t="shared" si="498"/>
        <v xml:space="preserve"> </v>
      </c>
      <c r="AJ2251" s="922" t="s">
        <v>2796</v>
      </c>
      <c r="AK2251" s="922" t="s">
        <v>2771</v>
      </c>
      <c r="AL2251" s="437" t="s">
        <v>2246</v>
      </c>
    </row>
    <row r="2252" spans="1:38" s="394" customFormat="1" ht="90" outlineLevel="2" x14ac:dyDescent="0.3">
      <c r="A2252" s="447">
        <f t="shared" ref="A2252:A2259" si="500">IF(B2251&lt;&gt;0,B2251,A2251)</f>
        <v>188</v>
      </c>
      <c r="B2252" s="893"/>
      <c r="C2252" s="908"/>
      <c r="D2252" s="1032"/>
      <c r="E2252" s="947"/>
      <c r="F2252" s="947"/>
      <c r="G2252" s="922"/>
      <c r="H2252" s="1041"/>
      <c r="I2252" s="882"/>
      <c r="J2252" s="898"/>
      <c r="K2252" s="899" t="str">
        <f>IF(G2252&lt;&gt;0,VLOOKUP(G2252,'gia dat'!$A$1:$F$144,5,0)," ")</f>
        <v xml:space="preserve"> </v>
      </c>
      <c r="L2252" s="899" t="str">
        <f>IF(G2252&lt;&gt;0,VLOOKUP(G2252,'gia dat'!$A$1:$F$144,6,0)," ")</f>
        <v xml:space="preserve"> </v>
      </c>
      <c r="M2252" s="900" t="str">
        <f t="shared" si="496"/>
        <v xml:space="preserve"> </v>
      </c>
      <c r="N2252" s="900" t="str">
        <f t="shared" si="497"/>
        <v xml:space="preserve"> </v>
      </c>
      <c r="O2252" s="908"/>
      <c r="P2252" s="1065"/>
      <c r="Q2252" s="900" t="str">
        <f>IF(O2252&lt;&gt;0,VLOOKUP(O2252,'Cây trong'!$A$2:$C$246,3,0)," ")</f>
        <v xml:space="preserve"> </v>
      </c>
      <c r="R2252" s="900" t="str">
        <f t="shared" si="487"/>
        <v xml:space="preserve"> </v>
      </c>
      <c r="S2252" s="902"/>
      <c r="T2252" s="944"/>
      <c r="U2252" s="1066"/>
      <c r="V2252" s="922"/>
      <c r="W2252" s="900" t="str">
        <f>IF(S2252&lt;&gt;0,VLOOKUP(S2252,VKT!$A$2:$G$415,7,0),"")</f>
        <v/>
      </c>
      <c r="X2252" s="900" t="str">
        <f t="shared" si="485"/>
        <v xml:space="preserve"> </v>
      </c>
      <c r="Y2252" s="985"/>
      <c r="Z2252" s="922"/>
      <c r="AA2252" s="1067"/>
      <c r="AB2252" s="922"/>
      <c r="AC2252" s="922"/>
      <c r="AD2252" s="922"/>
      <c r="AE2252" s="922"/>
      <c r="AF2252" s="1046"/>
      <c r="AG2252" s="906" t="str">
        <f>IF(AE2252&lt;&gt;0,VLOOKUP(AE2252,ODDS!$A$2:$C$13,3,0),"")</f>
        <v/>
      </c>
      <c r="AH2252" s="906" t="str">
        <f t="shared" si="488"/>
        <v xml:space="preserve"> </v>
      </c>
      <c r="AI2252" s="907" t="str">
        <f t="shared" si="498"/>
        <v xml:space="preserve"> </v>
      </c>
      <c r="AJ2252" s="922"/>
      <c r="AK2252" s="894" t="s">
        <v>2448</v>
      </c>
      <c r="AL2252" s="438"/>
    </row>
    <row r="2253" spans="1:38" s="394" customFormat="1" ht="22.5" outlineLevel="2" x14ac:dyDescent="0.3">
      <c r="A2253" s="447">
        <f t="shared" si="500"/>
        <v>188</v>
      </c>
      <c r="B2253" s="893"/>
      <c r="C2253" s="908"/>
      <c r="D2253" s="1032"/>
      <c r="E2253" s="947"/>
      <c r="F2253" s="947"/>
      <c r="G2253" s="922"/>
      <c r="H2253" s="1041"/>
      <c r="I2253" s="882"/>
      <c r="J2253" s="898"/>
      <c r="K2253" s="899" t="str">
        <f>IF(G2253&lt;&gt;0,VLOOKUP(G2253,'gia dat'!$A$1:$F$144,5,0)," ")</f>
        <v xml:space="preserve"> </v>
      </c>
      <c r="L2253" s="899" t="str">
        <f>IF(G2253&lt;&gt;0,VLOOKUP(G2253,'gia dat'!$A$1:$F$144,6,0)," ")</f>
        <v xml:space="preserve"> </v>
      </c>
      <c r="M2253" s="900" t="str">
        <f t="shared" si="496"/>
        <v xml:space="preserve"> </v>
      </c>
      <c r="N2253" s="900" t="str">
        <f t="shared" si="497"/>
        <v xml:space="preserve"> </v>
      </c>
      <c r="O2253" s="908"/>
      <c r="P2253" s="1065"/>
      <c r="Q2253" s="900" t="str">
        <f>IF(O2253&lt;&gt;0,VLOOKUP(O2253,'Cây trong'!$A$2:$C$246,3,0)," ")</f>
        <v xml:space="preserve"> </v>
      </c>
      <c r="R2253" s="900" t="str">
        <f t="shared" si="487"/>
        <v xml:space="preserve"> </v>
      </c>
      <c r="S2253" s="902"/>
      <c r="T2253" s="944"/>
      <c r="U2253" s="1066"/>
      <c r="V2253" s="922"/>
      <c r="W2253" s="900" t="str">
        <f>IF(S2253&lt;&gt;0,VLOOKUP(S2253,VKT!$A$2:$G$415,7,0),"")</f>
        <v/>
      </c>
      <c r="X2253" s="900" t="str">
        <f t="shared" si="485"/>
        <v xml:space="preserve"> </v>
      </c>
      <c r="Y2253" s="985"/>
      <c r="Z2253" s="922"/>
      <c r="AA2253" s="1067"/>
      <c r="AB2253" s="922"/>
      <c r="AC2253" s="922"/>
      <c r="AD2253" s="922"/>
      <c r="AE2253" s="922"/>
      <c r="AF2253" s="1046"/>
      <c r="AG2253" s="906" t="str">
        <f>IF(AE2253&lt;&gt;0,VLOOKUP(AE2253,ODDS!$A$2:$C$13,3,0),"")</f>
        <v/>
      </c>
      <c r="AH2253" s="906" t="str">
        <f t="shared" si="488"/>
        <v xml:space="preserve"> </v>
      </c>
      <c r="AI2253" s="907" t="str">
        <f t="shared" si="498"/>
        <v xml:space="preserve"> </v>
      </c>
      <c r="AJ2253" s="922"/>
      <c r="AK2253" s="922"/>
      <c r="AL2253" s="439"/>
    </row>
    <row r="2254" spans="1:38" s="394" customFormat="1" ht="22.5" outlineLevel="2" x14ac:dyDescent="0.3">
      <c r="A2254" s="447">
        <f t="shared" si="500"/>
        <v>188</v>
      </c>
      <c r="B2254" s="893"/>
      <c r="C2254" s="908"/>
      <c r="D2254" s="1032"/>
      <c r="E2254" s="947"/>
      <c r="F2254" s="947"/>
      <c r="G2254" s="922"/>
      <c r="H2254" s="1041"/>
      <c r="I2254" s="882"/>
      <c r="J2254" s="894"/>
      <c r="K2254" s="899" t="str">
        <f>IF(G2254&lt;&gt;0,VLOOKUP(G2254,'gia dat'!$A$1:$F$144,5,0)," ")</f>
        <v xml:space="preserve"> </v>
      </c>
      <c r="L2254" s="899" t="str">
        <f>IF(G2254&lt;&gt;0,VLOOKUP(G2254,'gia dat'!$A$1:$F$144,6,0)," ")</f>
        <v xml:space="preserve"> </v>
      </c>
      <c r="M2254" s="900" t="str">
        <f t="shared" si="496"/>
        <v xml:space="preserve"> </v>
      </c>
      <c r="N2254" s="900" t="str">
        <f t="shared" si="497"/>
        <v xml:space="preserve"> </v>
      </c>
      <c r="O2254" s="908"/>
      <c r="P2254" s="1065"/>
      <c r="Q2254" s="900" t="str">
        <f>IF(O2254&lt;&gt;0,VLOOKUP(O2254,'Cây trong'!$A$2:$C$246,3,0)," ")</f>
        <v xml:space="preserve"> </v>
      </c>
      <c r="R2254" s="900" t="str">
        <f t="shared" si="487"/>
        <v xml:space="preserve"> </v>
      </c>
      <c r="S2254" s="908"/>
      <c r="T2254" s="944"/>
      <c r="U2254" s="1066"/>
      <c r="V2254" s="922"/>
      <c r="W2254" s="900" t="str">
        <f>IF(S2254&lt;&gt;0,VLOOKUP(S2254,VKT!$A$2:$G$415,7,0),"")</f>
        <v/>
      </c>
      <c r="X2254" s="900" t="str">
        <f t="shared" ref="X2254:X2324" si="501">IF(S2254&lt;&gt;0,ROUND(U2254*W2254,-3)," ")</f>
        <v xml:space="preserve"> </v>
      </c>
      <c r="Y2254" s="985"/>
      <c r="Z2254" s="922"/>
      <c r="AA2254" s="1067"/>
      <c r="AB2254" s="922"/>
      <c r="AC2254" s="922"/>
      <c r="AD2254" s="922"/>
      <c r="AE2254" s="922"/>
      <c r="AF2254" s="1046"/>
      <c r="AG2254" s="906" t="str">
        <f>IF(AE2254&lt;&gt;0,VLOOKUP(AE2254,ODDS!$A$2:$C$13,3,0),"")</f>
        <v/>
      </c>
      <c r="AH2254" s="906" t="str">
        <f t="shared" si="488"/>
        <v xml:space="preserve"> </v>
      </c>
      <c r="AI2254" s="907" t="str">
        <f t="shared" si="498"/>
        <v xml:space="preserve"> </v>
      </c>
      <c r="AJ2254" s="922"/>
      <c r="AK2254" s="922"/>
      <c r="AL2254" s="438"/>
    </row>
    <row r="2255" spans="1:38" s="394" customFormat="1" ht="22.5" outlineLevel="2" x14ac:dyDescent="0.3">
      <c r="A2255" s="447">
        <f t="shared" si="500"/>
        <v>188</v>
      </c>
      <c r="B2255" s="893"/>
      <c r="C2255" s="908"/>
      <c r="D2255" s="1032"/>
      <c r="E2255" s="947"/>
      <c r="F2255" s="947"/>
      <c r="G2255" s="922"/>
      <c r="H2255" s="1041"/>
      <c r="I2255" s="882"/>
      <c r="J2255" s="894"/>
      <c r="K2255" s="899" t="str">
        <f>IF(G2255&lt;&gt;0,VLOOKUP(G2255,'gia dat'!$A$1:$F$144,5,0)," ")</f>
        <v xml:space="preserve"> </v>
      </c>
      <c r="L2255" s="899" t="str">
        <f>IF(G2255&lt;&gt;0,VLOOKUP(G2255,'gia dat'!$A$1:$F$144,6,0)," ")</f>
        <v xml:space="preserve"> </v>
      </c>
      <c r="M2255" s="900" t="str">
        <f t="shared" si="496"/>
        <v xml:space="preserve"> </v>
      </c>
      <c r="N2255" s="900" t="str">
        <f t="shared" si="497"/>
        <v xml:space="preserve"> </v>
      </c>
      <c r="O2255" s="908"/>
      <c r="P2255" s="1065"/>
      <c r="Q2255" s="900" t="str">
        <f>IF(O2255&lt;&gt;0,VLOOKUP(O2255,'Cây trong'!$A$2:$C$246,3,0)," ")</f>
        <v xml:space="preserve"> </v>
      </c>
      <c r="R2255" s="900" t="str">
        <f t="shared" si="487"/>
        <v xml:space="preserve"> </v>
      </c>
      <c r="S2255" s="908"/>
      <c r="T2255" s="944"/>
      <c r="U2255" s="1066"/>
      <c r="V2255" s="922"/>
      <c r="W2255" s="900" t="str">
        <f>IF(S2255&lt;&gt;0,VLOOKUP(S2255,VKT!$A$2:$G$415,7,0),"")</f>
        <v/>
      </c>
      <c r="X2255" s="900" t="str">
        <f t="shared" si="501"/>
        <v xml:space="preserve"> </v>
      </c>
      <c r="Y2255" s="985"/>
      <c r="Z2255" s="922"/>
      <c r="AA2255" s="1067"/>
      <c r="AB2255" s="922"/>
      <c r="AC2255" s="922"/>
      <c r="AD2255" s="922"/>
      <c r="AE2255" s="922"/>
      <c r="AF2255" s="1046"/>
      <c r="AG2255" s="906" t="str">
        <f>IF(AE2255&lt;&gt;0,VLOOKUP(AE2255,ODDS!$A$2:$C$13,3,0),"")</f>
        <v/>
      </c>
      <c r="AH2255" s="906" t="str">
        <f t="shared" si="488"/>
        <v xml:space="preserve"> </v>
      </c>
      <c r="AI2255" s="907" t="str">
        <f t="shared" si="498"/>
        <v xml:space="preserve"> </v>
      </c>
      <c r="AJ2255" s="908"/>
      <c r="AK2255" s="908"/>
      <c r="AL2255" s="438"/>
    </row>
    <row r="2256" spans="1:38" s="394" customFormat="1" ht="22.5" outlineLevel="2" x14ac:dyDescent="0.3">
      <c r="A2256" s="447">
        <f t="shared" si="500"/>
        <v>188</v>
      </c>
      <c r="B2256" s="893"/>
      <c r="C2256" s="908"/>
      <c r="D2256" s="1032"/>
      <c r="E2256" s="947"/>
      <c r="F2256" s="947"/>
      <c r="G2256" s="922"/>
      <c r="H2256" s="1041"/>
      <c r="I2256" s="882"/>
      <c r="J2256" s="894"/>
      <c r="K2256" s="899" t="str">
        <f>IF(G2256&lt;&gt;0,VLOOKUP(G2256,'gia dat'!$A$1:$F$144,5,0)," ")</f>
        <v xml:space="preserve"> </v>
      </c>
      <c r="L2256" s="899" t="str">
        <f>IF(G2256&lt;&gt;0,VLOOKUP(G2256,'gia dat'!$A$1:$F$144,6,0)," ")</f>
        <v xml:space="preserve"> </v>
      </c>
      <c r="M2256" s="900" t="str">
        <f t="shared" si="496"/>
        <v xml:space="preserve"> </v>
      </c>
      <c r="N2256" s="900" t="str">
        <f t="shared" si="497"/>
        <v xml:space="preserve"> </v>
      </c>
      <c r="O2256" s="908"/>
      <c r="P2256" s="1065"/>
      <c r="Q2256" s="900" t="str">
        <f>IF(O2256&lt;&gt;0,VLOOKUP(O2256,'Cây trong'!$A$2:$C$246,3,0)," ")</f>
        <v xml:space="preserve"> </v>
      </c>
      <c r="R2256" s="900" t="str">
        <f t="shared" si="487"/>
        <v xml:space="preserve"> </v>
      </c>
      <c r="S2256" s="908"/>
      <c r="T2256" s="944"/>
      <c r="U2256" s="1066"/>
      <c r="V2256" s="922"/>
      <c r="W2256" s="900" t="str">
        <f>IF(S2256&lt;&gt;0,VLOOKUP(S2256,VKT!$A$2:$G$415,7,0),"")</f>
        <v/>
      </c>
      <c r="X2256" s="900" t="str">
        <f t="shared" si="501"/>
        <v xml:space="preserve"> </v>
      </c>
      <c r="Y2256" s="985"/>
      <c r="Z2256" s="922"/>
      <c r="AA2256" s="1067"/>
      <c r="AB2256" s="922"/>
      <c r="AC2256" s="922"/>
      <c r="AD2256" s="922"/>
      <c r="AE2256" s="922"/>
      <c r="AF2256" s="1046"/>
      <c r="AG2256" s="906" t="str">
        <f>IF(AE2256&lt;&gt;0,VLOOKUP(AE2256,ODDS!$A$2:$C$13,3,0),"")</f>
        <v/>
      </c>
      <c r="AH2256" s="906" t="str">
        <f t="shared" si="488"/>
        <v xml:space="preserve"> </v>
      </c>
      <c r="AI2256" s="907" t="str">
        <f t="shared" si="498"/>
        <v xml:space="preserve"> </v>
      </c>
      <c r="AJ2256" s="894"/>
      <c r="AK2256" s="894"/>
    </row>
    <row r="2257" spans="1:37" s="394" customFormat="1" ht="22.5" outlineLevel="2" x14ac:dyDescent="0.3">
      <c r="A2257" s="447">
        <f t="shared" si="500"/>
        <v>188</v>
      </c>
      <c r="B2257" s="893"/>
      <c r="C2257" s="908"/>
      <c r="D2257" s="1032"/>
      <c r="E2257" s="947"/>
      <c r="F2257" s="947"/>
      <c r="G2257" s="922"/>
      <c r="H2257" s="1041"/>
      <c r="I2257" s="882"/>
      <c r="J2257" s="894"/>
      <c r="K2257" s="899" t="str">
        <f>IF(G2257&lt;&gt;0,VLOOKUP(G2257,'gia dat'!$A$1:$F$144,5,0)," ")</f>
        <v xml:space="preserve"> </v>
      </c>
      <c r="L2257" s="899" t="str">
        <f>IF(G2257&lt;&gt;0,VLOOKUP(G2257,'gia dat'!$A$1:$F$144,6,0)," ")</f>
        <v xml:space="preserve"> </v>
      </c>
      <c r="M2257" s="900" t="str">
        <f t="shared" si="496"/>
        <v xml:space="preserve"> </v>
      </c>
      <c r="N2257" s="900" t="str">
        <f t="shared" si="497"/>
        <v xml:space="preserve"> </v>
      </c>
      <c r="O2257" s="908"/>
      <c r="P2257" s="1065"/>
      <c r="Q2257" s="900" t="str">
        <f>IF(O2257&lt;&gt;0,VLOOKUP(O2257,'Cây trong'!$A$2:$C$246,3,0)," ")</f>
        <v xml:space="preserve"> </v>
      </c>
      <c r="R2257" s="900" t="str">
        <f t="shared" si="487"/>
        <v xml:space="preserve"> </v>
      </c>
      <c r="S2257" s="908"/>
      <c r="T2257" s="944"/>
      <c r="U2257" s="1066"/>
      <c r="V2257" s="922"/>
      <c r="W2257" s="900" t="str">
        <f>IF(S2257&lt;&gt;0,VLOOKUP(S2257,VKT!$A$2:$G$415,7,0),"")</f>
        <v/>
      </c>
      <c r="X2257" s="900" t="str">
        <f t="shared" si="501"/>
        <v xml:space="preserve"> </v>
      </c>
      <c r="Y2257" s="985"/>
      <c r="Z2257" s="922"/>
      <c r="AA2257" s="1067"/>
      <c r="AB2257" s="922"/>
      <c r="AC2257" s="922"/>
      <c r="AD2257" s="922"/>
      <c r="AE2257" s="922"/>
      <c r="AF2257" s="1046"/>
      <c r="AG2257" s="906" t="str">
        <f>IF(AE2257&lt;&gt;0,VLOOKUP(AE2257,ODDS!$A$2:$C$13,3,0),"")</f>
        <v/>
      </c>
      <c r="AH2257" s="906" t="str">
        <f t="shared" si="488"/>
        <v xml:space="preserve"> </v>
      </c>
      <c r="AI2257" s="907" t="str">
        <f t="shared" si="498"/>
        <v xml:space="preserve"> </v>
      </c>
      <c r="AJ2257" s="922"/>
      <c r="AK2257" s="922"/>
    </row>
    <row r="2258" spans="1:37" s="394" customFormat="1" ht="22.5" outlineLevel="2" x14ac:dyDescent="0.3">
      <c r="A2258" s="447">
        <f t="shared" si="500"/>
        <v>188</v>
      </c>
      <c r="B2258" s="893"/>
      <c r="C2258" s="908"/>
      <c r="D2258" s="1032"/>
      <c r="E2258" s="947"/>
      <c r="F2258" s="947"/>
      <c r="G2258" s="922"/>
      <c r="H2258" s="1041"/>
      <c r="I2258" s="882"/>
      <c r="J2258" s="894"/>
      <c r="K2258" s="899" t="str">
        <f>IF(G2258&lt;&gt;0,VLOOKUP(G2258,'gia dat'!$A$1:$F$144,5,0)," ")</f>
        <v xml:space="preserve"> </v>
      </c>
      <c r="L2258" s="899" t="str">
        <f>IF(G2258&lt;&gt;0,VLOOKUP(G2258,'gia dat'!$A$1:$F$144,6,0)," ")</f>
        <v xml:space="preserve"> </v>
      </c>
      <c r="M2258" s="900" t="str">
        <f t="shared" si="496"/>
        <v xml:space="preserve"> </v>
      </c>
      <c r="N2258" s="900" t="str">
        <f t="shared" si="497"/>
        <v xml:space="preserve"> </v>
      </c>
      <c r="O2258" s="908"/>
      <c r="P2258" s="1065"/>
      <c r="Q2258" s="900" t="str">
        <f>IF(O2258&lt;&gt;0,VLOOKUP(O2258,'Cây trong'!$A$2:$C$246,3,0)," ")</f>
        <v xml:space="preserve"> </v>
      </c>
      <c r="R2258" s="900" t="str">
        <f t="shared" si="487"/>
        <v xml:space="preserve"> </v>
      </c>
      <c r="S2258" s="908"/>
      <c r="T2258" s="944"/>
      <c r="U2258" s="1066"/>
      <c r="V2258" s="922"/>
      <c r="W2258" s="900" t="str">
        <f>IF(S2258&lt;&gt;0,VLOOKUP(S2258,VKT!$A$2:$G$415,7,0),"")</f>
        <v/>
      </c>
      <c r="X2258" s="900" t="str">
        <f t="shared" si="501"/>
        <v xml:space="preserve"> </v>
      </c>
      <c r="Y2258" s="985"/>
      <c r="Z2258" s="922"/>
      <c r="AA2258" s="1067"/>
      <c r="AB2258" s="922"/>
      <c r="AC2258" s="922"/>
      <c r="AD2258" s="922"/>
      <c r="AE2258" s="922"/>
      <c r="AF2258" s="1046"/>
      <c r="AG2258" s="906" t="str">
        <f>IF(AE2258&lt;&gt;0,VLOOKUP(AE2258,ODDS!$A$2:$C$13,3,0),"")</f>
        <v/>
      </c>
      <c r="AH2258" s="906" t="str">
        <f t="shared" si="488"/>
        <v xml:space="preserve"> </v>
      </c>
      <c r="AI2258" s="907" t="str">
        <f t="shared" si="498"/>
        <v xml:space="preserve"> </v>
      </c>
      <c r="AJ2258" s="922"/>
      <c r="AK2258" s="922"/>
    </row>
    <row r="2259" spans="1:37" s="394" customFormat="1" ht="22.5" outlineLevel="2" x14ac:dyDescent="0.3">
      <c r="A2259" s="447">
        <f t="shared" si="500"/>
        <v>188</v>
      </c>
      <c r="B2259" s="893"/>
      <c r="C2259" s="942"/>
      <c r="D2259" s="1032"/>
      <c r="E2259" s="947"/>
      <c r="F2259" s="947"/>
      <c r="G2259" s="922"/>
      <c r="H2259" s="1041"/>
      <c r="I2259" s="882"/>
      <c r="J2259" s="894"/>
      <c r="K2259" s="899" t="str">
        <f>IF(G2259&lt;&gt;0,VLOOKUP(G2259,'gia dat'!$A$1:$F$144,5,0)," ")</f>
        <v xml:space="preserve"> </v>
      </c>
      <c r="L2259" s="899" t="str">
        <f>IF(G2259&lt;&gt;0,VLOOKUP(G2259,'gia dat'!$A$1:$F$144,6,0)," ")</f>
        <v xml:space="preserve"> </v>
      </c>
      <c r="M2259" s="900" t="str">
        <f t="shared" si="496"/>
        <v xml:space="preserve"> </v>
      </c>
      <c r="N2259" s="900" t="str">
        <f t="shared" si="497"/>
        <v xml:space="preserve"> </v>
      </c>
      <c r="O2259" s="908"/>
      <c r="P2259" s="1065"/>
      <c r="Q2259" s="900" t="str">
        <f>IF(O2259&lt;&gt;0,VLOOKUP(O2259,'Cây trong'!$A$2:$C$246,3,0)," ")</f>
        <v xml:space="preserve"> </v>
      </c>
      <c r="R2259" s="900" t="str">
        <f t="shared" si="487"/>
        <v xml:space="preserve"> </v>
      </c>
      <c r="S2259" s="908"/>
      <c r="T2259" s="944"/>
      <c r="U2259" s="1066"/>
      <c r="V2259" s="922"/>
      <c r="W2259" s="900" t="str">
        <f>IF(S2259&lt;&gt;0,VLOOKUP(S2259,VKT!$A$2:$G$415,7,0),"")</f>
        <v/>
      </c>
      <c r="X2259" s="900" t="str">
        <f t="shared" si="501"/>
        <v xml:space="preserve"> </v>
      </c>
      <c r="Y2259" s="985"/>
      <c r="Z2259" s="922"/>
      <c r="AA2259" s="1067"/>
      <c r="AB2259" s="922"/>
      <c r="AC2259" s="922"/>
      <c r="AD2259" s="922"/>
      <c r="AE2259" s="922"/>
      <c r="AF2259" s="1046"/>
      <c r="AG2259" s="906" t="str">
        <f>IF(AE2259&lt;&gt;0,VLOOKUP(AE2259,ODDS!$A$2:$C$13,3,0),"")</f>
        <v/>
      </c>
      <c r="AH2259" s="906" t="str">
        <f t="shared" si="488"/>
        <v xml:space="preserve"> </v>
      </c>
      <c r="AI2259" s="907" t="str">
        <f t="shared" si="498"/>
        <v xml:space="preserve"> </v>
      </c>
      <c r="AJ2259" s="922"/>
      <c r="AK2259" s="922"/>
    </row>
    <row r="2260" spans="1:37" s="396" customFormat="1" ht="22.5" outlineLevel="1" x14ac:dyDescent="0.25">
      <c r="A2260" s="467" t="s">
        <v>2521</v>
      </c>
      <c r="B2260" s="912">
        <v>189</v>
      </c>
      <c r="C2260" s="942" t="s">
        <v>1497</v>
      </c>
      <c r="D2260" s="1038"/>
      <c r="E2260" s="977"/>
      <c r="F2260" s="977"/>
      <c r="G2260" s="914"/>
      <c r="H2260" s="1039">
        <f>SUBTOTAL(9,H2261:H2269)</f>
        <v>119.2</v>
      </c>
      <c r="I2260" s="915">
        <f>SUBTOTAL(9,I2261:I2266)</f>
        <v>119.2</v>
      </c>
      <c r="J2260" s="916"/>
      <c r="K2260" s="917"/>
      <c r="L2260" s="917"/>
      <c r="M2260" s="907">
        <f>SUBTOTAL(9,M2261:M2269)</f>
        <v>55500000</v>
      </c>
      <c r="N2260" s="907">
        <f>SUBTOTAL(9,N2261:N2269)</f>
        <v>166499000</v>
      </c>
      <c r="O2260" s="942"/>
      <c r="P2260" s="1063">
        <f>SUBTOTAL(9,P2261:P2269)</f>
        <v>0</v>
      </c>
      <c r="Q2260" s="907"/>
      <c r="R2260" s="907">
        <f>SUBTOTAL(9,R2261:R2269)</f>
        <v>0</v>
      </c>
      <c r="S2260" s="918"/>
      <c r="T2260" s="956"/>
      <c r="U2260" s="1064">
        <f>SUBTOTAL(9,U2261:U2269)</f>
        <v>0</v>
      </c>
      <c r="V2260" s="914"/>
      <c r="W2260" s="907"/>
      <c r="X2260" s="907">
        <f>SUBTOTAL(9,X2261:X2269)</f>
        <v>0</v>
      </c>
      <c r="Y2260" s="985"/>
      <c r="Z2260" s="922"/>
      <c r="AA2260" s="1067"/>
      <c r="AB2260" s="922"/>
      <c r="AC2260" s="922"/>
      <c r="AD2260" s="922"/>
      <c r="AE2260" s="914"/>
      <c r="AF2260" s="1044">
        <f>SUBTOTAL(9,AF2261:AF2269)</f>
        <v>0</v>
      </c>
      <c r="AG2260" s="921"/>
      <c r="AH2260" s="921">
        <f>SUBTOTAL(9,AH2261:AH2269)</f>
        <v>0</v>
      </c>
      <c r="AI2260" s="907">
        <f t="shared" si="498"/>
        <v>221999000</v>
      </c>
      <c r="AJ2260" s="914"/>
      <c r="AK2260" s="914"/>
    </row>
    <row r="2261" spans="1:37" s="396" customFormat="1" ht="135" outlineLevel="2" x14ac:dyDescent="0.3">
      <c r="A2261" s="447">
        <f>IF(B2260&lt;&gt;0,B2260,A2259)</f>
        <v>189</v>
      </c>
      <c r="B2261" s="893"/>
      <c r="C2261" s="908" t="s">
        <v>1499</v>
      </c>
      <c r="D2261" s="1032">
        <v>1</v>
      </c>
      <c r="E2261" s="947">
        <v>86</v>
      </c>
      <c r="F2261" s="947">
        <v>123</v>
      </c>
      <c r="G2261" s="922" t="s">
        <v>2871</v>
      </c>
      <c r="H2261" s="1041">
        <v>119.2</v>
      </c>
      <c r="I2261" s="882">
        <f t="shared" ref="I2261" si="502">IF(N2261&gt;0,H2261,"")</f>
        <v>119.2</v>
      </c>
      <c r="J2261" s="898"/>
      <c r="K2261" s="899">
        <f>IF(G2261&lt;&gt;0,VLOOKUP(G2261,'gia dat'!$A$1:$F$144,5,0)," ")</f>
        <v>465600</v>
      </c>
      <c r="L2261" s="899">
        <f>IF(G2261&lt;&gt;0,VLOOKUP(G2261,'gia dat'!$A$1:$F$144,6,0)," ")</f>
        <v>1396800</v>
      </c>
      <c r="M2261" s="900">
        <f t="shared" si="496"/>
        <v>55500000</v>
      </c>
      <c r="N2261" s="900">
        <f t="shared" si="497"/>
        <v>166499000</v>
      </c>
      <c r="O2261" s="908"/>
      <c r="P2261" s="1065"/>
      <c r="Q2261" s="900" t="str">
        <f>IF(O2261&lt;&gt;0,VLOOKUP(O2261,'Cây trong'!$A$2:$C$246,3,0)," ")</f>
        <v xml:space="preserve"> </v>
      </c>
      <c r="R2261" s="900" t="str">
        <f t="shared" si="487"/>
        <v xml:space="preserve"> </v>
      </c>
      <c r="S2261" s="902"/>
      <c r="T2261" s="944"/>
      <c r="U2261" s="1066"/>
      <c r="V2261" s="922"/>
      <c r="W2261" s="900" t="str">
        <f>IF(S2261&lt;&gt;0,VLOOKUP(S2261,VKT!$A$2:$G$415,7,0),"")</f>
        <v/>
      </c>
      <c r="X2261" s="900" t="str">
        <f t="shared" si="501"/>
        <v xml:space="preserve"> </v>
      </c>
      <c r="Y2261" s="985"/>
      <c r="Z2261" s="922"/>
      <c r="AA2261" s="1067"/>
      <c r="AB2261" s="922"/>
      <c r="AC2261" s="922"/>
      <c r="AD2261" s="922"/>
      <c r="AE2261" s="922"/>
      <c r="AF2261" s="1046"/>
      <c r="AG2261" s="906" t="str">
        <f>IF(AE2261&lt;&gt;0,VLOOKUP(AE2261,ODDS!$A$2:$C$13,3,0),"")</f>
        <v/>
      </c>
      <c r="AH2261" s="906"/>
      <c r="AI2261" s="907" t="str">
        <f t="shared" si="498"/>
        <v xml:space="preserve"> </v>
      </c>
      <c r="AJ2261" s="922" t="s">
        <v>1498</v>
      </c>
      <c r="AK2261" s="922" t="s">
        <v>2771</v>
      </c>
    </row>
    <row r="2262" spans="1:37" s="394" customFormat="1" ht="90" outlineLevel="2" x14ac:dyDescent="0.3">
      <c r="A2262" s="447">
        <f t="shared" ref="A2262:A2269" si="503">IF(B2261&lt;&gt;0,B2261,A2261)</f>
        <v>189</v>
      </c>
      <c r="B2262" s="893"/>
      <c r="C2262" s="908" t="s">
        <v>1501</v>
      </c>
      <c r="D2262" s="1032"/>
      <c r="E2262" s="947"/>
      <c r="F2262" s="947"/>
      <c r="G2262" s="922"/>
      <c r="H2262" s="1041"/>
      <c r="I2262" s="882"/>
      <c r="J2262" s="898"/>
      <c r="K2262" s="899" t="str">
        <f>IF(G2262&lt;&gt;0,VLOOKUP(G2262,'gia dat'!$A$1:$F$144,5,0)," ")</f>
        <v xml:space="preserve"> </v>
      </c>
      <c r="L2262" s="899" t="str">
        <f>IF(G2262&lt;&gt;0,VLOOKUP(G2262,'gia dat'!$A$1:$F$144,6,0)," ")</f>
        <v xml:space="preserve"> </v>
      </c>
      <c r="M2262" s="900" t="str">
        <f t="shared" si="496"/>
        <v xml:space="preserve"> </v>
      </c>
      <c r="N2262" s="900" t="str">
        <f t="shared" si="497"/>
        <v xml:space="preserve"> </v>
      </c>
      <c r="O2262" s="908"/>
      <c r="P2262" s="1065"/>
      <c r="Q2262" s="900" t="str">
        <f>IF(O2262&lt;&gt;0,VLOOKUP(O2262,'Cây trong'!$A$2:$C$246,3,0)," ")</f>
        <v xml:space="preserve"> </v>
      </c>
      <c r="R2262" s="900" t="str">
        <f t="shared" si="487"/>
        <v xml:space="preserve"> </v>
      </c>
      <c r="S2262" s="902"/>
      <c r="T2262" s="944"/>
      <c r="U2262" s="1066"/>
      <c r="V2262" s="922"/>
      <c r="W2262" s="900" t="str">
        <f>IF(S2262&lt;&gt;0,VLOOKUP(S2262,VKT!$A$2:$G$415,7,0),"")</f>
        <v/>
      </c>
      <c r="X2262" s="900" t="str">
        <f t="shared" si="501"/>
        <v xml:space="preserve"> </v>
      </c>
      <c r="Y2262" s="985"/>
      <c r="Z2262" s="922"/>
      <c r="AA2262" s="1067"/>
      <c r="AB2262" s="922"/>
      <c r="AC2262" s="922"/>
      <c r="AD2262" s="922"/>
      <c r="AE2262" s="922"/>
      <c r="AF2262" s="1046"/>
      <c r="AG2262" s="906" t="str">
        <f>IF(AE2262&lt;&gt;0,VLOOKUP(AE2262,ODDS!$A$2:$C$13,3,0),"")</f>
        <v/>
      </c>
      <c r="AH2262" s="906" t="str">
        <f t="shared" si="488"/>
        <v xml:space="preserve"> </v>
      </c>
      <c r="AI2262" s="907" t="str">
        <f t="shared" si="498"/>
        <v xml:space="preserve"> </v>
      </c>
      <c r="AJ2262" s="922" t="s">
        <v>1500</v>
      </c>
      <c r="AK2262" s="894" t="s">
        <v>2448</v>
      </c>
    </row>
    <row r="2263" spans="1:37" s="394" customFormat="1" ht="67.5" outlineLevel="2" x14ac:dyDescent="0.3">
      <c r="A2263" s="447">
        <f t="shared" si="503"/>
        <v>189</v>
      </c>
      <c r="B2263" s="893"/>
      <c r="C2263" s="908"/>
      <c r="D2263" s="1032"/>
      <c r="E2263" s="947"/>
      <c r="F2263" s="947"/>
      <c r="G2263" s="922"/>
      <c r="H2263" s="1041"/>
      <c r="I2263" s="882"/>
      <c r="J2263" s="898"/>
      <c r="K2263" s="899" t="str">
        <f>IF(G2263&lt;&gt;0,VLOOKUP(G2263,'gia dat'!$A$1:$F$144,5,0)," ")</f>
        <v xml:space="preserve"> </v>
      </c>
      <c r="L2263" s="899" t="str">
        <f>IF(G2263&lt;&gt;0,VLOOKUP(G2263,'gia dat'!$A$1:$F$144,6,0)," ")</f>
        <v xml:space="preserve"> </v>
      </c>
      <c r="M2263" s="900" t="str">
        <f t="shared" si="496"/>
        <v xml:space="preserve"> </v>
      </c>
      <c r="N2263" s="900" t="str">
        <f t="shared" si="497"/>
        <v xml:space="preserve"> </v>
      </c>
      <c r="O2263" s="908"/>
      <c r="P2263" s="1065"/>
      <c r="Q2263" s="900" t="str">
        <f>IF(O2263&lt;&gt;0,VLOOKUP(O2263,'Cây trong'!$A$2:$C$246,3,0)," ")</f>
        <v xml:space="preserve"> </v>
      </c>
      <c r="R2263" s="900" t="str">
        <f t="shared" si="487"/>
        <v xml:space="preserve"> </v>
      </c>
      <c r="S2263" s="902"/>
      <c r="T2263" s="944"/>
      <c r="U2263" s="1066"/>
      <c r="V2263" s="922"/>
      <c r="W2263" s="900" t="str">
        <f>IF(S2263&lt;&gt;0,VLOOKUP(S2263,VKT!$A$2:$G$415,7,0),"")</f>
        <v/>
      </c>
      <c r="X2263" s="900" t="str">
        <f t="shared" si="501"/>
        <v xml:space="preserve"> </v>
      </c>
      <c r="Y2263" s="985"/>
      <c r="Z2263" s="922"/>
      <c r="AA2263" s="1067"/>
      <c r="AB2263" s="922"/>
      <c r="AC2263" s="922"/>
      <c r="AD2263" s="922"/>
      <c r="AE2263" s="922"/>
      <c r="AF2263" s="1046"/>
      <c r="AG2263" s="906" t="str">
        <f>IF(AE2263&lt;&gt;0,VLOOKUP(AE2263,ODDS!$A$2:$C$13,3,0),"")</f>
        <v/>
      </c>
      <c r="AH2263" s="906" t="str">
        <f t="shared" si="488"/>
        <v xml:space="preserve"> </v>
      </c>
      <c r="AI2263" s="907" t="str">
        <f t="shared" si="498"/>
        <v xml:space="preserve"> </v>
      </c>
      <c r="AJ2263" s="922" t="s">
        <v>2074</v>
      </c>
      <c r="AK2263" s="922"/>
    </row>
    <row r="2264" spans="1:37" s="394" customFormat="1" ht="22.5" outlineLevel="2" x14ac:dyDescent="0.35">
      <c r="A2264" s="447">
        <f t="shared" si="503"/>
        <v>189</v>
      </c>
      <c r="B2264" s="893"/>
      <c r="C2264" s="908"/>
      <c r="D2264" s="1032"/>
      <c r="E2264" s="947"/>
      <c r="F2264" s="947"/>
      <c r="G2264" s="922"/>
      <c r="H2264" s="1041"/>
      <c r="I2264" s="882"/>
      <c r="J2264" s="894"/>
      <c r="K2264" s="899" t="str">
        <f>IF(G2264&lt;&gt;0,VLOOKUP(G2264,'gia dat'!$A$1:$F$144,5,0)," ")</f>
        <v xml:space="preserve"> </v>
      </c>
      <c r="L2264" s="899" t="str">
        <f>IF(G2264&lt;&gt;0,VLOOKUP(G2264,'gia dat'!$A$1:$F$144,6,0)," ")</f>
        <v xml:space="preserve"> </v>
      </c>
      <c r="M2264" s="900" t="str">
        <f t="shared" si="496"/>
        <v xml:space="preserve"> </v>
      </c>
      <c r="N2264" s="900" t="str">
        <f t="shared" si="497"/>
        <v xml:space="preserve"> </v>
      </c>
      <c r="O2264" s="908"/>
      <c r="P2264" s="1065"/>
      <c r="Q2264" s="900" t="str">
        <f>IF(O2264&lt;&gt;0,VLOOKUP(O2264,'Cây trong'!$A$2:$C$246,3,0)," ")</f>
        <v xml:space="preserve"> </v>
      </c>
      <c r="R2264" s="900" t="str">
        <f t="shared" si="487"/>
        <v xml:space="preserve"> </v>
      </c>
      <c r="S2264" s="908"/>
      <c r="T2264" s="944"/>
      <c r="U2264" s="1066"/>
      <c r="V2264" s="922"/>
      <c r="W2264" s="900" t="str">
        <f>IF(S2264&lt;&gt;0,VLOOKUP(S2264,VKT!$A$2:$G$415,7,0),"")</f>
        <v/>
      </c>
      <c r="X2264" s="900" t="str">
        <f t="shared" si="501"/>
        <v xml:space="preserve"> </v>
      </c>
      <c r="Y2264" s="985"/>
      <c r="Z2264" s="922"/>
      <c r="AA2264" s="1067"/>
      <c r="AB2264" s="922"/>
      <c r="AC2264" s="922"/>
      <c r="AD2264" s="922"/>
      <c r="AE2264" s="922"/>
      <c r="AF2264" s="1046"/>
      <c r="AG2264" s="906" t="str">
        <f>IF(AE2264&lt;&gt;0,VLOOKUP(AE2264,ODDS!$A$2:$C$13,3,0),"")</f>
        <v/>
      </c>
      <c r="AH2264" s="906" t="str">
        <f t="shared" si="488"/>
        <v xml:space="preserve"> </v>
      </c>
      <c r="AI2264" s="907" t="str">
        <f t="shared" si="498"/>
        <v xml:space="preserve"> </v>
      </c>
      <c r="AJ2264" s="1068"/>
      <c r="AK2264" s="922"/>
    </row>
    <row r="2265" spans="1:37" s="394" customFormat="1" ht="22.5" outlineLevel="2" x14ac:dyDescent="0.3">
      <c r="A2265" s="447">
        <f t="shared" si="503"/>
        <v>189</v>
      </c>
      <c r="B2265" s="893"/>
      <c r="C2265" s="922"/>
      <c r="D2265" s="1032"/>
      <c r="E2265" s="947"/>
      <c r="F2265" s="947"/>
      <c r="G2265" s="922"/>
      <c r="H2265" s="1041"/>
      <c r="I2265" s="882"/>
      <c r="J2265" s="894"/>
      <c r="K2265" s="899" t="str">
        <f>IF(G2265&lt;&gt;0,VLOOKUP(G2265,'gia dat'!$A$1:$F$144,5,0)," ")</f>
        <v xml:space="preserve"> </v>
      </c>
      <c r="L2265" s="899" t="str">
        <f>IF(G2265&lt;&gt;0,VLOOKUP(G2265,'gia dat'!$A$1:$F$144,6,0)," ")</f>
        <v xml:space="preserve"> </v>
      </c>
      <c r="M2265" s="900" t="str">
        <f t="shared" si="496"/>
        <v xml:space="preserve"> </v>
      </c>
      <c r="N2265" s="900" t="str">
        <f t="shared" si="497"/>
        <v xml:space="preserve"> </v>
      </c>
      <c r="O2265" s="908"/>
      <c r="P2265" s="1065"/>
      <c r="Q2265" s="900" t="str">
        <f>IF(O2265&lt;&gt;0,VLOOKUP(O2265,'Cây trong'!$A$2:$C$246,3,0)," ")</f>
        <v xml:space="preserve"> </v>
      </c>
      <c r="R2265" s="900" t="str">
        <f t="shared" si="487"/>
        <v xml:space="preserve"> </v>
      </c>
      <c r="S2265" s="908"/>
      <c r="T2265" s="944"/>
      <c r="U2265" s="1066"/>
      <c r="V2265" s="922"/>
      <c r="W2265" s="900" t="str">
        <f>IF(S2265&lt;&gt;0,VLOOKUP(S2265,VKT!$A$2:$G$415,7,0),"")</f>
        <v/>
      </c>
      <c r="X2265" s="900" t="str">
        <f t="shared" si="501"/>
        <v xml:space="preserve"> </v>
      </c>
      <c r="Y2265" s="985"/>
      <c r="Z2265" s="922"/>
      <c r="AA2265" s="1067"/>
      <c r="AB2265" s="922"/>
      <c r="AC2265" s="922"/>
      <c r="AD2265" s="922"/>
      <c r="AE2265" s="922"/>
      <c r="AF2265" s="1046"/>
      <c r="AG2265" s="906" t="str">
        <f>IF(AE2265&lt;&gt;0,VLOOKUP(AE2265,ODDS!$A$2:$C$13,3,0),"")</f>
        <v/>
      </c>
      <c r="AH2265" s="906" t="str">
        <f t="shared" si="488"/>
        <v xml:space="preserve"> </v>
      </c>
      <c r="AI2265" s="907" t="str">
        <f t="shared" si="498"/>
        <v xml:space="preserve"> </v>
      </c>
      <c r="AJ2265" s="922"/>
      <c r="AK2265" s="922"/>
    </row>
    <row r="2266" spans="1:37" s="394" customFormat="1" ht="22.5" outlineLevel="2" x14ac:dyDescent="0.3">
      <c r="A2266" s="447">
        <f t="shared" si="503"/>
        <v>189</v>
      </c>
      <c r="B2266" s="893"/>
      <c r="C2266" s="922"/>
      <c r="D2266" s="1032"/>
      <c r="E2266" s="947"/>
      <c r="F2266" s="947"/>
      <c r="G2266" s="922"/>
      <c r="H2266" s="1041"/>
      <c r="I2266" s="882"/>
      <c r="J2266" s="894"/>
      <c r="K2266" s="899" t="str">
        <f>IF(G2266&lt;&gt;0,VLOOKUP(G2266,'gia dat'!$A$1:$F$144,5,0)," ")</f>
        <v xml:space="preserve"> </v>
      </c>
      <c r="L2266" s="899" t="str">
        <f>IF(G2266&lt;&gt;0,VLOOKUP(G2266,'gia dat'!$A$1:$F$144,6,0)," ")</f>
        <v xml:space="preserve"> </v>
      </c>
      <c r="M2266" s="900" t="str">
        <f t="shared" si="496"/>
        <v xml:space="preserve"> </v>
      </c>
      <c r="N2266" s="900" t="str">
        <f t="shared" si="497"/>
        <v xml:space="preserve"> </v>
      </c>
      <c r="O2266" s="908"/>
      <c r="P2266" s="1065"/>
      <c r="Q2266" s="900" t="str">
        <f>IF(O2266&lt;&gt;0,VLOOKUP(O2266,'Cây trong'!$A$2:$C$246,3,0)," ")</f>
        <v xml:space="preserve"> </v>
      </c>
      <c r="R2266" s="900" t="str">
        <f t="shared" si="487"/>
        <v xml:space="preserve"> </v>
      </c>
      <c r="S2266" s="908"/>
      <c r="T2266" s="944"/>
      <c r="U2266" s="1066"/>
      <c r="V2266" s="922"/>
      <c r="W2266" s="900" t="str">
        <f>IF(S2266&lt;&gt;0,VLOOKUP(S2266,VKT!$A$2:$G$415,7,0),"")</f>
        <v/>
      </c>
      <c r="X2266" s="900" t="str">
        <f t="shared" si="501"/>
        <v xml:space="preserve"> </v>
      </c>
      <c r="Y2266" s="985"/>
      <c r="Z2266" s="922"/>
      <c r="AA2266" s="1067"/>
      <c r="AB2266" s="922"/>
      <c r="AC2266" s="922"/>
      <c r="AD2266" s="922"/>
      <c r="AE2266" s="922"/>
      <c r="AF2266" s="1046"/>
      <c r="AG2266" s="906" t="str">
        <f>IF(AE2266&lt;&gt;0,VLOOKUP(AE2266,ODDS!$A$2:$C$13,3,0),"")</f>
        <v/>
      </c>
      <c r="AH2266" s="906" t="str">
        <f t="shared" si="488"/>
        <v xml:space="preserve"> </v>
      </c>
      <c r="AI2266" s="907" t="str">
        <f t="shared" si="498"/>
        <v xml:space="preserve"> </v>
      </c>
      <c r="AJ2266" s="908"/>
      <c r="AK2266" s="908"/>
    </row>
    <row r="2267" spans="1:37" s="394" customFormat="1" ht="22.5" outlineLevel="2" x14ac:dyDescent="0.3">
      <c r="A2267" s="447">
        <f t="shared" si="503"/>
        <v>189</v>
      </c>
      <c r="B2267" s="893"/>
      <c r="C2267" s="908"/>
      <c r="D2267" s="1032"/>
      <c r="E2267" s="947"/>
      <c r="F2267" s="947"/>
      <c r="G2267" s="922"/>
      <c r="H2267" s="1041"/>
      <c r="I2267" s="882"/>
      <c r="J2267" s="894"/>
      <c r="K2267" s="899" t="str">
        <f>IF(G2267&lt;&gt;0,VLOOKUP(G2267,'gia dat'!$A$1:$F$144,5,0)," ")</f>
        <v xml:space="preserve"> </v>
      </c>
      <c r="L2267" s="899" t="str">
        <f>IF(G2267&lt;&gt;0,VLOOKUP(G2267,'gia dat'!$A$1:$F$144,6,0)," ")</f>
        <v xml:space="preserve"> </v>
      </c>
      <c r="M2267" s="900" t="str">
        <f t="shared" si="496"/>
        <v xml:space="preserve"> </v>
      </c>
      <c r="N2267" s="900" t="str">
        <f t="shared" si="497"/>
        <v xml:space="preserve"> </v>
      </c>
      <c r="O2267" s="908"/>
      <c r="P2267" s="1065"/>
      <c r="Q2267" s="900" t="str">
        <f>IF(O2267&lt;&gt;0,VLOOKUP(O2267,'Cây trong'!$A$2:$C$246,3,0)," ")</f>
        <v xml:space="preserve"> </v>
      </c>
      <c r="R2267" s="900" t="str">
        <f t="shared" si="487"/>
        <v xml:space="preserve"> </v>
      </c>
      <c r="S2267" s="908"/>
      <c r="T2267" s="944"/>
      <c r="U2267" s="1066"/>
      <c r="V2267" s="922"/>
      <c r="W2267" s="900" t="str">
        <f>IF(S2267&lt;&gt;0,VLOOKUP(S2267,VKT!$A$2:$G$415,7,0),"")</f>
        <v/>
      </c>
      <c r="X2267" s="900" t="str">
        <f t="shared" si="501"/>
        <v xml:space="preserve"> </v>
      </c>
      <c r="Y2267" s="985"/>
      <c r="Z2267" s="922"/>
      <c r="AA2267" s="1067"/>
      <c r="AB2267" s="922"/>
      <c r="AC2267" s="922"/>
      <c r="AD2267" s="922"/>
      <c r="AE2267" s="922"/>
      <c r="AF2267" s="1046"/>
      <c r="AG2267" s="906" t="str">
        <f>IF(AE2267&lt;&gt;0,VLOOKUP(AE2267,ODDS!$A$2:$C$13,3,0),"")</f>
        <v/>
      </c>
      <c r="AH2267" s="906" t="str">
        <f t="shared" si="488"/>
        <v xml:space="preserve"> </v>
      </c>
      <c r="AI2267" s="907" t="str">
        <f t="shared" si="498"/>
        <v xml:space="preserve"> </v>
      </c>
      <c r="AJ2267" s="894"/>
      <c r="AK2267" s="894"/>
    </row>
    <row r="2268" spans="1:37" s="394" customFormat="1" ht="22.5" outlineLevel="2" x14ac:dyDescent="0.3">
      <c r="A2268" s="447">
        <f t="shared" si="503"/>
        <v>189</v>
      </c>
      <c r="B2268" s="893"/>
      <c r="C2268" s="908"/>
      <c r="D2268" s="1032"/>
      <c r="E2268" s="947"/>
      <c r="F2268" s="947"/>
      <c r="G2268" s="922"/>
      <c r="H2268" s="1041"/>
      <c r="I2268" s="882"/>
      <c r="J2268" s="894"/>
      <c r="K2268" s="899" t="str">
        <f>IF(G2268&lt;&gt;0,VLOOKUP(G2268,'gia dat'!$A$1:$F$144,5,0)," ")</f>
        <v xml:space="preserve"> </v>
      </c>
      <c r="L2268" s="899" t="str">
        <f>IF(G2268&lt;&gt;0,VLOOKUP(G2268,'gia dat'!$A$1:$F$144,6,0)," ")</f>
        <v xml:space="preserve"> </v>
      </c>
      <c r="M2268" s="900" t="str">
        <f t="shared" si="496"/>
        <v xml:space="preserve"> </v>
      </c>
      <c r="N2268" s="900" t="str">
        <f t="shared" si="497"/>
        <v xml:space="preserve"> </v>
      </c>
      <c r="O2268" s="908"/>
      <c r="P2268" s="1065"/>
      <c r="Q2268" s="900" t="str">
        <f>IF(O2268&lt;&gt;0,VLOOKUP(O2268,'Cây trong'!$A$2:$C$246,3,0)," ")</f>
        <v xml:space="preserve"> </v>
      </c>
      <c r="R2268" s="900" t="str">
        <f t="shared" si="487"/>
        <v xml:space="preserve"> </v>
      </c>
      <c r="S2268" s="908"/>
      <c r="T2268" s="944"/>
      <c r="U2268" s="1066"/>
      <c r="V2268" s="922"/>
      <c r="W2268" s="900" t="str">
        <f>IF(S2268&lt;&gt;0,VLOOKUP(S2268,VKT!$A$2:$G$415,7,0),"")</f>
        <v/>
      </c>
      <c r="X2268" s="900" t="str">
        <f t="shared" si="501"/>
        <v xml:space="preserve"> </v>
      </c>
      <c r="Y2268" s="985"/>
      <c r="Z2268" s="922"/>
      <c r="AA2268" s="1067"/>
      <c r="AB2268" s="922"/>
      <c r="AC2268" s="922"/>
      <c r="AD2268" s="922"/>
      <c r="AE2268" s="922"/>
      <c r="AF2268" s="1046"/>
      <c r="AG2268" s="906" t="str">
        <f>IF(AE2268&lt;&gt;0,VLOOKUP(AE2268,ODDS!$A$2:$C$13,3,0),"")</f>
        <v/>
      </c>
      <c r="AH2268" s="906" t="str">
        <f t="shared" si="488"/>
        <v xml:space="preserve"> </v>
      </c>
      <c r="AI2268" s="907" t="str">
        <f t="shared" si="498"/>
        <v xml:space="preserve"> </v>
      </c>
      <c r="AJ2268" s="922"/>
      <c r="AK2268" s="922"/>
    </row>
    <row r="2269" spans="1:37" s="394" customFormat="1" ht="22.5" outlineLevel="2" x14ac:dyDescent="0.3">
      <c r="A2269" s="447">
        <f t="shared" si="503"/>
        <v>189</v>
      </c>
      <c r="B2269" s="893"/>
      <c r="C2269" s="942"/>
      <c r="D2269" s="1032"/>
      <c r="E2269" s="947"/>
      <c r="F2269" s="947"/>
      <c r="G2269" s="922"/>
      <c r="H2269" s="1041"/>
      <c r="I2269" s="882"/>
      <c r="J2269" s="894"/>
      <c r="K2269" s="899" t="str">
        <f>IF(G2269&lt;&gt;0,VLOOKUP(G2269,'gia dat'!$A$1:$F$144,5,0)," ")</f>
        <v xml:space="preserve"> </v>
      </c>
      <c r="L2269" s="899" t="str">
        <f>IF(G2269&lt;&gt;0,VLOOKUP(G2269,'gia dat'!$A$1:$F$144,6,0)," ")</f>
        <v xml:space="preserve"> </v>
      </c>
      <c r="M2269" s="900" t="str">
        <f t="shared" si="496"/>
        <v xml:space="preserve"> </v>
      </c>
      <c r="N2269" s="900" t="str">
        <f t="shared" si="497"/>
        <v xml:space="preserve"> </v>
      </c>
      <c r="O2269" s="908"/>
      <c r="P2269" s="1065"/>
      <c r="Q2269" s="900" t="str">
        <f>IF(O2269&lt;&gt;0,VLOOKUP(O2269,'Cây trong'!$A$2:$C$246,3,0)," ")</f>
        <v xml:space="preserve"> </v>
      </c>
      <c r="R2269" s="900" t="str">
        <f t="shared" ref="R2269:R2346" si="504">IF(O2269&lt;&gt;0,ROUND(P2269*Q2269,-2)," ")</f>
        <v xml:space="preserve"> </v>
      </c>
      <c r="S2269" s="908"/>
      <c r="T2269" s="944"/>
      <c r="U2269" s="1066"/>
      <c r="V2269" s="922"/>
      <c r="W2269" s="900" t="str">
        <f>IF(S2269&lt;&gt;0,VLOOKUP(S2269,VKT!$A$2:$G$415,7,0),"")</f>
        <v/>
      </c>
      <c r="X2269" s="900" t="str">
        <f t="shared" si="501"/>
        <v xml:space="preserve"> </v>
      </c>
      <c r="Y2269" s="985"/>
      <c r="Z2269" s="922"/>
      <c r="AA2269" s="1067"/>
      <c r="AB2269" s="922"/>
      <c r="AC2269" s="922"/>
      <c r="AD2269" s="922"/>
      <c r="AE2269" s="922"/>
      <c r="AF2269" s="1046"/>
      <c r="AG2269" s="906" t="str">
        <f>IF(AE2269&lt;&gt;0,VLOOKUP(AE2269,ODDS!$A$2:$C$13,3,0),"")</f>
        <v/>
      </c>
      <c r="AH2269" s="906" t="str">
        <f t="shared" ref="AH2269:AH2338" si="505">IF(AE2269&lt;&gt;0,ROUND(AF2269*AG2269,-2)," ")</f>
        <v xml:space="preserve"> </v>
      </c>
      <c r="AI2269" s="907" t="str">
        <f t="shared" si="498"/>
        <v xml:space="preserve"> </v>
      </c>
      <c r="AJ2269" s="922"/>
      <c r="AK2269" s="922"/>
    </row>
    <row r="2270" spans="1:37" s="396" customFormat="1" ht="43.5" outlineLevel="1" x14ac:dyDescent="0.25">
      <c r="A2270" s="467" t="s">
        <v>2520</v>
      </c>
      <c r="B2270" s="912">
        <v>190</v>
      </c>
      <c r="C2270" s="942" t="s">
        <v>1503</v>
      </c>
      <c r="D2270" s="1038"/>
      <c r="E2270" s="977"/>
      <c r="F2270" s="977"/>
      <c r="G2270" s="914"/>
      <c r="H2270" s="1039">
        <f>SUBTOTAL(9,H2271:H2279)</f>
        <v>147</v>
      </c>
      <c r="I2270" s="915">
        <f>SUBTOTAL(9,I2271:I2276)</f>
        <v>147</v>
      </c>
      <c r="J2270" s="916"/>
      <c r="K2270" s="917"/>
      <c r="L2270" s="917"/>
      <c r="M2270" s="907">
        <f>SUBTOTAL(9,M2271:M2279)</f>
        <v>55390000</v>
      </c>
      <c r="N2270" s="907">
        <f>SUBTOTAL(9,N2271:N2279)</f>
        <v>166169000</v>
      </c>
      <c r="O2270" s="942"/>
      <c r="P2270" s="1063">
        <f>SUBTOTAL(9,P2271:P2279)</f>
        <v>2</v>
      </c>
      <c r="Q2270" s="907"/>
      <c r="R2270" s="907">
        <f>SUBTOTAL(9,R2271:R2279)</f>
        <v>1537000</v>
      </c>
      <c r="S2270" s="918"/>
      <c r="T2270" s="956"/>
      <c r="U2270" s="1064">
        <f>SUBTOTAL(9,U2271:U2279)</f>
        <v>0</v>
      </c>
      <c r="V2270" s="914"/>
      <c r="W2270" s="907"/>
      <c r="X2270" s="907">
        <f>SUBTOTAL(9,X2271:X2279)</f>
        <v>0</v>
      </c>
      <c r="Y2270" s="985"/>
      <c r="Z2270" s="922"/>
      <c r="AA2270" s="1067"/>
      <c r="AB2270" s="922"/>
      <c r="AC2270" s="922"/>
      <c r="AD2270" s="922"/>
      <c r="AE2270" s="914"/>
      <c r="AF2270" s="1044">
        <f>SUBTOTAL(9,AF2271:AF2279)</f>
        <v>0</v>
      </c>
      <c r="AG2270" s="921"/>
      <c r="AH2270" s="921">
        <f>SUBTOTAL(9,AH2271:AH2279)</f>
        <v>0</v>
      </c>
      <c r="AI2270" s="907">
        <f t="shared" si="498"/>
        <v>223096000</v>
      </c>
      <c r="AJ2270" s="914"/>
      <c r="AK2270" s="914"/>
    </row>
    <row r="2271" spans="1:37" s="396" customFormat="1" ht="135" outlineLevel="2" x14ac:dyDescent="0.3">
      <c r="A2271" s="447">
        <f>IF(B2270&lt;&gt;0,B2270,A2269)</f>
        <v>190</v>
      </c>
      <c r="B2271" s="893"/>
      <c r="C2271" s="908" t="s">
        <v>1505</v>
      </c>
      <c r="D2271" s="1032">
        <v>1</v>
      </c>
      <c r="E2271" s="947">
        <v>86</v>
      </c>
      <c r="F2271" s="947">
        <v>378</v>
      </c>
      <c r="G2271" s="922" t="s">
        <v>2433</v>
      </c>
      <c r="H2271" s="1041">
        <v>147</v>
      </c>
      <c r="I2271" s="882">
        <f t="shared" ref="I2271" si="506">IF(N2271&gt;0,H2271,"")</f>
        <v>147</v>
      </c>
      <c r="J2271" s="898"/>
      <c r="K2271" s="899">
        <f>IF(G2271&lt;&gt;0,VLOOKUP(G2271,'gia dat'!$A$1:$F$144,5,0)," ")</f>
        <v>376800</v>
      </c>
      <c r="L2271" s="899">
        <f>IF(G2271&lt;&gt;0,VLOOKUP(G2271,'gia dat'!$A$1:$F$144,6,0)," ")</f>
        <v>1130400</v>
      </c>
      <c r="M2271" s="900">
        <f t="shared" si="496"/>
        <v>55390000</v>
      </c>
      <c r="N2271" s="900">
        <f t="shared" si="497"/>
        <v>166169000</v>
      </c>
      <c r="O2271" s="908" t="s">
        <v>1429</v>
      </c>
      <c r="P2271" s="1065">
        <v>1</v>
      </c>
      <c r="Q2271" s="900">
        <f>IF(O2271&lt;&gt;0,VLOOKUP(O2271,'Cây trong'!$A$2:$C$246,3,0)," ")</f>
        <v>1200000</v>
      </c>
      <c r="R2271" s="900">
        <f t="shared" si="504"/>
        <v>1200000</v>
      </c>
      <c r="S2271" s="902"/>
      <c r="T2271" s="944"/>
      <c r="U2271" s="1066"/>
      <c r="V2271" s="922"/>
      <c r="W2271" s="900" t="str">
        <f>IF(S2271&lt;&gt;0,VLOOKUP(S2271,VKT!$A$2:$G$415,7,0),"")</f>
        <v/>
      </c>
      <c r="X2271" s="900" t="str">
        <f t="shared" si="501"/>
        <v xml:space="preserve"> </v>
      </c>
      <c r="Y2271" s="985"/>
      <c r="Z2271" s="922"/>
      <c r="AA2271" s="1067"/>
      <c r="AB2271" s="922"/>
      <c r="AC2271" s="922"/>
      <c r="AD2271" s="922"/>
      <c r="AE2271" s="922"/>
      <c r="AF2271" s="1046"/>
      <c r="AG2271" s="906" t="str">
        <f>IF(AE2271&lt;&gt;0,VLOOKUP(AE2271,ODDS!$A$2:$C$13,3,0),"")</f>
        <v/>
      </c>
      <c r="AH2271" s="906"/>
      <c r="AI2271" s="907" t="str">
        <f t="shared" si="498"/>
        <v xml:space="preserve"> </v>
      </c>
      <c r="AJ2271" s="922" t="s">
        <v>1504</v>
      </c>
      <c r="AK2271" s="922" t="s">
        <v>2771</v>
      </c>
    </row>
    <row r="2272" spans="1:37" s="394" customFormat="1" ht="90" outlineLevel="2" x14ac:dyDescent="0.3">
      <c r="A2272" s="447">
        <f t="shared" ref="A2272:A2279" si="507">IF(B2271&lt;&gt;0,B2271,A2271)</f>
        <v>190</v>
      </c>
      <c r="B2272" s="893"/>
      <c r="C2272" s="908" t="s">
        <v>1640</v>
      </c>
      <c r="D2272" s="1032"/>
      <c r="E2272" s="947"/>
      <c r="F2272" s="947"/>
      <c r="G2272" s="922"/>
      <c r="H2272" s="1041"/>
      <c r="I2272" s="882"/>
      <c r="J2272" s="898"/>
      <c r="K2272" s="899" t="str">
        <f>IF(G2272&lt;&gt;0,VLOOKUP(G2272,'gia dat'!$A$1:$F$144,5,0)," ")</f>
        <v xml:space="preserve"> </v>
      </c>
      <c r="L2272" s="899" t="str">
        <f>IF(G2272&lt;&gt;0,VLOOKUP(G2272,'gia dat'!$A$1:$F$144,6,0)," ")</f>
        <v xml:space="preserve"> </v>
      </c>
      <c r="M2272" s="900" t="str">
        <f t="shared" si="496"/>
        <v xml:space="preserve"> </v>
      </c>
      <c r="N2272" s="900" t="str">
        <f t="shared" si="497"/>
        <v xml:space="preserve"> </v>
      </c>
      <c r="O2272" s="908" t="s">
        <v>408</v>
      </c>
      <c r="P2272" s="1065">
        <v>1</v>
      </c>
      <c r="Q2272" s="900">
        <f>IF(O2272&lt;&gt;0,VLOOKUP(O2272,'Cây trong'!$A$2:$C$246,3,0)," ")</f>
        <v>337000</v>
      </c>
      <c r="R2272" s="900">
        <f t="shared" si="504"/>
        <v>337000</v>
      </c>
      <c r="S2272" s="902"/>
      <c r="T2272" s="944"/>
      <c r="U2272" s="1066"/>
      <c r="V2272" s="922"/>
      <c r="W2272" s="900" t="str">
        <f>IF(S2272&lt;&gt;0,VLOOKUP(S2272,VKT!$A$2:$G$415,7,0),"")</f>
        <v/>
      </c>
      <c r="X2272" s="900" t="str">
        <f t="shared" si="501"/>
        <v xml:space="preserve"> </v>
      </c>
      <c r="Y2272" s="985"/>
      <c r="Z2272" s="922"/>
      <c r="AA2272" s="1067"/>
      <c r="AB2272" s="922"/>
      <c r="AC2272" s="922"/>
      <c r="AD2272" s="922"/>
      <c r="AE2272" s="922"/>
      <c r="AF2272" s="1046"/>
      <c r="AG2272" s="906" t="str">
        <f>IF(AE2272&lt;&gt;0,VLOOKUP(AE2272,ODDS!$A$2:$C$13,3,0),"")</f>
        <v/>
      </c>
      <c r="AH2272" s="906" t="str">
        <f t="shared" si="505"/>
        <v xml:space="preserve"> </v>
      </c>
      <c r="AI2272" s="907" t="str">
        <f t="shared" si="498"/>
        <v xml:space="preserve"> </v>
      </c>
      <c r="AJ2272" s="922" t="s">
        <v>1506</v>
      </c>
      <c r="AK2272" s="894" t="s">
        <v>2448</v>
      </c>
    </row>
    <row r="2273" spans="1:37" s="394" customFormat="1" ht="67.5" outlineLevel="2" x14ac:dyDescent="0.3">
      <c r="A2273" s="447">
        <f t="shared" si="507"/>
        <v>190</v>
      </c>
      <c r="B2273" s="893"/>
      <c r="C2273" s="908"/>
      <c r="D2273" s="1032"/>
      <c r="E2273" s="947"/>
      <c r="F2273" s="947"/>
      <c r="G2273" s="922"/>
      <c r="H2273" s="1041"/>
      <c r="I2273" s="882"/>
      <c r="J2273" s="898"/>
      <c r="K2273" s="899" t="str">
        <f>IF(G2273&lt;&gt;0,VLOOKUP(G2273,'gia dat'!$A$1:$F$144,5,0)," ")</f>
        <v xml:space="preserve"> </v>
      </c>
      <c r="L2273" s="899" t="str">
        <f>IF(G2273&lt;&gt;0,VLOOKUP(G2273,'gia dat'!$A$1:$F$144,6,0)," ")</f>
        <v xml:space="preserve"> </v>
      </c>
      <c r="M2273" s="900" t="str">
        <f t="shared" si="496"/>
        <v xml:space="preserve"> </v>
      </c>
      <c r="N2273" s="900" t="str">
        <f t="shared" si="497"/>
        <v xml:space="preserve"> </v>
      </c>
      <c r="O2273" s="908"/>
      <c r="P2273" s="1065"/>
      <c r="Q2273" s="900" t="str">
        <f>IF(O2273&lt;&gt;0,VLOOKUP(O2273,'Cây trong'!$A$2:$C$246,3,0)," ")</f>
        <v xml:space="preserve"> </v>
      </c>
      <c r="R2273" s="900" t="str">
        <f t="shared" si="504"/>
        <v xml:space="preserve"> </v>
      </c>
      <c r="S2273" s="902"/>
      <c r="T2273" s="944"/>
      <c r="U2273" s="1066"/>
      <c r="V2273" s="922"/>
      <c r="W2273" s="900" t="str">
        <f>IF(S2273&lt;&gt;0,VLOOKUP(S2273,VKT!$A$2:$G$415,7,0),"")</f>
        <v/>
      </c>
      <c r="X2273" s="900" t="str">
        <f t="shared" si="501"/>
        <v xml:space="preserve"> </v>
      </c>
      <c r="Y2273" s="985"/>
      <c r="Z2273" s="922"/>
      <c r="AA2273" s="1067"/>
      <c r="AB2273" s="922"/>
      <c r="AC2273" s="922"/>
      <c r="AD2273" s="922"/>
      <c r="AE2273" s="922"/>
      <c r="AF2273" s="1046"/>
      <c r="AG2273" s="906" t="str">
        <f>IF(AE2273&lt;&gt;0,VLOOKUP(AE2273,ODDS!$A$2:$C$13,3,0),"")</f>
        <v/>
      </c>
      <c r="AH2273" s="906" t="str">
        <f t="shared" si="505"/>
        <v xml:space="preserve"> </v>
      </c>
      <c r="AI2273" s="907" t="str">
        <f t="shared" si="498"/>
        <v xml:space="preserve"> </v>
      </c>
      <c r="AJ2273" s="922" t="s">
        <v>2074</v>
      </c>
      <c r="AK2273" s="922"/>
    </row>
    <row r="2274" spans="1:37" s="394" customFormat="1" ht="22.5" outlineLevel="2" x14ac:dyDescent="0.35">
      <c r="A2274" s="447">
        <f t="shared" si="507"/>
        <v>190</v>
      </c>
      <c r="B2274" s="893"/>
      <c r="C2274" s="908"/>
      <c r="D2274" s="1032"/>
      <c r="E2274" s="947"/>
      <c r="F2274" s="947"/>
      <c r="G2274" s="922"/>
      <c r="H2274" s="1041"/>
      <c r="I2274" s="882"/>
      <c r="J2274" s="894"/>
      <c r="K2274" s="899" t="str">
        <f>IF(G2274&lt;&gt;0,VLOOKUP(G2274,'gia dat'!$A$1:$F$144,5,0)," ")</f>
        <v xml:space="preserve"> </v>
      </c>
      <c r="L2274" s="899" t="str">
        <f>IF(G2274&lt;&gt;0,VLOOKUP(G2274,'gia dat'!$A$1:$F$144,6,0)," ")</f>
        <v xml:space="preserve"> </v>
      </c>
      <c r="M2274" s="900" t="str">
        <f t="shared" si="496"/>
        <v xml:space="preserve"> </v>
      </c>
      <c r="N2274" s="900" t="str">
        <f t="shared" si="497"/>
        <v xml:space="preserve"> </v>
      </c>
      <c r="O2274" s="908"/>
      <c r="P2274" s="1065"/>
      <c r="Q2274" s="900" t="str">
        <f>IF(O2274&lt;&gt;0,VLOOKUP(O2274,'Cây trong'!$A$2:$C$246,3,0)," ")</f>
        <v xml:space="preserve"> </v>
      </c>
      <c r="R2274" s="900" t="str">
        <f t="shared" si="504"/>
        <v xml:space="preserve"> </v>
      </c>
      <c r="S2274" s="908"/>
      <c r="T2274" s="944"/>
      <c r="U2274" s="1066"/>
      <c r="V2274" s="922"/>
      <c r="W2274" s="900" t="str">
        <f>IF(S2274&lt;&gt;0,VLOOKUP(S2274,VKT!$A$2:$G$415,7,0),"")</f>
        <v/>
      </c>
      <c r="X2274" s="900" t="str">
        <f t="shared" si="501"/>
        <v xml:space="preserve"> </v>
      </c>
      <c r="Y2274" s="985"/>
      <c r="Z2274" s="922"/>
      <c r="AA2274" s="1067"/>
      <c r="AB2274" s="922"/>
      <c r="AC2274" s="922"/>
      <c r="AD2274" s="922"/>
      <c r="AE2274" s="922"/>
      <c r="AF2274" s="1046"/>
      <c r="AG2274" s="906" t="str">
        <f>IF(AE2274&lt;&gt;0,VLOOKUP(AE2274,ODDS!$A$2:$C$13,3,0),"")</f>
        <v/>
      </c>
      <c r="AH2274" s="906" t="str">
        <f t="shared" si="505"/>
        <v xml:space="preserve"> </v>
      </c>
      <c r="AI2274" s="907" t="str">
        <f t="shared" si="498"/>
        <v xml:space="preserve"> </v>
      </c>
      <c r="AJ2274" s="1068"/>
      <c r="AK2274" s="922"/>
    </row>
    <row r="2275" spans="1:37" s="394" customFormat="1" ht="22.5" outlineLevel="2" x14ac:dyDescent="0.3">
      <c r="A2275" s="447">
        <f t="shared" si="507"/>
        <v>190</v>
      </c>
      <c r="B2275" s="893"/>
      <c r="C2275" s="908"/>
      <c r="D2275" s="1032"/>
      <c r="E2275" s="947"/>
      <c r="F2275" s="947"/>
      <c r="G2275" s="922"/>
      <c r="H2275" s="1041"/>
      <c r="I2275" s="882"/>
      <c r="J2275" s="894"/>
      <c r="K2275" s="899" t="str">
        <f>IF(G2275&lt;&gt;0,VLOOKUP(G2275,'gia dat'!$A$1:$F$144,5,0)," ")</f>
        <v xml:space="preserve"> </v>
      </c>
      <c r="L2275" s="899" t="str">
        <f>IF(G2275&lt;&gt;0,VLOOKUP(G2275,'gia dat'!$A$1:$F$144,6,0)," ")</f>
        <v xml:space="preserve"> </v>
      </c>
      <c r="M2275" s="900" t="str">
        <f t="shared" si="496"/>
        <v xml:space="preserve"> </v>
      </c>
      <c r="N2275" s="900" t="str">
        <f t="shared" si="497"/>
        <v xml:space="preserve"> </v>
      </c>
      <c r="O2275" s="908"/>
      <c r="P2275" s="1065"/>
      <c r="Q2275" s="900" t="str">
        <f>IF(O2275&lt;&gt;0,VLOOKUP(O2275,'Cây trong'!$A$2:$C$246,3,0)," ")</f>
        <v xml:space="preserve"> </v>
      </c>
      <c r="R2275" s="900" t="str">
        <f t="shared" si="504"/>
        <v xml:space="preserve"> </v>
      </c>
      <c r="S2275" s="908"/>
      <c r="T2275" s="944"/>
      <c r="U2275" s="1066"/>
      <c r="V2275" s="922"/>
      <c r="W2275" s="900" t="str">
        <f>IF(S2275&lt;&gt;0,VLOOKUP(S2275,VKT!$A$2:$G$415,7,0),"")</f>
        <v/>
      </c>
      <c r="X2275" s="900" t="str">
        <f t="shared" si="501"/>
        <v xml:space="preserve"> </v>
      </c>
      <c r="Y2275" s="985"/>
      <c r="Z2275" s="922"/>
      <c r="AA2275" s="1067"/>
      <c r="AB2275" s="922"/>
      <c r="AC2275" s="922"/>
      <c r="AD2275" s="922"/>
      <c r="AE2275" s="922"/>
      <c r="AF2275" s="1046"/>
      <c r="AG2275" s="906" t="str">
        <f>IF(AE2275&lt;&gt;0,VLOOKUP(AE2275,ODDS!$A$2:$C$13,3,0),"")</f>
        <v/>
      </c>
      <c r="AH2275" s="906" t="str">
        <f t="shared" si="505"/>
        <v xml:space="preserve"> </v>
      </c>
      <c r="AI2275" s="907" t="str">
        <f t="shared" si="498"/>
        <v xml:space="preserve"> </v>
      </c>
      <c r="AJ2275" s="908"/>
      <c r="AK2275" s="908"/>
    </row>
    <row r="2276" spans="1:37" s="394" customFormat="1" ht="22.5" outlineLevel="2" x14ac:dyDescent="0.3">
      <c r="A2276" s="447">
        <f t="shared" si="507"/>
        <v>190</v>
      </c>
      <c r="B2276" s="893"/>
      <c r="C2276" s="908"/>
      <c r="D2276" s="1032"/>
      <c r="E2276" s="947"/>
      <c r="F2276" s="947"/>
      <c r="G2276" s="922"/>
      <c r="H2276" s="1041"/>
      <c r="I2276" s="882"/>
      <c r="J2276" s="894"/>
      <c r="K2276" s="899" t="str">
        <f>IF(G2276&lt;&gt;0,VLOOKUP(G2276,'gia dat'!$A$1:$F$144,5,0)," ")</f>
        <v xml:space="preserve"> </v>
      </c>
      <c r="L2276" s="899" t="str">
        <f>IF(G2276&lt;&gt;0,VLOOKUP(G2276,'gia dat'!$A$1:$F$144,6,0)," ")</f>
        <v xml:space="preserve"> </v>
      </c>
      <c r="M2276" s="900" t="str">
        <f t="shared" si="496"/>
        <v xml:space="preserve"> </v>
      </c>
      <c r="N2276" s="900" t="str">
        <f t="shared" si="497"/>
        <v xml:space="preserve"> </v>
      </c>
      <c r="O2276" s="908"/>
      <c r="P2276" s="1065"/>
      <c r="Q2276" s="900" t="str">
        <f>IF(O2276&lt;&gt;0,VLOOKUP(O2276,'Cây trong'!$A$2:$C$246,3,0)," ")</f>
        <v xml:space="preserve"> </v>
      </c>
      <c r="R2276" s="900" t="str">
        <f t="shared" si="504"/>
        <v xml:space="preserve"> </v>
      </c>
      <c r="S2276" s="908"/>
      <c r="T2276" s="944"/>
      <c r="U2276" s="1066"/>
      <c r="V2276" s="922"/>
      <c r="W2276" s="900" t="str">
        <f>IF(S2276&lt;&gt;0,VLOOKUP(S2276,VKT!$A$2:$G$415,7,0),"")</f>
        <v/>
      </c>
      <c r="X2276" s="900" t="str">
        <f t="shared" si="501"/>
        <v xml:space="preserve"> </v>
      </c>
      <c r="Y2276" s="985"/>
      <c r="Z2276" s="922"/>
      <c r="AA2276" s="1067"/>
      <c r="AB2276" s="922"/>
      <c r="AC2276" s="922"/>
      <c r="AD2276" s="922"/>
      <c r="AE2276" s="922"/>
      <c r="AF2276" s="1046"/>
      <c r="AG2276" s="906" t="str">
        <f>IF(AE2276&lt;&gt;0,VLOOKUP(AE2276,ODDS!$A$2:$C$13,3,0),"")</f>
        <v/>
      </c>
      <c r="AH2276" s="906" t="str">
        <f t="shared" si="505"/>
        <v xml:space="preserve"> </v>
      </c>
      <c r="AI2276" s="907" t="str">
        <f t="shared" si="498"/>
        <v xml:space="preserve"> </v>
      </c>
      <c r="AJ2276" s="894"/>
      <c r="AK2276" s="894"/>
    </row>
    <row r="2277" spans="1:37" s="394" customFormat="1" ht="22.5" outlineLevel="2" x14ac:dyDescent="0.3">
      <c r="A2277" s="447">
        <f t="shared" si="507"/>
        <v>190</v>
      </c>
      <c r="B2277" s="893"/>
      <c r="C2277" s="908"/>
      <c r="D2277" s="1032"/>
      <c r="E2277" s="947"/>
      <c r="F2277" s="947"/>
      <c r="G2277" s="922"/>
      <c r="H2277" s="1041"/>
      <c r="I2277" s="882"/>
      <c r="J2277" s="894"/>
      <c r="K2277" s="899" t="str">
        <f>IF(G2277&lt;&gt;0,VLOOKUP(G2277,'gia dat'!$A$1:$F$144,5,0)," ")</f>
        <v xml:space="preserve"> </v>
      </c>
      <c r="L2277" s="899" t="str">
        <f>IF(G2277&lt;&gt;0,VLOOKUP(G2277,'gia dat'!$A$1:$F$144,6,0)," ")</f>
        <v xml:space="preserve"> </v>
      </c>
      <c r="M2277" s="900" t="str">
        <f t="shared" si="496"/>
        <v xml:space="preserve"> </v>
      </c>
      <c r="N2277" s="900" t="str">
        <f t="shared" si="497"/>
        <v xml:space="preserve"> </v>
      </c>
      <c r="O2277" s="908"/>
      <c r="P2277" s="1065"/>
      <c r="Q2277" s="900" t="str">
        <f>IF(O2277&lt;&gt;0,VLOOKUP(O2277,'Cây trong'!$A$2:$C$246,3,0)," ")</f>
        <v xml:space="preserve"> </v>
      </c>
      <c r="R2277" s="900" t="str">
        <f t="shared" si="504"/>
        <v xml:space="preserve"> </v>
      </c>
      <c r="S2277" s="908"/>
      <c r="T2277" s="944"/>
      <c r="U2277" s="1066"/>
      <c r="V2277" s="922"/>
      <c r="W2277" s="900" t="str">
        <f>IF(S2277&lt;&gt;0,VLOOKUP(S2277,VKT!$A$2:$G$415,7,0),"")</f>
        <v/>
      </c>
      <c r="X2277" s="900" t="str">
        <f t="shared" si="501"/>
        <v xml:space="preserve"> </v>
      </c>
      <c r="Y2277" s="985"/>
      <c r="Z2277" s="922"/>
      <c r="AA2277" s="1067"/>
      <c r="AB2277" s="922"/>
      <c r="AC2277" s="922"/>
      <c r="AD2277" s="922"/>
      <c r="AE2277" s="922"/>
      <c r="AF2277" s="1046"/>
      <c r="AG2277" s="906" t="str">
        <f>IF(AE2277&lt;&gt;0,VLOOKUP(AE2277,ODDS!$A$2:$C$13,3,0),"")</f>
        <v/>
      </c>
      <c r="AH2277" s="906" t="str">
        <f t="shared" si="505"/>
        <v xml:space="preserve"> </v>
      </c>
      <c r="AI2277" s="907" t="str">
        <f t="shared" si="498"/>
        <v xml:space="preserve"> </v>
      </c>
      <c r="AJ2277" s="922"/>
      <c r="AK2277" s="922"/>
    </row>
    <row r="2278" spans="1:37" s="394" customFormat="1" ht="22.5" outlineLevel="2" x14ac:dyDescent="0.3">
      <c r="A2278" s="447">
        <f t="shared" si="507"/>
        <v>190</v>
      </c>
      <c r="B2278" s="893"/>
      <c r="C2278" s="908"/>
      <c r="D2278" s="1032"/>
      <c r="E2278" s="947"/>
      <c r="F2278" s="947"/>
      <c r="G2278" s="922"/>
      <c r="H2278" s="1041"/>
      <c r="I2278" s="882"/>
      <c r="J2278" s="894"/>
      <c r="K2278" s="899" t="str">
        <f>IF(G2278&lt;&gt;0,VLOOKUP(G2278,'gia dat'!$A$1:$F$144,5,0)," ")</f>
        <v xml:space="preserve"> </v>
      </c>
      <c r="L2278" s="899" t="str">
        <f>IF(G2278&lt;&gt;0,VLOOKUP(G2278,'gia dat'!$A$1:$F$144,6,0)," ")</f>
        <v xml:space="preserve"> </v>
      </c>
      <c r="M2278" s="900" t="str">
        <f t="shared" si="496"/>
        <v xml:space="preserve"> </v>
      </c>
      <c r="N2278" s="900" t="str">
        <f t="shared" si="497"/>
        <v xml:space="preserve"> </v>
      </c>
      <c r="O2278" s="908"/>
      <c r="P2278" s="1065"/>
      <c r="Q2278" s="900" t="str">
        <f>IF(O2278&lt;&gt;0,VLOOKUP(O2278,'Cây trong'!$A$2:$C$246,3,0)," ")</f>
        <v xml:space="preserve"> </v>
      </c>
      <c r="R2278" s="900" t="str">
        <f t="shared" si="504"/>
        <v xml:space="preserve"> </v>
      </c>
      <c r="S2278" s="908"/>
      <c r="T2278" s="944"/>
      <c r="U2278" s="1066"/>
      <c r="V2278" s="922"/>
      <c r="W2278" s="900" t="str">
        <f>IF(S2278&lt;&gt;0,VLOOKUP(S2278,VKT!$A$2:$G$415,7,0),"")</f>
        <v/>
      </c>
      <c r="X2278" s="900" t="str">
        <f t="shared" si="501"/>
        <v xml:space="preserve"> </v>
      </c>
      <c r="Y2278" s="985"/>
      <c r="Z2278" s="922"/>
      <c r="AA2278" s="1067"/>
      <c r="AB2278" s="922"/>
      <c r="AC2278" s="922"/>
      <c r="AD2278" s="922"/>
      <c r="AE2278" s="922"/>
      <c r="AF2278" s="1046"/>
      <c r="AG2278" s="906" t="str">
        <f>IF(AE2278&lt;&gt;0,VLOOKUP(AE2278,ODDS!$A$2:$C$13,3,0),"")</f>
        <v/>
      </c>
      <c r="AH2278" s="906" t="str">
        <f t="shared" si="505"/>
        <v xml:space="preserve"> </v>
      </c>
      <c r="AI2278" s="907" t="str">
        <f t="shared" si="498"/>
        <v xml:space="preserve"> </v>
      </c>
      <c r="AJ2278" s="922"/>
      <c r="AK2278" s="922"/>
    </row>
    <row r="2279" spans="1:37" s="394" customFormat="1" ht="22.5" outlineLevel="2" x14ac:dyDescent="0.3">
      <c r="A2279" s="447">
        <f t="shared" si="507"/>
        <v>190</v>
      </c>
      <c r="B2279" s="893"/>
      <c r="C2279" s="942"/>
      <c r="D2279" s="1032"/>
      <c r="E2279" s="947"/>
      <c r="F2279" s="947"/>
      <c r="G2279" s="922"/>
      <c r="H2279" s="1041"/>
      <c r="I2279" s="882"/>
      <c r="J2279" s="894"/>
      <c r="K2279" s="899" t="str">
        <f>IF(G2279&lt;&gt;0,VLOOKUP(G2279,'gia dat'!$A$1:$F$144,5,0)," ")</f>
        <v xml:space="preserve"> </v>
      </c>
      <c r="L2279" s="899" t="str">
        <f>IF(G2279&lt;&gt;0,VLOOKUP(G2279,'gia dat'!$A$1:$F$144,6,0)," ")</f>
        <v xml:space="preserve"> </v>
      </c>
      <c r="M2279" s="900" t="str">
        <f t="shared" si="496"/>
        <v xml:space="preserve"> </v>
      </c>
      <c r="N2279" s="900" t="str">
        <f t="shared" si="497"/>
        <v xml:space="preserve"> </v>
      </c>
      <c r="O2279" s="908"/>
      <c r="P2279" s="1065"/>
      <c r="Q2279" s="900" t="str">
        <f>IF(O2279&lt;&gt;0,VLOOKUP(O2279,'Cây trong'!$A$2:$C$246,3,0)," ")</f>
        <v xml:space="preserve"> </v>
      </c>
      <c r="R2279" s="900" t="str">
        <f t="shared" si="504"/>
        <v xml:space="preserve"> </v>
      </c>
      <c r="S2279" s="908"/>
      <c r="T2279" s="944"/>
      <c r="U2279" s="1066"/>
      <c r="V2279" s="922"/>
      <c r="W2279" s="900" t="str">
        <f>IF(S2279&lt;&gt;0,VLOOKUP(S2279,VKT!$A$2:$G$415,7,0),"")</f>
        <v/>
      </c>
      <c r="X2279" s="900" t="str">
        <f t="shared" si="501"/>
        <v xml:space="preserve"> </v>
      </c>
      <c r="Y2279" s="985"/>
      <c r="Z2279" s="922"/>
      <c r="AA2279" s="1067"/>
      <c r="AB2279" s="922"/>
      <c r="AC2279" s="922"/>
      <c r="AD2279" s="922"/>
      <c r="AE2279" s="922"/>
      <c r="AF2279" s="1046"/>
      <c r="AG2279" s="906" t="str">
        <f>IF(AE2279&lt;&gt;0,VLOOKUP(AE2279,ODDS!$A$2:$C$13,3,0),"")</f>
        <v/>
      </c>
      <c r="AH2279" s="906" t="str">
        <f t="shared" si="505"/>
        <v xml:space="preserve"> </v>
      </c>
      <c r="AI2279" s="907" t="str">
        <f t="shared" si="498"/>
        <v xml:space="preserve"> </v>
      </c>
      <c r="AJ2279" s="922"/>
      <c r="AK2279" s="922"/>
    </row>
    <row r="2280" spans="1:37" s="394" customFormat="1" ht="43.5" outlineLevel="1" x14ac:dyDescent="0.25">
      <c r="A2280" s="467" t="s">
        <v>2519</v>
      </c>
      <c r="B2280" s="912">
        <v>191</v>
      </c>
      <c r="C2280" s="942" t="s">
        <v>1507</v>
      </c>
      <c r="D2280" s="1038"/>
      <c r="E2280" s="977"/>
      <c r="F2280" s="977"/>
      <c r="G2280" s="914"/>
      <c r="H2280" s="1039">
        <f>SUBTOTAL(9,H2281:H2289)</f>
        <v>190</v>
      </c>
      <c r="I2280" s="915">
        <f>SUBTOTAL(9,I2281:I2286)</f>
        <v>154</v>
      </c>
      <c r="J2280" s="916"/>
      <c r="K2280" s="917"/>
      <c r="L2280" s="917"/>
      <c r="M2280" s="907">
        <f>SUBTOTAL(9,M2281:M2289)</f>
        <v>333084000</v>
      </c>
      <c r="N2280" s="907">
        <f>SUBTOTAL(9,N2281:N2289)</f>
        <v>215107000</v>
      </c>
      <c r="O2280" s="942"/>
      <c r="P2280" s="1063">
        <f>SUBTOTAL(9,P2281:P2289)</f>
        <v>1</v>
      </c>
      <c r="Q2280" s="907"/>
      <c r="R2280" s="907">
        <f>SUBTOTAL(9,R2281:R2289)</f>
        <v>4240000</v>
      </c>
      <c r="S2280" s="918"/>
      <c r="T2280" s="956"/>
      <c r="U2280" s="1064">
        <f>SUBTOTAL(9,U2281:U2289)</f>
        <v>10</v>
      </c>
      <c r="V2280" s="914"/>
      <c r="W2280" s="907"/>
      <c r="X2280" s="907">
        <f>SUBTOTAL(9,X2281:X2289)</f>
        <v>0</v>
      </c>
      <c r="Y2280" s="985"/>
      <c r="Z2280" s="922"/>
      <c r="AA2280" s="1067"/>
      <c r="AB2280" s="922"/>
      <c r="AC2280" s="922"/>
      <c r="AD2280" s="922"/>
      <c r="AE2280" s="914"/>
      <c r="AF2280" s="1044">
        <f>SUBTOTAL(9,AF2281:AF2289)</f>
        <v>0</v>
      </c>
      <c r="AG2280" s="921"/>
      <c r="AH2280" s="921">
        <f>SUBTOTAL(9,AH2281:AH2289)</f>
        <v>0</v>
      </c>
      <c r="AI2280" s="907">
        <f t="shared" si="498"/>
        <v>552431000</v>
      </c>
      <c r="AJ2280" s="914"/>
      <c r="AK2280" s="914"/>
    </row>
    <row r="2281" spans="1:37" s="394" customFormat="1" ht="135" outlineLevel="2" x14ac:dyDescent="0.3">
      <c r="A2281" s="447">
        <f>IF(B2280&lt;&gt;0,B2280,A2279)</f>
        <v>191</v>
      </c>
      <c r="B2281" s="893"/>
      <c r="C2281" s="908" t="s">
        <v>1510</v>
      </c>
      <c r="D2281" s="1032">
        <v>4</v>
      </c>
      <c r="E2281" s="947">
        <v>86</v>
      </c>
      <c r="F2281" s="947">
        <v>288</v>
      </c>
      <c r="G2281" s="922" t="s">
        <v>2868</v>
      </c>
      <c r="H2281" s="1041">
        <v>154</v>
      </c>
      <c r="I2281" s="882">
        <f t="shared" ref="I2281:I2282" si="508">IF(N2281&gt;0,H2281,"")</f>
        <v>154</v>
      </c>
      <c r="J2281" s="898"/>
      <c r="K2281" s="899">
        <f>IF(G2281&lt;&gt;0,VLOOKUP(G2281,'gia dat'!$A$1:$F$144,5,0)," ")</f>
        <v>465600</v>
      </c>
      <c r="L2281" s="899">
        <f>IF(G2281&lt;&gt;0,VLOOKUP(G2281,'gia dat'!$A$1:$F$144,6,0)," ")</f>
        <v>1396800</v>
      </c>
      <c r="M2281" s="900">
        <f t="shared" si="496"/>
        <v>71702000</v>
      </c>
      <c r="N2281" s="900">
        <f t="shared" si="497"/>
        <v>215107000</v>
      </c>
      <c r="O2281" s="908" t="s">
        <v>145</v>
      </c>
      <c r="P2281" s="1065">
        <v>1</v>
      </c>
      <c r="Q2281" s="900">
        <f>IF(O2281&lt;&gt;0,VLOOKUP(O2281,'Cây trong'!$A$2:$C$246,3,0)," ")</f>
        <v>4240000</v>
      </c>
      <c r="R2281" s="900">
        <f t="shared" si="504"/>
        <v>4240000</v>
      </c>
      <c r="S2281" s="902" t="s">
        <v>2401</v>
      </c>
      <c r="T2281" s="944" t="s">
        <v>101</v>
      </c>
      <c r="U2281" s="1066">
        <v>10</v>
      </c>
      <c r="V2281" s="922"/>
      <c r="W2281" s="900">
        <f>IF(S2281&lt;&gt;0,VLOOKUP(S2281,VKT!$A$2:$G$415,7,0),"")</f>
        <v>0</v>
      </c>
      <c r="X2281" s="900">
        <f t="shared" si="501"/>
        <v>0</v>
      </c>
      <c r="Y2281" s="985"/>
      <c r="Z2281" s="922"/>
      <c r="AA2281" s="1067"/>
      <c r="AB2281" s="922"/>
      <c r="AC2281" s="922"/>
      <c r="AD2281" s="922"/>
      <c r="AE2281" s="922"/>
      <c r="AF2281" s="1046"/>
      <c r="AG2281" s="906" t="str">
        <f>IF(AE2281&lt;&gt;0,VLOOKUP(AE2281,ODDS!$A$2:$C$13,3,0),"")</f>
        <v/>
      </c>
      <c r="AH2281" s="906"/>
      <c r="AI2281" s="907" t="str">
        <f t="shared" si="498"/>
        <v xml:space="preserve"> </v>
      </c>
      <c r="AJ2281" s="922" t="s">
        <v>1509</v>
      </c>
      <c r="AK2281" s="922" t="s">
        <v>2771</v>
      </c>
    </row>
    <row r="2282" spans="1:37" s="394" customFormat="1" ht="112.5" outlineLevel="2" x14ac:dyDescent="0.3">
      <c r="A2282" s="447">
        <f t="shared" ref="A2282:A2289" si="509">IF(B2281&lt;&gt;0,B2281,A2281)</f>
        <v>191</v>
      </c>
      <c r="B2282" s="893"/>
      <c r="C2282" s="908" t="s">
        <v>1641</v>
      </c>
      <c r="D2282" s="1032"/>
      <c r="E2282" s="947">
        <v>86</v>
      </c>
      <c r="F2282" s="947">
        <v>288</v>
      </c>
      <c r="G2282" s="922" t="s">
        <v>2049</v>
      </c>
      <c r="H2282" s="1041">
        <v>36</v>
      </c>
      <c r="I2282" s="882" t="str">
        <f t="shared" si="508"/>
        <v/>
      </c>
      <c r="J2282" s="898"/>
      <c r="K2282" s="899">
        <f>IF(G2282&lt;&gt;0,VLOOKUP(G2282,'gia dat'!$A$1:$F$144,5,0)," ")</f>
        <v>7260624</v>
      </c>
      <c r="L2282" s="899">
        <f>IF(G2282&lt;&gt;0,VLOOKUP(G2282,'gia dat'!$A$1:$F$144,6,0)," ")</f>
        <v>0</v>
      </c>
      <c r="M2282" s="900">
        <f t="shared" si="496"/>
        <v>261382000</v>
      </c>
      <c r="N2282" s="900">
        <f t="shared" si="497"/>
        <v>0</v>
      </c>
      <c r="O2282" s="908"/>
      <c r="P2282" s="1065"/>
      <c r="Q2282" s="900" t="str">
        <f>IF(O2282&lt;&gt;0,VLOOKUP(O2282,'Cây trong'!$A$2:$C$246,3,0)," ")</f>
        <v xml:space="preserve"> </v>
      </c>
      <c r="R2282" s="900" t="str">
        <f t="shared" si="504"/>
        <v xml:space="preserve"> </v>
      </c>
      <c r="S2282" s="902"/>
      <c r="T2282" s="944"/>
      <c r="U2282" s="1066"/>
      <c r="V2282" s="922"/>
      <c r="W2282" s="900" t="str">
        <f>IF(S2282&lt;&gt;0,VLOOKUP(S2282,VKT!$A$2:$G$415,7,0),"")</f>
        <v/>
      </c>
      <c r="X2282" s="900" t="str">
        <f t="shared" si="501"/>
        <v xml:space="preserve"> </v>
      </c>
      <c r="Y2282" s="985"/>
      <c r="Z2282" s="922"/>
      <c r="AA2282" s="1067"/>
      <c r="AB2282" s="922"/>
      <c r="AC2282" s="922"/>
      <c r="AD2282" s="922"/>
      <c r="AE2282" s="922"/>
      <c r="AF2282" s="1046"/>
      <c r="AG2282" s="906" t="str">
        <f>IF(AE2282&lt;&gt;0,VLOOKUP(AE2282,ODDS!$A$2:$C$13,3,0),"")</f>
        <v/>
      </c>
      <c r="AH2282" s="906" t="str">
        <f t="shared" si="505"/>
        <v xml:space="preserve"> </v>
      </c>
      <c r="AI2282" s="907" t="str">
        <f t="shared" si="498"/>
        <v xml:space="preserve"> </v>
      </c>
      <c r="AJ2282" s="922" t="s">
        <v>1512</v>
      </c>
      <c r="AK2282" s="894" t="s">
        <v>2448</v>
      </c>
    </row>
    <row r="2283" spans="1:37" s="394" customFormat="1" ht="112.5" outlineLevel="2" x14ac:dyDescent="0.3">
      <c r="A2283" s="447">
        <f t="shared" si="509"/>
        <v>191</v>
      </c>
      <c r="B2283" s="893"/>
      <c r="C2283" s="908"/>
      <c r="D2283" s="1032"/>
      <c r="E2283" s="947"/>
      <c r="F2283" s="947"/>
      <c r="G2283" s="922"/>
      <c r="H2283" s="1041"/>
      <c r="I2283" s="882"/>
      <c r="J2283" s="898"/>
      <c r="K2283" s="899" t="str">
        <f>IF(G2283&lt;&gt;0,VLOOKUP(G2283,'gia dat'!$A$1:$F$144,5,0)," ")</f>
        <v xml:space="preserve"> </v>
      </c>
      <c r="L2283" s="899" t="str">
        <f>IF(G2283&lt;&gt;0,VLOOKUP(G2283,'gia dat'!$A$1:$F$144,6,0)," ")</f>
        <v xml:space="preserve"> </v>
      </c>
      <c r="M2283" s="900" t="str">
        <f t="shared" si="496"/>
        <v xml:space="preserve"> </v>
      </c>
      <c r="N2283" s="900" t="str">
        <f t="shared" si="497"/>
        <v xml:space="preserve"> </v>
      </c>
      <c r="O2283" s="908"/>
      <c r="P2283" s="1065"/>
      <c r="Q2283" s="900" t="str">
        <f>IF(O2283&lt;&gt;0,VLOOKUP(O2283,'Cây trong'!$A$2:$C$246,3,0)," ")</f>
        <v xml:space="preserve"> </v>
      </c>
      <c r="R2283" s="900" t="str">
        <f t="shared" si="504"/>
        <v xml:space="preserve"> </v>
      </c>
      <c r="S2283" s="902"/>
      <c r="T2283" s="944"/>
      <c r="U2283" s="1066"/>
      <c r="V2283" s="922"/>
      <c r="W2283" s="900" t="str">
        <f>IF(S2283&lt;&gt;0,VLOOKUP(S2283,VKT!$A$2:$G$415,7,0),"")</f>
        <v/>
      </c>
      <c r="X2283" s="900" t="str">
        <f t="shared" si="501"/>
        <v xml:space="preserve"> </v>
      </c>
      <c r="Y2283" s="985"/>
      <c r="Z2283" s="922"/>
      <c r="AA2283" s="1067"/>
      <c r="AB2283" s="922"/>
      <c r="AC2283" s="922"/>
      <c r="AD2283" s="922"/>
      <c r="AE2283" s="922"/>
      <c r="AF2283" s="1046"/>
      <c r="AG2283" s="906" t="str">
        <f>IF(AE2283&lt;&gt;0,VLOOKUP(AE2283,ODDS!$A$2:$C$13,3,0),"")</f>
        <v/>
      </c>
      <c r="AH2283" s="906" t="str">
        <f t="shared" si="505"/>
        <v xml:space="preserve"> </v>
      </c>
      <c r="AI2283" s="907" t="str">
        <f t="shared" si="498"/>
        <v xml:space="preserve"> </v>
      </c>
      <c r="AJ2283" s="922" t="s">
        <v>2074</v>
      </c>
      <c r="AK2283" s="894" t="s">
        <v>2450</v>
      </c>
    </row>
    <row r="2284" spans="1:37" s="394" customFormat="1" ht="112.5" outlineLevel="2" x14ac:dyDescent="0.35">
      <c r="A2284" s="447">
        <f t="shared" si="509"/>
        <v>191</v>
      </c>
      <c r="B2284" s="893"/>
      <c r="C2284" s="908"/>
      <c r="D2284" s="1032"/>
      <c r="E2284" s="947"/>
      <c r="F2284" s="947"/>
      <c r="G2284" s="922"/>
      <c r="H2284" s="1041"/>
      <c r="I2284" s="882"/>
      <c r="J2284" s="894"/>
      <c r="K2284" s="899" t="str">
        <f>IF(G2284&lt;&gt;0,VLOOKUP(G2284,'gia dat'!$A$1:$F$144,5,0)," ")</f>
        <v xml:space="preserve"> </v>
      </c>
      <c r="L2284" s="899" t="str">
        <f>IF(G2284&lt;&gt;0,VLOOKUP(G2284,'gia dat'!$A$1:$F$144,6,0)," ")</f>
        <v xml:space="preserve"> </v>
      </c>
      <c r="M2284" s="900" t="str">
        <f t="shared" si="496"/>
        <v xml:space="preserve"> </v>
      </c>
      <c r="N2284" s="900" t="str">
        <f t="shared" si="497"/>
        <v xml:space="preserve"> </v>
      </c>
      <c r="O2284" s="908"/>
      <c r="P2284" s="1065"/>
      <c r="Q2284" s="900" t="str">
        <f>IF(O2284&lt;&gt;0,VLOOKUP(O2284,'Cây trong'!$A$2:$C$246,3,0)," ")</f>
        <v xml:space="preserve"> </v>
      </c>
      <c r="R2284" s="900" t="str">
        <f t="shared" si="504"/>
        <v xml:space="preserve"> </v>
      </c>
      <c r="S2284" s="908"/>
      <c r="T2284" s="944"/>
      <c r="U2284" s="1066"/>
      <c r="V2284" s="922"/>
      <c r="W2284" s="900" t="str">
        <f>IF(S2284&lt;&gt;0,VLOOKUP(S2284,VKT!$A$2:$G$415,7,0),"")</f>
        <v/>
      </c>
      <c r="X2284" s="900" t="str">
        <f t="shared" si="501"/>
        <v xml:space="preserve"> </v>
      </c>
      <c r="Y2284" s="985"/>
      <c r="Z2284" s="922"/>
      <c r="AA2284" s="1067"/>
      <c r="AB2284" s="922"/>
      <c r="AC2284" s="922"/>
      <c r="AD2284" s="922"/>
      <c r="AE2284" s="922"/>
      <c r="AF2284" s="1046"/>
      <c r="AG2284" s="906" t="str">
        <f>IF(AE2284&lt;&gt;0,VLOOKUP(AE2284,ODDS!$A$2:$C$13,3,0),"")</f>
        <v/>
      </c>
      <c r="AH2284" s="906" t="str">
        <f t="shared" si="505"/>
        <v xml:space="preserve"> </v>
      </c>
      <c r="AI2284" s="907" t="str">
        <f t="shared" si="498"/>
        <v xml:space="preserve"> </v>
      </c>
      <c r="AJ2284" s="1068"/>
      <c r="AK2284" s="894" t="s">
        <v>2449</v>
      </c>
    </row>
    <row r="2285" spans="1:37" s="394" customFormat="1" ht="22.5" outlineLevel="2" x14ac:dyDescent="0.3">
      <c r="A2285" s="447">
        <f t="shared" si="509"/>
        <v>191</v>
      </c>
      <c r="B2285" s="893"/>
      <c r="C2285" s="908"/>
      <c r="D2285" s="1032"/>
      <c r="E2285" s="947"/>
      <c r="F2285" s="947"/>
      <c r="G2285" s="922"/>
      <c r="H2285" s="1041"/>
      <c r="I2285" s="882"/>
      <c r="J2285" s="894"/>
      <c r="K2285" s="899" t="str">
        <f>IF(G2285&lt;&gt;0,VLOOKUP(G2285,'gia dat'!$A$1:$F$144,5,0)," ")</f>
        <v xml:space="preserve"> </v>
      </c>
      <c r="L2285" s="899" t="str">
        <f>IF(G2285&lt;&gt;0,VLOOKUP(G2285,'gia dat'!$A$1:$F$144,6,0)," ")</f>
        <v xml:space="preserve"> </v>
      </c>
      <c r="M2285" s="900" t="str">
        <f t="shared" si="496"/>
        <v xml:space="preserve"> </v>
      </c>
      <c r="N2285" s="900" t="str">
        <f t="shared" si="497"/>
        <v xml:space="preserve"> </v>
      </c>
      <c r="O2285" s="908"/>
      <c r="P2285" s="1065"/>
      <c r="Q2285" s="900" t="str">
        <f>IF(O2285&lt;&gt;0,VLOOKUP(O2285,'Cây trong'!$A$2:$C$246,3,0)," ")</f>
        <v xml:space="preserve"> </v>
      </c>
      <c r="R2285" s="900" t="str">
        <f t="shared" si="504"/>
        <v xml:space="preserve"> </v>
      </c>
      <c r="S2285" s="908"/>
      <c r="T2285" s="944"/>
      <c r="U2285" s="1066"/>
      <c r="V2285" s="922"/>
      <c r="W2285" s="900" t="str">
        <f>IF(S2285&lt;&gt;0,VLOOKUP(S2285,VKT!$A$2:$G$415,7,0),"")</f>
        <v/>
      </c>
      <c r="X2285" s="900" t="str">
        <f t="shared" si="501"/>
        <v xml:space="preserve"> </v>
      </c>
      <c r="Y2285" s="985"/>
      <c r="Z2285" s="922"/>
      <c r="AA2285" s="1067"/>
      <c r="AB2285" s="922"/>
      <c r="AC2285" s="922"/>
      <c r="AD2285" s="922"/>
      <c r="AE2285" s="922"/>
      <c r="AF2285" s="1046"/>
      <c r="AG2285" s="906" t="str">
        <f>IF(AE2285&lt;&gt;0,VLOOKUP(AE2285,ODDS!$A$2:$C$13,3,0),"")</f>
        <v/>
      </c>
      <c r="AH2285" s="906" t="str">
        <f t="shared" si="505"/>
        <v xml:space="preserve"> </v>
      </c>
      <c r="AI2285" s="907" t="str">
        <f t="shared" si="498"/>
        <v xml:space="preserve"> </v>
      </c>
      <c r="AJ2285" s="922"/>
      <c r="AK2285" s="922"/>
    </row>
    <row r="2286" spans="1:37" s="394" customFormat="1" ht="22.5" outlineLevel="2" x14ac:dyDescent="0.3">
      <c r="A2286" s="447">
        <f t="shared" si="509"/>
        <v>191</v>
      </c>
      <c r="B2286" s="893"/>
      <c r="C2286" s="908"/>
      <c r="D2286" s="1032"/>
      <c r="E2286" s="947"/>
      <c r="F2286" s="947"/>
      <c r="G2286" s="922"/>
      <c r="H2286" s="1041"/>
      <c r="I2286" s="882"/>
      <c r="J2286" s="894"/>
      <c r="K2286" s="899" t="str">
        <f>IF(G2286&lt;&gt;0,VLOOKUP(G2286,'gia dat'!$A$1:$F$144,5,0)," ")</f>
        <v xml:space="preserve"> </v>
      </c>
      <c r="L2286" s="899" t="str">
        <f>IF(G2286&lt;&gt;0,VLOOKUP(G2286,'gia dat'!$A$1:$F$144,6,0)," ")</f>
        <v xml:space="preserve"> </v>
      </c>
      <c r="M2286" s="900" t="str">
        <f t="shared" si="496"/>
        <v xml:space="preserve"> </v>
      </c>
      <c r="N2286" s="900" t="str">
        <f t="shared" si="497"/>
        <v xml:space="preserve"> </v>
      </c>
      <c r="O2286" s="908"/>
      <c r="P2286" s="1065"/>
      <c r="Q2286" s="900" t="str">
        <f>IF(O2286&lt;&gt;0,VLOOKUP(O2286,'Cây trong'!$A$2:$C$246,3,0)," ")</f>
        <v xml:space="preserve"> </v>
      </c>
      <c r="R2286" s="900" t="str">
        <f t="shared" si="504"/>
        <v xml:space="preserve"> </v>
      </c>
      <c r="S2286" s="908"/>
      <c r="T2286" s="944"/>
      <c r="U2286" s="1066"/>
      <c r="V2286" s="922"/>
      <c r="W2286" s="900" t="str">
        <f>IF(S2286&lt;&gt;0,VLOOKUP(S2286,VKT!$A$2:$G$415,7,0),"")</f>
        <v/>
      </c>
      <c r="X2286" s="900" t="str">
        <f t="shared" si="501"/>
        <v xml:space="preserve"> </v>
      </c>
      <c r="Y2286" s="985"/>
      <c r="Z2286" s="922"/>
      <c r="AA2286" s="1067"/>
      <c r="AB2286" s="922"/>
      <c r="AC2286" s="922"/>
      <c r="AD2286" s="922"/>
      <c r="AE2286" s="922"/>
      <c r="AF2286" s="1046"/>
      <c r="AG2286" s="906" t="str">
        <f>IF(AE2286&lt;&gt;0,VLOOKUP(AE2286,ODDS!$A$2:$C$13,3,0),"")</f>
        <v/>
      </c>
      <c r="AH2286" s="906" t="str">
        <f t="shared" si="505"/>
        <v xml:space="preserve"> </v>
      </c>
      <c r="AI2286" s="907" t="str">
        <f t="shared" si="498"/>
        <v xml:space="preserve"> </v>
      </c>
      <c r="AJ2286" s="908"/>
      <c r="AK2286" s="908"/>
    </row>
    <row r="2287" spans="1:37" s="394" customFormat="1" ht="22.5" outlineLevel="2" x14ac:dyDescent="0.3">
      <c r="A2287" s="447">
        <f t="shared" si="509"/>
        <v>191</v>
      </c>
      <c r="B2287" s="893"/>
      <c r="C2287" s="908"/>
      <c r="D2287" s="1032"/>
      <c r="E2287" s="947"/>
      <c r="F2287" s="947"/>
      <c r="G2287" s="922"/>
      <c r="H2287" s="1041"/>
      <c r="I2287" s="882"/>
      <c r="J2287" s="894"/>
      <c r="K2287" s="899" t="str">
        <f>IF(G2287&lt;&gt;0,VLOOKUP(G2287,'gia dat'!$A$1:$F$144,5,0)," ")</f>
        <v xml:space="preserve"> </v>
      </c>
      <c r="L2287" s="899" t="str">
        <f>IF(G2287&lt;&gt;0,VLOOKUP(G2287,'gia dat'!$A$1:$F$144,6,0)," ")</f>
        <v xml:space="preserve"> </v>
      </c>
      <c r="M2287" s="900" t="str">
        <f t="shared" si="496"/>
        <v xml:space="preserve"> </v>
      </c>
      <c r="N2287" s="900" t="str">
        <f t="shared" si="497"/>
        <v xml:space="preserve"> </v>
      </c>
      <c r="O2287" s="908"/>
      <c r="P2287" s="1065"/>
      <c r="Q2287" s="900" t="str">
        <f>IF(O2287&lt;&gt;0,VLOOKUP(O2287,'Cây trong'!$A$2:$C$246,3,0)," ")</f>
        <v xml:space="preserve"> </v>
      </c>
      <c r="R2287" s="900" t="str">
        <f t="shared" si="504"/>
        <v xml:space="preserve"> </v>
      </c>
      <c r="S2287" s="908"/>
      <c r="T2287" s="944"/>
      <c r="U2287" s="1066"/>
      <c r="V2287" s="922"/>
      <c r="W2287" s="900" t="str">
        <f>IF(S2287&lt;&gt;0,VLOOKUP(S2287,VKT!$A$2:$G$415,7,0),"")</f>
        <v/>
      </c>
      <c r="X2287" s="900" t="str">
        <f t="shared" si="501"/>
        <v xml:space="preserve"> </v>
      </c>
      <c r="Y2287" s="985"/>
      <c r="Z2287" s="922"/>
      <c r="AA2287" s="1067"/>
      <c r="AB2287" s="922"/>
      <c r="AC2287" s="922"/>
      <c r="AD2287" s="922"/>
      <c r="AE2287" s="922"/>
      <c r="AF2287" s="1046"/>
      <c r="AG2287" s="906" t="str">
        <f>IF(AE2287&lt;&gt;0,VLOOKUP(AE2287,ODDS!$A$2:$C$13,3,0),"")</f>
        <v/>
      </c>
      <c r="AH2287" s="906" t="str">
        <f t="shared" si="505"/>
        <v xml:space="preserve"> </v>
      </c>
      <c r="AI2287" s="907" t="str">
        <f t="shared" si="498"/>
        <v xml:space="preserve"> </v>
      </c>
      <c r="AJ2287" s="894"/>
      <c r="AK2287" s="894"/>
    </row>
    <row r="2288" spans="1:37" s="394" customFormat="1" ht="22.5" outlineLevel="2" x14ac:dyDescent="0.3">
      <c r="A2288" s="447">
        <f t="shared" si="509"/>
        <v>191</v>
      </c>
      <c r="B2288" s="893"/>
      <c r="C2288" s="908"/>
      <c r="D2288" s="1032"/>
      <c r="E2288" s="947"/>
      <c r="F2288" s="947"/>
      <c r="G2288" s="922"/>
      <c r="H2288" s="1041"/>
      <c r="I2288" s="882"/>
      <c r="J2288" s="894"/>
      <c r="K2288" s="899" t="str">
        <f>IF(G2288&lt;&gt;0,VLOOKUP(G2288,'gia dat'!$A$1:$F$144,5,0)," ")</f>
        <v xml:space="preserve"> </v>
      </c>
      <c r="L2288" s="899" t="str">
        <f>IF(G2288&lt;&gt;0,VLOOKUP(G2288,'gia dat'!$A$1:$F$144,6,0)," ")</f>
        <v xml:space="preserve"> </v>
      </c>
      <c r="M2288" s="900" t="str">
        <f t="shared" si="496"/>
        <v xml:space="preserve"> </v>
      </c>
      <c r="N2288" s="900" t="str">
        <f t="shared" si="497"/>
        <v xml:space="preserve"> </v>
      </c>
      <c r="O2288" s="908"/>
      <c r="P2288" s="1065"/>
      <c r="Q2288" s="900" t="str">
        <f>IF(O2288&lt;&gt;0,VLOOKUP(O2288,'Cây trong'!$A$2:$C$246,3,0)," ")</f>
        <v xml:space="preserve"> </v>
      </c>
      <c r="R2288" s="900" t="str">
        <f t="shared" si="504"/>
        <v xml:space="preserve"> </v>
      </c>
      <c r="S2288" s="908"/>
      <c r="T2288" s="944"/>
      <c r="U2288" s="1066"/>
      <c r="V2288" s="922"/>
      <c r="W2288" s="900" t="str">
        <f>IF(S2288&lt;&gt;0,VLOOKUP(S2288,VKT!$A$2:$G$415,7,0),"")</f>
        <v/>
      </c>
      <c r="X2288" s="900" t="str">
        <f t="shared" si="501"/>
        <v xml:space="preserve"> </v>
      </c>
      <c r="Y2288" s="985"/>
      <c r="Z2288" s="922"/>
      <c r="AA2288" s="1067"/>
      <c r="AB2288" s="922"/>
      <c r="AC2288" s="922"/>
      <c r="AD2288" s="922"/>
      <c r="AE2288" s="922"/>
      <c r="AF2288" s="1046"/>
      <c r="AG2288" s="906" t="str">
        <f>IF(AE2288&lt;&gt;0,VLOOKUP(AE2288,ODDS!$A$2:$C$13,3,0),"")</f>
        <v/>
      </c>
      <c r="AH2288" s="906" t="str">
        <f t="shared" si="505"/>
        <v xml:space="preserve"> </v>
      </c>
      <c r="AI2288" s="907" t="str">
        <f t="shared" si="498"/>
        <v xml:space="preserve"> </v>
      </c>
      <c r="AJ2288" s="922"/>
      <c r="AK2288" s="922"/>
    </row>
    <row r="2289" spans="1:37" s="394" customFormat="1" ht="22.5" outlineLevel="2" x14ac:dyDescent="0.3">
      <c r="A2289" s="447">
        <f t="shared" si="509"/>
        <v>191</v>
      </c>
      <c r="B2289" s="893"/>
      <c r="C2289" s="942"/>
      <c r="D2289" s="1032"/>
      <c r="E2289" s="947"/>
      <c r="F2289" s="947"/>
      <c r="G2289" s="922"/>
      <c r="H2289" s="1041"/>
      <c r="I2289" s="882"/>
      <c r="J2289" s="894"/>
      <c r="K2289" s="899" t="str">
        <f>IF(G2289&lt;&gt;0,VLOOKUP(G2289,'gia dat'!$A$1:$F$144,5,0)," ")</f>
        <v xml:space="preserve"> </v>
      </c>
      <c r="L2289" s="899" t="str">
        <f>IF(G2289&lt;&gt;0,VLOOKUP(G2289,'gia dat'!$A$1:$F$144,6,0)," ")</f>
        <v xml:space="preserve"> </v>
      </c>
      <c r="M2289" s="900" t="str">
        <f t="shared" si="496"/>
        <v xml:space="preserve"> </v>
      </c>
      <c r="N2289" s="900" t="str">
        <f t="shared" si="497"/>
        <v xml:space="preserve"> </v>
      </c>
      <c r="O2289" s="908"/>
      <c r="P2289" s="1065"/>
      <c r="Q2289" s="900" t="str">
        <f>IF(O2289&lt;&gt;0,VLOOKUP(O2289,'Cây trong'!$A$2:$C$246,3,0)," ")</f>
        <v xml:space="preserve"> </v>
      </c>
      <c r="R2289" s="900" t="str">
        <f t="shared" si="504"/>
        <v xml:space="preserve"> </v>
      </c>
      <c r="S2289" s="908"/>
      <c r="T2289" s="944"/>
      <c r="U2289" s="1066"/>
      <c r="V2289" s="922"/>
      <c r="W2289" s="900" t="str">
        <f>IF(S2289&lt;&gt;0,VLOOKUP(S2289,VKT!$A$2:$G$415,7,0),"")</f>
        <v/>
      </c>
      <c r="X2289" s="900" t="str">
        <f t="shared" si="501"/>
        <v xml:space="preserve"> </v>
      </c>
      <c r="Y2289" s="985"/>
      <c r="Z2289" s="922"/>
      <c r="AA2289" s="1067"/>
      <c r="AB2289" s="922"/>
      <c r="AC2289" s="922"/>
      <c r="AD2289" s="922"/>
      <c r="AE2289" s="922"/>
      <c r="AF2289" s="1046"/>
      <c r="AG2289" s="906" t="str">
        <f>IF(AE2289&lt;&gt;0,VLOOKUP(AE2289,ODDS!$A$2:$C$13,3,0),"")</f>
        <v/>
      </c>
      <c r="AH2289" s="906" t="str">
        <f t="shared" si="505"/>
        <v xml:space="preserve"> </v>
      </c>
      <c r="AI2289" s="907" t="str">
        <f t="shared" si="498"/>
        <v xml:space="preserve"> </v>
      </c>
      <c r="AJ2289" s="922"/>
      <c r="AK2289" s="922"/>
    </row>
    <row r="2290" spans="1:37" s="396" customFormat="1" ht="43.5" outlineLevel="1" x14ac:dyDescent="0.25">
      <c r="A2290" s="467" t="s">
        <v>2518</v>
      </c>
      <c r="B2290" s="912">
        <v>192</v>
      </c>
      <c r="C2290" s="942" t="s">
        <v>1513</v>
      </c>
      <c r="D2290" s="1038"/>
      <c r="E2290" s="977"/>
      <c r="F2290" s="977"/>
      <c r="G2290" s="914"/>
      <c r="H2290" s="1039">
        <f>SUBTOTAL(9,H2291:H2301)</f>
        <v>266.3</v>
      </c>
      <c r="I2290" s="915">
        <f>SUBTOTAL(9,I2291:I2296)</f>
        <v>0</v>
      </c>
      <c r="J2290" s="916"/>
      <c r="K2290" s="917"/>
      <c r="L2290" s="917"/>
      <c r="M2290" s="907">
        <f>SUBTOTAL(9,M2291:M2301)</f>
        <v>147637000</v>
      </c>
      <c r="N2290" s="907">
        <f>SUBTOTAL(9,N2291:N2301)</f>
        <v>0</v>
      </c>
      <c r="O2290" s="942"/>
      <c r="P2290" s="1063">
        <f>SUBTOTAL(9,P2291:P2301)</f>
        <v>0</v>
      </c>
      <c r="Q2290" s="907"/>
      <c r="R2290" s="907">
        <f>SUBTOTAL(9,R2291:R2301)</f>
        <v>0</v>
      </c>
      <c r="S2290" s="918"/>
      <c r="T2290" s="956"/>
      <c r="U2290" s="1064">
        <f>SUBTOTAL(9,U2291:U2301)</f>
        <v>522.17000000000007</v>
      </c>
      <c r="V2290" s="914"/>
      <c r="W2290" s="907"/>
      <c r="X2290" s="907">
        <f>SUBTOTAL(9,X2291:X2301)</f>
        <v>923337000</v>
      </c>
      <c r="Y2290" s="985"/>
      <c r="Z2290" s="922"/>
      <c r="AA2290" s="1067"/>
      <c r="AB2290" s="922"/>
      <c r="AC2290" s="922"/>
      <c r="AD2290" s="922"/>
      <c r="AE2290" s="914"/>
      <c r="AF2290" s="1044">
        <f>SUBTOTAL(9,AF2291:AF2301)</f>
        <v>1</v>
      </c>
      <c r="AG2290" s="921"/>
      <c r="AH2290" s="921">
        <f>SUBTOTAL(9,AH2291:AH2301)</f>
        <v>5000000</v>
      </c>
      <c r="AI2290" s="907">
        <f t="shared" si="498"/>
        <v>1075974000</v>
      </c>
      <c r="AJ2290" s="914"/>
      <c r="AK2290" s="914"/>
    </row>
    <row r="2291" spans="1:37" s="396" customFormat="1" ht="180" outlineLevel="2" x14ac:dyDescent="0.3">
      <c r="A2291" s="447">
        <f>IF(B2290&lt;&gt;0,B2290,A2289)</f>
        <v>192</v>
      </c>
      <c r="B2291" s="893"/>
      <c r="C2291" s="908" t="s">
        <v>1515</v>
      </c>
      <c r="D2291" s="1032"/>
      <c r="E2291" s="947">
        <v>86</v>
      </c>
      <c r="F2291" s="947">
        <v>272</v>
      </c>
      <c r="G2291" s="922" t="s">
        <v>2895</v>
      </c>
      <c r="H2291" s="1041">
        <v>266.3</v>
      </c>
      <c r="I2291" s="882" t="str">
        <f t="shared" ref="I2291" si="510">IF(N2291&gt;0,H2291,"")</f>
        <v/>
      </c>
      <c r="J2291" s="898"/>
      <c r="K2291" s="899">
        <f>IF(G2291&lt;&gt;0,VLOOKUP(G2291,'gia dat'!$A$1:$F$144,5,0)," ")</f>
        <v>554400</v>
      </c>
      <c r="L2291" s="899">
        <f>IF(G2291&lt;&gt;0,VLOOKUP(G2291,'gia dat'!$A$1:$F$144,6,0)," ")</f>
        <v>0</v>
      </c>
      <c r="M2291" s="900">
        <f t="shared" si="496"/>
        <v>147637000</v>
      </c>
      <c r="N2291" s="900">
        <f t="shared" si="497"/>
        <v>0</v>
      </c>
      <c r="O2291" s="908"/>
      <c r="P2291" s="1065"/>
      <c r="Q2291" s="900" t="str">
        <f>IF(O2291&lt;&gt;0,VLOOKUP(O2291,'Cây trong'!$A$2:$C$246,3,0)," ")</f>
        <v xml:space="preserve"> </v>
      </c>
      <c r="R2291" s="900" t="str">
        <f t="shared" si="504"/>
        <v xml:space="preserve"> </v>
      </c>
      <c r="S2291" s="902" t="s">
        <v>2011</v>
      </c>
      <c r="T2291" s="944" t="s">
        <v>1133</v>
      </c>
      <c r="U2291" s="1066">
        <v>113.19</v>
      </c>
      <c r="V2291" s="922"/>
      <c r="W2291" s="900">
        <f>IF(S2291&lt;&gt;0,VLOOKUP(S2291,VKT!$A$2:$G$415,7,0),"")</f>
        <v>722547</v>
      </c>
      <c r="X2291" s="900">
        <f t="shared" si="501"/>
        <v>81785000</v>
      </c>
      <c r="Y2291" s="985"/>
      <c r="Z2291" s="922"/>
      <c r="AA2291" s="1067"/>
      <c r="AB2291" s="922"/>
      <c r="AC2291" s="922"/>
      <c r="AD2291" s="922"/>
      <c r="AE2291" s="922" t="s">
        <v>2137</v>
      </c>
      <c r="AF2291" s="1046">
        <v>1</v>
      </c>
      <c r="AG2291" s="906">
        <f>IF(AE2291&lt;&gt;0,VLOOKUP(AE2291,ODDS!$A$2:$C$13,3,0),"")</f>
        <v>5000000</v>
      </c>
      <c r="AH2291" s="906">
        <f t="shared" si="505"/>
        <v>5000000</v>
      </c>
      <c r="AI2291" s="907" t="str">
        <f t="shared" si="498"/>
        <v xml:space="preserve"> </v>
      </c>
      <c r="AJ2291" s="922" t="s">
        <v>1514</v>
      </c>
      <c r="AK2291" s="922" t="s">
        <v>2771</v>
      </c>
    </row>
    <row r="2292" spans="1:37" s="394" customFormat="1" ht="112.5" outlineLevel="2" x14ac:dyDescent="0.3">
      <c r="A2292" s="447">
        <f t="shared" ref="A2292:A2301" si="511">IF(B2291&lt;&gt;0,B2291,A2291)</f>
        <v>192</v>
      </c>
      <c r="B2292" s="893"/>
      <c r="C2292" s="908" t="s">
        <v>1642</v>
      </c>
      <c r="D2292" s="1032"/>
      <c r="E2292" s="947"/>
      <c r="F2292" s="947"/>
      <c r="G2292" s="922"/>
      <c r="H2292" s="1041"/>
      <c r="I2292" s="882"/>
      <c r="J2292" s="898"/>
      <c r="K2292" s="899" t="str">
        <f>IF(G2292&lt;&gt;0,VLOOKUP(G2292,'gia dat'!$A$1:$F$144,5,0)," ")</f>
        <v xml:space="preserve"> </v>
      </c>
      <c r="L2292" s="899" t="str">
        <f>IF(G2292&lt;&gt;0,VLOOKUP(G2292,'gia dat'!$A$1:$F$144,6,0)," ")</f>
        <v xml:space="preserve"> </v>
      </c>
      <c r="M2292" s="900" t="str">
        <f t="shared" si="496"/>
        <v xml:space="preserve"> </v>
      </c>
      <c r="N2292" s="900" t="str">
        <f t="shared" si="497"/>
        <v xml:space="preserve"> </v>
      </c>
      <c r="O2292" s="908"/>
      <c r="P2292" s="1065"/>
      <c r="Q2292" s="900" t="str">
        <f>IF(O2292&lt;&gt;0,VLOOKUP(O2292,'Cây trong'!$A$2:$C$246,3,0)," ")</f>
        <v xml:space="preserve"> </v>
      </c>
      <c r="R2292" s="900" t="str">
        <f t="shared" si="504"/>
        <v xml:space="preserve"> </v>
      </c>
      <c r="S2292" s="902" t="s">
        <v>1763</v>
      </c>
      <c r="T2292" s="944" t="s">
        <v>1133</v>
      </c>
      <c r="U2292" s="1066">
        <v>157.5</v>
      </c>
      <c r="V2292" s="922"/>
      <c r="W2292" s="900">
        <f>IF(S2292&lt;&gt;0,VLOOKUP(S2292,VKT!$A$2:$G$415,7,0),"")</f>
        <v>3550600</v>
      </c>
      <c r="X2292" s="900">
        <f t="shared" si="501"/>
        <v>559220000</v>
      </c>
      <c r="Y2292" s="996" t="s">
        <v>1138</v>
      </c>
      <c r="Z2292" s="1016" t="s">
        <v>1139</v>
      </c>
      <c r="AA2292" s="1016" t="s">
        <v>56</v>
      </c>
      <c r="AB2292" s="1026" t="s">
        <v>269</v>
      </c>
      <c r="AC2292" s="1016" t="s">
        <v>1138</v>
      </c>
      <c r="AD2292" s="922"/>
      <c r="AE2292" s="922"/>
      <c r="AF2292" s="1046"/>
      <c r="AG2292" s="906" t="str">
        <f>IF(AE2292&lt;&gt;0,VLOOKUP(AE2292,ODDS!$A$2:$C$13,3,0),"")</f>
        <v/>
      </c>
      <c r="AH2292" s="906"/>
      <c r="AI2292" s="907" t="str">
        <f t="shared" si="498"/>
        <v xml:space="preserve"> </v>
      </c>
      <c r="AJ2292" s="922" t="s">
        <v>1516</v>
      </c>
      <c r="AK2292" s="894" t="s">
        <v>2450</v>
      </c>
    </row>
    <row r="2293" spans="1:37" s="394" customFormat="1" ht="135" outlineLevel="2" x14ac:dyDescent="0.3">
      <c r="A2293" s="447">
        <f t="shared" si="511"/>
        <v>192</v>
      </c>
      <c r="B2293" s="893"/>
      <c r="C2293" s="942" t="s">
        <v>1518</v>
      </c>
      <c r="D2293" s="1032"/>
      <c r="E2293" s="947"/>
      <c r="F2293" s="947"/>
      <c r="G2293" s="922"/>
      <c r="H2293" s="1041"/>
      <c r="I2293" s="882"/>
      <c r="J2293" s="898"/>
      <c r="K2293" s="899" t="str">
        <f>IF(G2293&lt;&gt;0,VLOOKUP(G2293,'gia dat'!$A$1:$F$144,5,0)," ")</f>
        <v xml:space="preserve"> </v>
      </c>
      <c r="L2293" s="899" t="str">
        <f>IF(G2293&lt;&gt;0,VLOOKUP(G2293,'gia dat'!$A$1:$F$144,6,0)," ")</f>
        <v xml:space="preserve"> </v>
      </c>
      <c r="M2293" s="900" t="str">
        <f t="shared" si="496"/>
        <v xml:space="preserve"> </v>
      </c>
      <c r="N2293" s="900" t="str">
        <f t="shared" si="497"/>
        <v xml:space="preserve"> </v>
      </c>
      <c r="O2293" s="908"/>
      <c r="P2293" s="1065"/>
      <c r="Q2293" s="900" t="str">
        <f>IF(O2293&lt;&gt;0,VLOOKUP(O2293,'Cây trong'!$A$2:$C$246,3,0)," ")</f>
        <v xml:space="preserve"> </v>
      </c>
      <c r="R2293" s="900" t="str">
        <f t="shared" si="504"/>
        <v xml:space="preserve"> </v>
      </c>
      <c r="S2293" s="902" t="s">
        <v>2012</v>
      </c>
      <c r="T2293" s="944" t="s">
        <v>1133</v>
      </c>
      <c r="U2293" s="1066">
        <v>28.73</v>
      </c>
      <c r="V2293" s="922"/>
      <c r="W2293" s="900">
        <f>IF(S2293&lt;&gt;0,VLOOKUP(S2293,VKT!$A$2:$G$415,7,0),"")</f>
        <v>9028527</v>
      </c>
      <c r="X2293" s="900">
        <f t="shared" si="501"/>
        <v>259390000</v>
      </c>
      <c r="Y2293" s="985"/>
      <c r="Z2293" s="922"/>
      <c r="AA2293" s="1067"/>
      <c r="AB2293" s="922"/>
      <c r="AC2293" s="922"/>
      <c r="AD2293" s="922"/>
      <c r="AE2293" s="922"/>
      <c r="AF2293" s="1046"/>
      <c r="AG2293" s="906" t="str">
        <f>IF(AE2293&lt;&gt;0,VLOOKUP(AE2293,ODDS!$A$2:$C$13,3,0),"")</f>
        <v/>
      </c>
      <c r="AH2293" s="906" t="str">
        <f t="shared" si="505"/>
        <v xml:space="preserve"> </v>
      </c>
      <c r="AI2293" s="907" t="str">
        <f t="shared" si="498"/>
        <v xml:space="preserve"> </v>
      </c>
      <c r="AJ2293" s="922" t="s">
        <v>1517</v>
      </c>
      <c r="AK2293" s="922" t="s">
        <v>2447</v>
      </c>
    </row>
    <row r="2294" spans="1:37" s="394" customFormat="1" ht="135" outlineLevel="2" x14ac:dyDescent="0.3">
      <c r="A2294" s="447">
        <f t="shared" si="511"/>
        <v>192</v>
      </c>
      <c r="B2294" s="893"/>
      <c r="C2294" s="908" t="s">
        <v>1519</v>
      </c>
      <c r="D2294" s="1032"/>
      <c r="E2294" s="947"/>
      <c r="F2294" s="947"/>
      <c r="G2294" s="922"/>
      <c r="H2294" s="1041"/>
      <c r="I2294" s="882"/>
      <c r="J2294" s="894"/>
      <c r="K2294" s="899" t="str">
        <f>IF(G2294&lt;&gt;0,VLOOKUP(G2294,'gia dat'!$A$1:$F$144,5,0)," ")</f>
        <v xml:space="preserve"> </v>
      </c>
      <c r="L2294" s="899" t="str">
        <f>IF(G2294&lt;&gt;0,VLOOKUP(G2294,'gia dat'!$A$1:$F$144,6,0)," ")</f>
        <v xml:space="preserve"> </v>
      </c>
      <c r="M2294" s="900" t="str">
        <f t="shared" si="496"/>
        <v xml:space="preserve"> </v>
      </c>
      <c r="N2294" s="900" t="str">
        <f t="shared" si="497"/>
        <v xml:space="preserve"> </v>
      </c>
      <c r="O2294" s="908"/>
      <c r="P2294" s="1065"/>
      <c r="Q2294" s="900" t="str">
        <f>IF(O2294&lt;&gt;0,VLOOKUP(O2294,'Cây trong'!$A$2:$C$246,3,0)," ")</f>
        <v xml:space="preserve"> </v>
      </c>
      <c r="R2294" s="900" t="str">
        <f t="shared" si="504"/>
        <v xml:space="preserve"> </v>
      </c>
      <c r="S2294" s="908" t="s">
        <v>2013</v>
      </c>
      <c r="T2294" s="944" t="s">
        <v>1133</v>
      </c>
      <c r="U2294" s="1066">
        <v>114.4</v>
      </c>
      <c r="V2294" s="922"/>
      <c r="W2294" s="900">
        <f>IF(S2294&lt;&gt;0,VLOOKUP(S2294,VKT!$A$2:$G$415,7,0),"")</f>
        <v>0</v>
      </c>
      <c r="X2294" s="900">
        <f t="shared" si="501"/>
        <v>0</v>
      </c>
      <c r="Y2294" s="985"/>
      <c r="Z2294" s="922"/>
      <c r="AA2294" s="1067"/>
      <c r="AB2294" s="922"/>
      <c r="AC2294" s="922"/>
      <c r="AD2294" s="922"/>
      <c r="AE2294" s="922"/>
      <c r="AF2294" s="1046"/>
      <c r="AG2294" s="906" t="str">
        <f>IF(AE2294&lt;&gt;0,VLOOKUP(AE2294,ODDS!$A$2:$C$13,3,0),"")</f>
        <v/>
      </c>
      <c r="AH2294" s="906" t="str">
        <f t="shared" si="505"/>
        <v xml:space="preserve"> </v>
      </c>
      <c r="AI2294" s="907" t="str">
        <f t="shared" si="498"/>
        <v xml:space="preserve"> </v>
      </c>
      <c r="AJ2294" s="922" t="s">
        <v>1303</v>
      </c>
      <c r="AK2294" s="922" t="s">
        <v>2800</v>
      </c>
    </row>
    <row r="2295" spans="1:37" s="394" customFormat="1" ht="112.5" outlineLevel="2" x14ac:dyDescent="0.3">
      <c r="A2295" s="447">
        <f t="shared" si="511"/>
        <v>192</v>
      </c>
      <c r="B2295" s="893"/>
      <c r="C2295" s="908" t="s">
        <v>1643</v>
      </c>
      <c r="D2295" s="1032"/>
      <c r="E2295" s="947"/>
      <c r="F2295" s="947"/>
      <c r="G2295" s="922"/>
      <c r="H2295" s="1041"/>
      <c r="I2295" s="882"/>
      <c r="J2295" s="894"/>
      <c r="K2295" s="899" t="str">
        <f>IF(G2295&lt;&gt;0,VLOOKUP(G2295,'gia dat'!$A$1:$F$144,5,0)," ")</f>
        <v xml:space="preserve"> </v>
      </c>
      <c r="L2295" s="899" t="str">
        <f>IF(G2295&lt;&gt;0,VLOOKUP(G2295,'gia dat'!$A$1:$F$144,6,0)," ")</f>
        <v xml:space="preserve"> </v>
      </c>
      <c r="M2295" s="900" t="str">
        <f t="shared" si="496"/>
        <v xml:space="preserve"> </v>
      </c>
      <c r="N2295" s="900" t="str">
        <f t="shared" si="497"/>
        <v xml:space="preserve"> </v>
      </c>
      <c r="O2295" s="908"/>
      <c r="P2295" s="1065"/>
      <c r="Q2295" s="900" t="str">
        <f>IF(O2295&lt;&gt;0,VLOOKUP(O2295,'Cây trong'!$A$2:$C$246,3,0)," ")</f>
        <v xml:space="preserve"> </v>
      </c>
      <c r="R2295" s="900" t="str">
        <f t="shared" si="504"/>
        <v xml:space="preserve"> </v>
      </c>
      <c r="S2295" s="908" t="s">
        <v>2014</v>
      </c>
      <c r="T2295" s="944" t="s">
        <v>1133</v>
      </c>
      <c r="U2295" s="1066">
        <v>22.05</v>
      </c>
      <c r="V2295" s="922"/>
      <c r="W2295" s="900">
        <f>IF(S2295&lt;&gt;0,VLOOKUP(S2295,VKT!$A$2:$G$415,7,0),"")</f>
        <v>0</v>
      </c>
      <c r="X2295" s="900">
        <f t="shared" si="501"/>
        <v>0</v>
      </c>
      <c r="Y2295" s="985"/>
      <c r="Z2295" s="922"/>
      <c r="AA2295" s="1067"/>
      <c r="AB2295" s="922"/>
      <c r="AC2295" s="922"/>
      <c r="AD2295" s="922"/>
      <c r="AE2295" s="922"/>
      <c r="AF2295" s="1046"/>
      <c r="AG2295" s="906" t="str">
        <f>IF(AE2295&lt;&gt;0,VLOOKUP(AE2295,ODDS!$A$2:$C$13,3,0),"")</f>
        <v/>
      </c>
      <c r="AH2295" s="906" t="str">
        <f t="shared" si="505"/>
        <v xml:space="preserve"> </v>
      </c>
      <c r="AI2295" s="907" t="str">
        <f t="shared" si="498"/>
        <v xml:space="preserve"> </v>
      </c>
      <c r="AJ2295" s="922"/>
      <c r="AK2295" s="922"/>
    </row>
    <row r="2296" spans="1:37" s="394" customFormat="1" ht="90" outlineLevel="2" x14ac:dyDescent="0.3">
      <c r="A2296" s="447">
        <f t="shared" si="511"/>
        <v>192</v>
      </c>
      <c r="B2296" s="893"/>
      <c r="C2296" s="908"/>
      <c r="D2296" s="1032"/>
      <c r="E2296" s="947"/>
      <c r="F2296" s="947"/>
      <c r="G2296" s="922"/>
      <c r="H2296" s="1041"/>
      <c r="I2296" s="882"/>
      <c r="J2296" s="894"/>
      <c r="K2296" s="899" t="str">
        <f>IF(G2296&lt;&gt;0,VLOOKUP(G2296,'gia dat'!$A$1:$F$144,5,0)," ")</f>
        <v xml:space="preserve"> </v>
      </c>
      <c r="L2296" s="899" t="str">
        <f>IF(G2296&lt;&gt;0,VLOOKUP(G2296,'gia dat'!$A$1:$F$144,6,0)," ")</f>
        <v xml:space="preserve"> </v>
      </c>
      <c r="M2296" s="900" t="str">
        <f t="shared" si="496"/>
        <v xml:space="preserve"> </v>
      </c>
      <c r="N2296" s="900" t="str">
        <f t="shared" si="497"/>
        <v xml:space="preserve"> </v>
      </c>
      <c r="O2296" s="908"/>
      <c r="P2296" s="1065"/>
      <c r="Q2296" s="900" t="str">
        <f>IF(O2296&lt;&gt;0,VLOOKUP(O2296,'Cây trong'!$A$2:$C$246,3,0)," ")</f>
        <v xml:space="preserve"> </v>
      </c>
      <c r="R2296" s="900" t="str">
        <f t="shared" si="504"/>
        <v xml:space="preserve"> </v>
      </c>
      <c r="S2296" s="908" t="s">
        <v>1912</v>
      </c>
      <c r="T2296" s="944" t="s">
        <v>1133</v>
      </c>
      <c r="U2296" s="1066">
        <v>86.3</v>
      </c>
      <c r="V2296" s="922"/>
      <c r="W2296" s="900">
        <f>IF(S2296&lt;&gt;0,VLOOKUP(S2296,VKT!$A$2:$G$415,7,0),"")</f>
        <v>265836</v>
      </c>
      <c r="X2296" s="900">
        <f t="shared" si="501"/>
        <v>22942000</v>
      </c>
      <c r="Y2296" s="985"/>
      <c r="Z2296" s="922"/>
      <c r="AA2296" s="1067"/>
      <c r="AB2296" s="922"/>
      <c r="AC2296" s="922"/>
      <c r="AD2296" s="922"/>
      <c r="AE2296" s="922"/>
      <c r="AF2296" s="1046"/>
      <c r="AG2296" s="906" t="str">
        <f>IF(AE2296&lt;&gt;0,VLOOKUP(AE2296,ODDS!$A$2:$C$13,3,0),"")</f>
        <v/>
      </c>
      <c r="AH2296" s="906" t="str">
        <f t="shared" si="505"/>
        <v xml:space="preserve"> </v>
      </c>
      <c r="AI2296" s="907" t="str">
        <f t="shared" si="498"/>
        <v xml:space="preserve"> </v>
      </c>
      <c r="AJ2296" s="908"/>
      <c r="AK2296" s="908"/>
    </row>
    <row r="2297" spans="1:37" s="394" customFormat="1" ht="22.5" outlineLevel="2" x14ac:dyDescent="0.3">
      <c r="A2297" s="447">
        <f t="shared" si="511"/>
        <v>192</v>
      </c>
      <c r="B2297" s="893"/>
      <c r="C2297" s="908"/>
      <c r="D2297" s="1032"/>
      <c r="E2297" s="947"/>
      <c r="F2297" s="947"/>
      <c r="G2297" s="922"/>
      <c r="H2297" s="1041"/>
      <c r="I2297" s="882"/>
      <c r="J2297" s="894"/>
      <c r="K2297" s="899" t="str">
        <f>IF(G2297&lt;&gt;0,VLOOKUP(G2297,'gia dat'!$A$1:$F$144,5,0)," ")</f>
        <v xml:space="preserve"> </v>
      </c>
      <c r="L2297" s="899" t="str">
        <f>IF(G2297&lt;&gt;0,VLOOKUP(G2297,'gia dat'!$A$1:$F$144,6,0)," ")</f>
        <v xml:space="preserve"> </v>
      </c>
      <c r="M2297" s="900" t="str">
        <f t="shared" si="496"/>
        <v xml:space="preserve"> </v>
      </c>
      <c r="N2297" s="900" t="str">
        <f t="shared" si="497"/>
        <v xml:space="preserve"> </v>
      </c>
      <c r="O2297" s="908"/>
      <c r="P2297" s="1065"/>
      <c r="Q2297" s="900" t="str">
        <f>IF(O2297&lt;&gt;0,VLOOKUP(O2297,'Cây trong'!$A$2:$C$246,3,0)," ")</f>
        <v xml:space="preserve"> </v>
      </c>
      <c r="R2297" s="900" t="str">
        <f t="shared" si="504"/>
        <v xml:space="preserve"> </v>
      </c>
      <c r="S2297" s="908"/>
      <c r="T2297" s="944"/>
      <c r="U2297" s="1066"/>
      <c r="V2297" s="922"/>
      <c r="W2297" s="900" t="str">
        <f>IF(S2297&lt;&gt;0,VLOOKUP(S2297,VKT!$A$2:$G$415,7,0),"")</f>
        <v/>
      </c>
      <c r="X2297" s="900" t="str">
        <f t="shared" si="501"/>
        <v xml:space="preserve"> </v>
      </c>
      <c r="Y2297" s="985"/>
      <c r="Z2297" s="922"/>
      <c r="AA2297" s="1067"/>
      <c r="AB2297" s="922"/>
      <c r="AC2297" s="922"/>
      <c r="AD2297" s="922"/>
      <c r="AE2297" s="922"/>
      <c r="AF2297" s="1046"/>
      <c r="AG2297" s="906" t="str">
        <f>IF(AE2297&lt;&gt;0,VLOOKUP(AE2297,ODDS!$A$2:$C$13,3,0),"")</f>
        <v/>
      </c>
      <c r="AH2297" s="906" t="str">
        <f t="shared" si="505"/>
        <v xml:space="preserve"> </v>
      </c>
      <c r="AI2297" s="907" t="str">
        <f t="shared" si="498"/>
        <v xml:space="preserve"> </v>
      </c>
      <c r="AJ2297" s="1069"/>
      <c r="AK2297" s="1069"/>
    </row>
    <row r="2298" spans="1:37" s="394" customFormat="1" ht="22.5" outlineLevel="2" x14ac:dyDescent="0.3">
      <c r="A2298" s="447">
        <f t="shared" si="511"/>
        <v>192</v>
      </c>
      <c r="B2298" s="893"/>
      <c r="C2298" s="908"/>
      <c r="D2298" s="1032"/>
      <c r="E2298" s="947"/>
      <c r="F2298" s="947"/>
      <c r="G2298" s="922"/>
      <c r="H2298" s="1041"/>
      <c r="I2298" s="882"/>
      <c r="J2298" s="894"/>
      <c r="K2298" s="899" t="str">
        <f>IF(G2298&lt;&gt;0,VLOOKUP(G2298,'gia dat'!$A$1:$F$144,5,0)," ")</f>
        <v xml:space="preserve"> </v>
      </c>
      <c r="L2298" s="899" t="str">
        <f>IF(G2298&lt;&gt;0,VLOOKUP(G2298,'gia dat'!$A$1:$F$144,6,0)," ")</f>
        <v xml:space="preserve"> </v>
      </c>
      <c r="M2298" s="900" t="str">
        <f t="shared" si="496"/>
        <v xml:space="preserve"> </v>
      </c>
      <c r="N2298" s="900" t="str">
        <f t="shared" si="497"/>
        <v xml:space="preserve"> </v>
      </c>
      <c r="O2298" s="908"/>
      <c r="P2298" s="1065"/>
      <c r="Q2298" s="900" t="str">
        <f>IF(O2298&lt;&gt;0,VLOOKUP(O2298,'Cây trong'!$A$2:$C$246,3,0)," ")</f>
        <v xml:space="preserve"> </v>
      </c>
      <c r="R2298" s="900" t="str">
        <f t="shared" si="504"/>
        <v xml:space="preserve"> </v>
      </c>
      <c r="S2298" s="908"/>
      <c r="T2298" s="944"/>
      <c r="U2298" s="1066"/>
      <c r="V2298" s="922"/>
      <c r="W2298" s="900" t="str">
        <f>IF(S2298&lt;&gt;0,VLOOKUP(S2298,VKT!$A$2:$G$415,7,0),"")</f>
        <v/>
      </c>
      <c r="X2298" s="900" t="str">
        <f t="shared" si="501"/>
        <v xml:space="preserve"> </v>
      </c>
      <c r="Y2298" s="985"/>
      <c r="Z2298" s="922"/>
      <c r="AA2298" s="1067"/>
      <c r="AB2298" s="922"/>
      <c r="AC2298" s="922"/>
      <c r="AD2298" s="922"/>
      <c r="AE2298" s="922"/>
      <c r="AF2298" s="1046"/>
      <c r="AG2298" s="906" t="str">
        <f>IF(AE2298&lt;&gt;0,VLOOKUP(AE2298,ODDS!$A$2:$C$13,3,0),"")</f>
        <v/>
      </c>
      <c r="AH2298" s="906" t="str">
        <f t="shared" si="505"/>
        <v xml:space="preserve"> </v>
      </c>
      <c r="AI2298" s="907" t="str">
        <f t="shared" si="498"/>
        <v xml:space="preserve"> </v>
      </c>
      <c r="AJ2298" s="894"/>
      <c r="AK2298" s="894"/>
    </row>
    <row r="2299" spans="1:37" s="394" customFormat="1" ht="22.5" outlineLevel="2" x14ac:dyDescent="0.3">
      <c r="A2299" s="447">
        <f t="shared" si="511"/>
        <v>192</v>
      </c>
      <c r="B2299" s="893"/>
      <c r="C2299" s="908"/>
      <c r="D2299" s="1032"/>
      <c r="E2299" s="947"/>
      <c r="F2299" s="947"/>
      <c r="G2299" s="922"/>
      <c r="H2299" s="1041"/>
      <c r="I2299" s="882"/>
      <c r="J2299" s="894"/>
      <c r="K2299" s="899" t="str">
        <f>IF(G2299&lt;&gt;0,VLOOKUP(G2299,'gia dat'!$A$1:$F$144,5,0)," ")</f>
        <v xml:space="preserve"> </v>
      </c>
      <c r="L2299" s="899" t="str">
        <f>IF(G2299&lt;&gt;0,VLOOKUP(G2299,'gia dat'!$A$1:$F$144,6,0)," ")</f>
        <v xml:space="preserve"> </v>
      </c>
      <c r="M2299" s="900" t="str">
        <f t="shared" si="496"/>
        <v xml:space="preserve"> </v>
      </c>
      <c r="N2299" s="900" t="str">
        <f t="shared" si="497"/>
        <v xml:space="preserve"> </v>
      </c>
      <c r="O2299" s="908"/>
      <c r="P2299" s="1065"/>
      <c r="Q2299" s="900" t="str">
        <f>IF(O2299&lt;&gt;0,VLOOKUP(O2299,'Cây trong'!$A$2:$C$246,3,0)," ")</f>
        <v xml:space="preserve"> </v>
      </c>
      <c r="R2299" s="900" t="str">
        <f t="shared" si="504"/>
        <v xml:space="preserve"> </v>
      </c>
      <c r="S2299" s="908"/>
      <c r="T2299" s="944"/>
      <c r="U2299" s="1066"/>
      <c r="V2299" s="922"/>
      <c r="W2299" s="900" t="str">
        <f>IF(S2299&lt;&gt;0,VLOOKUP(S2299,VKT!$A$2:$G$415,7,0),"")</f>
        <v/>
      </c>
      <c r="X2299" s="900" t="str">
        <f t="shared" si="501"/>
        <v xml:space="preserve"> </v>
      </c>
      <c r="Y2299" s="985"/>
      <c r="Z2299" s="922"/>
      <c r="AA2299" s="1067"/>
      <c r="AB2299" s="922"/>
      <c r="AC2299" s="922"/>
      <c r="AD2299" s="922"/>
      <c r="AE2299" s="922"/>
      <c r="AF2299" s="1046"/>
      <c r="AG2299" s="906" t="str">
        <f>IF(AE2299&lt;&gt;0,VLOOKUP(AE2299,ODDS!$A$2:$C$13,3,0),"")</f>
        <v/>
      </c>
      <c r="AH2299" s="906" t="str">
        <f t="shared" si="505"/>
        <v xml:space="preserve"> </v>
      </c>
      <c r="AI2299" s="907" t="str">
        <f t="shared" si="498"/>
        <v xml:space="preserve"> </v>
      </c>
      <c r="AJ2299" s="922"/>
      <c r="AK2299" s="922"/>
    </row>
    <row r="2300" spans="1:37" s="394" customFormat="1" ht="22.5" outlineLevel="2" x14ac:dyDescent="0.3">
      <c r="A2300" s="447">
        <f t="shared" si="511"/>
        <v>192</v>
      </c>
      <c r="B2300" s="893"/>
      <c r="C2300" s="908"/>
      <c r="D2300" s="1032"/>
      <c r="E2300" s="947"/>
      <c r="F2300" s="947"/>
      <c r="G2300" s="922"/>
      <c r="H2300" s="1041"/>
      <c r="I2300" s="882"/>
      <c r="J2300" s="894"/>
      <c r="K2300" s="899" t="str">
        <f>IF(G2300&lt;&gt;0,VLOOKUP(G2300,'gia dat'!$A$1:$F$144,5,0)," ")</f>
        <v xml:space="preserve"> </v>
      </c>
      <c r="L2300" s="899" t="str">
        <f>IF(G2300&lt;&gt;0,VLOOKUP(G2300,'gia dat'!$A$1:$F$144,6,0)," ")</f>
        <v xml:space="preserve"> </v>
      </c>
      <c r="M2300" s="900" t="str">
        <f t="shared" si="496"/>
        <v xml:space="preserve"> </v>
      </c>
      <c r="N2300" s="900" t="str">
        <f t="shared" si="497"/>
        <v xml:space="preserve"> </v>
      </c>
      <c r="O2300" s="908"/>
      <c r="P2300" s="1065"/>
      <c r="Q2300" s="900" t="str">
        <f>IF(O2300&lt;&gt;0,VLOOKUP(O2300,'Cây trong'!$A$2:$C$246,3,0)," ")</f>
        <v xml:space="preserve"> </v>
      </c>
      <c r="R2300" s="900" t="str">
        <f t="shared" si="504"/>
        <v xml:space="preserve"> </v>
      </c>
      <c r="S2300" s="908"/>
      <c r="T2300" s="944"/>
      <c r="U2300" s="1066"/>
      <c r="V2300" s="922"/>
      <c r="W2300" s="900" t="str">
        <f>IF(S2300&lt;&gt;0,VLOOKUP(S2300,VKT!$A$2:$G$415,7,0),"")</f>
        <v/>
      </c>
      <c r="X2300" s="900" t="str">
        <f t="shared" si="501"/>
        <v xml:space="preserve"> </v>
      </c>
      <c r="Y2300" s="985"/>
      <c r="Z2300" s="922"/>
      <c r="AA2300" s="1067"/>
      <c r="AB2300" s="922"/>
      <c r="AC2300" s="922"/>
      <c r="AD2300" s="922"/>
      <c r="AE2300" s="922"/>
      <c r="AF2300" s="1046"/>
      <c r="AG2300" s="906" t="str">
        <f>IF(AE2300&lt;&gt;0,VLOOKUP(AE2300,ODDS!$A$2:$C$13,3,0),"")</f>
        <v/>
      </c>
      <c r="AH2300" s="906" t="str">
        <f t="shared" si="505"/>
        <v xml:space="preserve"> </v>
      </c>
      <c r="AI2300" s="907" t="str">
        <f t="shared" si="498"/>
        <v xml:space="preserve"> </v>
      </c>
      <c r="AJ2300" s="922"/>
      <c r="AK2300" s="922"/>
    </row>
    <row r="2301" spans="1:37" s="394" customFormat="1" ht="22.5" outlineLevel="2" x14ac:dyDescent="0.3">
      <c r="A2301" s="447">
        <f t="shared" si="511"/>
        <v>192</v>
      </c>
      <c r="B2301" s="893"/>
      <c r="C2301" s="942"/>
      <c r="D2301" s="1032"/>
      <c r="E2301" s="947"/>
      <c r="F2301" s="947"/>
      <c r="G2301" s="922"/>
      <c r="H2301" s="1041"/>
      <c r="I2301" s="882"/>
      <c r="J2301" s="894"/>
      <c r="K2301" s="899" t="str">
        <f>IF(G2301&lt;&gt;0,VLOOKUP(G2301,'gia dat'!$A$1:$F$144,5,0)," ")</f>
        <v xml:space="preserve"> </v>
      </c>
      <c r="L2301" s="899" t="str">
        <f>IF(G2301&lt;&gt;0,VLOOKUP(G2301,'gia dat'!$A$1:$F$144,6,0)," ")</f>
        <v xml:space="preserve"> </v>
      </c>
      <c r="M2301" s="900" t="str">
        <f t="shared" si="496"/>
        <v xml:space="preserve"> </v>
      </c>
      <c r="N2301" s="900" t="str">
        <f t="shared" si="497"/>
        <v xml:space="preserve"> </v>
      </c>
      <c r="O2301" s="908"/>
      <c r="P2301" s="1065"/>
      <c r="Q2301" s="900" t="str">
        <f>IF(O2301&lt;&gt;0,VLOOKUP(O2301,'Cây trong'!$A$2:$C$246,3,0)," ")</f>
        <v xml:space="preserve"> </v>
      </c>
      <c r="R2301" s="900" t="str">
        <f t="shared" si="504"/>
        <v xml:space="preserve"> </v>
      </c>
      <c r="S2301" s="908"/>
      <c r="T2301" s="944"/>
      <c r="U2301" s="1066"/>
      <c r="V2301" s="922"/>
      <c r="W2301" s="900" t="str">
        <f>IF(S2301&lt;&gt;0,VLOOKUP(S2301,VKT!$A$2:$G$415,7,0),"")</f>
        <v/>
      </c>
      <c r="X2301" s="900" t="str">
        <f t="shared" si="501"/>
        <v xml:space="preserve"> </v>
      </c>
      <c r="Y2301" s="985"/>
      <c r="Z2301" s="922"/>
      <c r="AA2301" s="1067"/>
      <c r="AB2301" s="922"/>
      <c r="AC2301" s="922"/>
      <c r="AD2301" s="922"/>
      <c r="AE2301" s="922"/>
      <c r="AF2301" s="1046"/>
      <c r="AG2301" s="906" t="str">
        <f>IF(AE2301&lt;&gt;0,VLOOKUP(AE2301,ODDS!$A$2:$C$13,3,0),"")</f>
        <v/>
      </c>
      <c r="AH2301" s="906" t="str">
        <f t="shared" si="505"/>
        <v xml:space="preserve"> </v>
      </c>
      <c r="AI2301" s="907" t="str">
        <f t="shared" si="498"/>
        <v xml:space="preserve"> </v>
      </c>
      <c r="AJ2301" s="922"/>
      <c r="AK2301" s="922"/>
    </row>
    <row r="2302" spans="1:37" s="396" customFormat="1" ht="87" outlineLevel="1" x14ac:dyDescent="0.25">
      <c r="A2302" s="467" t="s">
        <v>2517</v>
      </c>
      <c r="B2302" s="912">
        <v>193</v>
      </c>
      <c r="C2302" s="942" t="s">
        <v>1520</v>
      </c>
      <c r="D2302" s="1038"/>
      <c r="E2302" s="977"/>
      <c r="F2302" s="977"/>
      <c r="G2302" s="914"/>
      <c r="H2302" s="1039">
        <f>SUBTOTAL(9,H2303:H2311)</f>
        <v>563.29999999999995</v>
      </c>
      <c r="I2302" s="915">
        <f>SUBTOTAL(9,I2303:I2308)</f>
        <v>563.29999999999995</v>
      </c>
      <c r="J2302" s="916"/>
      <c r="K2302" s="917"/>
      <c r="L2302" s="917"/>
      <c r="M2302" s="907">
        <f>SUBTOTAL(9,M2303:M2311)</f>
        <v>262272000</v>
      </c>
      <c r="N2302" s="907">
        <f>SUBTOTAL(9,N2303:N2311)</f>
        <v>786817000</v>
      </c>
      <c r="O2302" s="942"/>
      <c r="P2302" s="1063">
        <f>SUBTOTAL(9,P2303:P2311)</f>
        <v>527</v>
      </c>
      <c r="Q2302" s="907"/>
      <c r="R2302" s="907">
        <f>SUBTOTAL(9,R2303:R2311)</f>
        <v>6324000</v>
      </c>
      <c r="S2302" s="918"/>
      <c r="T2302" s="956"/>
      <c r="U2302" s="1064">
        <f>SUBTOTAL(9,U2303:U2311)</f>
        <v>0</v>
      </c>
      <c r="V2302" s="914"/>
      <c r="W2302" s="907"/>
      <c r="X2302" s="907">
        <f>SUBTOTAL(9,X2303:X2311)</f>
        <v>0</v>
      </c>
      <c r="Y2302" s="985"/>
      <c r="Z2302" s="922"/>
      <c r="AA2302" s="1067"/>
      <c r="AB2302" s="922"/>
      <c r="AC2302" s="922"/>
      <c r="AD2302" s="922"/>
      <c r="AE2302" s="914"/>
      <c r="AF2302" s="1044">
        <f>SUBTOTAL(9,AF2303:AF2311)</f>
        <v>0</v>
      </c>
      <c r="AG2302" s="921"/>
      <c r="AH2302" s="921">
        <f>SUBTOTAL(9,AH2303:AH2311)</f>
        <v>0</v>
      </c>
      <c r="AI2302" s="907">
        <f t="shared" si="498"/>
        <v>1055413000</v>
      </c>
      <c r="AJ2302" s="914"/>
      <c r="AK2302" s="914"/>
    </row>
    <row r="2303" spans="1:37" s="396" customFormat="1" ht="135" outlineLevel="2" x14ac:dyDescent="0.3">
      <c r="A2303" s="447">
        <f>IF(B2302&lt;&gt;0,B2302,A2301)</f>
        <v>193</v>
      </c>
      <c r="B2303" s="893"/>
      <c r="C2303" s="908" t="s">
        <v>1522</v>
      </c>
      <c r="D2303" s="1032">
        <v>2</v>
      </c>
      <c r="E2303" s="947">
        <v>86</v>
      </c>
      <c r="F2303" s="947">
        <v>284</v>
      </c>
      <c r="G2303" s="922" t="s">
        <v>2435</v>
      </c>
      <c r="H2303" s="1041">
        <v>563.29999999999995</v>
      </c>
      <c r="I2303" s="882">
        <f t="shared" ref="I2303" si="512">IF(N2303&gt;0,H2303,"")</f>
        <v>563.29999999999995</v>
      </c>
      <c r="J2303" s="898"/>
      <c r="K2303" s="899">
        <f>IF(G2303&lt;&gt;0,VLOOKUP(G2303,'gia dat'!$A$1:$F$144,5,0)," ")</f>
        <v>465600</v>
      </c>
      <c r="L2303" s="899">
        <f>IF(G2303&lt;&gt;0,VLOOKUP(G2303,'gia dat'!$A$1:$F$144,6,0)," ")</f>
        <v>1396800</v>
      </c>
      <c r="M2303" s="900">
        <f t="shared" si="496"/>
        <v>262272000</v>
      </c>
      <c r="N2303" s="900">
        <f t="shared" si="497"/>
        <v>786817000</v>
      </c>
      <c r="O2303" s="908" t="s">
        <v>347</v>
      </c>
      <c r="P2303" s="1065">
        <v>527</v>
      </c>
      <c r="Q2303" s="900">
        <f>IF(O2303&lt;&gt;0,VLOOKUP(O2303,'Cây trong'!$A$2:$C$246,3,0)," ")</f>
        <v>12000</v>
      </c>
      <c r="R2303" s="900">
        <f>IF(O2303&lt;&gt;0,ROUND(P2303*Q2303,-2)," ")</f>
        <v>6324000</v>
      </c>
      <c r="S2303" s="902"/>
      <c r="T2303" s="944"/>
      <c r="U2303" s="1066"/>
      <c r="V2303" s="922"/>
      <c r="W2303" s="900" t="str">
        <f>IF(S2303&lt;&gt;0,VLOOKUP(S2303,VKT!$A$2:$G$415,7,0),"")</f>
        <v/>
      </c>
      <c r="X2303" s="900" t="str">
        <f t="shared" si="501"/>
        <v xml:space="preserve"> </v>
      </c>
      <c r="Y2303" s="985"/>
      <c r="Z2303" s="922"/>
      <c r="AA2303" s="1067"/>
      <c r="AB2303" s="922"/>
      <c r="AC2303" s="922"/>
      <c r="AD2303" s="922"/>
      <c r="AE2303" s="922"/>
      <c r="AF2303" s="1046"/>
      <c r="AG2303" s="906" t="str">
        <f>IF(AE2303&lt;&gt;0,VLOOKUP(AE2303,ODDS!$A$2:$C$13,3,0),"")</f>
        <v/>
      </c>
      <c r="AH2303" s="906"/>
      <c r="AI2303" s="907" t="str">
        <f t="shared" si="498"/>
        <v xml:space="preserve"> </v>
      </c>
      <c r="AJ2303" s="922" t="s">
        <v>1521</v>
      </c>
      <c r="AK2303" s="922" t="s">
        <v>2771</v>
      </c>
    </row>
    <row r="2304" spans="1:37" s="394" customFormat="1" ht="90" outlineLevel="2" x14ac:dyDescent="0.3">
      <c r="A2304" s="447">
        <f t="shared" ref="A2304:A2311" si="513">IF(B2303&lt;&gt;0,B2303,A2303)</f>
        <v>193</v>
      </c>
      <c r="B2304" s="893"/>
      <c r="C2304" s="908" t="s">
        <v>1645</v>
      </c>
      <c r="D2304" s="1032"/>
      <c r="E2304" s="947"/>
      <c r="F2304" s="947"/>
      <c r="G2304" s="922"/>
      <c r="H2304" s="1041"/>
      <c r="I2304" s="882"/>
      <c r="J2304" s="898"/>
      <c r="K2304" s="899" t="str">
        <f>IF(G2304&lt;&gt;0,VLOOKUP(G2304,'gia dat'!$A$1:$F$144,5,0)," ")</f>
        <v xml:space="preserve"> </v>
      </c>
      <c r="L2304" s="899" t="str">
        <f>IF(G2304&lt;&gt;0,VLOOKUP(G2304,'gia dat'!$A$1:$F$144,6,0)," ")</f>
        <v xml:space="preserve"> </v>
      </c>
      <c r="M2304" s="900" t="str">
        <f t="shared" si="496"/>
        <v xml:space="preserve"> </v>
      </c>
      <c r="N2304" s="900" t="str">
        <f t="shared" si="497"/>
        <v xml:space="preserve"> </v>
      </c>
      <c r="O2304" s="908"/>
      <c r="P2304" s="1065"/>
      <c r="Q2304" s="900" t="str">
        <f>IF(O2304&lt;&gt;0,VLOOKUP(O2304,'Cây trong'!$A$2:$C$246,3,0)," ")</f>
        <v xml:space="preserve"> </v>
      </c>
      <c r="R2304" s="900" t="str">
        <f t="shared" si="504"/>
        <v xml:space="preserve"> </v>
      </c>
      <c r="S2304" s="902"/>
      <c r="T2304" s="944"/>
      <c r="U2304" s="1066"/>
      <c r="V2304" s="922"/>
      <c r="W2304" s="900" t="str">
        <f>IF(S2304&lt;&gt;0,VLOOKUP(S2304,VKT!$A$2:$G$415,7,0),"")</f>
        <v/>
      </c>
      <c r="X2304" s="900" t="str">
        <f t="shared" si="501"/>
        <v xml:space="preserve"> </v>
      </c>
      <c r="Y2304" s="985"/>
      <c r="Z2304" s="922"/>
      <c r="AA2304" s="1067"/>
      <c r="AB2304" s="922"/>
      <c r="AC2304" s="922"/>
      <c r="AD2304" s="922"/>
      <c r="AE2304" s="922"/>
      <c r="AF2304" s="1046"/>
      <c r="AG2304" s="906" t="str">
        <f>IF(AE2304&lt;&gt;0,VLOOKUP(AE2304,ODDS!$A$2:$C$13,3,0),"")</f>
        <v/>
      </c>
      <c r="AH2304" s="906" t="str">
        <f t="shared" si="505"/>
        <v xml:space="preserve"> </v>
      </c>
      <c r="AI2304" s="907" t="str">
        <f t="shared" si="498"/>
        <v xml:space="preserve"> </v>
      </c>
      <c r="AJ2304" s="922" t="s">
        <v>1523</v>
      </c>
      <c r="AK2304" s="894" t="s">
        <v>2448</v>
      </c>
    </row>
    <row r="2305" spans="1:37" s="394" customFormat="1" ht="112.5" outlineLevel="2" x14ac:dyDescent="0.3">
      <c r="A2305" s="447">
        <f t="shared" si="513"/>
        <v>193</v>
      </c>
      <c r="B2305" s="893"/>
      <c r="C2305" s="908"/>
      <c r="D2305" s="1032"/>
      <c r="E2305" s="947"/>
      <c r="F2305" s="947"/>
      <c r="G2305" s="922"/>
      <c r="H2305" s="1041"/>
      <c r="I2305" s="882"/>
      <c r="J2305" s="898"/>
      <c r="K2305" s="899" t="str">
        <f>IF(G2305&lt;&gt;0,VLOOKUP(G2305,'gia dat'!$A$1:$F$144,5,0)," ")</f>
        <v xml:space="preserve"> </v>
      </c>
      <c r="L2305" s="899" t="str">
        <f>IF(G2305&lt;&gt;0,VLOOKUP(G2305,'gia dat'!$A$1:$F$144,6,0)," ")</f>
        <v xml:space="preserve"> </v>
      </c>
      <c r="M2305" s="900" t="str">
        <f t="shared" si="496"/>
        <v xml:space="preserve"> </v>
      </c>
      <c r="N2305" s="900" t="str">
        <f t="shared" si="497"/>
        <v xml:space="preserve"> </v>
      </c>
      <c r="O2305" s="908"/>
      <c r="P2305" s="1065"/>
      <c r="Q2305" s="900" t="str">
        <f>IF(O2305&lt;&gt;0,VLOOKUP(O2305,'Cây trong'!$A$2:$C$246,3,0)," ")</f>
        <v xml:space="preserve"> </v>
      </c>
      <c r="R2305" s="900" t="str">
        <f t="shared" si="504"/>
        <v xml:space="preserve"> </v>
      </c>
      <c r="S2305" s="902"/>
      <c r="T2305" s="944"/>
      <c r="U2305" s="1066"/>
      <c r="V2305" s="922"/>
      <c r="W2305" s="900" t="str">
        <f>IF(S2305&lt;&gt;0,VLOOKUP(S2305,VKT!$A$2:$G$415,7,0),"")</f>
        <v/>
      </c>
      <c r="X2305" s="900" t="str">
        <f t="shared" si="501"/>
        <v xml:space="preserve"> </v>
      </c>
      <c r="Y2305" s="985"/>
      <c r="Z2305" s="922"/>
      <c r="AA2305" s="1067"/>
      <c r="AB2305" s="922"/>
      <c r="AC2305" s="922"/>
      <c r="AD2305" s="922"/>
      <c r="AE2305" s="922"/>
      <c r="AF2305" s="1046"/>
      <c r="AG2305" s="906" t="str">
        <f>IF(AE2305&lt;&gt;0,VLOOKUP(AE2305,ODDS!$A$2:$C$13,3,0),"")</f>
        <v/>
      </c>
      <c r="AH2305" s="906" t="str">
        <f t="shared" si="505"/>
        <v xml:space="preserve"> </v>
      </c>
      <c r="AI2305" s="907" t="str">
        <f t="shared" si="498"/>
        <v xml:space="preserve"> </v>
      </c>
      <c r="AJ2305" s="922" t="s">
        <v>404</v>
      </c>
      <c r="AK2305" s="894" t="s">
        <v>2449</v>
      </c>
    </row>
    <row r="2306" spans="1:37" s="394" customFormat="1" ht="67.5" outlineLevel="2" x14ac:dyDescent="0.3">
      <c r="A2306" s="447">
        <f t="shared" si="513"/>
        <v>193</v>
      </c>
      <c r="B2306" s="893"/>
      <c r="C2306" s="908"/>
      <c r="D2306" s="1032"/>
      <c r="E2306" s="947"/>
      <c r="F2306" s="947"/>
      <c r="G2306" s="922"/>
      <c r="H2306" s="1041"/>
      <c r="I2306" s="882"/>
      <c r="J2306" s="894"/>
      <c r="K2306" s="899" t="str">
        <f>IF(G2306&lt;&gt;0,VLOOKUP(G2306,'gia dat'!$A$1:$F$144,5,0)," ")</f>
        <v xml:space="preserve"> </v>
      </c>
      <c r="L2306" s="899" t="str">
        <f>IF(G2306&lt;&gt;0,VLOOKUP(G2306,'gia dat'!$A$1:$F$144,6,0)," ")</f>
        <v xml:space="preserve"> </v>
      </c>
      <c r="M2306" s="900" t="str">
        <f t="shared" si="496"/>
        <v xml:space="preserve"> </v>
      </c>
      <c r="N2306" s="900" t="str">
        <f t="shared" si="497"/>
        <v xml:space="preserve"> </v>
      </c>
      <c r="O2306" s="908"/>
      <c r="P2306" s="1065"/>
      <c r="Q2306" s="900" t="str">
        <f>IF(O2306&lt;&gt;0,VLOOKUP(O2306,'Cây trong'!$A$2:$C$246,3,0)," ")</f>
        <v xml:space="preserve"> </v>
      </c>
      <c r="R2306" s="900" t="str">
        <f t="shared" si="504"/>
        <v xml:space="preserve"> </v>
      </c>
      <c r="S2306" s="908"/>
      <c r="T2306" s="944"/>
      <c r="U2306" s="1066"/>
      <c r="V2306" s="922"/>
      <c r="W2306" s="900" t="str">
        <f>IF(S2306&lt;&gt;0,VLOOKUP(S2306,VKT!$A$2:$G$415,7,0),"")</f>
        <v/>
      </c>
      <c r="X2306" s="900" t="str">
        <f t="shared" si="501"/>
        <v xml:space="preserve"> </v>
      </c>
      <c r="Y2306" s="985"/>
      <c r="Z2306" s="922"/>
      <c r="AA2306" s="1067"/>
      <c r="AB2306" s="922"/>
      <c r="AC2306" s="922"/>
      <c r="AD2306" s="922"/>
      <c r="AE2306" s="922"/>
      <c r="AF2306" s="1046"/>
      <c r="AG2306" s="906" t="str">
        <f>IF(AE2306&lt;&gt;0,VLOOKUP(AE2306,ODDS!$A$2:$C$13,3,0),"")</f>
        <v/>
      </c>
      <c r="AH2306" s="906" t="str">
        <f t="shared" si="505"/>
        <v xml:space="preserve"> </v>
      </c>
      <c r="AI2306" s="907" t="str">
        <f t="shared" si="498"/>
        <v xml:space="preserve"> </v>
      </c>
      <c r="AJ2306" s="922" t="s">
        <v>2074</v>
      </c>
      <c r="AK2306" s="922"/>
    </row>
    <row r="2307" spans="1:37" s="394" customFormat="1" ht="22.5" outlineLevel="2" x14ac:dyDescent="0.3">
      <c r="A2307" s="447">
        <f t="shared" si="513"/>
        <v>193</v>
      </c>
      <c r="B2307" s="893"/>
      <c r="C2307" s="908"/>
      <c r="D2307" s="1032"/>
      <c r="E2307" s="947"/>
      <c r="F2307" s="947"/>
      <c r="G2307" s="922"/>
      <c r="H2307" s="1041"/>
      <c r="I2307" s="882"/>
      <c r="J2307" s="894"/>
      <c r="K2307" s="899" t="str">
        <f>IF(G2307&lt;&gt;0,VLOOKUP(G2307,'gia dat'!$A$1:$F$144,5,0)," ")</f>
        <v xml:space="preserve"> </v>
      </c>
      <c r="L2307" s="899" t="str">
        <f>IF(G2307&lt;&gt;0,VLOOKUP(G2307,'gia dat'!$A$1:$F$144,6,0)," ")</f>
        <v xml:space="preserve"> </v>
      </c>
      <c r="M2307" s="900" t="str">
        <f t="shared" si="496"/>
        <v xml:space="preserve"> </v>
      </c>
      <c r="N2307" s="900" t="str">
        <f t="shared" si="497"/>
        <v xml:space="preserve"> </v>
      </c>
      <c r="O2307" s="908"/>
      <c r="P2307" s="1065"/>
      <c r="Q2307" s="900" t="str">
        <f>IF(O2307&lt;&gt;0,VLOOKUP(O2307,'Cây trong'!$A$2:$C$246,3,0)," ")</f>
        <v xml:space="preserve"> </v>
      </c>
      <c r="R2307" s="900" t="str">
        <f t="shared" si="504"/>
        <v xml:space="preserve"> </v>
      </c>
      <c r="S2307" s="908"/>
      <c r="T2307" s="944"/>
      <c r="U2307" s="1066"/>
      <c r="V2307" s="922"/>
      <c r="W2307" s="900" t="str">
        <f>IF(S2307&lt;&gt;0,VLOOKUP(S2307,VKT!$A$2:$G$415,7,0),"")</f>
        <v/>
      </c>
      <c r="X2307" s="900" t="str">
        <f t="shared" si="501"/>
        <v xml:space="preserve"> </v>
      </c>
      <c r="Y2307" s="985"/>
      <c r="Z2307" s="922"/>
      <c r="AA2307" s="1067"/>
      <c r="AB2307" s="922"/>
      <c r="AC2307" s="922"/>
      <c r="AD2307" s="922"/>
      <c r="AE2307" s="922"/>
      <c r="AF2307" s="1046"/>
      <c r="AG2307" s="906" t="str">
        <f>IF(AE2307&lt;&gt;0,VLOOKUP(AE2307,ODDS!$A$2:$C$13,3,0),"")</f>
        <v/>
      </c>
      <c r="AH2307" s="906" t="str">
        <f t="shared" si="505"/>
        <v xml:space="preserve"> </v>
      </c>
      <c r="AI2307" s="907" t="str">
        <f t="shared" si="498"/>
        <v xml:space="preserve"> </v>
      </c>
      <c r="AJ2307" s="922"/>
      <c r="AK2307" s="922"/>
    </row>
    <row r="2308" spans="1:37" s="394" customFormat="1" ht="22.5" outlineLevel="2" x14ac:dyDescent="0.3">
      <c r="A2308" s="447">
        <f t="shared" si="513"/>
        <v>193</v>
      </c>
      <c r="B2308" s="893"/>
      <c r="C2308" s="908"/>
      <c r="D2308" s="1032"/>
      <c r="E2308" s="947"/>
      <c r="F2308" s="947"/>
      <c r="G2308" s="922"/>
      <c r="H2308" s="1041"/>
      <c r="I2308" s="882"/>
      <c r="J2308" s="894"/>
      <c r="K2308" s="899" t="str">
        <f>IF(G2308&lt;&gt;0,VLOOKUP(G2308,'gia dat'!$A$1:$F$144,5,0)," ")</f>
        <v xml:space="preserve"> </v>
      </c>
      <c r="L2308" s="899" t="str">
        <f>IF(G2308&lt;&gt;0,VLOOKUP(G2308,'gia dat'!$A$1:$F$144,6,0)," ")</f>
        <v xml:space="preserve"> </v>
      </c>
      <c r="M2308" s="900" t="str">
        <f t="shared" si="496"/>
        <v xml:space="preserve"> </v>
      </c>
      <c r="N2308" s="900" t="str">
        <f t="shared" si="497"/>
        <v xml:space="preserve"> </v>
      </c>
      <c r="O2308" s="908"/>
      <c r="P2308" s="1065"/>
      <c r="Q2308" s="900" t="str">
        <f>IF(O2308&lt;&gt;0,VLOOKUP(O2308,'Cây trong'!$A$2:$C$246,3,0)," ")</f>
        <v xml:space="preserve"> </v>
      </c>
      <c r="R2308" s="900" t="str">
        <f t="shared" si="504"/>
        <v xml:space="preserve"> </v>
      </c>
      <c r="S2308" s="908"/>
      <c r="T2308" s="944"/>
      <c r="U2308" s="1066"/>
      <c r="V2308" s="922"/>
      <c r="W2308" s="900" t="str">
        <f>IF(S2308&lt;&gt;0,VLOOKUP(S2308,VKT!$A$2:$G$415,7,0),"")</f>
        <v/>
      </c>
      <c r="X2308" s="900" t="str">
        <f t="shared" si="501"/>
        <v xml:space="preserve"> </v>
      </c>
      <c r="Y2308" s="985"/>
      <c r="Z2308" s="922"/>
      <c r="AA2308" s="1067"/>
      <c r="AB2308" s="922"/>
      <c r="AC2308" s="922"/>
      <c r="AD2308" s="922"/>
      <c r="AE2308" s="922"/>
      <c r="AF2308" s="1046"/>
      <c r="AG2308" s="906" t="str">
        <f>IF(AE2308&lt;&gt;0,VLOOKUP(AE2308,ODDS!$A$2:$C$13,3,0),"")</f>
        <v/>
      </c>
      <c r="AH2308" s="906" t="str">
        <f t="shared" si="505"/>
        <v xml:space="preserve"> </v>
      </c>
      <c r="AI2308" s="907" t="str">
        <f t="shared" si="498"/>
        <v xml:space="preserve"> </v>
      </c>
      <c r="AJ2308" s="908"/>
      <c r="AK2308" s="908"/>
    </row>
    <row r="2309" spans="1:37" s="394" customFormat="1" ht="22.5" outlineLevel="2" x14ac:dyDescent="0.3">
      <c r="A2309" s="447">
        <f t="shared" si="513"/>
        <v>193</v>
      </c>
      <c r="B2309" s="893"/>
      <c r="C2309" s="908"/>
      <c r="D2309" s="1032"/>
      <c r="E2309" s="947"/>
      <c r="F2309" s="947"/>
      <c r="G2309" s="922"/>
      <c r="H2309" s="1041"/>
      <c r="I2309" s="882"/>
      <c r="J2309" s="894"/>
      <c r="K2309" s="899" t="str">
        <f>IF(G2309&lt;&gt;0,VLOOKUP(G2309,'gia dat'!$A$1:$F$144,5,0)," ")</f>
        <v xml:space="preserve"> </v>
      </c>
      <c r="L2309" s="899" t="str">
        <f>IF(G2309&lt;&gt;0,VLOOKUP(G2309,'gia dat'!$A$1:$F$144,6,0)," ")</f>
        <v xml:space="preserve"> </v>
      </c>
      <c r="M2309" s="900" t="str">
        <f t="shared" si="496"/>
        <v xml:space="preserve"> </v>
      </c>
      <c r="N2309" s="900" t="str">
        <f t="shared" si="497"/>
        <v xml:space="preserve"> </v>
      </c>
      <c r="O2309" s="908"/>
      <c r="P2309" s="1065"/>
      <c r="Q2309" s="900" t="str">
        <f>IF(O2309&lt;&gt;0,VLOOKUP(O2309,'Cây trong'!$A$2:$C$246,3,0)," ")</f>
        <v xml:space="preserve"> </v>
      </c>
      <c r="R2309" s="900" t="str">
        <f t="shared" si="504"/>
        <v xml:space="preserve"> </v>
      </c>
      <c r="S2309" s="908"/>
      <c r="T2309" s="944"/>
      <c r="U2309" s="1066"/>
      <c r="V2309" s="922"/>
      <c r="W2309" s="900" t="str">
        <f>IF(S2309&lt;&gt;0,VLOOKUP(S2309,VKT!$A$2:$G$415,7,0),"")</f>
        <v/>
      </c>
      <c r="X2309" s="900" t="str">
        <f t="shared" si="501"/>
        <v xml:space="preserve"> </v>
      </c>
      <c r="Y2309" s="985"/>
      <c r="Z2309" s="922"/>
      <c r="AA2309" s="1067"/>
      <c r="AB2309" s="922"/>
      <c r="AC2309" s="922"/>
      <c r="AD2309" s="922"/>
      <c r="AE2309" s="922"/>
      <c r="AF2309" s="1046"/>
      <c r="AG2309" s="906" t="str">
        <f>IF(AE2309&lt;&gt;0,VLOOKUP(AE2309,ODDS!$A$2:$C$13,3,0),"")</f>
        <v/>
      </c>
      <c r="AH2309" s="906" t="str">
        <f t="shared" si="505"/>
        <v xml:space="preserve"> </v>
      </c>
      <c r="AI2309" s="907" t="str">
        <f t="shared" si="498"/>
        <v xml:space="preserve"> </v>
      </c>
      <c r="AJ2309" s="894"/>
      <c r="AK2309" s="894"/>
    </row>
    <row r="2310" spans="1:37" s="394" customFormat="1" ht="22.5" outlineLevel="2" x14ac:dyDescent="0.3">
      <c r="A2310" s="447">
        <f t="shared" si="513"/>
        <v>193</v>
      </c>
      <c r="B2310" s="893"/>
      <c r="C2310" s="908"/>
      <c r="D2310" s="1032"/>
      <c r="E2310" s="947"/>
      <c r="F2310" s="947"/>
      <c r="G2310" s="922"/>
      <c r="H2310" s="1041"/>
      <c r="I2310" s="882"/>
      <c r="J2310" s="894"/>
      <c r="K2310" s="899" t="str">
        <f>IF(G2310&lt;&gt;0,VLOOKUP(G2310,'gia dat'!$A$1:$F$144,5,0)," ")</f>
        <v xml:space="preserve"> </v>
      </c>
      <c r="L2310" s="899" t="str">
        <f>IF(G2310&lt;&gt;0,VLOOKUP(G2310,'gia dat'!$A$1:$F$144,6,0)," ")</f>
        <v xml:space="preserve"> </v>
      </c>
      <c r="M2310" s="900" t="str">
        <f t="shared" si="496"/>
        <v xml:space="preserve"> </v>
      </c>
      <c r="N2310" s="900" t="str">
        <f t="shared" si="497"/>
        <v xml:space="preserve"> </v>
      </c>
      <c r="O2310" s="908"/>
      <c r="P2310" s="1065"/>
      <c r="Q2310" s="900" t="str">
        <f>IF(O2310&lt;&gt;0,VLOOKUP(O2310,'Cây trong'!$A$2:$C$246,3,0)," ")</f>
        <v xml:space="preserve"> </v>
      </c>
      <c r="R2310" s="900" t="str">
        <f t="shared" si="504"/>
        <v xml:space="preserve"> </v>
      </c>
      <c r="S2310" s="908"/>
      <c r="T2310" s="944"/>
      <c r="U2310" s="1066"/>
      <c r="V2310" s="922"/>
      <c r="W2310" s="900" t="str">
        <f>IF(S2310&lt;&gt;0,VLOOKUP(S2310,VKT!$A$2:$G$415,7,0),"")</f>
        <v/>
      </c>
      <c r="X2310" s="900" t="str">
        <f t="shared" si="501"/>
        <v xml:space="preserve"> </v>
      </c>
      <c r="Y2310" s="985"/>
      <c r="Z2310" s="922"/>
      <c r="AA2310" s="1067"/>
      <c r="AB2310" s="922"/>
      <c r="AC2310" s="922"/>
      <c r="AD2310" s="922"/>
      <c r="AE2310" s="922"/>
      <c r="AF2310" s="1046"/>
      <c r="AG2310" s="906" t="str">
        <f>IF(AE2310&lt;&gt;0,VLOOKUP(AE2310,ODDS!$A$2:$C$13,3,0),"")</f>
        <v/>
      </c>
      <c r="AH2310" s="906" t="str">
        <f t="shared" si="505"/>
        <v xml:space="preserve"> </v>
      </c>
      <c r="AI2310" s="907" t="str">
        <f t="shared" si="498"/>
        <v xml:space="preserve"> </v>
      </c>
      <c r="AJ2310" s="922"/>
      <c r="AK2310" s="922"/>
    </row>
    <row r="2311" spans="1:37" s="394" customFormat="1" ht="22.5" outlineLevel="2" x14ac:dyDescent="0.3">
      <c r="A2311" s="447">
        <f t="shared" si="513"/>
        <v>193</v>
      </c>
      <c r="B2311" s="893"/>
      <c r="C2311" s="942"/>
      <c r="D2311" s="1032"/>
      <c r="E2311" s="947"/>
      <c r="F2311" s="947"/>
      <c r="G2311" s="922"/>
      <c r="H2311" s="1041"/>
      <c r="I2311" s="882"/>
      <c r="J2311" s="894"/>
      <c r="K2311" s="899" t="str">
        <f>IF(G2311&lt;&gt;0,VLOOKUP(G2311,'gia dat'!$A$1:$F$144,5,0)," ")</f>
        <v xml:space="preserve"> </v>
      </c>
      <c r="L2311" s="899" t="str">
        <f>IF(G2311&lt;&gt;0,VLOOKUP(G2311,'gia dat'!$A$1:$F$144,6,0)," ")</f>
        <v xml:space="preserve"> </v>
      </c>
      <c r="M2311" s="900" t="str">
        <f t="shared" si="496"/>
        <v xml:space="preserve"> </v>
      </c>
      <c r="N2311" s="900" t="str">
        <f t="shared" si="497"/>
        <v xml:space="preserve"> </v>
      </c>
      <c r="O2311" s="908"/>
      <c r="P2311" s="1065"/>
      <c r="Q2311" s="900" t="str">
        <f>IF(O2311&lt;&gt;0,VLOOKUP(O2311,'Cây trong'!$A$2:$C$246,3,0)," ")</f>
        <v xml:space="preserve"> </v>
      </c>
      <c r="R2311" s="900" t="str">
        <f t="shared" si="504"/>
        <v xml:space="preserve"> </v>
      </c>
      <c r="S2311" s="908"/>
      <c r="T2311" s="944"/>
      <c r="U2311" s="1066"/>
      <c r="V2311" s="922"/>
      <c r="W2311" s="900" t="str">
        <f>IF(S2311&lt;&gt;0,VLOOKUP(S2311,VKT!$A$2:$G$415,7,0),"")</f>
        <v/>
      </c>
      <c r="X2311" s="900" t="str">
        <f t="shared" si="501"/>
        <v xml:space="preserve"> </v>
      </c>
      <c r="Y2311" s="985"/>
      <c r="Z2311" s="922"/>
      <c r="AA2311" s="1067"/>
      <c r="AB2311" s="922"/>
      <c r="AC2311" s="922"/>
      <c r="AD2311" s="922"/>
      <c r="AE2311" s="922"/>
      <c r="AF2311" s="1046"/>
      <c r="AG2311" s="906" t="str">
        <f>IF(AE2311&lt;&gt;0,VLOOKUP(AE2311,ODDS!$A$2:$C$13,3,0),"")</f>
        <v/>
      </c>
      <c r="AH2311" s="906" t="str">
        <f t="shared" si="505"/>
        <v xml:space="preserve"> </v>
      </c>
      <c r="AI2311" s="907" t="str">
        <f t="shared" si="498"/>
        <v xml:space="preserve"> </v>
      </c>
      <c r="AJ2311" s="922"/>
      <c r="AK2311" s="922"/>
    </row>
    <row r="2312" spans="1:37" s="396" customFormat="1" ht="43.5" outlineLevel="1" x14ac:dyDescent="0.25">
      <c r="A2312" s="467" t="s">
        <v>2516</v>
      </c>
      <c r="B2312" s="912">
        <v>194</v>
      </c>
      <c r="C2312" s="942" t="s">
        <v>50</v>
      </c>
      <c r="D2312" s="1038"/>
      <c r="E2312" s="977"/>
      <c r="F2312" s="977"/>
      <c r="G2312" s="914"/>
      <c r="H2312" s="1039">
        <f>SUBTOTAL(9,H2313:H2321)</f>
        <v>1000</v>
      </c>
      <c r="I2312" s="915">
        <f>SUBTOTAL(9,I2313:I2318)</f>
        <v>1000</v>
      </c>
      <c r="J2312" s="916"/>
      <c r="K2312" s="917"/>
      <c r="L2312" s="917"/>
      <c r="M2312" s="907">
        <f>SUBTOTAL(9,M2313:M2321)</f>
        <v>465600000</v>
      </c>
      <c r="N2312" s="907">
        <f>SUBTOTAL(9,N2313:N2321)</f>
        <v>1396800000</v>
      </c>
      <c r="O2312" s="942"/>
      <c r="P2312" s="1063">
        <f>SUBTOTAL(9,P2313:P2321)</f>
        <v>0</v>
      </c>
      <c r="Q2312" s="907"/>
      <c r="R2312" s="907">
        <f>SUBTOTAL(9,R2313:R2321)</f>
        <v>0</v>
      </c>
      <c r="S2312" s="918"/>
      <c r="T2312" s="956"/>
      <c r="U2312" s="1064">
        <f>SUBTOTAL(9,U2313:U2321)</f>
        <v>0</v>
      </c>
      <c r="V2312" s="914"/>
      <c r="W2312" s="907"/>
      <c r="X2312" s="907">
        <f>SUBTOTAL(9,X2313:X2321)</f>
        <v>0</v>
      </c>
      <c r="Y2312" s="985"/>
      <c r="Z2312" s="922"/>
      <c r="AA2312" s="1067"/>
      <c r="AB2312" s="922"/>
      <c r="AC2312" s="922"/>
      <c r="AD2312" s="922"/>
      <c r="AE2312" s="914"/>
      <c r="AF2312" s="1044">
        <f>SUBTOTAL(9,AF2313:AF2321)</f>
        <v>0</v>
      </c>
      <c r="AG2312" s="921"/>
      <c r="AH2312" s="921">
        <f>SUBTOTAL(9,AH2313:AH2321)</f>
        <v>0</v>
      </c>
      <c r="AI2312" s="907">
        <f t="shared" si="498"/>
        <v>1862400000</v>
      </c>
      <c r="AJ2312" s="914"/>
      <c r="AK2312" s="914"/>
    </row>
    <row r="2313" spans="1:37" s="396" customFormat="1" ht="135" outlineLevel="2" x14ac:dyDescent="0.3">
      <c r="A2313" s="447">
        <f>IF(B2312&lt;&gt;0,B2312,A2311)</f>
        <v>194</v>
      </c>
      <c r="B2313" s="893"/>
      <c r="C2313" s="908" t="s">
        <v>112</v>
      </c>
      <c r="D2313" s="1032"/>
      <c r="E2313" s="947">
        <v>86</v>
      </c>
      <c r="F2313" s="947">
        <v>310</v>
      </c>
      <c r="G2313" s="922" t="s">
        <v>2435</v>
      </c>
      <c r="H2313" s="1041">
        <v>1000</v>
      </c>
      <c r="I2313" s="882">
        <f t="shared" ref="I2313" si="514">IF(N2313&gt;0,H2313,"")</f>
        <v>1000</v>
      </c>
      <c r="J2313" s="898"/>
      <c r="K2313" s="899">
        <f>IF(G2313&lt;&gt;0,VLOOKUP(G2313,'gia dat'!$A$1:$F$144,5,0)," ")</f>
        <v>465600</v>
      </c>
      <c r="L2313" s="899">
        <f>IF(G2313&lt;&gt;0,VLOOKUP(G2313,'gia dat'!$A$1:$F$144,6,0)," ")</f>
        <v>1396800</v>
      </c>
      <c r="M2313" s="900">
        <f t="shared" si="496"/>
        <v>465600000</v>
      </c>
      <c r="N2313" s="900">
        <f t="shared" si="497"/>
        <v>1396800000</v>
      </c>
      <c r="O2313" s="908"/>
      <c r="P2313" s="1065"/>
      <c r="Q2313" s="900" t="str">
        <f>IF(O2313&lt;&gt;0,VLOOKUP(O2313,'Cây trong'!$A$2:$C$246,3,0)," ")</f>
        <v xml:space="preserve"> </v>
      </c>
      <c r="R2313" s="900" t="str">
        <f t="shared" si="504"/>
        <v xml:space="preserve"> </v>
      </c>
      <c r="S2313" s="902"/>
      <c r="T2313" s="944"/>
      <c r="U2313" s="1066"/>
      <c r="V2313" s="922"/>
      <c r="W2313" s="900" t="str">
        <f>IF(S2313&lt;&gt;0,VLOOKUP(S2313,VKT!$A$2:$G$415,7,0),"")</f>
        <v/>
      </c>
      <c r="X2313" s="900" t="str">
        <f t="shared" si="501"/>
        <v xml:space="preserve"> </v>
      </c>
      <c r="Y2313" s="985"/>
      <c r="Z2313" s="922"/>
      <c r="AA2313" s="1067"/>
      <c r="AB2313" s="922"/>
      <c r="AC2313" s="922"/>
      <c r="AD2313" s="922"/>
      <c r="AE2313" s="922"/>
      <c r="AF2313" s="1046"/>
      <c r="AG2313" s="906" t="str">
        <f>IF(AE2313&lt;&gt;0,VLOOKUP(AE2313,ODDS!$A$2:$C$13,3,0),"")</f>
        <v/>
      </c>
      <c r="AH2313" s="906" t="str">
        <f t="shared" si="505"/>
        <v xml:space="preserve"> </v>
      </c>
      <c r="AI2313" s="907" t="str">
        <f t="shared" ref="AI2313:AI2376" si="515">IF(B2313&lt;&gt;0,M2313+N2313+R2313+X2313+AH2313," ")</f>
        <v xml:space="preserve"> </v>
      </c>
      <c r="AJ2313" s="922" t="s">
        <v>1524</v>
      </c>
      <c r="AK2313" s="922" t="s">
        <v>2771</v>
      </c>
    </row>
    <row r="2314" spans="1:37" s="394" customFormat="1" ht="112.5" outlineLevel="2" x14ac:dyDescent="0.3">
      <c r="A2314" s="447">
        <f t="shared" ref="A2314:A2321" si="516">IF(B2313&lt;&gt;0,B2313,A2313)</f>
        <v>194</v>
      </c>
      <c r="B2314" s="893"/>
      <c r="C2314" s="908" t="s">
        <v>1644</v>
      </c>
      <c r="D2314" s="1032"/>
      <c r="E2314" s="947"/>
      <c r="F2314" s="947"/>
      <c r="G2314" s="922"/>
      <c r="H2314" s="1041"/>
      <c r="I2314" s="882"/>
      <c r="J2314" s="898"/>
      <c r="K2314" s="899" t="str">
        <f>IF(G2314&lt;&gt;0,VLOOKUP(G2314,'gia dat'!$A$1:$F$144,5,0)," ")</f>
        <v xml:space="preserve"> </v>
      </c>
      <c r="L2314" s="899" t="str">
        <f>IF(G2314&lt;&gt;0,VLOOKUP(G2314,'gia dat'!$A$1:$F$144,6,0)," ")</f>
        <v xml:space="preserve"> </v>
      </c>
      <c r="M2314" s="900" t="str">
        <f t="shared" si="496"/>
        <v xml:space="preserve"> </v>
      </c>
      <c r="N2314" s="900" t="str">
        <f t="shared" si="497"/>
        <v xml:space="preserve"> </v>
      </c>
      <c r="O2314" s="908"/>
      <c r="P2314" s="1065"/>
      <c r="Q2314" s="900" t="str">
        <f>IF(O2314&lt;&gt;0,VLOOKUP(O2314,'Cây trong'!$A$2:$C$246,3,0)," ")</f>
        <v xml:space="preserve"> </v>
      </c>
      <c r="R2314" s="900" t="str">
        <f t="shared" si="504"/>
        <v xml:space="preserve"> </v>
      </c>
      <c r="S2314" s="902"/>
      <c r="T2314" s="944"/>
      <c r="U2314" s="1066"/>
      <c r="V2314" s="922"/>
      <c r="W2314" s="900" t="str">
        <f>IF(S2314&lt;&gt;0,VLOOKUP(S2314,VKT!$A$2:$G$415,7,0),"")</f>
        <v/>
      </c>
      <c r="X2314" s="900" t="str">
        <f t="shared" si="501"/>
        <v xml:space="preserve"> </v>
      </c>
      <c r="Y2314" s="985"/>
      <c r="Z2314" s="922"/>
      <c r="AA2314" s="1067"/>
      <c r="AB2314" s="922"/>
      <c r="AC2314" s="922"/>
      <c r="AD2314" s="922"/>
      <c r="AE2314" s="922"/>
      <c r="AF2314" s="1046"/>
      <c r="AG2314" s="906" t="str">
        <f>IF(AE2314&lt;&gt;0,VLOOKUP(AE2314,ODDS!$A$2:$C$13,3,0),"")</f>
        <v/>
      </c>
      <c r="AH2314" s="906" t="str">
        <f t="shared" si="505"/>
        <v xml:space="preserve"> </v>
      </c>
      <c r="AI2314" s="907" t="str">
        <f t="shared" si="515"/>
        <v xml:space="preserve"> </v>
      </c>
      <c r="AJ2314" s="922" t="s">
        <v>1525</v>
      </c>
      <c r="AK2314" s="894" t="s">
        <v>2448</v>
      </c>
    </row>
    <row r="2315" spans="1:37" s="394" customFormat="1" ht="67.5" outlineLevel="2" x14ac:dyDescent="0.3">
      <c r="A2315" s="447">
        <f t="shared" si="516"/>
        <v>194</v>
      </c>
      <c r="B2315" s="893"/>
      <c r="C2315" s="1077"/>
      <c r="D2315" s="1032"/>
      <c r="E2315" s="947"/>
      <c r="F2315" s="947"/>
      <c r="G2315" s="922"/>
      <c r="H2315" s="1041"/>
      <c r="I2315" s="882"/>
      <c r="J2315" s="898"/>
      <c r="K2315" s="899" t="str">
        <f>IF(G2315&lt;&gt;0,VLOOKUP(G2315,'gia dat'!$A$1:$F$144,5,0)," ")</f>
        <v xml:space="preserve"> </v>
      </c>
      <c r="L2315" s="899" t="str">
        <f>IF(G2315&lt;&gt;0,VLOOKUP(G2315,'gia dat'!$A$1:$F$144,6,0)," ")</f>
        <v xml:space="preserve"> </v>
      </c>
      <c r="M2315" s="900" t="str">
        <f t="shared" ref="M2315:M2388" si="517">IF(H2315&lt;&gt;0,ROUND(H2315*K2315,-3)," ")</f>
        <v xml:space="preserve"> </v>
      </c>
      <c r="N2315" s="900" t="str">
        <f t="shared" ref="N2315:N2388" si="518">IF(H2315&lt;&gt;0,ROUND(H2315*L2315,-3)," ")</f>
        <v xml:space="preserve"> </v>
      </c>
      <c r="O2315" s="908"/>
      <c r="P2315" s="1065"/>
      <c r="Q2315" s="900" t="str">
        <f>IF(O2315&lt;&gt;0,VLOOKUP(O2315,'Cây trong'!$A$2:$C$246,3,0)," ")</f>
        <v xml:space="preserve"> </v>
      </c>
      <c r="R2315" s="900" t="str">
        <f t="shared" si="504"/>
        <v xml:space="preserve"> </v>
      </c>
      <c r="S2315" s="902"/>
      <c r="T2315" s="944"/>
      <c r="U2315" s="1066"/>
      <c r="V2315" s="922"/>
      <c r="W2315" s="900" t="str">
        <f>IF(S2315&lt;&gt;0,VLOOKUP(S2315,VKT!$A$2:$G$415,7,0),"")</f>
        <v/>
      </c>
      <c r="X2315" s="900" t="str">
        <f t="shared" si="501"/>
        <v xml:space="preserve"> </v>
      </c>
      <c r="Y2315" s="985"/>
      <c r="Z2315" s="922"/>
      <c r="AA2315" s="1067"/>
      <c r="AB2315" s="922"/>
      <c r="AC2315" s="922"/>
      <c r="AD2315" s="922"/>
      <c r="AE2315" s="922"/>
      <c r="AF2315" s="1046"/>
      <c r="AG2315" s="906" t="str">
        <f>IF(AE2315&lt;&gt;0,VLOOKUP(AE2315,ODDS!$A$2:$C$13,3,0),"")</f>
        <v/>
      </c>
      <c r="AH2315" s="906" t="str">
        <f t="shared" si="505"/>
        <v xml:space="preserve"> </v>
      </c>
      <c r="AI2315" s="907" t="str">
        <f t="shared" si="515"/>
        <v xml:space="preserve"> </v>
      </c>
      <c r="AJ2315" s="922" t="s">
        <v>2074</v>
      </c>
      <c r="AK2315" s="922"/>
    </row>
    <row r="2316" spans="1:37" s="394" customFormat="1" ht="22.5" outlineLevel="2" x14ac:dyDescent="0.35">
      <c r="A2316" s="447">
        <f t="shared" si="516"/>
        <v>194</v>
      </c>
      <c r="B2316" s="893"/>
      <c r="C2316" s="908"/>
      <c r="D2316" s="1032"/>
      <c r="E2316" s="947"/>
      <c r="F2316" s="947"/>
      <c r="G2316" s="922"/>
      <c r="H2316" s="1041"/>
      <c r="I2316" s="882"/>
      <c r="J2316" s="894"/>
      <c r="K2316" s="899" t="str">
        <f>IF(G2316&lt;&gt;0,VLOOKUP(G2316,'gia dat'!$A$1:$F$144,5,0)," ")</f>
        <v xml:space="preserve"> </v>
      </c>
      <c r="L2316" s="899" t="str">
        <f>IF(G2316&lt;&gt;0,VLOOKUP(G2316,'gia dat'!$A$1:$F$144,6,0)," ")</f>
        <v xml:space="preserve"> </v>
      </c>
      <c r="M2316" s="900" t="str">
        <f t="shared" si="517"/>
        <v xml:space="preserve"> </v>
      </c>
      <c r="N2316" s="900" t="str">
        <f t="shared" si="518"/>
        <v xml:space="preserve"> </v>
      </c>
      <c r="O2316" s="908"/>
      <c r="P2316" s="1065"/>
      <c r="Q2316" s="900" t="str">
        <f>IF(O2316&lt;&gt;0,VLOOKUP(O2316,'Cây trong'!$A$2:$C$246,3,0)," ")</f>
        <v xml:space="preserve"> </v>
      </c>
      <c r="R2316" s="900" t="str">
        <f t="shared" si="504"/>
        <v xml:space="preserve"> </v>
      </c>
      <c r="S2316" s="908"/>
      <c r="T2316" s="944"/>
      <c r="U2316" s="1066"/>
      <c r="V2316" s="922"/>
      <c r="W2316" s="900" t="str">
        <f>IF(S2316&lt;&gt;0,VLOOKUP(S2316,VKT!$A$2:$G$415,7,0),"")</f>
        <v/>
      </c>
      <c r="X2316" s="900" t="str">
        <f t="shared" si="501"/>
        <v xml:space="preserve"> </v>
      </c>
      <c r="Y2316" s="985"/>
      <c r="Z2316" s="922"/>
      <c r="AA2316" s="1067"/>
      <c r="AB2316" s="922"/>
      <c r="AC2316" s="922"/>
      <c r="AD2316" s="922"/>
      <c r="AE2316" s="922"/>
      <c r="AF2316" s="1046"/>
      <c r="AG2316" s="906" t="str">
        <f>IF(AE2316&lt;&gt;0,VLOOKUP(AE2316,ODDS!$A$2:$C$13,3,0),"")</f>
        <v/>
      </c>
      <c r="AH2316" s="906" t="str">
        <f t="shared" si="505"/>
        <v xml:space="preserve"> </v>
      </c>
      <c r="AI2316" s="907" t="str">
        <f t="shared" si="515"/>
        <v xml:space="preserve"> </v>
      </c>
      <c r="AJ2316" s="1068"/>
      <c r="AK2316" s="922"/>
    </row>
    <row r="2317" spans="1:37" s="394" customFormat="1" ht="22.5" outlineLevel="2" x14ac:dyDescent="0.3">
      <c r="A2317" s="447">
        <f t="shared" si="516"/>
        <v>194</v>
      </c>
      <c r="B2317" s="893"/>
      <c r="C2317" s="908"/>
      <c r="D2317" s="1032"/>
      <c r="E2317" s="947"/>
      <c r="F2317" s="947"/>
      <c r="G2317" s="922"/>
      <c r="H2317" s="1041"/>
      <c r="I2317" s="882"/>
      <c r="J2317" s="894"/>
      <c r="K2317" s="899" t="str">
        <f>IF(G2317&lt;&gt;0,VLOOKUP(G2317,'gia dat'!$A$1:$F$144,5,0)," ")</f>
        <v xml:space="preserve"> </v>
      </c>
      <c r="L2317" s="899" t="str">
        <f>IF(G2317&lt;&gt;0,VLOOKUP(G2317,'gia dat'!$A$1:$F$144,6,0)," ")</f>
        <v xml:space="preserve"> </v>
      </c>
      <c r="M2317" s="900" t="str">
        <f t="shared" si="517"/>
        <v xml:space="preserve"> </v>
      </c>
      <c r="N2317" s="900" t="str">
        <f t="shared" si="518"/>
        <v xml:space="preserve"> </v>
      </c>
      <c r="O2317" s="908"/>
      <c r="P2317" s="1065"/>
      <c r="Q2317" s="900" t="str">
        <f>IF(O2317&lt;&gt;0,VLOOKUP(O2317,'Cây trong'!$A$2:$C$246,3,0)," ")</f>
        <v xml:space="preserve"> </v>
      </c>
      <c r="R2317" s="900" t="str">
        <f t="shared" si="504"/>
        <v xml:space="preserve"> </v>
      </c>
      <c r="S2317" s="908"/>
      <c r="T2317" s="944"/>
      <c r="U2317" s="1066"/>
      <c r="V2317" s="922"/>
      <c r="W2317" s="900" t="str">
        <f>IF(S2317&lt;&gt;0,VLOOKUP(S2317,VKT!$A$2:$G$415,7,0),"")</f>
        <v/>
      </c>
      <c r="X2317" s="900" t="str">
        <f t="shared" si="501"/>
        <v xml:space="preserve"> </v>
      </c>
      <c r="Y2317" s="985"/>
      <c r="Z2317" s="922"/>
      <c r="AA2317" s="1067"/>
      <c r="AB2317" s="922"/>
      <c r="AC2317" s="922"/>
      <c r="AD2317" s="922"/>
      <c r="AE2317" s="922"/>
      <c r="AF2317" s="1046"/>
      <c r="AG2317" s="906" t="str">
        <f>IF(AE2317&lt;&gt;0,VLOOKUP(AE2317,ODDS!$A$2:$C$13,3,0),"")</f>
        <v/>
      </c>
      <c r="AH2317" s="906" t="str">
        <f t="shared" si="505"/>
        <v xml:space="preserve"> </v>
      </c>
      <c r="AI2317" s="907" t="str">
        <f t="shared" si="515"/>
        <v xml:space="preserve"> </v>
      </c>
      <c r="AJ2317" s="894"/>
      <c r="AK2317" s="894"/>
    </row>
    <row r="2318" spans="1:37" s="394" customFormat="1" ht="22.5" outlineLevel="2" x14ac:dyDescent="0.3">
      <c r="A2318" s="447">
        <f t="shared" si="516"/>
        <v>194</v>
      </c>
      <c r="B2318" s="893"/>
      <c r="C2318" s="908"/>
      <c r="D2318" s="1032"/>
      <c r="E2318" s="947"/>
      <c r="F2318" s="947"/>
      <c r="G2318" s="922"/>
      <c r="H2318" s="1041"/>
      <c r="I2318" s="882"/>
      <c r="J2318" s="894"/>
      <c r="K2318" s="899" t="str">
        <f>IF(G2318&lt;&gt;0,VLOOKUP(G2318,'gia dat'!$A$1:$F$144,5,0)," ")</f>
        <v xml:space="preserve"> </v>
      </c>
      <c r="L2318" s="899" t="str">
        <f>IF(G2318&lt;&gt;0,VLOOKUP(G2318,'gia dat'!$A$1:$F$144,6,0)," ")</f>
        <v xml:space="preserve"> </v>
      </c>
      <c r="M2318" s="900" t="str">
        <f t="shared" si="517"/>
        <v xml:space="preserve"> </v>
      </c>
      <c r="N2318" s="900" t="str">
        <f t="shared" si="518"/>
        <v xml:space="preserve"> </v>
      </c>
      <c r="O2318" s="908"/>
      <c r="P2318" s="1065"/>
      <c r="Q2318" s="900" t="str">
        <f>IF(O2318&lt;&gt;0,VLOOKUP(O2318,'Cây trong'!$A$2:$C$246,3,0)," ")</f>
        <v xml:space="preserve"> </v>
      </c>
      <c r="R2318" s="900" t="str">
        <f t="shared" si="504"/>
        <v xml:space="preserve"> </v>
      </c>
      <c r="S2318" s="908"/>
      <c r="T2318" s="944"/>
      <c r="U2318" s="1066"/>
      <c r="V2318" s="922"/>
      <c r="W2318" s="900" t="str">
        <f>IF(S2318&lt;&gt;0,VLOOKUP(S2318,VKT!$A$2:$G$415,7,0),"")</f>
        <v/>
      </c>
      <c r="X2318" s="900" t="str">
        <f t="shared" si="501"/>
        <v xml:space="preserve"> </v>
      </c>
      <c r="Y2318" s="985"/>
      <c r="Z2318" s="922"/>
      <c r="AA2318" s="1067"/>
      <c r="AB2318" s="922"/>
      <c r="AC2318" s="922"/>
      <c r="AD2318" s="922"/>
      <c r="AE2318" s="922"/>
      <c r="AF2318" s="1046"/>
      <c r="AG2318" s="906" t="str">
        <f>IF(AE2318&lt;&gt;0,VLOOKUP(AE2318,ODDS!$A$2:$C$13,3,0),"")</f>
        <v/>
      </c>
      <c r="AH2318" s="906" t="str">
        <f t="shared" si="505"/>
        <v xml:space="preserve"> </v>
      </c>
      <c r="AI2318" s="907" t="str">
        <f t="shared" si="515"/>
        <v xml:space="preserve"> </v>
      </c>
      <c r="AJ2318" s="922"/>
      <c r="AK2318" s="922"/>
    </row>
    <row r="2319" spans="1:37" s="394" customFormat="1" ht="22.5" outlineLevel="2" x14ac:dyDescent="0.3">
      <c r="A2319" s="447">
        <f t="shared" si="516"/>
        <v>194</v>
      </c>
      <c r="B2319" s="893"/>
      <c r="C2319" s="908"/>
      <c r="D2319" s="1032"/>
      <c r="E2319" s="947"/>
      <c r="F2319" s="947"/>
      <c r="G2319" s="922"/>
      <c r="H2319" s="1041"/>
      <c r="I2319" s="882"/>
      <c r="J2319" s="894"/>
      <c r="K2319" s="899" t="str">
        <f>IF(G2319&lt;&gt;0,VLOOKUP(G2319,'gia dat'!$A$1:$F$144,5,0)," ")</f>
        <v xml:space="preserve"> </v>
      </c>
      <c r="L2319" s="899" t="str">
        <f>IF(G2319&lt;&gt;0,VLOOKUP(G2319,'gia dat'!$A$1:$F$144,6,0)," ")</f>
        <v xml:space="preserve"> </v>
      </c>
      <c r="M2319" s="900" t="str">
        <f t="shared" si="517"/>
        <v xml:space="preserve"> </v>
      </c>
      <c r="N2319" s="900" t="str">
        <f t="shared" si="518"/>
        <v xml:space="preserve"> </v>
      </c>
      <c r="O2319" s="908"/>
      <c r="P2319" s="1065"/>
      <c r="Q2319" s="900" t="str">
        <f>IF(O2319&lt;&gt;0,VLOOKUP(O2319,'Cây trong'!$A$2:$C$246,3,0)," ")</f>
        <v xml:space="preserve"> </v>
      </c>
      <c r="R2319" s="900" t="str">
        <f t="shared" si="504"/>
        <v xml:space="preserve"> </v>
      </c>
      <c r="S2319" s="908"/>
      <c r="T2319" s="944"/>
      <c r="U2319" s="1066"/>
      <c r="V2319" s="922"/>
      <c r="W2319" s="900" t="str">
        <f>IF(S2319&lt;&gt;0,VLOOKUP(S2319,VKT!$A$2:$G$415,7,0),"")</f>
        <v/>
      </c>
      <c r="X2319" s="900" t="str">
        <f t="shared" si="501"/>
        <v xml:space="preserve"> </v>
      </c>
      <c r="Y2319" s="985"/>
      <c r="Z2319" s="922"/>
      <c r="AA2319" s="1067"/>
      <c r="AB2319" s="922"/>
      <c r="AC2319" s="922"/>
      <c r="AD2319" s="922"/>
      <c r="AE2319" s="922"/>
      <c r="AF2319" s="1046"/>
      <c r="AG2319" s="906" t="str">
        <f>IF(AE2319&lt;&gt;0,VLOOKUP(AE2319,ODDS!$A$2:$C$13,3,0),"")</f>
        <v/>
      </c>
      <c r="AH2319" s="906" t="str">
        <f t="shared" si="505"/>
        <v xml:space="preserve"> </v>
      </c>
      <c r="AI2319" s="907" t="str">
        <f t="shared" si="515"/>
        <v xml:space="preserve"> </v>
      </c>
      <c r="AJ2319" s="922"/>
      <c r="AK2319" s="922"/>
    </row>
    <row r="2320" spans="1:37" s="394" customFormat="1" ht="22.5" outlineLevel="2" x14ac:dyDescent="0.3">
      <c r="A2320" s="447">
        <f t="shared" si="516"/>
        <v>194</v>
      </c>
      <c r="B2320" s="893"/>
      <c r="C2320" s="908"/>
      <c r="D2320" s="1032"/>
      <c r="E2320" s="947"/>
      <c r="F2320" s="947"/>
      <c r="G2320" s="922"/>
      <c r="H2320" s="1041"/>
      <c r="I2320" s="882"/>
      <c r="J2320" s="894"/>
      <c r="K2320" s="899" t="str">
        <f>IF(G2320&lt;&gt;0,VLOOKUP(G2320,'gia dat'!$A$1:$F$144,5,0)," ")</f>
        <v xml:space="preserve"> </v>
      </c>
      <c r="L2320" s="899" t="str">
        <f>IF(G2320&lt;&gt;0,VLOOKUP(G2320,'gia dat'!$A$1:$F$144,6,0)," ")</f>
        <v xml:space="preserve"> </v>
      </c>
      <c r="M2320" s="900" t="str">
        <f t="shared" si="517"/>
        <v xml:space="preserve"> </v>
      </c>
      <c r="N2320" s="900" t="str">
        <f t="shared" si="518"/>
        <v xml:space="preserve"> </v>
      </c>
      <c r="O2320" s="908"/>
      <c r="P2320" s="1065"/>
      <c r="Q2320" s="900" t="str">
        <f>IF(O2320&lt;&gt;0,VLOOKUP(O2320,'Cây trong'!$A$2:$C$246,3,0)," ")</f>
        <v xml:space="preserve"> </v>
      </c>
      <c r="R2320" s="900" t="str">
        <f t="shared" si="504"/>
        <v xml:space="preserve"> </v>
      </c>
      <c r="S2320" s="908"/>
      <c r="T2320" s="944"/>
      <c r="U2320" s="1066"/>
      <c r="V2320" s="922"/>
      <c r="W2320" s="900" t="str">
        <f>IF(S2320&lt;&gt;0,VLOOKUP(S2320,VKT!$A$2:$G$415,7,0),"")</f>
        <v/>
      </c>
      <c r="X2320" s="900" t="str">
        <f t="shared" si="501"/>
        <v xml:space="preserve"> </v>
      </c>
      <c r="Y2320" s="985"/>
      <c r="Z2320" s="922"/>
      <c r="AA2320" s="1067"/>
      <c r="AB2320" s="922"/>
      <c r="AC2320" s="922"/>
      <c r="AD2320" s="922"/>
      <c r="AE2320" s="922"/>
      <c r="AF2320" s="1046"/>
      <c r="AG2320" s="906" t="str">
        <f>IF(AE2320&lt;&gt;0,VLOOKUP(AE2320,ODDS!$A$2:$C$13,3,0),"")</f>
        <v/>
      </c>
      <c r="AH2320" s="906" t="str">
        <f t="shared" si="505"/>
        <v xml:space="preserve"> </v>
      </c>
      <c r="AI2320" s="907" t="str">
        <f t="shared" si="515"/>
        <v xml:space="preserve"> </v>
      </c>
      <c r="AJ2320" s="922"/>
      <c r="AK2320" s="922"/>
    </row>
    <row r="2321" spans="1:37" s="394" customFormat="1" ht="22.5" outlineLevel="2" x14ac:dyDescent="0.3">
      <c r="A2321" s="447">
        <f t="shared" si="516"/>
        <v>194</v>
      </c>
      <c r="B2321" s="893"/>
      <c r="C2321" s="942"/>
      <c r="D2321" s="1032"/>
      <c r="E2321" s="947"/>
      <c r="F2321" s="947"/>
      <c r="G2321" s="922"/>
      <c r="H2321" s="1041"/>
      <c r="I2321" s="882"/>
      <c r="J2321" s="894"/>
      <c r="K2321" s="899" t="str">
        <f>IF(G2321&lt;&gt;0,VLOOKUP(G2321,'gia dat'!$A$1:$F$144,5,0)," ")</f>
        <v xml:space="preserve"> </v>
      </c>
      <c r="L2321" s="899" t="str">
        <f>IF(G2321&lt;&gt;0,VLOOKUP(G2321,'gia dat'!$A$1:$F$144,6,0)," ")</f>
        <v xml:space="preserve"> </v>
      </c>
      <c r="M2321" s="900" t="str">
        <f t="shared" si="517"/>
        <v xml:space="preserve"> </v>
      </c>
      <c r="N2321" s="900" t="str">
        <f t="shared" si="518"/>
        <v xml:space="preserve"> </v>
      </c>
      <c r="O2321" s="908"/>
      <c r="P2321" s="1065"/>
      <c r="Q2321" s="900" t="str">
        <f>IF(O2321&lt;&gt;0,VLOOKUP(O2321,'Cây trong'!$A$2:$C$246,3,0)," ")</f>
        <v xml:space="preserve"> </v>
      </c>
      <c r="R2321" s="900" t="str">
        <f t="shared" si="504"/>
        <v xml:space="preserve"> </v>
      </c>
      <c r="S2321" s="908"/>
      <c r="T2321" s="944"/>
      <c r="U2321" s="1066"/>
      <c r="V2321" s="922"/>
      <c r="W2321" s="900" t="str">
        <f>IF(S2321&lt;&gt;0,VLOOKUP(S2321,VKT!$A$2:$G$415,7,0),"")</f>
        <v/>
      </c>
      <c r="X2321" s="900" t="str">
        <f t="shared" si="501"/>
        <v xml:space="preserve"> </v>
      </c>
      <c r="Y2321" s="985"/>
      <c r="Z2321" s="922"/>
      <c r="AA2321" s="1067"/>
      <c r="AB2321" s="922"/>
      <c r="AC2321" s="922"/>
      <c r="AD2321" s="922"/>
      <c r="AE2321" s="922"/>
      <c r="AF2321" s="1046"/>
      <c r="AG2321" s="906" t="str">
        <f>IF(AE2321&lt;&gt;0,VLOOKUP(AE2321,ODDS!$A$2:$C$13,3,0),"")</f>
        <v/>
      </c>
      <c r="AH2321" s="906" t="str">
        <f t="shared" si="505"/>
        <v xml:space="preserve"> </v>
      </c>
      <c r="AI2321" s="907" t="str">
        <f t="shared" si="515"/>
        <v xml:space="preserve"> </v>
      </c>
      <c r="AJ2321" s="922"/>
      <c r="AK2321" s="922"/>
    </row>
    <row r="2322" spans="1:37" s="396" customFormat="1" ht="43.5" outlineLevel="1" x14ac:dyDescent="0.25">
      <c r="A2322" s="467" t="s">
        <v>2515</v>
      </c>
      <c r="B2322" s="912">
        <v>195</v>
      </c>
      <c r="C2322" s="942" t="s">
        <v>1526</v>
      </c>
      <c r="D2322" s="1038"/>
      <c r="E2322" s="977"/>
      <c r="F2322" s="977"/>
      <c r="G2322" s="914"/>
      <c r="H2322" s="1039">
        <f>SUBTOTAL(9,H2323:H2330)</f>
        <v>1155.8</v>
      </c>
      <c r="I2322" s="915">
        <f>SUBTOTAL(9,I2323:I2328)</f>
        <v>1155.8</v>
      </c>
      <c r="J2322" s="916"/>
      <c r="K2322" s="917"/>
      <c r="L2322" s="917"/>
      <c r="M2322" s="907">
        <f>SUBTOTAL(9,M2323:M2330)</f>
        <v>538140000</v>
      </c>
      <c r="N2322" s="907">
        <f>SUBTOTAL(9,N2323:N2330)</f>
        <v>1614421000</v>
      </c>
      <c r="O2322" s="942"/>
      <c r="P2322" s="1063">
        <f>SUBTOTAL(9,P2323:P2330)</f>
        <v>0</v>
      </c>
      <c r="Q2322" s="907"/>
      <c r="R2322" s="907">
        <f>SUBTOTAL(9,R2323:R2330)</f>
        <v>0</v>
      </c>
      <c r="S2322" s="918"/>
      <c r="T2322" s="956"/>
      <c r="U2322" s="1064">
        <f>SUBTOTAL(9,U2323:U2330)</f>
        <v>0</v>
      </c>
      <c r="V2322" s="914"/>
      <c r="W2322" s="907"/>
      <c r="X2322" s="907">
        <f>SUBTOTAL(9,X2323:X2330)</f>
        <v>0</v>
      </c>
      <c r="Y2322" s="985"/>
      <c r="Z2322" s="922"/>
      <c r="AA2322" s="1067"/>
      <c r="AB2322" s="922"/>
      <c r="AC2322" s="922"/>
      <c r="AD2322" s="922"/>
      <c r="AE2322" s="914"/>
      <c r="AF2322" s="1044">
        <f>SUBTOTAL(9,AF2323:AF2330)</f>
        <v>0</v>
      </c>
      <c r="AG2322" s="921"/>
      <c r="AH2322" s="921">
        <f>SUBTOTAL(9,AH2323:AH2330)</f>
        <v>0</v>
      </c>
      <c r="AI2322" s="907">
        <f t="shared" si="515"/>
        <v>2152561000</v>
      </c>
      <c r="AJ2322" s="914"/>
      <c r="AK2322" s="914"/>
    </row>
    <row r="2323" spans="1:37" s="396" customFormat="1" ht="135" outlineLevel="2" x14ac:dyDescent="0.3">
      <c r="A2323" s="447">
        <f>IF(B2322&lt;&gt;0,B2322,A2321)</f>
        <v>195</v>
      </c>
      <c r="B2323" s="893"/>
      <c r="C2323" s="908" t="s">
        <v>1528</v>
      </c>
      <c r="D2323" s="1032">
        <v>1</v>
      </c>
      <c r="E2323" s="947">
        <v>30</v>
      </c>
      <c r="F2323" s="947">
        <v>86</v>
      </c>
      <c r="G2323" s="922" t="s">
        <v>2435</v>
      </c>
      <c r="H2323" s="1041">
        <v>1155.8</v>
      </c>
      <c r="I2323" s="882">
        <f t="shared" ref="I2323" si="519">IF(N2323&gt;0,H2323,"")</f>
        <v>1155.8</v>
      </c>
      <c r="J2323" s="898"/>
      <c r="K2323" s="899">
        <f>IF(G2323&lt;&gt;0,VLOOKUP(G2323,'gia dat'!$A$1:$F$144,5,0)," ")</f>
        <v>465600</v>
      </c>
      <c r="L2323" s="899">
        <f>IF(G2323&lt;&gt;0,VLOOKUP(G2323,'gia dat'!$A$1:$F$144,6,0)," ")</f>
        <v>1396800</v>
      </c>
      <c r="M2323" s="900">
        <f t="shared" si="517"/>
        <v>538140000</v>
      </c>
      <c r="N2323" s="900">
        <f t="shared" si="518"/>
        <v>1614421000</v>
      </c>
      <c r="O2323" s="908"/>
      <c r="P2323" s="1065"/>
      <c r="Q2323" s="900" t="str">
        <f>IF(O2323&lt;&gt;0,VLOOKUP(O2323,'Cây trong'!$A$2:$C$246,3,0)," ")</f>
        <v xml:space="preserve"> </v>
      </c>
      <c r="R2323" s="900" t="str">
        <f t="shared" si="504"/>
        <v xml:space="preserve"> </v>
      </c>
      <c r="S2323" s="902"/>
      <c r="T2323" s="944"/>
      <c r="U2323" s="1066"/>
      <c r="V2323" s="922"/>
      <c r="W2323" s="900" t="str">
        <f>IF(S2323&lt;&gt;0,VLOOKUP(S2323,VKT!$A$2:$G$415,7,0),"")</f>
        <v/>
      </c>
      <c r="X2323" s="900" t="str">
        <f t="shared" si="501"/>
        <v xml:space="preserve"> </v>
      </c>
      <c r="Y2323" s="985"/>
      <c r="Z2323" s="922"/>
      <c r="AA2323" s="1067"/>
      <c r="AB2323" s="922"/>
      <c r="AC2323" s="922"/>
      <c r="AD2323" s="922"/>
      <c r="AE2323" s="922"/>
      <c r="AF2323" s="1046"/>
      <c r="AG2323" s="906" t="str">
        <f>IF(AE2323&lt;&gt;0,VLOOKUP(AE2323,ODDS!$A$2:$C$13,3,0),"")</f>
        <v/>
      </c>
      <c r="AH2323" s="906"/>
      <c r="AI2323" s="907" t="str">
        <f t="shared" si="515"/>
        <v xml:space="preserve"> </v>
      </c>
      <c r="AJ2323" s="922" t="s">
        <v>1527</v>
      </c>
      <c r="AK2323" s="922" t="s">
        <v>2771</v>
      </c>
    </row>
    <row r="2324" spans="1:37" s="394" customFormat="1" ht="112.5" outlineLevel="2" x14ac:dyDescent="0.3">
      <c r="A2324" s="447">
        <f t="shared" ref="A2324:A2330" si="520">IF(B2323&lt;&gt;0,B2323,A2323)</f>
        <v>195</v>
      </c>
      <c r="B2324" s="893"/>
      <c r="C2324" s="908" t="s">
        <v>1646</v>
      </c>
      <c r="D2324" s="1032"/>
      <c r="E2324" s="947"/>
      <c r="F2324" s="947"/>
      <c r="G2324" s="922"/>
      <c r="H2324" s="1041"/>
      <c r="I2324" s="882"/>
      <c r="J2324" s="898"/>
      <c r="K2324" s="899" t="str">
        <f>IF(G2324&lt;&gt;0,VLOOKUP(G2324,'gia dat'!$A$1:$F$144,5,0)," ")</f>
        <v xml:space="preserve"> </v>
      </c>
      <c r="L2324" s="899" t="str">
        <f>IF(G2324&lt;&gt;0,VLOOKUP(G2324,'gia dat'!$A$1:$F$144,6,0)," ")</f>
        <v xml:space="preserve"> </v>
      </c>
      <c r="M2324" s="900" t="str">
        <f t="shared" si="517"/>
        <v xml:space="preserve"> </v>
      </c>
      <c r="N2324" s="900" t="str">
        <f t="shared" si="518"/>
        <v xml:space="preserve"> </v>
      </c>
      <c r="O2324" s="908"/>
      <c r="P2324" s="1065"/>
      <c r="Q2324" s="900" t="str">
        <f>IF(O2324&lt;&gt;0,VLOOKUP(O2324,'Cây trong'!$A$2:$C$246,3,0)," ")</f>
        <v xml:space="preserve"> </v>
      </c>
      <c r="R2324" s="900" t="str">
        <f t="shared" si="504"/>
        <v xml:space="preserve"> </v>
      </c>
      <c r="S2324" s="902"/>
      <c r="T2324" s="944"/>
      <c r="U2324" s="1066"/>
      <c r="V2324" s="922"/>
      <c r="W2324" s="900" t="str">
        <f>IF(S2324&lt;&gt;0,VLOOKUP(S2324,VKT!$A$2:$G$415,7,0),"")</f>
        <v/>
      </c>
      <c r="X2324" s="900" t="str">
        <f t="shared" si="501"/>
        <v xml:space="preserve"> </v>
      </c>
      <c r="Y2324" s="985"/>
      <c r="Z2324" s="922"/>
      <c r="AA2324" s="1067"/>
      <c r="AB2324" s="922"/>
      <c r="AC2324" s="922"/>
      <c r="AD2324" s="922"/>
      <c r="AE2324" s="922"/>
      <c r="AF2324" s="1046"/>
      <c r="AG2324" s="906" t="str">
        <f>IF(AE2324&lt;&gt;0,VLOOKUP(AE2324,ODDS!$A$2:$C$13,3,0),"")</f>
        <v/>
      </c>
      <c r="AH2324" s="906" t="str">
        <f t="shared" si="505"/>
        <v xml:space="preserve"> </v>
      </c>
      <c r="AI2324" s="907" t="str">
        <f t="shared" si="515"/>
        <v xml:space="preserve"> </v>
      </c>
      <c r="AJ2324" s="922" t="s">
        <v>1529</v>
      </c>
      <c r="AK2324" s="894" t="s">
        <v>2448</v>
      </c>
    </row>
    <row r="2325" spans="1:37" s="394" customFormat="1" ht="67.5" outlineLevel="2" x14ac:dyDescent="0.3">
      <c r="A2325" s="447">
        <f t="shared" si="520"/>
        <v>195</v>
      </c>
      <c r="B2325" s="893"/>
      <c r="C2325" s="908"/>
      <c r="D2325" s="1032"/>
      <c r="E2325" s="947"/>
      <c r="F2325" s="947"/>
      <c r="G2325" s="922"/>
      <c r="H2325" s="1041"/>
      <c r="I2325" s="882"/>
      <c r="J2325" s="898"/>
      <c r="K2325" s="899" t="str">
        <f>IF(G2325&lt;&gt;0,VLOOKUP(G2325,'gia dat'!$A$1:$F$144,5,0)," ")</f>
        <v xml:space="preserve"> </v>
      </c>
      <c r="L2325" s="899" t="str">
        <f>IF(G2325&lt;&gt;0,VLOOKUP(G2325,'gia dat'!$A$1:$F$144,6,0)," ")</f>
        <v xml:space="preserve"> </v>
      </c>
      <c r="M2325" s="900" t="str">
        <f t="shared" si="517"/>
        <v xml:space="preserve"> </v>
      </c>
      <c r="N2325" s="900" t="str">
        <f t="shared" si="518"/>
        <v xml:space="preserve"> </v>
      </c>
      <c r="O2325" s="908"/>
      <c r="P2325" s="1065"/>
      <c r="Q2325" s="900" t="str">
        <f>IF(O2325&lt;&gt;0,VLOOKUP(O2325,'Cây trong'!$A$2:$C$246,3,0)," ")</f>
        <v xml:space="preserve"> </v>
      </c>
      <c r="R2325" s="900" t="str">
        <f t="shared" si="504"/>
        <v xml:space="preserve"> </v>
      </c>
      <c r="S2325" s="902"/>
      <c r="T2325" s="944"/>
      <c r="U2325" s="1066"/>
      <c r="V2325" s="922"/>
      <c r="W2325" s="900" t="str">
        <f>IF(S2325&lt;&gt;0,VLOOKUP(S2325,VKT!$A$2:$G$415,7,0),"")</f>
        <v/>
      </c>
      <c r="X2325" s="900" t="str">
        <f t="shared" ref="X2325:X2410" si="521">IF(S2325&lt;&gt;0,ROUND(U2325*W2325,-3)," ")</f>
        <v xml:space="preserve"> </v>
      </c>
      <c r="Y2325" s="985"/>
      <c r="Z2325" s="922"/>
      <c r="AA2325" s="1067"/>
      <c r="AB2325" s="922"/>
      <c r="AC2325" s="922"/>
      <c r="AD2325" s="922"/>
      <c r="AE2325" s="922"/>
      <c r="AF2325" s="1046"/>
      <c r="AG2325" s="906" t="str">
        <f>IF(AE2325&lt;&gt;0,VLOOKUP(AE2325,ODDS!$A$2:$C$13,3,0),"")</f>
        <v/>
      </c>
      <c r="AH2325" s="906" t="str">
        <f t="shared" si="505"/>
        <v xml:space="preserve"> </v>
      </c>
      <c r="AI2325" s="907" t="str">
        <f t="shared" si="515"/>
        <v xml:space="preserve"> </v>
      </c>
      <c r="AJ2325" s="922" t="s">
        <v>2074</v>
      </c>
      <c r="AK2325" s="922"/>
    </row>
    <row r="2326" spans="1:37" s="394" customFormat="1" ht="22.5" outlineLevel="2" x14ac:dyDescent="0.35">
      <c r="A2326" s="447">
        <f t="shared" si="520"/>
        <v>195</v>
      </c>
      <c r="B2326" s="893"/>
      <c r="C2326" s="908"/>
      <c r="D2326" s="1032"/>
      <c r="E2326" s="947"/>
      <c r="F2326" s="947"/>
      <c r="G2326" s="922"/>
      <c r="H2326" s="1041"/>
      <c r="I2326" s="882"/>
      <c r="J2326" s="898"/>
      <c r="K2326" s="899" t="str">
        <f>IF(G2326&lt;&gt;0,VLOOKUP(G2326,'gia dat'!$A$1:$F$144,5,0)," ")</f>
        <v xml:space="preserve"> </v>
      </c>
      <c r="L2326" s="899" t="str">
        <f>IF(G2326&lt;&gt;0,VLOOKUP(G2326,'gia dat'!$A$1:$F$144,6,0)," ")</f>
        <v xml:space="preserve"> </v>
      </c>
      <c r="M2326" s="900" t="str">
        <f t="shared" si="517"/>
        <v xml:space="preserve"> </v>
      </c>
      <c r="N2326" s="900" t="str">
        <f t="shared" si="518"/>
        <v xml:space="preserve"> </v>
      </c>
      <c r="O2326" s="908"/>
      <c r="P2326" s="1065"/>
      <c r="Q2326" s="900" t="str">
        <f>IF(O2326&lt;&gt;0,VLOOKUP(O2326,'Cây trong'!$A$2:$C$246,3,0)," ")</f>
        <v xml:space="preserve"> </v>
      </c>
      <c r="R2326" s="900" t="str">
        <f t="shared" si="504"/>
        <v xml:space="preserve"> </v>
      </c>
      <c r="S2326" s="902"/>
      <c r="T2326" s="944"/>
      <c r="U2326" s="1066"/>
      <c r="V2326" s="922"/>
      <c r="W2326" s="900" t="str">
        <f>IF(S2326&lt;&gt;0,VLOOKUP(S2326,VKT!$A$2:$G$415,7,0),"")</f>
        <v/>
      </c>
      <c r="X2326" s="900" t="str">
        <f t="shared" si="521"/>
        <v xml:space="preserve"> </v>
      </c>
      <c r="Y2326" s="985"/>
      <c r="Z2326" s="922"/>
      <c r="AA2326" s="1067"/>
      <c r="AB2326" s="922"/>
      <c r="AC2326" s="922"/>
      <c r="AD2326" s="922"/>
      <c r="AE2326" s="922"/>
      <c r="AF2326" s="1046"/>
      <c r="AG2326" s="906" t="str">
        <f>IF(AE2326&lt;&gt;0,VLOOKUP(AE2326,ODDS!$A$2:$C$13,3,0),"")</f>
        <v/>
      </c>
      <c r="AH2326" s="906" t="str">
        <f t="shared" si="505"/>
        <v xml:space="preserve"> </v>
      </c>
      <c r="AI2326" s="907" t="str">
        <f t="shared" si="515"/>
        <v xml:space="preserve"> </v>
      </c>
      <c r="AJ2326" s="1068"/>
      <c r="AK2326" s="922"/>
    </row>
    <row r="2327" spans="1:37" s="394" customFormat="1" ht="22.5" outlineLevel="2" x14ac:dyDescent="0.3">
      <c r="A2327" s="447">
        <f t="shared" si="520"/>
        <v>195</v>
      </c>
      <c r="B2327" s="893"/>
      <c r="C2327" s="908"/>
      <c r="D2327" s="1032"/>
      <c r="E2327" s="947"/>
      <c r="F2327" s="947"/>
      <c r="G2327" s="922"/>
      <c r="H2327" s="1041"/>
      <c r="I2327" s="882"/>
      <c r="J2327" s="898"/>
      <c r="K2327" s="899" t="str">
        <f>IF(G2327&lt;&gt;0,VLOOKUP(G2327,'gia dat'!$A$1:$F$144,5,0)," ")</f>
        <v xml:space="preserve"> </v>
      </c>
      <c r="L2327" s="899" t="str">
        <f>IF(G2327&lt;&gt;0,VLOOKUP(G2327,'gia dat'!$A$1:$F$144,6,0)," ")</f>
        <v xml:space="preserve"> </v>
      </c>
      <c r="M2327" s="900" t="str">
        <f t="shared" si="517"/>
        <v xml:space="preserve"> </v>
      </c>
      <c r="N2327" s="900" t="str">
        <f t="shared" si="518"/>
        <v xml:space="preserve"> </v>
      </c>
      <c r="O2327" s="908"/>
      <c r="P2327" s="1065"/>
      <c r="Q2327" s="900" t="str">
        <f>IF(O2327&lt;&gt;0,VLOOKUP(O2327,'Cây trong'!$A$2:$C$246,3,0)," ")</f>
        <v xml:space="preserve"> </v>
      </c>
      <c r="R2327" s="900" t="str">
        <f t="shared" si="504"/>
        <v xml:space="preserve"> </v>
      </c>
      <c r="S2327" s="902"/>
      <c r="T2327" s="944"/>
      <c r="U2327" s="1066"/>
      <c r="V2327" s="922"/>
      <c r="W2327" s="900" t="str">
        <f>IF(S2327&lt;&gt;0,VLOOKUP(S2327,VKT!$A$2:$G$415,7,0),"")</f>
        <v/>
      </c>
      <c r="X2327" s="900" t="str">
        <f t="shared" si="521"/>
        <v xml:space="preserve"> </v>
      </c>
      <c r="Y2327" s="985"/>
      <c r="Z2327" s="922"/>
      <c r="AA2327" s="1067"/>
      <c r="AB2327" s="922"/>
      <c r="AC2327" s="922"/>
      <c r="AD2327" s="922"/>
      <c r="AE2327" s="922"/>
      <c r="AF2327" s="1046"/>
      <c r="AG2327" s="906" t="str">
        <f>IF(AE2327&lt;&gt;0,VLOOKUP(AE2327,ODDS!$A$2:$C$13,3,0),"")</f>
        <v/>
      </c>
      <c r="AH2327" s="906" t="str">
        <f t="shared" si="505"/>
        <v xml:space="preserve"> </v>
      </c>
      <c r="AI2327" s="907" t="str">
        <f t="shared" si="515"/>
        <v xml:space="preserve"> </v>
      </c>
      <c r="AJ2327" s="908"/>
      <c r="AK2327" s="908"/>
    </row>
    <row r="2328" spans="1:37" s="394" customFormat="1" ht="22.5" outlineLevel="2" x14ac:dyDescent="0.3">
      <c r="A2328" s="447">
        <f t="shared" si="520"/>
        <v>195</v>
      </c>
      <c r="B2328" s="893"/>
      <c r="C2328" s="908"/>
      <c r="D2328" s="1032"/>
      <c r="E2328" s="947"/>
      <c r="F2328" s="947"/>
      <c r="G2328" s="922"/>
      <c r="H2328" s="1041"/>
      <c r="I2328" s="882"/>
      <c r="J2328" s="894"/>
      <c r="K2328" s="899" t="str">
        <f>IF(G2328&lt;&gt;0,VLOOKUP(G2328,'gia dat'!$A$1:$F$144,5,0)," ")</f>
        <v xml:space="preserve"> </v>
      </c>
      <c r="L2328" s="899" t="str">
        <f>IF(G2328&lt;&gt;0,VLOOKUP(G2328,'gia dat'!$A$1:$F$144,6,0)," ")</f>
        <v xml:space="preserve"> </v>
      </c>
      <c r="M2328" s="900" t="str">
        <f t="shared" si="517"/>
        <v xml:space="preserve"> </v>
      </c>
      <c r="N2328" s="900" t="str">
        <f t="shared" si="518"/>
        <v xml:space="preserve"> </v>
      </c>
      <c r="O2328" s="908"/>
      <c r="P2328" s="1065"/>
      <c r="Q2328" s="900" t="str">
        <f>IF(O2328&lt;&gt;0,VLOOKUP(O2328,'Cây trong'!$A$2:$C$246,3,0)," ")</f>
        <v xml:space="preserve"> </v>
      </c>
      <c r="R2328" s="900" t="str">
        <f t="shared" si="504"/>
        <v xml:space="preserve"> </v>
      </c>
      <c r="S2328" s="908"/>
      <c r="T2328" s="944"/>
      <c r="U2328" s="1066"/>
      <c r="V2328" s="922"/>
      <c r="W2328" s="900" t="str">
        <f>IF(S2328&lt;&gt;0,VLOOKUP(S2328,VKT!$A$2:$G$415,7,0),"")</f>
        <v/>
      </c>
      <c r="X2328" s="900" t="str">
        <f t="shared" si="521"/>
        <v xml:space="preserve"> </v>
      </c>
      <c r="Y2328" s="985"/>
      <c r="Z2328" s="922"/>
      <c r="AA2328" s="1067"/>
      <c r="AB2328" s="922"/>
      <c r="AC2328" s="922"/>
      <c r="AD2328" s="922"/>
      <c r="AE2328" s="922"/>
      <c r="AF2328" s="1046"/>
      <c r="AG2328" s="906" t="str">
        <f>IF(AE2328&lt;&gt;0,VLOOKUP(AE2328,ODDS!$A$2:$C$13,3,0),"")</f>
        <v/>
      </c>
      <c r="AH2328" s="906" t="str">
        <f t="shared" si="505"/>
        <v xml:space="preserve"> </v>
      </c>
      <c r="AI2328" s="907" t="str">
        <f t="shared" si="515"/>
        <v xml:space="preserve"> </v>
      </c>
      <c r="AJ2328" s="894"/>
      <c r="AK2328" s="894"/>
    </row>
    <row r="2329" spans="1:37" s="394" customFormat="1" ht="22.5" outlineLevel="2" x14ac:dyDescent="0.3">
      <c r="A2329" s="447">
        <f t="shared" si="520"/>
        <v>195</v>
      </c>
      <c r="B2329" s="893"/>
      <c r="C2329" s="908"/>
      <c r="D2329" s="1032"/>
      <c r="E2329" s="947"/>
      <c r="F2329" s="947"/>
      <c r="G2329" s="922"/>
      <c r="H2329" s="1041"/>
      <c r="I2329" s="882"/>
      <c r="J2329" s="894"/>
      <c r="K2329" s="899" t="str">
        <f>IF(G2329&lt;&gt;0,VLOOKUP(G2329,'gia dat'!$A$1:$F$144,5,0)," ")</f>
        <v xml:space="preserve"> </v>
      </c>
      <c r="L2329" s="899" t="str">
        <f>IF(G2329&lt;&gt;0,VLOOKUP(G2329,'gia dat'!$A$1:$F$144,6,0)," ")</f>
        <v xml:space="preserve"> </v>
      </c>
      <c r="M2329" s="900" t="str">
        <f t="shared" si="517"/>
        <v xml:space="preserve"> </v>
      </c>
      <c r="N2329" s="900" t="str">
        <f t="shared" si="518"/>
        <v xml:space="preserve"> </v>
      </c>
      <c r="O2329" s="908"/>
      <c r="P2329" s="1065"/>
      <c r="Q2329" s="900" t="str">
        <f>IF(O2329&lt;&gt;0,VLOOKUP(O2329,'Cây trong'!$A$2:$C$246,3,0)," ")</f>
        <v xml:space="preserve"> </v>
      </c>
      <c r="R2329" s="900" t="str">
        <f t="shared" si="504"/>
        <v xml:space="preserve"> </v>
      </c>
      <c r="S2329" s="908"/>
      <c r="T2329" s="944"/>
      <c r="U2329" s="1066"/>
      <c r="V2329" s="922"/>
      <c r="W2329" s="900" t="str">
        <f>IF(S2329&lt;&gt;0,VLOOKUP(S2329,VKT!$A$2:$G$415,7,0),"")</f>
        <v/>
      </c>
      <c r="X2329" s="900" t="str">
        <f t="shared" si="521"/>
        <v xml:space="preserve"> </v>
      </c>
      <c r="Y2329" s="985"/>
      <c r="Z2329" s="922"/>
      <c r="AA2329" s="1067"/>
      <c r="AB2329" s="922"/>
      <c r="AC2329" s="922"/>
      <c r="AD2329" s="922"/>
      <c r="AE2329" s="922"/>
      <c r="AF2329" s="1046"/>
      <c r="AG2329" s="906" t="str">
        <f>IF(AE2329&lt;&gt;0,VLOOKUP(AE2329,ODDS!$A$2:$C$13,3,0),"")</f>
        <v/>
      </c>
      <c r="AH2329" s="906" t="str">
        <f t="shared" si="505"/>
        <v xml:space="preserve"> </v>
      </c>
      <c r="AI2329" s="907" t="str">
        <f t="shared" si="515"/>
        <v xml:space="preserve"> </v>
      </c>
      <c r="AJ2329" s="922"/>
      <c r="AK2329" s="922"/>
    </row>
    <row r="2330" spans="1:37" s="394" customFormat="1" ht="22.5" outlineLevel="2" x14ac:dyDescent="0.3">
      <c r="A2330" s="447">
        <f t="shared" si="520"/>
        <v>195</v>
      </c>
      <c r="B2330" s="893"/>
      <c r="C2330" s="942"/>
      <c r="D2330" s="1032"/>
      <c r="E2330" s="947"/>
      <c r="F2330" s="947"/>
      <c r="G2330" s="922"/>
      <c r="H2330" s="1041"/>
      <c r="I2330" s="882"/>
      <c r="J2330" s="894"/>
      <c r="K2330" s="899" t="str">
        <f>IF(G2330&lt;&gt;0,VLOOKUP(G2330,'gia dat'!$A$1:$F$144,5,0)," ")</f>
        <v xml:space="preserve"> </v>
      </c>
      <c r="L2330" s="899" t="str">
        <f>IF(G2330&lt;&gt;0,VLOOKUP(G2330,'gia dat'!$A$1:$F$144,6,0)," ")</f>
        <v xml:space="preserve"> </v>
      </c>
      <c r="M2330" s="900" t="str">
        <f t="shared" si="517"/>
        <v xml:space="preserve"> </v>
      </c>
      <c r="N2330" s="900" t="str">
        <f t="shared" si="518"/>
        <v xml:space="preserve"> </v>
      </c>
      <c r="O2330" s="908"/>
      <c r="P2330" s="1065"/>
      <c r="Q2330" s="900" t="str">
        <f>IF(O2330&lt;&gt;0,VLOOKUP(O2330,'Cây trong'!$A$2:$C$246,3,0)," ")</f>
        <v xml:space="preserve"> </v>
      </c>
      <c r="R2330" s="900" t="str">
        <f t="shared" si="504"/>
        <v xml:space="preserve"> </v>
      </c>
      <c r="S2330" s="908"/>
      <c r="T2330" s="944"/>
      <c r="U2330" s="1066"/>
      <c r="V2330" s="922"/>
      <c r="W2330" s="900" t="str">
        <f>IF(S2330&lt;&gt;0,VLOOKUP(S2330,VKT!$A$2:$G$415,7,0),"")</f>
        <v/>
      </c>
      <c r="X2330" s="900" t="str">
        <f t="shared" si="521"/>
        <v xml:space="preserve"> </v>
      </c>
      <c r="Y2330" s="985"/>
      <c r="Z2330" s="922"/>
      <c r="AA2330" s="1067"/>
      <c r="AB2330" s="922"/>
      <c r="AC2330" s="922"/>
      <c r="AD2330" s="922"/>
      <c r="AE2330" s="922"/>
      <c r="AF2330" s="1046"/>
      <c r="AG2330" s="906" t="str">
        <f>IF(AE2330&lt;&gt;0,VLOOKUP(AE2330,ODDS!$A$2:$C$13,3,0),"")</f>
        <v/>
      </c>
      <c r="AH2330" s="906" t="str">
        <f t="shared" si="505"/>
        <v xml:space="preserve"> </v>
      </c>
      <c r="AI2330" s="907" t="str">
        <f t="shared" si="515"/>
        <v xml:space="preserve"> </v>
      </c>
      <c r="AJ2330" s="922"/>
      <c r="AK2330" s="922"/>
    </row>
    <row r="2331" spans="1:37" s="396" customFormat="1" ht="43.5" outlineLevel="1" x14ac:dyDescent="0.25">
      <c r="A2331" s="467" t="s">
        <v>2514</v>
      </c>
      <c r="B2331" s="912">
        <v>196</v>
      </c>
      <c r="C2331" s="942" t="s">
        <v>1526</v>
      </c>
      <c r="D2331" s="1038"/>
      <c r="E2331" s="977"/>
      <c r="F2331" s="977"/>
      <c r="G2331" s="914"/>
      <c r="H2331" s="1039">
        <f>SUBTOTAL(9,H2332:H2338)</f>
        <v>1000</v>
      </c>
      <c r="I2331" s="915">
        <f>SUBTOTAL(9,I2332:I2337)</f>
        <v>1000</v>
      </c>
      <c r="J2331" s="916"/>
      <c r="K2331" s="917"/>
      <c r="L2331" s="917"/>
      <c r="M2331" s="907">
        <f>SUBTOTAL(9,M2332:M2338)</f>
        <v>465600000</v>
      </c>
      <c r="N2331" s="907">
        <f>SUBTOTAL(9,N2332:N2338)</f>
        <v>1396800000</v>
      </c>
      <c r="O2331" s="942"/>
      <c r="P2331" s="1063">
        <f>SUBTOTAL(9,P2332:P2338)</f>
        <v>0</v>
      </c>
      <c r="Q2331" s="907"/>
      <c r="R2331" s="907">
        <f>SUBTOTAL(9,R2332:R2338)</f>
        <v>0</v>
      </c>
      <c r="S2331" s="918"/>
      <c r="T2331" s="956"/>
      <c r="U2331" s="1064">
        <f>SUBTOTAL(9,U2332:U2338)</f>
        <v>0</v>
      </c>
      <c r="V2331" s="914"/>
      <c r="W2331" s="907"/>
      <c r="X2331" s="907">
        <f>SUBTOTAL(9,X2332:X2338)</f>
        <v>0</v>
      </c>
      <c r="Y2331" s="985"/>
      <c r="Z2331" s="922"/>
      <c r="AA2331" s="1067"/>
      <c r="AB2331" s="922"/>
      <c r="AC2331" s="922"/>
      <c r="AD2331" s="922"/>
      <c r="AE2331" s="914"/>
      <c r="AF2331" s="1044">
        <f>SUBTOTAL(9,AF2332:AF2338)</f>
        <v>0</v>
      </c>
      <c r="AG2331" s="921"/>
      <c r="AH2331" s="921">
        <f>SUBTOTAL(9,AH2332:AH2338)</f>
        <v>0</v>
      </c>
      <c r="AI2331" s="907">
        <f t="shared" si="515"/>
        <v>1862400000</v>
      </c>
      <c r="AJ2331" s="914"/>
      <c r="AK2331" s="914"/>
    </row>
    <row r="2332" spans="1:37" s="396" customFormat="1" ht="135" outlineLevel="2" x14ac:dyDescent="0.3">
      <c r="A2332" s="447">
        <f>IF(B2331&lt;&gt;0,B2331,A2330)</f>
        <v>196</v>
      </c>
      <c r="B2332" s="893"/>
      <c r="C2332" s="908" t="s">
        <v>1528</v>
      </c>
      <c r="D2332" s="1032"/>
      <c r="E2332" s="947">
        <v>86</v>
      </c>
      <c r="F2332" s="947">
        <v>311</v>
      </c>
      <c r="G2332" s="922" t="s">
        <v>2435</v>
      </c>
      <c r="H2332" s="1041">
        <v>1000</v>
      </c>
      <c r="I2332" s="882">
        <f t="shared" ref="I2332" si="522">IF(N2332&gt;0,H2332,"")</f>
        <v>1000</v>
      </c>
      <c r="J2332" s="898"/>
      <c r="K2332" s="899">
        <f>IF(G2332&lt;&gt;0,VLOOKUP(G2332,'gia dat'!$A$1:$F$144,5,0)," ")</f>
        <v>465600</v>
      </c>
      <c r="L2332" s="899">
        <f>IF(G2332&lt;&gt;0,VLOOKUP(G2332,'gia dat'!$A$1:$F$144,6,0)," ")</f>
        <v>1396800</v>
      </c>
      <c r="M2332" s="900">
        <f t="shared" si="517"/>
        <v>465600000</v>
      </c>
      <c r="N2332" s="900">
        <f t="shared" si="518"/>
        <v>1396800000</v>
      </c>
      <c r="O2332" s="908"/>
      <c r="P2332" s="1065"/>
      <c r="Q2332" s="900" t="str">
        <f>IF(O2332&lt;&gt;0,VLOOKUP(O2332,'Cây trong'!$A$2:$C$246,3,0)," ")</f>
        <v xml:space="preserve"> </v>
      </c>
      <c r="R2332" s="900" t="str">
        <f t="shared" si="504"/>
        <v xml:space="preserve"> </v>
      </c>
      <c r="S2332" s="902"/>
      <c r="T2332" s="944"/>
      <c r="U2332" s="1066"/>
      <c r="V2332" s="922"/>
      <c r="W2332" s="900" t="str">
        <f>IF(S2332&lt;&gt;0,VLOOKUP(S2332,VKT!$A$2:$G$415,7,0),"")</f>
        <v/>
      </c>
      <c r="X2332" s="900" t="str">
        <f t="shared" si="521"/>
        <v xml:space="preserve"> </v>
      </c>
      <c r="Y2332" s="985"/>
      <c r="Z2332" s="922"/>
      <c r="AA2332" s="1067"/>
      <c r="AB2332" s="922"/>
      <c r="AC2332" s="922"/>
      <c r="AD2332" s="922"/>
      <c r="AE2332" s="922"/>
      <c r="AF2332" s="1046"/>
      <c r="AG2332" s="906" t="str">
        <f>IF(AE2332&lt;&gt;0,VLOOKUP(AE2332,ODDS!$A$2:$C$13,3,0),"")</f>
        <v/>
      </c>
      <c r="AH2332" s="906" t="str">
        <f t="shared" si="505"/>
        <v xml:space="preserve"> </v>
      </c>
      <c r="AI2332" s="907" t="str">
        <f t="shared" si="515"/>
        <v xml:space="preserve"> </v>
      </c>
      <c r="AJ2332" s="922" t="s">
        <v>1530</v>
      </c>
      <c r="AK2332" s="922" t="s">
        <v>2771</v>
      </c>
    </row>
    <row r="2333" spans="1:37" s="394" customFormat="1" ht="112.5" outlineLevel="2" x14ac:dyDescent="0.3">
      <c r="A2333" s="447">
        <f t="shared" ref="A2333:A2338" si="523">IF(B2332&lt;&gt;0,B2332,A2332)</f>
        <v>196</v>
      </c>
      <c r="B2333" s="893"/>
      <c r="C2333" s="908" t="s">
        <v>1646</v>
      </c>
      <c r="D2333" s="1032"/>
      <c r="E2333" s="947"/>
      <c r="F2333" s="947"/>
      <c r="G2333" s="922"/>
      <c r="H2333" s="1041"/>
      <c r="I2333" s="882"/>
      <c r="J2333" s="898"/>
      <c r="K2333" s="899" t="str">
        <f>IF(G2333&lt;&gt;0,VLOOKUP(G2333,'gia dat'!$A$1:$F$144,5,0)," ")</f>
        <v xml:space="preserve"> </v>
      </c>
      <c r="L2333" s="899" t="str">
        <f>IF(G2333&lt;&gt;0,VLOOKUP(G2333,'gia dat'!$A$1:$F$144,6,0)," ")</f>
        <v xml:space="preserve"> </v>
      </c>
      <c r="M2333" s="900" t="str">
        <f t="shared" si="517"/>
        <v xml:space="preserve"> </v>
      </c>
      <c r="N2333" s="900" t="str">
        <f t="shared" si="518"/>
        <v xml:space="preserve"> </v>
      </c>
      <c r="O2333" s="908"/>
      <c r="P2333" s="1065"/>
      <c r="Q2333" s="900" t="str">
        <f>IF(O2333&lt;&gt;0,VLOOKUP(O2333,'Cây trong'!$A$2:$C$246,3,0)," ")</f>
        <v xml:space="preserve"> </v>
      </c>
      <c r="R2333" s="900" t="str">
        <f t="shared" si="504"/>
        <v xml:space="preserve"> </v>
      </c>
      <c r="S2333" s="902"/>
      <c r="T2333" s="944"/>
      <c r="U2333" s="1066"/>
      <c r="V2333" s="922"/>
      <c r="W2333" s="900" t="str">
        <f>IF(S2333&lt;&gt;0,VLOOKUP(S2333,VKT!$A$2:$G$415,7,0),"")</f>
        <v/>
      </c>
      <c r="X2333" s="900" t="str">
        <f t="shared" si="521"/>
        <v xml:space="preserve"> </v>
      </c>
      <c r="Y2333" s="985"/>
      <c r="Z2333" s="922"/>
      <c r="AA2333" s="1067"/>
      <c r="AB2333" s="922"/>
      <c r="AC2333" s="922"/>
      <c r="AD2333" s="922"/>
      <c r="AE2333" s="922"/>
      <c r="AF2333" s="1046"/>
      <c r="AG2333" s="906" t="str">
        <f>IF(AE2333&lt;&gt;0,VLOOKUP(AE2333,ODDS!$A$2:$C$13,3,0),"")</f>
        <v/>
      </c>
      <c r="AH2333" s="906" t="str">
        <f t="shared" si="505"/>
        <v xml:space="preserve"> </v>
      </c>
      <c r="AI2333" s="907" t="str">
        <f t="shared" si="515"/>
        <v xml:space="preserve"> </v>
      </c>
      <c r="AJ2333" s="922" t="s">
        <v>1531</v>
      </c>
      <c r="AK2333" s="894" t="s">
        <v>2448</v>
      </c>
    </row>
    <row r="2334" spans="1:37" s="394" customFormat="1" ht="67.5" outlineLevel="2" x14ac:dyDescent="0.3">
      <c r="A2334" s="447">
        <f t="shared" si="523"/>
        <v>196</v>
      </c>
      <c r="B2334" s="893"/>
      <c r="C2334" s="908"/>
      <c r="D2334" s="1032"/>
      <c r="E2334" s="947"/>
      <c r="F2334" s="947"/>
      <c r="G2334" s="922"/>
      <c r="H2334" s="1041"/>
      <c r="I2334" s="882"/>
      <c r="J2334" s="898"/>
      <c r="K2334" s="899" t="str">
        <f>IF(G2334&lt;&gt;0,VLOOKUP(G2334,'gia dat'!$A$1:$F$144,5,0)," ")</f>
        <v xml:space="preserve"> </v>
      </c>
      <c r="L2334" s="899" t="str">
        <f>IF(G2334&lt;&gt;0,VLOOKUP(G2334,'gia dat'!$A$1:$F$144,6,0)," ")</f>
        <v xml:space="preserve"> </v>
      </c>
      <c r="M2334" s="900" t="str">
        <f t="shared" si="517"/>
        <v xml:space="preserve"> </v>
      </c>
      <c r="N2334" s="900" t="str">
        <f t="shared" si="518"/>
        <v xml:space="preserve"> </v>
      </c>
      <c r="O2334" s="908"/>
      <c r="P2334" s="1065"/>
      <c r="Q2334" s="900" t="str">
        <f>IF(O2334&lt;&gt;0,VLOOKUP(O2334,'Cây trong'!$A$2:$C$246,3,0)," ")</f>
        <v xml:space="preserve"> </v>
      </c>
      <c r="R2334" s="900" t="str">
        <f t="shared" si="504"/>
        <v xml:space="preserve"> </v>
      </c>
      <c r="S2334" s="902"/>
      <c r="T2334" s="944"/>
      <c r="U2334" s="1066"/>
      <c r="V2334" s="922"/>
      <c r="W2334" s="900" t="str">
        <f>IF(S2334&lt;&gt;0,VLOOKUP(S2334,VKT!$A$2:$G$415,7,0),"")</f>
        <v/>
      </c>
      <c r="X2334" s="900" t="str">
        <f t="shared" si="521"/>
        <v xml:space="preserve"> </v>
      </c>
      <c r="Y2334" s="985"/>
      <c r="Z2334" s="922"/>
      <c r="AA2334" s="1067"/>
      <c r="AB2334" s="922"/>
      <c r="AC2334" s="922"/>
      <c r="AD2334" s="922"/>
      <c r="AE2334" s="922"/>
      <c r="AF2334" s="1046"/>
      <c r="AG2334" s="906" t="str">
        <f>IF(AE2334&lt;&gt;0,VLOOKUP(AE2334,ODDS!$A$2:$C$13,3,0),"")</f>
        <v/>
      </c>
      <c r="AH2334" s="906" t="str">
        <f t="shared" si="505"/>
        <v xml:space="preserve"> </v>
      </c>
      <c r="AI2334" s="907" t="str">
        <f t="shared" si="515"/>
        <v xml:space="preserve"> </v>
      </c>
      <c r="AJ2334" s="922" t="s">
        <v>2074</v>
      </c>
      <c r="AK2334" s="922"/>
    </row>
    <row r="2335" spans="1:37" s="394" customFormat="1" ht="22.5" outlineLevel="2" x14ac:dyDescent="0.35">
      <c r="A2335" s="447">
        <f t="shared" si="523"/>
        <v>196</v>
      </c>
      <c r="B2335" s="893"/>
      <c r="C2335" s="908"/>
      <c r="D2335" s="1032"/>
      <c r="E2335" s="947"/>
      <c r="F2335" s="947"/>
      <c r="G2335" s="922"/>
      <c r="H2335" s="1041"/>
      <c r="I2335" s="882"/>
      <c r="J2335" s="898"/>
      <c r="K2335" s="899" t="str">
        <f>IF(G2335&lt;&gt;0,VLOOKUP(G2335,'gia dat'!$A$1:$F$144,5,0)," ")</f>
        <v xml:space="preserve"> </v>
      </c>
      <c r="L2335" s="899" t="str">
        <f>IF(G2335&lt;&gt;0,VLOOKUP(G2335,'gia dat'!$A$1:$F$144,6,0)," ")</f>
        <v xml:space="preserve"> </v>
      </c>
      <c r="M2335" s="900" t="str">
        <f t="shared" si="517"/>
        <v xml:space="preserve"> </v>
      </c>
      <c r="N2335" s="900" t="str">
        <f t="shared" si="518"/>
        <v xml:space="preserve"> </v>
      </c>
      <c r="O2335" s="908"/>
      <c r="P2335" s="1065"/>
      <c r="Q2335" s="900" t="str">
        <f>IF(O2335&lt;&gt;0,VLOOKUP(O2335,'Cây trong'!$A$2:$C$246,3,0)," ")</f>
        <v xml:space="preserve"> </v>
      </c>
      <c r="R2335" s="900" t="str">
        <f t="shared" si="504"/>
        <v xml:space="preserve"> </v>
      </c>
      <c r="S2335" s="902"/>
      <c r="T2335" s="944"/>
      <c r="U2335" s="1066"/>
      <c r="V2335" s="922"/>
      <c r="W2335" s="900" t="str">
        <f>IF(S2335&lt;&gt;0,VLOOKUP(S2335,VKT!$A$2:$G$415,7,0),"")</f>
        <v/>
      </c>
      <c r="X2335" s="900" t="str">
        <f t="shared" si="521"/>
        <v xml:space="preserve"> </v>
      </c>
      <c r="Y2335" s="985"/>
      <c r="Z2335" s="922"/>
      <c r="AA2335" s="1067"/>
      <c r="AB2335" s="922"/>
      <c r="AC2335" s="922"/>
      <c r="AD2335" s="922"/>
      <c r="AE2335" s="922"/>
      <c r="AF2335" s="1046"/>
      <c r="AG2335" s="906" t="str">
        <f>IF(AE2335&lt;&gt;0,VLOOKUP(AE2335,ODDS!$A$2:$C$13,3,0),"")</f>
        <v/>
      </c>
      <c r="AH2335" s="906" t="str">
        <f t="shared" si="505"/>
        <v xml:space="preserve"> </v>
      </c>
      <c r="AI2335" s="907" t="str">
        <f t="shared" si="515"/>
        <v xml:space="preserve"> </v>
      </c>
      <c r="AJ2335" s="1068"/>
      <c r="AK2335" s="922"/>
    </row>
    <row r="2336" spans="1:37" s="394" customFormat="1" ht="22.5" outlineLevel="2" x14ac:dyDescent="0.3">
      <c r="A2336" s="447">
        <f t="shared" si="523"/>
        <v>196</v>
      </c>
      <c r="B2336" s="893"/>
      <c r="C2336" s="908"/>
      <c r="D2336" s="1032"/>
      <c r="E2336" s="947"/>
      <c r="F2336" s="947"/>
      <c r="G2336" s="922"/>
      <c r="H2336" s="1041"/>
      <c r="I2336" s="882"/>
      <c r="J2336" s="898"/>
      <c r="K2336" s="899" t="str">
        <f>IF(G2336&lt;&gt;0,VLOOKUP(G2336,'gia dat'!$A$1:$F$144,5,0)," ")</f>
        <v xml:space="preserve"> </v>
      </c>
      <c r="L2336" s="899" t="str">
        <f>IF(G2336&lt;&gt;0,VLOOKUP(G2336,'gia dat'!$A$1:$F$144,6,0)," ")</f>
        <v xml:space="preserve"> </v>
      </c>
      <c r="M2336" s="900" t="str">
        <f t="shared" si="517"/>
        <v xml:space="preserve"> </v>
      </c>
      <c r="N2336" s="900" t="str">
        <f t="shared" si="518"/>
        <v xml:space="preserve"> </v>
      </c>
      <c r="O2336" s="908"/>
      <c r="P2336" s="1065"/>
      <c r="Q2336" s="900" t="str">
        <f>IF(O2336&lt;&gt;0,VLOOKUP(O2336,'Cây trong'!$A$2:$C$246,3,0)," ")</f>
        <v xml:space="preserve"> </v>
      </c>
      <c r="R2336" s="900" t="str">
        <f t="shared" si="504"/>
        <v xml:space="preserve"> </v>
      </c>
      <c r="S2336" s="902"/>
      <c r="T2336" s="944"/>
      <c r="U2336" s="1066"/>
      <c r="V2336" s="922"/>
      <c r="W2336" s="900" t="str">
        <f>IF(S2336&lt;&gt;0,VLOOKUP(S2336,VKT!$A$2:$G$415,7,0),"")</f>
        <v/>
      </c>
      <c r="X2336" s="900" t="str">
        <f t="shared" si="521"/>
        <v xml:space="preserve"> </v>
      </c>
      <c r="Y2336" s="985"/>
      <c r="Z2336" s="922"/>
      <c r="AA2336" s="1067"/>
      <c r="AB2336" s="922"/>
      <c r="AC2336" s="922"/>
      <c r="AD2336" s="922"/>
      <c r="AE2336" s="922"/>
      <c r="AF2336" s="1046"/>
      <c r="AG2336" s="906" t="str">
        <f>IF(AE2336&lt;&gt;0,VLOOKUP(AE2336,ODDS!$A$2:$C$13,3,0),"")</f>
        <v/>
      </c>
      <c r="AH2336" s="906" t="str">
        <f t="shared" si="505"/>
        <v xml:space="preserve"> </v>
      </c>
      <c r="AI2336" s="907" t="str">
        <f t="shared" si="515"/>
        <v xml:space="preserve"> </v>
      </c>
      <c r="AJ2336" s="922"/>
      <c r="AK2336" s="922"/>
    </row>
    <row r="2337" spans="1:37" s="394" customFormat="1" ht="22.5" outlineLevel="2" x14ac:dyDescent="0.3">
      <c r="A2337" s="447">
        <f t="shared" si="523"/>
        <v>196</v>
      </c>
      <c r="B2337" s="893"/>
      <c r="C2337" s="908"/>
      <c r="D2337" s="1032"/>
      <c r="E2337" s="947"/>
      <c r="F2337" s="947"/>
      <c r="G2337" s="922"/>
      <c r="H2337" s="1041"/>
      <c r="I2337" s="882"/>
      <c r="J2337" s="898"/>
      <c r="K2337" s="899" t="str">
        <f>IF(G2337&lt;&gt;0,VLOOKUP(G2337,'gia dat'!$A$1:$F$144,5,0)," ")</f>
        <v xml:space="preserve"> </v>
      </c>
      <c r="L2337" s="899" t="str">
        <f>IF(G2337&lt;&gt;0,VLOOKUP(G2337,'gia dat'!$A$1:$F$144,6,0)," ")</f>
        <v xml:space="preserve"> </v>
      </c>
      <c r="M2337" s="900" t="str">
        <f t="shared" si="517"/>
        <v xml:space="preserve"> </v>
      </c>
      <c r="N2337" s="900" t="str">
        <f t="shared" si="518"/>
        <v xml:space="preserve"> </v>
      </c>
      <c r="O2337" s="908"/>
      <c r="P2337" s="1065"/>
      <c r="Q2337" s="900" t="str">
        <f>IF(O2337&lt;&gt;0,VLOOKUP(O2337,'Cây trong'!$A$2:$C$246,3,0)," ")</f>
        <v xml:space="preserve"> </v>
      </c>
      <c r="R2337" s="900" t="str">
        <f t="shared" si="504"/>
        <v xml:space="preserve"> </v>
      </c>
      <c r="S2337" s="902"/>
      <c r="T2337" s="944"/>
      <c r="U2337" s="1066"/>
      <c r="V2337" s="922"/>
      <c r="W2337" s="900" t="str">
        <f>IF(S2337&lt;&gt;0,VLOOKUP(S2337,VKT!$A$2:$G$415,7,0),"")</f>
        <v/>
      </c>
      <c r="X2337" s="900" t="str">
        <f t="shared" si="521"/>
        <v xml:space="preserve"> </v>
      </c>
      <c r="Y2337" s="985"/>
      <c r="Z2337" s="922"/>
      <c r="AA2337" s="1067"/>
      <c r="AB2337" s="922"/>
      <c r="AC2337" s="922"/>
      <c r="AD2337" s="922"/>
      <c r="AE2337" s="922"/>
      <c r="AF2337" s="1046"/>
      <c r="AG2337" s="906" t="str">
        <f>IF(AE2337&lt;&gt;0,VLOOKUP(AE2337,ODDS!$A$2:$C$13,3,0),"")</f>
        <v/>
      </c>
      <c r="AH2337" s="906" t="str">
        <f t="shared" si="505"/>
        <v xml:space="preserve"> </v>
      </c>
      <c r="AI2337" s="907" t="str">
        <f t="shared" si="515"/>
        <v xml:space="preserve"> </v>
      </c>
      <c r="AJ2337" s="922"/>
      <c r="AK2337" s="922"/>
    </row>
    <row r="2338" spans="1:37" s="394" customFormat="1" ht="22.5" outlineLevel="2" x14ac:dyDescent="0.3">
      <c r="A2338" s="447">
        <f t="shared" si="523"/>
        <v>196</v>
      </c>
      <c r="B2338" s="893"/>
      <c r="C2338" s="942"/>
      <c r="D2338" s="1032"/>
      <c r="E2338" s="947"/>
      <c r="F2338" s="947"/>
      <c r="G2338" s="922"/>
      <c r="H2338" s="1041"/>
      <c r="I2338" s="882"/>
      <c r="J2338" s="898"/>
      <c r="K2338" s="899" t="str">
        <f>IF(G2338&lt;&gt;0,VLOOKUP(G2338,'gia dat'!$A$1:$F$144,5,0)," ")</f>
        <v xml:space="preserve"> </v>
      </c>
      <c r="L2338" s="899" t="str">
        <f>IF(G2338&lt;&gt;0,VLOOKUP(G2338,'gia dat'!$A$1:$F$144,6,0)," ")</f>
        <v xml:space="preserve"> </v>
      </c>
      <c r="M2338" s="900" t="str">
        <f t="shared" si="517"/>
        <v xml:space="preserve"> </v>
      </c>
      <c r="N2338" s="900" t="str">
        <f t="shared" si="518"/>
        <v xml:space="preserve"> </v>
      </c>
      <c r="O2338" s="908"/>
      <c r="P2338" s="1065"/>
      <c r="Q2338" s="900" t="str">
        <f>IF(O2338&lt;&gt;0,VLOOKUP(O2338,'Cây trong'!$A$2:$C$246,3,0)," ")</f>
        <v xml:space="preserve"> </v>
      </c>
      <c r="R2338" s="900" t="str">
        <f t="shared" si="504"/>
        <v xml:space="preserve"> </v>
      </c>
      <c r="S2338" s="902"/>
      <c r="T2338" s="944"/>
      <c r="U2338" s="1066"/>
      <c r="V2338" s="922"/>
      <c r="W2338" s="900" t="str">
        <f>IF(S2338&lt;&gt;0,VLOOKUP(S2338,VKT!$A$2:$G$415,7,0),"")</f>
        <v/>
      </c>
      <c r="X2338" s="900" t="str">
        <f t="shared" si="521"/>
        <v xml:space="preserve"> </v>
      </c>
      <c r="Y2338" s="985"/>
      <c r="Z2338" s="922"/>
      <c r="AA2338" s="1067"/>
      <c r="AB2338" s="922"/>
      <c r="AC2338" s="922"/>
      <c r="AD2338" s="922"/>
      <c r="AE2338" s="922"/>
      <c r="AF2338" s="1046"/>
      <c r="AG2338" s="906" t="str">
        <f>IF(AE2338&lt;&gt;0,VLOOKUP(AE2338,ODDS!$A$2:$C$13,3,0),"")</f>
        <v/>
      </c>
      <c r="AH2338" s="906" t="str">
        <f t="shared" si="505"/>
        <v xml:space="preserve"> </v>
      </c>
      <c r="AI2338" s="907" t="str">
        <f t="shared" si="515"/>
        <v xml:space="preserve"> </v>
      </c>
      <c r="AJ2338" s="922"/>
      <c r="AK2338" s="922"/>
    </row>
    <row r="2339" spans="1:37" s="394" customFormat="1" ht="43.5" outlineLevel="1" x14ac:dyDescent="0.25">
      <c r="A2339" s="467" t="s">
        <v>2513</v>
      </c>
      <c r="B2339" s="912">
        <v>197</v>
      </c>
      <c r="C2339" s="942" t="s">
        <v>1448</v>
      </c>
      <c r="D2339" s="1038"/>
      <c r="E2339" s="977"/>
      <c r="F2339" s="977"/>
      <c r="G2339" s="914"/>
      <c r="H2339" s="1039">
        <f>SUBTOTAL(9,H2340:H2344)</f>
        <v>11.9</v>
      </c>
      <c r="I2339" s="915">
        <f>SUBTOTAL(9,I2340:I2345)</f>
        <v>11.9</v>
      </c>
      <c r="J2339" s="916"/>
      <c r="K2339" s="917"/>
      <c r="L2339" s="917"/>
      <c r="M2339" s="907">
        <f>SUBTOTAL(9,M2340:M2344)</f>
        <v>6597000</v>
      </c>
      <c r="N2339" s="907">
        <f>SUBTOTAL(9,N2340:N2344)</f>
        <v>19792000</v>
      </c>
      <c r="O2339" s="942"/>
      <c r="P2339" s="1063">
        <f>SUBTOTAL(9,P2340:P2344)</f>
        <v>0</v>
      </c>
      <c r="Q2339" s="907"/>
      <c r="R2339" s="907">
        <f>SUBTOTAL(9,R2340:R2344)</f>
        <v>0</v>
      </c>
      <c r="S2339" s="918"/>
      <c r="T2339" s="956"/>
      <c r="U2339" s="1064">
        <f>SUBTOTAL(9,U2340:U2344)</f>
        <v>0</v>
      </c>
      <c r="V2339" s="914"/>
      <c r="W2339" s="907"/>
      <c r="X2339" s="907">
        <f>SUBTOTAL(9,X2340:X2344)</f>
        <v>0</v>
      </c>
      <c r="Y2339" s="985"/>
      <c r="Z2339" s="922"/>
      <c r="AA2339" s="1067"/>
      <c r="AB2339" s="922"/>
      <c r="AC2339" s="922"/>
      <c r="AD2339" s="922"/>
      <c r="AE2339" s="914"/>
      <c r="AF2339" s="1044">
        <f>SUBTOTAL(9,AF2340:AF2344)</f>
        <v>0</v>
      </c>
      <c r="AG2339" s="921"/>
      <c r="AH2339" s="921">
        <f>SUBTOTAL(9,AH2340:AH2344)</f>
        <v>0</v>
      </c>
      <c r="AI2339" s="907">
        <f t="shared" si="515"/>
        <v>26389000</v>
      </c>
      <c r="AJ2339" s="914"/>
      <c r="AK2339" s="914"/>
    </row>
    <row r="2340" spans="1:37" s="394" customFormat="1" ht="315" outlineLevel="2" x14ac:dyDescent="0.3">
      <c r="A2340" s="447">
        <f>IF(B2339&lt;&gt;0,B2339,A2338)</f>
        <v>197</v>
      </c>
      <c r="B2340" s="893"/>
      <c r="C2340" s="908" t="s">
        <v>1450</v>
      </c>
      <c r="D2340" s="1032"/>
      <c r="E2340" s="947">
        <v>86</v>
      </c>
      <c r="F2340" s="947">
        <v>25</v>
      </c>
      <c r="G2340" s="922" t="s">
        <v>2498</v>
      </c>
      <c r="H2340" s="1041">
        <v>11.9</v>
      </c>
      <c r="I2340" s="882">
        <f t="shared" ref="I2340" si="524">IF(N2340&gt;0,H2340,"")</f>
        <v>11.9</v>
      </c>
      <c r="J2340" s="898"/>
      <c r="K2340" s="899">
        <f>IF(G2340&lt;&gt;0,VLOOKUP(G2340,'gia dat'!$A$1:$F$144,5,0)," ")</f>
        <v>554400</v>
      </c>
      <c r="L2340" s="899">
        <f>IF(G2340&lt;&gt;0,VLOOKUP(G2340,'gia dat'!$A$1:$F$144,6,0)," ")</f>
        <v>1663200</v>
      </c>
      <c r="M2340" s="900">
        <f t="shared" si="517"/>
        <v>6597000</v>
      </c>
      <c r="N2340" s="900">
        <f t="shared" si="518"/>
        <v>19792000</v>
      </c>
      <c r="O2340" s="908"/>
      <c r="P2340" s="1065"/>
      <c r="Q2340" s="900"/>
      <c r="R2340" s="900"/>
      <c r="S2340" s="902"/>
      <c r="T2340" s="944"/>
      <c r="U2340" s="1066"/>
      <c r="V2340" s="922"/>
      <c r="W2340" s="900"/>
      <c r="X2340" s="900"/>
      <c r="Y2340" s="985"/>
      <c r="Z2340" s="922"/>
      <c r="AA2340" s="1067"/>
      <c r="AB2340" s="922"/>
      <c r="AC2340" s="922"/>
      <c r="AD2340" s="922"/>
      <c r="AE2340" s="922"/>
      <c r="AF2340" s="1046"/>
      <c r="AG2340" s="906"/>
      <c r="AH2340" s="906"/>
      <c r="AI2340" s="907" t="str">
        <f t="shared" si="515"/>
        <v xml:space="preserve"> </v>
      </c>
      <c r="AJ2340" s="922" t="s">
        <v>2465</v>
      </c>
      <c r="AK2340" s="922"/>
    </row>
    <row r="2341" spans="1:37" s="394" customFormat="1" ht="112.5" outlineLevel="2" x14ac:dyDescent="0.3">
      <c r="A2341" s="447">
        <f>IF(B2340&lt;&gt;0,B2340,A2340)</f>
        <v>197</v>
      </c>
      <c r="B2341" s="893"/>
      <c r="C2341" s="908" t="s">
        <v>1634</v>
      </c>
      <c r="D2341" s="1032"/>
      <c r="E2341" s="947"/>
      <c r="F2341" s="947"/>
      <c r="G2341" s="922"/>
      <c r="H2341" s="1041"/>
      <c r="I2341" s="882"/>
      <c r="J2341" s="898"/>
      <c r="K2341" s="899" t="str">
        <f>IF(G2341&lt;&gt;0,VLOOKUP(G2341,'gia dat'!$A$1:$F$144,5,0)," ")</f>
        <v xml:space="preserve"> </v>
      </c>
      <c r="L2341" s="899" t="str">
        <f>IF(G2341&lt;&gt;0,VLOOKUP(G2341,'gia dat'!$A$1:$F$144,6,0)," ")</f>
        <v xml:space="preserve"> </v>
      </c>
      <c r="M2341" s="900" t="str">
        <f t="shared" si="517"/>
        <v xml:space="preserve"> </v>
      </c>
      <c r="N2341" s="900" t="str">
        <f t="shared" si="518"/>
        <v xml:space="preserve"> </v>
      </c>
      <c r="O2341" s="908"/>
      <c r="P2341" s="1065"/>
      <c r="Q2341" s="900"/>
      <c r="R2341" s="900"/>
      <c r="S2341" s="902"/>
      <c r="T2341" s="944"/>
      <c r="U2341" s="1066"/>
      <c r="V2341" s="922"/>
      <c r="W2341" s="900"/>
      <c r="X2341" s="900"/>
      <c r="Y2341" s="985"/>
      <c r="Z2341" s="922"/>
      <c r="AA2341" s="1067"/>
      <c r="AB2341" s="922"/>
      <c r="AC2341" s="922"/>
      <c r="AD2341" s="922"/>
      <c r="AE2341" s="922"/>
      <c r="AF2341" s="1046"/>
      <c r="AG2341" s="906"/>
      <c r="AH2341" s="906"/>
      <c r="AI2341" s="907" t="str">
        <f t="shared" si="515"/>
        <v xml:space="preserve"> </v>
      </c>
      <c r="AJ2341" s="922" t="s">
        <v>2074</v>
      </c>
      <c r="AK2341" s="922"/>
    </row>
    <row r="2342" spans="1:37" s="394" customFormat="1" ht="22.5" outlineLevel="2" x14ac:dyDescent="0.3">
      <c r="A2342" s="447">
        <f>IF(B2341&lt;&gt;0,B2341,A2341)</f>
        <v>197</v>
      </c>
      <c r="B2342" s="893"/>
      <c r="C2342" s="908"/>
      <c r="D2342" s="1032"/>
      <c r="E2342" s="947"/>
      <c r="F2342" s="947"/>
      <c r="G2342" s="922"/>
      <c r="H2342" s="1041"/>
      <c r="I2342" s="882"/>
      <c r="J2342" s="898"/>
      <c r="K2342" s="899" t="str">
        <f>IF(G2342&lt;&gt;0,VLOOKUP(G2342,'gia dat'!$A$1:$F$144,5,0)," ")</f>
        <v xml:space="preserve"> </v>
      </c>
      <c r="L2342" s="899" t="str">
        <f>IF(G2342&lt;&gt;0,VLOOKUP(G2342,'gia dat'!$A$1:$F$144,6,0)," ")</f>
        <v xml:space="preserve"> </v>
      </c>
      <c r="M2342" s="900" t="str">
        <f t="shared" si="517"/>
        <v xml:space="preserve"> </v>
      </c>
      <c r="N2342" s="900" t="str">
        <f t="shared" si="518"/>
        <v xml:space="preserve"> </v>
      </c>
      <c r="O2342" s="908"/>
      <c r="P2342" s="1065"/>
      <c r="Q2342" s="900"/>
      <c r="R2342" s="900"/>
      <c r="S2342" s="902"/>
      <c r="T2342" s="944"/>
      <c r="U2342" s="1066"/>
      <c r="V2342" s="922"/>
      <c r="W2342" s="900"/>
      <c r="X2342" s="900"/>
      <c r="Y2342" s="985"/>
      <c r="Z2342" s="922"/>
      <c r="AA2342" s="1067"/>
      <c r="AB2342" s="922"/>
      <c r="AC2342" s="922"/>
      <c r="AD2342" s="922"/>
      <c r="AE2342" s="922"/>
      <c r="AF2342" s="1046"/>
      <c r="AG2342" s="906"/>
      <c r="AH2342" s="906"/>
      <c r="AI2342" s="907" t="str">
        <f t="shared" si="515"/>
        <v xml:space="preserve"> </v>
      </c>
      <c r="AJ2342" s="922"/>
      <c r="AK2342" s="922"/>
    </row>
    <row r="2343" spans="1:37" s="394" customFormat="1" ht="22.5" outlineLevel="2" x14ac:dyDescent="0.3">
      <c r="A2343" s="447">
        <f>IF(B2342&lt;&gt;0,B2342,A2342)</f>
        <v>197</v>
      </c>
      <c r="B2343" s="893"/>
      <c r="C2343" s="908"/>
      <c r="D2343" s="1032"/>
      <c r="E2343" s="947"/>
      <c r="F2343" s="947"/>
      <c r="G2343" s="922"/>
      <c r="H2343" s="1041"/>
      <c r="I2343" s="882"/>
      <c r="J2343" s="898"/>
      <c r="K2343" s="899" t="str">
        <f>IF(G2343&lt;&gt;0,VLOOKUP(G2343,'gia dat'!$A$1:$F$144,5,0)," ")</f>
        <v xml:space="preserve"> </v>
      </c>
      <c r="L2343" s="899" t="str">
        <f>IF(G2343&lt;&gt;0,VLOOKUP(G2343,'gia dat'!$A$1:$F$144,6,0)," ")</f>
        <v xml:space="preserve"> </v>
      </c>
      <c r="M2343" s="900" t="str">
        <f t="shared" si="517"/>
        <v xml:space="preserve"> </v>
      </c>
      <c r="N2343" s="900" t="str">
        <f t="shared" si="518"/>
        <v xml:space="preserve"> </v>
      </c>
      <c r="O2343" s="908"/>
      <c r="P2343" s="1065"/>
      <c r="Q2343" s="900"/>
      <c r="R2343" s="900"/>
      <c r="S2343" s="902"/>
      <c r="T2343" s="944"/>
      <c r="U2343" s="1066"/>
      <c r="V2343" s="922"/>
      <c r="W2343" s="900"/>
      <c r="X2343" s="900"/>
      <c r="Y2343" s="985"/>
      <c r="Z2343" s="922"/>
      <c r="AA2343" s="1067"/>
      <c r="AB2343" s="922"/>
      <c r="AC2343" s="922"/>
      <c r="AD2343" s="922"/>
      <c r="AE2343" s="922"/>
      <c r="AF2343" s="1046"/>
      <c r="AG2343" s="906"/>
      <c r="AH2343" s="906"/>
      <c r="AI2343" s="907" t="str">
        <f t="shared" si="515"/>
        <v xml:space="preserve"> </v>
      </c>
      <c r="AJ2343" s="922"/>
      <c r="AK2343" s="922"/>
    </row>
    <row r="2344" spans="1:37" s="394" customFormat="1" ht="22.5" outlineLevel="2" x14ac:dyDescent="0.3">
      <c r="A2344" s="447">
        <f>IF(B2343&lt;&gt;0,B2343,A2343)</f>
        <v>197</v>
      </c>
      <c r="B2344" s="893"/>
      <c r="C2344" s="942"/>
      <c r="D2344" s="1032"/>
      <c r="E2344" s="947"/>
      <c r="F2344" s="947"/>
      <c r="G2344" s="922"/>
      <c r="H2344" s="1041"/>
      <c r="I2344" s="882"/>
      <c r="J2344" s="898"/>
      <c r="K2344" s="899" t="str">
        <f>IF(G2344&lt;&gt;0,VLOOKUP(G2344,'gia dat'!$A$1:$F$144,5,0)," ")</f>
        <v xml:space="preserve"> </v>
      </c>
      <c r="L2344" s="899" t="str">
        <f>IF(G2344&lt;&gt;0,VLOOKUP(G2344,'gia dat'!$A$1:$F$144,6,0)," ")</f>
        <v xml:space="preserve"> </v>
      </c>
      <c r="M2344" s="900" t="str">
        <f t="shared" si="517"/>
        <v xml:space="preserve"> </v>
      </c>
      <c r="N2344" s="900" t="str">
        <f t="shared" si="518"/>
        <v xml:space="preserve"> </v>
      </c>
      <c r="O2344" s="908"/>
      <c r="P2344" s="1065"/>
      <c r="Q2344" s="900"/>
      <c r="R2344" s="900"/>
      <c r="S2344" s="902"/>
      <c r="T2344" s="944"/>
      <c r="U2344" s="1066"/>
      <c r="V2344" s="922"/>
      <c r="W2344" s="900"/>
      <c r="X2344" s="900"/>
      <c r="Y2344" s="985"/>
      <c r="Z2344" s="922"/>
      <c r="AA2344" s="1067"/>
      <c r="AB2344" s="922"/>
      <c r="AC2344" s="922"/>
      <c r="AD2344" s="922"/>
      <c r="AE2344" s="922"/>
      <c r="AF2344" s="1046"/>
      <c r="AG2344" s="906"/>
      <c r="AH2344" s="906"/>
      <c r="AI2344" s="907" t="str">
        <f t="shared" si="515"/>
        <v xml:space="preserve"> </v>
      </c>
      <c r="AJ2344" s="922"/>
      <c r="AK2344" s="922"/>
    </row>
    <row r="2345" spans="1:37" s="396" customFormat="1" ht="43.5" outlineLevel="1" x14ac:dyDescent="0.25">
      <c r="A2345" s="467" t="s">
        <v>2512</v>
      </c>
      <c r="B2345" s="912">
        <v>198</v>
      </c>
      <c r="C2345" s="942" t="s">
        <v>1532</v>
      </c>
      <c r="D2345" s="1038"/>
      <c r="E2345" s="977"/>
      <c r="F2345" s="977"/>
      <c r="G2345" s="914"/>
      <c r="H2345" s="1039">
        <f>SUBTOTAL(9,H2346:H2354)</f>
        <v>92.800000000000011</v>
      </c>
      <c r="I2345" s="915">
        <f>SUBTOTAL(9,I2346:I2351)</f>
        <v>26.4</v>
      </c>
      <c r="J2345" s="916"/>
      <c r="K2345" s="917"/>
      <c r="L2345" s="917"/>
      <c r="M2345" s="907">
        <f>SUBTOTAL(9,M2346:M2354)</f>
        <v>444165000</v>
      </c>
      <c r="N2345" s="907">
        <f>SUBTOTAL(9,N2346:N2354)</f>
        <v>43908000</v>
      </c>
      <c r="O2345" s="942"/>
      <c r="P2345" s="1063">
        <f>SUBTOTAL(9,P2346:P2354)</f>
        <v>0</v>
      </c>
      <c r="Q2345" s="907"/>
      <c r="R2345" s="907">
        <f>SUBTOTAL(9,R2346:R2354)</f>
        <v>0</v>
      </c>
      <c r="S2345" s="918"/>
      <c r="T2345" s="956"/>
      <c r="U2345" s="1064">
        <f>SUBTOTAL(9,U2346:U2354)</f>
        <v>0</v>
      </c>
      <c r="V2345" s="914"/>
      <c r="W2345" s="907"/>
      <c r="X2345" s="907">
        <f>SUBTOTAL(9,X2346:X2354)</f>
        <v>0</v>
      </c>
      <c r="Y2345" s="985"/>
      <c r="Z2345" s="922"/>
      <c r="AA2345" s="1067"/>
      <c r="AB2345" s="922"/>
      <c r="AC2345" s="922"/>
      <c r="AD2345" s="922"/>
      <c r="AE2345" s="914"/>
      <c r="AF2345" s="1044">
        <f>SUBTOTAL(9,AF2346:AF2354)</f>
        <v>0</v>
      </c>
      <c r="AG2345" s="921"/>
      <c r="AH2345" s="921">
        <f>SUBTOTAL(9,AH2346:AH2354)</f>
        <v>0</v>
      </c>
      <c r="AI2345" s="907">
        <f t="shared" si="515"/>
        <v>488073000</v>
      </c>
      <c r="AJ2345" s="914"/>
      <c r="AK2345" s="914"/>
    </row>
    <row r="2346" spans="1:37" s="396" customFormat="1" ht="135" outlineLevel="2" x14ac:dyDescent="0.3">
      <c r="A2346" s="447">
        <f>IF(B2345&lt;&gt;0,B2345,A2344)</f>
        <v>198</v>
      </c>
      <c r="B2346" s="893"/>
      <c r="C2346" s="908" t="s">
        <v>1534</v>
      </c>
      <c r="D2346" s="1032">
        <v>4</v>
      </c>
      <c r="E2346" s="947">
        <v>86</v>
      </c>
      <c r="F2346" s="947">
        <v>1513</v>
      </c>
      <c r="G2346" s="922" t="s">
        <v>2422</v>
      </c>
      <c r="H2346" s="1041">
        <f>52.8-H2348</f>
        <v>26.4</v>
      </c>
      <c r="I2346" s="882" t="str">
        <f t="shared" ref="I2346:I2348" si="525">IF(N2346&gt;0,H2346,"")</f>
        <v/>
      </c>
      <c r="J2346" s="898"/>
      <c r="K2346" s="899">
        <f>IF(G2346&lt;&gt;0,VLOOKUP(G2346,'gia dat'!$A$1:$F$144,5,0)," ")</f>
        <v>554400</v>
      </c>
      <c r="L2346" s="899">
        <f>IF(G2346&lt;&gt;0,VLOOKUP(G2346,'gia dat'!$A$1:$F$144,6,0)," ")</f>
        <v>0</v>
      </c>
      <c r="M2346" s="900">
        <f t="shared" si="517"/>
        <v>14636000</v>
      </c>
      <c r="N2346" s="900">
        <f t="shared" si="518"/>
        <v>0</v>
      </c>
      <c r="O2346" s="908"/>
      <c r="P2346" s="1065"/>
      <c r="Q2346" s="900" t="str">
        <f>IF(O2346&lt;&gt;0,VLOOKUP(O2346,'Cây trong'!$A$2:$C$246,3,0)," ")</f>
        <v xml:space="preserve"> </v>
      </c>
      <c r="R2346" s="900" t="str">
        <f t="shared" si="504"/>
        <v xml:space="preserve"> </v>
      </c>
      <c r="S2346" s="902"/>
      <c r="T2346" s="944"/>
      <c r="U2346" s="1066"/>
      <c r="V2346" s="922"/>
      <c r="W2346" s="900" t="str">
        <f>IF(S2346&lt;&gt;0,VLOOKUP(S2346,VKT!$A$2:$G$415,7,0),"")</f>
        <v/>
      </c>
      <c r="X2346" s="900" t="str">
        <f t="shared" si="521"/>
        <v xml:space="preserve"> </v>
      </c>
      <c r="Y2346" s="985"/>
      <c r="Z2346" s="922"/>
      <c r="AA2346" s="1067"/>
      <c r="AB2346" s="922"/>
      <c r="AC2346" s="922"/>
      <c r="AD2346" s="922"/>
      <c r="AE2346" s="922"/>
      <c r="AF2346" s="1046"/>
      <c r="AG2346" s="906" t="str">
        <f>IF(AE2346&lt;&gt;0,VLOOKUP(AE2346,ODDS!$A$2:$C$13,3,0),"")</f>
        <v/>
      </c>
      <c r="AH2346" s="906"/>
      <c r="AI2346" s="907" t="str">
        <f t="shared" si="515"/>
        <v xml:space="preserve"> </v>
      </c>
      <c r="AJ2346" s="922" t="s">
        <v>1533</v>
      </c>
      <c r="AK2346" s="922" t="s">
        <v>2771</v>
      </c>
    </row>
    <row r="2347" spans="1:37" s="396" customFormat="1" ht="112.5" outlineLevel="2" x14ac:dyDescent="0.3">
      <c r="A2347" s="447">
        <f t="shared" ref="A2347:A2354" si="526">IF(B2346&lt;&gt;0,B2346,A2346)</f>
        <v>198</v>
      </c>
      <c r="B2347" s="893"/>
      <c r="C2347" s="908" t="s">
        <v>1647</v>
      </c>
      <c r="D2347" s="1032"/>
      <c r="E2347" s="947">
        <v>86</v>
      </c>
      <c r="F2347" s="947">
        <v>1513</v>
      </c>
      <c r="G2347" s="922" t="s">
        <v>2905</v>
      </c>
      <c r="H2347" s="1041">
        <v>40</v>
      </c>
      <c r="I2347" s="882" t="str">
        <f t="shared" si="525"/>
        <v/>
      </c>
      <c r="J2347" s="898"/>
      <c r="K2347" s="899">
        <f>IF(G2347&lt;&gt;0,VLOOKUP(G2347,'gia dat'!$A$1:$F$144,5,0)," ")</f>
        <v>10372320</v>
      </c>
      <c r="L2347" s="899">
        <f>IF(G2347&lt;&gt;0,VLOOKUP(G2347,'gia dat'!$A$1:$F$144,6,0)," ")</f>
        <v>0</v>
      </c>
      <c r="M2347" s="900">
        <f t="shared" si="517"/>
        <v>414893000</v>
      </c>
      <c r="N2347" s="900">
        <f t="shared" si="518"/>
        <v>0</v>
      </c>
      <c r="O2347" s="908"/>
      <c r="P2347" s="1065"/>
      <c r="Q2347" s="900" t="str">
        <f>IF(O2347&lt;&gt;0,VLOOKUP(O2347,'Cây trong'!$A$2:$C$246,3,0)," ")</f>
        <v xml:space="preserve"> </v>
      </c>
      <c r="R2347" s="900" t="str">
        <f t="shared" ref="R2347:R2433" si="527">IF(O2347&lt;&gt;0,ROUND(P2347*Q2347,-2)," ")</f>
        <v xml:space="preserve"> </v>
      </c>
      <c r="S2347" s="902"/>
      <c r="T2347" s="944"/>
      <c r="U2347" s="1066"/>
      <c r="V2347" s="922"/>
      <c r="W2347" s="900" t="str">
        <f>IF(S2347&lt;&gt;0,VLOOKUP(S2347,VKT!$A$2:$G$415,7,0),"")</f>
        <v/>
      </c>
      <c r="X2347" s="900" t="str">
        <f t="shared" si="521"/>
        <v xml:space="preserve"> </v>
      </c>
      <c r="Y2347" s="985"/>
      <c r="Z2347" s="922"/>
      <c r="AA2347" s="1067"/>
      <c r="AB2347" s="922"/>
      <c r="AC2347" s="922"/>
      <c r="AD2347" s="922"/>
      <c r="AE2347" s="922"/>
      <c r="AF2347" s="1046"/>
      <c r="AG2347" s="906" t="str">
        <f>IF(AE2347&lt;&gt;0,VLOOKUP(AE2347,ODDS!$A$2:$C$13,3,0),"")</f>
        <v/>
      </c>
      <c r="AH2347" s="906" t="str">
        <f t="shared" ref="AH2347:AH2433" si="528">IF(AE2347&lt;&gt;0,ROUND(AF2347*AG2347,-2)," ")</f>
        <v xml:space="preserve"> </v>
      </c>
      <c r="AI2347" s="907" t="str">
        <f t="shared" si="515"/>
        <v xml:space="preserve"> </v>
      </c>
      <c r="AJ2347" s="922" t="s">
        <v>1535</v>
      </c>
      <c r="AK2347" s="894" t="s">
        <v>2448</v>
      </c>
    </row>
    <row r="2348" spans="1:37" s="394" customFormat="1" ht="112.5" outlineLevel="2" x14ac:dyDescent="0.3">
      <c r="A2348" s="447">
        <f t="shared" si="526"/>
        <v>198</v>
      </c>
      <c r="B2348" s="893"/>
      <c r="C2348" s="942" t="s">
        <v>1536</v>
      </c>
      <c r="D2348" s="1032"/>
      <c r="E2348" s="947"/>
      <c r="F2348" s="947"/>
      <c r="G2348" s="922" t="s">
        <v>2426</v>
      </c>
      <c r="H2348" s="1041">
        <v>26.4</v>
      </c>
      <c r="I2348" s="882">
        <f t="shared" si="525"/>
        <v>26.4</v>
      </c>
      <c r="J2348" s="898"/>
      <c r="K2348" s="899">
        <f>IF(G2348&lt;&gt;0,VLOOKUP(G2348,'gia dat'!$A$1:$F$144,5,0)," ")</f>
        <v>554400</v>
      </c>
      <c r="L2348" s="899">
        <f>IF(G2348&lt;&gt;0,VLOOKUP(G2348,'gia dat'!$A$1:$F$144,6,0)," ")</f>
        <v>1663200</v>
      </c>
      <c r="M2348" s="900">
        <f t="shared" si="517"/>
        <v>14636000</v>
      </c>
      <c r="N2348" s="900">
        <f t="shared" si="518"/>
        <v>43908000</v>
      </c>
      <c r="O2348" s="908"/>
      <c r="P2348" s="1065"/>
      <c r="Q2348" s="900" t="str">
        <f>IF(O2348&lt;&gt;0,VLOOKUP(O2348,'Cây trong'!$A$2:$C$246,3,0)," ")</f>
        <v xml:space="preserve"> </v>
      </c>
      <c r="R2348" s="900" t="str">
        <f t="shared" si="527"/>
        <v xml:space="preserve"> </v>
      </c>
      <c r="S2348" s="902"/>
      <c r="T2348" s="944"/>
      <c r="U2348" s="1066"/>
      <c r="V2348" s="922"/>
      <c r="W2348" s="900" t="str">
        <f>IF(S2348&lt;&gt;0,VLOOKUP(S2348,VKT!$A$2:$G$415,7,0),"")</f>
        <v/>
      </c>
      <c r="X2348" s="900" t="str">
        <f t="shared" si="521"/>
        <v xml:space="preserve"> </v>
      </c>
      <c r="Y2348" s="985"/>
      <c r="Z2348" s="922"/>
      <c r="AA2348" s="1067"/>
      <c r="AB2348" s="922"/>
      <c r="AC2348" s="922"/>
      <c r="AD2348" s="922"/>
      <c r="AE2348" s="922"/>
      <c r="AF2348" s="1046"/>
      <c r="AG2348" s="906" t="str">
        <f>IF(AE2348&lt;&gt;0,VLOOKUP(AE2348,ODDS!$A$2:$C$13,3,0),"")</f>
        <v/>
      </c>
      <c r="AH2348" s="906" t="str">
        <f t="shared" si="528"/>
        <v xml:space="preserve"> </v>
      </c>
      <c r="AI2348" s="907" t="str">
        <f t="shared" si="515"/>
        <v xml:space="preserve"> </v>
      </c>
      <c r="AJ2348" s="922" t="s">
        <v>2247</v>
      </c>
      <c r="AK2348" s="922"/>
    </row>
    <row r="2349" spans="1:37" s="394" customFormat="1" ht="45" outlineLevel="2" x14ac:dyDescent="0.35">
      <c r="A2349" s="447">
        <f t="shared" si="526"/>
        <v>198</v>
      </c>
      <c r="B2349" s="893"/>
      <c r="C2349" s="908" t="s">
        <v>1538</v>
      </c>
      <c r="D2349" s="1032"/>
      <c r="E2349" s="947"/>
      <c r="F2349" s="947"/>
      <c r="G2349" s="1068"/>
      <c r="H2349" s="1071"/>
      <c r="I2349" s="882"/>
      <c r="J2349" s="898"/>
      <c r="K2349" s="899" t="str">
        <f>IF(G2349&lt;&gt;0,VLOOKUP(G2349,'gia dat'!$A$1:$F$144,5,0)," ")</f>
        <v xml:space="preserve"> </v>
      </c>
      <c r="L2349" s="899" t="str">
        <f>IF(G2349&lt;&gt;0,VLOOKUP(G2349,'gia dat'!$A$1:$F$144,6,0)," ")</f>
        <v xml:space="preserve"> </v>
      </c>
      <c r="M2349" s="900" t="str">
        <f t="shared" si="517"/>
        <v xml:space="preserve"> </v>
      </c>
      <c r="N2349" s="900" t="str">
        <f t="shared" si="518"/>
        <v xml:space="preserve"> </v>
      </c>
      <c r="O2349" s="908"/>
      <c r="P2349" s="1065"/>
      <c r="Q2349" s="900" t="str">
        <f>IF(O2349&lt;&gt;0,VLOOKUP(O2349,'Cây trong'!$A$2:$C$246,3,0)," ")</f>
        <v xml:space="preserve"> </v>
      </c>
      <c r="R2349" s="900" t="str">
        <f t="shared" si="527"/>
        <v xml:space="preserve"> </v>
      </c>
      <c r="S2349" s="902"/>
      <c r="T2349" s="944"/>
      <c r="U2349" s="1066"/>
      <c r="V2349" s="922"/>
      <c r="W2349" s="900" t="str">
        <f>IF(S2349&lt;&gt;0,VLOOKUP(S2349,VKT!$A$2:$G$415,7,0),"")</f>
        <v/>
      </c>
      <c r="X2349" s="900" t="str">
        <f t="shared" si="521"/>
        <v xml:space="preserve"> </v>
      </c>
      <c r="Y2349" s="985"/>
      <c r="Z2349" s="922"/>
      <c r="AA2349" s="1067"/>
      <c r="AB2349" s="922"/>
      <c r="AC2349" s="922"/>
      <c r="AD2349" s="922"/>
      <c r="AE2349" s="922"/>
      <c r="AF2349" s="1046"/>
      <c r="AG2349" s="906" t="str">
        <f>IF(AE2349&lt;&gt;0,VLOOKUP(AE2349,ODDS!$A$2:$C$13,3,0),"")</f>
        <v/>
      </c>
      <c r="AH2349" s="906" t="str">
        <f t="shared" si="528"/>
        <v xml:space="preserve"> </v>
      </c>
      <c r="AI2349" s="907" t="str">
        <f t="shared" si="515"/>
        <v xml:space="preserve"> </v>
      </c>
      <c r="AJ2349" s="1068"/>
      <c r="AK2349" s="922"/>
    </row>
    <row r="2350" spans="1:37" s="394" customFormat="1" ht="112.5" outlineLevel="2" x14ac:dyDescent="0.35">
      <c r="A2350" s="447">
        <f t="shared" si="526"/>
        <v>198</v>
      </c>
      <c r="B2350" s="893"/>
      <c r="C2350" s="908" t="s">
        <v>1648</v>
      </c>
      <c r="D2350" s="1032"/>
      <c r="E2350" s="947"/>
      <c r="F2350" s="947"/>
      <c r="G2350" s="922"/>
      <c r="H2350" s="1041"/>
      <c r="I2350" s="882"/>
      <c r="J2350" s="898"/>
      <c r="K2350" s="899" t="str">
        <f>IF(G2350&lt;&gt;0,VLOOKUP(G2350,'gia dat'!$A$1:$F$144,5,0)," ")</f>
        <v xml:space="preserve"> </v>
      </c>
      <c r="L2350" s="899" t="str">
        <f>IF(G2350&lt;&gt;0,VLOOKUP(G2350,'gia dat'!$A$1:$F$144,6,0)," ")</f>
        <v xml:space="preserve"> </v>
      </c>
      <c r="M2350" s="900" t="str">
        <f t="shared" si="517"/>
        <v xml:space="preserve"> </v>
      </c>
      <c r="N2350" s="900" t="str">
        <f t="shared" si="518"/>
        <v xml:space="preserve"> </v>
      </c>
      <c r="O2350" s="908"/>
      <c r="P2350" s="1065"/>
      <c r="Q2350" s="900" t="str">
        <f>IF(O2350&lt;&gt;0,VLOOKUP(O2350,'Cây trong'!$A$2:$C$246,3,0)," ")</f>
        <v xml:space="preserve"> </v>
      </c>
      <c r="R2350" s="900" t="str">
        <f t="shared" si="527"/>
        <v xml:space="preserve"> </v>
      </c>
      <c r="S2350" s="902"/>
      <c r="T2350" s="944"/>
      <c r="U2350" s="1066"/>
      <c r="V2350" s="922"/>
      <c r="W2350" s="900" t="str">
        <f>IF(S2350&lt;&gt;0,VLOOKUP(S2350,VKT!$A$2:$G$415,7,0),"")</f>
        <v/>
      </c>
      <c r="X2350" s="900" t="str">
        <f t="shared" si="521"/>
        <v xml:space="preserve"> </v>
      </c>
      <c r="Y2350" s="985"/>
      <c r="Z2350" s="922"/>
      <c r="AA2350" s="1067"/>
      <c r="AB2350" s="922"/>
      <c r="AC2350" s="922"/>
      <c r="AD2350" s="922"/>
      <c r="AE2350" s="922"/>
      <c r="AF2350" s="1046"/>
      <c r="AG2350" s="906" t="str">
        <f>IF(AE2350&lt;&gt;0,VLOOKUP(AE2350,ODDS!$A$2:$C$13,3,0),"")</f>
        <v/>
      </c>
      <c r="AH2350" s="906" t="str">
        <f t="shared" si="528"/>
        <v xml:space="preserve"> </v>
      </c>
      <c r="AI2350" s="907" t="str">
        <f t="shared" si="515"/>
        <v xml:space="preserve"> </v>
      </c>
      <c r="AJ2350" s="1068"/>
      <c r="AK2350" s="922"/>
    </row>
    <row r="2351" spans="1:37" s="394" customFormat="1" ht="22.5" outlineLevel="2" x14ac:dyDescent="0.3">
      <c r="A2351" s="447">
        <f t="shared" si="526"/>
        <v>198</v>
      </c>
      <c r="B2351" s="893"/>
      <c r="C2351" s="908"/>
      <c r="D2351" s="1032"/>
      <c r="E2351" s="947"/>
      <c r="F2351" s="947"/>
      <c r="G2351" s="922"/>
      <c r="H2351" s="1041"/>
      <c r="I2351" s="882"/>
      <c r="J2351" s="898"/>
      <c r="K2351" s="899" t="str">
        <f>IF(G2351&lt;&gt;0,VLOOKUP(G2351,'gia dat'!$A$1:$F$144,5,0)," ")</f>
        <v xml:space="preserve"> </v>
      </c>
      <c r="L2351" s="899" t="str">
        <f>IF(G2351&lt;&gt;0,VLOOKUP(G2351,'gia dat'!$A$1:$F$144,6,0)," ")</f>
        <v xml:space="preserve"> </v>
      </c>
      <c r="M2351" s="900" t="str">
        <f t="shared" si="517"/>
        <v xml:space="preserve"> </v>
      </c>
      <c r="N2351" s="900" t="str">
        <f t="shared" si="518"/>
        <v xml:space="preserve"> </v>
      </c>
      <c r="O2351" s="908"/>
      <c r="P2351" s="1065"/>
      <c r="Q2351" s="900" t="str">
        <f>IF(O2351&lt;&gt;0,VLOOKUP(O2351,'Cây trong'!$A$2:$C$246,3,0)," ")</f>
        <v xml:space="preserve"> </v>
      </c>
      <c r="R2351" s="900" t="str">
        <f t="shared" si="527"/>
        <v xml:space="preserve"> </v>
      </c>
      <c r="S2351" s="902"/>
      <c r="T2351" s="944"/>
      <c r="U2351" s="1066"/>
      <c r="V2351" s="922"/>
      <c r="W2351" s="900" t="str">
        <f>IF(S2351&lt;&gt;0,VLOOKUP(S2351,VKT!$A$2:$G$415,7,0),"")</f>
        <v/>
      </c>
      <c r="X2351" s="900" t="str">
        <f t="shared" si="521"/>
        <v xml:space="preserve"> </v>
      </c>
      <c r="Y2351" s="985"/>
      <c r="Z2351" s="922"/>
      <c r="AA2351" s="1067"/>
      <c r="AB2351" s="922"/>
      <c r="AC2351" s="922"/>
      <c r="AD2351" s="922"/>
      <c r="AE2351" s="922"/>
      <c r="AF2351" s="1046"/>
      <c r="AG2351" s="906" t="str">
        <f>IF(AE2351&lt;&gt;0,VLOOKUP(AE2351,ODDS!$A$2:$C$13,3,0),"")</f>
        <v/>
      </c>
      <c r="AH2351" s="906" t="str">
        <f t="shared" si="528"/>
        <v xml:space="preserve"> </v>
      </c>
      <c r="AI2351" s="907" t="str">
        <f t="shared" si="515"/>
        <v xml:space="preserve"> </v>
      </c>
      <c r="AJ2351" s="922"/>
      <c r="AK2351" s="922"/>
    </row>
    <row r="2352" spans="1:37" s="394" customFormat="1" ht="22.5" outlineLevel="2" x14ac:dyDescent="0.3">
      <c r="A2352" s="447">
        <f t="shared" si="526"/>
        <v>198</v>
      </c>
      <c r="B2352" s="893"/>
      <c r="C2352" s="908"/>
      <c r="D2352" s="1032"/>
      <c r="E2352" s="947"/>
      <c r="F2352" s="947"/>
      <c r="G2352" s="922"/>
      <c r="H2352" s="1041"/>
      <c r="I2352" s="882"/>
      <c r="J2352" s="898"/>
      <c r="K2352" s="899" t="str">
        <f>IF(G2352&lt;&gt;0,VLOOKUP(G2352,'gia dat'!$A$1:$F$144,5,0)," ")</f>
        <v xml:space="preserve"> </v>
      </c>
      <c r="L2352" s="899" t="str">
        <f>IF(G2352&lt;&gt;0,VLOOKUP(G2352,'gia dat'!$A$1:$F$144,6,0)," ")</f>
        <v xml:space="preserve"> </v>
      </c>
      <c r="M2352" s="900" t="str">
        <f t="shared" si="517"/>
        <v xml:space="preserve"> </v>
      </c>
      <c r="N2352" s="900" t="str">
        <f t="shared" si="518"/>
        <v xml:space="preserve"> </v>
      </c>
      <c r="O2352" s="908"/>
      <c r="P2352" s="1065"/>
      <c r="Q2352" s="900" t="str">
        <f>IF(O2352&lt;&gt;0,VLOOKUP(O2352,'Cây trong'!$A$2:$C$246,3,0)," ")</f>
        <v xml:space="preserve"> </v>
      </c>
      <c r="R2352" s="900" t="str">
        <f t="shared" si="527"/>
        <v xml:space="preserve"> </v>
      </c>
      <c r="S2352" s="902"/>
      <c r="T2352" s="944"/>
      <c r="U2352" s="1066"/>
      <c r="V2352" s="922"/>
      <c r="W2352" s="900" t="str">
        <f>IF(S2352&lt;&gt;0,VLOOKUP(S2352,VKT!$A$2:$G$415,7,0),"")</f>
        <v/>
      </c>
      <c r="X2352" s="900" t="str">
        <f t="shared" si="521"/>
        <v xml:space="preserve"> </v>
      </c>
      <c r="Y2352" s="985"/>
      <c r="Z2352" s="922"/>
      <c r="AA2352" s="1067"/>
      <c r="AB2352" s="922"/>
      <c r="AC2352" s="922"/>
      <c r="AD2352" s="922"/>
      <c r="AE2352" s="922"/>
      <c r="AF2352" s="1046"/>
      <c r="AG2352" s="906" t="str">
        <f>IF(AE2352&lt;&gt;0,VLOOKUP(AE2352,ODDS!$A$2:$C$13,3,0),"")</f>
        <v/>
      </c>
      <c r="AH2352" s="906" t="str">
        <f t="shared" si="528"/>
        <v xml:space="preserve"> </v>
      </c>
      <c r="AI2352" s="907" t="str">
        <f t="shared" si="515"/>
        <v xml:space="preserve"> </v>
      </c>
      <c r="AJ2352" s="922"/>
      <c r="AK2352" s="922"/>
    </row>
    <row r="2353" spans="1:37" s="394" customFormat="1" ht="22.5" outlineLevel="2" x14ac:dyDescent="0.3">
      <c r="A2353" s="447">
        <f t="shared" si="526"/>
        <v>198</v>
      </c>
      <c r="B2353" s="893"/>
      <c r="C2353" s="908"/>
      <c r="D2353" s="1032"/>
      <c r="E2353" s="947"/>
      <c r="F2353" s="947"/>
      <c r="G2353" s="922"/>
      <c r="H2353" s="1041"/>
      <c r="I2353" s="882"/>
      <c r="J2353" s="898"/>
      <c r="K2353" s="899" t="str">
        <f>IF(G2353&lt;&gt;0,VLOOKUP(G2353,'gia dat'!$A$1:$F$144,5,0)," ")</f>
        <v xml:space="preserve"> </v>
      </c>
      <c r="L2353" s="899" t="str">
        <f>IF(G2353&lt;&gt;0,VLOOKUP(G2353,'gia dat'!$A$1:$F$144,6,0)," ")</f>
        <v xml:space="preserve"> </v>
      </c>
      <c r="M2353" s="900" t="str">
        <f t="shared" si="517"/>
        <v xml:space="preserve"> </v>
      </c>
      <c r="N2353" s="900" t="str">
        <f t="shared" si="518"/>
        <v xml:space="preserve"> </v>
      </c>
      <c r="O2353" s="908"/>
      <c r="P2353" s="1065"/>
      <c r="Q2353" s="900" t="str">
        <f>IF(O2353&lt;&gt;0,VLOOKUP(O2353,'Cây trong'!$A$2:$C$246,3,0)," ")</f>
        <v xml:space="preserve"> </v>
      </c>
      <c r="R2353" s="900" t="str">
        <f t="shared" si="527"/>
        <v xml:space="preserve"> </v>
      </c>
      <c r="S2353" s="902"/>
      <c r="T2353" s="944"/>
      <c r="U2353" s="1066"/>
      <c r="V2353" s="922"/>
      <c r="W2353" s="900" t="str">
        <f>IF(S2353&lt;&gt;0,VLOOKUP(S2353,VKT!$A$2:$G$415,7,0),"")</f>
        <v/>
      </c>
      <c r="X2353" s="900" t="str">
        <f t="shared" si="521"/>
        <v xml:space="preserve"> </v>
      </c>
      <c r="Y2353" s="985"/>
      <c r="Z2353" s="922"/>
      <c r="AA2353" s="1067"/>
      <c r="AB2353" s="922"/>
      <c r="AC2353" s="922"/>
      <c r="AD2353" s="922"/>
      <c r="AE2353" s="922"/>
      <c r="AF2353" s="1046"/>
      <c r="AG2353" s="906" t="str">
        <f>IF(AE2353&lt;&gt;0,VLOOKUP(AE2353,ODDS!$A$2:$C$13,3,0),"")</f>
        <v/>
      </c>
      <c r="AH2353" s="906" t="str">
        <f t="shared" si="528"/>
        <v xml:space="preserve"> </v>
      </c>
      <c r="AI2353" s="907" t="str">
        <f t="shared" si="515"/>
        <v xml:space="preserve"> </v>
      </c>
      <c r="AJ2353" s="908"/>
      <c r="AK2353" s="908"/>
    </row>
    <row r="2354" spans="1:37" s="394" customFormat="1" ht="22.5" outlineLevel="2" x14ac:dyDescent="0.3">
      <c r="A2354" s="447">
        <f t="shared" si="526"/>
        <v>198</v>
      </c>
      <c r="B2354" s="893"/>
      <c r="C2354" s="942"/>
      <c r="D2354" s="1032"/>
      <c r="E2354" s="947"/>
      <c r="F2354" s="947"/>
      <c r="G2354" s="922"/>
      <c r="H2354" s="1041"/>
      <c r="I2354" s="882"/>
      <c r="J2354" s="898"/>
      <c r="K2354" s="899" t="str">
        <f>IF(G2354&lt;&gt;0,VLOOKUP(G2354,'gia dat'!$A$1:$F$144,5,0)," ")</f>
        <v xml:space="preserve"> </v>
      </c>
      <c r="L2354" s="899" t="str">
        <f>IF(G2354&lt;&gt;0,VLOOKUP(G2354,'gia dat'!$A$1:$F$144,6,0)," ")</f>
        <v xml:space="preserve"> </v>
      </c>
      <c r="M2354" s="900" t="str">
        <f t="shared" si="517"/>
        <v xml:space="preserve"> </v>
      </c>
      <c r="N2354" s="900" t="str">
        <f t="shared" si="518"/>
        <v xml:space="preserve"> </v>
      </c>
      <c r="O2354" s="908"/>
      <c r="P2354" s="1065"/>
      <c r="Q2354" s="900" t="str">
        <f>IF(O2354&lt;&gt;0,VLOOKUP(O2354,'Cây trong'!$A$2:$C$246,3,0)," ")</f>
        <v xml:space="preserve"> </v>
      </c>
      <c r="R2354" s="900" t="str">
        <f t="shared" si="527"/>
        <v xml:space="preserve"> </v>
      </c>
      <c r="S2354" s="902"/>
      <c r="T2354" s="944"/>
      <c r="U2354" s="1066"/>
      <c r="V2354" s="922"/>
      <c r="W2354" s="900" t="str">
        <f>IF(S2354&lt;&gt;0,VLOOKUP(S2354,VKT!$A$2:$G$415,7,0),"")</f>
        <v/>
      </c>
      <c r="X2354" s="900" t="str">
        <f t="shared" si="521"/>
        <v xml:space="preserve"> </v>
      </c>
      <c r="Y2354" s="985"/>
      <c r="Z2354" s="922"/>
      <c r="AA2354" s="1067"/>
      <c r="AB2354" s="922"/>
      <c r="AC2354" s="922"/>
      <c r="AD2354" s="922"/>
      <c r="AE2354" s="922"/>
      <c r="AF2354" s="1046"/>
      <c r="AG2354" s="906" t="str">
        <f>IF(AE2354&lt;&gt;0,VLOOKUP(AE2354,ODDS!$A$2:$C$13,3,0),"")</f>
        <v/>
      </c>
      <c r="AH2354" s="906" t="str">
        <f t="shared" si="528"/>
        <v xml:space="preserve"> </v>
      </c>
      <c r="AI2354" s="907" t="str">
        <f t="shared" si="515"/>
        <v xml:space="preserve"> </v>
      </c>
      <c r="AJ2354" s="894"/>
      <c r="AK2354" s="894"/>
    </row>
    <row r="2355" spans="1:37" s="394" customFormat="1" ht="43.5" outlineLevel="1" x14ac:dyDescent="0.25">
      <c r="A2355" s="467" t="s">
        <v>2511</v>
      </c>
      <c r="B2355" s="912">
        <v>199</v>
      </c>
      <c r="C2355" s="942" t="s">
        <v>1448</v>
      </c>
      <c r="D2355" s="1038"/>
      <c r="E2355" s="977"/>
      <c r="F2355" s="977"/>
      <c r="G2355" s="914"/>
      <c r="H2355" s="1039">
        <f>SUBTOTAL(9,H2356:H2361)</f>
        <v>12</v>
      </c>
      <c r="I2355" s="915">
        <f>SUBTOTAL(9,I2356:I2361)</f>
        <v>12</v>
      </c>
      <c r="J2355" s="916"/>
      <c r="K2355" s="917"/>
      <c r="L2355" s="917"/>
      <c r="M2355" s="907">
        <f>SUBTOTAL(9,M2356:M2361)</f>
        <v>6653000</v>
      </c>
      <c r="N2355" s="907">
        <f>SUBTOTAL(9,N2356:N2361)</f>
        <v>19958000</v>
      </c>
      <c r="O2355" s="942"/>
      <c r="P2355" s="1063">
        <f>SUBTOTAL(9,P2356:P2361)</f>
        <v>0</v>
      </c>
      <c r="Q2355" s="907"/>
      <c r="R2355" s="907">
        <f>SUBTOTAL(9,R2356:R2361)</f>
        <v>0</v>
      </c>
      <c r="S2355" s="918"/>
      <c r="T2355" s="956"/>
      <c r="U2355" s="1064">
        <f>SUBTOTAL(9,U2356:U2361)</f>
        <v>0</v>
      </c>
      <c r="V2355" s="914"/>
      <c r="W2355" s="907"/>
      <c r="X2355" s="907">
        <f>SUBTOTAL(9,X2356:X2361)</f>
        <v>0</v>
      </c>
      <c r="Y2355" s="985"/>
      <c r="Z2355" s="922"/>
      <c r="AA2355" s="1067"/>
      <c r="AB2355" s="922"/>
      <c r="AC2355" s="922"/>
      <c r="AD2355" s="922"/>
      <c r="AE2355" s="914"/>
      <c r="AF2355" s="1044">
        <f>SUBTOTAL(9,AF2356:AF2361)</f>
        <v>0</v>
      </c>
      <c r="AG2355" s="921"/>
      <c r="AH2355" s="921">
        <f>SUBTOTAL(9,AH2356:AH2361)</f>
        <v>0</v>
      </c>
      <c r="AI2355" s="907">
        <f t="shared" si="515"/>
        <v>26611000</v>
      </c>
      <c r="AJ2355" s="914"/>
      <c r="AK2355" s="910"/>
    </row>
    <row r="2356" spans="1:37" s="394" customFormat="1" ht="292.5" outlineLevel="2" x14ac:dyDescent="0.3">
      <c r="A2356" s="447">
        <f>IF(B2355&lt;&gt;0,B2355,A2354)</f>
        <v>199</v>
      </c>
      <c r="B2356" s="893"/>
      <c r="C2356" s="908" t="s">
        <v>1450</v>
      </c>
      <c r="D2356" s="1032"/>
      <c r="E2356" s="947">
        <v>86</v>
      </c>
      <c r="F2356" s="947">
        <v>25</v>
      </c>
      <c r="G2356" s="922" t="s">
        <v>2420</v>
      </c>
      <c r="H2356" s="1041">
        <v>12</v>
      </c>
      <c r="I2356" s="882">
        <f t="shared" ref="I2356" si="529">IF(N2356&gt;0,H2356,"")</f>
        <v>12</v>
      </c>
      <c r="J2356" s="898"/>
      <c r="K2356" s="899">
        <f>IF(G2356&lt;&gt;0,VLOOKUP(G2356,'gia dat'!$A$1:$F$144,5,0)," ")</f>
        <v>554400</v>
      </c>
      <c r="L2356" s="899">
        <f>IF(G2356&lt;&gt;0,VLOOKUP(G2356,'gia dat'!$A$1:$F$144,6,0)," ")</f>
        <v>1663200</v>
      </c>
      <c r="M2356" s="900">
        <f t="shared" si="517"/>
        <v>6653000</v>
      </c>
      <c r="N2356" s="900">
        <f t="shared" si="518"/>
        <v>19958000</v>
      </c>
      <c r="O2356" s="908"/>
      <c r="P2356" s="1065"/>
      <c r="Q2356" s="900"/>
      <c r="R2356" s="900"/>
      <c r="S2356" s="902"/>
      <c r="T2356" s="944"/>
      <c r="U2356" s="1066"/>
      <c r="V2356" s="922"/>
      <c r="W2356" s="900"/>
      <c r="X2356" s="900"/>
      <c r="Y2356" s="985"/>
      <c r="Z2356" s="922"/>
      <c r="AA2356" s="1067"/>
      <c r="AB2356" s="922"/>
      <c r="AC2356" s="922"/>
      <c r="AD2356" s="922"/>
      <c r="AE2356" s="922"/>
      <c r="AF2356" s="1046"/>
      <c r="AG2356" s="906"/>
      <c r="AH2356" s="906"/>
      <c r="AI2356" s="907" t="str">
        <f t="shared" si="515"/>
        <v xml:space="preserve"> </v>
      </c>
      <c r="AJ2356" s="922" t="s">
        <v>2467</v>
      </c>
      <c r="AK2356" s="894"/>
    </row>
    <row r="2357" spans="1:37" s="394" customFormat="1" ht="112.5" outlineLevel="2" x14ac:dyDescent="0.3">
      <c r="A2357" s="447">
        <f>IF(B2356&lt;&gt;0,B2356,A2356)</f>
        <v>199</v>
      </c>
      <c r="B2357" s="893"/>
      <c r="C2357" s="908" t="s">
        <v>1634</v>
      </c>
      <c r="D2357" s="1032"/>
      <c r="E2357" s="947"/>
      <c r="F2357" s="947"/>
      <c r="G2357" s="922"/>
      <c r="H2357" s="1041"/>
      <c r="I2357" s="882"/>
      <c r="J2357" s="898"/>
      <c r="K2357" s="899" t="str">
        <f>IF(G2357&lt;&gt;0,VLOOKUP(G2357,'gia dat'!$A$1:$F$144,5,0)," ")</f>
        <v xml:space="preserve"> </v>
      </c>
      <c r="L2357" s="899" t="str">
        <f>IF(G2357&lt;&gt;0,VLOOKUP(G2357,'gia dat'!$A$1:$F$144,6,0)," ")</f>
        <v xml:space="preserve"> </v>
      </c>
      <c r="M2357" s="900" t="str">
        <f t="shared" si="517"/>
        <v xml:space="preserve"> </v>
      </c>
      <c r="N2357" s="900" t="str">
        <f t="shared" si="518"/>
        <v xml:space="preserve"> </v>
      </c>
      <c r="O2357" s="908"/>
      <c r="P2357" s="1065"/>
      <c r="Q2357" s="900"/>
      <c r="R2357" s="900"/>
      <c r="S2357" s="902"/>
      <c r="T2357" s="944"/>
      <c r="U2357" s="1066"/>
      <c r="V2357" s="922"/>
      <c r="W2357" s="900"/>
      <c r="X2357" s="900"/>
      <c r="Y2357" s="985"/>
      <c r="Z2357" s="922"/>
      <c r="AA2357" s="1067"/>
      <c r="AB2357" s="922"/>
      <c r="AC2357" s="922"/>
      <c r="AD2357" s="922"/>
      <c r="AE2357" s="922"/>
      <c r="AF2357" s="1046"/>
      <c r="AG2357" s="906"/>
      <c r="AH2357" s="906"/>
      <c r="AI2357" s="907" t="str">
        <f t="shared" si="515"/>
        <v xml:space="preserve"> </v>
      </c>
      <c r="AJ2357" s="894" t="s">
        <v>2074</v>
      </c>
      <c r="AK2357" s="894"/>
    </row>
    <row r="2358" spans="1:37" s="394" customFormat="1" ht="22.5" outlineLevel="2" x14ac:dyDescent="0.3">
      <c r="A2358" s="447">
        <f>IF(B2357&lt;&gt;0,B2357,A2357)</f>
        <v>199</v>
      </c>
      <c r="B2358" s="893"/>
      <c r="C2358" s="908"/>
      <c r="D2358" s="1032"/>
      <c r="E2358" s="947"/>
      <c r="F2358" s="947"/>
      <c r="G2358" s="922"/>
      <c r="H2358" s="1041"/>
      <c r="I2358" s="882"/>
      <c r="J2358" s="898"/>
      <c r="K2358" s="899" t="str">
        <f>IF(G2358&lt;&gt;0,VLOOKUP(G2358,'gia dat'!$A$1:$F$144,5,0)," ")</f>
        <v xml:space="preserve"> </v>
      </c>
      <c r="L2358" s="899" t="str">
        <f>IF(G2358&lt;&gt;0,VLOOKUP(G2358,'gia dat'!$A$1:$F$144,6,0)," ")</f>
        <v xml:space="preserve"> </v>
      </c>
      <c r="M2358" s="900" t="str">
        <f t="shared" si="517"/>
        <v xml:space="preserve"> </v>
      </c>
      <c r="N2358" s="900" t="str">
        <f t="shared" si="518"/>
        <v xml:space="preserve"> </v>
      </c>
      <c r="O2358" s="908"/>
      <c r="P2358" s="1065"/>
      <c r="Q2358" s="900"/>
      <c r="R2358" s="900"/>
      <c r="S2358" s="902"/>
      <c r="T2358" s="944"/>
      <c r="U2358" s="1066"/>
      <c r="V2358" s="922"/>
      <c r="W2358" s="900"/>
      <c r="X2358" s="900"/>
      <c r="Y2358" s="985"/>
      <c r="Z2358" s="922"/>
      <c r="AA2358" s="1067"/>
      <c r="AB2358" s="922"/>
      <c r="AC2358" s="922"/>
      <c r="AD2358" s="922"/>
      <c r="AE2358" s="922"/>
      <c r="AF2358" s="1046"/>
      <c r="AG2358" s="906"/>
      <c r="AH2358" s="906"/>
      <c r="AI2358" s="907" t="str">
        <f t="shared" si="515"/>
        <v xml:space="preserve"> </v>
      </c>
      <c r="AJ2358" s="894"/>
      <c r="AK2358" s="894"/>
    </row>
    <row r="2359" spans="1:37" s="394" customFormat="1" ht="22.5" outlineLevel="2" x14ac:dyDescent="0.3">
      <c r="A2359" s="447">
        <f>IF(B2358&lt;&gt;0,B2358,A2358)</f>
        <v>199</v>
      </c>
      <c r="B2359" s="893"/>
      <c r="C2359" s="908"/>
      <c r="D2359" s="1032"/>
      <c r="E2359" s="947"/>
      <c r="F2359" s="947"/>
      <c r="G2359" s="922"/>
      <c r="H2359" s="1041"/>
      <c r="I2359" s="882"/>
      <c r="J2359" s="898"/>
      <c r="K2359" s="899" t="str">
        <f>IF(G2359&lt;&gt;0,VLOOKUP(G2359,'gia dat'!$A$1:$F$144,5,0)," ")</f>
        <v xml:space="preserve"> </v>
      </c>
      <c r="L2359" s="899" t="str">
        <f>IF(G2359&lt;&gt;0,VLOOKUP(G2359,'gia dat'!$A$1:$F$144,6,0)," ")</f>
        <v xml:space="preserve"> </v>
      </c>
      <c r="M2359" s="900" t="str">
        <f t="shared" si="517"/>
        <v xml:space="preserve"> </v>
      </c>
      <c r="N2359" s="900" t="str">
        <f t="shared" si="518"/>
        <v xml:space="preserve"> </v>
      </c>
      <c r="O2359" s="908"/>
      <c r="P2359" s="1065"/>
      <c r="Q2359" s="900"/>
      <c r="R2359" s="900"/>
      <c r="S2359" s="902"/>
      <c r="T2359" s="944"/>
      <c r="U2359" s="1066"/>
      <c r="V2359" s="922"/>
      <c r="W2359" s="900"/>
      <c r="X2359" s="900"/>
      <c r="Y2359" s="985"/>
      <c r="Z2359" s="922"/>
      <c r="AA2359" s="1067"/>
      <c r="AB2359" s="922"/>
      <c r="AC2359" s="922"/>
      <c r="AD2359" s="922"/>
      <c r="AE2359" s="922"/>
      <c r="AF2359" s="1046"/>
      <c r="AG2359" s="906"/>
      <c r="AH2359" s="906"/>
      <c r="AI2359" s="907" t="str">
        <f t="shared" si="515"/>
        <v xml:space="preserve"> </v>
      </c>
      <c r="AJ2359" s="894"/>
      <c r="AK2359" s="894"/>
    </row>
    <row r="2360" spans="1:37" s="394" customFormat="1" ht="22.5" outlineLevel="2" x14ac:dyDescent="0.3">
      <c r="A2360" s="447">
        <f>IF(B2359&lt;&gt;0,B2359,A2359)</f>
        <v>199</v>
      </c>
      <c r="B2360" s="893"/>
      <c r="C2360" s="908"/>
      <c r="D2360" s="1032"/>
      <c r="E2360" s="947"/>
      <c r="F2360" s="947"/>
      <c r="G2360" s="922"/>
      <c r="H2360" s="1041"/>
      <c r="I2360" s="882"/>
      <c r="J2360" s="898"/>
      <c r="K2360" s="899" t="str">
        <f>IF(G2360&lt;&gt;0,VLOOKUP(G2360,'gia dat'!$A$1:$F$144,5,0)," ")</f>
        <v xml:space="preserve"> </v>
      </c>
      <c r="L2360" s="899" t="str">
        <f>IF(G2360&lt;&gt;0,VLOOKUP(G2360,'gia dat'!$A$1:$F$144,6,0)," ")</f>
        <v xml:space="preserve"> </v>
      </c>
      <c r="M2360" s="900" t="str">
        <f t="shared" si="517"/>
        <v xml:space="preserve"> </v>
      </c>
      <c r="N2360" s="900" t="str">
        <f t="shared" si="518"/>
        <v xml:space="preserve"> </v>
      </c>
      <c r="O2360" s="908"/>
      <c r="P2360" s="1065"/>
      <c r="Q2360" s="900"/>
      <c r="R2360" s="900"/>
      <c r="S2360" s="902"/>
      <c r="T2360" s="944"/>
      <c r="U2360" s="1066"/>
      <c r="V2360" s="922"/>
      <c r="W2360" s="900"/>
      <c r="X2360" s="900"/>
      <c r="Y2360" s="985"/>
      <c r="Z2360" s="922"/>
      <c r="AA2360" s="1067"/>
      <c r="AB2360" s="922"/>
      <c r="AC2360" s="922"/>
      <c r="AD2360" s="922"/>
      <c r="AE2360" s="922"/>
      <c r="AF2360" s="1046"/>
      <c r="AG2360" s="906"/>
      <c r="AH2360" s="906"/>
      <c r="AI2360" s="907" t="str">
        <f t="shared" si="515"/>
        <v xml:space="preserve"> </v>
      </c>
      <c r="AJ2360" s="894"/>
      <c r="AK2360" s="894"/>
    </row>
    <row r="2361" spans="1:37" s="394" customFormat="1" ht="22.5" outlineLevel="2" x14ac:dyDescent="0.3">
      <c r="A2361" s="447">
        <f>IF(B2360&lt;&gt;0,B2360,A2360)</f>
        <v>199</v>
      </c>
      <c r="B2361" s="893"/>
      <c r="C2361" s="942"/>
      <c r="D2361" s="1032"/>
      <c r="E2361" s="947"/>
      <c r="F2361" s="947"/>
      <c r="G2361" s="922"/>
      <c r="H2361" s="1041"/>
      <c r="I2361" s="882"/>
      <c r="J2361" s="898"/>
      <c r="K2361" s="899" t="str">
        <f>IF(G2361&lt;&gt;0,VLOOKUP(G2361,'gia dat'!$A$1:$F$144,5,0)," ")</f>
        <v xml:space="preserve"> </v>
      </c>
      <c r="L2361" s="899" t="str">
        <f>IF(G2361&lt;&gt;0,VLOOKUP(G2361,'gia dat'!$A$1:$F$144,6,0)," ")</f>
        <v xml:space="preserve"> </v>
      </c>
      <c r="M2361" s="900" t="str">
        <f t="shared" si="517"/>
        <v xml:space="preserve"> </v>
      </c>
      <c r="N2361" s="900" t="str">
        <f t="shared" si="518"/>
        <v xml:space="preserve"> </v>
      </c>
      <c r="O2361" s="908"/>
      <c r="P2361" s="1065"/>
      <c r="Q2361" s="900"/>
      <c r="R2361" s="900"/>
      <c r="S2361" s="902"/>
      <c r="T2361" s="944"/>
      <c r="U2361" s="1066"/>
      <c r="V2361" s="922"/>
      <c r="W2361" s="900"/>
      <c r="X2361" s="900"/>
      <c r="Y2361" s="985"/>
      <c r="Z2361" s="922"/>
      <c r="AA2361" s="1067"/>
      <c r="AB2361" s="922"/>
      <c r="AC2361" s="922"/>
      <c r="AD2361" s="922"/>
      <c r="AE2361" s="922"/>
      <c r="AF2361" s="1046"/>
      <c r="AG2361" s="906"/>
      <c r="AH2361" s="906"/>
      <c r="AI2361" s="907" t="str">
        <f t="shared" si="515"/>
        <v xml:space="preserve"> </v>
      </c>
      <c r="AJ2361" s="894"/>
      <c r="AK2361" s="894"/>
    </row>
    <row r="2362" spans="1:37" s="394" customFormat="1" ht="22.5" outlineLevel="1" x14ac:dyDescent="0.25">
      <c r="A2362" s="467" t="s">
        <v>2510</v>
      </c>
      <c r="B2362" s="912">
        <v>200</v>
      </c>
      <c r="C2362" s="942" t="s">
        <v>1539</v>
      </c>
      <c r="D2362" s="1038"/>
      <c r="E2362" s="977"/>
      <c r="F2362" s="977"/>
      <c r="G2362" s="914"/>
      <c r="H2362" s="1039">
        <f>SUBTOTAL(9,H2363:H2368)</f>
        <v>93.8</v>
      </c>
      <c r="I2362" s="915">
        <f>SUBTOTAL(9,I2363:I2368)</f>
        <v>57.8</v>
      </c>
      <c r="J2362" s="916"/>
      <c r="K2362" s="917"/>
      <c r="L2362" s="917"/>
      <c r="M2362" s="907">
        <f>SUBTOTAL(9,M2363:M2368)</f>
        <v>405448000</v>
      </c>
      <c r="N2362" s="907">
        <f>SUBTOTAL(9,N2363:N2368)</f>
        <v>96133000</v>
      </c>
      <c r="O2362" s="942"/>
      <c r="P2362" s="1063">
        <f>SUBTOTAL(9,P2363:P2368)</f>
        <v>0</v>
      </c>
      <c r="Q2362" s="907"/>
      <c r="R2362" s="907">
        <f>SUBTOTAL(9,R2363:R2368)</f>
        <v>0</v>
      </c>
      <c r="S2362" s="918"/>
      <c r="T2362" s="956"/>
      <c r="U2362" s="1064">
        <f>SUBTOTAL(9,U2363:U2368)</f>
        <v>0</v>
      </c>
      <c r="V2362" s="914"/>
      <c r="W2362" s="907"/>
      <c r="X2362" s="907">
        <f>SUBTOTAL(9,X2363:X2368)</f>
        <v>0</v>
      </c>
      <c r="Y2362" s="985"/>
      <c r="Z2362" s="922"/>
      <c r="AA2362" s="1067"/>
      <c r="AB2362" s="922"/>
      <c r="AC2362" s="922"/>
      <c r="AD2362" s="922"/>
      <c r="AE2362" s="914"/>
      <c r="AF2362" s="1044">
        <f>SUBTOTAL(9,AF2363:AF2368)</f>
        <v>0</v>
      </c>
      <c r="AG2362" s="921"/>
      <c r="AH2362" s="921">
        <f>SUBTOTAL(9,AH2363:AH2368)</f>
        <v>0</v>
      </c>
      <c r="AI2362" s="907">
        <f t="shared" si="515"/>
        <v>501581000</v>
      </c>
      <c r="AJ2362" s="914"/>
      <c r="AK2362" s="914"/>
    </row>
    <row r="2363" spans="1:37" s="394" customFormat="1" ht="135" outlineLevel="2" x14ac:dyDescent="0.3">
      <c r="A2363" s="447">
        <f>IF(B2362&lt;&gt;0,B2362,A2361)</f>
        <v>200</v>
      </c>
      <c r="B2363" s="893"/>
      <c r="C2363" s="908" t="s">
        <v>1541</v>
      </c>
      <c r="D2363" s="1032">
        <v>4</v>
      </c>
      <c r="E2363" s="947">
        <v>86</v>
      </c>
      <c r="F2363" s="947">
        <v>345</v>
      </c>
      <c r="G2363" s="922" t="s">
        <v>2420</v>
      </c>
      <c r="H2363" s="1041">
        <v>57.8</v>
      </c>
      <c r="I2363" s="882">
        <f t="shared" ref="I2363:I2364" si="530">IF(N2363&gt;0,H2363,"")</f>
        <v>57.8</v>
      </c>
      <c r="J2363" s="898"/>
      <c r="K2363" s="899">
        <f>IF(G2363&lt;&gt;0,VLOOKUP(G2363,'gia dat'!$A$1:$F$144,5,0)," ")</f>
        <v>554400</v>
      </c>
      <c r="L2363" s="899">
        <f>IF(G2363&lt;&gt;0,VLOOKUP(G2363,'gia dat'!$A$1:$F$144,6,0)," ")</f>
        <v>1663200</v>
      </c>
      <c r="M2363" s="900">
        <f t="shared" si="517"/>
        <v>32044000</v>
      </c>
      <c r="N2363" s="900">
        <f t="shared" si="518"/>
        <v>96133000</v>
      </c>
      <c r="O2363" s="908"/>
      <c r="P2363" s="1065"/>
      <c r="Q2363" s="900" t="str">
        <f>IF(O2363&lt;&gt;0,VLOOKUP(O2363,'Cây trong'!$A$2:$C$246,3,0)," ")</f>
        <v xml:space="preserve"> </v>
      </c>
      <c r="R2363" s="900" t="str">
        <f t="shared" si="527"/>
        <v xml:space="preserve"> </v>
      </c>
      <c r="S2363" s="902"/>
      <c r="T2363" s="944"/>
      <c r="U2363" s="1066"/>
      <c r="V2363" s="922"/>
      <c r="W2363" s="900" t="str">
        <f>IF(S2363&lt;&gt;0,VLOOKUP(S2363,VKT!$A$2:$G$415,7,0),"")</f>
        <v/>
      </c>
      <c r="X2363" s="900" t="str">
        <f t="shared" si="521"/>
        <v xml:space="preserve"> </v>
      </c>
      <c r="Y2363" s="985"/>
      <c r="Z2363" s="922"/>
      <c r="AA2363" s="1067"/>
      <c r="AB2363" s="922"/>
      <c r="AC2363" s="922"/>
      <c r="AD2363" s="922"/>
      <c r="AE2363" s="922"/>
      <c r="AF2363" s="1046"/>
      <c r="AG2363" s="906"/>
      <c r="AH2363" s="906"/>
      <c r="AI2363" s="907" t="str">
        <f t="shared" si="515"/>
        <v xml:space="preserve"> </v>
      </c>
      <c r="AJ2363" s="922" t="s">
        <v>1540</v>
      </c>
      <c r="AK2363" s="922" t="s">
        <v>2771</v>
      </c>
    </row>
    <row r="2364" spans="1:37" s="394" customFormat="1" ht="112.5" outlineLevel="2" x14ac:dyDescent="0.3">
      <c r="A2364" s="447">
        <f>IF(B2363&lt;&gt;0,B2363,A2363)</f>
        <v>200</v>
      </c>
      <c r="B2364" s="893"/>
      <c r="C2364" s="908" t="s">
        <v>1649</v>
      </c>
      <c r="D2364" s="1032"/>
      <c r="E2364" s="947">
        <v>86</v>
      </c>
      <c r="F2364" s="947">
        <v>345</v>
      </c>
      <c r="G2364" s="922" t="s">
        <v>2905</v>
      </c>
      <c r="H2364" s="1041">
        <v>36</v>
      </c>
      <c r="I2364" s="882" t="str">
        <f t="shared" si="530"/>
        <v/>
      </c>
      <c r="J2364" s="898"/>
      <c r="K2364" s="899">
        <f>IF(G2364&lt;&gt;0,VLOOKUP(G2364,'gia dat'!$A$1:$F$144,5,0)," ")</f>
        <v>10372320</v>
      </c>
      <c r="L2364" s="899">
        <f>IF(G2364&lt;&gt;0,VLOOKUP(G2364,'gia dat'!$A$1:$F$144,6,0)," ")</f>
        <v>0</v>
      </c>
      <c r="M2364" s="900">
        <f t="shared" si="517"/>
        <v>373404000</v>
      </c>
      <c r="N2364" s="900">
        <f t="shared" si="518"/>
        <v>0</v>
      </c>
      <c r="O2364" s="908"/>
      <c r="P2364" s="1065"/>
      <c r="Q2364" s="900" t="str">
        <f>IF(O2364&lt;&gt;0,VLOOKUP(O2364,'Cây trong'!$A$2:$C$246,3,0)," ")</f>
        <v xml:space="preserve"> </v>
      </c>
      <c r="R2364" s="900" t="str">
        <f t="shared" si="527"/>
        <v xml:space="preserve"> </v>
      </c>
      <c r="S2364" s="902"/>
      <c r="T2364" s="944"/>
      <c r="U2364" s="1066"/>
      <c r="V2364" s="922"/>
      <c r="W2364" s="900" t="str">
        <f>IF(S2364&lt;&gt;0,VLOOKUP(S2364,VKT!$A$2:$G$415,7,0),"")</f>
        <v/>
      </c>
      <c r="X2364" s="900" t="str">
        <f t="shared" si="521"/>
        <v xml:space="preserve"> </v>
      </c>
      <c r="Y2364" s="985"/>
      <c r="Z2364" s="922"/>
      <c r="AA2364" s="1067"/>
      <c r="AB2364" s="922"/>
      <c r="AC2364" s="922"/>
      <c r="AD2364" s="922"/>
      <c r="AE2364" s="922"/>
      <c r="AF2364" s="1046"/>
      <c r="AG2364" s="906" t="str">
        <f>IF(AE2364&lt;&gt;0,VLOOKUP(AE2364,ODDS!$A$2:$C$13,3,0),"")</f>
        <v/>
      </c>
      <c r="AH2364" s="906" t="str">
        <f t="shared" si="528"/>
        <v xml:space="preserve"> </v>
      </c>
      <c r="AI2364" s="907" t="str">
        <f t="shared" si="515"/>
        <v xml:space="preserve"> </v>
      </c>
      <c r="AJ2364" s="922" t="s">
        <v>1542</v>
      </c>
      <c r="AK2364" s="894" t="s">
        <v>2448</v>
      </c>
    </row>
    <row r="2365" spans="1:37" s="394" customFormat="1" ht="67.5" outlineLevel="2" x14ac:dyDescent="0.35">
      <c r="A2365" s="447">
        <f>IF(B2364&lt;&gt;0,B2364,A2364)</f>
        <v>200</v>
      </c>
      <c r="B2365" s="893"/>
      <c r="C2365" s="908"/>
      <c r="D2365" s="1032"/>
      <c r="E2365" s="1070"/>
      <c r="F2365" s="1070"/>
      <c r="G2365" s="1068"/>
      <c r="H2365" s="1071"/>
      <c r="I2365" s="882"/>
      <c r="J2365" s="898"/>
      <c r="K2365" s="899" t="str">
        <f>IF(G2365&lt;&gt;0,VLOOKUP(G2365,'gia dat'!$A$1:$F$144,5,0)," ")</f>
        <v xml:space="preserve"> </v>
      </c>
      <c r="L2365" s="899" t="str">
        <f>IF(G2365&lt;&gt;0,VLOOKUP(G2365,'gia dat'!$A$1:$F$144,6,0)," ")</f>
        <v xml:space="preserve"> </v>
      </c>
      <c r="M2365" s="900" t="str">
        <f t="shared" si="517"/>
        <v xml:space="preserve"> </v>
      </c>
      <c r="N2365" s="900" t="str">
        <f t="shared" si="518"/>
        <v xml:space="preserve"> </v>
      </c>
      <c r="O2365" s="908"/>
      <c r="P2365" s="1065"/>
      <c r="Q2365" s="900" t="str">
        <f>IF(O2365&lt;&gt;0,VLOOKUP(O2365,'Cây trong'!$A$2:$C$246,3,0)," ")</f>
        <v xml:space="preserve"> </v>
      </c>
      <c r="R2365" s="900" t="str">
        <f t="shared" si="527"/>
        <v xml:space="preserve"> </v>
      </c>
      <c r="S2365" s="902"/>
      <c r="T2365" s="944"/>
      <c r="U2365" s="1066"/>
      <c r="V2365" s="922"/>
      <c r="W2365" s="900" t="str">
        <f>IF(S2365&lt;&gt;0,VLOOKUP(S2365,VKT!$A$2:$G$415,7,0),"")</f>
        <v/>
      </c>
      <c r="X2365" s="900" t="str">
        <f t="shared" si="521"/>
        <v xml:space="preserve"> </v>
      </c>
      <c r="Y2365" s="985"/>
      <c r="Z2365" s="922"/>
      <c r="AA2365" s="1067"/>
      <c r="AB2365" s="922"/>
      <c r="AC2365" s="922"/>
      <c r="AD2365" s="922"/>
      <c r="AE2365" s="922"/>
      <c r="AF2365" s="1046"/>
      <c r="AG2365" s="906" t="str">
        <f>IF(AE2365&lt;&gt;0,VLOOKUP(AE2365,ODDS!$A$2:$C$13,3,0),"")</f>
        <v/>
      </c>
      <c r="AH2365" s="906" t="str">
        <f t="shared" si="528"/>
        <v xml:space="preserve"> </v>
      </c>
      <c r="AI2365" s="907" t="str">
        <f t="shared" si="515"/>
        <v xml:space="preserve"> </v>
      </c>
      <c r="AJ2365" s="922" t="s">
        <v>2074</v>
      </c>
      <c r="AK2365" s="922"/>
    </row>
    <row r="2366" spans="1:37" s="394" customFormat="1" ht="22.5" outlineLevel="2" x14ac:dyDescent="0.35">
      <c r="A2366" s="447">
        <f>IF(B2365&lt;&gt;0,B2365,A2365)</f>
        <v>200</v>
      </c>
      <c r="B2366" s="893"/>
      <c r="C2366" s="908"/>
      <c r="D2366" s="1032"/>
      <c r="E2366" s="947"/>
      <c r="F2366" s="947"/>
      <c r="G2366" s="922"/>
      <c r="H2366" s="1041"/>
      <c r="I2366" s="882"/>
      <c r="J2366" s="898"/>
      <c r="K2366" s="899" t="str">
        <f>IF(G2366&lt;&gt;0,VLOOKUP(G2366,'gia dat'!$A$1:$F$144,5,0)," ")</f>
        <v xml:space="preserve"> </v>
      </c>
      <c r="L2366" s="899" t="str">
        <f>IF(G2366&lt;&gt;0,VLOOKUP(G2366,'gia dat'!$A$1:$F$144,6,0)," ")</f>
        <v xml:space="preserve"> </v>
      </c>
      <c r="M2366" s="900" t="str">
        <f t="shared" si="517"/>
        <v xml:space="preserve"> </v>
      </c>
      <c r="N2366" s="900" t="str">
        <f t="shared" si="518"/>
        <v xml:space="preserve"> </v>
      </c>
      <c r="O2366" s="908"/>
      <c r="P2366" s="1065"/>
      <c r="Q2366" s="900" t="str">
        <f>IF(O2366&lt;&gt;0,VLOOKUP(O2366,'Cây trong'!$A$2:$C$246,3,0)," ")</f>
        <v xml:space="preserve"> </v>
      </c>
      <c r="R2366" s="900" t="str">
        <f t="shared" si="527"/>
        <v xml:space="preserve"> </v>
      </c>
      <c r="S2366" s="902"/>
      <c r="T2366" s="944"/>
      <c r="U2366" s="1066"/>
      <c r="V2366" s="922"/>
      <c r="W2366" s="900" t="str">
        <f>IF(S2366&lt;&gt;0,VLOOKUP(S2366,VKT!$A$2:$G$415,7,0),"")</f>
        <v/>
      </c>
      <c r="X2366" s="900" t="str">
        <f t="shared" si="521"/>
        <v xml:space="preserve"> </v>
      </c>
      <c r="Y2366" s="985"/>
      <c r="Z2366" s="922"/>
      <c r="AA2366" s="1067"/>
      <c r="AB2366" s="922"/>
      <c r="AC2366" s="922"/>
      <c r="AD2366" s="922"/>
      <c r="AE2366" s="922"/>
      <c r="AF2366" s="1046"/>
      <c r="AG2366" s="906" t="str">
        <f>IF(AE2366&lt;&gt;0,VLOOKUP(AE2366,ODDS!$A$2:$C$13,3,0),"")</f>
        <v/>
      </c>
      <c r="AH2366" s="906" t="str">
        <f t="shared" si="528"/>
        <v xml:space="preserve"> </v>
      </c>
      <c r="AI2366" s="907" t="str">
        <f t="shared" si="515"/>
        <v xml:space="preserve"> </v>
      </c>
      <c r="AJ2366" s="1068"/>
      <c r="AK2366" s="922"/>
    </row>
    <row r="2367" spans="1:37" s="394" customFormat="1" ht="22.5" outlineLevel="2" x14ac:dyDescent="0.35">
      <c r="A2367" s="447">
        <f>IF(B2366&lt;&gt;0,B2366,A2366)</f>
        <v>200</v>
      </c>
      <c r="B2367" s="893"/>
      <c r="C2367" s="908"/>
      <c r="D2367" s="1032"/>
      <c r="E2367" s="947"/>
      <c r="F2367" s="947"/>
      <c r="G2367" s="922"/>
      <c r="H2367" s="1041"/>
      <c r="I2367" s="882"/>
      <c r="J2367" s="898"/>
      <c r="K2367" s="899" t="str">
        <f>IF(G2367&lt;&gt;0,VLOOKUP(G2367,'gia dat'!$A$1:$F$144,5,0)," ")</f>
        <v xml:space="preserve"> </v>
      </c>
      <c r="L2367" s="899" t="str">
        <f>IF(G2367&lt;&gt;0,VLOOKUP(G2367,'gia dat'!$A$1:$F$144,6,0)," ")</f>
        <v xml:space="preserve"> </v>
      </c>
      <c r="M2367" s="900" t="str">
        <f t="shared" si="517"/>
        <v xml:space="preserve"> </v>
      </c>
      <c r="N2367" s="900" t="str">
        <f t="shared" si="518"/>
        <v xml:space="preserve"> </v>
      </c>
      <c r="O2367" s="908"/>
      <c r="P2367" s="1065"/>
      <c r="Q2367" s="900" t="str">
        <f>IF(O2367&lt;&gt;0,VLOOKUP(O2367,'Cây trong'!$A$2:$C$246,3,0)," ")</f>
        <v xml:space="preserve"> </v>
      </c>
      <c r="R2367" s="900" t="str">
        <f t="shared" si="527"/>
        <v xml:space="preserve"> </v>
      </c>
      <c r="S2367" s="902"/>
      <c r="T2367" s="944"/>
      <c r="U2367" s="1066"/>
      <c r="V2367" s="922"/>
      <c r="W2367" s="900" t="str">
        <f>IF(S2367&lt;&gt;0,VLOOKUP(S2367,VKT!$A$2:$G$415,7,0),"")</f>
        <v/>
      </c>
      <c r="X2367" s="900" t="str">
        <f t="shared" si="521"/>
        <v xml:space="preserve"> </v>
      </c>
      <c r="Y2367" s="985"/>
      <c r="Z2367" s="922"/>
      <c r="AA2367" s="1067"/>
      <c r="AB2367" s="922"/>
      <c r="AC2367" s="922"/>
      <c r="AD2367" s="922"/>
      <c r="AE2367" s="922"/>
      <c r="AF2367" s="1046"/>
      <c r="AG2367" s="906" t="str">
        <f>IF(AE2367&lt;&gt;0,VLOOKUP(AE2367,ODDS!$A$2:$C$13,3,0),"")</f>
        <v/>
      </c>
      <c r="AH2367" s="906" t="str">
        <f t="shared" si="528"/>
        <v xml:space="preserve"> </v>
      </c>
      <c r="AI2367" s="907" t="str">
        <f t="shared" si="515"/>
        <v xml:space="preserve"> </v>
      </c>
      <c r="AJ2367" s="1068"/>
      <c r="AK2367" s="922"/>
    </row>
    <row r="2368" spans="1:37" s="394" customFormat="1" ht="22.5" outlineLevel="2" x14ac:dyDescent="0.3">
      <c r="A2368" s="447">
        <f>IF(B2367&lt;&gt;0,B2367,A2367)</f>
        <v>200</v>
      </c>
      <c r="B2368" s="893"/>
      <c r="C2368" s="942"/>
      <c r="D2368" s="1032"/>
      <c r="E2368" s="947"/>
      <c r="F2368" s="947"/>
      <c r="G2368" s="922"/>
      <c r="H2368" s="1041"/>
      <c r="I2368" s="882"/>
      <c r="J2368" s="898"/>
      <c r="K2368" s="899" t="str">
        <f>IF(G2368&lt;&gt;0,VLOOKUP(G2368,'gia dat'!$A$1:$F$144,5,0)," ")</f>
        <v xml:space="preserve"> </v>
      </c>
      <c r="L2368" s="899" t="str">
        <f>IF(G2368&lt;&gt;0,VLOOKUP(G2368,'gia dat'!$A$1:$F$144,6,0)," ")</f>
        <v xml:space="preserve"> </v>
      </c>
      <c r="M2368" s="900" t="str">
        <f t="shared" si="517"/>
        <v xml:space="preserve"> </v>
      </c>
      <c r="N2368" s="900" t="str">
        <f t="shared" si="518"/>
        <v xml:space="preserve"> </v>
      </c>
      <c r="O2368" s="908"/>
      <c r="P2368" s="1065"/>
      <c r="Q2368" s="900" t="str">
        <f>IF(O2368&lt;&gt;0,VLOOKUP(O2368,'Cây trong'!$A$2:$C$246,3,0)," ")</f>
        <v xml:space="preserve"> </v>
      </c>
      <c r="R2368" s="900" t="str">
        <f t="shared" si="527"/>
        <v xml:space="preserve"> </v>
      </c>
      <c r="S2368" s="902"/>
      <c r="T2368" s="944"/>
      <c r="U2368" s="1066"/>
      <c r="V2368" s="922"/>
      <c r="W2368" s="900" t="str">
        <f>IF(S2368&lt;&gt;0,VLOOKUP(S2368,VKT!$A$2:$G$415,7,0),"")</f>
        <v/>
      </c>
      <c r="X2368" s="900" t="str">
        <f t="shared" si="521"/>
        <v xml:space="preserve"> </v>
      </c>
      <c r="Y2368" s="985"/>
      <c r="Z2368" s="922"/>
      <c r="AA2368" s="1067"/>
      <c r="AB2368" s="922"/>
      <c r="AC2368" s="922"/>
      <c r="AD2368" s="922"/>
      <c r="AE2368" s="922"/>
      <c r="AF2368" s="1046"/>
      <c r="AG2368" s="906" t="str">
        <f>IF(AE2368&lt;&gt;0,VLOOKUP(AE2368,ODDS!$A$2:$C$13,3,0),"")</f>
        <v/>
      </c>
      <c r="AH2368" s="906" t="str">
        <f t="shared" si="528"/>
        <v xml:space="preserve"> </v>
      </c>
      <c r="AI2368" s="907" t="str">
        <f t="shared" si="515"/>
        <v xml:space="preserve"> </v>
      </c>
      <c r="AJ2368" s="922"/>
      <c r="AK2368" s="922"/>
    </row>
    <row r="2369" spans="1:39" s="396" customFormat="1" ht="43.5" outlineLevel="1" x14ac:dyDescent="0.25">
      <c r="A2369" s="467" t="s">
        <v>2509</v>
      </c>
      <c r="B2369" s="912">
        <v>201</v>
      </c>
      <c r="C2369" s="942" t="s">
        <v>1544</v>
      </c>
      <c r="D2369" s="1038"/>
      <c r="E2369" s="977"/>
      <c r="F2369" s="977"/>
      <c r="G2369" s="914"/>
      <c r="H2369" s="1039">
        <f>SUBTOTAL(9,H2370:H2374)</f>
        <v>20.6</v>
      </c>
      <c r="I2369" s="915">
        <f>SUBTOTAL(9,I2370:I2375)</f>
        <v>0</v>
      </c>
      <c r="J2369" s="916"/>
      <c r="K2369" s="917"/>
      <c r="L2369" s="917"/>
      <c r="M2369" s="907">
        <f>SUBTOTAL(9,M2370:M2374)</f>
        <v>11421000</v>
      </c>
      <c r="N2369" s="907">
        <f>SUBTOTAL(9,N2370:N2374)</f>
        <v>0</v>
      </c>
      <c r="O2369" s="942"/>
      <c r="P2369" s="1063">
        <f>SUBTOTAL(9,P2370:P2374)</f>
        <v>0</v>
      </c>
      <c r="Q2369" s="907"/>
      <c r="R2369" s="907">
        <f>SUBTOTAL(9,R2370:R2374)</f>
        <v>0</v>
      </c>
      <c r="S2369" s="918"/>
      <c r="T2369" s="956"/>
      <c r="U2369" s="1064">
        <f>SUBTOTAL(9,U2370:U2374)</f>
        <v>30.8</v>
      </c>
      <c r="V2369" s="914"/>
      <c r="W2369" s="907"/>
      <c r="X2369" s="907">
        <f>SUBTOTAL(9,X2370:X2374)</f>
        <v>8774000</v>
      </c>
      <c r="Y2369" s="985"/>
      <c r="Z2369" s="922"/>
      <c r="AA2369" s="1067"/>
      <c r="AB2369" s="922"/>
      <c r="AC2369" s="922"/>
      <c r="AD2369" s="922"/>
      <c r="AE2369" s="914"/>
      <c r="AF2369" s="1044">
        <f>SUBTOTAL(9,AF2370:AF2374)</f>
        <v>0</v>
      </c>
      <c r="AG2369" s="921"/>
      <c r="AH2369" s="921">
        <f>SUBTOTAL(9,AH2370:AH2374)</f>
        <v>0</v>
      </c>
      <c r="AI2369" s="907">
        <f t="shared" si="515"/>
        <v>20195000</v>
      </c>
      <c r="AJ2369" s="914"/>
      <c r="AK2369" s="914"/>
      <c r="AM2369" s="468"/>
    </row>
    <row r="2370" spans="1:39" s="396" customFormat="1" ht="135" outlineLevel="2" x14ac:dyDescent="0.3">
      <c r="A2370" s="447">
        <f>IF(B2369&lt;&gt;0,B2369,A2368)</f>
        <v>201</v>
      </c>
      <c r="B2370" s="893"/>
      <c r="C2370" s="908" t="s">
        <v>1546</v>
      </c>
      <c r="D2370" s="1032"/>
      <c r="E2370" s="947">
        <v>86</v>
      </c>
      <c r="F2370" s="947">
        <v>414</v>
      </c>
      <c r="G2370" s="922" t="s">
        <v>2895</v>
      </c>
      <c r="H2370" s="1041">
        <v>20.6</v>
      </c>
      <c r="I2370" s="882" t="str">
        <f t="shared" ref="I2370" si="531">IF(N2370&gt;0,H2370,"")</f>
        <v/>
      </c>
      <c r="J2370" s="898"/>
      <c r="K2370" s="899">
        <f>IF(G2370&lt;&gt;0,VLOOKUP(G2370,'gia dat'!$A$1:$F$144,5,0)," ")</f>
        <v>554400</v>
      </c>
      <c r="L2370" s="899">
        <f>IF(G2370&lt;&gt;0,VLOOKUP(G2370,'gia dat'!$A$1:$F$144,6,0)," ")</f>
        <v>0</v>
      </c>
      <c r="M2370" s="900">
        <f t="shared" si="517"/>
        <v>11421000</v>
      </c>
      <c r="N2370" s="900">
        <f t="shared" si="518"/>
        <v>0</v>
      </c>
      <c r="O2370" s="908"/>
      <c r="P2370" s="1065"/>
      <c r="Q2370" s="900" t="str">
        <f>IF(O2370&lt;&gt;0,VLOOKUP(O2370,'Cây trong'!$A$2:$C$246,3,0)," ")</f>
        <v xml:space="preserve"> </v>
      </c>
      <c r="R2370" s="900" t="str">
        <f t="shared" si="527"/>
        <v xml:space="preserve"> </v>
      </c>
      <c r="S2370" s="902" t="s">
        <v>2148</v>
      </c>
      <c r="T2370" s="944" t="s">
        <v>1133</v>
      </c>
      <c r="U2370" s="1066">
        <v>21</v>
      </c>
      <c r="V2370" s="922"/>
      <c r="W2370" s="900">
        <f>IF(S2370&lt;&gt;0,VLOOKUP(S2370,VKT!$A$2:$G$415,7,0),"")</f>
        <v>211811</v>
      </c>
      <c r="X2370" s="900">
        <f t="shared" si="521"/>
        <v>4448000</v>
      </c>
      <c r="Y2370" s="985"/>
      <c r="Z2370" s="922"/>
      <c r="AA2370" s="1067"/>
      <c r="AB2370" s="922"/>
      <c r="AC2370" s="922"/>
      <c r="AD2370" s="922"/>
      <c r="AE2370" s="922"/>
      <c r="AF2370" s="1046"/>
      <c r="AG2370" s="906" t="str">
        <f>IF(AE2370&lt;&gt;0,VLOOKUP(AE2370,ODDS!$A$2:$C$13,3,0),"")</f>
        <v/>
      </c>
      <c r="AH2370" s="906"/>
      <c r="AI2370" s="907" t="str">
        <f t="shared" si="515"/>
        <v xml:space="preserve"> </v>
      </c>
      <c r="AJ2370" s="922" t="s">
        <v>1545</v>
      </c>
      <c r="AK2370" s="922" t="s">
        <v>2771</v>
      </c>
      <c r="AM2370" s="380" t="s">
        <v>2160</v>
      </c>
    </row>
    <row r="2371" spans="1:39" s="394" customFormat="1" ht="112.5" outlineLevel="2" x14ac:dyDescent="0.3">
      <c r="A2371" s="447">
        <f>IF(B2370&lt;&gt;0,B2370,A2370)</f>
        <v>201</v>
      </c>
      <c r="B2371" s="893"/>
      <c r="C2371" s="908" t="s">
        <v>1650</v>
      </c>
      <c r="D2371" s="1032"/>
      <c r="E2371" s="947"/>
      <c r="F2371" s="947"/>
      <c r="G2371" s="922"/>
      <c r="H2371" s="1041"/>
      <c r="I2371" s="882"/>
      <c r="J2371" s="898"/>
      <c r="K2371" s="899" t="str">
        <f>IF(G2371&lt;&gt;0,VLOOKUP(G2371,'gia dat'!$A$1:$F$144,5,0)," ")</f>
        <v xml:space="preserve"> </v>
      </c>
      <c r="L2371" s="899" t="str">
        <f>IF(G2371&lt;&gt;0,VLOOKUP(G2371,'gia dat'!$A$1:$F$144,6,0)," ")</f>
        <v xml:space="preserve"> </v>
      </c>
      <c r="M2371" s="900" t="str">
        <f t="shared" si="517"/>
        <v xml:space="preserve"> </v>
      </c>
      <c r="N2371" s="900" t="str">
        <f t="shared" si="518"/>
        <v xml:space="preserve"> </v>
      </c>
      <c r="O2371" s="908"/>
      <c r="P2371" s="1065"/>
      <c r="Q2371" s="900" t="str">
        <f>IF(O2371&lt;&gt;0,VLOOKUP(O2371,'Cây trong'!$A$2:$C$246,3,0)," ")</f>
        <v xml:space="preserve"> </v>
      </c>
      <c r="R2371" s="900" t="str">
        <f t="shared" si="527"/>
        <v xml:space="preserve"> </v>
      </c>
      <c r="S2371" s="902" t="s">
        <v>2402</v>
      </c>
      <c r="T2371" s="944" t="s">
        <v>1133</v>
      </c>
      <c r="U2371" s="1066">
        <v>9.8000000000000007</v>
      </c>
      <c r="V2371" s="922"/>
      <c r="W2371" s="900">
        <f>IF(S2371&lt;&gt;0,VLOOKUP(S2371,VKT!$A$2:$G$415,7,0),"")</f>
        <v>441467</v>
      </c>
      <c r="X2371" s="900">
        <f t="shared" si="521"/>
        <v>4326000</v>
      </c>
      <c r="Y2371" s="985"/>
      <c r="Z2371" s="922"/>
      <c r="AA2371" s="1067"/>
      <c r="AB2371" s="922"/>
      <c r="AC2371" s="922"/>
      <c r="AD2371" s="922"/>
      <c r="AE2371" s="922"/>
      <c r="AF2371" s="1046"/>
      <c r="AG2371" s="906" t="str">
        <f>IF(AE2371&lt;&gt;0,VLOOKUP(AE2371,ODDS!$A$2:$C$13,3,0),"")</f>
        <v/>
      </c>
      <c r="AH2371" s="906" t="str">
        <f t="shared" si="528"/>
        <v xml:space="preserve"> </v>
      </c>
      <c r="AI2371" s="907" t="str">
        <f t="shared" si="515"/>
        <v xml:space="preserve"> </v>
      </c>
      <c r="AJ2371" s="922" t="s">
        <v>1548</v>
      </c>
      <c r="AK2371" s="894" t="s">
        <v>2450</v>
      </c>
    </row>
    <row r="2372" spans="1:39" s="394" customFormat="1" ht="112.5" outlineLevel="2" x14ac:dyDescent="0.3">
      <c r="A2372" s="447">
        <f>IF(B2371&lt;&gt;0,B2371,A2371)</f>
        <v>201</v>
      </c>
      <c r="B2372" s="893"/>
      <c r="C2372" s="908"/>
      <c r="D2372" s="1032"/>
      <c r="E2372" s="947"/>
      <c r="F2372" s="947"/>
      <c r="G2372" s="922"/>
      <c r="H2372" s="1041"/>
      <c r="I2372" s="882"/>
      <c r="J2372" s="898"/>
      <c r="K2372" s="899" t="str">
        <f>IF(G2372&lt;&gt;0,VLOOKUP(G2372,'gia dat'!$A$1:$F$144,5,0)," ")</f>
        <v xml:space="preserve"> </v>
      </c>
      <c r="L2372" s="899" t="str">
        <f>IF(G2372&lt;&gt;0,VLOOKUP(G2372,'gia dat'!$A$1:$F$144,6,0)," ")</f>
        <v xml:space="preserve"> </v>
      </c>
      <c r="M2372" s="900" t="str">
        <f t="shared" si="517"/>
        <v xml:space="preserve"> </v>
      </c>
      <c r="N2372" s="900" t="str">
        <f t="shared" si="518"/>
        <v xml:space="preserve"> </v>
      </c>
      <c r="O2372" s="908"/>
      <c r="P2372" s="1065"/>
      <c r="Q2372" s="900" t="str">
        <f>IF(O2372&lt;&gt;0,VLOOKUP(O2372,'Cây trong'!$A$2:$C$246,3,0)," ")</f>
        <v xml:space="preserve"> </v>
      </c>
      <c r="R2372" s="900" t="str">
        <f t="shared" si="527"/>
        <v xml:space="preserve"> </v>
      </c>
      <c r="S2372" s="902"/>
      <c r="T2372" s="944"/>
      <c r="U2372" s="1066"/>
      <c r="V2372" s="922"/>
      <c r="W2372" s="900" t="str">
        <f>IF(S2372&lt;&gt;0,VLOOKUP(S2372,VKT!$A$2:$G$415,7,0),"")</f>
        <v/>
      </c>
      <c r="X2372" s="900" t="str">
        <f t="shared" si="521"/>
        <v xml:space="preserve"> </v>
      </c>
      <c r="Y2372" s="985"/>
      <c r="Z2372" s="922"/>
      <c r="AA2372" s="1067"/>
      <c r="AB2372" s="922"/>
      <c r="AC2372" s="922"/>
      <c r="AD2372" s="922"/>
      <c r="AE2372" s="922"/>
      <c r="AF2372" s="1046"/>
      <c r="AG2372" s="906" t="str">
        <f>IF(AE2372&lt;&gt;0,VLOOKUP(AE2372,ODDS!$A$2:$C$13,3,0),"")</f>
        <v/>
      </c>
      <c r="AH2372" s="906" t="str">
        <f t="shared" si="528"/>
        <v xml:space="preserve"> </v>
      </c>
      <c r="AI2372" s="907" t="str">
        <f t="shared" si="515"/>
        <v xml:space="preserve"> </v>
      </c>
      <c r="AJ2372" s="922"/>
      <c r="AK2372" s="922" t="s">
        <v>2800</v>
      </c>
    </row>
    <row r="2373" spans="1:39" s="394" customFormat="1" ht="22.5" outlineLevel="2" x14ac:dyDescent="0.35">
      <c r="A2373" s="447">
        <f>IF(B2372&lt;&gt;0,B2372,A2372)</f>
        <v>201</v>
      </c>
      <c r="B2373" s="893"/>
      <c r="C2373" s="908"/>
      <c r="D2373" s="1032"/>
      <c r="E2373" s="947"/>
      <c r="F2373" s="947"/>
      <c r="G2373" s="922"/>
      <c r="H2373" s="1041"/>
      <c r="I2373" s="882"/>
      <c r="J2373" s="898"/>
      <c r="K2373" s="899" t="str">
        <f>IF(G2373&lt;&gt;0,VLOOKUP(G2373,'gia dat'!$A$1:$F$144,5,0)," ")</f>
        <v xml:space="preserve"> </v>
      </c>
      <c r="L2373" s="899" t="str">
        <f>IF(G2373&lt;&gt;0,VLOOKUP(G2373,'gia dat'!$A$1:$F$144,6,0)," ")</f>
        <v xml:space="preserve"> </v>
      </c>
      <c r="M2373" s="900" t="str">
        <f t="shared" si="517"/>
        <v xml:space="preserve"> </v>
      </c>
      <c r="N2373" s="900" t="str">
        <f t="shared" si="518"/>
        <v xml:space="preserve"> </v>
      </c>
      <c r="O2373" s="908"/>
      <c r="P2373" s="1065"/>
      <c r="Q2373" s="900" t="str">
        <f>IF(O2373&lt;&gt;0,VLOOKUP(O2373,'Cây trong'!$A$2:$C$246,3,0)," ")</f>
        <v xml:space="preserve"> </v>
      </c>
      <c r="R2373" s="900" t="str">
        <f t="shared" si="527"/>
        <v xml:space="preserve"> </v>
      </c>
      <c r="S2373" s="902"/>
      <c r="T2373" s="944"/>
      <c r="U2373" s="1066"/>
      <c r="V2373" s="922"/>
      <c r="W2373" s="900" t="str">
        <f>IF(S2373&lt;&gt;0,VLOOKUP(S2373,VKT!$A$2:$G$415,7,0),"")</f>
        <v/>
      </c>
      <c r="X2373" s="900" t="str">
        <f t="shared" si="521"/>
        <v xml:space="preserve"> </v>
      </c>
      <c r="Y2373" s="985"/>
      <c r="Z2373" s="922"/>
      <c r="AA2373" s="1067"/>
      <c r="AB2373" s="922"/>
      <c r="AC2373" s="922"/>
      <c r="AD2373" s="922"/>
      <c r="AE2373" s="922"/>
      <c r="AF2373" s="1046"/>
      <c r="AG2373" s="906" t="str">
        <f>IF(AE2373&lt;&gt;0,VLOOKUP(AE2373,ODDS!$A$2:$C$13,3,0),"")</f>
        <v/>
      </c>
      <c r="AH2373" s="906" t="str">
        <f t="shared" si="528"/>
        <v xml:space="preserve"> </v>
      </c>
      <c r="AI2373" s="907" t="str">
        <f t="shared" si="515"/>
        <v xml:space="preserve"> </v>
      </c>
      <c r="AJ2373" s="1068"/>
      <c r="AK2373" s="922"/>
    </row>
    <row r="2374" spans="1:39" s="394" customFormat="1" ht="22.5" outlineLevel="2" x14ac:dyDescent="0.3">
      <c r="A2374" s="447">
        <f>IF(B2373&lt;&gt;0,B2373,A2373)</f>
        <v>201</v>
      </c>
      <c r="B2374" s="893"/>
      <c r="C2374" s="942"/>
      <c r="D2374" s="1032"/>
      <c r="E2374" s="947"/>
      <c r="F2374" s="947"/>
      <c r="G2374" s="922"/>
      <c r="H2374" s="1041"/>
      <c r="I2374" s="882"/>
      <c r="J2374" s="898"/>
      <c r="K2374" s="899" t="str">
        <f>IF(G2374&lt;&gt;0,VLOOKUP(G2374,'gia dat'!$A$1:$F$144,5,0)," ")</f>
        <v xml:space="preserve"> </v>
      </c>
      <c r="L2374" s="899" t="str">
        <f>IF(G2374&lt;&gt;0,VLOOKUP(G2374,'gia dat'!$A$1:$F$144,6,0)," ")</f>
        <v xml:space="preserve"> </v>
      </c>
      <c r="M2374" s="900" t="str">
        <f t="shared" si="517"/>
        <v xml:space="preserve"> </v>
      </c>
      <c r="N2374" s="900" t="str">
        <f t="shared" si="518"/>
        <v xml:space="preserve"> </v>
      </c>
      <c r="O2374" s="908"/>
      <c r="P2374" s="1065"/>
      <c r="Q2374" s="900" t="str">
        <f>IF(O2374&lt;&gt;0,VLOOKUP(O2374,'Cây trong'!$A$2:$C$246,3,0)," ")</f>
        <v xml:space="preserve"> </v>
      </c>
      <c r="R2374" s="900" t="str">
        <f t="shared" si="527"/>
        <v xml:space="preserve"> </v>
      </c>
      <c r="S2374" s="902"/>
      <c r="T2374" s="944"/>
      <c r="U2374" s="1066"/>
      <c r="V2374" s="922"/>
      <c r="W2374" s="900" t="str">
        <f>IF(S2374&lt;&gt;0,VLOOKUP(S2374,VKT!$A$2:$G$415,7,0),"")</f>
        <v/>
      </c>
      <c r="X2374" s="900" t="str">
        <f t="shared" si="521"/>
        <v xml:space="preserve"> </v>
      </c>
      <c r="Y2374" s="985"/>
      <c r="Z2374" s="922"/>
      <c r="AA2374" s="1067"/>
      <c r="AB2374" s="922"/>
      <c r="AC2374" s="922"/>
      <c r="AD2374" s="922"/>
      <c r="AE2374" s="922"/>
      <c r="AF2374" s="1046"/>
      <c r="AG2374" s="906" t="str">
        <f>IF(AE2374&lt;&gt;0,VLOOKUP(AE2374,ODDS!$A$2:$C$13,3,0),"")</f>
        <v/>
      </c>
      <c r="AH2374" s="906" t="str">
        <f t="shared" si="528"/>
        <v xml:space="preserve"> </v>
      </c>
      <c r="AI2374" s="907" t="str">
        <f t="shared" si="515"/>
        <v xml:space="preserve"> </v>
      </c>
      <c r="AJ2374" s="922"/>
      <c r="AK2374" s="922"/>
    </row>
    <row r="2375" spans="1:39" s="394" customFormat="1" ht="43.5" outlineLevel="1" x14ac:dyDescent="0.25">
      <c r="A2375" s="467" t="s">
        <v>2508</v>
      </c>
      <c r="B2375" s="912">
        <v>202</v>
      </c>
      <c r="C2375" s="942" t="s">
        <v>1549</v>
      </c>
      <c r="D2375" s="1038"/>
      <c r="E2375" s="977"/>
      <c r="F2375" s="977"/>
      <c r="G2375" s="914"/>
      <c r="H2375" s="1039">
        <f>SUBTOTAL(9,H2376:H2380)</f>
        <v>95</v>
      </c>
      <c r="I2375" s="915">
        <f>SUBTOTAL(9,I2376:I2381)</f>
        <v>95</v>
      </c>
      <c r="J2375" s="916"/>
      <c r="K2375" s="917"/>
      <c r="L2375" s="917"/>
      <c r="M2375" s="907">
        <f>SUBTOTAL(9,M2376:M2380)</f>
        <v>44232000</v>
      </c>
      <c r="N2375" s="907">
        <f>SUBTOTAL(9,N2376:N2380)</f>
        <v>132696000</v>
      </c>
      <c r="O2375" s="942"/>
      <c r="P2375" s="1063">
        <f>SUBTOTAL(9,P2376:P2380)</f>
        <v>0</v>
      </c>
      <c r="Q2375" s="907"/>
      <c r="R2375" s="907">
        <f>SUBTOTAL(9,R2376:R2380)</f>
        <v>0</v>
      </c>
      <c r="S2375" s="918"/>
      <c r="T2375" s="956"/>
      <c r="U2375" s="1064">
        <f>SUBTOTAL(9,U2376:U2380)</f>
        <v>0</v>
      </c>
      <c r="V2375" s="914"/>
      <c r="W2375" s="907"/>
      <c r="X2375" s="907">
        <f>SUBTOTAL(9,X2376:X2380)</f>
        <v>0</v>
      </c>
      <c r="Y2375" s="985"/>
      <c r="Z2375" s="922"/>
      <c r="AA2375" s="1067"/>
      <c r="AB2375" s="922"/>
      <c r="AC2375" s="922"/>
      <c r="AD2375" s="922"/>
      <c r="AE2375" s="914"/>
      <c r="AF2375" s="1044">
        <f>SUBTOTAL(9,AF2376:AF2380)</f>
        <v>0</v>
      </c>
      <c r="AG2375" s="921"/>
      <c r="AH2375" s="921">
        <f>SUBTOTAL(9,AH2376:AH2380)</f>
        <v>0</v>
      </c>
      <c r="AI2375" s="907">
        <f t="shared" si="515"/>
        <v>176928000</v>
      </c>
      <c r="AJ2375" s="914"/>
      <c r="AK2375" s="914"/>
    </row>
    <row r="2376" spans="1:39" s="394" customFormat="1" ht="135" outlineLevel="2" x14ac:dyDescent="0.3">
      <c r="A2376" s="447">
        <f>IF(B2375&lt;&gt;0,B2375,A2374)</f>
        <v>202</v>
      </c>
      <c r="B2376" s="893"/>
      <c r="C2376" s="908" t="s">
        <v>1551</v>
      </c>
      <c r="D2376" s="1032">
        <v>4</v>
      </c>
      <c r="E2376" s="947">
        <v>86</v>
      </c>
      <c r="F2376" s="947">
        <v>225</v>
      </c>
      <c r="G2376" s="922" t="s">
        <v>2868</v>
      </c>
      <c r="H2376" s="1041">
        <v>95</v>
      </c>
      <c r="I2376" s="882">
        <f t="shared" ref="I2376" si="532">IF(N2376&gt;0,H2376,"")</f>
        <v>95</v>
      </c>
      <c r="J2376" s="898"/>
      <c r="K2376" s="899">
        <f>IF(G2376&lt;&gt;0,VLOOKUP(G2376,'gia dat'!$A$1:$F$144,5,0)," ")</f>
        <v>465600</v>
      </c>
      <c r="L2376" s="899">
        <f>IF(G2376&lt;&gt;0,VLOOKUP(G2376,'gia dat'!$A$1:$F$144,6,0)," ")</f>
        <v>1396800</v>
      </c>
      <c r="M2376" s="900">
        <f t="shared" si="517"/>
        <v>44232000</v>
      </c>
      <c r="N2376" s="900">
        <f t="shared" si="518"/>
        <v>132696000</v>
      </c>
      <c r="O2376" s="908"/>
      <c r="P2376" s="1065"/>
      <c r="Q2376" s="900" t="str">
        <f>IF(O2376&lt;&gt;0,VLOOKUP(O2376,'Cây trong'!$A$2:$C$246,3,0)," ")</f>
        <v xml:space="preserve"> </v>
      </c>
      <c r="R2376" s="900" t="str">
        <f t="shared" si="527"/>
        <v xml:space="preserve"> </v>
      </c>
      <c r="S2376" s="902"/>
      <c r="T2376" s="944"/>
      <c r="U2376" s="1066"/>
      <c r="V2376" s="922"/>
      <c r="W2376" s="900" t="str">
        <f>IF(S2376&lt;&gt;0,VLOOKUP(S2376,VKT!$A$2:$G$415,7,0),"")</f>
        <v/>
      </c>
      <c r="X2376" s="900" t="str">
        <f t="shared" si="521"/>
        <v xml:space="preserve"> </v>
      </c>
      <c r="Y2376" s="985"/>
      <c r="Z2376" s="922"/>
      <c r="AA2376" s="1067"/>
      <c r="AB2376" s="922"/>
      <c r="AC2376" s="922"/>
      <c r="AD2376" s="922"/>
      <c r="AE2376" s="922"/>
      <c r="AF2376" s="1046"/>
      <c r="AG2376" s="906" t="str">
        <f>IF(AE2376&lt;&gt;0,VLOOKUP(AE2376,ODDS!$A$2:$C$13,3,0),"")</f>
        <v/>
      </c>
      <c r="AH2376" s="906"/>
      <c r="AI2376" s="907" t="str">
        <f t="shared" si="515"/>
        <v xml:space="preserve"> </v>
      </c>
      <c r="AJ2376" s="922" t="s">
        <v>1550</v>
      </c>
      <c r="AK2376" s="922" t="s">
        <v>2771</v>
      </c>
    </row>
    <row r="2377" spans="1:39" s="394" customFormat="1" ht="90" outlineLevel="2" x14ac:dyDescent="0.3">
      <c r="A2377" s="447">
        <f>IF(B2376&lt;&gt;0,B2376,A2376)</f>
        <v>202</v>
      </c>
      <c r="B2377" s="893"/>
      <c r="C2377" s="908" t="s">
        <v>1651</v>
      </c>
      <c r="D2377" s="1032"/>
      <c r="E2377" s="947"/>
      <c r="F2377" s="947"/>
      <c r="G2377" s="922"/>
      <c r="H2377" s="1041"/>
      <c r="I2377" s="882"/>
      <c r="J2377" s="898"/>
      <c r="K2377" s="899" t="str">
        <f>IF(G2377&lt;&gt;0,VLOOKUP(G2377,'gia dat'!$A$1:$F$144,5,0)," ")</f>
        <v xml:space="preserve"> </v>
      </c>
      <c r="L2377" s="899" t="str">
        <f>IF(G2377&lt;&gt;0,VLOOKUP(G2377,'gia dat'!$A$1:$F$144,6,0)," ")</f>
        <v xml:space="preserve"> </v>
      </c>
      <c r="M2377" s="900" t="str">
        <f t="shared" si="517"/>
        <v xml:space="preserve"> </v>
      </c>
      <c r="N2377" s="900" t="str">
        <f t="shared" si="518"/>
        <v xml:space="preserve"> </v>
      </c>
      <c r="O2377" s="908"/>
      <c r="P2377" s="1065"/>
      <c r="Q2377" s="900" t="str">
        <f>IF(O2377&lt;&gt;0,VLOOKUP(O2377,'Cây trong'!$A$2:$C$246,3,0)," ")</f>
        <v xml:space="preserve"> </v>
      </c>
      <c r="R2377" s="900" t="str">
        <f t="shared" si="527"/>
        <v xml:space="preserve"> </v>
      </c>
      <c r="S2377" s="902"/>
      <c r="T2377" s="944"/>
      <c r="U2377" s="1066"/>
      <c r="V2377" s="922"/>
      <c r="W2377" s="900" t="str">
        <f>IF(S2377&lt;&gt;0,VLOOKUP(S2377,VKT!$A$2:$G$415,7,0),"")</f>
        <v/>
      </c>
      <c r="X2377" s="900" t="str">
        <f t="shared" si="521"/>
        <v xml:space="preserve"> </v>
      </c>
      <c r="Y2377" s="985"/>
      <c r="Z2377" s="922"/>
      <c r="AA2377" s="1067"/>
      <c r="AB2377" s="922"/>
      <c r="AC2377" s="922"/>
      <c r="AD2377" s="922"/>
      <c r="AE2377" s="922"/>
      <c r="AF2377" s="1046"/>
      <c r="AG2377" s="906" t="str">
        <f>IF(AE2377&lt;&gt;0,VLOOKUP(AE2377,ODDS!$A$2:$C$13,3,0),"")</f>
        <v/>
      </c>
      <c r="AH2377" s="906" t="str">
        <f t="shared" si="528"/>
        <v xml:space="preserve"> </v>
      </c>
      <c r="AI2377" s="907" t="str">
        <f t="shared" ref="AI2377:AI2439" si="533">IF(B2377&lt;&gt;0,M2377+N2377+R2377+X2377+AH2377," ")</f>
        <v xml:space="preserve"> </v>
      </c>
      <c r="AJ2377" s="922" t="s">
        <v>1552</v>
      </c>
      <c r="AK2377" s="894" t="s">
        <v>2448</v>
      </c>
    </row>
    <row r="2378" spans="1:39" s="394" customFormat="1" ht="67.5" outlineLevel="2" x14ac:dyDescent="0.3">
      <c r="A2378" s="447">
        <f>IF(B2377&lt;&gt;0,B2377,A2377)</f>
        <v>202</v>
      </c>
      <c r="B2378" s="893"/>
      <c r="C2378" s="908"/>
      <c r="D2378" s="1032"/>
      <c r="E2378" s="947"/>
      <c r="F2378" s="947"/>
      <c r="G2378" s="922"/>
      <c r="H2378" s="1041"/>
      <c r="I2378" s="882"/>
      <c r="J2378" s="898"/>
      <c r="K2378" s="899" t="str">
        <f>IF(G2378&lt;&gt;0,VLOOKUP(G2378,'gia dat'!$A$1:$F$144,5,0)," ")</f>
        <v xml:space="preserve"> </v>
      </c>
      <c r="L2378" s="899" t="str">
        <f>IF(G2378&lt;&gt;0,VLOOKUP(G2378,'gia dat'!$A$1:$F$144,6,0)," ")</f>
        <v xml:space="preserve"> </v>
      </c>
      <c r="M2378" s="900" t="str">
        <f t="shared" si="517"/>
        <v xml:space="preserve"> </v>
      </c>
      <c r="N2378" s="900" t="str">
        <f t="shared" si="518"/>
        <v xml:space="preserve"> </v>
      </c>
      <c r="O2378" s="908"/>
      <c r="P2378" s="1065"/>
      <c r="Q2378" s="900" t="str">
        <f>IF(O2378&lt;&gt;0,VLOOKUP(O2378,'Cây trong'!$A$2:$C$246,3,0)," ")</f>
        <v xml:space="preserve"> </v>
      </c>
      <c r="R2378" s="900" t="str">
        <f t="shared" si="527"/>
        <v xml:space="preserve"> </v>
      </c>
      <c r="S2378" s="902"/>
      <c r="T2378" s="944"/>
      <c r="U2378" s="1066"/>
      <c r="V2378" s="922"/>
      <c r="W2378" s="900" t="str">
        <f>IF(S2378&lt;&gt;0,VLOOKUP(S2378,VKT!$A$2:$G$415,7,0),"")</f>
        <v/>
      </c>
      <c r="X2378" s="900" t="str">
        <f t="shared" si="521"/>
        <v xml:space="preserve"> </v>
      </c>
      <c r="Y2378" s="985"/>
      <c r="Z2378" s="922"/>
      <c r="AA2378" s="1067"/>
      <c r="AB2378" s="922"/>
      <c r="AC2378" s="922"/>
      <c r="AD2378" s="922"/>
      <c r="AE2378" s="922"/>
      <c r="AF2378" s="1046"/>
      <c r="AG2378" s="906" t="str">
        <f>IF(AE2378&lt;&gt;0,VLOOKUP(AE2378,ODDS!$A$2:$C$13,3,0),"")</f>
        <v/>
      </c>
      <c r="AH2378" s="906" t="str">
        <f t="shared" si="528"/>
        <v xml:space="preserve"> </v>
      </c>
      <c r="AI2378" s="907" t="str">
        <f t="shared" si="533"/>
        <v xml:space="preserve"> </v>
      </c>
      <c r="AJ2378" s="922" t="s">
        <v>2074</v>
      </c>
      <c r="AK2378" s="922"/>
    </row>
    <row r="2379" spans="1:39" s="394" customFormat="1" ht="22.5" outlineLevel="2" x14ac:dyDescent="0.35">
      <c r="A2379" s="447">
        <f>IF(B2378&lt;&gt;0,B2378,A2378)</f>
        <v>202</v>
      </c>
      <c r="B2379" s="893"/>
      <c r="C2379" s="942"/>
      <c r="D2379" s="1032"/>
      <c r="E2379" s="947"/>
      <c r="F2379" s="947"/>
      <c r="G2379" s="922"/>
      <c r="H2379" s="1041"/>
      <c r="I2379" s="882"/>
      <c r="J2379" s="898"/>
      <c r="K2379" s="899" t="str">
        <f>IF(G2379&lt;&gt;0,VLOOKUP(G2379,'gia dat'!$A$1:$F$144,5,0)," ")</f>
        <v xml:space="preserve"> </v>
      </c>
      <c r="L2379" s="899" t="str">
        <f>IF(G2379&lt;&gt;0,VLOOKUP(G2379,'gia dat'!$A$1:$F$144,6,0)," ")</f>
        <v xml:space="preserve"> </v>
      </c>
      <c r="M2379" s="900" t="str">
        <f t="shared" si="517"/>
        <v xml:space="preserve"> </v>
      </c>
      <c r="N2379" s="900" t="str">
        <f t="shared" si="518"/>
        <v xml:space="preserve"> </v>
      </c>
      <c r="O2379" s="908"/>
      <c r="P2379" s="1065"/>
      <c r="Q2379" s="900" t="str">
        <f>IF(O2379&lt;&gt;0,VLOOKUP(O2379,'Cây trong'!$A$2:$C$246,3,0)," ")</f>
        <v xml:space="preserve"> </v>
      </c>
      <c r="R2379" s="900" t="str">
        <f t="shared" si="527"/>
        <v xml:space="preserve"> </v>
      </c>
      <c r="S2379" s="902"/>
      <c r="T2379" s="944"/>
      <c r="U2379" s="1066"/>
      <c r="V2379" s="922"/>
      <c r="W2379" s="900" t="str">
        <f>IF(S2379&lt;&gt;0,VLOOKUP(S2379,VKT!$A$2:$G$415,7,0),"")</f>
        <v/>
      </c>
      <c r="X2379" s="900" t="str">
        <f t="shared" si="521"/>
        <v xml:space="preserve"> </v>
      </c>
      <c r="Y2379" s="985"/>
      <c r="Z2379" s="922"/>
      <c r="AA2379" s="1067"/>
      <c r="AB2379" s="922"/>
      <c r="AC2379" s="922"/>
      <c r="AD2379" s="922"/>
      <c r="AE2379" s="922"/>
      <c r="AF2379" s="1046"/>
      <c r="AG2379" s="906" t="str">
        <f>IF(AE2379&lt;&gt;0,VLOOKUP(AE2379,ODDS!$A$2:$C$13,3,0),"")</f>
        <v/>
      </c>
      <c r="AH2379" s="906" t="str">
        <f t="shared" si="528"/>
        <v xml:space="preserve"> </v>
      </c>
      <c r="AI2379" s="907" t="str">
        <f t="shared" si="533"/>
        <v xml:space="preserve"> </v>
      </c>
      <c r="AJ2379" s="1068"/>
      <c r="AK2379" s="922"/>
    </row>
    <row r="2380" spans="1:39" s="394" customFormat="1" ht="22.5" outlineLevel="2" x14ac:dyDescent="0.3">
      <c r="A2380" s="447">
        <f>IF(B2379&lt;&gt;0,B2379,A2379)</f>
        <v>202</v>
      </c>
      <c r="B2380" s="893"/>
      <c r="C2380" s="942"/>
      <c r="D2380" s="1032"/>
      <c r="E2380" s="947"/>
      <c r="F2380" s="947"/>
      <c r="G2380" s="922"/>
      <c r="H2380" s="1041"/>
      <c r="I2380" s="882"/>
      <c r="J2380" s="898"/>
      <c r="K2380" s="899" t="str">
        <f>IF(G2380&lt;&gt;0,VLOOKUP(G2380,'gia dat'!$A$1:$F$144,5,0)," ")</f>
        <v xml:space="preserve"> </v>
      </c>
      <c r="L2380" s="899" t="str">
        <f>IF(G2380&lt;&gt;0,VLOOKUP(G2380,'gia dat'!$A$1:$F$144,6,0)," ")</f>
        <v xml:space="preserve"> </v>
      </c>
      <c r="M2380" s="900" t="str">
        <f t="shared" si="517"/>
        <v xml:space="preserve"> </v>
      </c>
      <c r="N2380" s="900" t="str">
        <f t="shared" si="518"/>
        <v xml:space="preserve"> </v>
      </c>
      <c r="O2380" s="908"/>
      <c r="P2380" s="1065"/>
      <c r="Q2380" s="900" t="str">
        <f>IF(O2380&lt;&gt;0,VLOOKUP(O2380,'Cây trong'!$A$2:$C$246,3,0)," ")</f>
        <v xml:space="preserve"> </v>
      </c>
      <c r="R2380" s="900" t="str">
        <f t="shared" si="527"/>
        <v xml:space="preserve"> </v>
      </c>
      <c r="S2380" s="902"/>
      <c r="T2380" s="944"/>
      <c r="U2380" s="1066"/>
      <c r="V2380" s="922"/>
      <c r="W2380" s="900" t="str">
        <f>IF(S2380&lt;&gt;0,VLOOKUP(S2380,VKT!$A$2:$G$415,7,0),"")</f>
        <v/>
      </c>
      <c r="X2380" s="900" t="str">
        <f t="shared" si="521"/>
        <v xml:space="preserve"> </v>
      </c>
      <c r="Y2380" s="985"/>
      <c r="Z2380" s="922"/>
      <c r="AA2380" s="1067"/>
      <c r="AB2380" s="922"/>
      <c r="AC2380" s="922"/>
      <c r="AD2380" s="922"/>
      <c r="AE2380" s="922"/>
      <c r="AF2380" s="1046"/>
      <c r="AG2380" s="906" t="str">
        <f>IF(AE2380&lt;&gt;0,VLOOKUP(AE2380,ODDS!$A$2:$C$13,3,0),"")</f>
        <v/>
      </c>
      <c r="AH2380" s="906" t="str">
        <f t="shared" si="528"/>
        <v xml:space="preserve"> </v>
      </c>
      <c r="AI2380" s="907" t="str">
        <f t="shared" si="533"/>
        <v xml:space="preserve"> </v>
      </c>
      <c r="AJ2380" s="922"/>
      <c r="AK2380" s="922"/>
    </row>
    <row r="2381" spans="1:39" s="394" customFormat="1" ht="65.25" outlineLevel="1" x14ac:dyDescent="0.25">
      <c r="A2381" s="467" t="s">
        <v>2507</v>
      </c>
      <c r="B2381" s="912">
        <v>203</v>
      </c>
      <c r="C2381" s="942" t="s">
        <v>2053</v>
      </c>
      <c r="D2381" s="1038"/>
      <c r="E2381" s="977"/>
      <c r="F2381" s="977"/>
      <c r="G2381" s="914"/>
      <c r="H2381" s="1039">
        <f>SUBTOTAL(9,H2382:H2386)</f>
        <v>95</v>
      </c>
      <c r="I2381" s="915">
        <f>SUBTOTAL(9,I2382:I2387)</f>
        <v>0</v>
      </c>
      <c r="J2381" s="916"/>
      <c r="K2381" s="917"/>
      <c r="L2381" s="917"/>
      <c r="M2381" s="907">
        <f>SUBTOTAL(9,M2382:M2386)</f>
        <v>44232000</v>
      </c>
      <c r="N2381" s="907">
        <f>SUBTOTAL(9,N2382:N2386)</f>
        <v>0</v>
      </c>
      <c r="O2381" s="942"/>
      <c r="P2381" s="1063">
        <f>SUBTOTAL(9,P2382:P2386)</f>
        <v>0</v>
      </c>
      <c r="Q2381" s="907"/>
      <c r="R2381" s="907">
        <f>SUBTOTAL(9,R2382:R2386)</f>
        <v>0</v>
      </c>
      <c r="S2381" s="918"/>
      <c r="T2381" s="956"/>
      <c r="U2381" s="1064">
        <f>SUBTOTAL(9,U2382:U2386)</f>
        <v>0</v>
      </c>
      <c r="V2381" s="914"/>
      <c r="W2381" s="907"/>
      <c r="X2381" s="907">
        <f>SUBTOTAL(9,X2382:X2386)</f>
        <v>0</v>
      </c>
      <c r="Y2381" s="985"/>
      <c r="Z2381" s="922"/>
      <c r="AA2381" s="1067"/>
      <c r="AB2381" s="922"/>
      <c r="AC2381" s="922"/>
      <c r="AD2381" s="922"/>
      <c r="AE2381" s="914"/>
      <c r="AF2381" s="1044">
        <f>SUBTOTAL(9,AF2382:AF2386)</f>
        <v>0</v>
      </c>
      <c r="AG2381" s="921"/>
      <c r="AH2381" s="921">
        <f>SUBTOTAL(9,AH2382:AH2386)</f>
        <v>0</v>
      </c>
      <c r="AI2381" s="907">
        <f t="shared" si="533"/>
        <v>44232000</v>
      </c>
      <c r="AJ2381" s="914"/>
      <c r="AK2381" s="914"/>
    </row>
    <row r="2382" spans="1:39" s="394" customFormat="1" ht="135" outlineLevel="2" x14ac:dyDescent="0.3">
      <c r="A2382" s="447">
        <f>IF(B2381&lt;&gt;0,B2381,A2380)</f>
        <v>203</v>
      </c>
      <c r="B2382" s="893"/>
      <c r="C2382" s="908"/>
      <c r="D2382" s="1032"/>
      <c r="E2382" s="947">
        <v>86</v>
      </c>
      <c r="F2382" s="947">
        <v>221</v>
      </c>
      <c r="G2382" s="922" t="s">
        <v>2856</v>
      </c>
      <c r="H2382" s="1041">
        <v>95</v>
      </c>
      <c r="I2382" s="882" t="str">
        <f t="shared" ref="I2382" si="534">IF(N2382&gt;0,H2382,"")</f>
        <v/>
      </c>
      <c r="J2382" s="898"/>
      <c r="K2382" s="899">
        <f>IF(G2382&lt;&gt;0,VLOOKUP(G2382,'gia dat'!$A$1:$F$144,5,0)," ")</f>
        <v>465600</v>
      </c>
      <c r="L2382" s="899">
        <f>IF(G2382&lt;&gt;0,VLOOKUP(G2382,'gia dat'!$A$1:$F$144,6,0)," ")</f>
        <v>0</v>
      </c>
      <c r="M2382" s="900">
        <f t="shared" si="517"/>
        <v>44232000</v>
      </c>
      <c r="N2382" s="900">
        <f t="shared" si="518"/>
        <v>0</v>
      </c>
      <c r="O2382" s="908"/>
      <c r="P2382" s="1065"/>
      <c r="Q2382" s="900" t="str">
        <f>IF(O2382&lt;&gt;0,VLOOKUP(O2382,'Cây trong'!$A$2:$C$246,3,0)," ")</f>
        <v xml:space="preserve"> </v>
      </c>
      <c r="R2382" s="900" t="str">
        <f t="shared" si="527"/>
        <v xml:space="preserve"> </v>
      </c>
      <c r="S2382" s="902"/>
      <c r="T2382" s="944"/>
      <c r="U2382" s="1066"/>
      <c r="V2382" s="922"/>
      <c r="W2382" s="900" t="str">
        <f>IF(S2382&lt;&gt;0,VLOOKUP(S2382,VKT!$A$2:$G$415,7,0),"")</f>
        <v/>
      </c>
      <c r="X2382" s="900" t="str">
        <f t="shared" si="521"/>
        <v xml:space="preserve"> </v>
      </c>
      <c r="Y2382" s="985"/>
      <c r="Z2382" s="922"/>
      <c r="AA2382" s="1067"/>
      <c r="AB2382" s="922"/>
      <c r="AC2382" s="922"/>
      <c r="AD2382" s="922"/>
      <c r="AE2382" s="922"/>
      <c r="AF2382" s="1046"/>
      <c r="AG2382" s="906" t="str">
        <f>IF(AE2382&lt;&gt;0,VLOOKUP(AE2382,ODDS!$A$2:$C$13,3,0),"")</f>
        <v/>
      </c>
      <c r="AH2382" s="906" t="str">
        <f t="shared" si="528"/>
        <v xml:space="preserve"> </v>
      </c>
      <c r="AI2382" s="907" t="str">
        <f t="shared" si="533"/>
        <v xml:space="preserve"> </v>
      </c>
      <c r="AJ2382" s="922"/>
      <c r="AK2382" s="922" t="s">
        <v>2771</v>
      </c>
    </row>
    <row r="2383" spans="1:39" s="394" customFormat="1" ht="22.5" outlineLevel="2" x14ac:dyDescent="0.3">
      <c r="A2383" s="447">
        <f>IF(B2382&lt;&gt;0,B2382,A2382)</f>
        <v>203</v>
      </c>
      <c r="B2383" s="893"/>
      <c r="C2383" s="908"/>
      <c r="D2383" s="1032"/>
      <c r="E2383" s="947"/>
      <c r="F2383" s="947"/>
      <c r="G2383" s="922"/>
      <c r="H2383" s="1041"/>
      <c r="I2383" s="882"/>
      <c r="J2383" s="898"/>
      <c r="K2383" s="899" t="str">
        <f>IF(G2383&lt;&gt;0,VLOOKUP(G2383,'gia dat'!$A$1:$F$144,5,0)," ")</f>
        <v xml:space="preserve"> </v>
      </c>
      <c r="L2383" s="899" t="str">
        <f>IF(G2383&lt;&gt;0,VLOOKUP(G2383,'gia dat'!$A$1:$F$144,6,0)," ")</f>
        <v xml:space="preserve"> </v>
      </c>
      <c r="M2383" s="900" t="str">
        <f t="shared" si="517"/>
        <v xml:space="preserve"> </v>
      </c>
      <c r="N2383" s="900" t="str">
        <f t="shared" si="518"/>
        <v xml:space="preserve"> </v>
      </c>
      <c r="O2383" s="908"/>
      <c r="P2383" s="1065"/>
      <c r="Q2383" s="900" t="str">
        <f>IF(O2383&lt;&gt;0,VLOOKUP(O2383,'Cây trong'!$A$2:$C$246,3,0)," ")</f>
        <v xml:space="preserve"> </v>
      </c>
      <c r="R2383" s="900" t="str">
        <f t="shared" si="527"/>
        <v xml:space="preserve"> </v>
      </c>
      <c r="S2383" s="902"/>
      <c r="T2383" s="944"/>
      <c r="U2383" s="1066"/>
      <c r="V2383" s="922"/>
      <c r="W2383" s="900" t="str">
        <f>IF(S2383&lt;&gt;0,VLOOKUP(S2383,VKT!$A$2:$G$415,7,0),"")</f>
        <v/>
      </c>
      <c r="X2383" s="900" t="str">
        <f t="shared" si="521"/>
        <v xml:space="preserve"> </v>
      </c>
      <c r="Y2383" s="985"/>
      <c r="Z2383" s="922"/>
      <c r="AA2383" s="1067"/>
      <c r="AB2383" s="922"/>
      <c r="AC2383" s="922"/>
      <c r="AD2383" s="922"/>
      <c r="AE2383" s="922"/>
      <c r="AF2383" s="1046"/>
      <c r="AG2383" s="906" t="str">
        <f>IF(AE2383&lt;&gt;0,VLOOKUP(AE2383,ODDS!$A$2:$C$13,3,0),"")</f>
        <v/>
      </c>
      <c r="AH2383" s="906" t="str">
        <f t="shared" si="528"/>
        <v xml:space="preserve"> </v>
      </c>
      <c r="AI2383" s="907" t="str">
        <f t="shared" si="533"/>
        <v xml:space="preserve"> </v>
      </c>
      <c r="AJ2383" s="922"/>
      <c r="AK2383" s="922"/>
    </row>
    <row r="2384" spans="1:39" s="394" customFormat="1" ht="22.5" outlineLevel="2" x14ac:dyDescent="0.3">
      <c r="A2384" s="447">
        <f>IF(B2383&lt;&gt;0,B2383,A2383)</f>
        <v>203</v>
      </c>
      <c r="B2384" s="893"/>
      <c r="C2384" s="908"/>
      <c r="D2384" s="1032"/>
      <c r="E2384" s="947"/>
      <c r="F2384" s="947"/>
      <c r="G2384" s="922"/>
      <c r="H2384" s="1041"/>
      <c r="I2384" s="882"/>
      <c r="J2384" s="898"/>
      <c r="K2384" s="899" t="str">
        <f>IF(G2384&lt;&gt;0,VLOOKUP(G2384,'gia dat'!$A$1:$F$144,5,0)," ")</f>
        <v xml:space="preserve"> </v>
      </c>
      <c r="L2384" s="899" t="str">
        <f>IF(G2384&lt;&gt;0,VLOOKUP(G2384,'gia dat'!$A$1:$F$144,6,0)," ")</f>
        <v xml:space="preserve"> </v>
      </c>
      <c r="M2384" s="900" t="str">
        <f t="shared" si="517"/>
        <v xml:space="preserve"> </v>
      </c>
      <c r="N2384" s="900" t="str">
        <f t="shared" si="518"/>
        <v xml:space="preserve"> </v>
      </c>
      <c r="O2384" s="908"/>
      <c r="P2384" s="1065"/>
      <c r="Q2384" s="900" t="str">
        <f>IF(O2384&lt;&gt;0,VLOOKUP(O2384,'Cây trong'!$A$2:$C$246,3,0)," ")</f>
        <v xml:space="preserve"> </v>
      </c>
      <c r="R2384" s="900" t="str">
        <f t="shared" si="527"/>
        <v xml:space="preserve"> </v>
      </c>
      <c r="S2384" s="902"/>
      <c r="T2384" s="944"/>
      <c r="U2384" s="1066"/>
      <c r="V2384" s="922"/>
      <c r="W2384" s="900" t="str">
        <f>IF(S2384&lt;&gt;0,VLOOKUP(S2384,VKT!$A$2:$G$415,7,0),"")</f>
        <v/>
      </c>
      <c r="X2384" s="900" t="str">
        <f t="shared" si="521"/>
        <v xml:space="preserve"> </v>
      </c>
      <c r="Y2384" s="985"/>
      <c r="Z2384" s="922"/>
      <c r="AA2384" s="1067"/>
      <c r="AB2384" s="922"/>
      <c r="AC2384" s="922"/>
      <c r="AD2384" s="922"/>
      <c r="AE2384" s="922"/>
      <c r="AF2384" s="1046"/>
      <c r="AG2384" s="906" t="str">
        <f>IF(AE2384&lt;&gt;0,VLOOKUP(AE2384,ODDS!$A$2:$C$13,3,0),"")</f>
        <v/>
      </c>
      <c r="AH2384" s="906" t="str">
        <f t="shared" si="528"/>
        <v xml:space="preserve"> </v>
      </c>
      <c r="AI2384" s="907" t="str">
        <f t="shared" si="533"/>
        <v xml:space="preserve"> </v>
      </c>
      <c r="AJ2384" s="922"/>
      <c r="AK2384" s="922"/>
    </row>
    <row r="2385" spans="1:37" s="394" customFormat="1" ht="22.5" outlineLevel="2" x14ac:dyDescent="0.3">
      <c r="A2385" s="447">
        <f>IF(B2384&lt;&gt;0,B2384,A2384)</f>
        <v>203</v>
      </c>
      <c r="B2385" s="893"/>
      <c r="C2385" s="908"/>
      <c r="D2385" s="1032"/>
      <c r="E2385" s="947"/>
      <c r="F2385" s="947"/>
      <c r="G2385" s="922"/>
      <c r="H2385" s="1041"/>
      <c r="I2385" s="882"/>
      <c r="J2385" s="898"/>
      <c r="K2385" s="899" t="str">
        <f>IF(G2385&lt;&gt;0,VLOOKUP(G2385,'gia dat'!$A$1:$F$144,5,0)," ")</f>
        <v xml:space="preserve"> </v>
      </c>
      <c r="L2385" s="899" t="str">
        <f>IF(G2385&lt;&gt;0,VLOOKUP(G2385,'gia dat'!$A$1:$F$144,6,0)," ")</f>
        <v xml:space="preserve"> </v>
      </c>
      <c r="M2385" s="900" t="str">
        <f t="shared" si="517"/>
        <v xml:space="preserve"> </v>
      </c>
      <c r="N2385" s="900" t="str">
        <f t="shared" si="518"/>
        <v xml:space="preserve"> </v>
      </c>
      <c r="O2385" s="908"/>
      <c r="P2385" s="1065"/>
      <c r="Q2385" s="900" t="str">
        <f>IF(O2385&lt;&gt;0,VLOOKUP(O2385,'Cây trong'!$A$2:$C$246,3,0)," ")</f>
        <v xml:space="preserve"> </v>
      </c>
      <c r="R2385" s="900" t="str">
        <f t="shared" si="527"/>
        <v xml:space="preserve"> </v>
      </c>
      <c r="S2385" s="902"/>
      <c r="T2385" s="944"/>
      <c r="U2385" s="1066"/>
      <c r="V2385" s="922"/>
      <c r="W2385" s="900" t="str">
        <f>IF(S2385&lt;&gt;0,VLOOKUP(S2385,VKT!$A$2:$G$415,7,0),"")</f>
        <v/>
      </c>
      <c r="X2385" s="900" t="str">
        <f t="shared" si="521"/>
        <v xml:space="preserve"> </v>
      </c>
      <c r="Y2385" s="985"/>
      <c r="Z2385" s="922"/>
      <c r="AA2385" s="1067"/>
      <c r="AB2385" s="922"/>
      <c r="AC2385" s="922"/>
      <c r="AD2385" s="922"/>
      <c r="AE2385" s="922"/>
      <c r="AF2385" s="1046"/>
      <c r="AG2385" s="906" t="str">
        <f>IF(AE2385&lt;&gt;0,VLOOKUP(AE2385,ODDS!$A$2:$C$13,3,0),"")</f>
        <v/>
      </c>
      <c r="AH2385" s="906" t="str">
        <f t="shared" si="528"/>
        <v xml:space="preserve"> </v>
      </c>
      <c r="AI2385" s="907" t="str">
        <f t="shared" si="533"/>
        <v xml:space="preserve"> </v>
      </c>
      <c r="AJ2385" s="922"/>
      <c r="AK2385" s="922"/>
    </row>
    <row r="2386" spans="1:37" s="394" customFormat="1" ht="22.5" outlineLevel="2" x14ac:dyDescent="0.3">
      <c r="A2386" s="447">
        <f>IF(B2385&lt;&gt;0,B2385,A2385)</f>
        <v>203</v>
      </c>
      <c r="B2386" s="893"/>
      <c r="C2386" s="942"/>
      <c r="D2386" s="1032"/>
      <c r="E2386" s="947"/>
      <c r="F2386" s="947"/>
      <c r="G2386" s="922"/>
      <c r="H2386" s="1041"/>
      <c r="I2386" s="882"/>
      <c r="J2386" s="898"/>
      <c r="K2386" s="899" t="str">
        <f>IF(G2386&lt;&gt;0,VLOOKUP(G2386,'gia dat'!$A$1:$F$144,5,0)," ")</f>
        <v xml:space="preserve"> </v>
      </c>
      <c r="L2386" s="899" t="str">
        <f>IF(G2386&lt;&gt;0,VLOOKUP(G2386,'gia dat'!$A$1:$F$144,6,0)," ")</f>
        <v xml:space="preserve"> </v>
      </c>
      <c r="M2386" s="900" t="str">
        <f t="shared" si="517"/>
        <v xml:space="preserve"> </v>
      </c>
      <c r="N2386" s="900" t="str">
        <f t="shared" si="518"/>
        <v xml:space="preserve"> </v>
      </c>
      <c r="O2386" s="908"/>
      <c r="P2386" s="1065"/>
      <c r="Q2386" s="900" t="str">
        <f>IF(O2386&lt;&gt;0,VLOOKUP(O2386,'Cây trong'!$A$2:$C$246,3,0)," ")</f>
        <v xml:space="preserve"> </v>
      </c>
      <c r="R2386" s="900" t="str">
        <f t="shared" si="527"/>
        <v xml:space="preserve"> </v>
      </c>
      <c r="S2386" s="902"/>
      <c r="T2386" s="944"/>
      <c r="U2386" s="1066"/>
      <c r="V2386" s="922"/>
      <c r="W2386" s="900" t="str">
        <f>IF(S2386&lt;&gt;0,VLOOKUP(S2386,VKT!$A$2:$G$415,7,0),"")</f>
        <v/>
      </c>
      <c r="X2386" s="900" t="str">
        <f t="shared" si="521"/>
        <v xml:space="preserve"> </v>
      </c>
      <c r="Y2386" s="985"/>
      <c r="Z2386" s="922"/>
      <c r="AA2386" s="1067"/>
      <c r="AB2386" s="922"/>
      <c r="AC2386" s="922"/>
      <c r="AD2386" s="922"/>
      <c r="AE2386" s="922"/>
      <c r="AF2386" s="1046"/>
      <c r="AG2386" s="906" t="str">
        <f>IF(AE2386&lt;&gt;0,VLOOKUP(AE2386,ODDS!$A$2:$C$13,3,0),"")</f>
        <v/>
      </c>
      <c r="AH2386" s="906" t="str">
        <f t="shared" si="528"/>
        <v xml:space="preserve"> </v>
      </c>
      <c r="AI2386" s="907" t="str">
        <f t="shared" si="533"/>
        <v xml:space="preserve"> </v>
      </c>
      <c r="AJ2386" s="922"/>
      <c r="AK2386" s="922"/>
    </row>
    <row r="2387" spans="1:37" s="394" customFormat="1" ht="65.25" outlineLevel="1" x14ac:dyDescent="0.25">
      <c r="A2387" s="467" t="s">
        <v>2506</v>
      </c>
      <c r="B2387" s="912">
        <v>204</v>
      </c>
      <c r="C2387" s="942" t="s">
        <v>2054</v>
      </c>
      <c r="D2387" s="1038"/>
      <c r="E2387" s="977"/>
      <c r="F2387" s="977"/>
      <c r="G2387" s="914"/>
      <c r="H2387" s="1039">
        <f>SUBTOTAL(9,H2388:H2392)</f>
        <v>95</v>
      </c>
      <c r="I2387" s="915">
        <f>SUBTOTAL(9,I2388:I2393)</f>
        <v>0</v>
      </c>
      <c r="J2387" s="916"/>
      <c r="K2387" s="917"/>
      <c r="L2387" s="917"/>
      <c r="M2387" s="907">
        <f>SUBTOTAL(9,M2388:M2392)</f>
        <v>44232000</v>
      </c>
      <c r="N2387" s="907">
        <f>SUBTOTAL(9,N2388:N2392)</f>
        <v>0</v>
      </c>
      <c r="O2387" s="942"/>
      <c r="P2387" s="1063">
        <f>SUBTOTAL(9,P2388:P2392)</f>
        <v>0</v>
      </c>
      <c r="Q2387" s="907"/>
      <c r="R2387" s="907">
        <f>SUBTOTAL(9,R2388:R2392)</f>
        <v>0</v>
      </c>
      <c r="S2387" s="918"/>
      <c r="T2387" s="956"/>
      <c r="U2387" s="1064">
        <f>SUBTOTAL(9,U2388:U2392)</f>
        <v>0</v>
      </c>
      <c r="V2387" s="914"/>
      <c r="W2387" s="907"/>
      <c r="X2387" s="907">
        <f>SUBTOTAL(9,X2388:X2392)</f>
        <v>0</v>
      </c>
      <c r="Y2387" s="985"/>
      <c r="Z2387" s="922"/>
      <c r="AA2387" s="1067"/>
      <c r="AB2387" s="922"/>
      <c r="AC2387" s="922"/>
      <c r="AD2387" s="922"/>
      <c r="AE2387" s="914"/>
      <c r="AF2387" s="1044">
        <f>SUBTOTAL(9,AF2388:AF2392)</f>
        <v>0</v>
      </c>
      <c r="AG2387" s="921"/>
      <c r="AH2387" s="921">
        <f>SUBTOTAL(9,AH2388:AH2392)</f>
        <v>0</v>
      </c>
      <c r="AI2387" s="907">
        <f t="shared" si="533"/>
        <v>44232000</v>
      </c>
      <c r="AJ2387" s="914"/>
      <c r="AK2387" s="914"/>
    </row>
    <row r="2388" spans="1:37" s="394" customFormat="1" ht="135" outlineLevel="2" x14ac:dyDescent="0.3">
      <c r="A2388" s="447">
        <f>IF(B2387&lt;&gt;0,B2387,A2386)</f>
        <v>204</v>
      </c>
      <c r="B2388" s="893"/>
      <c r="C2388" s="908"/>
      <c r="D2388" s="1032"/>
      <c r="E2388" s="947">
        <v>86</v>
      </c>
      <c r="F2388" s="947">
        <v>223</v>
      </c>
      <c r="G2388" s="922" t="s">
        <v>2856</v>
      </c>
      <c r="H2388" s="1041">
        <v>95</v>
      </c>
      <c r="I2388" s="882" t="str">
        <f t="shared" ref="I2388" si="535">IF(N2388&gt;0,H2388,"")</f>
        <v/>
      </c>
      <c r="J2388" s="898"/>
      <c r="K2388" s="899">
        <f>IF(G2388&lt;&gt;0,VLOOKUP(G2388,'gia dat'!$A$1:$F$144,5,0)," ")</f>
        <v>465600</v>
      </c>
      <c r="L2388" s="899">
        <f>IF(G2388&lt;&gt;0,VLOOKUP(G2388,'gia dat'!$A$1:$F$144,6,0)," ")</f>
        <v>0</v>
      </c>
      <c r="M2388" s="900">
        <f t="shared" si="517"/>
        <v>44232000</v>
      </c>
      <c r="N2388" s="900">
        <f t="shared" si="518"/>
        <v>0</v>
      </c>
      <c r="O2388" s="908"/>
      <c r="P2388" s="1065"/>
      <c r="Q2388" s="900" t="str">
        <f>IF(O2388&lt;&gt;0,VLOOKUP(O2388,'Cây trong'!$A$2:$C$246,3,0)," ")</f>
        <v xml:space="preserve"> </v>
      </c>
      <c r="R2388" s="900" t="str">
        <f t="shared" si="527"/>
        <v xml:space="preserve"> </v>
      </c>
      <c r="S2388" s="902"/>
      <c r="T2388" s="944"/>
      <c r="U2388" s="1066"/>
      <c r="V2388" s="922"/>
      <c r="W2388" s="900" t="str">
        <f>IF(S2388&lt;&gt;0,VLOOKUP(S2388,VKT!$A$2:$G$415,7,0),"")</f>
        <v/>
      </c>
      <c r="X2388" s="900" t="str">
        <f t="shared" si="521"/>
        <v xml:space="preserve"> </v>
      </c>
      <c r="Y2388" s="985"/>
      <c r="Z2388" s="922"/>
      <c r="AA2388" s="1067"/>
      <c r="AB2388" s="922"/>
      <c r="AC2388" s="922"/>
      <c r="AD2388" s="922"/>
      <c r="AE2388" s="922"/>
      <c r="AF2388" s="1046"/>
      <c r="AG2388" s="906" t="str">
        <f>IF(AE2388&lt;&gt;0,VLOOKUP(AE2388,ODDS!$A$2:$C$13,3,0),"")</f>
        <v/>
      </c>
      <c r="AH2388" s="906" t="str">
        <f t="shared" si="528"/>
        <v xml:space="preserve"> </v>
      </c>
      <c r="AI2388" s="907" t="str">
        <f t="shared" si="533"/>
        <v xml:space="preserve"> </v>
      </c>
      <c r="AJ2388" s="922"/>
      <c r="AK2388" s="922" t="s">
        <v>2771</v>
      </c>
    </row>
    <row r="2389" spans="1:37" s="394" customFormat="1" ht="22.5" outlineLevel="2" x14ac:dyDescent="0.3">
      <c r="A2389" s="447">
        <f>IF(B2388&lt;&gt;0,B2388,A2388)</f>
        <v>204</v>
      </c>
      <c r="B2389" s="893"/>
      <c r="C2389" s="908"/>
      <c r="D2389" s="1032"/>
      <c r="E2389" s="947"/>
      <c r="F2389" s="947"/>
      <c r="G2389" s="922"/>
      <c r="H2389" s="1041"/>
      <c r="I2389" s="882"/>
      <c r="J2389" s="898"/>
      <c r="K2389" s="899" t="str">
        <f>IF(G2389&lt;&gt;0,VLOOKUP(G2389,'gia dat'!$A$1:$F$144,5,0)," ")</f>
        <v xml:space="preserve"> </v>
      </c>
      <c r="L2389" s="899" t="str">
        <f>IF(G2389&lt;&gt;0,VLOOKUP(G2389,'gia dat'!$A$1:$F$144,6,0)," ")</f>
        <v xml:space="preserve"> </v>
      </c>
      <c r="M2389" s="900" t="str">
        <f t="shared" ref="M2389:M2423" si="536">IF(H2389&lt;&gt;0,ROUND(H2389*K2389,-3)," ")</f>
        <v xml:space="preserve"> </v>
      </c>
      <c r="N2389" s="900" t="str">
        <f t="shared" ref="N2389:N2423" si="537">IF(H2389&lt;&gt;0,ROUND(H2389*L2389,-3)," ")</f>
        <v xml:space="preserve"> </v>
      </c>
      <c r="O2389" s="908"/>
      <c r="P2389" s="1065"/>
      <c r="Q2389" s="900" t="str">
        <f>IF(O2389&lt;&gt;0,VLOOKUP(O2389,'Cây trong'!$A$2:$C$246,3,0)," ")</f>
        <v xml:space="preserve"> </v>
      </c>
      <c r="R2389" s="900" t="str">
        <f t="shared" si="527"/>
        <v xml:space="preserve"> </v>
      </c>
      <c r="S2389" s="902"/>
      <c r="T2389" s="944"/>
      <c r="U2389" s="1066"/>
      <c r="V2389" s="922"/>
      <c r="W2389" s="900" t="str">
        <f>IF(S2389&lt;&gt;0,VLOOKUP(S2389,VKT!$A$2:$G$415,7,0),"")</f>
        <v/>
      </c>
      <c r="X2389" s="900" t="str">
        <f t="shared" si="521"/>
        <v xml:space="preserve"> </v>
      </c>
      <c r="Y2389" s="985"/>
      <c r="Z2389" s="922"/>
      <c r="AA2389" s="1067"/>
      <c r="AB2389" s="922"/>
      <c r="AC2389" s="922"/>
      <c r="AD2389" s="922"/>
      <c r="AE2389" s="922"/>
      <c r="AF2389" s="1046"/>
      <c r="AG2389" s="906" t="str">
        <f>IF(AE2389&lt;&gt;0,VLOOKUP(AE2389,ODDS!$A$2:$C$13,3,0),"")</f>
        <v/>
      </c>
      <c r="AH2389" s="906" t="str">
        <f t="shared" si="528"/>
        <v xml:space="preserve"> </v>
      </c>
      <c r="AI2389" s="907" t="str">
        <f t="shared" si="533"/>
        <v xml:space="preserve"> </v>
      </c>
      <c r="AJ2389" s="922"/>
      <c r="AK2389" s="922"/>
    </row>
    <row r="2390" spans="1:37" s="394" customFormat="1" ht="22.5" outlineLevel="2" x14ac:dyDescent="0.3">
      <c r="A2390" s="447">
        <f>IF(B2389&lt;&gt;0,B2389,A2389)</f>
        <v>204</v>
      </c>
      <c r="B2390" s="893"/>
      <c r="C2390" s="908"/>
      <c r="D2390" s="1032"/>
      <c r="E2390" s="947"/>
      <c r="F2390" s="947"/>
      <c r="G2390" s="922"/>
      <c r="H2390" s="1041"/>
      <c r="I2390" s="882"/>
      <c r="J2390" s="898"/>
      <c r="K2390" s="899" t="str">
        <f>IF(G2390&lt;&gt;0,VLOOKUP(G2390,'gia dat'!$A$1:$F$144,5,0)," ")</f>
        <v xml:space="preserve"> </v>
      </c>
      <c r="L2390" s="899" t="str">
        <f>IF(G2390&lt;&gt;0,VLOOKUP(G2390,'gia dat'!$A$1:$F$144,6,0)," ")</f>
        <v xml:space="preserve"> </v>
      </c>
      <c r="M2390" s="900" t="str">
        <f t="shared" si="536"/>
        <v xml:space="preserve"> </v>
      </c>
      <c r="N2390" s="900" t="str">
        <f t="shared" si="537"/>
        <v xml:space="preserve"> </v>
      </c>
      <c r="O2390" s="908"/>
      <c r="P2390" s="1065"/>
      <c r="Q2390" s="900" t="str">
        <f>IF(O2390&lt;&gt;0,VLOOKUP(O2390,'Cây trong'!$A$2:$C$246,3,0)," ")</f>
        <v xml:space="preserve"> </v>
      </c>
      <c r="R2390" s="900" t="str">
        <f t="shared" si="527"/>
        <v xml:space="preserve"> </v>
      </c>
      <c r="S2390" s="902"/>
      <c r="T2390" s="944"/>
      <c r="U2390" s="1066"/>
      <c r="V2390" s="922"/>
      <c r="W2390" s="900" t="str">
        <f>IF(S2390&lt;&gt;0,VLOOKUP(S2390,VKT!$A$2:$G$415,7,0),"")</f>
        <v/>
      </c>
      <c r="X2390" s="900" t="str">
        <f t="shared" si="521"/>
        <v xml:space="preserve"> </v>
      </c>
      <c r="Y2390" s="985"/>
      <c r="Z2390" s="922"/>
      <c r="AA2390" s="1067"/>
      <c r="AB2390" s="922"/>
      <c r="AC2390" s="922"/>
      <c r="AD2390" s="922"/>
      <c r="AE2390" s="922"/>
      <c r="AF2390" s="1046"/>
      <c r="AG2390" s="906" t="str">
        <f>IF(AE2390&lt;&gt;0,VLOOKUP(AE2390,ODDS!$A$2:$C$13,3,0),"")</f>
        <v/>
      </c>
      <c r="AH2390" s="906" t="str">
        <f t="shared" si="528"/>
        <v xml:space="preserve"> </v>
      </c>
      <c r="AI2390" s="907" t="str">
        <f t="shared" si="533"/>
        <v xml:space="preserve"> </v>
      </c>
      <c r="AJ2390" s="922"/>
      <c r="AK2390" s="922"/>
    </row>
    <row r="2391" spans="1:37" s="394" customFormat="1" ht="22.5" outlineLevel="2" x14ac:dyDescent="0.3">
      <c r="A2391" s="447">
        <f>IF(B2390&lt;&gt;0,B2390,A2390)</f>
        <v>204</v>
      </c>
      <c r="B2391" s="893"/>
      <c r="C2391" s="908"/>
      <c r="D2391" s="1032"/>
      <c r="E2391" s="947"/>
      <c r="F2391" s="947"/>
      <c r="G2391" s="922"/>
      <c r="H2391" s="1041"/>
      <c r="I2391" s="882"/>
      <c r="J2391" s="898"/>
      <c r="K2391" s="899" t="str">
        <f>IF(G2391&lt;&gt;0,VLOOKUP(G2391,'gia dat'!$A$1:$F$144,5,0)," ")</f>
        <v xml:space="preserve"> </v>
      </c>
      <c r="L2391" s="899" t="str">
        <f>IF(G2391&lt;&gt;0,VLOOKUP(G2391,'gia dat'!$A$1:$F$144,6,0)," ")</f>
        <v xml:space="preserve"> </v>
      </c>
      <c r="M2391" s="900" t="str">
        <f t="shared" si="536"/>
        <v xml:space="preserve"> </v>
      </c>
      <c r="N2391" s="900" t="str">
        <f t="shared" si="537"/>
        <v xml:space="preserve"> </v>
      </c>
      <c r="O2391" s="908"/>
      <c r="P2391" s="1065"/>
      <c r="Q2391" s="900" t="str">
        <f>IF(O2391&lt;&gt;0,VLOOKUP(O2391,'Cây trong'!$A$2:$C$246,3,0)," ")</f>
        <v xml:space="preserve"> </v>
      </c>
      <c r="R2391" s="900" t="str">
        <f t="shared" si="527"/>
        <v xml:space="preserve"> </v>
      </c>
      <c r="S2391" s="902"/>
      <c r="T2391" s="944"/>
      <c r="U2391" s="1066"/>
      <c r="V2391" s="922"/>
      <c r="W2391" s="900" t="str">
        <f>IF(S2391&lt;&gt;0,VLOOKUP(S2391,VKT!$A$2:$G$415,7,0),"")</f>
        <v/>
      </c>
      <c r="X2391" s="900" t="str">
        <f t="shared" si="521"/>
        <v xml:space="preserve"> </v>
      </c>
      <c r="Y2391" s="985"/>
      <c r="Z2391" s="922"/>
      <c r="AA2391" s="1067"/>
      <c r="AB2391" s="922"/>
      <c r="AC2391" s="922"/>
      <c r="AD2391" s="922"/>
      <c r="AE2391" s="922"/>
      <c r="AF2391" s="1046"/>
      <c r="AG2391" s="906" t="str">
        <f>IF(AE2391&lt;&gt;0,VLOOKUP(AE2391,ODDS!$A$2:$C$13,3,0),"")</f>
        <v/>
      </c>
      <c r="AH2391" s="906" t="str">
        <f t="shared" si="528"/>
        <v xml:space="preserve"> </v>
      </c>
      <c r="AI2391" s="907" t="str">
        <f t="shared" si="533"/>
        <v xml:space="preserve"> </v>
      </c>
      <c r="AJ2391" s="922"/>
      <c r="AK2391" s="922"/>
    </row>
    <row r="2392" spans="1:37" s="394" customFormat="1" ht="22.5" outlineLevel="2" x14ac:dyDescent="0.3">
      <c r="A2392" s="447">
        <f>IF(B2391&lt;&gt;0,B2391,A2391)</f>
        <v>204</v>
      </c>
      <c r="B2392" s="893"/>
      <c r="C2392" s="942"/>
      <c r="D2392" s="1032"/>
      <c r="E2392" s="947"/>
      <c r="F2392" s="947"/>
      <c r="G2392" s="922"/>
      <c r="H2392" s="1041"/>
      <c r="I2392" s="882"/>
      <c r="J2392" s="898"/>
      <c r="K2392" s="899" t="str">
        <f>IF(G2392&lt;&gt;0,VLOOKUP(G2392,'gia dat'!$A$1:$F$144,5,0)," ")</f>
        <v xml:space="preserve"> </v>
      </c>
      <c r="L2392" s="899" t="str">
        <f>IF(G2392&lt;&gt;0,VLOOKUP(G2392,'gia dat'!$A$1:$F$144,6,0)," ")</f>
        <v xml:space="preserve"> </v>
      </c>
      <c r="M2392" s="900" t="str">
        <f t="shared" si="536"/>
        <v xml:space="preserve"> </v>
      </c>
      <c r="N2392" s="900" t="str">
        <f t="shared" si="537"/>
        <v xml:space="preserve"> </v>
      </c>
      <c r="O2392" s="908"/>
      <c r="P2392" s="1065"/>
      <c r="Q2392" s="900" t="str">
        <f>IF(O2392&lt;&gt;0,VLOOKUP(O2392,'Cây trong'!$A$2:$C$246,3,0)," ")</f>
        <v xml:space="preserve"> </v>
      </c>
      <c r="R2392" s="900" t="str">
        <f t="shared" si="527"/>
        <v xml:space="preserve"> </v>
      </c>
      <c r="S2392" s="902"/>
      <c r="T2392" s="944"/>
      <c r="U2392" s="1066"/>
      <c r="V2392" s="922"/>
      <c r="W2392" s="900" t="str">
        <f>IF(S2392&lt;&gt;0,VLOOKUP(S2392,VKT!$A$2:$G$415,7,0),"")</f>
        <v/>
      </c>
      <c r="X2392" s="900" t="str">
        <f t="shared" si="521"/>
        <v xml:space="preserve"> </v>
      </c>
      <c r="Y2392" s="985"/>
      <c r="Z2392" s="922"/>
      <c r="AA2392" s="1067"/>
      <c r="AB2392" s="922"/>
      <c r="AC2392" s="922"/>
      <c r="AD2392" s="922"/>
      <c r="AE2392" s="922"/>
      <c r="AF2392" s="1046"/>
      <c r="AG2392" s="906" t="str">
        <f>IF(AE2392&lt;&gt;0,VLOOKUP(AE2392,ODDS!$A$2:$C$13,3,0),"")</f>
        <v/>
      </c>
      <c r="AH2392" s="906" t="str">
        <f t="shared" si="528"/>
        <v xml:space="preserve"> </v>
      </c>
      <c r="AI2392" s="907" t="str">
        <f t="shared" si="533"/>
        <v xml:space="preserve"> </v>
      </c>
      <c r="AJ2392" s="922"/>
      <c r="AK2392" s="922"/>
    </row>
    <row r="2393" spans="1:37" s="394" customFormat="1" ht="65.25" outlineLevel="1" x14ac:dyDescent="0.25">
      <c r="A2393" s="467" t="s">
        <v>2505</v>
      </c>
      <c r="B2393" s="912">
        <v>205</v>
      </c>
      <c r="C2393" s="942" t="s">
        <v>2055</v>
      </c>
      <c r="D2393" s="1038"/>
      <c r="E2393" s="977"/>
      <c r="F2393" s="977"/>
      <c r="G2393" s="914"/>
      <c r="H2393" s="1039">
        <f>SUBTOTAL(9,H2394:H2398)</f>
        <v>95</v>
      </c>
      <c r="I2393" s="915">
        <f>SUBTOTAL(9,I2394:I2399)</f>
        <v>0</v>
      </c>
      <c r="J2393" s="916"/>
      <c r="K2393" s="917"/>
      <c r="L2393" s="917"/>
      <c r="M2393" s="907">
        <f>SUBTOTAL(9,M2394:M2398)</f>
        <v>44232000</v>
      </c>
      <c r="N2393" s="907">
        <f>SUBTOTAL(9,N2394:N2398)</f>
        <v>0</v>
      </c>
      <c r="O2393" s="942"/>
      <c r="P2393" s="1063">
        <f>SUBTOTAL(9,P2394:P2398)</f>
        <v>0</v>
      </c>
      <c r="Q2393" s="907"/>
      <c r="R2393" s="907">
        <f>SUBTOTAL(9,R2394:R2398)</f>
        <v>0</v>
      </c>
      <c r="S2393" s="918"/>
      <c r="T2393" s="956"/>
      <c r="U2393" s="1064">
        <f>SUBTOTAL(9,U2394:U2398)</f>
        <v>0</v>
      </c>
      <c r="V2393" s="914"/>
      <c r="W2393" s="907"/>
      <c r="X2393" s="907">
        <f>SUBTOTAL(9,X2394:X2398)</f>
        <v>0</v>
      </c>
      <c r="Y2393" s="985"/>
      <c r="Z2393" s="922"/>
      <c r="AA2393" s="1067"/>
      <c r="AB2393" s="922"/>
      <c r="AC2393" s="922"/>
      <c r="AD2393" s="922"/>
      <c r="AE2393" s="914"/>
      <c r="AF2393" s="1044">
        <f>SUBTOTAL(9,AF2394:AF2398)</f>
        <v>0</v>
      </c>
      <c r="AG2393" s="921"/>
      <c r="AH2393" s="921">
        <f>SUBTOTAL(9,AH2394:AH2398)</f>
        <v>0</v>
      </c>
      <c r="AI2393" s="907">
        <f t="shared" si="533"/>
        <v>44232000</v>
      </c>
      <c r="AJ2393" s="914"/>
      <c r="AK2393" s="914"/>
    </row>
    <row r="2394" spans="1:37" s="394" customFormat="1" ht="135" outlineLevel="2" x14ac:dyDescent="0.3">
      <c r="A2394" s="447">
        <f>IF(B2393&lt;&gt;0,B2393,A2392)</f>
        <v>205</v>
      </c>
      <c r="B2394" s="893"/>
      <c r="C2394" s="908"/>
      <c r="D2394" s="1032"/>
      <c r="E2394" s="947">
        <v>86</v>
      </c>
      <c r="F2394" s="947">
        <v>224</v>
      </c>
      <c r="G2394" s="922" t="s">
        <v>2856</v>
      </c>
      <c r="H2394" s="1041">
        <v>95</v>
      </c>
      <c r="I2394" s="882" t="str">
        <f t="shared" ref="I2394" si="538">IF(N2394&gt;0,H2394,"")</f>
        <v/>
      </c>
      <c r="J2394" s="898"/>
      <c r="K2394" s="899">
        <f>IF(G2394&lt;&gt;0,VLOOKUP(G2394,'gia dat'!$A$1:$F$144,5,0)," ")</f>
        <v>465600</v>
      </c>
      <c r="L2394" s="899">
        <f>IF(G2394&lt;&gt;0,VLOOKUP(G2394,'gia dat'!$A$1:$F$144,6,0)," ")</f>
        <v>0</v>
      </c>
      <c r="M2394" s="900">
        <f t="shared" si="536"/>
        <v>44232000</v>
      </c>
      <c r="N2394" s="900">
        <f t="shared" si="537"/>
        <v>0</v>
      </c>
      <c r="O2394" s="908"/>
      <c r="P2394" s="1065"/>
      <c r="Q2394" s="900" t="str">
        <f>IF(O2394&lt;&gt;0,VLOOKUP(O2394,'Cây trong'!$A$2:$C$246,3,0)," ")</f>
        <v xml:space="preserve"> </v>
      </c>
      <c r="R2394" s="900" t="str">
        <f t="shared" si="527"/>
        <v xml:space="preserve"> </v>
      </c>
      <c r="S2394" s="902"/>
      <c r="T2394" s="944"/>
      <c r="U2394" s="1066"/>
      <c r="V2394" s="922"/>
      <c r="W2394" s="900" t="str">
        <f>IF(S2394&lt;&gt;0,VLOOKUP(S2394,VKT!$A$2:$G$415,7,0),"")</f>
        <v/>
      </c>
      <c r="X2394" s="900" t="str">
        <f t="shared" si="521"/>
        <v xml:space="preserve"> </v>
      </c>
      <c r="Y2394" s="985"/>
      <c r="Z2394" s="922"/>
      <c r="AA2394" s="1067"/>
      <c r="AB2394" s="922"/>
      <c r="AC2394" s="922"/>
      <c r="AD2394" s="922"/>
      <c r="AE2394" s="922"/>
      <c r="AF2394" s="1046"/>
      <c r="AG2394" s="906" t="str">
        <f>IF(AE2394&lt;&gt;0,VLOOKUP(AE2394,ODDS!$A$2:$C$13,3,0),"")</f>
        <v/>
      </c>
      <c r="AH2394" s="906" t="str">
        <f t="shared" si="528"/>
        <v xml:space="preserve"> </v>
      </c>
      <c r="AI2394" s="907" t="str">
        <f t="shared" si="533"/>
        <v xml:space="preserve"> </v>
      </c>
      <c r="AJ2394" s="922"/>
      <c r="AK2394" s="922" t="s">
        <v>2771</v>
      </c>
    </row>
    <row r="2395" spans="1:37" s="394" customFormat="1" ht="22.5" outlineLevel="2" x14ac:dyDescent="0.3">
      <c r="A2395" s="447">
        <f>IF(B2394&lt;&gt;0,B2394,A2394)</f>
        <v>205</v>
      </c>
      <c r="B2395" s="893"/>
      <c r="C2395" s="908"/>
      <c r="D2395" s="1032"/>
      <c r="E2395" s="947"/>
      <c r="F2395" s="947"/>
      <c r="G2395" s="922"/>
      <c r="H2395" s="1041"/>
      <c r="I2395" s="882"/>
      <c r="J2395" s="898"/>
      <c r="K2395" s="899" t="str">
        <f>IF(G2395&lt;&gt;0,VLOOKUP(G2395,'gia dat'!$A$1:$F$144,5,0)," ")</f>
        <v xml:space="preserve"> </v>
      </c>
      <c r="L2395" s="899" t="str">
        <f>IF(G2395&lt;&gt;0,VLOOKUP(G2395,'gia dat'!$A$1:$F$144,6,0)," ")</f>
        <v xml:space="preserve"> </v>
      </c>
      <c r="M2395" s="900" t="str">
        <f t="shared" si="536"/>
        <v xml:space="preserve"> </v>
      </c>
      <c r="N2395" s="900" t="str">
        <f t="shared" si="537"/>
        <v xml:space="preserve"> </v>
      </c>
      <c r="O2395" s="908"/>
      <c r="P2395" s="1065"/>
      <c r="Q2395" s="900" t="str">
        <f>IF(O2395&lt;&gt;0,VLOOKUP(O2395,'Cây trong'!$A$2:$C$246,3,0)," ")</f>
        <v xml:space="preserve"> </v>
      </c>
      <c r="R2395" s="900" t="str">
        <f t="shared" si="527"/>
        <v xml:space="preserve"> </v>
      </c>
      <c r="S2395" s="902"/>
      <c r="T2395" s="944"/>
      <c r="U2395" s="1066"/>
      <c r="V2395" s="922"/>
      <c r="W2395" s="900" t="str">
        <f>IF(S2395&lt;&gt;0,VLOOKUP(S2395,VKT!$A$2:$G$415,7,0),"")</f>
        <v/>
      </c>
      <c r="X2395" s="900" t="str">
        <f t="shared" si="521"/>
        <v xml:space="preserve"> </v>
      </c>
      <c r="Y2395" s="985"/>
      <c r="Z2395" s="922"/>
      <c r="AA2395" s="1067"/>
      <c r="AB2395" s="922"/>
      <c r="AC2395" s="922"/>
      <c r="AD2395" s="922"/>
      <c r="AE2395" s="922"/>
      <c r="AF2395" s="1046"/>
      <c r="AG2395" s="906" t="str">
        <f>IF(AE2395&lt;&gt;0,VLOOKUP(AE2395,ODDS!$A$2:$C$13,3,0),"")</f>
        <v/>
      </c>
      <c r="AH2395" s="906" t="str">
        <f t="shared" si="528"/>
        <v xml:space="preserve"> </v>
      </c>
      <c r="AI2395" s="907" t="str">
        <f t="shared" si="533"/>
        <v xml:space="preserve"> </v>
      </c>
      <c r="AJ2395" s="922"/>
      <c r="AK2395" s="922"/>
    </row>
    <row r="2396" spans="1:37" s="394" customFormat="1" ht="22.5" outlineLevel="2" x14ac:dyDescent="0.3">
      <c r="A2396" s="447">
        <f>IF(B2395&lt;&gt;0,B2395,A2395)</f>
        <v>205</v>
      </c>
      <c r="B2396" s="893"/>
      <c r="C2396" s="908"/>
      <c r="D2396" s="1032"/>
      <c r="E2396" s="947"/>
      <c r="F2396" s="947"/>
      <c r="G2396" s="922"/>
      <c r="H2396" s="1041"/>
      <c r="I2396" s="882"/>
      <c r="J2396" s="898"/>
      <c r="K2396" s="899" t="str">
        <f>IF(G2396&lt;&gt;0,VLOOKUP(G2396,'gia dat'!$A$1:$F$144,5,0)," ")</f>
        <v xml:space="preserve"> </v>
      </c>
      <c r="L2396" s="899" t="str">
        <f>IF(G2396&lt;&gt;0,VLOOKUP(G2396,'gia dat'!$A$1:$F$144,6,0)," ")</f>
        <v xml:space="preserve"> </v>
      </c>
      <c r="M2396" s="900" t="str">
        <f t="shared" si="536"/>
        <v xml:space="preserve"> </v>
      </c>
      <c r="N2396" s="900" t="str">
        <f t="shared" si="537"/>
        <v xml:space="preserve"> </v>
      </c>
      <c r="O2396" s="908"/>
      <c r="P2396" s="1065"/>
      <c r="Q2396" s="900" t="str">
        <f>IF(O2396&lt;&gt;0,VLOOKUP(O2396,'Cây trong'!$A$2:$C$246,3,0)," ")</f>
        <v xml:space="preserve"> </v>
      </c>
      <c r="R2396" s="900" t="str">
        <f t="shared" si="527"/>
        <v xml:space="preserve"> </v>
      </c>
      <c r="S2396" s="902"/>
      <c r="T2396" s="944"/>
      <c r="U2396" s="1066"/>
      <c r="V2396" s="922"/>
      <c r="W2396" s="900" t="str">
        <f>IF(S2396&lt;&gt;0,VLOOKUP(S2396,VKT!$A$2:$G$415,7,0),"")</f>
        <v/>
      </c>
      <c r="X2396" s="900" t="str">
        <f t="shared" si="521"/>
        <v xml:space="preserve"> </v>
      </c>
      <c r="Y2396" s="985"/>
      <c r="Z2396" s="922"/>
      <c r="AA2396" s="1067"/>
      <c r="AB2396" s="922"/>
      <c r="AC2396" s="922"/>
      <c r="AD2396" s="922"/>
      <c r="AE2396" s="922"/>
      <c r="AF2396" s="1046"/>
      <c r="AG2396" s="906" t="str">
        <f>IF(AE2396&lt;&gt;0,VLOOKUP(AE2396,ODDS!$A$2:$C$13,3,0),"")</f>
        <v/>
      </c>
      <c r="AH2396" s="906" t="str">
        <f t="shared" si="528"/>
        <v xml:space="preserve"> </v>
      </c>
      <c r="AI2396" s="907" t="str">
        <f t="shared" si="533"/>
        <v xml:space="preserve"> </v>
      </c>
      <c r="AJ2396" s="922"/>
      <c r="AK2396" s="922"/>
    </row>
    <row r="2397" spans="1:37" s="394" customFormat="1" ht="22.5" outlineLevel="2" x14ac:dyDescent="0.3">
      <c r="A2397" s="447">
        <f>IF(B2396&lt;&gt;0,B2396,A2396)</f>
        <v>205</v>
      </c>
      <c r="B2397" s="893"/>
      <c r="C2397" s="908"/>
      <c r="D2397" s="1032"/>
      <c r="E2397" s="947"/>
      <c r="F2397" s="947"/>
      <c r="G2397" s="922"/>
      <c r="H2397" s="1041"/>
      <c r="I2397" s="882"/>
      <c r="J2397" s="898"/>
      <c r="K2397" s="899" t="str">
        <f>IF(G2397&lt;&gt;0,VLOOKUP(G2397,'gia dat'!$A$1:$F$144,5,0)," ")</f>
        <v xml:space="preserve"> </v>
      </c>
      <c r="L2397" s="899" t="str">
        <f>IF(G2397&lt;&gt;0,VLOOKUP(G2397,'gia dat'!$A$1:$F$144,6,0)," ")</f>
        <v xml:space="preserve"> </v>
      </c>
      <c r="M2397" s="900" t="str">
        <f t="shared" si="536"/>
        <v xml:space="preserve"> </v>
      </c>
      <c r="N2397" s="900" t="str">
        <f t="shared" si="537"/>
        <v xml:space="preserve"> </v>
      </c>
      <c r="O2397" s="908"/>
      <c r="P2397" s="1065"/>
      <c r="Q2397" s="900" t="str">
        <f>IF(O2397&lt;&gt;0,VLOOKUP(O2397,'Cây trong'!$A$2:$C$246,3,0)," ")</f>
        <v xml:space="preserve"> </v>
      </c>
      <c r="R2397" s="900" t="str">
        <f t="shared" si="527"/>
        <v xml:space="preserve"> </v>
      </c>
      <c r="S2397" s="902"/>
      <c r="T2397" s="944"/>
      <c r="U2397" s="1066"/>
      <c r="V2397" s="922"/>
      <c r="W2397" s="900" t="str">
        <f>IF(S2397&lt;&gt;0,VLOOKUP(S2397,VKT!$A$2:$G$415,7,0),"")</f>
        <v/>
      </c>
      <c r="X2397" s="900" t="str">
        <f t="shared" si="521"/>
        <v xml:space="preserve"> </v>
      </c>
      <c r="Y2397" s="985"/>
      <c r="Z2397" s="922"/>
      <c r="AA2397" s="1067"/>
      <c r="AB2397" s="922"/>
      <c r="AC2397" s="922"/>
      <c r="AD2397" s="922"/>
      <c r="AE2397" s="922"/>
      <c r="AF2397" s="1046"/>
      <c r="AG2397" s="906" t="str">
        <f>IF(AE2397&lt;&gt;0,VLOOKUP(AE2397,ODDS!$A$2:$C$13,3,0),"")</f>
        <v/>
      </c>
      <c r="AH2397" s="906" t="str">
        <f t="shared" si="528"/>
        <v xml:space="preserve"> </v>
      </c>
      <c r="AI2397" s="907" t="str">
        <f t="shared" si="533"/>
        <v xml:space="preserve"> </v>
      </c>
      <c r="AJ2397" s="922"/>
      <c r="AK2397" s="922"/>
    </row>
    <row r="2398" spans="1:37" s="394" customFormat="1" ht="22.5" outlineLevel="2" x14ac:dyDescent="0.3">
      <c r="A2398" s="447">
        <f>IF(B2397&lt;&gt;0,B2397,A2397)</f>
        <v>205</v>
      </c>
      <c r="B2398" s="893"/>
      <c r="C2398" s="942"/>
      <c r="D2398" s="1032"/>
      <c r="E2398" s="947"/>
      <c r="F2398" s="947"/>
      <c r="G2398" s="922"/>
      <c r="H2398" s="1041"/>
      <c r="I2398" s="882"/>
      <c r="J2398" s="898"/>
      <c r="K2398" s="899" t="str">
        <f>IF(G2398&lt;&gt;0,VLOOKUP(G2398,'gia dat'!$A$1:$F$144,5,0)," ")</f>
        <v xml:space="preserve"> </v>
      </c>
      <c r="L2398" s="899" t="str">
        <f>IF(G2398&lt;&gt;0,VLOOKUP(G2398,'gia dat'!$A$1:$F$144,6,0)," ")</f>
        <v xml:space="preserve"> </v>
      </c>
      <c r="M2398" s="900" t="str">
        <f t="shared" si="536"/>
        <v xml:space="preserve"> </v>
      </c>
      <c r="N2398" s="900" t="str">
        <f t="shared" si="537"/>
        <v xml:space="preserve"> </v>
      </c>
      <c r="O2398" s="908"/>
      <c r="P2398" s="1065"/>
      <c r="Q2398" s="900" t="str">
        <f>IF(O2398&lt;&gt;0,VLOOKUP(O2398,'Cây trong'!$A$2:$C$246,3,0)," ")</f>
        <v xml:space="preserve"> </v>
      </c>
      <c r="R2398" s="900" t="str">
        <f t="shared" si="527"/>
        <v xml:space="preserve"> </v>
      </c>
      <c r="S2398" s="902"/>
      <c r="T2398" s="944"/>
      <c r="U2398" s="1066"/>
      <c r="V2398" s="922"/>
      <c r="W2398" s="900" t="str">
        <f>IF(S2398&lt;&gt;0,VLOOKUP(S2398,VKT!$A$2:$G$415,7,0),"")</f>
        <v/>
      </c>
      <c r="X2398" s="900" t="str">
        <f t="shared" si="521"/>
        <v xml:space="preserve"> </v>
      </c>
      <c r="Y2398" s="985"/>
      <c r="Z2398" s="922"/>
      <c r="AA2398" s="1067"/>
      <c r="AB2398" s="922"/>
      <c r="AC2398" s="922"/>
      <c r="AD2398" s="922"/>
      <c r="AE2398" s="922"/>
      <c r="AF2398" s="1046"/>
      <c r="AG2398" s="906" t="str">
        <f>IF(AE2398&lt;&gt;0,VLOOKUP(AE2398,ODDS!$A$2:$C$13,3,0),"")</f>
        <v/>
      </c>
      <c r="AH2398" s="906" t="str">
        <f t="shared" si="528"/>
        <v xml:space="preserve"> </v>
      </c>
      <c r="AI2398" s="907" t="str">
        <f t="shared" si="533"/>
        <v xml:space="preserve"> </v>
      </c>
      <c r="AJ2398" s="922"/>
      <c r="AK2398" s="922"/>
    </row>
    <row r="2399" spans="1:37" s="396" customFormat="1" ht="43.5" outlineLevel="1" x14ac:dyDescent="0.25">
      <c r="A2399" s="467" t="s">
        <v>2504</v>
      </c>
      <c r="B2399" s="912">
        <v>206</v>
      </c>
      <c r="C2399" s="942" t="s">
        <v>2015</v>
      </c>
      <c r="D2399" s="1038"/>
      <c r="E2399" s="977"/>
      <c r="F2399" s="977"/>
      <c r="G2399" s="914"/>
      <c r="H2399" s="1039">
        <f>SUBTOTAL(9,H2400:H2413)</f>
        <v>490</v>
      </c>
      <c r="I2399" s="915">
        <f>SUBTOTAL(9,I2400:I2405)</f>
        <v>0</v>
      </c>
      <c r="J2399" s="916"/>
      <c r="K2399" s="917"/>
      <c r="L2399" s="917"/>
      <c r="M2399" s="907">
        <f>SUBTOTAL(9,M2400:M2413)</f>
        <v>228144000</v>
      </c>
      <c r="N2399" s="907">
        <f>SUBTOTAL(9,N2400:N2413)</f>
        <v>0</v>
      </c>
      <c r="O2399" s="942"/>
      <c r="P2399" s="1063">
        <f>SUBTOTAL(9,P2400:P2413)</f>
        <v>0</v>
      </c>
      <c r="Q2399" s="907"/>
      <c r="R2399" s="907">
        <f>SUBTOTAL(9,R2400:R2413)</f>
        <v>0</v>
      </c>
      <c r="S2399" s="918"/>
      <c r="T2399" s="956"/>
      <c r="U2399" s="1064">
        <f>SUBTOTAL(9,U2400:U2413)</f>
        <v>1606.9999999999998</v>
      </c>
      <c r="V2399" s="914"/>
      <c r="W2399" s="907"/>
      <c r="X2399" s="907">
        <f>SUBTOTAL(9,X2400:X2413)</f>
        <v>2181683000</v>
      </c>
      <c r="Y2399" s="985"/>
      <c r="Z2399" s="922"/>
      <c r="AA2399" s="1067"/>
      <c r="AB2399" s="922"/>
      <c r="AC2399" s="922"/>
      <c r="AD2399" s="922"/>
      <c r="AE2399" s="914"/>
      <c r="AF2399" s="1044">
        <f>SUBTOTAL(9,AF2400:AF2413)</f>
        <v>1</v>
      </c>
      <c r="AG2399" s="921"/>
      <c r="AH2399" s="921">
        <f>SUBTOTAL(9,AH2400:AH2413)</f>
        <v>5000000</v>
      </c>
      <c r="AI2399" s="907">
        <f t="shared" si="533"/>
        <v>2414827000</v>
      </c>
      <c r="AJ2399" s="914"/>
      <c r="AK2399" s="914"/>
    </row>
    <row r="2400" spans="1:37" s="396" customFormat="1" ht="157.5" outlineLevel="2" x14ac:dyDescent="0.3">
      <c r="A2400" s="447">
        <f>IF(B2399&lt;&gt;0,B2399,A2398)</f>
        <v>206</v>
      </c>
      <c r="B2400" s="893"/>
      <c r="C2400" s="908" t="s">
        <v>1557</v>
      </c>
      <c r="D2400" s="1032"/>
      <c r="E2400" s="947">
        <v>86</v>
      </c>
      <c r="F2400" s="947">
        <v>116</v>
      </c>
      <c r="G2400" s="922" t="s">
        <v>2874</v>
      </c>
      <c r="H2400" s="1041">
        <v>490</v>
      </c>
      <c r="I2400" s="882" t="str">
        <f t="shared" ref="I2400" si="539">IF(N2400&gt;0,H2400,"")</f>
        <v/>
      </c>
      <c r="J2400" s="898"/>
      <c r="K2400" s="899">
        <f>IF(G2400&lt;&gt;0,VLOOKUP(G2400,'gia dat'!$A$1:$F$144,5,0)," ")</f>
        <v>465600</v>
      </c>
      <c r="L2400" s="899">
        <f>IF(G2400&lt;&gt;0,VLOOKUP(G2400,'gia dat'!$A$1:$F$144,6,0)," ")</f>
        <v>0</v>
      </c>
      <c r="M2400" s="900">
        <f t="shared" si="536"/>
        <v>228144000</v>
      </c>
      <c r="N2400" s="900">
        <f t="shared" si="537"/>
        <v>0</v>
      </c>
      <c r="O2400" s="908"/>
      <c r="P2400" s="1065"/>
      <c r="Q2400" s="900" t="str">
        <f>IF(O2400&lt;&gt;0,VLOOKUP(O2400,'Cây trong'!$A$2:$C$246,3,0)," ")</f>
        <v xml:space="preserve"> </v>
      </c>
      <c r="R2400" s="900" t="str">
        <f t="shared" si="527"/>
        <v xml:space="preserve"> </v>
      </c>
      <c r="S2400" s="902" t="s">
        <v>2020</v>
      </c>
      <c r="T2400" s="944" t="s">
        <v>1133</v>
      </c>
      <c r="U2400" s="1066">
        <v>81.599999999999994</v>
      </c>
      <c r="V2400" s="922"/>
      <c r="W2400" s="900">
        <f>IF(S2400&lt;&gt;0,VLOOKUP(S2400,VKT!$A$2:$G$415,7,0),"")</f>
        <v>684506</v>
      </c>
      <c r="X2400" s="900">
        <f t="shared" si="521"/>
        <v>55856000</v>
      </c>
      <c r="Y2400" s="985"/>
      <c r="Z2400" s="922"/>
      <c r="AA2400" s="1067"/>
      <c r="AB2400" s="922"/>
      <c r="AC2400" s="922"/>
      <c r="AD2400" s="922"/>
      <c r="AE2400" s="922" t="s">
        <v>2137</v>
      </c>
      <c r="AF2400" s="1046">
        <v>1</v>
      </c>
      <c r="AG2400" s="906">
        <f>IF(AE2400&lt;&gt;0,VLOOKUP(AE2400,ODDS!$A$2:$C$13,3,0),"")</f>
        <v>5000000</v>
      </c>
      <c r="AH2400" s="906">
        <f t="shared" si="528"/>
        <v>5000000</v>
      </c>
      <c r="AI2400" s="907" t="str">
        <f t="shared" si="533"/>
        <v xml:space="preserve"> </v>
      </c>
      <c r="AJ2400" s="922" t="s">
        <v>2016</v>
      </c>
      <c r="AK2400" s="922" t="s">
        <v>2771</v>
      </c>
    </row>
    <row r="2401" spans="1:37" s="394" customFormat="1" ht="112.5" outlineLevel="2" x14ac:dyDescent="0.3">
      <c r="A2401" s="447">
        <f t="shared" ref="A2401:A2413" si="540">IF(B2400&lt;&gt;0,B2400,A2400)</f>
        <v>206</v>
      </c>
      <c r="B2401" s="893"/>
      <c r="C2401" s="908" t="s">
        <v>1652</v>
      </c>
      <c r="D2401" s="1032"/>
      <c r="E2401" s="947"/>
      <c r="F2401" s="947"/>
      <c r="G2401" s="922"/>
      <c r="H2401" s="1041"/>
      <c r="I2401" s="882"/>
      <c r="J2401" s="898"/>
      <c r="K2401" s="899" t="str">
        <f>IF(G2401&lt;&gt;0,VLOOKUP(G2401,'gia dat'!$A$1:$F$144,5,0)," ")</f>
        <v xml:space="preserve"> </v>
      </c>
      <c r="L2401" s="899" t="str">
        <f>IF(G2401&lt;&gt;0,VLOOKUP(G2401,'gia dat'!$A$1:$F$144,6,0)," ")</f>
        <v xml:space="preserve"> </v>
      </c>
      <c r="M2401" s="900" t="str">
        <f t="shared" si="536"/>
        <v xml:space="preserve"> </v>
      </c>
      <c r="N2401" s="900" t="str">
        <f t="shared" si="537"/>
        <v xml:space="preserve"> </v>
      </c>
      <c r="O2401" s="908"/>
      <c r="P2401" s="1065"/>
      <c r="Q2401" s="900" t="str">
        <f>IF(O2401&lt;&gt;0,VLOOKUP(O2401,'Cây trong'!$A$2:$C$246,3,0)," ")</f>
        <v xml:space="preserve"> </v>
      </c>
      <c r="R2401" s="900" t="str">
        <f t="shared" si="527"/>
        <v xml:space="preserve"> </v>
      </c>
      <c r="S2401" s="902" t="s">
        <v>2021</v>
      </c>
      <c r="T2401" s="944" t="s">
        <v>1133</v>
      </c>
      <c r="U2401" s="1066">
        <v>40.799999999999997</v>
      </c>
      <c r="V2401" s="922"/>
      <c r="W2401" s="900">
        <f>IF(S2401&lt;&gt;0,VLOOKUP(S2401,VKT!$A$2:$G$415,7,0),"")</f>
        <v>107866</v>
      </c>
      <c r="X2401" s="900">
        <f t="shared" si="521"/>
        <v>4401000</v>
      </c>
      <c r="Y2401" s="985"/>
      <c r="Z2401" s="922"/>
      <c r="AA2401" s="1067"/>
      <c r="AB2401" s="922"/>
      <c r="AC2401" s="922"/>
      <c r="AD2401" s="922"/>
      <c r="AE2401" s="922"/>
      <c r="AF2401" s="1046"/>
      <c r="AG2401" s="906" t="str">
        <f>IF(AE2401&lt;&gt;0,VLOOKUP(AE2401,ODDS!$A$2:$C$13,3,0),"")</f>
        <v/>
      </c>
      <c r="AH2401" s="906"/>
      <c r="AI2401" s="907" t="str">
        <f t="shared" si="533"/>
        <v xml:space="preserve"> </v>
      </c>
      <c r="AJ2401" s="922" t="s">
        <v>2017</v>
      </c>
      <c r="AK2401" s="894" t="s">
        <v>2450</v>
      </c>
    </row>
    <row r="2402" spans="1:37" s="394" customFormat="1" ht="112.5" outlineLevel="2" x14ac:dyDescent="0.3">
      <c r="A2402" s="447">
        <f t="shared" si="540"/>
        <v>206</v>
      </c>
      <c r="B2402" s="893"/>
      <c r="C2402" s="908"/>
      <c r="D2402" s="1032"/>
      <c r="E2402" s="947"/>
      <c r="F2402" s="947"/>
      <c r="G2402" s="922"/>
      <c r="H2402" s="1041"/>
      <c r="I2402" s="882"/>
      <c r="J2402" s="898"/>
      <c r="K2402" s="899" t="str">
        <f>IF(G2402&lt;&gt;0,VLOOKUP(G2402,'gia dat'!$A$1:$F$144,5,0)," ")</f>
        <v xml:space="preserve"> </v>
      </c>
      <c r="L2402" s="899" t="str">
        <f>IF(G2402&lt;&gt;0,VLOOKUP(G2402,'gia dat'!$A$1:$F$144,6,0)," ")</f>
        <v xml:space="preserve"> </v>
      </c>
      <c r="M2402" s="900" t="str">
        <f t="shared" si="536"/>
        <v xml:space="preserve"> </v>
      </c>
      <c r="N2402" s="900" t="str">
        <f t="shared" si="537"/>
        <v xml:space="preserve"> </v>
      </c>
      <c r="O2402" s="908"/>
      <c r="P2402" s="1065"/>
      <c r="Q2402" s="900" t="str">
        <f>IF(O2402&lt;&gt;0,VLOOKUP(O2402,'Cây trong'!$A$2:$C$246,3,0)," ")</f>
        <v xml:space="preserve"> </v>
      </c>
      <c r="R2402" s="900" t="str">
        <f t="shared" si="527"/>
        <v xml:space="preserve"> </v>
      </c>
      <c r="S2402" s="902" t="s">
        <v>2022</v>
      </c>
      <c r="T2402" s="944" t="s">
        <v>1133</v>
      </c>
      <c r="U2402" s="1066">
        <v>43.2</v>
      </c>
      <c r="V2402" s="922"/>
      <c r="W2402" s="900">
        <f>IF(S2402&lt;&gt;0,VLOOKUP(S2402,VKT!$A$2:$G$415,7,0),"")</f>
        <v>8308812</v>
      </c>
      <c r="X2402" s="900">
        <f t="shared" si="521"/>
        <v>358941000</v>
      </c>
      <c r="Y2402" s="985"/>
      <c r="Z2402" s="922"/>
      <c r="AA2402" s="1067"/>
      <c r="AB2402" s="922"/>
      <c r="AC2402" s="922"/>
      <c r="AD2402" s="922"/>
      <c r="AE2402" s="922"/>
      <c r="AF2402" s="1046"/>
      <c r="AG2402" s="906" t="str">
        <f>IF(AE2402&lt;&gt;0,VLOOKUP(AE2402,ODDS!$A$2:$C$13,3,0),"")</f>
        <v/>
      </c>
      <c r="AH2402" s="906" t="str">
        <f t="shared" si="528"/>
        <v xml:space="preserve"> </v>
      </c>
      <c r="AI2402" s="907" t="str">
        <f t="shared" si="533"/>
        <v xml:space="preserve"> </v>
      </c>
      <c r="AJ2402" s="922" t="s">
        <v>2019</v>
      </c>
      <c r="AK2402" s="922" t="s">
        <v>2447</v>
      </c>
    </row>
    <row r="2403" spans="1:37" s="394" customFormat="1" ht="112.5" outlineLevel="2" x14ac:dyDescent="0.35">
      <c r="A2403" s="447">
        <f t="shared" si="540"/>
        <v>206</v>
      </c>
      <c r="B2403" s="893"/>
      <c r="C2403" s="908"/>
      <c r="D2403" s="1032"/>
      <c r="E2403" s="947"/>
      <c r="F2403" s="947"/>
      <c r="G2403" s="922"/>
      <c r="H2403" s="1041"/>
      <c r="I2403" s="882"/>
      <c r="J2403" s="898"/>
      <c r="K2403" s="899" t="str">
        <f>IF(G2403&lt;&gt;0,VLOOKUP(G2403,'gia dat'!$A$1:$F$144,5,0)," ")</f>
        <v xml:space="preserve"> </v>
      </c>
      <c r="L2403" s="899" t="str">
        <f>IF(G2403&lt;&gt;0,VLOOKUP(G2403,'gia dat'!$A$1:$F$144,6,0)," ")</f>
        <v xml:space="preserve"> </v>
      </c>
      <c r="M2403" s="900" t="str">
        <f t="shared" si="536"/>
        <v xml:space="preserve"> </v>
      </c>
      <c r="N2403" s="900" t="str">
        <f t="shared" si="537"/>
        <v xml:space="preserve"> </v>
      </c>
      <c r="O2403" s="908"/>
      <c r="P2403" s="1065"/>
      <c r="Q2403" s="900" t="str">
        <f>IF(O2403&lt;&gt;0,VLOOKUP(O2403,'Cây trong'!$A$2:$C$246,3,0)," ")</f>
        <v xml:space="preserve"> </v>
      </c>
      <c r="R2403" s="900" t="str">
        <f t="shared" si="527"/>
        <v xml:space="preserve"> </v>
      </c>
      <c r="S2403" s="902" t="s">
        <v>2023</v>
      </c>
      <c r="T2403" s="944" t="s">
        <v>1133</v>
      </c>
      <c r="U2403" s="1066">
        <v>158.4</v>
      </c>
      <c r="V2403" s="922"/>
      <c r="W2403" s="900">
        <f>IF(S2403&lt;&gt;0,VLOOKUP(S2403,VKT!$A$2:$G$415,7,0),"")</f>
        <v>0</v>
      </c>
      <c r="X2403" s="900">
        <f t="shared" si="521"/>
        <v>0</v>
      </c>
      <c r="Y2403" s="985"/>
      <c r="Z2403" s="922"/>
      <c r="AA2403" s="1067"/>
      <c r="AB2403" s="922"/>
      <c r="AC2403" s="922"/>
      <c r="AD2403" s="922"/>
      <c r="AE2403" s="922"/>
      <c r="AF2403" s="1046"/>
      <c r="AG2403" s="906" t="str">
        <f>IF(AE2403&lt;&gt;0,VLOOKUP(AE2403,ODDS!$A$2:$C$13,3,0),"")</f>
        <v/>
      </c>
      <c r="AH2403" s="906" t="str">
        <f t="shared" si="528"/>
        <v xml:space="preserve"> </v>
      </c>
      <c r="AI2403" s="907" t="str">
        <f t="shared" si="533"/>
        <v xml:space="preserve"> </v>
      </c>
      <c r="AJ2403" s="1068"/>
      <c r="AK2403" s="922" t="s">
        <v>2800</v>
      </c>
    </row>
    <row r="2404" spans="1:37" s="394" customFormat="1" ht="45" outlineLevel="2" x14ac:dyDescent="0.3">
      <c r="A2404" s="447">
        <f t="shared" si="540"/>
        <v>206</v>
      </c>
      <c r="B2404" s="893"/>
      <c r="C2404" s="908"/>
      <c r="D2404" s="1032"/>
      <c r="E2404" s="947"/>
      <c r="F2404" s="947"/>
      <c r="G2404" s="922"/>
      <c r="H2404" s="1041"/>
      <c r="I2404" s="882"/>
      <c r="J2404" s="898"/>
      <c r="K2404" s="899" t="str">
        <f>IF(G2404&lt;&gt;0,VLOOKUP(G2404,'gia dat'!$A$1:$F$144,5,0)," ")</f>
        <v xml:space="preserve"> </v>
      </c>
      <c r="L2404" s="899" t="str">
        <f>IF(G2404&lt;&gt;0,VLOOKUP(G2404,'gia dat'!$A$1:$F$144,6,0)," ")</f>
        <v xml:space="preserve"> </v>
      </c>
      <c r="M2404" s="900" t="str">
        <f t="shared" si="536"/>
        <v xml:space="preserve"> </v>
      </c>
      <c r="N2404" s="900" t="str">
        <f t="shared" si="537"/>
        <v xml:space="preserve"> </v>
      </c>
      <c r="O2404" s="908"/>
      <c r="P2404" s="1065"/>
      <c r="Q2404" s="900" t="str">
        <f>IF(O2404&lt;&gt;0,VLOOKUP(O2404,'Cây trong'!$A$2:$C$246,3,0)," ")</f>
        <v xml:space="preserve"> </v>
      </c>
      <c r="R2404" s="900" t="str">
        <f t="shared" si="527"/>
        <v xml:space="preserve"> </v>
      </c>
      <c r="S2404" s="902" t="s">
        <v>1754</v>
      </c>
      <c r="T2404" s="944" t="s">
        <v>1133</v>
      </c>
      <c r="U2404" s="1066">
        <v>330.8</v>
      </c>
      <c r="V2404" s="922"/>
      <c r="W2404" s="900">
        <f>IF(S2404&lt;&gt;0,VLOOKUP(S2404,VKT!$A$2:$G$415,7,0),"")</f>
        <v>4717925</v>
      </c>
      <c r="X2404" s="900">
        <f t="shared" si="521"/>
        <v>1560690000</v>
      </c>
      <c r="Y2404" s="1016" t="s">
        <v>1138</v>
      </c>
      <c r="Z2404" s="922" t="s">
        <v>1558</v>
      </c>
      <c r="AA2404" s="1067" t="s">
        <v>56</v>
      </c>
      <c r="AB2404" s="922" t="s">
        <v>57</v>
      </c>
      <c r="AC2404" s="922" t="s">
        <v>1138</v>
      </c>
      <c r="AD2404" s="922" t="s">
        <v>1047</v>
      </c>
      <c r="AE2404" s="922"/>
      <c r="AF2404" s="1046"/>
      <c r="AG2404" s="906" t="str">
        <f>IF(AE2404&lt;&gt;0,VLOOKUP(AE2404,ODDS!$A$2:$C$13,3,0),"")</f>
        <v/>
      </c>
      <c r="AH2404" s="906" t="str">
        <f t="shared" si="528"/>
        <v xml:space="preserve"> </v>
      </c>
      <c r="AI2404" s="907" t="str">
        <f t="shared" si="533"/>
        <v xml:space="preserve"> </v>
      </c>
      <c r="AJ2404" s="922"/>
      <c r="AK2404" s="922"/>
    </row>
    <row r="2405" spans="1:37" s="394" customFormat="1" ht="67.5" outlineLevel="2" x14ac:dyDescent="0.3">
      <c r="A2405" s="447">
        <f t="shared" si="540"/>
        <v>206</v>
      </c>
      <c r="B2405" s="893"/>
      <c r="C2405" s="908"/>
      <c r="D2405" s="1032"/>
      <c r="E2405" s="947"/>
      <c r="F2405" s="947"/>
      <c r="G2405" s="922"/>
      <c r="H2405" s="1041"/>
      <c r="I2405" s="882"/>
      <c r="J2405" s="898"/>
      <c r="K2405" s="899" t="str">
        <f>IF(G2405&lt;&gt;0,VLOOKUP(G2405,'gia dat'!$A$1:$F$144,5,0)," ")</f>
        <v xml:space="preserve"> </v>
      </c>
      <c r="L2405" s="899" t="str">
        <f>IF(G2405&lt;&gt;0,VLOOKUP(G2405,'gia dat'!$A$1:$F$144,6,0)," ")</f>
        <v xml:space="preserve"> </v>
      </c>
      <c r="M2405" s="900" t="str">
        <f t="shared" si="536"/>
        <v xml:space="preserve"> </v>
      </c>
      <c r="N2405" s="900" t="str">
        <f t="shared" si="537"/>
        <v xml:space="preserve"> </v>
      </c>
      <c r="O2405" s="908"/>
      <c r="P2405" s="1065"/>
      <c r="Q2405" s="900" t="str">
        <f>IF(O2405&lt;&gt;0,VLOOKUP(O2405,'Cây trong'!$A$2:$C$246,3,0)," ")</f>
        <v xml:space="preserve"> </v>
      </c>
      <c r="R2405" s="900" t="str">
        <f t="shared" si="527"/>
        <v xml:space="preserve"> </v>
      </c>
      <c r="S2405" s="902" t="s">
        <v>2024</v>
      </c>
      <c r="T2405" s="944" t="s">
        <v>1133</v>
      </c>
      <c r="U2405" s="1066">
        <v>14.4</v>
      </c>
      <c r="V2405" s="922"/>
      <c r="W2405" s="900">
        <f>IF(S2405&lt;&gt;0,VLOOKUP(S2405,VKT!$A$2:$G$415,7,0),"")</f>
        <v>0</v>
      </c>
      <c r="X2405" s="900">
        <f t="shared" si="521"/>
        <v>0</v>
      </c>
      <c r="Y2405" s="985"/>
      <c r="Z2405" s="922"/>
      <c r="AA2405" s="1067"/>
      <c r="AB2405" s="922"/>
      <c r="AC2405" s="922"/>
      <c r="AD2405" s="922"/>
      <c r="AE2405" s="922"/>
      <c r="AF2405" s="1046"/>
      <c r="AG2405" s="906" t="str">
        <f>IF(AE2405&lt;&gt;0,VLOOKUP(AE2405,ODDS!$A$2:$C$13,3,0),"")</f>
        <v/>
      </c>
      <c r="AH2405" s="906" t="str">
        <f t="shared" si="528"/>
        <v xml:space="preserve"> </v>
      </c>
      <c r="AI2405" s="907" t="str">
        <f t="shared" si="533"/>
        <v xml:space="preserve"> </v>
      </c>
      <c r="AJ2405" s="922"/>
      <c r="AK2405" s="922"/>
    </row>
    <row r="2406" spans="1:37" s="394" customFormat="1" ht="90" outlineLevel="2" x14ac:dyDescent="0.3">
      <c r="A2406" s="447">
        <f t="shared" si="540"/>
        <v>206</v>
      </c>
      <c r="B2406" s="893"/>
      <c r="C2406" s="908"/>
      <c r="D2406" s="1032"/>
      <c r="E2406" s="947"/>
      <c r="F2406" s="947"/>
      <c r="G2406" s="922"/>
      <c r="H2406" s="1041"/>
      <c r="I2406" s="882"/>
      <c r="J2406" s="898"/>
      <c r="K2406" s="899" t="str">
        <f>IF(G2406&lt;&gt;0,VLOOKUP(G2406,'gia dat'!$A$1:$F$144,5,0)," ")</f>
        <v xml:space="preserve"> </v>
      </c>
      <c r="L2406" s="899" t="str">
        <f>IF(G2406&lt;&gt;0,VLOOKUP(G2406,'gia dat'!$A$1:$F$144,6,0)," ")</f>
        <v xml:space="preserve"> </v>
      </c>
      <c r="M2406" s="900" t="str">
        <f t="shared" si="536"/>
        <v xml:space="preserve"> </v>
      </c>
      <c r="N2406" s="900" t="str">
        <f t="shared" si="537"/>
        <v xml:space="preserve"> </v>
      </c>
      <c r="O2406" s="908"/>
      <c r="P2406" s="1065"/>
      <c r="Q2406" s="900" t="str">
        <f>IF(O2406&lt;&gt;0,VLOOKUP(O2406,'Cây trong'!$A$2:$C$246,3,0)," ")</f>
        <v xml:space="preserve"> </v>
      </c>
      <c r="R2406" s="900" t="str">
        <f t="shared" si="527"/>
        <v xml:space="preserve"> </v>
      </c>
      <c r="S2406" s="902" t="s">
        <v>2025</v>
      </c>
      <c r="T2406" s="944" t="s">
        <v>1133</v>
      </c>
      <c r="U2406" s="1066">
        <v>484</v>
      </c>
      <c r="V2406" s="922"/>
      <c r="W2406" s="900">
        <f>IF(S2406&lt;&gt;0,VLOOKUP(S2406,VKT!$A$2:$G$415,7,0),"")</f>
        <v>254982</v>
      </c>
      <c r="X2406" s="900">
        <f t="shared" si="521"/>
        <v>123411000</v>
      </c>
      <c r="Y2406" s="985"/>
      <c r="Z2406" s="922"/>
      <c r="AA2406" s="1067"/>
      <c r="AB2406" s="922"/>
      <c r="AC2406" s="922"/>
      <c r="AD2406" s="922"/>
      <c r="AE2406" s="922"/>
      <c r="AF2406" s="1046"/>
      <c r="AG2406" s="906" t="str">
        <f>IF(AE2406&lt;&gt;0,VLOOKUP(AE2406,ODDS!$A$2:$C$13,3,0),"")</f>
        <v/>
      </c>
      <c r="AH2406" s="906" t="str">
        <f t="shared" si="528"/>
        <v xml:space="preserve"> </v>
      </c>
      <c r="AI2406" s="907" t="str">
        <f t="shared" si="533"/>
        <v xml:space="preserve"> </v>
      </c>
      <c r="AJ2406" s="922"/>
      <c r="AK2406" s="922"/>
    </row>
    <row r="2407" spans="1:37" s="394" customFormat="1" ht="90" outlineLevel="2" x14ac:dyDescent="0.3">
      <c r="A2407" s="447">
        <f t="shared" si="540"/>
        <v>206</v>
      </c>
      <c r="B2407" s="893"/>
      <c r="C2407" s="908"/>
      <c r="D2407" s="1032"/>
      <c r="E2407" s="947"/>
      <c r="F2407" s="947"/>
      <c r="G2407" s="922"/>
      <c r="H2407" s="1041"/>
      <c r="I2407" s="882"/>
      <c r="J2407" s="898"/>
      <c r="K2407" s="899" t="str">
        <f>IF(G2407&lt;&gt;0,VLOOKUP(G2407,'gia dat'!$A$1:$F$144,5,0)," ")</f>
        <v xml:space="preserve"> </v>
      </c>
      <c r="L2407" s="899" t="str">
        <f>IF(G2407&lt;&gt;0,VLOOKUP(G2407,'gia dat'!$A$1:$F$144,6,0)," ")</f>
        <v xml:space="preserve"> </v>
      </c>
      <c r="M2407" s="900" t="str">
        <f t="shared" si="536"/>
        <v xml:space="preserve"> </v>
      </c>
      <c r="N2407" s="900" t="str">
        <f t="shared" si="537"/>
        <v xml:space="preserve"> </v>
      </c>
      <c r="O2407" s="908"/>
      <c r="P2407" s="1065"/>
      <c r="Q2407" s="900" t="str">
        <f>IF(O2407&lt;&gt;0,VLOOKUP(O2407,'Cây trong'!$A$2:$C$246,3,0)," ")</f>
        <v xml:space="preserve"> </v>
      </c>
      <c r="R2407" s="900" t="str">
        <f t="shared" si="527"/>
        <v xml:space="preserve"> </v>
      </c>
      <c r="S2407" s="902" t="s">
        <v>2026</v>
      </c>
      <c r="T2407" s="944" t="s">
        <v>1133</v>
      </c>
      <c r="U2407" s="1066">
        <v>52</v>
      </c>
      <c r="V2407" s="922"/>
      <c r="W2407" s="900">
        <f>IF(S2407&lt;&gt;0,VLOOKUP(S2407,VKT!$A$2:$G$415,7,0),"")</f>
        <v>254982</v>
      </c>
      <c r="X2407" s="900">
        <f t="shared" si="521"/>
        <v>13259000</v>
      </c>
      <c r="Y2407" s="985"/>
      <c r="Z2407" s="922"/>
      <c r="AA2407" s="1067"/>
      <c r="AB2407" s="922"/>
      <c r="AC2407" s="922"/>
      <c r="AD2407" s="922"/>
      <c r="AE2407" s="922"/>
      <c r="AF2407" s="1046"/>
      <c r="AG2407" s="906" t="str">
        <f>IF(AE2407&lt;&gt;0,VLOOKUP(AE2407,ODDS!$A$2:$C$13,3,0),"")</f>
        <v/>
      </c>
      <c r="AH2407" s="906" t="str">
        <f t="shared" si="528"/>
        <v xml:space="preserve"> </v>
      </c>
      <c r="AI2407" s="907" t="str">
        <f t="shared" si="533"/>
        <v xml:space="preserve"> </v>
      </c>
      <c r="AJ2407" s="922"/>
      <c r="AK2407" s="922"/>
    </row>
    <row r="2408" spans="1:37" s="394" customFormat="1" ht="67.5" outlineLevel="2" x14ac:dyDescent="0.3">
      <c r="A2408" s="447">
        <f t="shared" si="540"/>
        <v>206</v>
      </c>
      <c r="B2408" s="893"/>
      <c r="C2408" s="908"/>
      <c r="D2408" s="1032"/>
      <c r="E2408" s="947"/>
      <c r="F2408" s="947"/>
      <c r="G2408" s="922"/>
      <c r="H2408" s="1041"/>
      <c r="I2408" s="882"/>
      <c r="J2408" s="898"/>
      <c r="K2408" s="899" t="str">
        <f>IF(G2408&lt;&gt;0,VLOOKUP(G2408,'gia dat'!$A$1:$F$144,5,0)," ")</f>
        <v xml:space="preserve"> </v>
      </c>
      <c r="L2408" s="899" t="str">
        <f>IF(G2408&lt;&gt;0,VLOOKUP(G2408,'gia dat'!$A$1:$F$144,6,0)," ")</f>
        <v xml:space="preserve"> </v>
      </c>
      <c r="M2408" s="900" t="str">
        <f t="shared" si="536"/>
        <v xml:space="preserve"> </v>
      </c>
      <c r="N2408" s="900" t="str">
        <f t="shared" si="537"/>
        <v xml:space="preserve"> </v>
      </c>
      <c r="O2408" s="908"/>
      <c r="P2408" s="1065"/>
      <c r="Q2408" s="900" t="str">
        <f>IF(O2408&lt;&gt;0,VLOOKUP(O2408,'Cây trong'!$A$2:$C$246,3,0)," ")</f>
        <v xml:space="preserve"> </v>
      </c>
      <c r="R2408" s="900" t="str">
        <f t="shared" si="527"/>
        <v xml:space="preserve"> </v>
      </c>
      <c r="S2408" s="902" t="s">
        <v>2058</v>
      </c>
      <c r="T2408" s="944" t="s">
        <v>101</v>
      </c>
      <c r="U2408" s="1066">
        <v>68</v>
      </c>
      <c r="V2408" s="922"/>
      <c r="W2408" s="900">
        <f>IF(S2408&lt;&gt;0,VLOOKUP(S2408,VKT!$A$2:$G$415,7,0),"")</f>
        <v>191646</v>
      </c>
      <c r="X2408" s="900">
        <f t="shared" si="521"/>
        <v>13032000</v>
      </c>
      <c r="Y2408" s="985"/>
      <c r="Z2408" s="922"/>
      <c r="AA2408" s="1067"/>
      <c r="AB2408" s="922"/>
      <c r="AC2408" s="922"/>
      <c r="AD2408" s="922"/>
      <c r="AE2408" s="922"/>
      <c r="AF2408" s="1046"/>
      <c r="AG2408" s="906" t="str">
        <f>IF(AE2408&lt;&gt;0,VLOOKUP(AE2408,ODDS!$A$2:$C$13,3,0),"")</f>
        <v/>
      </c>
      <c r="AH2408" s="906" t="str">
        <f t="shared" si="528"/>
        <v xml:space="preserve"> </v>
      </c>
      <c r="AI2408" s="907" t="str">
        <f t="shared" si="533"/>
        <v xml:space="preserve"> </v>
      </c>
      <c r="AJ2408" s="922"/>
      <c r="AK2408" s="922"/>
    </row>
    <row r="2409" spans="1:37" s="394" customFormat="1" ht="67.5" outlineLevel="2" x14ac:dyDescent="0.3">
      <c r="A2409" s="447">
        <f t="shared" si="540"/>
        <v>206</v>
      </c>
      <c r="B2409" s="893"/>
      <c r="C2409" s="908"/>
      <c r="D2409" s="1032"/>
      <c r="E2409" s="947"/>
      <c r="F2409" s="947"/>
      <c r="G2409" s="922"/>
      <c r="H2409" s="1041"/>
      <c r="I2409" s="882"/>
      <c r="J2409" s="898"/>
      <c r="K2409" s="899" t="str">
        <f>IF(G2409&lt;&gt;0,VLOOKUP(G2409,'gia dat'!$A$1:$F$144,5,0)," ")</f>
        <v xml:space="preserve"> </v>
      </c>
      <c r="L2409" s="899" t="str">
        <f>IF(G2409&lt;&gt;0,VLOOKUP(G2409,'gia dat'!$A$1:$F$144,6,0)," ")</f>
        <v xml:space="preserve"> </v>
      </c>
      <c r="M2409" s="900" t="str">
        <f t="shared" si="536"/>
        <v xml:space="preserve"> </v>
      </c>
      <c r="N2409" s="900" t="str">
        <f t="shared" si="537"/>
        <v xml:space="preserve"> </v>
      </c>
      <c r="O2409" s="908"/>
      <c r="P2409" s="1065"/>
      <c r="Q2409" s="900" t="str">
        <f>IF(O2409&lt;&gt;0,VLOOKUP(O2409,'Cây trong'!$A$2:$C$246,3,0)," ")</f>
        <v xml:space="preserve"> </v>
      </c>
      <c r="R2409" s="900" t="str">
        <f t="shared" si="527"/>
        <v xml:space="preserve"> </v>
      </c>
      <c r="S2409" s="902" t="s">
        <v>2028</v>
      </c>
      <c r="T2409" s="944" t="s">
        <v>1559</v>
      </c>
      <c r="U2409" s="1066">
        <v>3</v>
      </c>
      <c r="V2409" s="922"/>
      <c r="W2409" s="900">
        <f>IF(S2409&lt;&gt;0,VLOOKUP(S2409,VKT!$A$2:$G$415,7,0),"")</f>
        <v>0</v>
      </c>
      <c r="X2409" s="900">
        <f t="shared" si="521"/>
        <v>0</v>
      </c>
      <c r="Y2409" s="985"/>
      <c r="Z2409" s="922"/>
      <c r="AA2409" s="1067"/>
      <c r="AB2409" s="922"/>
      <c r="AC2409" s="922"/>
      <c r="AD2409" s="922"/>
      <c r="AE2409" s="922"/>
      <c r="AF2409" s="1046"/>
      <c r="AG2409" s="906" t="str">
        <f>IF(AE2409&lt;&gt;0,VLOOKUP(AE2409,ODDS!$A$2:$C$13,3,0),"")</f>
        <v/>
      </c>
      <c r="AH2409" s="906" t="str">
        <f t="shared" si="528"/>
        <v xml:space="preserve"> </v>
      </c>
      <c r="AI2409" s="907" t="str">
        <f t="shared" si="533"/>
        <v xml:space="preserve"> </v>
      </c>
      <c r="AJ2409" s="922"/>
      <c r="AK2409" s="922"/>
    </row>
    <row r="2410" spans="1:37" s="394" customFormat="1" ht="45" outlineLevel="2" x14ac:dyDescent="0.3">
      <c r="A2410" s="447">
        <f t="shared" si="540"/>
        <v>206</v>
      </c>
      <c r="B2410" s="893"/>
      <c r="C2410" s="908"/>
      <c r="D2410" s="1032"/>
      <c r="E2410" s="947"/>
      <c r="F2410" s="947"/>
      <c r="G2410" s="922"/>
      <c r="H2410" s="1041"/>
      <c r="I2410" s="882"/>
      <c r="J2410" s="898"/>
      <c r="K2410" s="899" t="str">
        <f>IF(G2410&lt;&gt;0,VLOOKUP(G2410,'gia dat'!$A$1:$F$144,5,0)," ")</f>
        <v xml:space="preserve"> </v>
      </c>
      <c r="L2410" s="899" t="str">
        <f>IF(G2410&lt;&gt;0,VLOOKUP(G2410,'gia dat'!$A$1:$F$144,6,0)," ")</f>
        <v xml:space="preserve"> </v>
      </c>
      <c r="M2410" s="900" t="str">
        <f t="shared" si="536"/>
        <v xml:space="preserve"> </v>
      </c>
      <c r="N2410" s="900" t="str">
        <f t="shared" si="537"/>
        <v xml:space="preserve"> </v>
      </c>
      <c r="O2410" s="908"/>
      <c r="P2410" s="1065"/>
      <c r="Q2410" s="900" t="str">
        <f>IF(O2410&lt;&gt;0,VLOOKUP(O2410,'Cây trong'!$A$2:$C$246,3,0)," ")</f>
        <v xml:space="preserve"> </v>
      </c>
      <c r="R2410" s="900" t="str">
        <f t="shared" si="527"/>
        <v xml:space="preserve"> </v>
      </c>
      <c r="S2410" s="902" t="s">
        <v>1757</v>
      </c>
      <c r="T2410" s="944" t="s">
        <v>1133</v>
      </c>
      <c r="U2410" s="1066">
        <v>330.8</v>
      </c>
      <c r="V2410" s="922"/>
      <c r="W2410" s="900">
        <f>IF(S2410&lt;&gt;0,VLOOKUP(S2410,VKT!$A$2:$G$415,7,0),"")</f>
        <v>157477</v>
      </c>
      <c r="X2410" s="900">
        <f t="shared" si="521"/>
        <v>52093000</v>
      </c>
      <c r="Y2410" s="985"/>
      <c r="Z2410" s="922"/>
      <c r="AA2410" s="1067"/>
      <c r="AB2410" s="922"/>
      <c r="AC2410" s="922"/>
      <c r="AD2410" s="922"/>
      <c r="AE2410" s="922"/>
      <c r="AF2410" s="1046"/>
      <c r="AG2410" s="906" t="str">
        <f>IF(AE2410&lt;&gt;0,VLOOKUP(AE2410,ODDS!$A$2:$C$13,3,0),"")</f>
        <v/>
      </c>
      <c r="AH2410" s="906" t="str">
        <f t="shared" si="528"/>
        <v xml:space="preserve"> </v>
      </c>
      <c r="AI2410" s="907" t="str">
        <f t="shared" si="533"/>
        <v xml:space="preserve"> </v>
      </c>
      <c r="AJ2410" s="922"/>
      <c r="AK2410" s="922"/>
    </row>
    <row r="2411" spans="1:37" s="394" customFormat="1" ht="22.5" outlineLevel="2" x14ac:dyDescent="0.3">
      <c r="A2411" s="447">
        <f t="shared" si="540"/>
        <v>206</v>
      </c>
      <c r="B2411" s="893"/>
      <c r="C2411" s="908"/>
      <c r="D2411" s="1032"/>
      <c r="E2411" s="947"/>
      <c r="F2411" s="947"/>
      <c r="G2411" s="922"/>
      <c r="H2411" s="1041"/>
      <c r="I2411" s="882"/>
      <c r="J2411" s="898"/>
      <c r="K2411" s="899" t="str">
        <f>IF(G2411&lt;&gt;0,VLOOKUP(G2411,'gia dat'!$A$1:$F$144,5,0)," ")</f>
        <v xml:space="preserve"> </v>
      </c>
      <c r="L2411" s="899" t="str">
        <f>IF(G2411&lt;&gt;0,VLOOKUP(G2411,'gia dat'!$A$1:$F$144,6,0)," ")</f>
        <v xml:space="preserve"> </v>
      </c>
      <c r="M2411" s="900" t="str">
        <f t="shared" si="536"/>
        <v xml:space="preserve"> </v>
      </c>
      <c r="N2411" s="900" t="str">
        <f t="shared" si="537"/>
        <v xml:space="preserve"> </v>
      </c>
      <c r="O2411" s="908"/>
      <c r="P2411" s="1065"/>
      <c r="Q2411" s="900" t="str">
        <f>IF(O2411&lt;&gt;0,VLOOKUP(O2411,'Cây trong'!$A$2:$C$246,3,0)," ")</f>
        <v xml:space="preserve"> </v>
      </c>
      <c r="R2411" s="900" t="str">
        <f t="shared" si="527"/>
        <v xml:space="preserve"> </v>
      </c>
      <c r="S2411" s="902"/>
      <c r="T2411" s="944"/>
      <c r="U2411" s="1066"/>
      <c r="V2411" s="922"/>
      <c r="W2411" s="900" t="str">
        <f>IF(S2411&lt;&gt;0,VLOOKUP(S2411,#REF!,8,0),"")</f>
        <v/>
      </c>
      <c r="X2411" s="900" t="str">
        <f t="shared" ref="X2411:X2433" si="541">IF(S2411&lt;&gt;0,ROUND(U2411*W2411,-2)," ")</f>
        <v xml:space="preserve"> </v>
      </c>
      <c r="Y2411" s="985"/>
      <c r="Z2411" s="922"/>
      <c r="AA2411" s="1067"/>
      <c r="AB2411" s="922"/>
      <c r="AC2411" s="922"/>
      <c r="AD2411" s="922"/>
      <c r="AE2411" s="922"/>
      <c r="AF2411" s="1046"/>
      <c r="AG2411" s="906" t="str">
        <f>IF(AE2411&lt;&gt;0,VLOOKUP(AE2411,ODDS!$A$2:$C$13,3,0),"")</f>
        <v/>
      </c>
      <c r="AH2411" s="906" t="str">
        <f t="shared" si="528"/>
        <v xml:space="preserve"> </v>
      </c>
      <c r="AI2411" s="907" t="str">
        <f t="shared" si="533"/>
        <v xml:space="preserve"> </v>
      </c>
      <c r="AJ2411" s="922"/>
      <c r="AK2411" s="922"/>
    </row>
    <row r="2412" spans="1:37" s="394" customFormat="1" ht="22.5" outlineLevel="2" x14ac:dyDescent="0.3">
      <c r="A2412" s="447">
        <f t="shared" si="540"/>
        <v>206</v>
      </c>
      <c r="B2412" s="893"/>
      <c r="C2412" s="908"/>
      <c r="D2412" s="1032"/>
      <c r="E2412" s="947"/>
      <c r="F2412" s="947"/>
      <c r="G2412" s="922"/>
      <c r="H2412" s="1041"/>
      <c r="I2412" s="882"/>
      <c r="J2412" s="898"/>
      <c r="K2412" s="899" t="str">
        <f>IF(G2412&lt;&gt;0,VLOOKUP(G2412,'gia dat'!$A$1:$F$144,5,0)," ")</f>
        <v xml:space="preserve"> </v>
      </c>
      <c r="L2412" s="899" t="str">
        <f>IF(G2412&lt;&gt;0,VLOOKUP(G2412,'gia dat'!$A$1:$F$144,6,0)," ")</f>
        <v xml:space="preserve"> </v>
      </c>
      <c r="M2412" s="900" t="str">
        <f t="shared" si="536"/>
        <v xml:space="preserve"> </v>
      </c>
      <c r="N2412" s="900" t="str">
        <f t="shared" si="537"/>
        <v xml:space="preserve"> </v>
      </c>
      <c r="O2412" s="908"/>
      <c r="P2412" s="1065"/>
      <c r="Q2412" s="900" t="str">
        <f>IF(O2412&lt;&gt;0,VLOOKUP(O2412,'Cây trong'!$A$2:$C$246,3,0)," ")</f>
        <v xml:space="preserve"> </v>
      </c>
      <c r="R2412" s="900" t="str">
        <f t="shared" si="527"/>
        <v xml:space="preserve"> </v>
      </c>
      <c r="S2412" s="902"/>
      <c r="T2412" s="944"/>
      <c r="U2412" s="1066"/>
      <c r="V2412" s="922"/>
      <c r="W2412" s="900" t="str">
        <f>IF(S2412&lt;&gt;0,VLOOKUP(S2412,#REF!,8,0),"")</f>
        <v/>
      </c>
      <c r="X2412" s="900" t="str">
        <f t="shared" si="541"/>
        <v xml:space="preserve"> </v>
      </c>
      <c r="Y2412" s="985"/>
      <c r="Z2412" s="922"/>
      <c r="AA2412" s="1067"/>
      <c r="AB2412" s="922"/>
      <c r="AC2412" s="922"/>
      <c r="AD2412" s="922"/>
      <c r="AE2412" s="922"/>
      <c r="AF2412" s="1046"/>
      <c r="AG2412" s="906" t="str">
        <f>IF(AE2412&lt;&gt;0,VLOOKUP(AE2412,ODDS!$A$2:$C$13,3,0),"")</f>
        <v/>
      </c>
      <c r="AH2412" s="906" t="str">
        <f t="shared" si="528"/>
        <v xml:space="preserve"> </v>
      </c>
      <c r="AI2412" s="907" t="str">
        <f t="shared" si="533"/>
        <v xml:space="preserve"> </v>
      </c>
      <c r="AJ2412" s="922"/>
      <c r="AK2412" s="922"/>
    </row>
    <row r="2413" spans="1:37" s="394" customFormat="1" ht="22.5" outlineLevel="2" x14ac:dyDescent="0.3">
      <c r="A2413" s="447">
        <f t="shared" si="540"/>
        <v>206</v>
      </c>
      <c r="B2413" s="893"/>
      <c r="C2413" s="942"/>
      <c r="D2413" s="1032"/>
      <c r="E2413" s="947"/>
      <c r="F2413" s="947"/>
      <c r="G2413" s="922"/>
      <c r="H2413" s="1041"/>
      <c r="I2413" s="882"/>
      <c r="J2413" s="898"/>
      <c r="K2413" s="899" t="str">
        <f>IF(G2413&lt;&gt;0,VLOOKUP(G2413,'gia dat'!$A$1:$F$144,5,0)," ")</f>
        <v xml:space="preserve"> </v>
      </c>
      <c r="L2413" s="899" t="str">
        <f>IF(G2413&lt;&gt;0,VLOOKUP(G2413,'gia dat'!$A$1:$F$144,6,0)," ")</f>
        <v xml:space="preserve"> </v>
      </c>
      <c r="M2413" s="900" t="str">
        <f t="shared" si="536"/>
        <v xml:space="preserve"> </v>
      </c>
      <c r="N2413" s="900" t="str">
        <f t="shared" si="537"/>
        <v xml:space="preserve"> </v>
      </c>
      <c r="O2413" s="908"/>
      <c r="P2413" s="1065"/>
      <c r="Q2413" s="900" t="str">
        <f>IF(O2413&lt;&gt;0,VLOOKUP(O2413,'Cây trong'!$A$2:$C$246,3,0)," ")</f>
        <v xml:space="preserve"> </v>
      </c>
      <c r="R2413" s="900" t="str">
        <f t="shared" si="527"/>
        <v xml:space="preserve"> </v>
      </c>
      <c r="S2413" s="902"/>
      <c r="T2413" s="944"/>
      <c r="U2413" s="1066"/>
      <c r="V2413" s="922"/>
      <c r="W2413" s="900" t="str">
        <f>IF(S2413&lt;&gt;0,VLOOKUP(S2413,#REF!,8,0),"")</f>
        <v/>
      </c>
      <c r="X2413" s="900" t="str">
        <f t="shared" si="541"/>
        <v xml:space="preserve"> </v>
      </c>
      <c r="Y2413" s="985"/>
      <c r="Z2413" s="922"/>
      <c r="AA2413" s="1067"/>
      <c r="AB2413" s="922"/>
      <c r="AC2413" s="922"/>
      <c r="AD2413" s="922"/>
      <c r="AE2413" s="922"/>
      <c r="AF2413" s="1046"/>
      <c r="AG2413" s="906" t="str">
        <f>IF(AE2413&lt;&gt;0,VLOOKUP(AE2413,ODDS!$A$2:$C$13,3,0),"")</f>
        <v/>
      </c>
      <c r="AH2413" s="906" t="str">
        <f t="shared" si="528"/>
        <v xml:space="preserve"> </v>
      </c>
      <c r="AI2413" s="907" t="str">
        <f t="shared" si="533"/>
        <v xml:space="preserve"> </v>
      </c>
      <c r="AJ2413" s="922"/>
      <c r="AK2413" s="922"/>
    </row>
    <row r="2414" spans="1:37" s="394" customFormat="1" ht="43.5" outlineLevel="1" x14ac:dyDescent="0.25">
      <c r="A2414" s="467" t="s">
        <v>2503</v>
      </c>
      <c r="B2414" s="912">
        <v>207</v>
      </c>
      <c r="C2414" s="942" t="s">
        <v>1448</v>
      </c>
      <c r="D2414" s="1038"/>
      <c r="E2414" s="977"/>
      <c r="F2414" s="977"/>
      <c r="G2414" s="914"/>
      <c r="H2414" s="1039">
        <f>SUBTOTAL(9,H2415:H2420)</f>
        <v>12</v>
      </c>
      <c r="I2414" s="915">
        <f>SUBTOTAL(9,I2415:I2420)</f>
        <v>12</v>
      </c>
      <c r="J2414" s="916"/>
      <c r="K2414" s="917"/>
      <c r="L2414" s="917"/>
      <c r="M2414" s="907">
        <f>SUBTOTAL(9,M2415:M2420)</f>
        <v>6653000</v>
      </c>
      <c r="N2414" s="907">
        <f>SUBTOTAL(9,N2415:N2420)</f>
        <v>19958000</v>
      </c>
      <c r="O2414" s="942"/>
      <c r="P2414" s="1063">
        <f>SUBTOTAL(9,P2415:P2420)</f>
        <v>0</v>
      </c>
      <c r="Q2414" s="907"/>
      <c r="R2414" s="907">
        <f>SUBTOTAL(9,R2415:R2420)</f>
        <v>0</v>
      </c>
      <c r="S2414" s="918"/>
      <c r="T2414" s="956"/>
      <c r="U2414" s="1064">
        <f>SUBTOTAL(9,U2415:U2420)</f>
        <v>0</v>
      </c>
      <c r="V2414" s="914"/>
      <c r="W2414" s="907"/>
      <c r="X2414" s="907">
        <f>SUBTOTAL(9,X2415:X2420)</f>
        <v>0</v>
      </c>
      <c r="Y2414" s="985"/>
      <c r="Z2414" s="922"/>
      <c r="AA2414" s="1067"/>
      <c r="AB2414" s="922"/>
      <c r="AC2414" s="922"/>
      <c r="AD2414" s="922"/>
      <c r="AE2414" s="914"/>
      <c r="AF2414" s="1044">
        <f>SUBTOTAL(9,AF2415:AF2420)</f>
        <v>0</v>
      </c>
      <c r="AG2414" s="921"/>
      <c r="AH2414" s="921">
        <f>SUBTOTAL(9,AH2415:AH2420)</f>
        <v>0</v>
      </c>
      <c r="AI2414" s="907">
        <f t="shared" si="533"/>
        <v>26611000</v>
      </c>
      <c r="AJ2414" s="914"/>
      <c r="AK2414" s="914"/>
    </row>
    <row r="2415" spans="1:37" s="394" customFormat="1" ht="330.75" customHeight="1" outlineLevel="2" x14ac:dyDescent="0.3">
      <c r="A2415" s="447">
        <f>IF(B2414&lt;&gt;0,B2414,A2413)</f>
        <v>207</v>
      </c>
      <c r="B2415" s="893"/>
      <c r="C2415" s="908" t="s">
        <v>1450</v>
      </c>
      <c r="D2415" s="1032"/>
      <c r="E2415" s="947">
        <v>86</v>
      </c>
      <c r="F2415" s="947">
        <v>25</v>
      </c>
      <c r="G2415" s="922" t="s">
        <v>2420</v>
      </c>
      <c r="H2415" s="1041">
        <v>12</v>
      </c>
      <c r="I2415" s="882">
        <f t="shared" ref="I2415" si="542">IF(N2415&gt;0,H2415,"")</f>
        <v>12</v>
      </c>
      <c r="J2415" s="898"/>
      <c r="K2415" s="899">
        <f>IF(G2415&lt;&gt;0,VLOOKUP(G2415,'gia dat'!$A$1:$F$144,5,0)," ")</f>
        <v>554400</v>
      </c>
      <c r="L2415" s="899">
        <f>IF(G2415&lt;&gt;0,VLOOKUP(G2415,'gia dat'!$A$1:$F$144,6,0)," ")</f>
        <v>1663200</v>
      </c>
      <c r="M2415" s="900">
        <f t="shared" si="536"/>
        <v>6653000</v>
      </c>
      <c r="N2415" s="900">
        <f t="shared" si="537"/>
        <v>19958000</v>
      </c>
      <c r="O2415" s="908"/>
      <c r="P2415" s="1065"/>
      <c r="Q2415" s="900"/>
      <c r="R2415" s="900"/>
      <c r="S2415" s="902"/>
      <c r="T2415" s="944"/>
      <c r="U2415" s="1066"/>
      <c r="V2415" s="922"/>
      <c r="W2415" s="900"/>
      <c r="X2415" s="900"/>
      <c r="Y2415" s="985"/>
      <c r="Z2415" s="922"/>
      <c r="AA2415" s="1067"/>
      <c r="AB2415" s="922"/>
      <c r="AC2415" s="922"/>
      <c r="AD2415" s="922"/>
      <c r="AE2415" s="922"/>
      <c r="AF2415" s="1046"/>
      <c r="AG2415" s="906"/>
      <c r="AH2415" s="906"/>
      <c r="AI2415" s="907" t="str">
        <f t="shared" si="533"/>
        <v xml:space="preserve"> </v>
      </c>
      <c r="AJ2415" s="922" t="s">
        <v>2468</v>
      </c>
      <c r="AK2415" s="922"/>
    </row>
    <row r="2416" spans="1:37" s="394" customFormat="1" ht="112.5" outlineLevel="2" x14ac:dyDescent="0.3">
      <c r="A2416" s="447">
        <f>IF(B2415&lt;&gt;0,B2415,A2415)</f>
        <v>207</v>
      </c>
      <c r="B2416" s="893"/>
      <c r="C2416" s="908" t="s">
        <v>1634</v>
      </c>
      <c r="D2416" s="1032"/>
      <c r="E2416" s="947"/>
      <c r="F2416" s="947"/>
      <c r="G2416" s="922"/>
      <c r="H2416" s="1041"/>
      <c r="I2416" s="882"/>
      <c r="J2416" s="898"/>
      <c r="K2416" s="899" t="str">
        <f>IF(G2416&lt;&gt;0,VLOOKUP(G2416,'gia dat'!$A$1:$F$144,5,0)," ")</f>
        <v xml:space="preserve"> </v>
      </c>
      <c r="L2416" s="899" t="str">
        <f>IF(G2416&lt;&gt;0,VLOOKUP(G2416,'gia dat'!$A$1:$F$144,6,0)," ")</f>
        <v xml:space="preserve"> </v>
      </c>
      <c r="M2416" s="900" t="str">
        <f t="shared" si="536"/>
        <v xml:space="preserve"> </v>
      </c>
      <c r="N2416" s="900" t="str">
        <f t="shared" si="537"/>
        <v xml:space="preserve"> </v>
      </c>
      <c r="O2416" s="908"/>
      <c r="P2416" s="1065"/>
      <c r="Q2416" s="900"/>
      <c r="R2416" s="900"/>
      <c r="S2416" s="902"/>
      <c r="T2416" s="944"/>
      <c r="U2416" s="1066"/>
      <c r="V2416" s="922"/>
      <c r="W2416" s="900"/>
      <c r="X2416" s="900"/>
      <c r="Y2416" s="985"/>
      <c r="Z2416" s="922"/>
      <c r="AA2416" s="1067"/>
      <c r="AB2416" s="922"/>
      <c r="AC2416" s="922"/>
      <c r="AD2416" s="922"/>
      <c r="AE2416" s="922"/>
      <c r="AF2416" s="1046"/>
      <c r="AG2416" s="906"/>
      <c r="AH2416" s="906"/>
      <c r="AI2416" s="907" t="str">
        <f t="shared" si="533"/>
        <v xml:space="preserve"> </v>
      </c>
      <c r="AJ2416" s="922" t="s">
        <v>2074</v>
      </c>
      <c r="AK2416" s="922"/>
    </row>
    <row r="2417" spans="1:37" s="394" customFormat="1" ht="22.5" outlineLevel="2" x14ac:dyDescent="0.3">
      <c r="A2417" s="447">
        <f>IF(B2416&lt;&gt;0,B2416,A2416)</f>
        <v>207</v>
      </c>
      <c r="B2417" s="893"/>
      <c r="C2417" s="908"/>
      <c r="D2417" s="1032"/>
      <c r="E2417" s="947"/>
      <c r="F2417" s="947"/>
      <c r="G2417" s="922"/>
      <c r="H2417" s="1041"/>
      <c r="I2417" s="882"/>
      <c r="J2417" s="898"/>
      <c r="K2417" s="899" t="str">
        <f>IF(G2417&lt;&gt;0,VLOOKUP(G2417,'gia dat'!$A$1:$F$144,5,0)," ")</f>
        <v xml:space="preserve"> </v>
      </c>
      <c r="L2417" s="899" t="str">
        <f>IF(G2417&lt;&gt;0,VLOOKUP(G2417,'gia dat'!$A$1:$F$144,6,0)," ")</f>
        <v xml:space="preserve"> </v>
      </c>
      <c r="M2417" s="900" t="str">
        <f t="shared" si="536"/>
        <v xml:space="preserve"> </v>
      </c>
      <c r="N2417" s="900" t="str">
        <f t="shared" si="537"/>
        <v xml:space="preserve"> </v>
      </c>
      <c r="O2417" s="908"/>
      <c r="P2417" s="1065"/>
      <c r="Q2417" s="900"/>
      <c r="R2417" s="900"/>
      <c r="S2417" s="902"/>
      <c r="T2417" s="944"/>
      <c r="U2417" s="1066"/>
      <c r="V2417" s="922"/>
      <c r="W2417" s="900"/>
      <c r="X2417" s="900"/>
      <c r="Y2417" s="985"/>
      <c r="Z2417" s="922"/>
      <c r="AA2417" s="1067"/>
      <c r="AB2417" s="922"/>
      <c r="AC2417" s="922"/>
      <c r="AD2417" s="922"/>
      <c r="AE2417" s="922"/>
      <c r="AF2417" s="1046"/>
      <c r="AG2417" s="906"/>
      <c r="AH2417" s="906"/>
      <c r="AI2417" s="907" t="str">
        <f t="shared" si="533"/>
        <v xml:space="preserve"> </v>
      </c>
      <c r="AJ2417" s="922"/>
      <c r="AK2417" s="922"/>
    </row>
    <row r="2418" spans="1:37" s="394" customFormat="1" ht="22.5" outlineLevel="2" x14ac:dyDescent="0.3">
      <c r="A2418" s="447">
        <f>IF(B2417&lt;&gt;0,B2417,A2417)</f>
        <v>207</v>
      </c>
      <c r="B2418" s="893"/>
      <c r="C2418" s="908"/>
      <c r="D2418" s="1032"/>
      <c r="E2418" s="947"/>
      <c r="F2418" s="947"/>
      <c r="G2418" s="922"/>
      <c r="H2418" s="1041"/>
      <c r="I2418" s="882"/>
      <c r="J2418" s="898"/>
      <c r="K2418" s="899" t="str">
        <f>IF(G2418&lt;&gt;0,VLOOKUP(G2418,'gia dat'!$A$1:$F$144,5,0)," ")</f>
        <v xml:space="preserve"> </v>
      </c>
      <c r="L2418" s="899" t="str">
        <f>IF(G2418&lt;&gt;0,VLOOKUP(G2418,'gia dat'!$A$1:$F$144,6,0)," ")</f>
        <v xml:space="preserve"> </v>
      </c>
      <c r="M2418" s="900" t="str">
        <f t="shared" si="536"/>
        <v xml:space="preserve"> </v>
      </c>
      <c r="N2418" s="900" t="str">
        <f t="shared" si="537"/>
        <v xml:space="preserve"> </v>
      </c>
      <c r="O2418" s="908"/>
      <c r="P2418" s="1065"/>
      <c r="Q2418" s="900"/>
      <c r="R2418" s="900"/>
      <c r="S2418" s="902"/>
      <c r="T2418" s="944"/>
      <c r="U2418" s="1066"/>
      <c r="V2418" s="922"/>
      <c r="W2418" s="900"/>
      <c r="X2418" s="900"/>
      <c r="Y2418" s="985"/>
      <c r="Z2418" s="922"/>
      <c r="AA2418" s="1067"/>
      <c r="AB2418" s="922"/>
      <c r="AC2418" s="922"/>
      <c r="AD2418" s="922"/>
      <c r="AE2418" s="922"/>
      <c r="AF2418" s="1046"/>
      <c r="AG2418" s="906"/>
      <c r="AH2418" s="906"/>
      <c r="AI2418" s="907" t="str">
        <f t="shared" si="533"/>
        <v xml:space="preserve"> </v>
      </c>
      <c r="AJ2418" s="922"/>
      <c r="AK2418" s="922"/>
    </row>
    <row r="2419" spans="1:37" s="394" customFormat="1" ht="22.5" outlineLevel="2" x14ac:dyDescent="0.3">
      <c r="A2419" s="447">
        <f>IF(B2418&lt;&gt;0,B2418,A2418)</f>
        <v>207</v>
      </c>
      <c r="B2419" s="893"/>
      <c r="C2419" s="908"/>
      <c r="D2419" s="1032"/>
      <c r="E2419" s="947"/>
      <c r="F2419" s="947"/>
      <c r="G2419" s="922"/>
      <c r="H2419" s="1041"/>
      <c r="I2419" s="882"/>
      <c r="J2419" s="898"/>
      <c r="K2419" s="899" t="str">
        <f>IF(G2419&lt;&gt;0,VLOOKUP(G2419,'gia dat'!$A$1:$F$144,5,0)," ")</f>
        <v xml:space="preserve"> </v>
      </c>
      <c r="L2419" s="899" t="str">
        <f>IF(G2419&lt;&gt;0,VLOOKUP(G2419,'gia dat'!$A$1:$F$144,6,0)," ")</f>
        <v xml:space="preserve"> </v>
      </c>
      <c r="M2419" s="900" t="str">
        <f t="shared" si="536"/>
        <v xml:space="preserve"> </v>
      </c>
      <c r="N2419" s="900" t="str">
        <f t="shared" si="537"/>
        <v xml:space="preserve"> </v>
      </c>
      <c r="O2419" s="908"/>
      <c r="P2419" s="1065"/>
      <c r="Q2419" s="900"/>
      <c r="R2419" s="900"/>
      <c r="S2419" s="902"/>
      <c r="T2419" s="944"/>
      <c r="U2419" s="1066"/>
      <c r="V2419" s="922"/>
      <c r="W2419" s="900"/>
      <c r="X2419" s="900"/>
      <c r="Y2419" s="985"/>
      <c r="Z2419" s="922"/>
      <c r="AA2419" s="1067"/>
      <c r="AB2419" s="922"/>
      <c r="AC2419" s="922"/>
      <c r="AD2419" s="922"/>
      <c r="AE2419" s="922"/>
      <c r="AF2419" s="1046"/>
      <c r="AG2419" s="906"/>
      <c r="AH2419" s="906"/>
      <c r="AI2419" s="907" t="str">
        <f t="shared" si="533"/>
        <v xml:space="preserve"> </v>
      </c>
      <c r="AJ2419" s="922"/>
      <c r="AK2419" s="922"/>
    </row>
    <row r="2420" spans="1:37" s="394" customFormat="1" ht="22.5" outlineLevel="2" x14ac:dyDescent="0.3">
      <c r="A2420" s="447">
        <f>IF(B2419&lt;&gt;0,B2419,A2419)</f>
        <v>207</v>
      </c>
      <c r="B2420" s="893"/>
      <c r="C2420" s="942"/>
      <c r="D2420" s="1032"/>
      <c r="E2420" s="947"/>
      <c r="F2420" s="947"/>
      <c r="G2420" s="922"/>
      <c r="H2420" s="1041"/>
      <c r="I2420" s="882"/>
      <c r="J2420" s="898"/>
      <c r="K2420" s="899" t="str">
        <f>IF(G2420&lt;&gt;0,VLOOKUP(G2420,'gia dat'!$A$1:$F$144,5,0)," ")</f>
        <v xml:space="preserve"> </v>
      </c>
      <c r="L2420" s="899" t="str">
        <f>IF(G2420&lt;&gt;0,VLOOKUP(G2420,'gia dat'!$A$1:$F$144,6,0)," ")</f>
        <v xml:space="preserve"> </v>
      </c>
      <c r="M2420" s="900" t="str">
        <f t="shared" si="536"/>
        <v xml:space="preserve"> </v>
      </c>
      <c r="N2420" s="900" t="str">
        <f t="shared" si="537"/>
        <v xml:space="preserve"> </v>
      </c>
      <c r="O2420" s="908"/>
      <c r="P2420" s="1065"/>
      <c r="Q2420" s="900"/>
      <c r="R2420" s="900"/>
      <c r="S2420" s="902"/>
      <c r="T2420" s="944"/>
      <c r="U2420" s="1066"/>
      <c r="V2420" s="922"/>
      <c r="W2420" s="900"/>
      <c r="X2420" s="900"/>
      <c r="Y2420" s="985"/>
      <c r="Z2420" s="922"/>
      <c r="AA2420" s="1067"/>
      <c r="AB2420" s="922"/>
      <c r="AC2420" s="922"/>
      <c r="AD2420" s="922"/>
      <c r="AE2420" s="922"/>
      <c r="AF2420" s="1046"/>
      <c r="AG2420" s="906"/>
      <c r="AH2420" s="906"/>
      <c r="AI2420" s="907" t="str">
        <f t="shared" si="533"/>
        <v xml:space="preserve"> </v>
      </c>
      <c r="AJ2420" s="922"/>
      <c r="AK2420" s="922"/>
    </row>
    <row r="2421" spans="1:37" s="394" customFormat="1" ht="43.5" outlineLevel="1" x14ac:dyDescent="0.25">
      <c r="A2421" s="467" t="s">
        <v>2502</v>
      </c>
      <c r="B2421" s="912">
        <v>208</v>
      </c>
      <c r="C2421" s="942" t="s">
        <v>2056</v>
      </c>
      <c r="D2421" s="1038"/>
      <c r="E2421" s="977"/>
      <c r="F2421" s="977"/>
      <c r="G2421" s="914"/>
      <c r="H2421" s="1039">
        <f>SUBTOTAL(9,H2422:H2426)</f>
        <v>94.3</v>
      </c>
      <c r="I2421" s="915">
        <f>SUBTOTAL(9,I2422:I2427)</f>
        <v>0</v>
      </c>
      <c r="J2421" s="916"/>
      <c r="K2421" s="917"/>
      <c r="L2421" s="917"/>
      <c r="M2421" s="907">
        <f>SUBTOTAL(9,M2422:M2426)</f>
        <v>405726000</v>
      </c>
      <c r="N2421" s="907">
        <f>SUBTOTAL(9,N2422:N2426)</f>
        <v>0</v>
      </c>
      <c r="O2421" s="942"/>
      <c r="P2421" s="1063">
        <f>SUBTOTAL(9,P2422:P2426)</f>
        <v>0</v>
      </c>
      <c r="Q2421" s="907"/>
      <c r="R2421" s="907">
        <f>SUBTOTAL(9,R2422:R2426)</f>
        <v>0</v>
      </c>
      <c r="S2421" s="918"/>
      <c r="T2421" s="956"/>
      <c r="U2421" s="1064">
        <f>SUBTOTAL(9,U2422:U2426)</f>
        <v>0</v>
      </c>
      <c r="V2421" s="914"/>
      <c r="W2421" s="907"/>
      <c r="X2421" s="907">
        <f>SUBTOTAL(9,X2422:X2426)</f>
        <v>0</v>
      </c>
      <c r="Y2421" s="985"/>
      <c r="Z2421" s="922"/>
      <c r="AA2421" s="1067"/>
      <c r="AB2421" s="922"/>
      <c r="AC2421" s="922"/>
      <c r="AD2421" s="922"/>
      <c r="AE2421" s="914"/>
      <c r="AF2421" s="1044">
        <f>SUBTOTAL(9,AF2422:AF2426)</f>
        <v>0</v>
      </c>
      <c r="AG2421" s="921"/>
      <c r="AH2421" s="921">
        <f>SUBTOTAL(9,AH2422:AH2426)</f>
        <v>0</v>
      </c>
      <c r="AI2421" s="907">
        <f t="shared" si="533"/>
        <v>405726000</v>
      </c>
      <c r="AJ2421" s="914"/>
      <c r="AK2421" s="914"/>
    </row>
    <row r="2422" spans="1:37" s="394" customFormat="1" ht="45" outlineLevel="2" x14ac:dyDescent="0.3">
      <c r="A2422" s="447">
        <f>IF(B2421&lt;&gt;0,B2421,A2420)</f>
        <v>208</v>
      </c>
      <c r="B2422" s="893"/>
      <c r="C2422" s="908"/>
      <c r="D2422" s="1032"/>
      <c r="E2422" s="947">
        <v>86</v>
      </c>
      <c r="F2422" s="947">
        <v>717</v>
      </c>
      <c r="G2422" s="922" t="s">
        <v>2461</v>
      </c>
      <c r="H2422" s="1041">
        <f>94.3-H2423</f>
        <v>58.3</v>
      </c>
      <c r="I2422" s="882" t="str">
        <f t="shared" ref="I2422:I2423" si="543">IF(N2422&gt;0,H2422,"")</f>
        <v/>
      </c>
      <c r="J2422" s="898"/>
      <c r="K2422" s="899">
        <f>IF(G2422&lt;&gt;0,VLOOKUP(G2422,'gia dat'!$A$1:$F$144,5,0)," ")</f>
        <v>554400</v>
      </c>
      <c r="L2422" s="899">
        <f>IF(G2422&lt;&gt;0,VLOOKUP(G2422,'gia dat'!$A$1:$F$144,6,0)," ")</f>
        <v>0</v>
      </c>
      <c r="M2422" s="900">
        <f t="shared" si="536"/>
        <v>32322000</v>
      </c>
      <c r="N2422" s="900">
        <f t="shared" si="537"/>
        <v>0</v>
      </c>
      <c r="O2422" s="908"/>
      <c r="P2422" s="1065"/>
      <c r="Q2422" s="900" t="str">
        <f>IF(O2422&lt;&gt;0,VLOOKUP(O2422,'Cây trong'!$A$2:$C$246,3,0)," ")</f>
        <v xml:space="preserve"> </v>
      </c>
      <c r="R2422" s="900" t="str">
        <f t="shared" si="527"/>
        <v xml:space="preserve"> </v>
      </c>
      <c r="S2422" s="902"/>
      <c r="T2422" s="944"/>
      <c r="U2422" s="1066"/>
      <c r="V2422" s="922"/>
      <c r="W2422" s="900" t="str">
        <f>IF(S2422&lt;&gt;0,VLOOKUP(S2422,#REF!,8,0),"")</f>
        <v/>
      </c>
      <c r="X2422" s="900" t="str">
        <f t="shared" si="541"/>
        <v xml:space="preserve"> </v>
      </c>
      <c r="Y2422" s="985"/>
      <c r="Z2422" s="922"/>
      <c r="AA2422" s="1067"/>
      <c r="AB2422" s="922"/>
      <c r="AC2422" s="922"/>
      <c r="AD2422" s="922"/>
      <c r="AE2422" s="922"/>
      <c r="AF2422" s="1046"/>
      <c r="AG2422" s="906" t="str">
        <f>IF(AE2422&lt;&gt;0,VLOOKUP(AE2422,ODDS!$A$2:$C$13,3,0),"")</f>
        <v/>
      </c>
      <c r="AH2422" s="906" t="str">
        <f t="shared" si="528"/>
        <v xml:space="preserve"> </v>
      </c>
      <c r="AI2422" s="907" t="str">
        <f t="shared" si="533"/>
        <v xml:space="preserve"> </v>
      </c>
      <c r="AJ2422" s="922"/>
      <c r="AK2422" s="922"/>
    </row>
    <row r="2423" spans="1:37" s="394" customFormat="1" ht="112.5" outlineLevel="2" x14ac:dyDescent="0.3">
      <c r="A2423" s="447">
        <f>IF(B2422&lt;&gt;0,B2422,A2422)</f>
        <v>208</v>
      </c>
      <c r="B2423" s="893"/>
      <c r="C2423" s="908"/>
      <c r="D2423" s="1032"/>
      <c r="E2423" s="947"/>
      <c r="F2423" s="947"/>
      <c r="G2423" s="922" t="s">
        <v>2905</v>
      </c>
      <c r="H2423" s="1041">
        <v>36</v>
      </c>
      <c r="I2423" s="882" t="str">
        <f t="shared" si="543"/>
        <v/>
      </c>
      <c r="J2423" s="898"/>
      <c r="K2423" s="899">
        <f>IF(G2423&lt;&gt;0,VLOOKUP(G2423,'gia dat'!$A$1:$F$144,5,0)," ")</f>
        <v>10372320</v>
      </c>
      <c r="L2423" s="899">
        <f>IF(G2423&lt;&gt;0,VLOOKUP(G2423,'gia dat'!$A$1:$F$144,6,0)," ")</f>
        <v>0</v>
      </c>
      <c r="M2423" s="900">
        <f t="shared" si="536"/>
        <v>373404000</v>
      </c>
      <c r="N2423" s="900">
        <f t="shared" si="537"/>
        <v>0</v>
      </c>
      <c r="O2423" s="908"/>
      <c r="P2423" s="1065"/>
      <c r="Q2423" s="900" t="str">
        <f>IF(O2423&lt;&gt;0,VLOOKUP(O2423,'Cây trong'!$A$2:$C$246,3,0)," ")</f>
        <v xml:space="preserve"> </v>
      </c>
      <c r="R2423" s="900" t="str">
        <f t="shared" si="527"/>
        <v xml:space="preserve"> </v>
      </c>
      <c r="S2423" s="902"/>
      <c r="T2423" s="944"/>
      <c r="U2423" s="1066"/>
      <c r="V2423" s="922"/>
      <c r="W2423" s="900" t="str">
        <f>IF(S2423&lt;&gt;0,VLOOKUP(S2423,#REF!,8,0),"")</f>
        <v/>
      </c>
      <c r="X2423" s="900" t="str">
        <f t="shared" si="541"/>
        <v xml:space="preserve"> </v>
      </c>
      <c r="Y2423" s="985"/>
      <c r="Z2423" s="922"/>
      <c r="AA2423" s="1067"/>
      <c r="AB2423" s="922"/>
      <c r="AC2423" s="922"/>
      <c r="AD2423" s="922"/>
      <c r="AE2423" s="922"/>
      <c r="AF2423" s="1046"/>
      <c r="AG2423" s="906" t="str">
        <f>IF(AE2423&lt;&gt;0,VLOOKUP(AE2423,ODDS!$A$2:$C$13,3,0),"")</f>
        <v/>
      </c>
      <c r="AH2423" s="906" t="str">
        <f t="shared" si="528"/>
        <v xml:space="preserve"> </v>
      </c>
      <c r="AI2423" s="907" t="str">
        <f t="shared" si="533"/>
        <v xml:space="preserve"> </v>
      </c>
      <c r="AJ2423" s="922"/>
      <c r="AK2423" s="922"/>
    </row>
    <row r="2424" spans="1:37" s="394" customFormat="1" ht="22.5" outlineLevel="2" x14ac:dyDescent="0.25">
      <c r="A2424" s="447">
        <f>IF(B2423&lt;&gt;0,B2423,A2423)</f>
        <v>208</v>
      </c>
      <c r="B2424" s="893"/>
      <c r="C2424" s="908"/>
      <c r="D2424" s="1032"/>
      <c r="E2424" s="947"/>
      <c r="F2424" s="947"/>
      <c r="G2424" s="922"/>
      <c r="H2424" s="1041"/>
      <c r="I2424" s="1041"/>
      <c r="J2424" s="898"/>
      <c r="K2424" s="899" t="str">
        <f>IF(G2424&lt;&gt;0,VLOOKUP(G2424,'gia dat'!$A$1:$F$144,5,0)," ")</f>
        <v xml:space="preserve"> </v>
      </c>
      <c r="L2424" s="899" t="str">
        <f>IF(G2424&lt;&gt;0,VLOOKUP(G2424,'gia dat'!$A$1:$F$144,6,0)," ")</f>
        <v xml:space="preserve"> </v>
      </c>
      <c r="M2424" s="900" t="str">
        <f t="shared" ref="M2424" si="544">IF(H2424&lt;&gt;0,ROUND(H2424*K2424,-3)," ")</f>
        <v xml:space="preserve"> </v>
      </c>
      <c r="N2424" s="900" t="str">
        <f t="shared" ref="N2424" si="545">IF(H2424&lt;&gt;0,ROUND(H2424*L2424,-3)," ")</f>
        <v xml:space="preserve"> </v>
      </c>
      <c r="O2424" s="908"/>
      <c r="P2424" s="1065"/>
      <c r="Q2424" s="900" t="str">
        <f>IF(O2424&lt;&gt;0,VLOOKUP(O2424,'Cây trong'!$A$2:$C$246,3,0)," ")</f>
        <v xml:space="preserve"> </v>
      </c>
      <c r="R2424" s="900" t="str">
        <f t="shared" si="527"/>
        <v xml:space="preserve"> </v>
      </c>
      <c r="S2424" s="902"/>
      <c r="T2424" s="944"/>
      <c r="U2424" s="1066"/>
      <c r="V2424" s="922"/>
      <c r="W2424" s="900" t="str">
        <f>IF(S2424&lt;&gt;0,VLOOKUP(S2424,#REF!,8,0),"")</f>
        <v/>
      </c>
      <c r="X2424" s="900" t="str">
        <f t="shared" si="541"/>
        <v xml:space="preserve"> </v>
      </c>
      <c r="Y2424" s="985"/>
      <c r="Z2424" s="922"/>
      <c r="AA2424" s="1067"/>
      <c r="AB2424" s="922"/>
      <c r="AC2424" s="922"/>
      <c r="AD2424" s="922"/>
      <c r="AE2424" s="922"/>
      <c r="AF2424" s="1046"/>
      <c r="AG2424" s="906" t="str">
        <f>IF(AE2424&lt;&gt;0,VLOOKUP(AE2424,ODDS!$A$2:$C$13,3,0),"")</f>
        <v/>
      </c>
      <c r="AH2424" s="906" t="str">
        <f t="shared" si="528"/>
        <v xml:space="preserve"> </v>
      </c>
      <c r="AI2424" s="907" t="str">
        <f t="shared" si="533"/>
        <v xml:space="preserve"> </v>
      </c>
      <c r="AJ2424" s="922"/>
      <c r="AK2424" s="922"/>
    </row>
    <row r="2425" spans="1:37" s="394" customFormat="1" ht="22.5" outlineLevel="2" x14ac:dyDescent="0.25">
      <c r="A2425" s="447">
        <f>IF(B2424&lt;&gt;0,B2424,A2424)</f>
        <v>208</v>
      </c>
      <c r="B2425" s="893"/>
      <c r="C2425" s="908"/>
      <c r="D2425" s="1032"/>
      <c r="E2425" s="947"/>
      <c r="F2425" s="947"/>
      <c r="G2425" s="922"/>
      <c r="H2425" s="1041"/>
      <c r="I2425" s="1041"/>
      <c r="J2425" s="898"/>
      <c r="K2425" s="899" t="str">
        <f>IF(G2425&lt;&gt;0,VLOOKUP(G2425,'gia dat'!$A$1:$F$144,5,0)," ")</f>
        <v xml:space="preserve"> </v>
      </c>
      <c r="L2425" s="899" t="str">
        <f>IF(G2425&lt;&gt;0,VLOOKUP(G2425,'gia dat'!$A$1:$F$144,6,0)," ")</f>
        <v xml:space="preserve"> </v>
      </c>
      <c r="M2425" s="900" t="str">
        <f t="shared" ref="M2425:M2426" si="546">IF(H2425&lt;&gt;0,ROUND(H2425*K2425,-3)," ")</f>
        <v xml:space="preserve"> </v>
      </c>
      <c r="N2425" s="900" t="str">
        <f t="shared" ref="N2425:N2426" si="547">IF(H2425&lt;&gt;0,ROUND(H2425*L2425,-3)," ")</f>
        <v xml:space="preserve"> </v>
      </c>
      <c r="O2425" s="908"/>
      <c r="P2425" s="1065"/>
      <c r="Q2425" s="900" t="str">
        <f>IF(O2425&lt;&gt;0,VLOOKUP(O2425,'Cây trong'!$A$2:$C$246,3,0)," ")</f>
        <v xml:space="preserve"> </v>
      </c>
      <c r="R2425" s="900" t="str">
        <f t="shared" si="527"/>
        <v xml:space="preserve"> </v>
      </c>
      <c r="S2425" s="902"/>
      <c r="T2425" s="944"/>
      <c r="U2425" s="1066"/>
      <c r="V2425" s="922"/>
      <c r="W2425" s="900" t="str">
        <f>IF(S2425&lt;&gt;0,VLOOKUP(S2425,#REF!,8,0),"")</f>
        <v/>
      </c>
      <c r="X2425" s="900" t="str">
        <f t="shared" si="541"/>
        <v xml:space="preserve"> </v>
      </c>
      <c r="Y2425" s="985"/>
      <c r="Z2425" s="922"/>
      <c r="AA2425" s="1067"/>
      <c r="AB2425" s="922"/>
      <c r="AC2425" s="922"/>
      <c r="AD2425" s="922"/>
      <c r="AE2425" s="922"/>
      <c r="AF2425" s="1046"/>
      <c r="AG2425" s="906" t="str">
        <f>IF(AE2425&lt;&gt;0,VLOOKUP(AE2425,ODDS!$A$2:$C$13,3,0),"")</f>
        <v/>
      </c>
      <c r="AH2425" s="906" t="str">
        <f t="shared" si="528"/>
        <v xml:space="preserve"> </v>
      </c>
      <c r="AI2425" s="907" t="str">
        <f t="shared" si="533"/>
        <v xml:space="preserve"> </v>
      </c>
      <c r="AJ2425" s="922"/>
      <c r="AK2425" s="922"/>
    </row>
    <row r="2426" spans="1:37" s="394" customFormat="1" ht="22.5" outlineLevel="2" x14ac:dyDescent="0.25">
      <c r="A2426" s="447">
        <f>IF(B2425&lt;&gt;0,B2425,A2425)</f>
        <v>208</v>
      </c>
      <c r="B2426" s="893"/>
      <c r="C2426" s="908"/>
      <c r="D2426" s="1032"/>
      <c r="E2426" s="947"/>
      <c r="F2426" s="947"/>
      <c r="G2426" s="922"/>
      <c r="H2426" s="1041"/>
      <c r="I2426" s="1041"/>
      <c r="J2426" s="898"/>
      <c r="K2426" s="899" t="str">
        <f>IF(G2426&lt;&gt;0,VLOOKUP(G2426,'gia dat'!$A$1:$F$144,5,0)," ")</f>
        <v xml:space="preserve"> </v>
      </c>
      <c r="L2426" s="899" t="str">
        <f>IF(G2426&lt;&gt;0,VLOOKUP(G2426,'gia dat'!$A$1:$F$144,6,0)," ")</f>
        <v xml:space="preserve"> </v>
      </c>
      <c r="M2426" s="900" t="str">
        <f t="shared" si="546"/>
        <v xml:space="preserve"> </v>
      </c>
      <c r="N2426" s="900" t="str">
        <f t="shared" si="547"/>
        <v xml:space="preserve"> </v>
      </c>
      <c r="O2426" s="908"/>
      <c r="P2426" s="1065"/>
      <c r="Q2426" s="900" t="str">
        <f>IF(O2426&lt;&gt;0,VLOOKUP(O2426,'Cây trong'!$A$2:$C$246,3,0)," ")</f>
        <v xml:space="preserve"> </v>
      </c>
      <c r="R2426" s="900" t="str">
        <f t="shared" si="527"/>
        <v xml:space="preserve"> </v>
      </c>
      <c r="S2426" s="902"/>
      <c r="T2426" s="944"/>
      <c r="U2426" s="1066"/>
      <c r="V2426" s="922"/>
      <c r="W2426" s="900" t="str">
        <f>IF(S2426&lt;&gt;0,VLOOKUP(S2426,#REF!,8,0),"")</f>
        <v/>
      </c>
      <c r="X2426" s="900" t="str">
        <f t="shared" si="541"/>
        <v xml:space="preserve"> </v>
      </c>
      <c r="Y2426" s="985"/>
      <c r="Z2426" s="922"/>
      <c r="AA2426" s="1067"/>
      <c r="AB2426" s="922"/>
      <c r="AC2426" s="922"/>
      <c r="AD2426" s="922"/>
      <c r="AE2426" s="922"/>
      <c r="AF2426" s="1046"/>
      <c r="AG2426" s="906" t="str">
        <f>IF(AE2426&lt;&gt;0,VLOOKUP(AE2426,ODDS!$A$2:$C$13,3,0),"")</f>
        <v/>
      </c>
      <c r="AH2426" s="906" t="str">
        <f t="shared" si="528"/>
        <v xml:space="preserve"> </v>
      </c>
      <c r="AI2426" s="907" t="str">
        <f t="shared" si="533"/>
        <v xml:space="preserve"> </v>
      </c>
      <c r="AJ2426" s="922"/>
      <c r="AK2426" s="922"/>
    </row>
    <row r="2427" spans="1:37" s="376" customFormat="1" ht="43.5" outlineLevel="1" x14ac:dyDescent="0.25">
      <c r="A2427" s="467" t="s">
        <v>2501</v>
      </c>
      <c r="B2427" s="912">
        <v>209</v>
      </c>
      <c r="C2427" s="942" t="s">
        <v>2057</v>
      </c>
      <c r="D2427" s="1038"/>
      <c r="E2427" s="977"/>
      <c r="F2427" s="977"/>
      <c r="G2427" s="914"/>
      <c r="H2427" s="1039"/>
      <c r="I2427" s="915"/>
      <c r="J2427" s="916"/>
      <c r="K2427" s="917"/>
      <c r="L2427" s="917"/>
      <c r="M2427" s="907"/>
      <c r="N2427" s="907"/>
      <c r="O2427" s="910"/>
      <c r="P2427" s="935"/>
      <c r="Q2427" s="907"/>
      <c r="R2427" s="907"/>
      <c r="S2427" s="918"/>
      <c r="T2427" s="933"/>
      <c r="U2427" s="936"/>
      <c r="V2427" s="933"/>
      <c r="W2427" s="907"/>
      <c r="X2427" s="907"/>
      <c r="Y2427" s="925"/>
      <c r="Z2427" s="928"/>
      <c r="AA2427" s="928"/>
      <c r="AB2427" s="904"/>
      <c r="AC2427" s="928"/>
      <c r="AD2427" s="928"/>
      <c r="AE2427" s="937"/>
      <c r="AF2427" s="935"/>
      <c r="AG2427" s="921"/>
      <c r="AH2427" s="921"/>
      <c r="AI2427" s="907"/>
      <c r="AJ2427" s="910"/>
      <c r="AK2427" s="910"/>
    </row>
    <row r="2428" spans="1:37" s="376" customFormat="1" ht="90" outlineLevel="2" x14ac:dyDescent="0.25">
      <c r="A2428" s="447">
        <f>IF(B2427&lt;&gt;0,B2427,A2426)</f>
        <v>209</v>
      </c>
      <c r="B2428" s="893"/>
      <c r="C2428" s="908"/>
      <c r="D2428" s="1032"/>
      <c r="E2428" s="947"/>
      <c r="F2428" s="947"/>
      <c r="G2428" s="922" t="s">
        <v>2040</v>
      </c>
      <c r="H2428" s="1041">
        <v>15.4</v>
      </c>
      <c r="I2428" s="1041"/>
      <c r="J2428" s="898"/>
      <c r="K2428" s="899"/>
      <c r="L2428" s="899"/>
      <c r="M2428" s="900"/>
      <c r="N2428" s="900"/>
      <c r="O2428" s="894"/>
      <c r="P2428" s="926"/>
      <c r="Q2428" s="900" t="str">
        <f>IF(O2428&lt;&gt;0,VLOOKUP(O2428,'Cây trong'!$A$2:$C$246,3,0)," ")</f>
        <v xml:space="preserve"> </v>
      </c>
      <c r="R2428" s="900" t="str">
        <f t="shared" si="527"/>
        <v xml:space="preserve"> </v>
      </c>
      <c r="S2428" s="902"/>
      <c r="T2428" s="925"/>
      <c r="U2428" s="927"/>
      <c r="V2428" s="925"/>
      <c r="W2428" s="900" t="str">
        <f>IF(S2428&lt;&gt;0,VLOOKUP(S2428,#REF!,8,0),"")</f>
        <v/>
      </c>
      <c r="X2428" s="900" t="str">
        <f t="shared" si="541"/>
        <v xml:space="preserve"> </v>
      </c>
      <c r="Y2428" s="925"/>
      <c r="Z2428" s="928"/>
      <c r="AA2428" s="928"/>
      <c r="AB2428" s="904"/>
      <c r="AC2428" s="928"/>
      <c r="AD2428" s="928"/>
      <c r="AE2428" s="928"/>
      <c r="AF2428" s="926"/>
      <c r="AG2428" s="906" t="str">
        <f>IF(AE2428&lt;&gt;0,VLOOKUP(AE2428,ODDS!$A$2:$C$13,3,0),"")</f>
        <v/>
      </c>
      <c r="AH2428" s="906" t="str">
        <f t="shared" si="528"/>
        <v xml:space="preserve"> </v>
      </c>
      <c r="AI2428" s="907" t="str">
        <f t="shared" si="533"/>
        <v xml:space="preserve"> </v>
      </c>
      <c r="AJ2428" s="894"/>
      <c r="AK2428" s="894"/>
    </row>
    <row r="2429" spans="1:37" s="376" customFormat="1" ht="22.5" outlineLevel="2" x14ac:dyDescent="0.25">
      <c r="A2429" s="447">
        <f t="shared" ref="A2429:A2439" si="548">IF(B2428&lt;&gt;0,B2428,A2428)</f>
        <v>209</v>
      </c>
      <c r="B2429" s="893"/>
      <c r="C2429" s="908"/>
      <c r="D2429" s="1032"/>
      <c r="E2429" s="947"/>
      <c r="F2429" s="947">
        <v>71</v>
      </c>
      <c r="G2429" s="922" t="s">
        <v>2066</v>
      </c>
      <c r="H2429" s="1041">
        <f>161.9+0.1</f>
        <v>162</v>
      </c>
      <c r="I2429" s="1041"/>
      <c r="J2429" s="898"/>
      <c r="K2429" s="899"/>
      <c r="L2429" s="899"/>
      <c r="M2429" s="900"/>
      <c r="N2429" s="900"/>
      <c r="O2429" s="894"/>
      <c r="P2429" s="926"/>
      <c r="Q2429" s="900" t="str">
        <f>IF(O2429&lt;&gt;0,VLOOKUP(O2429,'Cây trong'!$A$2:$C$246,3,0)," ")</f>
        <v xml:space="preserve"> </v>
      </c>
      <c r="R2429" s="900" t="str">
        <f t="shared" si="527"/>
        <v xml:space="preserve"> </v>
      </c>
      <c r="S2429" s="902"/>
      <c r="T2429" s="925"/>
      <c r="U2429" s="927"/>
      <c r="V2429" s="925"/>
      <c r="W2429" s="900" t="str">
        <f>IF(S2429&lt;&gt;0,VLOOKUP(S2429,#REF!,8,0),"")</f>
        <v/>
      </c>
      <c r="X2429" s="900" t="str">
        <f t="shared" si="541"/>
        <v xml:space="preserve"> </v>
      </c>
      <c r="Y2429" s="925"/>
      <c r="Z2429" s="928"/>
      <c r="AA2429" s="928"/>
      <c r="AB2429" s="904"/>
      <c r="AC2429" s="928"/>
      <c r="AD2429" s="928"/>
      <c r="AE2429" s="928"/>
      <c r="AF2429" s="926"/>
      <c r="AG2429" s="906" t="str">
        <f>IF(AE2429&lt;&gt;0,VLOOKUP(AE2429,#REF!,3,0),"")</f>
        <v/>
      </c>
      <c r="AH2429" s="906" t="str">
        <f t="shared" si="528"/>
        <v xml:space="preserve"> </v>
      </c>
      <c r="AI2429" s="907" t="str">
        <f t="shared" si="533"/>
        <v xml:space="preserve"> </v>
      </c>
      <c r="AJ2429" s="929"/>
      <c r="AK2429" s="929"/>
    </row>
    <row r="2430" spans="1:37" s="376" customFormat="1" ht="22.5" outlineLevel="2" x14ac:dyDescent="0.25">
      <c r="A2430" s="447">
        <f t="shared" si="548"/>
        <v>209</v>
      </c>
      <c r="B2430" s="893"/>
      <c r="C2430" s="908"/>
      <c r="D2430" s="1032"/>
      <c r="E2430" s="947"/>
      <c r="F2430" s="947">
        <v>7</v>
      </c>
      <c r="G2430" s="922" t="s">
        <v>2066</v>
      </c>
      <c r="H2430" s="1041">
        <f>232.1+0.1</f>
        <v>232.2</v>
      </c>
      <c r="I2430" s="1041"/>
      <c r="J2430" s="898"/>
      <c r="K2430" s="899"/>
      <c r="L2430" s="899"/>
      <c r="M2430" s="900"/>
      <c r="N2430" s="900"/>
      <c r="O2430" s="894"/>
      <c r="P2430" s="926"/>
      <c r="Q2430" s="900" t="str">
        <f>IF(O2430&lt;&gt;0,VLOOKUP(O2430,'Cây trong'!$A$2:$C$246,3,0)," ")</f>
        <v xml:space="preserve"> </v>
      </c>
      <c r="R2430" s="900" t="str">
        <f t="shared" si="527"/>
        <v xml:space="preserve"> </v>
      </c>
      <c r="S2430" s="902"/>
      <c r="T2430" s="925"/>
      <c r="U2430" s="927"/>
      <c r="V2430" s="925"/>
      <c r="W2430" s="900" t="str">
        <f>IF(S2430&lt;&gt;0,VLOOKUP(S2430,#REF!,8,0),"")</f>
        <v/>
      </c>
      <c r="X2430" s="900" t="str">
        <f t="shared" si="541"/>
        <v xml:space="preserve"> </v>
      </c>
      <c r="Y2430" s="925"/>
      <c r="Z2430" s="928"/>
      <c r="AA2430" s="928"/>
      <c r="AB2430" s="904"/>
      <c r="AC2430" s="928"/>
      <c r="AD2430" s="928"/>
      <c r="AE2430" s="928"/>
      <c r="AF2430" s="926"/>
      <c r="AG2430" s="906" t="str">
        <f>IF(AE2430&lt;&gt;0,VLOOKUP(AE2430,#REF!,3,0),"")</f>
        <v/>
      </c>
      <c r="AH2430" s="906" t="str">
        <f t="shared" si="528"/>
        <v xml:space="preserve"> </v>
      </c>
      <c r="AI2430" s="907" t="str">
        <f t="shared" si="533"/>
        <v xml:space="preserve"> </v>
      </c>
      <c r="AJ2430" s="894"/>
      <c r="AK2430" s="929"/>
    </row>
    <row r="2431" spans="1:37" s="376" customFormat="1" ht="22.5" outlineLevel="2" x14ac:dyDescent="0.25">
      <c r="A2431" s="447">
        <f t="shared" si="548"/>
        <v>209</v>
      </c>
      <c r="B2431" s="893"/>
      <c r="C2431" s="908"/>
      <c r="D2431" s="1032"/>
      <c r="E2431" s="947"/>
      <c r="F2431" s="947">
        <v>57</v>
      </c>
      <c r="G2431" s="922" t="s">
        <v>2066</v>
      </c>
      <c r="H2431" s="1041">
        <v>582.1</v>
      </c>
      <c r="I2431" s="1041"/>
      <c r="J2431" s="898"/>
      <c r="K2431" s="899"/>
      <c r="L2431" s="899"/>
      <c r="M2431" s="900"/>
      <c r="N2431" s="900"/>
      <c r="O2431" s="894"/>
      <c r="P2431" s="926"/>
      <c r="Q2431" s="900" t="str">
        <f>IF(O2431&lt;&gt;0,VLOOKUP(O2431,'Cây trong'!$A$2:$C$246,3,0)," ")</f>
        <v xml:space="preserve"> </v>
      </c>
      <c r="R2431" s="900" t="str">
        <f t="shared" si="527"/>
        <v xml:space="preserve"> </v>
      </c>
      <c r="S2431" s="902"/>
      <c r="T2431" s="925"/>
      <c r="U2431" s="927"/>
      <c r="V2431" s="925"/>
      <c r="W2431" s="900" t="str">
        <f>IF(S2431&lt;&gt;0,VLOOKUP(S2431,#REF!,8,0),"")</f>
        <v/>
      </c>
      <c r="X2431" s="900" t="str">
        <f t="shared" si="541"/>
        <v xml:space="preserve"> </v>
      </c>
      <c r="Y2431" s="925"/>
      <c r="Z2431" s="928"/>
      <c r="AA2431" s="928"/>
      <c r="AB2431" s="904"/>
      <c r="AC2431" s="928"/>
      <c r="AD2431" s="928"/>
      <c r="AE2431" s="928"/>
      <c r="AF2431" s="926"/>
      <c r="AG2431" s="906" t="str">
        <f>IF(AE2431&lt;&gt;0,VLOOKUP(AE2431,#REF!,3,0),"")</f>
        <v/>
      </c>
      <c r="AH2431" s="906" t="str">
        <f t="shared" si="528"/>
        <v xml:space="preserve"> </v>
      </c>
      <c r="AI2431" s="907" t="str">
        <f t="shared" si="533"/>
        <v xml:space="preserve"> </v>
      </c>
      <c r="AJ2431" s="894"/>
      <c r="AK2431" s="929"/>
    </row>
    <row r="2432" spans="1:37" s="376" customFormat="1" ht="22.5" outlineLevel="2" x14ac:dyDescent="0.25">
      <c r="A2432" s="447">
        <f t="shared" si="548"/>
        <v>209</v>
      </c>
      <c r="B2432" s="893"/>
      <c r="C2432" s="908"/>
      <c r="D2432" s="1032"/>
      <c r="E2432" s="947"/>
      <c r="F2432" s="947">
        <v>191</v>
      </c>
      <c r="G2432" s="922" t="s">
        <v>2066</v>
      </c>
      <c r="H2432" s="1041">
        <v>125.4</v>
      </c>
      <c r="I2432" s="1041"/>
      <c r="J2432" s="898"/>
      <c r="K2432" s="899"/>
      <c r="L2432" s="899"/>
      <c r="M2432" s="900"/>
      <c r="N2432" s="900"/>
      <c r="O2432" s="894"/>
      <c r="P2432" s="926"/>
      <c r="Q2432" s="900" t="str">
        <f>IF(O2432&lt;&gt;0,VLOOKUP(O2432,'Cây trong'!$A$2:$C$246,3,0)," ")</f>
        <v xml:space="preserve"> </v>
      </c>
      <c r="R2432" s="900" t="str">
        <f t="shared" si="527"/>
        <v xml:space="preserve"> </v>
      </c>
      <c r="S2432" s="902"/>
      <c r="T2432" s="925"/>
      <c r="U2432" s="927"/>
      <c r="V2432" s="925"/>
      <c r="W2432" s="900" t="str">
        <f>IF(S2432&lt;&gt;0,VLOOKUP(S2432,#REF!,8,0),"")</f>
        <v/>
      </c>
      <c r="X2432" s="900" t="str">
        <f t="shared" si="541"/>
        <v xml:space="preserve"> </v>
      </c>
      <c r="Y2432" s="925"/>
      <c r="Z2432" s="928"/>
      <c r="AA2432" s="928"/>
      <c r="AB2432" s="904"/>
      <c r="AC2432" s="928"/>
      <c r="AD2432" s="928"/>
      <c r="AE2432" s="928"/>
      <c r="AF2432" s="926"/>
      <c r="AG2432" s="906" t="str">
        <f>IF(AE2432&lt;&gt;0,VLOOKUP(AE2432,#REF!,3,0),"")</f>
        <v/>
      </c>
      <c r="AH2432" s="906" t="str">
        <f t="shared" si="528"/>
        <v xml:space="preserve"> </v>
      </c>
      <c r="AI2432" s="907" t="str">
        <f t="shared" si="533"/>
        <v xml:space="preserve"> </v>
      </c>
      <c r="AJ2432" s="929"/>
      <c r="AK2432" s="929"/>
    </row>
    <row r="2433" spans="1:37" s="376" customFormat="1" ht="22.5" outlineLevel="2" x14ac:dyDescent="0.25">
      <c r="A2433" s="447">
        <f t="shared" si="548"/>
        <v>209</v>
      </c>
      <c r="B2433" s="893"/>
      <c r="C2433" s="908"/>
      <c r="D2433" s="1032"/>
      <c r="E2433" s="947"/>
      <c r="F2433" s="947">
        <v>56</v>
      </c>
      <c r="G2433" s="922" t="s">
        <v>2143</v>
      </c>
      <c r="H2433" s="1041">
        <v>480.9</v>
      </c>
      <c r="I2433" s="1041"/>
      <c r="J2433" s="898"/>
      <c r="K2433" s="899"/>
      <c r="L2433" s="899"/>
      <c r="M2433" s="900"/>
      <c r="N2433" s="900"/>
      <c r="O2433" s="894"/>
      <c r="P2433" s="926"/>
      <c r="Q2433" s="900" t="str">
        <f>IF(O2433&lt;&gt;0,VLOOKUP(O2433,'Cây trong'!$A$2:$C$246,3,0)," ")</f>
        <v xml:space="preserve"> </v>
      </c>
      <c r="R2433" s="900" t="str">
        <f t="shared" si="527"/>
        <v xml:space="preserve"> </v>
      </c>
      <c r="S2433" s="902"/>
      <c r="T2433" s="925"/>
      <c r="U2433" s="927"/>
      <c r="V2433" s="925"/>
      <c r="W2433" s="900" t="str">
        <f>IF(S2433&lt;&gt;0,VLOOKUP(S2433,#REF!,8,0),"")</f>
        <v/>
      </c>
      <c r="X2433" s="900" t="str">
        <f t="shared" si="541"/>
        <v xml:space="preserve"> </v>
      </c>
      <c r="Y2433" s="925"/>
      <c r="Z2433" s="928"/>
      <c r="AA2433" s="928"/>
      <c r="AB2433" s="904"/>
      <c r="AC2433" s="928"/>
      <c r="AD2433" s="928"/>
      <c r="AE2433" s="928"/>
      <c r="AF2433" s="926"/>
      <c r="AG2433" s="906" t="str">
        <f>IF(AE2433&lt;&gt;0,VLOOKUP(AE2433,#REF!,3,0),"")</f>
        <v/>
      </c>
      <c r="AH2433" s="906" t="str">
        <f t="shared" si="528"/>
        <v xml:space="preserve"> </v>
      </c>
      <c r="AI2433" s="907" t="str">
        <f t="shared" si="533"/>
        <v xml:space="preserve"> </v>
      </c>
      <c r="AJ2433" s="929"/>
      <c r="AK2433" s="929"/>
    </row>
    <row r="2434" spans="1:37" s="376" customFormat="1" ht="22.5" outlineLevel="2" x14ac:dyDescent="0.25">
      <c r="A2434" s="447">
        <f t="shared" si="548"/>
        <v>209</v>
      </c>
      <c r="B2434" s="893"/>
      <c r="C2434" s="908"/>
      <c r="D2434" s="1032"/>
      <c r="E2434" s="947"/>
      <c r="F2434" s="947">
        <v>160</v>
      </c>
      <c r="G2434" s="922" t="s">
        <v>2066</v>
      </c>
      <c r="H2434" s="1041">
        <v>585.9</v>
      </c>
      <c r="I2434" s="1041"/>
      <c r="J2434" s="898"/>
      <c r="K2434" s="899"/>
      <c r="L2434" s="899"/>
      <c r="M2434" s="900"/>
      <c r="N2434" s="900"/>
      <c r="O2434" s="894"/>
      <c r="P2434" s="926"/>
      <c r="Q2434" s="900"/>
      <c r="R2434" s="900"/>
      <c r="S2434" s="902"/>
      <c r="T2434" s="925"/>
      <c r="U2434" s="927"/>
      <c r="V2434" s="925"/>
      <c r="W2434" s="900"/>
      <c r="X2434" s="900"/>
      <c r="Y2434" s="925"/>
      <c r="Z2434" s="928"/>
      <c r="AA2434" s="928"/>
      <c r="AB2434" s="904"/>
      <c r="AC2434" s="928"/>
      <c r="AD2434" s="928"/>
      <c r="AE2434" s="928"/>
      <c r="AF2434" s="926"/>
      <c r="AG2434" s="906"/>
      <c r="AH2434" s="906"/>
      <c r="AI2434" s="907" t="str">
        <f t="shared" si="533"/>
        <v xml:space="preserve"> </v>
      </c>
      <c r="AJ2434" s="929"/>
      <c r="AK2434" s="929"/>
    </row>
    <row r="2435" spans="1:37" s="376" customFormat="1" ht="22.5" outlineLevel="2" x14ac:dyDescent="0.25">
      <c r="A2435" s="447">
        <f t="shared" si="548"/>
        <v>209</v>
      </c>
      <c r="B2435" s="893"/>
      <c r="C2435" s="908"/>
      <c r="D2435" s="1032"/>
      <c r="E2435" s="947"/>
      <c r="F2435" s="947">
        <v>98</v>
      </c>
      <c r="G2435" s="922" t="s">
        <v>2143</v>
      </c>
      <c r="H2435" s="1041">
        <v>1633.7</v>
      </c>
      <c r="I2435" s="1041"/>
      <c r="J2435" s="898"/>
      <c r="K2435" s="899"/>
      <c r="L2435" s="899"/>
      <c r="M2435" s="900"/>
      <c r="N2435" s="900"/>
      <c r="O2435" s="894"/>
      <c r="P2435" s="926"/>
      <c r="Q2435" s="900"/>
      <c r="R2435" s="900"/>
      <c r="S2435" s="902"/>
      <c r="T2435" s="925"/>
      <c r="U2435" s="927"/>
      <c r="V2435" s="925"/>
      <c r="W2435" s="900"/>
      <c r="X2435" s="900"/>
      <c r="Y2435" s="925"/>
      <c r="Z2435" s="928"/>
      <c r="AA2435" s="928"/>
      <c r="AB2435" s="904"/>
      <c r="AC2435" s="928"/>
      <c r="AD2435" s="928"/>
      <c r="AE2435" s="928"/>
      <c r="AF2435" s="926"/>
      <c r="AG2435" s="906"/>
      <c r="AH2435" s="906"/>
      <c r="AI2435" s="907" t="str">
        <f t="shared" si="533"/>
        <v xml:space="preserve"> </v>
      </c>
      <c r="AJ2435" s="929"/>
      <c r="AK2435" s="929"/>
    </row>
    <row r="2436" spans="1:37" s="376" customFormat="1" ht="22.5" outlineLevel="2" x14ac:dyDescent="0.25">
      <c r="A2436" s="447">
        <f t="shared" si="548"/>
        <v>209</v>
      </c>
      <c r="B2436" s="893"/>
      <c r="C2436" s="908"/>
      <c r="D2436" s="1032"/>
      <c r="E2436" s="947"/>
      <c r="F2436" s="947">
        <v>69</v>
      </c>
      <c r="G2436" s="922" t="s">
        <v>2066</v>
      </c>
      <c r="H2436" s="1041">
        <v>83.7</v>
      </c>
      <c r="I2436" s="1041"/>
      <c r="J2436" s="898"/>
      <c r="K2436" s="899"/>
      <c r="L2436" s="899"/>
      <c r="M2436" s="900"/>
      <c r="N2436" s="900"/>
      <c r="O2436" s="894"/>
      <c r="P2436" s="926"/>
      <c r="Q2436" s="900"/>
      <c r="R2436" s="900"/>
      <c r="S2436" s="902"/>
      <c r="T2436" s="925"/>
      <c r="U2436" s="927"/>
      <c r="V2436" s="925"/>
      <c r="W2436" s="900"/>
      <c r="X2436" s="900"/>
      <c r="Y2436" s="925"/>
      <c r="Z2436" s="928"/>
      <c r="AA2436" s="928"/>
      <c r="AB2436" s="904"/>
      <c r="AC2436" s="928"/>
      <c r="AD2436" s="928"/>
      <c r="AE2436" s="928"/>
      <c r="AF2436" s="926"/>
      <c r="AG2436" s="906"/>
      <c r="AH2436" s="906"/>
      <c r="AI2436" s="907" t="str">
        <f t="shared" si="533"/>
        <v xml:space="preserve"> </v>
      </c>
      <c r="AJ2436" s="929"/>
      <c r="AK2436" s="929"/>
    </row>
    <row r="2437" spans="1:37" s="376" customFormat="1" ht="22.5" outlineLevel="2" x14ac:dyDescent="0.35">
      <c r="A2437" s="447">
        <f t="shared" si="548"/>
        <v>209</v>
      </c>
      <c r="B2437" s="893"/>
      <c r="C2437" s="908"/>
      <c r="D2437" s="1032"/>
      <c r="E2437" s="947"/>
      <c r="F2437" s="962"/>
      <c r="G2437" s="911"/>
      <c r="H2437" s="897"/>
      <c r="I2437" s="897"/>
      <c r="J2437" s="898"/>
      <c r="K2437" s="899"/>
      <c r="L2437" s="899"/>
      <c r="M2437" s="900"/>
      <c r="N2437" s="900"/>
      <c r="O2437" s="894"/>
      <c r="P2437" s="926"/>
      <c r="Q2437" s="900"/>
      <c r="R2437" s="900"/>
      <c r="S2437" s="902"/>
      <c r="T2437" s="925"/>
      <c r="U2437" s="927"/>
      <c r="V2437" s="925"/>
      <c r="W2437" s="900"/>
      <c r="X2437" s="900"/>
      <c r="Y2437" s="925"/>
      <c r="Z2437" s="928"/>
      <c r="AA2437" s="928"/>
      <c r="AB2437" s="904"/>
      <c r="AC2437" s="928"/>
      <c r="AD2437" s="928"/>
      <c r="AE2437" s="928"/>
      <c r="AF2437" s="926"/>
      <c r="AG2437" s="906"/>
      <c r="AH2437" s="906"/>
      <c r="AI2437" s="907" t="str">
        <f t="shared" si="533"/>
        <v xml:space="preserve"> </v>
      </c>
      <c r="AJ2437" s="929"/>
      <c r="AK2437" s="929"/>
    </row>
    <row r="2438" spans="1:37" s="376" customFormat="1" ht="22.5" outlineLevel="2" x14ac:dyDescent="0.35">
      <c r="A2438" s="447">
        <f t="shared" si="548"/>
        <v>209</v>
      </c>
      <c r="B2438" s="893"/>
      <c r="C2438" s="908"/>
      <c r="D2438" s="1032"/>
      <c r="E2438" s="947"/>
      <c r="F2438" s="962"/>
      <c r="G2438" s="911"/>
      <c r="H2438" s="897"/>
      <c r="I2438" s="897"/>
      <c r="J2438" s="898"/>
      <c r="K2438" s="899"/>
      <c r="L2438" s="899"/>
      <c r="M2438" s="900"/>
      <c r="N2438" s="900"/>
      <c r="O2438" s="894"/>
      <c r="P2438" s="926"/>
      <c r="Q2438" s="900"/>
      <c r="R2438" s="900"/>
      <c r="S2438" s="902"/>
      <c r="T2438" s="925"/>
      <c r="U2438" s="927"/>
      <c r="V2438" s="925"/>
      <c r="W2438" s="900"/>
      <c r="X2438" s="900"/>
      <c r="Y2438" s="925"/>
      <c r="Z2438" s="928"/>
      <c r="AA2438" s="928"/>
      <c r="AB2438" s="904"/>
      <c r="AC2438" s="928"/>
      <c r="AD2438" s="928"/>
      <c r="AE2438" s="928"/>
      <c r="AF2438" s="926"/>
      <c r="AG2438" s="906"/>
      <c r="AH2438" s="906"/>
      <c r="AI2438" s="907" t="str">
        <f t="shared" si="533"/>
        <v xml:space="preserve"> </v>
      </c>
      <c r="AJ2438" s="929"/>
      <c r="AK2438" s="929"/>
    </row>
    <row r="2439" spans="1:37" ht="22.5" outlineLevel="2" x14ac:dyDescent="0.35">
      <c r="A2439" s="447">
        <f t="shared" si="548"/>
        <v>209</v>
      </c>
      <c r="B2439" s="1078"/>
      <c r="C2439" s="1079"/>
      <c r="D2439" s="1080"/>
      <c r="E2439" s="1081"/>
      <c r="F2439" s="1081"/>
      <c r="G2439" s="1082"/>
      <c r="H2439" s="1083"/>
      <c r="I2439" s="1083"/>
      <c r="J2439" s="1084"/>
      <c r="K2439" s="1085"/>
      <c r="L2439" s="1085"/>
      <c r="M2439" s="1086"/>
      <c r="N2439" s="1086"/>
      <c r="O2439" s="1087"/>
      <c r="P2439" s="1088"/>
      <c r="Q2439" s="1089"/>
      <c r="R2439" s="1088"/>
      <c r="S2439" s="1087"/>
      <c r="T2439" s="1087"/>
      <c r="U2439" s="1087"/>
      <c r="V2439" s="1090"/>
      <c r="W2439" s="1088"/>
      <c r="X2439" s="1088"/>
      <c r="Y2439" s="1087"/>
      <c r="Z2439" s="1091"/>
      <c r="AA2439" s="1091"/>
      <c r="AB2439" s="1092"/>
      <c r="AC2439" s="1091"/>
      <c r="AD2439" s="1091"/>
      <c r="AE2439" s="1091"/>
      <c r="AF2439" s="1093"/>
      <c r="AG2439" s="1094"/>
      <c r="AH2439" s="1094"/>
      <c r="AI2439" s="1095" t="str">
        <f t="shared" si="533"/>
        <v xml:space="preserve"> </v>
      </c>
      <c r="AJ2439" s="1091"/>
      <c r="AK2439" s="1096"/>
    </row>
    <row r="2440" spans="1:37" x14ac:dyDescent="0.25">
      <c r="B2440" s="450"/>
      <c r="C2440" s="402"/>
      <c r="D2440" s="464"/>
      <c r="E2440" s="461"/>
      <c r="F2440" s="462"/>
      <c r="G2440" s="410"/>
      <c r="H2440" s="498"/>
      <c r="I2440" s="498"/>
      <c r="J2440" s="405"/>
      <c r="K2440" s="452"/>
      <c r="L2440" s="452"/>
      <c r="M2440" s="453"/>
      <c r="N2440" s="453"/>
      <c r="O2440" s="406"/>
      <c r="P2440" s="453"/>
      <c r="Q2440" s="459"/>
      <c r="R2440" s="453"/>
      <c r="S2440" s="406"/>
      <c r="T2440" s="406"/>
      <c r="U2440" s="407"/>
      <c r="V2440" s="408"/>
      <c r="W2440" s="453"/>
      <c r="X2440" s="453"/>
      <c r="Y2440" s="406"/>
      <c r="Z2440" s="402"/>
      <c r="AA2440" s="402"/>
      <c r="AB2440" s="409"/>
      <c r="AC2440" s="402"/>
      <c r="AD2440" s="402"/>
      <c r="AE2440" s="402"/>
      <c r="AF2440" s="458"/>
      <c r="AG2440" s="458"/>
      <c r="AH2440" s="458"/>
      <c r="AI2440" s="458"/>
      <c r="AJ2440" s="402"/>
    </row>
    <row r="2441" spans="1:37" x14ac:dyDescent="0.25">
      <c r="B2441" s="450"/>
      <c r="C2441" s="402"/>
      <c r="D2441" s="465"/>
      <c r="E2441" s="461"/>
      <c r="F2441" s="463"/>
      <c r="G2441" s="404"/>
      <c r="H2441" s="499"/>
      <c r="I2441" s="499"/>
      <c r="J2441" s="405"/>
      <c r="K2441" s="452"/>
      <c r="L2441" s="452"/>
      <c r="M2441" s="453"/>
      <c r="N2441" s="453"/>
      <c r="O2441" s="406"/>
      <c r="P2441" s="453"/>
      <c r="Q2441" s="459"/>
      <c r="R2441" s="453"/>
      <c r="S2441" s="406"/>
      <c r="T2441" s="406"/>
      <c r="U2441" s="407"/>
      <c r="V2441" s="408"/>
      <c r="W2441" s="453"/>
      <c r="X2441" s="453"/>
      <c r="Y2441" s="406"/>
      <c r="Z2441" s="402"/>
      <c r="AA2441" s="402"/>
      <c r="AB2441" s="409"/>
      <c r="AC2441" s="402"/>
      <c r="AD2441" s="402"/>
      <c r="AE2441" s="402"/>
      <c r="AF2441" s="458"/>
      <c r="AG2441" s="458"/>
      <c r="AH2441" s="458"/>
      <c r="AI2441" s="458"/>
      <c r="AJ2441" s="402"/>
    </row>
    <row r="2442" spans="1:37" ht="33" customHeight="1" x14ac:dyDescent="0.25">
      <c r="B2442" s="450"/>
      <c r="C2442" s="402"/>
      <c r="D2442" s="461"/>
      <c r="E2442" s="461"/>
      <c r="F2442" s="461"/>
      <c r="G2442" s="403"/>
      <c r="H2442" s="500"/>
      <c r="I2442" s="500"/>
      <c r="J2442" s="403"/>
      <c r="K2442" s="452"/>
      <c r="L2442" s="452"/>
      <c r="M2442" s="453"/>
      <c r="N2442" s="453"/>
      <c r="O2442" s="406"/>
      <c r="P2442" s="453"/>
      <c r="Q2442" s="459"/>
      <c r="R2442" s="453"/>
      <c r="S2442" s="406"/>
      <c r="T2442" s="406"/>
      <c r="U2442" s="407"/>
      <c r="V2442" s="408"/>
      <c r="W2442" s="453"/>
      <c r="X2442" s="453"/>
      <c r="Y2442" s="406"/>
      <c r="Z2442" s="402"/>
      <c r="AA2442" s="402"/>
      <c r="AB2442" s="409"/>
      <c r="AC2442" s="402"/>
      <c r="AD2442" s="402"/>
      <c r="AE2442" s="832" t="s">
        <v>2907</v>
      </c>
      <c r="AF2442" s="828"/>
      <c r="AG2442" s="828"/>
      <c r="AH2442" s="833"/>
      <c r="AI2442" s="828"/>
      <c r="AJ2442" s="829"/>
      <c r="AK2442" s="830"/>
    </row>
    <row r="2443" spans="1:37" ht="47.25" customHeight="1" x14ac:dyDescent="0.25">
      <c r="B2443" s="450"/>
      <c r="C2443" s="402"/>
      <c r="D2443" s="461"/>
      <c r="E2443" s="461"/>
      <c r="F2443" s="461"/>
      <c r="G2443" s="837" t="s">
        <v>2909</v>
      </c>
      <c r="H2443" s="835"/>
      <c r="I2443" s="835"/>
      <c r="J2443" s="834"/>
      <c r="K2443" s="836"/>
      <c r="L2443" s="836"/>
      <c r="M2443" s="453"/>
      <c r="N2443" s="453"/>
      <c r="O2443" s="406"/>
      <c r="P2443" s="453"/>
      <c r="Q2443" s="459"/>
      <c r="R2443" s="453"/>
      <c r="S2443" s="406"/>
      <c r="T2443" s="406"/>
      <c r="U2443" s="407"/>
      <c r="V2443" s="408"/>
      <c r="W2443" s="453"/>
      <c r="X2443" s="453"/>
      <c r="Y2443" s="406"/>
      <c r="Z2443" s="402"/>
      <c r="AA2443" s="402"/>
      <c r="AB2443" s="409"/>
      <c r="AC2443" s="402"/>
      <c r="AD2443" s="402"/>
      <c r="AE2443" s="831" t="s">
        <v>2908</v>
      </c>
      <c r="AF2443" s="828"/>
      <c r="AG2443" s="828"/>
      <c r="AH2443" s="833"/>
      <c r="AI2443" s="828"/>
      <c r="AJ2443" s="829"/>
      <c r="AK2443" s="830"/>
    </row>
    <row r="2444" spans="1:37" x14ac:dyDescent="0.25">
      <c r="B2444" s="450"/>
      <c r="C2444" s="402"/>
      <c r="D2444" s="461"/>
      <c r="E2444" s="461"/>
      <c r="F2444" s="461"/>
      <c r="G2444" s="403"/>
      <c r="H2444" s="500"/>
      <c r="I2444" s="500"/>
      <c r="J2444" s="403"/>
      <c r="K2444" s="452"/>
      <c r="L2444" s="452"/>
      <c r="M2444" s="453"/>
      <c r="N2444" s="453"/>
      <c r="O2444" s="406"/>
      <c r="P2444" s="453"/>
      <c r="Q2444" s="459"/>
      <c r="R2444" s="453"/>
      <c r="S2444" s="406"/>
      <c r="T2444" s="406"/>
      <c r="U2444" s="407"/>
      <c r="V2444" s="408"/>
      <c r="W2444" s="453"/>
      <c r="X2444" s="453"/>
      <c r="Y2444" s="406"/>
      <c r="Z2444" s="402"/>
      <c r="AA2444" s="402"/>
      <c r="AB2444" s="409"/>
      <c r="AC2444" s="402"/>
      <c r="AD2444" s="402"/>
      <c r="AE2444" s="402"/>
      <c r="AF2444" s="458"/>
      <c r="AG2444" s="458"/>
      <c r="AH2444" s="458"/>
      <c r="AI2444" s="458"/>
      <c r="AJ2444" s="402"/>
    </row>
    <row r="2445" spans="1:37" x14ac:dyDescent="0.25">
      <c r="B2445" s="450"/>
      <c r="C2445" s="402"/>
      <c r="D2445" s="461"/>
      <c r="E2445" s="461"/>
      <c r="F2445" s="461"/>
      <c r="G2445" s="403"/>
      <c r="H2445" s="500"/>
      <c r="I2445" s="500"/>
      <c r="J2445" s="403"/>
      <c r="K2445" s="452"/>
      <c r="L2445" s="452"/>
      <c r="M2445" s="453"/>
      <c r="N2445" s="453"/>
      <c r="O2445" s="406"/>
      <c r="P2445" s="453"/>
      <c r="Q2445" s="459"/>
      <c r="R2445" s="453"/>
      <c r="S2445" s="406"/>
      <c r="T2445" s="406"/>
      <c r="U2445" s="407"/>
      <c r="V2445" s="408"/>
      <c r="W2445" s="453"/>
      <c r="X2445" s="453"/>
      <c r="Y2445" s="406"/>
      <c r="Z2445" s="402"/>
      <c r="AA2445" s="402"/>
      <c r="AB2445" s="409"/>
      <c r="AC2445" s="402"/>
      <c r="AD2445" s="402"/>
      <c r="AE2445" s="402"/>
      <c r="AF2445" s="458"/>
      <c r="AG2445" s="458"/>
      <c r="AH2445" s="458"/>
      <c r="AI2445" s="458"/>
      <c r="AJ2445" s="402"/>
    </row>
    <row r="2446" spans="1:37" x14ac:dyDescent="0.25">
      <c r="B2446" s="450"/>
      <c r="C2446" s="402"/>
      <c r="D2446" s="465"/>
      <c r="E2446" s="461"/>
      <c r="F2446" s="463"/>
      <c r="G2446" s="404"/>
      <c r="H2446" s="499"/>
      <c r="I2446" s="499"/>
      <c r="J2446" s="405"/>
      <c r="K2446" s="452"/>
      <c r="L2446" s="452"/>
      <c r="M2446" s="453"/>
      <c r="N2446" s="453"/>
      <c r="O2446" s="406"/>
      <c r="P2446" s="453"/>
      <c r="Q2446" s="459"/>
      <c r="R2446" s="453"/>
      <c r="S2446" s="406"/>
      <c r="T2446" s="406"/>
      <c r="U2446" s="407"/>
      <c r="V2446" s="408"/>
      <c r="W2446" s="453"/>
      <c r="X2446" s="453"/>
      <c r="Y2446" s="406"/>
      <c r="Z2446" s="402"/>
      <c r="AA2446" s="402"/>
      <c r="AB2446" s="409"/>
      <c r="AC2446" s="402"/>
      <c r="AD2446" s="402"/>
      <c r="AE2446" s="402"/>
      <c r="AF2446" s="458"/>
      <c r="AG2446" s="458"/>
      <c r="AH2446" s="458"/>
      <c r="AI2446" s="458"/>
      <c r="AJ2446" s="402"/>
    </row>
    <row r="2447" spans="1:37" x14ac:dyDescent="0.25">
      <c r="B2447" s="450"/>
      <c r="C2447" s="402"/>
      <c r="D2447" s="461"/>
      <c r="E2447" s="461"/>
      <c r="F2447" s="461"/>
      <c r="G2447" s="403"/>
      <c r="H2447" s="500"/>
      <c r="I2447" s="500"/>
      <c r="J2447" s="403"/>
      <c r="K2447" s="452"/>
      <c r="L2447" s="452"/>
      <c r="M2447" s="453"/>
      <c r="N2447" s="453"/>
      <c r="O2447" s="406"/>
      <c r="P2447" s="453"/>
      <c r="Q2447" s="459"/>
      <c r="R2447" s="453"/>
      <c r="S2447" s="406"/>
      <c r="T2447" s="406"/>
      <c r="U2447" s="407"/>
      <c r="V2447" s="408"/>
      <c r="W2447" s="453"/>
      <c r="X2447" s="453"/>
      <c r="Y2447" s="406"/>
      <c r="Z2447" s="402"/>
      <c r="AA2447" s="402"/>
      <c r="AB2447" s="409"/>
      <c r="AC2447" s="402"/>
      <c r="AD2447" s="402"/>
      <c r="AE2447" s="402"/>
      <c r="AF2447" s="458"/>
      <c r="AG2447" s="458"/>
      <c r="AH2447" s="458"/>
      <c r="AI2447" s="458"/>
      <c r="AJ2447" s="402"/>
    </row>
    <row r="2448" spans="1:37" x14ac:dyDescent="0.25">
      <c r="K2448" s="452"/>
      <c r="L2448" s="452"/>
      <c r="M2448" s="453"/>
      <c r="N2448" s="453"/>
    </row>
    <row r="2449" spans="11:14" x14ac:dyDescent="0.25">
      <c r="K2449" s="452"/>
      <c r="L2449" s="452"/>
      <c r="M2449" s="453"/>
      <c r="N2449" s="453"/>
    </row>
    <row r="2450" spans="11:14" x14ac:dyDescent="0.2">
      <c r="K2450" s="452"/>
      <c r="L2450" s="452"/>
    </row>
    <row r="2451" spans="11:14" x14ac:dyDescent="0.2">
      <c r="K2451" s="452"/>
      <c r="L2451" s="452"/>
    </row>
    <row r="2452" spans="11:14" x14ac:dyDescent="0.2">
      <c r="K2452" s="452"/>
      <c r="L2452" s="452"/>
    </row>
    <row r="2453" spans="11:14" x14ac:dyDescent="0.2">
      <c r="K2453" s="452"/>
      <c r="L2453" s="452"/>
    </row>
    <row r="2454" spans="11:14" x14ac:dyDescent="0.2">
      <c r="K2454" s="452"/>
      <c r="L2454" s="452"/>
    </row>
    <row r="2455" spans="11:14" x14ac:dyDescent="0.2">
      <c r="K2455" s="452"/>
      <c r="L2455" s="452"/>
    </row>
    <row r="2456" spans="11:14" x14ac:dyDescent="0.2">
      <c r="K2456" s="452"/>
      <c r="L2456" s="452"/>
    </row>
    <row r="2457" spans="11:14" x14ac:dyDescent="0.2">
      <c r="K2457" s="452"/>
      <c r="L2457" s="452"/>
    </row>
    <row r="2458" spans="11:14" x14ac:dyDescent="0.2">
      <c r="K2458" s="452"/>
      <c r="L2458" s="452"/>
    </row>
    <row r="2459" spans="11:14" x14ac:dyDescent="0.2">
      <c r="K2459" s="452"/>
      <c r="L2459" s="452"/>
    </row>
    <row r="2460" spans="11:14" x14ac:dyDescent="0.2">
      <c r="K2460" s="452"/>
      <c r="L2460" s="452"/>
    </row>
    <row r="2461" spans="11:14" x14ac:dyDescent="0.2">
      <c r="K2461" s="452"/>
      <c r="L2461" s="452"/>
    </row>
    <row r="2462" spans="11:14" x14ac:dyDescent="0.2">
      <c r="K2462" s="452"/>
      <c r="L2462" s="452"/>
    </row>
    <row r="2463" spans="11:14" x14ac:dyDescent="0.2">
      <c r="K2463" s="452"/>
      <c r="L2463" s="452"/>
    </row>
    <row r="2464" spans="11:14" x14ac:dyDescent="0.2">
      <c r="K2464" s="454"/>
      <c r="L2464" s="454"/>
    </row>
    <row r="2465" spans="11:12" x14ac:dyDescent="0.2">
      <c r="K2465" s="454"/>
      <c r="L2465" s="454"/>
    </row>
    <row r="2466" spans="11:12" x14ac:dyDescent="0.2">
      <c r="K2466" s="454"/>
      <c r="L2466" s="454"/>
    </row>
    <row r="2467" spans="11:12" x14ac:dyDescent="0.2">
      <c r="K2467" s="454"/>
      <c r="L2467" s="454"/>
    </row>
    <row r="2468" spans="11:12" x14ac:dyDescent="0.2">
      <c r="K2468" s="454"/>
      <c r="L2468" s="454"/>
    </row>
    <row r="2469" spans="11:12" x14ac:dyDescent="0.2">
      <c r="K2469" s="454"/>
      <c r="L2469" s="454"/>
    </row>
    <row r="2471" spans="11:12" x14ac:dyDescent="0.25">
      <c r="K2471" s="455"/>
      <c r="L2471" s="455"/>
    </row>
    <row r="2472" spans="11:12" x14ac:dyDescent="0.25">
      <c r="K2472" s="455"/>
      <c r="L2472" s="455"/>
    </row>
    <row r="2473" spans="11:12" x14ac:dyDescent="0.25">
      <c r="K2473" s="455"/>
      <c r="L2473" s="455"/>
    </row>
    <row r="2474" spans="11:12" x14ac:dyDescent="0.25">
      <c r="K2474" s="455"/>
      <c r="L2474" s="455"/>
    </row>
    <row r="2475" spans="11:12" x14ac:dyDescent="0.25">
      <c r="K2475" s="455"/>
      <c r="L2475" s="455"/>
    </row>
    <row r="2476" spans="11:12" x14ac:dyDescent="0.25">
      <c r="K2476" s="455"/>
      <c r="L2476" s="455"/>
    </row>
    <row r="2477" spans="11:12" x14ac:dyDescent="0.25">
      <c r="K2477" s="455"/>
      <c r="L2477" s="455"/>
    </row>
    <row r="2478" spans="11:12" x14ac:dyDescent="0.25">
      <c r="K2478" s="455"/>
      <c r="L2478" s="455"/>
    </row>
    <row r="2479" spans="11:12" x14ac:dyDescent="0.25">
      <c r="K2479" s="453"/>
      <c r="L2479" s="453"/>
    </row>
    <row r="2480" spans="11:12" x14ac:dyDescent="0.25">
      <c r="K2480" s="453"/>
      <c r="L2480" s="453"/>
    </row>
    <row r="2481" spans="11:12" x14ac:dyDescent="0.25">
      <c r="K2481" s="453"/>
      <c r="L2481" s="453"/>
    </row>
    <row r="2482" spans="11:12" x14ac:dyDescent="0.25">
      <c r="K2482" s="453"/>
      <c r="L2482" s="453"/>
    </row>
  </sheetData>
  <mergeCells count="2">
    <mergeCell ref="A2:AJ2"/>
    <mergeCell ref="A3:AJ3"/>
  </mergeCells>
  <phoneticPr fontId="41" type="noConversion"/>
  <pageMargins left="0.2" right="0.2" top="0.75" bottom="0.75" header="0.3" footer="0.3"/>
  <pageSetup paperSize="8" scale="43" orientation="landscape" r:id="rId1"/>
  <headerFooter>
    <oddFooter>&amp;R&amp;P</odd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9"/>
  <sheetViews>
    <sheetView topLeftCell="A91" workbookViewId="0">
      <selection activeCell="A99" sqref="A99:D99"/>
    </sheetView>
  </sheetViews>
  <sheetFormatPr defaultColWidth="8.625" defaultRowHeight="14.25" x14ac:dyDescent="0.2"/>
  <cols>
    <col min="1" max="1" width="6.625" style="418" customWidth="1"/>
    <col min="2" max="2" width="18.875" style="418" customWidth="1"/>
    <col min="3" max="3" width="28.125" style="418" customWidth="1"/>
    <col min="4" max="4" width="37.5" style="418" customWidth="1"/>
    <col min="5" max="16384" width="8.625" style="418"/>
  </cols>
  <sheetData>
    <row r="1" spans="1:4" ht="15.75" x14ac:dyDescent="0.2">
      <c r="A1" s="447">
        <v>1</v>
      </c>
      <c r="B1" s="475" t="s">
        <v>413</v>
      </c>
      <c r="C1" s="476" t="s">
        <v>51</v>
      </c>
      <c r="D1" s="476" t="s">
        <v>625</v>
      </c>
    </row>
    <row r="2" spans="1:4" ht="31.5" x14ac:dyDescent="0.2">
      <c r="A2" s="448">
        <v>2</v>
      </c>
      <c r="B2" s="391" t="s">
        <v>59</v>
      </c>
      <c r="C2" s="476" t="s">
        <v>60</v>
      </c>
      <c r="D2" s="476" t="s">
        <v>627</v>
      </c>
    </row>
    <row r="3" spans="1:4" ht="31.5" x14ac:dyDescent="0.2">
      <c r="A3" s="448">
        <v>3</v>
      </c>
      <c r="B3" s="391" t="s">
        <v>59</v>
      </c>
      <c r="C3" s="476" t="s">
        <v>60</v>
      </c>
      <c r="D3" s="476" t="s">
        <v>627</v>
      </c>
    </row>
    <row r="4" spans="1:4" ht="31.5" x14ac:dyDescent="0.2">
      <c r="A4" s="448">
        <v>4</v>
      </c>
      <c r="B4" s="391" t="s">
        <v>59</v>
      </c>
      <c r="C4" s="476" t="s">
        <v>60</v>
      </c>
      <c r="D4" s="476" t="s">
        <v>627</v>
      </c>
    </row>
    <row r="5" spans="1:4" ht="31.5" x14ac:dyDescent="0.2">
      <c r="A5" s="448">
        <v>5</v>
      </c>
      <c r="B5" s="391" t="s">
        <v>59</v>
      </c>
      <c r="C5" s="476" t="s">
        <v>60</v>
      </c>
      <c r="D5" s="476" t="s">
        <v>627</v>
      </c>
    </row>
    <row r="6" spans="1:4" ht="15.75" x14ac:dyDescent="0.2">
      <c r="A6" s="448">
        <v>6</v>
      </c>
      <c r="B6" s="441" t="s">
        <v>2164</v>
      </c>
      <c r="C6" s="476" t="s">
        <v>95</v>
      </c>
      <c r="D6" s="476" t="s">
        <v>629</v>
      </c>
    </row>
    <row r="7" spans="1:4" ht="15.75" x14ac:dyDescent="0.2">
      <c r="A7" s="448">
        <v>7</v>
      </c>
      <c r="B7" s="441" t="s">
        <v>2165</v>
      </c>
      <c r="C7" s="476" t="s">
        <v>98</v>
      </c>
      <c r="D7" s="476" t="s">
        <v>631</v>
      </c>
    </row>
    <row r="8" spans="1:4" ht="31.5" x14ac:dyDescent="0.2">
      <c r="A8" s="448">
        <v>8</v>
      </c>
      <c r="B8" s="391" t="s">
        <v>2166</v>
      </c>
      <c r="C8" s="476">
        <v>0</v>
      </c>
      <c r="D8" s="476">
        <v>0</v>
      </c>
    </row>
    <row r="9" spans="1:4" ht="31.5" x14ac:dyDescent="0.2">
      <c r="A9" s="448">
        <v>9</v>
      </c>
      <c r="B9" s="391" t="s">
        <v>2166</v>
      </c>
      <c r="C9" s="476">
        <v>0</v>
      </c>
      <c r="D9" s="476">
        <v>0</v>
      </c>
    </row>
    <row r="10" spans="1:4" ht="31.5" x14ac:dyDescent="0.2">
      <c r="A10" s="448">
        <v>10</v>
      </c>
      <c r="B10" s="391" t="s">
        <v>2166</v>
      </c>
      <c r="C10" s="476">
        <v>0</v>
      </c>
      <c r="D10" s="476">
        <v>0</v>
      </c>
    </row>
    <row r="11" spans="1:4" ht="31.5" x14ac:dyDescent="0.2">
      <c r="A11" s="448">
        <v>11</v>
      </c>
      <c r="B11" s="391" t="s">
        <v>2166</v>
      </c>
      <c r="C11" s="476">
        <v>0</v>
      </c>
      <c r="D11" s="476">
        <v>0</v>
      </c>
    </row>
    <row r="12" spans="1:4" ht="15.75" x14ac:dyDescent="0.2">
      <c r="A12" s="448">
        <v>12</v>
      </c>
      <c r="B12" s="441" t="s">
        <v>2167</v>
      </c>
      <c r="C12" s="476" t="s">
        <v>100</v>
      </c>
      <c r="D12" s="476" t="s">
        <v>629</v>
      </c>
    </row>
    <row r="13" spans="1:4" ht="31.5" x14ac:dyDescent="0.2">
      <c r="A13" s="448">
        <v>13</v>
      </c>
      <c r="B13" s="441" t="s">
        <v>2168</v>
      </c>
      <c r="C13" s="476" t="s">
        <v>103</v>
      </c>
      <c r="D13" s="476" t="s">
        <v>634</v>
      </c>
    </row>
    <row r="14" spans="1:4" ht="15.75" x14ac:dyDescent="0.2">
      <c r="A14" s="448">
        <v>14</v>
      </c>
      <c r="B14" s="441" t="s">
        <v>2169</v>
      </c>
      <c r="C14" s="476" t="s">
        <v>105</v>
      </c>
      <c r="D14" s="476" t="s">
        <v>636</v>
      </c>
    </row>
    <row r="15" spans="1:4" ht="15.75" x14ac:dyDescent="0.2">
      <c r="A15" s="448">
        <v>15</v>
      </c>
      <c r="B15" s="441" t="s">
        <v>2170</v>
      </c>
      <c r="C15" s="476" t="s">
        <v>106</v>
      </c>
      <c r="D15" s="476" t="s">
        <v>638</v>
      </c>
    </row>
    <row r="16" spans="1:4" ht="31.5" x14ac:dyDescent="0.2">
      <c r="A16" s="448">
        <v>16</v>
      </c>
      <c r="B16" s="391" t="s">
        <v>2711</v>
      </c>
      <c r="C16" s="476" t="s">
        <v>2712</v>
      </c>
      <c r="D16" s="442" t="s">
        <v>640</v>
      </c>
    </row>
    <row r="17" spans="1:4" ht="15.75" x14ac:dyDescent="0.2">
      <c r="A17" s="448">
        <v>17</v>
      </c>
      <c r="B17" s="391" t="s">
        <v>50</v>
      </c>
      <c r="C17" s="476" t="s">
        <v>112</v>
      </c>
      <c r="D17" s="476" t="s">
        <v>642</v>
      </c>
    </row>
    <row r="18" spans="1:4" ht="15.75" x14ac:dyDescent="0.2">
      <c r="A18" s="448">
        <v>18</v>
      </c>
      <c r="B18" s="441" t="s">
        <v>26</v>
      </c>
      <c r="C18" s="476" t="s">
        <v>113</v>
      </c>
      <c r="D18" s="476" t="s">
        <v>643</v>
      </c>
    </row>
    <row r="19" spans="1:4" ht="15.75" x14ac:dyDescent="0.2">
      <c r="A19" s="448">
        <v>19</v>
      </c>
      <c r="B19" s="391" t="s">
        <v>27</v>
      </c>
      <c r="C19" s="476" t="s">
        <v>114</v>
      </c>
      <c r="D19" s="476" t="s">
        <v>644</v>
      </c>
    </row>
    <row r="20" spans="1:4" ht="31.5" x14ac:dyDescent="0.2">
      <c r="A20" s="448">
        <v>20</v>
      </c>
      <c r="B20" s="441" t="s">
        <v>2713</v>
      </c>
      <c r="C20" s="476" t="s">
        <v>2714</v>
      </c>
      <c r="D20" s="391" t="s">
        <v>645</v>
      </c>
    </row>
    <row r="21" spans="1:4" ht="15.75" x14ac:dyDescent="0.2">
      <c r="A21" s="448">
        <v>21</v>
      </c>
      <c r="B21" s="441" t="s">
        <v>28</v>
      </c>
      <c r="C21" s="476" t="s">
        <v>115</v>
      </c>
      <c r="D21" s="476" t="s">
        <v>645</v>
      </c>
    </row>
    <row r="22" spans="1:4" ht="47.25" x14ac:dyDescent="0.2">
      <c r="A22" s="448">
        <v>22</v>
      </c>
      <c r="B22" s="391" t="s">
        <v>2715</v>
      </c>
      <c r="C22" s="476" t="s">
        <v>2716</v>
      </c>
      <c r="D22" s="391" t="s">
        <v>646</v>
      </c>
    </row>
    <row r="23" spans="1:4" ht="15.75" x14ac:dyDescent="0.2">
      <c r="A23" s="448">
        <v>23</v>
      </c>
      <c r="B23" s="391" t="s">
        <v>29</v>
      </c>
      <c r="C23" s="476" t="s">
        <v>122</v>
      </c>
      <c r="D23" s="476" t="s">
        <v>647</v>
      </c>
    </row>
    <row r="24" spans="1:4" ht="31.5" x14ac:dyDescent="0.2">
      <c r="A24" s="448">
        <v>24</v>
      </c>
      <c r="B24" s="391" t="s">
        <v>2717</v>
      </c>
      <c r="C24" s="476" t="s">
        <v>2718</v>
      </c>
      <c r="D24" s="391" t="s">
        <v>649</v>
      </c>
    </row>
    <row r="25" spans="1:4" ht="15.75" x14ac:dyDescent="0.2">
      <c r="A25" s="448">
        <v>25</v>
      </c>
      <c r="B25" s="391" t="s">
        <v>123</v>
      </c>
      <c r="C25" s="476" t="s">
        <v>124</v>
      </c>
      <c r="D25" s="476" t="s">
        <v>649</v>
      </c>
    </row>
    <row r="26" spans="1:4" ht="15.75" x14ac:dyDescent="0.2">
      <c r="A26" s="448">
        <v>26</v>
      </c>
      <c r="B26" s="441" t="s">
        <v>30</v>
      </c>
      <c r="C26" s="476" t="s">
        <v>127</v>
      </c>
      <c r="D26" s="476" t="s">
        <v>651</v>
      </c>
    </row>
    <row r="27" spans="1:4" ht="15.75" x14ac:dyDescent="0.2">
      <c r="A27" s="448">
        <v>27</v>
      </c>
      <c r="B27" s="443" t="s">
        <v>31</v>
      </c>
      <c r="C27" s="476" t="s">
        <v>130</v>
      </c>
      <c r="D27" s="476" t="s">
        <v>653</v>
      </c>
    </row>
    <row r="28" spans="1:4" ht="15.75" x14ac:dyDescent="0.2">
      <c r="A28" s="448">
        <v>28</v>
      </c>
      <c r="B28" s="391" t="s">
        <v>654</v>
      </c>
      <c r="C28" s="476" t="s">
        <v>293</v>
      </c>
      <c r="D28" s="476" t="s">
        <v>655</v>
      </c>
    </row>
    <row r="29" spans="1:4" ht="15.75" x14ac:dyDescent="0.2">
      <c r="A29" s="448">
        <v>29</v>
      </c>
      <c r="B29" s="441" t="s">
        <v>284</v>
      </c>
      <c r="C29" s="476" t="s">
        <v>285</v>
      </c>
      <c r="D29" s="476" t="s">
        <v>656</v>
      </c>
    </row>
    <row r="30" spans="1:4" ht="15.75" x14ac:dyDescent="0.2">
      <c r="A30" s="448">
        <v>30</v>
      </c>
      <c r="B30" s="444" t="s">
        <v>32</v>
      </c>
      <c r="C30" s="476" t="s">
        <v>144</v>
      </c>
      <c r="D30" s="476" t="s">
        <v>657</v>
      </c>
    </row>
    <row r="31" spans="1:4" ht="31.5" x14ac:dyDescent="0.2">
      <c r="A31" s="448">
        <v>31</v>
      </c>
      <c r="B31" s="444" t="s">
        <v>2719</v>
      </c>
      <c r="C31" s="476" t="s">
        <v>2720</v>
      </c>
      <c r="D31" s="444" t="s">
        <v>659</v>
      </c>
    </row>
    <row r="32" spans="1:4" ht="15.75" x14ac:dyDescent="0.2">
      <c r="A32" s="448">
        <v>32</v>
      </c>
      <c r="B32" s="444" t="s">
        <v>33</v>
      </c>
      <c r="C32" s="476" t="s">
        <v>157</v>
      </c>
      <c r="D32" s="476" t="s">
        <v>661</v>
      </c>
    </row>
    <row r="33" spans="1:4" ht="15.75" x14ac:dyDescent="0.2">
      <c r="A33" s="448">
        <v>33</v>
      </c>
      <c r="B33" s="444" t="s">
        <v>33</v>
      </c>
      <c r="C33" s="476" t="s">
        <v>157</v>
      </c>
      <c r="D33" s="476" t="s">
        <v>661</v>
      </c>
    </row>
    <row r="34" spans="1:4" ht="15.75" x14ac:dyDescent="0.2">
      <c r="A34" s="448">
        <v>34</v>
      </c>
      <c r="B34" s="391" t="s">
        <v>34</v>
      </c>
      <c r="C34" s="476" t="s">
        <v>162</v>
      </c>
      <c r="D34" s="476" t="s">
        <v>665</v>
      </c>
    </row>
    <row r="35" spans="1:4" ht="15.75" x14ac:dyDescent="0.2">
      <c r="A35" s="448">
        <v>35</v>
      </c>
      <c r="B35" s="391" t="s">
        <v>34</v>
      </c>
      <c r="C35" s="476" t="s">
        <v>162</v>
      </c>
      <c r="D35" s="476" t="s">
        <v>665</v>
      </c>
    </row>
    <row r="36" spans="1:4" ht="15.75" x14ac:dyDescent="0.2">
      <c r="A36" s="448">
        <v>36</v>
      </c>
      <c r="B36" s="444" t="s">
        <v>2171</v>
      </c>
      <c r="C36" s="476" t="s">
        <v>181</v>
      </c>
      <c r="D36" s="476" t="s">
        <v>667</v>
      </c>
    </row>
    <row r="37" spans="1:4" ht="15.75" x14ac:dyDescent="0.2">
      <c r="A37" s="448">
        <v>37</v>
      </c>
      <c r="B37" s="441" t="s">
        <v>2172</v>
      </c>
      <c r="C37" s="476">
        <v>0</v>
      </c>
      <c r="D37" s="476">
        <v>0</v>
      </c>
    </row>
    <row r="38" spans="1:4" ht="15.75" x14ac:dyDescent="0.2">
      <c r="A38" s="448">
        <v>38</v>
      </c>
      <c r="B38" s="441" t="s">
        <v>2172</v>
      </c>
      <c r="C38" s="476">
        <v>0</v>
      </c>
      <c r="D38" s="476">
        <v>0</v>
      </c>
    </row>
    <row r="39" spans="1:4" ht="15.75" x14ac:dyDescent="0.2">
      <c r="A39" s="448">
        <v>39</v>
      </c>
      <c r="B39" s="391" t="s">
        <v>2176</v>
      </c>
      <c r="C39" s="476" t="s">
        <v>129</v>
      </c>
      <c r="D39" s="476" t="s">
        <v>669</v>
      </c>
    </row>
    <row r="40" spans="1:4" ht="15.75" x14ac:dyDescent="0.2">
      <c r="A40" s="448">
        <v>40</v>
      </c>
      <c r="B40" s="391" t="s">
        <v>2177</v>
      </c>
      <c r="C40" s="476" t="s">
        <v>189</v>
      </c>
      <c r="D40" s="476" t="s">
        <v>671</v>
      </c>
    </row>
    <row r="41" spans="1:4" ht="15.75" x14ac:dyDescent="0.2">
      <c r="A41" s="448">
        <v>41</v>
      </c>
      <c r="B41" s="391" t="s">
        <v>35</v>
      </c>
      <c r="C41" s="476" t="s">
        <v>190</v>
      </c>
      <c r="D41" s="476" t="s">
        <v>673</v>
      </c>
    </row>
    <row r="42" spans="1:4" ht="15.75" x14ac:dyDescent="0.2">
      <c r="A42" s="448">
        <v>42</v>
      </c>
      <c r="B42" s="391" t="s">
        <v>35</v>
      </c>
      <c r="C42" s="476" t="s">
        <v>190</v>
      </c>
      <c r="D42" s="476" t="s">
        <v>673</v>
      </c>
    </row>
    <row r="43" spans="1:4" ht="15.75" x14ac:dyDescent="0.2">
      <c r="A43" s="448">
        <v>43</v>
      </c>
      <c r="B43" s="391" t="s">
        <v>35</v>
      </c>
      <c r="C43" s="476" t="s">
        <v>190</v>
      </c>
      <c r="D43" s="476" t="s">
        <v>673</v>
      </c>
    </row>
    <row r="44" spans="1:4" ht="15.75" x14ac:dyDescent="0.2">
      <c r="A44" s="448">
        <v>44</v>
      </c>
      <c r="B44" s="441" t="s">
        <v>2178</v>
      </c>
      <c r="C44" s="476" t="s">
        <v>196</v>
      </c>
      <c r="D44" s="476" t="s">
        <v>675</v>
      </c>
    </row>
    <row r="45" spans="1:4" ht="15.75" x14ac:dyDescent="0.2">
      <c r="A45" s="448">
        <v>45</v>
      </c>
      <c r="B45" s="441" t="s">
        <v>2179</v>
      </c>
      <c r="C45" s="476" t="s">
        <v>198</v>
      </c>
      <c r="D45" s="476" t="s">
        <v>673</v>
      </c>
    </row>
    <row r="46" spans="1:4" ht="42.75" x14ac:dyDescent="0.2">
      <c r="A46" s="448">
        <v>46</v>
      </c>
      <c r="B46" s="441" t="s">
        <v>2721</v>
      </c>
      <c r="C46" s="476" t="s">
        <v>2722</v>
      </c>
      <c r="D46" s="477" t="s">
        <v>2723</v>
      </c>
    </row>
    <row r="47" spans="1:4" ht="31.5" x14ac:dyDescent="0.2">
      <c r="A47" s="448">
        <v>47</v>
      </c>
      <c r="B47" s="441" t="s">
        <v>2724</v>
      </c>
      <c r="C47" s="476" t="s">
        <v>2725</v>
      </c>
      <c r="D47" s="476" t="s">
        <v>2726</v>
      </c>
    </row>
    <row r="48" spans="1:4" ht="15.75" x14ac:dyDescent="0.2">
      <c r="A48" s="448">
        <v>48</v>
      </c>
      <c r="B48" s="391" t="s">
        <v>36</v>
      </c>
      <c r="C48" s="476" t="s">
        <v>205</v>
      </c>
      <c r="D48" s="476" t="s">
        <v>681</v>
      </c>
    </row>
    <row r="49" spans="1:4" ht="15.75" x14ac:dyDescent="0.2">
      <c r="A49" s="448">
        <v>49</v>
      </c>
      <c r="B49" s="391" t="s">
        <v>36</v>
      </c>
      <c r="C49" s="476" t="s">
        <v>205</v>
      </c>
      <c r="D49" s="476" t="s">
        <v>681</v>
      </c>
    </row>
    <row r="50" spans="1:4" ht="15.75" x14ac:dyDescent="0.2">
      <c r="A50" s="448">
        <v>50</v>
      </c>
      <c r="B50" s="391" t="s">
        <v>37</v>
      </c>
      <c r="C50" s="476" t="s">
        <v>300</v>
      </c>
      <c r="D50" s="476" t="s">
        <v>682</v>
      </c>
    </row>
    <row r="51" spans="1:4" ht="31.5" x14ac:dyDescent="0.2">
      <c r="A51" s="448">
        <v>51</v>
      </c>
      <c r="B51" s="441" t="s">
        <v>2727</v>
      </c>
      <c r="C51" s="476" t="s">
        <v>2728</v>
      </c>
      <c r="D51" s="476" t="s">
        <v>2729</v>
      </c>
    </row>
    <row r="52" spans="1:4" ht="31.5" x14ac:dyDescent="0.2">
      <c r="A52" s="448">
        <v>52</v>
      </c>
      <c r="B52" s="391" t="s">
        <v>2730</v>
      </c>
      <c r="C52" s="476" t="s">
        <v>2731</v>
      </c>
      <c r="D52" s="476" t="s">
        <v>685</v>
      </c>
    </row>
    <row r="53" spans="1:4" ht="31.5" x14ac:dyDescent="0.2">
      <c r="A53" s="448">
        <v>53</v>
      </c>
      <c r="B53" s="441" t="s">
        <v>2732</v>
      </c>
      <c r="C53" s="476" t="s">
        <v>2733</v>
      </c>
      <c r="D53" s="442" t="s">
        <v>687</v>
      </c>
    </row>
    <row r="54" spans="1:4" ht="15.75" x14ac:dyDescent="0.2">
      <c r="A54" s="448">
        <v>54</v>
      </c>
      <c r="B54" s="391" t="s">
        <v>39</v>
      </c>
      <c r="C54" s="476" t="s">
        <v>221</v>
      </c>
      <c r="D54" s="476" t="s">
        <v>688</v>
      </c>
    </row>
    <row r="55" spans="1:4" ht="15.75" x14ac:dyDescent="0.2">
      <c r="A55" s="448">
        <v>55</v>
      </c>
      <c r="B55" s="391" t="s">
        <v>40</v>
      </c>
      <c r="C55" s="476" t="s">
        <v>222</v>
      </c>
      <c r="D55" s="476" t="s">
        <v>689</v>
      </c>
    </row>
    <row r="56" spans="1:4" ht="31.5" x14ac:dyDescent="0.2">
      <c r="A56" s="448">
        <v>56</v>
      </c>
      <c r="B56" s="443" t="s">
        <v>2734</v>
      </c>
      <c r="C56" s="478" t="s">
        <v>2735</v>
      </c>
      <c r="D56" s="478" t="s">
        <v>691</v>
      </c>
    </row>
    <row r="57" spans="1:4" ht="15.75" x14ac:dyDescent="0.2">
      <c r="A57" s="448">
        <v>57</v>
      </c>
      <c r="B57" s="443" t="s">
        <v>41</v>
      </c>
      <c r="C57" s="476" t="s">
        <v>227</v>
      </c>
      <c r="D57" s="476" t="s">
        <v>692</v>
      </c>
    </row>
    <row r="58" spans="1:4" ht="15.75" x14ac:dyDescent="0.2">
      <c r="A58" s="448">
        <v>58</v>
      </c>
      <c r="B58" s="443" t="s">
        <v>287</v>
      </c>
      <c r="C58" s="476" t="s">
        <v>288</v>
      </c>
      <c r="D58" s="476" t="s">
        <v>693</v>
      </c>
    </row>
    <row r="59" spans="1:4" ht="15.75" x14ac:dyDescent="0.2">
      <c r="A59" s="448">
        <v>59</v>
      </c>
      <c r="B59" s="391" t="s">
        <v>290</v>
      </c>
      <c r="C59" s="476" t="s">
        <v>291</v>
      </c>
      <c r="D59" s="476" t="s">
        <v>694</v>
      </c>
    </row>
    <row r="60" spans="1:4" ht="15.75" x14ac:dyDescent="0.2">
      <c r="A60" s="448">
        <v>60</v>
      </c>
      <c r="B60" s="391" t="s">
        <v>290</v>
      </c>
      <c r="C60" s="476" t="s">
        <v>291</v>
      </c>
      <c r="D60" s="476" t="s">
        <v>694</v>
      </c>
    </row>
    <row r="61" spans="1:4" ht="31.5" x14ac:dyDescent="0.2">
      <c r="A61" s="448">
        <v>61</v>
      </c>
      <c r="B61" s="444" t="s">
        <v>2736</v>
      </c>
      <c r="C61" s="479" t="s">
        <v>2737</v>
      </c>
      <c r="D61" s="444" t="s">
        <v>696</v>
      </c>
    </row>
    <row r="62" spans="1:4" ht="15.75" x14ac:dyDescent="0.2">
      <c r="A62" s="448">
        <v>62</v>
      </c>
      <c r="B62" s="443" t="s">
        <v>561</v>
      </c>
      <c r="C62" s="476" t="s">
        <v>234</v>
      </c>
      <c r="D62" s="476" t="s">
        <v>697</v>
      </c>
    </row>
    <row r="63" spans="1:4" ht="15.75" x14ac:dyDescent="0.2">
      <c r="A63" s="448">
        <v>63</v>
      </c>
      <c r="B63" s="391" t="s">
        <v>42</v>
      </c>
      <c r="C63" s="476" t="s">
        <v>235</v>
      </c>
      <c r="D63" s="476" t="s">
        <v>697</v>
      </c>
    </row>
    <row r="64" spans="1:4" ht="15.75" x14ac:dyDescent="0.2">
      <c r="A64" s="448">
        <v>64</v>
      </c>
      <c r="B64" s="443" t="s">
        <v>43</v>
      </c>
      <c r="C64" s="476" t="s">
        <v>236</v>
      </c>
      <c r="D64" s="476" t="s">
        <v>698</v>
      </c>
    </row>
    <row r="65" spans="1:4" ht="31.5" x14ac:dyDescent="0.2">
      <c r="A65" s="448">
        <v>65</v>
      </c>
      <c r="B65" s="391" t="s">
        <v>2738</v>
      </c>
      <c r="C65" s="476" t="s">
        <v>2739</v>
      </c>
      <c r="D65" s="442" t="s">
        <v>700</v>
      </c>
    </row>
    <row r="66" spans="1:4" ht="31.5" x14ac:dyDescent="0.2">
      <c r="A66" s="448">
        <v>66</v>
      </c>
      <c r="B66" s="443" t="s">
        <v>243</v>
      </c>
      <c r="C66" s="476" t="s">
        <v>584</v>
      </c>
      <c r="D66" s="476">
        <v>0</v>
      </c>
    </row>
    <row r="67" spans="1:4" ht="15.75" x14ac:dyDescent="0.2">
      <c r="A67" s="448">
        <v>67</v>
      </c>
      <c r="B67" s="443" t="s">
        <v>44</v>
      </c>
      <c r="C67" s="476" t="s">
        <v>244</v>
      </c>
      <c r="D67" s="476" t="s">
        <v>701</v>
      </c>
    </row>
    <row r="68" spans="1:4" ht="15.75" x14ac:dyDescent="0.2">
      <c r="A68" s="448">
        <v>68</v>
      </c>
      <c r="B68" s="443" t="s">
        <v>45</v>
      </c>
      <c r="C68" s="476" t="s">
        <v>249</v>
      </c>
      <c r="D68" s="476" t="s">
        <v>702</v>
      </c>
    </row>
    <row r="69" spans="1:4" ht="42.75" x14ac:dyDescent="0.2">
      <c r="A69" s="448">
        <v>69</v>
      </c>
      <c r="B69" s="443" t="s">
        <v>2740</v>
      </c>
      <c r="C69" s="476" t="s">
        <v>2741</v>
      </c>
      <c r="D69" s="479" t="s">
        <v>2742</v>
      </c>
    </row>
    <row r="70" spans="1:4" ht="15.75" x14ac:dyDescent="0.2">
      <c r="A70" s="448">
        <v>70</v>
      </c>
      <c r="B70" s="443" t="s">
        <v>259</v>
      </c>
      <c r="C70" s="476" t="s">
        <v>260</v>
      </c>
      <c r="D70" s="476" t="s">
        <v>704</v>
      </c>
    </row>
    <row r="71" spans="1:4" ht="31.5" x14ac:dyDescent="0.2">
      <c r="A71" s="448">
        <v>71</v>
      </c>
      <c r="B71" s="391" t="s">
        <v>594</v>
      </c>
      <c r="C71" s="476" t="s">
        <v>589</v>
      </c>
      <c r="D71" s="476">
        <v>0</v>
      </c>
    </row>
    <row r="72" spans="1:4" ht="15.75" x14ac:dyDescent="0.2">
      <c r="A72" s="448">
        <v>72</v>
      </c>
      <c r="B72" s="391" t="s">
        <v>46</v>
      </c>
      <c r="C72" s="476" t="s">
        <v>262</v>
      </c>
      <c r="D72" s="476" t="s">
        <v>706</v>
      </c>
    </row>
    <row r="73" spans="1:4" ht="15.75" x14ac:dyDescent="0.2">
      <c r="A73" s="448">
        <v>73</v>
      </c>
      <c r="B73" s="391" t="s">
        <v>47</v>
      </c>
      <c r="C73" s="476" t="s">
        <v>279</v>
      </c>
      <c r="D73" s="476" t="s">
        <v>707</v>
      </c>
    </row>
    <row r="74" spans="1:4" ht="15.75" x14ac:dyDescent="0.2">
      <c r="A74" s="448">
        <v>74</v>
      </c>
      <c r="B74" s="391" t="s">
        <v>47</v>
      </c>
      <c r="C74" s="476" t="s">
        <v>279</v>
      </c>
      <c r="D74" s="476" t="s">
        <v>707</v>
      </c>
    </row>
    <row r="75" spans="1:4" ht="15.75" x14ac:dyDescent="0.2">
      <c r="A75" s="448">
        <v>75</v>
      </c>
      <c r="B75" s="391" t="s">
        <v>47</v>
      </c>
      <c r="C75" s="476" t="s">
        <v>279</v>
      </c>
      <c r="D75" s="476" t="s">
        <v>707</v>
      </c>
    </row>
    <row r="76" spans="1:4" ht="15.75" x14ac:dyDescent="0.2">
      <c r="A76" s="448">
        <v>76</v>
      </c>
      <c r="B76" s="391" t="s">
        <v>47</v>
      </c>
      <c r="C76" s="476" t="s">
        <v>279</v>
      </c>
      <c r="D76" s="476" t="s">
        <v>707</v>
      </c>
    </row>
    <row r="77" spans="1:4" ht="15.75" x14ac:dyDescent="0.2">
      <c r="A77" s="448">
        <v>77</v>
      </c>
      <c r="B77" s="391" t="s">
        <v>47</v>
      </c>
      <c r="C77" s="476" t="s">
        <v>279</v>
      </c>
      <c r="D77" s="476" t="s">
        <v>707</v>
      </c>
    </row>
    <row r="78" spans="1:4" ht="15.75" x14ac:dyDescent="0.2">
      <c r="A78" s="448">
        <v>78</v>
      </c>
      <c r="B78" s="391" t="s">
        <v>47</v>
      </c>
      <c r="C78" s="476" t="s">
        <v>279</v>
      </c>
      <c r="D78" s="476" t="s">
        <v>707</v>
      </c>
    </row>
    <row r="79" spans="1:4" ht="15.75" x14ac:dyDescent="0.2">
      <c r="A79" s="448">
        <v>79</v>
      </c>
      <c r="B79" s="391" t="s">
        <v>48</v>
      </c>
      <c r="C79" s="476" t="s">
        <v>280</v>
      </c>
      <c r="D79" s="476" t="s">
        <v>713</v>
      </c>
    </row>
    <row r="80" spans="1:4" ht="15.75" x14ac:dyDescent="0.2">
      <c r="A80" s="448">
        <v>80</v>
      </c>
      <c r="B80" s="391" t="s">
        <v>49</v>
      </c>
      <c r="C80" s="476" t="s">
        <v>281</v>
      </c>
      <c r="D80" s="476" t="s">
        <v>714</v>
      </c>
    </row>
    <row r="81" spans="1:4" ht="15.75" x14ac:dyDescent="0.2">
      <c r="A81" s="448">
        <v>81</v>
      </c>
      <c r="B81" s="391" t="s">
        <v>50</v>
      </c>
      <c r="C81" s="476" t="s">
        <v>112</v>
      </c>
      <c r="D81" s="476" t="s">
        <v>642</v>
      </c>
    </row>
    <row r="82" spans="1:4" ht="15.75" x14ac:dyDescent="0.2">
      <c r="A82" s="448">
        <v>82</v>
      </c>
      <c r="B82" s="391" t="s">
        <v>50</v>
      </c>
      <c r="C82" s="476" t="s">
        <v>112</v>
      </c>
      <c r="D82" s="476" t="s">
        <v>642</v>
      </c>
    </row>
    <row r="83" spans="1:4" ht="15.75" x14ac:dyDescent="0.2">
      <c r="A83" s="448">
        <v>83</v>
      </c>
      <c r="B83" s="391" t="s">
        <v>50</v>
      </c>
      <c r="C83" s="476" t="s">
        <v>112</v>
      </c>
      <c r="D83" s="476" t="s">
        <v>642</v>
      </c>
    </row>
    <row r="84" spans="1:4" ht="15.75" x14ac:dyDescent="0.2">
      <c r="A84" s="448">
        <v>84</v>
      </c>
      <c r="B84" s="390" t="s">
        <v>790</v>
      </c>
      <c r="C84" s="476" t="s">
        <v>796</v>
      </c>
      <c r="D84" s="476" t="s">
        <v>1653</v>
      </c>
    </row>
    <row r="85" spans="1:4" ht="15.75" x14ac:dyDescent="0.2">
      <c r="A85" s="448">
        <v>85</v>
      </c>
      <c r="B85" s="441" t="s">
        <v>818</v>
      </c>
      <c r="C85" s="476" t="s">
        <v>821</v>
      </c>
      <c r="D85" s="476" t="s">
        <v>1653</v>
      </c>
    </row>
    <row r="86" spans="1:4" ht="15.75" x14ac:dyDescent="0.2">
      <c r="A86" s="448">
        <v>86</v>
      </c>
      <c r="B86" s="441" t="s">
        <v>825</v>
      </c>
      <c r="C86" s="476" t="s">
        <v>829</v>
      </c>
      <c r="D86" s="476" t="s">
        <v>1654</v>
      </c>
    </row>
    <row r="87" spans="1:4" ht="15.75" x14ac:dyDescent="0.2">
      <c r="A87" s="448">
        <v>87</v>
      </c>
      <c r="B87" s="391" t="s">
        <v>840</v>
      </c>
      <c r="C87" s="476" t="s">
        <v>843</v>
      </c>
      <c r="D87" s="476" t="s">
        <v>846</v>
      </c>
    </row>
    <row r="88" spans="1:4" ht="15.75" x14ac:dyDescent="0.2">
      <c r="A88" s="448">
        <v>88</v>
      </c>
      <c r="B88" s="391" t="s">
        <v>849</v>
      </c>
      <c r="C88" s="476" t="s">
        <v>851</v>
      </c>
      <c r="D88" s="476" t="s">
        <v>1570</v>
      </c>
    </row>
    <row r="89" spans="1:4" ht="15.75" x14ac:dyDescent="0.2">
      <c r="A89" s="448">
        <v>89</v>
      </c>
      <c r="B89" s="391" t="s">
        <v>48</v>
      </c>
      <c r="C89" s="476" t="s">
        <v>280</v>
      </c>
      <c r="D89" s="476" t="s">
        <v>858</v>
      </c>
    </row>
    <row r="90" spans="1:4" ht="15.75" x14ac:dyDescent="0.2">
      <c r="A90" s="448">
        <v>90</v>
      </c>
      <c r="B90" s="391" t="s">
        <v>860</v>
      </c>
      <c r="C90" s="476" t="s">
        <v>863</v>
      </c>
      <c r="D90" s="476" t="s">
        <v>865</v>
      </c>
    </row>
    <row r="91" spans="1:4" ht="15.75" x14ac:dyDescent="0.2">
      <c r="A91" s="448">
        <v>91</v>
      </c>
      <c r="B91" s="391" t="s">
        <v>866</v>
      </c>
      <c r="C91" s="476" t="s">
        <v>869</v>
      </c>
      <c r="D91" s="476" t="s">
        <v>1571</v>
      </c>
    </row>
    <row r="92" spans="1:4" ht="15.75" x14ac:dyDescent="0.2">
      <c r="A92" s="448">
        <v>92</v>
      </c>
      <c r="B92" s="441" t="s">
        <v>873</v>
      </c>
      <c r="C92" s="476" t="s">
        <v>876</v>
      </c>
      <c r="D92" s="476" t="s">
        <v>879</v>
      </c>
    </row>
    <row r="93" spans="1:4" ht="15.75" x14ac:dyDescent="0.2">
      <c r="A93" s="448">
        <v>93</v>
      </c>
      <c r="B93" s="391" t="s">
        <v>883</v>
      </c>
      <c r="C93" s="476" t="s">
        <v>886</v>
      </c>
      <c r="D93" s="476" t="s">
        <v>888</v>
      </c>
    </row>
    <row r="94" spans="1:4" ht="15.75" x14ac:dyDescent="0.2">
      <c r="A94" s="448">
        <v>94</v>
      </c>
      <c r="B94" s="441" t="s">
        <v>891</v>
      </c>
      <c r="C94" s="476" t="s">
        <v>893</v>
      </c>
      <c r="D94" s="476" t="s">
        <v>895</v>
      </c>
    </row>
    <row r="95" spans="1:4" ht="15.75" x14ac:dyDescent="0.2">
      <c r="A95" s="448">
        <v>95</v>
      </c>
      <c r="B95" s="391" t="s">
        <v>898</v>
      </c>
      <c r="C95" s="476" t="s">
        <v>900</v>
      </c>
      <c r="D95" s="476" t="s">
        <v>902</v>
      </c>
    </row>
    <row r="96" spans="1:4" ht="15.75" x14ac:dyDescent="0.2">
      <c r="A96" s="448">
        <v>96</v>
      </c>
      <c r="B96" s="441" t="s">
        <v>904</v>
      </c>
      <c r="C96" s="476" t="s">
        <v>906</v>
      </c>
      <c r="D96" s="476" t="s">
        <v>908</v>
      </c>
    </row>
    <row r="97" spans="1:4" ht="15.75" x14ac:dyDescent="0.2">
      <c r="A97" s="448">
        <v>97</v>
      </c>
      <c r="B97" s="441" t="s">
        <v>910</v>
      </c>
      <c r="C97" s="476" t="s">
        <v>912</v>
      </c>
      <c r="D97" s="476" t="s">
        <v>914</v>
      </c>
    </row>
    <row r="98" spans="1:4" ht="15.75" x14ac:dyDescent="0.2">
      <c r="A98" s="448">
        <v>98</v>
      </c>
      <c r="B98" s="391" t="s">
        <v>916</v>
      </c>
      <c r="C98" s="476" t="s">
        <v>918</v>
      </c>
      <c r="D98" s="476" t="s">
        <v>1572</v>
      </c>
    </row>
    <row r="99" spans="1:4" ht="31.5" x14ac:dyDescent="0.2">
      <c r="A99" s="484">
        <v>99</v>
      </c>
      <c r="B99" s="486" t="s">
        <v>2774</v>
      </c>
      <c r="C99" s="496" t="s">
        <v>2775</v>
      </c>
      <c r="D99" s="441" t="s">
        <v>1573</v>
      </c>
    </row>
    <row r="100" spans="1:4" ht="15.75" x14ac:dyDescent="0.2">
      <c r="A100" s="448">
        <v>100</v>
      </c>
      <c r="B100" s="391" t="s">
        <v>959</v>
      </c>
      <c r="C100" s="476" t="s">
        <v>961</v>
      </c>
      <c r="D100" s="476" t="s">
        <v>1657</v>
      </c>
    </row>
    <row r="101" spans="1:4" ht="15.75" x14ac:dyDescent="0.2">
      <c r="A101" s="448">
        <v>101</v>
      </c>
      <c r="B101" s="391" t="s">
        <v>959</v>
      </c>
      <c r="C101" s="476" t="s">
        <v>961</v>
      </c>
      <c r="D101" s="476" t="s">
        <v>1657</v>
      </c>
    </row>
    <row r="102" spans="1:4" ht="31.5" x14ac:dyDescent="0.2">
      <c r="A102" s="448">
        <v>102</v>
      </c>
      <c r="B102" s="391" t="s">
        <v>2743</v>
      </c>
      <c r="C102" s="476" t="s">
        <v>2744</v>
      </c>
      <c r="D102" s="441" t="s">
        <v>1655</v>
      </c>
    </row>
    <row r="103" spans="1:4" ht="15.75" x14ac:dyDescent="0.2">
      <c r="A103" s="448">
        <v>103</v>
      </c>
      <c r="B103" s="391" t="s">
        <v>950</v>
      </c>
      <c r="C103" s="476" t="s">
        <v>952</v>
      </c>
      <c r="D103" s="476" t="s">
        <v>1655</v>
      </c>
    </row>
    <row r="104" spans="1:4" ht="15.75" x14ac:dyDescent="0.2">
      <c r="A104" s="448">
        <v>104</v>
      </c>
      <c r="B104" s="441" t="s">
        <v>2227</v>
      </c>
      <c r="C104" s="476" t="s">
        <v>955</v>
      </c>
      <c r="D104" s="476" t="s">
        <v>1656</v>
      </c>
    </row>
    <row r="105" spans="1:4" ht="15.75" x14ac:dyDescent="0.2">
      <c r="A105" s="448">
        <v>105</v>
      </c>
      <c r="B105" s="391" t="s">
        <v>959</v>
      </c>
      <c r="C105" s="476" t="s">
        <v>961</v>
      </c>
      <c r="D105" s="476" t="s">
        <v>1657</v>
      </c>
    </row>
    <row r="106" spans="1:4" ht="31.5" x14ac:dyDescent="0.2">
      <c r="A106" s="448">
        <v>106</v>
      </c>
      <c r="B106" s="391" t="s">
        <v>969</v>
      </c>
      <c r="C106" s="476" t="s">
        <v>1658</v>
      </c>
      <c r="D106" s="476">
        <v>0</v>
      </c>
    </row>
    <row r="107" spans="1:4" ht="15.75" x14ac:dyDescent="0.2">
      <c r="A107" s="448">
        <v>107</v>
      </c>
      <c r="B107" s="391" t="s">
        <v>977</v>
      </c>
      <c r="C107" s="476" t="s">
        <v>984</v>
      </c>
      <c r="D107" s="476" t="s">
        <v>1574</v>
      </c>
    </row>
    <row r="108" spans="1:4" ht="15.75" x14ac:dyDescent="0.2">
      <c r="A108" s="448">
        <v>108</v>
      </c>
      <c r="B108" s="391" t="s">
        <v>987</v>
      </c>
      <c r="C108" s="476" t="s">
        <v>990</v>
      </c>
      <c r="D108" s="476" t="s">
        <v>1575</v>
      </c>
    </row>
    <row r="109" spans="1:4" ht="15.75" x14ac:dyDescent="0.2">
      <c r="A109" s="448">
        <v>109</v>
      </c>
      <c r="B109" s="391" t="s">
        <v>993</v>
      </c>
      <c r="C109" s="476" t="s">
        <v>995</v>
      </c>
      <c r="D109" s="476" t="s">
        <v>1576</v>
      </c>
    </row>
    <row r="110" spans="1:4" ht="15.75" x14ac:dyDescent="0.2">
      <c r="A110" s="448">
        <v>110</v>
      </c>
      <c r="B110" s="391" t="s">
        <v>998</v>
      </c>
      <c r="C110" s="476" t="s">
        <v>1000</v>
      </c>
      <c r="D110" s="476" t="s">
        <v>1577</v>
      </c>
    </row>
    <row r="111" spans="1:4" ht="15.75" x14ac:dyDescent="0.2">
      <c r="A111" s="448">
        <v>111</v>
      </c>
      <c r="B111" s="391" t="s">
        <v>50</v>
      </c>
      <c r="C111" s="476" t="s">
        <v>112</v>
      </c>
      <c r="D111" s="476" t="s">
        <v>1659</v>
      </c>
    </row>
    <row r="112" spans="1:4" ht="15.75" x14ac:dyDescent="0.2">
      <c r="A112" s="448">
        <v>112</v>
      </c>
      <c r="B112" s="391" t="s">
        <v>1027</v>
      </c>
      <c r="C112" s="476" t="s">
        <v>1030</v>
      </c>
      <c r="D112" s="476" t="s">
        <v>1660</v>
      </c>
    </row>
    <row r="113" spans="1:4" ht="15.75" x14ac:dyDescent="0.2">
      <c r="A113" s="448">
        <v>113</v>
      </c>
      <c r="B113" s="391" t="s">
        <v>1033</v>
      </c>
      <c r="C113" s="476" t="s">
        <v>1035</v>
      </c>
      <c r="D113" s="476" t="s">
        <v>1662</v>
      </c>
    </row>
    <row r="114" spans="1:4" ht="15.75" x14ac:dyDescent="0.2">
      <c r="A114" s="448">
        <v>114</v>
      </c>
      <c r="B114" s="391" t="s">
        <v>1043</v>
      </c>
      <c r="C114" s="476" t="s">
        <v>1045</v>
      </c>
      <c r="D114" s="476" t="s">
        <v>1661</v>
      </c>
    </row>
    <row r="115" spans="1:4" ht="15.75" x14ac:dyDescent="0.2">
      <c r="A115" s="448">
        <v>115</v>
      </c>
      <c r="B115" s="391" t="s">
        <v>1046</v>
      </c>
      <c r="C115" s="476" t="s">
        <v>1049</v>
      </c>
      <c r="D115" s="476" t="s">
        <v>1578</v>
      </c>
    </row>
    <row r="116" spans="1:4" ht="15.75" x14ac:dyDescent="0.2">
      <c r="A116" s="448">
        <v>116</v>
      </c>
      <c r="B116" s="391" t="s">
        <v>1052</v>
      </c>
      <c r="C116" s="476" t="s">
        <v>1054</v>
      </c>
      <c r="D116" s="476" t="s">
        <v>1579</v>
      </c>
    </row>
    <row r="117" spans="1:4" ht="15.75" x14ac:dyDescent="0.2">
      <c r="A117" s="448">
        <v>117</v>
      </c>
      <c r="B117" s="391" t="s">
        <v>1055</v>
      </c>
      <c r="C117" s="476" t="s">
        <v>1057</v>
      </c>
      <c r="D117" s="476" t="s">
        <v>1580</v>
      </c>
    </row>
    <row r="118" spans="1:4" ht="15.75" x14ac:dyDescent="0.2">
      <c r="A118" s="448">
        <v>118</v>
      </c>
      <c r="B118" s="391" t="s">
        <v>1061</v>
      </c>
      <c r="C118" s="476" t="s">
        <v>1063</v>
      </c>
      <c r="D118" s="476" t="s">
        <v>1581</v>
      </c>
    </row>
    <row r="119" spans="1:4" ht="15.75" x14ac:dyDescent="0.2">
      <c r="A119" s="448">
        <v>119</v>
      </c>
      <c r="B119" s="391" t="s">
        <v>1065</v>
      </c>
      <c r="C119" s="476" t="s">
        <v>1067</v>
      </c>
      <c r="D119" s="476" t="s">
        <v>1582</v>
      </c>
    </row>
    <row r="120" spans="1:4" ht="15.75" x14ac:dyDescent="0.2">
      <c r="A120" s="448">
        <v>120</v>
      </c>
      <c r="B120" s="391" t="s">
        <v>1069</v>
      </c>
      <c r="C120" s="476" t="s">
        <v>1071</v>
      </c>
      <c r="D120" s="476" t="s">
        <v>1583</v>
      </c>
    </row>
    <row r="121" spans="1:4" ht="15.75" x14ac:dyDescent="0.2">
      <c r="A121" s="448">
        <v>121</v>
      </c>
      <c r="B121" s="391" t="s">
        <v>1073</v>
      </c>
      <c r="C121" s="476" t="s">
        <v>1075</v>
      </c>
      <c r="D121" s="476" t="s">
        <v>1584</v>
      </c>
    </row>
    <row r="122" spans="1:4" ht="31.5" x14ac:dyDescent="0.2">
      <c r="A122" s="448">
        <v>122</v>
      </c>
      <c r="B122" s="391" t="s">
        <v>2050</v>
      </c>
      <c r="C122" s="476">
        <v>0</v>
      </c>
      <c r="D122" s="476">
        <v>0</v>
      </c>
    </row>
    <row r="123" spans="1:4" ht="15.75" x14ac:dyDescent="0.2">
      <c r="A123" s="448">
        <v>123</v>
      </c>
      <c r="B123" s="391" t="s">
        <v>1084</v>
      </c>
      <c r="C123" s="476" t="s">
        <v>1086</v>
      </c>
      <c r="D123" s="476" t="s">
        <v>1586</v>
      </c>
    </row>
    <row r="124" spans="1:4" ht="15.75" x14ac:dyDescent="0.2">
      <c r="A124" s="448">
        <v>124</v>
      </c>
      <c r="B124" s="391" t="s">
        <v>1088</v>
      </c>
      <c r="C124" s="476" t="s">
        <v>1090</v>
      </c>
      <c r="D124" s="476" t="s">
        <v>1587</v>
      </c>
    </row>
    <row r="125" spans="1:4" ht="15.75" x14ac:dyDescent="0.2">
      <c r="A125" s="448">
        <v>125</v>
      </c>
      <c r="B125" s="391" t="s">
        <v>1092</v>
      </c>
      <c r="C125" s="476" t="s">
        <v>1094</v>
      </c>
      <c r="D125" s="476" t="s">
        <v>1588</v>
      </c>
    </row>
    <row r="126" spans="1:4" ht="15.75" x14ac:dyDescent="0.2">
      <c r="A126" s="448">
        <v>126</v>
      </c>
      <c r="B126" s="391" t="s">
        <v>1095</v>
      </c>
      <c r="C126" s="476" t="s">
        <v>1097</v>
      </c>
      <c r="D126" s="476" t="s">
        <v>1589</v>
      </c>
    </row>
    <row r="127" spans="1:4" ht="15.75" x14ac:dyDescent="0.2">
      <c r="A127" s="448">
        <v>127</v>
      </c>
      <c r="B127" s="441" t="s">
        <v>1104</v>
      </c>
      <c r="C127" s="476" t="s">
        <v>1107</v>
      </c>
      <c r="D127" s="476" t="s">
        <v>1592</v>
      </c>
    </row>
    <row r="128" spans="1:4" ht="15.75" x14ac:dyDescent="0.2">
      <c r="A128" s="448">
        <v>128</v>
      </c>
      <c r="B128" s="441" t="s">
        <v>1112</v>
      </c>
      <c r="C128" s="476" t="s">
        <v>1115</v>
      </c>
      <c r="D128" s="476" t="s">
        <v>1593</v>
      </c>
    </row>
    <row r="129" spans="1:4" ht="15.75" x14ac:dyDescent="0.2">
      <c r="A129" s="448">
        <v>129</v>
      </c>
      <c r="B129" s="441" t="s">
        <v>1119</v>
      </c>
      <c r="C129" s="476" t="s">
        <v>1122</v>
      </c>
      <c r="D129" s="476" t="s">
        <v>1594</v>
      </c>
    </row>
    <row r="130" spans="1:4" ht="15.75" x14ac:dyDescent="0.2">
      <c r="A130" s="448">
        <v>130</v>
      </c>
      <c r="B130" s="441" t="s">
        <v>1126</v>
      </c>
      <c r="C130" s="476" t="s">
        <v>1128</v>
      </c>
      <c r="D130" s="476" t="s">
        <v>1595</v>
      </c>
    </row>
    <row r="131" spans="1:4" ht="31.5" x14ac:dyDescent="0.2">
      <c r="A131" s="448">
        <v>131</v>
      </c>
      <c r="B131" s="441" t="s">
        <v>2745</v>
      </c>
      <c r="C131" s="476" t="s">
        <v>2746</v>
      </c>
      <c r="D131" s="441" t="s">
        <v>1596</v>
      </c>
    </row>
    <row r="132" spans="1:4" ht="15.75" x14ac:dyDescent="0.2">
      <c r="A132" s="448">
        <v>132</v>
      </c>
      <c r="B132" s="441" t="s">
        <v>2454</v>
      </c>
      <c r="C132" s="476" t="s">
        <v>1151</v>
      </c>
      <c r="D132" s="476" t="s">
        <v>1597</v>
      </c>
    </row>
    <row r="133" spans="1:4" ht="15.75" x14ac:dyDescent="0.2">
      <c r="A133" s="448">
        <v>133</v>
      </c>
      <c r="B133" s="441" t="s">
        <v>1157</v>
      </c>
      <c r="C133" s="476" t="s">
        <v>1159</v>
      </c>
      <c r="D133" s="476" t="s">
        <v>1597</v>
      </c>
    </row>
    <row r="134" spans="1:4" ht="15.75" x14ac:dyDescent="0.2">
      <c r="A134" s="448">
        <v>134</v>
      </c>
      <c r="B134" s="441" t="s">
        <v>1161</v>
      </c>
      <c r="C134" s="476" t="s">
        <v>1163</v>
      </c>
      <c r="D134" s="476" t="s">
        <v>1598</v>
      </c>
    </row>
    <row r="135" spans="1:4" ht="15.75" x14ac:dyDescent="0.2">
      <c r="A135" s="448">
        <v>135</v>
      </c>
      <c r="B135" s="441" t="s">
        <v>1161</v>
      </c>
      <c r="C135" s="476" t="s">
        <v>1163</v>
      </c>
      <c r="D135" s="476" t="s">
        <v>1598</v>
      </c>
    </row>
    <row r="136" spans="1:4" ht="31.5" x14ac:dyDescent="0.2">
      <c r="A136" s="448">
        <v>136</v>
      </c>
      <c r="B136" s="441" t="s">
        <v>2747</v>
      </c>
      <c r="C136" s="476" t="s">
        <v>2748</v>
      </c>
      <c r="D136" s="441" t="s">
        <v>1599</v>
      </c>
    </row>
    <row r="137" spans="1:4" ht="15.75" x14ac:dyDescent="0.2">
      <c r="A137" s="448">
        <v>137</v>
      </c>
      <c r="B137" s="441" t="s">
        <v>1176</v>
      </c>
      <c r="C137" s="476" t="s">
        <v>1179</v>
      </c>
      <c r="D137" s="476" t="s">
        <v>1600</v>
      </c>
    </row>
    <row r="138" spans="1:4" ht="15.75" x14ac:dyDescent="0.2">
      <c r="A138" s="448">
        <v>138</v>
      </c>
      <c r="B138" s="441" t="s">
        <v>1448</v>
      </c>
      <c r="C138" s="476" t="s">
        <v>1450</v>
      </c>
      <c r="D138" s="476" t="s">
        <v>1634</v>
      </c>
    </row>
    <row r="139" spans="1:4" ht="31.5" x14ac:dyDescent="0.2">
      <c r="A139" s="448">
        <v>139</v>
      </c>
      <c r="B139" s="441" t="s">
        <v>2749</v>
      </c>
      <c r="C139" s="476" t="s">
        <v>2750</v>
      </c>
      <c r="D139" s="441" t="s">
        <v>1601</v>
      </c>
    </row>
    <row r="140" spans="1:4" ht="15.75" x14ac:dyDescent="0.2">
      <c r="A140" s="448">
        <v>140</v>
      </c>
      <c r="B140" s="441" t="s">
        <v>1448</v>
      </c>
      <c r="C140" s="476" t="s">
        <v>1450</v>
      </c>
      <c r="D140" s="476" t="s">
        <v>1634</v>
      </c>
    </row>
    <row r="141" spans="1:4" ht="31.5" x14ac:dyDescent="0.2">
      <c r="A141" s="448">
        <v>141</v>
      </c>
      <c r="B141" s="441" t="s">
        <v>2751</v>
      </c>
      <c r="C141" s="476" t="s">
        <v>2752</v>
      </c>
      <c r="D141" s="441" t="s">
        <v>1602</v>
      </c>
    </row>
    <row r="142" spans="1:4" ht="15.75" x14ac:dyDescent="0.2">
      <c r="A142" s="448">
        <v>142</v>
      </c>
      <c r="B142" s="441" t="s">
        <v>1448</v>
      </c>
      <c r="C142" s="476" t="s">
        <v>1450</v>
      </c>
      <c r="D142" s="476" t="s">
        <v>1634</v>
      </c>
    </row>
    <row r="143" spans="1:4" ht="15.75" x14ac:dyDescent="0.2">
      <c r="A143" s="448">
        <v>143</v>
      </c>
      <c r="B143" s="441" t="s">
        <v>1201</v>
      </c>
      <c r="C143" s="476" t="s">
        <v>1203</v>
      </c>
      <c r="D143" s="476" t="s">
        <v>1603</v>
      </c>
    </row>
    <row r="144" spans="1:4" ht="15.75" x14ac:dyDescent="0.2">
      <c r="A144" s="448">
        <v>144</v>
      </c>
      <c r="B144" s="441" t="s">
        <v>1201</v>
      </c>
      <c r="C144" s="476" t="s">
        <v>1203</v>
      </c>
      <c r="D144" s="476" t="s">
        <v>1603</v>
      </c>
    </row>
    <row r="145" spans="1:4" ht="15.75" x14ac:dyDescent="0.2">
      <c r="A145" s="448">
        <v>145</v>
      </c>
      <c r="B145" s="441" t="s">
        <v>1209</v>
      </c>
      <c r="C145" s="476" t="s">
        <v>1211</v>
      </c>
      <c r="D145" s="476" t="s">
        <v>1604</v>
      </c>
    </row>
    <row r="146" spans="1:4" ht="15.75" x14ac:dyDescent="0.2">
      <c r="A146" s="448">
        <v>146</v>
      </c>
      <c r="B146" s="441" t="s">
        <v>1214</v>
      </c>
      <c r="C146" s="476" t="s">
        <v>1217</v>
      </c>
      <c r="D146" s="476" t="s">
        <v>1605</v>
      </c>
    </row>
    <row r="147" spans="1:4" ht="15.75" x14ac:dyDescent="0.2">
      <c r="A147" s="448">
        <v>147</v>
      </c>
      <c r="B147" s="441" t="s">
        <v>1231</v>
      </c>
      <c r="C147" s="476" t="s">
        <v>1234</v>
      </c>
      <c r="D147" s="476" t="s">
        <v>1606</v>
      </c>
    </row>
    <row r="148" spans="1:4" ht="15.75" x14ac:dyDescent="0.2">
      <c r="A148" s="448">
        <v>148</v>
      </c>
      <c r="B148" s="441" t="s">
        <v>1242</v>
      </c>
      <c r="C148" s="476" t="s">
        <v>1244</v>
      </c>
      <c r="D148" s="476" t="s">
        <v>1607</v>
      </c>
    </row>
    <row r="149" spans="1:4" ht="15.75" x14ac:dyDescent="0.2">
      <c r="A149" s="448">
        <v>149</v>
      </c>
      <c r="B149" s="441" t="s">
        <v>1247</v>
      </c>
      <c r="C149" s="476" t="s">
        <v>1250</v>
      </c>
      <c r="D149" s="476" t="s">
        <v>1608</v>
      </c>
    </row>
    <row r="150" spans="1:4" ht="15.75" x14ac:dyDescent="0.2">
      <c r="A150" s="448">
        <v>150</v>
      </c>
      <c r="B150" s="441" t="s">
        <v>1257</v>
      </c>
      <c r="C150" s="476" t="s">
        <v>1259</v>
      </c>
      <c r="D150" s="476" t="s">
        <v>1609</v>
      </c>
    </row>
    <row r="151" spans="1:4" ht="15.75" x14ac:dyDescent="0.2">
      <c r="A151" s="448">
        <v>151</v>
      </c>
      <c r="B151" s="441" t="s">
        <v>1261</v>
      </c>
      <c r="C151" s="476" t="s">
        <v>1266</v>
      </c>
      <c r="D151" s="476" t="s">
        <v>1610</v>
      </c>
    </row>
    <row r="152" spans="1:4" ht="15.75" x14ac:dyDescent="0.2">
      <c r="A152" s="448">
        <v>152</v>
      </c>
      <c r="B152" s="441" t="s">
        <v>1268</v>
      </c>
      <c r="C152" s="476" t="s">
        <v>1274</v>
      </c>
      <c r="D152" s="476" t="s">
        <v>1611</v>
      </c>
    </row>
    <row r="153" spans="1:4" ht="15.75" x14ac:dyDescent="0.2">
      <c r="A153" s="448">
        <v>153</v>
      </c>
      <c r="B153" s="441" t="s">
        <v>1287</v>
      </c>
      <c r="C153" s="476" t="s">
        <v>1289</v>
      </c>
      <c r="D153" s="476" t="s">
        <v>1612</v>
      </c>
    </row>
    <row r="154" spans="1:4" ht="15.75" x14ac:dyDescent="0.2">
      <c r="A154" s="448">
        <v>154</v>
      </c>
      <c r="B154" s="441" t="s">
        <v>1292</v>
      </c>
      <c r="C154" s="476" t="s">
        <v>1295</v>
      </c>
      <c r="D154" s="476" t="s">
        <v>1613</v>
      </c>
    </row>
    <row r="155" spans="1:4" ht="15.75" x14ac:dyDescent="0.2">
      <c r="A155" s="448">
        <v>155</v>
      </c>
      <c r="B155" s="441" t="s">
        <v>1298</v>
      </c>
      <c r="C155" s="476" t="s">
        <v>1300</v>
      </c>
      <c r="D155" s="476" t="s">
        <v>1614</v>
      </c>
    </row>
    <row r="156" spans="1:4" ht="15.75" x14ac:dyDescent="0.2">
      <c r="A156" s="448">
        <v>156</v>
      </c>
      <c r="B156" s="441" t="s">
        <v>1304</v>
      </c>
      <c r="C156" s="476" t="s">
        <v>1307</v>
      </c>
      <c r="D156" s="476" t="s">
        <v>1615</v>
      </c>
    </row>
    <row r="157" spans="1:4" ht="47.25" x14ac:dyDescent="0.2">
      <c r="A157" s="448">
        <v>157</v>
      </c>
      <c r="B157" s="441" t="s">
        <v>2753</v>
      </c>
      <c r="C157" s="476" t="s">
        <v>2754</v>
      </c>
      <c r="D157" s="441" t="s">
        <v>1615</v>
      </c>
    </row>
    <row r="158" spans="1:4" ht="15.75" x14ac:dyDescent="0.2">
      <c r="A158" s="448">
        <v>158</v>
      </c>
      <c r="B158" s="441" t="s">
        <v>1316</v>
      </c>
      <c r="C158" s="476" t="s">
        <v>1319</v>
      </c>
      <c r="D158" s="476" t="s">
        <v>1616</v>
      </c>
    </row>
    <row r="159" spans="1:4" ht="15.75" x14ac:dyDescent="0.2">
      <c r="A159" s="448">
        <v>159</v>
      </c>
      <c r="B159" s="441" t="s">
        <v>2173</v>
      </c>
      <c r="C159" s="476" t="s">
        <v>2458</v>
      </c>
      <c r="D159" s="476" t="s">
        <v>1617</v>
      </c>
    </row>
    <row r="160" spans="1:4" ht="15.75" x14ac:dyDescent="0.2">
      <c r="A160" s="448">
        <v>160</v>
      </c>
      <c r="B160" s="441" t="s">
        <v>2173</v>
      </c>
      <c r="C160" s="476" t="s">
        <v>2458</v>
      </c>
      <c r="D160" s="476" t="s">
        <v>1617</v>
      </c>
    </row>
    <row r="161" spans="1:4" ht="15.75" x14ac:dyDescent="0.2">
      <c r="A161" s="448">
        <v>161</v>
      </c>
      <c r="B161" s="441" t="s">
        <v>2174</v>
      </c>
      <c r="C161" s="476" t="s">
        <v>1324</v>
      </c>
      <c r="D161" s="476" t="s">
        <v>1617</v>
      </c>
    </row>
    <row r="162" spans="1:4" ht="15.75" x14ac:dyDescent="0.2">
      <c r="A162" s="448">
        <v>162</v>
      </c>
      <c r="B162" s="441" t="s">
        <v>2175</v>
      </c>
      <c r="C162" s="476" t="s">
        <v>1328</v>
      </c>
      <c r="D162" s="476" t="s">
        <v>1617</v>
      </c>
    </row>
    <row r="163" spans="1:4" ht="15.75" x14ac:dyDescent="0.2">
      <c r="A163" s="448">
        <v>163</v>
      </c>
      <c r="B163" s="441" t="s">
        <v>1331</v>
      </c>
      <c r="C163" s="476" t="s">
        <v>1334</v>
      </c>
      <c r="D163" s="476" t="s">
        <v>1336</v>
      </c>
    </row>
    <row r="164" spans="1:4" ht="15.75" x14ac:dyDescent="0.2">
      <c r="A164" s="448">
        <v>164</v>
      </c>
      <c r="B164" s="441" t="s">
        <v>1338</v>
      </c>
      <c r="C164" s="476" t="s">
        <v>1341</v>
      </c>
      <c r="D164" s="476" t="s">
        <v>1618</v>
      </c>
    </row>
    <row r="165" spans="1:4" ht="15.75" x14ac:dyDescent="0.2">
      <c r="A165" s="448">
        <v>165</v>
      </c>
      <c r="B165" s="441" t="s">
        <v>1355</v>
      </c>
      <c r="C165" s="476" t="s">
        <v>1357</v>
      </c>
      <c r="D165" s="476" t="s">
        <v>1619</v>
      </c>
    </row>
    <row r="166" spans="1:4" ht="15.75" x14ac:dyDescent="0.2">
      <c r="A166" s="448">
        <v>166</v>
      </c>
      <c r="B166" s="441" t="s">
        <v>1358</v>
      </c>
      <c r="C166" s="476" t="s">
        <v>1360</v>
      </c>
      <c r="D166" s="476" t="s">
        <v>1620</v>
      </c>
    </row>
    <row r="167" spans="1:4" ht="15.75" x14ac:dyDescent="0.2">
      <c r="A167" s="448">
        <v>167</v>
      </c>
      <c r="B167" s="441" t="s">
        <v>1363</v>
      </c>
      <c r="C167" s="476" t="s">
        <v>1366</v>
      </c>
      <c r="D167" s="476" t="s">
        <v>1621</v>
      </c>
    </row>
    <row r="168" spans="1:4" ht="15.75" x14ac:dyDescent="0.2">
      <c r="A168" s="448">
        <v>168</v>
      </c>
      <c r="B168" s="441" t="s">
        <v>1363</v>
      </c>
      <c r="C168" s="476" t="s">
        <v>1366</v>
      </c>
      <c r="D168" s="476" t="s">
        <v>1621</v>
      </c>
    </row>
    <row r="169" spans="1:4" ht="15.75" x14ac:dyDescent="0.2">
      <c r="A169" s="448">
        <v>169</v>
      </c>
      <c r="B169" s="441" t="s">
        <v>1363</v>
      </c>
      <c r="C169" s="476" t="s">
        <v>1366</v>
      </c>
      <c r="D169" s="476" t="s">
        <v>1621</v>
      </c>
    </row>
    <row r="170" spans="1:4" ht="15.75" x14ac:dyDescent="0.2">
      <c r="A170" s="448">
        <v>170</v>
      </c>
      <c r="B170" s="441" t="s">
        <v>1363</v>
      </c>
      <c r="C170" s="476" t="s">
        <v>1366</v>
      </c>
      <c r="D170" s="476" t="s">
        <v>1621</v>
      </c>
    </row>
    <row r="171" spans="1:4" ht="15.75" x14ac:dyDescent="0.2">
      <c r="A171" s="448">
        <v>171</v>
      </c>
      <c r="B171" s="441" t="s">
        <v>1363</v>
      </c>
      <c r="C171" s="476" t="s">
        <v>1366</v>
      </c>
      <c r="D171" s="476" t="s">
        <v>1621</v>
      </c>
    </row>
    <row r="172" spans="1:4" ht="15.75" x14ac:dyDescent="0.2">
      <c r="A172" s="448">
        <v>172</v>
      </c>
      <c r="B172" s="441" t="s">
        <v>1373</v>
      </c>
      <c r="C172" s="476" t="s">
        <v>1375</v>
      </c>
      <c r="D172" s="476" t="s">
        <v>1622</v>
      </c>
    </row>
    <row r="173" spans="1:4" ht="15.75" x14ac:dyDescent="0.2">
      <c r="A173" s="448">
        <v>173</v>
      </c>
      <c r="B173" s="441" t="s">
        <v>1376</v>
      </c>
      <c r="C173" s="476" t="s">
        <v>1378</v>
      </c>
      <c r="D173" s="476" t="s">
        <v>1623</v>
      </c>
    </row>
    <row r="174" spans="1:4" ht="15.75" x14ac:dyDescent="0.2">
      <c r="A174" s="448">
        <v>174</v>
      </c>
      <c r="B174" s="441" t="s">
        <v>1379</v>
      </c>
      <c r="C174" s="476" t="s">
        <v>1381</v>
      </c>
      <c r="D174" s="476" t="s">
        <v>1624</v>
      </c>
    </row>
    <row r="175" spans="1:4" ht="15.75" x14ac:dyDescent="0.2">
      <c r="A175" s="448">
        <v>175</v>
      </c>
      <c r="B175" s="441" t="s">
        <v>1382</v>
      </c>
      <c r="C175" s="476" t="s">
        <v>1385</v>
      </c>
      <c r="D175" s="476" t="s">
        <v>1625</v>
      </c>
    </row>
    <row r="176" spans="1:4" ht="31.5" x14ac:dyDescent="0.2">
      <c r="A176" s="448">
        <v>176</v>
      </c>
      <c r="B176" s="441" t="s">
        <v>2755</v>
      </c>
      <c r="C176" s="476" t="s">
        <v>2756</v>
      </c>
      <c r="D176" s="476" t="s">
        <v>1626</v>
      </c>
    </row>
    <row r="177" spans="1:4" ht="31.5" x14ac:dyDescent="0.2">
      <c r="A177" s="448">
        <v>177</v>
      </c>
      <c r="B177" s="441" t="s">
        <v>2757</v>
      </c>
      <c r="C177" s="476" t="s">
        <v>2758</v>
      </c>
      <c r="D177" s="476" t="s">
        <v>2759</v>
      </c>
    </row>
    <row r="178" spans="1:4" ht="31.5" x14ac:dyDescent="0.2">
      <c r="A178" s="448">
        <v>178</v>
      </c>
      <c r="B178" s="441" t="s">
        <v>2760</v>
      </c>
      <c r="C178" s="476" t="s">
        <v>2761</v>
      </c>
      <c r="D178" s="476" t="s">
        <v>2762</v>
      </c>
    </row>
    <row r="179" spans="1:4" ht="15.75" x14ac:dyDescent="0.2">
      <c r="A179" s="448">
        <v>179</v>
      </c>
      <c r="B179" s="441" t="s">
        <v>1438</v>
      </c>
      <c r="C179" s="476" t="s">
        <v>1440</v>
      </c>
      <c r="D179" s="476" t="s">
        <v>1631</v>
      </c>
    </row>
    <row r="180" spans="1:4" ht="31.5" x14ac:dyDescent="0.2">
      <c r="A180" s="448">
        <v>180</v>
      </c>
      <c r="B180" s="441" t="s">
        <v>1441</v>
      </c>
      <c r="C180" s="476" t="s">
        <v>1443</v>
      </c>
      <c r="D180" s="476" t="s">
        <v>1632</v>
      </c>
    </row>
    <row r="181" spans="1:4" ht="15.75" x14ac:dyDescent="0.2">
      <c r="A181" s="448">
        <v>181</v>
      </c>
      <c r="B181" s="441" t="s">
        <v>1444</v>
      </c>
      <c r="C181" s="476" t="s">
        <v>1446</v>
      </c>
      <c r="D181" s="476" t="s">
        <v>1633</v>
      </c>
    </row>
    <row r="182" spans="1:4" ht="15.75" x14ac:dyDescent="0.2">
      <c r="A182" s="448">
        <v>182</v>
      </c>
      <c r="B182" s="441" t="s">
        <v>1448</v>
      </c>
      <c r="C182" s="476" t="s">
        <v>1450</v>
      </c>
      <c r="D182" s="476" t="s">
        <v>1634</v>
      </c>
    </row>
    <row r="183" spans="1:4" ht="15.75" x14ac:dyDescent="0.2">
      <c r="A183" s="448">
        <v>183</v>
      </c>
      <c r="B183" s="441" t="s">
        <v>1457</v>
      </c>
      <c r="C183" s="476" t="s">
        <v>1460</v>
      </c>
      <c r="D183" s="476" t="s">
        <v>1635</v>
      </c>
    </row>
    <row r="184" spans="1:4" ht="15.75" x14ac:dyDescent="0.2">
      <c r="A184" s="448">
        <v>184</v>
      </c>
      <c r="B184" s="441" t="s">
        <v>1469</v>
      </c>
      <c r="C184" s="476" t="s">
        <v>1471</v>
      </c>
      <c r="D184" s="476" t="s">
        <v>1636</v>
      </c>
    </row>
    <row r="185" spans="1:4" ht="15.75" x14ac:dyDescent="0.2">
      <c r="A185" s="448">
        <v>185</v>
      </c>
      <c r="B185" s="441" t="s">
        <v>1474</v>
      </c>
      <c r="C185" s="476" t="s">
        <v>1476</v>
      </c>
      <c r="D185" s="476" t="s">
        <v>1637</v>
      </c>
    </row>
    <row r="186" spans="1:4" ht="15.75" x14ac:dyDescent="0.2">
      <c r="A186" s="448">
        <v>186</v>
      </c>
      <c r="B186" s="441" t="s">
        <v>1478</v>
      </c>
      <c r="C186" s="476" t="s">
        <v>1481</v>
      </c>
      <c r="D186" s="476" t="s">
        <v>1638</v>
      </c>
    </row>
    <row r="187" spans="1:4" ht="15.75" x14ac:dyDescent="0.2">
      <c r="A187" s="448">
        <v>187</v>
      </c>
      <c r="B187" s="441" t="s">
        <v>1490</v>
      </c>
      <c r="C187" s="476" t="s">
        <v>1492</v>
      </c>
      <c r="D187" s="476" t="s">
        <v>1639</v>
      </c>
    </row>
    <row r="188" spans="1:4" ht="31.5" x14ac:dyDescent="0.2">
      <c r="A188" s="448">
        <v>188</v>
      </c>
      <c r="B188" s="441" t="s">
        <v>2245</v>
      </c>
      <c r="C188" s="476">
        <v>0</v>
      </c>
      <c r="D188" s="476">
        <v>0</v>
      </c>
    </row>
    <row r="189" spans="1:4" ht="15.75" x14ac:dyDescent="0.2">
      <c r="A189" s="448">
        <v>189</v>
      </c>
      <c r="B189" s="441" t="s">
        <v>1497</v>
      </c>
      <c r="C189" s="476" t="s">
        <v>1499</v>
      </c>
      <c r="D189" s="476" t="s">
        <v>1501</v>
      </c>
    </row>
    <row r="190" spans="1:4" ht="15.75" x14ac:dyDescent="0.2">
      <c r="A190" s="448">
        <v>190</v>
      </c>
      <c r="B190" s="441" t="s">
        <v>1503</v>
      </c>
      <c r="C190" s="476" t="s">
        <v>1505</v>
      </c>
      <c r="D190" s="476" t="s">
        <v>1640</v>
      </c>
    </row>
    <row r="191" spans="1:4" ht="15.75" x14ac:dyDescent="0.2">
      <c r="A191" s="448">
        <v>191</v>
      </c>
      <c r="B191" s="441" t="s">
        <v>1507</v>
      </c>
      <c r="C191" s="476" t="s">
        <v>1510</v>
      </c>
      <c r="D191" s="476" t="s">
        <v>1641</v>
      </c>
    </row>
    <row r="192" spans="1:4" ht="31.5" x14ac:dyDescent="0.2">
      <c r="A192" s="448">
        <v>192</v>
      </c>
      <c r="B192" s="441" t="s">
        <v>2763</v>
      </c>
      <c r="C192" s="476" t="s">
        <v>2764</v>
      </c>
      <c r="D192" s="476" t="s">
        <v>2765</v>
      </c>
    </row>
    <row r="193" spans="1:4" ht="31.5" x14ac:dyDescent="0.2">
      <c r="A193" s="448">
        <v>193</v>
      </c>
      <c r="B193" s="441" t="s">
        <v>1520</v>
      </c>
      <c r="C193" s="476" t="s">
        <v>1522</v>
      </c>
      <c r="D193" s="476" t="s">
        <v>1645</v>
      </c>
    </row>
    <row r="194" spans="1:4" ht="15.75" x14ac:dyDescent="0.2">
      <c r="A194" s="448">
        <v>194</v>
      </c>
      <c r="B194" s="441" t="s">
        <v>50</v>
      </c>
      <c r="C194" s="476" t="s">
        <v>112</v>
      </c>
      <c r="D194" s="476" t="s">
        <v>1644</v>
      </c>
    </row>
    <row r="195" spans="1:4" ht="15.75" x14ac:dyDescent="0.2">
      <c r="A195" s="448">
        <v>195</v>
      </c>
      <c r="B195" s="441" t="s">
        <v>1526</v>
      </c>
      <c r="C195" s="476" t="s">
        <v>1528</v>
      </c>
      <c r="D195" s="476" t="s">
        <v>1646</v>
      </c>
    </row>
    <row r="196" spans="1:4" ht="15.75" x14ac:dyDescent="0.2">
      <c r="A196" s="448">
        <v>196</v>
      </c>
      <c r="B196" s="441" t="s">
        <v>1526</v>
      </c>
      <c r="C196" s="476" t="s">
        <v>1528</v>
      </c>
      <c r="D196" s="476" t="s">
        <v>1646</v>
      </c>
    </row>
    <row r="197" spans="1:4" ht="15.75" x14ac:dyDescent="0.2">
      <c r="A197" s="448">
        <v>197</v>
      </c>
      <c r="B197" s="441" t="s">
        <v>1448</v>
      </c>
      <c r="C197" s="476" t="s">
        <v>1450</v>
      </c>
      <c r="D197" s="476" t="s">
        <v>1634</v>
      </c>
    </row>
    <row r="198" spans="1:4" ht="31.5" x14ac:dyDescent="0.2">
      <c r="A198" s="448">
        <v>198</v>
      </c>
      <c r="B198" s="441" t="s">
        <v>2766</v>
      </c>
      <c r="C198" s="476" t="s">
        <v>2767</v>
      </c>
      <c r="D198" s="476" t="s">
        <v>2768</v>
      </c>
    </row>
    <row r="199" spans="1:4" ht="15.75" x14ac:dyDescent="0.2">
      <c r="A199" s="448">
        <v>199</v>
      </c>
      <c r="B199" s="441" t="s">
        <v>1448</v>
      </c>
      <c r="C199" s="476" t="s">
        <v>1450</v>
      </c>
      <c r="D199" s="476" t="s">
        <v>1634</v>
      </c>
    </row>
    <row r="200" spans="1:4" ht="15.75" x14ac:dyDescent="0.2">
      <c r="A200" s="448">
        <v>200</v>
      </c>
      <c r="B200" s="441" t="s">
        <v>1539</v>
      </c>
      <c r="C200" s="476" t="s">
        <v>1541</v>
      </c>
      <c r="D200" s="476" t="s">
        <v>1649</v>
      </c>
    </row>
    <row r="201" spans="1:4" ht="15.75" x14ac:dyDescent="0.2">
      <c r="A201" s="448">
        <v>201</v>
      </c>
      <c r="B201" s="441" t="s">
        <v>1544</v>
      </c>
      <c r="C201" s="476" t="s">
        <v>1546</v>
      </c>
      <c r="D201" s="476" t="s">
        <v>1650</v>
      </c>
    </row>
    <row r="202" spans="1:4" ht="15.75" x14ac:dyDescent="0.2">
      <c r="A202" s="448">
        <v>202</v>
      </c>
      <c r="B202" s="441" t="s">
        <v>1549</v>
      </c>
      <c r="C202" s="476" t="s">
        <v>1551</v>
      </c>
      <c r="D202" s="476" t="s">
        <v>1651</v>
      </c>
    </row>
    <row r="203" spans="1:4" ht="31.5" x14ac:dyDescent="0.2">
      <c r="A203" s="448">
        <v>203</v>
      </c>
      <c r="B203" s="441" t="s">
        <v>2053</v>
      </c>
      <c r="C203" s="476">
        <v>0</v>
      </c>
      <c r="D203" s="476">
        <v>0</v>
      </c>
    </row>
    <row r="204" spans="1:4" ht="31.5" x14ac:dyDescent="0.2">
      <c r="A204" s="448">
        <v>204</v>
      </c>
      <c r="B204" s="441" t="s">
        <v>2054</v>
      </c>
      <c r="C204" s="476">
        <v>0</v>
      </c>
      <c r="D204" s="476">
        <v>0</v>
      </c>
    </row>
    <row r="205" spans="1:4" ht="31.5" x14ac:dyDescent="0.2">
      <c r="A205" s="448">
        <v>205</v>
      </c>
      <c r="B205" s="441" t="s">
        <v>2055</v>
      </c>
      <c r="C205" s="476">
        <v>0</v>
      </c>
      <c r="D205" s="476">
        <v>0</v>
      </c>
    </row>
    <row r="206" spans="1:4" ht="15.75" x14ac:dyDescent="0.2">
      <c r="A206" s="448">
        <v>206</v>
      </c>
      <c r="B206" s="441" t="s">
        <v>2015</v>
      </c>
      <c r="C206" s="476" t="s">
        <v>1557</v>
      </c>
      <c r="D206" s="476" t="s">
        <v>1652</v>
      </c>
    </row>
    <row r="207" spans="1:4" ht="15.75" x14ac:dyDescent="0.2">
      <c r="A207" s="448">
        <v>207</v>
      </c>
      <c r="B207" s="441" t="s">
        <v>1448</v>
      </c>
      <c r="C207" s="476" t="s">
        <v>1450</v>
      </c>
      <c r="D207" s="476" t="s">
        <v>1634</v>
      </c>
    </row>
    <row r="208" spans="1:4" ht="15.75" x14ac:dyDescent="0.2">
      <c r="A208" s="448">
        <v>208</v>
      </c>
      <c r="B208" s="441" t="s">
        <v>2056</v>
      </c>
      <c r="C208" s="476">
        <v>0</v>
      </c>
      <c r="D208" s="476">
        <v>0</v>
      </c>
    </row>
    <row r="209" spans="1:4" ht="15.75" x14ac:dyDescent="0.2">
      <c r="A209" s="448">
        <v>209</v>
      </c>
      <c r="B209" s="441" t="s">
        <v>2057</v>
      </c>
      <c r="C209" s="476">
        <v>0</v>
      </c>
      <c r="D209" s="476">
        <v>0</v>
      </c>
    </row>
  </sheetData>
  <conditionalFormatting sqref="A99:C99">
    <cfRule type="duplicateValues" dxfId="6" priority="3"/>
  </conditionalFormatting>
  <conditionalFormatting sqref="A99:D99">
    <cfRule type="duplicateValues" dxfId="5" priority="2"/>
  </conditionalFormatting>
  <conditionalFormatting sqref="B99">
    <cfRule type="duplicateValues" dxfId="4" priority="1"/>
  </conditionalFormatting>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0"/>
  <sheetViews>
    <sheetView workbookViewId="0">
      <selection activeCell="A163" sqref="A163"/>
    </sheetView>
  </sheetViews>
  <sheetFormatPr defaultColWidth="8.625" defaultRowHeight="14.25" x14ac:dyDescent="0.2"/>
  <cols>
    <col min="1" max="1" width="6.625" style="435" customWidth="1"/>
    <col min="2" max="2" width="18.875" style="435" customWidth="1"/>
    <col min="3" max="3" width="28.125" style="435" customWidth="1"/>
    <col min="4" max="4" width="58.875" style="435" customWidth="1"/>
    <col min="5" max="16384" width="8.625" style="289"/>
  </cols>
  <sheetData>
    <row r="1" spans="1:4" s="492" customFormat="1" ht="15" x14ac:dyDescent="0.25">
      <c r="A1" s="491" t="s">
        <v>2769</v>
      </c>
      <c r="B1" s="491" t="s">
        <v>2770</v>
      </c>
      <c r="C1" s="491" t="s">
        <v>2772</v>
      </c>
      <c r="D1" s="491" t="s">
        <v>2773</v>
      </c>
    </row>
    <row r="2" spans="1:4" ht="15.75" x14ac:dyDescent="0.2">
      <c r="A2" s="484">
        <v>1</v>
      </c>
      <c r="B2" s="485" t="s">
        <v>413</v>
      </c>
      <c r="C2" s="493" t="s">
        <v>51</v>
      </c>
      <c r="D2" s="493" t="s">
        <v>625</v>
      </c>
    </row>
    <row r="3" spans="1:4" ht="31.5" x14ac:dyDescent="0.2">
      <c r="A3" s="484">
        <v>2</v>
      </c>
      <c r="B3" s="486" t="s">
        <v>59</v>
      </c>
      <c r="C3" s="493" t="s">
        <v>60</v>
      </c>
      <c r="D3" s="493" t="s">
        <v>627</v>
      </c>
    </row>
    <row r="4" spans="1:4" ht="15.75" x14ac:dyDescent="0.2">
      <c r="A4" s="484">
        <v>3</v>
      </c>
      <c r="B4" s="485" t="s">
        <v>2164</v>
      </c>
      <c r="C4" s="493" t="s">
        <v>95</v>
      </c>
      <c r="D4" s="493" t="s">
        <v>629</v>
      </c>
    </row>
    <row r="5" spans="1:4" ht="15.75" x14ac:dyDescent="0.2">
      <c r="A5" s="484">
        <v>4</v>
      </c>
      <c r="B5" s="485" t="s">
        <v>2165</v>
      </c>
      <c r="C5" s="493" t="s">
        <v>98</v>
      </c>
      <c r="D5" s="493" t="s">
        <v>631</v>
      </c>
    </row>
    <row r="6" spans="1:4" ht="31.5" x14ac:dyDescent="0.2">
      <c r="A6" s="484">
        <v>5</v>
      </c>
      <c r="B6" s="486" t="s">
        <v>2166</v>
      </c>
      <c r="C6" s="493">
        <v>0</v>
      </c>
      <c r="D6" s="493">
        <v>0</v>
      </c>
    </row>
    <row r="7" spans="1:4" ht="15.75" x14ac:dyDescent="0.2">
      <c r="A7" s="484">
        <v>6</v>
      </c>
      <c r="B7" s="485" t="s">
        <v>2167</v>
      </c>
      <c r="C7" s="493" t="s">
        <v>100</v>
      </c>
      <c r="D7" s="493" t="s">
        <v>629</v>
      </c>
    </row>
    <row r="8" spans="1:4" ht="31.5" x14ac:dyDescent="0.2">
      <c r="A8" s="484">
        <v>7</v>
      </c>
      <c r="B8" s="485" t="s">
        <v>2168</v>
      </c>
      <c r="C8" s="493" t="s">
        <v>103</v>
      </c>
      <c r="D8" s="493" t="s">
        <v>634</v>
      </c>
    </row>
    <row r="9" spans="1:4" ht="15.75" x14ac:dyDescent="0.2">
      <c r="A9" s="484">
        <v>8</v>
      </c>
      <c r="B9" s="485" t="s">
        <v>2169</v>
      </c>
      <c r="C9" s="493" t="s">
        <v>105</v>
      </c>
      <c r="D9" s="493" t="s">
        <v>636</v>
      </c>
    </row>
    <row r="10" spans="1:4" ht="15.75" x14ac:dyDescent="0.2">
      <c r="A10" s="484">
        <v>9</v>
      </c>
      <c r="B10" s="485" t="s">
        <v>2170</v>
      </c>
      <c r="C10" s="493" t="s">
        <v>106</v>
      </c>
      <c r="D10" s="493" t="s">
        <v>638</v>
      </c>
    </row>
    <row r="11" spans="1:4" ht="31.5" x14ac:dyDescent="0.2">
      <c r="A11" s="484">
        <v>10</v>
      </c>
      <c r="B11" s="486" t="s">
        <v>2711</v>
      </c>
      <c r="C11" s="493" t="s">
        <v>2712</v>
      </c>
      <c r="D11" s="487" t="s">
        <v>640</v>
      </c>
    </row>
    <row r="12" spans="1:4" ht="15.75" x14ac:dyDescent="0.2">
      <c r="A12" s="484">
        <v>11</v>
      </c>
      <c r="B12" s="486" t="s">
        <v>50</v>
      </c>
      <c r="C12" s="493" t="s">
        <v>112</v>
      </c>
      <c r="D12" s="493" t="s">
        <v>642</v>
      </c>
    </row>
    <row r="13" spans="1:4" ht="15.75" x14ac:dyDescent="0.2">
      <c r="A13" s="484">
        <v>12</v>
      </c>
      <c r="B13" s="485" t="s">
        <v>26</v>
      </c>
      <c r="C13" s="493" t="s">
        <v>113</v>
      </c>
      <c r="D13" s="493" t="s">
        <v>643</v>
      </c>
    </row>
    <row r="14" spans="1:4" ht="15.75" x14ac:dyDescent="0.2">
      <c r="A14" s="484">
        <v>13</v>
      </c>
      <c r="B14" s="486" t="s">
        <v>27</v>
      </c>
      <c r="C14" s="493" t="s">
        <v>114</v>
      </c>
      <c r="D14" s="493" t="s">
        <v>644</v>
      </c>
    </row>
    <row r="15" spans="1:4" ht="31.5" x14ac:dyDescent="0.2">
      <c r="A15" s="484">
        <v>14</v>
      </c>
      <c r="B15" s="485" t="s">
        <v>2713</v>
      </c>
      <c r="C15" s="493" t="s">
        <v>2714</v>
      </c>
      <c r="D15" s="486" t="s">
        <v>645</v>
      </c>
    </row>
    <row r="16" spans="1:4" ht="15.75" x14ac:dyDescent="0.2">
      <c r="A16" s="484">
        <v>15</v>
      </c>
      <c r="B16" s="485" t="s">
        <v>28</v>
      </c>
      <c r="C16" s="493" t="s">
        <v>115</v>
      </c>
      <c r="D16" s="493" t="s">
        <v>645</v>
      </c>
    </row>
    <row r="17" spans="1:4" ht="47.25" x14ac:dyDescent="0.2">
      <c r="A17" s="484">
        <v>16</v>
      </c>
      <c r="B17" s="486" t="s">
        <v>2715</v>
      </c>
      <c r="C17" s="493" t="s">
        <v>2716</v>
      </c>
      <c r="D17" s="486" t="s">
        <v>646</v>
      </c>
    </row>
    <row r="18" spans="1:4" ht="15.75" x14ac:dyDescent="0.2">
      <c r="A18" s="484">
        <v>17</v>
      </c>
      <c r="B18" s="486" t="s">
        <v>29</v>
      </c>
      <c r="C18" s="493" t="s">
        <v>122</v>
      </c>
      <c r="D18" s="493" t="s">
        <v>647</v>
      </c>
    </row>
    <row r="19" spans="1:4" ht="31.5" x14ac:dyDescent="0.2">
      <c r="A19" s="484">
        <v>18</v>
      </c>
      <c r="B19" s="486" t="s">
        <v>2717</v>
      </c>
      <c r="C19" s="493" t="s">
        <v>2718</v>
      </c>
      <c r="D19" s="486" t="s">
        <v>649</v>
      </c>
    </row>
    <row r="20" spans="1:4" ht="15.75" x14ac:dyDescent="0.2">
      <c r="A20" s="484">
        <v>19</v>
      </c>
      <c r="B20" s="486" t="s">
        <v>123</v>
      </c>
      <c r="C20" s="493" t="s">
        <v>124</v>
      </c>
      <c r="D20" s="493" t="s">
        <v>649</v>
      </c>
    </row>
    <row r="21" spans="1:4" ht="15.75" x14ac:dyDescent="0.2">
      <c r="A21" s="484">
        <v>20</v>
      </c>
      <c r="B21" s="485" t="s">
        <v>30</v>
      </c>
      <c r="C21" s="493" t="s">
        <v>127</v>
      </c>
      <c r="D21" s="493" t="s">
        <v>651</v>
      </c>
    </row>
    <row r="22" spans="1:4" ht="15.75" x14ac:dyDescent="0.2">
      <c r="A22" s="484">
        <v>21</v>
      </c>
      <c r="B22" s="488" t="s">
        <v>31</v>
      </c>
      <c r="C22" s="493" t="s">
        <v>130</v>
      </c>
      <c r="D22" s="493" t="s">
        <v>653</v>
      </c>
    </row>
    <row r="23" spans="1:4" ht="15.75" x14ac:dyDescent="0.2">
      <c r="A23" s="484">
        <v>22</v>
      </c>
      <c r="B23" s="486" t="s">
        <v>654</v>
      </c>
      <c r="C23" s="493" t="s">
        <v>293</v>
      </c>
      <c r="D23" s="493" t="s">
        <v>655</v>
      </c>
    </row>
    <row r="24" spans="1:4" ht="15.75" x14ac:dyDescent="0.2">
      <c r="A24" s="484">
        <v>23</v>
      </c>
      <c r="B24" s="485" t="s">
        <v>284</v>
      </c>
      <c r="C24" s="493" t="s">
        <v>285</v>
      </c>
      <c r="D24" s="493" t="s">
        <v>656</v>
      </c>
    </row>
    <row r="25" spans="1:4" ht="15.75" x14ac:dyDescent="0.2">
      <c r="A25" s="484">
        <v>24</v>
      </c>
      <c r="B25" s="489" t="s">
        <v>32</v>
      </c>
      <c r="C25" s="493" t="s">
        <v>144</v>
      </c>
      <c r="D25" s="493" t="s">
        <v>657</v>
      </c>
    </row>
    <row r="26" spans="1:4" ht="31.5" x14ac:dyDescent="0.2">
      <c r="A26" s="484">
        <v>25</v>
      </c>
      <c r="B26" s="489" t="s">
        <v>2719</v>
      </c>
      <c r="C26" s="493" t="s">
        <v>2720</v>
      </c>
      <c r="D26" s="489" t="s">
        <v>659</v>
      </c>
    </row>
    <row r="27" spans="1:4" ht="15.75" x14ac:dyDescent="0.2">
      <c r="A27" s="484">
        <v>26</v>
      </c>
      <c r="B27" s="489" t="s">
        <v>33</v>
      </c>
      <c r="C27" s="493" t="s">
        <v>157</v>
      </c>
      <c r="D27" s="493" t="s">
        <v>661</v>
      </c>
    </row>
    <row r="28" spans="1:4" ht="15.75" x14ac:dyDescent="0.2">
      <c r="A28" s="484">
        <v>27</v>
      </c>
      <c r="B28" s="486" t="s">
        <v>34</v>
      </c>
      <c r="C28" s="493" t="s">
        <v>162</v>
      </c>
      <c r="D28" s="493" t="s">
        <v>665</v>
      </c>
    </row>
    <row r="29" spans="1:4" ht="15.75" x14ac:dyDescent="0.2">
      <c r="A29" s="484">
        <v>28</v>
      </c>
      <c r="B29" s="489" t="s">
        <v>2171</v>
      </c>
      <c r="C29" s="493" t="s">
        <v>181</v>
      </c>
      <c r="D29" s="493" t="s">
        <v>667</v>
      </c>
    </row>
    <row r="30" spans="1:4" ht="15.75" x14ac:dyDescent="0.2">
      <c r="A30" s="484">
        <v>29</v>
      </c>
      <c r="B30" s="486" t="s">
        <v>2176</v>
      </c>
      <c r="C30" s="493" t="s">
        <v>129</v>
      </c>
      <c r="D30" s="493" t="s">
        <v>669</v>
      </c>
    </row>
    <row r="31" spans="1:4" ht="15.75" x14ac:dyDescent="0.2">
      <c r="A31" s="484">
        <v>30</v>
      </c>
      <c r="B31" s="486" t="s">
        <v>2177</v>
      </c>
      <c r="C31" s="493" t="s">
        <v>189</v>
      </c>
      <c r="D31" s="493" t="s">
        <v>671</v>
      </c>
    </row>
    <row r="32" spans="1:4" ht="15.75" x14ac:dyDescent="0.2">
      <c r="A32" s="484">
        <v>31</v>
      </c>
      <c r="B32" s="486" t="s">
        <v>35</v>
      </c>
      <c r="C32" s="493" t="s">
        <v>190</v>
      </c>
      <c r="D32" s="493" t="s">
        <v>673</v>
      </c>
    </row>
    <row r="33" spans="1:4" ht="15.75" x14ac:dyDescent="0.2">
      <c r="A33" s="484">
        <v>32</v>
      </c>
      <c r="B33" s="485" t="s">
        <v>2178</v>
      </c>
      <c r="C33" s="493" t="s">
        <v>196</v>
      </c>
      <c r="D33" s="493" t="s">
        <v>675</v>
      </c>
    </row>
    <row r="34" spans="1:4" ht="15.75" x14ac:dyDescent="0.2">
      <c r="A34" s="484">
        <v>33</v>
      </c>
      <c r="B34" s="485" t="s">
        <v>2179</v>
      </c>
      <c r="C34" s="493" t="s">
        <v>198</v>
      </c>
      <c r="D34" s="493" t="s">
        <v>673</v>
      </c>
    </row>
    <row r="35" spans="1:4" ht="31.5" x14ac:dyDescent="0.2">
      <c r="A35" s="484">
        <v>34</v>
      </c>
      <c r="B35" s="485" t="s">
        <v>2721</v>
      </c>
      <c r="C35" s="493" t="s">
        <v>2722</v>
      </c>
      <c r="D35" s="494" t="s">
        <v>2723</v>
      </c>
    </row>
    <row r="36" spans="1:4" ht="31.5" x14ac:dyDescent="0.2">
      <c r="A36" s="484">
        <v>35</v>
      </c>
      <c r="B36" s="485" t="s">
        <v>2724</v>
      </c>
      <c r="C36" s="493" t="s">
        <v>2725</v>
      </c>
      <c r="D36" s="493" t="s">
        <v>2726</v>
      </c>
    </row>
    <row r="37" spans="1:4" ht="15.75" x14ac:dyDescent="0.2">
      <c r="A37" s="484">
        <v>36</v>
      </c>
      <c r="B37" s="486" t="s">
        <v>36</v>
      </c>
      <c r="C37" s="493" t="s">
        <v>205</v>
      </c>
      <c r="D37" s="493" t="s">
        <v>681</v>
      </c>
    </row>
    <row r="38" spans="1:4" ht="15.75" x14ac:dyDescent="0.2">
      <c r="A38" s="484">
        <v>37</v>
      </c>
      <c r="B38" s="486" t="s">
        <v>37</v>
      </c>
      <c r="C38" s="493" t="s">
        <v>300</v>
      </c>
      <c r="D38" s="493" t="s">
        <v>682</v>
      </c>
    </row>
    <row r="39" spans="1:4" ht="31.5" x14ac:dyDescent="0.2">
      <c r="A39" s="484">
        <v>38</v>
      </c>
      <c r="B39" s="485" t="s">
        <v>2727</v>
      </c>
      <c r="C39" s="493" t="s">
        <v>2728</v>
      </c>
      <c r="D39" s="493" t="s">
        <v>2729</v>
      </c>
    </row>
    <row r="40" spans="1:4" ht="31.5" x14ac:dyDescent="0.2">
      <c r="A40" s="484">
        <v>39</v>
      </c>
      <c r="B40" s="486" t="s">
        <v>2730</v>
      </c>
      <c r="C40" s="493" t="s">
        <v>2731</v>
      </c>
      <c r="D40" s="493" t="s">
        <v>685</v>
      </c>
    </row>
    <row r="41" spans="1:4" ht="31.5" x14ac:dyDescent="0.2">
      <c r="A41" s="484">
        <v>40</v>
      </c>
      <c r="B41" s="485" t="s">
        <v>2732</v>
      </c>
      <c r="C41" s="493" t="s">
        <v>2733</v>
      </c>
      <c r="D41" s="487" t="s">
        <v>687</v>
      </c>
    </row>
    <row r="42" spans="1:4" ht="15.75" x14ac:dyDescent="0.2">
      <c r="A42" s="484">
        <v>41</v>
      </c>
      <c r="B42" s="486" t="s">
        <v>39</v>
      </c>
      <c r="C42" s="493" t="s">
        <v>221</v>
      </c>
      <c r="D42" s="493" t="s">
        <v>688</v>
      </c>
    </row>
    <row r="43" spans="1:4" ht="15.75" x14ac:dyDescent="0.2">
      <c r="A43" s="484">
        <v>42</v>
      </c>
      <c r="B43" s="486" t="s">
        <v>40</v>
      </c>
      <c r="C43" s="493" t="s">
        <v>222</v>
      </c>
      <c r="D43" s="493" t="s">
        <v>689</v>
      </c>
    </row>
    <row r="44" spans="1:4" ht="31.5" x14ac:dyDescent="0.2">
      <c r="A44" s="484">
        <v>43</v>
      </c>
      <c r="B44" s="488" t="s">
        <v>2734</v>
      </c>
      <c r="C44" s="495" t="s">
        <v>2735</v>
      </c>
      <c r="D44" s="495" t="s">
        <v>691</v>
      </c>
    </row>
    <row r="45" spans="1:4" ht="15.75" x14ac:dyDescent="0.2">
      <c r="A45" s="484">
        <v>44</v>
      </c>
      <c r="B45" s="488" t="s">
        <v>41</v>
      </c>
      <c r="C45" s="493" t="s">
        <v>227</v>
      </c>
      <c r="D45" s="493" t="s">
        <v>692</v>
      </c>
    </row>
    <row r="46" spans="1:4" ht="15.75" x14ac:dyDescent="0.2">
      <c r="A46" s="484">
        <v>45</v>
      </c>
      <c r="B46" s="488" t="s">
        <v>287</v>
      </c>
      <c r="C46" s="493" t="s">
        <v>288</v>
      </c>
      <c r="D46" s="493" t="s">
        <v>693</v>
      </c>
    </row>
    <row r="47" spans="1:4" ht="15.75" x14ac:dyDescent="0.2">
      <c r="A47" s="484">
        <v>46</v>
      </c>
      <c r="B47" s="486" t="s">
        <v>290</v>
      </c>
      <c r="C47" s="493" t="s">
        <v>291</v>
      </c>
      <c r="D47" s="493" t="s">
        <v>694</v>
      </c>
    </row>
    <row r="48" spans="1:4" ht="31.5" x14ac:dyDescent="0.2">
      <c r="A48" s="484">
        <v>47</v>
      </c>
      <c r="B48" s="489" t="s">
        <v>2736</v>
      </c>
      <c r="C48" s="496" t="s">
        <v>2737</v>
      </c>
      <c r="D48" s="489" t="s">
        <v>696</v>
      </c>
    </row>
    <row r="49" spans="1:4" ht="15.75" x14ac:dyDescent="0.2">
      <c r="A49" s="484">
        <v>48</v>
      </c>
      <c r="B49" s="488" t="s">
        <v>561</v>
      </c>
      <c r="C49" s="493" t="s">
        <v>234</v>
      </c>
      <c r="D49" s="493" t="s">
        <v>697</v>
      </c>
    </row>
    <row r="50" spans="1:4" ht="15.75" x14ac:dyDescent="0.2">
      <c r="A50" s="484">
        <v>49</v>
      </c>
      <c r="B50" s="486" t="s">
        <v>42</v>
      </c>
      <c r="C50" s="493" t="s">
        <v>235</v>
      </c>
      <c r="D50" s="493" t="s">
        <v>697</v>
      </c>
    </row>
    <row r="51" spans="1:4" ht="15.75" x14ac:dyDescent="0.2">
      <c r="A51" s="484">
        <v>50</v>
      </c>
      <c r="B51" s="488" t="s">
        <v>43</v>
      </c>
      <c r="C51" s="493" t="s">
        <v>236</v>
      </c>
      <c r="D51" s="493" t="s">
        <v>698</v>
      </c>
    </row>
    <row r="52" spans="1:4" ht="31.5" x14ac:dyDescent="0.2">
      <c r="A52" s="484">
        <v>51</v>
      </c>
      <c r="B52" s="486" t="s">
        <v>2738</v>
      </c>
      <c r="C52" s="493" t="s">
        <v>2739</v>
      </c>
      <c r="D52" s="487" t="s">
        <v>700</v>
      </c>
    </row>
    <row r="53" spans="1:4" ht="31.5" x14ac:dyDescent="0.2">
      <c r="A53" s="484">
        <v>52</v>
      </c>
      <c r="B53" s="488" t="s">
        <v>243</v>
      </c>
      <c r="C53" s="493" t="s">
        <v>584</v>
      </c>
      <c r="D53" s="493">
        <v>0</v>
      </c>
    </row>
    <row r="54" spans="1:4" ht="15.75" x14ac:dyDescent="0.2">
      <c r="A54" s="484">
        <v>53</v>
      </c>
      <c r="B54" s="488" t="s">
        <v>44</v>
      </c>
      <c r="C54" s="493" t="s">
        <v>244</v>
      </c>
      <c r="D54" s="493" t="s">
        <v>701</v>
      </c>
    </row>
    <row r="55" spans="1:4" ht="15.75" x14ac:dyDescent="0.2">
      <c r="A55" s="484">
        <v>54</v>
      </c>
      <c r="B55" s="488" t="s">
        <v>45</v>
      </c>
      <c r="C55" s="493" t="s">
        <v>249</v>
      </c>
      <c r="D55" s="493" t="s">
        <v>702</v>
      </c>
    </row>
    <row r="56" spans="1:4" ht="31.5" x14ac:dyDescent="0.2">
      <c r="A56" s="484">
        <v>55</v>
      </c>
      <c r="B56" s="488" t="s">
        <v>2740</v>
      </c>
      <c r="C56" s="493" t="s">
        <v>2741</v>
      </c>
      <c r="D56" s="496" t="s">
        <v>2742</v>
      </c>
    </row>
    <row r="57" spans="1:4" ht="15.75" x14ac:dyDescent="0.2">
      <c r="A57" s="484">
        <v>56</v>
      </c>
      <c r="B57" s="488" t="s">
        <v>259</v>
      </c>
      <c r="C57" s="493" t="s">
        <v>260</v>
      </c>
      <c r="D57" s="493" t="s">
        <v>704</v>
      </c>
    </row>
    <row r="58" spans="1:4" ht="31.5" x14ac:dyDescent="0.2">
      <c r="A58" s="484">
        <v>57</v>
      </c>
      <c r="B58" s="486" t="s">
        <v>594</v>
      </c>
      <c r="C58" s="493" t="s">
        <v>589</v>
      </c>
      <c r="D58" s="493">
        <v>0</v>
      </c>
    </row>
    <row r="59" spans="1:4" ht="15.75" x14ac:dyDescent="0.2">
      <c r="A59" s="484">
        <v>58</v>
      </c>
      <c r="B59" s="486" t="s">
        <v>46</v>
      </c>
      <c r="C59" s="493" t="s">
        <v>262</v>
      </c>
      <c r="D59" s="493" t="s">
        <v>706</v>
      </c>
    </row>
    <row r="60" spans="1:4" ht="15.75" x14ac:dyDescent="0.2">
      <c r="A60" s="484">
        <v>59</v>
      </c>
      <c r="B60" s="486" t="s">
        <v>47</v>
      </c>
      <c r="C60" s="493" t="s">
        <v>279</v>
      </c>
      <c r="D60" s="493" t="s">
        <v>707</v>
      </c>
    </row>
    <row r="61" spans="1:4" ht="15.75" x14ac:dyDescent="0.2">
      <c r="A61" s="484">
        <v>60</v>
      </c>
      <c r="B61" s="486" t="s">
        <v>48</v>
      </c>
      <c r="C61" s="493" t="s">
        <v>280</v>
      </c>
      <c r="D61" s="493" t="s">
        <v>713</v>
      </c>
    </row>
    <row r="62" spans="1:4" ht="15.75" x14ac:dyDescent="0.2">
      <c r="A62" s="484">
        <v>61</v>
      </c>
      <c r="B62" s="486" t="s">
        <v>49</v>
      </c>
      <c r="C62" s="493" t="s">
        <v>281</v>
      </c>
      <c r="D62" s="493" t="s">
        <v>714</v>
      </c>
    </row>
    <row r="63" spans="1:4" ht="15.75" x14ac:dyDescent="0.2">
      <c r="A63" s="484">
        <v>62</v>
      </c>
      <c r="B63" s="490" t="s">
        <v>790</v>
      </c>
      <c r="C63" s="493" t="s">
        <v>796</v>
      </c>
      <c r="D63" s="493" t="s">
        <v>1653</v>
      </c>
    </row>
    <row r="64" spans="1:4" ht="15.75" x14ac:dyDescent="0.2">
      <c r="A64" s="484">
        <v>63</v>
      </c>
      <c r="B64" s="485" t="s">
        <v>818</v>
      </c>
      <c r="C64" s="493" t="s">
        <v>821</v>
      </c>
      <c r="D64" s="493" t="s">
        <v>1653</v>
      </c>
    </row>
    <row r="65" spans="1:4" ht="15.75" x14ac:dyDescent="0.2">
      <c r="A65" s="484">
        <v>64</v>
      </c>
      <c r="B65" s="485" t="s">
        <v>825</v>
      </c>
      <c r="C65" s="493" t="s">
        <v>829</v>
      </c>
      <c r="D65" s="493" t="s">
        <v>1654</v>
      </c>
    </row>
    <row r="66" spans="1:4" ht="15.75" x14ac:dyDescent="0.2">
      <c r="A66" s="484">
        <v>65</v>
      </c>
      <c r="B66" s="486" t="s">
        <v>840</v>
      </c>
      <c r="C66" s="493" t="s">
        <v>843</v>
      </c>
      <c r="D66" s="493" t="s">
        <v>846</v>
      </c>
    </row>
    <row r="67" spans="1:4" ht="15.75" x14ac:dyDescent="0.2">
      <c r="A67" s="484">
        <v>66</v>
      </c>
      <c r="B67" s="486" t="s">
        <v>849</v>
      </c>
      <c r="C67" s="493" t="s">
        <v>851</v>
      </c>
      <c r="D67" s="493" t="s">
        <v>1570</v>
      </c>
    </row>
    <row r="68" spans="1:4" ht="15.75" x14ac:dyDescent="0.2">
      <c r="A68" s="484">
        <v>67</v>
      </c>
      <c r="B68" s="486" t="s">
        <v>860</v>
      </c>
      <c r="C68" s="493" t="s">
        <v>863</v>
      </c>
      <c r="D68" s="493" t="s">
        <v>865</v>
      </c>
    </row>
    <row r="69" spans="1:4" ht="15.75" x14ac:dyDescent="0.2">
      <c r="A69" s="484">
        <v>68</v>
      </c>
      <c r="B69" s="486" t="s">
        <v>866</v>
      </c>
      <c r="C69" s="493" t="s">
        <v>869</v>
      </c>
      <c r="D69" s="493" t="s">
        <v>1571</v>
      </c>
    </row>
    <row r="70" spans="1:4" ht="15.75" x14ac:dyDescent="0.2">
      <c r="A70" s="484">
        <v>69</v>
      </c>
      <c r="B70" s="485" t="s">
        <v>873</v>
      </c>
      <c r="C70" s="493" t="s">
        <v>876</v>
      </c>
      <c r="D70" s="493" t="s">
        <v>879</v>
      </c>
    </row>
    <row r="71" spans="1:4" ht="15.75" x14ac:dyDescent="0.2">
      <c r="A71" s="484">
        <v>70</v>
      </c>
      <c r="B71" s="486" t="s">
        <v>883</v>
      </c>
      <c r="C71" s="493" t="s">
        <v>886</v>
      </c>
      <c r="D71" s="493" t="s">
        <v>888</v>
      </c>
    </row>
    <row r="72" spans="1:4" ht="15.75" x14ac:dyDescent="0.2">
      <c r="A72" s="484">
        <v>71</v>
      </c>
      <c r="B72" s="485" t="s">
        <v>891</v>
      </c>
      <c r="C72" s="493" t="s">
        <v>893</v>
      </c>
      <c r="D72" s="493" t="s">
        <v>895</v>
      </c>
    </row>
    <row r="73" spans="1:4" ht="15.75" x14ac:dyDescent="0.2">
      <c r="A73" s="484">
        <v>72</v>
      </c>
      <c r="B73" s="486" t="s">
        <v>898</v>
      </c>
      <c r="C73" s="493" t="s">
        <v>900</v>
      </c>
      <c r="D73" s="493" t="s">
        <v>902</v>
      </c>
    </row>
    <row r="74" spans="1:4" ht="15.75" x14ac:dyDescent="0.2">
      <c r="A74" s="484">
        <v>73</v>
      </c>
      <c r="B74" s="485" t="s">
        <v>904</v>
      </c>
      <c r="C74" s="493" t="s">
        <v>906</v>
      </c>
      <c r="D74" s="493" t="s">
        <v>908</v>
      </c>
    </row>
    <row r="75" spans="1:4" ht="15.75" x14ac:dyDescent="0.2">
      <c r="A75" s="484">
        <v>74</v>
      </c>
      <c r="B75" s="485" t="s">
        <v>910</v>
      </c>
      <c r="C75" s="493" t="s">
        <v>912</v>
      </c>
      <c r="D75" s="493" t="s">
        <v>914</v>
      </c>
    </row>
    <row r="76" spans="1:4" ht="15.75" x14ac:dyDescent="0.2">
      <c r="A76" s="484">
        <v>75</v>
      </c>
      <c r="B76" s="486" t="s">
        <v>916</v>
      </c>
      <c r="C76" s="493" t="s">
        <v>918</v>
      </c>
      <c r="D76" s="493" t="s">
        <v>1572</v>
      </c>
    </row>
    <row r="77" spans="1:4" ht="15.75" x14ac:dyDescent="0.2">
      <c r="A77" s="484">
        <v>76</v>
      </c>
      <c r="B77" s="486" t="s">
        <v>923</v>
      </c>
      <c r="C77" s="493" t="s">
        <v>925</v>
      </c>
      <c r="D77" s="493" t="s">
        <v>928</v>
      </c>
    </row>
    <row r="78" spans="1:4" ht="15.75" x14ac:dyDescent="0.2">
      <c r="A78" s="484">
        <v>77</v>
      </c>
      <c r="B78" s="486" t="s">
        <v>959</v>
      </c>
      <c r="C78" s="493" t="s">
        <v>961</v>
      </c>
      <c r="D78" s="493" t="s">
        <v>1657</v>
      </c>
    </row>
    <row r="79" spans="1:4" ht="31.5" x14ac:dyDescent="0.2">
      <c r="A79" s="484">
        <v>78</v>
      </c>
      <c r="B79" s="486" t="s">
        <v>2743</v>
      </c>
      <c r="C79" s="493" t="s">
        <v>2744</v>
      </c>
      <c r="D79" s="485" t="s">
        <v>1655</v>
      </c>
    </row>
    <row r="80" spans="1:4" ht="15.75" x14ac:dyDescent="0.2">
      <c r="A80" s="484">
        <v>79</v>
      </c>
      <c r="B80" s="486" t="s">
        <v>950</v>
      </c>
      <c r="C80" s="493" t="s">
        <v>952</v>
      </c>
      <c r="D80" s="493" t="s">
        <v>1655</v>
      </c>
    </row>
    <row r="81" spans="1:4" ht="15.75" x14ac:dyDescent="0.2">
      <c r="A81" s="484">
        <v>80</v>
      </c>
      <c r="B81" s="485" t="s">
        <v>2227</v>
      </c>
      <c r="C81" s="493" t="s">
        <v>955</v>
      </c>
      <c r="D81" s="493" t="s">
        <v>1656</v>
      </c>
    </row>
    <row r="82" spans="1:4" ht="31.5" x14ac:dyDescent="0.2">
      <c r="A82" s="484">
        <v>81</v>
      </c>
      <c r="B82" s="486" t="s">
        <v>969</v>
      </c>
      <c r="C82" s="493" t="s">
        <v>1658</v>
      </c>
      <c r="D82" s="493">
        <v>0</v>
      </c>
    </row>
    <row r="83" spans="1:4" ht="15.75" x14ac:dyDescent="0.2">
      <c r="A83" s="484">
        <v>82</v>
      </c>
      <c r="B83" s="486" t="s">
        <v>977</v>
      </c>
      <c r="C83" s="493" t="s">
        <v>984</v>
      </c>
      <c r="D83" s="493" t="s">
        <v>1574</v>
      </c>
    </row>
    <row r="84" spans="1:4" ht="15.75" x14ac:dyDescent="0.2">
      <c r="A84" s="484">
        <v>83</v>
      </c>
      <c r="B84" s="486" t="s">
        <v>987</v>
      </c>
      <c r="C84" s="493" t="s">
        <v>990</v>
      </c>
      <c r="D84" s="493" t="s">
        <v>1575</v>
      </c>
    </row>
    <row r="85" spans="1:4" ht="15.75" x14ac:dyDescent="0.2">
      <c r="A85" s="484">
        <v>84</v>
      </c>
      <c r="B85" s="486" t="s">
        <v>993</v>
      </c>
      <c r="C85" s="493" t="s">
        <v>995</v>
      </c>
      <c r="D85" s="493" t="s">
        <v>1576</v>
      </c>
    </row>
    <row r="86" spans="1:4" ht="15.75" x14ac:dyDescent="0.2">
      <c r="A86" s="484">
        <v>85</v>
      </c>
      <c r="B86" s="486" t="s">
        <v>998</v>
      </c>
      <c r="C86" s="493" t="s">
        <v>1000</v>
      </c>
      <c r="D86" s="493" t="s">
        <v>1577</v>
      </c>
    </row>
    <row r="87" spans="1:4" ht="15.75" x14ac:dyDescent="0.2">
      <c r="A87" s="484">
        <v>86</v>
      </c>
      <c r="B87" s="486" t="s">
        <v>1027</v>
      </c>
      <c r="C87" s="493" t="s">
        <v>1030</v>
      </c>
      <c r="D87" s="493" t="s">
        <v>1660</v>
      </c>
    </row>
    <row r="88" spans="1:4" ht="15.75" x14ac:dyDescent="0.2">
      <c r="A88" s="484">
        <v>87</v>
      </c>
      <c r="B88" s="486" t="s">
        <v>1033</v>
      </c>
      <c r="C88" s="493" t="s">
        <v>1035</v>
      </c>
      <c r="D88" s="493" t="s">
        <v>1662</v>
      </c>
    </row>
    <row r="89" spans="1:4" ht="15.75" x14ac:dyDescent="0.2">
      <c r="A89" s="484">
        <v>88</v>
      </c>
      <c r="B89" s="486" t="s">
        <v>1043</v>
      </c>
      <c r="C89" s="493" t="s">
        <v>1045</v>
      </c>
      <c r="D89" s="493" t="s">
        <v>1661</v>
      </c>
    </row>
    <row r="90" spans="1:4" ht="15.75" x14ac:dyDescent="0.2">
      <c r="A90" s="484">
        <v>89</v>
      </c>
      <c r="B90" s="486" t="s">
        <v>1046</v>
      </c>
      <c r="C90" s="493" t="s">
        <v>1049</v>
      </c>
      <c r="D90" s="493" t="s">
        <v>1578</v>
      </c>
    </row>
    <row r="91" spans="1:4" ht="15.75" x14ac:dyDescent="0.2">
      <c r="A91" s="484">
        <v>90</v>
      </c>
      <c r="B91" s="486" t="s">
        <v>1052</v>
      </c>
      <c r="C91" s="493" t="s">
        <v>1054</v>
      </c>
      <c r="D91" s="493" t="s">
        <v>1579</v>
      </c>
    </row>
    <row r="92" spans="1:4" ht="15.75" x14ac:dyDescent="0.2">
      <c r="A92" s="484">
        <v>91</v>
      </c>
      <c r="B92" s="486" t="s">
        <v>1055</v>
      </c>
      <c r="C92" s="493" t="s">
        <v>1057</v>
      </c>
      <c r="D92" s="493" t="s">
        <v>1580</v>
      </c>
    </row>
    <row r="93" spans="1:4" ht="15.75" x14ac:dyDescent="0.2">
      <c r="A93" s="484">
        <v>92</v>
      </c>
      <c r="B93" s="486" t="s">
        <v>1061</v>
      </c>
      <c r="C93" s="493" t="s">
        <v>1063</v>
      </c>
      <c r="D93" s="493" t="s">
        <v>1581</v>
      </c>
    </row>
    <row r="94" spans="1:4" ht="15.75" x14ac:dyDescent="0.2">
      <c r="A94" s="484">
        <v>93</v>
      </c>
      <c r="B94" s="486" t="s">
        <v>1065</v>
      </c>
      <c r="C94" s="493" t="s">
        <v>1067</v>
      </c>
      <c r="D94" s="493" t="s">
        <v>1582</v>
      </c>
    </row>
    <row r="95" spans="1:4" ht="15.75" x14ac:dyDescent="0.2">
      <c r="A95" s="484">
        <v>94</v>
      </c>
      <c r="B95" s="486" t="s">
        <v>1069</v>
      </c>
      <c r="C95" s="493" t="s">
        <v>1071</v>
      </c>
      <c r="D95" s="493" t="s">
        <v>1583</v>
      </c>
    </row>
    <row r="96" spans="1:4" ht="15.75" x14ac:dyDescent="0.2">
      <c r="A96" s="484">
        <v>95</v>
      </c>
      <c r="B96" s="486" t="s">
        <v>1073</v>
      </c>
      <c r="C96" s="493" t="s">
        <v>1075</v>
      </c>
      <c r="D96" s="493" t="s">
        <v>1584</v>
      </c>
    </row>
    <row r="97" spans="1:4" ht="15.75" x14ac:dyDescent="0.2">
      <c r="A97" s="484">
        <v>96</v>
      </c>
      <c r="B97" s="486" t="s">
        <v>1084</v>
      </c>
      <c r="C97" s="493" t="s">
        <v>1086</v>
      </c>
      <c r="D97" s="493" t="s">
        <v>1586</v>
      </c>
    </row>
    <row r="98" spans="1:4" ht="15.75" x14ac:dyDescent="0.2">
      <c r="A98" s="484">
        <v>97</v>
      </c>
      <c r="B98" s="486" t="s">
        <v>1088</v>
      </c>
      <c r="C98" s="493" t="s">
        <v>1090</v>
      </c>
      <c r="D98" s="493" t="s">
        <v>1587</v>
      </c>
    </row>
    <row r="99" spans="1:4" ht="15.75" x14ac:dyDescent="0.2">
      <c r="A99" s="484">
        <v>98</v>
      </c>
      <c r="B99" s="486" t="s">
        <v>1092</v>
      </c>
      <c r="C99" s="493" t="s">
        <v>1094</v>
      </c>
      <c r="D99" s="493" t="s">
        <v>1588</v>
      </c>
    </row>
    <row r="100" spans="1:4" ht="15.75" x14ac:dyDescent="0.2">
      <c r="A100" s="484">
        <v>99</v>
      </c>
      <c r="B100" s="486" t="s">
        <v>1095</v>
      </c>
      <c r="C100" s="493" t="s">
        <v>1097</v>
      </c>
      <c r="D100" s="493" t="s">
        <v>1589</v>
      </c>
    </row>
    <row r="101" spans="1:4" ht="15.75" x14ac:dyDescent="0.2">
      <c r="A101" s="484">
        <v>100</v>
      </c>
      <c r="B101" s="485" t="s">
        <v>1104</v>
      </c>
      <c r="C101" s="493" t="s">
        <v>1107</v>
      </c>
      <c r="D101" s="493" t="s">
        <v>1592</v>
      </c>
    </row>
    <row r="102" spans="1:4" ht="15.75" x14ac:dyDescent="0.2">
      <c r="A102" s="484">
        <v>101</v>
      </c>
      <c r="B102" s="485" t="s">
        <v>1112</v>
      </c>
      <c r="C102" s="493" t="s">
        <v>1115</v>
      </c>
      <c r="D102" s="493" t="s">
        <v>1593</v>
      </c>
    </row>
    <row r="103" spans="1:4" ht="15.75" x14ac:dyDescent="0.2">
      <c r="A103" s="484">
        <v>102</v>
      </c>
      <c r="B103" s="485" t="s">
        <v>1119</v>
      </c>
      <c r="C103" s="493" t="s">
        <v>1122</v>
      </c>
      <c r="D103" s="493" t="s">
        <v>1594</v>
      </c>
    </row>
    <row r="104" spans="1:4" ht="15.75" x14ac:dyDescent="0.2">
      <c r="A104" s="484">
        <v>103</v>
      </c>
      <c r="B104" s="485" t="s">
        <v>1126</v>
      </c>
      <c r="C104" s="493" t="s">
        <v>1128</v>
      </c>
      <c r="D104" s="493" t="s">
        <v>1595</v>
      </c>
    </row>
    <row r="105" spans="1:4" ht="31.5" x14ac:dyDescent="0.2">
      <c r="A105" s="484">
        <v>104</v>
      </c>
      <c r="B105" s="485" t="s">
        <v>2745</v>
      </c>
      <c r="C105" s="493" t="s">
        <v>2746</v>
      </c>
      <c r="D105" s="485" t="s">
        <v>1596</v>
      </c>
    </row>
    <row r="106" spans="1:4" ht="15.75" x14ac:dyDescent="0.2">
      <c r="A106" s="484">
        <v>105</v>
      </c>
      <c r="B106" s="485" t="s">
        <v>2454</v>
      </c>
      <c r="C106" s="493" t="s">
        <v>1151</v>
      </c>
      <c r="D106" s="493" t="s">
        <v>1597</v>
      </c>
    </row>
    <row r="107" spans="1:4" ht="15.75" x14ac:dyDescent="0.2">
      <c r="A107" s="484">
        <v>106</v>
      </c>
      <c r="B107" s="485" t="s">
        <v>1157</v>
      </c>
      <c r="C107" s="493" t="s">
        <v>1159</v>
      </c>
      <c r="D107" s="493" t="s">
        <v>1597</v>
      </c>
    </row>
    <row r="108" spans="1:4" ht="15.75" x14ac:dyDescent="0.2">
      <c r="A108" s="484">
        <v>107</v>
      </c>
      <c r="B108" s="485" t="s">
        <v>1161</v>
      </c>
      <c r="C108" s="493" t="s">
        <v>1163</v>
      </c>
      <c r="D108" s="493" t="s">
        <v>1598</v>
      </c>
    </row>
    <row r="109" spans="1:4" ht="31.5" x14ac:dyDescent="0.2">
      <c r="A109" s="484">
        <v>108</v>
      </c>
      <c r="B109" s="485" t="s">
        <v>2747</v>
      </c>
      <c r="C109" s="493" t="s">
        <v>2748</v>
      </c>
      <c r="D109" s="485" t="s">
        <v>1599</v>
      </c>
    </row>
    <row r="110" spans="1:4" ht="15.75" x14ac:dyDescent="0.2">
      <c r="A110" s="484">
        <v>109</v>
      </c>
      <c r="B110" s="485" t="s">
        <v>1176</v>
      </c>
      <c r="C110" s="493" t="s">
        <v>1179</v>
      </c>
      <c r="D110" s="493" t="s">
        <v>1600</v>
      </c>
    </row>
    <row r="111" spans="1:4" ht="15.75" x14ac:dyDescent="0.2">
      <c r="A111" s="484">
        <v>110</v>
      </c>
      <c r="B111" s="485" t="s">
        <v>1448</v>
      </c>
      <c r="C111" s="493" t="s">
        <v>1450</v>
      </c>
      <c r="D111" s="493" t="s">
        <v>1634</v>
      </c>
    </row>
    <row r="112" spans="1:4" ht="31.5" x14ac:dyDescent="0.2">
      <c r="A112" s="484">
        <v>111</v>
      </c>
      <c r="B112" s="485" t="s">
        <v>2749</v>
      </c>
      <c r="C112" s="493" t="s">
        <v>2750</v>
      </c>
      <c r="D112" s="485" t="s">
        <v>1601</v>
      </c>
    </row>
    <row r="113" spans="1:4" ht="31.5" x14ac:dyDescent="0.2">
      <c r="A113" s="484">
        <v>112</v>
      </c>
      <c r="B113" s="485" t="s">
        <v>2751</v>
      </c>
      <c r="C113" s="493" t="s">
        <v>2752</v>
      </c>
      <c r="D113" s="485" t="s">
        <v>1602</v>
      </c>
    </row>
    <row r="114" spans="1:4" ht="15.75" x14ac:dyDescent="0.2">
      <c r="A114" s="484">
        <v>113</v>
      </c>
      <c r="B114" s="485" t="s">
        <v>1201</v>
      </c>
      <c r="C114" s="493" t="s">
        <v>1203</v>
      </c>
      <c r="D114" s="493" t="s">
        <v>1603</v>
      </c>
    </row>
    <row r="115" spans="1:4" ht="15.75" x14ac:dyDescent="0.2">
      <c r="A115" s="484">
        <v>114</v>
      </c>
      <c r="B115" s="485" t="s">
        <v>1209</v>
      </c>
      <c r="C115" s="493" t="s">
        <v>1211</v>
      </c>
      <c r="D115" s="493" t="s">
        <v>1604</v>
      </c>
    </row>
    <row r="116" spans="1:4" ht="15.75" x14ac:dyDescent="0.2">
      <c r="A116" s="484">
        <v>115</v>
      </c>
      <c r="B116" s="485" t="s">
        <v>1214</v>
      </c>
      <c r="C116" s="493" t="s">
        <v>1217</v>
      </c>
      <c r="D116" s="493" t="s">
        <v>1605</v>
      </c>
    </row>
    <row r="117" spans="1:4" ht="15.75" x14ac:dyDescent="0.2">
      <c r="A117" s="484">
        <v>116</v>
      </c>
      <c r="B117" s="485" t="s">
        <v>1231</v>
      </c>
      <c r="C117" s="493" t="s">
        <v>1234</v>
      </c>
      <c r="D117" s="493" t="s">
        <v>1606</v>
      </c>
    </row>
    <row r="118" spans="1:4" ht="15.75" x14ac:dyDescent="0.2">
      <c r="A118" s="484">
        <v>117</v>
      </c>
      <c r="B118" s="485" t="s">
        <v>1242</v>
      </c>
      <c r="C118" s="493" t="s">
        <v>1244</v>
      </c>
      <c r="D118" s="493" t="s">
        <v>1607</v>
      </c>
    </row>
    <row r="119" spans="1:4" ht="15.75" x14ac:dyDescent="0.2">
      <c r="A119" s="484">
        <v>118</v>
      </c>
      <c r="B119" s="485" t="s">
        <v>1247</v>
      </c>
      <c r="C119" s="493" t="s">
        <v>1250</v>
      </c>
      <c r="D119" s="493" t="s">
        <v>1608</v>
      </c>
    </row>
    <row r="120" spans="1:4" ht="15.75" x14ac:dyDescent="0.2">
      <c r="A120" s="484">
        <v>119</v>
      </c>
      <c r="B120" s="485" t="s">
        <v>1257</v>
      </c>
      <c r="C120" s="493" t="s">
        <v>1259</v>
      </c>
      <c r="D120" s="493" t="s">
        <v>1609</v>
      </c>
    </row>
    <row r="121" spans="1:4" ht="15.75" x14ac:dyDescent="0.2">
      <c r="A121" s="484">
        <v>120</v>
      </c>
      <c r="B121" s="485" t="s">
        <v>1261</v>
      </c>
      <c r="C121" s="493" t="s">
        <v>1266</v>
      </c>
      <c r="D121" s="493" t="s">
        <v>1610</v>
      </c>
    </row>
    <row r="122" spans="1:4" ht="15.75" x14ac:dyDescent="0.2">
      <c r="A122" s="484">
        <v>121</v>
      </c>
      <c r="B122" s="485" t="s">
        <v>1268</v>
      </c>
      <c r="C122" s="493" t="s">
        <v>1274</v>
      </c>
      <c r="D122" s="493" t="s">
        <v>1611</v>
      </c>
    </row>
    <row r="123" spans="1:4" ht="15.75" x14ac:dyDescent="0.2">
      <c r="A123" s="484">
        <v>122</v>
      </c>
      <c r="B123" s="485" t="s">
        <v>1287</v>
      </c>
      <c r="C123" s="493" t="s">
        <v>1289</v>
      </c>
      <c r="D123" s="493" t="s">
        <v>1612</v>
      </c>
    </row>
    <row r="124" spans="1:4" ht="15.75" x14ac:dyDescent="0.2">
      <c r="A124" s="484">
        <v>123</v>
      </c>
      <c r="B124" s="485" t="s">
        <v>1292</v>
      </c>
      <c r="C124" s="493" t="s">
        <v>1295</v>
      </c>
      <c r="D124" s="493" t="s">
        <v>1613</v>
      </c>
    </row>
    <row r="125" spans="1:4" ht="15.75" x14ac:dyDescent="0.2">
      <c r="A125" s="484">
        <v>124</v>
      </c>
      <c r="B125" s="485" t="s">
        <v>1298</v>
      </c>
      <c r="C125" s="493" t="s">
        <v>1300</v>
      </c>
      <c r="D125" s="493" t="s">
        <v>1614</v>
      </c>
    </row>
    <row r="126" spans="1:4" ht="15.75" x14ac:dyDescent="0.2">
      <c r="A126" s="484">
        <v>125</v>
      </c>
      <c r="B126" s="485" t="s">
        <v>1304</v>
      </c>
      <c r="C126" s="493" t="s">
        <v>1307</v>
      </c>
      <c r="D126" s="493" t="s">
        <v>1615</v>
      </c>
    </row>
    <row r="127" spans="1:4" ht="47.25" x14ac:dyDescent="0.2">
      <c r="A127" s="484">
        <v>126</v>
      </c>
      <c r="B127" s="485" t="s">
        <v>2753</v>
      </c>
      <c r="C127" s="493" t="s">
        <v>2754</v>
      </c>
      <c r="D127" s="485" t="s">
        <v>1615</v>
      </c>
    </row>
    <row r="128" spans="1:4" ht="15.75" x14ac:dyDescent="0.2">
      <c r="A128" s="484">
        <v>127</v>
      </c>
      <c r="B128" s="485" t="s">
        <v>1316</v>
      </c>
      <c r="C128" s="493" t="s">
        <v>1319</v>
      </c>
      <c r="D128" s="493" t="s">
        <v>1616</v>
      </c>
    </row>
    <row r="129" spans="1:4" ht="15.75" x14ac:dyDescent="0.2">
      <c r="A129" s="484">
        <v>128</v>
      </c>
      <c r="B129" s="485" t="s">
        <v>2173</v>
      </c>
      <c r="C129" s="493" t="s">
        <v>2458</v>
      </c>
      <c r="D129" s="493" t="s">
        <v>1617</v>
      </c>
    </row>
    <row r="130" spans="1:4" ht="15.75" x14ac:dyDescent="0.2">
      <c r="A130" s="484">
        <v>129</v>
      </c>
      <c r="B130" s="485" t="s">
        <v>2174</v>
      </c>
      <c r="C130" s="493" t="s">
        <v>1324</v>
      </c>
      <c r="D130" s="493" t="s">
        <v>1617</v>
      </c>
    </row>
    <row r="131" spans="1:4" ht="15.75" x14ac:dyDescent="0.2">
      <c r="A131" s="484">
        <v>130</v>
      </c>
      <c r="B131" s="485" t="s">
        <v>2175</v>
      </c>
      <c r="C131" s="493" t="s">
        <v>1328</v>
      </c>
      <c r="D131" s="493" t="s">
        <v>1617</v>
      </c>
    </row>
    <row r="132" spans="1:4" ht="15.75" x14ac:dyDescent="0.2">
      <c r="A132" s="484">
        <v>131</v>
      </c>
      <c r="B132" s="485" t="s">
        <v>1331</v>
      </c>
      <c r="C132" s="493" t="s">
        <v>1334</v>
      </c>
      <c r="D132" s="493" t="s">
        <v>1336</v>
      </c>
    </row>
    <row r="133" spans="1:4" ht="15.75" x14ac:dyDescent="0.2">
      <c r="A133" s="484">
        <v>132</v>
      </c>
      <c r="B133" s="485" t="s">
        <v>1338</v>
      </c>
      <c r="C133" s="493" t="s">
        <v>1341</v>
      </c>
      <c r="D133" s="493" t="s">
        <v>1618</v>
      </c>
    </row>
    <row r="134" spans="1:4" ht="15.75" x14ac:dyDescent="0.2">
      <c r="A134" s="484">
        <v>133</v>
      </c>
      <c r="B134" s="485" t="s">
        <v>1355</v>
      </c>
      <c r="C134" s="493" t="s">
        <v>1357</v>
      </c>
      <c r="D134" s="493" t="s">
        <v>1619</v>
      </c>
    </row>
    <row r="135" spans="1:4" ht="15.75" x14ac:dyDescent="0.2">
      <c r="A135" s="484">
        <v>134</v>
      </c>
      <c r="B135" s="485" t="s">
        <v>1358</v>
      </c>
      <c r="C135" s="493" t="s">
        <v>1360</v>
      </c>
      <c r="D135" s="493" t="s">
        <v>1620</v>
      </c>
    </row>
    <row r="136" spans="1:4" ht="15.75" x14ac:dyDescent="0.2">
      <c r="A136" s="484">
        <v>135</v>
      </c>
      <c r="B136" s="485" t="s">
        <v>1363</v>
      </c>
      <c r="C136" s="493" t="s">
        <v>1366</v>
      </c>
      <c r="D136" s="493" t="s">
        <v>1621</v>
      </c>
    </row>
    <row r="137" spans="1:4" ht="15.75" x14ac:dyDescent="0.2">
      <c r="A137" s="484">
        <v>136</v>
      </c>
      <c r="B137" s="485" t="s">
        <v>1373</v>
      </c>
      <c r="C137" s="493" t="s">
        <v>1375</v>
      </c>
      <c r="D137" s="493" t="s">
        <v>1622</v>
      </c>
    </row>
    <row r="138" spans="1:4" ht="15.75" x14ac:dyDescent="0.2">
      <c r="A138" s="484">
        <v>137</v>
      </c>
      <c r="B138" s="485" t="s">
        <v>1376</v>
      </c>
      <c r="C138" s="493" t="s">
        <v>1378</v>
      </c>
      <c r="D138" s="493" t="s">
        <v>1623</v>
      </c>
    </row>
    <row r="139" spans="1:4" ht="15.75" x14ac:dyDescent="0.2">
      <c r="A139" s="484">
        <v>138</v>
      </c>
      <c r="B139" s="485" t="s">
        <v>1379</v>
      </c>
      <c r="C139" s="493" t="s">
        <v>1381</v>
      </c>
      <c r="D139" s="493" t="s">
        <v>1624</v>
      </c>
    </row>
    <row r="140" spans="1:4" ht="15.75" x14ac:dyDescent="0.2">
      <c r="A140" s="484">
        <v>139</v>
      </c>
      <c r="B140" s="485" t="s">
        <v>1382</v>
      </c>
      <c r="C140" s="493" t="s">
        <v>1385</v>
      </c>
      <c r="D140" s="493" t="s">
        <v>1625</v>
      </c>
    </row>
    <row r="141" spans="1:4" ht="31.5" x14ac:dyDescent="0.2">
      <c r="A141" s="484">
        <v>140</v>
      </c>
      <c r="B141" s="485" t="s">
        <v>2755</v>
      </c>
      <c r="C141" s="493" t="s">
        <v>2756</v>
      </c>
      <c r="D141" s="493" t="s">
        <v>1626</v>
      </c>
    </row>
    <row r="142" spans="1:4" ht="31.5" x14ac:dyDescent="0.2">
      <c r="A142" s="484">
        <v>141</v>
      </c>
      <c r="B142" s="485" t="s">
        <v>2757</v>
      </c>
      <c r="C142" s="493" t="s">
        <v>2758</v>
      </c>
      <c r="D142" s="493" t="s">
        <v>2759</v>
      </c>
    </row>
    <row r="143" spans="1:4" ht="31.5" x14ac:dyDescent="0.2">
      <c r="A143" s="484">
        <v>142</v>
      </c>
      <c r="B143" s="485" t="s">
        <v>2760</v>
      </c>
      <c r="C143" s="493" t="s">
        <v>2761</v>
      </c>
      <c r="D143" s="493" t="s">
        <v>2762</v>
      </c>
    </row>
    <row r="144" spans="1:4" ht="15.75" x14ac:dyDescent="0.2">
      <c r="A144" s="484">
        <v>143</v>
      </c>
      <c r="B144" s="485" t="s">
        <v>1438</v>
      </c>
      <c r="C144" s="493" t="s">
        <v>1440</v>
      </c>
      <c r="D144" s="493" t="s">
        <v>1631</v>
      </c>
    </row>
    <row r="145" spans="1:4" ht="31.5" x14ac:dyDescent="0.2">
      <c r="A145" s="484">
        <v>144</v>
      </c>
      <c r="B145" s="485" t="s">
        <v>1441</v>
      </c>
      <c r="C145" s="493" t="s">
        <v>1443</v>
      </c>
      <c r="D145" s="493" t="s">
        <v>1632</v>
      </c>
    </row>
    <row r="146" spans="1:4" ht="15.75" x14ac:dyDescent="0.2">
      <c r="A146" s="484">
        <v>145</v>
      </c>
      <c r="B146" s="485" t="s">
        <v>1444</v>
      </c>
      <c r="C146" s="493" t="s">
        <v>1446</v>
      </c>
      <c r="D146" s="493" t="s">
        <v>1633</v>
      </c>
    </row>
    <row r="147" spans="1:4" ht="15.75" x14ac:dyDescent="0.2">
      <c r="A147" s="484">
        <v>146</v>
      </c>
      <c r="B147" s="485" t="s">
        <v>1457</v>
      </c>
      <c r="C147" s="493" t="s">
        <v>1460</v>
      </c>
      <c r="D147" s="493" t="s">
        <v>1635</v>
      </c>
    </row>
    <row r="148" spans="1:4" ht="15.75" x14ac:dyDescent="0.2">
      <c r="A148" s="484">
        <v>147</v>
      </c>
      <c r="B148" s="485" t="s">
        <v>1469</v>
      </c>
      <c r="C148" s="493" t="s">
        <v>1471</v>
      </c>
      <c r="D148" s="493" t="s">
        <v>1636</v>
      </c>
    </row>
    <row r="149" spans="1:4" ht="15.75" x14ac:dyDescent="0.2">
      <c r="A149" s="484">
        <v>148</v>
      </c>
      <c r="B149" s="485" t="s">
        <v>1474</v>
      </c>
      <c r="C149" s="493" t="s">
        <v>1476</v>
      </c>
      <c r="D149" s="493" t="s">
        <v>1637</v>
      </c>
    </row>
    <row r="150" spans="1:4" ht="15.75" x14ac:dyDescent="0.2">
      <c r="A150" s="484">
        <v>149</v>
      </c>
      <c r="B150" s="485" t="s">
        <v>1478</v>
      </c>
      <c r="C150" s="493" t="s">
        <v>1481</v>
      </c>
      <c r="D150" s="493" t="s">
        <v>1638</v>
      </c>
    </row>
    <row r="151" spans="1:4" ht="15.75" x14ac:dyDescent="0.2">
      <c r="A151" s="484">
        <v>150</v>
      </c>
      <c r="B151" s="485" t="s">
        <v>1490</v>
      </c>
      <c r="C151" s="493" t="s">
        <v>1492</v>
      </c>
      <c r="D151" s="493" t="s">
        <v>1639</v>
      </c>
    </row>
    <row r="152" spans="1:4" ht="15.75" x14ac:dyDescent="0.2">
      <c r="A152" s="484">
        <v>151</v>
      </c>
      <c r="B152" s="485" t="s">
        <v>1497</v>
      </c>
      <c r="C152" s="493" t="s">
        <v>1499</v>
      </c>
      <c r="D152" s="493" t="s">
        <v>1501</v>
      </c>
    </row>
    <row r="153" spans="1:4" ht="15.75" x14ac:dyDescent="0.2">
      <c r="A153" s="484">
        <v>152</v>
      </c>
      <c r="B153" s="485" t="s">
        <v>1503</v>
      </c>
      <c r="C153" s="493" t="s">
        <v>1505</v>
      </c>
      <c r="D153" s="493" t="s">
        <v>1640</v>
      </c>
    </row>
    <row r="154" spans="1:4" ht="15.75" x14ac:dyDescent="0.2">
      <c r="A154" s="484">
        <v>153</v>
      </c>
      <c r="B154" s="485" t="s">
        <v>1507</v>
      </c>
      <c r="C154" s="493" t="s">
        <v>1510</v>
      </c>
      <c r="D154" s="493" t="s">
        <v>1641</v>
      </c>
    </row>
    <row r="155" spans="1:4" ht="31.5" x14ac:dyDescent="0.2">
      <c r="A155" s="484">
        <v>154</v>
      </c>
      <c r="B155" s="485" t="s">
        <v>2763</v>
      </c>
      <c r="C155" s="493" t="s">
        <v>2764</v>
      </c>
      <c r="D155" s="493" t="s">
        <v>2765</v>
      </c>
    </row>
    <row r="156" spans="1:4" ht="31.5" x14ac:dyDescent="0.2">
      <c r="A156" s="484">
        <v>155</v>
      </c>
      <c r="B156" s="485" t="s">
        <v>1520</v>
      </c>
      <c r="C156" s="493" t="s">
        <v>1522</v>
      </c>
      <c r="D156" s="493" t="s">
        <v>1645</v>
      </c>
    </row>
    <row r="157" spans="1:4" ht="15.75" x14ac:dyDescent="0.2">
      <c r="A157" s="484">
        <v>156</v>
      </c>
      <c r="B157" s="485" t="s">
        <v>1526</v>
      </c>
      <c r="C157" s="493" t="s">
        <v>1528</v>
      </c>
      <c r="D157" s="493" t="s">
        <v>1646</v>
      </c>
    </row>
    <row r="158" spans="1:4" ht="31.5" x14ac:dyDescent="0.2">
      <c r="A158" s="484">
        <v>157</v>
      </c>
      <c r="B158" s="485" t="s">
        <v>2766</v>
      </c>
      <c r="C158" s="493" t="s">
        <v>2767</v>
      </c>
      <c r="D158" s="493" t="s">
        <v>2768</v>
      </c>
    </row>
    <row r="159" spans="1:4" ht="15.75" x14ac:dyDescent="0.2">
      <c r="A159" s="484">
        <v>158</v>
      </c>
      <c r="B159" s="485" t="s">
        <v>1539</v>
      </c>
      <c r="C159" s="493" t="s">
        <v>1541</v>
      </c>
      <c r="D159" s="493" t="s">
        <v>1649</v>
      </c>
    </row>
    <row r="160" spans="1:4" ht="15.75" x14ac:dyDescent="0.2">
      <c r="A160" s="484">
        <v>159</v>
      </c>
      <c r="B160" s="485" t="s">
        <v>1544</v>
      </c>
      <c r="C160" s="493" t="s">
        <v>1546</v>
      </c>
      <c r="D160" s="493" t="s">
        <v>1650</v>
      </c>
    </row>
    <row r="161" spans="1:4" ht="15.75" x14ac:dyDescent="0.2">
      <c r="A161" s="484">
        <v>160</v>
      </c>
      <c r="B161" s="485" t="s">
        <v>1549</v>
      </c>
      <c r="C161" s="493" t="s">
        <v>1551</v>
      </c>
      <c r="D161" s="493" t="s">
        <v>1651</v>
      </c>
    </row>
    <row r="162" spans="1:4" ht="15.75" x14ac:dyDescent="0.2">
      <c r="A162" s="484">
        <v>161</v>
      </c>
      <c r="B162" s="485" t="s">
        <v>2015</v>
      </c>
      <c r="C162" s="493" t="s">
        <v>1557</v>
      </c>
      <c r="D162" s="493" t="s">
        <v>1652</v>
      </c>
    </row>
    <row r="163" spans="1:4" x14ac:dyDescent="0.2">
      <c r="A163" s="289"/>
      <c r="B163" s="289"/>
      <c r="C163" s="289"/>
      <c r="D163" s="289"/>
    </row>
    <row r="164" spans="1:4" x14ac:dyDescent="0.2">
      <c r="A164" s="289"/>
      <c r="B164" s="289"/>
      <c r="C164" s="289"/>
      <c r="D164" s="289"/>
    </row>
    <row r="165" spans="1:4" x14ac:dyDescent="0.2">
      <c r="A165" s="289"/>
      <c r="B165" s="289"/>
      <c r="C165" s="289"/>
      <c r="D165" s="289"/>
    </row>
    <row r="166" spans="1:4" x14ac:dyDescent="0.2">
      <c r="A166" s="289"/>
      <c r="B166" s="289"/>
      <c r="C166" s="289"/>
      <c r="D166" s="289"/>
    </row>
    <row r="167" spans="1:4" x14ac:dyDescent="0.2">
      <c r="A167" s="289"/>
      <c r="B167" s="289"/>
      <c r="C167" s="289"/>
      <c r="D167" s="289"/>
    </row>
    <row r="168" spans="1:4" x14ac:dyDescent="0.2">
      <c r="A168" s="289"/>
      <c r="B168" s="289"/>
      <c r="C168" s="289"/>
      <c r="D168" s="289"/>
    </row>
    <row r="169" spans="1:4" x14ac:dyDescent="0.2">
      <c r="A169" s="289"/>
      <c r="B169" s="289"/>
      <c r="C169" s="289"/>
      <c r="D169" s="289"/>
    </row>
    <row r="170" spans="1:4" x14ac:dyDescent="0.2">
      <c r="A170" s="289"/>
      <c r="B170" s="289"/>
      <c r="C170" s="289"/>
      <c r="D170" s="289"/>
    </row>
    <row r="171" spans="1:4" x14ac:dyDescent="0.2">
      <c r="A171" s="289"/>
      <c r="B171" s="289"/>
      <c r="C171" s="289"/>
      <c r="D171" s="289"/>
    </row>
    <row r="172" spans="1:4" x14ac:dyDescent="0.2">
      <c r="A172" s="289"/>
      <c r="B172" s="289"/>
      <c r="C172" s="289"/>
      <c r="D172" s="289"/>
    </row>
    <row r="173" spans="1:4" x14ac:dyDescent="0.2">
      <c r="A173" s="289"/>
      <c r="B173" s="289"/>
      <c r="C173" s="289"/>
      <c r="D173" s="289"/>
    </row>
    <row r="174" spans="1:4" x14ac:dyDescent="0.2">
      <c r="A174" s="289"/>
      <c r="B174" s="289"/>
      <c r="C174" s="289"/>
      <c r="D174" s="289"/>
    </row>
    <row r="175" spans="1:4" x14ac:dyDescent="0.2">
      <c r="A175" s="289"/>
      <c r="B175" s="289"/>
      <c r="C175" s="289"/>
      <c r="D175" s="289"/>
    </row>
    <row r="176" spans="1:4" x14ac:dyDescent="0.2">
      <c r="A176" s="289"/>
      <c r="B176" s="289"/>
      <c r="C176" s="289"/>
      <c r="D176" s="289"/>
    </row>
    <row r="177" s="289" customFormat="1" x14ac:dyDescent="0.2"/>
    <row r="178" s="289" customFormat="1" x14ac:dyDescent="0.2"/>
    <row r="179" s="289" customFormat="1" x14ac:dyDescent="0.2"/>
    <row r="180" s="289" customFormat="1" x14ac:dyDescent="0.2"/>
    <row r="181" s="289" customFormat="1" x14ac:dyDescent="0.2"/>
    <row r="182" s="289" customFormat="1" x14ac:dyDescent="0.2"/>
    <row r="183" s="289" customFormat="1" x14ac:dyDescent="0.2"/>
    <row r="184" s="289" customFormat="1" x14ac:dyDescent="0.2"/>
    <row r="185" s="289" customFormat="1" x14ac:dyDescent="0.2"/>
    <row r="186" s="289" customFormat="1" x14ac:dyDescent="0.2"/>
    <row r="187" s="289" customFormat="1" x14ac:dyDescent="0.2"/>
    <row r="188" s="289" customFormat="1" x14ac:dyDescent="0.2"/>
    <row r="189" s="289" customFormat="1" x14ac:dyDescent="0.2"/>
    <row r="190" s="289" customFormat="1" x14ac:dyDescent="0.2"/>
    <row r="191" s="289" customFormat="1" x14ac:dyDescent="0.2"/>
    <row r="192" s="289" customFormat="1" x14ac:dyDescent="0.2"/>
    <row r="193" s="289" customFormat="1" x14ac:dyDescent="0.2"/>
    <row r="194" s="289" customFormat="1" x14ac:dyDescent="0.2"/>
    <row r="195" s="289" customFormat="1" x14ac:dyDescent="0.2"/>
    <row r="196" s="289" customFormat="1" x14ac:dyDescent="0.2"/>
    <row r="197" s="289" customFormat="1" x14ac:dyDescent="0.2"/>
    <row r="198" s="289" customFormat="1" x14ac:dyDescent="0.2"/>
    <row r="199" s="289" customFormat="1" x14ac:dyDescent="0.2"/>
    <row r="200" s="289" customFormat="1" x14ac:dyDescent="0.2"/>
    <row r="201" s="289" customFormat="1" x14ac:dyDescent="0.2"/>
    <row r="202" s="289" customFormat="1" x14ac:dyDescent="0.2"/>
    <row r="203" s="289" customFormat="1" x14ac:dyDescent="0.2"/>
    <row r="204" s="289" customFormat="1" x14ac:dyDescent="0.2"/>
    <row r="205" s="289" customFormat="1" x14ac:dyDescent="0.2"/>
    <row r="206" s="289" customFormat="1" x14ac:dyDescent="0.2"/>
    <row r="207" s="289" customFormat="1" x14ac:dyDescent="0.2"/>
    <row r="208" s="289" customFormat="1" x14ac:dyDescent="0.2"/>
    <row r="209" s="289" customFormat="1" x14ac:dyDescent="0.2"/>
    <row r="210" s="289" customFormat="1" x14ac:dyDescent="0.2"/>
  </sheetData>
  <conditionalFormatting sqref="A1:C1048576">
    <cfRule type="duplicateValues" dxfId="3" priority="3"/>
  </conditionalFormatting>
  <conditionalFormatting sqref="A1:D1048576">
    <cfRule type="duplicateValues" dxfId="2" priority="2"/>
  </conditionalFormatting>
  <conditionalFormatting sqref="B1:B1048576">
    <cfRule type="duplicateValues" dxfId="1" priority="1"/>
  </conditionalFormatting>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6"/>
  <sheetViews>
    <sheetView workbookViewId="0">
      <selection activeCell="A2" sqref="A2:XFD2"/>
    </sheetView>
  </sheetViews>
  <sheetFormatPr defaultColWidth="8.625" defaultRowHeight="14.25" x14ac:dyDescent="0.2"/>
  <cols>
    <col min="1" max="1" width="23.5" style="435" customWidth="1"/>
    <col min="2" max="2" width="13.125" style="435" customWidth="1"/>
    <col min="3" max="3" width="16.375" style="316" customWidth="1"/>
    <col min="4" max="4" width="12.625" style="289" customWidth="1"/>
    <col min="5" max="5" width="18.5" style="289" customWidth="1"/>
    <col min="6" max="6" width="13.125" style="289" customWidth="1"/>
    <col min="7" max="7" width="16.875" style="808" customWidth="1"/>
    <col min="8" max="8" width="16.125" style="808" customWidth="1"/>
    <col min="9" max="10" width="8.625" style="289"/>
    <col min="11" max="11" width="17.5" style="289" customWidth="1"/>
    <col min="12" max="16384" width="8.625" style="289"/>
  </cols>
  <sheetData>
    <row r="1" spans="1:12" s="482" customFormat="1" ht="15.75" x14ac:dyDescent="0.25">
      <c r="A1" s="371" t="s">
        <v>6</v>
      </c>
      <c r="B1" s="366" t="s">
        <v>2248</v>
      </c>
      <c r="C1" s="431" t="s">
        <v>2249</v>
      </c>
      <c r="D1" s="371" t="s">
        <v>2082</v>
      </c>
      <c r="E1" s="372" t="s">
        <v>2083</v>
      </c>
      <c r="F1" s="372" t="s">
        <v>2084</v>
      </c>
      <c r="G1" s="431" t="s">
        <v>11</v>
      </c>
      <c r="H1" s="431" t="s">
        <v>12</v>
      </c>
      <c r="I1" s="480">
        <v>3</v>
      </c>
      <c r="J1" s="481">
        <v>1.2</v>
      </c>
    </row>
    <row r="2" spans="1:12" ht="24.75" customHeight="1" x14ac:dyDescent="0.2">
      <c r="A2" s="329" t="s">
        <v>2144</v>
      </c>
      <c r="B2" s="817">
        <v>21.4</v>
      </c>
      <c r="C2" s="288"/>
      <c r="D2" s="415"/>
      <c r="E2" s="415"/>
      <c r="F2" s="415"/>
      <c r="G2" s="415"/>
      <c r="H2" s="415"/>
      <c r="L2" s="501"/>
    </row>
    <row r="3" spans="1:12" ht="47.25" x14ac:dyDescent="0.2">
      <c r="A3" s="329" t="s">
        <v>2038</v>
      </c>
      <c r="B3" s="817">
        <v>49.2</v>
      </c>
      <c r="C3" s="288">
        <f>14000000*70%*70%*70%*1.2</f>
        <v>5762400</v>
      </c>
      <c r="D3" s="415"/>
      <c r="E3" s="288">
        <f>C3</f>
        <v>5762400</v>
      </c>
      <c r="F3" s="415"/>
      <c r="G3" s="806">
        <f>ROUND(B3*E3,-3)</f>
        <v>283510000</v>
      </c>
      <c r="H3" s="806">
        <f>ROUND(B3*F3,-3)</f>
        <v>0</v>
      </c>
      <c r="L3" s="501"/>
    </row>
    <row r="4" spans="1:12" ht="47.25" x14ac:dyDescent="0.2">
      <c r="A4" s="329" t="s">
        <v>2030</v>
      </c>
      <c r="B4" s="817">
        <v>126.10000000000001</v>
      </c>
      <c r="C4" s="288">
        <f>14000000*1.2</f>
        <v>16800000</v>
      </c>
      <c r="D4" s="415"/>
      <c r="E4" s="288">
        <f>C4</f>
        <v>16800000</v>
      </c>
      <c r="F4" s="415"/>
      <c r="G4" s="806">
        <f t="shared" ref="G4:G66" si="0">ROUND(B4*E4,-3)</f>
        <v>2118480000</v>
      </c>
      <c r="H4" s="806">
        <f t="shared" ref="H4:H66" si="1">ROUND(B4*F4,-3)</f>
        <v>0</v>
      </c>
      <c r="L4" s="501"/>
    </row>
    <row r="5" spans="1:12" ht="47.25" x14ac:dyDescent="0.2">
      <c r="A5" s="329" t="s">
        <v>2032</v>
      </c>
      <c r="B5" s="817">
        <v>69.099999999999994</v>
      </c>
      <c r="C5" s="288">
        <f>14000000*1.2*70%</f>
        <v>11760000</v>
      </c>
      <c r="D5" s="415"/>
      <c r="E5" s="288">
        <f>C5</f>
        <v>11760000</v>
      </c>
      <c r="F5" s="415"/>
      <c r="G5" s="806">
        <f t="shared" si="0"/>
        <v>812616000</v>
      </c>
      <c r="H5" s="806">
        <f t="shared" si="1"/>
        <v>0</v>
      </c>
      <c r="L5" s="501"/>
    </row>
    <row r="6" spans="1:12" ht="47.25" x14ac:dyDescent="0.2">
      <c r="A6" s="329" t="s">
        <v>2491</v>
      </c>
      <c r="B6" s="817">
        <v>45.6</v>
      </c>
      <c r="C6" s="288">
        <f>25200000*70%*70%*1.2</f>
        <v>14817600</v>
      </c>
      <c r="D6" s="416">
        <v>0.7</v>
      </c>
      <c r="E6" s="288">
        <f>C6*D6</f>
        <v>10372320</v>
      </c>
      <c r="F6" s="415"/>
      <c r="G6" s="806">
        <f t="shared" si="0"/>
        <v>472978000</v>
      </c>
      <c r="H6" s="806">
        <f t="shared" si="1"/>
        <v>0</v>
      </c>
      <c r="L6" s="501"/>
    </row>
    <row r="7" spans="1:12" s="777" customFormat="1" ht="47.25" x14ac:dyDescent="0.2">
      <c r="A7" s="774" t="s">
        <v>2492</v>
      </c>
      <c r="B7" s="817">
        <v>0</v>
      </c>
      <c r="C7" s="775">
        <f>2128000*70%*70%*1.03</f>
        <v>1074001.5999999999</v>
      </c>
      <c r="D7" s="776"/>
      <c r="E7" s="775">
        <f t="shared" ref="E7:E14" si="2">C7</f>
        <v>1074001.5999999999</v>
      </c>
      <c r="F7" s="776"/>
      <c r="G7" s="807">
        <f t="shared" si="0"/>
        <v>0</v>
      </c>
      <c r="H7" s="807">
        <f t="shared" si="1"/>
        <v>0</v>
      </c>
      <c r="L7" s="778"/>
    </row>
    <row r="8" spans="1:12" s="777" customFormat="1" ht="47.25" x14ac:dyDescent="0.2">
      <c r="A8" s="774" t="s">
        <v>2460</v>
      </c>
      <c r="B8" s="817">
        <v>0</v>
      </c>
      <c r="C8" s="775">
        <f>2128000*70%*70%*1.03</f>
        <v>1074001.5999999999</v>
      </c>
      <c r="D8" s="776"/>
      <c r="E8" s="775">
        <f t="shared" si="2"/>
        <v>1074001.5999999999</v>
      </c>
      <c r="F8" s="776"/>
      <c r="G8" s="807">
        <f t="shared" si="0"/>
        <v>0</v>
      </c>
      <c r="H8" s="807">
        <f t="shared" si="1"/>
        <v>0</v>
      </c>
      <c r="L8" s="778"/>
    </row>
    <row r="9" spans="1:12" ht="47.25" x14ac:dyDescent="0.2">
      <c r="A9" s="329" t="s">
        <v>2795</v>
      </c>
      <c r="B9" s="817">
        <v>186.8</v>
      </c>
      <c r="C9" s="288">
        <f>7900000*1.2</f>
        <v>9480000</v>
      </c>
      <c r="D9" s="415"/>
      <c r="E9" s="288">
        <f>C9</f>
        <v>9480000</v>
      </c>
      <c r="F9" s="415"/>
      <c r="G9" s="806">
        <f t="shared" si="0"/>
        <v>1770864000</v>
      </c>
      <c r="H9" s="806"/>
      <c r="L9" s="501"/>
    </row>
    <row r="10" spans="1:12" ht="47.25" x14ac:dyDescent="0.2">
      <c r="A10" s="329" t="s">
        <v>2794</v>
      </c>
      <c r="B10" s="817">
        <v>220.89999999999998</v>
      </c>
      <c r="C10" s="288">
        <f>7900000*1.2*70%</f>
        <v>6636000</v>
      </c>
      <c r="D10" s="415"/>
      <c r="E10" s="288">
        <f>C10</f>
        <v>6636000</v>
      </c>
      <c r="F10" s="415"/>
      <c r="G10" s="806">
        <f t="shared" si="0"/>
        <v>1465892000</v>
      </c>
      <c r="H10" s="806"/>
      <c r="L10" s="501"/>
    </row>
    <row r="11" spans="1:12" ht="60" customHeight="1" x14ac:dyDescent="0.2">
      <c r="A11" s="329" t="s">
        <v>2499</v>
      </c>
      <c r="B11" s="817">
        <v>42.3</v>
      </c>
      <c r="C11" s="288">
        <f>7900000*1.2*70%*70%</f>
        <v>4645200</v>
      </c>
      <c r="D11" s="415"/>
      <c r="E11" s="288">
        <f t="shared" si="2"/>
        <v>4645200</v>
      </c>
      <c r="F11" s="415"/>
      <c r="G11" s="806">
        <f t="shared" si="0"/>
        <v>196492000</v>
      </c>
      <c r="H11" s="806">
        <f t="shared" si="1"/>
        <v>0</v>
      </c>
      <c r="L11" s="501"/>
    </row>
    <row r="12" spans="1:12" ht="56.1" customHeight="1" x14ac:dyDescent="0.2">
      <c r="A12" s="329" t="s">
        <v>2490</v>
      </c>
      <c r="B12" s="817">
        <v>0</v>
      </c>
      <c r="C12" s="288">
        <f>7900000*1.2*70%*70%*70%</f>
        <v>3251640</v>
      </c>
      <c r="D12" s="415"/>
      <c r="E12" s="288">
        <f t="shared" si="2"/>
        <v>3251640</v>
      </c>
      <c r="F12" s="415"/>
      <c r="G12" s="806">
        <f t="shared" si="0"/>
        <v>0</v>
      </c>
      <c r="H12" s="806">
        <f t="shared" si="1"/>
        <v>0</v>
      </c>
      <c r="L12" s="501"/>
    </row>
    <row r="13" spans="1:12" s="777" customFormat="1" ht="53.25" customHeight="1" x14ac:dyDescent="0.2">
      <c r="A13" s="774" t="s">
        <v>2905</v>
      </c>
      <c r="B13" s="817">
        <v>352</v>
      </c>
      <c r="C13" s="805">
        <f>25200000*70%*70%*70%*1.2</f>
        <v>10372320</v>
      </c>
      <c r="D13" s="776"/>
      <c r="E13" s="805">
        <f t="shared" si="2"/>
        <v>10372320</v>
      </c>
      <c r="F13" s="776"/>
      <c r="G13" s="807">
        <f t="shared" si="0"/>
        <v>3651057000</v>
      </c>
      <c r="H13" s="807">
        <f t="shared" si="1"/>
        <v>0</v>
      </c>
      <c r="L13" s="778"/>
    </row>
    <row r="14" spans="1:12" ht="47.25" x14ac:dyDescent="0.2">
      <c r="A14" s="329" t="s">
        <v>2037</v>
      </c>
      <c r="B14" s="817">
        <v>2571.1000000000004</v>
      </c>
      <c r="C14" s="288">
        <f>14000000*70%*70%*70%*1.2</f>
        <v>5762400</v>
      </c>
      <c r="D14" s="415"/>
      <c r="E14" s="288">
        <f t="shared" si="2"/>
        <v>5762400</v>
      </c>
      <c r="F14" s="415"/>
      <c r="G14" s="806">
        <f t="shared" si="0"/>
        <v>14815707000</v>
      </c>
      <c r="H14" s="806">
        <f t="shared" si="1"/>
        <v>0</v>
      </c>
      <c r="L14" s="501"/>
    </row>
    <row r="15" spans="1:12" ht="63" x14ac:dyDescent="0.2">
      <c r="A15" s="329" t="s">
        <v>2033</v>
      </c>
      <c r="B15" s="817">
        <v>39.700000000000003</v>
      </c>
      <c r="C15" s="288">
        <f>14000000*70%*70%*70%*1.2</f>
        <v>5762400</v>
      </c>
      <c r="D15" s="416">
        <v>0.7</v>
      </c>
      <c r="E15" s="288">
        <f>C15*D15</f>
        <v>4033679.9999999995</v>
      </c>
      <c r="F15" s="415"/>
      <c r="G15" s="806">
        <f t="shared" si="0"/>
        <v>160137000</v>
      </c>
      <c r="H15" s="806">
        <f t="shared" si="1"/>
        <v>0</v>
      </c>
      <c r="L15" s="501"/>
    </row>
    <row r="16" spans="1:12" ht="47.25" x14ac:dyDescent="0.2">
      <c r="A16" s="321" t="s">
        <v>2049</v>
      </c>
      <c r="B16" s="817">
        <v>1085.6999999999998</v>
      </c>
      <c r="C16" s="288">
        <f>25200000*70%*70%*70%*1.2</f>
        <v>10372320</v>
      </c>
      <c r="D16" s="416">
        <v>0.7</v>
      </c>
      <c r="E16" s="288">
        <f>C16*D16</f>
        <v>7260624</v>
      </c>
      <c r="F16" s="415"/>
      <c r="G16" s="806">
        <f t="shared" si="0"/>
        <v>7882859000</v>
      </c>
      <c r="H16" s="806">
        <f t="shared" si="1"/>
        <v>0</v>
      </c>
      <c r="L16" s="501"/>
    </row>
    <row r="17" spans="1:12" ht="63" x14ac:dyDescent="0.2">
      <c r="A17" s="329" t="s">
        <v>2034</v>
      </c>
      <c r="B17" s="817">
        <v>79.400000000000006</v>
      </c>
      <c r="C17" s="288">
        <f>14000000*70%*70%*70%*1.2</f>
        <v>5762400</v>
      </c>
      <c r="D17" s="416">
        <v>0.7</v>
      </c>
      <c r="E17" s="288">
        <f t="shared" ref="E17" si="3">C17*D17</f>
        <v>4033679.9999999995</v>
      </c>
      <c r="F17" s="415"/>
      <c r="G17" s="806">
        <f t="shared" si="0"/>
        <v>320274000</v>
      </c>
      <c r="H17" s="806">
        <f t="shared" si="1"/>
        <v>0</v>
      </c>
      <c r="L17" s="501"/>
    </row>
    <row r="18" spans="1:12" ht="47.25" x14ac:dyDescent="0.2">
      <c r="A18" s="329" t="s">
        <v>2500</v>
      </c>
      <c r="B18" s="817">
        <v>36.1</v>
      </c>
      <c r="C18" s="288">
        <f>7900000*1.2*70%*70%</f>
        <v>4645200</v>
      </c>
      <c r="D18" s="416"/>
      <c r="E18" s="288">
        <f t="shared" ref="E18:E19" si="4">C18</f>
        <v>4645200</v>
      </c>
      <c r="F18" s="415"/>
      <c r="G18" s="806">
        <f t="shared" si="0"/>
        <v>167692000</v>
      </c>
      <c r="H18" s="806">
        <f t="shared" si="1"/>
        <v>0</v>
      </c>
      <c r="L18" s="501"/>
    </row>
    <row r="19" spans="1:12" ht="47.25" x14ac:dyDescent="0.2">
      <c r="A19" s="329" t="s">
        <v>2488</v>
      </c>
      <c r="B19" s="817">
        <v>0</v>
      </c>
      <c r="C19" s="288">
        <f>7900000*1.2*70%*70%*70%</f>
        <v>3251640</v>
      </c>
      <c r="D19" s="415"/>
      <c r="E19" s="288">
        <f t="shared" si="4"/>
        <v>3251640</v>
      </c>
      <c r="F19" s="415"/>
      <c r="G19" s="806">
        <f t="shared" si="0"/>
        <v>0</v>
      </c>
      <c r="H19" s="806">
        <f t="shared" si="1"/>
        <v>0</v>
      </c>
      <c r="L19" s="501"/>
    </row>
    <row r="20" spans="1:12" ht="63" x14ac:dyDescent="0.2">
      <c r="A20" s="329" t="s">
        <v>2035</v>
      </c>
      <c r="B20" s="817">
        <v>21</v>
      </c>
      <c r="C20" s="288">
        <f>14000000*70%*70%*70%*1.2</f>
        <v>5762400</v>
      </c>
      <c r="D20" s="416">
        <v>0.7</v>
      </c>
      <c r="E20" s="288">
        <f>C20*D20</f>
        <v>4033679.9999999995</v>
      </c>
      <c r="F20" s="415"/>
      <c r="G20" s="806">
        <f t="shared" si="0"/>
        <v>84707000</v>
      </c>
      <c r="H20" s="806">
        <f t="shared" si="1"/>
        <v>0</v>
      </c>
      <c r="L20" s="501"/>
    </row>
    <row r="21" spans="1:12" ht="47.25" x14ac:dyDescent="0.2">
      <c r="A21" s="329" t="s">
        <v>2039</v>
      </c>
      <c r="B21" s="817">
        <v>209.6</v>
      </c>
      <c r="C21" s="288">
        <f>14000000*70%*70%*70%*1.2</f>
        <v>5762400</v>
      </c>
      <c r="D21" s="415"/>
      <c r="E21" s="288">
        <f>C21</f>
        <v>5762400</v>
      </c>
      <c r="F21" s="415"/>
      <c r="G21" s="806">
        <f t="shared" si="0"/>
        <v>1207799000</v>
      </c>
      <c r="H21" s="806">
        <f t="shared" si="1"/>
        <v>0</v>
      </c>
      <c r="L21" s="501"/>
    </row>
    <row r="22" spans="1:12" ht="31.5" x14ac:dyDescent="0.2">
      <c r="A22" s="329" t="s">
        <v>2040</v>
      </c>
      <c r="B22" s="817">
        <v>15.4</v>
      </c>
      <c r="C22" s="415"/>
      <c r="D22" s="415"/>
      <c r="E22" s="415"/>
      <c r="F22" s="415"/>
      <c r="G22" s="288">
        <f t="shared" si="0"/>
        <v>0</v>
      </c>
      <c r="H22" s="288">
        <f t="shared" si="1"/>
        <v>0</v>
      </c>
      <c r="L22" s="501"/>
    </row>
    <row r="23" spans="1:12" ht="31.5" x14ac:dyDescent="0.2">
      <c r="A23" s="321" t="s">
        <v>2856</v>
      </c>
      <c r="B23" s="817">
        <v>285</v>
      </c>
      <c r="C23" s="288">
        <v>388000</v>
      </c>
      <c r="D23" s="416"/>
      <c r="E23" s="288">
        <f>C23*$J$1</f>
        <v>465600</v>
      </c>
      <c r="F23" s="415"/>
      <c r="G23" s="288">
        <f t="shared" si="0"/>
        <v>132696000</v>
      </c>
      <c r="H23" s="288">
        <f t="shared" si="1"/>
        <v>0</v>
      </c>
      <c r="L23" s="501"/>
    </row>
    <row r="24" spans="1:12" ht="47.25" x14ac:dyDescent="0.2">
      <c r="A24" s="321" t="s">
        <v>2857</v>
      </c>
      <c r="B24" s="817">
        <v>0</v>
      </c>
      <c r="C24" s="288">
        <v>388000</v>
      </c>
      <c r="D24" s="416"/>
      <c r="E24" s="288">
        <f t="shared" ref="E24:E25" si="5">C24*$J$1</f>
        <v>465600</v>
      </c>
      <c r="F24" s="288">
        <f>C24*$I$1*$J$1</f>
        <v>1396800</v>
      </c>
      <c r="G24" s="288">
        <f t="shared" si="0"/>
        <v>0</v>
      </c>
      <c r="H24" s="288">
        <f t="shared" si="1"/>
        <v>0</v>
      </c>
      <c r="L24" s="501"/>
    </row>
    <row r="25" spans="1:12" ht="47.25" x14ac:dyDescent="0.2">
      <c r="A25" s="329" t="s">
        <v>2858</v>
      </c>
      <c r="B25" s="817">
        <v>0</v>
      </c>
      <c r="C25" s="288">
        <v>388000</v>
      </c>
      <c r="D25" s="416"/>
      <c r="E25" s="288">
        <f t="shared" si="5"/>
        <v>465600</v>
      </c>
      <c r="F25" s="288">
        <f>C25*$I$1*$J$1</f>
        <v>1396800</v>
      </c>
      <c r="G25" s="288">
        <f t="shared" si="0"/>
        <v>0</v>
      </c>
      <c r="H25" s="288">
        <f t="shared" si="1"/>
        <v>0</v>
      </c>
      <c r="L25" s="501"/>
    </row>
    <row r="26" spans="1:12" ht="31.5" x14ac:dyDescent="0.2">
      <c r="A26" s="321" t="s">
        <v>2418</v>
      </c>
      <c r="B26" s="817">
        <v>2457.1999999999998</v>
      </c>
      <c r="C26" s="288">
        <v>388000</v>
      </c>
      <c r="D26" s="415"/>
      <c r="E26" s="288">
        <f>C26*$J$1</f>
        <v>465600</v>
      </c>
      <c r="F26" s="288">
        <f>C26*$I$1*$J$1</f>
        <v>1396800</v>
      </c>
      <c r="G26" s="288">
        <f t="shared" si="0"/>
        <v>1144072000</v>
      </c>
      <c r="H26" s="288">
        <f t="shared" si="1"/>
        <v>3432217000</v>
      </c>
      <c r="L26" s="501"/>
    </row>
    <row r="27" spans="1:12" ht="47.25" x14ac:dyDescent="0.2">
      <c r="A27" s="329" t="s">
        <v>2859</v>
      </c>
      <c r="B27" s="817">
        <v>0</v>
      </c>
      <c r="C27" s="288">
        <v>388000</v>
      </c>
      <c r="D27" s="416"/>
      <c r="E27" s="288">
        <f>C27*$J$1</f>
        <v>465600</v>
      </c>
      <c r="F27" s="288">
        <f>C27*$I$1*$J$1</f>
        <v>1396800</v>
      </c>
      <c r="G27" s="288">
        <f t="shared" si="0"/>
        <v>0</v>
      </c>
      <c r="H27" s="288">
        <f t="shared" si="1"/>
        <v>0</v>
      </c>
      <c r="L27" s="501"/>
    </row>
    <row r="28" spans="1:12" ht="63" x14ac:dyDescent="0.2">
      <c r="A28" s="329" t="s">
        <v>2210</v>
      </c>
      <c r="B28" s="817">
        <v>304.3</v>
      </c>
      <c r="C28" s="288">
        <v>388000</v>
      </c>
      <c r="D28" s="415"/>
      <c r="E28" s="288">
        <f t="shared" ref="E28:E36" si="6">C28*$J$1</f>
        <v>465600</v>
      </c>
      <c r="F28" s="288"/>
      <c r="G28" s="288">
        <f t="shared" si="0"/>
        <v>141682000</v>
      </c>
      <c r="H28" s="288">
        <f t="shared" si="1"/>
        <v>0</v>
      </c>
      <c r="L28" s="501"/>
    </row>
    <row r="29" spans="1:12" ht="47.25" x14ac:dyDescent="0.2">
      <c r="A29" s="329" t="s">
        <v>2476</v>
      </c>
      <c r="B29" s="817">
        <v>120</v>
      </c>
      <c r="C29" s="288">
        <v>388000</v>
      </c>
      <c r="D29" s="415"/>
      <c r="E29" s="288">
        <f t="shared" si="6"/>
        <v>465600</v>
      </c>
      <c r="F29" s="288"/>
      <c r="G29" s="288">
        <f t="shared" si="0"/>
        <v>55872000</v>
      </c>
      <c r="H29" s="288">
        <f t="shared" si="1"/>
        <v>0</v>
      </c>
      <c r="L29" s="501"/>
    </row>
    <row r="30" spans="1:12" ht="47.25" x14ac:dyDescent="0.2">
      <c r="A30" s="329" t="s">
        <v>2479</v>
      </c>
      <c r="B30" s="817">
        <v>543.09999999999991</v>
      </c>
      <c r="C30" s="288">
        <v>388000</v>
      </c>
      <c r="D30" s="415"/>
      <c r="E30" s="288">
        <f t="shared" si="6"/>
        <v>465600</v>
      </c>
      <c r="F30" s="288"/>
      <c r="G30" s="288">
        <f t="shared" si="0"/>
        <v>252867000</v>
      </c>
      <c r="H30" s="288">
        <f t="shared" si="1"/>
        <v>0</v>
      </c>
      <c r="L30" s="501"/>
    </row>
    <row r="31" spans="1:12" ht="47.25" x14ac:dyDescent="0.2">
      <c r="A31" s="329" t="s">
        <v>2484</v>
      </c>
      <c r="B31" s="817">
        <v>2050.8000000000002</v>
      </c>
      <c r="C31" s="288">
        <v>388000</v>
      </c>
      <c r="D31" s="415"/>
      <c r="E31" s="288">
        <f t="shared" si="6"/>
        <v>465600</v>
      </c>
      <c r="F31" s="288">
        <f>C31*$I$1*$J$1</f>
        <v>1396800</v>
      </c>
      <c r="G31" s="288">
        <f t="shared" si="0"/>
        <v>954852000</v>
      </c>
      <c r="H31" s="288">
        <f t="shared" si="1"/>
        <v>2864557000</v>
      </c>
      <c r="L31" s="501"/>
    </row>
    <row r="32" spans="1:12" ht="47.25" x14ac:dyDescent="0.2">
      <c r="A32" s="321" t="s">
        <v>2051</v>
      </c>
      <c r="B32" s="817">
        <v>253.9</v>
      </c>
      <c r="C32" s="288">
        <v>388000</v>
      </c>
      <c r="D32" s="415"/>
      <c r="E32" s="288">
        <f t="shared" si="6"/>
        <v>465600</v>
      </c>
      <c r="F32" s="288"/>
      <c r="G32" s="288">
        <f t="shared" si="0"/>
        <v>118216000</v>
      </c>
      <c r="H32" s="288">
        <f t="shared" si="1"/>
        <v>0</v>
      </c>
      <c r="L32" s="501"/>
    </row>
    <row r="33" spans="1:12" ht="47.25" x14ac:dyDescent="0.2">
      <c r="A33" s="321" t="s">
        <v>2080</v>
      </c>
      <c r="B33" s="817">
        <v>164</v>
      </c>
      <c r="C33" s="288">
        <v>388000</v>
      </c>
      <c r="D33" s="415"/>
      <c r="E33" s="288">
        <f t="shared" si="6"/>
        <v>465600</v>
      </c>
      <c r="F33" s="288">
        <f>C33*$I$1*$J$1</f>
        <v>1396800</v>
      </c>
      <c r="G33" s="288">
        <f t="shared" si="0"/>
        <v>76358000</v>
      </c>
      <c r="H33" s="288">
        <f t="shared" si="1"/>
        <v>229075000</v>
      </c>
      <c r="L33" s="501"/>
    </row>
    <row r="34" spans="1:12" ht="63" x14ac:dyDescent="0.2">
      <c r="A34" s="321" t="s">
        <v>2065</v>
      </c>
      <c r="B34" s="817">
        <v>432</v>
      </c>
      <c r="C34" s="288">
        <v>388000</v>
      </c>
      <c r="D34" s="415"/>
      <c r="E34" s="288">
        <f t="shared" si="6"/>
        <v>465600</v>
      </c>
      <c r="F34" s="288"/>
      <c r="G34" s="288">
        <f t="shared" si="0"/>
        <v>201139000</v>
      </c>
      <c r="H34" s="288">
        <f t="shared" si="1"/>
        <v>0</v>
      </c>
      <c r="L34" s="501"/>
    </row>
    <row r="35" spans="1:12" ht="47.25" x14ac:dyDescent="0.2">
      <c r="A35" s="321" t="s">
        <v>2860</v>
      </c>
      <c r="B35" s="817">
        <v>71.699999999999989</v>
      </c>
      <c r="C35" s="288">
        <v>388000</v>
      </c>
      <c r="D35" s="416"/>
      <c r="E35" s="288">
        <f t="shared" si="6"/>
        <v>465600</v>
      </c>
      <c r="F35" s="288">
        <f>C35*$I$1*$J$1</f>
        <v>1396800</v>
      </c>
      <c r="G35" s="288">
        <f t="shared" si="0"/>
        <v>33384000</v>
      </c>
      <c r="H35" s="288">
        <f t="shared" si="1"/>
        <v>100151000</v>
      </c>
      <c r="L35" s="501"/>
    </row>
    <row r="36" spans="1:12" ht="47.25" x14ac:dyDescent="0.2">
      <c r="A36" s="321" t="s">
        <v>2861</v>
      </c>
      <c r="B36" s="817">
        <v>45.1</v>
      </c>
      <c r="C36" s="288">
        <v>388000</v>
      </c>
      <c r="D36" s="416"/>
      <c r="E36" s="288">
        <f t="shared" si="6"/>
        <v>465600</v>
      </c>
      <c r="F36" s="288"/>
      <c r="G36" s="288">
        <f t="shared" si="0"/>
        <v>20999000</v>
      </c>
      <c r="H36" s="288">
        <f t="shared" si="1"/>
        <v>0</v>
      </c>
      <c r="L36" s="501"/>
    </row>
    <row r="37" spans="1:12" ht="47.25" x14ac:dyDescent="0.2">
      <c r="A37" s="321" t="s">
        <v>2423</v>
      </c>
      <c r="B37" s="817">
        <v>499</v>
      </c>
      <c r="C37" s="288">
        <v>388000</v>
      </c>
      <c r="D37" s="415"/>
      <c r="E37" s="288">
        <f>C37*$J$1</f>
        <v>465600</v>
      </c>
      <c r="F37" s="288"/>
      <c r="G37" s="288">
        <f t="shared" si="0"/>
        <v>232334000</v>
      </c>
      <c r="H37" s="288">
        <f t="shared" si="1"/>
        <v>0</v>
      </c>
      <c r="L37" s="501"/>
    </row>
    <row r="38" spans="1:12" ht="47.25" x14ac:dyDescent="0.2">
      <c r="A38" s="329" t="s">
        <v>2862</v>
      </c>
      <c r="B38" s="817">
        <v>1253.0999999999999</v>
      </c>
      <c r="C38" s="288">
        <v>388000</v>
      </c>
      <c r="D38" s="416"/>
      <c r="E38" s="288">
        <f t="shared" ref="E38:E45" si="7">C38*$J$1</f>
        <v>465600</v>
      </c>
      <c r="F38" s="288"/>
      <c r="G38" s="288">
        <f t="shared" si="0"/>
        <v>583443000</v>
      </c>
      <c r="H38" s="288">
        <f t="shared" si="1"/>
        <v>0</v>
      </c>
      <c r="L38" s="501"/>
    </row>
    <row r="39" spans="1:12" ht="47.25" x14ac:dyDescent="0.2">
      <c r="A39" s="329" t="s">
        <v>2863</v>
      </c>
      <c r="B39" s="817">
        <v>3109.8999999999996</v>
      </c>
      <c r="C39" s="288">
        <v>388000</v>
      </c>
      <c r="D39" s="416"/>
      <c r="E39" s="288">
        <f t="shared" si="7"/>
        <v>465600</v>
      </c>
      <c r="F39" s="288">
        <f t="shared" ref="F39:F40" si="8">C39*$I$1*$J$1</f>
        <v>1396800</v>
      </c>
      <c r="G39" s="288">
        <f t="shared" si="0"/>
        <v>1447969000</v>
      </c>
      <c r="H39" s="288">
        <f t="shared" si="1"/>
        <v>4343908000</v>
      </c>
      <c r="L39" s="501"/>
    </row>
    <row r="40" spans="1:12" ht="47.25" x14ac:dyDescent="0.2">
      <c r="A40" s="329" t="s">
        <v>2864</v>
      </c>
      <c r="B40" s="817">
        <v>6628.5999999999995</v>
      </c>
      <c r="C40" s="288">
        <v>388000</v>
      </c>
      <c r="D40" s="416"/>
      <c r="E40" s="288">
        <f t="shared" si="7"/>
        <v>465600</v>
      </c>
      <c r="F40" s="288">
        <f t="shared" si="8"/>
        <v>1396800</v>
      </c>
      <c r="G40" s="288">
        <f t="shared" si="0"/>
        <v>3086276000</v>
      </c>
      <c r="H40" s="288">
        <f t="shared" si="1"/>
        <v>9258828000</v>
      </c>
      <c r="L40" s="501"/>
    </row>
    <row r="41" spans="1:12" ht="47.25" x14ac:dyDescent="0.2">
      <c r="A41" s="321" t="s">
        <v>2865</v>
      </c>
      <c r="B41" s="817">
        <v>101</v>
      </c>
      <c r="C41" s="288">
        <v>388000</v>
      </c>
      <c r="D41" s="416"/>
      <c r="E41" s="288">
        <f t="shared" si="7"/>
        <v>465600</v>
      </c>
      <c r="F41" s="288"/>
      <c r="G41" s="288">
        <f t="shared" si="0"/>
        <v>47026000</v>
      </c>
      <c r="H41" s="288">
        <f t="shared" si="1"/>
        <v>0</v>
      </c>
      <c r="L41" s="501"/>
    </row>
    <row r="42" spans="1:12" ht="47.25" x14ac:dyDescent="0.2">
      <c r="A42" s="329" t="s">
        <v>2866</v>
      </c>
      <c r="B42" s="817">
        <v>0</v>
      </c>
      <c r="C42" s="288">
        <v>388000</v>
      </c>
      <c r="D42" s="416"/>
      <c r="E42" s="288">
        <f t="shared" si="7"/>
        <v>465600</v>
      </c>
      <c r="F42" s="288">
        <f>C42*$I$1*$J$1</f>
        <v>1396800</v>
      </c>
      <c r="G42" s="288">
        <f t="shared" si="0"/>
        <v>0</v>
      </c>
      <c r="H42" s="288">
        <f t="shared" si="1"/>
        <v>0</v>
      </c>
      <c r="L42" s="501"/>
    </row>
    <row r="43" spans="1:12" ht="47.25" x14ac:dyDescent="0.2">
      <c r="A43" s="329" t="s">
        <v>2867</v>
      </c>
      <c r="B43" s="817">
        <v>0</v>
      </c>
      <c r="C43" s="288">
        <v>388000</v>
      </c>
      <c r="D43" s="416"/>
      <c r="E43" s="288">
        <f t="shared" si="7"/>
        <v>465600</v>
      </c>
      <c r="F43" s="288"/>
      <c r="G43" s="288">
        <f t="shared" si="0"/>
        <v>0</v>
      </c>
      <c r="H43" s="288">
        <f t="shared" si="1"/>
        <v>0</v>
      </c>
      <c r="L43" s="501"/>
    </row>
    <row r="44" spans="1:12" ht="47.25" x14ac:dyDescent="0.2">
      <c r="A44" s="321" t="s">
        <v>2868</v>
      </c>
      <c r="B44" s="817">
        <v>249</v>
      </c>
      <c r="C44" s="288">
        <v>388000</v>
      </c>
      <c r="D44" s="416"/>
      <c r="E44" s="288">
        <f t="shared" si="7"/>
        <v>465600</v>
      </c>
      <c r="F44" s="288">
        <f>C44*$I$1*$J$1</f>
        <v>1396800</v>
      </c>
      <c r="G44" s="288">
        <f t="shared" si="0"/>
        <v>115934000</v>
      </c>
      <c r="H44" s="288">
        <f t="shared" si="1"/>
        <v>347803000</v>
      </c>
      <c r="L44" s="501"/>
    </row>
    <row r="45" spans="1:12" ht="47.25" x14ac:dyDescent="0.2">
      <c r="A45" s="321" t="s">
        <v>2869</v>
      </c>
      <c r="B45" s="817">
        <v>95</v>
      </c>
      <c r="C45" s="288">
        <v>388000</v>
      </c>
      <c r="D45" s="416"/>
      <c r="E45" s="288">
        <f t="shared" si="7"/>
        <v>465600</v>
      </c>
      <c r="F45" s="288"/>
      <c r="G45" s="288">
        <f t="shared" si="0"/>
        <v>44232000</v>
      </c>
      <c r="H45" s="288">
        <f t="shared" si="1"/>
        <v>0</v>
      </c>
      <c r="L45" s="501"/>
    </row>
    <row r="46" spans="1:12" ht="47.25" x14ac:dyDescent="0.2">
      <c r="A46" s="321" t="s">
        <v>2442</v>
      </c>
      <c r="B46" s="817">
        <v>953.00000000000011</v>
      </c>
      <c r="C46" s="288">
        <v>388000</v>
      </c>
      <c r="D46" s="415"/>
      <c r="E46" s="288">
        <f t="shared" ref="E46:E52" si="9">C46*$J$1</f>
        <v>465600</v>
      </c>
      <c r="F46" s="288">
        <f>C46*$I$1*$J$1</f>
        <v>1396800</v>
      </c>
      <c r="G46" s="288">
        <f t="shared" si="0"/>
        <v>443717000</v>
      </c>
      <c r="H46" s="288">
        <f t="shared" si="1"/>
        <v>1331150000</v>
      </c>
      <c r="L46" s="501"/>
    </row>
    <row r="47" spans="1:12" ht="47.25" x14ac:dyDescent="0.2">
      <c r="A47" s="321" t="s">
        <v>2459</v>
      </c>
      <c r="B47" s="817">
        <v>192.4</v>
      </c>
      <c r="C47" s="288">
        <v>388000</v>
      </c>
      <c r="D47" s="415"/>
      <c r="E47" s="288">
        <f t="shared" si="9"/>
        <v>465600</v>
      </c>
      <c r="F47" s="288"/>
      <c r="G47" s="288">
        <f t="shared" si="0"/>
        <v>89581000</v>
      </c>
      <c r="H47" s="288">
        <f t="shared" si="1"/>
        <v>0</v>
      </c>
      <c r="L47" s="501"/>
    </row>
    <row r="48" spans="1:12" ht="47.25" x14ac:dyDescent="0.2">
      <c r="A48" s="321" t="s">
        <v>2870</v>
      </c>
      <c r="B48" s="817">
        <v>2045.5</v>
      </c>
      <c r="C48" s="288">
        <v>388000</v>
      </c>
      <c r="D48" s="416"/>
      <c r="E48" s="288">
        <f t="shared" si="9"/>
        <v>465600</v>
      </c>
      <c r="F48" s="288"/>
      <c r="G48" s="288">
        <f t="shared" si="0"/>
        <v>952385000</v>
      </c>
      <c r="H48" s="288">
        <f t="shared" si="1"/>
        <v>0</v>
      </c>
      <c r="L48" s="501"/>
    </row>
    <row r="49" spans="1:12" ht="47.25" x14ac:dyDescent="0.2">
      <c r="A49" s="321" t="s">
        <v>2871</v>
      </c>
      <c r="B49" s="817">
        <v>1623</v>
      </c>
      <c r="C49" s="288">
        <v>388000</v>
      </c>
      <c r="D49" s="416"/>
      <c r="E49" s="288">
        <f t="shared" si="9"/>
        <v>465600</v>
      </c>
      <c r="F49" s="288">
        <f t="shared" ref="F49:F51" si="10">C49*$I$1*$J$1</f>
        <v>1396800</v>
      </c>
      <c r="G49" s="288">
        <f t="shared" si="0"/>
        <v>755669000</v>
      </c>
      <c r="H49" s="288">
        <f t="shared" si="1"/>
        <v>2267006000</v>
      </c>
      <c r="L49" s="501"/>
    </row>
    <row r="50" spans="1:12" ht="63" x14ac:dyDescent="0.2">
      <c r="A50" s="329" t="s">
        <v>2872</v>
      </c>
      <c r="B50" s="817">
        <v>601.5</v>
      </c>
      <c r="C50" s="288">
        <v>388000</v>
      </c>
      <c r="D50" s="416"/>
      <c r="E50" s="288">
        <f t="shared" si="9"/>
        <v>465600</v>
      </c>
      <c r="F50" s="288">
        <f t="shared" si="10"/>
        <v>1396800</v>
      </c>
      <c r="G50" s="288">
        <f t="shared" si="0"/>
        <v>280058000</v>
      </c>
      <c r="H50" s="288">
        <f t="shared" si="1"/>
        <v>840175000</v>
      </c>
      <c r="L50" s="501"/>
    </row>
    <row r="51" spans="1:12" ht="63" x14ac:dyDescent="0.2">
      <c r="A51" s="321" t="s">
        <v>2873</v>
      </c>
      <c r="B51" s="817">
        <v>12.4</v>
      </c>
      <c r="C51" s="288">
        <v>388000</v>
      </c>
      <c r="D51" s="416"/>
      <c r="E51" s="288">
        <f t="shared" si="9"/>
        <v>465600</v>
      </c>
      <c r="F51" s="288">
        <f t="shared" si="10"/>
        <v>1396800</v>
      </c>
      <c r="G51" s="288">
        <f t="shared" si="0"/>
        <v>5773000</v>
      </c>
      <c r="H51" s="288">
        <f t="shared" si="1"/>
        <v>17320000</v>
      </c>
      <c r="L51" s="501"/>
    </row>
    <row r="52" spans="1:12" ht="63" x14ac:dyDescent="0.2">
      <c r="A52" s="321" t="s">
        <v>2874</v>
      </c>
      <c r="B52" s="817">
        <v>625.79999999999995</v>
      </c>
      <c r="C52" s="288">
        <v>388000</v>
      </c>
      <c r="D52" s="416"/>
      <c r="E52" s="288">
        <f t="shared" si="9"/>
        <v>465600</v>
      </c>
      <c r="F52" s="288"/>
      <c r="G52" s="288">
        <f t="shared" si="0"/>
        <v>291372000</v>
      </c>
      <c r="H52" s="288">
        <f t="shared" si="1"/>
        <v>0</v>
      </c>
      <c r="L52" s="501"/>
    </row>
    <row r="53" spans="1:12" ht="31.5" x14ac:dyDescent="0.2">
      <c r="A53" s="321" t="s">
        <v>2432</v>
      </c>
      <c r="B53" s="817">
        <v>2706.9</v>
      </c>
      <c r="C53" s="434">
        <v>314000</v>
      </c>
      <c r="D53" s="415"/>
      <c r="E53" s="288">
        <f>C53*$J$1</f>
        <v>376800</v>
      </c>
      <c r="F53" s="288"/>
      <c r="G53" s="288">
        <f t="shared" si="0"/>
        <v>1019960000</v>
      </c>
      <c r="H53" s="288">
        <f t="shared" si="1"/>
        <v>0</v>
      </c>
      <c r="L53" s="501"/>
    </row>
    <row r="54" spans="1:12" ht="31.5" x14ac:dyDescent="0.2">
      <c r="A54" s="321" t="s">
        <v>2433</v>
      </c>
      <c r="B54" s="817">
        <v>5302.4000000000005</v>
      </c>
      <c r="C54" s="434">
        <v>314000</v>
      </c>
      <c r="D54" s="415"/>
      <c r="E54" s="288">
        <f t="shared" ref="E54:E56" si="11">C54*$J$1</f>
        <v>376800</v>
      </c>
      <c r="F54" s="288">
        <f>C54*$I$1*$J$1</f>
        <v>1130400</v>
      </c>
      <c r="G54" s="288">
        <f t="shared" si="0"/>
        <v>1997944000</v>
      </c>
      <c r="H54" s="288">
        <f t="shared" si="1"/>
        <v>5993833000</v>
      </c>
      <c r="L54" s="501"/>
    </row>
    <row r="55" spans="1:12" ht="31.5" x14ac:dyDescent="0.2">
      <c r="A55" s="321" t="s">
        <v>2431</v>
      </c>
      <c r="B55" s="817">
        <v>134.69999999999999</v>
      </c>
      <c r="C55" s="434">
        <v>314000</v>
      </c>
      <c r="D55" s="415"/>
      <c r="E55" s="288">
        <f t="shared" si="11"/>
        <v>376800</v>
      </c>
      <c r="F55" s="288"/>
      <c r="G55" s="288">
        <f t="shared" si="0"/>
        <v>50755000</v>
      </c>
      <c r="H55" s="288">
        <f t="shared" si="1"/>
        <v>0</v>
      </c>
      <c r="L55" s="501"/>
    </row>
    <row r="56" spans="1:12" ht="47.25" x14ac:dyDescent="0.2">
      <c r="A56" s="321" t="s">
        <v>2493</v>
      </c>
      <c r="B56" s="817">
        <v>139.19999999999999</v>
      </c>
      <c r="C56" s="434">
        <v>314000</v>
      </c>
      <c r="D56" s="415"/>
      <c r="E56" s="288">
        <f t="shared" si="11"/>
        <v>376800</v>
      </c>
      <c r="F56" s="288">
        <f>C56*$I$1*$J$1</f>
        <v>1130400</v>
      </c>
      <c r="G56" s="288">
        <f t="shared" si="0"/>
        <v>52451000</v>
      </c>
      <c r="H56" s="288">
        <f t="shared" si="1"/>
        <v>157352000</v>
      </c>
      <c r="L56" s="501"/>
    </row>
    <row r="57" spans="1:12" ht="47.25" x14ac:dyDescent="0.2">
      <c r="A57" s="321" t="s">
        <v>2875</v>
      </c>
      <c r="B57" s="817">
        <v>1358.6</v>
      </c>
      <c r="C57" s="288">
        <v>388000</v>
      </c>
      <c r="D57" s="416"/>
      <c r="E57" s="288">
        <f>C57*$J$1</f>
        <v>465600</v>
      </c>
      <c r="F57" s="288"/>
      <c r="G57" s="288">
        <f t="shared" si="0"/>
        <v>632564000</v>
      </c>
      <c r="H57" s="288">
        <f t="shared" si="1"/>
        <v>0</v>
      </c>
      <c r="L57" s="501"/>
    </row>
    <row r="58" spans="1:12" ht="31.5" x14ac:dyDescent="0.2">
      <c r="A58" s="321" t="s">
        <v>2428</v>
      </c>
      <c r="B58" s="817">
        <v>14.200000000000001</v>
      </c>
      <c r="C58" s="434">
        <v>314000</v>
      </c>
      <c r="D58" s="415"/>
      <c r="E58" s="288">
        <f t="shared" ref="E58:E67" si="12">C58*$J$1</f>
        <v>376800</v>
      </c>
      <c r="F58" s="288"/>
      <c r="G58" s="288">
        <f t="shared" si="0"/>
        <v>5351000</v>
      </c>
      <c r="H58" s="288">
        <f t="shared" si="1"/>
        <v>0</v>
      </c>
      <c r="L58" s="501"/>
    </row>
    <row r="59" spans="1:12" ht="31.5" x14ac:dyDescent="0.2">
      <c r="A59" s="321" t="s">
        <v>2430</v>
      </c>
      <c r="B59" s="817">
        <v>92.899999999999991</v>
      </c>
      <c r="C59" s="434">
        <v>314000</v>
      </c>
      <c r="D59" s="415"/>
      <c r="E59" s="288">
        <f t="shared" si="12"/>
        <v>376800</v>
      </c>
      <c r="F59" s="288">
        <f>C59*$I$1*$J$1</f>
        <v>1130400</v>
      </c>
      <c r="G59" s="288">
        <f t="shared" si="0"/>
        <v>35005000</v>
      </c>
      <c r="H59" s="288">
        <f t="shared" si="1"/>
        <v>105014000</v>
      </c>
      <c r="L59" s="501"/>
    </row>
    <row r="60" spans="1:12" ht="31.5" x14ac:dyDescent="0.2">
      <c r="A60" s="321" t="s">
        <v>2427</v>
      </c>
      <c r="B60" s="817">
        <v>571.6</v>
      </c>
      <c r="C60" s="434">
        <v>314000</v>
      </c>
      <c r="D60" s="415"/>
      <c r="E60" s="288">
        <f t="shared" si="12"/>
        <v>376800</v>
      </c>
      <c r="F60" s="288"/>
      <c r="G60" s="288">
        <f t="shared" si="0"/>
        <v>215379000</v>
      </c>
      <c r="H60" s="288">
        <f t="shared" si="1"/>
        <v>0</v>
      </c>
      <c r="L60" s="501"/>
    </row>
    <row r="61" spans="1:12" ht="63" x14ac:dyDescent="0.2">
      <c r="A61" s="329" t="s">
        <v>2212</v>
      </c>
      <c r="B61" s="817">
        <v>13.9</v>
      </c>
      <c r="C61" s="288">
        <v>388000</v>
      </c>
      <c r="D61" s="415"/>
      <c r="E61" s="288">
        <f t="shared" si="12"/>
        <v>465600</v>
      </c>
      <c r="F61" s="288"/>
      <c r="G61" s="288">
        <f t="shared" si="0"/>
        <v>6472000</v>
      </c>
      <c r="H61" s="288">
        <f t="shared" si="1"/>
        <v>0</v>
      </c>
      <c r="L61" s="501"/>
    </row>
    <row r="62" spans="1:12" ht="47.25" x14ac:dyDescent="0.2">
      <c r="A62" s="329" t="s">
        <v>2477</v>
      </c>
      <c r="B62" s="817">
        <v>6</v>
      </c>
      <c r="C62" s="288">
        <v>388000</v>
      </c>
      <c r="D62" s="415"/>
      <c r="E62" s="288">
        <f t="shared" si="12"/>
        <v>465600</v>
      </c>
      <c r="F62" s="288"/>
      <c r="G62" s="288">
        <f t="shared" si="0"/>
        <v>2794000</v>
      </c>
      <c r="H62" s="288">
        <f t="shared" si="1"/>
        <v>0</v>
      </c>
      <c r="L62" s="501"/>
    </row>
    <row r="63" spans="1:12" ht="47.25" x14ac:dyDescent="0.2">
      <c r="A63" s="321" t="s">
        <v>2052</v>
      </c>
      <c r="B63" s="817">
        <v>18.3</v>
      </c>
      <c r="C63" s="288">
        <v>388000</v>
      </c>
      <c r="D63" s="415"/>
      <c r="E63" s="288">
        <f t="shared" si="12"/>
        <v>465600</v>
      </c>
      <c r="F63" s="288"/>
      <c r="G63" s="288">
        <f t="shared" si="0"/>
        <v>8520000</v>
      </c>
      <c r="H63" s="288">
        <f t="shared" si="1"/>
        <v>0</v>
      </c>
      <c r="L63" s="501"/>
    </row>
    <row r="64" spans="1:12" ht="47.25" x14ac:dyDescent="0.2">
      <c r="A64" s="321" t="s">
        <v>2425</v>
      </c>
      <c r="B64" s="817">
        <v>58.9</v>
      </c>
      <c r="C64" s="288">
        <v>388000</v>
      </c>
      <c r="D64" s="415"/>
      <c r="E64" s="288">
        <f t="shared" si="12"/>
        <v>465600</v>
      </c>
      <c r="F64" s="288"/>
      <c r="G64" s="288">
        <f t="shared" si="0"/>
        <v>27424000</v>
      </c>
      <c r="H64" s="288">
        <f t="shared" si="1"/>
        <v>0</v>
      </c>
      <c r="L64" s="501"/>
    </row>
    <row r="65" spans="1:12" ht="47.25" x14ac:dyDescent="0.2">
      <c r="A65" s="321" t="s">
        <v>2443</v>
      </c>
      <c r="B65" s="817">
        <v>38.5</v>
      </c>
      <c r="C65" s="288">
        <v>388000</v>
      </c>
      <c r="D65" s="415"/>
      <c r="E65" s="288">
        <f t="shared" si="12"/>
        <v>465600</v>
      </c>
      <c r="F65" s="288">
        <f>C65*$I$1*$J$1</f>
        <v>1396800</v>
      </c>
      <c r="G65" s="288">
        <f t="shared" si="0"/>
        <v>17926000</v>
      </c>
      <c r="H65" s="288">
        <f t="shared" si="1"/>
        <v>53777000</v>
      </c>
      <c r="L65" s="501"/>
    </row>
    <row r="66" spans="1:12" ht="47.25" x14ac:dyDescent="0.2">
      <c r="A66" s="321" t="s">
        <v>2876</v>
      </c>
      <c r="B66" s="817">
        <v>2.2999999999999998</v>
      </c>
      <c r="C66" s="288">
        <v>388000</v>
      </c>
      <c r="D66" s="416"/>
      <c r="E66" s="288">
        <f t="shared" si="12"/>
        <v>465600</v>
      </c>
      <c r="F66" s="288"/>
      <c r="G66" s="288">
        <f t="shared" si="0"/>
        <v>1071000</v>
      </c>
      <c r="H66" s="288">
        <f t="shared" si="1"/>
        <v>0</v>
      </c>
      <c r="L66" s="501"/>
    </row>
    <row r="67" spans="1:12" ht="63" x14ac:dyDescent="0.2">
      <c r="A67" s="321" t="s">
        <v>2877</v>
      </c>
      <c r="B67" s="817">
        <v>0.5</v>
      </c>
      <c r="C67" s="288">
        <v>388000</v>
      </c>
      <c r="D67" s="416"/>
      <c r="E67" s="288">
        <f t="shared" si="12"/>
        <v>465600</v>
      </c>
      <c r="F67" s="288"/>
      <c r="G67" s="288">
        <f t="shared" ref="G67:G127" si="13">ROUND(B67*E67,-3)</f>
        <v>233000</v>
      </c>
      <c r="H67" s="288">
        <f t="shared" ref="H67:H127" si="14">ROUND(B67*F67,-3)</f>
        <v>0</v>
      </c>
      <c r="L67" s="501"/>
    </row>
    <row r="68" spans="1:12" ht="31.5" x14ac:dyDescent="0.2">
      <c r="A68" s="321" t="s">
        <v>2429</v>
      </c>
      <c r="B68" s="817">
        <v>21.7</v>
      </c>
      <c r="C68" s="434">
        <v>314000</v>
      </c>
      <c r="D68" s="415"/>
      <c r="E68" s="288">
        <f t="shared" ref="E68:E75" si="15">C68*$J$1</f>
        <v>376800</v>
      </c>
      <c r="F68" s="288"/>
      <c r="G68" s="288">
        <f t="shared" si="13"/>
        <v>8177000</v>
      </c>
      <c r="H68" s="288">
        <f t="shared" si="14"/>
        <v>0</v>
      </c>
      <c r="L68" s="501"/>
    </row>
    <row r="69" spans="1:12" ht="31.5" x14ac:dyDescent="0.2">
      <c r="A69" s="321" t="s">
        <v>2441</v>
      </c>
      <c r="B69" s="817">
        <v>19.8</v>
      </c>
      <c r="C69" s="434">
        <v>314000</v>
      </c>
      <c r="D69" s="415"/>
      <c r="E69" s="288">
        <f t="shared" si="15"/>
        <v>376800</v>
      </c>
      <c r="F69" s="288">
        <f t="shared" ref="F69:F71" si="16">C69*$I$1*$J$1</f>
        <v>1130400</v>
      </c>
      <c r="G69" s="288">
        <f t="shared" si="13"/>
        <v>7461000</v>
      </c>
      <c r="H69" s="288">
        <f t="shared" si="14"/>
        <v>22382000</v>
      </c>
      <c r="L69" s="501"/>
    </row>
    <row r="70" spans="1:12" ht="63" x14ac:dyDescent="0.2">
      <c r="A70" s="321" t="s">
        <v>2444</v>
      </c>
      <c r="B70" s="817">
        <v>252.3</v>
      </c>
      <c r="C70" s="288">
        <v>388000</v>
      </c>
      <c r="D70" s="415"/>
      <c r="E70" s="288">
        <f t="shared" si="15"/>
        <v>465600</v>
      </c>
      <c r="F70" s="288">
        <f t="shared" si="16"/>
        <v>1396800</v>
      </c>
      <c r="G70" s="288">
        <f t="shared" si="13"/>
        <v>117471000</v>
      </c>
      <c r="H70" s="288">
        <f t="shared" si="14"/>
        <v>352413000</v>
      </c>
      <c r="L70" s="501"/>
    </row>
    <row r="71" spans="1:12" ht="47.25" x14ac:dyDescent="0.2">
      <c r="A71" s="321" t="s">
        <v>2445</v>
      </c>
      <c r="B71" s="817">
        <v>170.4</v>
      </c>
      <c r="C71" s="434">
        <v>314000</v>
      </c>
      <c r="D71" s="415"/>
      <c r="E71" s="288">
        <f t="shared" si="15"/>
        <v>376800</v>
      </c>
      <c r="F71" s="288">
        <f t="shared" si="16"/>
        <v>1130400</v>
      </c>
      <c r="G71" s="288">
        <f t="shared" si="13"/>
        <v>64207000</v>
      </c>
      <c r="H71" s="288">
        <f t="shared" si="14"/>
        <v>192620000</v>
      </c>
      <c r="L71" s="501"/>
    </row>
    <row r="72" spans="1:12" ht="47.25" x14ac:dyDescent="0.2">
      <c r="A72" s="329" t="s">
        <v>2478</v>
      </c>
      <c r="B72" s="817">
        <v>1.2</v>
      </c>
      <c r="C72" s="288">
        <v>388000</v>
      </c>
      <c r="D72" s="415"/>
      <c r="E72" s="288">
        <f t="shared" si="15"/>
        <v>465600</v>
      </c>
      <c r="F72" s="288"/>
      <c r="G72" s="288">
        <f t="shared" si="13"/>
        <v>559000</v>
      </c>
      <c r="H72" s="288">
        <f t="shared" si="14"/>
        <v>0</v>
      </c>
      <c r="L72" s="501"/>
    </row>
    <row r="73" spans="1:12" ht="47.25" x14ac:dyDescent="0.2">
      <c r="A73" s="329" t="s">
        <v>2482</v>
      </c>
      <c r="B73" s="817">
        <v>27.5</v>
      </c>
      <c r="C73" s="288">
        <v>388000</v>
      </c>
      <c r="D73" s="415"/>
      <c r="E73" s="288">
        <f t="shared" si="15"/>
        <v>465600</v>
      </c>
      <c r="F73" s="288"/>
      <c r="G73" s="288">
        <f t="shared" si="13"/>
        <v>12804000</v>
      </c>
      <c r="H73" s="288">
        <f t="shared" si="14"/>
        <v>0</v>
      </c>
      <c r="L73" s="501"/>
    </row>
    <row r="74" spans="1:12" ht="63" x14ac:dyDescent="0.2">
      <c r="A74" s="329" t="s">
        <v>2878</v>
      </c>
      <c r="B74" s="817">
        <v>87.2</v>
      </c>
      <c r="C74" s="288">
        <v>388000</v>
      </c>
      <c r="D74" s="416"/>
      <c r="E74" s="288">
        <f t="shared" si="15"/>
        <v>465600</v>
      </c>
      <c r="F74" s="288">
        <f>C74*$I$1*$J$1</f>
        <v>1396800</v>
      </c>
      <c r="G74" s="288">
        <f t="shared" si="13"/>
        <v>40600000</v>
      </c>
      <c r="H74" s="288">
        <f t="shared" si="14"/>
        <v>121801000</v>
      </c>
      <c r="L74" s="501"/>
    </row>
    <row r="75" spans="1:12" ht="63" x14ac:dyDescent="0.2">
      <c r="A75" s="329" t="s">
        <v>2879</v>
      </c>
      <c r="B75" s="817">
        <v>29.1</v>
      </c>
      <c r="C75" s="288">
        <v>388000</v>
      </c>
      <c r="D75" s="416"/>
      <c r="E75" s="288">
        <f t="shared" si="15"/>
        <v>465600</v>
      </c>
      <c r="F75" s="288">
        <f>C75*$I$1*$J$1</f>
        <v>1396800</v>
      </c>
      <c r="G75" s="288">
        <f t="shared" si="13"/>
        <v>13549000</v>
      </c>
      <c r="H75" s="288">
        <f t="shared" si="14"/>
        <v>40647000</v>
      </c>
      <c r="L75" s="501"/>
    </row>
    <row r="76" spans="1:12" ht="78.75" x14ac:dyDescent="0.2">
      <c r="A76" s="329" t="s">
        <v>2211</v>
      </c>
      <c r="B76" s="817">
        <v>74.2</v>
      </c>
      <c r="C76" s="288">
        <v>388000</v>
      </c>
      <c r="D76" s="415"/>
      <c r="E76" s="288">
        <f>C76*$J$1</f>
        <v>465600</v>
      </c>
      <c r="F76" s="288"/>
      <c r="G76" s="288">
        <f t="shared" si="13"/>
        <v>34548000</v>
      </c>
      <c r="H76" s="288">
        <f t="shared" si="14"/>
        <v>0</v>
      </c>
      <c r="L76" s="501"/>
    </row>
    <row r="77" spans="1:12" ht="33" customHeight="1" x14ac:dyDescent="0.2">
      <c r="A77" s="321" t="s">
        <v>2461</v>
      </c>
      <c r="B77" s="817">
        <v>58.3</v>
      </c>
      <c r="C77" s="288">
        <v>462000</v>
      </c>
      <c r="D77" s="415"/>
      <c r="E77" s="288">
        <f>C77*$J$1</f>
        <v>554400</v>
      </c>
      <c r="F77" s="288"/>
      <c r="G77" s="288">
        <f t="shared" si="13"/>
        <v>32322000</v>
      </c>
      <c r="H77" s="288">
        <f t="shared" si="14"/>
        <v>0</v>
      </c>
      <c r="L77" s="501"/>
    </row>
    <row r="78" spans="1:12" ht="47.25" x14ac:dyDescent="0.2">
      <c r="A78" s="329" t="s">
        <v>2880</v>
      </c>
      <c r="B78" s="817">
        <v>213.60000000000002</v>
      </c>
      <c r="C78" s="288">
        <v>462000</v>
      </c>
      <c r="D78" s="416"/>
      <c r="E78" s="288">
        <f>C78*$J$1</f>
        <v>554400</v>
      </c>
      <c r="F78" s="288"/>
      <c r="G78" s="288">
        <f>ROUND(B78*E78,-3)</f>
        <v>118420000</v>
      </c>
      <c r="H78" s="288">
        <f t="shared" si="14"/>
        <v>0</v>
      </c>
      <c r="L78" s="501"/>
    </row>
    <row r="79" spans="1:12" ht="63" x14ac:dyDescent="0.2">
      <c r="A79" s="329" t="s">
        <v>2063</v>
      </c>
      <c r="B79" s="817">
        <v>79.900000000000006</v>
      </c>
      <c r="C79" s="288">
        <v>462000</v>
      </c>
      <c r="D79" s="415"/>
      <c r="E79" s="288">
        <f>C79*$J$1</f>
        <v>554400</v>
      </c>
      <c r="F79" s="288"/>
      <c r="G79" s="288">
        <f t="shared" si="13"/>
        <v>44297000</v>
      </c>
      <c r="H79" s="288">
        <f t="shared" si="14"/>
        <v>0</v>
      </c>
      <c r="L79" s="501"/>
    </row>
    <row r="80" spans="1:12" ht="47.25" x14ac:dyDescent="0.2">
      <c r="A80" s="329" t="s">
        <v>2881</v>
      </c>
      <c r="B80" s="817">
        <v>4.8</v>
      </c>
      <c r="C80" s="288">
        <v>462000</v>
      </c>
      <c r="D80" s="416"/>
      <c r="E80" s="288">
        <f>C80*$J$1</f>
        <v>554400</v>
      </c>
      <c r="F80" s="288">
        <f t="shared" ref="F80:F81" si="17">C80*$I$1*$J$1</f>
        <v>1663200</v>
      </c>
      <c r="G80" s="288">
        <f>ROUND(B80*E80,-3)</f>
        <v>2661000</v>
      </c>
      <c r="H80" s="288">
        <f t="shared" si="14"/>
        <v>7983000</v>
      </c>
      <c r="L80" s="501"/>
    </row>
    <row r="81" spans="1:12" ht="62.25" customHeight="1" x14ac:dyDescent="0.2">
      <c r="A81" s="321" t="s">
        <v>2882</v>
      </c>
      <c r="B81" s="817">
        <v>0</v>
      </c>
      <c r="C81" s="288">
        <v>462000</v>
      </c>
      <c r="D81" s="416"/>
      <c r="E81" s="288">
        <f t="shared" ref="E81:E82" si="18">C81*$J$1</f>
        <v>554400</v>
      </c>
      <c r="F81" s="288">
        <f t="shared" si="17"/>
        <v>1663200</v>
      </c>
      <c r="G81" s="288">
        <f t="shared" si="13"/>
        <v>0</v>
      </c>
      <c r="H81" s="288">
        <f t="shared" si="14"/>
        <v>0</v>
      </c>
      <c r="L81" s="501"/>
    </row>
    <row r="82" spans="1:12" ht="47.25" x14ac:dyDescent="0.2">
      <c r="A82" s="321" t="s">
        <v>2883</v>
      </c>
      <c r="B82" s="817">
        <v>0</v>
      </c>
      <c r="C82" s="288">
        <v>462000</v>
      </c>
      <c r="D82" s="416"/>
      <c r="E82" s="288">
        <f t="shared" si="18"/>
        <v>554400</v>
      </c>
      <c r="F82" s="288"/>
      <c r="G82" s="288">
        <f t="shared" si="13"/>
        <v>0</v>
      </c>
      <c r="H82" s="288">
        <f t="shared" si="14"/>
        <v>0</v>
      </c>
      <c r="L82" s="501"/>
    </row>
    <row r="83" spans="1:12" ht="31.5" x14ac:dyDescent="0.2">
      <c r="A83" s="321" t="s">
        <v>2438</v>
      </c>
      <c r="B83" s="817">
        <v>2474.5</v>
      </c>
      <c r="C83" s="288">
        <v>388000</v>
      </c>
      <c r="D83" s="415"/>
      <c r="E83" s="288">
        <f>C83*$J$1</f>
        <v>465600</v>
      </c>
      <c r="F83" s="288">
        <f>C83*$I$1*$J$1</f>
        <v>1396800</v>
      </c>
      <c r="G83" s="288">
        <f t="shared" si="13"/>
        <v>1152127000</v>
      </c>
      <c r="H83" s="288">
        <f t="shared" si="14"/>
        <v>3456382000</v>
      </c>
      <c r="L83" s="501"/>
    </row>
    <row r="84" spans="1:12" ht="31.5" x14ac:dyDescent="0.2">
      <c r="A84" s="321" t="s">
        <v>2439</v>
      </c>
      <c r="B84" s="817">
        <v>1162.9000000000001</v>
      </c>
      <c r="C84" s="288">
        <v>388000</v>
      </c>
      <c r="D84" s="415"/>
      <c r="E84" s="288">
        <f t="shared" ref="E84:E109" si="19">C84*$J$1</f>
        <v>465600</v>
      </c>
      <c r="F84" s="288"/>
      <c r="G84" s="288">
        <f t="shared" si="13"/>
        <v>541446000</v>
      </c>
      <c r="H84" s="288">
        <f t="shared" si="14"/>
        <v>0</v>
      </c>
      <c r="L84" s="501"/>
    </row>
    <row r="85" spans="1:12" ht="31.5" x14ac:dyDescent="0.2">
      <c r="A85" s="321" t="s">
        <v>2422</v>
      </c>
      <c r="B85" s="817">
        <v>26.4</v>
      </c>
      <c r="C85" s="288">
        <v>462000</v>
      </c>
      <c r="D85" s="415"/>
      <c r="E85" s="288">
        <f t="shared" si="19"/>
        <v>554400</v>
      </c>
      <c r="F85" s="288"/>
      <c r="G85" s="288">
        <f t="shared" si="13"/>
        <v>14636000</v>
      </c>
      <c r="H85" s="288">
        <f t="shared" si="14"/>
        <v>0</v>
      </c>
      <c r="L85" s="501"/>
    </row>
    <row r="86" spans="1:12" ht="31.5" x14ac:dyDescent="0.2">
      <c r="A86" s="321" t="s">
        <v>2420</v>
      </c>
      <c r="B86" s="817">
        <v>238.7</v>
      </c>
      <c r="C86" s="288">
        <v>462000</v>
      </c>
      <c r="D86" s="415"/>
      <c r="E86" s="288">
        <f t="shared" si="19"/>
        <v>554400</v>
      </c>
      <c r="F86" s="288">
        <f t="shared" ref="F86:F87" si="20">C86*$I$1*$J$1</f>
        <v>1663200</v>
      </c>
      <c r="G86" s="288">
        <f t="shared" si="13"/>
        <v>132335000</v>
      </c>
      <c r="H86" s="288">
        <f t="shared" si="14"/>
        <v>397006000</v>
      </c>
      <c r="L86" s="501"/>
    </row>
    <row r="87" spans="1:12" ht="47.25" x14ac:dyDescent="0.2">
      <c r="A87" s="321" t="s">
        <v>2426</v>
      </c>
      <c r="B87" s="817">
        <v>26.4</v>
      </c>
      <c r="C87" s="288">
        <v>462000</v>
      </c>
      <c r="D87" s="415"/>
      <c r="E87" s="288">
        <f t="shared" si="19"/>
        <v>554400</v>
      </c>
      <c r="F87" s="288">
        <f t="shared" si="20"/>
        <v>1663200</v>
      </c>
      <c r="G87" s="288">
        <f t="shared" si="13"/>
        <v>14636000</v>
      </c>
      <c r="H87" s="288">
        <f t="shared" si="14"/>
        <v>43908000</v>
      </c>
      <c r="L87" s="501"/>
    </row>
    <row r="88" spans="1:12" ht="63" x14ac:dyDescent="0.2">
      <c r="A88" s="329" t="s">
        <v>2059</v>
      </c>
      <c r="B88" s="817">
        <v>17.399999999999999</v>
      </c>
      <c r="C88" s="288">
        <v>462000</v>
      </c>
      <c r="D88" s="415"/>
      <c r="E88" s="288">
        <f t="shared" si="19"/>
        <v>554400</v>
      </c>
      <c r="F88" s="288"/>
      <c r="G88" s="288">
        <f t="shared" si="13"/>
        <v>9647000</v>
      </c>
      <c r="H88" s="288">
        <f t="shared" si="14"/>
        <v>0</v>
      </c>
      <c r="L88" s="501"/>
    </row>
    <row r="89" spans="1:12" ht="63" x14ac:dyDescent="0.2">
      <c r="A89" s="329" t="s">
        <v>2217</v>
      </c>
      <c r="B89" s="817">
        <v>22.4</v>
      </c>
      <c r="C89" s="288">
        <v>462000</v>
      </c>
      <c r="D89" s="415"/>
      <c r="E89" s="288">
        <f t="shared" si="19"/>
        <v>554400</v>
      </c>
      <c r="F89" s="288">
        <f>C89*$I$1*$J$1</f>
        <v>1663200</v>
      </c>
      <c r="G89" s="288">
        <f t="shared" si="13"/>
        <v>12419000</v>
      </c>
      <c r="H89" s="288">
        <f t="shared" si="14"/>
        <v>37256000</v>
      </c>
      <c r="L89" s="501"/>
    </row>
    <row r="90" spans="1:12" ht="78.75" x14ac:dyDescent="0.2">
      <c r="A90" s="329" t="s">
        <v>2064</v>
      </c>
      <c r="B90" s="817">
        <v>6.8</v>
      </c>
      <c r="C90" s="288">
        <v>462000</v>
      </c>
      <c r="D90" s="415"/>
      <c r="E90" s="288">
        <f t="shared" si="19"/>
        <v>554400</v>
      </c>
      <c r="F90" s="288"/>
      <c r="G90" s="288">
        <f t="shared" si="13"/>
        <v>3770000</v>
      </c>
      <c r="H90" s="288">
        <f t="shared" si="14"/>
        <v>0</v>
      </c>
      <c r="L90" s="501"/>
    </row>
    <row r="91" spans="1:12" ht="63" x14ac:dyDescent="0.2">
      <c r="A91" s="329" t="s">
        <v>2182</v>
      </c>
      <c r="B91" s="817">
        <v>354.5</v>
      </c>
      <c r="C91" s="288">
        <v>462000</v>
      </c>
      <c r="D91" s="415"/>
      <c r="E91" s="288">
        <f t="shared" si="19"/>
        <v>554400</v>
      </c>
      <c r="F91" s="288">
        <f>C91*$I$1*$J$1</f>
        <v>1663200</v>
      </c>
      <c r="G91" s="288">
        <f t="shared" si="13"/>
        <v>196535000</v>
      </c>
      <c r="H91" s="288">
        <f t="shared" si="14"/>
        <v>589604000</v>
      </c>
      <c r="L91" s="501"/>
    </row>
    <row r="92" spans="1:12" ht="63" x14ac:dyDescent="0.2">
      <c r="A92" s="321" t="s">
        <v>2183</v>
      </c>
      <c r="B92" s="817">
        <v>68.7</v>
      </c>
      <c r="C92" s="288">
        <v>462000</v>
      </c>
      <c r="D92" s="415"/>
      <c r="E92" s="288">
        <f t="shared" si="19"/>
        <v>554400</v>
      </c>
      <c r="F92" s="288"/>
      <c r="G92" s="288">
        <f t="shared" si="13"/>
        <v>38087000</v>
      </c>
      <c r="H92" s="288">
        <f t="shared" si="14"/>
        <v>0</v>
      </c>
      <c r="L92" s="501"/>
    </row>
    <row r="93" spans="1:12" ht="47.25" x14ac:dyDescent="0.2">
      <c r="A93" s="329" t="s">
        <v>2472</v>
      </c>
      <c r="B93" s="817">
        <v>709.2</v>
      </c>
      <c r="C93" s="288">
        <v>462000</v>
      </c>
      <c r="D93" s="415"/>
      <c r="E93" s="288">
        <f t="shared" si="19"/>
        <v>554400</v>
      </c>
      <c r="F93" s="288"/>
      <c r="G93" s="288">
        <f t="shared" si="13"/>
        <v>393180000</v>
      </c>
      <c r="H93" s="288">
        <f t="shared" si="14"/>
        <v>0</v>
      </c>
      <c r="L93" s="501"/>
    </row>
    <row r="94" spans="1:12" ht="47.25" x14ac:dyDescent="0.2">
      <c r="A94" s="329" t="s">
        <v>2469</v>
      </c>
      <c r="B94" s="817">
        <v>1862.8999999999999</v>
      </c>
      <c r="C94" s="288">
        <v>462000</v>
      </c>
      <c r="D94" s="415"/>
      <c r="E94" s="288">
        <f t="shared" si="19"/>
        <v>554400</v>
      </c>
      <c r="F94" s="288">
        <f>C94*$I$1*$J$1</f>
        <v>1663200</v>
      </c>
      <c r="G94" s="288">
        <f t="shared" si="13"/>
        <v>1032792000</v>
      </c>
      <c r="H94" s="288">
        <f t="shared" si="14"/>
        <v>3098375000</v>
      </c>
      <c r="L94" s="501"/>
    </row>
    <row r="95" spans="1:12" ht="47.25" x14ac:dyDescent="0.2">
      <c r="A95" s="329" t="s">
        <v>2471</v>
      </c>
      <c r="B95" s="817">
        <v>230.9</v>
      </c>
      <c r="C95" s="288">
        <v>462000</v>
      </c>
      <c r="D95" s="415"/>
      <c r="E95" s="288">
        <f t="shared" si="19"/>
        <v>554400</v>
      </c>
      <c r="F95" s="288"/>
      <c r="G95" s="288">
        <f t="shared" si="13"/>
        <v>128011000</v>
      </c>
      <c r="H95" s="288">
        <f t="shared" si="14"/>
        <v>0</v>
      </c>
      <c r="L95" s="501"/>
    </row>
    <row r="96" spans="1:12" ht="47.25" x14ac:dyDescent="0.2">
      <c r="A96" s="329" t="s">
        <v>2480</v>
      </c>
      <c r="B96" s="817">
        <v>1459.8</v>
      </c>
      <c r="C96" s="288">
        <v>462000</v>
      </c>
      <c r="D96" s="415"/>
      <c r="E96" s="288">
        <f t="shared" si="19"/>
        <v>554400</v>
      </c>
      <c r="F96" s="288"/>
      <c r="G96" s="288">
        <f t="shared" si="13"/>
        <v>809313000</v>
      </c>
      <c r="H96" s="288">
        <f t="shared" si="14"/>
        <v>0</v>
      </c>
      <c r="L96" s="501"/>
    </row>
    <row r="97" spans="1:12" ht="47.25" x14ac:dyDescent="0.2">
      <c r="A97" s="329" t="s">
        <v>2487</v>
      </c>
      <c r="B97" s="817">
        <v>1825.4999999999998</v>
      </c>
      <c r="C97" s="288">
        <v>462000</v>
      </c>
      <c r="D97" s="415"/>
      <c r="E97" s="288">
        <f t="shared" si="19"/>
        <v>554400</v>
      </c>
      <c r="F97" s="288">
        <f>C97*$I$1*$J$1</f>
        <v>1663200</v>
      </c>
      <c r="G97" s="288">
        <f t="shared" si="13"/>
        <v>1012057000</v>
      </c>
      <c r="H97" s="288">
        <f t="shared" si="14"/>
        <v>3036172000</v>
      </c>
      <c r="L97" s="501"/>
    </row>
    <row r="98" spans="1:12" ht="47.25" x14ac:dyDescent="0.2">
      <c r="A98" s="329" t="s">
        <v>2483</v>
      </c>
      <c r="B98" s="817">
        <v>579.5</v>
      </c>
      <c r="C98" s="288">
        <v>462000</v>
      </c>
      <c r="D98" s="415"/>
      <c r="E98" s="288">
        <f t="shared" si="19"/>
        <v>554400</v>
      </c>
      <c r="F98" s="288"/>
      <c r="G98" s="288">
        <f t="shared" si="13"/>
        <v>321275000</v>
      </c>
      <c r="H98" s="288">
        <f t="shared" si="14"/>
        <v>0</v>
      </c>
      <c r="L98" s="501"/>
    </row>
    <row r="99" spans="1:12" ht="47.25" x14ac:dyDescent="0.2">
      <c r="A99" s="321" t="s">
        <v>2494</v>
      </c>
      <c r="B99" s="817">
        <v>996.50000000000011</v>
      </c>
      <c r="C99" s="288">
        <v>462000</v>
      </c>
      <c r="D99" s="415"/>
      <c r="E99" s="288">
        <f t="shared" si="19"/>
        <v>554400</v>
      </c>
      <c r="F99" s="288">
        <f>C99*$I$1*$J$1</f>
        <v>1663200</v>
      </c>
      <c r="G99" s="288">
        <f t="shared" si="13"/>
        <v>552460000</v>
      </c>
      <c r="H99" s="288">
        <f t="shared" si="14"/>
        <v>1657379000</v>
      </c>
      <c r="L99" s="501"/>
    </row>
    <row r="100" spans="1:12" ht="47.25" x14ac:dyDescent="0.2">
      <c r="A100" s="321" t="s">
        <v>2495</v>
      </c>
      <c r="B100" s="817">
        <v>148.9</v>
      </c>
      <c r="C100" s="288">
        <v>462000</v>
      </c>
      <c r="D100" s="415"/>
      <c r="E100" s="288">
        <f t="shared" si="19"/>
        <v>554400</v>
      </c>
      <c r="F100" s="288"/>
      <c r="G100" s="288">
        <f t="shared" si="13"/>
        <v>82550000</v>
      </c>
      <c r="H100" s="288">
        <f t="shared" si="14"/>
        <v>0</v>
      </c>
      <c r="L100" s="501"/>
    </row>
    <row r="101" spans="1:12" ht="47.25" x14ac:dyDescent="0.2">
      <c r="A101" s="321" t="s">
        <v>2068</v>
      </c>
      <c r="B101" s="817">
        <v>531.9</v>
      </c>
      <c r="C101" s="288">
        <v>462000</v>
      </c>
      <c r="D101" s="415"/>
      <c r="E101" s="288">
        <f t="shared" si="19"/>
        <v>554400</v>
      </c>
      <c r="F101" s="288">
        <f>C101*$I$1*$J$1</f>
        <v>1663200</v>
      </c>
      <c r="G101" s="288">
        <f t="shared" si="13"/>
        <v>294885000</v>
      </c>
      <c r="H101" s="288">
        <f t="shared" si="14"/>
        <v>884656000</v>
      </c>
      <c r="L101" s="501"/>
    </row>
    <row r="102" spans="1:12" ht="63" x14ac:dyDescent="0.2">
      <c r="A102" s="329" t="s">
        <v>2062</v>
      </c>
      <c r="B102" s="817">
        <v>49.099999999999994</v>
      </c>
      <c r="C102" s="288">
        <v>462000</v>
      </c>
      <c r="D102" s="415"/>
      <c r="E102" s="288">
        <f t="shared" si="19"/>
        <v>554400</v>
      </c>
      <c r="F102" s="288"/>
      <c r="G102" s="288">
        <f t="shared" si="13"/>
        <v>27221000</v>
      </c>
      <c r="H102" s="288">
        <f t="shared" si="14"/>
        <v>0</v>
      </c>
      <c r="L102" s="501"/>
    </row>
    <row r="103" spans="1:12" ht="31.5" x14ac:dyDescent="0.2">
      <c r="A103" s="321" t="s">
        <v>2419</v>
      </c>
      <c r="B103" s="817">
        <v>100</v>
      </c>
      <c r="C103" s="288">
        <v>462000</v>
      </c>
      <c r="D103" s="415"/>
      <c r="E103" s="288">
        <f t="shared" si="19"/>
        <v>554400</v>
      </c>
      <c r="F103" s="288"/>
      <c r="G103" s="288">
        <f t="shared" si="13"/>
        <v>55440000</v>
      </c>
      <c r="H103" s="288">
        <f t="shared" si="14"/>
        <v>0</v>
      </c>
      <c r="L103" s="501"/>
    </row>
    <row r="104" spans="1:12" ht="47.25" x14ac:dyDescent="0.2">
      <c r="A104" s="321" t="s">
        <v>2424</v>
      </c>
      <c r="B104" s="817">
        <v>1608.6</v>
      </c>
      <c r="C104" s="288">
        <v>462000</v>
      </c>
      <c r="D104" s="415"/>
      <c r="E104" s="288">
        <f t="shared" si="19"/>
        <v>554400</v>
      </c>
      <c r="F104" s="288"/>
      <c r="G104" s="288">
        <f t="shared" si="13"/>
        <v>891808000</v>
      </c>
      <c r="H104" s="288">
        <f t="shared" si="14"/>
        <v>0</v>
      </c>
      <c r="L104" s="501"/>
    </row>
    <row r="105" spans="1:12" ht="47.25" x14ac:dyDescent="0.2">
      <c r="A105" s="329" t="s">
        <v>2884</v>
      </c>
      <c r="B105" s="817">
        <v>4768.1000000000004</v>
      </c>
      <c r="C105" s="288">
        <v>462000</v>
      </c>
      <c r="D105" s="416"/>
      <c r="E105" s="288">
        <f t="shared" si="19"/>
        <v>554400</v>
      </c>
      <c r="F105" s="288"/>
      <c r="G105" s="288">
        <f>ROUND(B105*E105,-3)</f>
        <v>2643435000</v>
      </c>
      <c r="H105" s="288">
        <f t="shared" si="14"/>
        <v>0</v>
      </c>
      <c r="L105" s="501"/>
    </row>
    <row r="106" spans="1:12" ht="47.25" x14ac:dyDescent="0.2">
      <c r="A106" s="329" t="s">
        <v>2885</v>
      </c>
      <c r="B106" s="817">
        <v>52.9</v>
      </c>
      <c r="C106" s="288">
        <v>462000</v>
      </c>
      <c r="D106" s="416"/>
      <c r="E106" s="288">
        <f t="shared" si="19"/>
        <v>554400</v>
      </c>
      <c r="F106" s="288">
        <f t="shared" ref="F106:F107" si="21">C106*$I$1*$J$1</f>
        <v>1663200</v>
      </c>
      <c r="G106" s="288">
        <f t="shared" si="13"/>
        <v>29328000</v>
      </c>
      <c r="H106" s="288">
        <f t="shared" si="14"/>
        <v>87983000</v>
      </c>
      <c r="L106" s="501"/>
    </row>
    <row r="107" spans="1:12" ht="47.25" x14ac:dyDescent="0.2">
      <c r="A107" s="329" t="s">
        <v>2886</v>
      </c>
      <c r="B107" s="817">
        <v>872.09999999999991</v>
      </c>
      <c r="C107" s="288">
        <v>462000</v>
      </c>
      <c r="D107" s="416"/>
      <c r="E107" s="288">
        <f t="shared" si="19"/>
        <v>554400</v>
      </c>
      <c r="F107" s="288">
        <f t="shared" si="21"/>
        <v>1663200</v>
      </c>
      <c r="G107" s="288">
        <f t="shared" si="13"/>
        <v>483492000</v>
      </c>
      <c r="H107" s="288">
        <f t="shared" si="14"/>
        <v>1450477000</v>
      </c>
      <c r="L107" s="501"/>
    </row>
    <row r="108" spans="1:12" ht="47.25" x14ac:dyDescent="0.2">
      <c r="A108" s="329" t="s">
        <v>2887</v>
      </c>
      <c r="B108" s="817">
        <v>62</v>
      </c>
      <c r="C108" s="288">
        <v>462000</v>
      </c>
      <c r="D108" s="416"/>
      <c r="E108" s="288">
        <f t="shared" si="19"/>
        <v>554400</v>
      </c>
      <c r="F108" s="288"/>
      <c r="G108" s="288">
        <f t="shared" si="13"/>
        <v>34373000</v>
      </c>
      <c r="H108" s="288">
        <f t="shared" si="14"/>
        <v>0</v>
      </c>
      <c r="L108" s="501"/>
    </row>
    <row r="109" spans="1:12" ht="47.25" x14ac:dyDescent="0.2">
      <c r="A109" s="329" t="s">
        <v>2888</v>
      </c>
      <c r="B109" s="817">
        <v>536</v>
      </c>
      <c r="C109" s="288">
        <v>462000</v>
      </c>
      <c r="D109" s="416"/>
      <c r="E109" s="288">
        <f t="shared" si="19"/>
        <v>554400</v>
      </c>
      <c r="F109" s="288">
        <f>C109*$I$1*$J$1</f>
        <v>1663200</v>
      </c>
      <c r="G109" s="288">
        <f t="shared" si="13"/>
        <v>297158000</v>
      </c>
      <c r="H109" s="288">
        <f t="shared" si="14"/>
        <v>891475000</v>
      </c>
      <c r="L109" s="501"/>
    </row>
    <row r="110" spans="1:12" ht="47.25" x14ac:dyDescent="0.2">
      <c r="A110" s="321" t="s">
        <v>2498</v>
      </c>
      <c r="B110" s="817">
        <v>11.9</v>
      </c>
      <c r="C110" s="288">
        <v>462000</v>
      </c>
      <c r="D110" s="415"/>
      <c r="E110" s="288">
        <f t="shared" ref="E110:E115" si="22">C110*$J$1</f>
        <v>554400</v>
      </c>
      <c r="F110" s="288">
        <f t="shared" ref="F110:F111" si="23">C110*$I$1*$J$1</f>
        <v>1663200</v>
      </c>
      <c r="G110" s="288">
        <f t="shared" si="13"/>
        <v>6597000</v>
      </c>
      <c r="H110" s="288">
        <f t="shared" si="14"/>
        <v>19792000</v>
      </c>
      <c r="L110" s="501"/>
    </row>
    <row r="111" spans="1:12" ht="47.25" x14ac:dyDescent="0.2">
      <c r="A111" s="321" t="s">
        <v>2497</v>
      </c>
      <c r="B111" s="817">
        <v>29.199999999999996</v>
      </c>
      <c r="C111" s="288">
        <v>462000</v>
      </c>
      <c r="D111" s="415"/>
      <c r="E111" s="288">
        <f t="shared" si="22"/>
        <v>554400</v>
      </c>
      <c r="F111" s="288">
        <f t="shared" si="23"/>
        <v>1663200</v>
      </c>
      <c r="G111" s="288">
        <f t="shared" si="13"/>
        <v>16188000</v>
      </c>
      <c r="H111" s="288">
        <f t="shared" si="14"/>
        <v>48565000</v>
      </c>
      <c r="L111" s="501"/>
    </row>
    <row r="112" spans="1:12" ht="47.25" x14ac:dyDescent="0.2">
      <c r="A112" s="321" t="s">
        <v>2496</v>
      </c>
      <c r="B112" s="817">
        <v>56.6</v>
      </c>
      <c r="C112" s="288">
        <v>462000</v>
      </c>
      <c r="D112" s="415"/>
      <c r="E112" s="288">
        <f t="shared" si="22"/>
        <v>554400</v>
      </c>
      <c r="F112" s="288"/>
      <c r="G112" s="288">
        <f t="shared" si="13"/>
        <v>31379000</v>
      </c>
      <c r="H112" s="288">
        <f t="shared" si="14"/>
        <v>0</v>
      </c>
      <c r="L112" s="501"/>
    </row>
    <row r="113" spans="1:12" ht="47.25" x14ac:dyDescent="0.2">
      <c r="A113" s="321" t="s">
        <v>2440</v>
      </c>
      <c r="B113" s="817">
        <v>92.3</v>
      </c>
      <c r="C113" s="288">
        <v>462000</v>
      </c>
      <c r="D113" s="415"/>
      <c r="E113" s="288">
        <f t="shared" si="22"/>
        <v>554400</v>
      </c>
      <c r="F113" s="288">
        <f>C113*$I$1*$J$1</f>
        <v>1663200</v>
      </c>
      <c r="G113" s="288">
        <f t="shared" si="13"/>
        <v>51171000</v>
      </c>
      <c r="H113" s="288">
        <f t="shared" si="14"/>
        <v>153513000</v>
      </c>
      <c r="L113" s="501"/>
    </row>
    <row r="114" spans="1:12" ht="47.25" x14ac:dyDescent="0.2">
      <c r="A114" s="321" t="s">
        <v>2889</v>
      </c>
      <c r="B114" s="817">
        <v>0</v>
      </c>
      <c r="C114" s="288">
        <v>462000</v>
      </c>
      <c r="D114" s="416"/>
      <c r="E114" s="288">
        <f t="shared" si="22"/>
        <v>554400</v>
      </c>
      <c r="F114" s="288"/>
      <c r="G114" s="288">
        <f t="shared" si="13"/>
        <v>0</v>
      </c>
      <c r="H114" s="288">
        <f t="shared" si="14"/>
        <v>0</v>
      </c>
      <c r="L114" s="501"/>
    </row>
    <row r="115" spans="1:12" ht="47.25" x14ac:dyDescent="0.2">
      <c r="A115" s="321" t="s">
        <v>2890</v>
      </c>
      <c r="B115" s="817">
        <v>0</v>
      </c>
      <c r="C115" s="288">
        <v>462000</v>
      </c>
      <c r="D115" s="416"/>
      <c r="E115" s="288">
        <f t="shared" si="22"/>
        <v>554400</v>
      </c>
      <c r="F115" s="288"/>
      <c r="G115" s="288">
        <f t="shared" si="13"/>
        <v>0</v>
      </c>
      <c r="H115" s="288">
        <f t="shared" si="14"/>
        <v>0</v>
      </c>
      <c r="L115" s="501"/>
    </row>
    <row r="116" spans="1:12" ht="31.5" x14ac:dyDescent="0.2">
      <c r="A116" s="321" t="s">
        <v>2421</v>
      </c>
      <c r="B116" s="817">
        <v>23.8</v>
      </c>
      <c r="C116" s="288">
        <v>462000</v>
      </c>
      <c r="D116" s="415"/>
      <c r="E116" s="288">
        <f>C116*$J$1</f>
        <v>554400</v>
      </c>
      <c r="F116" s="288">
        <f>C116*$I$1*$J$1</f>
        <v>1663200</v>
      </c>
      <c r="G116" s="288">
        <f t="shared" si="13"/>
        <v>13195000</v>
      </c>
      <c r="H116" s="288">
        <f t="shared" si="14"/>
        <v>39584000</v>
      </c>
      <c r="L116" s="501"/>
    </row>
    <row r="117" spans="1:12" ht="47.25" x14ac:dyDescent="0.2">
      <c r="A117" s="329" t="s">
        <v>2891</v>
      </c>
      <c r="B117" s="817">
        <v>244.59999999999997</v>
      </c>
      <c r="C117" s="288">
        <v>462000</v>
      </c>
      <c r="D117" s="416"/>
      <c r="E117" s="288">
        <f t="shared" ref="E117:E123" si="24">C117*$J$1</f>
        <v>554400</v>
      </c>
      <c r="F117" s="288"/>
      <c r="G117" s="288">
        <f t="shared" si="13"/>
        <v>135606000</v>
      </c>
      <c r="H117" s="288">
        <f t="shared" si="14"/>
        <v>0</v>
      </c>
      <c r="L117" s="501"/>
    </row>
    <row r="118" spans="1:12" ht="63" x14ac:dyDescent="0.2">
      <c r="A118" s="329" t="s">
        <v>2892</v>
      </c>
      <c r="B118" s="817">
        <v>267.39999999999998</v>
      </c>
      <c r="C118" s="288">
        <v>462000</v>
      </c>
      <c r="D118" s="416"/>
      <c r="E118" s="288">
        <f t="shared" si="24"/>
        <v>554400</v>
      </c>
      <c r="F118" s="288">
        <f t="shared" ref="F118:F119" si="25">C118*$I$1*$J$1</f>
        <v>1663200</v>
      </c>
      <c r="G118" s="288">
        <f t="shared" si="13"/>
        <v>148247000</v>
      </c>
      <c r="H118" s="288">
        <f t="shared" si="14"/>
        <v>444740000</v>
      </c>
      <c r="L118" s="501"/>
    </row>
    <row r="119" spans="1:12" ht="63" x14ac:dyDescent="0.2">
      <c r="A119" s="329" t="s">
        <v>2893</v>
      </c>
      <c r="B119" s="817">
        <v>49.3</v>
      </c>
      <c r="C119" s="288">
        <v>462000</v>
      </c>
      <c r="D119" s="416"/>
      <c r="E119" s="288">
        <f t="shared" si="24"/>
        <v>554400</v>
      </c>
      <c r="F119" s="288">
        <f t="shared" si="25"/>
        <v>1663200</v>
      </c>
      <c r="G119" s="288">
        <f t="shared" si="13"/>
        <v>27332000</v>
      </c>
      <c r="H119" s="288">
        <f t="shared" si="14"/>
        <v>81996000</v>
      </c>
      <c r="L119" s="501"/>
    </row>
    <row r="120" spans="1:12" ht="63" x14ac:dyDescent="0.2">
      <c r="A120" s="329" t="s">
        <v>2894</v>
      </c>
      <c r="B120" s="817">
        <v>17.399999999999999</v>
      </c>
      <c r="C120" s="288">
        <v>462000</v>
      </c>
      <c r="D120" s="416"/>
      <c r="E120" s="288">
        <f t="shared" si="24"/>
        <v>554400</v>
      </c>
      <c r="F120" s="288"/>
      <c r="G120" s="288">
        <f t="shared" si="13"/>
        <v>9647000</v>
      </c>
      <c r="H120" s="288">
        <f t="shared" si="14"/>
        <v>0</v>
      </c>
      <c r="L120" s="501"/>
    </row>
    <row r="121" spans="1:12" ht="47.25" x14ac:dyDescent="0.2">
      <c r="A121" s="321" t="s">
        <v>2897</v>
      </c>
      <c r="B121" s="817">
        <v>75.099999999999994</v>
      </c>
      <c r="C121" s="288">
        <v>462000</v>
      </c>
      <c r="D121" s="416"/>
      <c r="E121" s="288">
        <f t="shared" si="24"/>
        <v>554400</v>
      </c>
      <c r="F121" s="288"/>
      <c r="G121" s="288">
        <f t="shared" si="13"/>
        <v>41635000</v>
      </c>
      <c r="H121" s="288">
        <f t="shared" si="14"/>
        <v>0</v>
      </c>
      <c r="L121" s="501"/>
    </row>
    <row r="122" spans="1:12" ht="47.25" x14ac:dyDescent="0.2">
      <c r="A122" s="321" t="s">
        <v>2896</v>
      </c>
      <c r="B122" s="817">
        <v>2770.6</v>
      </c>
      <c r="C122" s="288">
        <v>462000</v>
      </c>
      <c r="D122" s="416"/>
      <c r="E122" s="288">
        <f t="shared" si="24"/>
        <v>554400</v>
      </c>
      <c r="F122" s="288">
        <f>C122*$I$1*$J$1</f>
        <v>1663200</v>
      </c>
      <c r="G122" s="288">
        <f t="shared" si="13"/>
        <v>1536021000</v>
      </c>
      <c r="H122" s="288">
        <f t="shared" si="14"/>
        <v>4608062000</v>
      </c>
      <c r="L122" s="501"/>
    </row>
    <row r="123" spans="1:12" ht="63" x14ac:dyDescent="0.2">
      <c r="A123" s="321" t="s">
        <v>2895</v>
      </c>
      <c r="B123" s="817">
        <v>2720.1</v>
      </c>
      <c r="C123" s="288">
        <v>462000</v>
      </c>
      <c r="D123" s="416"/>
      <c r="E123" s="288">
        <f t="shared" si="24"/>
        <v>554400</v>
      </c>
      <c r="F123" s="288"/>
      <c r="G123" s="288">
        <f t="shared" si="13"/>
        <v>1508023000</v>
      </c>
      <c r="H123" s="288">
        <f t="shared" si="14"/>
        <v>0</v>
      </c>
      <c r="L123" s="501"/>
    </row>
    <row r="124" spans="1:12" ht="31.5" x14ac:dyDescent="0.2">
      <c r="A124" s="321" t="s">
        <v>2436</v>
      </c>
      <c r="B124" s="817">
        <v>2278.6999999999998</v>
      </c>
      <c r="C124" s="288">
        <v>388000</v>
      </c>
      <c r="D124" s="415"/>
      <c r="E124" s="288">
        <f t="shared" ref="E124:E134" si="26">C124*$J$1</f>
        <v>465600</v>
      </c>
      <c r="F124" s="288"/>
      <c r="G124" s="288">
        <f t="shared" si="13"/>
        <v>1060963000</v>
      </c>
      <c r="H124" s="288">
        <f t="shared" si="14"/>
        <v>0</v>
      </c>
      <c r="L124" s="501"/>
    </row>
    <row r="125" spans="1:12" ht="31.5" x14ac:dyDescent="0.2">
      <c r="A125" s="321" t="s">
        <v>2435</v>
      </c>
      <c r="B125" s="817">
        <v>6387.7</v>
      </c>
      <c r="C125" s="288">
        <v>388000</v>
      </c>
      <c r="D125" s="415"/>
      <c r="E125" s="288">
        <f t="shared" si="26"/>
        <v>465600</v>
      </c>
      <c r="F125" s="288">
        <f>C125*$I$1*$J$1</f>
        <v>1396800</v>
      </c>
      <c r="G125" s="288">
        <f t="shared" si="13"/>
        <v>2974113000</v>
      </c>
      <c r="H125" s="288">
        <f t="shared" si="14"/>
        <v>8922339000</v>
      </c>
      <c r="L125" s="501"/>
    </row>
    <row r="126" spans="1:12" ht="31.5" x14ac:dyDescent="0.2">
      <c r="A126" s="329" t="s">
        <v>2434</v>
      </c>
      <c r="B126" s="817">
        <v>644.6</v>
      </c>
      <c r="C126" s="288">
        <v>388000</v>
      </c>
      <c r="D126" s="415"/>
      <c r="E126" s="288">
        <f t="shared" si="26"/>
        <v>465600</v>
      </c>
      <c r="F126" s="288"/>
      <c r="G126" s="288">
        <f t="shared" si="13"/>
        <v>300126000</v>
      </c>
      <c r="H126" s="288">
        <f t="shared" si="14"/>
        <v>0</v>
      </c>
      <c r="L126" s="501"/>
    </row>
    <row r="127" spans="1:12" ht="63" x14ac:dyDescent="0.2">
      <c r="A127" s="329" t="s">
        <v>2060</v>
      </c>
      <c r="B127" s="817">
        <v>5</v>
      </c>
      <c r="C127" s="288">
        <v>462000</v>
      </c>
      <c r="D127" s="415"/>
      <c r="E127" s="288">
        <f t="shared" si="26"/>
        <v>554400</v>
      </c>
      <c r="F127" s="288"/>
      <c r="G127" s="288">
        <f t="shared" si="13"/>
        <v>2772000</v>
      </c>
      <c r="H127" s="288">
        <f t="shared" si="14"/>
        <v>0</v>
      </c>
      <c r="L127" s="501"/>
    </row>
    <row r="128" spans="1:12" ht="47.25" x14ac:dyDescent="0.2">
      <c r="A128" s="329" t="s">
        <v>2473</v>
      </c>
      <c r="B128" s="817">
        <v>26.7</v>
      </c>
      <c r="C128" s="288">
        <v>462000</v>
      </c>
      <c r="D128" s="415"/>
      <c r="E128" s="288">
        <f t="shared" si="26"/>
        <v>554400</v>
      </c>
      <c r="F128" s="288"/>
      <c r="G128" s="288">
        <f t="shared" ref="G128:G144" si="27">ROUND(B128*E128,-3)</f>
        <v>14802000</v>
      </c>
      <c r="H128" s="288">
        <f t="shared" ref="H128:H144" si="28">ROUND(B128*F128,-3)</f>
        <v>0</v>
      </c>
      <c r="L128" s="501"/>
    </row>
    <row r="129" spans="1:12" ht="47.25" x14ac:dyDescent="0.2">
      <c r="A129" s="329" t="s">
        <v>2470</v>
      </c>
      <c r="B129" s="817">
        <v>35.700000000000003</v>
      </c>
      <c r="C129" s="288">
        <v>462000</v>
      </c>
      <c r="D129" s="415"/>
      <c r="E129" s="288">
        <f t="shared" si="26"/>
        <v>554400</v>
      </c>
      <c r="F129" s="288">
        <f>C129*$I$1*$J$1</f>
        <v>1663200</v>
      </c>
      <c r="G129" s="288">
        <f t="shared" si="27"/>
        <v>19792000</v>
      </c>
      <c r="H129" s="288">
        <f t="shared" si="28"/>
        <v>59376000</v>
      </c>
      <c r="L129" s="501"/>
    </row>
    <row r="130" spans="1:12" ht="47.25" x14ac:dyDescent="0.2">
      <c r="A130" s="329" t="s">
        <v>2486</v>
      </c>
      <c r="B130" s="817">
        <v>32.6</v>
      </c>
      <c r="C130" s="288">
        <v>462000</v>
      </c>
      <c r="D130" s="415"/>
      <c r="E130" s="288">
        <f t="shared" si="26"/>
        <v>554400</v>
      </c>
      <c r="F130" s="288"/>
      <c r="G130" s="288">
        <f t="shared" si="27"/>
        <v>18073000</v>
      </c>
      <c r="H130" s="288">
        <f t="shared" si="28"/>
        <v>0</v>
      </c>
      <c r="L130" s="501"/>
    </row>
    <row r="131" spans="1:12" ht="47.25" x14ac:dyDescent="0.2">
      <c r="A131" s="329" t="s">
        <v>2481</v>
      </c>
      <c r="B131" s="817">
        <v>20.5</v>
      </c>
      <c r="C131" s="288">
        <v>462000</v>
      </c>
      <c r="D131" s="415"/>
      <c r="E131" s="288">
        <f>(C131*$J$1)-(2.5%*C131*$J$1)</f>
        <v>540540</v>
      </c>
      <c r="F131" s="288"/>
      <c r="G131" s="288">
        <f t="shared" si="27"/>
        <v>11081000</v>
      </c>
      <c r="H131" s="288">
        <f t="shared" si="28"/>
        <v>0</v>
      </c>
      <c r="L131" s="501"/>
    </row>
    <row r="132" spans="1:12" ht="47.25" x14ac:dyDescent="0.2">
      <c r="A132" s="329" t="s">
        <v>2485</v>
      </c>
      <c r="B132" s="817">
        <v>7.6</v>
      </c>
      <c r="C132" s="288">
        <v>462000</v>
      </c>
      <c r="D132" s="415"/>
      <c r="E132" s="288">
        <f t="shared" si="26"/>
        <v>554400</v>
      </c>
      <c r="F132" s="288"/>
      <c r="G132" s="288">
        <f t="shared" si="27"/>
        <v>4213000</v>
      </c>
      <c r="H132" s="288">
        <f t="shared" si="28"/>
        <v>0</v>
      </c>
      <c r="L132" s="501"/>
    </row>
    <row r="133" spans="1:12" ht="63" x14ac:dyDescent="0.2">
      <c r="A133" s="329" t="s">
        <v>2788</v>
      </c>
      <c r="B133" s="817">
        <v>0.5</v>
      </c>
      <c r="C133" s="288">
        <v>462000</v>
      </c>
      <c r="D133" s="415"/>
      <c r="E133" s="288">
        <f t="shared" ref="E133" si="29">C133*$J$1</f>
        <v>554400</v>
      </c>
      <c r="F133" s="288"/>
      <c r="G133" s="288">
        <f>ROUND(B133*E133,-3)</f>
        <v>277000</v>
      </c>
      <c r="H133" s="288">
        <f t="shared" ref="H133" si="30">ROUND(B133*F133,-3)</f>
        <v>0</v>
      </c>
      <c r="L133" s="501"/>
    </row>
    <row r="134" spans="1:12" ht="47.25" x14ac:dyDescent="0.2">
      <c r="A134" s="329" t="s">
        <v>2036</v>
      </c>
      <c r="B134" s="817">
        <v>6.5</v>
      </c>
      <c r="C134" s="288">
        <v>462000</v>
      </c>
      <c r="D134" s="415"/>
      <c r="E134" s="288">
        <f t="shared" si="26"/>
        <v>554400</v>
      </c>
      <c r="F134" s="288"/>
      <c r="G134" s="288">
        <f t="shared" si="27"/>
        <v>3604000</v>
      </c>
      <c r="H134" s="288">
        <f t="shared" si="28"/>
        <v>0</v>
      </c>
      <c r="L134" s="501"/>
    </row>
    <row r="135" spans="1:12" ht="47.25" x14ac:dyDescent="0.2">
      <c r="A135" s="329" t="s">
        <v>2898</v>
      </c>
      <c r="B135" s="817">
        <v>45</v>
      </c>
      <c r="C135" s="288">
        <v>462000</v>
      </c>
      <c r="D135" s="416"/>
      <c r="E135" s="288">
        <f>C135*$J$1</f>
        <v>554400</v>
      </c>
      <c r="F135" s="288">
        <f>C135*$I$1*$J$1</f>
        <v>1663200</v>
      </c>
      <c r="G135" s="288">
        <f t="shared" si="27"/>
        <v>24948000</v>
      </c>
      <c r="H135" s="288">
        <f t="shared" si="28"/>
        <v>74844000</v>
      </c>
      <c r="L135" s="501"/>
    </row>
    <row r="136" spans="1:12" ht="63" x14ac:dyDescent="0.2">
      <c r="A136" s="321" t="s">
        <v>2061</v>
      </c>
      <c r="B136" s="817">
        <v>25.9</v>
      </c>
      <c r="C136" s="288">
        <v>462000</v>
      </c>
      <c r="D136" s="415"/>
      <c r="E136" s="288">
        <f t="shared" ref="E136:E139" si="31">C136*$J$1</f>
        <v>554400</v>
      </c>
      <c r="F136" s="415"/>
      <c r="G136" s="288">
        <f t="shared" si="27"/>
        <v>14359000</v>
      </c>
      <c r="H136" s="288">
        <f t="shared" si="28"/>
        <v>0</v>
      </c>
      <c r="L136" s="501"/>
    </row>
    <row r="137" spans="1:12" ht="47.25" x14ac:dyDescent="0.2">
      <c r="A137" s="329" t="s">
        <v>2475</v>
      </c>
      <c r="B137" s="817">
        <v>10.4</v>
      </c>
      <c r="C137" s="288">
        <v>462000</v>
      </c>
      <c r="D137" s="415"/>
      <c r="E137" s="288">
        <f t="shared" si="31"/>
        <v>554400</v>
      </c>
      <c r="F137" s="288">
        <f>C137*$I$1*$J$1</f>
        <v>1663200</v>
      </c>
      <c r="G137" s="288">
        <f t="shared" si="27"/>
        <v>5766000</v>
      </c>
      <c r="H137" s="288">
        <f t="shared" si="28"/>
        <v>17297000</v>
      </c>
      <c r="L137" s="501"/>
    </row>
    <row r="138" spans="1:12" ht="31.5" x14ac:dyDescent="0.2">
      <c r="A138" s="329" t="s">
        <v>2474</v>
      </c>
      <c r="B138" s="817">
        <v>1</v>
      </c>
      <c r="C138" s="288">
        <v>462000</v>
      </c>
      <c r="D138" s="415"/>
      <c r="E138" s="288">
        <f t="shared" si="31"/>
        <v>554400</v>
      </c>
      <c r="F138" s="415"/>
      <c r="G138" s="288">
        <f t="shared" si="27"/>
        <v>554000</v>
      </c>
      <c r="H138" s="288">
        <f t="shared" si="28"/>
        <v>0</v>
      </c>
      <c r="L138" s="501"/>
    </row>
    <row r="139" spans="1:12" ht="63" x14ac:dyDescent="0.2">
      <c r="A139" s="329" t="s">
        <v>2067</v>
      </c>
      <c r="B139" s="817">
        <v>50.9</v>
      </c>
      <c r="C139" s="288">
        <v>462000</v>
      </c>
      <c r="D139" s="415"/>
      <c r="E139" s="288">
        <f t="shared" si="31"/>
        <v>554400</v>
      </c>
      <c r="F139" s="288">
        <f>C139*$I$1*$J$1</f>
        <v>1663200</v>
      </c>
      <c r="G139" s="288">
        <f t="shared" si="27"/>
        <v>28219000</v>
      </c>
      <c r="H139" s="288">
        <f t="shared" si="28"/>
        <v>84657000</v>
      </c>
      <c r="L139" s="501"/>
    </row>
    <row r="140" spans="1:12" ht="31.5" x14ac:dyDescent="0.2">
      <c r="A140" s="329" t="s">
        <v>970</v>
      </c>
      <c r="B140" s="817">
        <v>982.1</v>
      </c>
      <c r="C140" s="415"/>
      <c r="D140" s="415"/>
      <c r="E140" s="288">
        <f t="shared" ref="E140:E141" si="32">C140*$J$1</f>
        <v>0</v>
      </c>
      <c r="F140" s="288">
        <f t="shared" ref="F140:F141" si="33">C140*$I$1*$J$1</f>
        <v>0</v>
      </c>
      <c r="G140" s="288">
        <f t="shared" si="27"/>
        <v>0</v>
      </c>
      <c r="H140" s="288">
        <f t="shared" si="28"/>
        <v>0</v>
      </c>
      <c r="L140" s="501"/>
    </row>
    <row r="141" spans="1:12" ht="31.5" x14ac:dyDescent="0.2">
      <c r="A141" s="329" t="s">
        <v>2145</v>
      </c>
      <c r="B141" s="817">
        <v>6.4</v>
      </c>
      <c r="C141" s="415"/>
      <c r="D141" s="415"/>
      <c r="E141" s="288">
        <f t="shared" si="32"/>
        <v>0</v>
      </c>
      <c r="F141" s="288">
        <f t="shared" si="33"/>
        <v>0</v>
      </c>
      <c r="G141" s="288">
        <f t="shared" si="27"/>
        <v>0</v>
      </c>
      <c r="H141" s="288">
        <f t="shared" si="28"/>
        <v>0</v>
      </c>
      <c r="L141" s="501"/>
    </row>
    <row r="142" spans="1:12" ht="15.75" x14ac:dyDescent="0.2">
      <c r="A142" s="329" t="s">
        <v>2066</v>
      </c>
      <c r="B142" s="817">
        <v>1771.3</v>
      </c>
      <c r="C142" s="415"/>
      <c r="D142" s="415"/>
      <c r="E142" s="288"/>
      <c r="F142" s="415"/>
      <c r="G142" s="288">
        <f t="shared" si="27"/>
        <v>0</v>
      </c>
      <c r="H142" s="288">
        <f t="shared" si="28"/>
        <v>0</v>
      </c>
      <c r="L142" s="501"/>
    </row>
    <row r="143" spans="1:12" ht="15.75" x14ac:dyDescent="0.2">
      <c r="A143" s="329" t="s">
        <v>2143</v>
      </c>
      <c r="B143" s="817">
        <v>2114.6</v>
      </c>
      <c r="C143" s="415"/>
      <c r="D143" s="415"/>
      <c r="E143" s="288"/>
      <c r="F143" s="415"/>
      <c r="G143" s="288">
        <f t="shared" si="27"/>
        <v>0</v>
      </c>
      <c r="H143" s="288">
        <f t="shared" si="28"/>
        <v>0</v>
      </c>
      <c r="L143" s="501"/>
    </row>
    <row r="144" spans="1:12" ht="15.75" x14ac:dyDescent="0.25">
      <c r="A144" s="433" t="s">
        <v>2081</v>
      </c>
      <c r="B144" s="817"/>
      <c r="C144" s="415"/>
      <c r="D144" s="415"/>
      <c r="E144" s="288"/>
      <c r="F144" s="415"/>
      <c r="G144" s="288">
        <f t="shared" si="27"/>
        <v>0</v>
      </c>
      <c r="H144" s="288">
        <f t="shared" si="28"/>
        <v>0</v>
      </c>
    </row>
    <row r="145" spans="2:8" x14ac:dyDescent="0.2">
      <c r="B145" s="818">
        <v>82991.200000000012</v>
      </c>
      <c r="E145" s="316"/>
      <c r="G145" s="316">
        <f>SUM(G3:G144)</f>
        <v>70703014000</v>
      </c>
      <c r="H145" s="316">
        <f>SUM(H3:H144)</f>
        <v>62265450000</v>
      </c>
    </row>
    <row r="146" spans="2:8" x14ac:dyDescent="0.2">
      <c r="B146" s="819"/>
      <c r="G146" s="316">
        <f>G145-BTH!M7</f>
        <v>-6000</v>
      </c>
      <c r="H146" s="316">
        <f>H145-BTH!N7</f>
        <v>2000</v>
      </c>
    </row>
  </sheetData>
  <conditionalFormatting sqref="A1:A1048576">
    <cfRule type="duplicateValues" dxfId="0" priority="1"/>
  </conditionalFormatting>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opLeftCell="A4" workbookViewId="0">
      <selection activeCell="D10" sqref="D10"/>
    </sheetView>
  </sheetViews>
  <sheetFormatPr defaultRowHeight="14.25" x14ac:dyDescent="0.2"/>
  <cols>
    <col min="1" max="1" width="33.625" customWidth="1"/>
    <col min="2" max="2" width="8.625" style="428"/>
    <col min="3" max="3" width="16.75" style="286" customWidth="1"/>
    <col min="4" max="4" width="19.375" customWidth="1"/>
  </cols>
  <sheetData>
    <row r="1" spans="1:4" ht="24" customHeight="1" x14ac:dyDescent="0.2">
      <c r="A1" s="366" t="s">
        <v>2135</v>
      </c>
      <c r="B1" s="366" t="s">
        <v>2136</v>
      </c>
      <c r="C1" s="372" t="s">
        <v>2128</v>
      </c>
      <c r="D1" s="366" t="s">
        <v>2417</v>
      </c>
    </row>
    <row r="2" spans="1:4" ht="28.5" customHeight="1" x14ac:dyDescent="0.2">
      <c r="A2" s="440" t="s">
        <v>2790</v>
      </c>
      <c r="B2" s="502">
        <v>1</v>
      </c>
      <c r="C2" s="370">
        <v>10000000</v>
      </c>
      <c r="D2" s="370">
        <f>B2*C2</f>
        <v>10000000</v>
      </c>
    </row>
    <row r="3" spans="1:4" ht="33" customHeight="1" x14ac:dyDescent="0.2">
      <c r="A3" s="440" t="s">
        <v>2789</v>
      </c>
      <c r="B3" s="502">
        <v>7</v>
      </c>
      <c r="C3" s="370">
        <v>13000000</v>
      </c>
      <c r="D3" s="370">
        <f>B3*C3</f>
        <v>91000000</v>
      </c>
    </row>
    <row r="4" spans="1:4" ht="33.950000000000003" customHeight="1" x14ac:dyDescent="0.2">
      <c r="A4" s="440" t="s">
        <v>2791</v>
      </c>
      <c r="B4" s="502">
        <v>9</v>
      </c>
      <c r="C4" s="370">
        <v>17000000</v>
      </c>
      <c r="D4" s="370">
        <f>B4*C4</f>
        <v>153000000</v>
      </c>
    </row>
    <row r="5" spans="1:4" ht="27" customHeight="1" x14ac:dyDescent="0.2">
      <c r="A5" s="321" t="s">
        <v>2411</v>
      </c>
      <c r="B5" s="322">
        <v>23</v>
      </c>
      <c r="C5" s="370"/>
      <c r="D5" s="370">
        <f t="shared" ref="D5:D12" si="0">B5*C5</f>
        <v>0</v>
      </c>
    </row>
    <row r="6" spans="1:4" ht="27" customHeight="1" x14ac:dyDescent="0.2">
      <c r="A6" s="367" t="s">
        <v>2413</v>
      </c>
      <c r="B6" s="368">
        <v>6</v>
      </c>
      <c r="C6" s="370"/>
      <c r="D6" s="370">
        <f t="shared" si="0"/>
        <v>0</v>
      </c>
    </row>
    <row r="7" spans="1:4" ht="27" customHeight="1" x14ac:dyDescent="0.2">
      <c r="A7" s="369" t="s">
        <v>2414</v>
      </c>
      <c r="B7" s="398">
        <v>15</v>
      </c>
      <c r="C7" s="370"/>
      <c r="D7" s="370">
        <f t="shared" si="0"/>
        <v>0</v>
      </c>
    </row>
    <row r="8" spans="1:4" ht="27" customHeight="1" x14ac:dyDescent="0.2">
      <c r="A8" s="369" t="s">
        <v>2412</v>
      </c>
      <c r="B8" s="398">
        <v>1</v>
      </c>
      <c r="C8" s="370"/>
      <c r="D8" s="370">
        <f t="shared" si="0"/>
        <v>0</v>
      </c>
    </row>
    <row r="9" spans="1:4" ht="27" customHeight="1" x14ac:dyDescent="0.2">
      <c r="A9" s="369" t="s">
        <v>2415</v>
      </c>
      <c r="B9" s="398">
        <v>2</v>
      </c>
      <c r="C9" s="370"/>
      <c r="D9" s="370">
        <f t="shared" si="0"/>
        <v>0</v>
      </c>
    </row>
    <row r="10" spans="1:4" ht="27" customHeight="1" x14ac:dyDescent="0.2">
      <c r="A10" s="369" t="s">
        <v>2416</v>
      </c>
      <c r="B10" s="398">
        <v>1</v>
      </c>
      <c r="C10" s="370"/>
      <c r="D10" s="370">
        <f t="shared" si="0"/>
        <v>0</v>
      </c>
    </row>
    <row r="11" spans="1:4" ht="27" customHeight="1" x14ac:dyDescent="0.2">
      <c r="A11" s="369" t="s">
        <v>811</v>
      </c>
      <c r="B11" s="398">
        <v>3</v>
      </c>
      <c r="C11" s="286">
        <v>0</v>
      </c>
      <c r="D11" s="370">
        <f t="shared" si="0"/>
        <v>0</v>
      </c>
    </row>
    <row r="12" spans="1:4" ht="27" customHeight="1" x14ac:dyDescent="0.2">
      <c r="A12" s="321" t="s">
        <v>2137</v>
      </c>
      <c r="B12" s="322">
        <v>11</v>
      </c>
      <c r="C12" s="370">
        <v>5000000</v>
      </c>
      <c r="D12" s="370">
        <f t="shared" si="0"/>
        <v>55000000</v>
      </c>
    </row>
    <row r="13" spans="1:4" ht="15.75" x14ac:dyDescent="0.2">
      <c r="A13" s="429" t="s">
        <v>2081</v>
      </c>
      <c r="B13" s="429">
        <v>81</v>
      </c>
      <c r="C13" s="370"/>
      <c r="D13" s="370">
        <f>SUM(D2:D12)</f>
        <v>309000000</v>
      </c>
    </row>
  </sheetData>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7"/>
  <sheetViews>
    <sheetView workbookViewId="0">
      <selection activeCell="D6" sqref="D6"/>
    </sheetView>
  </sheetViews>
  <sheetFormatPr defaultRowHeight="14.25" x14ac:dyDescent="0.2"/>
  <cols>
    <col min="1" max="1" width="25.25" style="418" customWidth="1"/>
    <col min="2" max="2" width="8.625" style="418"/>
    <col min="3" max="3" width="10.625" customWidth="1"/>
    <col min="4" max="4" width="13.25" customWidth="1"/>
    <col min="5" max="6" width="13.375" style="286" customWidth="1"/>
    <col min="7" max="7" width="13.125" style="286" customWidth="1"/>
    <col min="8" max="8" width="14.625" customWidth="1"/>
  </cols>
  <sheetData>
    <row r="1" spans="1:8" ht="42.75" x14ac:dyDescent="0.2">
      <c r="A1" s="318" t="s">
        <v>17</v>
      </c>
      <c r="B1" s="419" t="s">
        <v>7</v>
      </c>
      <c r="C1" s="318" t="s">
        <v>2125</v>
      </c>
      <c r="D1" s="318" t="s">
        <v>2124</v>
      </c>
      <c r="E1" s="285" t="s">
        <v>2127</v>
      </c>
      <c r="F1" s="317" t="s">
        <v>2126</v>
      </c>
      <c r="G1" s="317" t="s">
        <v>2405</v>
      </c>
      <c r="H1" s="271" t="s">
        <v>16</v>
      </c>
    </row>
    <row r="2" spans="1:8" ht="31.5" x14ac:dyDescent="0.2">
      <c r="A2" s="319" t="s">
        <v>2403</v>
      </c>
      <c r="B2" s="397">
        <v>922.8</v>
      </c>
      <c r="C2" s="426"/>
      <c r="D2" s="427">
        <v>0.8</v>
      </c>
      <c r="E2" s="370" t="s">
        <v>25</v>
      </c>
      <c r="F2" s="370">
        <v>0</v>
      </c>
      <c r="G2" s="370"/>
      <c r="H2" s="370">
        <f>ROUND(G2*B2,-3)</f>
        <v>0</v>
      </c>
    </row>
    <row r="3" spans="1:8" ht="47.25" x14ac:dyDescent="0.2">
      <c r="A3" s="319" t="s">
        <v>2383</v>
      </c>
      <c r="B3" s="420">
        <v>8.1</v>
      </c>
      <c r="C3" s="426"/>
      <c r="D3" s="427">
        <v>0.9</v>
      </c>
      <c r="E3" s="370">
        <v>4309123</v>
      </c>
      <c r="F3" s="370">
        <v>0</v>
      </c>
      <c r="G3" s="370">
        <f>ROUND(D3*E3,0)</f>
        <v>3878211</v>
      </c>
      <c r="H3" s="370">
        <f t="shared" ref="H3:H66" si="0">ROUND(G3*B3,-3)</f>
        <v>31414000</v>
      </c>
    </row>
    <row r="4" spans="1:8" ht="22.5" customHeight="1" x14ac:dyDescent="0.2">
      <c r="A4" s="321" t="s">
        <v>2281</v>
      </c>
      <c r="B4" s="397">
        <v>15.4</v>
      </c>
      <c r="C4" s="426"/>
      <c r="D4" s="427">
        <v>0.9</v>
      </c>
      <c r="E4" s="370" t="s">
        <v>25</v>
      </c>
      <c r="F4" s="370">
        <v>0</v>
      </c>
      <c r="G4" s="370"/>
      <c r="H4" s="370">
        <f t="shared" si="0"/>
        <v>0</v>
      </c>
    </row>
    <row r="5" spans="1:8" ht="31.5" x14ac:dyDescent="0.2">
      <c r="A5" s="319" t="s">
        <v>2252</v>
      </c>
      <c r="B5" s="397">
        <v>20.13</v>
      </c>
      <c r="C5" s="426"/>
      <c r="D5" s="427">
        <v>0.9</v>
      </c>
      <c r="E5" s="370">
        <v>4309123</v>
      </c>
      <c r="F5" s="370">
        <v>0</v>
      </c>
      <c r="G5" s="370">
        <f t="shared" ref="G5:G7" si="1">ROUND(D5*E5,0)</f>
        <v>3878211</v>
      </c>
      <c r="H5" s="370">
        <f t="shared" si="0"/>
        <v>78068000</v>
      </c>
    </row>
    <row r="6" spans="1:8" ht="31.5" x14ac:dyDescent="0.2">
      <c r="A6" s="321" t="s">
        <v>2278</v>
      </c>
      <c r="B6" s="397">
        <v>2.15</v>
      </c>
      <c r="C6" s="426"/>
      <c r="D6" s="427">
        <v>0.9</v>
      </c>
      <c r="E6" s="370">
        <v>3483478</v>
      </c>
      <c r="F6" s="370">
        <v>0</v>
      </c>
      <c r="G6" s="370">
        <f t="shared" si="1"/>
        <v>3135130</v>
      </c>
      <c r="H6" s="370">
        <f t="shared" si="0"/>
        <v>6741000</v>
      </c>
    </row>
    <row r="7" spans="1:8" ht="31.5" x14ac:dyDescent="0.2">
      <c r="A7" s="323" t="s">
        <v>1878</v>
      </c>
      <c r="B7" s="397">
        <v>3.38</v>
      </c>
      <c r="C7" s="426"/>
      <c r="D7" s="427">
        <v>0.9</v>
      </c>
      <c r="E7" s="370">
        <v>4309123</v>
      </c>
      <c r="F7" s="370">
        <v>0</v>
      </c>
      <c r="G7" s="370">
        <f t="shared" si="1"/>
        <v>3878211</v>
      </c>
      <c r="H7" s="370">
        <f t="shared" si="0"/>
        <v>13108000</v>
      </c>
    </row>
    <row r="8" spans="1:8" ht="31.5" x14ac:dyDescent="0.2">
      <c r="A8" s="319" t="s">
        <v>2000</v>
      </c>
      <c r="B8" s="420">
        <v>1.7</v>
      </c>
      <c r="C8" s="426"/>
      <c r="D8" s="427">
        <v>0.8</v>
      </c>
      <c r="E8" s="370" t="s">
        <v>25</v>
      </c>
      <c r="F8" s="370">
        <v>0</v>
      </c>
      <c r="G8" s="370"/>
      <c r="H8" s="370">
        <f t="shared" si="0"/>
        <v>0</v>
      </c>
    </row>
    <row r="9" spans="1:8" ht="31.5" x14ac:dyDescent="0.2">
      <c r="A9" s="319" t="s">
        <v>2353</v>
      </c>
      <c r="B9" s="397">
        <v>7.65</v>
      </c>
      <c r="C9" s="426"/>
      <c r="D9" s="427">
        <v>0.8</v>
      </c>
      <c r="E9" s="370" t="s">
        <v>25</v>
      </c>
      <c r="F9" s="370">
        <v>0</v>
      </c>
      <c r="G9" s="370"/>
      <c r="H9" s="370">
        <f t="shared" si="0"/>
        <v>0</v>
      </c>
    </row>
    <row r="10" spans="1:8" ht="31.5" x14ac:dyDescent="0.2">
      <c r="A10" s="319" t="s">
        <v>1856</v>
      </c>
      <c r="B10" s="397">
        <v>0.72</v>
      </c>
      <c r="C10" s="426"/>
      <c r="D10" s="427">
        <v>0.8</v>
      </c>
      <c r="E10" s="370" t="s">
        <v>25</v>
      </c>
      <c r="F10" s="370">
        <v>0</v>
      </c>
      <c r="G10" s="370"/>
      <c r="H10" s="370">
        <f t="shared" si="0"/>
        <v>0</v>
      </c>
    </row>
    <row r="11" spans="1:8" ht="15.75" x14ac:dyDescent="0.2">
      <c r="A11" s="323" t="s">
        <v>1897</v>
      </c>
      <c r="B11" s="397">
        <v>5</v>
      </c>
      <c r="C11" s="426"/>
      <c r="D11" s="427">
        <v>0.9</v>
      </c>
      <c r="E11" s="370" t="s">
        <v>25</v>
      </c>
      <c r="F11" s="370">
        <v>0</v>
      </c>
      <c r="G11" s="370"/>
      <c r="H11" s="370">
        <f t="shared" si="0"/>
        <v>0</v>
      </c>
    </row>
    <row r="12" spans="1:8" ht="31.5" x14ac:dyDescent="0.2">
      <c r="A12" s="319" t="s">
        <v>1982</v>
      </c>
      <c r="B12" s="420">
        <v>1</v>
      </c>
      <c r="C12" s="426"/>
      <c r="D12" s="427">
        <v>0.8</v>
      </c>
      <c r="E12" s="370" t="s">
        <v>25</v>
      </c>
      <c r="F12" s="370">
        <v>0</v>
      </c>
      <c r="G12" s="370"/>
      <c r="H12" s="370">
        <f t="shared" si="0"/>
        <v>0</v>
      </c>
    </row>
    <row r="13" spans="1:8" ht="15.75" x14ac:dyDescent="0.2">
      <c r="A13" s="319" t="s">
        <v>1899</v>
      </c>
      <c r="B13" s="397">
        <v>20.21</v>
      </c>
      <c r="C13" s="426"/>
      <c r="D13" s="427">
        <v>0.9</v>
      </c>
      <c r="E13" s="370" t="s">
        <v>25</v>
      </c>
      <c r="F13" s="370">
        <v>0</v>
      </c>
      <c r="G13" s="370"/>
      <c r="H13" s="370">
        <f t="shared" si="0"/>
        <v>0</v>
      </c>
    </row>
    <row r="14" spans="1:8" ht="31.5" x14ac:dyDescent="0.2">
      <c r="A14" s="319" t="s">
        <v>2372</v>
      </c>
      <c r="B14" s="420">
        <v>9.1999999999999993</v>
      </c>
      <c r="C14" s="426"/>
      <c r="D14" s="427">
        <v>0.8</v>
      </c>
      <c r="E14" s="370" t="s">
        <v>25</v>
      </c>
      <c r="F14" s="370">
        <v>0</v>
      </c>
      <c r="G14" s="370"/>
      <c r="H14" s="370">
        <f t="shared" si="0"/>
        <v>0</v>
      </c>
    </row>
    <row r="15" spans="1:8" ht="31.5" x14ac:dyDescent="0.2">
      <c r="A15" s="319" t="s">
        <v>1918</v>
      </c>
      <c r="B15" s="420">
        <v>11.729999999999999</v>
      </c>
      <c r="C15" s="426"/>
      <c r="D15" s="427">
        <v>0.9</v>
      </c>
      <c r="E15" s="370" t="s">
        <v>25</v>
      </c>
      <c r="F15" s="370">
        <v>0</v>
      </c>
      <c r="G15" s="370"/>
      <c r="H15" s="370">
        <f t="shared" si="0"/>
        <v>0</v>
      </c>
    </row>
    <row r="16" spans="1:8" ht="15.75" x14ac:dyDescent="0.2">
      <c r="A16" s="319" t="s">
        <v>1775</v>
      </c>
      <c r="B16" s="397">
        <v>26.189999999999998</v>
      </c>
      <c r="C16" s="426"/>
      <c r="D16" s="427">
        <v>0.9</v>
      </c>
      <c r="E16" s="370" t="s">
        <v>25</v>
      </c>
      <c r="F16" s="370">
        <v>0</v>
      </c>
      <c r="G16" s="370"/>
      <c r="H16" s="370">
        <f t="shared" si="0"/>
        <v>0</v>
      </c>
    </row>
    <row r="17" spans="1:8" ht="15.75" x14ac:dyDescent="0.2">
      <c r="A17" s="323" t="s">
        <v>2349</v>
      </c>
      <c r="B17" s="397">
        <v>43.74</v>
      </c>
      <c r="C17" s="426"/>
      <c r="D17" s="427">
        <v>0.8</v>
      </c>
      <c r="E17" s="370" t="s">
        <v>25</v>
      </c>
      <c r="F17" s="370">
        <v>0</v>
      </c>
      <c r="G17" s="370"/>
      <c r="H17" s="370">
        <f t="shared" si="0"/>
        <v>0</v>
      </c>
    </row>
    <row r="18" spans="1:8" ht="15.75" x14ac:dyDescent="0.2">
      <c r="A18" s="319" t="s">
        <v>1902</v>
      </c>
      <c r="B18" s="420">
        <v>127.2</v>
      </c>
      <c r="C18" s="426"/>
      <c r="D18" s="427">
        <v>0.9</v>
      </c>
      <c r="E18" s="370" t="s">
        <v>25</v>
      </c>
      <c r="F18" s="370">
        <v>0</v>
      </c>
      <c r="G18" s="370"/>
      <c r="H18" s="370">
        <f t="shared" si="0"/>
        <v>0</v>
      </c>
    </row>
    <row r="19" spans="1:8" ht="15.75" x14ac:dyDescent="0.2">
      <c r="A19" s="319" t="s">
        <v>1761</v>
      </c>
      <c r="B19" s="397">
        <v>60.6</v>
      </c>
      <c r="C19" s="426"/>
      <c r="D19" s="427">
        <v>0.8</v>
      </c>
      <c r="E19" s="370" t="s">
        <v>25</v>
      </c>
      <c r="F19" s="370">
        <v>0</v>
      </c>
      <c r="G19" s="370"/>
      <c r="H19" s="370">
        <f t="shared" si="0"/>
        <v>0</v>
      </c>
    </row>
    <row r="20" spans="1:8" ht="31.5" x14ac:dyDescent="0.2">
      <c r="A20" s="324" t="s">
        <v>1933</v>
      </c>
      <c r="B20" s="420">
        <v>17.2</v>
      </c>
      <c r="C20" s="426"/>
      <c r="D20" s="427">
        <v>0.9</v>
      </c>
      <c r="E20" s="370" t="s">
        <v>25</v>
      </c>
      <c r="F20" s="370">
        <v>0</v>
      </c>
      <c r="G20" s="370"/>
      <c r="H20" s="370">
        <f t="shared" si="0"/>
        <v>0</v>
      </c>
    </row>
    <row r="21" spans="1:8" ht="31.5" x14ac:dyDescent="0.2">
      <c r="A21" s="324" t="s">
        <v>2010</v>
      </c>
      <c r="B21" s="420">
        <v>33.76</v>
      </c>
      <c r="C21" s="426"/>
      <c r="D21" s="427">
        <v>0.8</v>
      </c>
      <c r="E21" s="370" t="s">
        <v>25</v>
      </c>
      <c r="F21" s="370">
        <v>0</v>
      </c>
      <c r="G21" s="370"/>
      <c r="H21" s="370">
        <f t="shared" si="0"/>
        <v>0</v>
      </c>
    </row>
    <row r="22" spans="1:8" ht="31.5" x14ac:dyDescent="0.2">
      <c r="A22" s="324" t="s">
        <v>1921</v>
      </c>
      <c r="B22" s="420">
        <v>37.65</v>
      </c>
      <c r="C22" s="426"/>
      <c r="D22" s="427">
        <v>0.9</v>
      </c>
      <c r="E22" s="370" t="s">
        <v>25</v>
      </c>
      <c r="F22" s="370">
        <v>0</v>
      </c>
      <c r="G22" s="370"/>
      <c r="H22" s="370">
        <f t="shared" si="0"/>
        <v>0</v>
      </c>
    </row>
    <row r="23" spans="1:8" ht="31.5" x14ac:dyDescent="0.2">
      <c r="A23" s="319" t="s">
        <v>1962</v>
      </c>
      <c r="B23" s="420">
        <v>0.19800000000000001</v>
      </c>
      <c r="C23" s="426"/>
      <c r="D23" s="427">
        <v>0.9</v>
      </c>
      <c r="E23" s="370" t="s">
        <v>25</v>
      </c>
      <c r="F23" s="370">
        <v>0</v>
      </c>
      <c r="G23" s="370"/>
      <c r="H23" s="370">
        <f t="shared" si="0"/>
        <v>0</v>
      </c>
    </row>
    <row r="24" spans="1:8" ht="31.5" x14ac:dyDescent="0.2">
      <c r="A24" s="319" t="s">
        <v>1847</v>
      </c>
      <c r="B24" s="397">
        <v>2.58</v>
      </c>
      <c r="C24" s="426"/>
      <c r="D24" s="427">
        <v>0.9</v>
      </c>
      <c r="E24" s="370" t="s">
        <v>25</v>
      </c>
      <c r="F24" s="370">
        <v>2060301</v>
      </c>
      <c r="G24" s="370">
        <f>ROUND(D24*F24,0)</f>
        <v>1854271</v>
      </c>
      <c r="H24" s="370">
        <f t="shared" si="0"/>
        <v>4784000</v>
      </c>
    </row>
    <row r="25" spans="1:8" ht="31.5" x14ac:dyDescent="0.2">
      <c r="A25" s="319" t="s">
        <v>1755</v>
      </c>
      <c r="B25" s="397">
        <v>12.58</v>
      </c>
      <c r="C25" s="426"/>
      <c r="D25" s="427">
        <v>0.8</v>
      </c>
      <c r="E25" s="370" t="s">
        <v>25</v>
      </c>
      <c r="F25" s="370">
        <v>1959511</v>
      </c>
      <c r="G25" s="370">
        <f>ROUND(D25*F25,0)</f>
        <v>1567609</v>
      </c>
      <c r="H25" s="370">
        <f t="shared" si="0"/>
        <v>19721000</v>
      </c>
    </row>
    <row r="26" spans="1:8" ht="15.75" x14ac:dyDescent="0.2">
      <c r="A26" s="319" t="s">
        <v>2361</v>
      </c>
      <c r="B26" s="397">
        <v>0.41</v>
      </c>
      <c r="C26" s="426"/>
      <c r="D26" s="427">
        <v>0.8</v>
      </c>
      <c r="E26" s="370" t="s">
        <v>25</v>
      </c>
      <c r="F26" s="370">
        <v>0</v>
      </c>
      <c r="G26" s="370"/>
      <c r="H26" s="370">
        <f t="shared" si="0"/>
        <v>0</v>
      </c>
    </row>
    <row r="27" spans="1:8" ht="15.75" x14ac:dyDescent="0.2">
      <c r="A27" s="325" t="s">
        <v>1801</v>
      </c>
      <c r="B27" s="421">
        <v>0.97899999999999998</v>
      </c>
      <c r="C27" s="426"/>
      <c r="D27" s="427">
        <v>0.9</v>
      </c>
      <c r="E27" s="370" t="s">
        <v>25</v>
      </c>
      <c r="F27" s="370">
        <v>0</v>
      </c>
      <c r="G27" s="370"/>
      <c r="H27" s="370">
        <f t="shared" si="0"/>
        <v>0</v>
      </c>
    </row>
    <row r="28" spans="1:8" ht="31.5" x14ac:dyDescent="0.2">
      <c r="A28" s="325" t="s">
        <v>1810</v>
      </c>
      <c r="B28" s="421">
        <v>1.92</v>
      </c>
      <c r="C28" s="426"/>
      <c r="D28" s="427">
        <v>0.8</v>
      </c>
      <c r="E28" s="370" t="s">
        <v>25</v>
      </c>
      <c r="F28" s="370">
        <v>0</v>
      </c>
      <c r="G28" s="370"/>
      <c r="H28" s="370">
        <f t="shared" si="0"/>
        <v>0</v>
      </c>
    </row>
    <row r="29" spans="1:8" ht="15.75" x14ac:dyDescent="0.2">
      <c r="A29" s="319" t="s">
        <v>2129</v>
      </c>
      <c r="B29" s="420">
        <v>2.2799999999999998</v>
      </c>
      <c r="C29" s="426"/>
      <c r="D29" s="427">
        <v>0.9</v>
      </c>
      <c r="E29" s="370" t="s">
        <v>25</v>
      </c>
      <c r="F29" s="370">
        <v>2046822</v>
      </c>
      <c r="G29" s="370">
        <f>ROUND(D29*F29,0)</f>
        <v>1842140</v>
      </c>
      <c r="H29" s="370">
        <f t="shared" si="0"/>
        <v>4200000</v>
      </c>
    </row>
    <row r="30" spans="1:8" ht="15.75" x14ac:dyDescent="0.2">
      <c r="A30" s="323" t="s">
        <v>1872</v>
      </c>
      <c r="B30" s="397">
        <v>0.1</v>
      </c>
      <c r="C30" s="426"/>
      <c r="D30" s="427">
        <v>0.9</v>
      </c>
      <c r="E30" s="370" t="s">
        <v>25</v>
      </c>
      <c r="F30" s="370">
        <v>0</v>
      </c>
      <c r="G30" s="370"/>
      <c r="H30" s="370">
        <f t="shared" si="0"/>
        <v>0</v>
      </c>
    </row>
    <row r="31" spans="1:8" ht="31.5" x14ac:dyDescent="0.2">
      <c r="A31" s="321" t="s">
        <v>2285</v>
      </c>
      <c r="B31" s="397">
        <v>0.08</v>
      </c>
      <c r="C31" s="426"/>
      <c r="D31" s="427">
        <v>0.9</v>
      </c>
      <c r="E31" s="370" t="s">
        <v>25</v>
      </c>
      <c r="F31" s="370">
        <v>0</v>
      </c>
      <c r="G31" s="370"/>
      <c r="H31" s="370">
        <f t="shared" si="0"/>
        <v>0</v>
      </c>
    </row>
    <row r="32" spans="1:8" ht="15.75" x14ac:dyDescent="0.2">
      <c r="A32" s="326" t="s">
        <v>1830</v>
      </c>
      <c r="B32" s="397">
        <v>1.62</v>
      </c>
      <c r="C32" s="426"/>
      <c r="D32" s="427">
        <v>0.9</v>
      </c>
      <c r="E32" s="370" t="s">
        <v>25</v>
      </c>
      <c r="F32" s="370">
        <v>0</v>
      </c>
      <c r="G32" s="370"/>
      <c r="H32" s="370">
        <f t="shared" si="0"/>
        <v>0</v>
      </c>
    </row>
    <row r="33" spans="1:8" ht="15.75" x14ac:dyDescent="0.2">
      <c r="A33" s="319" t="s">
        <v>2291</v>
      </c>
      <c r="B33" s="397">
        <v>0.41000000000000003</v>
      </c>
      <c r="C33" s="426"/>
      <c r="D33" s="427">
        <v>0.8</v>
      </c>
      <c r="E33" s="370" t="s">
        <v>25</v>
      </c>
      <c r="F33" s="370">
        <v>0</v>
      </c>
      <c r="G33" s="370"/>
      <c r="H33" s="370">
        <f t="shared" si="0"/>
        <v>0</v>
      </c>
    </row>
    <row r="34" spans="1:8" ht="15.75" x14ac:dyDescent="0.2">
      <c r="A34" s="323" t="s">
        <v>1880</v>
      </c>
      <c r="B34" s="397">
        <v>1.99</v>
      </c>
      <c r="C34" s="426"/>
      <c r="D34" s="427">
        <v>0.9</v>
      </c>
      <c r="E34" s="370" t="s">
        <v>25</v>
      </c>
      <c r="F34" s="370">
        <v>0</v>
      </c>
      <c r="G34" s="370"/>
      <c r="H34" s="370">
        <f t="shared" si="0"/>
        <v>0</v>
      </c>
    </row>
    <row r="35" spans="1:8" ht="15.75" x14ac:dyDescent="0.2">
      <c r="A35" s="321" t="s">
        <v>1829</v>
      </c>
      <c r="B35" s="397">
        <v>0.01</v>
      </c>
      <c r="C35" s="426"/>
      <c r="D35" s="427">
        <v>0.9</v>
      </c>
      <c r="E35" s="370" t="s">
        <v>25</v>
      </c>
      <c r="F35" s="370">
        <v>0</v>
      </c>
      <c r="G35" s="370"/>
      <c r="H35" s="370">
        <f t="shared" si="0"/>
        <v>0</v>
      </c>
    </row>
    <row r="36" spans="1:8" ht="15.75" x14ac:dyDescent="0.2">
      <c r="A36" s="319" t="s">
        <v>1804</v>
      </c>
      <c r="B36" s="397">
        <v>0.31</v>
      </c>
      <c r="C36" s="426"/>
      <c r="D36" s="427">
        <v>0.8</v>
      </c>
      <c r="E36" s="370" t="s">
        <v>25</v>
      </c>
      <c r="F36" s="370">
        <v>0</v>
      </c>
      <c r="G36" s="370"/>
      <c r="H36" s="370">
        <f t="shared" si="0"/>
        <v>0</v>
      </c>
    </row>
    <row r="37" spans="1:8" ht="15.75" x14ac:dyDescent="0.2">
      <c r="A37" s="321" t="s">
        <v>1773</v>
      </c>
      <c r="B37" s="422">
        <v>0.08</v>
      </c>
      <c r="C37" s="426"/>
      <c r="D37" s="427">
        <v>0.9</v>
      </c>
      <c r="E37" s="370" t="s">
        <v>25</v>
      </c>
      <c r="F37" s="370">
        <v>0</v>
      </c>
      <c r="G37" s="370"/>
      <c r="H37" s="370">
        <f t="shared" si="0"/>
        <v>0</v>
      </c>
    </row>
    <row r="38" spans="1:8" ht="15.75" x14ac:dyDescent="0.2">
      <c r="A38" s="325" t="s">
        <v>1811</v>
      </c>
      <c r="B38" s="421">
        <v>1.27</v>
      </c>
      <c r="C38" s="426"/>
      <c r="D38" s="427">
        <v>0.8</v>
      </c>
      <c r="E38" s="370" t="s">
        <v>25</v>
      </c>
      <c r="F38" s="370">
        <v>0</v>
      </c>
      <c r="G38" s="370"/>
      <c r="H38" s="370">
        <f t="shared" si="0"/>
        <v>0</v>
      </c>
    </row>
    <row r="39" spans="1:8" ht="15.75" x14ac:dyDescent="0.2">
      <c r="A39" s="319" t="s">
        <v>1800</v>
      </c>
      <c r="B39" s="397">
        <v>0.33860000000000001</v>
      </c>
      <c r="C39" s="426"/>
      <c r="D39" s="427">
        <v>0.9</v>
      </c>
      <c r="E39" s="370" t="s">
        <v>25</v>
      </c>
      <c r="F39" s="370">
        <v>0</v>
      </c>
      <c r="G39" s="370"/>
      <c r="H39" s="370">
        <f t="shared" si="0"/>
        <v>0</v>
      </c>
    </row>
    <row r="40" spans="1:8" ht="31.5" x14ac:dyDescent="0.2">
      <c r="A40" s="319" t="s">
        <v>2356</v>
      </c>
      <c r="B40" s="397">
        <v>1.97</v>
      </c>
      <c r="C40" s="426"/>
      <c r="D40" s="427">
        <v>0.8</v>
      </c>
      <c r="E40" s="370" t="s">
        <v>25</v>
      </c>
      <c r="F40" s="370">
        <v>0</v>
      </c>
      <c r="G40" s="370"/>
      <c r="H40" s="370">
        <f t="shared" si="0"/>
        <v>0</v>
      </c>
    </row>
    <row r="41" spans="1:8" ht="15.75" x14ac:dyDescent="0.2">
      <c r="A41" s="319" t="s">
        <v>2358</v>
      </c>
      <c r="B41" s="397">
        <v>0.15</v>
      </c>
      <c r="C41" s="426"/>
      <c r="D41" s="427">
        <v>0.8</v>
      </c>
      <c r="E41" s="370" t="s">
        <v>25</v>
      </c>
      <c r="F41" s="370">
        <v>0</v>
      </c>
      <c r="G41" s="370"/>
      <c r="H41" s="370">
        <f t="shared" si="0"/>
        <v>0</v>
      </c>
    </row>
    <row r="42" spans="1:8" ht="15.75" x14ac:dyDescent="0.2">
      <c r="A42" s="319" t="s">
        <v>1816</v>
      </c>
      <c r="B42" s="397">
        <v>0.06</v>
      </c>
      <c r="C42" s="426"/>
      <c r="D42" s="427">
        <v>0.9</v>
      </c>
      <c r="E42" s="370" t="s">
        <v>25</v>
      </c>
      <c r="F42" s="370">
        <v>0</v>
      </c>
      <c r="G42" s="370"/>
      <c r="H42" s="370">
        <f t="shared" si="0"/>
        <v>0</v>
      </c>
    </row>
    <row r="43" spans="1:8" ht="31.5" x14ac:dyDescent="0.2">
      <c r="A43" s="319" t="s">
        <v>2374</v>
      </c>
      <c r="B43" s="420">
        <v>1.96</v>
      </c>
      <c r="C43" s="426"/>
      <c r="D43" s="427">
        <v>0.8</v>
      </c>
      <c r="E43" s="370" t="s">
        <v>25</v>
      </c>
      <c r="F43" s="370">
        <v>0</v>
      </c>
      <c r="G43" s="370"/>
      <c r="H43" s="370">
        <f t="shared" si="0"/>
        <v>0</v>
      </c>
    </row>
    <row r="44" spans="1:8" ht="31.5" x14ac:dyDescent="0.2">
      <c r="A44" s="319" t="s">
        <v>2028</v>
      </c>
      <c r="B44" s="420">
        <v>3</v>
      </c>
      <c r="C44" s="426"/>
      <c r="D44" s="427">
        <v>0.8</v>
      </c>
      <c r="E44" s="370" t="s">
        <v>25</v>
      </c>
      <c r="F44" s="370">
        <v>0</v>
      </c>
      <c r="G44" s="370"/>
      <c r="H44" s="370">
        <f t="shared" si="0"/>
        <v>0</v>
      </c>
    </row>
    <row r="45" spans="1:8" ht="31.5" x14ac:dyDescent="0.2">
      <c r="A45" s="319" t="s">
        <v>1973</v>
      </c>
      <c r="B45" s="397">
        <v>103</v>
      </c>
      <c r="C45" s="426"/>
      <c r="D45" s="427">
        <v>0.9</v>
      </c>
      <c r="E45" s="370">
        <v>777822</v>
      </c>
      <c r="F45" s="370">
        <v>0</v>
      </c>
      <c r="G45" s="370">
        <f t="shared" ref="G45:G49" si="2">ROUND(D45*E45,0)</f>
        <v>700040</v>
      </c>
      <c r="H45" s="370">
        <f t="shared" si="0"/>
        <v>72104000</v>
      </c>
    </row>
    <row r="46" spans="1:8" ht="47.25" x14ac:dyDescent="0.2">
      <c r="A46" s="324" t="s">
        <v>2389</v>
      </c>
      <c r="B46" s="420">
        <v>27.7</v>
      </c>
      <c r="C46" s="426"/>
      <c r="D46" s="427">
        <v>0.8</v>
      </c>
      <c r="E46" s="370">
        <v>589036</v>
      </c>
      <c r="F46" s="370">
        <v>0</v>
      </c>
      <c r="G46" s="370">
        <f>ROUND(D46*E46,0)</f>
        <v>471229</v>
      </c>
      <c r="H46" s="370">
        <f t="shared" si="0"/>
        <v>13053000</v>
      </c>
    </row>
    <row r="47" spans="1:8" ht="47.25" x14ac:dyDescent="0.2">
      <c r="A47" s="324" t="s">
        <v>1913</v>
      </c>
      <c r="B47" s="420">
        <v>13.5</v>
      </c>
      <c r="C47" s="426"/>
      <c r="D47" s="427">
        <v>0.9</v>
      </c>
      <c r="E47" s="370">
        <v>589036</v>
      </c>
      <c r="F47" s="370">
        <v>0</v>
      </c>
      <c r="G47" s="370">
        <f t="shared" si="2"/>
        <v>530132</v>
      </c>
      <c r="H47" s="370">
        <f t="shared" si="0"/>
        <v>7157000</v>
      </c>
    </row>
    <row r="48" spans="1:8" ht="47.25" x14ac:dyDescent="0.2">
      <c r="A48" s="319" t="s">
        <v>2158</v>
      </c>
      <c r="B48" s="397">
        <v>7.36</v>
      </c>
      <c r="C48" s="426"/>
      <c r="D48" s="427">
        <v>0.8</v>
      </c>
      <c r="E48" s="370">
        <v>777822</v>
      </c>
      <c r="F48" s="370">
        <v>0</v>
      </c>
      <c r="G48" s="370">
        <f t="shared" si="2"/>
        <v>622258</v>
      </c>
      <c r="H48" s="370">
        <f t="shared" si="0"/>
        <v>4580000</v>
      </c>
    </row>
    <row r="49" spans="1:8" ht="47.25" x14ac:dyDescent="0.2">
      <c r="A49" s="319" t="s">
        <v>1961</v>
      </c>
      <c r="B49" s="420">
        <v>107.9</v>
      </c>
      <c r="C49" s="426"/>
      <c r="D49" s="427">
        <v>0.9</v>
      </c>
      <c r="E49" s="370">
        <v>777822</v>
      </c>
      <c r="F49" s="370">
        <v>0</v>
      </c>
      <c r="G49" s="370">
        <f t="shared" si="2"/>
        <v>700040</v>
      </c>
      <c r="H49" s="370">
        <f t="shared" si="0"/>
        <v>75534000</v>
      </c>
    </row>
    <row r="50" spans="1:8" ht="31.5" x14ac:dyDescent="0.2">
      <c r="A50" s="327" t="s">
        <v>1842</v>
      </c>
      <c r="B50" s="397">
        <v>22.6</v>
      </c>
      <c r="C50" s="426"/>
      <c r="D50" s="427">
        <v>0.9</v>
      </c>
      <c r="E50" s="370" t="s">
        <v>25</v>
      </c>
      <c r="F50" s="370">
        <v>0</v>
      </c>
      <c r="G50" s="370"/>
      <c r="H50" s="370">
        <f t="shared" si="0"/>
        <v>0</v>
      </c>
    </row>
    <row r="51" spans="1:8" ht="31.5" x14ac:dyDescent="0.2">
      <c r="A51" s="319" t="s">
        <v>1866</v>
      </c>
      <c r="B51" s="397">
        <v>17.64</v>
      </c>
      <c r="C51" s="426"/>
      <c r="D51" s="427">
        <v>0.9</v>
      </c>
      <c r="E51" s="370" t="s">
        <v>25</v>
      </c>
      <c r="F51" s="370">
        <v>0</v>
      </c>
      <c r="G51" s="370"/>
      <c r="H51" s="370">
        <f t="shared" si="0"/>
        <v>0</v>
      </c>
    </row>
    <row r="52" spans="1:8" ht="31.5" x14ac:dyDescent="0.2">
      <c r="A52" s="323" t="s">
        <v>1876</v>
      </c>
      <c r="B52" s="397">
        <v>15.9</v>
      </c>
      <c r="C52" s="426"/>
      <c r="D52" s="427">
        <v>0.9</v>
      </c>
      <c r="E52" s="370" t="s">
        <v>25</v>
      </c>
      <c r="F52" s="370">
        <v>0</v>
      </c>
      <c r="G52" s="370"/>
      <c r="H52" s="370">
        <f t="shared" si="0"/>
        <v>0</v>
      </c>
    </row>
    <row r="53" spans="1:8" ht="31.5" x14ac:dyDescent="0.2">
      <c r="A53" s="324" t="s">
        <v>2390</v>
      </c>
      <c r="B53" s="420">
        <v>22.4</v>
      </c>
      <c r="C53" s="426"/>
      <c r="D53" s="427">
        <v>0.8</v>
      </c>
      <c r="E53" s="370" t="s">
        <v>25</v>
      </c>
      <c r="F53" s="370">
        <v>0</v>
      </c>
      <c r="G53" s="370"/>
      <c r="H53" s="370">
        <f t="shared" si="0"/>
        <v>0</v>
      </c>
    </row>
    <row r="54" spans="1:8" ht="31.5" x14ac:dyDescent="0.2">
      <c r="A54" s="319" t="s">
        <v>2023</v>
      </c>
      <c r="B54" s="420">
        <v>158.4</v>
      </c>
      <c r="C54" s="426"/>
      <c r="D54" s="427">
        <v>0.8</v>
      </c>
      <c r="E54" s="370" t="s">
        <v>25</v>
      </c>
      <c r="F54" s="370">
        <v>0</v>
      </c>
      <c r="G54" s="370"/>
      <c r="H54" s="370">
        <f t="shared" si="0"/>
        <v>0</v>
      </c>
    </row>
    <row r="55" spans="1:8" ht="31.5" x14ac:dyDescent="0.2">
      <c r="A55" s="324" t="s">
        <v>1932</v>
      </c>
      <c r="B55" s="420">
        <v>9.6</v>
      </c>
      <c r="C55" s="426"/>
      <c r="D55" s="427">
        <v>0.9</v>
      </c>
      <c r="E55" s="370" t="s">
        <v>25</v>
      </c>
      <c r="F55" s="370">
        <v>0</v>
      </c>
      <c r="G55" s="370"/>
      <c r="H55" s="370">
        <f t="shared" si="0"/>
        <v>0</v>
      </c>
    </row>
    <row r="56" spans="1:8" ht="31.5" x14ac:dyDescent="0.2">
      <c r="A56" s="324" t="s">
        <v>1938</v>
      </c>
      <c r="B56" s="420">
        <v>50.84</v>
      </c>
      <c r="C56" s="426"/>
      <c r="D56" s="427">
        <v>0.8</v>
      </c>
      <c r="E56" s="370" t="s">
        <v>25</v>
      </c>
      <c r="F56" s="370">
        <v>0</v>
      </c>
      <c r="G56" s="370"/>
      <c r="H56" s="370">
        <f t="shared" si="0"/>
        <v>0</v>
      </c>
    </row>
    <row r="57" spans="1:8" ht="31.5" x14ac:dyDescent="0.2">
      <c r="A57" s="319" t="s">
        <v>2387</v>
      </c>
      <c r="B57" s="420">
        <v>21.840000000000003</v>
      </c>
      <c r="C57" s="426"/>
      <c r="D57" s="427">
        <v>0.8</v>
      </c>
      <c r="E57" s="370" t="s">
        <v>25</v>
      </c>
      <c r="F57" s="370">
        <v>0</v>
      </c>
      <c r="G57" s="370"/>
      <c r="H57" s="370">
        <f t="shared" si="0"/>
        <v>0</v>
      </c>
    </row>
    <row r="58" spans="1:8" ht="15.75" x14ac:dyDescent="0.2">
      <c r="A58" s="319" t="s">
        <v>2293</v>
      </c>
      <c r="B58" s="397">
        <v>1.9</v>
      </c>
      <c r="C58" s="426"/>
      <c r="D58" s="427">
        <v>0.8</v>
      </c>
      <c r="E58" s="370" t="s">
        <v>25</v>
      </c>
      <c r="F58" s="370">
        <v>318728</v>
      </c>
      <c r="G58" s="370">
        <f t="shared" ref="G58:G70" si="3">ROUND(D58*F58,0)</f>
        <v>254982</v>
      </c>
      <c r="H58" s="370">
        <f t="shared" si="0"/>
        <v>484000</v>
      </c>
    </row>
    <row r="59" spans="1:8" ht="15.75" x14ac:dyDescent="0.2">
      <c r="A59" s="319" t="s">
        <v>1881</v>
      </c>
      <c r="B59" s="397">
        <v>3.7199999999999998</v>
      </c>
      <c r="C59" s="426"/>
      <c r="D59" s="427">
        <v>0.9</v>
      </c>
      <c r="E59" s="370" t="s">
        <v>25</v>
      </c>
      <c r="F59" s="370">
        <v>318728</v>
      </c>
      <c r="G59" s="370">
        <f t="shared" si="3"/>
        <v>286855</v>
      </c>
      <c r="H59" s="370">
        <f t="shared" si="0"/>
        <v>1067000</v>
      </c>
    </row>
    <row r="60" spans="1:8" ht="15.75" x14ac:dyDescent="0.2">
      <c r="A60" s="326" t="s">
        <v>2268</v>
      </c>
      <c r="B60" s="397">
        <v>0.16</v>
      </c>
      <c r="C60" s="426"/>
      <c r="D60" s="427">
        <v>0.8</v>
      </c>
      <c r="E60" s="370" t="s">
        <v>25</v>
      </c>
      <c r="F60" s="370">
        <v>318728</v>
      </c>
      <c r="G60" s="370">
        <f t="shared" si="3"/>
        <v>254982</v>
      </c>
      <c r="H60" s="370">
        <f t="shared" si="0"/>
        <v>41000</v>
      </c>
    </row>
    <row r="61" spans="1:8" ht="15.75" x14ac:dyDescent="0.2">
      <c r="A61" s="319" t="s">
        <v>1831</v>
      </c>
      <c r="B61" s="397">
        <v>0.16</v>
      </c>
      <c r="C61" s="426"/>
      <c r="D61" s="427">
        <v>0.9</v>
      </c>
      <c r="E61" s="370" t="s">
        <v>25</v>
      </c>
      <c r="F61" s="370">
        <v>318728</v>
      </c>
      <c r="G61" s="370">
        <f t="shared" si="3"/>
        <v>286855</v>
      </c>
      <c r="H61" s="370">
        <f t="shared" si="0"/>
        <v>46000</v>
      </c>
    </row>
    <row r="62" spans="1:8" ht="15.75" x14ac:dyDescent="0.2">
      <c r="A62" s="319" t="s">
        <v>2318</v>
      </c>
      <c r="B62" s="397">
        <v>3.78</v>
      </c>
      <c r="C62" s="426"/>
      <c r="D62" s="427">
        <v>0.8</v>
      </c>
      <c r="E62" s="370" t="s">
        <v>25</v>
      </c>
      <c r="F62" s="370">
        <v>318728</v>
      </c>
      <c r="G62" s="370">
        <f t="shared" si="3"/>
        <v>254982</v>
      </c>
      <c r="H62" s="370">
        <f t="shared" si="0"/>
        <v>964000</v>
      </c>
    </row>
    <row r="63" spans="1:8" ht="15.75" x14ac:dyDescent="0.2">
      <c r="A63" s="321" t="s">
        <v>1774</v>
      </c>
      <c r="B63" s="422">
        <v>7.0200000000000005</v>
      </c>
      <c r="C63" s="426"/>
      <c r="D63" s="427">
        <v>0.9</v>
      </c>
      <c r="E63" s="370" t="s">
        <v>25</v>
      </c>
      <c r="F63" s="370">
        <v>318728</v>
      </c>
      <c r="G63" s="370">
        <f t="shared" si="3"/>
        <v>286855</v>
      </c>
      <c r="H63" s="370">
        <f t="shared" si="0"/>
        <v>2014000</v>
      </c>
    </row>
    <row r="64" spans="1:8" ht="31.5" x14ac:dyDescent="0.2">
      <c r="A64" s="319" t="s">
        <v>1791</v>
      </c>
      <c r="B64" s="422">
        <v>326.39999999999998</v>
      </c>
      <c r="C64" s="426"/>
      <c r="D64" s="427">
        <v>0.8</v>
      </c>
      <c r="E64" s="370" t="s">
        <v>25</v>
      </c>
      <c r="F64" s="370">
        <v>318728</v>
      </c>
      <c r="G64" s="370">
        <f t="shared" si="3"/>
        <v>254982</v>
      </c>
      <c r="H64" s="370">
        <f t="shared" si="0"/>
        <v>83226000</v>
      </c>
    </row>
    <row r="65" spans="1:8" ht="31.5" x14ac:dyDescent="0.2">
      <c r="A65" s="319" t="s">
        <v>2357</v>
      </c>
      <c r="B65" s="397">
        <v>8.36</v>
      </c>
      <c r="C65" s="426"/>
      <c r="D65" s="427">
        <v>0.8</v>
      </c>
      <c r="E65" s="370" t="s">
        <v>25</v>
      </c>
      <c r="F65" s="370">
        <v>318728</v>
      </c>
      <c r="G65" s="370">
        <f t="shared" si="3"/>
        <v>254982</v>
      </c>
      <c r="H65" s="370">
        <f t="shared" si="0"/>
        <v>2132000</v>
      </c>
    </row>
    <row r="66" spans="1:8" ht="31.5" x14ac:dyDescent="0.2">
      <c r="A66" s="319" t="s">
        <v>1777</v>
      </c>
      <c r="B66" s="397">
        <v>111.7</v>
      </c>
      <c r="C66" s="426"/>
      <c r="D66" s="427">
        <v>0.9</v>
      </c>
      <c r="E66" s="370" t="s">
        <v>25</v>
      </c>
      <c r="F66" s="370">
        <v>318728</v>
      </c>
      <c r="G66" s="370">
        <f t="shared" si="3"/>
        <v>286855</v>
      </c>
      <c r="H66" s="370">
        <f t="shared" si="0"/>
        <v>32042000</v>
      </c>
    </row>
    <row r="67" spans="1:8" ht="31.5" x14ac:dyDescent="0.2">
      <c r="A67" s="319" t="s">
        <v>2346</v>
      </c>
      <c r="B67" s="397">
        <v>33.840000000000003</v>
      </c>
      <c r="C67" s="426"/>
      <c r="D67" s="427">
        <v>0.8</v>
      </c>
      <c r="E67" s="370" t="s">
        <v>25</v>
      </c>
      <c r="F67" s="370">
        <v>318728</v>
      </c>
      <c r="G67" s="370">
        <f t="shared" si="3"/>
        <v>254982</v>
      </c>
      <c r="H67" s="370">
        <f t="shared" ref="H67:H130" si="4">ROUND(G67*B67,-3)</f>
        <v>8629000</v>
      </c>
    </row>
    <row r="68" spans="1:8" ht="31.5" x14ac:dyDescent="0.2">
      <c r="A68" s="319" t="s">
        <v>2026</v>
      </c>
      <c r="B68" s="420">
        <v>52</v>
      </c>
      <c r="C68" s="426"/>
      <c r="D68" s="427">
        <v>0.8</v>
      </c>
      <c r="E68" s="370" t="s">
        <v>25</v>
      </c>
      <c r="F68" s="370">
        <v>318728</v>
      </c>
      <c r="G68" s="370">
        <f t="shared" si="3"/>
        <v>254982</v>
      </c>
      <c r="H68" s="370">
        <f t="shared" si="4"/>
        <v>13259000</v>
      </c>
    </row>
    <row r="69" spans="1:8" ht="31.5" x14ac:dyDescent="0.2">
      <c r="A69" s="319" t="s">
        <v>2025</v>
      </c>
      <c r="B69" s="420">
        <v>484</v>
      </c>
      <c r="C69" s="426"/>
      <c r="D69" s="427">
        <v>0.8</v>
      </c>
      <c r="E69" s="370" t="s">
        <v>25</v>
      </c>
      <c r="F69" s="370">
        <v>318728</v>
      </c>
      <c r="G69" s="370">
        <f t="shared" si="3"/>
        <v>254982</v>
      </c>
      <c r="H69" s="370">
        <f t="shared" si="4"/>
        <v>123411000</v>
      </c>
    </row>
    <row r="70" spans="1:8" ht="31.5" x14ac:dyDescent="0.2">
      <c r="A70" s="319" t="s">
        <v>2152</v>
      </c>
      <c r="B70" s="397">
        <v>3.64</v>
      </c>
      <c r="C70" s="426"/>
      <c r="D70" s="427">
        <v>0.9</v>
      </c>
      <c r="E70" s="370" t="s">
        <v>25</v>
      </c>
      <c r="F70" s="370">
        <v>329308</v>
      </c>
      <c r="G70" s="370">
        <f t="shared" si="3"/>
        <v>296377</v>
      </c>
      <c r="H70" s="370">
        <f t="shared" si="4"/>
        <v>1079000</v>
      </c>
    </row>
    <row r="71" spans="1:8" ht="31.5" x14ac:dyDescent="0.2">
      <c r="A71" s="321" t="s">
        <v>1758</v>
      </c>
      <c r="B71" s="397">
        <v>4</v>
      </c>
      <c r="C71" s="426"/>
      <c r="D71" s="427">
        <v>0.8</v>
      </c>
      <c r="E71" s="370" t="s">
        <v>25</v>
      </c>
      <c r="F71" s="370">
        <v>0</v>
      </c>
      <c r="G71" s="370"/>
      <c r="H71" s="370">
        <f t="shared" si="4"/>
        <v>0</v>
      </c>
    </row>
    <row r="72" spans="1:8" ht="31.5" x14ac:dyDescent="0.2">
      <c r="A72" s="319" t="s">
        <v>1825</v>
      </c>
      <c r="B72" s="397">
        <v>2</v>
      </c>
      <c r="C72" s="426"/>
      <c r="D72" s="427">
        <v>0.9</v>
      </c>
      <c r="E72" s="370" t="s">
        <v>25</v>
      </c>
      <c r="F72" s="370">
        <v>0</v>
      </c>
      <c r="G72" s="370"/>
      <c r="H72" s="370">
        <f t="shared" si="4"/>
        <v>0</v>
      </c>
    </row>
    <row r="73" spans="1:8" ht="31.5" x14ac:dyDescent="0.2">
      <c r="A73" s="319" t="s">
        <v>2400</v>
      </c>
      <c r="B73" s="420">
        <v>1</v>
      </c>
      <c r="C73" s="426"/>
      <c r="D73" s="427">
        <v>0.8</v>
      </c>
      <c r="E73" s="370" t="s">
        <v>25</v>
      </c>
      <c r="F73" s="370">
        <v>0</v>
      </c>
      <c r="G73" s="370"/>
      <c r="H73" s="370">
        <f t="shared" si="4"/>
        <v>0</v>
      </c>
    </row>
    <row r="74" spans="1:8" ht="31.5" x14ac:dyDescent="0.2">
      <c r="A74" s="319" t="s">
        <v>2313</v>
      </c>
      <c r="B74" s="397">
        <v>1</v>
      </c>
      <c r="C74" s="426"/>
      <c r="D74" s="427">
        <v>0.8</v>
      </c>
      <c r="E74" s="370" t="s">
        <v>25</v>
      </c>
      <c r="F74" s="370">
        <v>0</v>
      </c>
      <c r="G74" s="370"/>
      <c r="H74" s="370">
        <f t="shared" si="4"/>
        <v>0</v>
      </c>
    </row>
    <row r="75" spans="1:8" ht="15.75" x14ac:dyDescent="0.2">
      <c r="A75" s="319" t="s">
        <v>1347</v>
      </c>
      <c r="B75" s="420">
        <v>1</v>
      </c>
      <c r="C75" s="426"/>
      <c r="D75" s="426"/>
      <c r="E75" s="370" t="s">
        <v>25</v>
      </c>
      <c r="F75" s="370">
        <v>0</v>
      </c>
      <c r="G75" s="370"/>
      <c r="H75" s="370">
        <f t="shared" si="4"/>
        <v>0</v>
      </c>
    </row>
    <row r="76" spans="1:8" ht="31.5" x14ac:dyDescent="0.2">
      <c r="A76" s="319" t="s">
        <v>1951</v>
      </c>
      <c r="B76" s="420">
        <v>1</v>
      </c>
      <c r="C76" s="426"/>
      <c r="D76" s="427">
        <v>0.9</v>
      </c>
      <c r="E76" s="370" t="s">
        <v>25</v>
      </c>
      <c r="F76" s="370">
        <v>0</v>
      </c>
      <c r="G76" s="370"/>
      <c r="H76" s="370">
        <f t="shared" si="4"/>
        <v>0</v>
      </c>
    </row>
    <row r="77" spans="1:8" ht="31.5" x14ac:dyDescent="0.2">
      <c r="A77" s="319" t="s">
        <v>1999</v>
      </c>
      <c r="B77" s="420">
        <v>1</v>
      </c>
      <c r="C77" s="426"/>
      <c r="D77" s="427">
        <v>0.8</v>
      </c>
      <c r="E77" s="370" t="s">
        <v>25</v>
      </c>
      <c r="F77" s="370">
        <v>0</v>
      </c>
      <c r="G77" s="370"/>
      <c r="H77" s="370">
        <f t="shared" si="4"/>
        <v>0</v>
      </c>
    </row>
    <row r="78" spans="1:8" ht="31.5" x14ac:dyDescent="0.2">
      <c r="A78" s="319" t="s">
        <v>1952</v>
      </c>
      <c r="B78" s="420">
        <v>1</v>
      </c>
      <c r="C78" s="426"/>
      <c r="D78" s="427">
        <v>0.9</v>
      </c>
      <c r="E78" s="370" t="s">
        <v>25</v>
      </c>
      <c r="F78" s="370">
        <v>0</v>
      </c>
      <c r="G78" s="370"/>
      <c r="H78" s="370">
        <f t="shared" si="4"/>
        <v>0</v>
      </c>
    </row>
    <row r="79" spans="1:8" ht="15.75" x14ac:dyDescent="0.2">
      <c r="A79" s="319" t="s">
        <v>2360</v>
      </c>
      <c r="B79" s="397">
        <v>11</v>
      </c>
      <c r="C79" s="426"/>
      <c r="D79" s="427">
        <v>0.8</v>
      </c>
      <c r="E79" s="370" t="s">
        <v>25</v>
      </c>
      <c r="F79" s="370">
        <v>0</v>
      </c>
      <c r="G79" s="370"/>
      <c r="H79" s="370">
        <f t="shared" si="4"/>
        <v>0</v>
      </c>
    </row>
    <row r="80" spans="1:8" ht="15.75" x14ac:dyDescent="0.2">
      <c r="A80" s="319" t="s">
        <v>1950</v>
      </c>
      <c r="B80" s="420">
        <v>65.024999999999991</v>
      </c>
      <c r="C80" s="426"/>
      <c r="D80" s="427">
        <v>0.9</v>
      </c>
      <c r="E80" s="370" t="s">
        <v>25</v>
      </c>
      <c r="F80" s="370">
        <v>0</v>
      </c>
      <c r="G80" s="370"/>
      <c r="H80" s="370">
        <f t="shared" si="4"/>
        <v>0</v>
      </c>
    </row>
    <row r="81" spans="1:8" ht="31.5" x14ac:dyDescent="0.2">
      <c r="A81" s="319" t="s">
        <v>1751</v>
      </c>
      <c r="B81" s="397">
        <v>9.6</v>
      </c>
      <c r="C81" s="427">
        <v>0.8</v>
      </c>
      <c r="D81" s="427">
        <v>0.8</v>
      </c>
      <c r="E81" s="370">
        <v>6432390</v>
      </c>
      <c r="F81" s="370">
        <v>0</v>
      </c>
      <c r="G81" s="370">
        <f>ROUND(C81*D81*E81,0)</f>
        <v>4116730</v>
      </c>
      <c r="H81" s="370">
        <f t="shared" si="4"/>
        <v>39521000</v>
      </c>
    </row>
    <row r="82" spans="1:8" ht="30" customHeight="1" x14ac:dyDescent="0.2">
      <c r="A82" s="321" t="s">
        <v>2404</v>
      </c>
      <c r="B82" s="397">
        <v>14.75</v>
      </c>
      <c r="C82" s="427">
        <v>0.8</v>
      </c>
      <c r="D82" s="427">
        <v>0.9</v>
      </c>
      <c r="E82" s="370">
        <v>6432390</v>
      </c>
      <c r="F82" s="370">
        <v>0</v>
      </c>
      <c r="G82" s="370">
        <f>ROUND(C82*D82*E82,0)</f>
        <v>4631321</v>
      </c>
      <c r="H82" s="370">
        <f t="shared" si="4"/>
        <v>68312000</v>
      </c>
    </row>
    <row r="83" spans="1:8" ht="31.5" x14ac:dyDescent="0.2">
      <c r="A83" s="321" t="s">
        <v>2260</v>
      </c>
      <c r="B83" s="397">
        <v>15.84</v>
      </c>
      <c r="C83" s="427">
        <v>0.8</v>
      </c>
      <c r="D83" s="427">
        <v>0.9</v>
      </c>
      <c r="E83" s="370">
        <v>5683674</v>
      </c>
      <c r="F83" s="370">
        <v>0</v>
      </c>
      <c r="G83" s="370">
        <f>ROUND(C83*D83*E83,0)</f>
        <v>4092245</v>
      </c>
      <c r="H83" s="370">
        <f t="shared" si="4"/>
        <v>64821000</v>
      </c>
    </row>
    <row r="84" spans="1:8" ht="31.5" x14ac:dyDescent="0.2">
      <c r="A84" s="319" t="s">
        <v>1819</v>
      </c>
      <c r="B84" s="397">
        <v>10</v>
      </c>
      <c r="C84" s="427">
        <v>0.8</v>
      </c>
      <c r="D84" s="427">
        <v>0.9</v>
      </c>
      <c r="E84" s="370">
        <v>5897406</v>
      </c>
      <c r="F84" s="370">
        <v>0</v>
      </c>
      <c r="G84" s="370">
        <f t="shared" ref="G84:G89" si="5">ROUND(C84*D84*E84,0)</f>
        <v>4246132</v>
      </c>
      <c r="H84" s="370">
        <f t="shared" si="4"/>
        <v>42461000</v>
      </c>
    </row>
    <row r="85" spans="1:8" ht="31.5" x14ac:dyDescent="0.2">
      <c r="A85" s="319" t="s">
        <v>2297</v>
      </c>
      <c r="B85" s="397">
        <v>8.5500000000000007</v>
      </c>
      <c r="C85" s="427">
        <v>0.8</v>
      </c>
      <c r="D85" s="427">
        <v>0.8</v>
      </c>
      <c r="E85" s="370">
        <v>6432390</v>
      </c>
      <c r="F85" s="370">
        <v>0</v>
      </c>
      <c r="G85" s="370">
        <f t="shared" si="5"/>
        <v>4116730</v>
      </c>
      <c r="H85" s="370">
        <f t="shared" si="4"/>
        <v>35198000</v>
      </c>
    </row>
    <row r="86" spans="1:8" ht="31.5" x14ac:dyDescent="0.2">
      <c r="A86" s="319" t="s">
        <v>1868</v>
      </c>
      <c r="B86" s="397">
        <v>10.83</v>
      </c>
      <c r="C86" s="427">
        <v>0.8</v>
      </c>
      <c r="D86" s="427">
        <v>0.9</v>
      </c>
      <c r="E86" s="370">
        <v>6432390</v>
      </c>
      <c r="F86" s="370">
        <v>0</v>
      </c>
      <c r="G86" s="370">
        <f>ROUND(C86*D86*E86,0)</f>
        <v>4631321</v>
      </c>
      <c r="H86" s="370">
        <f t="shared" si="4"/>
        <v>50157000</v>
      </c>
    </row>
    <row r="87" spans="1:8" ht="31.5" x14ac:dyDescent="0.2">
      <c r="A87" s="319" t="s">
        <v>2256</v>
      </c>
      <c r="B87" s="397">
        <v>15.08</v>
      </c>
      <c r="C87" s="427">
        <v>0.8</v>
      </c>
      <c r="D87" s="427">
        <v>0.9</v>
      </c>
      <c r="E87" s="370">
        <v>6432390</v>
      </c>
      <c r="F87" s="370">
        <v>0</v>
      </c>
      <c r="G87" s="370">
        <f t="shared" si="5"/>
        <v>4631321</v>
      </c>
      <c r="H87" s="370">
        <f t="shared" si="4"/>
        <v>69840000</v>
      </c>
    </row>
    <row r="88" spans="1:8" ht="31.5" x14ac:dyDescent="0.2">
      <c r="A88" s="319" t="s">
        <v>2321</v>
      </c>
      <c r="B88" s="397">
        <v>18.8</v>
      </c>
      <c r="C88" s="427">
        <v>0.8</v>
      </c>
      <c r="D88" s="427">
        <v>0.9</v>
      </c>
      <c r="E88" s="370">
        <v>5897406</v>
      </c>
      <c r="F88" s="370">
        <v>0</v>
      </c>
      <c r="G88" s="370">
        <f t="shared" si="5"/>
        <v>4246132</v>
      </c>
      <c r="H88" s="370">
        <f t="shared" si="4"/>
        <v>79827000</v>
      </c>
    </row>
    <row r="89" spans="1:8" ht="31.5" x14ac:dyDescent="0.2">
      <c r="A89" s="321" t="s">
        <v>1859</v>
      </c>
      <c r="B89" s="397">
        <v>18.350000000000001</v>
      </c>
      <c r="C89" s="427">
        <v>0.8</v>
      </c>
      <c r="D89" s="427">
        <v>0.8</v>
      </c>
      <c r="E89" s="370">
        <v>3945111</v>
      </c>
      <c r="F89" s="370">
        <v>0</v>
      </c>
      <c r="G89" s="370">
        <f t="shared" si="5"/>
        <v>2524871</v>
      </c>
      <c r="H89" s="370">
        <f t="shared" si="4"/>
        <v>46331000</v>
      </c>
    </row>
    <row r="90" spans="1:8" ht="31.5" x14ac:dyDescent="0.2">
      <c r="A90" s="319" t="s">
        <v>1954</v>
      </c>
      <c r="B90" s="420">
        <v>11.440000000000001</v>
      </c>
      <c r="C90" s="426"/>
      <c r="D90" s="427">
        <v>0.9</v>
      </c>
      <c r="E90" s="370" t="s">
        <v>25</v>
      </c>
      <c r="F90" s="370">
        <v>0</v>
      </c>
      <c r="G90" s="370"/>
      <c r="H90" s="370">
        <f t="shared" si="4"/>
        <v>0</v>
      </c>
    </row>
    <row r="91" spans="1:8" ht="31.5" x14ac:dyDescent="0.2">
      <c r="A91" s="319" t="s">
        <v>1865</v>
      </c>
      <c r="B91" s="397">
        <v>371.04</v>
      </c>
      <c r="C91" s="426"/>
      <c r="D91" s="427">
        <v>0.9</v>
      </c>
      <c r="E91" s="370">
        <v>551834</v>
      </c>
      <c r="F91" s="370">
        <v>0</v>
      </c>
      <c r="G91" s="370">
        <f t="shared" ref="G91:G94" si="6">ROUND(D91*E91,0)</f>
        <v>496651</v>
      </c>
      <c r="H91" s="370">
        <f t="shared" si="4"/>
        <v>184277000</v>
      </c>
    </row>
    <row r="92" spans="1:8" ht="31.5" x14ac:dyDescent="0.2">
      <c r="A92" s="321" t="s">
        <v>2305</v>
      </c>
      <c r="B92" s="397">
        <v>26.96</v>
      </c>
      <c r="C92" s="426"/>
      <c r="D92" s="427">
        <v>0.8</v>
      </c>
      <c r="E92" s="370">
        <v>551834</v>
      </c>
      <c r="F92" s="370">
        <v>0</v>
      </c>
      <c r="G92" s="370">
        <f t="shared" si="6"/>
        <v>441467</v>
      </c>
      <c r="H92" s="370">
        <f t="shared" si="4"/>
        <v>11902000</v>
      </c>
    </row>
    <row r="93" spans="1:8" ht="31.5" x14ac:dyDescent="0.2">
      <c r="A93" s="321" t="s">
        <v>1828</v>
      </c>
      <c r="B93" s="397">
        <v>9.2799999999999994</v>
      </c>
      <c r="C93" s="426"/>
      <c r="D93" s="427">
        <v>0.9</v>
      </c>
      <c r="E93" s="370">
        <v>551834</v>
      </c>
      <c r="F93" s="370">
        <v>0</v>
      </c>
      <c r="G93" s="370">
        <f t="shared" si="6"/>
        <v>496651</v>
      </c>
      <c r="H93" s="370">
        <f t="shared" si="4"/>
        <v>4609000</v>
      </c>
    </row>
    <row r="94" spans="1:8" ht="47.25" x14ac:dyDescent="0.2">
      <c r="A94" s="321" t="s">
        <v>2286</v>
      </c>
      <c r="B94" s="397">
        <v>27.37</v>
      </c>
      <c r="C94" s="426"/>
      <c r="D94" s="427">
        <v>0.9</v>
      </c>
      <c r="E94" s="370">
        <v>551834</v>
      </c>
      <c r="F94" s="370">
        <v>0</v>
      </c>
      <c r="G94" s="370">
        <f t="shared" si="6"/>
        <v>496651</v>
      </c>
      <c r="H94" s="370">
        <f t="shared" si="4"/>
        <v>13593000</v>
      </c>
    </row>
    <row r="95" spans="1:8" ht="31.5" x14ac:dyDescent="0.2">
      <c r="A95" s="319" t="s">
        <v>1970</v>
      </c>
      <c r="B95" s="420">
        <v>7.8</v>
      </c>
      <c r="C95" s="426"/>
      <c r="D95" s="427">
        <v>0.9</v>
      </c>
      <c r="E95" s="370" t="s">
        <v>25</v>
      </c>
      <c r="F95" s="370">
        <v>0</v>
      </c>
      <c r="G95" s="370"/>
      <c r="H95" s="370">
        <f t="shared" si="4"/>
        <v>0</v>
      </c>
    </row>
    <row r="96" spans="1:8" ht="31.5" x14ac:dyDescent="0.2">
      <c r="A96" s="324" t="s">
        <v>1984</v>
      </c>
      <c r="B96" s="420">
        <v>25.92</v>
      </c>
      <c r="C96" s="426"/>
      <c r="D96" s="427">
        <v>0.8</v>
      </c>
      <c r="E96" s="370">
        <v>989036</v>
      </c>
      <c r="F96" s="370">
        <v>0</v>
      </c>
      <c r="G96" s="370">
        <f t="shared" ref="G96:G110" si="7">ROUND(D96*E96,0)</f>
        <v>791229</v>
      </c>
      <c r="H96" s="370">
        <f t="shared" si="4"/>
        <v>20509000</v>
      </c>
    </row>
    <row r="97" spans="1:8" ht="31.5" x14ac:dyDescent="0.2">
      <c r="A97" s="319" t="s">
        <v>2362</v>
      </c>
      <c r="B97" s="397">
        <v>50.4</v>
      </c>
      <c r="C97" s="426"/>
      <c r="D97" s="427">
        <v>0.8</v>
      </c>
      <c r="E97" s="370">
        <v>781960</v>
      </c>
      <c r="F97" s="370">
        <v>0</v>
      </c>
      <c r="G97" s="370">
        <f t="shared" si="7"/>
        <v>625568</v>
      </c>
      <c r="H97" s="370">
        <f t="shared" si="4"/>
        <v>31529000</v>
      </c>
    </row>
    <row r="98" spans="1:8" ht="31.5" x14ac:dyDescent="0.2">
      <c r="A98" s="319" t="s">
        <v>386</v>
      </c>
      <c r="B98" s="397">
        <v>7.65</v>
      </c>
      <c r="C98" s="426"/>
      <c r="D98" s="426">
        <v>1</v>
      </c>
      <c r="E98" s="370">
        <v>551834</v>
      </c>
      <c r="F98" s="370">
        <v>0</v>
      </c>
      <c r="G98" s="370">
        <f t="shared" si="7"/>
        <v>551834</v>
      </c>
      <c r="H98" s="370">
        <f t="shared" si="4"/>
        <v>4222000</v>
      </c>
    </row>
    <row r="99" spans="1:8" ht="31.5" x14ac:dyDescent="0.2">
      <c r="A99" s="323" t="s">
        <v>1901</v>
      </c>
      <c r="B99" s="397">
        <v>276.06</v>
      </c>
      <c r="C99" s="426"/>
      <c r="D99" s="427">
        <v>0.8</v>
      </c>
      <c r="E99" s="370">
        <v>551834</v>
      </c>
      <c r="F99" s="370">
        <v>0</v>
      </c>
      <c r="G99" s="370">
        <f t="shared" si="7"/>
        <v>441467</v>
      </c>
      <c r="H99" s="370">
        <f t="shared" si="4"/>
        <v>121871000</v>
      </c>
    </row>
    <row r="100" spans="1:8" ht="31.5" x14ac:dyDescent="0.2">
      <c r="A100" s="323" t="s">
        <v>1862</v>
      </c>
      <c r="B100" s="397">
        <v>183.38</v>
      </c>
      <c r="C100" s="426"/>
      <c r="D100" s="427">
        <v>0.9</v>
      </c>
      <c r="E100" s="370">
        <v>551834</v>
      </c>
      <c r="F100" s="370">
        <v>0</v>
      </c>
      <c r="G100" s="370">
        <f t="shared" si="7"/>
        <v>496651</v>
      </c>
      <c r="H100" s="370">
        <f t="shared" si="4"/>
        <v>91076000</v>
      </c>
    </row>
    <row r="101" spans="1:8" ht="31.5" x14ac:dyDescent="0.2">
      <c r="A101" s="319" t="s">
        <v>2269</v>
      </c>
      <c r="B101" s="397">
        <v>80</v>
      </c>
      <c r="C101" s="426"/>
      <c r="D101" s="427">
        <v>0.8</v>
      </c>
      <c r="E101" s="370">
        <v>781960</v>
      </c>
      <c r="F101" s="370">
        <v>0</v>
      </c>
      <c r="G101" s="370">
        <f t="shared" si="7"/>
        <v>625568</v>
      </c>
      <c r="H101" s="370">
        <f t="shared" si="4"/>
        <v>50045000</v>
      </c>
    </row>
    <row r="102" spans="1:8" ht="31.5" x14ac:dyDescent="0.2">
      <c r="A102" s="321" t="s">
        <v>2266</v>
      </c>
      <c r="B102" s="397">
        <v>4.8</v>
      </c>
      <c r="C102" s="426"/>
      <c r="D102" s="427">
        <v>0.8</v>
      </c>
      <c r="E102" s="370">
        <v>551834</v>
      </c>
      <c r="F102" s="370">
        <v>0</v>
      </c>
      <c r="G102" s="370">
        <f t="shared" si="7"/>
        <v>441467</v>
      </c>
      <c r="H102" s="370">
        <f t="shared" si="4"/>
        <v>2119000</v>
      </c>
    </row>
    <row r="103" spans="1:8" ht="31.5" x14ac:dyDescent="0.2">
      <c r="A103" s="321" t="s">
        <v>2288</v>
      </c>
      <c r="B103" s="397">
        <v>70.2</v>
      </c>
      <c r="C103" s="426"/>
      <c r="D103" s="427">
        <v>0.8</v>
      </c>
      <c r="E103" s="370">
        <v>551834</v>
      </c>
      <c r="F103" s="370">
        <v>0</v>
      </c>
      <c r="G103" s="370">
        <f t="shared" si="7"/>
        <v>441467</v>
      </c>
      <c r="H103" s="370">
        <f t="shared" si="4"/>
        <v>30991000</v>
      </c>
    </row>
    <row r="104" spans="1:8" ht="31.5" x14ac:dyDescent="0.2">
      <c r="A104" s="321" t="s">
        <v>2304</v>
      </c>
      <c r="B104" s="397">
        <v>3.36</v>
      </c>
      <c r="C104" s="426"/>
      <c r="D104" s="427">
        <v>0.8</v>
      </c>
      <c r="E104" s="370">
        <v>551834</v>
      </c>
      <c r="F104" s="370">
        <v>0</v>
      </c>
      <c r="G104" s="370">
        <f t="shared" si="7"/>
        <v>441467</v>
      </c>
      <c r="H104" s="370">
        <f t="shared" si="4"/>
        <v>1483000</v>
      </c>
    </row>
    <row r="105" spans="1:8" ht="31.5" x14ac:dyDescent="0.2">
      <c r="A105" s="328" t="s">
        <v>2324</v>
      </c>
      <c r="B105" s="397">
        <v>4.76</v>
      </c>
      <c r="C105" s="426"/>
      <c r="D105" s="427">
        <v>0.9</v>
      </c>
      <c r="E105" s="370">
        <v>551834</v>
      </c>
      <c r="F105" s="370">
        <v>0</v>
      </c>
      <c r="G105" s="370">
        <f t="shared" si="7"/>
        <v>496651</v>
      </c>
      <c r="H105" s="370">
        <f t="shared" si="4"/>
        <v>2364000</v>
      </c>
    </row>
    <row r="106" spans="1:8" ht="31.5" x14ac:dyDescent="0.2">
      <c r="A106" s="319" t="s">
        <v>596</v>
      </c>
      <c r="B106" s="397">
        <v>13.3</v>
      </c>
      <c r="C106" s="426"/>
      <c r="D106" s="426">
        <v>1</v>
      </c>
      <c r="E106" s="370">
        <v>1186572</v>
      </c>
      <c r="F106" s="370">
        <v>0</v>
      </c>
      <c r="G106" s="370">
        <f t="shared" si="7"/>
        <v>1186572</v>
      </c>
      <c r="H106" s="370">
        <f t="shared" si="4"/>
        <v>15781000</v>
      </c>
    </row>
    <row r="107" spans="1:8" ht="31.5" x14ac:dyDescent="0.2">
      <c r="A107" s="323" t="s">
        <v>1892</v>
      </c>
      <c r="B107" s="397">
        <v>47.26</v>
      </c>
      <c r="C107" s="426"/>
      <c r="D107" s="427">
        <v>0.9</v>
      </c>
      <c r="E107" s="370">
        <v>989036</v>
      </c>
      <c r="F107" s="370">
        <v>0</v>
      </c>
      <c r="G107" s="370">
        <f t="shared" si="7"/>
        <v>890132</v>
      </c>
      <c r="H107" s="370">
        <f t="shared" si="4"/>
        <v>42068000</v>
      </c>
    </row>
    <row r="108" spans="1:8" ht="31.5" x14ac:dyDescent="0.2">
      <c r="A108" s="319" t="s">
        <v>2263</v>
      </c>
      <c r="B108" s="397">
        <v>22.88</v>
      </c>
      <c r="C108" s="426"/>
      <c r="D108" s="427">
        <v>0.8</v>
      </c>
      <c r="E108" s="370">
        <v>989036</v>
      </c>
      <c r="F108" s="370">
        <v>0</v>
      </c>
      <c r="G108" s="370">
        <f t="shared" si="7"/>
        <v>791229</v>
      </c>
      <c r="H108" s="370">
        <f t="shared" si="4"/>
        <v>18103000</v>
      </c>
    </row>
    <row r="109" spans="1:8" ht="31.5" x14ac:dyDescent="0.2">
      <c r="A109" s="328" t="s">
        <v>2325</v>
      </c>
      <c r="B109" s="397">
        <v>6.34</v>
      </c>
      <c r="C109" s="426"/>
      <c r="D109" s="427">
        <v>0.9</v>
      </c>
      <c r="E109" s="370">
        <v>551834</v>
      </c>
      <c r="F109" s="370">
        <v>0</v>
      </c>
      <c r="G109" s="370">
        <f t="shared" si="7"/>
        <v>496651</v>
      </c>
      <c r="H109" s="370">
        <f t="shared" si="4"/>
        <v>3149000</v>
      </c>
    </row>
    <row r="110" spans="1:8" ht="31.5" x14ac:dyDescent="0.2">
      <c r="A110" s="319" t="s">
        <v>1867</v>
      </c>
      <c r="B110" s="397">
        <v>7.77</v>
      </c>
      <c r="C110" s="426"/>
      <c r="D110" s="427">
        <v>0.9</v>
      </c>
      <c r="E110" s="370">
        <v>1186572</v>
      </c>
      <c r="F110" s="370">
        <v>0</v>
      </c>
      <c r="G110" s="370">
        <f t="shared" si="7"/>
        <v>1067915</v>
      </c>
      <c r="H110" s="370">
        <f t="shared" si="4"/>
        <v>8298000</v>
      </c>
    </row>
    <row r="111" spans="1:8" ht="31.5" x14ac:dyDescent="0.2">
      <c r="A111" s="319" t="s">
        <v>1964</v>
      </c>
      <c r="B111" s="420">
        <v>34.339999999999996</v>
      </c>
      <c r="C111" s="426"/>
      <c r="D111" s="427">
        <v>0.9</v>
      </c>
      <c r="E111" s="370" t="s">
        <v>25</v>
      </c>
      <c r="F111" s="370">
        <v>0</v>
      </c>
      <c r="G111" s="370"/>
      <c r="H111" s="370">
        <f t="shared" si="4"/>
        <v>0</v>
      </c>
    </row>
    <row r="112" spans="1:8" ht="31.5" x14ac:dyDescent="0.2">
      <c r="A112" s="319" t="s">
        <v>2024</v>
      </c>
      <c r="B112" s="420">
        <v>14.4</v>
      </c>
      <c r="C112" s="426"/>
      <c r="D112" s="427">
        <v>0.8</v>
      </c>
      <c r="E112" s="370" t="s">
        <v>25</v>
      </c>
      <c r="F112" s="370">
        <v>0</v>
      </c>
      <c r="G112" s="370"/>
      <c r="H112" s="370">
        <f t="shared" si="4"/>
        <v>0</v>
      </c>
    </row>
    <row r="113" spans="1:8" ht="47.25" x14ac:dyDescent="0.2">
      <c r="A113" s="319" t="s">
        <v>2146</v>
      </c>
      <c r="B113" s="420">
        <v>188.3</v>
      </c>
      <c r="C113" s="426"/>
      <c r="D113" s="427">
        <v>0.8</v>
      </c>
      <c r="E113" s="370">
        <v>1050323</v>
      </c>
      <c r="F113" s="370">
        <v>0</v>
      </c>
      <c r="G113" s="370">
        <f t="shared" ref="G113:G120" si="8">ROUND(D113*E113,0)</f>
        <v>840258</v>
      </c>
      <c r="H113" s="370">
        <f t="shared" si="4"/>
        <v>158221000</v>
      </c>
    </row>
    <row r="114" spans="1:8" ht="47.25" x14ac:dyDescent="0.2">
      <c r="A114" s="319" t="s">
        <v>1948</v>
      </c>
      <c r="B114" s="420">
        <v>20.979999999999997</v>
      </c>
      <c r="C114" s="426"/>
      <c r="D114" s="427">
        <v>0.9</v>
      </c>
      <c r="E114" s="370">
        <v>989036</v>
      </c>
      <c r="F114" s="370">
        <v>0</v>
      </c>
      <c r="G114" s="370">
        <f t="shared" si="8"/>
        <v>890132</v>
      </c>
      <c r="H114" s="370">
        <f t="shared" si="4"/>
        <v>18675000</v>
      </c>
    </row>
    <row r="115" spans="1:8" ht="47.25" x14ac:dyDescent="0.2">
      <c r="A115" s="324" t="s">
        <v>2395</v>
      </c>
      <c r="B115" s="420">
        <v>133.19999999999999</v>
      </c>
      <c r="C115" s="426"/>
      <c r="D115" s="427">
        <v>0.8</v>
      </c>
      <c r="E115" s="370">
        <v>922818</v>
      </c>
      <c r="F115" s="370">
        <v>0</v>
      </c>
      <c r="G115" s="370">
        <f t="shared" si="8"/>
        <v>738254</v>
      </c>
      <c r="H115" s="370">
        <f t="shared" si="4"/>
        <v>98335000</v>
      </c>
    </row>
    <row r="116" spans="1:8" ht="47.25" x14ac:dyDescent="0.2">
      <c r="A116" s="319" t="s">
        <v>1966</v>
      </c>
      <c r="B116" s="420">
        <v>83.6</v>
      </c>
      <c r="C116" s="426"/>
      <c r="D116" s="427">
        <v>0.9</v>
      </c>
      <c r="E116" s="370">
        <v>1050323</v>
      </c>
      <c r="F116" s="370">
        <v>0</v>
      </c>
      <c r="G116" s="370">
        <f t="shared" si="8"/>
        <v>945291</v>
      </c>
      <c r="H116" s="370">
        <f t="shared" si="4"/>
        <v>79026000</v>
      </c>
    </row>
    <row r="117" spans="1:8" s="289" customFormat="1" ht="47.25" x14ac:dyDescent="0.2">
      <c r="A117" s="319" t="s">
        <v>2367</v>
      </c>
      <c r="B117" s="420">
        <v>11</v>
      </c>
      <c r="C117" s="415"/>
      <c r="D117" s="416">
        <v>0.8</v>
      </c>
      <c r="E117" s="288">
        <v>968497</v>
      </c>
      <c r="F117" s="288">
        <v>0</v>
      </c>
      <c r="G117" s="288">
        <f t="shared" si="8"/>
        <v>774798</v>
      </c>
      <c r="H117" s="370">
        <f t="shared" si="4"/>
        <v>8523000</v>
      </c>
    </row>
    <row r="118" spans="1:8" ht="31.5" x14ac:dyDescent="0.2">
      <c r="A118" s="324" t="s">
        <v>1985</v>
      </c>
      <c r="B118" s="420">
        <v>144</v>
      </c>
      <c r="C118" s="426"/>
      <c r="D118" s="427">
        <v>0.8</v>
      </c>
      <c r="E118" s="370">
        <v>781960</v>
      </c>
      <c r="F118" s="370">
        <v>0</v>
      </c>
      <c r="G118" s="370">
        <f t="shared" si="8"/>
        <v>625568</v>
      </c>
      <c r="H118" s="370">
        <f t="shared" si="4"/>
        <v>90082000</v>
      </c>
    </row>
    <row r="119" spans="1:8" ht="31.5" x14ac:dyDescent="0.2">
      <c r="A119" s="319" t="s">
        <v>1993</v>
      </c>
      <c r="B119" s="420">
        <v>104.4</v>
      </c>
      <c r="C119" s="426"/>
      <c r="D119" s="427">
        <v>0.8</v>
      </c>
      <c r="E119" s="370">
        <v>781960</v>
      </c>
      <c r="F119" s="370">
        <v>0</v>
      </c>
      <c r="G119" s="370">
        <f t="shared" si="8"/>
        <v>625568</v>
      </c>
      <c r="H119" s="370">
        <f t="shared" si="4"/>
        <v>65309000</v>
      </c>
    </row>
    <row r="120" spans="1:8" ht="31.5" x14ac:dyDescent="0.2">
      <c r="A120" s="321" t="s">
        <v>1905</v>
      </c>
      <c r="B120" s="397">
        <v>15.6</v>
      </c>
      <c r="C120" s="426"/>
      <c r="D120" s="427">
        <v>0.8</v>
      </c>
      <c r="E120" s="370">
        <v>551834</v>
      </c>
      <c r="F120" s="370">
        <v>0</v>
      </c>
      <c r="G120" s="370">
        <f t="shared" si="8"/>
        <v>441467</v>
      </c>
      <c r="H120" s="370">
        <f t="shared" si="4"/>
        <v>6887000</v>
      </c>
    </row>
    <row r="121" spans="1:8" ht="31.5" x14ac:dyDescent="0.2">
      <c r="A121" s="319" t="s">
        <v>1975</v>
      </c>
      <c r="B121" s="397">
        <v>45.9</v>
      </c>
      <c r="C121" s="426"/>
      <c r="D121" s="427">
        <v>0.9</v>
      </c>
      <c r="E121" s="370" t="s">
        <v>25</v>
      </c>
      <c r="F121" s="370">
        <v>0</v>
      </c>
      <c r="G121" s="370"/>
      <c r="H121" s="370">
        <f t="shared" si="4"/>
        <v>0</v>
      </c>
    </row>
    <row r="122" spans="1:8" ht="31.5" x14ac:dyDescent="0.2">
      <c r="A122" s="324" t="s">
        <v>1983</v>
      </c>
      <c r="B122" s="420">
        <v>27.24</v>
      </c>
      <c r="C122" s="426"/>
      <c r="D122" s="427">
        <v>0.8</v>
      </c>
      <c r="E122" s="370">
        <v>781960</v>
      </c>
      <c r="F122" s="370">
        <v>0</v>
      </c>
      <c r="G122" s="370">
        <f t="shared" ref="G122:G124" si="9">ROUND(D122*E122,0)</f>
        <v>625568</v>
      </c>
      <c r="H122" s="370">
        <f t="shared" si="4"/>
        <v>17040000</v>
      </c>
    </row>
    <row r="123" spans="1:8" ht="31.5" x14ac:dyDescent="0.2">
      <c r="A123" s="319" t="s">
        <v>2402</v>
      </c>
      <c r="B123" s="420">
        <v>9.8000000000000007</v>
      </c>
      <c r="C123" s="426"/>
      <c r="D123" s="427">
        <v>0.8</v>
      </c>
      <c r="E123" s="370">
        <v>551834</v>
      </c>
      <c r="F123" s="370">
        <v>0</v>
      </c>
      <c r="G123" s="370">
        <f t="shared" si="9"/>
        <v>441467</v>
      </c>
      <c r="H123" s="370">
        <f t="shared" si="4"/>
        <v>4326000</v>
      </c>
    </row>
    <row r="124" spans="1:8" ht="31.5" x14ac:dyDescent="0.2">
      <c r="A124" s="323" t="s">
        <v>1891</v>
      </c>
      <c r="B124" s="397">
        <v>13.8</v>
      </c>
      <c r="C124" s="426"/>
      <c r="D124" s="427">
        <v>0.9</v>
      </c>
      <c r="E124" s="370">
        <v>895346</v>
      </c>
      <c r="F124" s="370">
        <v>0</v>
      </c>
      <c r="G124" s="370">
        <f t="shared" si="9"/>
        <v>805811</v>
      </c>
      <c r="H124" s="370">
        <f t="shared" si="4"/>
        <v>11120000</v>
      </c>
    </row>
    <row r="125" spans="1:8" ht="47.25" x14ac:dyDescent="0.2">
      <c r="A125" s="321" t="s">
        <v>2329</v>
      </c>
      <c r="B125" s="397">
        <v>24.66</v>
      </c>
      <c r="C125" s="426"/>
      <c r="D125" s="427">
        <v>0.9</v>
      </c>
      <c r="E125" s="370" t="s">
        <v>25</v>
      </c>
      <c r="F125" s="370">
        <v>333775</v>
      </c>
      <c r="G125" s="370">
        <f>ROUND(D125*F125,0)</f>
        <v>300398</v>
      </c>
      <c r="H125" s="370">
        <f t="shared" si="4"/>
        <v>7408000</v>
      </c>
    </row>
    <row r="126" spans="1:8" ht="47.25" x14ac:dyDescent="0.2">
      <c r="A126" s="319" t="s">
        <v>2375</v>
      </c>
      <c r="B126" s="420">
        <v>36.199999999999996</v>
      </c>
      <c r="C126" s="426"/>
      <c r="D126" s="427">
        <v>0.8</v>
      </c>
      <c r="E126" s="320">
        <v>859224</v>
      </c>
      <c r="F126" s="370">
        <v>0</v>
      </c>
      <c r="G126" s="370">
        <f t="shared" ref="G126:G162" si="10">ROUND(D126*E126,0)</f>
        <v>687379</v>
      </c>
      <c r="H126" s="370">
        <f t="shared" si="4"/>
        <v>24883000</v>
      </c>
    </row>
    <row r="127" spans="1:8" ht="31.5" x14ac:dyDescent="0.2">
      <c r="A127" s="319" t="s">
        <v>2363</v>
      </c>
      <c r="B127" s="420">
        <v>15.9</v>
      </c>
      <c r="C127" s="426"/>
      <c r="D127" s="427">
        <v>0.9</v>
      </c>
      <c r="E127" s="370">
        <v>895346</v>
      </c>
      <c r="F127" s="370">
        <v>0</v>
      </c>
      <c r="G127" s="370">
        <f t="shared" si="10"/>
        <v>805811</v>
      </c>
      <c r="H127" s="370">
        <f t="shared" si="4"/>
        <v>12812000</v>
      </c>
    </row>
    <row r="128" spans="1:8" ht="31.5" x14ac:dyDescent="0.2">
      <c r="A128" s="319" t="s">
        <v>2337</v>
      </c>
      <c r="B128" s="397">
        <v>25.43</v>
      </c>
      <c r="C128" s="426"/>
      <c r="D128" s="427">
        <v>0.9</v>
      </c>
      <c r="E128" s="370">
        <v>551834</v>
      </c>
      <c r="F128" s="370">
        <v>0</v>
      </c>
      <c r="G128" s="370">
        <f t="shared" si="10"/>
        <v>496651</v>
      </c>
      <c r="H128" s="370">
        <f t="shared" si="4"/>
        <v>12630000</v>
      </c>
    </row>
    <row r="129" spans="1:8" ht="31.5" x14ac:dyDescent="0.2">
      <c r="A129" s="319" t="s">
        <v>2147</v>
      </c>
      <c r="B129" s="420">
        <v>29.2</v>
      </c>
      <c r="C129" s="426"/>
      <c r="D129" s="427">
        <v>0.8</v>
      </c>
      <c r="E129" s="370">
        <v>551834</v>
      </c>
      <c r="F129" s="370">
        <v>0</v>
      </c>
      <c r="G129" s="370">
        <f t="shared" si="10"/>
        <v>441467</v>
      </c>
      <c r="H129" s="370">
        <f t="shared" si="4"/>
        <v>12891000</v>
      </c>
    </row>
    <row r="130" spans="1:8" ht="47.25" x14ac:dyDescent="0.2">
      <c r="A130" s="319" t="s">
        <v>2377</v>
      </c>
      <c r="B130" s="420">
        <v>105.60000000000001</v>
      </c>
      <c r="C130" s="426"/>
      <c r="D130" s="427">
        <v>0.9</v>
      </c>
      <c r="E130" s="370">
        <v>989036</v>
      </c>
      <c r="F130" s="370">
        <v>0</v>
      </c>
      <c r="G130" s="370">
        <f t="shared" si="10"/>
        <v>890132</v>
      </c>
      <c r="H130" s="370">
        <f t="shared" si="4"/>
        <v>93998000</v>
      </c>
    </row>
    <row r="131" spans="1:8" ht="31.5" x14ac:dyDescent="0.2">
      <c r="A131" s="319" t="s">
        <v>2368</v>
      </c>
      <c r="B131" s="420">
        <v>5</v>
      </c>
      <c r="C131" s="426"/>
      <c r="D131" s="427">
        <v>0.8</v>
      </c>
      <c r="E131" s="320">
        <v>859224</v>
      </c>
      <c r="F131" s="370">
        <v>0</v>
      </c>
      <c r="G131" s="370">
        <f t="shared" si="10"/>
        <v>687379</v>
      </c>
      <c r="H131" s="370">
        <f t="shared" ref="H131:H194" si="11">ROUND(G131*B131,-3)</f>
        <v>3437000</v>
      </c>
    </row>
    <row r="132" spans="1:8" ht="47.25" x14ac:dyDescent="0.2">
      <c r="A132" s="324" t="s">
        <v>2396</v>
      </c>
      <c r="B132" s="420">
        <v>11</v>
      </c>
      <c r="C132" s="426"/>
      <c r="D132" s="427">
        <v>0.8</v>
      </c>
      <c r="E132" s="370">
        <v>802830</v>
      </c>
      <c r="F132" s="370">
        <v>0</v>
      </c>
      <c r="G132" s="370">
        <f t="shared" si="10"/>
        <v>642264</v>
      </c>
      <c r="H132" s="370">
        <f t="shared" si="11"/>
        <v>7065000</v>
      </c>
    </row>
    <row r="133" spans="1:8" ht="47.25" x14ac:dyDescent="0.2">
      <c r="A133" s="324" t="s">
        <v>2397</v>
      </c>
      <c r="B133" s="420">
        <v>123</v>
      </c>
      <c r="C133" s="426"/>
      <c r="D133" s="427">
        <v>0.8</v>
      </c>
      <c r="E133" s="370">
        <v>551834</v>
      </c>
      <c r="F133" s="370">
        <v>0</v>
      </c>
      <c r="G133" s="370">
        <f t="shared" si="10"/>
        <v>441467</v>
      </c>
      <c r="H133" s="370">
        <f t="shared" si="11"/>
        <v>54300000</v>
      </c>
    </row>
    <row r="134" spans="1:8" ht="47.25" x14ac:dyDescent="0.2">
      <c r="A134" s="321" t="s">
        <v>2310</v>
      </c>
      <c r="B134" s="397">
        <v>18.63</v>
      </c>
      <c r="C134" s="426"/>
      <c r="D134" s="427">
        <v>0.8</v>
      </c>
      <c r="E134" s="370">
        <v>551834</v>
      </c>
      <c r="F134" s="370">
        <v>0</v>
      </c>
      <c r="G134" s="370">
        <f t="shared" si="10"/>
        <v>441467</v>
      </c>
      <c r="H134" s="370">
        <f t="shared" si="11"/>
        <v>8225000</v>
      </c>
    </row>
    <row r="135" spans="1:8" ht="47.25" x14ac:dyDescent="0.2">
      <c r="A135" s="321" t="s">
        <v>2320</v>
      </c>
      <c r="B135" s="397">
        <v>4.92</v>
      </c>
      <c r="C135" s="426"/>
      <c r="D135" s="427">
        <v>0.8</v>
      </c>
      <c r="E135" s="370">
        <v>551834</v>
      </c>
      <c r="F135" s="370">
        <v>0</v>
      </c>
      <c r="G135" s="370">
        <f t="shared" si="10"/>
        <v>441467</v>
      </c>
      <c r="H135" s="370">
        <f t="shared" si="11"/>
        <v>2172000</v>
      </c>
    </row>
    <row r="136" spans="1:8" ht="47.25" x14ac:dyDescent="0.2">
      <c r="A136" s="319" t="s">
        <v>2316</v>
      </c>
      <c r="B136" s="397">
        <v>4.92</v>
      </c>
      <c r="C136" s="426"/>
      <c r="D136" s="427">
        <v>0.8</v>
      </c>
      <c r="E136" s="370">
        <v>551834</v>
      </c>
      <c r="F136" s="370">
        <v>0</v>
      </c>
      <c r="G136" s="370">
        <f t="shared" si="10"/>
        <v>441467</v>
      </c>
      <c r="H136" s="370">
        <f t="shared" si="11"/>
        <v>2172000</v>
      </c>
    </row>
    <row r="137" spans="1:8" ht="47.25" x14ac:dyDescent="0.2">
      <c r="A137" s="319" t="s">
        <v>2306</v>
      </c>
      <c r="B137" s="397">
        <v>79.599999999999994</v>
      </c>
      <c r="C137" s="426"/>
      <c r="D137" s="427">
        <v>0.8</v>
      </c>
      <c r="E137" s="370">
        <v>1050323</v>
      </c>
      <c r="F137" s="370">
        <v>0</v>
      </c>
      <c r="G137" s="370">
        <f t="shared" si="10"/>
        <v>840258</v>
      </c>
      <c r="H137" s="370">
        <f t="shared" si="11"/>
        <v>66885000</v>
      </c>
    </row>
    <row r="138" spans="1:8" ht="31.5" x14ac:dyDescent="0.2">
      <c r="A138" s="328" t="s">
        <v>2322</v>
      </c>
      <c r="B138" s="397">
        <v>14</v>
      </c>
      <c r="C138" s="426"/>
      <c r="D138" s="427">
        <v>0.9</v>
      </c>
      <c r="E138" s="370">
        <v>1240031</v>
      </c>
      <c r="F138" s="370">
        <v>0</v>
      </c>
      <c r="G138" s="370">
        <f t="shared" si="10"/>
        <v>1116028</v>
      </c>
      <c r="H138" s="370">
        <f t="shared" si="11"/>
        <v>15624000</v>
      </c>
    </row>
    <row r="139" spans="1:8" ht="47.25" x14ac:dyDescent="0.2">
      <c r="A139" s="319" t="s">
        <v>2271</v>
      </c>
      <c r="B139" s="397">
        <v>37.53</v>
      </c>
      <c r="C139" s="426"/>
      <c r="D139" s="427">
        <v>0.9</v>
      </c>
      <c r="E139" s="370">
        <v>895346</v>
      </c>
      <c r="F139" s="370">
        <v>0</v>
      </c>
      <c r="G139" s="370">
        <f t="shared" si="10"/>
        <v>805811</v>
      </c>
      <c r="H139" s="370">
        <f t="shared" si="11"/>
        <v>30242000</v>
      </c>
    </row>
    <row r="140" spans="1:8" ht="47.25" x14ac:dyDescent="0.2">
      <c r="A140" s="319" t="s">
        <v>2272</v>
      </c>
      <c r="B140" s="397">
        <v>49.55</v>
      </c>
      <c r="C140" s="426"/>
      <c r="D140" s="427">
        <v>0.9</v>
      </c>
      <c r="E140" s="370">
        <v>1186572</v>
      </c>
      <c r="F140" s="370">
        <v>0</v>
      </c>
      <c r="G140" s="370">
        <f t="shared" si="10"/>
        <v>1067915</v>
      </c>
      <c r="H140" s="370">
        <f t="shared" si="11"/>
        <v>52915000</v>
      </c>
    </row>
    <row r="141" spans="1:8" ht="47.25" x14ac:dyDescent="0.2">
      <c r="A141" s="319" t="s">
        <v>2255</v>
      </c>
      <c r="B141" s="397">
        <v>74.16</v>
      </c>
      <c r="C141" s="426"/>
      <c r="D141" s="427">
        <v>0.9</v>
      </c>
      <c r="E141" s="370">
        <v>922818</v>
      </c>
      <c r="F141" s="370">
        <v>0</v>
      </c>
      <c r="G141" s="370">
        <f t="shared" si="10"/>
        <v>830536</v>
      </c>
      <c r="H141" s="370">
        <f t="shared" si="11"/>
        <v>61593000</v>
      </c>
    </row>
    <row r="142" spans="1:8" ht="47.25" x14ac:dyDescent="0.2">
      <c r="A142" s="319" t="s">
        <v>1871</v>
      </c>
      <c r="B142" s="397">
        <v>33.799999999999997</v>
      </c>
      <c r="C142" s="426"/>
      <c r="D142" s="427">
        <v>0.9</v>
      </c>
      <c r="E142" s="370">
        <v>781960</v>
      </c>
      <c r="F142" s="370">
        <v>0</v>
      </c>
      <c r="G142" s="370">
        <f t="shared" si="10"/>
        <v>703764</v>
      </c>
      <c r="H142" s="370">
        <f t="shared" si="11"/>
        <v>23787000</v>
      </c>
    </row>
    <row r="143" spans="1:8" ht="47.25" x14ac:dyDescent="0.2">
      <c r="A143" s="319" t="s">
        <v>2303</v>
      </c>
      <c r="B143" s="397">
        <v>43.68</v>
      </c>
      <c r="C143" s="426"/>
      <c r="D143" s="427">
        <v>0.8</v>
      </c>
      <c r="E143" s="370">
        <v>1050323</v>
      </c>
      <c r="F143" s="370">
        <v>0</v>
      </c>
      <c r="G143" s="370">
        <f t="shared" si="10"/>
        <v>840258</v>
      </c>
      <c r="H143" s="370">
        <f t="shared" si="11"/>
        <v>36702000</v>
      </c>
    </row>
    <row r="144" spans="1:8" ht="31.5" x14ac:dyDescent="0.2">
      <c r="A144" s="319" t="s">
        <v>1879</v>
      </c>
      <c r="B144" s="397">
        <v>10.75</v>
      </c>
      <c r="C144" s="426"/>
      <c r="D144" s="427">
        <v>0.9</v>
      </c>
      <c r="E144" s="370">
        <v>781960</v>
      </c>
      <c r="F144" s="370">
        <v>0</v>
      </c>
      <c r="G144" s="370">
        <f t="shared" si="10"/>
        <v>703764</v>
      </c>
      <c r="H144" s="370">
        <f t="shared" si="11"/>
        <v>7565000</v>
      </c>
    </row>
    <row r="145" spans="1:8" ht="31.5" x14ac:dyDescent="0.2">
      <c r="A145" s="319" t="s">
        <v>478</v>
      </c>
      <c r="B145" s="397">
        <v>33.32</v>
      </c>
      <c r="C145" s="426"/>
      <c r="D145" s="426">
        <v>1</v>
      </c>
      <c r="E145" s="370">
        <v>1240031</v>
      </c>
      <c r="F145" s="370">
        <v>0</v>
      </c>
      <c r="G145" s="370">
        <f t="shared" si="10"/>
        <v>1240031</v>
      </c>
      <c r="H145" s="370">
        <f t="shared" si="11"/>
        <v>41318000</v>
      </c>
    </row>
    <row r="146" spans="1:8" ht="31.5" x14ac:dyDescent="0.2">
      <c r="A146" s="328" t="s">
        <v>2276</v>
      </c>
      <c r="B146" s="397">
        <v>100.45</v>
      </c>
      <c r="C146" s="426"/>
      <c r="D146" s="427">
        <v>0.9</v>
      </c>
      <c r="E146" s="370">
        <v>1240031</v>
      </c>
      <c r="F146" s="370">
        <v>0</v>
      </c>
      <c r="G146" s="370">
        <f t="shared" si="10"/>
        <v>1116028</v>
      </c>
      <c r="H146" s="370">
        <f t="shared" si="11"/>
        <v>112105000</v>
      </c>
    </row>
    <row r="147" spans="1:8" ht="31.5" x14ac:dyDescent="0.2">
      <c r="A147" s="319" t="s">
        <v>583</v>
      </c>
      <c r="B147" s="397">
        <v>87.42</v>
      </c>
      <c r="C147" s="426"/>
      <c r="D147" s="426">
        <v>1</v>
      </c>
      <c r="E147" s="370">
        <v>802830</v>
      </c>
      <c r="F147" s="370">
        <v>0</v>
      </c>
      <c r="G147" s="370">
        <f t="shared" si="10"/>
        <v>802830</v>
      </c>
      <c r="H147" s="370">
        <f t="shared" si="11"/>
        <v>70183000</v>
      </c>
    </row>
    <row r="148" spans="1:8" ht="31.5" x14ac:dyDescent="0.2">
      <c r="A148" s="319" t="s">
        <v>2150</v>
      </c>
      <c r="B148" s="397">
        <v>13.5</v>
      </c>
      <c r="C148" s="426"/>
      <c r="D148" s="427">
        <v>0.9</v>
      </c>
      <c r="E148" s="370">
        <v>1186572</v>
      </c>
      <c r="F148" s="370">
        <v>0</v>
      </c>
      <c r="G148" s="370">
        <f t="shared" si="10"/>
        <v>1067915</v>
      </c>
      <c r="H148" s="370">
        <f t="shared" si="11"/>
        <v>14417000</v>
      </c>
    </row>
    <row r="149" spans="1:8" ht="47.25" x14ac:dyDescent="0.2">
      <c r="A149" s="329" t="s">
        <v>2336</v>
      </c>
      <c r="B149" s="397">
        <v>17.68</v>
      </c>
      <c r="C149" s="426"/>
      <c r="D149" s="427">
        <v>0.9</v>
      </c>
      <c r="E149" s="370">
        <v>1186572</v>
      </c>
      <c r="F149" s="370">
        <v>0</v>
      </c>
      <c r="G149" s="370">
        <f t="shared" si="10"/>
        <v>1067915</v>
      </c>
      <c r="H149" s="370">
        <f t="shared" si="11"/>
        <v>18881000</v>
      </c>
    </row>
    <row r="150" spans="1:8" ht="47.25" x14ac:dyDescent="0.2">
      <c r="A150" s="319" t="s">
        <v>2334</v>
      </c>
      <c r="B150" s="397">
        <v>16.940000000000001</v>
      </c>
      <c r="C150" s="426"/>
      <c r="D150" s="427">
        <v>0.8</v>
      </c>
      <c r="E150" s="370">
        <v>1186572</v>
      </c>
      <c r="F150" s="370">
        <v>0</v>
      </c>
      <c r="G150" s="370">
        <f t="shared" si="10"/>
        <v>949258</v>
      </c>
      <c r="H150" s="370">
        <f t="shared" si="11"/>
        <v>16080000</v>
      </c>
    </row>
    <row r="151" spans="1:8" ht="47.25" x14ac:dyDescent="0.2">
      <c r="A151" s="319" t="s">
        <v>1870</v>
      </c>
      <c r="B151" s="397">
        <v>11.6</v>
      </c>
      <c r="C151" s="426"/>
      <c r="D151" s="427">
        <v>0.9</v>
      </c>
      <c r="E151" s="370">
        <v>1186572</v>
      </c>
      <c r="F151" s="370">
        <v>0</v>
      </c>
      <c r="G151" s="370">
        <f t="shared" si="10"/>
        <v>1067915</v>
      </c>
      <c r="H151" s="370">
        <f t="shared" si="11"/>
        <v>12388000</v>
      </c>
    </row>
    <row r="152" spans="1:8" ht="47.25" x14ac:dyDescent="0.2">
      <c r="A152" s="319" t="s">
        <v>2302</v>
      </c>
      <c r="B152" s="423">
        <v>35.840000000000003</v>
      </c>
      <c r="C152" s="426"/>
      <c r="D152" s="427">
        <v>0.8</v>
      </c>
      <c r="E152" s="370">
        <v>1240031</v>
      </c>
      <c r="F152" s="370">
        <v>0</v>
      </c>
      <c r="G152" s="370">
        <f t="shared" si="10"/>
        <v>992025</v>
      </c>
      <c r="H152" s="370">
        <f t="shared" si="11"/>
        <v>35554000</v>
      </c>
    </row>
    <row r="153" spans="1:8" ht="47.25" x14ac:dyDescent="0.2">
      <c r="A153" s="321" t="s">
        <v>2275</v>
      </c>
      <c r="B153" s="397">
        <v>213.54</v>
      </c>
      <c r="C153" s="426"/>
      <c r="D153" s="427">
        <v>0.9</v>
      </c>
      <c r="E153" s="370">
        <v>1240031</v>
      </c>
      <c r="F153" s="370">
        <v>0</v>
      </c>
      <c r="G153" s="370">
        <f t="shared" si="10"/>
        <v>1116028</v>
      </c>
      <c r="H153" s="370">
        <f t="shared" si="11"/>
        <v>238317000</v>
      </c>
    </row>
    <row r="154" spans="1:8" ht="47.25" x14ac:dyDescent="0.2">
      <c r="A154" s="319" t="s">
        <v>2253</v>
      </c>
      <c r="B154" s="397">
        <v>23.45</v>
      </c>
      <c r="C154" s="426"/>
      <c r="D154" s="427">
        <v>0.9</v>
      </c>
      <c r="E154" s="370">
        <v>989036</v>
      </c>
      <c r="F154" s="370">
        <v>0</v>
      </c>
      <c r="G154" s="370">
        <f t="shared" si="10"/>
        <v>890132</v>
      </c>
      <c r="H154" s="370">
        <f t="shared" si="11"/>
        <v>20874000</v>
      </c>
    </row>
    <row r="155" spans="1:8" ht="47.25" x14ac:dyDescent="0.2">
      <c r="A155" s="323" t="s">
        <v>2154</v>
      </c>
      <c r="B155" s="397">
        <v>19</v>
      </c>
      <c r="C155" s="426"/>
      <c r="D155" s="427">
        <v>0.8</v>
      </c>
      <c r="E155" s="370">
        <v>1186572</v>
      </c>
      <c r="F155" s="370">
        <v>0</v>
      </c>
      <c r="G155" s="370">
        <f t="shared" si="10"/>
        <v>949258</v>
      </c>
      <c r="H155" s="370">
        <f t="shared" si="11"/>
        <v>18036000</v>
      </c>
    </row>
    <row r="156" spans="1:8" ht="31.5" x14ac:dyDescent="0.2">
      <c r="A156" s="323" t="s">
        <v>1873</v>
      </c>
      <c r="B156" s="397">
        <v>5.6</v>
      </c>
      <c r="C156" s="426"/>
      <c r="D156" s="427">
        <v>0.9</v>
      </c>
      <c r="E156" s="370">
        <v>859224</v>
      </c>
      <c r="F156" s="370">
        <v>0</v>
      </c>
      <c r="G156" s="370">
        <f t="shared" si="10"/>
        <v>773302</v>
      </c>
      <c r="H156" s="370">
        <f t="shared" si="11"/>
        <v>4330000</v>
      </c>
    </row>
    <row r="157" spans="1:8" ht="63" x14ac:dyDescent="0.2">
      <c r="A157" s="319" t="s">
        <v>2399</v>
      </c>
      <c r="B157" s="420">
        <v>54.6</v>
      </c>
      <c r="C157" s="426"/>
      <c r="D157" s="427">
        <v>0.8</v>
      </c>
      <c r="E157" s="370">
        <v>1050323</v>
      </c>
      <c r="F157" s="370">
        <v>0</v>
      </c>
      <c r="G157" s="370">
        <f t="shared" si="10"/>
        <v>840258</v>
      </c>
      <c r="H157" s="370">
        <f t="shared" si="11"/>
        <v>45878000</v>
      </c>
    </row>
    <row r="158" spans="1:8" ht="63" x14ac:dyDescent="0.2">
      <c r="A158" s="319" t="s">
        <v>2011</v>
      </c>
      <c r="B158" s="420">
        <v>113.19</v>
      </c>
      <c r="C158" s="426"/>
      <c r="D158" s="427">
        <v>0.9</v>
      </c>
      <c r="E158" s="370">
        <v>802830</v>
      </c>
      <c r="F158" s="370">
        <v>0</v>
      </c>
      <c r="G158" s="370">
        <f t="shared" si="10"/>
        <v>722547</v>
      </c>
      <c r="H158" s="370">
        <f t="shared" si="11"/>
        <v>81785000</v>
      </c>
    </row>
    <row r="159" spans="1:8" ht="47.25" x14ac:dyDescent="0.2">
      <c r="A159" s="319" t="s">
        <v>2376</v>
      </c>
      <c r="B159" s="420">
        <v>56.62</v>
      </c>
      <c r="C159" s="426"/>
      <c r="D159" s="427">
        <v>0.9</v>
      </c>
      <c r="E159" s="370">
        <v>1050323</v>
      </c>
      <c r="F159" s="370">
        <v>0</v>
      </c>
      <c r="G159" s="370">
        <f t="shared" si="10"/>
        <v>945291</v>
      </c>
      <c r="H159" s="370">
        <f t="shared" si="11"/>
        <v>53522000</v>
      </c>
    </row>
    <row r="160" spans="1:8" ht="63" x14ac:dyDescent="0.2">
      <c r="A160" s="319" t="s">
        <v>2384</v>
      </c>
      <c r="B160" s="420">
        <v>22</v>
      </c>
      <c r="C160" s="426"/>
      <c r="D160" s="427">
        <v>0.8</v>
      </c>
      <c r="E160" s="370">
        <v>781960</v>
      </c>
      <c r="F160" s="370">
        <v>0</v>
      </c>
      <c r="G160" s="370">
        <f t="shared" si="10"/>
        <v>625568</v>
      </c>
      <c r="H160" s="370">
        <f t="shared" si="11"/>
        <v>13762000</v>
      </c>
    </row>
    <row r="161" spans="1:8" ht="47.25" x14ac:dyDescent="0.2">
      <c r="A161" s="321" t="s">
        <v>976</v>
      </c>
      <c r="B161" s="424">
        <v>170.3</v>
      </c>
      <c r="C161" s="426"/>
      <c r="D161" s="426">
        <v>1</v>
      </c>
      <c r="E161" s="370">
        <v>949667</v>
      </c>
      <c r="F161" s="370">
        <v>0</v>
      </c>
      <c r="G161" s="370">
        <f t="shared" si="10"/>
        <v>949667</v>
      </c>
      <c r="H161" s="370">
        <f t="shared" si="11"/>
        <v>161728000</v>
      </c>
    </row>
    <row r="162" spans="1:8" ht="31.5" x14ac:dyDescent="0.2">
      <c r="A162" s="319" t="s">
        <v>2008</v>
      </c>
      <c r="B162" s="420">
        <v>29.51</v>
      </c>
      <c r="C162" s="426"/>
      <c r="D162" s="427">
        <v>0.9</v>
      </c>
      <c r="E162" s="370">
        <v>781960</v>
      </c>
      <c r="F162" s="370">
        <v>0</v>
      </c>
      <c r="G162" s="370">
        <f t="shared" si="10"/>
        <v>703764</v>
      </c>
      <c r="H162" s="370">
        <f t="shared" si="11"/>
        <v>20768000</v>
      </c>
    </row>
    <row r="163" spans="1:8" ht="31.5" x14ac:dyDescent="0.2">
      <c r="A163" s="319" t="s">
        <v>1795</v>
      </c>
      <c r="B163" s="422">
        <v>27.2</v>
      </c>
      <c r="C163" s="426"/>
      <c r="D163" s="427">
        <v>0.8</v>
      </c>
      <c r="E163" s="370" t="s">
        <v>25</v>
      </c>
      <c r="F163" s="370">
        <v>0</v>
      </c>
      <c r="G163" s="370"/>
      <c r="H163" s="370">
        <f t="shared" si="11"/>
        <v>0</v>
      </c>
    </row>
    <row r="164" spans="1:8" ht="31.5" x14ac:dyDescent="0.2">
      <c r="A164" s="319" t="s">
        <v>1769</v>
      </c>
      <c r="B164" s="422">
        <v>26.35</v>
      </c>
      <c r="C164" s="426"/>
      <c r="D164" s="427">
        <v>0.9</v>
      </c>
      <c r="E164" s="370" t="s">
        <v>25</v>
      </c>
      <c r="F164" s="370">
        <v>0</v>
      </c>
      <c r="G164" s="370"/>
      <c r="H164" s="370">
        <f t="shared" si="11"/>
        <v>0</v>
      </c>
    </row>
    <row r="165" spans="1:8" ht="31.5" x14ac:dyDescent="0.2">
      <c r="A165" s="319" t="s">
        <v>1756</v>
      </c>
      <c r="B165" s="397">
        <v>88.56</v>
      </c>
      <c r="C165" s="426"/>
      <c r="D165" s="427">
        <v>0.8</v>
      </c>
      <c r="E165" s="370">
        <v>1240031</v>
      </c>
      <c r="F165" s="370">
        <v>0</v>
      </c>
      <c r="G165" s="370">
        <f>ROUND(D165*E165,0)</f>
        <v>992025</v>
      </c>
      <c r="H165" s="370">
        <f t="shared" si="11"/>
        <v>87854000</v>
      </c>
    </row>
    <row r="166" spans="1:8" ht="31.5" x14ac:dyDescent="0.2">
      <c r="A166" s="319" t="s">
        <v>2373</v>
      </c>
      <c r="B166" s="420">
        <v>43.3</v>
      </c>
      <c r="C166" s="426"/>
      <c r="D166" s="427">
        <v>0.8</v>
      </c>
      <c r="E166" s="370" t="s">
        <v>25</v>
      </c>
      <c r="F166" s="370">
        <v>0</v>
      </c>
      <c r="G166" s="370"/>
      <c r="H166" s="370">
        <f t="shared" si="11"/>
        <v>0</v>
      </c>
    </row>
    <row r="167" spans="1:8" ht="15.75" x14ac:dyDescent="0.2">
      <c r="A167" s="319" t="s">
        <v>2347</v>
      </c>
      <c r="B167" s="424">
        <v>0</v>
      </c>
      <c r="C167" s="426"/>
      <c r="D167" s="427">
        <v>0.8</v>
      </c>
      <c r="E167" s="370">
        <v>0</v>
      </c>
      <c r="F167" s="370">
        <v>0</v>
      </c>
      <c r="G167" s="370"/>
      <c r="H167" s="370">
        <f t="shared" si="11"/>
        <v>0</v>
      </c>
    </row>
    <row r="168" spans="1:8" ht="31.5" x14ac:dyDescent="0.2">
      <c r="A168" s="319" t="s">
        <v>1963</v>
      </c>
      <c r="B168" s="420">
        <v>1</v>
      </c>
      <c r="C168" s="426"/>
      <c r="D168" s="427">
        <v>0.9</v>
      </c>
      <c r="E168" s="370" t="s">
        <v>25</v>
      </c>
      <c r="F168" s="370">
        <v>0</v>
      </c>
      <c r="G168" s="370"/>
      <c r="H168" s="370">
        <f t="shared" si="11"/>
        <v>0</v>
      </c>
    </row>
    <row r="169" spans="1:8" ht="31.5" x14ac:dyDescent="0.2">
      <c r="A169" s="323" t="s">
        <v>1877</v>
      </c>
      <c r="B169" s="397">
        <v>1.27</v>
      </c>
      <c r="C169" s="426"/>
      <c r="D169" s="427">
        <v>0.9</v>
      </c>
      <c r="E169" s="370" t="s">
        <v>25</v>
      </c>
      <c r="F169" s="370">
        <v>0</v>
      </c>
      <c r="G169" s="370"/>
      <c r="H169" s="370">
        <f t="shared" si="11"/>
        <v>0</v>
      </c>
    </row>
    <row r="170" spans="1:8" ht="15.75" x14ac:dyDescent="0.2">
      <c r="A170" s="319" t="s">
        <v>1812</v>
      </c>
      <c r="B170" s="423">
        <v>6.16</v>
      </c>
      <c r="C170" s="426"/>
      <c r="D170" s="427">
        <v>0.8</v>
      </c>
      <c r="E170" s="370" t="s">
        <v>25</v>
      </c>
      <c r="F170" s="370">
        <v>0</v>
      </c>
      <c r="G170" s="370"/>
      <c r="H170" s="370">
        <f t="shared" si="11"/>
        <v>0</v>
      </c>
    </row>
    <row r="171" spans="1:8" ht="15.75" x14ac:dyDescent="0.2">
      <c r="A171" s="319" t="s">
        <v>1900</v>
      </c>
      <c r="B171" s="397">
        <v>4.08</v>
      </c>
      <c r="C171" s="426"/>
      <c r="D171" s="427">
        <v>0.9</v>
      </c>
      <c r="E171" s="370" t="s">
        <v>25</v>
      </c>
      <c r="F171" s="370">
        <v>0</v>
      </c>
      <c r="G171" s="370"/>
      <c r="H171" s="370">
        <f t="shared" si="11"/>
        <v>0</v>
      </c>
    </row>
    <row r="172" spans="1:8" ht="15.75" x14ac:dyDescent="0.2">
      <c r="A172" s="321" t="s">
        <v>2309</v>
      </c>
      <c r="B172" s="397">
        <v>5.2</v>
      </c>
      <c r="C172" s="426"/>
      <c r="D172" s="427">
        <v>0.8</v>
      </c>
      <c r="E172" s="370" t="s">
        <v>25</v>
      </c>
      <c r="F172" s="370">
        <v>0</v>
      </c>
      <c r="G172" s="370"/>
      <c r="H172" s="370">
        <f t="shared" si="11"/>
        <v>0</v>
      </c>
    </row>
    <row r="173" spans="1:8" ht="31.5" x14ac:dyDescent="0.2">
      <c r="A173" s="319" t="s">
        <v>1969</v>
      </c>
      <c r="B173" s="420">
        <v>50.61</v>
      </c>
      <c r="C173" s="426"/>
      <c r="D173" s="427">
        <v>0.9</v>
      </c>
      <c r="E173" s="370" t="s">
        <v>25</v>
      </c>
      <c r="F173" s="370">
        <v>0</v>
      </c>
      <c r="G173" s="370"/>
      <c r="H173" s="370">
        <f t="shared" si="11"/>
        <v>0</v>
      </c>
    </row>
    <row r="174" spans="1:8" ht="31.5" x14ac:dyDescent="0.2">
      <c r="A174" s="321" t="s">
        <v>2308</v>
      </c>
      <c r="B174" s="397">
        <v>32.9</v>
      </c>
      <c r="C174" s="426"/>
      <c r="D174" s="427">
        <v>0.8</v>
      </c>
      <c r="E174" s="370" t="s">
        <v>25</v>
      </c>
      <c r="F174" s="370">
        <v>0</v>
      </c>
      <c r="G174" s="370"/>
      <c r="H174" s="370">
        <f t="shared" si="11"/>
        <v>0</v>
      </c>
    </row>
    <row r="175" spans="1:8" ht="31.5" x14ac:dyDescent="0.2">
      <c r="A175" s="324" t="s">
        <v>1929</v>
      </c>
      <c r="B175" s="420">
        <v>4.08</v>
      </c>
      <c r="C175" s="426"/>
      <c r="D175" s="427">
        <v>0.8</v>
      </c>
      <c r="E175" s="370" t="s">
        <v>25</v>
      </c>
      <c r="F175" s="370">
        <v>0</v>
      </c>
      <c r="G175" s="370"/>
      <c r="H175" s="370">
        <f t="shared" si="11"/>
        <v>0</v>
      </c>
    </row>
    <row r="176" spans="1:8" ht="31.5" x14ac:dyDescent="0.2">
      <c r="A176" s="321" t="s">
        <v>1796</v>
      </c>
      <c r="B176" s="422">
        <v>361.2</v>
      </c>
      <c r="C176" s="426"/>
      <c r="D176" s="427">
        <v>0.8</v>
      </c>
      <c r="E176" s="370" t="s">
        <v>25</v>
      </c>
      <c r="F176" s="370">
        <v>0</v>
      </c>
      <c r="G176" s="370"/>
      <c r="H176" s="370">
        <f t="shared" si="11"/>
        <v>0</v>
      </c>
    </row>
    <row r="177" spans="1:8" ht="15.75" x14ac:dyDescent="0.2">
      <c r="A177" s="319" t="s">
        <v>1748</v>
      </c>
      <c r="B177" s="397">
        <v>292.00999999999993</v>
      </c>
      <c r="C177" s="426"/>
      <c r="D177" s="427">
        <v>0.8</v>
      </c>
      <c r="E177" s="370" t="s">
        <v>25</v>
      </c>
      <c r="F177" s="370">
        <v>0</v>
      </c>
      <c r="G177" s="370"/>
      <c r="H177" s="370">
        <f t="shared" si="11"/>
        <v>0</v>
      </c>
    </row>
    <row r="178" spans="1:8" ht="15.75" x14ac:dyDescent="0.2">
      <c r="A178" s="319" t="s">
        <v>1767</v>
      </c>
      <c r="B178" s="397">
        <v>194.11000000000004</v>
      </c>
      <c r="C178" s="426"/>
      <c r="D178" s="427">
        <v>0.9</v>
      </c>
      <c r="E178" s="370" t="s">
        <v>25</v>
      </c>
      <c r="F178" s="370">
        <v>0</v>
      </c>
      <c r="G178" s="370"/>
      <c r="H178" s="370">
        <f t="shared" si="11"/>
        <v>0</v>
      </c>
    </row>
    <row r="179" spans="1:8" ht="15.75" x14ac:dyDescent="0.2">
      <c r="A179" s="319" t="s">
        <v>2262</v>
      </c>
      <c r="B179" s="397">
        <v>1.3</v>
      </c>
      <c r="C179" s="426"/>
      <c r="D179" s="427">
        <v>0.8</v>
      </c>
      <c r="E179" s="370">
        <v>4182924</v>
      </c>
      <c r="F179" s="370">
        <v>0</v>
      </c>
      <c r="G179" s="370">
        <f t="shared" ref="G179:G180" si="12">ROUND(D179*E179,0)</f>
        <v>3346339</v>
      </c>
      <c r="H179" s="370">
        <f t="shared" si="11"/>
        <v>4350000</v>
      </c>
    </row>
    <row r="180" spans="1:8" ht="15.75" x14ac:dyDescent="0.2">
      <c r="A180" s="319" t="s">
        <v>2254</v>
      </c>
      <c r="B180" s="397">
        <v>1.2</v>
      </c>
      <c r="C180" s="426"/>
      <c r="D180" s="427">
        <v>0.9</v>
      </c>
      <c r="E180" s="370">
        <v>4182924</v>
      </c>
      <c r="F180" s="370">
        <v>0</v>
      </c>
      <c r="G180" s="370">
        <f t="shared" si="12"/>
        <v>3764632</v>
      </c>
      <c r="H180" s="370">
        <f t="shared" si="11"/>
        <v>4518000</v>
      </c>
    </row>
    <row r="181" spans="1:8" ht="15.75" x14ac:dyDescent="0.2">
      <c r="A181" s="319" t="s">
        <v>1974</v>
      </c>
      <c r="B181" s="397">
        <v>80</v>
      </c>
      <c r="C181" s="426"/>
      <c r="D181" s="427">
        <v>0.9</v>
      </c>
      <c r="E181" s="370" t="s">
        <v>25</v>
      </c>
      <c r="F181" s="370">
        <v>841993</v>
      </c>
      <c r="G181" s="370">
        <f t="shared" ref="G181:G190" si="13">ROUND(D181*F181,0)</f>
        <v>757794</v>
      </c>
      <c r="H181" s="370">
        <f t="shared" si="11"/>
        <v>60624000</v>
      </c>
    </row>
    <row r="182" spans="1:8" ht="15.75" x14ac:dyDescent="0.2">
      <c r="A182" s="319" t="s">
        <v>1972</v>
      </c>
      <c r="B182" s="397">
        <v>4</v>
      </c>
      <c r="C182" s="426"/>
      <c r="D182" s="427">
        <v>0.9</v>
      </c>
      <c r="E182" s="370" t="s">
        <v>25</v>
      </c>
      <c r="F182" s="370">
        <v>841993</v>
      </c>
      <c r="G182" s="370">
        <f t="shared" si="13"/>
        <v>757794</v>
      </c>
      <c r="H182" s="370">
        <f t="shared" si="11"/>
        <v>3031000</v>
      </c>
    </row>
    <row r="183" spans="1:8" ht="31.5" x14ac:dyDescent="0.2">
      <c r="A183" s="319" t="s">
        <v>1824</v>
      </c>
      <c r="B183" s="397">
        <v>10.199999999999999</v>
      </c>
      <c r="C183" s="426"/>
      <c r="D183" s="427">
        <v>0.9</v>
      </c>
      <c r="E183" s="370" t="s">
        <v>25</v>
      </c>
      <c r="F183" s="370">
        <v>1930881</v>
      </c>
      <c r="G183" s="370">
        <f t="shared" si="13"/>
        <v>1737793</v>
      </c>
      <c r="H183" s="370">
        <f t="shared" si="11"/>
        <v>17725000</v>
      </c>
    </row>
    <row r="184" spans="1:8" ht="15.75" x14ac:dyDescent="0.2">
      <c r="A184" s="319" t="s">
        <v>2021</v>
      </c>
      <c r="B184" s="420">
        <v>45.43</v>
      </c>
      <c r="C184" s="426"/>
      <c r="D184" s="427">
        <v>0.8</v>
      </c>
      <c r="E184" s="370" t="s">
        <v>25</v>
      </c>
      <c r="F184" s="370">
        <v>134833</v>
      </c>
      <c r="G184" s="370">
        <f t="shared" si="13"/>
        <v>107866</v>
      </c>
      <c r="H184" s="370">
        <f t="shared" si="11"/>
        <v>4900000</v>
      </c>
    </row>
    <row r="185" spans="1:8" ht="15.75" x14ac:dyDescent="0.2">
      <c r="A185" s="323" t="s">
        <v>1893</v>
      </c>
      <c r="B185" s="397">
        <v>275.45</v>
      </c>
      <c r="C185" s="426"/>
      <c r="D185" s="427">
        <v>0.9</v>
      </c>
      <c r="E185" s="370" t="s">
        <v>25</v>
      </c>
      <c r="F185" s="370">
        <v>134833</v>
      </c>
      <c r="G185" s="370">
        <f t="shared" si="13"/>
        <v>121350</v>
      </c>
      <c r="H185" s="370">
        <f t="shared" si="11"/>
        <v>33426000</v>
      </c>
    </row>
    <row r="186" spans="1:8" ht="31.5" x14ac:dyDescent="0.2">
      <c r="A186" s="393" t="s">
        <v>1808</v>
      </c>
      <c r="B186" s="421">
        <v>76.5</v>
      </c>
      <c r="C186" s="426"/>
      <c r="D186" s="427">
        <v>0.8</v>
      </c>
      <c r="E186" s="370" t="s">
        <v>25</v>
      </c>
      <c r="F186" s="370">
        <v>305755</v>
      </c>
      <c r="G186" s="370">
        <f t="shared" si="13"/>
        <v>244604</v>
      </c>
      <c r="H186" s="370">
        <f t="shared" si="11"/>
        <v>18712000</v>
      </c>
    </row>
    <row r="187" spans="1:8" ht="31.5" x14ac:dyDescent="0.2">
      <c r="A187" s="393" t="s">
        <v>1809</v>
      </c>
      <c r="B187" s="421">
        <v>18.2</v>
      </c>
      <c r="C187" s="426"/>
      <c r="D187" s="427">
        <v>0.8</v>
      </c>
      <c r="E187" s="370" t="s">
        <v>25</v>
      </c>
      <c r="F187" s="370">
        <v>305755</v>
      </c>
      <c r="G187" s="370">
        <f t="shared" si="13"/>
        <v>244604</v>
      </c>
      <c r="H187" s="370">
        <f t="shared" si="11"/>
        <v>4452000</v>
      </c>
    </row>
    <row r="188" spans="1:8" ht="15.75" x14ac:dyDescent="0.2">
      <c r="A188" s="319" t="s">
        <v>1839</v>
      </c>
      <c r="B188" s="420">
        <v>196.55999999999995</v>
      </c>
      <c r="C188" s="426"/>
      <c r="D188" s="427">
        <v>0.8</v>
      </c>
      <c r="E188" s="370" t="s">
        <v>25</v>
      </c>
      <c r="F188" s="370">
        <v>305755</v>
      </c>
      <c r="G188" s="370">
        <f t="shared" si="13"/>
        <v>244604</v>
      </c>
      <c r="H188" s="370">
        <f t="shared" si="11"/>
        <v>48079000</v>
      </c>
    </row>
    <row r="189" spans="1:8" ht="15.75" x14ac:dyDescent="0.2">
      <c r="A189" s="324" t="s">
        <v>1799</v>
      </c>
      <c r="B189" s="420">
        <v>355.49</v>
      </c>
      <c r="C189" s="426"/>
      <c r="D189" s="427">
        <v>0.9</v>
      </c>
      <c r="E189" s="370" t="s">
        <v>25</v>
      </c>
      <c r="F189" s="370">
        <v>305755</v>
      </c>
      <c r="G189" s="370">
        <f t="shared" si="13"/>
        <v>275180</v>
      </c>
      <c r="H189" s="370">
        <f t="shared" si="11"/>
        <v>97824000</v>
      </c>
    </row>
    <row r="190" spans="1:8" ht="15.75" x14ac:dyDescent="0.2">
      <c r="A190" s="319" t="s">
        <v>1817</v>
      </c>
      <c r="B190" s="397">
        <v>0.81</v>
      </c>
      <c r="C190" s="426"/>
      <c r="D190" s="427">
        <v>0.9</v>
      </c>
      <c r="E190" s="370" t="s">
        <v>25</v>
      </c>
      <c r="F190" s="370">
        <v>224671</v>
      </c>
      <c r="G190" s="370">
        <f t="shared" si="13"/>
        <v>202204</v>
      </c>
      <c r="H190" s="370">
        <f t="shared" si="11"/>
        <v>164000</v>
      </c>
    </row>
    <row r="191" spans="1:8" ht="31.5" x14ac:dyDescent="0.2">
      <c r="A191" s="319" t="s">
        <v>1792</v>
      </c>
      <c r="B191" s="422">
        <v>375.2</v>
      </c>
      <c r="C191" s="426"/>
      <c r="D191" s="427">
        <v>0.8</v>
      </c>
      <c r="E191" s="370">
        <v>264764</v>
      </c>
      <c r="F191" s="370">
        <v>0</v>
      </c>
      <c r="G191" s="370">
        <f t="shared" ref="G191:G242" si="14">ROUND(D191*E191,0)</f>
        <v>211811</v>
      </c>
      <c r="H191" s="370">
        <f t="shared" si="11"/>
        <v>79471000</v>
      </c>
    </row>
    <row r="192" spans="1:8" ht="31.5" x14ac:dyDescent="0.2">
      <c r="A192" s="319" t="s">
        <v>1749</v>
      </c>
      <c r="B192" s="397">
        <v>402.4</v>
      </c>
      <c r="C192" s="426"/>
      <c r="D192" s="427">
        <v>0.8</v>
      </c>
      <c r="E192" s="370">
        <v>264764</v>
      </c>
      <c r="F192" s="370">
        <v>0</v>
      </c>
      <c r="G192" s="370">
        <f t="shared" si="14"/>
        <v>211811</v>
      </c>
      <c r="H192" s="370">
        <f t="shared" si="11"/>
        <v>85233000</v>
      </c>
    </row>
    <row r="193" spans="1:8" ht="31.5" x14ac:dyDescent="0.2">
      <c r="A193" s="319" t="s">
        <v>1768</v>
      </c>
      <c r="B193" s="397">
        <v>364.42</v>
      </c>
      <c r="C193" s="426"/>
      <c r="D193" s="427">
        <v>0.9</v>
      </c>
      <c r="E193" s="370">
        <v>264764</v>
      </c>
      <c r="F193" s="370">
        <v>0</v>
      </c>
      <c r="G193" s="370">
        <f t="shared" si="14"/>
        <v>238288</v>
      </c>
      <c r="H193" s="370">
        <f t="shared" si="11"/>
        <v>86837000</v>
      </c>
    </row>
    <row r="194" spans="1:8" ht="31.5" x14ac:dyDescent="0.2">
      <c r="A194" s="327" t="s">
        <v>2344</v>
      </c>
      <c r="B194" s="397">
        <v>72.239999999999995</v>
      </c>
      <c r="C194" s="426"/>
      <c r="D194" s="427">
        <v>0.8</v>
      </c>
      <c r="E194" s="370">
        <v>295373</v>
      </c>
      <c r="F194" s="370">
        <v>0</v>
      </c>
      <c r="G194" s="370">
        <f t="shared" si="14"/>
        <v>236298</v>
      </c>
      <c r="H194" s="370">
        <f t="shared" si="11"/>
        <v>17070000</v>
      </c>
    </row>
    <row r="195" spans="1:8" ht="31.5" x14ac:dyDescent="0.2">
      <c r="A195" s="319" t="s">
        <v>1766</v>
      </c>
      <c r="B195" s="422">
        <v>101.28</v>
      </c>
      <c r="C195" s="426"/>
      <c r="D195" s="427">
        <v>0.9</v>
      </c>
      <c r="E195" s="370">
        <v>295373</v>
      </c>
      <c r="F195" s="370">
        <v>0</v>
      </c>
      <c r="G195" s="370">
        <f t="shared" si="14"/>
        <v>265836</v>
      </c>
      <c r="H195" s="370">
        <f t="shared" ref="H195:H258" si="15">ROUND(G195*B195,-3)</f>
        <v>26924000</v>
      </c>
    </row>
    <row r="196" spans="1:8" ht="15.75" x14ac:dyDescent="0.2">
      <c r="A196" s="319" t="s">
        <v>2369</v>
      </c>
      <c r="B196" s="420">
        <v>29.8</v>
      </c>
      <c r="C196" s="426"/>
      <c r="D196" s="427">
        <v>0.8</v>
      </c>
      <c r="E196" s="370">
        <v>5897406</v>
      </c>
      <c r="F196" s="370">
        <v>0</v>
      </c>
      <c r="G196" s="370">
        <f t="shared" si="14"/>
        <v>4717925</v>
      </c>
      <c r="H196" s="370">
        <f t="shared" si="15"/>
        <v>140594000</v>
      </c>
    </row>
    <row r="197" spans="1:8" ht="15.75" x14ac:dyDescent="0.2">
      <c r="A197" s="319" t="s">
        <v>1914</v>
      </c>
      <c r="B197" s="420">
        <v>177.6</v>
      </c>
      <c r="C197" s="426"/>
      <c r="D197" s="427">
        <v>0.9</v>
      </c>
      <c r="E197" s="370">
        <v>5897406</v>
      </c>
      <c r="F197" s="370">
        <v>0</v>
      </c>
      <c r="G197" s="370">
        <f t="shared" si="14"/>
        <v>5307665</v>
      </c>
      <c r="H197" s="370">
        <f t="shared" si="15"/>
        <v>942641000</v>
      </c>
    </row>
    <row r="198" spans="1:8" ht="15.75" x14ac:dyDescent="0.2">
      <c r="A198" s="319" t="s">
        <v>1996</v>
      </c>
      <c r="B198" s="420">
        <v>9</v>
      </c>
      <c r="C198" s="426"/>
      <c r="D198" s="427">
        <v>0.8</v>
      </c>
      <c r="E198" s="370">
        <v>1905403</v>
      </c>
      <c r="F198" s="370">
        <v>0</v>
      </c>
      <c r="G198" s="370">
        <f t="shared" si="14"/>
        <v>1524322</v>
      </c>
      <c r="H198" s="370">
        <f t="shared" si="15"/>
        <v>13719000</v>
      </c>
    </row>
    <row r="199" spans="1:8" ht="15.75" x14ac:dyDescent="0.2">
      <c r="A199" s="319" t="s">
        <v>2391</v>
      </c>
      <c r="B199" s="420">
        <v>133.88999999999999</v>
      </c>
      <c r="C199" s="426"/>
      <c r="D199" s="427">
        <v>0.8</v>
      </c>
      <c r="E199" s="370">
        <v>1306100</v>
      </c>
      <c r="F199" s="370">
        <v>0</v>
      </c>
      <c r="G199" s="370">
        <f t="shared" si="14"/>
        <v>1044880</v>
      </c>
      <c r="H199" s="370">
        <f t="shared" si="15"/>
        <v>139899000</v>
      </c>
    </row>
    <row r="200" spans="1:8" ht="15.75" x14ac:dyDescent="0.2">
      <c r="A200" s="319" t="s">
        <v>1814</v>
      </c>
      <c r="B200" s="397">
        <v>4.96</v>
      </c>
      <c r="C200" s="426"/>
      <c r="D200" s="427">
        <v>0.9</v>
      </c>
      <c r="E200" s="370">
        <v>3945111</v>
      </c>
      <c r="F200" s="370">
        <v>0</v>
      </c>
      <c r="G200" s="370">
        <f t="shared" si="14"/>
        <v>3550600</v>
      </c>
      <c r="H200" s="370">
        <f t="shared" si="15"/>
        <v>17611000</v>
      </c>
    </row>
    <row r="201" spans="1:8" ht="15.75" x14ac:dyDescent="0.2">
      <c r="A201" s="319" t="s">
        <v>1958</v>
      </c>
      <c r="B201" s="420">
        <v>162.57000000000002</v>
      </c>
      <c r="C201" s="426"/>
      <c r="D201" s="427">
        <v>0.9</v>
      </c>
      <c r="E201" s="370">
        <v>3945111</v>
      </c>
      <c r="F201" s="370">
        <v>0</v>
      </c>
      <c r="G201" s="370">
        <f t="shared" si="14"/>
        <v>3550600</v>
      </c>
      <c r="H201" s="370">
        <f t="shared" si="15"/>
        <v>577221000</v>
      </c>
    </row>
    <row r="202" spans="1:8" ht="15.75" x14ac:dyDescent="0.2">
      <c r="A202" s="319" t="s">
        <v>2251</v>
      </c>
      <c r="B202" s="420">
        <v>153.80000000000001</v>
      </c>
      <c r="C202" s="426"/>
      <c r="D202" s="427">
        <v>0.9</v>
      </c>
      <c r="E202" s="370">
        <v>6432390</v>
      </c>
      <c r="F202" s="370">
        <v>0</v>
      </c>
      <c r="G202" s="370">
        <f t="shared" si="14"/>
        <v>5789151</v>
      </c>
      <c r="H202" s="370">
        <f t="shared" si="15"/>
        <v>890371000</v>
      </c>
    </row>
    <row r="203" spans="1:8" ht="15.75" x14ac:dyDescent="0.2">
      <c r="A203" s="319" t="s">
        <v>1752</v>
      </c>
      <c r="B203" s="397">
        <v>205.5</v>
      </c>
      <c r="C203" s="426"/>
      <c r="D203" s="427">
        <v>0.8</v>
      </c>
      <c r="E203" s="370">
        <v>6076737</v>
      </c>
      <c r="F203" s="370">
        <v>0</v>
      </c>
      <c r="G203" s="370">
        <f t="shared" si="14"/>
        <v>4861390</v>
      </c>
      <c r="H203" s="370">
        <f t="shared" si="15"/>
        <v>999016000</v>
      </c>
    </row>
    <row r="204" spans="1:8" ht="15.75" x14ac:dyDescent="0.2">
      <c r="A204" s="319" t="s">
        <v>1827</v>
      </c>
      <c r="B204" s="420">
        <v>294.39999999999998</v>
      </c>
      <c r="C204" s="426"/>
      <c r="D204" s="427">
        <v>0.9</v>
      </c>
      <c r="E204" s="370">
        <v>6076737</v>
      </c>
      <c r="F204" s="370">
        <v>0</v>
      </c>
      <c r="G204" s="370">
        <f t="shared" si="14"/>
        <v>5469063</v>
      </c>
      <c r="H204" s="370">
        <f t="shared" si="15"/>
        <v>1610092000</v>
      </c>
    </row>
    <row r="205" spans="1:8" ht="31.5" x14ac:dyDescent="0.2">
      <c r="A205" s="321" t="s">
        <v>2257</v>
      </c>
      <c r="B205" s="397">
        <v>88</v>
      </c>
      <c r="C205" s="426"/>
      <c r="D205" s="427">
        <v>0.9</v>
      </c>
      <c r="E205" s="370">
        <v>6076737</v>
      </c>
      <c r="F205" s="370">
        <v>0</v>
      </c>
      <c r="G205" s="370">
        <f t="shared" si="14"/>
        <v>5469063</v>
      </c>
      <c r="H205" s="370">
        <f t="shared" si="15"/>
        <v>481278000</v>
      </c>
    </row>
    <row r="206" spans="1:8" ht="15.75" x14ac:dyDescent="0.2">
      <c r="A206" s="319" t="s">
        <v>1934</v>
      </c>
      <c r="B206" s="420">
        <v>16</v>
      </c>
      <c r="C206" s="426"/>
      <c r="D206" s="427">
        <v>0.9</v>
      </c>
      <c r="E206" s="370">
        <v>5897406</v>
      </c>
      <c r="F206" s="370">
        <v>0</v>
      </c>
      <c r="G206" s="370">
        <f t="shared" si="14"/>
        <v>5307665</v>
      </c>
      <c r="H206" s="370">
        <f t="shared" si="15"/>
        <v>84923000</v>
      </c>
    </row>
    <row r="207" spans="1:8" ht="15.75" x14ac:dyDescent="0.2">
      <c r="A207" s="319" t="s">
        <v>1754</v>
      </c>
      <c r="B207" s="420">
        <v>394.65000000000003</v>
      </c>
      <c r="C207" s="426"/>
      <c r="D207" s="427">
        <v>0.8</v>
      </c>
      <c r="E207" s="370">
        <v>5897406</v>
      </c>
      <c r="F207" s="370">
        <v>0</v>
      </c>
      <c r="G207" s="370">
        <f t="shared" si="14"/>
        <v>4717925</v>
      </c>
      <c r="H207" s="370">
        <f t="shared" si="15"/>
        <v>1861929000</v>
      </c>
    </row>
    <row r="208" spans="1:8" ht="15.75" x14ac:dyDescent="0.2">
      <c r="A208" s="319" t="s">
        <v>1820</v>
      </c>
      <c r="B208" s="420">
        <v>525.67499999999995</v>
      </c>
      <c r="C208" s="426"/>
      <c r="D208" s="427">
        <v>0.9</v>
      </c>
      <c r="E208" s="370">
        <v>5897406</v>
      </c>
      <c r="F208" s="370">
        <v>0</v>
      </c>
      <c r="G208" s="370">
        <f t="shared" si="14"/>
        <v>5307665</v>
      </c>
      <c r="H208" s="370">
        <f t="shared" si="15"/>
        <v>2790107000</v>
      </c>
    </row>
    <row r="209" spans="1:8" ht="31.5" x14ac:dyDescent="0.2">
      <c r="A209" s="319" t="s">
        <v>1936</v>
      </c>
      <c r="B209" s="420">
        <v>0</v>
      </c>
      <c r="C209" s="426"/>
      <c r="D209" s="427">
        <v>0.9</v>
      </c>
      <c r="E209" s="370">
        <v>5897406</v>
      </c>
      <c r="F209" s="370">
        <v>0</v>
      </c>
      <c r="G209" s="370">
        <f t="shared" si="14"/>
        <v>5307665</v>
      </c>
      <c r="H209" s="370">
        <f t="shared" si="15"/>
        <v>0</v>
      </c>
    </row>
    <row r="210" spans="1:8" ht="15.75" x14ac:dyDescent="0.2">
      <c r="A210" s="319" t="s">
        <v>1838</v>
      </c>
      <c r="B210" s="420">
        <v>621.94000000000005</v>
      </c>
      <c r="C210" s="426"/>
      <c r="D210" s="427">
        <v>0.8</v>
      </c>
      <c r="E210" s="370">
        <v>3945111</v>
      </c>
      <c r="F210" s="370">
        <v>0</v>
      </c>
      <c r="G210" s="370">
        <f t="shared" si="14"/>
        <v>3156089</v>
      </c>
      <c r="H210" s="370">
        <f t="shared" si="15"/>
        <v>1962898000</v>
      </c>
    </row>
    <row r="211" spans="1:8" ht="15.75" x14ac:dyDescent="0.2">
      <c r="A211" s="319" t="s">
        <v>1763</v>
      </c>
      <c r="B211" s="420">
        <v>583.98</v>
      </c>
      <c r="C211" s="426"/>
      <c r="D211" s="427">
        <v>0.9</v>
      </c>
      <c r="E211" s="370">
        <v>3945111</v>
      </c>
      <c r="F211" s="370">
        <v>0</v>
      </c>
      <c r="G211" s="370">
        <f t="shared" si="14"/>
        <v>3550600</v>
      </c>
      <c r="H211" s="370">
        <f t="shared" si="15"/>
        <v>2073479000</v>
      </c>
    </row>
    <row r="212" spans="1:8" ht="31.5" x14ac:dyDescent="0.2">
      <c r="A212" s="319" t="s">
        <v>2341</v>
      </c>
      <c r="B212" s="397">
        <v>68.2</v>
      </c>
      <c r="C212" s="426"/>
      <c r="D212" s="427">
        <v>0.8</v>
      </c>
      <c r="E212" s="370">
        <v>3945111</v>
      </c>
      <c r="F212" s="370">
        <v>0</v>
      </c>
      <c r="G212" s="370">
        <f t="shared" si="14"/>
        <v>3156089</v>
      </c>
      <c r="H212" s="370">
        <f t="shared" si="15"/>
        <v>215245000</v>
      </c>
    </row>
    <row r="213" spans="1:8" ht="31.5" x14ac:dyDescent="0.2">
      <c r="A213" s="319" t="s">
        <v>1797</v>
      </c>
      <c r="B213" s="397">
        <v>6.6000000000000005</v>
      </c>
      <c r="C213" s="426"/>
      <c r="D213" s="427">
        <v>0.9</v>
      </c>
      <c r="E213" s="370">
        <v>3945111</v>
      </c>
      <c r="F213" s="370">
        <v>0</v>
      </c>
      <c r="G213" s="370">
        <f t="shared" si="14"/>
        <v>3550600</v>
      </c>
      <c r="H213" s="370">
        <f t="shared" si="15"/>
        <v>23434000</v>
      </c>
    </row>
    <row r="214" spans="1:8" ht="15.75" x14ac:dyDescent="0.2">
      <c r="A214" s="319" t="s">
        <v>1995</v>
      </c>
      <c r="B214" s="420">
        <v>4.75</v>
      </c>
      <c r="C214" s="426"/>
      <c r="D214" s="427">
        <v>0.8</v>
      </c>
      <c r="E214" s="370">
        <v>3844459</v>
      </c>
      <c r="F214" s="370">
        <v>0</v>
      </c>
      <c r="G214" s="370">
        <f t="shared" si="14"/>
        <v>3075567</v>
      </c>
      <c r="H214" s="370">
        <f t="shared" si="15"/>
        <v>14609000</v>
      </c>
    </row>
    <row r="215" spans="1:8" ht="15.75" x14ac:dyDescent="0.2">
      <c r="A215" s="323" t="s">
        <v>1885</v>
      </c>
      <c r="B215" s="397">
        <v>25.35</v>
      </c>
      <c r="C215" s="426"/>
      <c r="D215" s="427">
        <v>0.9</v>
      </c>
      <c r="E215" s="370">
        <v>3844459</v>
      </c>
      <c r="F215" s="370">
        <v>0</v>
      </c>
      <c r="G215" s="370">
        <f t="shared" si="14"/>
        <v>3460013</v>
      </c>
      <c r="H215" s="370">
        <f t="shared" si="15"/>
        <v>87711000</v>
      </c>
    </row>
    <row r="216" spans="1:8" ht="31.5" x14ac:dyDescent="0.2">
      <c r="A216" s="327" t="s">
        <v>2342</v>
      </c>
      <c r="B216" s="397">
        <v>0</v>
      </c>
      <c r="C216" s="426"/>
      <c r="D216" s="427">
        <v>0.8</v>
      </c>
      <c r="E216" s="370">
        <v>3844459</v>
      </c>
      <c r="F216" s="370">
        <v>0</v>
      </c>
      <c r="G216" s="370">
        <f t="shared" si="14"/>
        <v>3075567</v>
      </c>
      <c r="H216" s="370">
        <f t="shared" si="15"/>
        <v>0</v>
      </c>
    </row>
    <row r="217" spans="1:8" ht="15.75" x14ac:dyDescent="0.2">
      <c r="A217" s="319" t="s">
        <v>1852</v>
      </c>
      <c r="B217" s="420">
        <v>184.45</v>
      </c>
      <c r="C217" s="426"/>
      <c r="D217" s="427">
        <v>0.8</v>
      </c>
      <c r="E217" s="370">
        <v>1863204</v>
      </c>
      <c r="F217" s="370">
        <v>0</v>
      </c>
      <c r="G217" s="370">
        <f t="shared" si="14"/>
        <v>1490563</v>
      </c>
      <c r="H217" s="370">
        <f t="shared" si="15"/>
        <v>274934000</v>
      </c>
    </row>
    <row r="218" spans="1:8" ht="15.75" x14ac:dyDescent="0.2">
      <c r="A218" s="323" t="s">
        <v>1840</v>
      </c>
      <c r="B218" s="397">
        <v>209.14</v>
      </c>
      <c r="C218" s="426"/>
      <c r="D218" s="427">
        <v>0.9</v>
      </c>
      <c r="E218" s="370">
        <v>1863204</v>
      </c>
      <c r="F218" s="370">
        <v>0</v>
      </c>
      <c r="G218" s="370">
        <f t="shared" si="14"/>
        <v>1676884</v>
      </c>
      <c r="H218" s="370">
        <f t="shared" si="15"/>
        <v>350704000</v>
      </c>
    </row>
    <row r="219" spans="1:8" ht="31.5" x14ac:dyDescent="0.2">
      <c r="A219" s="319" t="s">
        <v>1939</v>
      </c>
      <c r="B219" s="420">
        <v>0</v>
      </c>
      <c r="C219" s="426"/>
      <c r="D219" s="427">
        <v>0.8</v>
      </c>
      <c r="E219" s="370">
        <v>1863204</v>
      </c>
      <c r="F219" s="370">
        <v>0</v>
      </c>
      <c r="G219" s="370">
        <f t="shared" si="14"/>
        <v>1490563</v>
      </c>
      <c r="H219" s="370">
        <f t="shared" si="15"/>
        <v>0</v>
      </c>
    </row>
    <row r="220" spans="1:8" ht="15.75" x14ac:dyDescent="0.2">
      <c r="A220" s="321" t="s">
        <v>2298</v>
      </c>
      <c r="B220" s="397">
        <v>3.92</v>
      </c>
      <c r="C220" s="426"/>
      <c r="D220" s="427">
        <v>0.8</v>
      </c>
      <c r="E220" s="370">
        <v>1848762</v>
      </c>
      <c r="F220" s="370">
        <v>0</v>
      </c>
      <c r="G220" s="370">
        <f t="shared" si="14"/>
        <v>1479010</v>
      </c>
      <c r="H220" s="370">
        <f t="shared" si="15"/>
        <v>5798000</v>
      </c>
    </row>
    <row r="221" spans="1:8" ht="15.75" x14ac:dyDescent="0.2">
      <c r="A221" s="321" t="s">
        <v>1778</v>
      </c>
      <c r="B221" s="422">
        <v>22.5</v>
      </c>
      <c r="C221" s="426"/>
      <c r="D221" s="427">
        <v>0.8</v>
      </c>
      <c r="E221" s="370">
        <v>1748901</v>
      </c>
      <c r="F221" s="370">
        <v>0</v>
      </c>
      <c r="G221" s="370">
        <f t="shared" si="14"/>
        <v>1399121</v>
      </c>
      <c r="H221" s="370">
        <f t="shared" si="15"/>
        <v>31480000</v>
      </c>
    </row>
    <row r="222" spans="1:8" ht="15.75" x14ac:dyDescent="0.2">
      <c r="A222" s="319" t="s">
        <v>1779</v>
      </c>
      <c r="B222" s="420">
        <v>122</v>
      </c>
      <c r="C222" s="426"/>
      <c r="D222" s="427">
        <v>0.8</v>
      </c>
      <c r="E222" s="370">
        <v>1748901</v>
      </c>
      <c r="F222" s="370">
        <v>0</v>
      </c>
      <c r="G222" s="370">
        <f t="shared" si="14"/>
        <v>1399121</v>
      </c>
      <c r="H222" s="370">
        <f t="shared" si="15"/>
        <v>170693000</v>
      </c>
    </row>
    <row r="223" spans="1:8" ht="15.75" x14ac:dyDescent="0.2">
      <c r="A223" s="323" t="s">
        <v>1888</v>
      </c>
      <c r="B223" s="397">
        <v>55.06</v>
      </c>
      <c r="C223" s="426"/>
      <c r="D223" s="427">
        <v>0.9</v>
      </c>
      <c r="E223" s="370">
        <v>1748901</v>
      </c>
      <c r="F223" s="370">
        <v>0</v>
      </c>
      <c r="G223" s="370">
        <f t="shared" si="14"/>
        <v>1574011</v>
      </c>
      <c r="H223" s="370">
        <f t="shared" si="15"/>
        <v>86665000</v>
      </c>
    </row>
    <row r="224" spans="1:8" ht="15.75" x14ac:dyDescent="0.2">
      <c r="A224" s="323" t="s">
        <v>1890</v>
      </c>
      <c r="B224" s="397">
        <v>28</v>
      </c>
      <c r="C224" s="426"/>
      <c r="D224" s="427">
        <v>0.9</v>
      </c>
      <c r="E224" s="370">
        <v>1748901</v>
      </c>
      <c r="F224" s="370">
        <v>0</v>
      </c>
      <c r="G224" s="370">
        <f t="shared" si="14"/>
        <v>1574011</v>
      </c>
      <c r="H224" s="370">
        <f t="shared" si="15"/>
        <v>44072000</v>
      </c>
    </row>
    <row r="225" spans="1:8" ht="15.75" x14ac:dyDescent="0.2">
      <c r="A225" s="319" t="s">
        <v>1997</v>
      </c>
      <c r="B225" s="420">
        <v>9</v>
      </c>
      <c r="C225" s="426"/>
      <c r="D225" s="427">
        <v>0.8</v>
      </c>
      <c r="E225" s="370">
        <v>1475626</v>
      </c>
      <c r="F225" s="370">
        <v>0</v>
      </c>
      <c r="G225" s="370">
        <f t="shared" si="14"/>
        <v>1180501</v>
      </c>
      <c r="H225" s="370">
        <f t="shared" si="15"/>
        <v>10625000</v>
      </c>
    </row>
    <row r="226" spans="1:8" ht="15.75" x14ac:dyDescent="0.2">
      <c r="A226" s="319" t="s">
        <v>1926</v>
      </c>
      <c r="B226" s="420">
        <v>94.899999999999991</v>
      </c>
      <c r="C226" s="426"/>
      <c r="D226" s="427">
        <v>0.8</v>
      </c>
      <c r="E226" s="370">
        <v>1823570</v>
      </c>
      <c r="F226" s="370">
        <v>0</v>
      </c>
      <c r="G226" s="370">
        <f t="shared" si="14"/>
        <v>1458856</v>
      </c>
      <c r="H226" s="370">
        <f t="shared" si="15"/>
        <v>138445000</v>
      </c>
    </row>
    <row r="227" spans="1:8" ht="15.75" x14ac:dyDescent="0.2">
      <c r="A227" s="319" t="s">
        <v>2007</v>
      </c>
      <c r="B227" s="420">
        <v>17.759999999999998</v>
      </c>
      <c r="C227" s="426"/>
      <c r="D227" s="427">
        <v>0.9</v>
      </c>
      <c r="E227" s="370">
        <v>1823570</v>
      </c>
      <c r="F227" s="370">
        <v>0</v>
      </c>
      <c r="G227" s="370">
        <f t="shared" si="14"/>
        <v>1641213</v>
      </c>
      <c r="H227" s="370">
        <f t="shared" si="15"/>
        <v>29148000</v>
      </c>
    </row>
    <row r="228" spans="1:8" ht="14.45" customHeight="1" x14ac:dyDescent="0.2">
      <c r="A228" s="321" t="s">
        <v>2301</v>
      </c>
      <c r="B228" s="397">
        <v>64</v>
      </c>
      <c r="C228" s="426"/>
      <c r="D228" s="427">
        <v>0.8</v>
      </c>
      <c r="E228" s="370">
        <v>1533320</v>
      </c>
      <c r="F228" s="370">
        <v>0</v>
      </c>
      <c r="G228" s="370">
        <f t="shared" si="14"/>
        <v>1226656</v>
      </c>
      <c r="H228" s="370">
        <f t="shared" si="15"/>
        <v>78506000</v>
      </c>
    </row>
    <row r="229" spans="1:8" ht="15.75" x14ac:dyDescent="0.2">
      <c r="A229" s="321" t="s">
        <v>2328</v>
      </c>
      <c r="B229" s="397">
        <v>28.7</v>
      </c>
      <c r="C229" s="426"/>
      <c r="D229" s="427">
        <v>0.9</v>
      </c>
      <c r="E229" s="370">
        <v>1533320</v>
      </c>
      <c r="F229" s="370">
        <v>0</v>
      </c>
      <c r="G229" s="370">
        <f t="shared" si="14"/>
        <v>1379988</v>
      </c>
      <c r="H229" s="370">
        <f t="shared" si="15"/>
        <v>39606000</v>
      </c>
    </row>
    <row r="230" spans="1:8" ht="15.75" x14ac:dyDescent="0.2">
      <c r="A230" s="319" t="s">
        <v>1898</v>
      </c>
      <c r="B230" s="397">
        <v>14.52</v>
      </c>
      <c r="C230" s="426"/>
      <c r="D230" s="427">
        <v>0.9</v>
      </c>
      <c r="E230" s="370">
        <v>1306100</v>
      </c>
      <c r="F230" s="370">
        <v>0</v>
      </c>
      <c r="G230" s="370">
        <f t="shared" si="14"/>
        <v>1175490</v>
      </c>
      <c r="H230" s="370">
        <f t="shared" si="15"/>
        <v>17068000</v>
      </c>
    </row>
    <row r="231" spans="1:8" ht="15.75" x14ac:dyDescent="0.2">
      <c r="A231" s="321" t="s">
        <v>1845</v>
      </c>
      <c r="B231" s="397">
        <v>9.2799999999999994</v>
      </c>
      <c r="C231" s="426"/>
      <c r="D231" s="427">
        <v>0.9</v>
      </c>
      <c r="E231" s="370">
        <v>1306100</v>
      </c>
      <c r="F231" s="370">
        <v>0</v>
      </c>
      <c r="G231" s="370">
        <f t="shared" si="14"/>
        <v>1175490</v>
      </c>
      <c r="H231" s="370">
        <f t="shared" si="15"/>
        <v>10909000</v>
      </c>
    </row>
    <row r="232" spans="1:8" ht="31.5" x14ac:dyDescent="0.2">
      <c r="A232" s="321" t="s">
        <v>1765</v>
      </c>
      <c r="B232" s="422">
        <v>2.46</v>
      </c>
      <c r="C232" s="426"/>
      <c r="D232" s="427">
        <v>0.9</v>
      </c>
      <c r="E232" s="370">
        <v>2616451</v>
      </c>
      <c r="F232" s="370">
        <v>0</v>
      </c>
      <c r="G232" s="370">
        <f t="shared" si="14"/>
        <v>2354806</v>
      </c>
      <c r="H232" s="370">
        <f t="shared" si="15"/>
        <v>5793000</v>
      </c>
    </row>
    <row r="233" spans="1:8" ht="31.5" x14ac:dyDescent="0.2">
      <c r="A233" s="324" t="s">
        <v>1931</v>
      </c>
      <c r="B233" s="420">
        <v>8</v>
      </c>
      <c r="C233" s="426"/>
      <c r="D233" s="427">
        <v>0.9</v>
      </c>
      <c r="E233" s="370">
        <v>1230346</v>
      </c>
      <c r="F233" s="370">
        <v>0</v>
      </c>
      <c r="G233" s="370">
        <f t="shared" si="14"/>
        <v>1107311</v>
      </c>
      <c r="H233" s="370">
        <f t="shared" si="15"/>
        <v>8858000</v>
      </c>
    </row>
    <row r="234" spans="1:8" ht="31.5" x14ac:dyDescent="0.2">
      <c r="A234" s="319" t="s">
        <v>1992</v>
      </c>
      <c r="B234" s="420">
        <v>31.799999999999997</v>
      </c>
      <c r="C234" s="426"/>
      <c r="D234" s="427">
        <v>0.8</v>
      </c>
      <c r="E234" s="370">
        <v>1230346</v>
      </c>
      <c r="F234" s="370">
        <v>0</v>
      </c>
      <c r="G234" s="370">
        <f t="shared" si="14"/>
        <v>984277</v>
      </c>
      <c r="H234" s="370">
        <f t="shared" si="15"/>
        <v>31300000</v>
      </c>
    </row>
    <row r="235" spans="1:8" ht="31.5" x14ac:dyDescent="0.2">
      <c r="A235" s="319" t="s">
        <v>1916</v>
      </c>
      <c r="B235" s="420">
        <v>58.400000000000006</v>
      </c>
      <c r="C235" s="426"/>
      <c r="D235" s="427">
        <v>0.9</v>
      </c>
      <c r="E235" s="370">
        <v>1230346</v>
      </c>
      <c r="F235" s="370">
        <v>0</v>
      </c>
      <c r="G235" s="370">
        <f t="shared" si="14"/>
        <v>1107311</v>
      </c>
      <c r="H235" s="370">
        <f t="shared" si="15"/>
        <v>64667000</v>
      </c>
    </row>
    <row r="236" spans="1:8" ht="31.5" x14ac:dyDescent="0.2">
      <c r="A236" s="319" t="s">
        <v>2020</v>
      </c>
      <c r="B236" s="420">
        <v>81.599999999999994</v>
      </c>
      <c r="C236" s="426"/>
      <c r="D236" s="427">
        <v>0.8</v>
      </c>
      <c r="E236" s="370">
        <v>855633</v>
      </c>
      <c r="F236" s="370">
        <v>0</v>
      </c>
      <c r="G236" s="370">
        <f t="shared" si="14"/>
        <v>684506</v>
      </c>
      <c r="H236" s="370">
        <f t="shared" si="15"/>
        <v>55856000</v>
      </c>
    </row>
    <row r="237" spans="1:8" ht="31.5" x14ac:dyDescent="0.2">
      <c r="A237" s="319" t="s">
        <v>1927</v>
      </c>
      <c r="B237" s="420">
        <v>68.319999999999993</v>
      </c>
      <c r="C237" s="426"/>
      <c r="D237" s="427">
        <v>0.8</v>
      </c>
      <c r="E237" s="370">
        <v>855633</v>
      </c>
      <c r="F237" s="370">
        <v>0</v>
      </c>
      <c r="G237" s="370">
        <f t="shared" si="14"/>
        <v>684506</v>
      </c>
      <c r="H237" s="370">
        <f t="shared" si="15"/>
        <v>46765000</v>
      </c>
    </row>
    <row r="238" spans="1:8" ht="31.5" x14ac:dyDescent="0.2">
      <c r="A238" s="319" t="s">
        <v>1960</v>
      </c>
      <c r="B238" s="420">
        <v>58.2</v>
      </c>
      <c r="C238" s="426"/>
      <c r="D238" s="427">
        <v>0.9</v>
      </c>
      <c r="E238" s="370">
        <v>855633</v>
      </c>
      <c r="F238" s="370">
        <v>0</v>
      </c>
      <c r="G238" s="370">
        <f t="shared" si="14"/>
        <v>770070</v>
      </c>
      <c r="H238" s="370">
        <f t="shared" si="15"/>
        <v>44818000</v>
      </c>
    </row>
    <row r="239" spans="1:8" ht="31.5" x14ac:dyDescent="0.2">
      <c r="A239" s="319" t="s">
        <v>1980</v>
      </c>
      <c r="B239" s="420">
        <v>307.26</v>
      </c>
      <c r="C239" s="426"/>
      <c r="D239" s="427">
        <v>0.8</v>
      </c>
      <c r="E239" s="370">
        <v>855633</v>
      </c>
      <c r="F239" s="370">
        <v>0</v>
      </c>
      <c r="G239" s="370">
        <f t="shared" si="14"/>
        <v>684506</v>
      </c>
      <c r="H239" s="370">
        <f t="shared" si="15"/>
        <v>210321000</v>
      </c>
    </row>
    <row r="240" spans="1:8" ht="31.5" x14ac:dyDescent="0.2">
      <c r="A240" s="319" t="s">
        <v>1945</v>
      </c>
      <c r="B240" s="420">
        <v>130.27000000000001</v>
      </c>
      <c r="C240" s="426"/>
      <c r="D240" s="427">
        <v>0.9</v>
      </c>
      <c r="E240" s="370">
        <v>855633</v>
      </c>
      <c r="F240" s="370">
        <v>0</v>
      </c>
      <c r="G240" s="370">
        <f t="shared" si="14"/>
        <v>770070</v>
      </c>
      <c r="H240" s="370">
        <f t="shared" si="15"/>
        <v>100317000</v>
      </c>
    </row>
    <row r="241" spans="1:8" ht="31.5" x14ac:dyDescent="0.2">
      <c r="A241" s="319" t="s">
        <v>2371</v>
      </c>
      <c r="B241" s="420">
        <v>33.5</v>
      </c>
      <c r="C241" s="426"/>
      <c r="D241" s="427">
        <v>0.8</v>
      </c>
      <c r="E241" s="370">
        <v>855633</v>
      </c>
      <c r="F241" s="370">
        <v>0</v>
      </c>
      <c r="G241" s="370">
        <f t="shared" si="14"/>
        <v>684506</v>
      </c>
      <c r="H241" s="370">
        <f t="shared" si="15"/>
        <v>22931000</v>
      </c>
    </row>
    <row r="242" spans="1:8" ht="31.5" x14ac:dyDescent="0.2">
      <c r="A242" s="319" t="s">
        <v>1750</v>
      </c>
      <c r="B242" s="423">
        <v>448.52000000000004</v>
      </c>
      <c r="C242" s="426"/>
      <c r="D242" s="427">
        <v>0.8</v>
      </c>
      <c r="E242" s="370">
        <v>1230346</v>
      </c>
      <c r="F242" s="370">
        <v>0</v>
      </c>
      <c r="G242" s="370">
        <f t="shared" si="14"/>
        <v>984277</v>
      </c>
      <c r="H242" s="370">
        <f t="shared" si="15"/>
        <v>441468000</v>
      </c>
    </row>
    <row r="243" spans="1:8" ht="31.5" x14ac:dyDescent="0.2">
      <c r="A243" s="319" t="s">
        <v>1822</v>
      </c>
      <c r="B243" s="397">
        <v>29.67</v>
      </c>
      <c r="C243" s="426"/>
      <c r="D243" s="427">
        <v>0.9</v>
      </c>
      <c r="E243" s="370">
        <v>1230346</v>
      </c>
      <c r="F243" s="370">
        <v>0</v>
      </c>
      <c r="G243" s="370">
        <f t="shared" ref="G243:G249" si="16">ROUND(D243*E243,0)</f>
        <v>1107311</v>
      </c>
      <c r="H243" s="370">
        <f t="shared" si="15"/>
        <v>32854000</v>
      </c>
    </row>
    <row r="244" spans="1:8" ht="15.75" x14ac:dyDescent="0.2">
      <c r="A244" s="321" t="s">
        <v>936</v>
      </c>
      <c r="B244" s="424">
        <v>243</v>
      </c>
      <c r="C244" s="426"/>
      <c r="D244" s="426">
        <v>1</v>
      </c>
      <c r="E244" s="370">
        <v>855633</v>
      </c>
      <c r="F244" s="370">
        <v>0</v>
      </c>
      <c r="G244" s="370">
        <f t="shared" si="16"/>
        <v>855633</v>
      </c>
      <c r="H244" s="370">
        <f t="shared" si="15"/>
        <v>207919000</v>
      </c>
    </row>
    <row r="245" spans="1:8" ht="31.5" x14ac:dyDescent="0.2">
      <c r="A245" s="319" t="s">
        <v>2351</v>
      </c>
      <c r="B245" s="397">
        <v>369.40000000000003</v>
      </c>
      <c r="C245" s="426"/>
      <c r="D245" s="427">
        <v>0.8</v>
      </c>
      <c r="E245" s="370">
        <v>855633</v>
      </c>
      <c r="F245" s="370">
        <v>0</v>
      </c>
      <c r="G245" s="370">
        <f t="shared" si="16"/>
        <v>684506</v>
      </c>
      <c r="H245" s="370">
        <f t="shared" si="15"/>
        <v>252857000</v>
      </c>
    </row>
    <row r="246" spans="1:8" ht="31.5" x14ac:dyDescent="0.2">
      <c r="A246" s="319" t="s">
        <v>1762</v>
      </c>
      <c r="B246" s="397">
        <v>78.099999999999994</v>
      </c>
      <c r="C246" s="426"/>
      <c r="D246" s="427">
        <v>0.9</v>
      </c>
      <c r="E246" s="370">
        <v>855633</v>
      </c>
      <c r="F246" s="370">
        <v>0</v>
      </c>
      <c r="G246" s="370">
        <f t="shared" si="16"/>
        <v>770070</v>
      </c>
      <c r="H246" s="370">
        <f t="shared" si="15"/>
        <v>60142000</v>
      </c>
    </row>
    <row r="247" spans="1:8" ht="15.75" x14ac:dyDescent="0.2">
      <c r="A247" s="319" t="s">
        <v>1802</v>
      </c>
      <c r="B247" s="397">
        <v>133.30000000000001</v>
      </c>
      <c r="C247" s="426"/>
      <c r="D247" s="427">
        <v>0.8</v>
      </c>
      <c r="E247" s="370">
        <v>3945111</v>
      </c>
      <c r="F247" s="370">
        <v>0</v>
      </c>
      <c r="G247" s="370">
        <f t="shared" si="16"/>
        <v>3156089</v>
      </c>
      <c r="H247" s="370">
        <f t="shared" si="15"/>
        <v>420707000</v>
      </c>
    </row>
    <row r="248" spans="1:8" ht="31.5" x14ac:dyDescent="0.2">
      <c r="A248" s="319" t="s">
        <v>1786</v>
      </c>
      <c r="B248" s="397">
        <v>386.99999999999994</v>
      </c>
      <c r="C248" s="426"/>
      <c r="D248" s="427">
        <v>0.8</v>
      </c>
      <c r="E248" s="370">
        <v>1230346</v>
      </c>
      <c r="F248" s="370">
        <v>0</v>
      </c>
      <c r="G248" s="370">
        <f t="shared" si="16"/>
        <v>984277</v>
      </c>
      <c r="H248" s="370">
        <f t="shared" si="15"/>
        <v>380915000</v>
      </c>
    </row>
    <row r="249" spans="1:8" ht="47.25" x14ac:dyDescent="0.2">
      <c r="A249" s="319" t="s">
        <v>1782</v>
      </c>
      <c r="B249" s="397">
        <v>789.5</v>
      </c>
      <c r="C249" s="426"/>
      <c r="D249" s="427">
        <v>0.8</v>
      </c>
      <c r="E249" s="370">
        <v>1230346</v>
      </c>
      <c r="F249" s="370">
        <v>0</v>
      </c>
      <c r="G249" s="370">
        <f t="shared" si="16"/>
        <v>984277</v>
      </c>
      <c r="H249" s="370">
        <f t="shared" si="15"/>
        <v>777087000</v>
      </c>
    </row>
    <row r="250" spans="1:8" ht="31.5" x14ac:dyDescent="0.2">
      <c r="A250" s="319" t="s">
        <v>1780</v>
      </c>
      <c r="B250" s="422">
        <v>4.5</v>
      </c>
      <c r="C250" s="426"/>
      <c r="D250" s="427">
        <v>0.8</v>
      </c>
      <c r="E250" s="370" t="s">
        <v>25</v>
      </c>
      <c r="F250" s="370">
        <v>0</v>
      </c>
      <c r="G250" s="370"/>
      <c r="H250" s="370">
        <f t="shared" si="15"/>
        <v>0</v>
      </c>
    </row>
    <row r="251" spans="1:8" ht="47.25" x14ac:dyDescent="0.2">
      <c r="A251" s="319" t="s">
        <v>2022</v>
      </c>
      <c r="B251" s="420">
        <v>43.2</v>
      </c>
      <c r="C251" s="426"/>
      <c r="D251" s="427">
        <v>0.8</v>
      </c>
      <c r="E251" s="370">
        <v>10386015</v>
      </c>
      <c r="F251" s="370">
        <v>0</v>
      </c>
      <c r="G251" s="370">
        <f t="shared" ref="G251:G258" si="17">ROUND(D251*E251,0)</f>
        <v>8308812</v>
      </c>
      <c r="H251" s="370">
        <f t="shared" si="15"/>
        <v>358941000</v>
      </c>
    </row>
    <row r="252" spans="1:8" ht="31.5" x14ac:dyDescent="0.2">
      <c r="A252" s="319" t="s">
        <v>1753</v>
      </c>
      <c r="B252" s="397">
        <v>12.68</v>
      </c>
      <c r="C252" s="426"/>
      <c r="D252" s="427">
        <v>0.8</v>
      </c>
      <c r="E252" s="370">
        <v>10386015</v>
      </c>
      <c r="F252" s="370">
        <v>0</v>
      </c>
      <c r="G252" s="370">
        <f t="shared" si="17"/>
        <v>8308812</v>
      </c>
      <c r="H252" s="370">
        <f t="shared" si="15"/>
        <v>105356000</v>
      </c>
    </row>
    <row r="253" spans="1:8" ht="31.5" x14ac:dyDescent="0.2">
      <c r="A253" s="321" t="s">
        <v>1764</v>
      </c>
      <c r="B253" s="422">
        <v>1.98</v>
      </c>
      <c r="C253" s="426"/>
      <c r="D253" s="427">
        <v>0.9</v>
      </c>
      <c r="E253" s="370">
        <v>10031697</v>
      </c>
      <c r="F253" s="370">
        <v>0</v>
      </c>
      <c r="G253" s="370">
        <f t="shared" si="17"/>
        <v>9028527</v>
      </c>
      <c r="H253" s="370">
        <f t="shared" si="15"/>
        <v>17876000</v>
      </c>
    </row>
    <row r="254" spans="1:8" ht="31.5" x14ac:dyDescent="0.2">
      <c r="A254" s="319" t="s">
        <v>1759</v>
      </c>
      <c r="B254" s="422">
        <v>3.5</v>
      </c>
      <c r="C254" s="426"/>
      <c r="D254" s="427">
        <v>0.8</v>
      </c>
      <c r="E254" s="370">
        <v>9471786</v>
      </c>
      <c r="F254" s="370">
        <v>0</v>
      </c>
      <c r="G254" s="370">
        <f t="shared" si="17"/>
        <v>7577429</v>
      </c>
      <c r="H254" s="370">
        <f t="shared" si="15"/>
        <v>26521000</v>
      </c>
    </row>
    <row r="255" spans="1:8" ht="15.75" x14ac:dyDescent="0.2">
      <c r="A255" s="319" t="s">
        <v>1884</v>
      </c>
      <c r="B255" s="397">
        <v>106.6</v>
      </c>
      <c r="C255" s="426"/>
      <c r="D255" s="427">
        <v>0.8</v>
      </c>
      <c r="E255" s="370">
        <v>1230346</v>
      </c>
      <c r="F255" s="370">
        <v>0</v>
      </c>
      <c r="G255" s="370">
        <f t="shared" si="17"/>
        <v>984277</v>
      </c>
      <c r="H255" s="370">
        <f t="shared" si="15"/>
        <v>104924000</v>
      </c>
    </row>
    <row r="256" spans="1:8" ht="15.75" x14ac:dyDescent="0.2">
      <c r="A256" s="328" t="s">
        <v>1863</v>
      </c>
      <c r="B256" s="397">
        <v>145.60999999999999</v>
      </c>
      <c r="C256" s="426"/>
      <c r="D256" s="427">
        <v>0.9</v>
      </c>
      <c r="E256" s="370">
        <v>1230346</v>
      </c>
      <c r="F256" s="370">
        <v>0</v>
      </c>
      <c r="G256" s="370">
        <f t="shared" si="17"/>
        <v>1107311</v>
      </c>
      <c r="H256" s="370">
        <f t="shared" si="15"/>
        <v>161236000</v>
      </c>
    </row>
    <row r="257" spans="1:8" ht="15.75" x14ac:dyDescent="0.2">
      <c r="A257" s="325" t="s">
        <v>2289</v>
      </c>
      <c r="B257" s="421">
        <v>135.57999999999998</v>
      </c>
      <c r="C257" s="426"/>
      <c r="D257" s="427">
        <v>0.8</v>
      </c>
      <c r="E257" s="370">
        <v>855633</v>
      </c>
      <c r="F257" s="370">
        <v>0</v>
      </c>
      <c r="G257" s="370">
        <f t="shared" si="17"/>
        <v>684506</v>
      </c>
      <c r="H257" s="370">
        <f t="shared" si="15"/>
        <v>92805000</v>
      </c>
    </row>
    <row r="258" spans="1:8" ht="15.75" x14ac:dyDescent="0.2">
      <c r="A258" s="321" t="s">
        <v>1844</v>
      </c>
      <c r="B258" s="397">
        <v>365.53000000000003</v>
      </c>
      <c r="C258" s="426"/>
      <c r="D258" s="427">
        <v>0.9</v>
      </c>
      <c r="E258" s="370">
        <v>855633</v>
      </c>
      <c r="F258" s="370">
        <v>0</v>
      </c>
      <c r="G258" s="370">
        <f t="shared" si="17"/>
        <v>770070</v>
      </c>
      <c r="H258" s="370">
        <f t="shared" si="15"/>
        <v>281484000</v>
      </c>
    </row>
    <row r="259" spans="1:8" ht="31.5" x14ac:dyDescent="0.2">
      <c r="A259" s="324" t="s">
        <v>1987</v>
      </c>
      <c r="B259" s="420">
        <v>5</v>
      </c>
      <c r="C259" s="426"/>
      <c r="D259" s="427">
        <v>0.8</v>
      </c>
      <c r="E259" s="370" t="s">
        <v>25</v>
      </c>
      <c r="F259" s="370">
        <v>842522</v>
      </c>
      <c r="G259" s="370">
        <f t="shared" ref="G259:G263" si="18">ROUND(D259*F259,0)</f>
        <v>674018</v>
      </c>
      <c r="H259" s="370">
        <f t="shared" ref="H259:H322" si="19">ROUND(G259*B259,-3)</f>
        <v>3370000</v>
      </c>
    </row>
    <row r="260" spans="1:8" ht="31.5" x14ac:dyDescent="0.2">
      <c r="A260" s="319" t="s">
        <v>2312</v>
      </c>
      <c r="B260" s="397">
        <v>50</v>
      </c>
      <c r="C260" s="426"/>
      <c r="D260" s="427">
        <v>0.8</v>
      </c>
      <c r="E260" s="370" t="s">
        <v>25</v>
      </c>
      <c r="F260" s="370">
        <v>100904</v>
      </c>
      <c r="G260" s="370">
        <f t="shared" si="18"/>
        <v>80723</v>
      </c>
      <c r="H260" s="370">
        <f t="shared" si="19"/>
        <v>4036000</v>
      </c>
    </row>
    <row r="261" spans="1:8" ht="31.5" x14ac:dyDescent="0.2">
      <c r="A261" s="323" t="s">
        <v>2348</v>
      </c>
      <c r="B261" s="397">
        <v>4</v>
      </c>
      <c r="C261" s="426"/>
      <c r="D261" s="427">
        <v>0.8</v>
      </c>
      <c r="E261" s="370" t="s">
        <v>25</v>
      </c>
      <c r="F261" s="370">
        <v>1571745</v>
      </c>
      <c r="G261" s="370">
        <f t="shared" si="18"/>
        <v>1257396</v>
      </c>
      <c r="H261" s="370">
        <f t="shared" si="19"/>
        <v>5030000</v>
      </c>
    </row>
    <row r="262" spans="1:8" ht="31.5" x14ac:dyDescent="0.2">
      <c r="A262" s="319" t="s">
        <v>2264</v>
      </c>
      <c r="B262" s="397">
        <v>12</v>
      </c>
      <c r="C262" s="426"/>
      <c r="D262" s="427">
        <v>0.8</v>
      </c>
      <c r="E262" s="370" t="s">
        <v>25</v>
      </c>
      <c r="F262" s="370">
        <v>672678</v>
      </c>
      <c r="G262" s="370">
        <f t="shared" si="18"/>
        <v>538142</v>
      </c>
      <c r="H262" s="370">
        <f t="shared" si="19"/>
        <v>6458000</v>
      </c>
    </row>
    <row r="263" spans="1:8" ht="31.5" x14ac:dyDescent="0.2">
      <c r="A263" s="319" t="s">
        <v>2058</v>
      </c>
      <c r="B263" s="420">
        <v>68</v>
      </c>
      <c r="C263" s="426"/>
      <c r="D263" s="427">
        <v>0.8</v>
      </c>
      <c r="E263" s="370" t="s">
        <v>25</v>
      </c>
      <c r="F263" s="370">
        <v>239557</v>
      </c>
      <c r="G263" s="370">
        <f t="shared" si="18"/>
        <v>191646</v>
      </c>
      <c r="H263" s="370">
        <f t="shared" si="19"/>
        <v>13032000</v>
      </c>
    </row>
    <row r="264" spans="1:8" ht="31.5" x14ac:dyDescent="0.2">
      <c r="A264" s="319" t="s">
        <v>2401</v>
      </c>
      <c r="B264" s="425">
        <v>10</v>
      </c>
      <c r="C264" s="426"/>
      <c r="D264" s="427">
        <v>0.8</v>
      </c>
      <c r="E264" s="370">
        <v>0</v>
      </c>
      <c r="F264" s="370">
        <v>0</v>
      </c>
      <c r="G264" s="370"/>
      <c r="H264" s="370">
        <f t="shared" si="19"/>
        <v>0</v>
      </c>
    </row>
    <row r="265" spans="1:8" ht="31.5" x14ac:dyDescent="0.2">
      <c r="A265" s="324" t="s">
        <v>2366</v>
      </c>
      <c r="B265" s="420">
        <v>19.8</v>
      </c>
      <c r="C265" s="426"/>
      <c r="D265" s="427">
        <v>0.9</v>
      </c>
      <c r="E265" s="370">
        <v>692946</v>
      </c>
      <c r="F265" s="370">
        <v>0</v>
      </c>
      <c r="G265" s="370">
        <f>ROUND(D265*E265,0)</f>
        <v>623651</v>
      </c>
      <c r="H265" s="370">
        <f t="shared" si="19"/>
        <v>12348000</v>
      </c>
    </row>
    <row r="266" spans="1:8" ht="31.5" x14ac:dyDescent="0.2">
      <c r="A266" s="319" t="s">
        <v>1957</v>
      </c>
      <c r="B266" s="420">
        <v>8</v>
      </c>
      <c r="C266" s="426"/>
      <c r="D266" s="427">
        <v>0.9</v>
      </c>
      <c r="E266" s="370" t="s">
        <v>25</v>
      </c>
      <c r="F266" s="370">
        <v>0</v>
      </c>
      <c r="G266" s="370"/>
      <c r="H266" s="370">
        <f t="shared" si="19"/>
        <v>0</v>
      </c>
    </row>
    <row r="267" spans="1:8" ht="31.5" x14ac:dyDescent="0.2">
      <c r="A267" s="319" t="s">
        <v>1793</v>
      </c>
      <c r="B267" s="422">
        <v>3.8</v>
      </c>
      <c r="C267" s="426"/>
      <c r="D267" s="427">
        <v>0.8</v>
      </c>
      <c r="E267" s="370" t="s">
        <v>25</v>
      </c>
      <c r="F267" s="370">
        <v>0</v>
      </c>
      <c r="G267" s="370"/>
      <c r="H267" s="370">
        <f t="shared" si="19"/>
        <v>0</v>
      </c>
    </row>
    <row r="268" spans="1:8" ht="15.75" x14ac:dyDescent="0.2">
      <c r="A268" s="321" t="s">
        <v>2277</v>
      </c>
      <c r="B268" s="397">
        <v>15.48</v>
      </c>
      <c r="C268" s="426"/>
      <c r="D268" s="427">
        <v>0.9</v>
      </c>
      <c r="E268" s="370" t="s">
        <v>25</v>
      </c>
      <c r="F268" s="370">
        <v>0</v>
      </c>
      <c r="G268" s="370"/>
      <c r="H268" s="370">
        <f t="shared" si="19"/>
        <v>0</v>
      </c>
    </row>
    <row r="269" spans="1:8" ht="15.75" x14ac:dyDescent="0.2">
      <c r="A269" s="319" t="s">
        <v>2380</v>
      </c>
      <c r="B269" s="420">
        <v>30.659999999999997</v>
      </c>
      <c r="C269" s="426"/>
      <c r="D269" s="427">
        <v>0.9</v>
      </c>
      <c r="E269" s="370" t="s">
        <v>25</v>
      </c>
      <c r="F269" s="370">
        <v>134833</v>
      </c>
      <c r="G269" s="370">
        <f t="shared" ref="G269:G270" si="20">ROUND(D269*F269,0)</f>
        <v>121350</v>
      </c>
      <c r="H269" s="370">
        <f t="shared" si="19"/>
        <v>3721000</v>
      </c>
    </row>
    <row r="270" spans="1:8" ht="15.75" x14ac:dyDescent="0.2">
      <c r="A270" s="319" t="s">
        <v>2381</v>
      </c>
      <c r="B270" s="420">
        <v>39.077500000000001</v>
      </c>
      <c r="C270" s="426"/>
      <c r="D270" s="427">
        <v>0.9</v>
      </c>
      <c r="E270" s="370" t="s">
        <v>25</v>
      </c>
      <c r="F270" s="370">
        <v>305755</v>
      </c>
      <c r="G270" s="370">
        <f t="shared" si="20"/>
        <v>275180</v>
      </c>
      <c r="H270" s="370">
        <f t="shared" si="19"/>
        <v>10753000</v>
      </c>
    </row>
    <row r="271" spans="1:8" ht="31.5" x14ac:dyDescent="0.2">
      <c r="A271" s="319" t="s">
        <v>2261</v>
      </c>
      <c r="B271" s="397">
        <v>29.2</v>
      </c>
      <c r="C271" s="426"/>
      <c r="D271" s="427">
        <v>0.8</v>
      </c>
      <c r="E271" s="370">
        <v>264764</v>
      </c>
      <c r="F271" s="370">
        <v>0</v>
      </c>
      <c r="G271" s="370">
        <f>ROUND(D271*E271,0)</f>
        <v>211811</v>
      </c>
      <c r="H271" s="370">
        <f t="shared" si="19"/>
        <v>6185000</v>
      </c>
    </row>
    <row r="272" spans="1:8" ht="47.25" x14ac:dyDescent="0.2">
      <c r="A272" s="324" t="s">
        <v>2013</v>
      </c>
      <c r="B272" s="420">
        <v>114.4</v>
      </c>
      <c r="C272" s="426"/>
      <c r="D272" s="427">
        <v>0.9</v>
      </c>
      <c r="E272" s="370" t="s">
        <v>25</v>
      </c>
      <c r="F272" s="370">
        <v>0</v>
      </c>
      <c r="G272" s="370"/>
      <c r="H272" s="370">
        <f t="shared" si="19"/>
        <v>0</v>
      </c>
    </row>
    <row r="273" spans="1:8" ht="15.75" x14ac:dyDescent="0.2">
      <c r="A273" s="330" t="s">
        <v>1818</v>
      </c>
      <c r="B273" s="397">
        <v>9.36</v>
      </c>
      <c r="C273" s="426"/>
      <c r="D273" s="427">
        <v>0.9</v>
      </c>
      <c r="E273" s="370" t="s">
        <v>25</v>
      </c>
      <c r="F273" s="370">
        <v>0</v>
      </c>
      <c r="G273" s="370"/>
      <c r="H273" s="370">
        <f t="shared" si="19"/>
        <v>0</v>
      </c>
    </row>
    <row r="274" spans="1:8" ht="31.5" x14ac:dyDescent="0.2">
      <c r="A274" s="319" t="s">
        <v>2392</v>
      </c>
      <c r="B274" s="420">
        <v>10.54</v>
      </c>
      <c r="C274" s="426"/>
      <c r="D274" s="427">
        <v>0.8</v>
      </c>
      <c r="E274" s="370" t="s">
        <v>25</v>
      </c>
      <c r="F274" s="370">
        <v>0</v>
      </c>
      <c r="G274" s="370"/>
      <c r="H274" s="370">
        <f t="shared" si="19"/>
        <v>0</v>
      </c>
    </row>
    <row r="275" spans="1:8" ht="31.5" x14ac:dyDescent="0.2">
      <c r="A275" s="319" t="s">
        <v>1965</v>
      </c>
      <c r="B275" s="420">
        <v>2.16</v>
      </c>
      <c r="C275" s="426"/>
      <c r="D275" s="427">
        <v>0.9</v>
      </c>
      <c r="E275" s="370" t="s">
        <v>25</v>
      </c>
      <c r="F275" s="370">
        <v>0</v>
      </c>
      <c r="G275" s="370"/>
      <c r="H275" s="370">
        <f t="shared" si="19"/>
        <v>0</v>
      </c>
    </row>
    <row r="276" spans="1:8" ht="31.5" x14ac:dyDescent="0.2">
      <c r="A276" s="324" t="s">
        <v>1978</v>
      </c>
      <c r="B276" s="420">
        <v>241.66000000000003</v>
      </c>
      <c r="C276" s="426"/>
      <c r="D276" s="427">
        <v>0.8</v>
      </c>
      <c r="E276" s="370">
        <v>295373</v>
      </c>
      <c r="F276" s="370">
        <v>0</v>
      </c>
      <c r="G276" s="370">
        <f t="shared" ref="G276:G278" si="21">ROUND(D276*E276,0)</f>
        <v>236298</v>
      </c>
      <c r="H276" s="370">
        <f t="shared" si="19"/>
        <v>57104000</v>
      </c>
    </row>
    <row r="277" spans="1:8" ht="31.5" x14ac:dyDescent="0.2">
      <c r="A277" s="324" t="s">
        <v>1912</v>
      </c>
      <c r="B277" s="420">
        <v>233.60000000000002</v>
      </c>
      <c r="C277" s="426"/>
      <c r="D277" s="427">
        <v>0.9</v>
      </c>
      <c r="E277" s="370">
        <v>295373</v>
      </c>
      <c r="F277" s="370">
        <v>0</v>
      </c>
      <c r="G277" s="370">
        <f t="shared" si="21"/>
        <v>265836</v>
      </c>
      <c r="H277" s="370">
        <f t="shared" si="19"/>
        <v>62099000</v>
      </c>
    </row>
    <row r="278" spans="1:8" ht="31.5" x14ac:dyDescent="0.2">
      <c r="A278" s="319" t="s">
        <v>2148</v>
      </c>
      <c r="B278" s="420">
        <v>61</v>
      </c>
      <c r="C278" s="426"/>
      <c r="D278" s="427">
        <v>0.8</v>
      </c>
      <c r="E278" s="370">
        <v>264764</v>
      </c>
      <c r="F278" s="370">
        <v>0</v>
      </c>
      <c r="G278" s="370">
        <f t="shared" si="21"/>
        <v>211811</v>
      </c>
      <c r="H278" s="370">
        <f t="shared" si="19"/>
        <v>12920000</v>
      </c>
    </row>
    <row r="279" spans="1:8" ht="31.5" x14ac:dyDescent="0.2">
      <c r="A279" s="319" t="s">
        <v>1998</v>
      </c>
      <c r="B279" s="420">
        <v>27</v>
      </c>
      <c r="C279" s="426"/>
      <c r="D279" s="427">
        <v>0.8</v>
      </c>
      <c r="E279" s="370" t="s">
        <v>25</v>
      </c>
      <c r="F279" s="370">
        <v>0</v>
      </c>
      <c r="G279" s="370"/>
      <c r="H279" s="370">
        <f t="shared" si="19"/>
        <v>0</v>
      </c>
    </row>
    <row r="280" spans="1:8" ht="31.5" x14ac:dyDescent="0.2">
      <c r="A280" s="319" t="s">
        <v>2333</v>
      </c>
      <c r="B280" s="397">
        <v>118.53999999999999</v>
      </c>
      <c r="C280" s="426"/>
      <c r="D280" s="427">
        <v>0.8</v>
      </c>
      <c r="E280" s="370">
        <v>264764</v>
      </c>
      <c r="F280" s="370">
        <v>0</v>
      </c>
      <c r="G280" s="370">
        <f t="shared" ref="G280:G286" si="22">ROUND(D280*E280,0)</f>
        <v>211811</v>
      </c>
      <c r="H280" s="370">
        <f t="shared" si="19"/>
        <v>25108000</v>
      </c>
    </row>
    <row r="281" spans="1:8" ht="31.5" x14ac:dyDescent="0.2">
      <c r="A281" s="319" t="s">
        <v>1846</v>
      </c>
      <c r="B281" s="397">
        <v>147.13</v>
      </c>
      <c r="C281" s="426"/>
      <c r="D281" s="427">
        <v>0.9</v>
      </c>
      <c r="E281" s="370">
        <v>264764</v>
      </c>
      <c r="F281" s="370">
        <v>0</v>
      </c>
      <c r="G281" s="370">
        <f t="shared" si="22"/>
        <v>238288</v>
      </c>
      <c r="H281" s="370">
        <f t="shared" si="19"/>
        <v>35059000</v>
      </c>
    </row>
    <row r="282" spans="1:8" ht="31.5" x14ac:dyDescent="0.2">
      <c r="A282" s="328" t="s">
        <v>1860</v>
      </c>
      <c r="B282" s="397">
        <v>72.7</v>
      </c>
      <c r="C282" s="426"/>
      <c r="D282" s="427">
        <v>0.8</v>
      </c>
      <c r="E282" s="370">
        <v>295373</v>
      </c>
      <c r="F282" s="370">
        <v>0</v>
      </c>
      <c r="G282" s="370">
        <f t="shared" si="22"/>
        <v>236298</v>
      </c>
      <c r="H282" s="370">
        <f t="shared" si="19"/>
        <v>17179000</v>
      </c>
    </row>
    <row r="283" spans="1:8" ht="31.5" x14ac:dyDescent="0.2">
      <c r="A283" s="319" t="s">
        <v>2283</v>
      </c>
      <c r="B283" s="397">
        <v>26</v>
      </c>
      <c r="C283" s="426"/>
      <c r="D283" s="427">
        <v>0.9</v>
      </c>
      <c r="E283" s="370">
        <v>295373</v>
      </c>
      <c r="F283" s="370">
        <v>0</v>
      </c>
      <c r="G283" s="370">
        <f t="shared" si="22"/>
        <v>265836</v>
      </c>
      <c r="H283" s="370">
        <f t="shared" si="19"/>
        <v>6912000</v>
      </c>
    </row>
    <row r="284" spans="1:8" ht="15.75" x14ac:dyDescent="0.2">
      <c r="A284" s="319" t="s">
        <v>374</v>
      </c>
      <c r="B284" s="397">
        <v>25.8</v>
      </c>
      <c r="C284" s="426"/>
      <c r="D284" s="426">
        <v>1</v>
      </c>
      <c r="E284" s="370">
        <v>371943</v>
      </c>
      <c r="F284" s="370">
        <v>0</v>
      </c>
      <c r="G284" s="370">
        <f t="shared" si="22"/>
        <v>371943</v>
      </c>
      <c r="H284" s="370">
        <f t="shared" si="19"/>
        <v>9596000</v>
      </c>
    </row>
    <row r="285" spans="1:8" ht="31.5" x14ac:dyDescent="0.2">
      <c r="A285" s="319" t="s">
        <v>2338</v>
      </c>
      <c r="B285" s="397">
        <v>108.7</v>
      </c>
      <c r="C285" s="426"/>
      <c r="D285" s="427">
        <v>0.8</v>
      </c>
      <c r="E285" s="370">
        <v>371943</v>
      </c>
      <c r="F285" s="370">
        <v>0</v>
      </c>
      <c r="G285" s="370">
        <f t="shared" si="22"/>
        <v>297554</v>
      </c>
      <c r="H285" s="370">
        <f t="shared" si="19"/>
        <v>32344000</v>
      </c>
    </row>
    <row r="286" spans="1:8" ht="31.5" x14ac:dyDescent="0.2">
      <c r="A286" s="321" t="s">
        <v>2273</v>
      </c>
      <c r="B286" s="397">
        <v>46.3</v>
      </c>
      <c r="C286" s="426"/>
      <c r="D286" s="427">
        <v>0.9</v>
      </c>
      <c r="E286" s="370">
        <v>371943</v>
      </c>
      <c r="F286" s="370">
        <v>0</v>
      </c>
      <c r="G286" s="370">
        <f t="shared" si="22"/>
        <v>334749</v>
      </c>
      <c r="H286" s="370">
        <f t="shared" si="19"/>
        <v>15499000</v>
      </c>
    </row>
    <row r="287" spans="1:8" ht="31.5" x14ac:dyDescent="0.2">
      <c r="A287" s="319" t="s">
        <v>1944</v>
      </c>
      <c r="B287" s="420">
        <v>10.709999999999999</v>
      </c>
      <c r="C287" s="427">
        <v>0.8</v>
      </c>
      <c r="D287" s="427">
        <v>0.9</v>
      </c>
      <c r="E287" s="370">
        <v>5897406</v>
      </c>
      <c r="F287" s="370">
        <v>0</v>
      </c>
      <c r="G287" s="370">
        <f>ROUND(C287*D287*E287,0)</f>
        <v>4246132</v>
      </c>
      <c r="H287" s="370">
        <f t="shared" si="19"/>
        <v>45476000</v>
      </c>
    </row>
    <row r="288" spans="1:8" ht="31.5" x14ac:dyDescent="0.2">
      <c r="A288" s="319" t="s">
        <v>2382</v>
      </c>
      <c r="B288" s="420">
        <v>7.8</v>
      </c>
      <c r="C288" s="427">
        <v>0.8</v>
      </c>
      <c r="D288" s="427">
        <v>0.9</v>
      </c>
      <c r="E288" s="370">
        <v>6432390</v>
      </c>
      <c r="F288" s="370">
        <v>0</v>
      </c>
      <c r="G288" s="370">
        <f t="shared" ref="G288" si="23">ROUND(C288*D288*E288,0)</f>
        <v>4631321</v>
      </c>
      <c r="H288" s="370">
        <f t="shared" si="19"/>
        <v>36124000</v>
      </c>
    </row>
    <row r="289" spans="1:8" ht="15.75" x14ac:dyDescent="0.2">
      <c r="A289" s="321" t="s">
        <v>2331</v>
      </c>
      <c r="B289" s="397">
        <v>0.2</v>
      </c>
      <c r="C289" s="426"/>
      <c r="D289" s="427">
        <v>0.8</v>
      </c>
      <c r="E289" s="370" t="s">
        <v>25</v>
      </c>
      <c r="F289" s="370">
        <v>0</v>
      </c>
      <c r="G289" s="370"/>
      <c r="H289" s="370">
        <f t="shared" si="19"/>
        <v>0</v>
      </c>
    </row>
    <row r="290" spans="1:8" ht="15.75" x14ac:dyDescent="0.2">
      <c r="A290" s="319" t="s">
        <v>2149</v>
      </c>
      <c r="B290" s="397">
        <v>2.13</v>
      </c>
      <c r="C290" s="426"/>
      <c r="D290" s="427">
        <v>0.9</v>
      </c>
      <c r="E290" s="370" t="s">
        <v>25</v>
      </c>
      <c r="F290" s="370">
        <v>0</v>
      </c>
      <c r="G290" s="370"/>
      <c r="H290" s="370">
        <f t="shared" si="19"/>
        <v>0</v>
      </c>
    </row>
    <row r="291" spans="1:8" ht="31.5" x14ac:dyDescent="0.2">
      <c r="A291" s="319" t="s">
        <v>2352</v>
      </c>
      <c r="B291" s="397">
        <v>0.39</v>
      </c>
      <c r="C291" s="426"/>
      <c r="D291" s="427">
        <v>0.8</v>
      </c>
      <c r="E291" s="370" t="s">
        <v>25</v>
      </c>
      <c r="F291" s="370">
        <v>0</v>
      </c>
      <c r="G291" s="370"/>
      <c r="H291" s="370">
        <f t="shared" si="19"/>
        <v>0</v>
      </c>
    </row>
    <row r="292" spans="1:8" ht="15.75" x14ac:dyDescent="0.2">
      <c r="A292" s="324" t="s">
        <v>1986</v>
      </c>
      <c r="B292" s="420">
        <v>0.2</v>
      </c>
      <c r="C292" s="426"/>
      <c r="D292" s="427">
        <v>0.8</v>
      </c>
      <c r="E292" s="370" t="s">
        <v>25</v>
      </c>
      <c r="F292" s="370">
        <v>0</v>
      </c>
      <c r="G292" s="370"/>
      <c r="H292" s="370">
        <f t="shared" si="19"/>
        <v>0</v>
      </c>
    </row>
    <row r="293" spans="1:8" ht="31.5" x14ac:dyDescent="0.2">
      <c r="A293" s="319" t="s">
        <v>1946</v>
      </c>
      <c r="B293" s="420">
        <v>4.08</v>
      </c>
      <c r="C293" s="426"/>
      <c r="D293" s="427">
        <v>0.9</v>
      </c>
      <c r="E293" s="370" t="s">
        <v>25</v>
      </c>
      <c r="F293" s="370">
        <v>0</v>
      </c>
      <c r="G293" s="370"/>
      <c r="H293" s="370">
        <f t="shared" si="19"/>
        <v>0</v>
      </c>
    </row>
    <row r="294" spans="1:8" ht="15.75" x14ac:dyDescent="0.2">
      <c r="A294" s="319" t="s">
        <v>2270</v>
      </c>
      <c r="B294" s="397">
        <v>10.7</v>
      </c>
      <c r="C294" s="426"/>
      <c r="D294" s="427">
        <v>0.9</v>
      </c>
      <c r="E294" s="370" t="s">
        <v>25</v>
      </c>
      <c r="F294" s="370">
        <v>0</v>
      </c>
      <c r="G294" s="370"/>
      <c r="H294" s="370">
        <f t="shared" si="19"/>
        <v>0</v>
      </c>
    </row>
    <row r="295" spans="1:8" ht="31.5" x14ac:dyDescent="0.2">
      <c r="A295" s="323" t="s">
        <v>1889</v>
      </c>
      <c r="B295" s="397">
        <v>11.12</v>
      </c>
      <c r="C295" s="426"/>
      <c r="D295" s="427">
        <v>0.9</v>
      </c>
      <c r="E295" s="370">
        <v>2616451</v>
      </c>
      <c r="F295" s="370">
        <v>0</v>
      </c>
      <c r="G295" s="370">
        <f t="shared" ref="G295:G296" si="24">ROUND(D295*E295,0)</f>
        <v>2354806</v>
      </c>
      <c r="H295" s="370">
        <f t="shared" si="19"/>
        <v>26185000</v>
      </c>
    </row>
    <row r="296" spans="1:8" ht="31.5" x14ac:dyDescent="0.2">
      <c r="A296" s="321" t="s">
        <v>2259</v>
      </c>
      <c r="B296" s="397">
        <v>4</v>
      </c>
      <c r="C296" s="426"/>
      <c r="D296" s="427">
        <v>0.9</v>
      </c>
      <c r="E296" s="370">
        <v>3490623</v>
      </c>
      <c r="F296" s="370">
        <v>0</v>
      </c>
      <c r="G296" s="370">
        <f t="shared" si="24"/>
        <v>3141561</v>
      </c>
      <c r="H296" s="370">
        <f t="shared" si="19"/>
        <v>12566000</v>
      </c>
    </row>
    <row r="297" spans="1:8" ht="15.75" x14ac:dyDescent="0.2">
      <c r="A297" s="321" t="s">
        <v>1849</v>
      </c>
      <c r="B297" s="397">
        <v>46.64</v>
      </c>
      <c r="C297" s="426"/>
      <c r="D297" s="427">
        <v>0.9</v>
      </c>
      <c r="E297" s="370" t="s">
        <v>25</v>
      </c>
      <c r="F297" s="370">
        <v>80961</v>
      </c>
      <c r="G297" s="370">
        <f>ROUND(D297*F297,0)</f>
        <v>72865</v>
      </c>
      <c r="H297" s="370">
        <f t="shared" si="19"/>
        <v>3398000</v>
      </c>
    </row>
    <row r="298" spans="1:8" ht="15.75" x14ac:dyDescent="0.2">
      <c r="A298" s="324" t="s">
        <v>1990</v>
      </c>
      <c r="B298" s="420">
        <v>1.1000000000000001</v>
      </c>
      <c r="C298" s="426"/>
      <c r="D298" s="427">
        <v>0.8</v>
      </c>
      <c r="E298" s="370" t="s">
        <v>25</v>
      </c>
      <c r="F298" s="370">
        <v>0</v>
      </c>
      <c r="G298" s="370"/>
      <c r="H298" s="370">
        <f t="shared" si="19"/>
        <v>0</v>
      </c>
    </row>
    <row r="299" spans="1:8" ht="31.5" x14ac:dyDescent="0.2">
      <c r="A299" s="324" t="s">
        <v>1988</v>
      </c>
      <c r="B299" s="420">
        <v>96</v>
      </c>
      <c r="C299" s="426"/>
      <c r="D299" s="427">
        <v>0.8</v>
      </c>
      <c r="E299" s="370" t="s">
        <v>25</v>
      </c>
      <c r="F299" s="370">
        <v>0</v>
      </c>
      <c r="G299" s="370"/>
      <c r="H299" s="370">
        <f t="shared" si="19"/>
        <v>0</v>
      </c>
    </row>
    <row r="300" spans="1:8" ht="15.75" x14ac:dyDescent="0.2">
      <c r="A300" s="319" t="s">
        <v>1305</v>
      </c>
      <c r="B300" s="420">
        <v>1</v>
      </c>
      <c r="C300" s="426"/>
      <c r="D300" s="426"/>
      <c r="E300" s="370" t="s">
        <v>25</v>
      </c>
      <c r="F300" s="370">
        <v>0</v>
      </c>
      <c r="G300" s="370"/>
      <c r="H300" s="370">
        <f t="shared" si="19"/>
        <v>0</v>
      </c>
    </row>
    <row r="301" spans="1:8" ht="15.75" x14ac:dyDescent="0.2">
      <c r="A301" s="319" t="s">
        <v>1177</v>
      </c>
      <c r="B301" s="420">
        <v>1</v>
      </c>
      <c r="C301" s="426"/>
      <c r="D301" s="426"/>
      <c r="E301" s="370" t="s">
        <v>25</v>
      </c>
      <c r="F301" s="370">
        <v>0</v>
      </c>
      <c r="G301" s="370"/>
      <c r="H301" s="370">
        <f t="shared" si="19"/>
        <v>0</v>
      </c>
    </row>
    <row r="302" spans="1:8" ht="31.5" x14ac:dyDescent="0.2">
      <c r="A302" s="321" t="s">
        <v>1850</v>
      </c>
      <c r="B302" s="397">
        <v>50.4</v>
      </c>
      <c r="C302" s="426"/>
      <c r="D302" s="427">
        <v>0.9</v>
      </c>
      <c r="E302" s="370" t="s">
        <v>25</v>
      </c>
      <c r="F302" s="370">
        <v>196846</v>
      </c>
      <c r="G302" s="370">
        <f t="shared" ref="G302:G307" si="25">ROUND(D302*F302,0)</f>
        <v>177161</v>
      </c>
      <c r="H302" s="370">
        <f t="shared" si="19"/>
        <v>8929000</v>
      </c>
    </row>
    <row r="303" spans="1:8" ht="15.75" x14ac:dyDescent="0.2">
      <c r="A303" s="319" t="s">
        <v>1757</v>
      </c>
      <c r="B303" s="420">
        <v>787.49</v>
      </c>
      <c r="C303" s="426"/>
      <c r="D303" s="427">
        <v>0.8</v>
      </c>
      <c r="E303" s="370" t="s">
        <v>25</v>
      </c>
      <c r="F303" s="370">
        <v>196846</v>
      </c>
      <c r="G303" s="370">
        <f t="shared" si="25"/>
        <v>157477</v>
      </c>
      <c r="H303" s="370">
        <f t="shared" si="19"/>
        <v>124012000</v>
      </c>
    </row>
    <row r="304" spans="1:8" ht="15.75" x14ac:dyDescent="0.2">
      <c r="A304" s="319" t="s">
        <v>1776</v>
      </c>
      <c r="B304" s="397">
        <v>190.98000000000002</v>
      </c>
      <c r="C304" s="426"/>
      <c r="D304" s="427">
        <v>0.9</v>
      </c>
      <c r="E304" s="370" t="s">
        <v>25</v>
      </c>
      <c r="F304" s="370">
        <v>196846</v>
      </c>
      <c r="G304" s="370">
        <f t="shared" si="25"/>
        <v>177161</v>
      </c>
      <c r="H304" s="370">
        <f t="shared" si="19"/>
        <v>33834000</v>
      </c>
    </row>
    <row r="305" spans="1:8" ht="15.75" x14ac:dyDescent="0.2">
      <c r="A305" s="319" t="s">
        <v>1826</v>
      </c>
      <c r="B305" s="424">
        <v>15.3</v>
      </c>
      <c r="C305" s="426"/>
      <c r="D305" s="427">
        <v>0.9</v>
      </c>
      <c r="E305" s="370" t="s">
        <v>25</v>
      </c>
      <c r="F305" s="370">
        <v>278426</v>
      </c>
      <c r="G305" s="370">
        <f t="shared" si="25"/>
        <v>250583</v>
      </c>
      <c r="H305" s="370">
        <f t="shared" si="19"/>
        <v>3834000</v>
      </c>
    </row>
    <row r="306" spans="1:8" ht="15.75" x14ac:dyDescent="0.2">
      <c r="A306" s="321" t="s">
        <v>2317</v>
      </c>
      <c r="B306" s="397">
        <v>45.900000000000006</v>
      </c>
      <c r="C306" s="426"/>
      <c r="D306" s="427">
        <v>0.8</v>
      </c>
      <c r="E306" s="370" t="s">
        <v>25</v>
      </c>
      <c r="F306" s="370">
        <v>302905</v>
      </c>
      <c r="G306" s="370">
        <f t="shared" si="25"/>
        <v>242324</v>
      </c>
      <c r="H306" s="370">
        <f t="shared" si="19"/>
        <v>11123000</v>
      </c>
    </row>
    <row r="307" spans="1:8" ht="31.5" x14ac:dyDescent="0.2">
      <c r="A307" s="321" t="s">
        <v>2282</v>
      </c>
      <c r="B307" s="397">
        <v>57</v>
      </c>
      <c r="C307" s="426"/>
      <c r="D307" s="427">
        <v>0.9</v>
      </c>
      <c r="E307" s="370" t="s">
        <v>25</v>
      </c>
      <c r="F307" s="370">
        <v>302905</v>
      </c>
      <c r="G307" s="370">
        <f t="shared" si="25"/>
        <v>272615</v>
      </c>
      <c r="H307" s="370">
        <f t="shared" si="19"/>
        <v>15539000</v>
      </c>
    </row>
    <row r="308" spans="1:8" ht="15.75" x14ac:dyDescent="0.2">
      <c r="A308" s="319" t="s">
        <v>1180</v>
      </c>
      <c r="B308" s="420">
        <v>1</v>
      </c>
      <c r="C308" s="426"/>
      <c r="D308" s="426"/>
      <c r="E308" s="370" t="s">
        <v>25</v>
      </c>
      <c r="F308" s="370">
        <v>0</v>
      </c>
      <c r="G308" s="370"/>
      <c r="H308" s="370">
        <f t="shared" si="19"/>
        <v>0</v>
      </c>
    </row>
    <row r="309" spans="1:8" ht="31.5" x14ac:dyDescent="0.2">
      <c r="A309" s="319" t="s">
        <v>1794</v>
      </c>
      <c r="B309" s="422">
        <v>4.8</v>
      </c>
      <c r="C309" s="426"/>
      <c r="D309" s="427">
        <v>0.8</v>
      </c>
      <c r="E309" s="370" t="s">
        <v>25</v>
      </c>
      <c r="F309" s="370">
        <v>0</v>
      </c>
      <c r="G309" s="370"/>
      <c r="H309" s="370">
        <f t="shared" si="19"/>
        <v>0</v>
      </c>
    </row>
    <row r="310" spans="1:8" ht="31.5" x14ac:dyDescent="0.2">
      <c r="A310" s="319" t="s">
        <v>1956</v>
      </c>
      <c r="B310" s="420">
        <v>0.5</v>
      </c>
      <c r="C310" s="426"/>
      <c r="D310" s="427">
        <v>0.9</v>
      </c>
      <c r="E310" s="370" t="s">
        <v>25</v>
      </c>
      <c r="F310" s="370">
        <v>0</v>
      </c>
      <c r="G310" s="370"/>
      <c r="H310" s="370">
        <f t="shared" si="19"/>
        <v>0</v>
      </c>
    </row>
    <row r="311" spans="1:8" ht="31.5" x14ac:dyDescent="0.2">
      <c r="A311" s="321" t="s">
        <v>2280</v>
      </c>
      <c r="B311" s="397">
        <v>6</v>
      </c>
      <c r="C311" s="426"/>
      <c r="D311" s="427">
        <v>0.9</v>
      </c>
      <c r="E311" s="370" t="s">
        <v>25</v>
      </c>
      <c r="F311" s="370">
        <v>119198</v>
      </c>
      <c r="G311" s="370">
        <f t="shared" ref="G311:G313" si="26">ROUND(D311*F311,0)</f>
        <v>107278</v>
      </c>
      <c r="H311" s="370">
        <f t="shared" si="19"/>
        <v>644000</v>
      </c>
    </row>
    <row r="312" spans="1:8" ht="15.75" x14ac:dyDescent="0.2">
      <c r="A312" s="321" t="s">
        <v>2265</v>
      </c>
      <c r="B312" s="397">
        <v>6</v>
      </c>
      <c r="C312" s="426"/>
      <c r="D312" s="427">
        <v>0.8</v>
      </c>
      <c r="E312" s="370" t="s">
        <v>25</v>
      </c>
      <c r="F312" s="370">
        <v>94467</v>
      </c>
      <c r="G312" s="370">
        <f t="shared" si="26"/>
        <v>75574</v>
      </c>
      <c r="H312" s="370">
        <f t="shared" si="19"/>
        <v>453000</v>
      </c>
    </row>
    <row r="313" spans="1:8" ht="15.75" x14ac:dyDescent="0.2">
      <c r="A313" s="321" t="s">
        <v>2279</v>
      </c>
      <c r="B313" s="397">
        <v>4</v>
      </c>
      <c r="C313" s="426"/>
      <c r="D313" s="427">
        <v>0.9</v>
      </c>
      <c r="E313" s="370" t="s">
        <v>25</v>
      </c>
      <c r="F313" s="370">
        <v>94467</v>
      </c>
      <c r="G313" s="370">
        <f t="shared" si="26"/>
        <v>85020</v>
      </c>
      <c r="H313" s="370">
        <f t="shared" si="19"/>
        <v>340000</v>
      </c>
    </row>
    <row r="314" spans="1:8" ht="31.5" x14ac:dyDescent="0.2">
      <c r="A314" s="321" t="s">
        <v>2330</v>
      </c>
      <c r="B314" s="397">
        <v>3.74</v>
      </c>
      <c r="C314" s="426"/>
      <c r="D314" s="427">
        <v>0.9</v>
      </c>
      <c r="E314" s="370">
        <v>989036</v>
      </c>
      <c r="F314" s="370">
        <v>0</v>
      </c>
      <c r="G314" s="370">
        <f>ROUND(D314*E314,0)</f>
        <v>890132</v>
      </c>
      <c r="H314" s="370">
        <f t="shared" si="19"/>
        <v>3329000</v>
      </c>
    </row>
    <row r="315" spans="1:8" ht="15.75" x14ac:dyDescent="0.2">
      <c r="A315" s="326" t="s">
        <v>2267</v>
      </c>
      <c r="B315" s="397">
        <v>0.1</v>
      </c>
      <c r="C315" s="426"/>
      <c r="D315" s="427">
        <v>0.8</v>
      </c>
      <c r="E315" s="370" t="s">
        <v>25</v>
      </c>
      <c r="F315" s="370">
        <v>3990995</v>
      </c>
      <c r="G315" s="370">
        <f t="shared" ref="G315:G316" si="27">ROUND(D315*F315,0)</f>
        <v>3192796</v>
      </c>
      <c r="H315" s="370">
        <f t="shared" si="19"/>
        <v>319000</v>
      </c>
    </row>
    <row r="316" spans="1:8" ht="15.75" x14ac:dyDescent="0.2">
      <c r="A316" s="319" t="s">
        <v>1770</v>
      </c>
      <c r="B316" s="397">
        <v>0.38</v>
      </c>
      <c r="C316" s="426"/>
      <c r="D316" s="427">
        <v>0.9</v>
      </c>
      <c r="E316" s="370" t="s">
        <v>25</v>
      </c>
      <c r="F316" s="370">
        <v>3990995</v>
      </c>
      <c r="G316" s="370">
        <f t="shared" si="27"/>
        <v>3591896</v>
      </c>
      <c r="H316" s="370">
        <f t="shared" si="19"/>
        <v>1365000</v>
      </c>
    </row>
    <row r="317" spans="1:8" ht="15.75" x14ac:dyDescent="0.2">
      <c r="A317" s="326" t="s">
        <v>1848</v>
      </c>
      <c r="B317" s="397">
        <v>3.8000000000000003</v>
      </c>
      <c r="C317" s="426"/>
      <c r="D317" s="427">
        <v>0.9</v>
      </c>
      <c r="E317" s="370" t="s">
        <v>25</v>
      </c>
      <c r="F317" s="370">
        <v>0</v>
      </c>
      <c r="G317" s="370"/>
      <c r="H317" s="370">
        <f t="shared" si="19"/>
        <v>0</v>
      </c>
    </row>
    <row r="318" spans="1:8" ht="31.5" x14ac:dyDescent="0.2">
      <c r="A318" s="321" t="s">
        <v>2294</v>
      </c>
      <c r="B318" s="397">
        <v>0.45</v>
      </c>
      <c r="C318" s="426"/>
      <c r="D318" s="427">
        <v>0.8</v>
      </c>
      <c r="E318" s="370">
        <v>551834</v>
      </c>
      <c r="F318" s="370">
        <v>0</v>
      </c>
      <c r="G318" s="370">
        <f>ROUND(D318*E318,0)</f>
        <v>441467</v>
      </c>
      <c r="H318" s="370">
        <f t="shared" si="19"/>
        <v>199000</v>
      </c>
    </row>
    <row r="319" spans="1:8" ht="31.5" x14ac:dyDescent="0.2">
      <c r="A319" s="321" t="s">
        <v>2319</v>
      </c>
      <c r="B319" s="397">
        <v>1.08</v>
      </c>
      <c r="C319" s="426"/>
      <c r="D319" s="427">
        <v>0.8</v>
      </c>
      <c r="E319" s="370" t="s">
        <v>25</v>
      </c>
      <c r="F319" s="370">
        <v>178062</v>
      </c>
      <c r="G319" s="370">
        <f>ROUND(D319*F319,0)</f>
        <v>142450</v>
      </c>
      <c r="H319" s="370">
        <f t="shared" si="19"/>
        <v>154000</v>
      </c>
    </row>
    <row r="320" spans="1:8" ht="31.5" x14ac:dyDescent="0.2">
      <c r="A320" s="328" t="s">
        <v>2295</v>
      </c>
      <c r="B320" s="397">
        <v>1.05</v>
      </c>
      <c r="C320" s="426"/>
      <c r="D320" s="427">
        <v>0.8</v>
      </c>
      <c r="E320" s="370">
        <v>551834</v>
      </c>
      <c r="F320" s="370">
        <v>0</v>
      </c>
      <c r="G320" s="370">
        <f>ROUND(D320*E320,0)</f>
        <v>441467</v>
      </c>
      <c r="H320" s="370">
        <f t="shared" si="19"/>
        <v>464000</v>
      </c>
    </row>
    <row r="321" spans="1:8" ht="31.5" x14ac:dyDescent="0.2">
      <c r="A321" s="328" t="s">
        <v>2323</v>
      </c>
      <c r="B321" s="397">
        <v>1.84</v>
      </c>
      <c r="C321" s="426"/>
      <c r="D321" s="427">
        <v>0.9</v>
      </c>
      <c r="E321" s="370" t="s">
        <v>25</v>
      </c>
      <c r="F321" s="370">
        <v>387525</v>
      </c>
      <c r="G321" s="370">
        <f t="shared" ref="G321:G325" si="28">ROUND(D321*F321,0)</f>
        <v>348773</v>
      </c>
      <c r="H321" s="370">
        <f t="shared" si="19"/>
        <v>642000</v>
      </c>
    </row>
    <row r="322" spans="1:8" ht="31.5" x14ac:dyDescent="0.2">
      <c r="A322" s="327" t="s">
        <v>2296</v>
      </c>
      <c r="B322" s="397">
        <v>2.2400000000000002</v>
      </c>
      <c r="C322" s="426"/>
      <c r="D322" s="427">
        <v>0.8</v>
      </c>
      <c r="E322" s="370" t="s">
        <v>25</v>
      </c>
      <c r="F322" s="370">
        <v>387525</v>
      </c>
      <c r="G322" s="370">
        <f t="shared" si="28"/>
        <v>310020</v>
      </c>
      <c r="H322" s="370">
        <f t="shared" si="19"/>
        <v>694000</v>
      </c>
    </row>
    <row r="323" spans="1:8" ht="31.5" x14ac:dyDescent="0.2">
      <c r="A323" s="319" t="s">
        <v>2292</v>
      </c>
      <c r="B323" s="397">
        <v>2.2000000000000002</v>
      </c>
      <c r="C323" s="426"/>
      <c r="D323" s="427">
        <v>0.8</v>
      </c>
      <c r="E323" s="370" t="s">
        <v>25</v>
      </c>
      <c r="F323" s="370">
        <v>387525</v>
      </c>
      <c r="G323" s="370">
        <f t="shared" si="28"/>
        <v>310020</v>
      </c>
      <c r="H323" s="370">
        <f t="shared" ref="H323:H386" si="29">ROUND(G323*B323,-3)</f>
        <v>682000</v>
      </c>
    </row>
    <row r="324" spans="1:8" ht="31.5" x14ac:dyDescent="0.2">
      <c r="A324" s="323" t="s">
        <v>1894</v>
      </c>
      <c r="B324" s="397">
        <v>18.8</v>
      </c>
      <c r="C324" s="426"/>
      <c r="D324" s="427">
        <v>0.9</v>
      </c>
      <c r="E324" s="370" t="s">
        <v>25</v>
      </c>
      <c r="F324" s="370">
        <v>387525</v>
      </c>
      <c r="G324" s="370">
        <f t="shared" si="28"/>
        <v>348773</v>
      </c>
      <c r="H324" s="370">
        <f t="shared" si="29"/>
        <v>6557000</v>
      </c>
    </row>
    <row r="325" spans="1:8" ht="31.5" x14ac:dyDescent="0.2">
      <c r="A325" s="319" t="s">
        <v>2315</v>
      </c>
      <c r="B325" s="397">
        <v>0.2</v>
      </c>
      <c r="C325" s="426"/>
      <c r="D325" s="427">
        <v>0.8</v>
      </c>
      <c r="E325" s="370" t="s">
        <v>25</v>
      </c>
      <c r="F325" s="370">
        <v>387525</v>
      </c>
      <c r="G325" s="370">
        <f t="shared" si="28"/>
        <v>310020</v>
      </c>
      <c r="H325" s="370">
        <f t="shared" si="29"/>
        <v>62000</v>
      </c>
    </row>
    <row r="326" spans="1:8" ht="31.5" x14ac:dyDescent="0.2">
      <c r="A326" s="321" t="s">
        <v>972</v>
      </c>
      <c r="B326" s="424">
        <v>385.02000000000004</v>
      </c>
      <c r="C326" s="426"/>
      <c r="D326" s="426">
        <v>1</v>
      </c>
      <c r="E326" s="370">
        <v>1248814</v>
      </c>
      <c r="F326" s="370">
        <v>0</v>
      </c>
      <c r="G326" s="370">
        <f t="shared" ref="G326:G362" si="30">ROUND(D326*E326,0)</f>
        <v>1248814</v>
      </c>
      <c r="H326" s="370">
        <f t="shared" si="29"/>
        <v>480818000</v>
      </c>
    </row>
    <row r="327" spans="1:8" ht="47.25" x14ac:dyDescent="0.2">
      <c r="A327" s="321" t="s">
        <v>2274</v>
      </c>
      <c r="B327" s="397">
        <v>1.44</v>
      </c>
      <c r="C327" s="426"/>
      <c r="D327" s="427">
        <v>0.9</v>
      </c>
      <c r="E327" s="370">
        <v>551834</v>
      </c>
      <c r="F327" s="370">
        <v>0</v>
      </c>
      <c r="G327" s="370">
        <f t="shared" si="30"/>
        <v>496651</v>
      </c>
      <c r="H327" s="370">
        <f t="shared" si="29"/>
        <v>715000</v>
      </c>
    </row>
    <row r="328" spans="1:8" ht="31.5" x14ac:dyDescent="0.2">
      <c r="A328" s="329" t="s">
        <v>2314</v>
      </c>
      <c r="B328" s="397">
        <v>6.54</v>
      </c>
      <c r="C328" s="426"/>
      <c r="D328" s="427">
        <v>0.8</v>
      </c>
      <c r="E328" s="370" t="s">
        <v>25</v>
      </c>
      <c r="F328" s="370">
        <v>178062</v>
      </c>
      <c r="G328" s="370">
        <f>ROUND(D328*F328,0)</f>
        <v>142450</v>
      </c>
      <c r="H328" s="370">
        <f t="shared" si="29"/>
        <v>932000</v>
      </c>
    </row>
    <row r="329" spans="1:8" ht="31.5" x14ac:dyDescent="0.2">
      <c r="A329" s="321" t="s">
        <v>1858</v>
      </c>
      <c r="B329" s="397">
        <v>35.380000000000003</v>
      </c>
      <c r="C329" s="426"/>
      <c r="D329" s="427">
        <v>0.8</v>
      </c>
      <c r="E329" s="370">
        <v>551834</v>
      </c>
      <c r="F329" s="370">
        <v>0</v>
      </c>
      <c r="G329" s="370">
        <f t="shared" si="30"/>
        <v>441467</v>
      </c>
      <c r="H329" s="370">
        <f t="shared" si="29"/>
        <v>15619000</v>
      </c>
    </row>
    <row r="330" spans="1:8" ht="31.5" x14ac:dyDescent="0.2">
      <c r="A330" s="321" t="s">
        <v>2311</v>
      </c>
      <c r="B330" s="397">
        <v>8.2799999999999994</v>
      </c>
      <c r="C330" s="426"/>
      <c r="D330" s="427">
        <v>0.8</v>
      </c>
      <c r="E330" s="370">
        <v>551834</v>
      </c>
      <c r="F330" s="370">
        <v>0</v>
      </c>
      <c r="G330" s="370">
        <f t="shared" si="30"/>
        <v>441467</v>
      </c>
      <c r="H330" s="370">
        <f t="shared" si="29"/>
        <v>3655000</v>
      </c>
    </row>
    <row r="331" spans="1:8" ht="31.5" x14ac:dyDescent="0.2">
      <c r="A331" s="323" t="s">
        <v>1896</v>
      </c>
      <c r="B331" s="397">
        <v>9.4499999999999993</v>
      </c>
      <c r="C331" s="426"/>
      <c r="D331" s="427">
        <v>0.9</v>
      </c>
      <c r="E331" s="370">
        <v>551834</v>
      </c>
      <c r="F331" s="370">
        <v>0</v>
      </c>
      <c r="G331" s="370">
        <f t="shared" si="30"/>
        <v>496651</v>
      </c>
      <c r="H331" s="370">
        <f t="shared" si="29"/>
        <v>4693000</v>
      </c>
    </row>
    <row r="332" spans="1:8" ht="31.5" x14ac:dyDescent="0.2">
      <c r="A332" s="321" t="s">
        <v>1857</v>
      </c>
      <c r="B332" s="397">
        <v>1.05</v>
      </c>
      <c r="C332" s="426"/>
      <c r="D332" s="427">
        <v>0.8</v>
      </c>
      <c r="E332" s="370" t="s">
        <v>25</v>
      </c>
      <c r="F332" s="370">
        <v>282657</v>
      </c>
      <c r="G332" s="370">
        <f t="shared" ref="G332:G333" si="31">ROUND(D332*F332,0)</f>
        <v>226126</v>
      </c>
      <c r="H332" s="370">
        <f t="shared" si="29"/>
        <v>237000</v>
      </c>
    </row>
    <row r="333" spans="1:8" ht="31.5" x14ac:dyDescent="0.2">
      <c r="A333" s="321" t="s">
        <v>1772</v>
      </c>
      <c r="B333" s="422">
        <v>0.52</v>
      </c>
      <c r="C333" s="426"/>
      <c r="D333" s="427">
        <v>0.9</v>
      </c>
      <c r="E333" s="370" t="s">
        <v>25</v>
      </c>
      <c r="F333" s="370">
        <v>282657</v>
      </c>
      <c r="G333" s="370">
        <f t="shared" si="31"/>
        <v>254391</v>
      </c>
      <c r="H333" s="370">
        <f t="shared" si="29"/>
        <v>132000</v>
      </c>
    </row>
    <row r="334" spans="1:8" ht="31.5" x14ac:dyDescent="0.2">
      <c r="A334" s="319" t="s">
        <v>2335</v>
      </c>
      <c r="B334" s="397">
        <v>13.78</v>
      </c>
      <c r="C334" s="426"/>
      <c r="D334" s="427">
        <v>0.8</v>
      </c>
      <c r="E334" s="370">
        <v>551834</v>
      </c>
      <c r="F334" s="370">
        <v>0</v>
      </c>
      <c r="G334" s="370">
        <f t="shared" si="30"/>
        <v>441467</v>
      </c>
      <c r="H334" s="370">
        <f t="shared" si="29"/>
        <v>6083000</v>
      </c>
    </row>
    <row r="335" spans="1:8" ht="31.5" x14ac:dyDescent="0.2">
      <c r="A335" s="323" t="s">
        <v>1895</v>
      </c>
      <c r="B335" s="397">
        <v>16.059999999999999</v>
      </c>
      <c r="C335" s="426"/>
      <c r="D335" s="427">
        <v>0.9</v>
      </c>
      <c r="E335" s="370">
        <v>551834</v>
      </c>
      <c r="F335" s="370">
        <v>0</v>
      </c>
      <c r="G335" s="370">
        <f t="shared" si="30"/>
        <v>496651</v>
      </c>
      <c r="H335" s="370">
        <f t="shared" si="29"/>
        <v>7976000</v>
      </c>
    </row>
    <row r="336" spans="1:8" ht="31.5" x14ac:dyDescent="0.2">
      <c r="A336" s="321" t="s">
        <v>1855</v>
      </c>
      <c r="B336" s="397">
        <v>0.96</v>
      </c>
      <c r="C336" s="426"/>
      <c r="D336" s="427">
        <v>0.8</v>
      </c>
      <c r="E336" s="370" t="s">
        <v>25</v>
      </c>
      <c r="F336" s="370">
        <v>387525</v>
      </c>
      <c r="G336" s="370">
        <f t="shared" ref="G336:G340" si="32">ROUND(D336*F336,0)</f>
        <v>310020</v>
      </c>
      <c r="H336" s="370">
        <f t="shared" si="29"/>
        <v>298000</v>
      </c>
    </row>
    <row r="337" spans="1:8" ht="31.5" x14ac:dyDescent="0.2">
      <c r="A337" s="319" t="s">
        <v>1882</v>
      </c>
      <c r="B337" s="397">
        <v>0.42</v>
      </c>
      <c r="C337" s="426"/>
      <c r="D337" s="427">
        <v>0.9</v>
      </c>
      <c r="E337" s="370" t="s">
        <v>25</v>
      </c>
      <c r="F337" s="370">
        <v>387525</v>
      </c>
      <c r="G337" s="370">
        <f t="shared" si="32"/>
        <v>348773</v>
      </c>
      <c r="H337" s="370">
        <f t="shared" si="29"/>
        <v>146000</v>
      </c>
    </row>
    <row r="338" spans="1:8" ht="31.5" x14ac:dyDescent="0.2">
      <c r="A338" s="319" t="s">
        <v>2345</v>
      </c>
      <c r="B338" s="397">
        <v>2.64</v>
      </c>
      <c r="C338" s="426"/>
      <c r="D338" s="427">
        <v>0.8</v>
      </c>
      <c r="E338" s="370" t="s">
        <v>25</v>
      </c>
      <c r="F338" s="370">
        <v>387525</v>
      </c>
      <c r="G338" s="370">
        <f t="shared" si="32"/>
        <v>310020</v>
      </c>
      <c r="H338" s="370">
        <f t="shared" si="29"/>
        <v>818000</v>
      </c>
    </row>
    <row r="339" spans="1:8" ht="31.5" x14ac:dyDescent="0.2">
      <c r="A339" s="324" t="s">
        <v>1989</v>
      </c>
      <c r="B339" s="420">
        <v>2.1</v>
      </c>
      <c r="C339" s="426"/>
      <c r="D339" s="427">
        <v>0.8</v>
      </c>
      <c r="E339" s="370" t="s">
        <v>25</v>
      </c>
      <c r="F339" s="370">
        <v>387525</v>
      </c>
      <c r="G339" s="370">
        <f t="shared" si="32"/>
        <v>310020</v>
      </c>
      <c r="H339" s="370">
        <f t="shared" si="29"/>
        <v>651000</v>
      </c>
    </row>
    <row r="340" spans="1:8" ht="31.5" x14ac:dyDescent="0.2">
      <c r="A340" s="319" t="s">
        <v>1771</v>
      </c>
      <c r="B340" s="420">
        <v>24.82</v>
      </c>
      <c r="C340" s="426"/>
      <c r="D340" s="427">
        <v>0.9</v>
      </c>
      <c r="E340" s="370" t="s">
        <v>25</v>
      </c>
      <c r="F340" s="370">
        <v>387525</v>
      </c>
      <c r="G340" s="370">
        <f t="shared" si="32"/>
        <v>348773</v>
      </c>
      <c r="H340" s="370">
        <f t="shared" si="29"/>
        <v>8657000</v>
      </c>
    </row>
    <row r="341" spans="1:8" ht="21.95" customHeight="1" x14ac:dyDescent="0.2">
      <c r="A341" s="321" t="s">
        <v>550</v>
      </c>
      <c r="B341" s="424">
        <v>10.199999999999999</v>
      </c>
      <c r="C341" s="426"/>
      <c r="D341" s="426">
        <v>1</v>
      </c>
      <c r="E341" s="370">
        <v>802830</v>
      </c>
      <c r="F341" s="370">
        <v>0</v>
      </c>
      <c r="G341" s="370">
        <f t="shared" si="30"/>
        <v>802830</v>
      </c>
      <c r="H341" s="370">
        <f t="shared" si="29"/>
        <v>8189000</v>
      </c>
    </row>
    <row r="342" spans="1:8" ht="31.5" x14ac:dyDescent="0.2">
      <c r="A342" s="323" t="s">
        <v>2155</v>
      </c>
      <c r="B342" s="397">
        <v>15.12</v>
      </c>
      <c r="C342" s="426"/>
      <c r="D342" s="427">
        <v>0.8</v>
      </c>
      <c r="E342" s="370">
        <v>802830</v>
      </c>
      <c r="F342" s="370">
        <v>0</v>
      </c>
      <c r="G342" s="370">
        <f t="shared" si="30"/>
        <v>642264</v>
      </c>
      <c r="H342" s="370">
        <f t="shared" si="29"/>
        <v>9711000</v>
      </c>
    </row>
    <row r="343" spans="1:8" ht="31.5" x14ac:dyDescent="0.2">
      <c r="A343" s="323" t="s">
        <v>1875</v>
      </c>
      <c r="B343" s="397">
        <v>4.96</v>
      </c>
      <c r="C343" s="426"/>
      <c r="D343" s="427">
        <v>0.9</v>
      </c>
      <c r="E343" s="370">
        <v>551834</v>
      </c>
      <c r="F343" s="370">
        <v>0</v>
      </c>
      <c r="G343" s="370">
        <f t="shared" si="30"/>
        <v>496651</v>
      </c>
      <c r="H343" s="370">
        <f t="shared" si="29"/>
        <v>2463000</v>
      </c>
    </row>
    <row r="344" spans="1:8" ht="31.5" x14ac:dyDescent="0.2">
      <c r="A344" s="319" t="s">
        <v>1971</v>
      </c>
      <c r="B344" s="397">
        <v>2.48</v>
      </c>
      <c r="C344" s="426"/>
      <c r="D344" s="427">
        <v>0.9</v>
      </c>
      <c r="E344" s="370" t="s">
        <v>25</v>
      </c>
      <c r="F344" s="370">
        <v>178062</v>
      </c>
      <c r="G344" s="370">
        <f t="shared" ref="G344:G347" si="33">ROUND(D344*F344,0)</f>
        <v>160256</v>
      </c>
      <c r="H344" s="370">
        <f t="shared" si="29"/>
        <v>397000</v>
      </c>
    </row>
    <row r="345" spans="1:8" ht="31.5" x14ac:dyDescent="0.2">
      <c r="A345" s="325" t="s">
        <v>1806</v>
      </c>
      <c r="B345" s="421">
        <v>108.16</v>
      </c>
      <c r="C345" s="426"/>
      <c r="D345" s="427">
        <v>0.8</v>
      </c>
      <c r="E345" s="370" t="s">
        <v>25</v>
      </c>
      <c r="F345" s="370">
        <v>387525</v>
      </c>
      <c r="G345" s="370">
        <f t="shared" si="33"/>
        <v>310020</v>
      </c>
      <c r="H345" s="370">
        <f t="shared" si="29"/>
        <v>33532000</v>
      </c>
    </row>
    <row r="346" spans="1:8" ht="31.5" x14ac:dyDescent="0.2">
      <c r="A346" s="393" t="s">
        <v>2406</v>
      </c>
      <c r="B346" s="421">
        <v>9.1999999999999993</v>
      </c>
      <c r="C346" s="426"/>
      <c r="D346" s="427">
        <v>0.8</v>
      </c>
      <c r="E346" s="370" t="s">
        <v>25</v>
      </c>
      <c r="F346" s="370">
        <v>387525</v>
      </c>
      <c r="G346" s="370">
        <f t="shared" si="33"/>
        <v>310020</v>
      </c>
      <c r="H346" s="370">
        <f t="shared" si="29"/>
        <v>2852000</v>
      </c>
    </row>
    <row r="347" spans="1:8" ht="31.5" x14ac:dyDescent="0.2">
      <c r="A347" s="319" t="s">
        <v>1798</v>
      </c>
      <c r="B347" s="397">
        <v>65.34</v>
      </c>
      <c r="C347" s="426"/>
      <c r="D347" s="427">
        <v>0.9</v>
      </c>
      <c r="E347" s="370" t="s">
        <v>25</v>
      </c>
      <c r="F347" s="370">
        <v>387525</v>
      </c>
      <c r="G347" s="370">
        <f t="shared" si="33"/>
        <v>348773</v>
      </c>
      <c r="H347" s="370">
        <f t="shared" si="29"/>
        <v>22789000</v>
      </c>
    </row>
    <row r="348" spans="1:8" ht="31.5" x14ac:dyDescent="0.2">
      <c r="A348" s="319" t="s">
        <v>1805</v>
      </c>
      <c r="B348" s="397">
        <v>104.38</v>
      </c>
      <c r="C348" s="426"/>
      <c r="D348" s="427">
        <v>0.8</v>
      </c>
      <c r="E348" s="370">
        <v>802830</v>
      </c>
      <c r="F348" s="370">
        <v>0</v>
      </c>
      <c r="G348" s="370">
        <f>ROUND(D348*E348,0)</f>
        <v>642264</v>
      </c>
      <c r="H348" s="370">
        <f t="shared" si="29"/>
        <v>67040000</v>
      </c>
    </row>
    <row r="349" spans="1:8" ht="31.5" x14ac:dyDescent="0.2">
      <c r="A349" s="319" t="s">
        <v>2130</v>
      </c>
      <c r="B349" s="420">
        <v>0.52</v>
      </c>
      <c r="C349" s="426"/>
      <c r="D349" s="427">
        <v>0.9</v>
      </c>
      <c r="E349" s="370" t="s">
        <v>25</v>
      </c>
      <c r="F349" s="370">
        <v>486772</v>
      </c>
      <c r="G349" s="370">
        <f t="shared" ref="G349:G351" si="34">ROUND(D349*F349,0)</f>
        <v>438095</v>
      </c>
      <c r="H349" s="370">
        <f t="shared" si="29"/>
        <v>228000</v>
      </c>
    </row>
    <row r="350" spans="1:8" ht="31.5" x14ac:dyDescent="0.2">
      <c r="A350" s="319" t="s">
        <v>1883</v>
      </c>
      <c r="B350" s="397">
        <v>0.42</v>
      </c>
      <c r="C350" s="426"/>
      <c r="D350" s="427">
        <v>0.9</v>
      </c>
      <c r="E350" s="370" t="s">
        <v>25</v>
      </c>
      <c r="F350" s="370">
        <v>591367</v>
      </c>
      <c r="G350" s="370">
        <f t="shared" si="34"/>
        <v>532230</v>
      </c>
      <c r="H350" s="370">
        <f t="shared" si="29"/>
        <v>224000</v>
      </c>
    </row>
    <row r="351" spans="1:8" ht="31.5" x14ac:dyDescent="0.2">
      <c r="A351" s="319" t="s">
        <v>2131</v>
      </c>
      <c r="B351" s="420">
        <v>0.95</v>
      </c>
      <c r="C351" s="426"/>
      <c r="D351" s="427">
        <v>0.9</v>
      </c>
      <c r="E351" s="370" t="s">
        <v>25</v>
      </c>
      <c r="F351" s="370">
        <v>591367</v>
      </c>
      <c r="G351" s="370">
        <f t="shared" si="34"/>
        <v>532230</v>
      </c>
      <c r="H351" s="370">
        <f t="shared" si="29"/>
        <v>506000</v>
      </c>
    </row>
    <row r="352" spans="1:8" ht="31.5" x14ac:dyDescent="0.2">
      <c r="A352" s="319" t="s">
        <v>2355</v>
      </c>
      <c r="B352" s="397">
        <v>0.8</v>
      </c>
      <c r="C352" s="426"/>
      <c r="D352" s="427">
        <v>0.8</v>
      </c>
      <c r="E352" s="370">
        <v>802830</v>
      </c>
      <c r="F352" s="370">
        <v>0</v>
      </c>
      <c r="G352" s="370">
        <f t="shared" si="30"/>
        <v>642264</v>
      </c>
      <c r="H352" s="370">
        <f t="shared" si="29"/>
        <v>514000</v>
      </c>
    </row>
    <row r="353" spans="1:8" ht="31.5" x14ac:dyDescent="0.2">
      <c r="A353" s="321" t="s">
        <v>1854</v>
      </c>
      <c r="B353" s="397">
        <v>3.57</v>
      </c>
      <c r="C353" s="426"/>
      <c r="D353" s="427">
        <v>0.8</v>
      </c>
      <c r="E353" s="370">
        <v>2616451</v>
      </c>
      <c r="F353" s="370">
        <v>0</v>
      </c>
      <c r="G353" s="370">
        <f t="shared" si="30"/>
        <v>2093161</v>
      </c>
      <c r="H353" s="370">
        <f t="shared" si="29"/>
        <v>7473000</v>
      </c>
    </row>
    <row r="354" spans="1:8" ht="31.5" x14ac:dyDescent="0.2">
      <c r="A354" s="321" t="s">
        <v>2258</v>
      </c>
      <c r="B354" s="397">
        <v>2.66</v>
      </c>
      <c r="C354" s="426"/>
      <c r="D354" s="427">
        <v>0.9</v>
      </c>
      <c r="E354" s="370">
        <v>10386015</v>
      </c>
      <c r="F354" s="370">
        <v>0</v>
      </c>
      <c r="G354" s="370">
        <f t="shared" si="30"/>
        <v>9347414</v>
      </c>
      <c r="H354" s="370">
        <f t="shared" si="29"/>
        <v>24864000</v>
      </c>
    </row>
    <row r="355" spans="1:8" ht="31.5" x14ac:dyDescent="0.2">
      <c r="A355" s="321" t="s">
        <v>2300</v>
      </c>
      <c r="B355" s="397">
        <v>6.3</v>
      </c>
      <c r="C355" s="426"/>
      <c r="D355" s="427">
        <v>0.8</v>
      </c>
      <c r="E355" s="370">
        <v>10386015</v>
      </c>
      <c r="F355" s="370">
        <v>0</v>
      </c>
      <c r="G355" s="370">
        <f t="shared" si="30"/>
        <v>8308812</v>
      </c>
      <c r="H355" s="370">
        <f t="shared" si="29"/>
        <v>52346000</v>
      </c>
    </row>
    <row r="356" spans="1:8" ht="31.5" x14ac:dyDescent="0.2">
      <c r="A356" s="319" t="s">
        <v>2340</v>
      </c>
      <c r="B356" s="397">
        <v>4.8099999999999996</v>
      </c>
      <c r="C356" s="426"/>
      <c r="D356" s="427">
        <v>0.8</v>
      </c>
      <c r="E356" s="370">
        <v>10386015</v>
      </c>
      <c r="F356" s="370">
        <v>0</v>
      </c>
      <c r="G356" s="370">
        <f t="shared" si="30"/>
        <v>8308812</v>
      </c>
      <c r="H356" s="370">
        <f t="shared" si="29"/>
        <v>39965000</v>
      </c>
    </row>
    <row r="357" spans="1:8" ht="31.5" x14ac:dyDescent="0.2">
      <c r="A357" s="328" t="s">
        <v>2284</v>
      </c>
      <c r="B357" s="397">
        <v>6.09</v>
      </c>
      <c r="C357" s="426"/>
      <c r="D357" s="427">
        <v>0.9</v>
      </c>
      <c r="E357" s="370">
        <v>10386015</v>
      </c>
      <c r="F357" s="370">
        <v>0</v>
      </c>
      <c r="G357" s="370">
        <f t="shared" si="30"/>
        <v>9347414</v>
      </c>
      <c r="H357" s="370">
        <f t="shared" si="29"/>
        <v>56926000</v>
      </c>
    </row>
    <row r="358" spans="1:8" ht="31.5" x14ac:dyDescent="0.2">
      <c r="A358" s="321" t="s">
        <v>2327</v>
      </c>
      <c r="B358" s="397">
        <v>2.2400000000000002</v>
      </c>
      <c r="C358" s="426"/>
      <c r="D358" s="427">
        <v>0.9</v>
      </c>
      <c r="E358" s="370">
        <v>2616451</v>
      </c>
      <c r="F358" s="370">
        <v>0</v>
      </c>
      <c r="G358" s="370">
        <f t="shared" si="30"/>
        <v>2354806</v>
      </c>
      <c r="H358" s="370">
        <f t="shared" si="29"/>
        <v>5275000</v>
      </c>
    </row>
    <row r="359" spans="1:8" ht="31.5" x14ac:dyDescent="0.2">
      <c r="A359" s="323" t="s">
        <v>2343</v>
      </c>
      <c r="B359" s="397">
        <v>7.03</v>
      </c>
      <c r="C359" s="426"/>
      <c r="D359" s="427">
        <v>0.8</v>
      </c>
      <c r="E359" s="370">
        <v>10031697</v>
      </c>
      <c r="F359" s="370">
        <v>0</v>
      </c>
      <c r="G359" s="370">
        <f t="shared" si="30"/>
        <v>8025358</v>
      </c>
      <c r="H359" s="370">
        <f t="shared" si="29"/>
        <v>56418000</v>
      </c>
    </row>
    <row r="360" spans="1:8" ht="31.5" x14ac:dyDescent="0.2">
      <c r="A360" s="323" t="s">
        <v>1887</v>
      </c>
      <c r="B360" s="397">
        <v>1.69</v>
      </c>
      <c r="C360" s="426"/>
      <c r="D360" s="427">
        <v>0.9</v>
      </c>
      <c r="E360" s="370">
        <v>10031697</v>
      </c>
      <c r="F360" s="370">
        <v>0</v>
      </c>
      <c r="G360" s="370">
        <f t="shared" si="30"/>
        <v>9028527</v>
      </c>
      <c r="H360" s="370">
        <f t="shared" si="29"/>
        <v>15258000</v>
      </c>
    </row>
    <row r="361" spans="1:8" ht="31.5" x14ac:dyDescent="0.2">
      <c r="A361" s="319" t="s">
        <v>2307</v>
      </c>
      <c r="B361" s="397">
        <v>12.879999999999999</v>
      </c>
      <c r="C361" s="426"/>
      <c r="D361" s="427">
        <v>0.8</v>
      </c>
      <c r="E361" s="370">
        <v>2616451</v>
      </c>
      <c r="F361" s="370">
        <v>0</v>
      </c>
      <c r="G361" s="370">
        <f t="shared" si="30"/>
        <v>2093161</v>
      </c>
      <c r="H361" s="370">
        <f t="shared" si="29"/>
        <v>26960000</v>
      </c>
    </row>
    <row r="362" spans="1:8" ht="31.5" x14ac:dyDescent="0.2">
      <c r="A362" s="323" t="s">
        <v>2339</v>
      </c>
      <c r="B362" s="397">
        <v>4.68</v>
      </c>
      <c r="C362" s="426"/>
      <c r="D362" s="427">
        <v>0.8</v>
      </c>
      <c r="E362" s="370">
        <v>10386015</v>
      </c>
      <c r="F362" s="370">
        <v>0</v>
      </c>
      <c r="G362" s="370">
        <f t="shared" si="30"/>
        <v>8308812</v>
      </c>
      <c r="H362" s="370">
        <f t="shared" si="29"/>
        <v>38885000</v>
      </c>
    </row>
    <row r="363" spans="1:8" ht="47.25" x14ac:dyDescent="0.2">
      <c r="A363" s="319" t="s">
        <v>1783</v>
      </c>
      <c r="B363" s="422">
        <v>2.4</v>
      </c>
      <c r="C363" s="426"/>
      <c r="D363" s="427">
        <v>0.8</v>
      </c>
      <c r="E363" s="370" t="s">
        <v>25</v>
      </c>
      <c r="F363" s="370">
        <v>0</v>
      </c>
      <c r="G363" s="370"/>
      <c r="H363" s="370">
        <f t="shared" si="29"/>
        <v>0</v>
      </c>
    </row>
    <row r="364" spans="1:8" ht="47.25" x14ac:dyDescent="0.2">
      <c r="A364" s="319" t="s">
        <v>1784</v>
      </c>
      <c r="B364" s="422">
        <v>1.8</v>
      </c>
      <c r="C364" s="426"/>
      <c r="D364" s="427">
        <v>0.8</v>
      </c>
      <c r="E364" s="370" t="s">
        <v>25</v>
      </c>
      <c r="F364" s="370">
        <v>0</v>
      </c>
      <c r="G364" s="370"/>
      <c r="H364" s="370">
        <f t="shared" si="29"/>
        <v>0</v>
      </c>
    </row>
    <row r="365" spans="1:8" ht="47.25" x14ac:dyDescent="0.2">
      <c r="A365" s="319" t="s">
        <v>1785</v>
      </c>
      <c r="B365" s="422">
        <v>2.9</v>
      </c>
      <c r="C365" s="426"/>
      <c r="D365" s="427">
        <v>0.8</v>
      </c>
      <c r="E365" s="370" t="s">
        <v>25</v>
      </c>
      <c r="F365" s="370">
        <v>0</v>
      </c>
      <c r="G365" s="370"/>
      <c r="H365" s="370">
        <f t="shared" si="29"/>
        <v>0</v>
      </c>
    </row>
    <row r="366" spans="1:8" ht="47.25" x14ac:dyDescent="0.2">
      <c r="A366" s="319" t="s">
        <v>1790</v>
      </c>
      <c r="B366" s="422">
        <v>3.4</v>
      </c>
      <c r="C366" s="426"/>
      <c r="D366" s="427">
        <v>0.8</v>
      </c>
      <c r="E366" s="370" t="s">
        <v>25</v>
      </c>
      <c r="F366" s="370">
        <v>0</v>
      </c>
      <c r="G366" s="370"/>
      <c r="H366" s="370">
        <f t="shared" si="29"/>
        <v>0</v>
      </c>
    </row>
    <row r="367" spans="1:8" ht="47.25" x14ac:dyDescent="0.2">
      <c r="A367" s="319" t="s">
        <v>1788</v>
      </c>
      <c r="B367" s="422">
        <v>2.9</v>
      </c>
      <c r="C367" s="426"/>
      <c r="D367" s="427">
        <v>0.8</v>
      </c>
      <c r="E367" s="370" t="s">
        <v>25</v>
      </c>
      <c r="F367" s="370">
        <v>0</v>
      </c>
      <c r="G367" s="370"/>
      <c r="H367" s="370">
        <f t="shared" si="29"/>
        <v>0</v>
      </c>
    </row>
    <row r="368" spans="1:8" ht="47.25" x14ac:dyDescent="0.2">
      <c r="A368" s="319" t="s">
        <v>1787</v>
      </c>
      <c r="B368" s="422">
        <v>3.2</v>
      </c>
      <c r="C368" s="426"/>
      <c r="D368" s="427">
        <v>0.8</v>
      </c>
      <c r="E368" s="370" t="s">
        <v>25</v>
      </c>
      <c r="F368" s="370">
        <v>0</v>
      </c>
      <c r="G368" s="370"/>
      <c r="H368" s="370">
        <f t="shared" si="29"/>
        <v>0</v>
      </c>
    </row>
    <row r="369" spans="1:8" ht="47.25" x14ac:dyDescent="0.2">
      <c r="A369" s="319" t="s">
        <v>2326</v>
      </c>
      <c r="B369" s="397">
        <v>5.04</v>
      </c>
      <c r="C369" s="426"/>
      <c r="D369" s="427">
        <v>0.9</v>
      </c>
      <c r="E369" s="370">
        <v>10386015</v>
      </c>
      <c r="F369" s="370">
        <v>0</v>
      </c>
      <c r="G369" s="370">
        <f t="shared" ref="G369:G415" si="35">ROUND(D369*E369,0)</f>
        <v>9347414</v>
      </c>
      <c r="H369" s="370">
        <f t="shared" si="29"/>
        <v>47111000</v>
      </c>
    </row>
    <row r="370" spans="1:8" ht="47.25" x14ac:dyDescent="0.2">
      <c r="A370" s="324" t="s">
        <v>2365</v>
      </c>
      <c r="B370" s="420">
        <v>2.52</v>
      </c>
      <c r="C370" s="426"/>
      <c r="D370" s="427">
        <v>0.9</v>
      </c>
      <c r="E370" s="370">
        <v>10237047</v>
      </c>
      <c r="F370" s="370">
        <v>0</v>
      </c>
      <c r="G370" s="370">
        <f t="shared" si="35"/>
        <v>9213342</v>
      </c>
      <c r="H370" s="370">
        <f t="shared" si="29"/>
        <v>23218000</v>
      </c>
    </row>
    <row r="371" spans="1:8" ht="47.25" x14ac:dyDescent="0.2">
      <c r="A371" s="319" t="s">
        <v>2379</v>
      </c>
      <c r="B371" s="420">
        <v>7.4</v>
      </c>
      <c r="C371" s="426"/>
      <c r="D371" s="427">
        <v>0.9</v>
      </c>
      <c r="E371" s="370">
        <v>10666552</v>
      </c>
      <c r="F371" s="370">
        <v>0</v>
      </c>
      <c r="G371" s="370">
        <f t="shared" si="35"/>
        <v>9599897</v>
      </c>
      <c r="H371" s="370">
        <f t="shared" si="29"/>
        <v>71039000</v>
      </c>
    </row>
    <row r="372" spans="1:8" ht="47.25" x14ac:dyDescent="0.2">
      <c r="A372" s="319" t="s">
        <v>1994</v>
      </c>
      <c r="B372" s="420">
        <v>3.61</v>
      </c>
      <c r="C372" s="426"/>
      <c r="D372" s="427">
        <v>0.8</v>
      </c>
      <c r="E372" s="370">
        <v>9677136</v>
      </c>
      <c r="F372" s="370">
        <v>0</v>
      </c>
      <c r="G372" s="370">
        <f t="shared" si="35"/>
        <v>7741709</v>
      </c>
      <c r="H372" s="370">
        <f t="shared" si="29"/>
        <v>27948000</v>
      </c>
    </row>
    <row r="373" spans="1:8" ht="47.25" x14ac:dyDescent="0.2">
      <c r="A373" s="319" t="s">
        <v>1928</v>
      </c>
      <c r="B373" s="420">
        <v>2.52</v>
      </c>
      <c r="C373" s="426"/>
      <c r="D373" s="427">
        <v>0.8</v>
      </c>
      <c r="E373" s="370">
        <v>10237047</v>
      </c>
      <c r="F373" s="370">
        <v>0</v>
      </c>
      <c r="G373" s="370">
        <f t="shared" si="35"/>
        <v>8189638</v>
      </c>
      <c r="H373" s="370">
        <f t="shared" si="29"/>
        <v>20638000</v>
      </c>
    </row>
    <row r="374" spans="1:8" ht="47.25" x14ac:dyDescent="0.2">
      <c r="A374" s="319" t="s">
        <v>1930</v>
      </c>
      <c r="B374" s="420">
        <v>2.5</v>
      </c>
      <c r="C374" s="426"/>
      <c r="D374" s="427">
        <v>0.9</v>
      </c>
      <c r="E374" s="370">
        <v>10386015</v>
      </c>
      <c r="F374" s="370">
        <v>0</v>
      </c>
      <c r="G374" s="370">
        <f t="shared" si="35"/>
        <v>9347414</v>
      </c>
      <c r="H374" s="370">
        <f t="shared" si="29"/>
        <v>23369000</v>
      </c>
    </row>
    <row r="375" spans="1:8" ht="47.25" x14ac:dyDescent="0.2">
      <c r="A375" s="319" t="s">
        <v>2370</v>
      </c>
      <c r="B375" s="420">
        <v>3.6</v>
      </c>
      <c r="C375" s="426"/>
      <c r="D375" s="427">
        <v>0.8</v>
      </c>
      <c r="E375" s="370">
        <v>10386015</v>
      </c>
      <c r="F375" s="370">
        <v>0</v>
      </c>
      <c r="G375" s="370">
        <f t="shared" si="35"/>
        <v>8308812</v>
      </c>
      <c r="H375" s="370">
        <f t="shared" si="29"/>
        <v>29912000</v>
      </c>
    </row>
    <row r="376" spans="1:8" ht="47.25" x14ac:dyDescent="0.2">
      <c r="A376" s="319" t="s">
        <v>1949</v>
      </c>
      <c r="B376" s="420">
        <v>3.2</v>
      </c>
      <c r="C376" s="426"/>
      <c r="D376" s="427">
        <v>0.9</v>
      </c>
      <c r="E376" s="370">
        <v>10386015</v>
      </c>
      <c r="F376" s="370">
        <v>0</v>
      </c>
      <c r="G376" s="370">
        <f t="shared" si="35"/>
        <v>9347414</v>
      </c>
      <c r="H376" s="370">
        <f t="shared" si="29"/>
        <v>29912000</v>
      </c>
    </row>
    <row r="377" spans="1:8" ht="47.25" x14ac:dyDescent="0.2">
      <c r="A377" s="319" t="s">
        <v>1915</v>
      </c>
      <c r="B377" s="420">
        <v>6.12</v>
      </c>
      <c r="C377" s="426"/>
      <c r="D377" s="427">
        <v>0.9</v>
      </c>
      <c r="E377" s="370">
        <v>10386015</v>
      </c>
      <c r="F377" s="370">
        <v>0</v>
      </c>
      <c r="G377" s="370">
        <f t="shared" si="35"/>
        <v>9347414</v>
      </c>
      <c r="H377" s="370">
        <f t="shared" si="29"/>
        <v>57206000</v>
      </c>
    </row>
    <row r="378" spans="1:8" ht="47.25" x14ac:dyDescent="0.2">
      <c r="A378" s="319" t="s">
        <v>1911</v>
      </c>
      <c r="B378" s="420">
        <v>9.1199999999999992</v>
      </c>
      <c r="C378" s="426"/>
      <c r="D378" s="427">
        <v>0.9</v>
      </c>
      <c r="E378" s="370">
        <v>9471786</v>
      </c>
      <c r="F378" s="370">
        <v>0</v>
      </c>
      <c r="G378" s="370">
        <f t="shared" si="35"/>
        <v>8524607</v>
      </c>
      <c r="H378" s="370">
        <f t="shared" si="29"/>
        <v>77744000</v>
      </c>
    </row>
    <row r="379" spans="1:8" ht="47.25" x14ac:dyDescent="0.2">
      <c r="A379" s="319" t="s">
        <v>1935</v>
      </c>
      <c r="B379" s="420">
        <v>3.6</v>
      </c>
      <c r="C379" s="426"/>
      <c r="D379" s="427">
        <v>0.9</v>
      </c>
      <c r="E379" s="370">
        <v>10031697</v>
      </c>
      <c r="F379" s="370">
        <v>0</v>
      </c>
      <c r="G379" s="370">
        <f t="shared" si="35"/>
        <v>9028527</v>
      </c>
      <c r="H379" s="370">
        <f t="shared" si="29"/>
        <v>32503000</v>
      </c>
    </row>
    <row r="380" spans="1:8" ht="47.25" x14ac:dyDescent="0.2">
      <c r="A380" s="319" t="s">
        <v>1937</v>
      </c>
      <c r="B380" s="420">
        <v>3.5</v>
      </c>
      <c r="C380" s="426"/>
      <c r="D380" s="427">
        <v>0.8</v>
      </c>
      <c r="E380" s="370">
        <v>10031697</v>
      </c>
      <c r="F380" s="370">
        <v>0</v>
      </c>
      <c r="G380" s="370">
        <f t="shared" si="35"/>
        <v>8025358</v>
      </c>
      <c r="H380" s="370">
        <f t="shared" si="29"/>
        <v>28089000</v>
      </c>
    </row>
    <row r="381" spans="1:8" ht="47.25" x14ac:dyDescent="0.2">
      <c r="A381" s="319" t="s">
        <v>2364</v>
      </c>
      <c r="B381" s="420">
        <v>16.5</v>
      </c>
      <c r="C381" s="426"/>
      <c r="D381" s="427">
        <v>0.9</v>
      </c>
      <c r="E381" s="370">
        <v>10031697</v>
      </c>
      <c r="F381" s="370">
        <v>0</v>
      </c>
      <c r="G381" s="370">
        <f t="shared" si="35"/>
        <v>9028527</v>
      </c>
      <c r="H381" s="370">
        <f t="shared" si="29"/>
        <v>148971000</v>
      </c>
    </row>
    <row r="382" spans="1:8" ht="47.25" x14ac:dyDescent="0.2">
      <c r="A382" s="319" t="s">
        <v>2386</v>
      </c>
      <c r="B382" s="420">
        <v>9.44</v>
      </c>
      <c r="C382" s="426"/>
      <c r="D382" s="427">
        <v>0.8</v>
      </c>
      <c r="E382" s="370">
        <v>10386015</v>
      </c>
      <c r="F382" s="370">
        <v>0</v>
      </c>
      <c r="G382" s="370">
        <f t="shared" si="35"/>
        <v>8308812</v>
      </c>
      <c r="H382" s="370">
        <f t="shared" si="29"/>
        <v>78435000</v>
      </c>
    </row>
    <row r="383" spans="1:8" ht="47.25" x14ac:dyDescent="0.2">
      <c r="A383" s="319" t="s">
        <v>1959</v>
      </c>
      <c r="B383" s="420">
        <v>20.369999999999997</v>
      </c>
      <c r="C383" s="426"/>
      <c r="D383" s="427">
        <v>0.9</v>
      </c>
      <c r="E383" s="370">
        <v>10386015</v>
      </c>
      <c r="F383" s="370">
        <v>0</v>
      </c>
      <c r="G383" s="370">
        <f t="shared" si="35"/>
        <v>9347414</v>
      </c>
      <c r="H383" s="370">
        <f t="shared" si="29"/>
        <v>190407000</v>
      </c>
    </row>
    <row r="384" spans="1:8" ht="47.25" x14ac:dyDescent="0.2">
      <c r="A384" s="319" t="s">
        <v>2009</v>
      </c>
      <c r="B384" s="422">
        <v>2.4</v>
      </c>
      <c r="C384" s="426"/>
      <c r="D384" s="427">
        <v>0.8</v>
      </c>
      <c r="E384" s="370">
        <v>10386015</v>
      </c>
      <c r="F384" s="370">
        <v>0</v>
      </c>
      <c r="G384" s="370">
        <f t="shared" si="35"/>
        <v>8308812</v>
      </c>
      <c r="H384" s="370">
        <f t="shared" si="29"/>
        <v>19941000</v>
      </c>
    </row>
    <row r="385" spans="1:8" ht="47.25" x14ac:dyDescent="0.2">
      <c r="A385" s="319" t="s">
        <v>2385</v>
      </c>
      <c r="B385" s="420">
        <v>8.64</v>
      </c>
      <c r="C385" s="426"/>
      <c r="D385" s="427">
        <v>0.9</v>
      </c>
      <c r="E385" s="370">
        <v>10031697</v>
      </c>
      <c r="F385" s="370">
        <v>0</v>
      </c>
      <c r="G385" s="370">
        <f t="shared" si="35"/>
        <v>9028527</v>
      </c>
      <c r="H385" s="370">
        <f t="shared" si="29"/>
        <v>78006000</v>
      </c>
    </row>
    <row r="386" spans="1:8" ht="47.25" x14ac:dyDescent="0.2">
      <c r="A386" s="319" t="s">
        <v>1991</v>
      </c>
      <c r="B386" s="420">
        <v>1.95</v>
      </c>
      <c r="C386" s="426"/>
      <c r="D386" s="427">
        <v>0.8</v>
      </c>
      <c r="E386" s="370">
        <v>9471786</v>
      </c>
      <c r="F386" s="370">
        <v>0</v>
      </c>
      <c r="G386" s="370">
        <f t="shared" si="35"/>
        <v>7577429</v>
      </c>
      <c r="H386" s="370">
        <f t="shared" si="29"/>
        <v>14776000</v>
      </c>
    </row>
    <row r="387" spans="1:8" ht="31.5" x14ac:dyDescent="0.2">
      <c r="A387" s="319" t="s">
        <v>1841</v>
      </c>
      <c r="B387" s="397">
        <v>4.5</v>
      </c>
      <c r="C387" s="426"/>
      <c r="D387" s="427">
        <v>0.9</v>
      </c>
      <c r="E387" s="370">
        <v>2616451</v>
      </c>
      <c r="F387" s="370">
        <v>0</v>
      </c>
      <c r="G387" s="370">
        <f t="shared" si="35"/>
        <v>2354806</v>
      </c>
      <c r="H387" s="370">
        <f t="shared" ref="H387:H415" si="36">ROUND(G387*B387,-3)</f>
        <v>10597000</v>
      </c>
    </row>
    <row r="388" spans="1:8" ht="47.25" x14ac:dyDescent="0.2">
      <c r="A388" s="324" t="s">
        <v>2393</v>
      </c>
      <c r="B388" s="420">
        <v>2.21</v>
      </c>
      <c r="C388" s="426"/>
      <c r="D388" s="427">
        <v>0.8</v>
      </c>
      <c r="E388" s="370">
        <v>9677136</v>
      </c>
      <c r="F388" s="370">
        <v>0</v>
      </c>
      <c r="G388" s="370">
        <f t="shared" si="35"/>
        <v>7741709</v>
      </c>
      <c r="H388" s="370">
        <f t="shared" si="36"/>
        <v>17109000</v>
      </c>
    </row>
    <row r="389" spans="1:8" ht="47.25" x14ac:dyDescent="0.2">
      <c r="A389" s="319" t="s">
        <v>2388</v>
      </c>
      <c r="B389" s="420">
        <v>3.8</v>
      </c>
      <c r="C389" s="426"/>
      <c r="D389" s="427">
        <v>0.8</v>
      </c>
      <c r="E389" s="370">
        <v>10666552</v>
      </c>
      <c r="F389" s="370">
        <v>0</v>
      </c>
      <c r="G389" s="370">
        <f t="shared" si="35"/>
        <v>8533242</v>
      </c>
      <c r="H389" s="370">
        <f t="shared" si="36"/>
        <v>32426000</v>
      </c>
    </row>
    <row r="390" spans="1:8" ht="47.25" x14ac:dyDescent="0.2">
      <c r="A390" s="324" t="s">
        <v>2394</v>
      </c>
      <c r="B390" s="420">
        <v>2.8499999999999996</v>
      </c>
      <c r="C390" s="426"/>
      <c r="D390" s="427">
        <v>0.8</v>
      </c>
      <c r="E390" s="370">
        <v>2616451</v>
      </c>
      <c r="F390" s="370">
        <v>0</v>
      </c>
      <c r="G390" s="370">
        <f t="shared" si="35"/>
        <v>2093161</v>
      </c>
      <c r="H390" s="370">
        <f t="shared" si="36"/>
        <v>5966000</v>
      </c>
    </row>
    <row r="391" spans="1:8" ht="47.25" x14ac:dyDescent="0.2">
      <c r="A391" s="319" t="s">
        <v>1981</v>
      </c>
      <c r="B391" s="420">
        <v>9.6</v>
      </c>
      <c r="C391" s="426"/>
      <c r="D391" s="427">
        <v>0.8</v>
      </c>
      <c r="E391" s="370">
        <v>10386015</v>
      </c>
      <c r="F391" s="370">
        <v>0</v>
      </c>
      <c r="G391" s="370">
        <f t="shared" si="35"/>
        <v>8308812</v>
      </c>
      <c r="H391" s="370">
        <f t="shared" si="36"/>
        <v>79765000</v>
      </c>
    </row>
    <row r="392" spans="1:8" ht="47.25" x14ac:dyDescent="0.2">
      <c r="A392" s="319" t="s">
        <v>2378</v>
      </c>
      <c r="B392" s="420">
        <v>11.7</v>
      </c>
      <c r="C392" s="426"/>
      <c r="D392" s="427">
        <v>0.9</v>
      </c>
      <c r="E392" s="370">
        <v>10386015</v>
      </c>
      <c r="F392" s="370">
        <v>0</v>
      </c>
      <c r="G392" s="370">
        <f t="shared" si="35"/>
        <v>9347414</v>
      </c>
      <c r="H392" s="370">
        <f t="shared" si="36"/>
        <v>109365000</v>
      </c>
    </row>
    <row r="393" spans="1:8" ht="47.25" x14ac:dyDescent="0.2">
      <c r="A393" s="319" t="s">
        <v>2012</v>
      </c>
      <c r="B393" s="420">
        <v>28.73</v>
      </c>
      <c r="C393" s="426"/>
      <c r="D393" s="427">
        <v>0.9</v>
      </c>
      <c r="E393" s="370">
        <v>10031697</v>
      </c>
      <c r="F393" s="370">
        <v>0</v>
      </c>
      <c r="G393" s="370">
        <f t="shared" si="35"/>
        <v>9028527</v>
      </c>
      <c r="H393" s="370">
        <f t="shared" si="36"/>
        <v>259390000</v>
      </c>
    </row>
    <row r="394" spans="1:8" ht="31.5" x14ac:dyDescent="0.2">
      <c r="A394" s="319" t="s">
        <v>1813</v>
      </c>
      <c r="B394" s="423">
        <v>2.5</v>
      </c>
      <c r="C394" s="426"/>
      <c r="D394" s="427">
        <v>0.9</v>
      </c>
      <c r="E394" s="370">
        <v>10386015</v>
      </c>
      <c r="F394" s="370">
        <v>0</v>
      </c>
      <c r="G394" s="370">
        <f t="shared" si="35"/>
        <v>9347414</v>
      </c>
      <c r="H394" s="370">
        <f t="shared" si="36"/>
        <v>23369000</v>
      </c>
    </row>
    <row r="395" spans="1:8" ht="31.5" x14ac:dyDescent="0.2">
      <c r="A395" s="319" t="s">
        <v>1821</v>
      </c>
      <c r="B395" s="423">
        <v>2.4</v>
      </c>
      <c r="C395" s="426"/>
      <c r="D395" s="427">
        <v>0.9</v>
      </c>
      <c r="E395" s="370">
        <v>10386015</v>
      </c>
      <c r="F395" s="370">
        <v>0</v>
      </c>
      <c r="G395" s="370">
        <f t="shared" si="35"/>
        <v>9347414</v>
      </c>
      <c r="H395" s="370">
        <f t="shared" si="36"/>
        <v>22434000</v>
      </c>
    </row>
    <row r="396" spans="1:8" ht="31.5" x14ac:dyDescent="0.2">
      <c r="A396" s="319" t="s">
        <v>2354</v>
      </c>
      <c r="B396" s="423">
        <v>3.4</v>
      </c>
      <c r="C396" s="426"/>
      <c r="D396" s="427">
        <v>0.8</v>
      </c>
      <c r="E396" s="370">
        <v>9471786</v>
      </c>
      <c r="F396" s="370">
        <v>0</v>
      </c>
      <c r="G396" s="370">
        <f t="shared" si="35"/>
        <v>7577429</v>
      </c>
      <c r="H396" s="370">
        <f t="shared" si="36"/>
        <v>25763000</v>
      </c>
    </row>
    <row r="397" spans="1:8" ht="31.5" x14ac:dyDescent="0.2">
      <c r="A397" s="319" t="s">
        <v>1823</v>
      </c>
      <c r="B397" s="423">
        <v>2.2799999999999998</v>
      </c>
      <c r="C397" s="426"/>
      <c r="D397" s="427">
        <v>0.9</v>
      </c>
      <c r="E397" s="370">
        <v>9471786</v>
      </c>
      <c r="F397" s="370">
        <v>0</v>
      </c>
      <c r="G397" s="370">
        <f t="shared" si="35"/>
        <v>8524607</v>
      </c>
      <c r="H397" s="370">
        <f t="shared" si="36"/>
        <v>19436000</v>
      </c>
    </row>
    <row r="398" spans="1:8" ht="31.5" x14ac:dyDescent="0.2">
      <c r="A398" s="319" t="s">
        <v>2359</v>
      </c>
      <c r="B398" s="423">
        <v>2.76</v>
      </c>
      <c r="C398" s="426"/>
      <c r="D398" s="427">
        <v>0.8</v>
      </c>
      <c r="E398" s="370">
        <v>10237047</v>
      </c>
      <c r="F398" s="370">
        <v>0</v>
      </c>
      <c r="G398" s="370">
        <f t="shared" si="35"/>
        <v>8189638</v>
      </c>
      <c r="H398" s="370">
        <f t="shared" si="36"/>
        <v>22603000</v>
      </c>
    </row>
    <row r="399" spans="1:8" ht="31.5" x14ac:dyDescent="0.2">
      <c r="A399" s="319" t="s">
        <v>1803</v>
      </c>
      <c r="B399" s="423">
        <v>12.96</v>
      </c>
      <c r="C399" s="426"/>
      <c r="D399" s="427">
        <v>0.8</v>
      </c>
      <c r="E399" s="370">
        <v>2616451</v>
      </c>
      <c r="F399" s="370">
        <v>0</v>
      </c>
      <c r="G399" s="370">
        <f t="shared" si="35"/>
        <v>2093161</v>
      </c>
      <c r="H399" s="370">
        <f t="shared" si="36"/>
        <v>27127000</v>
      </c>
    </row>
    <row r="400" spans="1:8" ht="31.5" x14ac:dyDescent="0.2">
      <c r="A400" s="319" t="s">
        <v>1843</v>
      </c>
      <c r="B400" s="397">
        <v>3.2</v>
      </c>
      <c r="C400" s="426"/>
      <c r="D400" s="427">
        <v>0.9</v>
      </c>
      <c r="E400" s="370">
        <v>10666552</v>
      </c>
      <c r="F400" s="370">
        <v>0</v>
      </c>
      <c r="G400" s="370">
        <f t="shared" si="35"/>
        <v>9599897</v>
      </c>
      <c r="H400" s="370">
        <f t="shared" si="36"/>
        <v>30720000</v>
      </c>
    </row>
    <row r="401" spans="1:8" ht="47.25" x14ac:dyDescent="0.2">
      <c r="A401" s="319" t="s">
        <v>1853</v>
      </c>
      <c r="B401" s="397">
        <v>3</v>
      </c>
      <c r="C401" s="426"/>
      <c r="D401" s="427">
        <v>0.8</v>
      </c>
      <c r="E401" s="370">
        <v>2616451</v>
      </c>
      <c r="F401" s="370">
        <v>0</v>
      </c>
      <c r="G401" s="370">
        <f t="shared" si="35"/>
        <v>2093161</v>
      </c>
      <c r="H401" s="370">
        <f t="shared" si="36"/>
        <v>6279000</v>
      </c>
    </row>
    <row r="402" spans="1:8" ht="47.25" x14ac:dyDescent="0.2">
      <c r="A402" s="321" t="s">
        <v>2299</v>
      </c>
      <c r="B402" s="397">
        <v>3.08</v>
      </c>
      <c r="C402" s="426"/>
      <c r="D402" s="427">
        <v>0.8</v>
      </c>
      <c r="E402" s="370">
        <v>10386015</v>
      </c>
      <c r="F402" s="370">
        <v>0</v>
      </c>
      <c r="G402" s="370">
        <f t="shared" si="35"/>
        <v>8308812</v>
      </c>
      <c r="H402" s="370">
        <f t="shared" si="36"/>
        <v>25591000</v>
      </c>
    </row>
    <row r="403" spans="1:8" ht="47.25" x14ac:dyDescent="0.2">
      <c r="A403" s="323" t="s">
        <v>1886</v>
      </c>
      <c r="B403" s="397">
        <v>22.85</v>
      </c>
      <c r="C403" s="426"/>
      <c r="D403" s="427">
        <v>0.9</v>
      </c>
      <c r="E403" s="370">
        <v>10386015</v>
      </c>
      <c r="F403" s="370">
        <v>0</v>
      </c>
      <c r="G403" s="370">
        <f t="shared" si="35"/>
        <v>9347414</v>
      </c>
      <c r="H403" s="370">
        <f t="shared" si="36"/>
        <v>213588000</v>
      </c>
    </row>
    <row r="404" spans="1:8" ht="47.25" x14ac:dyDescent="0.2">
      <c r="A404" s="319" t="s">
        <v>2287</v>
      </c>
      <c r="B404" s="397">
        <v>3</v>
      </c>
      <c r="C404" s="426"/>
      <c r="D404" s="427">
        <v>0.8</v>
      </c>
      <c r="E404" s="370">
        <v>2616451</v>
      </c>
      <c r="F404" s="370">
        <v>0</v>
      </c>
      <c r="G404" s="370">
        <f t="shared" si="35"/>
        <v>2093161</v>
      </c>
      <c r="H404" s="370">
        <f t="shared" si="36"/>
        <v>6279000</v>
      </c>
    </row>
    <row r="405" spans="1:8" ht="31.5" x14ac:dyDescent="0.2">
      <c r="A405" s="323" t="s">
        <v>1874</v>
      </c>
      <c r="B405" s="397">
        <v>3.6</v>
      </c>
      <c r="C405" s="426"/>
      <c r="D405" s="427">
        <v>0.9</v>
      </c>
      <c r="E405" s="370">
        <v>10386015</v>
      </c>
      <c r="F405" s="370">
        <v>0</v>
      </c>
      <c r="G405" s="370">
        <f t="shared" si="35"/>
        <v>9347414</v>
      </c>
      <c r="H405" s="370">
        <f t="shared" si="36"/>
        <v>33651000</v>
      </c>
    </row>
    <row r="406" spans="1:8" ht="31.5" x14ac:dyDescent="0.2">
      <c r="A406" s="323" t="s">
        <v>1869</v>
      </c>
      <c r="B406" s="397">
        <v>3.2</v>
      </c>
      <c r="C406" s="426"/>
      <c r="D406" s="427">
        <v>0.9</v>
      </c>
      <c r="E406" s="370">
        <v>10386015</v>
      </c>
      <c r="F406" s="370">
        <v>0</v>
      </c>
      <c r="G406" s="370">
        <f t="shared" si="35"/>
        <v>9347414</v>
      </c>
      <c r="H406" s="370">
        <f>ROUND(G406*B406,-3)</f>
        <v>29912000</v>
      </c>
    </row>
    <row r="407" spans="1:8" ht="31.5" x14ac:dyDescent="0.2">
      <c r="A407" s="384" t="s">
        <v>2407</v>
      </c>
      <c r="B407" s="379">
        <v>86.4</v>
      </c>
      <c r="D407" s="427">
        <v>0.8</v>
      </c>
      <c r="E407" s="370">
        <v>0</v>
      </c>
      <c r="F407" s="370"/>
      <c r="G407" s="370">
        <f>ROUND(D407*E407,0)</f>
        <v>0</v>
      </c>
      <c r="H407" s="370">
        <f>ROUND(G407*D407,-3)</f>
        <v>0</v>
      </c>
    </row>
    <row r="408" spans="1:8" ht="47.25" x14ac:dyDescent="0.2">
      <c r="A408" s="384" t="s">
        <v>2408</v>
      </c>
      <c r="B408" s="381">
        <v>2.6</v>
      </c>
      <c r="D408" s="427">
        <v>0.8</v>
      </c>
      <c r="E408" s="370">
        <v>0</v>
      </c>
      <c r="F408" s="370"/>
      <c r="G408" s="370">
        <f t="shared" si="35"/>
        <v>0</v>
      </c>
      <c r="H408" s="370">
        <f t="shared" ref="H408:H412" si="37">ROUND(G408*D408,-3)</f>
        <v>0</v>
      </c>
    </row>
    <row r="409" spans="1:8" ht="47.25" x14ac:dyDescent="0.2">
      <c r="A409" s="384" t="s">
        <v>2408</v>
      </c>
      <c r="B409" s="381">
        <v>3.6</v>
      </c>
      <c r="D409" s="427">
        <v>0.8</v>
      </c>
      <c r="E409" s="370">
        <v>0</v>
      </c>
      <c r="F409" s="370"/>
      <c r="G409" s="370">
        <f t="shared" si="35"/>
        <v>0</v>
      </c>
      <c r="H409" s="370">
        <f t="shared" si="37"/>
        <v>0</v>
      </c>
    </row>
    <row r="410" spans="1:8" ht="47.25" x14ac:dyDescent="0.2">
      <c r="A410" s="384" t="s">
        <v>2408</v>
      </c>
      <c r="B410" s="381">
        <v>4.5999999999999996</v>
      </c>
      <c r="D410" s="427">
        <v>0.8</v>
      </c>
      <c r="E410" s="370">
        <v>0</v>
      </c>
      <c r="F410" s="370"/>
      <c r="G410" s="370">
        <f t="shared" si="35"/>
        <v>0</v>
      </c>
      <c r="H410" s="370">
        <f t="shared" si="37"/>
        <v>0</v>
      </c>
    </row>
    <row r="411" spans="1:8" ht="47.25" x14ac:dyDescent="0.2">
      <c r="A411" s="384" t="s">
        <v>2408</v>
      </c>
      <c r="B411" s="381">
        <v>5.6</v>
      </c>
      <c r="D411" s="427">
        <v>0.8</v>
      </c>
      <c r="E411" s="370">
        <v>0</v>
      </c>
      <c r="F411" s="370"/>
      <c r="G411" s="370">
        <f t="shared" si="35"/>
        <v>0</v>
      </c>
      <c r="H411" s="370">
        <f t="shared" si="37"/>
        <v>0</v>
      </c>
    </row>
    <row r="412" spans="1:8" ht="47.25" x14ac:dyDescent="0.2">
      <c r="A412" s="384" t="s">
        <v>2408</v>
      </c>
      <c r="B412" s="381">
        <v>6.6</v>
      </c>
      <c r="D412" s="427">
        <v>0.8</v>
      </c>
      <c r="E412" s="370">
        <v>0</v>
      </c>
      <c r="F412" s="370"/>
      <c r="G412" s="370">
        <f t="shared" si="35"/>
        <v>0</v>
      </c>
      <c r="H412" s="370">
        <f t="shared" si="37"/>
        <v>0</v>
      </c>
    </row>
    <row r="413" spans="1:8" ht="31.5" x14ac:dyDescent="0.2">
      <c r="A413" s="384" t="s">
        <v>2409</v>
      </c>
      <c r="B413" s="381">
        <v>19.7</v>
      </c>
      <c r="D413" s="427">
        <v>0.9</v>
      </c>
      <c r="E413" s="370">
        <v>0</v>
      </c>
      <c r="F413" s="370"/>
      <c r="G413" s="370">
        <v>0</v>
      </c>
      <c r="H413" s="370">
        <f t="shared" ref="H413" si="38">ROUND(G413*D413,-3)</f>
        <v>0</v>
      </c>
    </row>
    <row r="414" spans="1:8" ht="47.25" x14ac:dyDescent="0.2">
      <c r="A414" s="321" t="s">
        <v>2290</v>
      </c>
      <c r="B414" s="397">
        <v>7.7099999999999991</v>
      </c>
      <c r="C414" s="426"/>
      <c r="D414" s="427">
        <v>0.8</v>
      </c>
      <c r="E414" s="370">
        <v>10386015</v>
      </c>
      <c r="F414" s="370">
        <v>0</v>
      </c>
      <c r="G414" s="370">
        <f t="shared" si="35"/>
        <v>8308812</v>
      </c>
      <c r="H414" s="370">
        <f t="shared" si="36"/>
        <v>64061000</v>
      </c>
    </row>
    <row r="415" spans="1:8" ht="47.25" x14ac:dyDescent="0.2">
      <c r="A415" s="323" t="s">
        <v>1864</v>
      </c>
      <c r="B415" s="397">
        <v>5.2</v>
      </c>
      <c r="C415" s="426"/>
      <c r="D415" s="427">
        <v>0.9</v>
      </c>
      <c r="E415" s="370">
        <v>10031697</v>
      </c>
      <c r="F415" s="370">
        <v>0</v>
      </c>
      <c r="G415" s="370">
        <f t="shared" si="35"/>
        <v>9028527</v>
      </c>
      <c r="H415" s="370">
        <f t="shared" si="36"/>
        <v>46948000</v>
      </c>
    </row>
    <row r="416" spans="1:8" ht="15.75" x14ac:dyDescent="0.25">
      <c r="A416" s="399" t="s">
        <v>2081</v>
      </c>
      <c r="B416" s="400">
        <v>23176.023099999988</v>
      </c>
      <c r="C416" s="426"/>
      <c r="D416" s="426"/>
      <c r="E416" s="370"/>
      <c r="F416" s="370"/>
      <c r="G416" s="370"/>
      <c r="H416" s="370">
        <f>SUM(H2:H415)</f>
        <v>28830959000</v>
      </c>
    </row>
    <row r="417" spans="8:8" hidden="1" x14ac:dyDescent="0.2">
      <c r="H417" s="286">
        <f>H416-BTH!X7</f>
        <v>3629278000</v>
      </c>
    </row>
  </sheetData>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49"/>
  <sheetViews>
    <sheetView workbookViewId="0">
      <selection activeCell="D15" sqref="D15"/>
    </sheetView>
  </sheetViews>
  <sheetFormatPr defaultRowHeight="14.25" x14ac:dyDescent="0.2"/>
  <cols>
    <col min="1" max="1" width="21.875" style="362" customWidth="1"/>
    <col min="2" max="2" width="12.75" style="363" customWidth="1"/>
    <col min="3" max="3" width="13.125" style="364" customWidth="1"/>
    <col min="4" max="4" width="15.375" style="338" customWidth="1"/>
    <col min="5" max="5" width="16.25" style="338" customWidth="1"/>
    <col min="7" max="7" width="10.875" style="286" customWidth="1"/>
    <col min="8" max="8" width="11.75" customWidth="1"/>
  </cols>
  <sheetData>
    <row r="1" spans="1:8" ht="13.5" customHeight="1" x14ac:dyDescent="0.2">
      <c r="A1" s="332" t="s">
        <v>13</v>
      </c>
      <c r="B1" s="333" t="s">
        <v>14</v>
      </c>
      <c r="C1" s="334" t="s">
        <v>15</v>
      </c>
      <c r="D1" s="332" t="s">
        <v>16</v>
      </c>
    </row>
    <row r="2" spans="1:8" s="311" customFormat="1" ht="30" x14ac:dyDescent="0.2">
      <c r="A2" s="314" t="s">
        <v>1354</v>
      </c>
      <c r="B2" s="315">
        <v>903</v>
      </c>
      <c r="C2" s="339"/>
      <c r="D2" s="340">
        <f>ROUND(C2*B2,-2)</f>
        <v>0</v>
      </c>
      <c r="E2" s="341"/>
      <c r="G2" s="316"/>
    </row>
    <row r="3" spans="1:8" ht="15" x14ac:dyDescent="0.2">
      <c r="A3" s="272" t="s">
        <v>1424</v>
      </c>
      <c r="B3" s="299">
        <v>16</v>
      </c>
      <c r="C3" s="342">
        <v>120000</v>
      </c>
      <c r="D3" s="343">
        <f t="shared" ref="D3:D66" si="0">ROUND(C3*B3,-2)</f>
        <v>1920000</v>
      </c>
      <c r="E3" s="337"/>
      <c r="G3" s="316"/>
      <c r="H3" s="286"/>
    </row>
    <row r="4" spans="1:8" ht="15" x14ac:dyDescent="0.2">
      <c r="A4" s="268" t="s">
        <v>921</v>
      </c>
      <c r="B4" s="300">
        <v>10</v>
      </c>
      <c r="C4" s="342">
        <v>120000</v>
      </c>
      <c r="D4" s="343">
        <f t="shared" si="0"/>
        <v>1200000</v>
      </c>
      <c r="E4" s="337" t="s">
        <v>2089</v>
      </c>
      <c r="G4" s="316"/>
      <c r="H4" s="286"/>
    </row>
    <row r="5" spans="1:8" ht="15" x14ac:dyDescent="0.2">
      <c r="A5" s="269" t="s">
        <v>832</v>
      </c>
      <c r="B5" s="300">
        <v>24</v>
      </c>
      <c r="C5" s="342">
        <v>60000</v>
      </c>
      <c r="D5" s="343">
        <f t="shared" si="0"/>
        <v>1440000</v>
      </c>
      <c r="E5" s="337" t="s">
        <v>2089</v>
      </c>
      <c r="G5" s="316"/>
      <c r="H5" s="286"/>
    </row>
    <row r="6" spans="1:8" ht="15" x14ac:dyDescent="0.2">
      <c r="A6" s="272" t="s">
        <v>2090</v>
      </c>
      <c r="B6" s="299">
        <v>3</v>
      </c>
      <c r="C6" s="342">
        <v>24000</v>
      </c>
      <c r="D6" s="343">
        <f t="shared" si="0"/>
        <v>72000</v>
      </c>
      <c r="E6" s="337"/>
      <c r="G6" s="316"/>
      <c r="H6" s="286"/>
    </row>
    <row r="7" spans="1:8" ht="15" x14ac:dyDescent="0.2">
      <c r="A7" s="272" t="s">
        <v>1424</v>
      </c>
      <c r="B7" s="299">
        <v>1</v>
      </c>
      <c r="C7" s="342">
        <v>120000</v>
      </c>
      <c r="D7" s="343">
        <f t="shared" si="0"/>
        <v>120000</v>
      </c>
      <c r="E7" s="337"/>
      <c r="G7" s="316"/>
      <c r="H7" s="286"/>
    </row>
    <row r="8" spans="1:8" ht="15" x14ac:dyDescent="0.2">
      <c r="A8" s="272" t="s">
        <v>1369</v>
      </c>
      <c r="B8" s="273">
        <v>1</v>
      </c>
      <c r="C8" s="342"/>
      <c r="D8" s="343">
        <f t="shared" si="0"/>
        <v>0</v>
      </c>
      <c r="E8" s="337" t="s">
        <v>2091</v>
      </c>
      <c r="G8" s="316"/>
      <c r="H8" s="286"/>
    </row>
    <row r="9" spans="1:8" ht="15" x14ac:dyDescent="0.2">
      <c r="A9" s="272" t="s">
        <v>1256</v>
      </c>
      <c r="B9" s="273">
        <v>1</v>
      </c>
      <c r="C9" s="342"/>
      <c r="D9" s="343">
        <f t="shared" si="0"/>
        <v>0</v>
      </c>
      <c r="E9" s="337" t="s">
        <v>2091</v>
      </c>
      <c r="G9" s="316"/>
      <c r="H9" s="286"/>
    </row>
    <row r="10" spans="1:8" ht="15" x14ac:dyDescent="0.2">
      <c r="A10" s="272" t="s">
        <v>1240</v>
      </c>
      <c r="B10" s="273">
        <v>3</v>
      </c>
      <c r="C10" s="342"/>
      <c r="D10" s="343">
        <f t="shared" si="0"/>
        <v>0</v>
      </c>
      <c r="E10" s="337" t="s">
        <v>2091</v>
      </c>
      <c r="G10" s="316"/>
      <c r="H10" s="286"/>
    </row>
    <row r="11" spans="1:8" ht="15" x14ac:dyDescent="0.2">
      <c r="A11" s="268" t="s">
        <v>410</v>
      </c>
      <c r="B11" s="275">
        <v>3</v>
      </c>
      <c r="C11" s="342"/>
      <c r="D11" s="343">
        <f t="shared" si="0"/>
        <v>0</v>
      </c>
      <c r="E11" s="337" t="s">
        <v>2091</v>
      </c>
      <c r="G11" s="316"/>
      <c r="H11" s="286"/>
    </row>
    <row r="12" spans="1:8" ht="15" x14ac:dyDescent="0.2">
      <c r="A12" s="272" t="s">
        <v>754</v>
      </c>
      <c r="B12" s="273">
        <v>13</v>
      </c>
      <c r="C12" s="342"/>
      <c r="D12" s="343">
        <f t="shared" si="0"/>
        <v>0</v>
      </c>
      <c r="E12" s="337" t="s">
        <v>2091</v>
      </c>
      <c r="G12" s="316"/>
      <c r="H12" s="286"/>
    </row>
    <row r="13" spans="1:8" ht="15" x14ac:dyDescent="0.2">
      <c r="A13" s="268" t="s">
        <v>750</v>
      </c>
      <c r="B13" s="275">
        <v>12</v>
      </c>
      <c r="C13" s="342"/>
      <c r="D13" s="343">
        <f t="shared" si="0"/>
        <v>0</v>
      </c>
      <c r="E13" s="337" t="s">
        <v>2091</v>
      </c>
      <c r="G13" s="316"/>
      <c r="H13" s="286"/>
    </row>
    <row r="14" spans="1:8" ht="31.5" x14ac:dyDescent="0.2">
      <c r="A14" s="276" t="s">
        <v>775</v>
      </c>
      <c r="B14" s="301">
        <v>1</v>
      </c>
      <c r="C14" s="342">
        <v>360000</v>
      </c>
      <c r="D14" s="343">
        <f t="shared" si="0"/>
        <v>360000</v>
      </c>
      <c r="E14" s="344" t="s">
        <v>2092</v>
      </c>
      <c r="G14" s="316"/>
      <c r="H14" s="286"/>
    </row>
    <row r="15" spans="1:8" s="297" customFormat="1" ht="28.5" x14ac:dyDescent="0.2">
      <c r="A15" s="296" t="s">
        <v>806</v>
      </c>
      <c r="B15" s="302">
        <v>1</v>
      </c>
      <c r="C15" s="345">
        <v>360000</v>
      </c>
      <c r="D15" s="343">
        <f t="shared" si="0"/>
        <v>360000</v>
      </c>
      <c r="E15" s="346" t="s">
        <v>2132</v>
      </c>
      <c r="G15" s="316"/>
      <c r="H15" s="286"/>
    </row>
    <row r="16" spans="1:8" s="297" customFormat="1" ht="28.5" x14ac:dyDescent="0.2">
      <c r="A16" s="296" t="s">
        <v>757</v>
      </c>
      <c r="B16" s="302">
        <v>4</v>
      </c>
      <c r="C16" s="345">
        <v>360000</v>
      </c>
      <c r="D16" s="343">
        <f t="shared" si="0"/>
        <v>1440000</v>
      </c>
      <c r="E16" s="346" t="s">
        <v>2132</v>
      </c>
      <c r="G16" s="316"/>
      <c r="H16" s="286"/>
    </row>
    <row r="17" spans="1:8" ht="15" x14ac:dyDescent="0.2">
      <c r="A17" s="272" t="s">
        <v>1427</v>
      </c>
      <c r="B17" s="299">
        <v>4</v>
      </c>
      <c r="C17" s="342">
        <v>360000</v>
      </c>
      <c r="D17" s="343">
        <f t="shared" si="0"/>
        <v>1440000</v>
      </c>
      <c r="E17" s="337"/>
      <c r="G17" s="316"/>
      <c r="H17" s="286"/>
    </row>
    <row r="18" spans="1:8" ht="15" x14ac:dyDescent="0.2">
      <c r="A18" s="272" t="s">
        <v>400</v>
      </c>
      <c r="B18" s="299">
        <v>164</v>
      </c>
      <c r="C18" s="342">
        <v>228000</v>
      </c>
      <c r="D18" s="343">
        <f t="shared" si="0"/>
        <v>37392000</v>
      </c>
      <c r="E18" s="337"/>
      <c r="G18" s="316"/>
      <c r="H18" s="286"/>
    </row>
    <row r="19" spans="1:8" ht="15" x14ac:dyDescent="0.2">
      <c r="A19" s="272" t="s">
        <v>401</v>
      </c>
      <c r="B19" s="299">
        <v>701</v>
      </c>
      <c r="C19" s="342">
        <v>80000</v>
      </c>
      <c r="D19" s="343">
        <f t="shared" si="0"/>
        <v>56080000</v>
      </c>
      <c r="E19" s="337"/>
      <c r="G19" s="316"/>
      <c r="H19" s="286"/>
    </row>
    <row r="20" spans="1:8" ht="15" x14ac:dyDescent="0.2">
      <c r="A20" s="269" t="s">
        <v>971</v>
      </c>
      <c r="B20" s="303">
        <v>2</v>
      </c>
      <c r="C20" s="342">
        <v>360000</v>
      </c>
      <c r="D20" s="343">
        <f t="shared" si="0"/>
        <v>720000</v>
      </c>
      <c r="E20" s="337" t="s">
        <v>2093</v>
      </c>
      <c r="G20" s="316"/>
      <c r="H20" s="286"/>
    </row>
    <row r="21" spans="1:8" ht="15" x14ac:dyDescent="0.2">
      <c r="A21" s="268" t="s">
        <v>257</v>
      </c>
      <c r="B21" s="301">
        <v>2</v>
      </c>
      <c r="C21" s="342">
        <v>2870000</v>
      </c>
      <c r="D21" s="343">
        <f t="shared" si="0"/>
        <v>5740000</v>
      </c>
      <c r="E21" s="337"/>
      <c r="G21" s="316"/>
      <c r="H21" s="286"/>
    </row>
    <row r="22" spans="1:8" ht="15" x14ac:dyDescent="0.2">
      <c r="A22" s="268" t="s">
        <v>258</v>
      </c>
      <c r="B22" s="301">
        <v>1</v>
      </c>
      <c r="C22" s="342">
        <v>1630000</v>
      </c>
      <c r="D22" s="343">
        <f t="shared" si="0"/>
        <v>1630000</v>
      </c>
      <c r="E22" s="337"/>
      <c r="G22" s="316"/>
      <c r="H22" s="286"/>
    </row>
    <row r="23" spans="1:8" ht="15" x14ac:dyDescent="0.2">
      <c r="A23" s="276" t="s">
        <v>726</v>
      </c>
      <c r="B23" s="301">
        <v>3</v>
      </c>
      <c r="C23" s="342">
        <v>60000</v>
      </c>
      <c r="D23" s="343">
        <f t="shared" si="0"/>
        <v>180000</v>
      </c>
      <c r="E23" s="337" t="s">
        <v>2094</v>
      </c>
      <c r="G23" s="316"/>
      <c r="H23" s="286"/>
    </row>
    <row r="24" spans="1:8" ht="15" x14ac:dyDescent="0.2">
      <c r="A24" s="272" t="s">
        <v>347</v>
      </c>
      <c r="B24" s="299">
        <v>5775.2</v>
      </c>
      <c r="C24" s="342">
        <v>12000</v>
      </c>
      <c r="D24" s="343">
        <f>ROUND(C24*B24,-2)</f>
        <v>69302400</v>
      </c>
      <c r="E24" s="347">
        <f>C24*B24</f>
        <v>69302400</v>
      </c>
      <c r="G24" s="316"/>
      <c r="H24" s="286"/>
    </row>
    <row r="25" spans="1:8" ht="15" x14ac:dyDescent="0.2">
      <c r="A25" s="272" t="s">
        <v>1456</v>
      </c>
      <c r="B25" s="299">
        <v>8</v>
      </c>
      <c r="C25" s="342">
        <v>12000</v>
      </c>
      <c r="D25" s="343">
        <f t="shared" si="0"/>
        <v>96000</v>
      </c>
      <c r="E25" s="337"/>
      <c r="G25" s="316"/>
      <c r="H25" s="286"/>
    </row>
    <row r="26" spans="1:8" ht="15" x14ac:dyDescent="0.2">
      <c r="A26" s="268" t="s">
        <v>729</v>
      </c>
      <c r="B26" s="301">
        <v>2</v>
      </c>
      <c r="C26" s="342">
        <v>150000</v>
      </c>
      <c r="D26" s="343">
        <f t="shared" si="0"/>
        <v>300000</v>
      </c>
      <c r="E26" s="337"/>
      <c r="G26" s="316"/>
      <c r="H26" s="286"/>
    </row>
    <row r="27" spans="1:8" ht="15" x14ac:dyDescent="0.2">
      <c r="A27" s="276" t="s">
        <v>732</v>
      </c>
      <c r="B27" s="301">
        <v>3</v>
      </c>
      <c r="C27" s="342">
        <v>72000</v>
      </c>
      <c r="D27" s="343">
        <f t="shared" si="0"/>
        <v>216000</v>
      </c>
      <c r="E27" s="337"/>
      <c r="G27" s="316"/>
      <c r="H27" s="286"/>
    </row>
    <row r="28" spans="1:8" ht="15" x14ac:dyDescent="0.2">
      <c r="A28" s="268" t="s">
        <v>185</v>
      </c>
      <c r="B28" s="301">
        <v>1</v>
      </c>
      <c r="C28" s="342">
        <v>473000</v>
      </c>
      <c r="D28" s="343">
        <f t="shared" si="0"/>
        <v>473000</v>
      </c>
      <c r="E28" s="337"/>
      <c r="G28" s="316"/>
      <c r="H28" s="286"/>
    </row>
    <row r="29" spans="1:8" ht="15" x14ac:dyDescent="0.2">
      <c r="A29" s="272" t="s">
        <v>1425</v>
      </c>
      <c r="B29" s="299">
        <v>1</v>
      </c>
      <c r="C29" s="342">
        <v>1007000</v>
      </c>
      <c r="D29" s="343">
        <f t="shared" si="0"/>
        <v>1007000</v>
      </c>
      <c r="E29" s="337"/>
      <c r="G29" s="316"/>
      <c r="H29" s="286"/>
    </row>
    <row r="30" spans="1:8" ht="15" x14ac:dyDescent="0.2">
      <c r="A30" s="276" t="s">
        <v>277</v>
      </c>
      <c r="B30" s="301">
        <v>2</v>
      </c>
      <c r="C30" s="342">
        <v>807000</v>
      </c>
      <c r="D30" s="343">
        <f t="shared" si="0"/>
        <v>1614000</v>
      </c>
      <c r="E30" s="337"/>
      <c r="G30" s="316"/>
      <c r="H30" s="286"/>
    </row>
    <row r="31" spans="1:8" ht="15" x14ac:dyDescent="0.2">
      <c r="A31" s="272" t="s">
        <v>744</v>
      </c>
      <c r="B31" s="273">
        <v>3</v>
      </c>
      <c r="C31" s="342"/>
      <c r="D31" s="343">
        <f t="shared" si="0"/>
        <v>0</v>
      </c>
      <c r="E31" s="337" t="s">
        <v>2091</v>
      </c>
      <c r="G31" s="316"/>
      <c r="H31" s="286"/>
    </row>
    <row r="32" spans="1:8" ht="15" x14ac:dyDescent="0.2">
      <c r="A32" s="272" t="s">
        <v>738</v>
      </c>
      <c r="B32" s="273">
        <v>19</v>
      </c>
      <c r="C32" s="342"/>
      <c r="D32" s="343">
        <f t="shared" si="0"/>
        <v>0</v>
      </c>
      <c r="E32" s="337" t="s">
        <v>2091</v>
      </c>
      <c r="G32" s="316"/>
      <c r="H32" s="286"/>
    </row>
    <row r="33" spans="1:8" ht="15" x14ac:dyDescent="0.2">
      <c r="A33" s="278" t="s">
        <v>814</v>
      </c>
      <c r="B33" s="303">
        <v>1</v>
      </c>
      <c r="C33" s="342">
        <v>150000</v>
      </c>
      <c r="D33" s="343">
        <f t="shared" si="0"/>
        <v>150000</v>
      </c>
      <c r="E33" s="337"/>
      <c r="G33" s="316"/>
      <c r="H33" s="286"/>
    </row>
    <row r="34" spans="1:8" ht="15" x14ac:dyDescent="0.2">
      <c r="A34" s="268" t="s">
        <v>816</v>
      </c>
      <c r="B34" s="277">
        <v>1</v>
      </c>
      <c r="C34" s="342"/>
      <c r="D34" s="343">
        <f t="shared" si="0"/>
        <v>0</v>
      </c>
      <c r="E34" s="337" t="s">
        <v>2091</v>
      </c>
      <c r="G34" s="316"/>
      <c r="H34" s="286"/>
    </row>
    <row r="35" spans="1:8" ht="15" x14ac:dyDescent="0.2">
      <c r="A35" s="272" t="s">
        <v>1215</v>
      </c>
      <c r="B35" s="299">
        <v>5</v>
      </c>
      <c r="C35" s="342">
        <v>580000</v>
      </c>
      <c r="D35" s="343">
        <f t="shared" si="0"/>
        <v>2900000</v>
      </c>
      <c r="E35" s="337"/>
      <c r="G35" s="316"/>
      <c r="H35" s="286"/>
    </row>
    <row r="36" spans="1:8" ht="15" x14ac:dyDescent="0.2">
      <c r="A36" s="268" t="s">
        <v>815</v>
      </c>
      <c r="B36" s="303">
        <v>1</v>
      </c>
      <c r="C36" s="342">
        <v>70000</v>
      </c>
      <c r="D36" s="343">
        <f t="shared" si="0"/>
        <v>70000</v>
      </c>
      <c r="E36" s="337"/>
      <c r="G36" s="316"/>
      <c r="H36" s="286"/>
    </row>
    <row r="37" spans="1:8" ht="15" x14ac:dyDescent="0.2">
      <c r="A37" s="272" t="s">
        <v>1418</v>
      </c>
      <c r="B37" s="299">
        <v>1</v>
      </c>
      <c r="C37" s="342">
        <v>1950000</v>
      </c>
      <c r="D37" s="343">
        <f t="shared" si="0"/>
        <v>1950000</v>
      </c>
      <c r="E37" s="337"/>
      <c r="G37" s="316"/>
      <c r="H37" s="286"/>
    </row>
    <row r="38" spans="1:8" ht="15" x14ac:dyDescent="0.2">
      <c r="A38" s="276" t="s">
        <v>774</v>
      </c>
      <c r="B38" s="301">
        <v>2</v>
      </c>
      <c r="C38" s="342">
        <v>150000</v>
      </c>
      <c r="D38" s="343">
        <f t="shared" si="0"/>
        <v>300000</v>
      </c>
      <c r="E38" s="337"/>
      <c r="G38" s="316"/>
      <c r="H38" s="286"/>
    </row>
    <row r="39" spans="1:8" ht="15" x14ac:dyDescent="0.2">
      <c r="A39" s="276" t="s">
        <v>773</v>
      </c>
      <c r="B39" s="301">
        <v>9</v>
      </c>
      <c r="C39" s="342">
        <v>72000</v>
      </c>
      <c r="D39" s="343">
        <f t="shared" si="0"/>
        <v>648000</v>
      </c>
      <c r="E39" s="337"/>
      <c r="G39" s="316"/>
      <c r="H39" s="286"/>
    </row>
    <row r="40" spans="1:8" ht="15" x14ac:dyDescent="0.2">
      <c r="A40" s="269" t="s">
        <v>948</v>
      </c>
      <c r="B40" s="274">
        <v>1</v>
      </c>
      <c r="C40" s="342"/>
      <c r="D40" s="343">
        <f t="shared" si="0"/>
        <v>0</v>
      </c>
      <c r="E40" s="336" t="s">
        <v>2091</v>
      </c>
      <c r="G40" s="316"/>
      <c r="H40" s="286"/>
    </row>
    <row r="41" spans="1:8" ht="28.5" x14ac:dyDescent="0.2">
      <c r="A41" s="278" t="s">
        <v>817</v>
      </c>
      <c r="B41" s="277">
        <v>2</v>
      </c>
      <c r="C41" s="342">
        <v>6000</v>
      </c>
      <c r="D41" s="343">
        <f t="shared" si="0"/>
        <v>12000</v>
      </c>
      <c r="E41" s="336" t="s">
        <v>2119</v>
      </c>
      <c r="G41" s="316"/>
      <c r="H41" s="286"/>
    </row>
    <row r="42" spans="1:8" ht="15" x14ac:dyDescent="0.2">
      <c r="A42" s="268" t="s">
        <v>813</v>
      </c>
      <c r="B42" s="277">
        <v>1</v>
      </c>
      <c r="C42" s="342">
        <v>72000</v>
      </c>
      <c r="D42" s="343">
        <f t="shared" si="0"/>
        <v>72000</v>
      </c>
      <c r="E42" s="336" t="s">
        <v>2121</v>
      </c>
      <c r="G42" s="316"/>
      <c r="H42" s="286"/>
    </row>
    <row r="43" spans="1:8" s="289" customFormat="1" ht="15" x14ac:dyDescent="0.2">
      <c r="A43" s="276" t="s">
        <v>769</v>
      </c>
      <c r="B43" s="301">
        <v>3</v>
      </c>
      <c r="C43" s="348">
        <v>120000</v>
      </c>
      <c r="D43" s="343">
        <f t="shared" si="0"/>
        <v>360000</v>
      </c>
      <c r="E43" s="349" t="s">
        <v>2095</v>
      </c>
      <c r="G43" s="316"/>
      <c r="H43" s="286"/>
    </row>
    <row r="44" spans="1:8" s="289" customFormat="1" ht="15" x14ac:dyDescent="0.2">
      <c r="A44" s="276" t="s">
        <v>770</v>
      </c>
      <c r="B44" s="301">
        <v>2</v>
      </c>
      <c r="C44" s="348">
        <v>60000</v>
      </c>
      <c r="D44" s="343">
        <f t="shared" si="0"/>
        <v>120000</v>
      </c>
      <c r="E44" s="349" t="s">
        <v>2095</v>
      </c>
      <c r="G44" s="316"/>
      <c r="H44" s="286"/>
    </row>
    <row r="45" spans="1:8" s="290" customFormat="1" ht="14.25" customHeight="1" x14ac:dyDescent="0.2">
      <c r="A45" s="268" t="s">
        <v>752</v>
      </c>
      <c r="B45" s="301">
        <v>1</v>
      </c>
      <c r="C45" s="350">
        <v>600000</v>
      </c>
      <c r="D45" s="343">
        <f t="shared" si="0"/>
        <v>600000</v>
      </c>
      <c r="E45" s="335" t="s">
        <v>2098</v>
      </c>
      <c r="G45" s="316"/>
      <c r="H45" s="286"/>
    </row>
    <row r="46" spans="1:8" ht="28.5" x14ac:dyDescent="0.2">
      <c r="A46" s="268" t="s">
        <v>802</v>
      </c>
      <c r="B46" s="303">
        <v>1</v>
      </c>
      <c r="C46" s="342">
        <v>60000</v>
      </c>
      <c r="D46" s="343">
        <f t="shared" si="0"/>
        <v>60000</v>
      </c>
      <c r="E46" s="336" t="s">
        <v>2097</v>
      </c>
      <c r="G46" s="316"/>
      <c r="H46" s="286"/>
    </row>
    <row r="47" spans="1:8" ht="15" x14ac:dyDescent="0.2">
      <c r="A47" s="272" t="s">
        <v>147</v>
      </c>
      <c r="B47" s="299">
        <v>5</v>
      </c>
      <c r="C47" s="342">
        <v>979000</v>
      </c>
      <c r="D47" s="343">
        <f t="shared" si="0"/>
        <v>4895000</v>
      </c>
      <c r="E47" s="337"/>
      <c r="G47" s="316"/>
      <c r="H47" s="286"/>
    </row>
    <row r="48" spans="1:8" ht="15" x14ac:dyDescent="0.2">
      <c r="A48" s="272" t="s">
        <v>178</v>
      </c>
      <c r="B48" s="299">
        <v>3</v>
      </c>
      <c r="C48" s="342">
        <v>554000</v>
      </c>
      <c r="D48" s="343">
        <f t="shared" si="0"/>
        <v>1662000</v>
      </c>
      <c r="E48" s="337"/>
      <c r="G48" s="316"/>
      <c r="H48" s="286"/>
    </row>
    <row r="49" spans="1:8" ht="15" x14ac:dyDescent="0.2">
      <c r="A49" s="269" t="s">
        <v>89</v>
      </c>
      <c r="B49" s="300">
        <v>5</v>
      </c>
      <c r="C49" s="342">
        <v>283000</v>
      </c>
      <c r="D49" s="343">
        <f t="shared" si="0"/>
        <v>1415000</v>
      </c>
      <c r="E49" s="337"/>
      <c r="G49" s="316"/>
      <c r="H49" s="286"/>
    </row>
    <row r="50" spans="1:8" ht="15" x14ac:dyDescent="0.2">
      <c r="A50" s="272" t="s">
        <v>91</v>
      </c>
      <c r="B50" s="299">
        <v>4</v>
      </c>
      <c r="C50" s="342">
        <v>93000</v>
      </c>
      <c r="D50" s="343">
        <f t="shared" si="0"/>
        <v>372000</v>
      </c>
      <c r="E50" s="337"/>
      <c r="G50" s="316"/>
      <c r="H50" s="286"/>
    </row>
    <row r="51" spans="1:8" ht="15" x14ac:dyDescent="0.2">
      <c r="A51" s="272" t="s">
        <v>1426</v>
      </c>
      <c r="B51" s="273">
        <v>1</v>
      </c>
      <c r="C51" s="342"/>
      <c r="D51" s="343">
        <f t="shared" si="0"/>
        <v>0</v>
      </c>
      <c r="E51" s="337" t="s">
        <v>2091</v>
      </c>
      <c r="G51" s="316"/>
      <c r="H51" s="286"/>
    </row>
    <row r="52" spans="1:8" ht="15" x14ac:dyDescent="0.2">
      <c r="A52" s="276" t="s">
        <v>786</v>
      </c>
      <c r="B52" s="275">
        <v>15</v>
      </c>
      <c r="C52" s="342"/>
      <c r="D52" s="343">
        <f t="shared" si="0"/>
        <v>0</v>
      </c>
      <c r="E52" s="337" t="s">
        <v>2091</v>
      </c>
      <c r="G52" s="316"/>
      <c r="H52" s="286"/>
    </row>
    <row r="53" spans="1:8" s="289" customFormat="1" ht="15" x14ac:dyDescent="0.2">
      <c r="A53" s="272" t="s">
        <v>2142</v>
      </c>
      <c r="B53" s="299">
        <v>1</v>
      </c>
      <c r="C53" s="348">
        <v>1025000</v>
      </c>
      <c r="D53" s="343">
        <f t="shared" si="0"/>
        <v>1025000</v>
      </c>
      <c r="E53" s="349">
        <v>554000</v>
      </c>
      <c r="G53" s="316"/>
      <c r="H53" s="316"/>
    </row>
    <row r="54" spans="1:8" ht="15" x14ac:dyDescent="0.2">
      <c r="A54" s="276" t="s">
        <v>755</v>
      </c>
      <c r="B54" s="275">
        <v>3</v>
      </c>
      <c r="C54" s="342">
        <v>10000</v>
      </c>
      <c r="D54" s="343">
        <f t="shared" si="0"/>
        <v>30000</v>
      </c>
      <c r="E54" s="337" t="s">
        <v>2120</v>
      </c>
      <c r="G54" s="316"/>
      <c r="H54" s="286"/>
    </row>
    <row r="55" spans="1:8" ht="15" x14ac:dyDescent="0.2">
      <c r="A55" s="268" t="s">
        <v>319</v>
      </c>
      <c r="B55" s="301">
        <v>71</v>
      </c>
      <c r="C55" s="342">
        <v>132000</v>
      </c>
      <c r="D55" s="343">
        <f t="shared" si="0"/>
        <v>9372000</v>
      </c>
      <c r="E55" s="337"/>
      <c r="G55" s="316"/>
      <c r="H55" s="286"/>
    </row>
    <row r="56" spans="1:8" ht="15" x14ac:dyDescent="0.2">
      <c r="A56" s="272" t="s">
        <v>72</v>
      </c>
      <c r="B56" s="299">
        <v>1071</v>
      </c>
      <c r="C56" s="342">
        <v>132000</v>
      </c>
      <c r="D56" s="343">
        <f t="shared" si="0"/>
        <v>141372000</v>
      </c>
      <c r="E56" s="337"/>
      <c r="G56" s="316"/>
      <c r="H56" s="286"/>
    </row>
    <row r="57" spans="1:8" ht="15" x14ac:dyDescent="0.2">
      <c r="A57" s="272" t="s">
        <v>73</v>
      </c>
      <c r="B57" s="299">
        <v>1131</v>
      </c>
      <c r="C57" s="342">
        <v>76000</v>
      </c>
      <c r="D57" s="343">
        <f t="shared" si="0"/>
        <v>85956000</v>
      </c>
      <c r="E57" s="337"/>
      <c r="G57" s="316"/>
      <c r="H57" s="286"/>
    </row>
    <row r="58" spans="1:8" ht="15" x14ac:dyDescent="0.2">
      <c r="A58" s="272" t="s">
        <v>75</v>
      </c>
      <c r="B58" s="299">
        <v>1070</v>
      </c>
      <c r="C58" s="342">
        <v>34000</v>
      </c>
      <c r="D58" s="343">
        <f t="shared" si="0"/>
        <v>36380000</v>
      </c>
      <c r="E58" s="337"/>
      <c r="G58" s="316"/>
      <c r="H58" s="286"/>
    </row>
    <row r="59" spans="1:8" ht="15" x14ac:dyDescent="0.2">
      <c r="A59" s="276" t="s">
        <v>772</v>
      </c>
      <c r="B59" s="301">
        <v>3</v>
      </c>
      <c r="C59" s="342">
        <v>72000</v>
      </c>
      <c r="D59" s="343">
        <f t="shared" si="0"/>
        <v>216000</v>
      </c>
      <c r="E59" s="337" t="s">
        <v>2099</v>
      </c>
      <c r="G59" s="316"/>
      <c r="H59" s="286"/>
    </row>
    <row r="60" spans="1:8" ht="15" x14ac:dyDescent="0.2">
      <c r="A60" s="272" t="s">
        <v>1227</v>
      </c>
      <c r="B60" s="299">
        <v>1</v>
      </c>
      <c r="C60" s="342">
        <v>800000</v>
      </c>
      <c r="D60" s="343">
        <f t="shared" si="0"/>
        <v>800000</v>
      </c>
      <c r="E60" s="337"/>
      <c r="G60" s="316"/>
      <c r="H60" s="286"/>
    </row>
    <row r="61" spans="1:8" ht="15" x14ac:dyDescent="0.2">
      <c r="A61" s="276" t="s">
        <v>168</v>
      </c>
      <c r="B61" s="301">
        <v>6</v>
      </c>
      <c r="C61" s="342">
        <v>580000</v>
      </c>
      <c r="D61" s="343">
        <f t="shared" si="0"/>
        <v>3480000</v>
      </c>
      <c r="E61" s="337"/>
      <c r="G61" s="316"/>
      <c r="H61" s="286"/>
    </row>
    <row r="62" spans="1:8" ht="14.25" customHeight="1" x14ac:dyDescent="0.2">
      <c r="A62" s="280" t="s">
        <v>1248</v>
      </c>
      <c r="B62" s="281">
        <v>1</v>
      </c>
      <c r="C62" s="342"/>
      <c r="D62" s="343">
        <f t="shared" si="0"/>
        <v>0</v>
      </c>
      <c r="E62" s="337" t="s">
        <v>2091</v>
      </c>
      <c r="G62" s="316"/>
      <c r="H62" s="286"/>
    </row>
    <row r="63" spans="1:8" ht="15.75" customHeight="1" x14ac:dyDescent="0.2">
      <c r="A63" s="268" t="s">
        <v>2101</v>
      </c>
      <c r="B63" s="301">
        <v>1</v>
      </c>
      <c r="C63" s="342">
        <v>308000</v>
      </c>
      <c r="D63" s="343">
        <f t="shared" si="0"/>
        <v>308000</v>
      </c>
      <c r="E63" s="337"/>
      <c r="G63" s="316"/>
      <c r="H63" s="286"/>
    </row>
    <row r="64" spans="1:8" ht="15" x14ac:dyDescent="0.2">
      <c r="A64" s="268" t="s">
        <v>1042</v>
      </c>
      <c r="B64" s="301">
        <v>1</v>
      </c>
      <c r="C64" s="342">
        <v>1200000</v>
      </c>
      <c r="D64" s="343">
        <f t="shared" si="0"/>
        <v>1200000</v>
      </c>
      <c r="E64" s="337" t="s">
        <v>2100</v>
      </c>
      <c r="G64" s="316"/>
      <c r="H64" s="286"/>
    </row>
    <row r="65" spans="1:8" ht="14.25" customHeight="1" x14ac:dyDescent="0.2">
      <c r="A65" s="282" t="s">
        <v>1409</v>
      </c>
      <c r="B65" s="299">
        <v>5</v>
      </c>
      <c r="C65" s="342">
        <v>2400000</v>
      </c>
      <c r="D65" s="343">
        <f t="shared" si="0"/>
        <v>12000000</v>
      </c>
      <c r="E65" s="337" t="s">
        <v>2102</v>
      </c>
      <c r="G65" s="316"/>
      <c r="H65" s="286"/>
    </row>
    <row r="66" spans="1:8" ht="15" x14ac:dyDescent="0.2">
      <c r="A66" s="282" t="s">
        <v>1409</v>
      </c>
      <c r="B66" s="299">
        <v>1</v>
      </c>
      <c r="C66" s="342">
        <v>2400000</v>
      </c>
      <c r="D66" s="343">
        <f t="shared" si="0"/>
        <v>2400000</v>
      </c>
      <c r="E66" s="337" t="s">
        <v>2102</v>
      </c>
      <c r="G66" s="316"/>
      <c r="H66" s="286"/>
    </row>
    <row r="67" spans="1:8" ht="15" x14ac:dyDescent="0.2">
      <c r="A67" s="282" t="s">
        <v>1412</v>
      </c>
      <c r="B67" s="299">
        <v>4</v>
      </c>
      <c r="C67" s="342">
        <v>1200000</v>
      </c>
      <c r="D67" s="343">
        <f t="shared" ref="D67:D130" si="1">ROUND(C67*B67,-2)</f>
        <v>4800000</v>
      </c>
      <c r="E67" s="337" t="s">
        <v>2102</v>
      </c>
      <c r="G67" s="316"/>
      <c r="H67" s="286"/>
    </row>
    <row r="68" spans="1:8" ht="14.25" customHeight="1" x14ac:dyDescent="0.2">
      <c r="A68" s="282" t="s">
        <v>1413</v>
      </c>
      <c r="B68" s="299">
        <v>4</v>
      </c>
      <c r="C68" s="342">
        <v>600000</v>
      </c>
      <c r="D68" s="343">
        <f t="shared" si="1"/>
        <v>2400000</v>
      </c>
      <c r="E68" s="337" t="s">
        <v>2102</v>
      </c>
      <c r="G68" s="316"/>
      <c r="H68" s="286"/>
    </row>
    <row r="69" spans="1:8" ht="15" x14ac:dyDescent="0.2">
      <c r="A69" s="282" t="s">
        <v>1415</v>
      </c>
      <c r="B69" s="299">
        <v>1</v>
      </c>
      <c r="C69" s="342">
        <v>180000</v>
      </c>
      <c r="D69" s="343">
        <f t="shared" si="1"/>
        <v>180000</v>
      </c>
      <c r="E69" s="337" t="s">
        <v>2102</v>
      </c>
      <c r="G69" s="316"/>
      <c r="H69" s="286"/>
    </row>
    <row r="70" spans="1:8" ht="15" x14ac:dyDescent="0.2">
      <c r="A70" s="276" t="s">
        <v>2103</v>
      </c>
      <c r="B70" s="301">
        <v>11</v>
      </c>
      <c r="C70" s="342">
        <v>32000</v>
      </c>
      <c r="D70" s="343">
        <f t="shared" si="1"/>
        <v>352000</v>
      </c>
      <c r="E70" s="337"/>
      <c r="G70" s="316"/>
      <c r="H70" s="286"/>
    </row>
    <row r="71" spans="1:8" ht="15" x14ac:dyDescent="0.2">
      <c r="A71" s="272" t="s">
        <v>1419</v>
      </c>
      <c r="B71" s="299">
        <v>1</v>
      </c>
      <c r="C71" s="342">
        <v>4000</v>
      </c>
      <c r="D71" s="343">
        <f t="shared" si="1"/>
        <v>4000</v>
      </c>
      <c r="E71" s="337"/>
      <c r="G71" s="316"/>
      <c r="H71" s="286"/>
    </row>
    <row r="72" spans="1:8" ht="15" x14ac:dyDescent="0.2">
      <c r="A72" s="268" t="s">
        <v>787</v>
      </c>
      <c r="B72" s="275">
        <v>12</v>
      </c>
      <c r="C72" s="342"/>
      <c r="D72" s="343">
        <f t="shared" si="1"/>
        <v>0</v>
      </c>
      <c r="E72" s="337" t="s">
        <v>2091</v>
      </c>
      <c r="G72" s="316"/>
      <c r="H72" s="286"/>
    </row>
    <row r="73" spans="1:8" ht="15" x14ac:dyDescent="0.2">
      <c r="A73" s="272" t="s">
        <v>1488</v>
      </c>
      <c r="B73" s="299">
        <v>2</v>
      </c>
      <c r="C73" s="342">
        <v>390000</v>
      </c>
      <c r="D73" s="343">
        <f t="shared" si="1"/>
        <v>780000</v>
      </c>
      <c r="E73" s="337"/>
      <c r="G73" s="316"/>
      <c r="H73" s="286"/>
    </row>
    <row r="74" spans="1:8" ht="15" x14ac:dyDescent="0.2">
      <c r="A74" s="269" t="s">
        <v>734</v>
      </c>
      <c r="B74" s="301">
        <v>1</v>
      </c>
      <c r="C74" s="342">
        <v>150000</v>
      </c>
      <c r="D74" s="343">
        <f t="shared" si="1"/>
        <v>150000</v>
      </c>
      <c r="E74" s="337"/>
      <c r="G74" s="316"/>
      <c r="H74" s="286"/>
    </row>
    <row r="75" spans="1:8" ht="15" x14ac:dyDescent="0.2">
      <c r="A75" s="268" t="s">
        <v>745</v>
      </c>
      <c r="B75" s="301">
        <v>2</v>
      </c>
      <c r="C75" s="342">
        <v>72000</v>
      </c>
      <c r="D75" s="343">
        <f t="shared" si="1"/>
        <v>144000</v>
      </c>
      <c r="E75" s="337"/>
      <c r="G75" s="316"/>
      <c r="H75" s="286"/>
    </row>
    <row r="76" spans="1:8" ht="42.75" x14ac:dyDescent="0.2">
      <c r="A76" s="268" t="s">
        <v>837</v>
      </c>
      <c r="B76" s="300">
        <v>7</v>
      </c>
      <c r="C76" s="342">
        <v>60000</v>
      </c>
      <c r="D76" s="343">
        <f t="shared" si="1"/>
        <v>420000</v>
      </c>
      <c r="E76" s="336" t="s">
        <v>2096</v>
      </c>
      <c r="G76" s="316"/>
      <c r="H76" s="286"/>
    </row>
    <row r="77" spans="1:8" ht="15" x14ac:dyDescent="0.2">
      <c r="A77" s="272" t="s">
        <v>154</v>
      </c>
      <c r="B77" s="299">
        <v>21</v>
      </c>
      <c r="C77" s="342">
        <v>248000</v>
      </c>
      <c r="D77" s="343">
        <f t="shared" si="1"/>
        <v>5208000</v>
      </c>
      <c r="E77" s="337"/>
      <c r="G77" s="316"/>
      <c r="H77" s="286"/>
    </row>
    <row r="78" spans="1:8" ht="15" x14ac:dyDescent="0.2">
      <c r="A78" s="268" t="s">
        <v>149</v>
      </c>
      <c r="B78" s="301">
        <v>11</v>
      </c>
      <c r="C78" s="342">
        <v>146000</v>
      </c>
      <c r="D78" s="343">
        <f t="shared" si="1"/>
        <v>1606000</v>
      </c>
      <c r="E78" s="337"/>
      <c r="G78" s="316"/>
      <c r="H78" s="286"/>
    </row>
    <row r="79" spans="1:8" ht="15" x14ac:dyDescent="0.2">
      <c r="A79" s="272" t="s">
        <v>76</v>
      </c>
      <c r="B79" s="299">
        <v>78</v>
      </c>
      <c r="C79" s="342">
        <v>45000</v>
      </c>
      <c r="D79" s="343">
        <f t="shared" si="1"/>
        <v>3510000</v>
      </c>
      <c r="E79" s="337"/>
      <c r="G79" s="316"/>
      <c r="H79" s="286"/>
    </row>
    <row r="80" spans="1:8" ht="15" x14ac:dyDescent="0.2">
      <c r="A80" s="272" t="s">
        <v>61</v>
      </c>
      <c r="B80" s="299">
        <v>166</v>
      </c>
      <c r="C80" s="342">
        <v>1708000</v>
      </c>
      <c r="D80" s="343">
        <f t="shared" si="1"/>
        <v>283528000</v>
      </c>
      <c r="E80" s="337"/>
      <c r="G80" s="316"/>
      <c r="H80" s="286"/>
    </row>
    <row r="81" spans="1:8" ht="15" x14ac:dyDescent="0.2">
      <c r="A81" s="272" t="s">
        <v>64</v>
      </c>
      <c r="B81" s="299">
        <v>77</v>
      </c>
      <c r="C81" s="342">
        <v>1122000</v>
      </c>
      <c r="D81" s="343">
        <f t="shared" si="1"/>
        <v>86394000</v>
      </c>
      <c r="E81" s="337"/>
      <c r="G81" s="316"/>
      <c r="H81" s="286"/>
    </row>
    <row r="82" spans="1:8" ht="15" x14ac:dyDescent="0.2">
      <c r="A82" s="268" t="s">
        <v>759</v>
      </c>
      <c r="B82" s="301">
        <v>2</v>
      </c>
      <c r="C82" s="342">
        <v>72000</v>
      </c>
      <c r="D82" s="343">
        <f t="shared" si="1"/>
        <v>144000</v>
      </c>
      <c r="E82" s="337"/>
      <c r="G82" s="316"/>
      <c r="H82" s="286"/>
    </row>
    <row r="83" spans="1:8" ht="15" x14ac:dyDescent="0.2">
      <c r="A83" s="272" t="s">
        <v>67</v>
      </c>
      <c r="B83" s="299">
        <v>105</v>
      </c>
      <c r="C83" s="342">
        <v>494000</v>
      </c>
      <c r="D83" s="343">
        <f t="shared" si="1"/>
        <v>51870000</v>
      </c>
      <c r="E83" s="337"/>
      <c r="G83" s="316"/>
      <c r="H83" s="286"/>
    </row>
    <row r="84" spans="1:8" ht="15" x14ac:dyDescent="0.2">
      <c r="A84" s="272" t="s">
        <v>69</v>
      </c>
      <c r="B84" s="299">
        <v>72</v>
      </c>
      <c r="C84" s="342">
        <v>211000</v>
      </c>
      <c r="D84" s="343">
        <f t="shared" si="1"/>
        <v>15192000</v>
      </c>
      <c r="E84" s="337"/>
      <c r="G84" s="316"/>
      <c r="H84" s="286"/>
    </row>
    <row r="85" spans="1:8" ht="15" x14ac:dyDescent="0.2">
      <c r="A85" s="283" t="s">
        <v>827</v>
      </c>
      <c r="B85" s="304">
        <v>2</v>
      </c>
      <c r="C85" s="342">
        <v>72000</v>
      </c>
      <c r="D85" s="343">
        <f t="shared" si="1"/>
        <v>144000</v>
      </c>
      <c r="E85" s="337"/>
      <c r="G85" s="316"/>
      <c r="H85" s="286"/>
    </row>
    <row r="86" spans="1:8" ht="15" x14ac:dyDescent="0.2">
      <c r="A86" s="272" t="s">
        <v>1455</v>
      </c>
      <c r="B86" s="299">
        <v>20</v>
      </c>
      <c r="C86" s="342">
        <v>25000</v>
      </c>
      <c r="D86" s="343">
        <f t="shared" si="1"/>
        <v>500000</v>
      </c>
      <c r="E86" s="337"/>
      <c r="G86" s="316"/>
      <c r="H86" s="286"/>
    </row>
    <row r="87" spans="1:8" ht="15" x14ac:dyDescent="0.2">
      <c r="A87" s="272" t="s">
        <v>2104</v>
      </c>
      <c r="B87" s="299">
        <v>1</v>
      </c>
      <c r="C87" s="342">
        <v>600000</v>
      </c>
      <c r="D87" s="343">
        <f t="shared" si="1"/>
        <v>600000</v>
      </c>
      <c r="E87" s="337"/>
      <c r="G87" s="316"/>
      <c r="H87" s="286"/>
    </row>
    <row r="88" spans="1:8" ht="15" x14ac:dyDescent="0.2">
      <c r="A88" s="272" t="s">
        <v>2105</v>
      </c>
      <c r="B88" s="299">
        <v>1</v>
      </c>
      <c r="C88" s="342">
        <v>165000</v>
      </c>
      <c r="D88" s="343">
        <f t="shared" si="1"/>
        <v>165000</v>
      </c>
      <c r="E88" s="337"/>
      <c r="G88" s="316"/>
      <c r="H88" s="286"/>
    </row>
    <row r="89" spans="1:8" ht="15" x14ac:dyDescent="0.2">
      <c r="A89" s="272" t="s">
        <v>2106</v>
      </c>
      <c r="B89" s="299">
        <v>4</v>
      </c>
      <c r="C89" s="342">
        <v>32000</v>
      </c>
      <c r="D89" s="343">
        <f t="shared" si="1"/>
        <v>128000</v>
      </c>
      <c r="E89" s="337"/>
      <c r="G89" s="316"/>
      <c r="H89" s="286"/>
    </row>
    <row r="90" spans="1:8" ht="15" x14ac:dyDescent="0.2">
      <c r="A90" s="272" t="s">
        <v>1348</v>
      </c>
      <c r="B90" s="299">
        <v>1</v>
      </c>
      <c r="C90" s="342">
        <v>3600000</v>
      </c>
      <c r="D90" s="343">
        <f t="shared" si="1"/>
        <v>3600000</v>
      </c>
      <c r="E90" s="337" t="s">
        <v>2107</v>
      </c>
      <c r="G90" s="316"/>
      <c r="H90" s="286"/>
    </row>
    <row r="91" spans="1:8" ht="15" x14ac:dyDescent="0.2">
      <c r="A91" s="268" t="s">
        <v>1028</v>
      </c>
      <c r="B91" s="301">
        <v>1</v>
      </c>
      <c r="C91" s="342">
        <v>600000</v>
      </c>
      <c r="D91" s="343">
        <f t="shared" si="1"/>
        <v>600000</v>
      </c>
      <c r="E91" s="337" t="s">
        <v>2107</v>
      </c>
      <c r="G91" s="316"/>
      <c r="H91" s="286"/>
    </row>
    <row r="92" spans="1:8" ht="15" x14ac:dyDescent="0.2">
      <c r="A92" s="268" t="s">
        <v>749</v>
      </c>
      <c r="B92" s="301">
        <v>1</v>
      </c>
      <c r="C92" s="342">
        <v>60000</v>
      </c>
      <c r="D92" s="343">
        <f t="shared" si="1"/>
        <v>60000</v>
      </c>
      <c r="E92" s="337" t="s">
        <v>2107</v>
      </c>
      <c r="G92" s="316"/>
      <c r="H92" s="286"/>
    </row>
    <row r="93" spans="1:8" ht="15" x14ac:dyDescent="0.2">
      <c r="A93" s="272" t="s">
        <v>1463</v>
      </c>
      <c r="B93" s="299">
        <v>1</v>
      </c>
      <c r="C93" s="342">
        <v>1200000</v>
      </c>
      <c r="D93" s="343">
        <f t="shared" si="1"/>
        <v>1200000</v>
      </c>
      <c r="E93" s="337"/>
      <c r="G93" s="316"/>
      <c r="H93" s="286"/>
    </row>
    <row r="94" spans="1:8" ht="15" x14ac:dyDescent="0.2">
      <c r="A94" s="268" t="s">
        <v>753</v>
      </c>
      <c r="B94" s="301">
        <v>1</v>
      </c>
      <c r="C94" s="342">
        <v>165000</v>
      </c>
      <c r="D94" s="343">
        <f t="shared" si="1"/>
        <v>165000</v>
      </c>
      <c r="E94" s="337"/>
      <c r="G94" s="316"/>
      <c r="H94" s="286"/>
    </row>
    <row r="95" spans="1:8" ht="15" x14ac:dyDescent="0.2">
      <c r="A95" s="268" t="s">
        <v>1004</v>
      </c>
      <c r="B95" s="301">
        <v>1</v>
      </c>
      <c r="C95" s="342">
        <v>60000</v>
      </c>
      <c r="D95" s="343">
        <f t="shared" si="1"/>
        <v>60000</v>
      </c>
      <c r="E95" s="337"/>
      <c r="G95" s="316"/>
      <c r="H95" s="286"/>
    </row>
    <row r="96" spans="1:8" ht="15" x14ac:dyDescent="0.2">
      <c r="A96" s="284" t="s">
        <v>746</v>
      </c>
      <c r="B96" s="301">
        <v>15</v>
      </c>
      <c r="C96" s="342">
        <v>32000</v>
      </c>
      <c r="D96" s="343">
        <f t="shared" si="1"/>
        <v>480000</v>
      </c>
      <c r="E96" s="337"/>
      <c r="G96" s="316"/>
      <c r="H96" s="286"/>
    </row>
    <row r="97" spans="1:8" ht="15" x14ac:dyDescent="0.2">
      <c r="A97" s="269" t="s">
        <v>84</v>
      </c>
      <c r="B97" s="303">
        <v>4</v>
      </c>
      <c r="C97" s="342">
        <v>300000</v>
      </c>
      <c r="D97" s="343">
        <f t="shared" si="1"/>
        <v>1200000</v>
      </c>
      <c r="E97" s="337"/>
      <c r="G97" s="316"/>
      <c r="H97" s="286"/>
    </row>
    <row r="98" spans="1:8" ht="15" x14ac:dyDescent="0.2">
      <c r="A98" s="269" t="s">
        <v>946</v>
      </c>
      <c r="B98" s="300">
        <v>1</v>
      </c>
      <c r="C98" s="342">
        <v>54000</v>
      </c>
      <c r="D98" s="343">
        <f t="shared" si="1"/>
        <v>54000</v>
      </c>
      <c r="E98" s="337"/>
      <c r="G98" s="316"/>
      <c r="H98" s="286"/>
    </row>
    <row r="99" spans="1:8" s="287" customFormat="1" ht="15" x14ac:dyDescent="0.2">
      <c r="A99" s="291" t="s">
        <v>812</v>
      </c>
      <c r="B99" s="305">
        <v>1</v>
      </c>
      <c r="C99" s="351">
        <v>72000</v>
      </c>
      <c r="D99" s="343">
        <f t="shared" si="1"/>
        <v>72000</v>
      </c>
      <c r="E99" s="352" t="s">
        <v>2108</v>
      </c>
      <c r="G99" s="316"/>
      <c r="H99" s="286"/>
    </row>
    <row r="100" spans="1:8" ht="30" x14ac:dyDescent="0.2">
      <c r="A100" s="269" t="s">
        <v>719</v>
      </c>
      <c r="B100" s="301">
        <v>12</v>
      </c>
      <c r="C100" s="342">
        <v>2000</v>
      </c>
      <c r="D100" s="343">
        <f t="shared" si="1"/>
        <v>24000</v>
      </c>
      <c r="E100" s="337" t="s">
        <v>2109</v>
      </c>
      <c r="G100" s="316"/>
      <c r="H100" s="286"/>
    </row>
    <row r="101" spans="1:8" ht="15" x14ac:dyDescent="0.2">
      <c r="A101" s="276" t="s">
        <v>768</v>
      </c>
      <c r="B101" s="301">
        <v>1</v>
      </c>
      <c r="C101" s="342">
        <v>150000</v>
      </c>
      <c r="D101" s="343">
        <f t="shared" si="1"/>
        <v>150000</v>
      </c>
      <c r="E101" s="337" t="s">
        <v>2110</v>
      </c>
      <c r="G101" s="316"/>
      <c r="H101" s="286"/>
    </row>
    <row r="102" spans="1:8" ht="15" x14ac:dyDescent="0.2">
      <c r="A102" s="276" t="s">
        <v>779</v>
      </c>
      <c r="B102" s="301">
        <v>3</v>
      </c>
      <c r="C102" s="342">
        <v>72000</v>
      </c>
      <c r="D102" s="343">
        <f t="shared" si="1"/>
        <v>216000</v>
      </c>
      <c r="E102" s="337" t="s">
        <v>2110</v>
      </c>
      <c r="G102" s="316"/>
      <c r="H102" s="286"/>
    </row>
    <row r="103" spans="1:8" ht="15" x14ac:dyDescent="0.2">
      <c r="A103" s="272" t="s">
        <v>1224</v>
      </c>
      <c r="B103" s="299">
        <v>2</v>
      </c>
      <c r="C103" s="342">
        <v>667000</v>
      </c>
      <c r="D103" s="343">
        <f t="shared" si="1"/>
        <v>1334000</v>
      </c>
      <c r="E103" s="337"/>
      <c r="G103" s="316"/>
      <c r="H103" s="286"/>
    </row>
    <row r="104" spans="1:8" ht="15" x14ac:dyDescent="0.2">
      <c r="A104" s="272" t="s">
        <v>1278</v>
      </c>
      <c r="B104" s="299">
        <v>4</v>
      </c>
      <c r="C104" s="342">
        <v>360000</v>
      </c>
      <c r="D104" s="343">
        <f t="shared" si="1"/>
        <v>1440000</v>
      </c>
      <c r="E104" s="337"/>
      <c r="G104" s="316"/>
      <c r="H104" s="286"/>
    </row>
    <row r="105" spans="1:8" ht="15" x14ac:dyDescent="0.2">
      <c r="A105" s="272" t="s">
        <v>131</v>
      </c>
      <c r="B105" s="299">
        <v>4</v>
      </c>
      <c r="C105" s="342">
        <v>228000</v>
      </c>
      <c r="D105" s="343">
        <f t="shared" si="1"/>
        <v>912000</v>
      </c>
      <c r="E105" s="337"/>
      <c r="G105" s="316"/>
      <c r="H105" s="286"/>
    </row>
    <row r="106" spans="1:8" ht="14.25" customHeight="1" x14ac:dyDescent="0.2">
      <c r="A106" s="269" t="s">
        <v>192</v>
      </c>
      <c r="B106" s="301">
        <v>5</v>
      </c>
      <c r="C106" s="342">
        <v>8000</v>
      </c>
      <c r="D106" s="343">
        <f t="shared" si="1"/>
        <v>40000</v>
      </c>
      <c r="E106" s="337"/>
      <c r="G106" s="316"/>
      <c r="H106" s="286"/>
    </row>
    <row r="107" spans="1:8" ht="15" x14ac:dyDescent="0.2">
      <c r="A107" s="269" t="s">
        <v>194</v>
      </c>
      <c r="B107" s="301">
        <v>15</v>
      </c>
      <c r="C107" s="342">
        <v>13000</v>
      </c>
      <c r="D107" s="343">
        <f t="shared" si="1"/>
        <v>195000</v>
      </c>
      <c r="E107" s="337"/>
      <c r="G107" s="316"/>
      <c r="H107" s="286"/>
    </row>
    <row r="108" spans="1:8" ht="15" x14ac:dyDescent="0.2">
      <c r="A108" s="268" t="s">
        <v>2085</v>
      </c>
      <c r="B108" s="301">
        <v>30</v>
      </c>
      <c r="C108" s="342">
        <v>25000</v>
      </c>
      <c r="D108" s="343">
        <f t="shared" si="1"/>
        <v>750000</v>
      </c>
      <c r="E108" s="337"/>
      <c r="G108" s="316"/>
      <c r="H108" s="286"/>
    </row>
    <row r="109" spans="1:8" ht="15" x14ac:dyDescent="0.2">
      <c r="A109" s="272" t="s">
        <v>1487</v>
      </c>
      <c r="B109" s="299">
        <v>1</v>
      </c>
      <c r="C109" s="342">
        <v>80000</v>
      </c>
      <c r="D109" s="343">
        <f t="shared" si="1"/>
        <v>80000</v>
      </c>
      <c r="E109" s="337"/>
      <c r="G109" s="316"/>
      <c r="H109" s="286"/>
    </row>
    <row r="110" spans="1:8" ht="15" x14ac:dyDescent="0.2">
      <c r="A110" s="272" t="s">
        <v>1349</v>
      </c>
      <c r="B110" s="299">
        <v>1</v>
      </c>
      <c r="C110" s="342">
        <v>2400000</v>
      </c>
      <c r="D110" s="343">
        <f t="shared" si="1"/>
        <v>2400000</v>
      </c>
      <c r="E110" s="337"/>
      <c r="G110" s="316"/>
      <c r="H110" s="286"/>
    </row>
    <row r="111" spans="1:8" ht="15" x14ac:dyDescent="0.2">
      <c r="A111" s="272" t="s">
        <v>1350</v>
      </c>
      <c r="B111" s="299">
        <v>6</v>
      </c>
      <c r="C111" s="342">
        <v>1200000</v>
      </c>
      <c r="D111" s="343">
        <f t="shared" si="1"/>
        <v>7200000</v>
      </c>
      <c r="E111" s="337"/>
      <c r="G111" s="316"/>
      <c r="H111" s="286"/>
    </row>
    <row r="112" spans="1:8" ht="15" x14ac:dyDescent="0.2">
      <c r="A112" s="272" t="s">
        <v>731</v>
      </c>
      <c r="B112" s="299">
        <v>11</v>
      </c>
      <c r="C112" s="342">
        <v>165000</v>
      </c>
      <c r="D112" s="343">
        <f t="shared" si="1"/>
        <v>1815000</v>
      </c>
      <c r="E112" s="337"/>
      <c r="G112" s="316"/>
      <c r="H112" s="286"/>
    </row>
    <row r="113" spans="1:8" ht="15" x14ac:dyDescent="0.2">
      <c r="A113" s="278" t="s">
        <v>740</v>
      </c>
      <c r="B113" s="303">
        <v>3</v>
      </c>
      <c r="C113" s="342">
        <v>60000</v>
      </c>
      <c r="D113" s="343">
        <f t="shared" si="1"/>
        <v>180000</v>
      </c>
      <c r="E113" s="337"/>
      <c r="G113" s="316"/>
      <c r="H113" s="286"/>
    </row>
    <row r="114" spans="1:8" ht="15" x14ac:dyDescent="0.2">
      <c r="A114" s="272" t="s">
        <v>798</v>
      </c>
      <c r="B114" s="299">
        <v>77</v>
      </c>
      <c r="C114" s="342">
        <v>32000</v>
      </c>
      <c r="D114" s="343">
        <f t="shared" si="1"/>
        <v>2464000</v>
      </c>
      <c r="E114" s="337"/>
      <c r="G114" s="316"/>
      <c r="H114" s="286"/>
    </row>
    <row r="115" spans="1:8" ht="15" x14ac:dyDescent="0.2">
      <c r="A115" s="276" t="s">
        <v>776</v>
      </c>
      <c r="B115" s="301">
        <v>1</v>
      </c>
      <c r="C115" s="342">
        <v>600000</v>
      </c>
      <c r="D115" s="343">
        <f t="shared" si="1"/>
        <v>600000</v>
      </c>
      <c r="E115" s="337" t="s">
        <v>2102</v>
      </c>
      <c r="G115" s="316"/>
      <c r="H115" s="286"/>
    </row>
    <row r="116" spans="1:8" ht="14.25" customHeight="1" x14ac:dyDescent="0.2">
      <c r="A116" s="269" t="s">
        <v>835</v>
      </c>
      <c r="B116" s="300">
        <v>3</v>
      </c>
      <c r="C116" s="342">
        <v>60000</v>
      </c>
      <c r="D116" s="343">
        <f t="shared" si="1"/>
        <v>180000</v>
      </c>
      <c r="E116" s="337"/>
      <c r="G116" s="316"/>
      <c r="H116" s="286"/>
    </row>
    <row r="117" spans="1:8" ht="15" x14ac:dyDescent="0.2">
      <c r="A117" s="269" t="s">
        <v>777</v>
      </c>
      <c r="B117" s="300">
        <v>3</v>
      </c>
      <c r="C117" s="342">
        <v>32000</v>
      </c>
      <c r="D117" s="343">
        <f t="shared" si="1"/>
        <v>96000</v>
      </c>
      <c r="E117" s="337"/>
      <c r="G117" s="316"/>
      <c r="H117" s="286"/>
    </row>
    <row r="118" spans="1:8" ht="15" x14ac:dyDescent="0.2">
      <c r="A118" s="272" t="s">
        <v>1229</v>
      </c>
      <c r="B118" s="299">
        <v>1</v>
      </c>
      <c r="C118" s="342">
        <v>360000</v>
      </c>
      <c r="D118" s="343">
        <f t="shared" si="1"/>
        <v>360000</v>
      </c>
      <c r="E118" s="337"/>
      <c r="G118" s="316"/>
      <c r="H118" s="286"/>
    </row>
    <row r="119" spans="1:8" ht="15" x14ac:dyDescent="0.2">
      <c r="A119" s="272" t="s">
        <v>1428</v>
      </c>
      <c r="B119" s="299">
        <v>1</v>
      </c>
      <c r="C119" s="342">
        <v>450000</v>
      </c>
      <c r="D119" s="343">
        <f t="shared" si="1"/>
        <v>450000</v>
      </c>
      <c r="E119" s="337"/>
      <c r="G119" s="316"/>
      <c r="H119" s="286"/>
    </row>
    <row r="120" spans="1:8" ht="15" x14ac:dyDescent="0.2">
      <c r="A120" s="276" t="s">
        <v>733</v>
      </c>
      <c r="B120" s="301">
        <v>7</v>
      </c>
      <c r="C120" s="342">
        <v>150000</v>
      </c>
      <c r="D120" s="343">
        <f t="shared" si="1"/>
        <v>1050000</v>
      </c>
      <c r="E120" s="337"/>
      <c r="G120" s="316"/>
      <c r="H120" s="286"/>
    </row>
    <row r="121" spans="1:8" ht="15" x14ac:dyDescent="0.2">
      <c r="A121" s="269" t="s">
        <v>739</v>
      </c>
      <c r="B121" s="300">
        <v>2</v>
      </c>
      <c r="C121" s="342">
        <v>72000</v>
      </c>
      <c r="D121" s="343">
        <f t="shared" si="1"/>
        <v>144000</v>
      </c>
      <c r="E121" s="337"/>
      <c r="G121" s="316"/>
      <c r="H121" s="286"/>
    </row>
    <row r="122" spans="1:8" ht="15" x14ac:dyDescent="0.2">
      <c r="A122" s="268" t="s">
        <v>176</v>
      </c>
      <c r="B122" s="301">
        <v>1</v>
      </c>
      <c r="C122" s="342">
        <v>390000</v>
      </c>
      <c r="D122" s="343">
        <f t="shared" si="1"/>
        <v>390000</v>
      </c>
      <c r="E122" s="337"/>
      <c r="G122" s="316"/>
      <c r="H122" s="286"/>
    </row>
    <row r="123" spans="1:8" ht="15" x14ac:dyDescent="0.2">
      <c r="A123" s="269" t="s">
        <v>741</v>
      </c>
      <c r="B123" s="301">
        <v>5</v>
      </c>
      <c r="C123" s="342">
        <v>150000</v>
      </c>
      <c r="D123" s="343">
        <f t="shared" si="1"/>
        <v>750000</v>
      </c>
      <c r="E123" s="337"/>
      <c r="G123" s="316"/>
      <c r="H123" s="286"/>
    </row>
    <row r="124" spans="1:8" ht="15" x14ac:dyDescent="0.2">
      <c r="A124" s="269" t="s">
        <v>743</v>
      </c>
      <c r="B124" s="303">
        <v>5</v>
      </c>
      <c r="C124" s="342">
        <v>72000</v>
      </c>
      <c r="D124" s="343">
        <f t="shared" si="1"/>
        <v>360000</v>
      </c>
      <c r="E124" s="337"/>
      <c r="G124" s="316"/>
      <c r="H124" s="286"/>
    </row>
    <row r="125" spans="1:8" ht="15" x14ac:dyDescent="0.2">
      <c r="A125" s="276" t="s">
        <v>778</v>
      </c>
      <c r="B125" s="301">
        <v>4</v>
      </c>
      <c r="C125" s="342">
        <v>150000</v>
      </c>
      <c r="D125" s="343">
        <f t="shared" si="1"/>
        <v>600000</v>
      </c>
      <c r="E125" s="337"/>
      <c r="G125" s="316"/>
      <c r="H125" s="286"/>
    </row>
    <row r="126" spans="1:8" ht="15" x14ac:dyDescent="0.2">
      <c r="A126" s="268" t="s">
        <v>766</v>
      </c>
      <c r="B126" s="301">
        <v>1</v>
      </c>
      <c r="C126" s="342">
        <v>150000</v>
      </c>
      <c r="D126" s="343">
        <f t="shared" si="1"/>
        <v>150000</v>
      </c>
      <c r="E126" s="337"/>
      <c r="G126" s="316"/>
      <c r="H126" s="286"/>
    </row>
    <row r="127" spans="1:8" ht="15" x14ac:dyDescent="0.2">
      <c r="A127" s="268" t="s">
        <v>767</v>
      </c>
      <c r="B127" s="301">
        <v>78</v>
      </c>
      <c r="C127" s="342">
        <v>72000</v>
      </c>
      <c r="D127" s="343">
        <f t="shared" si="1"/>
        <v>5616000</v>
      </c>
      <c r="E127" s="337"/>
      <c r="G127" s="316"/>
      <c r="H127" s="286"/>
    </row>
    <row r="128" spans="1:8" ht="15" x14ac:dyDescent="0.2">
      <c r="A128" s="276" t="s">
        <v>756</v>
      </c>
      <c r="B128" s="301">
        <v>6</v>
      </c>
      <c r="C128" s="342">
        <v>150000</v>
      </c>
      <c r="D128" s="343">
        <f t="shared" si="1"/>
        <v>900000</v>
      </c>
      <c r="E128" s="337"/>
      <c r="G128" s="316"/>
      <c r="H128" s="286"/>
    </row>
    <row r="129" spans="1:8" ht="15" x14ac:dyDescent="0.2">
      <c r="A129" s="272" t="s">
        <v>405</v>
      </c>
      <c r="B129" s="299">
        <v>97</v>
      </c>
      <c r="C129" s="342">
        <v>72000</v>
      </c>
      <c r="D129" s="343">
        <f t="shared" si="1"/>
        <v>6984000</v>
      </c>
      <c r="E129" s="337"/>
      <c r="G129" s="316"/>
      <c r="H129" s="286"/>
    </row>
    <row r="130" spans="1:8" ht="15" x14ac:dyDescent="0.2">
      <c r="A130" s="272" t="s">
        <v>1353</v>
      </c>
      <c r="B130" s="299">
        <v>4</v>
      </c>
      <c r="C130" s="342">
        <v>1713000</v>
      </c>
      <c r="D130" s="343">
        <f t="shared" si="1"/>
        <v>6852000</v>
      </c>
      <c r="E130" s="337"/>
      <c r="G130" s="316"/>
      <c r="H130" s="286"/>
    </row>
    <row r="131" spans="1:8" ht="15" x14ac:dyDescent="0.2">
      <c r="A131" s="272" t="s">
        <v>132</v>
      </c>
      <c r="B131" s="299">
        <v>2</v>
      </c>
      <c r="C131" s="342">
        <v>473000</v>
      </c>
      <c r="D131" s="343">
        <f t="shared" ref="D131:D194" si="2">ROUND(C131*B131,-2)</f>
        <v>946000</v>
      </c>
      <c r="E131" s="337"/>
      <c r="G131" s="316"/>
      <c r="H131" s="286"/>
    </row>
    <row r="132" spans="1:8" ht="15" x14ac:dyDescent="0.2">
      <c r="A132" s="272" t="s">
        <v>355</v>
      </c>
      <c r="B132" s="299">
        <v>2</v>
      </c>
      <c r="C132" s="342">
        <v>979000</v>
      </c>
      <c r="D132" s="343">
        <f t="shared" si="2"/>
        <v>1958000</v>
      </c>
      <c r="E132" s="337"/>
      <c r="G132" s="316"/>
      <c r="H132" s="286"/>
    </row>
    <row r="133" spans="1:8" ht="15" x14ac:dyDescent="0.2">
      <c r="A133" s="272" t="s">
        <v>1339</v>
      </c>
      <c r="B133" s="299">
        <v>1</v>
      </c>
      <c r="C133" s="342">
        <v>554000</v>
      </c>
      <c r="D133" s="343">
        <f t="shared" si="2"/>
        <v>554000</v>
      </c>
      <c r="E133" s="337"/>
      <c r="G133" s="316"/>
      <c r="H133" s="286"/>
    </row>
    <row r="134" spans="1:8" ht="15" x14ac:dyDescent="0.2">
      <c r="A134" s="272" t="s">
        <v>1486</v>
      </c>
      <c r="B134" s="299">
        <v>2</v>
      </c>
      <c r="C134" s="342">
        <v>293000</v>
      </c>
      <c r="D134" s="343">
        <f t="shared" si="2"/>
        <v>586000</v>
      </c>
      <c r="E134" s="337"/>
      <c r="G134" s="316"/>
      <c r="H134" s="286"/>
    </row>
    <row r="135" spans="1:8" ht="15" x14ac:dyDescent="0.2">
      <c r="A135" s="269" t="s">
        <v>166</v>
      </c>
      <c r="B135" s="303">
        <v>1</v>
      </c>
      <c r="C135" s="342">
        <v>120000</v>
      </c>
      <c r="D135" s="343">
        <f t="shared" si="2"/>
        <v>120000</v>
      </c>
      <c r="E135" s="337"/>
      <c r="G135" s="316"/>
      <c r="H135" s="286"/>
    </row>
    <row r="136" spans="1:8" ht="15" x14ac:dyDescent="0.2">
      <c r="A136" s="276" t="s">
        <v>278</v>
      </c>
      <c r="B136" s="301">
        <v>1</v>
      </c>
      <c r="C136" s="342">
        <v>554000</v>
      </c>
      <c r="D136" s="343">
        <f t="shared" si="2"/>
        <v>554000</v>
      </c>
      <c r="E136" s="337"/>
      <c r="G136" s="316"/>
      <c r="H136" s="286"/>
    </row>
    <row r="137" spans="1:8" ht="15" x14ac:dyDescent="0.2">
      <c r="A137" s="272" t="s">
        <v>1221</v>
      </c>
      <c r="B137" s="299">
        <v>4</v>
      </c>
      <c r="C137" s="342">
        <v>280000</v>
      </c>
      <c r="D137" s="343">
        <f t="shared" si="2"/>
        <v>1120000</v>
      </c>
      <c r="E137" s="337"/>
      <c r="G137" s="316"/>
      <c r="H137" s="286"/>
    </row>
    <row r="138" spans="1:8" ht="15" x14ac:dyDescent="0.2">
      <c r="A138" s="272" t="s">
        <v>1433</v>
      </c>
      <c r="B138" s="299">
        <v>1</v>
      </c>
      <c r="C138" s="342">
        <v>2200000</v>
      </c>
      <c r="D138" s="343">
        <f t="shared" si="2"/>
        <v>2200000</v>
      </c>
      <c r="E138" s="337"/>
      <c r="G138" s="316"/>
      <c r="H138" s="286"/>
    </row>
    <row r="139" spans="1:8" ht="15" x14ac:dyDescent="0.2">
      <c r="A139" s="272" t="s">
        <v>1434</v>
      </c>
      <c r="B139" s="299">
        <v>1</v>
      </c>
      <c r="C139" s="342">
        <v>1280000</v>
      </c>
      <c r="D139" s="343">
        <f t="shared" si="2"/>
        <v>1280000</v>
      </c>
      <c r="E139" s="337"/>
      <c r="G139" s="316"/>
      <c r="H139" s="286"/>
    </row>
    <row r="140" spans="1:8" ht="15" x14ac:dyDescent="0.2">
      <c r="A140" s="272" t="s">
        <v>1435</v>
      </c>
      <c r="B140" s="299">
        <v>3</v>
      </c>
      <c r="C140" s="342">
        <v>550000</v>
      </c>
      <c r="D140" s="343">
        <f t="shared" si="2"/>
        <v>1650000</v>
      </c>
      <c r="E140" s="337"/>
      <c r="G140" s="316"/>
      <c r="H140" s="286"/>
    </row>
    <row r="141" spans="1:8" ht="15" x14ac:dyDescent="0.2">
      <c r="A141" s="272" t="s">
        <v>193</v>
      </c>
      <c r="B141" s="299">
        <v>6</v>
      </c>
      <c r="C141" s="342">
        <v>275000</v>
      </c>
      <c r="D141" s="343">
        <f t="shared" si="2"/>
        <v>1650000</v>
      </c>
      <c r="E141" s="337"/>
      <c r="G141" s="316"/>
      <c r="H141" s="286"/>
    </row>
    <row r="142" spans="1:8" ht="15" x14ac:dyDescent="0.2">
      <c r="A142" s="268" t="s">
        <v>1037</v>
      </c>
      <c r="B142" s="301">
        <v>1</v>
      </c>
      <c r="C142" s="342">
        <v>120000</v>
      </c>
      <c r="D142" s="343">
        <f t="shared" si="2"/>
        <v>120000</v>
      </c>
      <c r="E142" s="337"/>
      <c r="G142" s="316"/>
      <c r="H142" s="286"/>
    </row>
    <row r="143" spans="1:8" ht="15" x14ac:dyDescent="0.2">
      <c r="A143" s="269" t="s">
        <v>2086</v>
      </c>
      <c r="B143" s="300">
        <v>3</v>
      </c>
      <c r="C143" s="342">
        <v>8000</v>
      </c>
      <c r="D143" s="343">
        <f t="shared" si="2"/>
        <v>24000</v>
      </c>
      <c r="E143" s="337"/>
      <c r="G143" s="316"/>
      <c r="H143" s="286"/>
    </row>
    <row r="144" spans="1:8" ht="15" x14ac:dyDescent="0.2">
      <c r="A144" s="268" t="s">
        <v>356</v>
      </c>
      <c r="B144" s="301">
        <v>3</v>
      </c>
      <c r="C144" s="342">
        <v>8000</v>
      </c>
      <c r="D144" s="343">
        <f t="shared" si="2"/>
        <v>24000</v>
      </c>
      <c r="E144" s="337"/>
      <c r="G144" s="316"/>
      <c r="H144" s="286"/>
    </row>
    <row r="145" spans="1:8" ht="15" x14ac:dyDescent="0.2">
      <c r="A145" s="276" t="s">
        <v>242</v>
      </c>
      <c r="B145" s="301">
        <v>35</v>
      </c>
      <c r="C145" s="342">
        <v>6000</v>
      </c>
      <c r="D145" s="343">
        <f t="shared" si="2"/>
        <v>210000</v>
      </c>
      <c r="E145" s="337"/>
      <c r="G145" s="316"/>
      <c r="H145" s="286"/>
    </row>
    <row r="146" spans="1:8" ht="15" x14ac:dyDescent="0.2">
      <c r="A146" s="276" t="s">
        <v>183</v>
      </c>
      <c r="B146" s="301">
        <v>11</v>
      </c>
      <c r="C146" s="342">
        <v>2236000</v>
      </c>
      <c r="D146" s="343">
        <f t="shared" si="2"/>
        <v>24596000</v>
      </c>
      <c r="E146" s="337"/>
      <c r="G146" s="316"/>
      <c r="H146" s="286"/>
    </row>
    <row r="147" spans="1:8" ht="15" x14ac:dyDescent="0.2">
      <c r="A147" s="276" t="s">
        <v>70</v>
      </c>
      <c r="B147" s="301">
        <v>29</v>
      </c>
      <c r="C147" s="342">
        <v>1632000</v>
      </c>
      <c r="D147" s="343">
        <f t="shared" si="2"/>
        <v>47328000</v>
      </c>
      <c r="E147" s="337"/>
      <c r="G147" s="316"/>
      <c r="H147" s="286"/>
    </row>
    <row r="148" spans="1:8" ht="15" x14ac:dyDescent="0.2">
      <c r="A148" s="268" t="s">
        <v>133</v>
      </c>
      <c r="B148" s="301">
        <v>10</v>
      </c>
      <c r="C148" s="342">
        <v>758000</v>
      </c>
      <c r="D148" s="343">
        <f t="shared" si="2"/>
        <v>7580000</v>
      </c>
      <c r="E148" s="337"/>
      <c r="G148" s="316"/>
      <c r="H148" s="286"/>
    </row>
    <row r="149" spans="1:8" ht="15" x14ac:dyDescent="0.2">
      <c r="A149" s="272" t="s">
        <v>165</v>
      </c>
      <c r="B149" s="299">
        <v>8</v>
      </c>
      <c r="C149" s="342">
        <v>180000</v>
      </c>
      <c r="D149" s="343">
        <f t="shared" si="2"/>
        <v>1440000</v>
      </c>
      <c r="E149" s="337"/>
      <c r="G149" s="316"/>
      <c r="H149" s="286"/>
    </row>
    <row r="150" spans="1:8" ht="15" x14ac:dyDescent="0.2">
      <c r="A150" s="276" t="s">
        <v>771</v>
      </c>
      <c r="B150" s="301">
        <v>1</v>
      </c>
      <c r="C150" s="342">
        <v>150000</v>
      </c>
      <c r="D150" s="343">
        <f t="shared" si="2"/>
        <v>150000</v>
      </c>
      <c r="E150" s="337"/>
      <c r="G150" s="316"/>
      <c r="H150" s="286"/>
    </row>
    <row r="151" spans="1:8" ht="15" x14ac:dyDescent="0.2">
      <c r="A151" s="268" t="s">
        <v>742</v>
      </c>
      <c r="B151" s="301">
        <v>3</v>
      </c>
      <c r="C151" s="342">
        <v>72000</v>
      </c>
      <c r="D151" s="343">
        <f t="shared" si="2"/>
        <v>216000</v>
      </c>
      <c r="E151" s="337"/>
      <c r="G151" s="316"/>
      <c r="H151" s="286"/>
    </row>
    <row r="152" spans="1:8" ht="15" x14ac:dyDescent="0.2">
      <c r="A152" s="276" t="s">
        <v>274</v>
      </c>
      <c r="B152" s="301">
        <v>2</v>
      </c>
      <c r="C152" s="342">
        <v>517000</v>
      </c>
      <c r="D152" s="343">
        <f t="shared" si="2"/>
        <v>1034000</v>
      </c>
      <c r="E152" s="337"/>
      <c r="G152" s="316"/>
      <c r="H152" s="286"/>
    </row>
    <row r="153" spans="1:8" ht="15" x14ac:dyDescent="0.2">
      <c r="A153" s="272" t="s">
        <v>1482</v>
      </c>
      <c r="B153" s="299">
        <v>5</v>
      </c>
      <c r="C153" s="342">
        <v>202000</v>
      </c>
      <c r="D153" s="343">
        <f t="shared" si="2"/>
        <v>1010000</v>
      </c>
      <c r="E153" s="337"/>
      <c r="G153" s="316"/>
      <c r="H153" s="286"/>
    </row>
    <row r="154" spans="1:8" ht="15" x14ac:dyDescent="0.2">
      <c r="A154" s="272" t="s">
        <v>1436</v>
      </c>
      <c r="B154" s="299">
        <v>3</v>
      </c>
      <c r="C154" s="342">
        <v>600000</v>
      </c>
      <c r="D154" s="343">
        <f t="shared" si="2"/>
        <v>1800000</v>
      </c>
      <c r="E154" s="337"/>
      <c r="G154" s="316"/>
      <c r="H154" s="286"/>
    </row>
    <row r="155" spans="1:8" ht="15" x14ac:dyDescent="0.2">
      <c r="A155" s="268" t="s">
        <v>735</v>
      </c>
      <c r="B155" s="301">
        <v>1</v>
      </c>
      <c r="C155" s="342">
        <v>165000</v>
      </c>
      <c r="D155" s="343">
        <f t="shared" si="2"/>
        <v>165000</v>
      </c>
      <c r="E155" s="337"/>
      <c r="G155" s="316"/>
      <c r="H155" s="286"/>
    </row>
    <row r="156" spans="1:8" ht="15" x14ac:dyDescent="0.2">
      <c r="A156" s="276" t="s">
        <v>728</v>
      </c>
      <c r="B156" s="301">
        <v>2</v>
      </c>
      <c r="C156" s="342">
        <v>60000</v>
      </c>
      <c r="D156" s="343">
        <f t="shared" si="2"/>
        <v>120000</v>
      </c>
      <c r="E156" s="337"/>
      <c r="G156" s="316"/>
      <c r="H156" s="286"/>
    </row>
    <row r="157" spans="1:8" ht="15" x14ac:dyDescent="0.2">
      <c r="A157" s="272" t="s">
        <v>736</v>
      </c>
      <c r="B157" s="299">
        <v>27</v>
      </c>
      <c r="C157" s="342">
        <v>32000</v>
      </c>
      <c r="D157" s="343">
        <f t="shared" si="2"/>
        <v>864000</v>
      </c>
      <c r="E157" s="337"/>
      <c r="G157" s="316"/>
      <c r="H157" s="286"/>
    </row>
    <row r="158" spans="1:8" s="293" customFormat="1" ht="30" x14ac:dyDescent="0.2">
      <c r="A158" s="292" t="s">
        <v>1468</v>
      </c>
      <c r="B158" s="298">
        <v>808</v>
      </c>
      <c r="C158" s="353"/>
      <c r="D158" s="354">
        <f t="shared" si="2"/>
        <v>0</v>
      </c>
      <c r="E158" s="355"/>
      <c r="G158" s="331"/>
      <c r="H158" s="331"/>
    </row>
    <row r="159" spans="1:8" ht="15" x14ac:dyDescent="0.2">
      <c r="A159" s="272" t="s">
        <v>1218</v>
      </c>
      <c r="B159" s="299">
        <v>5</v>
      </c>
      <c r="C159" s="342">
        <v>571000</v>
      </c>
      <c r="D159" s="343">
        <f t="shared" si="2"/>
        <v>2855000</v>
      </c>
      <c r="E159" s="337"/>
      <c r="G159" s="316"/>
      <c r="H159" s="286"/>
    </row>
    <row r="160" spans="1:8" ht="15" x14ac:dyDescent="0.2">
      <c r="A160" s="272" t="s">
        <v>408</v>
      </c>
      <c r="B160" s="299">
        <v>5</v>
      </c>
      <c r="C160" s="342">
        <v>337000</v>
      </c>
      <c r="D160" s="343">
        <f t="shared" si="2"/>
        <v>1685000</v>
      </c>
      <c r="E160" s="337"/>
      <c r="G160" s="316"/>
      <c r="H160" s="286"/>
    </row>
    <row r="161" spans="1:8" ht="15" x14ac:dyDescent="0.2">
      <c r="A161" s="269" t="s">
        <v>134</v>
      </c>
      <c r="B161" s="300">
        <v>2</v>
      </c>
      <c r="C161" s="342">
        <v>203000</v>
      </c>
      <c r="D161" s="343">
        <f t="shared" si="2"/>
        <v>406000</v>
      </c>
      <c r="E161" s="337"/>
      <c r="G161" s="316"/>
      <c r="H161" s="286"/>
    </row>
    <row r="162" spans="1:8" ht="15" x14ac:dyDescent="0.2">
      <c r="A162" s="278" t="s">
        <v>148</v>
      </c>
      <c r="B162" s="303">
        <v>3</v>
      </c>
      <c r="C162" s="342">
        <v>70000</v>
      </c>
      <c r="D162" s="343">
        <f t="shared" si="2"/>
        <v>210000</v>
      </c>
      <c r="E162" s="337"/>
      <c r="G162" s="316"/>
      <c r="H162" s="286"/>
    </row>
    <row r="163" spans="1:8" ht="15" x14ac:dyDescent="0.2">
      <c r="A163" s="276" t="s">
        <v>763</v>
      </c>
      <c r="B163" s="301">
        <v>1</v>
      </c>
      <c r="C163" s="342">
        <v>150000</v>
      </c>
      <c r="D163" s="343">
        <f t="shared" si="2"/>
        <v>150000</v>
      </c>
      <c r="E163" s="337" t="s">
        <v>2111</v>
      </c>
      <c r="G163" s="316"/>
      <c r="H163" s="286"/>
    </row>
    <row r="164" spans="1:8" ht="15" x14ac:dyDescent="0.2">
      <c r="A164" s="272" t="s">
        <v>409</v>
      </c>
      <c r="B164" s="299">
        <v>16</v>
      </c>
      <c r="C164" s="342">
        <v>72000</v>
      </c>
      <c r="D164" s="343">
        <f t="shared" si="2"/>
        <v>1152000</v>
      </c>
      <c r="E164" s="337" t="s">
        <v>2111</v>
      </c>
      <c r="G164" s="316"/>
      <c r="H164" s="286"/>
    </row>
    <row r="165" spans="1:8" ht="15" x14ac:dyDescent="0.2">
      <c r="A165" s="276" t="s">
        <v>781</v>
      </c>
      <c r="B165" s="301">
        <v>1</v>
      </c>
      <c r="C165" s="342">
        <v>120000</v>
      </c>
      <c r="D165" s="343">
        <f t="shared" si="2"/>
        <v>120000</v>
      </c>
      <c r="E165" s="337" t="s">
        <v>2089</v>
      </c>
      <c r="G165" s="316"/>
      <c r="H165" s="286"/>
    </row>
    <row r="166" spans="1:8" ht="15" x14ac:dyDescent="0.2">
      <c r="A166" s="276" t="s">
        <v>782</v>
      </c>
      <c r="B166" s="301">
        <v>20</v>
      </c>
      <c r="C166" s="342">
        <v>60000</v>
      </c>
      <c r="D166" s="343">
        <f t="shared" si="2"/>
        <v>1200000</v>
      </c>
      <c r="E166" s="337" t="s">
        <v>2089</v>
      </c>
      <c r="G166" s="316"/>
      <c r="H166" s="286"/>
    </row>
    <row r="167" spans="1:8" ht="15" x14ac:dyDescent="0.2">
      <c r="A167" s="268" t="s">
        <v>354</v>
      </c>
      <c r="B167" s="301">
        <v>15</v>
      </c>
      <c r="C167" s="342">
        <v>12000</v>
      </c>
      <c r="D167" s="343">
        <f t="shared" si="2"/>
        <v>180000</v>
      </c>
      <c r="E167" s="337"/>
      <c r="G167" s="316"/>
      <c r="H167" s="286"/>
    </row>
    <row r="168" spans="1:8" ht="15" x14ac:dyDescent="0.2">
      <c r="A168" s="278" t="s">
        <v>429</v>
      </c>
      <c r="B168" s="299">
        <v>202</v>
      </c>
      <c r="C168" s="342">
        <v>12000</v>
      </c>
      <c r="D168" s="343">
        <f t="shared" si="2"/>
        <v>2424000</v>
      </c>
      <c r="E168" s="337"/>
      <c r="G168" s="316"/>
      <c r="H168" s="286"/>
    </row>
    <row r="169" spans="1:8" ht="15" x14ac:dyDescent="0.2">
      <c r="A169" s="268" t="s">
        <v>468</v>
      </c>
      <c r="B169" s="301">
        <v>4</v>
      </c>
      <c r="C169" s="342">
        <v>10000</v>
      </c>
      <c r="D169" s="343">
        <f t="shared" si="2"/>
        <v>40000</v>
      </c>
      <c r="E169" s="337"/>
      <c r="G169" s="316"/>
      <c r="H169" s="286"/>
    </row>
    <row r="170" spans="1:8" ht="15" x14ac:dyDescent="0.2">
      <c r="A170" s="272" t="s">
        <v>1332</v>
      </c>
      <c r="B170" s="299">
        <v>558</v>
      </c>
      <c r="C170" s="342">
        <v>12000</v>
      </c>
      <c r="D170" s="343">
        <f t="shared" si="2"/>
        <v>6696000</v>
      </c>
      <c r="E170" s="337"/>
      <c r="G170" s="316"/>
      <c r="H170" s="286"/>
    </row>
    <row r="171" spans="1:8" ht="14.25" customHeight="1" x14ac:dyDescent="0.2">
      <c r="A171" s="268" t="s">
        <v>2087</v>
      </c>
      <c r="B171" s="300">
        <v>4</v>
      </c>
      <c r="C171" s="342">
        <v>12000</v>
      </c>
      <c r="D171" s="343">
        <f t="shared" si="2"/>
        <v>48000</v>
      </c>
      <c r="E171" s="337"/>
      <c r="G171" s="316"/>
      <c r="H171" s="286"/>
    </row>
    <row r="172" spans="1:8" ht="15" x14ac:dyDescent="0.2">
      <c r="A172" s="268" t="s">
        <v>248</v>
      </c>
      <c r="B172" s="301">
        <v>9</v>
      </c>
      <c r="C172" s="342">
        <v>12000</v>
      </c>
      <c r="D172" s="343">
        <f t="shared" si="2"/>
        <v>108000</v>
      </c>
      <c r="E172" s="337"/>
      <c r="G172" s="316"/>
      <c r="H172" s="286"/>
    </row>
    <row r="173" spans="1:8" ht="15" x14ac:dyDescent="0.2">
      <c r="A173" s="269" t="s">
        <v>191</v>
      </c>
      <c r="B173" s="301">
        <v>16</v>
      </c>
      <c r="C173" s="342">
        <v>10000</v>
      </c>
      <c r="D173" s="343">
        <f t="shared" si="2"/>
        <v>160000</v>
      </c>
      <c r="E173" s="337"/>
      <c r="G173" s="316"/>
      <c r="H173" s="286"/>
    </row>
    <row r="174" spans="1:8" ht="15" x14ac:dyDescent="0.2">
      <c r="A174" s="269" t="s">
        <v>177</v>
      </c>
      <c r="B174" s="303">
        <v>1</v>
      </c>
      <c r="C174" s="342">
        <v>473000</v>
      </c>
      <c r="D174" s="343">
        <f t="shared" si="2"/>
        <v>473000</v>
      </c>
      <c r="E174" s="337"/>
      <c r="G174" s="316"/>
      <c r="H174" s="286"/>
    </row>
    <row r="175" spans="1:8" ht="15" x14ac:dyDescent="0.2">
      <c r="A175" s="269" t="s">
        <v>167</v>
      </c>
      <c r="B175" s="303">
        <v>1</v>
      </c>
      <c r="C175" s="342">
        <v>150000</v>
      </c>
      <c r="D175" s="343">
        <f t="shared" si="2"/>
        <v>150000</v>
      </c>
      <c r="E175" s="337"/>
      <c r="G175" s="316"/>
      <c r="H175" s="286"/>
    </row>
    <row r="176" spans="1:8" ht="15" x14ac:dyDescent="0.2">
      <c r="A176" s="276" t="s">
        <v>271</v>
      </c>
      <c r="B176" s="301">
        <v>1</v>
      </c>
      <c r="C176" s="342">
        <v>667000</v>
      </c>
      <c r="D176" s="343">
        <f t="shared" si="2"/>
        <v>667000</v>
      </c>
      <c r="E176" s="337"/>
      <c r="G176" s="316"/>
      <c r="H176" s="286"/>
    </row>
    <row r="177" spans="1:8" ht="15" x14ac:dyDescent="0.2">
      <c r="A177" s="276" t="s">
        <v>135</v>
      </c>
      <c r="B177" s="301">
        <v>2</v>
      </c>
      <c r="C177" s="342">
        <v>228000</v>
      </c>
      <c r="D177" s="343">
        <f t="shared" si="2"/>
        <v>456000</v>
      </c>
      <c r="E177" s="337"/>
      <c r="G177" s="316"/>
      <c r="H177" s="286"/>
    </row>
    <row r="178" spans="1:8" ht="15" x14ac:dyDescent="0.2">
      <c r="A178" s="269" t="s">
        <v>179</v>
      </c>
      <c r="B178" s="303">
        <v>1</v>
      </c>
      <c r="C178" s="342">
        <v>10000</v>
      </c>
      <c r="D178" s="343">
        <f t="shared" si="2"/>
        <v>10000</v>
      </c>
      <c r="E178" s="337" t="s">
        <v>2112</v>
      </c>
      <c r="G178" s="316"/>
      <c r="H178" s="286"/>
    </row>
    <row r="179" spans="1:8" ht="15" x14ac:dyDescent="0.2">
      <c r="A179" s="269" t="s">
        <v>933</v>
      </c>
      <c r="B179" s="300">
        <v>51</v>
      </c>
      <c r="C179" s="342">
        <v>360000</v>
      </c>
      <c r="D179" s="343">
        <f t="shared" si="2"/>
        <v>18360000</v>
      </c>
      <c r="E179" s="337" t="s">
        <v>2093</v>
      </c>
      <c r="G179" s="316"/>
      <c r="H179" s="286"/>
    </row>
    <row r="180" spans="1:8" ht="15" x14ac:dyDescent="0.2">
      <c r="A180" s="268" t="s">
        <v>725</v>
      </c>
      <c r="B180" s="301">
        <v>39</v>
      </c>
      <c r="C180" s="342">
        <v>360000</v>
      </c>
      <c r="D180" s="343">
        <f t="shared" si="2"/>
        <v>14040000</v>
      </c>
      <c r="E180" s="337" t="s">
        <v>2113</v>
      </c>
      <c r="G180" s="316"/>
      <c r="H180" s="286"/>
    </row>
    <row r="181" spans="1:8" ht="15" x14ac:dyDescent="0.2">
      <c r="A181" s="268" t="s">
        <v>758</v>
      </c>
      <c r="B181" s="301">
        <v>1</v>
      </c>
      <c r="C181" s="342">
        <v>60000</v>
      </c>
      <c r="D181" s="343">
        <f t="shared" si="2"/>
        <v>60000</v>
      </c>
      <c r="E181" s="337"/>
      <c r="G181" s="316"/>
      <c r="H181" s="286"/>
    </row>
    <row r="182" spans="1:8" ht="15" x14ac:dyDescent="0.2">
      <c r="A182" s="268" t="s">
        <v>175</v>
      </c>
      <c r="B182" s="301">
        <v>1</v>
      </c>
      <c r="C182" s="342">
        <v>979000</v>
      </c>
      <c r="D182" s="343">
        <f t="shared" si="2"/>
        <v>979000</v>
      </c>
      <c r="E182" s="337"/>
      <c r="G182" s="316"/>
      <c r="H182" s="286"/>
    </row>
    <row r="183" spans="1:8" ht="15" x14ac:dyDescent="0.2">
      <c r="A183" s="272" t="s">
        <v>1230</v>
      </c>
      <c r="B183" s="299">
        <v>1</v>
      </c>
      <c r="C183" s="342">
        <v>93000</v>
      </c>
      <c r="D183" s="343">
        <f t="shared" si="2"/>
        <v>93000</v>
      </c>
      <c r="E183" s="337"/>
      <c r="G183" s="316"/>
      <c r="H183" s="286"/>
    </row>
    <row r="184" spans="1:8" ht="15" x14ac:dyDescent="0.2">
      <c r="A184" s="272" t="s">
        <v>1351</v>
      </c>
      <c r="B184" s="299">
        <v>7</v>
      </c>
      <c r="C184" s="342">
        <v>2400000</v>
      </c>
      <c r="D184" s="343">
        <f t="shared" si="2"/>
        <v>16800000</v>
      </c>
      <c r="E184" s="337"/>
      <c r="G184" s="316"/>
      <c r="H184" s="286"/>
    </row>
    <row r="185" spans="1:8" ht="15" x14ac:dyDescent="0.2">
      <c r="A185" s="272" t="s">
        <v>1429</v>
      </c>
      <c r="B185" s="299">
        <v>4</v>
      </c>
      <c r="C185" s="342">
        <v>1200000</v>
      </c>
      <c r="D185" s="343">
        <f t="shared" si="2"/>
        <v>4800000</v>
      </c>
      <c r="E185" s="337"/>
      <c r="G185" s="316"/>
      <c r="H185" s="286"/>
    </row>
    <row r="186" spans="1:8" ht="15" x14ac:dyDescent="0.2">
      <c r="A186" s="272" t="s">
        <v>1430</v>
      </c>
      <c r="B186" s="299">
        <v>1</v>
      </c>
      <c r="C186" s="342">
        <v>600000</v>
      </c>
      <c r="D186" s="343">
        <f t="shared" si="2"/>
        <v>600000</v>
      </c>
      <c r="E186" s="337"/>
      <c r="G186" s="316"/>
      <c r="H186" s="286"/>
    </row>
    <row r="187" spans="1:8" ht="15" x14ac:dyDescent="0.2">
      <c r="A187" s="272" t="s">
        <v>1431</v>
      </c>
      <c r="B187" s="299">
        <v>2</v>
      </c>
      <c r="C187" s="342">
        <v>165000</v>
      </c>
      <c r="D187" s="343">
        <f t="shared" si="2"/>
        <v>330000</v>
      </c>
      <c r="E187" s="337"/>
      <c r="G187" s="316"/>
      <c r="H187" s="286"/>
    </row>
    <row r="188" spans="1:8" ht="15" x14ac:dyDescent="0.2">
      <c r="A188" s="269" t="s">
        <v>783</v>
      </c>
      <c r="B188" s="301">
        <v>6</v>
      </c>
      <c r="C188" s="342">
        <v>60000</v>
      </c>
      <c r="D188" s="343">
        <f t="shared" si="2"/>
        <v>360000</v>
      </c>
      <c r="E188" s="337"/>
      <c r="G188" s="316"/>
      <c r="H188" s="286"/>
    </row>
    <row r="189" spans="1:8" ht="15" x14ac:dyDescent="0.2">
      <c r="A189" s="272" t="s">
        <v>727</v>
      </c>
      <c r="B189" s="299">
        <v>5</v>
      </c>
      <c r="C189" s="342">
        <v>32000</v>
      </c>
      <c r="D189" s="343">
        <f t="shared" si="2"/>
        <v>160000</v>
      </c>
      <c r="E189" s="337"/>
      <c r="G189" s="316"/>
      <c r="H189" s="286"/>
    </row>
    <row r="190" spans="1:8" ht="14.25" customHeight="1" x14ac:dyDescent="0.2">
      <c r="A190" s="276" t="s">
        <v>764</v>
      </c>
      <c r="B190" s="301">
        <v>2</v>
      </c>
      <c r="C190" s="342">
        <v>150000</v>
      </c>
      <c r="D190" s="343">
        <f t="shared" si="2"/>
        <v>300000</v>
      </c>
      <c r="E190" s="337" t="s">
        <v>2121</v>
      </c>
      <c r="G190" s="316"/>
      <c r="H190" s="286"/>
    </row>
    <row r="191" spans="1:8" ht="15" x14ac:dyDescent="0.2">
      <c r="A191" s="276" t="s">
        <v>765</v>
      </c>
      <c r="B191" s="301">
        <v>3</v>
      </c>
      <c r="C191" s="342">
        <v>72000</v>
      </c>
      <c r="D191" s="343">
        <f t="shared" si="2"/>
        <v>216000</v>
      </c>
      <c r="E191" s="337" t="s">
        <v>2121</v>
      </c>
      <c r="G191" s="316"/>
      <c r="H191" s="286"/>
    </row>
    <row r="192" spans="1:8" ht="15" x14ac:dyDescent="0.2">
      <c r="A192" s="278" t="s">
        <v>730</v>
      </c>
      <c r="B192" s="301">
        <v>2</v>
      </c>
      <c r="C192" s="342">
        <v>390000</v>
      </c>
      <c r="D192" s="343">
        <f t="shared" si="2"/>
        <v>780000</v>
      </c>
      <c r="E192" s="337"/>
      <c r="G192" s="316"/>
      <c r="H192" s="286"/>
    </row>
    <row r="193" spans="1:8" ht="15" x14ac:dyDescent="0.2">
      <c r="A193" s="269" t="s">
        <v>751</v>
      </c>
      <c r="B193" s="301">
        <v>1</v>
      </c>
      <c r="C193" s="342">
        <v>72000</v>
      </c>
      <c r="D193" s="343">
        <f t="shared" si="2"/>
        <v>72000</v>
      </c>
      <c r="E193" s="337"/>
      <c r="G193" s="316"/>
      <c r="H193" s="286"/>
    </row>
    <row r="194" spans="1:8" ht="15" x14ac:dyDescent="0.2">
      <c r="A194" s="272" t="s">
        <v>1489</v>
      </c>
      <c r="B194" s="299">
        <v>1</v>
      </c>
      <c r="C194" s="342">
        <v>2400000</v>
      </c>
      <c r="D194" s="343">
        <f t="shared" si="2"/>
        <v>2400000</v>
      </c>
      <c r="E194" s="337" t="s">
        <v>2114</v>
      </c>
      <c r="G194" s="316"/>
      <c r="H194" s="286"/>
    </row>
    <row r="195" spans="1:8" ht="15" x14ac:dyDescent="0.2">
      <c r="A195" s="272" t="s">
        <v>1383</v>
      </c>
      <c r="B195" s="299">
        <v>3</v>
      </c>
      <c r="C195" s="342">
        <v>1800000</v>
      </c>
      <c r="D195" s="343">
        <f t="shared" ref="D195:D245" si="3">ROUND(C195*B195,-2)</f>
        <v>5400000</v>
      </c>
      <c r="E195" s="337" t="s">
        <v>2107</v>
      </c>
      <c r="G195" s="316"/>
      <c r="H195" s="286"/>
    </row>
    <row r="196" spans="1:8" ht="15" x14ac:dyDescent="0.2">
      <c r="A196" s="279" t="s">
        <v>351</v>
      </c>
      <c r="B196" s="306">
        <v>1</v>
      </c>
      <c r="C196" s="342">
        <v>600000</v>
      </c>
      <c r="D196" s="343">
        <f t="shared" si="3"/>
        <v>600000</v>
      </c>
      <c r="E196" s="337"/>
      <c r="G196" s="316"/>
      <c r="H196" s="286"/>
    </row>
    <row r="197" spans="1:8" ht="15" x14ac:dyDescent="0.2">
      <c r="A197" s="272" t="s">
        <v>352</v>
      </c>
      <c r="B197" s="299">
        <v>53</v>
      </c>
      <c r="C197" s="342">
        <v>60000</v>
      </c>
      <c r="D197" s="343">
        <f t="shared" si="3"/>
        <v>3180000</v>
      </c>
      <c r="E197" s="337"/>
      <c r="G197" s="316"/>
      <c r="H197" s="286"/>
    </row>
    <row r="198" spans="1:8" ht="30" x14ac:dyDescent="0.2">
      <c r="A198" s="276" t="s">
        <v>273</v>
      </c>
      <c r="B198" s="301">
        <v>5.8</v>
      </c>
      <c r="C198" s="342">
        <v>3000</v>
      </c>
      <c r="D198" s="343">
        <f t="shared" si="3"/>
        <v>17400</v>
      </c>
      <c r="E198" s="337"/>
      <c r="G198" s="316"/>
      <c r="H198" s="286"/>
    </row>
    <row r="199" spans="1:8" ht="15" x14ac:dyDescent="0.2">
      <c r="A199" s="276" t="s">
        <v>275</v>
      </c>
      <c r="B199" s="301">
        <v>3</v>
      </c>
      <c r="C199" s="342">
        <v>360000</v>
      </c>
      <c r="D199" s="343">
        <f t="shared" si="3"/>
        <v>1080000</v>
      </c>
      <c r="E199" s="337" t="s">
        <v>2115</v>
      </c>
      <c r="G199" s="316"/>
      <c r="H199" s="286"/>
    </row>
    <row r="200" spans="1:8" ht="15" x14ac:dyDescent="0.2">
      <c r="A200" s="276" t="s">
        <v>276</v>
      </c>
      <c r="B200" s="301">
        <v>1</v>
      </c>
      <c r="C200" s="342">
        <v>228000</v>
      </c>
      <c r="D200" s="343">
        <f t="shared" si="3"/>
        <v>228000</v>
      </c>
      <c r="E200" s="337" t="s">
        <v>2115</v>
      </c>
      <c r="G200" s="316"/>
      <c r="H200" s="286"/>
    </row>
    <row r="201" spans="1:8" ht="15" x14ac:dyDescent="0.2">
      <c r="A201" s="272" t="s">
        <v>1228</v>
      </c>
      <c r="B201" s="299">
        <v>3</v>
      </c>
      <c r="C201" s="342">
        <v>979000</v>
      </c>
      <c r="D201" s="343">
        <f t="shared" si="3"/>
        <v>2937000</v>
      </c>
      <c r="E201" s="337"/>
      <c r="G201" s="316"/>
      <c r="H201" s="286"/>
    </row>
    <row r="202" spans="1:8" ht="15" x14ac:dyDescent="0.2">
      <c r="A202" s="272" t="s">
        <v>1368</v>
      </c>
      <c r="B202" s="299">
        <v>1</v>
      </c>
      <c r="C202" s="342">
        <v>554000</v>
      </c>
      <c r="D202" s="343">
        <f t="shared" si="3"/>
        <v>554000</v>
      </c>
      <c r="E202" s="337"/>
      <c r="G202" s="316"/>
      <c r="H202" s="286"/>
    </row>
    <row r="203" spans="1:8" ht="15" x14ac:dyDescent="0.2">
      <c r="A203" s="272" t="s">
        <v>1464</v>
      </c>
      <c r="B203" s="299">
        <v>1</v>
      </c>
      <c r="C203" s="342">
        <v>920000</v>
      </c>
      <c r="D203" s="343">
        <f t="shared" si="3"/>
        <v>920000</v>
      </c>
      <c r="E203" s="337"/>
      <c r="G203" s="316"/>
      <c r="H203" s="286"/>
    </row>
    <row r="204" spans="1:8" ht="15" x14ac:dyDescent="0.2">
      <c r="A204" s="272" t="s">
        <v>1466</v>
      </c>
      <c r="B204" s="299">
        <v>1</v>
      </c>
      <c r="C204" s="342">
        <v>605000</v>
      </c>
      <c r="D204" s="343">
        <f t="shared" si="3"/>
        <v>605000</v>
      </c>
      <c r="E204" s="337"/>
      <c r="G204" s="316"/>
      <c r="H204" s="286"/>
    </row>
    <row r="205" spans="1:8" s="287" customFormat="1" ht="15" x14ac:dyDescent="0.2">
      <c r="A205" s="294" t="s">
        <v>1156</v>
      </c>
      <c r="B205" s="307">
        <v>2</v>
      </c>
      <c r="C205" s="342">
        <v>294000</v>
      </c>
      <c r="D205" s="343">
        <f t="shared" si="3"/>
        <v>588000</v>
      </c>
      <c r="E205" s="352" t="s">
        <v>2116</v>
      </c>
      <c r="G205" s="316"/>
      <c r="H205" s="286"/>
    </row>
    <row r="206" spans="1:8" s="287" customFormat="1" ht="20.25" customHeight="1" x14ac:dyDescent="0.2">
      <c r="A206" s="295" t="s">
        <v>760</v>
      </c>
      <c r="B206" s="308">
        <v>1</v>
      </c>
      <c r="C206" s="342">
        <v>70000</v>
      </c>
      <c r="D206" s="343">
        <f t="shared" si="3"/>
        <v>70000</v>
      </c>
      <c r="E206" s="352" t="s">
        <v>2117</v>
      </c>
      <c r="G206" s="316"/>
      <c r="H206" s="286"/>
    </row>
    <row r="207" spans="1:8" ht="15" x14ac:dyDescent="0.2">
      <c r="A207" s="269" t="s">
        <v>747</v>
      </c>
      <c r="B207" s="277">
        <v>1</v>
      </c>
      <c r="C207" s="342"/>
      <c r="D207" s="343">
        <f t="shared" si="3"/>
        <v>0</v>
      </c>
      <c r="E207" s="337" t="s">
        <v>2091</v>
      </c>
      <c r="G207" s="316"/>
      <c r="H207" s="286"/>
    </row>
    <row r="208" spans="1:8" ht="15" x14ac:dyDescent="0.2">
      <c r="A208" s="272" t="s">
        <v>1421</v>
      </c>
      <c r="B208" s="299">
        <v>5</v>
      </c>
      <c r="C208" s="342">
        <v>4800000</v>
      </c>
      <c r="D208" s="343">
        <f t="shared" si="3"/>
        <v>24000000</v>
      </c>
      <c r="E208" s="337"/>
      <c r="G208" s="316"/>
      <c r="H208" s="286"/>
    </row>
    <row r="209" spans="1:8" ht="15" x14ac:dyDescent="0.2">
      <c r="A209" s="272" t="s">
        <v>1251</v>
      </c>
      <c r="B209" s="299">
        <v>16</v>
      </c>
      <c r="C209" s="342">
        <v>2400000</v>
      </c>
      <c r="D209" s="343">
        <f t="shared" si="3"/>
        <v>38400000</v>
      </c>
      <c r="E209" s="337"/>
      <c r="G209" s="316"/>
      <c r="H209" s="286"/>
    </row>
    <row r="210" spans="1:8" ht="15" x14ac:dyDescent="0.2">
      <c r="A210" s="272" t="s">
        <v>1253</v>
      </c>
      <c r="B210" s="299">
        <v>7</v>
      </c>
      <c r="C210" s="342">
        <v>1080000</v>
      </c>
      <c r="D210" s="343">
        <f t="shared" si="3"/>
        <v>7560000</v>
      </c>
      <c r="E210" s="337"/>
      <c r="G210" s="316"/>
      <c r="H210" s="286"/>
    </row>
    <row r="211" spans="1:8" ht="15" x14ac:dyDescent="0.2">
      <c r="A211" s="272" t="s">
        <v>1254</v>
      </c>
      <c r="B211" s="299">
        <v>17</v>
      </c>
      <c r="C211" s="342">
        <v>480000</v>
      </c>
      <c r="D211" s="343">
        <f t="shared" si="3"/>
        <v>8160000</v>
      </c>
      <c r="E211" s="337"/>
      <c r="G211" s="316"/>
      <c r="H211" s="286"/>
    </row>
    <row r="212" spans="1:8" ht="15" x14ac:dyDescent="0.2">
      <c r="A212" s="278" t="s">
        <v>406</v>
      </c>
      <c r="B212" s="300">
        <v>13</v>
      </c>
      <c r="C212" s="342">
        <v>180000</v>
      </c>
      <c r="D212" s="343">
        <f t="shared" si="3"/>
        <v>2340000</v>
      </c>
      <c r="E212" s="337"/>
      <c r="G212" s="316"/>
      <c r="H212" s="286"/>
    </row>
    <row r="213" spans="1:8" ht="15" x14ac:dyDescent="0.2">
      <c r="A213" s="278" t="s">
        <v>919</v>
      </c>
      <c r="B213" s="300">
        <v>18</v>
      </c>
      <c r="C213" s="342">
        <v>36000</v>
      </c>
      <c r="D213" s="343">
        <f t="shared" si="3"/>
        <v>648000</v>
      </c>
      <c r="E213" s="337"/>
      <c r="G213" s="316"/>
      <c r="H213" s="286"/>
    </row>
    <row r="214" spans="1:8" ht="15" x14ac:dyDescent="0.2">
      <c r="A214" s="272" t="s">
        <v>1255</v>
      </c>
      <c r="B214" s="299">
        <v>28</v>
      </c>
      <c r="C214" s="342">
        <v>6000</v>
      </c>
      <c r="D214" s="343">
        <f t="shared" si="3"/>
        <v>168000</v>
      </c>
      <c r="E214" s="337"/>
      <c r="G214" s="316"/>
      <c r="H214" s="286"/>
    </row>
    <row r="215" spans="1:8" s="313" customFormat="1" ht="15" x14ac:dyDescent="0.2">
      <c r="A215" s="270" t="s">
        <v>2122</v>
      </c>
      <c r="B215" s="312">
        <v>2</v>
      </c>
      <c r="C215" s="356">
        <v>60000</v>
      </c>
      <c r="D215" s="357">
        <f t="shared" si="3"/>
        <v>120000</v>
      </c>
      <c r="E215" s="358" t="s">
        <v>2123</v>
      </c>
      <c r="G215" s="316"/>
      <c r="H215" s="286"/>
    </row>
    <row r="216" spans="1:8" s="313" customFormat="1" ht="15" x14ac:dyDescent="0.2">
      <c r="A216" s="270" t="s">
        <v>836</v>
      </c>
      <c r="B216" s="312">
        <v>2</v>
      </c>
      <c r="C216" s="356">
        <v>0</v>
      </c>
      <c r="D216" s="357">
        <f t="shared" si="3"/>
        <v>0</v>
      </c>
      <c r="E216" s="358"/>
      <c r="G216" s="316"/>
      <c r="H216" s="286"/>
    </row>
    <row r="217" spans="1:8" ht="15" x14ac:dyDescent="0.2">
      <c r="A217" s="276" t="s">
        <v>187</v>
      </c>
      <c r="B217" s="301">
        <v>110</v>
      </c>
      <c r="C217" s="342">
        <v>120000</v>
      </c>
      <c r="D217" s="343">
        <f t="shared" si="3"/>
        <v>13200000</v>
      </c>
      <c r="E217" s="337"/>
      <c r="G217" s="316"/>
      <c r="H217" s="286"/>
    </row>
    <row r="218" spans="1:8" ht="15" x14ac:dyDescent="0.2">
      <c r="A218" s="280" t="s">
        <v>353</v>
      </c>
      <c r="B218" s="309">
        <v>193</v>
      </c>
      <c r="C218" s="342">
        <v>96000</v>
      </c>
      <c r="D218" s="343">
        <f t="shared" si="3"/>
        <v>18528000</v>
      </c>
      <c r="E218" s="337"/>
      <c r="G218" s="316"/>
      <c r="H218" s="286"/>
    </row>
    <row r="219" spans="1:8" ht="15" x14ac:dyDescent="0.2">
      <c r="A219" s="272" t="s">
        <v>932</v>
      </c>
      <c r="B219" s="299">
        <v>138</v>
      </c>
      <c r="C219" s="342">
        <v>84000</v>
      </c>
      <c r="D219" s="343">
        <f t="shared" si="3"/>
        <v>11592000</v>
      </c>
      <c r="E219" s="337"/>
      <c r="G219" s="316"/>
      <c r="H219" s="286"/>
    </row>
    <row r="220" spans="1:8" ht="15" x14ac:dyDescent="0.2">
      <c r="A220" s="272" t="s">
        <v>350</v>
      </c>
      <c r="B220" s="299">
        <v>240</v>
      </c>
      <c r="C220" s="342">
        <v>72000</v>
      </c>
      <c r="D220" s="343">
        <f t="shared" si="3"/>
        <v>17280000</v>
      </c>
      <c r="E220" s="337"/>
      <c r="G220" s="316"/>
      <c r="H220" s="286"/>
    </row>
    <row r="221" spans="1:8" ht="15" x14ac:dyDescent="0.2">
      <c r="A221" s="268" t="s">
        <v>784</v>
      </c>
      <c r="B221" s="301">
        <v>23</v>
      </c>
      <c r="C221" s="342">
        <v>8400</v>
      </c>
      <c r="D221" s="343">
        <f t="shared" si="3"/>
        <v>193200</v>
      </c>
      <c r="E221" s="337"/>
      <c r="G221" s="316"/>
      <c r="H221" s="286"/>
    </row>
    <row r="222" spans="1:8" ht="15" x14ac:dyDescent="0.2">
      <c r="A222" s="272" t="s">
        <v>785</v>
      </c>
      <c r="B222" s="299">
        <v>728</v>
      </c>
      <c r="C222" s="342">
        <v>6000</v>
      </c>
      <c r="D222" s="343">
        <f t="shared" si="3"/>
        <v>4368000</v>
      </c>
      <c r="E222" s="337"/>
      <c r="G222" s="316"/>
      <c r="H222" s="286"/>
    </row>
    <row r="223" spans="1:8" ht="30" x14ac:dyDescent="0.2">
      <c r="A223" s="276" t="s">
        <v>789</v>
      </c>
      <c r="B223" s="301">
        <v>39</v>
      </c>
      <c r="C223" s="342">
        <v>84000</v>
      </c>
      <c r="D223" s="343">
        <f t="shared" si="3"/>
        <v>3276000</v>
      </c>
      <c r="E223" s="337"/>
      <c r="G223" s="316"/>
      <c r="H223" s="286"/>
    </row>
    <row r="224" spans="1:8" ht="15" x14ac:dyDescent="0.2">
      <c r="A224" s="276" t="s">
        <v>788</v>
      </c>
      <c r="B224" s="301">
        <v>172</v>
      </c>
      <c r="C224" s="342">
        <v>120000</v>
      </c>
      <c r="D224" s="343">
        <f t="shared" si="3"/>
        <v>20640000</v>
      </c>
      <c r="E224" s="337"/>
      <c r="G224" s="316"/>
      <c r="H224" s="286"/>
    </row>
    <row r="225" spans="1:8" ht="15" x14ac:dyDescent="0.2">
      <c r="A225" s="276" t="s">
        <v>761</v>
      </c>
      <c r="B225" s="301">
        <v>1</v>
      </c>
      <c r="C225" s="342">
        <v>390000</v>
      </c>
      <c r="D225" s="343">
        <f t="shared" si="3"/>
        <v>390000</v>
      </c>
      <c r="E225" s="337" t="s">
        <v>2111</v>
      </c>
      <c r="G225" s="316"/>
      <c r="H225" s="286"/>
    </row>
    <row r="226" spans="1:8" ht="15" x14ac:dyDescent="0.2">
      <c r="A226" s="276" t="s">
        <v>762</v>
      </c>
      <c r="B226" s="301">
        <v>1</v>
      </c>
      <c r="C226" s="342">
        <v>150000</v>
      </c>
      <c r="D226" s="343">
        <f t="shared" si="3"/>
        <v>150000</v>
      </c>
      <c r="E226" s="337" t="s">
        <v>2111</v>
      </c>
      <c r="G226" s="316"/>
      <c r="H226" s="286"/>
    </row>
    <row r="227" spans="1:8" ht="30" x14ac:dyDescent="0.2">
      <c r="A227" s="276" t="s">
        <v>272</v>
      </c>
      <c r="B227" s="301">
        <v>13.5</v>
      </c>
      <c r="C227" s="342">
        <v>5000</v>
      </c>
      <c r="D227" s="343">
        <f t="shared" si="3"/>
        <v>67500</v>
      </c>
      <c r="E227" s="336" t="s">
        <v>2133</v>
      </c>
      <c r="G227" s="316"/>
      <c r="H227" s="286"/>
    </row>
    <row r="228" spans="1:8" ht="30" x14ac:dyDescent="0.2">
      <c r="A228" s="269" t="s">
        <v>834</v>
      </c>
      <c r="B228" s="300">
        <v>1</v>
      </c>
      <c r="C228" s="342">
        <v>240000</v>
      </c>
      <c r="D228" s="343">
        <f t="shared" si="3"/>
        <v>240000</v>
      </c>
      <c r="E228" s="337"/>
      <c r="G228" s="316"/>
      <c r="H228" s="286"/>
    </row>
    <row r="229" spans="1:8" ht="15" x14ac:dyDescent="0.2">
      <c r="A229" s="269" t="s">
        <v>301</v>
      </c>
      <c r="B229" s="301">
        <v>1</v>
      </c>
      <c r="C229" s="342">
        <v>50000</v>
      </c>
      <c r="D229" s="343">
        <f t="shared" si="3"/>
        <v>50000</v>
      </c>
      <c r="E229" s="337"/>
      <c r="G229" s="316"/>
      <c r="H229" s="286"/>
    </row>
    <row r="230" spans="1:8" ht="15" x14ac:dyDescent="0.2">
      <c r="A230" s="276" t="s">
        <v>462</v>
      </c>
      <c r="B230" s="310">
        <v>9</v>
      </c>
      <c r="C230" s="342">
        <v>25000</v>
      </c>
      <c r="D230" s="343">
        <f t="shared" si="3"/>
        <v>225000</v>
      </c>
      <c r="E230" s="337"/>
      <c r="G230" s="316"/>
      <c r="H230" s="286"/>
    </row>
    <row r="231" spans="1:8" ht="15" x14ac:dyDescent="0.2">
      <c r="A231" s="272" t="s">
        <v>1194</v>
      </c>
      <c r="B231" s="273">
        <v>1</v>
      </c>
      <c r="C231" s="342"/>
      <c r="D231" s="343">
        <f t="shared" si="3"/>
        <v>0</v>
      </c>
      <c r="E231" s="337" t="s">
        <v>2091</v>
      </c>
      <c r="G231" s="316"/>
      <c r="H231" s="286"/>
    </row>
    <row r="232" spans="1:8" ht="15" x14ac:dyDescent="0.2">
      <c r="A232" s="268" t="s">
        <v>737</v>
      </c>
      <c r="B232" s="275">
        <v>1</v>
      </c>
      <c r="C232" s="342"/>
      <c r="D232" s="343">
        <f t="shared" si="3"/>
        <v>0</v>
      </c>
      <c r="E232" s="337" t="s">
        <v>2091</v>
      </c>
      <c r="G232" s="316"/>
      <c r="H232" s="286"/>
    </row>
    <row r="233" spans="1:8" ht="15" x14ac:dyDescent="0.2">
      <c r="A233" s="269" t="s">
        <v>2088</v>
      </c>
      <c r="B233" s="275">
        <v>1</v>
      </c>
      <c r="C233" s="342"/>
      <c r="D233" s="343">
        <f t="shared" si="3"/>
        <v>0</v>
      </c>
      <c r="E233" s="337" t="s">
        <v>2091</v>
      </c>
      <c r="G233" s="316"/>
      <c r="H233" s="286"/>
    </row>
    <row r="234" spans="1:8" ht="15" x14ac:dyDescent="0.2">
      <c r="A234" s="272" t="s">
        <v>1437</v>
      </c>
      <c r="B234" s="273">
        <v>1</v>
      </c>
      <c r="C234" s="342"/>
      <c r="D234" s="343">
        <f t="shared" si="3"/>
        <v>0</v>
      </c>
      <c r="E234" s="337" t="s">
        <v>2091</v>
      </c>
      <c r="G234" s="316"/>
      <c r="H234" s="286"/>
    </row>
    <row r="235" spans="1:8" ht="15" x14ac:dyDescent="0.2">
      <c r="A235" s="269" t="s">
        <v>184</v>
      </c>
      <c r="B235" s="300">
        <v>2</v>
      </c>
      <c r="C235" s="342">
        <v>1632000</v>
      </c>
      <c r="D235" s="343">
        <f t="shared" si="3"/>
        <v>3264000</v>
      </c>
      <c r="E235" s="337"/>
      <c r="G235" s="316"/>
      <c r="H235" s="286"/>
    </row>
    <row r="236" spans="1:8" ht="15" x14ac:dyDescent="0.2">
      <c r="A236" s="284" t="s">
        <v>155</v>
      </c>
      <c r="B236" s="301">
        <v>1</v>
      </c>
      <c r="C236" s="342">
        <v>758000</v>
      </c>
      <c r="D236" s="343">
        <f t="shared" si="3"/>
        <v>758000</v>
      </c>
      <c r="E236" s="337"/>
      <c r="G236" s="316"/>
      <c r="H236" s="286"/>
    </row>
    <row r="237" spans="1:8" ht="15" x14ac:dyDescent="0.2">
      <c r="A237" s="272" t="s">
        <v>156</v>
      </c>
      <c r="B237" s="299">
        <v>7</v>
      </c>
      <c r="C237" s="342">
        <v>288000</v>
      </c>
      <c r="D237" s="343">
        <f t="shared" si="3"/>
        <v>2016000</v>
      </c>
      <c r="E237" s="337"/>
      <c r="G237" s="316"/>
      <c r="H237" s="286"/>
    </row>
    <row r="238" spans="1:8" ht="15" x14ac:dyDescent="0.2">
      <c r="A238" s="269" t="s">
        <v>966</v>
      </c>
      <c r="B238" s="303">
        <v>1</v>
      </c>
      <c r="C238" s="342">
        <v>180000</v>
      </c>
      <c r="D238" s="343">
        <f t="shared" si="3"/>
        <v>180000</v>
      </c>
      <c r="E238" s="337" t="s">
        <v>2100</v>
      </c>
      <c r="G238" s="316"/>
      <c r="H238" s="286"/>
    </row>
    <row r="239" spans="1:8" ht="15" x14ac:dyDescent="0.2">
      <c r="A239" s="272" t="s">
        <v>1345</v>
      </c>
      <c r="B239" s="299">
        <v>4</v>
      </c>
      <c r="C239" s="342">
        <v>1200000</v>
      </c>
      <c r="D239" s="343">
        <f t="shared" si="3"/>
        <v>4800000</v>
      </c>
      <c r="E239" s="337" t="s">
        <v>2118</v>
      </c>
      <c r="G239" s="316"/>
      <c r="H239" s="286"/>
    </row>
    <row r="240" spans="1:8" ht="15" x14ac:dyDescent="0.2">
      <c r="A240" s="272" t="s">
        <v>1346</v>
      </c>
      <c r="B240" s="299">
        <v>3</v>
      </c>
      <c r="C240" s="342">
        <v>165000</v>
      </c>
      <c r="D240" s="343">
        <f t="shared" si="3"/>
        <v>495000</v>
      </c>
      <c r="E240" s="337"/>
      <c r="G240" s="316"/>
      <c r="H240" s="286"/>
    </row>
    <row r="241" spans="1:8" ht="15" x14ac:dyDescent="0.2">
      <c r="A241" s="272" t="s">
        <v>1239</v>
      </c>
      <c r="B241" s="299">
        <v>1</v>
      </c>
      <c r="C241" s="342">
        <v>32000</v>
      </c>
      <c r="D241" s="343">
        <f t="shared" si="3"/>
        <v>32000</v>
      </c>
      <c r="E241" s="337"/>
      <c r="G241" s="316"/>
      <c r="H241" s="286"/>
    </row>
    <row r="242" spans="1:8" ht="15" x14ac:dyDescent="0.2">
      <c r="A242" s="272" t="s">
        <v>145</v>
      </c>
      <c r="B242" s="299">
        <v>98</v>
      </c>
      <c r="C242" s="342">
        <v>4240000</v>
      </c>
      <c r="D242" s="343">
        <f t="shared" si="3"/>
        <v>415520000</v>
      </c>
      <c r="E242" s="337"/>
      <c r="G242" s="316"/>
      <c r="H242" s="286"/>
    </row>
    <row r="243" spans="1:8" ht="15" x14ac:dyDescent="0.2">
      <c r="A243" s="272" t="s">
        <v>77</v>
      </c>
      <c r="B243" s="299">
        <v>79</v>
      </c>
      <c r="C243" s="342">
        <v>3064000</v>
      </c>
      <c r="D243" s="343">
        <f t="shared" si="3"/>
        <v>242056000</v>
      </c>
      <c r="E243" s="337"/>
      <c r="G243" s="316"/>
      <c r="H243" s="286"/>
    </row>
    <row r="244" spans="1:8" ht="15" x14ac:dyDescent="0.2">
      <c r="A244" s="268" t="s">
        <v>79</v>
      </c>
      <c r="B244" s="301">
        <v>37</v>
      </c>
      <c r="C244" s="342">
        <v>1035000</v>
      </c>
      <c r="D244" s="343">
        <f t="shared" si="3"/>
        <v>38295000</v>
      </c>
      <c r="E244" s="337"/>
      <c r="G244" s="316"/>
      <c r="H244" s="286"/>
    </row>
    <row r="245" spans="1:8" ht="19.5" customHeight="1" x14ac:dyDescent="0.2">
      <c r="A245" s="272" t="s">
        <v>80</v>
      </c>
      <c r="B245" s="299">
        <v>4</v>
      </c>
      <c r="C245" s="342">
        <v>400000</v>
      </c>
      <c r="D245" s="343">
        <f t="shared" si="3"/>
        <v>1600000</v>
      </c>
      <c r="E245" s="337"/>
      <c r="G245" s="316"/>
      <c r="H245" s="286"/>
    </row>
    <row r="246" spans="1:8" ht="15" x14ac:dyDescent="0.2">
      <c r="A246" s="359" t="s">
        <v>2081</v>
      </c>
      <c r="B246" s="360">
        <f>SUM(B2:B245)</f>
        <v>16208.5</v>
      </c>
      <c r="C246" s="361"/>
      <c r="D246" s="361">
        <f>SUM(D2:D245)</f>
        <v>2079249500</v>
      </c>
      <c r="E246" s="337"/>
    </row>
    <row r="247" spans="1:8" hidden="1" x14ac:dyDescent="0.2">
      <c r="D247" s="365">
        <f>D246-BTH!R7</f>
        <v>14000000</v>
      </c>
    </row>
    <row r="248" spans="1:8" ht="15" x14ac:dyDescent="0.2">
      <c r="D248" s="361"/>
    </row>
    <row r="249" spans="1:8" x14ac:dyDescent="0.2">
      <c r="D249" s="365"/>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NHAp DIEN TICH CHUAN</vt:lpstr>
      <vt:lpstr>NHAP</vt:lpstr>
      <vt:lpstr>con to do BTH</vt:lpstr>
      <vt:lpstr>BTH</vt:lpstr>
      <vt:lpstr>TEN</vt:lpstr>
      <vt:lpstr>TRUNG TEN</vt:lpstr>
      <vt:lpstr>gia dat</vt:lpstr>
      <vt:lpstr>ODDS</vt:lpstr>
      <vt:lpstr>VKT</vt:lpstr>
      <vt:lpstr>Cây trong</vt:lpstr>
      <vt:lpstr>BTH!Print_Area</vt:lpstr>
      <vt:lpstr>'con to do BTH'!Print_Area</vt:lpstr>
      <vt:lpstr>NHAP!Print_Area</vt:lpstr>
      <vt:lpstr>'NHAp DIEN TICH CHUAN'!Print_Area</vt:lpstr>
      <vt:lpstr>BTH!Print_Titles</vt:lpstr>
      <vt:lpstr>'con to do BTH'!Print_Titles</vt:lpstr>
      <vt:lpstr>NHAP!Print_Titles</vt:lpstr>
      <vt:lpstr>'NHAp DIEN TICH CHUAN'!Print_Titles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PC</cp:lastModifiedBy>
  <cp:lastPrinted>2026-08-25T01:20:05Z</cp:lastPrinted>
  <dcterms:created xsi:type="dcterms:W3CDTF">2024-05-15T07:37:00Z</dcterms:created>
  <dcterms:modified xsi:type="dcterms:W3CDTF">2026-08-25T02:05:12Z</dcterms:modified>
</cp:coreProperties>
</file>